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9A3122C6-6D78-440F-A302-A6B25A51A551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</calcChain>
</file>

<file path=xl/sharedStrings.xml><?xml version="1.0" encoding="utf-8"?>
<sst xmlns="http://schemas.openxmlformats.org/spreadsheetml/2006/main" count="16964" uniqueCount="119">
  <si>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</si>
  <si>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</si>
  <si>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</si>
  <si>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</si>
  <si>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</si>
  <si>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</si>
  <si>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</si>
  <si>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</si>
  <si>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</si>
  <si>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</si>
  <si>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</si>
  <si>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</si>
  <si>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</si>
  <si>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</si>
  <si>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</si>
  <si>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</si>
  <si>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</si>
  <si>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</si>
  <si>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</si>
  <si>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</si>
  <si>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</si>
  <si>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</si>
  <si>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</si>
  <si>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</si>
  <si>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</si>
  <si>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</si>
  <si>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</si>
  <si>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</si>
  <si>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</si>
  <si>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</si>
  <si>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</si>
  <si>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</si>
  <si>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</si>
  <si>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</si>
  <si>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</si>
  <si>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</si>
  <si>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</si>
  <si>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</si>
  <si>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</si>
  <si>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</si>
  <si>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</si>
  <si>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FAR</t>
  </si>
  <si>
    <t>Building 07 (16)</t>
  </si>
  <si>
    <t>Box001</t>
  </si>
  <si>
    <t>Kooper</t>
  </si>
  <si>
    <t>Plane_01</t>
  </si>
  <si>
    <t>Building 15 (22)</t>
  </si>
  <si>
    <t>mcp_road_part_02</t>
  </si>
  <si>
    <t>mcp_roads_turn_01 (1)</t>
  </si>
  <si>
    <t>Building 18 (9)</t>
  </si>
  <si>
    <t>Building 07 (17)</t>
  </si>
  <si>
    <t>Building 24</t>
  </si>
  <si>
    <t>Building 07 (18)</t>
  </si>
  <si>
    <t>Building 24 (1)</t>
  </si>
  <si>
    <t>Building 15 (35)</t>
  </si>
  <si>
    <t>Building 23 (4)</t>
  </si>
  <si>
    <t>Building 15 (34)</t>
  </si>
  <si>
    <t>Tree 02 (6)</t>
  </si>
  <si>
    <t>Tong (5)</t>
  </si>
  <si>
    <t>Building 21 (2)</t>
  </si>
  <si>
    <t>Building 18 (2)</t>
  </si>
  <si>
    <t>mcp_roads_T_cross_01</t>
  </si>
  <si>
    <t>Stand 02 (19)</t>
  </si>
  <si>
    <t>Building 29 (5)</t>
  </si>
  <si>
    <t>Stand 03 (4)</t>
  </si>
  <si>
    <t>Building 15 (10)</t>
  </si>
  <si>
    <t>mcp_road_part_01</t>
  </si>
  <si>
    <t>Building 18 (4)</t>
  </si>
  <si>
    <t>Building 07 (4)</t>
  </si>
  <si>
    <t>Bannar Stand</t>
  </si>
  <si>
    <t>Building 19</t>
  </si>
  <si>
    <t>Tree 04</t>
  </si>
  <si>
    <t>Tree 04 (1)</t>
  </si>
  <si>
    <t>Floor 02</t>
  </si>
  <si>
    <t>Building 02 (8)</t>
  </si>
  <si>
    <t>Building 15 (33)</t>
  </si>
  <si>
    <t>Building 15 (31)</t>
  </si>
  <si>
    <t>mcp_roads_cross_01</t>
  </si>
  <si>
    <t>Building 01 (9)</t>
  </si>
  <si>
    <t>Building 07 (11)</t>
  </si>
  <si>
    <t>Plane_01 (1)</t>
  </si>
  <si>
    <t>Building 15 (32)</t>
  </si>
  <si>
    <t>mcp_roads_turn_01</t>
  </si>
  <si>
    <t>Building 15 (30)</t>
  </si>
  <si>
    <t>Tree 02 (3)</t>
  </si>
  <si>
    <t>Building 11 (3)</t>
  </si>
  <si>
    <t>Canopi 01 (5)</t>
  </si>
  <si>
    <t>Canopi 01 (4)</t>
  </si>
  <si>
    <t>Building 18 (11)</t>
  </si>
  <si>
    <t>mcp_roads_cross_02</t>
  </si>
  <si>
    <t>Tree 02 (7)</t>
  </si>
  <si>
    <t>Building 01 (1)</t>
  </si>
  <si>
    <t>Building 15 (7)</t>
  </si>
  <si>
    <t>Building 09 (4)</t>
  </si>
  <si>
    <t>Building 13 (1)</t>
  </si>
  <si>
    <t>Building 18 (7)</t>
  </si>
  <si>
    <t>Building 18 (6)</t>
  </si>
  <si>
    <t>mcp_road_part_02 (3)</t>
  </si>
  <si>
    <t>mcp_road_part_02 (2)</t>
  </si>
  <si>
    <t>mcp_road_part_02 (1)</t>
  </si>
  <si>
    <t>Shurbs (1)</t>
  </si>
  <si>
    <t>Building 01</t>
  </si>
  <si>
    <t>Tree 04 (6)</t>
  </si>
  <si>
    <t>Bannar 01F</t>
  </si>
  <si>
    <t>Building 30 (4)</t>
  </si>
  <si>
    <t>Tree 04 (7)</t>
  </si>
  <si>
    <t>Shurbs (3)</t>
  </si>
  <si>
    <t>Shurbs (2)</t>
  </si>
  <si>
    <t>mcp_bus_stop_night_LOD_0</t>
  </si>
  <si>
    <t>Building 07 (15)</t>
  </si>
  <si>
    <t>Building 07 (14)</t>
  </si>
  <si>
    <t>mcp_road_part_02 (6)</t>
  </si>
  <si>
    <t>mcp_road_part_02 (8)</t>
  </si>
  <si>
    <t>mcp_road_part_02 (11)</t>
  </si>
  <si>
    <t>mcp_road_part_02 (10)</t>
  </si>
  <si>
    <t>mcp_road_part_02 (9)</t>
  </si>
  <si>
    <t>mcp_road_part_02 (12)</t>
  </si>
  <si>
    <t>Building 14 (9)</t>
  </si>
  <si>
    <t>Building 23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</si>
</sst>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463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"20190312160601557"</f>
        <v>20190312160601557</v>
      </c>
      <c r="B2" t="str">
        <f>"1552377961544858"</f>
        <v>1552377961544858</v>
      </c>
      <c r="C2" t="s">
        <v>40</v>
      </c>
      <c r="D2">
        <v>5.3385369999999996</v>
      </c>
      <c r="E2">
        <v>0.53889880000000001</v>
      </c>
      <c r="F2" t="s">
        <v>41</v>
      </c>
      <c r="G2">
        <v>0</v>
      </c>
      <c r="H2">
        <v>0</v>
      </c>
      <c r="I2">
        <v>0</v>
      </c>
      <c r="J2">
        <v>-476.5992</v>
      </c>
      <c r="K2">
        <v>1.1097490000000001</v>
      </c>
      <c r="L2">
        <v>367.22070000000002</v>
      </c>
      <c r="M2">
        <v>0.99996810000000003</v>
      </c>
      <c r="N2">
        <v>0</v>
      </c>
      <c r="O2">
        <v>3.5699809999999898E-4</v>
      </c>
      <c r="P2">
        <v>0.99466750000000004</v>
      </c>
      <c r="Q2">
        <v>9.4744709999999996E-2</v>
      </c>
      <c r="R2">
        <v>4.0745280000000002E-2</v>
      </c>
      <c r="S2">
        <v>2.954224</v>
      </c>
      <c r="T2">
        <v>0.72820949999999995</v>
      </c>
      <c r="U2">
        <v>-0.17807010000000001</v>
      </c>
      <c r="V2">
        <v>-4.0404290000000002E-2</v>
      </c>
      <c r="W2">
        <v>0.1026818</v>
      </c>
      <c r="X2">
        <v>0.99389329999999998</v>
      </c>
      <c r="Y2">
        <v>5.8760359999999998E-2</v>
      </c>
      <c r="Z2">
        <v>7.2157999999999996E-3</v>
      </c>
      <c r="AA2">
        <v>0.99824599999999997</v>
      </c>
      <c r="AB2">
        <v>1</v>
      </c>
      <c r="AC2">
        <v>2.954224</v>
      </c>
      <c r="AD2">
        <v>0.72820949999999995</v>
      </c>
      <c r="AE2">
        <v>-0.17807010000000001</v>
      </c>
      <c r="AF2">
        <v>0.16889940718146901</v>
      </c>
      <c r="AG2">
        <v>0.72820949999999995</v>
      </c>
      <c r="AH2">
        <v>2.7855215128566599</v>
      </c>
      <c r="AI2">
        <v>75.374952067060605</v>
      </c>
      <c r="AJ2">
        <v>86.530132842529198</v>
      </c>
      <c r="AK2">
        <v>2.88408498214317</v>
      </c>
      <c r="AL2">
        <v>84.106378355731906</v>
      </c>
      <c r="AM2">
        <v>92.327937292626899</v>
      </c>
      <c r="AN2">
        <v>0.999999975243266</v>
      </c>
    </row>
    <row r="3" spans="1:40" x14ac:dyDescent="0.25">
      <c r="A3" t="str">
        <f>"20190312160601579"</f>
        <v>20190312160601579</v>
      </c>
      <c r="B3" t="str">
        <f>"1552377961575114"</f>
        <v>1552377961575114</v>
      </c>
      <c r="C3" t="s">
        <v>40</v>
      </c>
      <c r="D3">
        <v>5.3163939999999998</v>
      </c>
      <c r="E3">
        <v>0.5386126</v>
      </c>
      <c r="F3" t="s">
        <v>41</v>
      </c>
      <c r="G3">
        <v>0</v>
      </c>
      <c r="H3">
        <v>0</v>
      </c>
      <c r="I3">
        <v>0</v>
      </c>
      <c r="J3">
        <v>-476.59120000000001</v>
      </c>
      <c r="K3">
        <v>1.1099190000000001</v>
      </c>
      <c r="L3">
        <v>367.2208</v>
      </c>
      <c r="M3">
        <v>0.99996580000000002</v>
      </c>
      <c r="N3">
        <v>0</v>
      </c>
      <c r="O3">
        <v>4.1740149999999998E-4</v>
      </c>
      <c r="P3">
        <v>0.99476430000000005</v>
      </c>
      <c r="Q3">
        <v>9.4139890000000004E-2</v>
      </c>
      <c r="R3">
        <v>3.9773959999999997E-2</v>
      </c>
      <c r="S3">
        <v>2.954529</v>
      </c>
      <c r="T3">
        <v>0.72286459999999997</v>
      </c>
      <c r="U3">
        <v>-0.17752079999999901</v>
      </c>
      <c r="V3">
        <v>-3.9367729999999997E-2</v>
      </c>
      <c r="W3">
        <v>0.10234840000000001</v>
      </c>
      <c r="X3">
        <v>0.99396929999999994</v>
      </c>
      <c r="Y3">
        <v>5.8656560000000003E-2</v>
      </c>
      <c r="Z3">
        <v>7.1657259999999999E-3</v>
      </c>
      <c r="AA3">
        <v>0.99825249999999999</v>
      </c>
      <c r="AB3">
        <v>1</v>
      </c>
      <c r="AC3">
        <v>2.954529</v>
      </c>
      <c r="AD3">
        <v>0.72286459999999997</v>
      </c>
      <c r="AE3">
        <v>-0.17752079999999901</v>
      </c>
      <c r="AF3">
        <v>0.16869243027101499</v>
      </c>
      <c r="AG3">
        <v>0.72286459999999997</v>
      </c>
      <c r="AH3">
        <v>2.78815573561574</v>
      </c>
      <c r="AI3">
        <v>75.4907732601866</v>
      </c>
      <c r="AJ3">
        <v>86.537640923789795</v>
      </c>
      <c r="AK3">
        <v>2.8852734310652202</v>
      </c>
      <c r="AL3">
        <v>84.125582038623406</v>
      </c>
      <c r="AM3">
        <v>92.268104703996499</v>
      </c>
      <c r="AN3">
        <v>0.999999991245201</v>
      </c>
    </row>
    <row r="4" spans="1:40" x14ac:dyDescent="0.25">
      <c r="A4" t="str">
        <f>"20190312160601600"</f>
        <v>20190312160601600</v>
      </c>
      <c r="B4" t="str">
        <f>"1552377961595610"</f>
        <v>1552377961595610</v>
      </c>
      <c r="C4" t="s">
        <v>40</v>
      </c>
      <c r="D4">
        <v>5.3170099999999998</v>
      </c>
      <c r="E4">
        <v>0.53846879999999997</v>
      </c>
      <c r="F4" t="s">
        <v>41</v>
      </c>
      <c r="G4">
        <v>0</v>
      </c>
      <c r="H4">
        <v>0</v>
      </c>
      <c r="I4">
        <v>0</v>
      </c>
      <c r="J4">
        <v>-476.57920000000001</v>
      </c>
      <c r="K4">
        <v>1.1097809999999999</v>
      </c>
      <c r="L4">
        <v>367.22089999999997</v>
      </c>
      <c r="M4">
        <v>0.99997219999999998</v>
      </c>
      <c r="N4">
        <v>0</v>
      </c>
      <c r="O4">
        <v>5.3439109999999998E-4</v>
      </c>
      <c r="P4">
        <v>0.99470720000000001</v>
      </c>
      <c r="Q4">
        <v>9.5010769999999994E-2</v>
      </c>
      <c r="R4">
        <v>3.9125899999999998E-2</v>
      </c>
      <c r="S4">
        <v>2.95459</v>
      </c>
      <c r="T4">
        <v>0.72152700000000003</v>
      </c>
      <c r="U4">
        <v>-0.17758180000000001</v>
      </c>
      <c r="V4">
        <v>-3.8604409999999999E-2</v>
      </c>
      <c r="W4">
        <v>0.10240580000000001</v>
      </c>
      <c r="X4">
        <v>0.99399329999999997</v>
      </c>
      <c r="Y4">
        <v>5.8791669999999997E-2</v>
      </c>
      <c r="Z4">
        <v>7.197073E-3</v>
      </c>
      <c r="AA4">
        <v>0.99824429999999997</v>
      </c>
      <c r="AB4">
        <v>1</v>
      </c>
      <c r="AC4">
        <v>2.95459</v>
      </c>
      <c r="AD4">
        <v>0.72152700000000003</v>
      </c>
      <c r="AE4">
        <v>-0.17758180000000001</v>
      </c>
      <c r="AF4">
        <v>0.16911182192612201</v>
      </c>
      <c r="AG4">
        <v>0.72152700000000003</v>
      </c>
      <c r="AH4">
        <v>2.7887807330675298</v>
      </c>
      <c r="AI4">
        <v>75.519715166015899</v>
      </c>
      <c r="AJ4">
        <v>86.5298300377045</v>
      </c>
      <c r="AK4">
        <v>2.88556718812313</v>
      </c>
      <c r="AL4">
        <v>84.122275730844706</v>
      </c>
      <c r="AM4">
        <v>92.224118276701503</v>
      </c>
      <c r="AN4">
        <v>0.99999996439498795</v>
      </c>
    </row>
    <row r="5" spans="1:40" x14ac:dyDescent="0.25">
      <c r="A5" t="str">
        <f>"20190312160601622"</f>
        <v>20190312160601622</v>
      </c>
      <c r="B5" t="str">
        <f>"1552377961615134"</f>
        <v>1552377961615134</v>
      </c>
      <c r="C5" t="s">
        <v>40</v>
      </c>
      <c r="D5">
        <v>5.3013110000000001</v>
      </c>
      <c r="E5">
        <v>0.53813149999999998</v>
      </c>
      <c r="F5" t="s">
        <v>41</v>
      </c>
      <c r="G5">
        <v>0</v>
      </c>
      <c r="H5">
        <v>0</v>
      </c>
      <c r="I5">
        <v>0</v>
      </c>
      <c r="J5">
        <v>-476.56240000000003</v>
      </c>
      <c r="K5">
        <v>1.109542</v>
      </c>
      <c r="L5">
        <v>367.22109999999998</v>
      </c>
      <c r="M5">
        <v>0.99998069999999895</v>
      </c>
      <c r="N5">
        <v>0</v>
      </c>
      <c r="O5">
        <v>7.2141149999999999E-4</v>
      </c>
      <c r="P5">
        <v>0.99464929999999996</v>
      </c>
      <c r="Q5">
        <v>9.5984029999999998E-2</v>
      </c>
      <c r="R5">
        <v>3.8209670000000001E-2</v>
      </c>
      <c r="S5">
        <v>2.9538880000000001</v>
      </c>
      <c r="T5">
        <v>0.72368489999999996</v>
      </c>
      <c r="U5">
        <v>-0.17834469999999999</v>
      </c>
      <c r="V5">
        <v>-3.7504469999999998E-2</v>
      </c>
      <c r="W5">
        <v>0.1021155</v>
      </c>
      <c r="X5">
        <v>0.99406530000000004</v>
      </c>
      <c r="Y5">
        <v>5.9220259999999997E-2</v>
      </c>
      <c r="Z5">
        <v>7.3163949999999998E-3</v>
      </c>
      <c r="AA5">
        <v>0.9982181</v>
      </c>
      <c r="AB5">
        <v>1</v>
      </c>
      <c r="AC5">
        <v>2.9538880000000001</v>
      </c>
      <c r="AD5">
        <v>0.72368489999999996</v>
      </c>
      <c r="AE5">
        <v>-0.17834469999999999</v>
      </c>
      <c r="AF5">
        <v>0.170291536442437</v>
      </c>
      <c r="AG5">
        <v>0.72368489999999996</v>
      </c>
      <c r="AH5">
        <v>2.7870798577591001</v>
      </c>
      <c r="AI5">
        <v>75.470138014660407</v>
      </c>
      <c r="AJ5">
        <v>86.503554909031294</v>
      </c>
      <c r="AK5">
        <v>2.8845334415462101</v>
      </c>
      <c r="AL5">
        <v>84.138996506179794</v>
      </c>
      <c r="AM5">
        <v>92.160651956487001</v>
      </c>
      <c r="AN5">
        <v>0.99999999063716005</v>
      </c>
    </row>
    <row r="6" spans="1:40" x14ac:dyDescent="0.25">
      <c r="A6" t="str">
        <f>"20190312160601645"</f>
        <v>20190312160601645</v>
      </c>
      <c r="B6" t="str">
        <f>"1552377961635627"</f>
        <v>1552377961635627</v>
      </c>
      <c r="C6" t="s">
        <v>40</v>
      </c>
      <c r="D6">
        <v>5.359731</v>
      </c>
      <c r="E6">
        <v>0.53819659999999903</v>
      </c>
      <c r="F6" t="s">
        <v>41</v>
      </c>
      <c r="G6">
        <v>0</v>
      </c>
      <c r="H6">
        <v>0</v>
      </c>
      <c r="I6">
        <v>0</v>
      </c>
      <c r="J6">
        <v>-476.54579999999999</v>
      </c>
      <c r="K6">
        <v>1.109542</v>
      </c>
      <c r="L6">
        <v>367.22129999999999</v>
      </c>
      <c r="M6">
        <v>0.99998310000000001</v>
      </c>
      <c r="N6">
        <v>0</v>
      </c>
      <c r="O6">
        <v>8.8500089999999905E-4</v>
      </c>
      <c r="P6">
        <v>0.99470570000000003</v>
      </c>
      <c r="Q6">
        <v>9.5750189999999999E-2</v>
      </c>
      <c r="R6">
        <v>3.7318549999999999E-2</v>
      </c>
      <c r="S6">
        <v>2.9530029999999998</v>
      </c>
      <c r="T6">
        <v>0.72559819999999997</v>
      </c>
      <c r="U6">
        <v>-0.1784973</v>
      </c>
      <c r="V6">
        <v>-3.6447960000000001E-2</v>
      </c>
      <c r="W6">
        <v>0.1014646</v>
      </c>
      <c r="X6">
        <v>0.99417129999999998</v>
      </c>
      <c r="Y6">
        <v>5.9431560000000001E-2</v>
      </c>
      <c r="Z6">
        <v>7.4024319999999996E-3</v>
      </c>
      <c r="AA6">
        <v>0.99820489999999995</v>
      </c>
      <c r="AB6">
        <v>2</v>
      </c>
      <c r="AC6">
        <v>2.9530029999999998</v>
      </c>
      <c r="AD6">
        <v>0.72559819999999997</v>
      </c>
      <c r="AE6">
        <v>-0.1784973</v>
      </c>
      <c r="AF6">
        <v>0.17083395438478599</v>
      </c>
      <c r="AG6">
        <v>0.72559819999999997</v>
      </c>
      <c r="AH6">
        <v>2.78529121092823</v>
      </c>
      <c r="AI6">
        <v>75.424598612117293</v>
      </c>
      <c r="AJ6">
        <v>86.490198845076307</v>
      </c>
      <c r="AK6">
        <v>2.8833182476944899</v>
      </c>
      <c r="AL6">
        <v>84.176485374442905</v>
      </c>
      <c r="AM6">
        <v>92.099617455835002</v>
      </c>
      <c r="AN6">
        <v>1.0000000462925001</v>
      </c>
    </row>
    <row r="7" spans="1:40" x14ac:dyDescent="0.25">
      <c r="A7" t="str">
        <f>"20190312160601658"</f>
        <v>20190312160601658</v>
      </c>
      <c r="B7" t="str">
        <f>"1552377961654722"</f>
        <v>1552377961654722</v>
      </c>
      <c r="C7" t="s">
        <v>40</v>
      </c>
      <c r="D7">
        <v>5.352417</v>
      </c>
      <c r="E7">
        <v>0.53800740000000002</v>
      </c>
      <c r="F7" t="s">
        <v>41</v>
      </c>
      <c r="G7">
        <v>0</v>
      </c>
      <c r="H7">
        <v>0</v>
      </c>
      <c r="I7">
        <v>0</v>
      </c>
      <c r="J7">
        <v>-476.5378</v>
      </c>
      <c r="K7">
        <v>1.1097030000000001</v>
      </c>
      <c r="L7">
        <v>367.22140000000002</v>
      </c>
      <c r="M7">
        <v>0.9999806</v>
      </c>
      <c r="N7">
        <v>0</v>
      </c>
      <c r="O7">
        <v>9.4167570000000002E-4</v>
      </c>
      <c r="P7">
        <v>0.9948089</v>
      </c>
      <c r="Q7">
        <v>9.4819429999999996E-2</v>
      </c>
      <c r="R7">
        <v>3.6942759999999998E-2</v>
      </c>
      <c r="S7">
        <v>2.9529719999999999</v>
      </c>
      <c r="T7">
        <v>0.72515180000000001</v>
      </c>
      <c r="U7">
        <v>-0.18130489999999999</v>
      </c>
      <c r="V7">
        <v>-3.6011399999999999E-2</v>
      </c>
      <c r="W7">
        <v>0.1009362</v>
      </c>
      <c r="X7">
        <v>0.99424089999999998</v>
      </c>
      <c r="Y7">
        <v>6.0406010000000003E-2</v>
      </c>
      <c r="Z7">
        <v>7.5293699999999996E-3</v>
      </c>
      <c r="AA7">
        <v>0.99814550000000002</v>
      </c>
      <c r="AB7">
        <v>2</v>
      </c>
      <c r="AC7">
        <v>2.9529719999999999</v>
      </c>
      <c r="AD7">
        <v>0.72515180000000001</v>
      </c>
      <c r="AE7">
        <v>-0.18130489999999999</v>
      </c>
      <c r="AF7">
        <v>0.17365312958065701</v>
      </c>
      <c r="AG7">
        <v>0.72515180000000001</v>
      </c>
      <c r="AH7">
        <v>2.7854591218912401</v>
      </c>
      <c r="AI7">
        <v>75.434891188495499</v>
      </c>
      <c r="AJ7">
        <v>86.432641484017793</v>
      </c>
      <c r="AK7">
        <v>2.8835365546813398</v>
      </c>
      <c r="AL7">
        <v>84.206916149567604</v>
      </c>
      <c r="AM7">
        <v>92.074346036780796</v>
      </c>
      <c r="AN7">
        <v>0.99999995231660299</v>
      </c>
    </row>
    <row r="8" spans="1:40" x14ac:dyDescent="0.25">
      <c r="A8" t="str">
        <f>"20190312160601672"</f>
        <v>20190312160601672</v>
      </c>
      <c r="B8" t="str">
        <f>"1552377961665459"</f>
        <v>1552377961665459</v>
      </c>
      <c r="C8" t="s">
        <v>40</v>
      </c>
      <c r="D8">
        <v>5.3781650000000001</v>
      </c>
      <c r="E8">
        <v>0.53803009999999996</v>
      </c>
      <c r="F8" t="s">
        <v>41</v>
      </c>
      <c r="G8">
        <v>0</v>
      </c>
      <c r="H8">
        <v>0</v>
      </c>
      <c r="I8">
        <v>0</v>
      </c>
      <c r="J8">
        <v>-476.5301</v>
      </c>
      <c r="K8">
        <v>1.1100049999999999</v>
      </c>
      <c r="L8">
        <v>367.22149999999999</v>
      </c>
      <c r="M8">
        <v>0.99997400000000003</v>
      </c>
      <c r="N8">
        <v>0</v>
      </c>
      <c r="O8">
        <v>9.7745199999999996E-4</v>
      </c>
      <c r="P8">
        <v>0.99502440000000003</v>
      </c>
      <c r="Q8">
        <v>9.3061690000000002E-2</v>
      </c>
      <c r="R8">
        <v>3.558248E-2</v>
      </c>
      <c r="S8">
        <v>2.9537659999999999</v>
      </c>
      <c r="T8">
        <v>0.72017739999999997</v>
      </c>
      <c r="U8">
        <v>-0.18099979999999999</v>
      </c>
      <c r="V8">
        <v>-3.4606890000000001E-2</v>
      </c>
      <c r="W8">
        <v>0.100188</v>
      </c>
      <c r="X8">
        <v>0.99436650000000004</v>
      </c>
      <c r="Y8">
        <v>6.0348619999999999E-2</v>
      </c>
      <c r="Z8">
        <v>7.47896699999999E-3</v>
      </c>
      <c r="AA8">
        <v>0.99814930000000002</v>
      </c>
      <c r="AB8">
        <v>2</v>
      </c>
      <c r="AC8">
        <v>2.9537659999999999</v>
      </c>
      <c r="AD8">
        <v>0.72017739999999997</v>
      </c>
      <c r="AE8">
        <v>-0.18099979999999999</v>
      </c>
      <c r="AF8">
        <v>0.17360531798762899</v>
      </c>
      <c r="AG8">
        <v>0.72017739999999997</v>
      </c>
      <c r="AH8">
        <v>2.7884443195546802</v>
      </c>
      <c r="AI8">
        <v>75.545366282919105</v>
      </c>
      <c r="AJ8">
        <v>86.437429327895302</v>
      </c>
      <c r="AK8">
        <v>2.8851717482952601</v>
      </c>
      <c r="AL8">
        <v>84.250003572488197</v>
      </c>
      <c r="AM8">
        <v>91.993257773919893</v>
      </c>
      <c r="AN8">
        <v>1.0000000042508601</v>
      </c>
    </row>
    <row r="9" spans="1:40" x14ac:dyDescent="0.25">
      <c r="A9" t="str">
        <f>"20190312160601691"</f>
        <v>20190312160601691</v>
      </c>
      <c r="B9" t="str">
        <f>"1552377961684979"</f>
        <v>1552377961684979</v>
      </c>
      <c r="C9" t="s">
        <v>40</v>
      </c>
      <c r="D9">
        <v>5.4874150000000004</v>
      </c>
      <c r="E9">
        <v>0.53784469999999995</v>
      </c>
      <c r="F9" t="s">
        <v>41</v>
      </c>
      <c r="G9">
        <v>0</v>
      </c>
      <c r="H9">
        <v>0</v>
      </c>
      <c r="I9">
        <v>0</v>
      </c>
      <c r="J9">
        <v>-476.5222</v>
      </c>
      <c r="K9">
        <v>1.110398</v>
      </c>
      <c r="L9">
        <v>367.22160000000002</v>
      </c>
      <c r="M9">
        <v>0.99996149999999995</v>
      </c>
      <c r="N9">
        <v>0</v>
      </c>
      <c r="O9">
        <v>9.8337240000000007E-4</v>
      </c>
      <c r="P9">
        <v>0.99540010000000001</v>
      </c>
      <c r="Q9">
        <v>8.9507829999999997E-2</v>
      </c>
      <c r="R9">
        <v>3.4163489999999998E-2</v>
      </c>
      <c r="S9">
        <v>2.9547729999999999</v>
      </c>
      <c r="T9">
        <v>0.7146846</v>
      </c>
      <c r="U9">
        <v>-0.1855774</v>
      </c>
      <c r="V9">
        <v>-3.3171109999999997E-2</v>
      </c>
      <c r="W9">
        <v>9.8194249999999997E-2</v>
      </c>
      <c r="X9">
        <v>0.99461429999999995</v>
      </c>
      <c r="Y9">
        <v>6.1858799999999999E-2</v>
      </c>
      <c r="Z9">
        <v>7.6020139999999998E-3</v>
      </c>
      <c r="AA9">
        <v>0.9980559</v>
      </c>
      <c r="AB9">
        <v>2</v>
      </c>
      <c r="AC9">
        <v>2.9547729999999999</v>
      </c>
      <c r="AD9">
        <v>0.7146846</v>
      </c>
      <c r="AE9">
        <v>-0.1855774</v>
      </c>
      <c r="AF9">
        <v>0.17810430739733099</v>
      </c>
      <c r="AG9">
        <v>0.7146846</v>
      </c>
      <c r="AH9">
        <v>2.7918956334295602</v>
      </c>
      <c r="AI9">
        <v>75.669373999170503</v>
      </c>
      <c r="AJ9">
        <v>86.349857840959899</v>
      </c>
      <c r="AK9">
        <v>2.8874169165109702</v>
      </c>
      <c r="AL9">
        <v>84.364803284222305</v>
      </c>
      <c r="AM9">
        <v>91.910147910622399</v>
      </c>
      <c r="AN9">
        <v>1.00000001951809</v>
      </c>
    </row>
    <row r="10" spans="1:40" x14ac:dyDescent="0.25">
      <c r="A10" t="str">
        <f>"20190312160601725"</f>
        <v>20190312160601725</v>
      </c>
      <c r="B10" t="str">
        <f>"1552377961715238"</f>
        <v>1552377961715238</v>
      </c>
      <c r="C10" t="s">
        <v>40</v>
      </c>
      <c r="D10">
        <v>5.3756839999999997</v>
      </c>
      <c r="E10">
        <v>0.52294719999999995</v>
      </c>
      <c r="F10" t="s">
        <v>41</v>
      </c>
      <c r="G10">
        <v>0</v>
      </c>
      <c r="H10">
        <v>0</v>
      </c>
      <c r="I10">
        <v>0</v>
      </c>
      <c r="J10">
        <v>-476.49880000000002</v>
      </c>
      <c r="K10">
        <v>1.1101219999999901</v>
      </c>
      <c r="L10">
        <v>367.2217</v>
      </c>
      <c r="M10">
        <v>0.99996700000000005</v>
      </c>
      <c r="N10">
        <v>0</v>
      </c>
      <c r="O10">
        <v>1.0953180000000001E-3</v>
      </c>
      <c r="P10">
        <v>0.99554739999999997</v>
      </c>
      <c r="Q10">
        <v>8.8614460000000006E-2</v>
      </c>
      <c r="R10">
        <v>3.2145649999999998E-2</v>
      </c>
      <c r="S10">
        <v>2.9575809999999998</v>
      </c>
      <c r="T10">
        <v>0.69791709999999996</v>
      </c>
      <c r="U10">
        <v>-0.18856809999999999</v>
      </c>
      <c r="V10">
        <v>-3.1047720000000001E-2</v>
      </c>
      <c r="W10">
        <v>9.6645729999999999E-2</v>
      </c>
      <c r="X10">
        <v>0.99483449999999995</v>
      </c>
      <c r="Y10">
        <v>6.2968919999999998E-2</v>
      </c>
      <c r="Z10">
        <v>7.5765149999999998E-3</v>
      </c>
      <c r="AA10">
        <v>0.9979867</v>
      </c>
      <c r="AB10">
        <v>1</v>
      </c>
      <c r="AC10">
        <v>2.9575809999999998</v>
      </c>
      <c r="AD10">
        <v>0.69791709999999996</v>
      </c>
      <c r="AE10">
        <v>-0.18856809999999999</v>
      </c>
      <c r="AF10">
        <v>0.181729059786923</v>
      </c>
      <c r="AG10">
        <v>0.69791709999999996</v>
      </c>
      <c r="AH10">
        <v>2.8019776178590199</v>
      </c>
      <c r="AI10">
        <v>76.041545809191504</v>
      </c>
      <c r="AJ10">
        <v>86.289140544945198</v>
      </c>
      <c r="AK10">
        <v>2.8933012806526599</v>
      </c>
      <c r="AL10">
        <v>84.453950999636604</v>
      </c>
      <c r="AM10">
        <v>91.787559747657596</v>
      </c>
      <c r="AN10">
        <v>1.00000002021734</v>
      </c>
    </row>
    <row r="11" spans="1:40" x14ac:dyDescent="0.25">
      <c r="A11" t="str">
        <f>"20190312160601747"</f>
        <v>20190312160601747</v>
      </c>
      <c r="B11" t="str">
        <f>"1552377961734755"</f>
        <v>1552377961734755</v>
      </c>
      <c r="C11" t="s">
        <v>40</v>
      </c>
      <c r="D11">
        <v>5.4895860000000001</v>
      </c>
      <c r="E11">
        <v>0.52464500000000003</v>
      </c>
      <c r="F11" t="s">
        <v>42</v>
      </c>
      <c r="G11">
        <v>-158.19499999999999</v>
      </c>
      <c r="H11">
        <v>51.451450000000001</v>
      </c>
      <c r="I11">
        <v>358.50470000000001</v>
      </c>
      <c r="J11">
        <v>-476.48</v>
      </c>
      <c r="K11">
        <v>1.1098140000000001</v>
      </c>
      <c r="L11">
        <v>367.22190000000001</v>
      </c>
      <c r="M11">
        <v>0.99997510000000001</v>
      </c>
      <c r="N11">
        <v>0</v>
      </c>
      <c r="O11">
        <v>1.256362E-3</v>
      </c>
      <c r="P11">
        <v>0.99547640000000004</v>
      </c>
      <c r="Q11">
        <v>8.9405479999999996E-2</v>
      </c>
      <c r="R11">
        <v>3.2154250000000002E-2</v>
      </c>
      <c r="S11">
        <v>2.9742130000000002</v>
      </c>
      <c r="T11">
        <v>0.4703871</v>
      </c>
      <c r="U11">
        <v>-8.1451419999999997E-2</v>
      </c>
      <c r="V11">
        <v>-3.0904000000000001E-2</v>
      </c>
      <c r="W11">
        <v>9.6325839999999996E-2</v>
      </c>
      <c r="X11">
        <v>0.99487000000000003</v>
      </c>
      <c r="Y11">
        <v>2.8264850000000001E-2</v>
      </c>
      <c r="Z11">
        <v>2.4183450000000001E-3</v>
      </c>
      <c r="AA11">
        <v>0.99959750000000003</v>
      </c>
      <c r="AB11">
        <v>1</v>
      </c>
      <c r="AC11">
        <v>318.28500000000003</v>
      </c>
      <c r="AD11">
        <v>50.341636000000001</v>
      </c>
      <c r="AE11">
        <v>-8.7171999999999894</v>
      </c>
      <c r="AF11">
        <v>8.8947376915172907</v>
      </c>
      <c r="AG11">
        <v>50.341636000000001</v>
      </c>
      <c r="AH11">
        <v>310.51177689744497</v>
      </c>
      <c r="AI11">
        <v>80.794774843670893</v>
      </c>
      <c r="AJ11">
        <v>88.359187502989002</v>
      </c>
      <c r="AK11">
        <v>314.69184969707499</v>
      </c>
      <c r="AL11">
        <v>84.472365263658403</v>
      </c>
      <c r="AM11">
        <v>91.779227009133393</v>
      </c>
      <c r="AN11">
        <v>1.00000002078385</v>
      </c>
    </row>
    <row r="12" spans="1:40" x14ac:dyDescent="0.25">
      <c r="A12" t="str">
        <f>"20190312160601768"</f>
        <v>20190312160601768</v>
      </c>
      <c r="B12" t="str">
        <f>"1552377961754874"</f>
        <v>1552377961754874</v>
      </c>
      <c r="C12" t="s">
        <v>40</v>
      </c>
      <c r="D12">
        <v>5.4790469999999996</v>
      </c>
      <c r="E12">
        <v>0.52648680000000003</v>
      </c>
      <c r="F12" t="s">
        <v>42</v>
      </c>
      <c r="G12">
        <v>-158.19499999999999</v>
      </c>
      <c r="H12">
        <v>43.087960000000002</v>
      </c>
      <c r="I12">
        <v>356.88150000000002</v>
      </c>
      <c r="J12">
        <v>-476.45859999999999</v>
      </c>
      <c r="K12">
        <v>1.1096109999999999</v>
      </c>
      <c r="L12">
        <v>367.22210000000001</v>
      </c>
      <c r="M12">
        <v>0.99998100000000001</v>
      </c>
      <c r="N12">
        <v>0</v>
      </c>
      <c r="O12">
        <v>1.4782199999999999E-3</v>
      </c>
      <c r="P12">
        <v>0.99544650000000001</v>
      </c>
      <c r="Q12">
        <v>8.9621039999999999E-2</v>
      </c>
      <c r="R12">
        <v>3.2474679999999999E-2</v>
      </c>
      <c r="S12">
        <v>2.981506</v>
      </c>
      <c r="T12">
        <v>0.3932272</v>
      </c>
      <c r="U12">
        <v>-9.6862790000000004E-2</v>
      </c>
      <c r="V12">
        <v>-3.1012930000000001E-2</v>
      </c>
      <c r="W12">
        <v>9.5595849999999996E-2</v>
      </c>
      <c r="X12">
        <v>0.99493699999999996</v>
      </c>
      <c r="Y12">
        <v>3.3644340000000002E-2</v>
      </c>
      <c r="Z12">
        <v>2.4025890000000001E-3</v>
      </c>
      <c r="AA12">
        <v>0.99943099999999996</v>
      </c>
      <c r="AB12">
        <v>2</v>
      </c>
      <c r="AC12">
        <v>318.2636</v>
      </c>
      <c r="AD12">
        <v>41.978349000000001</v>
      </c>
      <c r="AE12">
        <v>-10.340599999999901</v>
      </c>
      <c r="AF12">
        <v>10.626387410426201</v>
      </c>
      <c r="AG12">
        <v>41.978349000000001</v>
      </c>
      <c r="AH12">
        <v>312.811690006096</v>
      </c>
      <c r="AI12">
        <v>82.361103780439805</v>
      </c>
      <c r="AJ12">
        <v>88.054378629029301</v>
      </c>
      <c r="AK12">
        <v>315.79464102266201</v>
      </c>
      <c r="AL12">
        <v>84.514384416174707</v>
      </c>
      <c r="AM12">
        <v>91.785374193036205</v>
      </c>
      <c r="AN12">
        <v>1.0000000011667001</v>
      </c>
    </row>
    <row r="13" spans="1:40" x14ac:dyDescent="0.25">
      <c r="A13" t="str">
        <f>"20190312160601790"</f>
        <v>20190312160601790</v>
      </c>
      <c r="B13" t="str">
        <f>"1552377961785131"</f>
        <v>1552377961785131</v>
      </c>
      <c r="C13" t="s">
        <v>40</v>
      </c>
      <c r="D13">
        <v>5.3385550000000004</v>
      </c>
      <c r="E13">
        <v>0.53258269999999996</v>
      </c>
      <c r="F13" t="s">
        <v>42</v>
      </c>
      <c r="G13">
        <v>-158.19499999999999</v>
      </c>
      <c r="H13">
        <v>38.332700000000003</v>
      </c>
      <c r="I13">
        <v>355.32679999999999</v>
      </c>
      <c r="J13">
        <v>-476.43740000000003</v>
      </c>
      <c r="K13">
        <v>1.109691</v>
      </c>
      <c r="L13">
        <v>367.22230000000002</v>
      </c>
      <c r="M13">
        <v>0.99998039999999999</v>
      </c>
      <c r="N13">
        <v>0</v>
      </c>
      <c r="O13">
        <v>1.6646339999999999E-3</v>
      </c>
      <c r="P13">
        <v>0.99552560000000001</v>
      </c>
      <c r="Q13">
        <v>8.8290809999999997E-2</v>
      </c>
      <c r="R13">
        <v>3.3673950000000001E-2</v>
      </c>
      <c r="S13">
        <v>2.9859619999999998</v>
      </c>
      <c r="T13">
        <v>0.34922920000000002</v>
      </c>
      <c r="U13">
        <v>-0.1116028</v>
      </c>
      <c r="V13">
        <v>-3.2029759999999997E-2</v>
      </c>
      <c r="W13">
        <v>9.4307089999999996E-2</v>
      </c>
      <c r="X13">
        <v>0.99502780000000002</v>
      </c>
      <c r="Y13">
        <v>3.8738189999999999E-2</v>
      </c>
      <c r="Z13">
        <v>2.4508450000000001E-3</v>
      </c>
      <c r="AA13">
        <v>0.99924639999999998</v>
      </c>
      <c r="AB13">
        <v>2</v>
      </c>
      <c r="AC13">
        <v>318.24239999999998</v>
      </c>
      <c r="AD13">
        <v>37.223008999999998</v>
      </c>
      <c r="AE13">
        <v>-11.8955</v>
      </c>
      <c r="AF13">
        <v>12.2577896733034</v>
      </c>
      <c r="AG13">
        <v>37.223008999999998</v>
      </c>
      <c r="AH13">
        <v>313.93333577789099</v>
      </c>
      <c r="AI13">
        <v>83.243123139499801</v>
      </c>
      <c r="AJ13">
        <v>87.763974235782499</v>
      </c>
      <c r="AK13">
        <v>316.369949772925</v>
      </c>
      <c r="AL13">
        <v>84.588560207334496</v>
      </c>
      <c r="AM13">
        <v>91.843703866930994</v>
      </c>
      <c r="AN13">
        <v>1.0000000277613801</v>
      </c>
    </row>
    <row r="14" spans="1:40" x14ac:dyDescent="0.25">
      <c r="A14" t="str">
        <f>"20190312160601813"</f>
        <v>20190312160601813</v>
      </c>
      <c r="B14" t="str">
        <f>"1552377961805626"</f>
        <v>1552377961805626</v>
      </c>
      <c r="C14" t="s">
        <v>40</v>
      </c>
      <c r="D14">
        <v>5.4153089999999997</v>
      </c>
      <c r="E14">
        <v>0.53218330000000003</v>
      </c>
      <c r="F14" t="s">
        <v>41</v>
      </c>
      <c r="G14">
        <v>0</v>
      </c>
      <c r="H14">
        <v>0</v>
      </c>
      <c r="I14">
        <v>0</v>
      </c>
      <c r="J14">
        <v>-476.41890000000001</v>
      </c>
      <c r="K14">
        <v>1.110085</v>
      </c>
      <c r="L14">
        <v>367.2226</v>
      </c>
      <c r="M14">
        <v>0.9999709</v>
      </c>
      <c r="N14">
        <v>0</v>
      </c>
      <c r="O14">
        <v>1.768894E-3</v>
      </c>
      <c r="P14">
        <v>0.99587360000000003</v>
      </c>
      <c r="Q14">
        <v>8.3996829999999995E-2</v>
      </c>
      <c r="R14">
        <v>3.4357699999999998E-2</v>
      </c>
      <c r="S14">
        <v>3.0080870000000002</v>
      </c>
      <c r="T14">
        <v>0.123183</v>
      </c>
      <c r="U14">
        <v>-0.162384</v>
      </c>
      <c r="V14">
        <v>-3.2601329999999998E-2</v>
      </c>
      <c r="W14">
        <v>9.1401930000000006E-2</v>
      </c>
      <c r="X14">
        <v>0.99528030000000001</v>
      </c>
      <c r="Y14">
        <v>5.5622329999999998E-2</v>
      </c>
      <c r="Z14">
        <v>1.2099369999999999E-3</v>
      </c>
      <c r="AA14">
        <v>0.99845119999999998</v>
      </c>
      <c r="AB14">
        <v>2</v>
      </c>
      <c r="AC14">
        <v>3.0080870000000002</v>
      </c>
      <c r="AD14">
        <v>0.123183</v>
      </c>
      <c r="AE14">
        <v>-0.162384</v>
      </c>
      <c r="AF14">
        <v>0.16742493163932901</v>
      </c>
      <c r="AG14">
        <v>0.123183</v>
      </c>
      <c r="AH14">
        <v>3.0027741672740902</v>
      </c>
      <c r="AI14">
        <v>87.654507640945596</v>
      </c>
      <c r="AJ14">
        <v>86.808677826590795</v>
      </c>
      <c r="AK14">
        <v>3.0099597769525102</v>
      </c>
      <c r="AL14">
        <v>84.755735867688799</v>
      </c>
      <c r="AM14">
        <v>91.876105639439501</v>
      </c>
      <c r="AN14">
        <v>1.00000001754679</v>
      </c>
    </row>
    <row r="15" spans="1:40" x14ac:dyDescent="0.25">
      <c r="A15" t="str">
        <f>"20190312160601835"</f>
        <v>20190312160601835</v>
      </c>
      <c r="B15" t="str">
        <f>"1552377961825150"</f>
        <v>1552377961825150</v>
      </c>
      <c r="C15" t="s">
        <v>40</v>
      </c>
      <c r="D15">
        <v>5.390288</v>
      </c>
      <c r="E15">
        <v>0.53226719999999905</v>
      </c>
      <c r="F15" t="s">
        <v>43</v>
      </c>
      <c r="G15">
        <v>-325.64569999999998</v>
      </c>
      <c r="H15">
        <v>8.3104060000000004</v>
      </c>
      <c r="I15">
        <v>359.37849999999997</v>
      </c>
      <c r="J15">
        <v>-476.39699999999999</v>
      </c>
      <c r="K15">
        <v>1.1099619999999999</v>
      </c>
      <c r="L15">
        <v>367.22280000000001</v>
      </c>
      <c r="M15">
        <v>0.99997259999999999</v>
      </c>
      <c r="N15">
        <v>0</v>
      </c>
      <c r="O15">
        <v>1.9235109999999999E-3</v>
      </c>
      <c r="P15">
        <v>0.99608909999999995</v>
      </c>
      <c r="Q15">
        <v>8.1138909999999995E-2</v>
      </c>
      <c r="R15">
        <v>3.4976069999999998E-2</v>
      </c>
      <c r="S15">
        <v>3.0057070000000001</v>
      </c>
      <c r="T15">
        <v>0.14354220000000001</v>
      </c>
      <c r="U15">
        <v>-0.15637210000000001</v>
      </c>
      <c r="V15">
        <v>-3.3067329999999999E-2</v>
      </c>
      <c r="W15">
        <v>8.8249949999999994E-2</v>
      </c>
      <c r="X15">
        <v>0.99554929999999997</v>
      </c>
      <c r="Y15">
        <v>5.3812310000000002E-2</v>
      </c>
      <c r="Z15">
        <v>1.3750959999999999E-3</v>
      </c>
      <c r="AA15">
        <v>0.9985501</v>
      </c>
      <c r="AB15">
        <v>2</v>
      </c>
      <c r="AC15">
        <v>150.75129999999999</v>
      </c>
      <c r="AD15">
        <v>7.2004440000000001</v>
      </c>
      <c r="AE15">
        <v>-7.8443000000000298</v>
      </c>
      <c r="AF15">
        <v>8.1157995058047696</v>
      </c>
      <c r="AG15">
        <v>7.2004440000000001</v>
      </c>
      <c r="AH15">
        <v>150.393754256184</v>
      </c>
      <c r="AI15">
        <v>87.262903344819506</v>
      </c>
      <c r="AJ15">
        <v>86.911105283294106</v>
      </c>
      <c r="AK15">
        <v>150.784594420932</v>
      </c>
      <c r="AL15">
        <v>84.937063800340894</v>
      </c>
      <c r="AM15">
        <v>91.902389128929997</v>
      </c>
      <c r="AN15">
        <v>0.999999955359409</v>
      </c>
    </row>
    <row r="16" spans="1:40" x14ac:dyDescent="0.25">
      <c r="A16" t="str">
        <f>"20190312160601857"</f>
        <v>20190312160601857</v>
      </c>
      <c r="B16" t="str">
        <f>"1552377961844922"</f>
        <v>1552377961844922</v>
      </c>
      <c r="C16" t="s">
        <v>40</v>
      </c>
      <c r="D16">
        <v>6.3705590000000001</v>
      </c>
      <c r="E16">
        <v>0.525057</v>
      </c>
      <c r="F16" t="s">
        <v>41</v>
      </c>
      <c r="G16">
        <v>0</v>
      </c>
      <c r="H16">
        <v>0</v>
      </c>
      <c r="I16">
        <v>0</v>
      </c>
      <c r="J16">
        <v>-476.37150000000003</v>
      </c>
      <c r="K16">
        <v>1.109653</v>
      </c>
      <c r="L16">
        <v>367.22309999999999</v>
      </c>
      <c r="M16">
        <v>0.99997970000000003</v>
      </c>
      <c r="N16">
        <v>0</v>
      </c>
      <c r="O16">
        <v>2.1600619999999999E-3</v>
      </c>
      <c r="P16">
        <v>0.99605410000000005</v>
      </c>
      <c r="Q16">
        <v>8.1189360000000002E-2</v>
      </c>
      <c r="R16">
        <v>3.5841089999999999E-2</v>
      </c>
      <c r="S16">
        <v>3.0046689999999998</v>
      </c>
      <c r="T16">
        <v>0.15383339999999901</v>
      </c>
      <c r="U16">
        <v>-0.15444949999999999</v>
      </c>
      <c r="V16">
        <v>-3.3699060000000003E-2</v>
      </c>
      <c r="W16">
        <v>8.7170269999999994E-2</v>
      </c>
      <c r="X16">
        <v>0.99562329999999999</v>
      </c>
      <c r="Y16">
        <v>5.3419899999999999E-2</v>
      </c>
      <c r="Z16">
        <v>1.4761539999999999E-3</v>
      </c>
      <c r="AA16">
        <v>0.99857099999999999</v>
      </c>
      <c r="AB16">
        <v>2</v>
      </c>
      <c r="AC16">
        <v>3.0046689999999998</v>
      </c>
      <c r="AD16">
        <v>0.15383339999999901</v>
      </c>
      <c r="AE16">
        <v>-0.15444949999999999</v>
      </c>
      <c r="AF16">
        <v>0.16051987415732499</v>
      </c>
      <c r="AG16">
        <v>0.15383339999999901</v>
      </c>
      <c r="AH16">
        <v>2.9964945095286701</v>
      </c>
      <c r="AI16">
        <v>87.065341807910997</v>
      </c>
      <c r="AJ16">
        <v>86.933640668147206</v>
      </c>
      <c r="AK16">
        <v>3.0047313840991698</v>
      </c>
      <c r="AL16">
        <v>84.999164565334894</v>
      </c>
      <c r="AM16">
        <v>91.938561585829603</v>
      </c>
      <c r="AN16">
        <v>1.0000000190598199</v>
      </c>
    </row>
    <row r="17" spans="1:40" x14ac:dyDescent="0.25">
      <c r="A17" t="str">
        <f>"20190312160601882"</f>
        <v>20190312160601882</v>
      </c>
      <c r="B17" t="str">
        <f>"1552377961875178"</f>
        <v>1552377961875178</v>
      </c>
      <c r="C17" t="s">
        <v>40</v>
      </c>
      <c r="D17">
        <v>5.3401399999999999</v>
      </c>
      <c r="E17">
        <v>0.5320262</v>
      </c>
      <c r="F17" t="s">
        <v>42</v>
      </c>
      <c r="G17">
        <v>-158.19499999999999</v>
      </c>
      <c r="H17">
        <v>30.594049999999999</v>
      </c>
      <c r="I17">
        <v>357.51159999999999</v>
      </c>
      <c r="J17">
        <v>-476.33909999999997</v>
      </c>
      <c r="K17">
        <v>1.1094120000000001</v>
      </c>
      <c r="L17">
        <v>367.2235</v>
      </c>
      <c r="M17">
        <v>0.99998520000000002</v>
      </c>
      <c r="N17">
        <v>0</v>
      </c>
      <c r="O17">
        <v>2.4968059999999999E-3</v>
      </c>
      <c r="P17">
        <v>0.99594320000000003</v>
      </c>
      <c r="Q17">
        <v>8.2374299999999998E-2</v>
      </c>
      <c r="R17">
        <v>3.622276E-2</v>
      </c>
      <c r="S17">
        <v>2.9925229999999998</v>
      </c>
      <c r="T17">
        <v>0.2773082</v>
      </c>
      <c r="U17">
        <v>-9.1339110000000001E-2</v>
      </c>
      <c r="V17">
        <v>-3.3750710000000003E-2</v>
      </c>
      <c r="W17">
        <v>8.7206859999999997E-2</v>
      </c>
      <c r="X17">
        <v>0.99561829999999996</v>
      </c>
      <c r="Y17">
        <v>3.28525E-2</v>
      </c>
      <c r="Z17">
        <v>1.7493949999999999E-3</v>
      </c>
      <c r="AA17">
        <v>0.99945870000000003</v>
      </c>
      <c r="AB17">
        <v>3</v>
      </c>
      <c r="AC17">
        <v>318.14409999999998</v>
      </c>
      <c r="AD17">
        <v>29.484638</v>
      </c>
      <c r="AE17">
        <v>-9.7119000000000106</v>
      </c>
      <c r="AF17">
        <v>10.4168359419753</v>
      </c>
      <c r="AG17">
        <v>29.484638</v>
      </c>
      <c r="AH17">
        <v>315.41229747383801</v>
      </c>
      <c r="AI17">
        <v>84.662422365801405</v>
      </c>
      <c r="AJ17">
        <v>88.108431769803303</v>
      </c>
      <c r="AK17">
        <v>316.95862781561601</v>
      </c>
      <c r="AL17">
        <v>84.997059867985101</v>
      </c>
      <c r="AM17">
        <v>91.941540258258897</v>
      </c>
      <c r="AN17">
        <v>0.99999997307572597</v>
      </c>
    </row>
    <row r="18" spans="1:40" x14ac:dyDescent="0.25">
      <c r="A18" t="str">
        <f>"20190312160601904"</f>
        <v>20190312160601904</v>
      </c>
      <c r="B18" t="str">
        <f>"1552377961894699"</f>
        <v>1552377961894699</v>
      </c>
      <c r="C18" t="s">
        <v>40</v>
      </c>
      <c r="D18">
        <v>5.191071</v>
      </c>
      <c r="E18">
        <v>0.53305800000000003</v>
      </c>
      <c r="F18" t="s">
        <v>42</v>
      </c>
      <c r="G18">
        <v>-158.78319999999999</v>
      </c>
      <c r="H18">
        <v>22.63485</v>
      </c>
      <c r="I18">
        <v>351.5729</v>
      </c>
      <c r="J18">
        <v>-476.3091</v>
      </c>
      <c r="K18">
        <v>1.1094820000000001</v>
      </c>
      <c r="L18">
        <v>367.22379999999998</v>
      </c>
      <c r="M18">
        <v>0.9999846</v>
      </c>
      <c r="N18">
        <v>0</v>
      </c>
      <c r="O18">
        <v>2.7900780000000001E-3</v>
      </c>
      <c r="P18">
        <v>0.99593129999999996</v>
      </c>
      <c r="Q18">
        <v>8.2184199999999999E-2</v>
      </c>
      <c r="R18">
        <v>3.6965980000000002E-2</v>
      </c>
      <c r="S18">
        <v>3.000702</v>
      </c>
      <c r="T18">
        <v>0.20340250000000001</v>
      </c>
      <c r="U18">
        <v>-0.1478882</v>
      </c>
      <c r="V18">
        <v>-3.4201509999999997E-2</v>
      </c>
      <c r="W18">
        <v>8.6955580000000005E-2</v>
      </c>
      <c r="X18">
        <v>0.99562490000000003</v>
      </c>
      <c r="Y18">
        <v>5.1886149999999999E-2</v>
      </c>
      <c r="Z18">
        <v>1.9442730000000001E-3</v>
      </c>
      <c r="AA18">
        <v>0.99865110000000001</v>
      </c>
      <c r="AB18">
        <v>3</v>
      </c>
      <c r="AC18">
        <v>317.52589999999998</v>
      </c>
      <c r="AD18">
        <v>21.525368</v>
      </c>
      <c r="AE18">
        <v>-15.650899999999901</v>
      </c>
      <c r="AF18">
        <v>16.461304966745502</v>
      </c>
      <c r="AG18">
        <v>21.525368</v>
      </c>
      <c r="AH18">
        <v>316.03215680980099</v>
      </c>
      <c r="AI18">
        <v>86.108785534803999</v>
      </c>
      <c r="AJ18">
        <v>87.018304309837205</v>
      </c>
      <c r="AK18">
        <v>317.191803435395</v>
      </c>
      <c r="AL18">
        <v>85.0115120814569</v>
      </c>
      <c r="AM18">
        <v>91.967439659396405</v>
      </c>
      <c r="AN18">
        <v>0.99999997883971303</v>
      </c>
    </row>
    <row r="19" spans="1:40" x14ac:dyDescent="0.25">
      <c r="A19" t="str">
        <f>"20190312160601924"</f>
        <v>20190312160601924</v>
      </c>
      <c r="B19" t="str">
        <f>"1552377961915196"</f>
        <v>1552377961915196</v>
      </c>
      <c r="C19" t="s">
        <v>40</v>
      </c>
      <c r="D19">
        <v>5.297682</v>
      </c>
      <c r="E19">
        <v>0.53331149999999905</v>
      </c>
      <c r="F19" t="s">
        <v>41</v>
      </c>
      <c r="G19">
        <v>0</v>
      </c>
      <c r="H19">
        <v>0</v>
      </c>
      <c r="I19">
        <v>0</v>
      </c>
      <c r="J19">
        <v>-476.2817</v>
      </c>
      <c r="K19">
        <v>1.109621</v>
      </c>
      <c r="L19">
        <v>367.2242</v>
      </c>
      <c r="M19">
        <v>0.99998240000000005</v>
      </c>
      <c r="N19">
        <v>0</v>
      </c>
      <c r="O19">
        <v>3.0242450000000001E-3</v>
      </c>
      <c r="P19">
        <v>0.9958842</v>
      </c>
      <c r="Q19">
        <v>8.2147220000000007E-2</v>
      </c>
      <c r="R19">
        <v>3.8296740000000003E-2</v>
      </c>
      <c r="S19">
        <v>3.0042420000000001</v>
      </c>
      <c r="T19">
        <v>0.16632249999999901</v>
      </c>
      <c r="U19">
        <v>-0.15475459999999999</v>
      </c>
      <c r="V19">
        <v>-3.5297269999999999E-2</v>
      </c>
      <c r="W19">
        <v>8.7247240000000004E-2</v>
      </c>
      <c r="X19">
        <v>0.99556120000000004</v>
      </c>
      <c r="Y19">
        <v>5.4376220000000003E-2</v>
      </c>
      <c r="Z19">
        <v>1.6702539999999999E-3</v>
      </c>
      <c r="AA19">
        <v>0.99851909999999999</v>
      </c>
      <c r="AB19">
        <v>3</v>
      </c>
      <c r="AC19">
        <v>3.0042420000000001</v>
      </c>
      <c r="AD19">
        <v>0.16632249999999901</v>
      </c>
      <c r="AE19">
        <v>-0.15475459999999999</v>
      </c>
      <c r="AF19">
        <v>0.163340259556333</v>
      </c>
      <c r="AG19">
        <v>0.16632249999999901</v>
      </c>
      <c r="AH19">
        <v>2.9946060263454499</v>
      </c>
      <c r="AI19">
        <v>86.825727479010396</v>
      </c>
      <c r="AJ19">
        <v>86.877905541142397</v>
      </c>
      <c r="AK19">
        <v>3.0036658381755199</v>
      </c>
      <c r="AL19">
        <v>84.9947377507997</v>
      </c>
      <c r="AM19">
        <v>92.030551047203303</v>
      </c>
      <c r="AN19">
        <v>1.0000000405512499</v>
      </c>
    </row>
    <row r="20" spans="1:40" x14ac:dyDescent="0.25">
      <c r="A20" t="str">
        <f>"20190312160601947"</f>
        <v>20190312160601947</v>
      </c>
      <c r="B20" t="str">
        <f>"1552377961934714"</f>
        <v>1552377961934714</v>
      </c>
      <c r="C20" t="s">
        <v>40</v>
      </c>
      <c r="D20">
        <v>5.3233319999999997</v>
      </c>
      <c r="E20">
        <v>0.5335472</v>
      </c>
      <c r="F20" t="s">
        <v>42</v>
      </c>
      <c r="G20">
        <v>-158.78319999999999</v>
      </c>
      <c r="H20">
        <v>20.447610000000001</v>
      </c>
      <c r="I20">
        <v>351.11189999999999</v>
      </c>
      <c r="J20">
        <v>-476.24939999999998</v>
      </c>
      <c r="K20">
        <v>1.1094949999999999</v>
      </c>
      <c r="L20">
        <v>367.22469999999998</v>
      </c>
      <c r="M20">
        <v>0.99998430000000005</v>
      </c>
      <c r="N20">
        <v>0</v>
      </c>
      <c r="O20">
        <v>3.3205700000000001E-3</v>
      </c>
      <c r="P20">
        <v>0.99580679999999999</v>
      </c>
      <c r="Q20">
        <v>8.2451570000000002E-2</v>
      </c>
      <c r="R20">
        <v>3.9636030000000003E-2</v>
      </c>
      <c r="S20">
        <v>3.003174</v>
      </c>
      <c r="T20">
        <v>0.182916</v>
      </c>
      <c r="U20">
        <v>-0.15240479999999901</v>
      </c>
      <c r="V20">
        <v>-3.6343979999999998E-2</v>
      </c>
      <c r="W20">
        <v>8.6957480000000004E-2</v>
      </c>
      <c r="X20">
        <v>0.99554880000000001</v>
      </c>
      <c r="Y20">
        <v>5.3892990000000002E-2</v>
      </c>
      <c r="Z20">
        <v>1.8406119999999999E-3</v>
      </c>
      <c r="AA20">
        <v>0.99854500000000002</v>
      </c>
      <c r="AB20">
        <v>3</v>
      </c>
      <c r="AC20">
        <v>317.46620000000001</v>
      </c>
      <c r="AD20">
        <v>19.338114999999998</v>
      </c>
      <c r="AE20">
        <v>-16.112799999999901</v>
      </c>
      <c r="AF20">
        <v>17.103590708044202</v>
      </c>
      <c r="AG20">
        <v>19.338114999999998</v>
      </c>
      <c r="AH20">
        <v>316.24054760761402</v>
      </c>
      <c r="AI20">
        <v>86.505813388237698</v>
      </c>
      <c r="AJ20">
        <v>86.904224494542106</v>
      </c>
      <c r="AK20">
        <v>317.292577061023</v>
      </c>
      <c r="AL20">
        <v>85.011402664793593</v>
      </c>
      <c r="AM20">
        <v>92.090738631372005</v>
      </c>
      <c r="AN20">
        <v>0.99999995069581404</v>
      </c>
    </row>
    <row r="21" spans="1:40" x14ac:dyDescent="0.25">
      <c r="A21" t="str">
        <f>"20190312160601968"</f>
        <v>20190312160601968</v>
      </c>
      <c r="B21" t="str">
        <f>"1552377961964971"</f>
        <v>1552377961964971</v>
      </c>
      <c r="C21" t="s">
        <v>40</v>
      </c>
      <c r="D21">
        <v>5.3755509999999997</v>
      </c>
      <c r="E21">
        <v>0.53433310000000001</v>
      </c>
      <c r="F21" t="s">
        <v>42</v>
      </c>
      <c r="G21">
        <v>-158.78319999999999</v>
      </c>
      <c r="H21">
        <v>21.192599999999999</v>
      </c>
      <c r="I21">
        <v>351.33170000000001</v>
      </c>
      <c r="J21">
        <v>-476.21230000000003</v>
      </c>
      <c r="K21">
        <v>1.1092869999999999</v>
      </c>
      <c r="L21">
        <v>367.22519999999997</v>
      </c>
      <c r="M21">
        <v>0.99998690000000001</v>
      </c>
      <c r="N21">
        <v>0</v>
      </c>
      <c r="O21">
        <v>3.6905639999999999E-3</v>
      </c>
      <c r="P21">
        <v>0.99569730000000001</v>
      </c>
      <c r="Q21">
        <v>8.306036E-2</v>
      </c>
      <c r="R21">
        <v>4.1087119999999998E-2</v>
      </c>
      <c r="S21">
        <v>3.002869</v>
      </c>
      <c r="T21">
        <v>0.1899641</v>
      </c>
      <c r="U21">
        <v>-0.15032960000000001</v>
      </c>
      <c r="V21">
        <v>-3.7430289999999998E-2</v>
      </c>
      <c r="W21">
        <v>8.6612129999999996E-2</v>
      </c>
      <c r="X21">
        <v>0.9955387</v>
      </c>
      <c r="Y21">
        <v>5.357083E-2</v>
      </c>
      <c r="Z21">
        <v>1.924816E-3</v>
      </c>
      <c r="AA21">
        <v>0.99856219999999996</v>
      </c>
      <c r="AB21">
        <v>3</v>
      </c>
      <c r="AC21">
        <v>317.42910000000001</v>
      </c>
      <c r="AD21">
        <v>20.083313</v>
      </c>
      <c r="AE21">
        <v>-15.8934999999999</v>
      </c>
      <c r="AF21">
        <v>16.997023901493399</v>
      </c>
      <c r="AG21">
        <v>20.083313</v>
      </c>
      <c r="AH21">
        <v>316.10609774092001</v>
      </c>
      <c r="AI21">
        <v>86.369916977431899</v>
      </c>
      <c r="AJ21">
        <v>86.922170048873994</v>
      </c>
      <c r="AK21">
        <v>317.19915402087099</v>
      </c>
      <c r="AL21">
        <v>85.031264924037103</v>
      </c>
      <c r="AM21">
        <v>92.153194000914795</v>
      </c>
      <c r="AN21">
        <v>0.99999999543515505</v>
      </c>
    </row>
    <row r="22" spans="1:40" x14ac:dyDescent="0.25">
      <c r="A22" t="str">
        <f>"20190312160601993"</f>
        <v>20190312160601993</v>
      </c>
      <c r="B22" t="str">
        <f>"1552377961985467"</f>
        <v>1552377961985467</v>
      </c>
      <c r="C22" t="s">
        <v>40</v>
      </c>
      <c r="D22">
        <v>5.3338660000000004</v>
      </c>
      <c r="E22">
        <v>0.53448309999999999</v>
      </c>
      <c r="F22" t="s">
        <v>42</v>
      </c>
      <c r="G22">
        <v>-158.78319999999999</v>
      </c>
      <c r="H22">
        <v>21.65765</v>
      </c>
      <c r="I22">
        <v>351.18650000000002</v>
      </c>
      <c r="J22">
        <v>-476.17140000000001</v>
      </c>
      <c r="K22">
        <v>1.1092420000000001</v>
      </c>
      <c r="L22">
        <v>367.22579999999999</v>
      </c>
      <c r="M22">
        <v>0.99998690000000001</v>
      </c>
      <c r="N22">
        <v>0</v>
      </c>
      <c r="O22">
        <v>4.0532800000000003E-3</v>
      </c>
      <c r="P22">
        <v>0.9957473</v>
      </c>
      <c r="Q22">
        <v>8.1671359999999998E-2</v>
      </c>
      <c r="R22">
        <v>4.2634520000000002E-2</v>
      </c>
      <c r="S22">
        <v>3.0030209999999999</v>
      </c>
      <c r="T22">
        <v>0.1943974</v>
      </c>
      <c r="U22">
        <v>-0.15173339999999999</v>
      </c>
      <c r="V22">
        <v>-3.8615869999999997E-2</v>
      </c>
      <c r="W22">
        <v>8.4826280000000004E-2</v>
      </c>
      <c r="X22">
        <v>0.99564719999999995</v>
      </c>
      <c r="Y22">
        <v>5.4388260000000001E-2</v>
      </c>
      <c r="Z22">
        <v>2.0193770000000002E-3</v>
      </c>
      <c r="AA22">
        <v>0.99851780000000001</v>
      </c>
      <c r="AB22">
        <v>4</v>
      </c>
      <c r="AC22">
        <v>317.38819999999998</v>
      </c>
      <c r="AD22">
        <v>20.548407999999998</v>
      </c>
      <c r="AE22">
        <v>-16.039299999999901</v>
      </c>
      <c r="AF22">
        <v>17.253503042795199</v>
      </c>
      <c r="AG22">
        <v>20.548407999999998</v>
      </c>
      <c r="AH22">
        <v>315.99942678019301</v>
      </c>
      <c r="AI22">
        <v>86.284999023682204</v>
      </c>
      <c r="AJ22">
        <v>86.874765463120198</v>
      </c>
      <c r="AK22">
        <v>317.13649768513397</v>
      </c>
      <c r="AL22">
        <v>85.133964705044605</v>
      </c>
      <c r="AM22">
        <v>92.221085916899796</v>
      </c>
      <c r="AN22">
        <v>1.0000000150311601</v>
      </c>
    </row>
    <row r="23" spans="1:40" x14ac:dyDescent="0.25">
      <c r="A23" t="str">
        <f>"20190312160602014"</f>
        <v>20190312160602014</v>
      </c>
      <c r="B23" t="str">
        <f>"1552377962004993"</f>
        <v>1552377962004993</v>
      </c>
      <c r="C23" t="s">
        <v>40</v>
      </c>
      <c r="D23">
        <v>5.5076679999999998</v>
      </c>
      <c r="E23">
        <v>0.50557039999999998</v>
      </c>
      <c r="F23" t="s">
        <v>42</v>
      </c>
      <c r="G23">
        <v>-158.78319999999999</v>
      </c>
      <c r="H23">
        <v>20.830870000000001</v>
      </c>
      <c r="I23">
        <v>351.5258</v>
      </c>
      <c r="J23">
        <v>-476.13839999999999</v>
      </c>
      <c r="K23">
        <v>1.1096250000000001</v>
      </c>
      <c r="L23">
        <v>367.22629999999998</v>
      </c>
      <c r="M23">
        <v>0.99998069999999895</v>
      </c>
      <c r="N23">
        <v>0</v>
      </c>
      <c r="O23">
        <v>4.291146E-3</v>
      </c>
      <c r="P23">
        <v>0.99594720000000003</v>
      </c>
      <c r="Q23">
        <v>7.8602430000000001E-2</v>
      </c>
      <c r="R23">
        <v>4.3716100000000001E-2</v>
      </c>
      <c r="S23">
        <v>3.003876</v>
      </c>
      <c r="T23">
        <v>0.18665329999999999</v>
      </c>
      <c r="U23">
        <v>-0.1485901</v>
      </c>
      <c r="V23">
        <v>-3.9449600000000001E-2</v>
      </c>
      <c r="W23">
        <v>8.3098149999999996E-2</v>
      </c>
      <c r="X23">
        <v>0.99576019999999998</v>
      </c>
      <c r="Y23">
        <v>5.357986E-2</v>
      </c>
      <c r="Z23">
        <v>1.9282730000000001E-3</v>
      </c>
      <c r="AA23">
        <v>0.9985617</v>
      </c>
      <c r="AB23">
        <v>4</v>
      </c>
      <c r="AC23">
        <v>317.35520000000002</v>
      </c>
      <c r="AD23">
        <v>19.721245</v>
      </c>
      <c r="AE23">
        <v>-15.7004999999999</v>
      </c>
      <c r="AF23">
        <v>16.996710910749499</v>
      </c>
      <c r="AG23">
        <v>19.721245</v>
      </c>
      <c r="AH23">
        <v>316.06733025117597</v>
      </c>
      <c r="AI23">
        <v>86.4347558533008</v>
      </c>
      <c r="AJ23">
        <v>86.921849835615603</v>
      </c>
      <c r="AK23">
        <v>317.137782262283</v>
      </c>
      <c r="AL23">
        <v>85.233329944323401</v>
      </c>
      <c r="AM23">
        <v>92.268733120151694</v>
      </c>
      <c r="AN23">
        <v>0.99999997468881097</v>
      </c>
    </row>
    <row r="24" spans="1:40" x14ac:dyDescent="0.25">
      <c r="A24" t="str">
        <f>"20190312160602036"</f>
        <v>20190312160602036</v>
      </c>
      <c r="B24" t="str">
        <f>"1552377962025485"</f>
        <v>1552377962025485</v>
      </c>
      <c r="C24" t="s">
        <v>40</v>
      </c>
      <c r="D24">
        <v>6.0453979999999996</v>
      </c>
      <c r="E24">
        <v>0.50358779999999903</v>
      </c>
      <c r="F24" t="s">
        <v>42</v>
      </c>
      <c r="G24">
        <v>-170.08879999999999</v>
      </c>
      <c r="H24">
        <v>13.084199999999999</v>
      </c>
      <c r="I24">
        <v>375.74</v>
      </c>
      <c r="J24">
        <v>-476.10849999999999</v>
      </c>
      <c r="K24">
        <v>1.1100890000000001</v>
      </c>
      <c r="L24">
        <v>367.22669999999999</v>
      </c>
      <c r="M24">
        <v>0.99996910000000006</v>
      </c>
      <c r="N24">
        <v>0</v>
      </c>
      <c r="O24">
        <v>4.4670480000000004E-3</v>
      </c>
      <c r="P24">
        <v>0.99606209999999995</v>
      </c>
      <c r="Q24">
        <v>7.6831209999999997E-2</v>
      </c>
      <c r="R24">
        <v>4.424194E-2</v>
      </c>
      <c r="S24">
        <v>2.9993289999999999</v>
      </c>
      <c r="T24">
        <v>0.11735329999999999</v>
      </c>
      <c r="U24">
        <v>8.3435060000000005E-2</v>
      </c>
      <c r="V24">
        <v>-3.9787999999999997E-2</v>
      </c>
      <c r="W24">
        <v>8.3283469999999998E-2</v>
      </c>
      <c r="X24">
        <v>0.99573129999999999</v>
      </c>
      <c r="Y24">
        <v>-2.3327049999999998E-2</v>
      </c>
      <c r="Z24">
        <v>-2.8141059999999999E-4</v>
      </c>
      <c r="AA24">
        <v>0.99972780000000006</v>
      </c>
      <c r="AB24">
        <v>3</v>
      </c>
      <c r="AC24">
        <v>306.0197</v>
      </c>
      <c r="AD24">
        <v>11.974111000000001</v>
      </c>
      <c r="AE24">
        <v>8.5133000000000099</v>
      </c>
      <c r="AF24">
        <v>-7.1352658052936304</v>
      </c>
      <c r="AG24">
        <v>11.974111000000001</v>
      </c>
      <c r="AH24">
        <v>305.58717101631299</v>
      </c>
      <c r="AI24">
        <v>87.756684078031995</v>
      </c>
      <c r="AJ24">
        <v>91.337576914421803</v>
      </c>
      <c r="AK24">
        <v>305.90490424657497</v>
      </c>
      <c r="AL24">
        <v>85.222675180554702</v>
      </c>
      <c r="AM24">
        <v>92.288240132467294</v>
      </c>
      <c r="AN24">
        <v>1.00000002155946</v>
      </c>
    </row>
    <row r="25" spans="1:40" x14ac:dyDescent="0.25">
      <c r="A25" t="str">
        <f>"20190312160602058"</f>
        <v>20190312160602058</v>
      </c>
      <c r="B25" t="str">
        <f>"1552377962054762"</f>
        <v>1552377962054762</v>
      </c>
      <c r="C25" t="s">
        <v>40</v>
      </c>
      <c r="D25">
        <v>5.33162</v>
      </c>
      <c r="E25">
        <v>0.50363859999999905</v>
      </c>
      <c r="F25" t="s">
        <v>42</v>
      </c>
      <c r="G25">
        <v>-168.84350000000001</v>
      </c>
      <c r="H25">
        <v>12.58015</v>
      </c>
      <c r="I25">
        <v>377.57060000000001</v>
      </c>
      <c r="J25">
        <v>-476.07209999999998</v>
      </c>
      <c r="K25">
        <v>1.1099730000000001</v>
      </c>
      <c r="L25">
        <v>367.22719999999998</v>
      </c>
      <c r="M25">
        <v>0.99996859999999999</v>
      </c>
      <c r="N25">
        <v>0</v>
      </c>
      <c r="O25">
        <v>4.704204E-3</v>
      </c>
      <c r="P25">
        <v>0.99602630000000003</v>
      </c>
      <c r="Q25">
        <v>7.694397E-2</v>
      </c>
      <c r="R25">
        <v>4.4848190000000003E-2</v>
      </c>
      <c r="S25">
        <v>2.9987789999999999</v>
      </c>
      <c r="T25">
        <v>0.1119438</v>
      </c>
      <c r="U25">
        <v>0.1009521</v>
      </c>
      <c r="V25">
        <v>-4.0159229999999997E-2</v>
      </c>
      <c r="W25">
        <v>8.3303440000000006E-2</v>
      </c>
      <c r="X25">
        <v>0.99571469999999995</v>
      </c>
      <c r="Y25">
        <v>-2.8926500000000001E-2</v>
      </c>
      <c r="Z25">
        <v>-3.6407380000000002E-4</v>
      </c>
      <c r="AA25">
        <v>0.99958150000000001</v>
      </c>
      <c r="AB25">
        <v>3</v>
      </c>
      <c r="AC25">
        <v>307.22859999999997</v>
      </c>
      <c r="AD25">
        <v>11.470177</v>
      </c>
      <c r="AE25">
        <v>10.343400000000001</v>
      </c>
      <c r="AF25">
        <v>-8.8856189244831896</v>
      </c>
      <c r="AG25">
        <v>11.470177</v>
      </c>
      <c r="AH25">
        <v>306.84664401365501</v>
      </c>
      <c r="AI25">
        <v>87.860130107201798</v>
      </c>
      <c r="AJ25">
        <v>91.658699023514899</v>
      </c>
      <c r="AK25">
        <v>307.18948895840299</v>
      </c>
      <c r="AL25">
        <v>85.221526868372706</v>
      </c>
      <c r="AM25">
        <v>92.309605320108105</v>
      </c>
      <c r="AN25">
        <v>0.99999999533305794</v>
      </c>
    </row>
    <row r="26" spans="1:40" x14ac:dyDescent="0.25">
      <c r="A26" t="str">
        <f>"20190312160602083"</f>
        <v>20190312160602083</v>
      </c>
      <c r="B26" t="str">
        <f>"1552377962075259"</f>
        <v>1552377962075259</v>
      </c>
      <c r="C26" t="s">
        <v>40</v>
      </c>
      <c r="D26">
        <v>5.3928209999999996</v>
      </c>
      <c r="E26">
        <v>0.5040753</v>
      </c>
      <c r="F26" t="s">
        <v>42</v>
      </c>
      <c r="G26">
        <v>-168.84350000000001</v>
      </c>
      <c r="H26">
        <v>12.04162</v>
      </c>
      <c r="I26">
        <v>377.7</v>
      </c>
      <c r="J26">
        <v>-476.02760000000001</v>
      </c>
      <c r="K26">
        <v>1.1096140000000001</v>
      </c>
      <c r="L26">
        <v>367.22770000000003</v>
      </c>
      <c r="M26">
        <v>0.99997320000000001</v>
      </c>
      <c r="N26">
        <v>0</v>
      </c>
      <c r="O26">
        <v>5.0634069999999998E-3</v>
      </c>
      <c r="P26">
        <v>0.99604130000000002</v>
      </c>
      <c r="Q26">
        <v>7.6788869999999995E-2</v>
      </c>
      <c r="R26">
        <v>4.4782059999999999E-2</v>
      </c>
      <c r="S26">
        <v>2.9991150000000002</v>
      </c>
      <c r="T26">
        <v>0.1067138</v>
      </c>
      <c r="U26">
        <v>0.1022339</v>
      </c>
      <c r="V26">
        <v>-3.974225E-2</v>
      </c>
      <c r="W26">
        <v>8.204177E-2</v>
      </c>
      <c r="X26">
        <v>0.99583619999999995</v>
      </c>
      <c r="Y26">
        <v>-2.8992130000000001E-2</v>
      </c>
      <c r="Z26">
        <v>-3.3542910000000002E-4</v>
      </c>
      <c r="AA26">
        <v>0.99957960000000001</v>
      </c>
      <c r="AB26">
        <v>4</v>
      </c>
      <c r="AC26">
        <v>307.1841</v>
      </c>
      <c r="AD26">
        <v>10.932005999999999</v>
      </c>
      <c r="AE26">
        <v>10.472299999999899</v>
      </c>
      <c r="AF26">
        <v>-8.9054802610170594</v>
      </c>
      <c r="AG26">
        <v>10.932005999999999</v>
      </c>
      <c r="AH26">
        <v>306.84502285453601</v>
      </c>
      <c r="AI26">
        <v>87.960437177688704</v>
      </c>
      <c r="AJ26">
        <v>91.662413285086402</v>
      </c>
      <c r="AK26">
        <v>307.16882065806101</v>
      </c>
      <c r="AL26">
        <v>85.2940636563618</v>
      </c>
      <c r="AM26">
        <v>92.2853712970456</v>
      </c>
      <c r="AN26">
        <v>1.0000000178451101</v>
      </c>
    </row>
    <row r="27" spans="1:40" x14ac:dyDescent="0.25">
      <c r="A27" t="str">
        <f>"20190312160602106"</f>
        <v>20190312160602106</v>
      </c>
      <c r="B27" t="str">
        <f>"1552377962094779"</f>
        <v>1552377962094779</v>
      </c>
      <c r="C27" t="s">
        <v>40</v>
      </c>
      <c r="D27">
        <v>5.4311889999999998</v>
      </c>
      <c r="E27">
        <v>0.50394709999999998</v>
      </c>
      <c r="F27" t="s">
        <v>42</v>
      </c>
      <c r="G27">
        <v>-170.08879999999999</v>
      </c>
      <c r="H27">
        <v>12.81884</v>
      </c>
      <c r="I27">
        <v>377.29399999999998</v>
      </c>
      <c r="J27">
        <v>-475.9846</v>
      </c>
      <c r="K27">
        <v>1.1095459999999999</v>
      </c>
      <c r="L27">
        <v>367.22829999999999</v>
      </c>
      <c r="M27">
        <v>0.99997329999999995</v>
      </c>
      <c r="N27">
        <v>0</v>
      </c>
      <c r="O27">
        <v>5.4212389999999996E-3</v>
      </c>
      <c r="P27">
        <v>0.99612869999999998</v>
      </c>
      <c r="Q27">
        <v>7.6140600000000003E-2</v>
      </c>
      <c r="R27">
        <v>4.3940680000000003E-2</v>
      </c>
      <c r="S27">
        <v>2.9986269999999999</v>
      </c>
      <c r="T27">
        <v>0.1147676</v>
      </c>
      <c r="U27">
        <v>9.8663329999999994E-2</v>
      </c>
      <c r="V27">
        <v>-3.8548770000000003E-2</v>
      </c>
      <c r="W27">
        <v>8.1040879999999996E-2</v>
      </c>
      <c r="X27">
        <v>0.99596510000000005</v>
      </c>
      <c r="Y27">
        <v>-2.7450080000000002E-2</v>
      </c>
      <c r="Z27">
        <v>-3.176152E-4</v>
      </c>
      <c r="AA27">
        <v>0.99962309999999999</v>
      </c>
      <c r="AB27">
        <v>4</v>
      </c>
      <c r="AC27">
        <v>305.89580000000001</v>
      </c>
      <c r="AD27">
        <v>11.709294</v>
      </c>
      <c r="AE27">
        <v>10.0657</v>
      </c>
      <c r="AF27">
        <v>-8.3949105181702706</v>
      </c>
      <c r="AG27">
        <v>11.709294</v>
      </c>
      <c r="AH27">
        <v>305.49872338388502</v>
      </c>
      <c r="AI27">
        <v>87.805843202604905</v>
      </c>
      <c r="AJ27">
        <v>91.574055443441793</v>
      </c>
      <c r="AK27">
        <v>305.83827765302698</v>
      </c>
      <c r="AL27">
        <v>85.351602214049095</v>
      </c>
      <c r="AM27">
        <v>92.216523344980303</v>
      </c>
      <c r="AN27">
        <v>1.00000005615884</v>
      </c>
    </row>
    <row r="28" spans="1:40" x14ac:dyDescent="0.25">
      <c r="A28" t="str">
        <f>"20190312160602126"</f>
        <v>20190312160602126</v>
      </c>
      <c r="B28" t="str">
        <f>"1552377962115275"</f>
        <v>1552377962115275</v>
      </c>
      <c r="C28" t="s">
        <v>40</v>
      </c>
      <c r="D28">
        <v>5.4279869999999999</v>
      </c>
      <c r="E28">
        <v>0.50409359999999903</v>
      </c>
      <c r="F28" t="s">
        <v>42</v>
      </c>
      <c r="G28">
        <v>-170.08879999999999</v>
      </c>
      <c r="H28">
        <v>12.98889</v>
      </c>
      <c r="I28">
        <v>377.1848</v>
      </c>
      <c r="J28">
        <v>-475.94810000000001</v>
      </c>
      <c r="K28">
        <v>1.109872</v>
      </c>
      <c r="L28">
        <v>367.22879999999998</v>
      </c>
      <c r="M28">
        <v>0.9999654</v>
      </c>
      <c r="N28">
        <v>0</v>
      </c>
      <c r="O28">
        <v>5.6808609999999997E-3</v>
      </c>
      <c r="P28">
        <v>0.99616119999999997</v>
      </c>
      <c r="Q28">
        <v>7.631135E-2</v>
      </c>
      <c r="R28">
        <v>4.2895330000000002E-2</v>
      </c>
      <c r="S28">
        <v>2.9984440000000001</v>
      </c>
      <c r="T28">
        <v>0.1164442</v>
      </c>
      <c r="U28">
        <v>9.7595210000000002E-2</v>
      </c>
      <c r="V28">
        <v>-3.7241940000000001E-2</v>
      </c>
      <c r="W28">
        <v>8.238202E-2</v>
      </c>
      <c r="X28">
        <v>0.99590469999999998</v>
      </c>
      <c r="Y28">
        <v>-2.6836990000000002E-2</v>
      </c>
      <c r="Z28">
        <v>-3.0029939999999999E-4</v>
      </c>
      <c r="AA28">
        <v>0.99963970000000002</v>
      </c>
      <c r="AB28">
        <v>4</v>
      </c>
      <c r="AC28">
        <v>305.85930000000002</v>
      </c>
      <c r="AD28">
        <v>11.879017999999901</v>
      </c>
      <c r="AE28">
        <v>9.9560000000000102</v>
      </c>
      <c r="AF28">
        <v>-8.2058983818115294</v>
      </c>
      <c r="AG28">
        <v>11.879017999999901</v>
      </c>
      <c r="AH28">
        <v>305.45066873305001</v>
      </c>
      <c r="AI28">
        <v>87.773684132604302</v>
      </c>
      <c r="AJ28">
        <v>91.538874628024899</v>
      </c>
      <c r="AK28">
        <v>305.791691951178</v>
      </c>
      <c r="AL28">
        <v>85.274502302400606</v>
      </c>
      <c r="AM28">
        <v>92.1415826072013</v>
      </c>
      <c r="AN28">
        <v>0.99999996539816605</v>
      </c>
    </row>
    <row r="29" spans="1:40" x14ac:dyDescent="0.25">
      <c r="A29" t="str">
        <f>"20190312160602147"</f>
        <v>20190312160602147</v>
      </c>
      <c r="B29" t="str">
        <f>"1552377962134795"</f>
        <v>1552377962134795</v>
      </c>
      <c r="C29" t="s">
        <v>40</v>
      </c>
      <c r="D29">
        <v>5.4529040000000002</v>
      </c>
      <c r="E29">
        <v>0.50431939999999997</v>
      </c>
      <c r="F29" t="s">
        <v>42</v>
      </c>
      <c r="G29">
        <v>-168.84350000000001</v>
      </c>
      <c r="H29">
        <v>10.923120000000001</v>
      </c>
      <c r="I29">
        <v>376.73779999999999</v>
      </c>
      <c r="J29">
        <v>-475.9126</v>
      </c>
      <c r="K29">
        <v>1.1100219999999901</v>
      </c>
      <c r="L29">
        <v>367.22930000000002</v>
      </c>
      <c r="M29">
        <v>0.99995970000000001</v>
      </c>
      <c r="N29">
        <v>0</v>
      </c>
      <c r="O29">
        <v>5.9378240000000004E-3</v>
      </c>
      <c r="P29">
        <v>0.99612780000000001</v>
      </c>
      <c r="Q29">
        <v>7.7053620000000003E-2</v>
      </c>
      <c r="R29">
        <v>4.2332309999999998E-2</v>
      </c>
      <c r="S29">
        <v>3.0001829999999998</v>
      </c>
      <c r="T29">
        <v>9.5868949999999994E-2</v>
      </c>
      <c r="U29">
        <v>9.2895510000000001E-2</v>
      </c>
      <c r="V29">
        <v>-3.6422780000000002E-2</v>
      </c>
      <c r="W29">
        <v>8.377337E-2</v>
      </c>
      <c r="X29">
        <v>0.99581900000000001</v>
      </c>
      <c r="Y29">
        <v>-2.5003069999999999E-2</v>
      </c>
      <c r="Z29">
        <v>-2.0963629999999999E-4</v>
      </c>
      <c r="AA29">
        <v>0.9996874</v>
      </c>
      <c r="AB29">
        <v>4</v>
      </c>
      <c r="AC29">
        <v>307.06909999999999</v>
      </c>
      <c r="AD29">
        <v>9.8130980000000001</v>
      </c>
      <c r="AE29">
        <v>9.5084999999999695</v>
      </c>
      <c r="AF29">
        <v>-7.6771358501468097</v>
      </c>
      <c r="AG29">
        <v>9.8130980000000001</v>
      </c>
      <c r="AH29">
        <v>306.80711513817698</v>
      </c>
      <c r="AI29">
        <v>88.168615718711493</v>
      </c>
      <c r="AJ29">
        <v>91.4333947628419</v>
      </c>
      <c r="AK29">
        <v>307.05999610276501</v>
      </c>
      <c r="AL29">
        <v>85.194507625783501</v>
      </c>
      <c r="AM29">
        <v>92.094699664565795</v>
      </c>
      <c r="AN29">
        <v>1.0000000385925401</v>
      </c>
    </row>
    <row r="30" spans="1:40" x14ac:dyDescent="0.25">
      <c r="A30" t="str">
        <f>"20190312160602170"</f>
        <v>20190312160602170</v>
      </c>
      <c r="B30" t="str">
        <f>"1552377962165051"</f>
        <v>1552377962165051</v>
      </c>
      <c r="C30" t="s">
        <v>40</v>
      </c>
      <c r="D30">
        <v>5.5146730000000002</v>
      </c>
      <c r="E30">
        <v>0.50435029999999903</v>
      </c>
      <c r="F30" t="s">
        <v>42</v>
      </c>
      <c r="G30">
        <v>-168.84350000000001</v>
      </c>
      <c r="H30">
        <v>10.02338</v>
      </c>
      <c r="I30">
        <v>376.3064</v>
      </c>
      <c r="J30">
        <v>-475.86770000000001</v>
      </c>
      <c r="K30">
        <v>1.1097980000000001</v>
      </c>
      <c r="L30">
        <v>367.23</v>
      </c>
      <c r="M30">
        <v>0.99996169999999995</v>
      </c>
      <c r="N30">
        <v>0</v>
      </c>
      <c r="O30">
        <v>6.3242350000000001E-3</v>
      </c>
      <c r="P30">
        <v>0.99586859999999999</v>
      </c>
      <c r="Q30">
        <v>8.0119330000000002E-2</v>
      </c>
      <c r="R30">
        <v>4.2741019999999998E-2</v>
      </c>
      <c r="S30">
        <v>3.00116</v>
      </c>
      <c r="T30">
        <v>8.7116120000000005E-2</v>
      </c>
      <c r="U30">
        <v>8.8714600000000005E-2</v>
      </c>
      <c r="V30">
        <v>-3.6454760000000003E-2</v>
      </c>
      <c r="W30">
        <v>8.6157020000000001E-2</v>
      </c>
      <c r="X30">
        <v>0.99561440000000001</v>
      </c>
      <c r="Y30">
        <v>-2.3217910000000001E-2</v>
      </c>
      <c r="Z30">
        <v>-1.533382E-4</v>
      </c>
      <c r="AA30">
        <v>0.99973040000000002</v>
      </c>
      <c r="AB30">
        <v>4</v>
      </c>
      <c r="AC30">
        <v>307.02420000000001</v>
      </c>
      <c r="AD30">
        <v>8.9135819999999999</v>
      </c>
      <c r="AE30">
        <v>9.0763999999999694</v>
      </c>
      <c r="AF30">
        <v>-7.1284866305973198</v>
      </c>
      <c r="AG30">
        <v>8.9135819999999999</v>
      </c>
      <c r="AH30">
        <v>306.81708184948002</v>
      </c>
      <c r="AI30">
        <v>88.336372447250696</v>
      </c>
      <c r="AJ30">
        <v>91.330951746727195</v>
      </c>
      <c r="AK30">
        <v>307.02929661572</v>
      </c>
      <c r="AL30">
        <v>85.057438707544804</v>
      </c>
      <c r="AM30">
        <v>92.096967672698895</v>
      </c>
      <c r="AN30">
        <v>1.00000000755464</v>
      </c>
    </row>
    <row r="31" spans="1:40" x14ac:dyDescent="0.25">
      <c r="A31" t="str">
        <f>"20190312160602193"</f>
        <v>20190312160602193</v>
      </c>
      <c r="B31" t="str">
        <f>"1552377962185547"</f>
        <v>1552377962185547</v>
      </c>
      <c r="C31" t="s">
        <v>40</v>
      </c>
      <c r="D31">
        <v>6.3758650000000001</v>
      </c>
      <c r="E31">
        <v>0.50383619999999996</v>
      </c>
      <c r="F31" t="s">
        <v>42</v>
      </c>
      <c r="G31">
        <v>-168.84350000000001</v>
      </c>
      <c r="H31">
        <v>11.493359999999999</v>
      </c>
      <c r="I31">
        <v>376.41730000000001</v>
      </c>
      <c r="J31">
        <v>-475.82</v>
      </c>
      <c r="K31">
        <v>1.1095120000000001</v>
      </c>
      <c r="L31">
        <v>367.23070000000001</v>
      </c>
      <c r="M31">
        <v>0.99996470000000004</v>
      </c>
      <c r="N31">
        <v>0</v>
      </c>
      <c r="O31">
        <v>6.7903900000000003E-3</v>
      </c>
      <c r="P31">
        <v>0.99569759999999996</v>
      </c>
      <c r="Q31">
        <v>8.2075690000000007E-2</v>
      </c>
      <c r="R31">
        <v>4.301456E-2</v>
      </c>
      <c r="S31">
        <v>3.000397</v>
      </c>
      <c r="T31">
        <v>0.1014743</v>
      </c>
      <c r="U31">
        <v>8.9782710000000002E-2</v>
      </c>
      <c r="V31">
        <v>-3.6273100000000003E-2</v>
      </c>
      <c r="W31">
        <v>8.7004509999999993E-2</v>
      </c>
      <c r="X31">
        <v>0.99554739999999997</v>
      </c>
      <c r="Y31">
        <v>-2.3112779999999999E-2</v>
      </c>
      <c r="Z31">
        <v>-1.6110969999999999E-4</v>
      </c>
      <c r="AA31">
        <v>0.99973290000000004</v>
      </c>
      <c r="AB31">
        <v>4</v>
      </c>
      <c r="AC31">
        <v>306.97649999999999</v>
      </c>
      <c r="AD31">
        <v>10.383848</v>
      </c>
      <c r="AE31">
        <v>9.1866000000000003</v>
      </c>
      <c r="AF31">
        <v>-7.0937630138551304</v>
      </c>
      <c r="AG31">
        <v>10.383848</v>
      </c>
      <c r="AH31">
        <v>306.68120960859602</v>
      </c>
      <c r="AI31">
        <v>88.061294474973806</v>
      </c>
      <c r="AJ31">
        <v>91.325057439447704</v>
      </c>
      <c r="AK31">
        <v>306.93893545781202</v>
      </c>
      <c r="AL31">
        <v>85.008698410092293</v>
      </c>
      <c r="AM31">
        <v>92.086667699369897</v>
      </c>
      <c r="AN31">
        <v>1.0000000740953501</v>
      </c>
    </row>
    <row r="32" spans="1:40" x14ac:dyDescent="0.25">
      <c r="A32" t="str">
        <f>"20190312160602215"</f>
        <v>20190312160602215</v>
      </c>
      <c r="B32" t="str">
        <f>"1552377962205070"</f>
        <v>1552377962205070</v>
      </c>
      <c r="C32" t="s">
        <v>40</v>
      </c>
      <c r="D32">
        <v>5.4368369999999997</v>
      </c>
      <c r="E32">
        <v>0.50411839999999997</v>
      </c>
      <c r="F32" t="s">
        <v>42</v>
      </c>
      <c r="G32">
        <v>-170.08879999999999</v>
      </c>
      <c r="H32">
        <v>12.934850000000001</v>
      </c>
      <c r="I32">
        <v>376.91140000000001</v>
      </c>
      <c r="J32">
        <v>-475.77519999999998</v>
      </c>
      <c r="K32">
        <v>1.1097189999999999</v>
      </c>
      <c r="L32">
        <v>367.23149999999998</v>
      </c>
      <c r="M32">
        <v>0.99995849999999997</v>
      </c>
      <c r="N32">
        <v>0</v>
      </c>
      <c r="O32">
        <v>7.1729569999999998E-3</v>
      </c>
      <c r="P32">
        <v>0.99582459999999995</v>
      </c>
      <c r="Q32">
        <v>8.0324560000000003E-2</v>
      </c>
      <c r="R32">
        <v>4.3376020000000001E-2</v>
      </c>
      <c r="S32">
        <v>2.9993289999999999</v>
      </c>
      <c r="T32">
        <v>0.1160115</v>
      </c>
      <c r="U32">
        <v>9.4970700000000005E-2</v>
      </c>
      <c r="V32">
        <v>-3.6249419999999997E-2</v>
      </c>
      <c r="W32">
        <v>8.5934209999999997E-2</v>
      </c>
      <c r="X32">
        <v>0.9956412</v>
      </c>
      <c r="Y32">
        <v>-2.4464920000000001E-2</v>
      </c>
      <c r="Z32">
        <v>-1.9558060000000001E-4</v>
      </c>
      <c r="AA32">
        <v>0.9997007</v>
      </c>
      <c r="AB32">
        <v>5</v>
      </c>
      <c r="AC32">
        <v>305.68639999999999</v>
      </c>
      <c r="AD32">
        <v>11.825130999999899</v>
      </c>
      <c r="AE32">
        <v>9.6799000000000301</v>
      </c>
      <c r="AF32">
        <v>-7.4757651402966996</v>
      </c>
      <c r="AG32">
        <v>11.825130999999899</v>
      </c>
      <c r="AH32">
        <v>305.29157698916299</v>
      </c>
      <c r="AI32">
        <v>87.782484416056505</v>
      </c>
      <c r="AJ32">
        <v>91.402738370268196</v>
      </c>
      <c r="AK32">
        <v>305.61195619302902</v>
      </c>
      <c r="AL32">
        <v>85.070252532811097</v>
      </c>
      <c r="AM32">
        <v>92.085110388125003</v>
      </c>
      <c r="AN32">
        <v>1.00000005401804</v>
      </c>
    </row>
    <row r="33" spans="1:40" x14ac:dyDescent="0.25">
      <c r="A33" t="str">
        <f>"20190312160602237"</f>
        <v>20190312160602237</v>
      </c>
      <c r="B33" t="str">
        <f>"1552377962225566"</f>
        <v>1552377962225566</v>
      </c>
      <c r="C33" t="s">
        <v>40</v>
      </c>
      <c r="D33">
        <v>5.5099369999999999</v>
      </c>
      <c r="E33">
        <v>0.50383909999999998</v>
      </c>
      <c r="F33" t="s">
        <v>42</v>
      </c>
      <c r="G33">
        <v>-168.84350000000001</v>
      </c>
      <c r="H33">
        <v>10.75177</v>
      </c>
      <c r="I33">
        <v>376.8109</v>
      </c>
      <c r="J33">
        <v>-475.73750000000001</v>
      </c>
      <c r="K33">
        <v>1.110195</v>
      </c>
      <c r="L33">
        <v>367.23219999999998</v>
      </c>
      <c r="M33">
        <v>0.9999439</v>
      </c>
      <c r="N33">
        <v>0</v>
      </c>
      <c r="O33">
        <v>7.4443969999999898E-3</v>
      </c>
      <c r="P33">
        <v>0.99585100000000004</v>
      </c>
      <c r="Q33">
        <v>7.958817E-2</v>
      </c>
      <c r="R33">
        <v>4.4120449999999999E-2</v>
      </c>
      <c r="S33">
        <v>3.0009160000000001</v>
      </c>
      <c r="T33">
        <v>9.427249E-2</v>
      </c>
      <c r="U33">
        <v>9.3658450000000004E-2</v>
      </c>
      <c r="V33">
        <v>-3.6713339999999997E-2</v>
      </c>
      <c r="W33">
        <v>8.7095699999999998E-2</v>
      </c>
      <c r="X33">
        <v>0.99552320000000005</v>
      </c>
      <c r="Y33">
        <v>-2.3744890000000001E-2</v>
      </c>
      <c r="Z33">
        <v>-1.390389E-4</v>
      </c>
      <c r="AA33">
        <v>0.99971810000000005</v>
      </c>
      <c r="AB33">
        <v>4</v>
      </c>
      <c r="AC33">
        <v>306.89400000000001</v>
      </c>
      <c r="AD33">
        <v>9.6415749999999996</v>
      </c>
      <c r="AE33">
        <v>9.5787000000000209</v>
      </c>
      <c r="AF33">
        <v>-7.28654407276405</v>
      </c>
      <c r="AG33">
        <v>9.6415749999999996</v>
      </c>
      <c r="AH33">
        <v>306.65443041798102</v>
      </c>
      <c r="AI33">
        <v>88.199654572726203</v>
      </c>
      <c r="AJ33">
        <v>91.361172824623495</v>
      </c>
      <c r="AK33">
        <v>306.89247854579497</v>
      </c>
      <c r="AL33">
        <v>85.003453257865601</v>
      </c>
      <c r="AM33">
        <v>92.112021701080806</v>
      </c>
      <c r="AN33">
        <v>0.99999998601534201</v>
      </c>
    </row>
    <row r="34" spans="1:40" x14ac:dyDescent="0.25">
      <c r="A34" t="str">
        <f>"20190312160602248"</f>
        <v>20190312160602248</v>
      </c>
      <c r="B34" t="str">
        <f>"1552377962245083"</f>
        <v>1552377962245083</v>
      </c>
      <c r="C34" t="s">
        <v>40</v>
      </c>
      <c r="D34">
        <v>5.5628909999999996</v>
      </c>
      <c r="E34">
        <v>0.50373080000000003</v>
      </c>
      <c r="F34" t="s">
        <v>43</v>
      </c>
      <c r="G34">
        <v>-223.32929999999999</v>
      </c>
      <c r="H34">
        <v>8.8946589999999901</v>
      </c>
      <c r="I34">
        <v>375.46719999999999</v>
      </c>
      <c r="J34">
        <v>-475.71730000000002</v>
      </c>
      <c r="K34">
        <v>1.110473</v>
      </c>
      <c r="L34">
        <v>367.23250000000002</v>
      </c>
      <c r="M34">
        <v>0.9999323</v>
      </c>
      <c r="N34">
        <v>0</v>
      </c>
      <c r="O34">
        <v>7.5697189999999999E-3</v>
      </c>
      <c r="P34">
        <v>0.99584349999999999</v>
      </c>
      <c r="Q34">
        <v>7.9368789999999995E-2</v>
      </c>
      <c r="R34">
        <v>4.4681869999999999E-2</v>
      </c>
      <c r="S34">
        <v>3.0007320000000002</v>
      </c>
      <c r="T34">
        <v>9.2545749999999996E-2</v>
      </c>
      <c r="U34">
        <v>9.7900390000000004E-2</v>
      </c>
      <c r="V34">
        <v>-3.714224E-2</v>
      </c>
      <c r="W34">
        <v>8.8172990000000007E-2</v>
      </c>
      <c r="X34">
        <v>0.99541250000000003</v>
      </c>
      <c r="Y34">
        <v>-2.503294E-2</v>
      </c>
      <c r="Z34">
        <v>-1.5248590000000001E-4</v>
      </c>
      <c r="AA34">
        <v>0.99968659999999998</v>
      </c>
      <c r="AB34">
        <v>4</v>
      </c>
      <c r="AC34">
        <v>252.38800000000001</v>
      </c>
      <c r="AD34">
        <v>7.7841859999999903</v>
      </c>
      <c r="AE34">
        <v>8.2346999999999699</v>
      </c>
      <c r="AF34">
        <v>-6.31787979381859</v>
      </c>
      <c r="AG34">
        <v>7.7841859999999903</v>
      </c>
      <c r="AH34">
        <v>252.20345484104999</v>
      </c>
      <c r="AI34">
        <v>88.232697808740497</v>
      </c>
      <c r="AJ34">
        <v>91.435000784969503</v>
      </c>
      <c r="AK34">
        <v>252.40263824004199</v>
      </c>
      <c r="AL34">
        <v>84.941490937282396</v>
      </c>
      <c r="AM34">
        <v>92.136909850005395</v>
      </c>
      <c r="AN34">
        <v>1.0000000336570001</v>
      </c>
    </row>
    <row r="35" spans="1:40" x14ac:dyDescent="0.25">
      <c r="A35" t="str">
        <f>"20190312160602262"</f>
        <v>20190312160602262</v>
      </c>
      <c r="B35" t="str">
        <f>"1552377962254843"</f>
        <v>1552377962254843</v>
      </c>
      <c r="C35" t="s">
        <v>40</v>
      </c>
      <c r="D35">
        <v>5.7621599999999997</v>
      </c>
      <c r="E35">
        <v>0.50345150000000005</v>
      </c>
      <c r="F35" t="s">
        <v>42</v>
      </c>
      <c r="G35">
        <v>-168.84350000000001</v>
      </c>
      <c r="H35">
        <v>9.84802</v>
      </c>
      <c r="I35">
        <v>377.48</v>
      </c>
      <c r="J35">
        <v>-475.6936</v>
      </c>
      <c r="K35">
        <v>1.1105400000000001</v>
      </c>
      <c r="L35">
        <v>367.23289999999997</v>
      </c>
      <c r="M35">
        <v>0.99992610000000004</v>
      </c>
      <c r="N35">
        <v>0</v>
      </c>
      <c r="O35">
        <v>7.7326449999999998E-3</v>
      </c>
      <c r="P35">
        <v>0.99579189999999995</v>
      </c>
      <c r="Q35">
        <v>7.924059E-2</v>
      </c>
      <c r="R35">
        <v>4.604068E-2</v>
      </c>
      <c r="S35">
        <v>3.0012210000000001</v>
      </c>
      <c r="T35">
        <v>8.5453870000000001E-2</v>
      </c>
      <c r="U35">
        <v>0.10021969999999999</v>
      </c>
      <c r="V35">
        <v>-3.8337360000000001E-2</v>
      </c>
      <c r="W35">
        <v>8.8600020000000002E-2</v>
      </c>
      <c r="X35">
        <v>0.99532929999999997</v>
      </c>
      <c r="Y35">
        <v>-2.5637469999999999E-2</v>
      </c>
      <c r="Z35">
        <v>-1.447458E-4</v>
      </c>
      <c r="AA35">
        <v>0.99967130000000004</v>
      </c>
      <c r="AB35">
        <v>4</v>
      </c>
      <c r="AC35">
        <v>306.8501</v>
      </c>
      <c r="AD35">
        <v>8.7374799999999997</v>
      </c>
      <c r="AE35">
        <v>10.2471</v>
      </c>
      <c r="AF35">
        <v>-7.8675543142871502</v>
      </c>
      <c r="AG35">
        <v>8.7374799999999997</v>
      </c>
      <c r="AH35">
        <v>306.67178986294402</v>
      </c>
      <c r="AI35">
        <v>88.368546374149304</v>
      </c>
      <c r="AJ35">
        <v>91.469580237051801</v>
      </c>
      <c r="AK35">
        <v>306.89709784450702</v>
      </c>
      <c r="AL35">
        <v>84.916927952496494</v>
      </c>
      <c r="AM35">
        <v>92.205786195612305</v>
      </c>
      <c r="AN35">
        <v>1.00000006607712</v>
      </c>
    </row>
    <row r="36" spans="1:40" x14ac:dyDescent="0.25">
      <c r="A36" t="str">
        <f>"20190312160602283"</f>
        <v>20190312160602283</v>
      </c>
      <c r="B36" t="str">
        <f>"1552377962275340"</f>
        <v>1552377962275340</v>
      </c>
      <c r="C36" t="s">
        <v>40</v>
      </c>
      <c r="D36">
        <v>5.6573929999999999</v>
      </c>
      <c r="E36">
        <v>0.50297159999999996</v>
      </c>
      <c r="F36" t="s">
        <v>42</v>
      </c>
      <c r="G36">
        <v>-168.84350000000001</v>
      </c>
      <c r="H36">
        <v>10.227370000000001</v>
      </c>
      <c r="I36">
        <v>378.12419999999997</v>
      </c>
      <c r="J36">
        <v>-475.65289999999999</v>
      </c>
      <c r="K36">
        <v>1.1102890000000001</v>
      </c>
      <c r="L36">
        <v>367.23360000000002</v>
      </c>
      <c r="M36">
        <v>0.99992800000000004</v>
      </c>
      <c r="N36">
        <v>0</v>
      </c>
      <c r="O36">
        <v>8.0580600000000006E-3</v>
      </c>
      <c r="P36">
        <v>0.99570199999999998</v>
      </c>
      <c r="Q36">
        <v>7.9325950000000006E-2</v>
      </c>
      <c r="R36">
        <v>4.780421E-2</v>
      </c>
      <c r="S36">
        <v>3.000702</v>
      </c>
      <c r="T36">
        <v>8.9154720000000007E-2</v>
      </c>
      <c r="U36">
        <v>0.1065063</v>
      </c>
      <c r="V36">
        <v>-3.978346E-2</v>
      </c>
      <c r="W36">
        <v>8.8196750000000004E-2</v>
      </c>
      <c r="X36">
        <v>0.99530830000000003</v>
      </c>
      <c r="Y36">
        <v>-2.7408479999999999E-2</v>
      </c>
      <c r="Z36">
        <v>-1.6766660000000001E-4</v>
      </c>
      <c r="AA36">
        <v>0.99962430000000002</v>
      </c>
      <c r="AB36">
        <v>4</v>
      </c>
      <c r="AC36">
        <v>306.80939999999998</v>
      </c>
      <c r="AD36">
        <v>9.11708099999999</v>
      </c>
      <c r="AE36">
        <v>10.8905999999999</v>
      </c>
      <c r="AF36">
        <v>-8.4104427902476697</v>
      </c>
      <c r="AG36">
        <v>9.11708099999999</v>
      </c>
      <c r="AH36">
        <v>306.616788314546</v>
      </c>
      <c r="AI36">
        <v>88.297483421840695</v>
      </c>
      <c r="AJ36">
        <v>91.571218841224507</v>
      </c>
      <c r="AK36">
        <v>306.86757989435</v>
      </c>
      <c r="AL36">
        <v>84.940124100692003</v>
      </c>
      <c r="AM36">
        <v>92.288950654188596</v>
      </c>
      <c r="AN36">
        <v>1.00000000122451</v>
      </c>
    </row>
    <row r="37" spans="1:40" x14ac:dyDescent="0.25">
      <c r="A37" t="str">
        <f>"20190312160602306"</f>
        <v>20190312160602306</v>
      </c>
      <c r="B37" t="str">
        <f>"1552377962294859"</f>
        <v>1552377962294859</v>
      </c>
      <c r="C37" t="s">
        <v>40</v>
      </c>
      <c r="D37">
        <v>5.7322319999999998</v>
      </c>
      <c r="E37">
        <v>0.50260159999999998</v>
      </c>
      <c r="F37" t="s">
        <v>42</v>
      </c>
      <c r="G37">
        <v>-168.84350000000001</v>
      </c>
      <c r="H37">
        <v>11.006019999999999</v>
      </c>
      <c r="I37">
        <v>379.08530000000002</v>
      </c>
      <c r="J37">
        <v>-475.60480000000001</v>
      </c>
      <c r="K37">
        <v>1.1098699999999999</v>
      </c>
      <c r="L37">
        <v>367.23439999999999</v>
      </c>
      <c r="M37">
        <v>0.99993500000000002</v>
      </c>
      <c r="N37">
        <v>0</v>
      </c>
      <c r="O37">
        <v>8.5165180000000007E-3</v>
      </c>
      <c r="P37">
        <v>0.99570749999999997</v>
      </c>
      <c r="Q37">
        <v>7.8327930000000004E-2</v>
      </c>
      <c r="R37">
        <v>4.9310800000000002E-2</v>
      </c>
      <c r="S37">
        <v>2.999695</v>
      </c>
      <c r="T37">
        <v>9.6752050000000006E-2</v>
      </c>
      <c r="U37">
        <v>0.1158752</v>
      </c>
      <c r="V37">
        <v>-4.0842459999999997E-2</v>
      </c>
      <c r="W37">
        <v>8.5890980000000006E-2</v>
      </c>
      <c r="X37">
        <v>0.99546710000000005</v>
      </c>
      <c r="Y37">
        <v>-3.007721E-2</v>
      </c>
      <c r="Z37">
        <v>-2.1023600000000001E-4</v>
      </c>
      <c r="AA37">
        <v>0.99954750000000003</v>
      </c>
      <c r="AB37">
        <v>4</v>
      </c>
      <c r="AC37">
        <v>306.76130000000001</v>
      </c>
      <c r="AD37">
        <v>9.8961500000000004</v>
      </c>
      <c r="AE37">
        <v>11.850899999999999</v>
      </c>
      <c r="AF37">
        <v>-9.2282673125975698</v>
      </c>
      <c r="AG37">
        <v>9.8961500000000004</v>
      </c>
      <c r="AH37">
        <v>306.53256826366498</v>
      </c>
      <c r="AI37">
        <v>88.151732271717194</v>
      </c>
      <c r="AJ37">
        <v>91.724388116055195</v>
      </c>
      <c r="AK37">
        <v>306.83107748194902</v>
      </c>
      <c r="AL37">
        <v>85.072738636234703</v>
      </c>
      <c r="AM37">
        <v>92.349438621903602</v>
      </c>
      <c r="AN37">
        <v>1.0000000570833001</v>
      </c>
    </row>
    <row r="38" spans="1:40" x14ac:dyDescent="0.25">
      <c r="A38" t="str">
        <f>"20190312160602328"</f>
        <v>20190312160602328</v>
      </c>
      <c r="B38" t="str">
        <f>"1552377962325114"</f>
        <v>1552377962325114</v>
      </c>
      <c r="C38" t="s">
        <v>40</v>
      </c>
      <c r="D38">
        <v>5.7029699999999997</v>
      </c>
      <c r="E38">
        <v>0.50237100000000001</v>
      </c>
      <c r="F38" t="s">
        <v>42</v>
      </c>
      <c r="G38">
        <v>-168.84350000000001</v>
      </c>
      <c r="H38">
        <v>11.337680000000001</v>
      </c>
      <c r="I38">
        <v>379.88659999999999</v>
      </c>
      <c r="J38">
        <v>-475.5557</v>
      </c>
      <c r="K38">
        <v>1.109599</v>
      </c>
      <c r="L38">
        <v>367.23540000000003</v>
      </c>
      <c r="M38">
        <v>0.9999382</v>
      </c>
      <c r="N38">
        <v>0</v>
      </c>
      <c r="O38">
        <v>9.037036E-3</v>
      </c>
      <c r="P38">
        <v>0.99563349999999995</v>
      </c>
      <c r="Q38">
        <v>7.9040529999999998E-2</v>
      </c>
      <c r="R38">
        <v>4.9665430000000003E-2</v>
      </c>
      <c r="S38">
        <v>2.998901</v>
      </c>
      <c r="T38">
        <v>9.9987980000000004E-2</v>
      </c>
      <c r="U38">
        <v>0.1236877</v>
      </c>
      <c r="V38">
        <v>-4.0688200000000001E-2</v>
      </c>
      <c r="W38">
        <v>8.5482879999999997E-2</v>
      </c>
      <c r="X38">
        <v>0.99550850000000002</v>
      </c>
      <c r="Y38">
        <v>-3.2165270000000003E-2</v>
      </c>
      <c r="Z38">
        <v>-2.3475690000000001E-4</v>
      </c>
      <c r="AA38">
        <v>0.99948250000000005</v>
      </c>
      <c r="AB38">
        <v>5</v>
      </c>
      <c r="AC38">
        <v>306.7122</v>
      </c>
      <c r="AD38">
        <v>10.228081</v>
      </c>
      <c r="AE38">
        <v>12.6511999999999</v>
      </c>
      <c r="AF38">
        <v>-9.8679010573417703</v>
      </c>
      <c r="AG38">
        <v>10.228081</v>
      </c>
      <c r="AH38">
        <v>306.47376990150099</v>
      </c>
      <c r="AI38">
        <v>88.089542050233206</v>
      </c>
      <c r="AJ38">
        <v>91.844183340101495</v>
      </c>
      <c r="AK38">
        <v>306.80313028041002</v>
      </c>
      <c r="AL38">
        <v>85.096207141224596</v>
      </c>
      <c r="AM38">
        <v>92.340477564477297</v>
      </c>
      <c r="AN38">
        <v>1.0000000129822899</v>
      </c>
    </row>
    <row r="39" spans="1:40" x14ac:dyDescent="0.25">
      <c r="A39" t="str">
        <f>"20190312160602349"</f>
        <v>20190312160602349</v>
      </c>
      <c r="B39" t="str">
        <f>"1552377962345610"</f>
        <v>1552377962345610</v>
      </c>
      <c r="C39" t="s">
        <v>40</v>
      </c>
      <c r="D39">
        <v>5.6989749999999999</v>
      </c>
      <c r="E39">
        <v>0.50206479999999998</v>
      </c>
      <c r="F39" t="s">
        <v>42</v>
      </c>
      <c r="G39">
        <v>-168.84350000000001</v>
      </c>
      <c r="H39">
        <v>11.539669999999999</v>
      </c>
      <c r="I39">
        <v>380.19549999999998</v>
      </c>
      <c r="J39">
        <v>-475.5059</v>
      </c>
      <c r="K39">
        <v>1.1094649999999999</v>
      </c>
      <c r="L39">
        <v>367.23630000000003</v>
      </c>
      <c r="M39">
        <v>0.99993799999999999</v>
      </c>
      <c r="N39">
        <v>0</v>
      </c>
      <c r="O39">
        <v>9.5977839999999998E-3</v>
      </c>
      <c r="P39">
        <v>0.99543890000000002</v>
      </c>
      <c r="Q39">
        <v>8.1864220000000001E-2</v>
      </c>
      <c r="R39">
        <v>4.8987160000000002E-2</v>
      </c>
      <c r="S39">
        <v>2.998688</v>
      </c>
      <c r="T39">
        <v>0.10197440000000001</v>
      </c>
      <c r="U39">
        <v>0.12670899999999999</v>
      </c>
      <c r="V39">
        <v>-3.946181E-2</v>
      </c>
      <c r="W39">
        <v>8.7477139999999995E-2</v>
      </c>
      <c r="X39">
        <v>0.99538459999999995</v>
      </c>
      <c r="Y39">
        <v>-3.2612540000000002E-2</v>
      </c>
      <c r="Z39">
        <v>-2.2797860000000001E-4</v>
      </c>
      <c r="AA39">
        <v>0.99946800000000002</v>
      </c>
      <c r="AB39">
        <v>5</v>
      </c>
      <c r="AC39">
        <v>306.66239999999999</v>
      </c>
      <c r="AD39">
        <v>10.430205000000001</v>
      </c>
      <c r="AE39">
        <v>12.9591999999999</v>
      </c>
      <c r="AF39">
        <v>-10.003724843095901</v>
      </c>
      <c r="AG39">
        <v>10.430205000000001</v>
      </c>
      <c r="AH39">
        <v>306.41881774786998</v>
      </c>
      <c r="AI39">
        <v>88.051496219897501</v>
      </c>
      <c r="AJ39">
        <v>91.869884201990502</v>
      </c>
      <c r="AK39">
        <v>306.75944249049701</v>
      </c>
      <c r="AL39">
        <v>84.981514657257307</v>
      </c>
      <c r="AM39">
        <v>92.270290035150694</v>
      </c>
      <c r="AN39">
        <v>0.99999999319410704</v>
      </c>
    </row>
    <row r="40" spans="1:40" x14ac:dyDescent="0.25">
      <c r="A40" t="str">
        <f>"20190312160602361"</f>
        <v>20190312160602361</v>
      </c>
      <c r="B40" t="str">
        <f>"1552377962355371"</f>
        <v>1552377962355371</v>
      </c>
      <c r="C40" t="s">
        <v>40</v>
      </c>
      <c r="D40">
        <v>5.7817619999999996</v>
      </c>
      <c r="E40">
        <v>0.50187219999999999</v>
      </c>
      <c r="F40" t="s">
        <v>42</v>
      </c>
      <c r="G40">
        <v>-170.08879999999999</v>
      </c>
      <c r="H40">
        <v>12.898149999999999</v>
      </c>
      <c r="I40">
        <v>380.21929999999998</v>
      </c>
      <c r="J40">
        <v>-475.47820000000002</v>
      </c>
      <c r="K40">
        <v>1.109542</v>
      </c>
      <c r="L40">
        <v>367.23689999999999</v>
      </c>
      <c r="M40">
        <v>0.99993460000000001</v>
      </c>
      <c r="N40">
        <v>0</v>
      </c>
      <c r="O40">
        <v>9.8775229999999992E-3</v>
      </c>
      <c r="P40">
        <v>0.99532019999999999</v>
      </c>
      <c r="Q40">
        <v>8.3554420000000004E-2</v>
      </c>
      <c r="R40">
        <v>4.8542420000000003E-2</v>
      </c>
      <c r="S40">
        <v>2.997986</v>
      </c>
      <c r="T40">
        <v>0.115719</v>
      </c>
      <c r="U40">
        <v>0.12744140000000001</v>
      </c>
      <c r="V40">
        <v>-3.8741280000000003E-2</v>
      </c>
      <c r="W40">
        <v>8.9273950000000005E-2</v>
      </c>
      <c r="X40">
        <v>0.99525339999999995</v>
      </c>
      <c r="Y40">
        <v>-3.2582930000000003E-2</v>
      </c>
      <c r="Z40">
        <v>-2.4738579999999998E-4</v>
      </c>
      <c r="AA40">
        <v>0.99946900000000005</v>
      </c>
      <c r="AB40">
        <v>5</v>
      </c>
      <c r="AC40">
        <v>305.38940000000002</v>
      </c>
      <c r="AD40">
        <v>11.788608</v>
      </c>
      <c r="AE40">
        <v>12.982399999999901</v>
      </c>
      <c r="AF40">
        <v>-9.9504252631483698</v>
      </c>
      <c r="AG40">
        <v>11.788608</v>
      </c>
      <c r="AH40">
        <v>305.04900216124599</v>
      </c>
      <c r="AI40">
        <v>87.788083135788199</v>
      </c>
      <c r="AJ40">
        <v>91.868274585809203</v>
      </c>
      <c r="AK40">
        <v>305.43882523521302</v>
      </c>
      <c r="AL40">
        <v>84.878160788247598</v>
      </c>
      <c r="AM40">
        <v>92.2291727164164</v>
      </c>
      <c r="AN40">
        <v>1.0000000275681</v>
      </c>
    </row>
    <row r="41" spans="1:40" x14ac:dyDescent="0.25">
      <c r="A41" t="str">
        <f>"20190312160602382"</f>
        <v>20190312160602382</v>
      </c>
      <c r="B41" t="str">
        <f>"1552377962374891"</f>
        <v>1552377962374891</v>
      </c>
      <c r="C41" t="s">
        <v>40</v>
      </c>
      <c r="D41">
        <v>5.7852439999999996</v>
      </c>
      <c r="E41">
        <v>0.50158009999999997</v>
      </c>
      <c r="F41" t="s">
        <v>42</v>
      </c>
      <c r="G41">
        <v>-170.08879999999999</v>
      </c>
      <c r="H41">
        <v>13.6345299999999</v>
      </c>
      <c r="I41">
        <v>380.22379999999998</v>
      </c>
      <c r="J41">
        <v>-475.43150000000003</v>
      </c>
      <c r="K41">
        <v>1.109923</v>
      </c>
      <c r="L41">
        <v>367.23790000000002</v>
      </c>
      <c r="M41">
        <v>0.9999228</v>
      </c>
      <c r="N41">
        <v>0</v>
      </c>
      <c r="O41">
        <v>1.027429E-2</v>
      </c>
      <c r="P41">
        <v>0.99511249999999996</v>
      </c>
      <c r="Q41">
        <v>8.5568439999999996E-2</v>
      </c>
      <c r="R41">
        <v>4.9291599999999998E-2</v>
      </c>
      <c r="S41">
        <v>2.997528</v>
      </c>
      <c r="T41">
        <v>0.12293900000000001</v>
      </c>
      <c r="U41">
        <v>0.1274719</v>
      </c>
      <c r="V41">
        <v>-3.9089319999999997E-2</v>
      </c>
      <c r="W41">
        <v>9.2533420000000005E-2</v>
      </c>
      <c r="X41">
        <v>0.99494199999999999</v>
      </c>
      <c r="Y41">
        <v>-3.2201380000000002E-2</v>
      </c>
      <c r="Z41">
        <v>-2.3877060000000001E-4</v>
      </c>
      <c r="AA41">
        <v>0.99948139999999996</v>
      </c>
      <c r="AB41">
        <v>5</v>
      </c>
      <c r="AC41">
        <v>305.34269999999998</v>
      </c>
      <c r="AD41">
        <v>12.5246069999999</v>
      </c>
      <c r="AE41">
        <v>12.9858999999999</v>
      </c>
      <c r="AF41">
        <v>-9.8314470237658096</v>
      </c>
      <c r="AG41">
        <v>12.5246069999999</v>
      </c>
      <c r="AH41">
        <v>304.94786064406799</v>
      </c>
      <c r="AI41">
        <v>87.649329282341697</v>
      </c>
      <c r="AJ41">
        <v>91.846562806299403</v>
      </c>
      <c r="AK41">
        <v>305.36326046608798</v>
      </c>
      <c r="AL41">
        <v>84.690630231631204</v>
      </c>
      <c r="AM41">
        <v>92.249881688831294</v>
      </c>
      <c r="AN41">
        <v>0.99999999605947898</v>
      </c>
    </row>
    <row r="42" spans="1:40" x14ac:dyDescent="0.25">
      <c r="A42" t="str">
        <f>"20190312160602395"</f>
        <v>20190312160602395</v>
      </c>
      <c r="B42" t="str">
        <f>"1552377962385627"</f>
        <v>1552377962385627</v>
      </c>
      <c r="C42" t="s">
        <v>40</v>
      </c>
      <c r="D42">
        <v>5.7851499999999998</v>
      </c>
      <c r="E42">
        <v>0.50138709999999997</v>
      </c>
      <c r="F42" t="s">
        <v>42</v>
      </c>
      <c r="G42">
        <v>-158.19499999999999</v>
      </c>
      <c r="H42">
        <v>15.30578</v>
      </c>
      <c r="I42">
        <v>381.24639999999999</v>
      </c>
      <c r="J42">
        <v>-475.40690000000001</v>
      </c>
      <c r="K42">
        <v>1.11015</v>
      </c>
      <c r="L42">
        <v>367.23840000000001</v>
      </c>
      <c r="M42">
        <v>0.99991410000000003</v>
      </c>
      <c r="N42">
        <v>0</v>
      </c>
      <c r="O42">
        <v>1.0463750000000001E-2</v>
      </c>
      <c r="P42">
        <v>0.99521079999999995</v>
      </c>
      <c r="Q42">
        <v>8.3866940000000001E-2</v>
      </c>
      <c r="R42">
        <v>5.0219550000000002E-2</v>
      </c>
      <c r="S42">
        <v>2.996613</v>
      </c>
      <c r="T42">
        <v>0.13409470000000001</v>
      </c>
      <c r="U42">
        <v>0.1323242</v>
      </c>
      <c r="V42">
        <v>-3.9820080000000001E-2</v>
      </c>
      <c r="W42">
        <v>9.172197E-2</v>
      </c>
      <c r="X42">
        <v>0.99498810000000004</v>
      </c>
      <c r="Y42">
        <v>-3.3635499999999999E-2</v>
      </c>
      <c r="Z42">
        <v>-2.8407219999999997E-4</v>
      </c>
      <c r="AA42">
        <v>0.99943409999999999</v>
      </c>
      <c r="AB42">
        <v>5</v>
      </c>
      <c r="AC42">
        <v>317.21190000000001</v>
      </c>
      <c r="AD42">
        <v>14.1956299999999</v>
      </c>
      <c r="AE42">
        <v>14.0079999999999</v>
      </c>
      <c r="AF42">
        <v>-10.6665835208582</v>
      </c>
      <c r="AG42">
        <v>14.1956299999999</v>
      </c>
      <c r="AH42">
        <v>316.70808465074902</v>
      </c>
      <c r="AI42">
        <v>87.435033350542</v>
      </c>
      <c r="AJ42">
        <v>91.928966534346401</v>
      </c>
      <c r="AK42">
        <v>317.205458336155</v>
      </c>
      <c r="AL42">
        <v>84.737321159908106</v>
      </c>
      <c r="AM42">
        <v>92.291791855414303</v>
      </c>
      <c r="AN42">
        <v>0.99999993884674598</v>
      </c>
    </row>
    <row r="43" spans="1:40" x14ac:dyDescent="0.25">
      <c r="A43" t="str">
        <f>"20190312160602407"</f>
        <v>20190312160602407</v>
      </c>
      <c r="B43" t="str">
        <f>"1552377962395387"</f>
        <v>1552377962395387</v>
      </c>
      <c r="C43" t="s">
        <v>40</v>
      </c>
      <c r="D43">
        <v>5.7540690000000003</v>
      </c>
      <c r="E43">
        <v>0.50147959999999903</v>
      </c>
      <c r="F43" t="s">
        <v>42</v>
      </c>
      <c r="G43">
        <v>-170.08879999999999</v>
      </c>
      <c r="H43">
        <v>14.47875</v>
      </c>
      <c r="I43">
        <v>381.15359999999998</v>
      </c>
      <c r="J43">
        <v>-475.38069999999999</v>
      </c>
      <c r="K43">
        <v>1.110144</v>
      </c>
      <c r="L43">
        <v>367.23899999999998</v>
      </c>
      <c r="M43">
        <v>0.99991099999999999</v>
      </c>
      <c r="N43">
        <v>0</v>
      </c>
      <c r="O43">
        <v>1.065579E-2</v>
      </c>
      <c r="P43">
        <v>0.99534069999999997</v>
      </c>
      <c r="Q43">
        <v>8.1858120000000006E-2</v>
      </c>
      <c r="R43">
        <v>5.0957839999999997E-2</v>
      </c>
      <c r="S43">
        <v>2.9964599999999999</v>
      </c>
      <c r="T43">
        <v>0.13120329999999999</v>
      </c>
      <c r="U43">
        <v>0.1365662</v>
      </c>
      <c r="V43">
        <v>-4.0362639999999998E-2</v>
      </c>
      <c r="W43">
        <v>8.9850509999999995E-2</v>
      </c>
      <c r="X43">
        <v>0.99513700000000005</v>
      </c>
      <c r="Y43">
        <v>-3.4857760000000002E-2</v>
      </c>
      <c r="Z43">
        <v>-2.9629150000000002E-4</v>
      </c>
      <c r="AA43">
        <v>0.99939219999999895</v>
      </c>
      <c r="AB43">
        <v>4</v>
      </c>
      <c r="AC43">
        <v>305.2919</v>
      </c>
      <c r="AD43">
        <v>13.368606</v>
      </c>
      <c r="AE43">
        <v>13.914599999999901</v>
      </c>
      <c r="AF43">
        <v>-10.6402181294934</v>
      </c>
      <c r="AG43">
        <v>13.368606</v>
      </c>
      <c r="AH43">
        <v>304.83951541924301</v>
      </c>
      <c r="AI43">
        <v>87.490453446141899</v>
      </c>
      <c r="AJ43">
        <v>91.9990590616611</v>
      </c>
      <c r="AK43">
        <v>305.317972005032</v>
      </c>
      <c r="AL43">
        <v>84.844992654036702</v>
      </c>
      <c r="AM43">
        <v>92.322636995203197</v>
      </c>
      <c r="AN43">
        <v>0.99999995281201304</v>
      </c>
    </row>
    <row r="44" spans="1:40" x14ac:dyDescent="0.25">
      <c r="A44" t="str">
        <f>"20190312160602418"</f>
        <v>20190312160602418</v>
      </c>
      <c r="B44" t="str">
        <f>"1552377962414907"</f>
        <v>1552377962414907</v>
      </c>
      <c r="C44" t="s">
        <v>40</v>
      </c>
      <c r="D44">
        <v>5.8300900000000002</v>
      </c>
      <c r="E44">
        <v>0.50138749999999999</v>
      </c>
      <c r="F44" t="s">
        <v>43</v>
      </c>
      <c r="G44">
        <v>-285.32479999999998</v>
      </c>
      <c r="H44">
        <v>8.7300160000000009</v>
      </c>
      <c r="I44">
        <v>375.9862</v>
      </c>
      <c r="J44">
        <v>-475.35359999999997</v>
      </c>
      <c r="K44">
        <v>1.1100570000000001</v>
      </c>
      <c r="L44">
        <v>367.2396</v>
      </c>
      <c r="M44">
        <v>0.99990990000000002</v>
      </c>
      <c r="N44">
        <v>0</v>
      </c>
      <c r="O44">
        <v>1.086926E-2</v>
      </c>
      <c r="P44">
        <v>0.99542719999999996</v>
      </c>
      <c r="Q44">
        <v>8.0581650000000005E-2</v>
      </c>
      <c r="R44">
        <v>5.1295050000000002E-2</v>
      </c>
      <c r="S44">
        <v>2.9971009999999998</v>
      </c>
      <c r="T44">
        <v>0.1201632</v>
      </c>
      <c r="U44">
        <v>0.13793949999999999</v>
      </c>
      <c r="V44">
        <v>-4.0484579999999999E-2</v>
      </c>
      <c r="W44">
        <v>8.8419520000000001E-2</v>
      </c>
      <c r="X44">
        <v>0.99526020000000004</v>
      </c>
      <c r="Y44">
        <v>-3.5095389999999997E-2</v>
      </c>
      <c r="Z44">
        <v>-2.675307E-4</v>
      </c>
      <c r="AA44">
        <v>0.99938389999999999</v>
      </c>
      <c r="AB44">
        <v>4</v>
      </c>
      <c r="AC44">
        <v>190.02879999999999</v>
      </c>
      <c r="AD44">
        <v>7.6199589999999997</v>
      </c>
      <c r="AE44">
        <v>8.7466000000000008</v>
      </c>
      <c r="AF44">
        <v>-6.6698448143001396</v>
      </c>
      <c r="AG44">
        <v>7.6199589999999997</v>
      </c>
      <c r="AH44">
        <v>189.80809350223001</v>
      </c>
      <c r="AI44">
        <v>87.702477856387304</v>
      </c>
      <c r="AJ44">
        <v>92.0125420930991</v>
      </c>
      <c r="AK44">
        <v>190.078044402714</v>
      </c>
      <c r="AL44">
        <v>84.927309943469695</v>
      </c>
      <c r="AM44">
        <v>92.329358157283494</v>
      </c>
      <c r="AN44">
        <v>0.99999993921942099</v>
      </c>
    </row>
    <row r="45" spans="1:40" x14ac:dyDescent="0.25">
      <c r="A45" t="str">
        <f>"20190312160602438"</f>
        <v>20190312160602438</v>
      </c>
      <c r="B45" t="str">
        <f>"1552377962435403"</f>
        <v>1552377962435403</v>
      </c>
      <c r="C45" t="s">
        <v>40</v>
      </c>
      <c r="D45">
        <v>5.8762990000000004</v>
      </c>
      <c r="E45">
        <v>0.5011118</v>
      </c>
      <c r="F45" t="s">
        <v>42</v>
      </c>
      <c r="G45">
        <v>-170.08879999999999</v>
      </c>
      <c r="H45">
        <v>12.748699999999999</v>
      </c>
      <c r="I45">
        <v>381.47449999999998</v>
      </c>
      <c r="J45">
        <v>-475.30540000000002</v>
      </c>
      <c r="K45">
        <v>1.1097379999999999</v>
      </c>
      <c r="L45">
        <v>367.2405</v>
      </c>
      <c r="M45">
        <v>0.99991269999999999</v>
      </c>
      <c r="N45">
        <v>0</v>
      </c>
      <c r="O45">
        <v>1.12984E-2</v>
      </c>
      <c r="P45">
        <v>0.99560919999999997</v>
      </c>
      <c r="Q45">
        <v>7.7840419999999994E-2</v>
      </c>
      <c r="R45">
        <v>5.199637E-2</v>
      </c>
      <c r="S45">
        <v>2.9973450000000001</v>
      </c>
      <c r="T45">
        <v>0.1142787</v>
      </c>
      <c r="U45">
        <v>0.13977049999999999</v>
      </c>
      <c r="V45">
        <v>-4.0757979999999999E-2</v>
      </c>
      <c r="W45">
        <v>8.4665690000000002E-2</v>
      </c>
      <c r="X45">
        <v>0.99557549999999995</v>
      </c>
      <c r="Y45">
        <v>-3.5274069999999998E-2</v>
      </c>
      <c r="Z45">
        <v>-2.4147700000000001E-4</v>
      </c>
      <c r="AA45">
        <v>0.99937770000000004</v>
      </c>
      <c r="AB45">
        <v>5</v>
      </c>
      <c r="AC45">
        <v>305.21660000000003</v>
      </c>
      <c r="AD45">
        <v>11.638961999999999</v>
      </c>
      <c r="AE45">
        <v>14.233999999999901</v>
      </c>
      <c r="AF45">
        <v>-10.7689254902745</v>
      </c>
      <c r="AG45">
        <v>11.638961999999999</v>
      </c>
      <c r="AH45">
        <v>304.91550893069001</v>
      </c>
      <c r="AI45">
        <v>87.815378777262197</v>
      </c>
      <c r="AJ45">
        <v>92.022716495757507</v>
      </c>
      <c r="AK45">
        <v>305.32753360794999</v>
      </c>
      <c r="AL45">
        <v>85.143199146730794</v>
      </c>
      <c r="AM45">
        <v>92.344329390525701</v>
      </c>
      <c r="AN45">
        <v>1.00000003409855</v>
      </c>
    </row>
    <row r="46" spans="1:40" x14ac:dyDescent="0.25">
      <c r="A46" t="str">
        <f>"20190312160602451"</f>
        <v>20190312160602451</v>
      </c>
      <c r="B46" t="str">
        <f>"1552377962445163"</f>
        <v>1552377962445163</v>
      </c>
      <c r="C46" t="s">
        <v>40</v>
      </c>
      <c r="D46">
        <v>5.9717019999999996</v>
      </c>
      <c r="E46">
        <v>0.50102219999999997</v>
      </c>
      <c r="F46" t="s">
        <v>42</v>
      </c>
      <c r="G46">
        <v>-168.84350000000001</v>
      </c>
      <c r="H46">
        <v>12.398490000000001</v>
      </c>
      <c r="I46">
        <v>381.95699999999999</v>
      </c>
      <c r="J46">
        <v>-475.27289999999999</v>
      </c>
      <c r="K46">
        <v>1.1095469999999901</v>
      </c>
      <c r="L46">
        <v>367.24119999999999</v>
      </c>
      <c r="M46">
        <v>0.99991390000000002</v>
      </c>
      <c r="N46">
        <v>0</v>
      </c>
      <c r="O46">
        <v>1.1613679999999999E-2</v>
      </c>
      <c r="P46">
        <v>0.9956682</v>
      </c>
      <c r="Q46">
        <v>7.7068250000000005E-2</v>
      </c>
      <c r="R46">
        <v>5.2013070000000002E-2</v>
      </c>
      <c r="S46">
        <v>2.9970699999999999</v>
      </c>
      <c r="T46">
        <v>0.1104002</v>
      </c>
      <c r="U46">
        <v>0.14392089999999999</v>
      </c>
      <c r="V46">
        <v>-4.0462659999999998E-2</v>
      </c>
      <c r="W46">
        <v>8.3151359999999994E-2</v>
      </c>
      <c r="X46">
        <v>0.99571509999999996</v>
      </c>
      <c r="Y46">
        <v>-3.6344759999999997E-2</v>
      </c>
      <c r="Z46">
        <v>-2.4140469999999999E-4</v>
      </c>
      <c r="AA46">
        <v>0.99933930000000004</v>
      </c>
      <c r="AB46">
        <v>5</v>
      </c>
      <c r="AC46">
        <v>306.42939999999999</v>
      </c>
      <c r="AD46">
        <v>11.288943</v>
      </c>
      <c r="AE46">
        <v>14.7158</v>
      </c>
      <c r="AF46">
        <v>-11.140882441381001</v>
      </c>
      <c r="AG46">
        <v>11.288943</v>
      </c>
      <c r="AH46">
        <v>306.16506819876798</v>
      </c>
      <c r="AI46">
        <v>87.8897374309323</v>
      </c>
      <c r="AJ46">
        <v>92.083987017470406</v>
      </c>
      <c r="AK46">
        <v>306.575616252803</v>
      </c>
      <c r="AL46">
        <v>85.230270615812699</v>
      </c>
      <c r="AM46">
        <v>92.327035896181798</v>
      </c>
      <c r="AN46">
        <v>0.99999996794606705</v>
      </c>
    </row>
    <row r="47" spans="1:40" x14ac:dyDescent="0.25">
      <c r="A47" t="str">
        <f>"20190312160602464"</f>
        <v>20190312160602464</v>
      </c>
      <c r="B47" t="str">
        <f>"1552377962454924"</f>
        <v>1552377962454924</v>
      </c>
      <c r="C47" t="s">
        <v>40</v>
      </c>
      <c r="D47">
        <v>5.9222229999999998</v>
      </c>
      <c r="E47">
        <v>0.50090630000000003</v>
      </c>
      <c r="F47" t="s">
        <v>42</v>
      </c>
      <c r="G47">
        <v>-168.84350000000001</v>
      </c>
      <c r="H47">
        <v>12.403409999999999</v>
      </c>
      <c r="I47">
        <v>382.05349999999999</v>
      </c>
      <c r="J47">
        <v>-475.23939999999999</v>
      </c>
      <c r="K47">
        <v>1.109426</v>
      </c>
      <c r="L47">
        <v>367.24189999999999</v>
      </c>
      <c r="M47">
        <v>0.9999133</v>
      </c>
      <c r="N47">
        <v>0</v>
      </c>
      <c r="O47">
        <v>1.195684E-2</v>
      </c>
      <c r="P47">
        <v>0.99563310000000005</v>
      </c>
      <c r="Q47">
        <v>7.7404500000000001E-2</v>
      </c>
      <c r="R47">
        <v>5.2187600000000001E-2</v>
      </c>
      <c r="S47">
        <v>2.9969480000000002</v>
      </c>
      <c r="T47">
        <v>0.11045729999999999</v>
      </c>
      <c r="U47">
        <v>0.14486689999999999</v>
      </c>
      <c r="V47">
        <v>-4.0298779999999999E-2</v>
      </c>
      <c r="W47">
        <v>8.289146E-2</v>
      </c>
      <c r="X47">
        <v>0.9957435</v>
      </c>
      <c r="Y47">
        <v>-3.6318749999999997E-2</v>
      </c>
      <c r="Z47">
        <v>-2.2842629999999999E-4</v>
      </c>
      <c r="AA47">
        <v>0.99934020000000001</v>
      </c>
      <c r="AB47">
        <v>5</v>
      </c>
      <c r="AC47">
        <v>306.39589999999998</v>
      </c>
      <c r="AD47">
        <v>11.293984</v>
      </c>
      <c r="AE47">
        <v>14.8116</v>
      </c>
      <c r="AF47">
        <v>-11.131868887414599</v>
      </c>
      <c r="AG47">
        <v>11.293984</v>
      </c>
      <c r="AH47">
        <v>306.13611704292299</v>
      </c>
      <c r="AI47">
        <v>87.888594492695404</v>
      </c>
      <c r="AJ47">
        <v>92.082499197354096</v>
      </c>
      <c r="AK47">
        <v>306.54656210376402</v>
      </c>
      <c r="AL47">
        <v>85.245213774999499</v>
      </c>
      <c r="AM47">
        <v>92.317555311157605</v>
      </c>
      <c r="AN47">
        <v>1.0000000518013299</v>
      </c>
    </row>
    <row r="48" spans="1:40" x14ac:dyDescent="0.25">
      <c r="A48" t="str">
        <f>"20190312160602485"</f>
        <v>20190312160602485</v>
      </c>
      <c r="B48" t="str">
        <f>"1552377962475420"</f>
        <v>1552377962475420</v>
      </c>
      <c r="C48" t="s">
        <v>40</v>
      </c>
      <c r="D48">
        <v>5.9022569999999996</v>
      </c>
      <c r="E48">
        <v>0.50064229999999998</v>
      </c>
      <c r="F48" t="s">
        <v>42</v>
      </c>
      <c r="G48">
        <v>-170.08879999999999</v>
      </c>
      <c r="H48">
        <v>12.669079999999999</v>
      </c>
      <c r="I48">
        <v>382.14280000000002</v>
      </c>
      <c r="J48">
        <v>-475.18779999999998</v>
      </c>
      <c r="K48">
        <v>1.109531</v>
      </c>
      <c r="L48">
        <v>367.24310000000003</v>
      </c>
      <c r="M48">
        <v>0.99990690000000004</v>
      </c>
      <c r="N48">
        <v>0</v>
      </c>
      <c r="O48">
        <v>1.2455610000000001E-2</v>
      </c>
      <c r="P48">
        <v>0.9957049</v>
      </c>
      <c r="Q48">
        <v>7.6627219999999996E-2</v>
      </c>
      <c r="R48">
        <v>5.1967190000000003E-2</v>
      </c>
      <c r="S48">
        <v>2.9967039999999998</v>
      </c>
      <c r="T48">
        <v>0.11352130000000001</v>
      </c>
      <c r="U48">
        <v>0.14633180000000001</v>
      </c>
      <c r="V48">
        <v>-3.9581199999999997E-2</v>
      </c>
      <c r="W48">
        <v>8.2209039999999997E-2</v>
      </c>
      <c r="X48">
        <v>0.99582879999999996</v>
      </c>
      <c r="Y48">
        <v>-3.6310969999999998E-2</v>
      </c>
      <c r="Z48">
        <v>-2.157548E-4</v>
      </c>
      <c r="AA48">
        <v>0.99934049999999996</v>
      </c>
      <c r="AB48">
        <v>6</v>
      </c>
      <c r="AC48">
        <v>305.09899999999999</v>
      </c>
      <c r="AD48">
        <v>11.559549000000001</v>
      </c>
      <c r="AE48">
        <v>14.8996999999999</v>
      </c>
      <c r="AF48">
        <v>-11.082420125847401</v>
      </c>
      <c r="AG48">
        <v>11.559549000000001</v>
      </c>
      <c r="AH48">
        <v>304.824387902274</v>
      </c>
      <c r="AI48">
        <v>87.829702875892707</v>
      </c>
      <c r="AJ48">
        <v>92.082170501689106</v>
      </c>
      <c r="AK48">
        <v>305.24473897010103</v>
      </c>
      <c r="AL48">
        <v>85.284447215022695</v>
      </c>
      <c r="AM48">
        <v>92.276136800650093</v>
      </c>
      <c r="AN48">
        <v>0.99999999828029995</v>
      </c>
    </row>
    <row r="49" spans="1:40" x14ac:dyDescent="0.25">
      <c r="A49" t="str">
        <f>"20190312160602508"</f>
        <v>20190312160602508</v>
      </c>
      <c r="B49" t="str">
        <f>"1552377962504699"</f>
        <v>1552377962504699</v>
      </c>
      <c r="C49" t="s">
        <v>40</v>
      </c>
      <c r="D49">
        <v>5.8413570000000004</v>
      </c>
      <c r="E49">
        <v>0.50033019999999995</v>
      </c>
      <c r="F49" t="s">
        <v>42</v>
      </c>
      <c r="G49">
        <v>-170.08879999999999</v>
      </c>
      <c r="H49">
        <v>12.89012</v>
      </c>
      <c r="I49">
        <v>382.28289999999998</v>
      </c>
      <c r="J49">
        <v>-475.1343</v>
      </c>
      <c r="K49">
        <v>1.1100289999999999</v>
      </c>
      <c r="L49">
        <v>367.24430000000001</v>
      </c>
      <c r="M49">
        <v>0.99988980000000005</v>
      </c>
      <c r="N49">
        <v>0</v>
      </c>
      <c r="O49">
        <v>1.289562E-2</v>
      </c>
      <c r="P49">
        <v>0.99578460000000002</v>
      </c>
      <c r="Q49">
        <v>7.5061559999999999E-2</v>
      </c>
      <c r="R49">
        <v>5.2717090000000001E-2</v>
      </c>
      <c r="S49">
        <v>2.9963679999999999</v>
      </c>
      <c r="T49">
        <v>0.1156976</v>
      </c>
      <c r="U49">
        <v>0.14770510000000001</v>
      </c>
      <c r="V49">
        <v>-3.9882620000000001E-2</v>
      </c>
      <c r="W49">
        <v>8.2385829999999993E-2</v>
      </c>
      <c r="X49">
        <v>0.99580219999999997</v>
      </c>
      <c r="Y49">
        <v>-3.6333079999999997E-2</v>
      </c>
      <c r="Z49">
        <v>-2.0336139999999999E-4</v>
      </c>
      <c r="AA49">
        <v>0.99933970000000005</v>
      </c>
      <c r="AB49">
        <v>6</v>
      </c>
      <c r="AC49">
        <v>305.0455</v>
      </c>
      <c r="AD49">
        <v>11.780091000000001</v>
      </c>
      <c r="AE49">
        <v>15.038599999999899</v>
      </c>
      <c r="AF49">
        <v>-11.0869981305792</v>
      </c>
      <c r="AG49">
        <v>11.780091000000001</v>
      </c>
      <c r="AH49">
        <v>304.760679981951</v>
      </c>
      <c r="AI49">
        <v>87.787876949980799</v>
      </c>
      <c r="AJ49">
        <v>92.083464919869101</v>
      </c>
      <c r="AK49">
        <v>305.18971826484699</v>
      </c>
      <c r="AL49">
        <v>85.274283590278401</v>
      </c>
      <c r="AM49">
        <v>92.293512867554298</v>
      </c>
      <c r="AN49">
        <v>1.00000003494384</v>
      </c>
    </row>
    <row r="50" spans="1:40" x14ac:dyDescent="0.25">
      <c r="A50" t="str">
        <f>"20190312160602530"</f>
        <v>20190312160602530</v>
      </c>
      <c r="B50" t="str">
        <f>"1552377962525195"</f>
        <v>1552377962525195</v>
      </c>
      <c r="C50" t="s">
        <v>40</v>
      </c>
      <c r="D50">
        <v>5.8907489999999996</v>
      </c>
      <c r="E50">
        <v>0.50010359999999998</v>
      </c>
      <c r="F50" t="s">
        <v>42</v>
      </c>
      <c r="G50">
        <v>-170.08879999999999</v>
      </c>
      <c r="H50">
        <v>12.98014</v>
      </c>
      <c r="I50">
        <v>382.80610000000001</v>
      </c>
      <c r="J50">
        <v>-475.08390000000003</v>
      </c>
      <c r="K50">
        <v>1.11029</v>
      </c>
      <c r="L50">
        <v>367.24549999999999</v>
      </c>
      <c r="M50">
        <v>0.99987510000000002</v>
      </c>
      <c r="N50">
        <v>0</v>
      </c>
      <c r="O50">
        <v>1.3261220000000001E-2</v>
      </c>
      <c r="P50">
        <v>0.99584969999999995</v>
      </c>
      <c r="Q50">
        <v>7.3653239999999995E-2</v>
      </c>
      <c r="R50">
        <v>5.3464680000000001E-2</v>
      </c>
      <c r="S50">
        <v>2.9958499999999999</v>
      </c>
      <c r="T50">
        <v>0.116577</v>
      </c>
      <c r="U50">
        <v>0.152832</v>
      </c>
      <c r="V50">
        <v>-4.025927E-2</v>
      </c>
      <c r="W50">
        <v>8.2211419999999993E-2</v>
      </c>
      <c r="X50">
        <v>0.99580139999999995</v>
      </c>
      <c r="Y50">
        <v>-3.7680940000000003E-2</v>
      </c>
      <c r="Z50">
        <v>-2.1691749999999999E-4</v>
      </c>
      <c r="AA50">
        <v>0.99928980000000001</v>
      </c>
      <c r="AB50">
        <v>5</v>
      </c>
      <c r="AC50">
        <v>304.99509999999998</v>
      </c>
      <c r="AD50">
        <v>11.86985</v>
      </c>
      <c r="AE50">
        <v>15.560600000000001</v>
      </c>
      <c r="AF50">
        <v>-11.4971063897592</v>
      </c>
      <c r="AG50">
        <v>11.86985</v>
      </c>
      <c r="AH50">
        <v>304.71430950694901</v>
      </c>
      <c r="AI50">
        <v>87.770811016723599</v>
      </c>
      <c r="AJ50">
        <v>92.160789055329204</v>
      </c>
      <c r="AK50">
        <v>305.16206712607101</v>
      </c>
      <c r="AL50">
        <v>85.284310288845802</v>
      </c>
      <c r="AM50">
        <v>92.315151118218907</v>
      </c>
      <c r="AN50">
        <v>0.99999997732065404</v>
      </c>
    </row>
    <row r="51" spans="1:40" x14ac:dyDescent="0.25">
      <c r="A51" t="str">
        <f>"20190312160602550"</f>
        <v>20190312160602550</v>
      </c>
      <c r="B51" t="str">
        <f>"1552377962545691"</f>
        <v>1552377962545691</v>
      </c>
      <c r="C51" t="s">
        <v>40</v>
      </c>
      <c r="D51">
        <v>5.829752</v>
      </c>
      <c r="E51">
        <v>0.50010869999999996</v>
      </c>
      <c r="F51" t="s">
        <v>42</v>
      </c>
      <c r="G51">
        <v>-170.08879999999999</v>
      </c>
      <c r="H51">
        <v>12.86726</v>
      </c>
      <c r="I51">
        <v>383.22559999999999</v>
      </c>
      <c r="J51">
        <v>-475.03280000000001</v>
      </c>
      <c r="K51">
        <v>1.110109</v>
      </c>
      <c r="L51">
        <v>367.2466</v>
      </c>
      <c r="M51">
        <v>0.99987320000000002</v>
      </c>
      <c r="N51">
        <v>0</v>
      </c>
      <c r="O51">
        <v>1.365922E-2</v>
      </c>
      <c r="P51">
        <v>0.99576039999999999</v>
      </c>
      <c r="Q51">
        <v>7.4626109999999996E-2</v>
      </c>
      <c r="R51">
        <v>5.3784150000000003E-2</v>
      </c>
      <c r="S51">
        <v>2.9955750000000001</v>
      </c>
      <c r="T51">
        <v>0.11547449999999999</v>
      </c>
      <c r="U51">
        <v>0.15695190000000001</v>
      </c>
      <c r="V51">
        <v>-4.0187069999999998E-2</v>
      </c>
      <c r="W51">
        <v>8.2790230000000006E-2</v>
      </c>
      <c r="X51">
        <v>0.99575639999999999</v>
      </c>
      <c r="Y51">
        <v>-3.8658459999999999E-2</v>
      </c>
      <c r="Z51">
        <v>-2.1838059999999999E-4</v>
      </c>
      <c r="AA51">
        <v>0.99925240000000004</v>
      </c>
      <c r="AB51">
        <v>5</v>
      </c>
      <c r="AC51">
        <v>304.94400000000002</v>
      </c>
      <c r="AD51">
        <v>11.757151</v>
      </c>
      <c r="AE51">
        <v>15.9789999999999</v>
      </c>
      <c r="AF51">
        <v>-11.7945878370013</v>
      </c>
      <c r="AG51">
        <v>11.757151</v>
      </c>
      <c r="AH51">
        <v>304.682148497024</v>
      </c>
      <c r="AI51">
        <v>87.791804833367095</v>
      </c>
      <c r="AJ51">
        <v>92.216876988146794</v>
      </c>
      <c r="AK51">
        <v>305.13694387052499</v>
      </c>
      <c r="AL51">
        <v>85.251033658233993</v>
      </c>
      <c r="AM51">
        <v>92.311108013089907</v>
      </c>
      <c r="AN51">
        <v>1.0000000154597899</v>
      </c>
    </row>
    <row r="52" spans="1:40" x14ac:dyDescent="0.25">
      <c r="A52" t="str">
        <f>"20190312160602573"</f>
        <v>20190312160602573</v>
      </c>
      <c r="B52" t="str">
        <f>"1552377962565212"</f>
        <v>1552377962565212</v>
      </c>
      <c r="C52" t="s">
        <v>40</v>
      </c>
      <c r="D52">
        <v>5.9592960000000001</v>
      </c>
      <c r="E52">
        <v>0.50025679999999995</v>
      </c>
      <c r="F52" t="s">
        <v>42</v>
      </c>
      <c r="G52">
        <v>-170.08879999999999</v>
      </c>
      <c r="H52">
        <v>13.37236</v>
      </c>
      <c r="I52">
        <v>383.32569999999998</v>
      </c>
      <c r="J52">
        <v>-474.97089999999997</v>
      </c>
      <c r="K52">
        <v>1.1097269999999999</v>
      </c>
      <c r="L52">
        <v>367.24799999999999</v>
      </c>
      <c r="M52">
        <v>0.99987530000000002</v>
      </c>
      <c r="N52">
        <v>0</v>
      </c>
      <c r="O52">
        <v>1.421419E-2</v>
      </c>
      <c r="P52">
        <v>0.99570130000000001</v>
      </c>
      <c r="Q52">
        <v>7.5174290000000005E-2</v>
      </c>
      <c r="R52">
        <v>5.4109070000000002E-2</v>
      </c>
      <c r="S52">
        <v>2.9951780000000001</v>
      </c>
      <c r="T52">
        <v>0.1204414</v>
      </c>
      <c r="U52">
        <v>0.1579285</v>
      </c>
      <c r="V52">
        <v>-3.996595E-2</v>
      </c>
      <c r="W52">
        <v>8.2025120000000007E-2</v>
      </c>
      <c r="X52">
        <v>0.99582859999999995</v>
      </c>
      <c r="Y52">
        <v>-3.8434780000000002E-2</v>
      </c>
      <c r="Z52">
        <v>-2.0102109999999999E-4</v>
      </c>
      <c r="AA52">
        <v>0.99926110000000001</v>
      </c>
      <c r="AB52">
        <v>5</v>
      </c>
      <c r="AC52">
        <v>304.88209999999998</v>
      </c>
      <c r="AD52">
        <v>12.262632999999999</v>
      </c>
      <c r="AE52">
        <v>16.077699999999901</v>
      </c>
      <c r="AF52">
        <v>-11.723408355909299</v>
      </c>
      <c r="AG52">
        <v>12.262632999999999</v>
      </c>
      <c r="AH52">
        <v>304.58846152242597</v>
      </c>
      <c r="AI52">
        <v>87.696239455373203</v>
      </c>
      <c r="AJ52">
        <v>92.204188624128903</v>
      </c>
      <c r="AK52">
        <v>305.060553602347</v>
      </c>
      <c r="AL52">
        <v>85.2950207684937</v>
      </c>
      <c r="AM52">
        <v>92.298238893104099</v>
      </c>
      <c r="AN52">
        <v>0.99999999902418801</v>
      </c>
    </row>
    <row r="53" spans="1:40" x14ac:dyDescent="0.25">
      <c r="A53" t="str">
        <f>"20190312160602585"</f>
        <v>20190312160602585</v>
      </c>
      <c r="B53" t="str">
        <f>"1552377962574971"</f>
        <v>1552377962574971</v>
      </c>
      <c r="C53" t="s">
        <v>40</v>
      </c>
      <c r="D53">
        <v>5.7809559999999998</v>
      </c>
      <c r="E53">
        <v>0.49653340000000001</v>
      </c>
      <c r="F53" t="s">
        <v>42</v>
      </c>
      <c r="G53">
        <v>-170.08879999999999</v>
      </c>
      <c r="H53">
        <v>13.48836</v>
      </c>
      <c r="I53">
        <v>383.30509999999998</v>
      </c>
      <c r="J53">
        <v>-474.93630000000002</v>
      </c>
      <c r="K53">
        <v>1.109577</v>
      </c>
      <c r="L53">
        <v>367.24880000000002</v>
      </c>
      <c r="M53">
        <v>0.99987470000000001</v>
      </c>
      <c r="N53">
        <v>0</v>
      </c>
      <c r="O53">
        <v>1.455672E-2</v>
      </c>
      <c r="P53">
        <v>0.99564779999999997</v>
      </c>
      <c r="Q53">
        <v>7.5678629999999997E-2</v>
      </c>
      <c r="R53">
        <v>5.4390309999999997E-2</v>
      </c>
      <c r="S53">
        <v>2.9951780000000001</v>
      </c>
      <c r="T53">
        <v>0.1216091</v>
      </c>
      <c r="U53">
        <v>0.15774540000000001</v>
      </c>
      <c r="V53">
        <v>-3.9911339999999997E-2</v>
      </c>
      <c r="W53">
        <v>8.1883029999999996E-2</v>
      </c>
      <c r="X53">
        <v>0.99584249999999996</v>
      </c>
      <c r="Y53">
        <v>-3.8031839999999997E-2</v>
      </c>
      <c r="Z53">
        <v>-1.8091179999999999E-4</v>
      </c>
      <c r="AA53">
        <v>0.99927650000000001</v>
      </c>
      <c r="AB53">
        <v>6</v>
      </c>
      <c r="AC53">
        <v>304.84750000000003</v>
      </c>
      <c r="AD53">
        <v>12.378783</v>
      </c>
      <c r="AE53">
        <v>16.056299999999901</v>
      </c>
      <c r="AF53">
        <v>-11.5978625065906</v>
      </c>
      <c r="AG53">
        <v>12.378783</v>
      </c>
      <c r="AH53">
        <v>304.54815435458198</v>
      </c>
      <c r="AI53">
        <v>87.674098779231997</v>
      </c>
      <c r="AJ53">
        <v>92.180895229243006</v>
      </c>
      <c r="AK53">
        <v>305.02020097702598</v>
      </c>
      <c r="AL53">
        <v>85.303189480544404</v>
      </c>
      <c r="AM53">
        <v>92.295069908875305</v>
      </c>
      <c r="AN53">
        <v>1.00000001523441</v>
      </c>
    </row>
    <row r="54" spans="1:40" x14ac:dyDescent="0.25">
      <c r="A54" t="str">
        <f>"20190312160602597"</f>
        <v>20190312160602597</v>
      </c>
      <c r="B54" t="str">
        <f>"1552377962595467"</f>
        <v>1552377962595467</v>
      </c>
      <c r="C54" t="s">
        <v>40</v>
      </c>
      <c r="D54">
        <v>5.959212</v>
      </c>
      <c r="E54">
        <v>0.49644319999999997</v>
      </c>
      <c r="F54" t="s">
        <v>41</v>
      </c>
      <c r="G54">
        <v>0</v>
      </c>
      <c r="H54">
        <v>0</v>
      </c>
      <c r="I54">
        <v>0</v>
      </c>
      <c r="J54">
        <v>-474.90159999999997</v>
      </c>
      <c r="K54">
        <v>1.109459</v>
      </c>
      <c r="L54">
        <v>367.24970000000002</v>
      </c>
      <c r="M54">
        <v>0.99987300000000001</v>
      </c>
      <c r="N54">
        <v>0</v>
      </c>
      <c r="O54">
        <v>1.4906269999999999E-2</v>
      </c>
      <c r="P54">
        <v>0.99559509999999996</v>
      </c>
      <c r="Q54">
        <v>7.6281580000000002E-2</v>
      </c>
      <c r="R54">
        <v>5.4515399999999999E-2</v>
      </c>
      <c r="S54">
        <v>2.9708559999999999</v>
      </c>
      <c r="T54">
        <v>0.41539530000000002</v>
      </c>
      <c r="U54">
        <v>0.19512940000000001</v>
      </c>
      <c r="V54">
        <v>-3.9693319999999997E-2</v>
      </c>
      <c r="W54">
        <v>8.1902530000000001E-2</v>
      </c>
      <c r="X54">
        <v>0.9958496</v>
      </c>
      <c r="Y54">
        <v>-5.0315350000000002E-2</v>
      </c>
      <c r="Z54">
        <v>-1.4252119999999999E-3</v>
      </c>
      <c r="AA54">
        <v>0.99873239999999996</v>
      </c>
      <c r="AB54">
        <v>6</v>
      </c>
      <c r="AC54">
        <v>2.9708559999999999</v>
      </c>
      <c r="AD54">
        <v>0.41539530000000002</v>
      </c>
      <c r="AE54">
        <v>0.19512940000000001</v>
      </c>
      <c r="AF54">
        <v>-0.14794269069402599</v>
      </c>
      <c r="AG54">
        <v>0.41539530000000002</v>
      </c>
      <c r="AH54">
        <v>2.9166571707784099</v>
      </c>
      <c r="AI54">
        <v>81.904617898667894</v>
      </c>
      <c r="AJ54">
        <v>92.903746611861806</v>
      </c>
      <c r="AK54">
        <v>2.9498015775378801</v>
      </c>
      <c r="AL54">
        <v>85.3020683990338</v>
      </c>
      <c r="AM54">
        <v>92.282529882400894</v>
      </c>
      <c r="AN54">
        <v>1.00000000494659</v>
      </c>
    </row>
    <row r="55" spans="1:40" x14ac:dyDescent="0.25">
      <c r="A55" t="str">
        <f>"20190312160602616"</f>
        <v>20190312160602616</v>
      </c>
      <c r="B55" t="str">
        <f>"1552377962605231"</f>
        <v>1552377962605231</v>
      </c>
      <c r="C55" t="s">
        <v>40</v>
      </c>
      <c r="D55">
        <v>5.9352010000000002</v>
      </c>
      <c r="E55">
        <v>0.4965405</v>
      </c>
      <c r="F55" t="s">
        <v>41</v>
      </c>
      <c r="G55">
        <v>0</v>
      </c>
      <c r="H55">
        <v>0</v>
      </c>
      <c r="I55">
        <v>0</v>
      </c>
      <c r="J55">
        <v>-474.84629999999999</v>
      </c>
      <c r="K55">
        <v>1.1093580000000001</v>
      </c>
      <c r="L55">
        <v>367.25110000000001</v>
      </c>
      <c r="M55">
        <v>0.99986790000000003</v>
      </c>
      <c r="N55">
        <v>0</v>
      </c>
      <c r="O55">
        <v>1.5485759999999999E-2</v>
      </c>
      <c r="P55">
        <v>0.9955676</v>
      </c>
      <c r="Q55">
        <v>7.6660569999999997E-2</v>
      </c>
      <c r="R55">
        <v>5.4484459999999998E-2</v>
      </c>
      <c r="S55">
        <v>2.970459</v>
      </c>
      <c r="T55">
        <v>0.41858279999999998</v>
      </c>
      <c r="U55">
        <v>0.19653319999999999</v>
      </c>
      <c r="V55">
        <v>-3.9091330000000001E-2</v>
      </c>
      <c r="W55">
        <v>8.1567000000000001E-2</v>
      </c>
      <c r="X55">
        <v>0.99590089999999998</v>
      </c>
      <c r="Y55">
        <v>-5.0216589999999998E-2</v>
      </c>
      <c r="Z55">
        <v>-1.348159E-3</v>
      </c>
      <c r="AA55">
        <v>0.99873749999999994</v>
      </c>
      <c r="AB55">
        <v>6</v>
      </c>
      <c r="AC55">
        <v>2.970459</v>
      </c>
      <c r="AD55">
        <v>0.41858279999999998</v>
      </c>
      <c r="AE55">
        <v>0.19653319999999999</v>
      </c>
      <c r="AF55">
        <v>-0.14759129653077099</v>
      </c>
      <c r="AG55">
        <v>0.41858279999999998</v>
      </c>
      <c r="AH55">
        <v>2.9155051727636399</v>
      </c>
      <c r="AI55">
        <v>81.840111049267904</v>
      </c>
      <c r="AJ55">
        <v>92.8980040617257</v>
      </c>
      <c r="AK55">
        <v>2.9490956518361702</v>
      </c>
      <c r="AL55">
        <v>85.321357156891693</v>
      </c>
      <c r="AM55">
        <v>92.247833081078099</v>
      </c>
      <c r="AN55">
        <v>0.999999955095488</v>
      </c>
    </row>
    <row r="56" spans="1:40" x14ac:dyDescent="0.25">
      <c r="A56" t="str">
        <f>"20190312160602628"</f>
        <v>20190312160602628</v>
      </c>
      <c r="B56" t="str">
        <f>"1552377962624923"</f>
        <v>1552377962624923</v>
      </c>
      <c r="C56" t="s">
        <v>40</v>
      </c>
      <c r="D56">
        <v>6.3718459999999997</v>
      </c>
      <c r="E56">
        <v>0.49660880000000002</v>
      </c>
      <c r="F56" t="s">
        <v>41</v>
      </c>
      <c r="G56">
        <v>0</v>
      </c>
      <c r="H56">
        <v>0</v>
      </c>
      <c r="I56">
        <v>0</v>
      </c>
      <c r="J56">
        <v>-474.8091</v>
      </c>
      <c r="K56">
        <v>1.1093219999999999</v>
      </c>
      <c r="L56">
        <v>367.25200000000001</v>
      </c>
      <c r="M56">
        <v>0.99986359999999996</v>
      </c>
      <c r="N56">
        <v>0</v>
      </c>
      <c r="O56">
        <v>1.5878969999999999E-2</v>
      </c>
      <c r="P56">
        <v>0.99553570000000002</v>
      </c>
      <c r="Q56">
        <v>7.6837450000000002E-2</v>
      </c>
      <c r="R56">
        <v>5.4816330000000003E-2</v>
      </c>
      <c r="S56">
        <v>2.970367</v>
      </c>
      <c r="T56">
        <v>0.41886790000000002</v>
      </c>
      <c r="U56">
        <v>0.19567870000000001</v>
      </c>
      <c r="V56">
        <v>-3.9035489999999999E-2</v>
      </c>
      <c r="W56">
        <v>8.1356929999999994E-2</v>
      </c>
      <c r="X56">
        <v>0.99592029999999998</v>
      </c>
      <c r="Y56">
        <v>-4.954977E-2</v>
      </c>
      <c r="Z56">
        <v>-1.2472920000000001E-3</v>
      </c>
      <c r="AA56">
        <v>0.99877090000000002</v>
      </c>
      <c r="AB56">
        <v>7</v>
      </c>
      <c r="AC56">
        <v>2.970367</v>
      </c>
      <c r="AD56">
        <v>0.41886790000000002</v>
      </c>
      <c r="AE56">
        <v>0.19567870000000001</v>
      </c>
      <c r="AF56">
        <v>-0.14560428751919299</v>
      </c>
      <c r="AG56">
        <v>0.41886790000000002</v>
      </c>
      <c r="AH56">
        <v>2.91537682285428</v>
      </c>
      <c r="AI56">
        <v>81.833999090976604</v>
      </c>
      <c r="AJ56">
        <v>92.859179316262797</v>
      </c>
      <c r="AK56">
        <v>2.9489104675168201</v>
      </c>
      <c r="AL56">
        <v>85.333433542543304</v>
      </c>
      <c r="AM56">
        <v>92.2445817717919</v>
      </c>
      <c r="AN56">
        <v>0.999999981745327</v>
      </c>
    </row>
    <row r="57" spans="1:40" x14ac:dyDescent="0.25">
      <c r="A57" t="str">
        <f>"20190312160602640"</f>
        <v>20190312160602640</v>
      </c>
      <c r="B57" t="str">
        <f>"1552377962635658"</f>
        <v>1552377962635658</v>
      </c>
      <c r="C57" t="s">
        <v>40</v>
      </c>
      <c r="D57">
        <v>6.0402279999999999</v>
      </c>
      <c r="E57">
        <v>0.49674970000000002</v>
      </c>
      <c r="F57" t="s">
        <v>41</v>
      </c>
      <c r="G57">
        <v>0</v>
      </c>
      <c r="H57">
        <v>0</v>
      </c>
      <c r="I57">
        <v>0</v>
      </c>
      <c r="J57">
        <v>-474.77609999999999</v>
      </c>
      <c r="K57">
        <v>1.1094170000000001</v>
      </c>
      <c r="L57">
        <v>367.25290000000001</v>
      </c>
      <c r="M57">
        <v>0.99985780000000002</v>
      </c>
      <c r="N57">
        <v>0</v>
      </c>
      <c r="O57">
        <v>1.620139E-2</v>
      </c>
      <c r="P57">
        <v>0.99551679999999998</v>
      </c>
      <c r="Q57">
        <v>7.6582269999999994E-2</v>
      </c>
      <c r="R57">
        <v>5.5513750000000001E-2</v>
      </c>
      <c r="S57">
        <v>2.970459</v>
      </c>
      <c r="T57">
        <v>0.41732069999999999</v>
      </c>
      <c r="U57">
        <v>0.1959534</v>
      </c>
      <c r="V57">
        <v>-3.9410979999999998E-2</v>
      </c>
      <c r="W57">
        <v>8.1254270000000003E-2</v>
      </c>
      <c r="X57">
        <v>0.99591390000000002</v>
      </c>
      <c r="Y57">
        <v>-4.9325430000000003E-2</v>
      </c>
      <c r="Z57">
        <v>-1.182011E-3</v>
      </c>
      <c r="AA57">
        <v>0.99878199999999995</v>
      </c>
      <c r="AB57">
        <v>7</v>
      </c>
      <c r="AC57">
        <v>2.970459</v>
      </c>
      <c r="AD57">
        <v>0.41732069999999999</v>
      </c>
      <c r="AE57">
        <v>0.1959534</v>
      </c>
      <c r="AF57">
        <v>-0.144952971901393</v>
      </c>
      <c r="AG57">
        <v>0.41732069999999999</v>
      </c>
      <c r="AH57">
        <v>2.9159397979186501</v>
      </c>
      <c r="AI57">
        <v>81.865214660599705</v>
      </c>
      <c r="AJ57">
        <v>92.845862096920996</v>
      </c>
      <c r="AK57">
        <v>2.94921563060374</v>
      </c>
      <c r="AL57">
        <v>85.339335099802298</v>
      </c>
      <c r="AM57">
        <v>92.266164986657202</v>
      </c>
      <c r="AN57">
        <v>0.99999998897550102</v>
      </c>
    </row>
    <row r="58" spans="1:40" x14ac:dyDescent="0.25">
      <c r="A58" t="str">
        <f>"20190312160602652"</f>
        <v>20190312160602652</v>
      </c>
      <c r="B58" t="str">
        <f>"1552377962645419"</f>
        <v>1552377962645419</v>
      </c>
      <c r="C58" t="s">
        <v>40</v>
      </c>
      <c r="D58">
        <v>5.7765519999999997</v>
      </c>
      <c r="E58">
        <v>0.4967299</v>
      </c>
      <c r="F58" t="s">
        <v>41</v>
      </c>
      <c r="G58">
        <v>0</v>
      </c>
      <c r="H58">
        <v>0</v>
      </c>
      <c r="I58">
        <v>0</v>
      </c>
      <c r="J58">
        <v>-474.7405</v>
      </c>
      <c r="K58">
        <v>1.109642</v>
      </c>
      <c r="L58">
        <v>367.25389999999999</v>
      </c>
      <c r="M58">
        <v>0.99984930000000005</v>
      </c>
      <c r="N58">
        <v>0</v>
      </c>
      <c r="O58">
        <v>1.6523400000000001E-2</v>
      </c>
      <c r="P58">
        <v>0.99552859999999999</v>
      </c>
      <c r="Q58">
        <v>7.6295089999999996E-2</v>
      </c>
      <c r="R58">
        <v>5.5696130000000003E-2</v>
      </c>
      <c r="S58">
        <v>2.970612</v>
      </c>
      <c r="T58">
        <v>0.41525800000000002</v>
      </c>
      <c r="U58">
        <v>0.1968384</v>
      </c>
      <c r="V58">
        <v>-3.9268770000000001E-2</v>
      </c>
      <c r="W58">
        <v>8.1616889999999997E-2</v>
      </c>
      <c r="X58">
        <v>0.99588989999999999</v>
      </c>
      <c r="Y58">
        <v>-4.9303149999999997E-2</v>
      </c>
      <c r="Z58">
        <v>-1.1298689999999999E-3</v>
      </c>
      <c r="AA58">
        <v>0.99878319999999998</v>
      </c>
      <c r="AB58">
        <v>7</v>
      </c>
      <c r="AC58">
        <v>2.970612</v>
      </c>
      <c r="AD58">
        <v>0.41525800000000002</v>
      </c>
      <c r="AE58">
        <v>0.1968384</v>
      </c>
      <c r="AF58">
        <v>-0.14490698842726199</v>
      </c>
      <c r="AG58">
        <v>0.41525800000000002</v>
      </c>
      <c r="AH58">
        <v>2.9167129332726698</v>
      </c>
      <c r="AI58">
        <v>81.906994281243996</v>
      </c>
      <c r="AJ58">
        <v>92.844207909111702</v>
      </c>
      <c r="AK58">
        <v>2.9496866913248798</v>
      </c>
      <c r="AL58">
        <v>85.318489426220694</v>
      </c>
      <c r="AM58">
        <v>92.258050628894907</v>
      </c>
      <c r="AN58">
        <v>1.00000002297629</v>
      </c>
    </row>
    <row r="59" spans="1:40" x14ac:dyDescent="0.25">
      <c r="A59" t="str">
        <f>"20190312160602673"</f>
        <v>20190312160602673</v>
      </c>
      <c r="B59" t="str">
        <f>"1552377962664938"</f>
        <v>1552377962664938</v>
      </c>
      <c r="C59" t="s">
        <v>40</v>
      </c>
      <c r="D59">
        <v>6.0423369999999998</v>
      </c>
      <c r="E59">
        <v>0.4966238</v>
      </c>
      <c r="F59" t="s">
        <v>41</v>
      </c>
      <c r="G59">
        <v>0</v>
      </c>
      <c r="H59">
        <v>0</v>
      </c>
      <c r="I59">
        <v>0</v>
      </c>
      <c r="J59">
        <v>-474.68529999999998</v>
      </c>
      <c r="K59">
        <v>1.110101</v>
      </c>
      <c r="L59">
        <v>367.25540000000001</v>
      </c>
      <c r="M59">
        <v>0.99983089999999997</v>
      </c>
      <c r="N59">
        <v>0</v>
      </c>
      <c r="O59">
        <v>1.6975420000000001E-2</v>
      </c>
      <c r="P59">
        <v>0.99548809999999999</v>
      </c>
      <c r="Q59">
        <v>7.5943800000000006E-2</v>
      </c>
      <c r="R59">
        <v>5.6885640000000001E-2</v>
      </c>
      <c r="S59">
        <v>2.9706730000000001</v>
      </c>
      <c r="T59">
        <v>0.4140971</v>
      </c>
      <c r="U59">
        <v>0.19766239999999999</v>
      </c>
      <c r="V59">
        <v>-3.9996999999999998E-2</v>
      </c>
      <c r="W59">
        <v>8.2968899999999998E-2</v>
      </c>
      <c r="X59">
        <v>0.9957492</v>
      </c>
      <c r="Y59">
        <v>-4.9133669999999997E-2</v>
      </c>
      <c r="Z59">
        <v>-1.0523240000000001E-3</v>
      </c>
      <c r="AA59">
        <v>0.9987916</v>
      </c>
      <c r="AB59">
        <v>7</v>
      </c>
      <c r="AC59">
        <v>2.9706730000000001</v>
      </c>
      <c r="AD59">
        <v>0.4140971</v>
      </c>
      <c r="AE59">
        <v>0.19766239999999999</v>
      </c>
      <c r="AF59">
        <v>-0.14441056384498299</v>
      </c>
      <c r="AG59">
        <v>0.4140971</v>
      </c>
      <c r="AH59">
        <v>2.91716685253534</v>
      </c>
      <c r="AI59">
        <v>81.930489875101699</v>
      </c>
      <c r="AJ59">
        <v>92.834039761387601</v>
      </c>
      <c r="AK59">
        <v>2.9499480105095701</v>
      </c>
      <c r="AL59">
        <v>85.240761367731693</v>
      </c>
      <c r="AM59">
        <v>92.300205708535302</v>
      </c>
      <c r="AN59">
        <v>1.0000000338384201</v>
      </c>
    </row>
    <row r="60" spans="1:40" x14ac:dyDescent="0.25">
      <c r="A60" t="str">
        <f>"20190312160602687"</f>
        <v>20190312160602687</v>
      </c>
      <c r="B60" t="str">
        <f>"1552377962674699"</f>
        <v>1552377962674699</v>
      </c>
      <c r="C60" t="s">
        <v>40</v>
      </c>
      <c r="D60">
        <v>5.9420929999999998</v>
      </c>
      <c r="E60">
        <v>0.4963439</v>
      </c>
      <c r="F60" t="s">
        <v>41</v>
      </c>
      <c r="G60">
        <v>0</v>
      </c>
      <c r="H60">
        <v>0</v>
      </c>
      <c r="I60">
        <v>0</v>
      </c>
      <c r="J60">
        <v>-474.65249999999997</v>
      </c>
      <c r="K60">
        <v>1.110303</v>
      </c>
      <c r="L60">
        <v>367.25630000000001</v>
      </c>
      <c r="M60">
        <v>0.99982009999999999</v>
      </c>
      <c r="N60">
        <v>0</v>
      </c>
      <c r="O60">
        <v>1.7191049999999999E-2</v>
      </c>
      <c r="P60">
        <v>0.99545470000000003</v>
      </c>
      <c r="Q60">
        <v>7.6428990000000002E-2</v>
      </c>
      <c r="R60">
        <v>5.6822579999999998E-2</v>
      </c>
      <c r="S60">
        <v>2.9706419999999998</v>
      </c>
      <c r="T60">
        <v>0.41116920000000001</v>
      </c>
      <c r="U60">
        <v>0.2020874</v>
      </c>
      <c r="V60">
        <v>-3.9712480000000001E-2</v>
      </c>
      <c r="W60">
        <v>8.4424330000000006E-2</v>
      </c>
      <c r="X60">
        <v>0.99563820000000003</v>
      </c>
      <c r="Y60">
        <v>-5.0394349999999997E-2</v>
      </c>
      <c r="Z60">
        <v>-1.101978E-3</v>
      </c>
      <c r="AA60">
        <v>0.99872879999999997</v>
      </c>
      <c r="AB60">
        <v>6</v>
      </c>
      <c r="AC60">
        <v>2.9706419999999998</v>
      </c>
      <c r="AD60">
        <v>0.41116920000000001</v>
      </c>
      <c r="AE60">
        <v>0.2020874</v>
      </c>
      <c r="AF60">
        <v>-0.148162087840747</v>
      </c>
      <c r="AG60">
        <v>0.41116920000000001</v>
      </c>
      <c r="AH60">
        <v>2.91803228089289</v>
      </c>
      <c r="AI60">
        <v>81.989650453612597</v>
      </c>
      <c r="AJ60">
        <v>92.906677392139102</v>
      </c>
      <c r="AK60">
        <v>2.9505803679335498</v>
      </c>
      <c r="AL60">
        <v>85.157077516747606</v>
      </c>
      <c r="AM60">
        <v>92.284114856278293</v>
      </c>
      <c r="AN60">
        <v>0.99999998693146896</v>
      </c>
    </row>
    <row r="61" spans="1:40" x14ac:dyDescent="0.25">
      <c r="A61" t="str">
        <f>"20190312160602700"</f>
        <v>20190312160602700</v>
      </c>
      <c r="B61" t="str">
        <f>"1552377962695194"</f>
        <v>1552377962695194</v>
      </c>
      <c r="C61" t="s">
        <v>40</v>
      </c>
      <c r="D61">
        <v>5.9395769999999999</v>
      </c>
      <c r="E61">
        <v>0.49632809999999999</v>
      </c>
      <c r="F61" t="s">
        <v>41</v>
      </c>
      <c r="G61">
        <v>0</v>
      </c>
      <c r="H61">
        <v>0</v>
      </c>
      <c r="I61">
        <v>0</v>
      </c>
      <c r="J61">
        <v>-474.61590000000001</v>
      </c>
      <c r="K61">
        <v>1.1103769999999999</v>
      </c>
      <c r="L61">
        <v>367.25729999999999</v>
      </c>
      <c r="M61">
        <v>0.99981149999999996</v>
      </c>
      <c r="N61">
        <v>0</v>
      </c>
      <c r="O61">
        <v>1.7437049999999999E-2</v>
      </c>
      <c r="P61">
        <v>0.99538579999999999</v>
      </c>
      <c r="Q61">
        <v>7.6800049999999995E-2</v>
      </c>
      <c r="R61">
        <v>5.7524359999999997E-2</v>
      </c>
      <c r="S61">
        <v>2.9702760000000001</v>
      </c>
      <c r="T61">
        <v>0.41266760000000002</v>
      </c>
      <c r="U61">
        <v>0.20458979999999999</v>
      </c>
      <c r="V61">
        <v>-4.0166130000000001E-2</v>
      </c>
      <c r="W61">
        <v>8.5316119999999995E-2</v>
      </c>
      <c r="X61">
        <v>0.99554399999999998</v>
      </c>
      <c r="Y61">
        <v>-5.0988690000000003E-2</v>
      </c>
      <c r="Z61">
        <v>-1.113134E-3</v>
      </c>
      <c r="AA61">
        <v>0.99869859999999999</v>
      </c>
      <c r="AB61">
        <v>6</v>
      </c>
      <c r="AC61">
        <v>2.9702760000000001</v>
      </c>
      <c r="AD61">
        <v>0.41266760000000002</v>
      </c>
      <c r="AE61">
        <v>0.20458979999999999</v>
      </c>
      <c r="AF61">
        <v>-0.14988451115172999</v>
      </c>
      <c r="AG61">
        <v>0.41266760000000002</v>
      </c>
      <c r="AH61">
        <v>2.91734659633416</v>
      </c>
      <c r="AI61">
        <v>81.959218464055098</v>
      </c>
      <c r="AJ61">
        <v>92.941099215056994</v>
      </c>
      <c r="AK61">
        <v>2.9501984811052102</v>
      </c>
      <c r="AL61">
        <v>85.105796789714901</v>
      </c>
      <c r="AM61">
        <v>92.310397370562796</v>
      </c>
      <c r="AN61">
        <v>1.00000000713351</v>
      </c>
    </row>
    <row r="62" spans="1:40" x14ac:dyDescent="0.25">
      <c r="A62" t="str">
        <f>"20190312160602719"</f>
        <v>20190312160602719</v>
      </c>
      <c r="B62" t="str">
        <f>"1552377962714714"</f>
        <v>1552377962714714</v>
      </c>
      <c r="C62" t="s">
        <v>40</v>
      </c>
      <c r="D62">
        <v>5.85914</v>
      </c>
      <c r="E62">
        <v>0.49655300000000002</v>
      </c>
      <c r="F62" t="s">
        <v>41</v>
      </c>
      <c r="G62">
        <v>0</v>
      </c>
      <c r="H62">
        <v>0</v>
      </c>
      <c r="I62">
        <v>0</v>
      </c>
      <c r="J62">
        <v>-474.56099999999998</v>
      </c>
      <c r="K62">
        <v>1.1101669999999999</v>
      </c>
      <c r="L62">
        <v>367.25869999999998</v>
      </c>
      <c r="M62">
        <v>0.99980820000000004</v>
      </c>
      <c r="N62">
        <v>0</v>
      </c>
      <c r="O62">
        <v>1.7841840000000001E-2</v>
      </c>
      <c r="P62">
        <v>0.99526389999999998</v>
      </c>
      <c r="Q62">
        <v>7.8006870000000006E-2</v>
      </c>
      <c r="R62">
        <v>5.8008270000000001E-2</v>
      </c>
      <c r="S62">
        <v>2.9701230000000001</v>
      </c>
      <c r="T62">
        <v>0.41280339999999999</v>
      </c>
      <c r="U62">
        <v>0.20666499999999999</v>
      </c>
      <c r="V62">
        <v>-4.0251420000000003E-2</v>
      </c>
      <c r="W62">
        <v>8.6046810000000001E-2</v>
      </c>
      <c r="X62">
        <v>0.99547770000000002</v>
      </c>
      <c r="Y62">
        <v>-5.1283219999999997E-2</v>
      </c>
      <c r="Z62">
        <v>-1.0779819999999999E-3</v>
      </c>
      <c r="AA62">
        <v>0.9986836</v>
      </c>
      <c r="AB62">
        <v>6</v>
      </c>
      <c r="AC62">
        <v>2.9701230000000001</v>
      </c>
      <c r="AD62">
        <v>0.41280339999999999</v>
      </c>
      <c r="AE62">
        <v>0.20666499999999999</v>
      </c>
      <c r="AF62">
        <v>-0.15074011014195199</v>
      </c>
      <c r="AG62">
        <v>0.41280339999999999</v>
      </c>
      <c r="AH62">
        <v>2.9172567265523202</v>
      </c>
      <c r="AI62">
        <v>81.956482782955902</v>
      </c>
      <c r="AJ62">
        <v>92.957949381244106</v>
      </c>
      <c r="AK62">
        <v>2.95017220454534</v>
      </c>
      <c r="AL62">
        <v>85.063776977280796</v>
      </c>
      <c r="AM62">
        <v>92.315452040057295</v>
      </c>
      <c r="AN62">
        <v>1.0000000407602401</v>
      </c>
    </row>
    <row r="63" spans="1:40" x14ac:dyDescent="0.25">
      <c r="A63" t="str">
        <f>"20190312160602742"</f>
        <v>20190312160602742</v>
      </c>
      <c r="B63" t="str">
        <f>"1552377962735211"</f>
        <v>1552377962735211</v>
      </c>
      <c r="C63" t="s">
        <v>40</v>
      </c>
      <c r="D63">
        <v>5.8626969999999998</v>
      </c>
      <c r="E63">
        <v>0.49660910000000003</v>
      </c>
      <c r="F63" t="s">
        <v>41</v>
      </c>
      <c r="G63">
        <v>0</v>
      </c>
      <c r="H63">
        <v>0</v>
      </c>
      <c r="I63">
        <v>0</v>
      </c>
      <c r="J63">
        <v>-474.49079999999998</v>
      </c>
      <c r="K63">
        <v>1.1097859999999999</v>
      </c>
      <c r="L63">
        <v>367.26060000000001</v>
      </c>
      <c r="M63">
        <v>0.99980639999999998</v>
      </c>
      <c r="N63">
        <v>0</v>
      </c>
      <c r="O63">
        <v>1.845432E-2</v>
      </c>
      <c r="P63">
        <v>0.99514930000000001</v>
      </c>
      <c r="Q63">
        <v>7.88692E-2</v>
      </c>
      <c r="R63">
        <v>5.8803429999999997E-2</v>
      </c>
      <c r="S63">
        <v>2.9695429999999998</v>
      </c>
      <c r="T63">
        <v>0.41659499999999999</v>
      </c>
      <c r="U63">
        <v>0.20617679999999999</v>
      </c>
      <c r="V63">
        <v>-4.0445490000000001E-2</v>
      </c>
      <c r="W63">
        <v>8.5657230000000001E-2</v>
      </c>
      <c r="X63">
        <v>0.99550340000000004</v>
      </c>
      <c r="Y63">
        <v>-5.0528980000000001E-2</v>
      </c>
      <c r="Z63">
        <v>-9.5007100000000003E-4</v>
      </c>
      <c r="AA63">
        <v>0.99872209999999995</v>
      </c>
      <c r="AB63">
        <v>6</v>
      </c>
      <c r="AC63">
        <v>2.9695429999999998</v>
      </c>
      <c r="AD63">
        <v>0.41659499999999999</v>
      </c>
      <c r="AE63">
        <v>0.20617679999999999</v>
      </c>
      <c r="AF63">
        <v>-0.148432222494431</v>
      </c>
      <c r="AG63">
        <v>0.41659499999999999</v>
      </c>
      <c r="AH63">
        <v>2.9157327573059302</v>
      </c>
      <c r="AI63">
        <v>81.879084075506</v>
      </c>
      <c r="AJ63">
        <v>92.914260439043403</v>
      </c>
      <c r="AK63">
        <v>2.9490813876063999</v>
      </c>
      <c r="AL63">
        <v>85.086180827994596</v>
      </c>
      <c r="AM63">
        <v>92.326543627742893</v>
      </c>
      <c r="AN63">
        <v>1.00000000906208</v>
      </c>
    </row>
    <row r="64" spans="1:40" x14ac:dyDescent="0.25">
      <c r="A64" t="str">
        <f>"20190312160602763"</f>
        <v>20190312160602763</v>
      </c>
      <c r="B64" t="str">
        <f>"1552377962754731"</f>
        <v>1552377962754731</v>
      </c>
      <c r="C64" t="s">
        <v>40</v>
      </c>
      <c r="D64">
        <v>6.6460749999999997</v>
      </c>
      <c r="E64">
        <v>0.4966894</v>
      </c>
      <c r="F64" t="s">
        <v>41</v>
      </c>
      <c r="G64">
        <v>0</v>
      </c>
      <c r="H64">
        <v>0</v>
      </c>
      <c r="I64">
        <v>0</v>
      </c>
      <c r="J64">
        <v>-474.42329999999998</v>
      </c>
      <c r="K64">
        <v>1.109551</v>
      </c>
      <c r="L64">
        <v>367.26249999999999</v>
      </c>
      <c r="M64">
        <v>0.99980060000000004</v>
      </c>
      <c r="N64">
        <v>0</v>
      </c>
      <c r="O64">
        <v>1.9096390000000001E-2</v>
      </c>
      <c r="P64">
        <v>0.99508240000000003</v>
      </c>
      <c r="Q64">
        <v>7.8899090000000005E-2</v>
      </c>
      <c r="R64">
        <v>5.9886040000000001E-2</v>
      </c>
      <c r="S64">
        <v>2.9692080000000001</v>
      </c>
      <c r="T64">
        <v>0.41782819999999998</v>
      </c>
      <c r="U64">
        <v>0.2080688</v>
      </c>
      <c r="V64">
        <v>-4.0896910000000002E-2</v>
      </c>
      <c r="W64">
        <v>8.4714639999999994E-2</v>
      </c>
      <c r="X64">
        <v>0.99556560000000005</v>
      </c>
      <c r="Y64">
        <v>-5.0533229999999998E-2</v>
      </c>
      <c r="Z64">
        <v>-8.6349780000000002E-4</v>
      </c>
      <c r="AA64">
        <v>0.998722</v>
      </c>
      <c r="AB64">
        <v>7</v>
      </c>
      <c r="AC64">
        <v>2.9692080000000001</v>
      </c>
      <c r="AD64">
        <v>0.41782819999999998</v>
      </c>
      <c r="AE64">
        <v>0.2080688</v>
      </c>
      <c r="AF64">
        <v>-0.14840435852342301</v>
      </c>
      <c r="AG64">
        <v>0.41782819999999998</v>
      </c>
      <c r="AH64">
        <v>2.9151946830371598</v>
      </c>
      <c r="AI64">
        <v>81.853883503774597</v>
      </c>
      <c r="AJ64">
        <v>92.914251185523298</v>
      </c>
      <c r="AK64">
        <v>2.9487224858151899</v>
      </c>
      <c r="AL64">
        <v>85.140384218900607</v>
      </c>
      <c r="AM64">
        <v>92.352334810836993</v>
      </c>
      <c r="AN64">
        <v>0.99999999569061804</v>
      </c>
    </row>
    <row r="65" spans="1:40" x14ac:dyDescent="0.25">
      <c r="A65" t="str">
        <f>"20190312160602784"</f>
        <v>20190312160602784</v>
      </c>
      <c r="B65" t="str">
        <f>"1552377962775233"</f>
        <v>1552377962775233</v>
      </c>
      <c r="C65" t="s">
        <v>40</v>
      </c>
      <c r="D65">
        <v>5.9718770000000001</v>
      </c>
      <c r="E65">
        <v>0.49668079999999998</v>
      </c>
      <c r="F65" t="s">
        <v>41</v>
      </c>
      <c r="G65">
        <v>0</v>
      </c>
      <c r="H65">
        <v>0</v>
      </c>
      <c r="I65">
        <v>0</v>
      </c>
      <c r="J65">
        <v>-474.35390000000001</v>
      </c>
      <c r="K65">
        <v>1.109432</v>
      </c>
      <c r="L65">
        <v>367.2645</v>
      </c>
      <c r="M65">
        <v>0.99979150000000006</v>
      </c>
      <c r="N65">
        <v>0</v>
      </c>
      <c r="O65">
        <v>1.9778299999999999E-2</v>
      </c>
      <c r="P65">
        <v>0.99503529999999996</v>
      </c>
      <c r="Q65">
        <v>7.8837560000000001E-2</v>
      </c>
      <c r="R65">
        <v>6.0741950000000003E-2</v>
      </c>
      <c r="S65">
        <v>2.9689640000000002</v>
      </c>
      <c r="T65">
        <v>0.41849170000000002</v>
      </c>
      <c r="U65">
        <v>0.21060180000000001</v>
      </c>
      <c r="V65">
        <v>-4.1081060000000003E-2</v>
      </c>
      <c r="W65">
        <v>8.3909269999999994E-2</v>
      </c>
      <c r="X65">
        <v>0.99562620000000002</v>
      </c>
      <c r="Y65">
        <v>-5.0709669999999998E-2</v>
      </c>
      <c r="Z65">
        <v>-7.8179360000000002E-4</v>
      </c>
      <c r="AA65">
        <v>0.99871310000000002</v>
      </c>
      <c r="AB65">
        <v>7</v>
      </c>
      <c r="AC65">
        <v>2.9689640000000002</v>
      </c>
      <c r="AD65">
        <v>0.41849170000000002</v>
      </c>
      <c r="AE65">
        <v>0.21060180000000001</v>
      </c>
      <c r="AF65">
        <v>-0.14889527916657</v>
      </c>
      <c r="AG65">
        <v>0.41849170000000002</v>
      </c>
      <c r="AH65">
        <v>2.91492358464565</v>
      </c>
      <c r="AI65">
        <v>81.840444021152194</v>
      </c>
      <c r="AJ65">
        <v>92.924146267670693</v>
      </c>
      <c r="AK65">
        <v>2.9485733179709799</v>
      </c>
      <c r="AL65">
        <v>85.186693308724202</v>
      </c>
      <c r="AM65">
        <v>92.362771231488694</v>
      </c>
      <c r="AN65">
        <v>0.99999997460454704</v>
      </c>
    </row>
    <row r="66" spans="1:40" x14ac:dyDescent="0.25">
      <c r="A66" t="str">
        <f>"20190312160602797"</f>
        <v>20190312160602797</v>
      </c>
      <c r="B66" t="str">
        <f>"1552377962794747"</f>
        <v>1552377962794747</v>
      </c>
      <c r="C66" t="s">
        <v>40</v>
      </c>
      <c r="D66">
        <v>5.8443880000000004</v>
      </c>
      <c r="E66">
        <v>0.49691940000000001</v>
      </c>
      <c r="F66" t="s">
        <v>41</v>
      </c>
      <c r="G66">
        <v>0</v>
      </c>
      <c r="H66">
        <v>0</v>
      </c>
      <c r="I66">
        <v>0</v>
      </c>
      <c r="J66">
        <v>-474.31200000000001</v>
      </c>
      <c r="K66">
        <v>1.1093850000000001</v>
      </c>
      <c r="L66">
        <v>367.26569999999998</v>
      </c>
      <c r="M66">
        <v>0.99978520000000004</v>
      </c>
      <c r="N66">
        <v>0</v>
      </c>
      <c r="O66">
        <v>2.0189769999999999E-2</v>
      </c>
      <c r="P66">
        <v>0.99502889999999999</v>
      </c>
      <c r="Q66">
        <v>7.8880409999999998E-2</v>
      </c>
      <c r="R66">
        <v>6.0794069999999999E-2</v>
      </c>
      <c r="S66">
        <v>2.9686279999999998</v>
      </c>
      <c r="T66">
        <v>0.42097309999999999</v>
      </c>
      <c r="U66">
        <v>0.21313480000000001</v>
      </c>
      <c r="V66">
        <v>-4.0727649999999997E-2</v>
      </c>
      <c r="W66">
        <v>8.3549100000000001E-2</v>
      </c>
      <c r="X66">
        <v>0.99567099999999997</v>
      </c>
      <c r="Y66">
        <v>-5.1150569999999999E-2</v>
      </c>
      <c r="Z66">
        <v>-7.5956850000000002E-4</v>
      </c>
      <c r="AA66">
        <v>0.99869070000000004</v>
      </c>
      <c r="AB66">
        <v>7</v>
      </c>
      <c r="AC66">
        <v>2.9686279999999998</v>
      </c>
      <c r="AD66">
        <v>0.42097309999999999</v>
      </c>
      <c r="AE66">
        <v>0.21313480000000001</v>
      </c>
      <c r="AF66">
        <v>-0.15015083599828799</v>
      </c>
      <c r="AG66">
        <v>0.42097309999999999</v>
      </c>
      <c r="AH66">
        <v>2.9140274986408898</v>
      </c>
      <c r="AI66">
        <v>81.790415683539393</v>
      </c>
      <c r="AJ66">
        <v>92.949665909132193</v>
      </c>
      <c r="AK66">
        <v>2.9481044566483501</v>
      </c>
      <c r="AL66">
        <v>85.2074022118031</v>
      </c>
      <c r="AM66">
        <v>92.3423623655315</v>
      </c>
      <c r="AN66">
        <v>0.99999996691316495</v>
      </c>
    </row>
    <row r="67" spans="1:40" x14ac:dyDescent="0.25">
      <c r="A67" t="str">
        <f>"20190312160602818"</f>
        <v>20190312160602818</v>
      </c>
      <c r="B67" t="str">
        <f>"1552377962815243"</f>
        <v>1552377962815243</v>
      </c>
      <c r="C67" t="s">
        <v>40</v>
      </c>
      <c r="D67">
        <v>5.92293</v>
      </c>
      <c r="E67">
        <v>0.4969499</v>
      </c>
      <c r="F67" t="s">
        <v>41</v>
      </c>
      <c r="G67">
        <v>0</v>
      </c>
      <c r="H67">
        <v>0</v>
      </c>
      <c r="I67">
        <v>0</v>
      </c>
      <c r="J67">
        <v>-474.24360000000001</v>
      </c>
      <c r="K67">
        <v>1.109302</v>
      </c>
      <c r="L67">
        <v>367.26780000000002</v>
      </c>
      <c r="M67">
        <v>0.99977479999999996</v>
      </c>
      <c r="N67">
        <v>0</v>
      </c>
      <c r="O67">
        <v>2.0840529999999999E-2</v>
      </c>
      <c r="P67">
        <v>0.99498770000000003</v>
      </c>
      <c r="Q67">
        <v>7.917507E-2</v>
      </c>
      <c r="R67">
        <v>6.1084069999999997E-2</v>
      </c>
      <c r="S67">
        <v>2.9684750000000002</v>
      </c>
      <c r="T67">
        <v>0.42397049999999997</v>
      </c>
      <c r="U67">
        <v>0.21121219999999999</v>
      </c>
      <c r="V67">
        <v>-4.0373760000000002E-2</v>
      </c>
      <c r="W67">
        <v>8.3184170000000002E-2</v>
      </c>
      <c r="X67">
        <v>0.99571600000000005</v>
      </c>
      <c r="Y67">
        <v>-4.9875669999999997E-2</v>
      </c>
      <c r="Z67">
        <v>-5.8219909999999997E-4</v>
      </c>
      <c r="AA67">
        <v>0.99875530000000001</v>
      </c>
      <c r="AB67">
        <v>7</v>
      </c>
      <c r="AC67">
        <v>2.9684750000000002</v>
      </c>
      <c r="AD67">
        <v>0.42397049999999997</v>
      </c>
      <c r="AE67">
        <v>0.21121219999999999</v>
      </c>
      <c r="AF67">
        <v>-0.14633129245840401</v>
      </c>
      <c r="AG67">
        <v>0.42397049999999997</v>
      </c>
      <c r="AH67">
        <v>2.9131075263505299</v>
      </c>
      <c r="AI67">
        <v>81.729656550100501</v>
      </c>
      <c r="AJ67">
        <v>92.875666019845497</v>
      </c>
      <c r="AK67">
        <v>2.94743266116512</v>
      </c>
      <c r="AL67">
        <v>85.228384357481104</v>
      </c>
      <c r="AM67">
        <v>92.321926700569705</v>
      </c>
      <c r="AN67">
        <v>0.99999999964556296</v>
      </c>
    </row>
    <row r="68" spans="1:40" x14ac:dyDescent="0.25">
      <c r="A68" t="str">
        <f>"20190312160602829"</f>
        <v>20190312160602829</v>
      </c>
      <c r="B68" t="str">
        <f>"1552377962825002"</f>
        <v>1552377962825002</v>
      </c>
      <c r="C68" t="s">
        <v>40</v>
      </c>
      <c r="D68">
        <v>6.4658559999999996</v>
      </c>
      <c r="E68">
        <v>0.49701489999999998</v>
      </c>
      <c r="F68" t="s">
        <v>41</v>
      </c>
      <c r="G68">
        <v>0</v>
      </c>
      <c r="H68">
        <v>0</v>
      </c>
      <c r="I68">
        <v>0</v>
      </c>
      <c r="J68">
        <v>-474.20119999999997</v>
      </c>
      <c r="K68">
        <v>1.109245</v>
      </c>
      <c r="L68">
        <v>367.26909999999998</v>
      </c>
      <c r="M68">
        <v>0.9997682</v>
      </c>
      <c r="N68">
        <v>0</v>
      </c>
      <c r="O68">
        <v>2.1225790000000001E-2</v>
      </c>
      <c r="P68">
        <v>0.99488469999999996</v>
      </c>
      <c r="Q68">
        <v>7.9882620000000001E-2</v>
      </c>
      <c r="R68">
        <v>6.18311E-2</v>
      </c>
      <c r="S68">
        <v>2.9682309999999998</v>
      </c>
      <c r="T68">
        <v>0.42568030000000001</v>
      </c>
      <c r="U68">
        <v>0.21231079999999999</v>
      </c>
      <c r="V68">
        <v>-4.0740730000000003E-2</v>
      </c>
      <c r="W68">
        <v>8.3472589999999999E-2</v>
      </c>
      <c r="X68">
        <v>0.99567689999999998</v>
      </c>
      <c r="Y68">
        <v>-4.9866069999999998E-2</v>
      </c>
      <c r="Z68">
        <v>-5.2901499999999998E-4</v>
      </c>
      <c r="AA68">
        <v>0.99875579999999997</v>
      </c>
      <c r="AB68">
        <v>8</v>
      </c>
      <c r="AC68">
        <v>2.9682309999999998</v>
      </c>
      <c r="AD68">
        <v>0.42568030000000001</v>
      </c>
      <c r="AE68">
        <v>0.21231079999999999</v>
      </c>
      <c r="AF68">
        <v>-0.146266552709303</v>
      </c>
      <c r="AG68">
        <v>0.42568030000000001</v>
      </c>
      <c r="AH68">
        <v>2.9124727390435501</v>
      </c>
      <c r="AI68">
        <v>81.694978663844395</v>
      </c>
      <c r="AJ68">
        <v>92.875021341823398</v>
      </c>
      <c r="AK68">
        <v>2.9470485367433898</v>
      </c>
      <c r="AL68">
        <v>85.211801364299603</v>
      </c>
      <c r="AM68">
        <v>92.343099926097096</v>
      </c>
      <c r="AN68">
        <v>0.99999998477792496</v>
      </c>
    </row>
    <row r="69" spans="1:40" x14ac:dyDescent="0.25">
      <c r="A69" t="str">
        <f>"20190312160602842"</f>
        <v>20190312160602842</v>
      </c>
      <c r="B69" t="str">
        <f>"1552377962834763"</f>
        <v>1552377962834763</v>
      </c>
      <c r="C69" t="s">
        <v>40</v>
      </c>
      <c r="D69">
        <v>5.9208540000000003</v>
      </c>
      <c r="E69">
        <v>0.49705359999999998</v>
      </c>
      <c r="F69" t="s">
        <v>41</v>
      </c>
      <c r="G69">
        <v>0</v>
      </c>
      <c r="H69">
        <v>0</v>
      </c>
      <c r="I69">
        <v>0</v>
      </c>
      <c r="J69">
        <v>-474.15640000000002</v>
      </c>
      <c r="K69">
        <v>1.109197</v>
      </c>
      <c r="L69">
        <v>367.27050000000003</v>
      </c>
      <c r="M69">
        <v>0.99976129999999996</v>
      </c>
      <c r="N69">
        <v>0</v>
      </c>
      <c r="O69">
        <v>2.1607609999999999E-2</v>
      </c>
      <c r="P69">
        <v>0.99483999999999995</v>
      </c>
      <c r="Q69">
        <v>7.9976389999999994E-2</v>
      </c>
      <c r="R69">
        <v>6.2427339999999998E-2</v>
      </c>
      <c r="S69">
        <v>2.96759</v>
      </c>
      <c r="T69">
        <v>0.42970469999999999</v>
      </c>
      <c r="U69">
        <v>0.21463009999999999</v>
      </c>
      <c r="V69">
        <v>-4.0957769999999998E-2</v>
      </c>
      <c r="W69">
        <v>8.3178929999999998E-2</v>
      </c>
      <c r="X69">
        <v>0.99569260000000004</v>
      </c>
      <c r="Y69">
        <v>-5.0270740000000001E-2</v>
      </c>
      <c r="Z69">
        <v>-5.08283E-4</v>
      </c>
      <c r="AA69">
        <v>0.9987355</v>
      </c>
      <c r="AB69">
        <v>8</v>
      </c>
      <c r="AC69">
        <v>2.96759</v>
      </c>
      <c r="AD69">
        <v>0.42970469999999999</v>
      </c>
      <c r="AE69">
        <v>0.21463009999999999</v>
      </c>
      <c r="AF69">
        <v>-0.14738305410031</v>
      </c>
      <c r="AG69">
        <v>0.42970469999999999</v>
      </c>
      <c r="AH69">
        <v>2.9108217407282999</v>
      </c>
      <c r="AI69">
        <v>81.613057618630094</v>
      </c>
      <c r="AJ69">
        <v>92.898570414956893</v>
      </c>
      <c r="AK69">
        <v>2.9460568732009502</v>
      </c>
      <c r="AL69">
        <v>85.228685697748801</v>
      </c>
      <c r="AM69">
        <v>92.355531307947999</v>
      </c>
      <c r="AN69">
        <v>1.0000000135070299</v>
      </c>
    </row>
    <row r="70" spans="1:40" x14ac:dyDescent="0.25">
      <c r="A70" t="str">
        <f>"20190312160602854"</f>
        <v>20190312160602854</v>
      </c>
      <c r="B70" t="str">
        <f>"1552377962845499"</f>
        <v>1552377962845499</v>
      </c>
      <c r="C70" t="s">
        <v>40</v>
      </c>
      <c r="D70">
        <v>5.830101</v>
      </c>
      <c r="E70">
        <v>0.49707960000000001</v>
      </c>
      <c r="F70" t="s">
        <v>41</v>
      </c>
      <c r="G70">
        <v>0</v>
      </c>
      <c r="H70">
        <v>0</v>
      </c>
      <c r="I70">
        <v>0</v>
      </c>
      <c r="J70">
        <v>-474.11380000000003</v>
      </c>
      <c r="K70">
        <v>1.109159</v>
      </c>
      <c r="L70">
        <v>367.27190000000002</v>
      </c>
      <c r="M70">
        <v>0.9997547</v>
      </c>
      <c r="N70">
        <v>0</v>
      </c>
      <c r="O70">
        <v>2.1958889999999998E-2</v>
      </c>
      <c r="P70">
        <v>0.9947897</v>
      </c>
      <c r="Q70">
        <v>8.0273579999999997E-2</v>
      </c>
      <c r="R70">
        <v>6.2847280000000005E-2</v>
      </c>
      <c r="S70">
        <v>2.967346</v>
      </c>
      <c r="T70">
        <v>0.4307938</v>
      </c>
      <c r="U70">
        <v>0.21615599999999999</v>
      </c>
      <c r="V70">
        <v>-4.1028660000000002E-2</v>
      </c>
      <c r="W70">
        <v>8.3134739999999999E-2</v>
      </c>
      <c r="X70">
        <v>0.99569339999999995</v>
      </c>
      <c r="Y70">
        <v>-5.0437030000000001E-2</v>
      </c>
      <c r="Z70">
        <v>-4.7095280000000002E-4</v>
      </c>
      <c r="AA70">
        <v>0.99872709999999998</v>
      </c>
      <c r="AB70">
        <v>8</v>
      </c>
      <c r="AC70">
        <v>2.967346</v>
      </c>
      <c r="AD70">
        <v>0.4307938</v>
      </c>
      <c r="AE70">
        <v>0.21615599999999999</v>
      </c>
      <c r="AF70">
        <v>-0.14784435978751001</v>
      </c>
      <c r="AG70">
        <v>0.4307938</v>
      </c>
      <c r="AH70">
        <v>2.91036006478318</v>
      </c>
      <c r="AI70">
        <v>81.590859270989</v>
      </c>
      <c r="AJ70">
        <v>92.908087782648707</v>
      </c>
      <c r="AK70">
        <v>2.9457829111331701</v>
      </c>
      <c r="AL70">
        <v>85.231226531176105</v>
      </c>
      <c r="AM70">
        <v>92.359601780374504</v>
      </c>
      <c r="AN70">
        <v>1.0000000413699099</v>
      </c>
    </row>
    <row r="71" spans="1:40" x14ac:dyDescent="0.25">
      <c r="A71" t="str">
        <f>"20190312160602873"</f>
        <v>20190312160602873</v>
      </c>
      <c r="B71" t="str">
        <f>"1552377962865022"</f>
        <v>1552377962865022</v>
      </c>
      <c r="C71" t="s">
        <v>40</v>
      </c>
      <c r="D71">
        <v>5.903886</v>
      </c>
      <c r="E71">
        <v>0.4971836</v>
      </c>
      <c r="F71" t="s">
        <v>41</v>
      </c>
      <c r="G71">
        <v>0</v>
      </c>
      <c r="H71">
        <v>0</v>
      </c>
      <c r="I71">
        <v>0</v>
      </c>
      <c r="J71">
        <v>-474.04079999999999</v>
      </c>
      <c r="K71">
        <v>1.1091489999999999</v>
      </c>
      <c r="L71">
        <v>367.27420000000001</v>
      </c>
      <c r="M71">
        <v>0.99974359999999995</v>
      </c>
      <c r="N71">
        <v>0</v>
      </c>
      <c r="O71">
        <v>2.2494500000000001E-2</v>
      </c>
      <c r="P71">
        <v>0.99473469999999997</v>
      </c>
      <c r="Q71">
        <v>8.0490400000000004E-2</v>
      </c>
      <c r="R71">
        <v>6.3437309999999997E-2</v>
      </c>
      <c r="S71">
        <v>2.9670719999999999</v>
      </c>
      <c r="T71">
        <v>0.43263600000000002</v>
      </c>
      <c r="U71">
        <v>0.21713260000000001</v>
      </c>
      <c r="V71">
        <v>-4.1081659999999999E-2</v>
      </c>
      <c r="W71">
        <v>8.3048250000000004E-2</v>
      </c>
      <c r="X71">
        <v>0.99569839999999998</v>
      </c>
      <c r="Y71">
        <v>-5.0240779999999999E-2</v>
      </c>
      <c r="Z71">
        <v>-3.8123570000000003E-4</v>
      </c>
      <c r="AA71">
        <v>0.99873699999999999</v>
      </c>
      <c r="AB71">
        <v>8</v>
      </c>
      <c r="AC71">
        <v>2.9670719999999999</v>
      </c>
      <c r="AD71">
        <v>0.43263600000000002</v>
      </c>
      <c r="AE71">
        <v>0.21713260000000001</v>
      </c>
      <c r="AF71">
        <v>-0.147221196719031</v>
      </c>
      <c r="AG71">
        <v>0.43263600000000002</v>
      </c>
      <c r="AH71">
        <v>2.90967176425033</v>
      </c>
      <c r="AI71">
        <v>81.5533628526657</v>
      </c>
      <c r="AJ71">
        <v>92.896534983333495</v>
      </c>
      <c r="AK71">
        <v>2.9453417059714901</v>
      </c>
      <c r="AL71">
        <v>85.236199085294402</v>
      </c>
      <c r="AM71">
        <v>92.362634563880405</v>
      </c>
      <c r="AN71">
        <v>1.0000000091894801</v>
      </c>
    </row>
    <row r="72" spans="1:40" x14ac:dyDescent="0.25">
      <c r="A72" t="str">
        <f>"20190312160602885"</f>
        <v>20190312160602885</v>
      </c>
      <c r="B72" t="str">
        <f>"1552377962874779"</f>
        <v>1552377962874779</v>
      </c>
      <c r="C72" t="s">
        <v>40</v>
      </c>
      <c r="D72">
        <v>5.9255639999999996</v>
      </c>
      <c r="E72">
        <v>0.49722899999999998</v>
      </c>
      <c r="F72" t="s">
        <v>41</v>
      </c>
      <c r="G72">
        <v>0</v>
      </c>
      <c r="H72">
        <v>0</v>
      </c>
      <c r="I72">
        <v>0</v>
      </c>
      <c r="J72">
        <v>-473.9973</v>
      </c>
      <c r="K72">
        <v>1.1091759999999999</v>
      </c>
      <c r="L72">
        <v>367.2756</v>
      </c>
      <c r="M72">
        <v>0.99973710000000005</v>
      </c>
      <c r="N72">
        <v>0</v>
      </c>
      <c r="O72">
        <v>2.2788800000000001E-2</v>
      </c>
      <c r="P72">
        <v>0.99478549999999999</v>
      </c>
      <c r="Q72">
        <v>7.9776529999999998E-2</v>
      </c>
      <c r="R72">
        <v>6.3544180000000006E-2</v>
      </c>
      <c r="S72">
        <v>2.9668580000000002</v>
      </c>
      <c r="T72">
        <v>0.43474469999999998</v>
      </c>
      <c r="U72">
        <v>0.21807860000000001</v>
      </c>
      <c r="V72">
        <v>-4.0889950000000001E-2</v>
      </c>
      <c r="W72">
        <v>8.2319299999999998E-2</v>
      </c>
      <c r="X72">
        <v>0.99576679999999995</v>
      </c>
      <c r="Y72">
        <v>-5.0268760000000003E-2</v>
      </c>
      <c r="Z72">
        <v>-3.4232369999999998E-4</v>
      </c>
      <c r="AA72">
        <v>0.9987357</v>
      </c>
      <c r="AB72">
        <v>8</v>
      </c>
      <c r="AC72">
        <v>2.9668580000000002</v>
      </c>
      <c r="AD72">
        <v>0.43474469999999998</v>
      </c>
      <c r="AE72">
        <v>0.21807860000000001</v>
      </c>
      <c r="AF72">
        <v>-0.14726550427136401</v>
      </c>
      <c r="AG72">
        <v>0.43474469999999998</v>
      </c>
      <c r="AH72">
        <v>2.9089319759523402</v>
      </c>
      <c r="AI72">
        <v>81.510676377683893</v>
      </c>
      <c r="AJ72">
        <v>92.898140837388993</v>
      </c>
      <c r="AK72">
        <v>2.9449236532793899</v>
      </c>
      <c r="AL72">
        <v>85.278108246296597</v>
      </c>
      <c r="AM72">
        <v>92.351460243153397</v>
      </c>
      <c r="AN72">
        <v>0.99999998757286601</v>
      </c>
    </row>
    <row r="73" spans="1:40" x14ac:dyDescent="0.25">
      <c r="A73" t="str">
        <f>"20190312160602899"</f>
        <v>20190312160602899</v>
      </c>
      <c r="B73" t="str">
        <f>"1552377962895274"</f>
        <v>1552377962895274</v>
      </c>
      <c r="C73" t="s">
        <v>40</v>
      </c>
      <c r="D73">
        <v>5.8416759999999996</v>
      </c>
      <c r="E73">
        <v>0.49733680000000002</v>
      </c>
      <c r="F73" t="s">
        <v>41</v>
      </c>
      <c r="G73">
        <v>0</v>
      </c>
      <c r="H73">
        <v>0</v>
      </c>
      <c r="I73">
        <v>0</v>
      </c>
      <c r="J73">
        <v>-473.94959999999998</v>
      </c>
      <c r="K73">
        <v>1.109208</v>
      </c>
      <c r="L73">
        <v>367.27710000000002</v>
      </c>
      <c r="M73">
        <v>0.9997296</v>
      </c>
      <c r="N73">
        <v>0</v>
      </c>
      <c r="O73">
        <v>2.3110169999999999E-2</v>
      </c>
      <c r="P73">
        <v>0.99484490000000003</v>
      </c>
      <c r="Q73">
        <v>7.9055700000000007E-2</v>
      </c>
      <c r="R73">
        <v>6.3513600000000003E-2</v>
      </c>
      <c r="S73">
        <v>2.9670719999999999</v>
      </c>
      <c r="T73">
        <v>0.4328941</v>
      </c>
      <c r="U73">
        <v>0.217804</v>
      </c>
      <c r="V73">
        <v>-4.0533819999999998E-2</v>
      </c>
      <c r="W73">
        <v>8.1615950000000007E-2</v>
      </c>
      <c r="X73">
        <v>0.99583920000000004</v>
      </c>
      <c r="Y73">
        <v>-4.9860660000000001E-2</v>
      </c>
      <c r="Z73">
        <v>-2.6473149999999999E-4</v>
      </c>
      <c r="AA73">
        <v>0.99875619999999998</v>
      </c>
      <c r="AB73">
        <v>8</v>
      </c>
      <c r="AC73">
        <v>2.9670719999999999</v>
      </c>
      <c r="AD73">
        <v>0.4328941</v>
      </c>
      <c r="AE73">
        <v>0.217804</v>
      </c>
      <c r="AF73">
        <v>-0.14608311098930701</v>
      </c>
      <c r="AG73">
        <v>0.4328941</v>
      </c>
      <c r="AH73">
        <v>2.9097071404270798</v>
      </c>
      <c r="AI73">
        <v>81.548333777027196</v>
      </c>
      <c r="AJ73">
        <v>92.874146277344096</v>
      </c>
      <c r="AK73">
        <v>2.9453579103707299</v>
      </c>
      <c r="AL73">
        <v>85.318543042643398</v>
      </c>
      <c r="AM73">
        <v>92.330833666010506</v>
      </c>
      <c r="AN73">
        <v>0.99999993305741497</v>
      </c>
    </row>
    <row r="74" spans="1:40" x14ac:dyDescent="0.25">
      <c r="A74" t="str">
        <f>"20190312160602921"</f>
        <v>20190312160602921</v>
      </c>
      <c r="B74" t="str">
        <f>"1552377962914795"</f>
        <v>1552377962914795</v>
      </c>
      <c r="C74" t="s">
        <v>40</v>
      </c>
      <c r="D74">
        <v>5.8564439999999998</v>
      </c>
      <c r="E74">
        <v>0.49737429999999999</v>
      </c>
      <c r="F74" t="s">
        <v>41</v>
      </c>
      <c r="G74">
        <v>0</v>
      </c>
      <c r="H74">
        <v>0</v>
      </c>
      <c r="I74">
        <v>0</v>
      </c>
      <c r="J74">
        <v>-473.8657</v>
      </c>
      <c r="K74">
        <v>1.10927</v>
      </c>
      <c r="L74">
        <v>367.27980000000002</v>
      </c>
      <c r="M74">
        <v>0.9997161</v>
      </c>
      <c r="N74">
        <v>0</v>
      </c>
      <c r="O74">
        <v>2.3676989999999998E-2</v>
      </c>
      <c r="P74">
        <v>0.99499649999999995</v>
      </c>
      <c r="Q74">
        <v>7.770022E-2</v>
      </c>
      <c r="R74">
        <v>6.2807500000000002E-2</v>
      </c>
      <c r="S74">
        <v>2.9674070000000001</v>
      </c>
      <c r="T74">
        <v>0.4314519</v>
      </c>
      <c r="U74">
        <v>0.21688840000000001</v>
      </c>
      <c r="V74">
        <v>-3.9252259999999997E-2</v>
      </c>
      <c r="W74">
        <v>8.0394960000000001E-2</v>
      </c>
      <c r="X74">
        <v>0.99598989999999998</v>
      </c>
      <c r="Y74">
        <v>-4.899651E-2</v>
      </c>
      <c r="Z74">
        <v>-1.195921E-4</v>
      </c>
      <c r="AA74">
        <v>0.99879899999999999</v>
      </c>
      <c r="AB74">
        <v>8</v>
      </c>
      <c r="AC74">
        <v>2.9674070000000001</v>
      </c>
      <c r="AD74">
        <v>0.4314519</v>
      </c>
      <c r="AE74">
        <v>0.21688840000000001</v>
      </c>
      <c r="AF74">
        <v>-0.14354953100180701</v>
      </c>
      <c r="AG74">
        <v>0.4314519</v>
      </c>
      <c r="AH74">
        <v>2.9105084133282602</v>
      </c>
      <c r="AI74">
        <v>81.578007558873594</v>
      </c>
      <c r="AJ74">
        <v>92.823603886443294</v>
      </c>
      <c r="AK74">
        <v>2.9458133739120398</v>
      </c>
      <c r="AL74">
        <v>85.388731529206098</v>
      </c>
      <c r="AM74">
        <v>92.256875860843493</v>
      </c>
      <c r="AN74">
        <v>0.99999998520525901</v>
      </c>
    </row>
    <row r="75" spans="1:40" x14ac:dyDescent="0.25">
      <c r="A75" t="str">
        <f>"20190312160602944"</f>
        <v>20190312160602944</v>
      </c>
      <c r="B75" t="str">
        <f>"1552377962935290"</f>
        <v>1552377962935290</v>
      </c>
      <c r="C75" t="s">
        <v>40</v>
      </c>
      <c r="D75">
        <v>5.9117449999999998</v>
      </c>
      <c r="E75">
        <v>0.49736809999999998</v>
      </c>
      <c r="F75" t="s">
        <v>41</v>
      </c>
      <c r="G75">
        <v>0</v>
      </c>
      <c r="H75">
        <v>0</v>
      </c>
      <c r="I75">
        <v>0</v>
      </c>
      <c r="J75">
        <v>-473.7808</v>
      </c>
      <c r="K75">
        <v>1.109321</v>
      </c>
      <c r="L75">
        <v>367.2826</v>
      </c>
      <c r="M75">
        <v>0.99970159999999997</v>
      </c>
      <c r="N75">
        <v>0</v>
      </c>
      <c r="O75">
        <v>2.4268049999999999E-2</v>
      </c>
      <c r="P75">
        <v>0.99502159999999995</v>
      </c>
      <c r="Q75">
        <v>7.7692259999999999E-2</v>
      </c>
      <c r="R75">
        <v>6.2421339999999999E-2</v>
      </c>
      <c r="S75">
        <v>2.9682309999999998</v>
      </c>
      <c r="T75">
        <v>0.42662640000000002</v>
      </c>
      <c r="U75">
        <v>0.21438599999999999</v>
      </c>
      <c r="V75">
        <v>-3.8272599999999997E-2</v>
      </c>
      <c r="W75">
        <v>8.0502379999999998E-2</v>
      </c>
      <c r="X75">
        <v>0.9960194</v>
      </c>
      <c r="Y75">
        <v>-4.7574680000000001E-2</v>
      </c>
      <c r="Z75" s="1">
        <v>6.7654529999999996E-5</v>
      </c>
      <c r="AA75">
        <v>0.99886770000000003</v>
      </c>
      <c r="AB75">
        <v>8</v>
      </c>
      <c r="AC75">
        <v>2.9682309999999998</v>
      </c>
      <c r="AD75">
        <v>0.42662640000000002</v>
      </c>
      <c r="AE75">
        <v>0.21438599999999999</v>
      </c>
      <c r="AF75">
        <v>-0.13942404944086401</v>
      </c>
      <c r="AG75">
        <v>0.42662640000000002</v>
      </c>
      <c r="AH75">
        <v>2.91269965233661</v>
      </c>
      <c r="AI75">
        <v>81.676473095625596</v>
      </c>
      <c r="AJ75">
        <v>92.740521719809493</v>
      </c>
      <c r="AK75">
        <v>2.9470779452639602</v>
      </c>
      <c r="AL75">
        <v>85.382557033716296</v>
      </c>
      <c r="AM75">
        <v>92.200539605128597</v>
      </c>
      <c r="AN75">
        <v>1.00000003513639</v>
      </c>
    </row>
    <row r="76" spans="1:40" x14ac:dyDescent="0.25">
      <c r="A76" t="str">
        <f>"20190312160602963"</f>
        <v>20190312160602963</v>
      </c>
      <c r="B76" t="str">
        <f>"1552377962954931"</f>
        <v>1552377962954931</v>
      </c>
      <c r="C76" t="s">
        <v>40</v>
      </c>
      <c r="D76">
        <v>5.9547309999999998</v>
      </c>
      <c r="E76">
        <v>0.50161909999999998</v>
      </c>
      <c r="F76" t="s">
        <v>41</v>
      </c>
      <c r="G76">
        <v>0</v>
      </c>
      <c r="H76">
        <v>0</v>
      </c>
      <c r="I76">
        <v>0</v>
      </c>
      <c r="J76">
        <v>-473.69979999999998</v>
      </c>
      <c r="K76">
        <v>1.109353</v>
      </c>
      <c r="L76">
        <v>367.28519999999997</v>
      </c>
      <c r="M76">
        <v>0.99968729999999995</v>
      </c>
      <c r="N76">
        <v>0</v>
      </c>
      <c r="O76">
        <v>2.4841410000000001E-2</v>
      </c>
      <c r="P76">
        <v>0.99498410000000004</v>
      </c>
      <c r="Q76">
        <v>7.8202069999999999E-2</v>
      </c>
      <c r="R76">
        <v>6.2380680000000001E-2</v>
      </c>
      <c r="S76">
        <v>2.9684140000000001</v>
      </c>
      <c r="T76">
        <v>0.4254849</v>
      </c>
      <c r="U76">
        <v>0.21313480000000001</v>
      </c>
      <c r="V76">
        <v>-3.766009E-2</v>
      </c>
      <c r="W76">
        <v>8.1073690000000004E-2</v>
      </c>
      <c r="X76">
        <v>0.9959964</v>
      </c>
      <c r="Y76">
        <v>-4.6595560000000001E-2</v>
      </c>
      <c r="Z76">
        <v>2.1881259999999999E-4</v>
      </c>
      <c r="AA76">
        <v>0.99891379999999996</v>
      </c>
      <c r="AB76">
        <v>9</v>
      </c>
      <c r="AC76">
        <v>2.9684140000000001</v>
      </c>
      <c r="AD76">
        <v>0.4254849</v>
      </c>
      <c r="AE76">
        <v>0.21313480000000001</v>
      </c>
      <c r="AF76">
        <v>-0.13653825932456801</v>
      </c>
      <c r="AG76">
        <v>0.4254849</v>
      </c>
      <c r="AH76">
        <v>2.9132450914266399</v>
      </c>
      <c r="AI76">
        <v>81.699579079802305</v>
      </c>
      <c r="AJ76">
        <v>92.683380627435497</v>
      </c>
      <c r="AK76">
        <v>2.9473169254609899</v>
      </c>
      <c r="AL76">
        <v>85.349715998417395</v>
      </c>
      <c r="AM76">
        <v>92.165406190697198</v>
      </c>
      <c r="AN76">
        <v>1.0000000272009899</v>
      </c>
    </row>
    <row r="77" spans="1:40" x14ac:dyDescent="0.25">
      <c r="A77" t="str">
        <f>"20190312160602977"</f>
        <v>20190312160602977</v>
      </c>
      <c r="B77" t="str">
        <f>"1552377962964690"</f>
        <v>1552377962964690</v>
      </c>
      <c r="C77" t="s">
        <v>40</v>
      </c>
      <c r="D77">
        <v>5.8341640000000003</v>
      </c>
      <c r="E77">
        <v>0.50174540000000001</v>
      </c>
      <c r="F77" t="s">
        <v>42</v>
      </c>
      <c r="G77">
        <v>-158.78319999999999</v>
      </c>
      <c r="H77">
        <v>38.566070000000003</v>
      </c>
      <c r="I77">
        <v>386.02699999999999</v>
      </c>
      <c r="J77">
        <v>-473.65</v>
      </c>
      <c r="K77">
        <v>1.10937</v>
      </c>
      <c r="L77">
        <v>367.2867</v>
      </c>
      <c r="M77">
        <v>0.99967839999999997</v>
      </c>
      <c r="N77">
        <v>0</v>
      </c>
      <c r="O77">
        <v>2.519561E-2</v>
      </c>
      <c r="P77">
        <v>0.99496280000000004</v>
      </c>
      <c r="Q77">
        <v>7.8471719999999995E-2</v>
      </c>
      <c r="R77">
        <v>6.2382020000000003E-2</v>
      </c>
      <c r="S77">
        <v>2.9761959999999998</v>
      </c>
      <c r="T77">
        <v>0.35399439999999999</v>
      </c>
      <c r="U77">
        <v>0.177124</v>
      </c>
      <c r="V77">
        <v>-3.7309639999999998E-2</v>
      </c>
      <c r="W77">
        <v>8.1365969999999996E-2</v>
      </c>
      <c r="X77">
        <v>0.99598569999999997</v>
      </c>
      <c r="Y77">
        <v>-3.4175289999999997E-2</v>
      </c>
      <c r="Z77">
        <v>9.5936730000000003E-4</v>
      </c>
      <c r="AA77">
        <v>0.99941539999999995</v>
      </c>
      <c r="AB77">
        <v>9</v>
      </c>
      <c r="AC77">
        <v>314.86680000000001</v>
      </c>
      <c r="AD77">
        <v>37.456699999999998</v>
      </c>
      <c r="AE77">
        <v>18.740299999999898</v>
      </c>
      <c r="AF77">
        <v>-10.650862130659201</v>
      </c>
      <c r="AG77">
        <v>37.456699999999998</v>
      </c>
      <c r="AH77">
        <v>310.85544600364898</v>
      </c>
      <c r="AI77">
        <v>83.133228946640003</v>
      </c>
      <c r="AJ77">
        <v>91.962361675691596</v>
      </c>
      <c r="AK77">
        <v>313.28509946874902</v>
      </c>
      <c r="AL77">
        <v>85.332913822340501</v>
      </c>
      <c r="AM77">
        <v>92.145297712692695</v>
      </c>
      <c r="AN77">
        <v>0.99999997245772898</v>
      </c>
    </row>
    <row r="78" spans="1:40" x14ac:dyDescent="0.25">
      <c r="A78" t="str">
        <f>"20190312160602991"</f>
        <v>20190312160602991</v>
      </c>
      <c r="B78" t="str">
        <f>"1552377962985188"</f>
        <v>1552377962985188</v>
      </c>
      <c r="C78" t="s">
        <v>40</v>
      </c>
      <c r="D78">
        <v>5.955114</v>
      </c>
      <c r="E78">
        <v>0.50205540000000004</v>
      </c>
      <c r="F78" t="s">
        <v>42</v>
      </c>
      <c r="G78">
        <v>-158.78319999999999</v>
      </c>
      <c r="H78">
        <v>38.064309999999999</v>
      </c>
      <c r="I78">
        <v>385.8974</v>
      </c>
      <c r="J78">
        <v>-473.59059999999999</v>
      </c>
      <c r="K78">
        <v>1.109383</v>
      </c>
      <c r="L78">
        <v>367.28870000000001</v>
      </c>
      <c r="M78">
        <v>0.99966750000000004</v>
      </c>
      <c r="N78">
        <v>0</v>
      </c>
      <c r="O78">
        <v>2.5616839999999998E-2</v>
      </c>
      <c r="P78">
        <v>0.9949481</v>
      </c>
      <c r="Q78">
        <v>7.8646149999999998E-2</v>
      </c>
      <c r="R78">
        <v>6.2396960000000001E-2</v>
      </c>
      <c r="S78">
        <v>2.9765630000000001</v>
      </c>
      <c r="T78">
        <v>0.34935050000000001</v>
      </c>
      <c r="U78">
        <v>0.1759338</v>
      </c>
      <c r="V78">
        <v>-3.6906799999999997E-2</v>
      </c>
      <c r="W78">
        <v>8.1557489999999996E-2</v>
      </c>
      <c r="X78">
        <v>0.99598509999999996</v>
      </c>
      <c r="Y78">
        <v>-3.3358760000000001E-2</v>
      </c>
      <c r="Z78">
        <v>1.0436759999999999E-3</v>
      </c>
      <c r="AA78">
        <v>0.99944290000000002</v>
      </c>
      <c r="AB78">
        <v>9</v>
      </c>
      <c r="AC78">
        <v>314.80739999999997</v>
      </c>
      <c r="AD78">
        <v>36.954926999999998</v>
      </c>
      <c r="AE78">
        <v>18.608699999999999</v>
      </c>
      <c r="AF78">
        <v>-10.395435325104399</v>
      </c>
      <c r="AG78">
        <v>36.954926999999998</v>
      </c>
      <c r="AH78">
        <v>310.91129372047197</v>
      </c>
      <c r="AI78">
        <v>83.225373773387005</v>
      </c>
      <c r="AJ78">
        <v>91.914992412495096</v>
      </c>
      <c r="AK78">
        <v>313.27234839371198</v>
      </c>
      <c r="AL78">
        <v>85.321904201864996</v>
      </c>
      <c r="AM78">
        <v>92.122157055120297</v>
      </c>
      <c r="AN78">
        <v>1.0000000277416701</v>
      </c>
    </row>
    <row r="79" spans="1:40" x14ac:dyDescent="0.25">
      <c r="A79" t="str">
        <f>"20190312160603007"</f>
        <v>20190312160603007</v>
      </c>
      <c r="B79" t="str">
        <f>"1552377962994948"</f>
        <v>1552377962994948</v>
      </c>
      <c r="C79" t="s">
        <v>40</v>
      </c>
      <c r="D79">
        <v>5.9104219999999996</v>
      </c>
      <c r="E79">
        <v>0.50209199999999998</v>
      </c>
      <c r="F79" t="s">
        <v>42</v>
      </c>
      <c r="G79">
        <v>-158.78319999999999</v>
      </c>
      <c r="H79">
        <v>37.743049999999997</v>
      </c>
      <c r="I79">
        <v>385.65449999999998</v>
      </c>
      <c r="J79">
        <v>-473.52600000000001</v>
      </c>
      <c r="K79">
        <v>1.1093999999999999</v>
      </c>
      <c r="L79">
        <v>367.29079999999999</v>
      </c>
      <c r="M79">
        <v>0.99965579999999998</v>
      </c>
      <c r="N79">
        <v>0</v>
      </c>
      <c r="O79">
        <v>2.607046E-2</v>
      </c>
      <c r="P79">
        <v>0.9949228</v>
      </c>
      <c r="Q79">
        <v>7.8724139999999998E-2</v>
      </c>
      <c r="R79">
        <v>6.2703239999999993E-2</v>
      </c>
      <c r="S79">
        <v>2.9769589999999999</v>
      </c>
      <c r="T79">
        <v>0.34642489999999998</v>
      </c>
      <c r="U79">
        <v>0.17367550000000001</v>
      </c>
      <c r="V79">
        <v>-3.6764529999999997E-2</v>
      </c>
      <c r="W79">
        <v>8.1646369999999996E-2</v>
      </c>
      <c r="X79">
        <v>0.99598310000000001</v>
      </c>
      <c r="Y79">
        <v>-3.2153840000000003E-2</v>
      </c>
      <c r="Z79">
        <v>1.1572329999999999E-3</v>
      </c>
      <c r="AA79">
        <v>0.99948230000000005</v>
      </c>
      <c r="AB79">
        <v>9</v>
      </c>
      <c r="AC79">
        <v>314.74279999999999</v>
      </c>
      <c r="AD79">
        <v>36.633650000000003</v>
      </c>
      <c r="AE79">
        <v>18.363699999999898</v>
      </c>
      <c r="AF79">
        <v>-10.016695781936299</v>
      </c>
      <c r="AG79">
        <v>36.633650000000003</v>
      </c>
      <c r="AH79">
        <v>310.91681753965202</v>
      </c>
      <c r="AI79">
        <v>83.283582610946993</v>
      </c>
      <c r="AJ79">
        <v>91.845239390787697</v>
      </c>
      <c r="AK79">
        <v>313.22775409547501</v>
      </c>
      <c r="AL79">
        <v>85.316794807802097</v>
      </c>
      <c r="AM79">
        <v>92.113988145945399</v>
      </c>
      <c r="AN79">
        <v>1.0000000479429501</v>
      </c>
    </row>
    <row r="80" spans="1:40" x14ac:dyDescent="0.25">
      <c r="A80" t="str">
        <f>"20190312160603030"</f>
        <v>20190312160603030</v>
      </c>
      <c r="B80" t="str">
        <f>"1552377963025203"</f>
        <v>1552377963025203</v>
      </c>
      <c r="C80" t="s">
        <v>40</v>
      </c>
      <c r="D80">
        <v>6.3584680000000002</v>
      </c>
      <c r="E80">
        <v>0.50211279999999903</v>
      </c>
      <c r="F80" t="s">
        <v>42</v>
      </c>
      <c r="G80">
        <v>-158.78319999999999</v>
      </c>
      <c r="H80">
        <v>37.50694</v>
      </c>
      <c r="I80">
        <v>385.69369999999998</v>
      </c>
      <c r="J80">
        <v>-473.43259999999998</v>
      </c>
      <c r="K80">
        <v>1.1094120000000001</v>
      </c>
      <c r="L80">
        <v>367.29390000000001</v>
      </c>
      <c r="M80">
        <v>0.99963869999999999</v>
      </c>
      <c r="N80">
        <v>0</v>
      </c>
      <c r="O80">
        <v>2.6721100000000001E-2</v>
      </c>
      <c r="P80">
        <v>0.99486140000000001</v>
      </c>
      <c r="Q80">
        <v>7.8767169999999997E-2</v>
      </c>
      <c r="R80">
        <v>6.3613589999999998E-2</v>
      </c>
      <c r="S80">
        <v>2.9771420000000002</v>
      </c>
      <c r="T80">
        <v>0.34428389999999998</v>
      </c>
      <c r="U80">
        <v>0.17407230000000001</v>
      </c>
      <c r="V80">
        <v>-3.7031309999999998E-2</v>
      </c>
      <c r="W80">
        <v>8.1686759999999997E-2</v>
      </c>
      <c r="X80">
        <v>0.99596980000000002</v>
      </c>
      <c r="Y80">
        <v>-3.1640700000000001E-2</v>
      </c>
      <c r="Z80">
        <v>1.254481E-3</v>
      </c>
      <c r="AA80">
        <v>0.99949849999999996</v>
      </c>
      <c r="AB80">
        <v>9</v>
      </c>
      <c r="AC80">
        <v>314.64940000000001</v>
      </c>
      <c r="AD80">
        <v>36.397528000000001</v>
      </c>
      <c r="AE80">
        <v>18.3997999999999</v>
      </c>
      <c r="AF80">
        <v>-9.8540087150649605</v>
      </c>
      <c r="AG80">
        <v>36.397528000000001</v>
      </c>
      <c r="AH80">
        <v>310.88295009609902</v>
      </c>
      <c r="AI80">
        <v>83.325651319113902</v>
      </c>
      <c r="AJ80">
        <v>91.815487610477206</v>
      </c>
      <c r="AK80">
        <v>313.16144429466601</v>
      </c>
      <c r="AL80">
        <v>85.314472385431202</v>
      </c>
      <c r="AM80">
        <v>92.129342535336804</v>
      </c>
      <c r="AN80">
        <v>0.999999943595825</v>
      </c>
    </row>
    <row r="81" spans="1:40" x14ac:dyDescent="0.25">
      <c r="A81" t="str">
        <f>"20190312160603042"</f>
        <v>20190312160603042</v>
      </c>
      <c r="B81" t="str">
        <f>"1552377963034965"</f>
        <v>1552377963034965</v>
      </c>
      <c r="C81" t="s">
        <v>40</v>
      </c>
      <c r="D81">
        <v>5.7956669999999999</v>
      </c>
      <c r="E81">
        <v>0.50227460000000002</v>
      </c>
      <c r="F81" t="s">
        <v>42</v>
      </c>
      <c r="G81">
        <v>-158.78319999999999</v>
      </c>
      <c r="H81">
        <v>36.687359999999998</v>
      </c>
      <c r="I81">
        <v>385.93079999999998</v>
      </c>
      <c r="J81">
        <v>-473.3802</v>
      </c>
      <c r="K81">
        <v>1.1094120000000001</v>
      </c>
      <c r="L81">
        <v>367.29570000000001</v>
      </c>
      <c r="M81">
        <v>0.99962899999999999</v>
      </c>
      <c r="N81">
        <v>0</v>
      </c>
      <c r="O81">
        <v>2.7080750000000001E-2</v>
      </c>
      <c r="P81">
        <v>0.99477669999999996</v>
      </c>
      <c r="Q81">
        <v>7.9314869999999996E-2</v>
      </c>
      <c r="R81">
        <v>6.4253699999999997E-2</v>
      </c>
      <c r="S81">
        <v>2.9775390000000002</v>
      </c>
      <c r="T81">
        <v>0.33667609999999998</v>
      </c>
      <c r="U81">
        <v>0.17636109999999999</v>
      </c>
      <c r="V81">
        <v>-3.7317469999999998E-2</v>
      </c>
      <c r="W81">
        <v>8.2219970000000003E-2</v>
      </c>
      <c r="X81">
        <v>0.99591529999999995</v>
      </c>
      <c r="Y81">
        <v>-3.2040190000000003E-2</v>
      </c>
      <c r="Z81">
        <v>1.2447199999999999E-3</v>
      </c>
      <c r="AA81">
        <v>0.99948579999999998</v>
      </c>
      <c r="AB81">
        <v>9</v>
      </c>
      <c r="AC81">
        <v>314.59699999999998</v>
      </c>
      <c r="AD81">
        <v>35.577947999999999</v>
      </c>
      <c r="AE81">
        <v>18.635099999999898</v>
      </c>
      <c r="AF81">
        <v>-9.9814949082989592</v>
      </c>
      <c r="AG81">
        <v>35.577947999999999</v>
      </c>
      <c r="AH81">
        <v>311.02237124712099</v>
      </c>
      <c r="AI81">
        <v>83.477611211420793</v>
      </c>
      <c r="AJ81">
        <v>91.838135669102201</v>
      </c>
      <c r="AK81">
        <v>313.209731714513</v>
      </c>
      <c r="AL81">
        <v>85.283818857305405</v>
      </c>
      <c r="AM81">
        <v>92.145899053898503</v>
      </c>
      <c r="AN81">
        <v>1.00000000090404</v>
      </c>
    </row>
    <row r="82" spans="1:40" x14ac:dyDescent="0.25">
      <c r="A82" t="str">
        <f>"20190312160603055"</f>
        <v>20190312160603055</v>
      </c>
      <c r="B82" t="str">
        <f>"1552377963044723"</f>
        <v>1552377963044723</v>
      </c>
      <c r="C82" t="s">
        <v>40</v>
      </c>
      <c r="D82">
        <v>5.9088760000000002</v>
      </c>
      <c r="E82">
        <v>0.50234089999999998</v>
      </c>
      <c r="F82" t="s">
        <v>42</v>
      </c>
      <c r="G82">
        <v>-158.78319999999999</v>
      </c>
      <c r="H82">
        <v>36.629620000000003</v>
      </c>
      <c r="I82">
        <v>385.97770000000003</v>
      </c>
      <c r="J82">
        <v>-473.3272</v>
      </c>
      <c r="K82">
        <v>1.109413</v>
      </c>
      <c r="L82">
        <v>367.29750000000001</v>
      </c>
      <c r="M82">
        <v>0.99961920000000004</v>
      </c>
      <c r="N82">
        <v>0</v>
      </c>
      <c r="O82">
        <v>2.7443080000000002E-2</v>
      </c>
      <c r="P82">
        <v>0.99471149999999997</v>
      </c>
      <c r="Q82">
        <v>7.9561220000000002E-2</v>
      </c>
      <c r="R82">
        <v>6.4954129999999999E-2</v>
      </c>
      <c r="S82">
        <v>2.9775700000000001</v>
      </c>
      <c r="T82">
        <v>0.33618900000000002</v>
      </c>
      <c r="U82">
        <v>0.1768188</v>
      </c>
      <c r="V82">
        <v>-3.7660100000000002E-2</v>
      </c>
      <c r="W82">
        <v>8.2447119999999999E-2</v>
      </c>
      <c r="X82">
        <v>0.99588359999999998</v>
      </c>
      <c r="Y82">
        <v>-3.1834099999999997E-2</v>
      </c>
      <c r="Z82">
        <v>1.295215E-3</v>
      </c>
      <c r="AA82">
        <v>0.9994923</v>
      </c>
      <c r="AB82">
        <v>9</v>
      </c>
      <c r="AC82">
        <v>314.54399999999998</v>
      </c>
      <c r="AD82">
        <v>35.520206999999999</v>
      </c>
      <c r="AE82">
        <v>18.680199999999999</v>
      </c>
      <c r="AF82">
        <v>-9.9150767090440795</v>
      </c>
      <c r="AG82">
        <v>35.520206999999999</v>
      </c>
      <c r="AH82">
        <v>310.98632628300498</v>
      </c>
      <c r="AI82">
        <v>83.487314108964398</v>
      </c>
      <c r="AJ82">
        <v>91.826124265936798</v>
      </c>
      <c r="AK82">
        <v>313.165274234658</v>
      </c>
      <c r="AL82">
        <v>85.270759673392405</v>
      </c>
      <c r="AM82">
        <v>92.165651799114798</v>
      </c>
      <c r="AN82">
        <v>0.99999997773863103</v>
      </c>
    </row>
    <row r="83" spans="1:40" x14ac:dyDescent="0.25">
      <c r="A83" t="str">
        <f>"20190312160603075"</f>
        <v>20190312160603075</v>
      </c>
      <c r="B83" t="str">
        <f>"1552377963065223"</f>
        <v>1552377963065223</v>
      </c>
      <c r="C83" t="s">
        <v>40</v>
      </c>
      <c r="D83">
        <v>5.8027129999999998</v>
      </c>
      <c r="E83">
        <v>0.50245620000000002</v>
      </c>
      <c r="F83" t="s">
        <v>42</v>
      </c>
      <c r="G83">
        <v>-158.78319999999999</v>
      </c>
      <c r="H83">
        <v>36.540439999999997</v>
      </c>
      <c r="I83">
        <v>386.16090000000003</v>
      </c>
      <c r="J83">
        <v>-473.23989999999998</v>
      </c>
      <c r="K83">
        <v>1.109407</v>
      </c>
      <c r="L83">
        <v>367.30059999999997</v>
      </c>
      <c r="M83">
        <v>0.99960300000000002</v>
      </c>
      <c r="N83">
        <v>0</v>
      </c>
      <c r="O83">
        <v>2.8029970000000001E-2</v>
      </c>
      <c r="P83">
        <v>0.99455769999999999</v>
      </c>
      <c r="Q83">
        <v>8.0347899999999903E-2</v>
      </c>
      <c r="R83">
        <v>6.6327330000000004E-2</v>
      </c>
      <c r="S83">
        <v>2.9774479999999999</v>
      </c>
      <c r="T83">
        <v>0.33538770000000001</v>
      </c>
      <c r="U83">
        <v>0.178558299999999</v>
      </c>
      <c r="V83">
        <v>-3.8455019999999999E-2</v>
      </c>
      <c r="W83">
        <v>8.3189379999999993E-2</v>
      </c>
      <c r="X83">
        <v>0.99579150000000005</v>
      </c>
      <c r="Y83">
        <v>-3.1835380000000003E-2</v>
      </c>
      <c r="Z83">
        <v>1.3578959999999999E-3</v>
      </c>
      <c r="AA83">
        <v>0.99949219999999905</v>
      </c>
      <c r="AB83">
        <v>9</v>
      </c>
      <c r="AC83">
        <v>314.45670000000001</v>
      </c>
      <c r="AD83">
        <v>35.431032999999999</v>
      </c>
      <c r="AE83">
        <v>18.860299999999999</v>
      </c>
      <c r="AF83">
        <v>-9.9132402565830908</v>
      </c>
      <c r="AG83">
        <v>35.431032999999999</v>
      </c>
      <c r="AH83">
        <v>310.928589776433</v>
      </c>
      <c r="AI83">
        <v>83.502328339271898</v>
      </c>
      <c r="AJ83">
        <v>91.826125065229107</v>
      </c>
      <c r="AK83">
        <v>313.09777765451003</v>
      </c>
      <c r="AL83">
        <v>85.2280847453018</v>
      </c>
      <c r="AM83">
        <v>92.211523245412096</v>
      </c>
      <c r="AN83">
        <v>0.99999998649011701</v>
      </c>
    </row>
    <row r="84" spans="1:40" x14ac:dyDescent="0.25">
      <c r="A84" t="str">
        <f>"20190312160603097"</f>
        <v>20190312160603097</v>
      </c>
      <c r="B84" t="str">
        <f>"1552377963095475"</f>
        <v>1552377963095475</v>
      </c>
      <c r="C84" t="s">
        <v>40</v>
      </c>
      <c r="D84">
        <v>5.8815160000000004</v>
      </c>
      <c r="E84">
        <v>0.50271339999999998</v>
      </c>
      <c r="F84" t="s">
        <v>42</v>
      </c>
      <c r="G84">
        <v>-158.78319999999999</v>
      </c>
      <c r="H84">
        <v>36.44106</v>
      </c>
      <c r="I84">
        <v>386.50470000000001</v>
      </c>
      <c r="J84">
        <v>-473.14589999999998</v>
      </c>
      <c r="K84">
        <v>1.1094010000000001</v>
      </c>
      <c r="L84">
        <v>367.30399999999997</v>
      </c>
      <c r="M84">
        <v>0.99958559999999996</v>
      </c>
      <c r="N84">
        <v>0</v>
      </c>
      <c r="O84">
        <v>2.864858E-2</v>
      </c>
      <c r="P84">
        <v>0.99447110000000005</v>
      </c>
      <c r="Q84">
        <v>8.038228E-2</v>
      </c>
      <c r="R84">
        <v>6.7572969999999996E-2</v>
      </c>
      <c r="S84">
        <v>2.9772639999999999</v>
      </c>
      <c r="T84">
        <v>0.33451940000000002</v>
      </c>
      <c r="U84">
        <v>0.1818237</v>
      </c>
      <c r="V84">
        <v>-3.9087080000000003E-2</v>
      </c>
      <c r="W84">
        <v>8.3170850000000004E-2</v>
      </c>
      <c r="X84">
        <v>0.9957684</v>
      </c>
      <c r="Y84">
        <v>-3.2313729999999999E-2</v>
      </c>
      <c r="Z84">
        <v>1.396836E-3</v>
      </c>
      <c r="AA84">
        <v>0.99947680000000005</v>
      </c>
      <c r="AB84">
        <v>10</v>
      </c>
      <c r="AC84">
        <v>314.36270000000002</v>
      </c>
      <c r="AD84">
        <v>35.331659000000002</v>
      </c>
      <c r="AE84">
        <v>19.200699999999902</v>
      </c>
      <c r="AF84">
        <v>-10.060132928510701</v>
      </c>
      <c r="AG84">
        <v>35.331659000000002</v>
      </c>
      <c r="AH84">
        <v>310.87146380235799</v>
      </c>
      <c r="AI84">
        <v>83.519315332299698</v>
      </c>
      <c r="AJ84">
        <v>91.853505840801503</v>
      </c>
      <c r="AK84">
        <v>313.03450194643398</v>
      </c>
      <c r="AL84">
        <v>85.229149945425306</v>
      </c>
      <c r="AM84">
        <v>92.247887712157805</v>
      </c>
      <c r="AN84">
        <v>0.99999994827560301</v>
      </c>
    </row>
    <row r="85" spans="1:40" x14ac:dyDescent="0.25">
      <c r="A85" t="str">
        <f>"20190312160603109"</f>
        <v>20190312160603109</v>
      </c>
      <c r="B85" t="str">
        <f>"1552377963105236"</f>
        <v>1552377963105236</v>
      </c>
      <c r="C85" t="s">
        <v>40</v>
      </c>
      <c r="D85">
        <v>5.978199</v>
      </c>
      <c r="E85">
        <v>0.50276160000000003</v>
      </c>
      <c r="F85" t="s">
        <v>42</v>
      </c>
      <c r="G85">
        <v>-158.78319999999999</v>
      </c>
      <c r="H85">
        <v>36.03595</v>
      </c>
      <c r="I85">
        <v>386.6653</v>
      </c>
      <c r="J85">
        <v>-473.09339999999997</v>
      </c>
      <c r="K85">
        <v>1.1093919999999999</v>
      </c>
      <c r="L85">
        <v>367.30579999999998</v>
      </c>
      <c r="M85">
        <v>0.99957600000000002</v>
      </c>
      <c r="N85">
        <v>0</v>
      </c>
      <c r="O85">
        <v>2.8987889999999999E-2</v>
      </c>
      <c r="P85">
        <v>0.994475</v>
      </c>
      <c r="Q85">
        <v>8.0411460000000004E-2</v>
      </c>
      <c r="R85">
        <v>6.7479800000000006E-2</v>
      </c>
      <c r="S85">
        <v>2.9774780000000001</v>
      </c>
      <c r="T85">
        <v>0.3308065</v>
      </c>
      <c r="U85">
        <v>0.18338009999999999</v>
      </c>
      <c r="V85">
        <v>-3.8655929999999998E-2</v>
      </c>
      <c r="W85">
        <v>8.3171339999999996E-2</v>
      </c>
      <c r="X85">
        <v>0.99578520000000004</v>
      </c>
      <c r="Y85">
        <v>-3.2492090000000001E-2</v>
      </c>
      <c r="Z85">
        <v>1.408952E-3</v>
      </c>
      <c r="AA85">
        <v>0.999471</v>
      </c>
      <c r="AB85">
        <v>10</v>
      </c>
      <c r="AC85">
        <v>314.31020000000001</v>
      </c>
      <c r="AD85">
        <v>34.926558</v>
      </c>
      <c r="AE85">
        <v>19.359500000000001</v>
      </c>
      <c r="AF85">
        <v>-10.1157045204617</v>
      </c>
      <c r="AG85">
        <v>34.926558</v>
      </c>
      <c r="AH85">
        <v>310.91466058309902</v>
      </c>
      <c r="AI85">
        <v>83.593917911429003</v>
      </c>
      <c r="AJ85">
        <v>91.863478543926007</v>
      </c>
      <c r="AK85">
        <v>313.033733161741</v>
      </c>
      <c r="AL85">
        <v>85.229121822397502</v>
      </c>
      <c r="AM85">
        <v>92.223079937187094</v>
      </c>
      <c r="AN85">
        <v>0.999999958630299</v>
      </c>
    </row>
    <row r="86" spans="1:40" x14ac:dyDescent="0.25">
      <c r="A86" t="str">
        <f>"20190312160603133"</f>
        <v>20190312160603133</v>
      </c>
      <c r="B86" t="str">
        <f>"1552377963124755"</f>
        <v>1552377963124755</v>
      </c>
      <c r="C86" t="s">
        <v>40</v>
      </c>
      <c r="D86">
        <v>5.8853859999999996</v>
      </c>
      <c r="E86">
        <v>0.50283770000000005</v>
      </c>
      <c r="F86" t="s">
        <v>42</v>
      </c>
      <c r="G86">
        <v>-158.78319999999999</v>
      </c>
      <c r="H86">
        <v>35.897280000000002</v>
      </c>
      <c r="I86">
        <v>386.608</v>
      </c>
      <c r="J86">
        <v>-472.98989999999998</v>
      </c>
      <c r="K86">
        <v>1.1093740000000001</v>
      </c>
      <c r="L86">
        <v>367.30959999999999</v>
      </c>
      <c r="M86">
        <v>0.99955680000000002</v>
      </c>
      <c r="N86">
        <v>0</v>
      </c>
      <c r="O86">
        <v>2.964522E-2</v>
      </c>
      <c r="P86">
        <v>0.99443329999999996</v>
      </c>
      <c r="Q86">
        <v>8.1009670000000006E-2</v>
      </c>
      <c r="R86">
        <v>6.7380590000000004E-2</v>
      </c>
      <c r="S86">
        <v>2.9776609999999999</v>
      </c>
      <c r="T86">
        <v>0.32956849999999999</v>
      </c>
      <c r="U86">
        <v>0.1828613</v>
      </c>
      <c r="V86">
        <v>-3.7903979999999997E-2</v>
      </c>
      <c r="W86">
        <v>8.3711129999999995E-2</v>
      </c>
      <c r="X86">
        <v>0.99576889999999996</v>
      </c>
      <c r="Y86">
        <v>-3.1666739999999999E-2</v>
      </c>
      <c r="Z86">
        <v>1.5215370000000001E-3</v>
      </c>
      <c r="AA86">
        <v>0.99949739999999998</v>
      </c>
      <c r="AB86">
        <v>10</v>
      </c>
      <c r="AC86">
        <v>314.20670000000001</v>
      </c>
      <c r="AD86">
        <v>34.787906</v>
      </c>
      <c r="AE86">
        <v>19.298400000000001</v>
      </c>
      <c r="AF86">
        <v>-9.8548089889640291</v>
      </c>
      <c r="AG86">
        <v>34.787906</v>
      </c>
      <c r="AH86">
        <v>310.844640664851</v>
      </c>
      <c r="AI86">
        <v>83.617544264788705</v>
      </c>
      <c r="AJ86">
        <v>91.815858567576001</v>
      </c>
      <c r="AK86">
        <v>312.94041971936798</v>
      </c>
      <c r="AL86">
        <v>85.198086020480403</v>
      </c>
      <c r="AM86">
        <v>92.179913512604102</v>
      </c>
      <c r="AN86">
        <v>0.99999998359646303</v>
      </c>
    </row>
    <row r="87" spans="1:40" x14ac:dyDescent="0.25">
      <c r="A87" t="str">
        <f>"20190312160603156"</f>
        <v>20190312160603156</v>
      </c>
      <c r="B87" t="str">
        <f>"1552377963145251"</f>
        <v>1552377963145251</v>
      </c>
      <c r="C87" t="s">
        <v>40</v>
      </c>
      <c r="D87">
        <v>5.8133499999999998</v>
      </c>
      <c r="E87">
        <v>0.50291540000000001</v>
      </c>
      <c r="F87" t="s">
        <v>42</v>
      </c>
      <c r="G87">
        <v>-158.78319999999999</v>
      </c>
      <c r="H87">
        <v>35.850960000000001</v>
      </c>
      <c r="I87">
        <v>386.4699</v>
      </c>
      <c r="J87">
        <v>-472.8843</v>
      </c>
      <c r="K87">
        <v>1.1093519999999999</v>
      </c>
      <c r="L87">
        <v>367.31349999999998</v>
      </c>
      <c r="M87">
        <v>0.99953740000000002</v>
      </c>
      <c r="N87">
        <v>0</v>
      </c>
      <c r="O87">
        <v>3.0297660000000001E-2</v>
      </c>
      <c r="P87">
        <v>0.99441290000000004</v>
      </c>
      <c r="Q87">
        <v>8.1562750000000003E-2</v>
      </c>
      <c r="R87">
        <v>6.7010959999999994E-2</v>
      </c>
      <c r="S87">
        <v>2.9776919999999998</v>
      </c>
      <c r="T87">
        <v>0.32924160000000002</v>
      </c>
      <c r="U87">
        <v>0.18157960000000001</v>
      </c>
      <c r="V87">
        <v>-3.6883939999999997E-2</v>
      </c>
      <c r="W87">
        <v>8.4200540000000004E-2</v>
      </c>
      <c r="X87">
        <v>0.99576600000000004</v>
      </c>
      <c r="Y87">
        <v>-3.0595549999999999E-2</v>
      </c>
      <c r="Z87">
        <v>1.65083E-3</v>
      </c>
      <c r="AA87">
        <v>0.99953049999999999</v>
      </c>
      <c r="AB87">
        <v>10</v>
      </c>
      <c r="AC87">
        <v>314.10109999999997</v>
      </c>
      <c r="AD87">
        <v>34.741607999999999</v>
      </c>
      <c r="AE87">
        <v>19.156400000000001</v>
      </c>
      <c r="AF87">
        <v>-9.51506983792755</v>
      </c>
      <c r="AG87">
        <v>34.741607999999999</v>
      </c>
      <c r="AH87">
        <v>310.74973957374402</v>
      </c>
      <c r="AI87">
        <v>83.623824613029996</v>
      </c>
      <c r="AJ87">
        <v>91.753832718022394</v>
      </c>
      <c r="AK87">
        <v>312.83049168135199</v>
      </c>
      <c r="AL87">
        <v>85.169945821327701</v>
      </c>
      <c r="AM87">
        <v>92.121310022300193</v>
      </c>
      <c r="AN87">
        <v>1.0000000413611001</v>
      </c>
    </row>
    <row r="88" spans="1:40" x14ac:dyDescent="0.25">
      <c r="A88" t="str">
        <f>"20190312160603176"</f>
        <v>20190312160603176</v>
      </c>
      <c r="B88" t="str">
        <f>"1552377963164772"</f>
        <v>1552377963164772</v>
      </c>
      <c r="C88" t="s">
        <v>40</v>
      </c>
      <c r="D88">
        <v>5.8317050000000004</v>
      </c>
      <c r="E88">
        <v>0.50291759999999996</v>
      </c>
      <c r="F88" t="s">
        <v>42</v>
      </c>
      <c r="G88">
        <v>-158.78319999999999</v>
      </c>
      <c r="H88">
        <v>35.787030000000001</v>
      </c>
      <c r="I88">
        <v>386.27019999999999</v>
      </c>
      <c r="J88">
        <v>-472.78809999999999</v>
      </c>
      <c r="K88">
        <v>1.109329</v>
      </c>
      <c r="L88">
        <v>367.31709999999998</v>
      </c>
      <c r="M88">
        <v>0.99951990000000002</v>
      </c>
      <c r="N88">
        <v>0</v>
      </c>
      <c r="O88">
        <v>3.0875819999999998E-2</v>
      </c>
      <c r="P88">
        <v>0.99439390000000005</v>
      </c>
      <c r="Q88">
        <v>8.2164730000000005E-2</v>
      </c>
      <c r="R88">
        <v>6.6557720000000001E-2</v>
      </c>
      <c r="S88">
        <v>2.977814</v>
      </c>
      <c r="T88">
        <v>0.32875989999999999</v>
      </c>
      <c r="U88">
        <v>0.17971799999999999</v>
      </c>
      <c r="V88">
        <v>-3.5854770000000001E-2</v>
      </c>
      <c r="W88">
        <v>8.4738859999999999E-2</v>
      </c>
      <c r="X88">
        <v>0.99575789999999997</v>
      </c>
      <c r="Y88">
        <v>-2.9403019999999998E-2</v>
      </c>
      <c r="Z88">
        <v>1.77749999999999E-3</v>
      </c>
      <c r="AA88">
        <v>0.99956610000000001</v>
      </c>
      <c r="AB88">
        <v>10</v>
      </c>
      <c r="AC88">
        <v>314.00490000000002</v>
      </c>
      <c r="AD88">
        <v>34.677700999999999</v>
      </c>
      <c r="AE88">
        <v>18.953099999999999</v>
      </c>
      <c r="AF88">
        <v>-9.13782954932684</v>
      </c>
      <c r="AG88">
        <v>34.677700999999999</v>
      </c>
      <c r="AH88">
        <v>310.66517616090601</v>
      </c>
      <c r="AI88">
        <v>83.633510646323302</v>
      </c>
      <c r="AJ88">
        <v>91.684798286235704</v>
      </c>
      <c r="AK88">
        <v>312.72814800494803</v>
      </c>
      <c r="AL88">
        <v>85.138991611894198</v>
      </c>
      <c r="AM88">
        <v>92.062187853597393</v>
      </c>
      <c r="AN88">
        <v>1.0000000171691299</v>
      </c>
    </row>
    <row r="89" spans="1:40" x14ac:dyDescent="0.25">
      <c r="A89" t="str">
        <f>"20190312160603189"</f>
        <v>20190312160603189</v>
      </c>
      <c r="B89" t="str">
        <f>"1552377963185267"</f>
        <v>1552377963185267</v>
      </c>
      <c r="C89" t="s">
        <v>40</v>
      </c>
      <c r="D89">
        <v>6.5483149999999997</v>
      </c>
      <c r="E89">
        <v>0.50358510000000001</v>
      </c>
      <c r="F89" t="s">
        <v>42</v>
      </c>
      <c r="G89">
        <v>-158.78319999999999</v>
      </c>
      <c r="H89">
        <v>35.739809999999999</v>
      </c>
      <c r="I89">
        <v>386.12299999999999</v>
      </c>
      <c r="J89">
        <v>-472.7278</v>
      </c>
      <c r="K89">
        <v>1.109313</v>
      </c>
      <c r="L89">
        <v>367.31939999999997</v>
      </c>
      <c r="M89">
        <v>0.99950899999999998</v>
      </c>
      <c r="N89">
        <v>0</v>
      </c>
      <c r="O89">
        <v>3.1231999999999999E-2</v>
      </c>
      <c r="P89">
        <v>0.99432869999999995</v>
      </c>
      <c r="Q89">
        <v>8.290923E-2</v>
      </c>
      <c r="R89">
        <v>6.6609810000000005E-2</v>
      </c>
      <c r="S89">
        <v>2.9778440000000002</v>
      </c>
      <c r="T89">
        <v>0.3284165</v>
      </c>
      <c r="U89">
        <v>0.17834469999999999</v>
      </c>
      <c r="V89">
        <v>-3.5553500000000002E-2</v>
      </c>
      <c r="W89">
        <v>8.5440119999999994E-2</v>
      </c>
      <c r="X89">
        <v>0.99570879999999995</v>
      </c>
      <c r="Y89">
        <v>-2.859391E-2</v>
      </c>
      <c r="Z89">
        <v>1.8592050000000001E-3</v>
      </c>
      <c r="AA89">
        <v>0.99958939999999996</v>
      </c>
      <c r="AB89">
        <v>10</v>
      </c>
      <c r="AC89">
        <v>313.94459999999998</v>
      </c>
      <c r="AD89">
        <v>34.630496999999998</v>
      </c>
      <c r="AE89">
        <v>18.803599999999999</v>
      </c>
      <c r="AF89">
        <v>-8.8815950836783006</v>
      </c>
      <c r="AG89">
        <v>34.630496999999998</v>
      </c>
      <c r="AH89">
        <v>310.612762402138</v>
      </c>
      <c r="AI89">
        <v>83.640891899142403</v>
      </c>
      <c r="AJ89">
        <v>91.637857024027099</v>
      </c>
      <c r="AK89">
        <v>312.66346480007002</v>
      </c>
      <c r="AL89">
        <v>85.098666237324096</v>
      </c>
      <c r="AM89">
        <v>92.044975826257797</v>
      </c>
      <c r="AN89">
        <v>1.0000000399326501</v>
      </c>
    </row>
    <row r="90" spans="1:40" x14ac:dyDescent="0.25">
      <c r="A90" t="str">
        <f>"20190312160603210"</f>
        <v>20190312160603210</v>
      </c>
      <c r="B90" t="str">
        <f>"1552377963204787"</f>
        <v>1552377963204787</v>
      </c>
      <c r="C90" t="s">
        <v>40</v>
      </c>
      <c r="D90">
        <v>5.9838550000000001</v>
      </c>
      <c r="E90">
        <v>0.50424799999999903</v>
      </c>
      <c r="F90" t="s">
        <v>42</v>
      </c>
      <c r="G90">
        <v>-158.78319999999999</v>
      </c>
      <c r="H90">
        <v>35.930109999999999</v>
      </c>
      <c r="I90">
        <v>385.59980000000002</v>
      </c>
      <c r="J90">
        <v>-472.63</v>
      </c>
      <c r="K90">
        <v>1.109291</v>
      </c>
      <c r="L90">
        <v>367.32310000000001</v>
      </c>
      <c r="M90">
        <v>0.99949129999999997</v>
      </c>
      <c r="N90">
        <v>0</v>
      </c>
      <c r="O90">
        <v>3.1798020000000003E-2</v>
      </c>
      <c r="P90">
        <v>0.99428269999999996</v>
      </c>
      <c r="Q90">
        <v>8.3355899999999997E-2</v>
      </c>
      <c r="R90">
        <v>6.6737710000000006E-2</v>
      </c>
      <c r="S90">
        <v>2.9779659999999999</v>
      </c>
      <c r="T90">
        <v>0.33029829999999999</v>
      </c>
      <c r="U90">
        <v>0.1734009</v>
      </c>
      <c r="V90">
        <v>-3.5118400000000001E-2</v>
      </c>
      <c r="W90">
        <v>8.5815920000000004E-2</v>
      </c>
      <c r="X90">
        <v>0.99569189999999996</v>
      </c>
      <c r="Y90">
        <v>-2.6388749999999999E-2</v>
      </c>
      <c r="Z90">
        <v>2.054129E-3</v>
      </c>
      <c r="AA90">
        <v>0.99964960000000003</v>
      </c>
      <c r="AB90">
        <v>10</v>
      </c>
      <c r="AC90">
        <v>313.84679999999997</v>
      </c>
      <c r="AD90">
        <v>34.820819</v>
      </c>
      <c r="AE90">
        <v>18.276700000000002</v>
      </c>
      <c r="AF90">
        <v>-8.1872796014845193</v>
      </c>
      <c r="AG90">
        <v>34.820819</v>
      </c>
      <c r="AH90">
        <v>310.46053955003902</v>
      </c>
      <c r="AI90">
        <v>83.602736051330098</v>
      </c>
      <c r="AJ90">
        <v>91.510619895075095</v>
      </c>
      <c r="AK90">
        <v>312.51442782822897</v>
      </c>
      <c r="AL90">
        <v>85.077054996762101</v>
      </c>
      <c r="AM90">
        <v>92.020004743836296</v>
      </c>
      <c r="AN90">
        <v>1.0000000169348</v>
      </c>
    </row>
    <row r="91" spans="1:40" x14ac:dyDescent="0.25">
      <c r="A91" t="str">
        <f>"20190312160603233"</f>
        <v>20190312160603233</v>
      </c>
      <c r="B91" t="str">
        <f>"1552377963225284"</f>
        <v>1552377963225284</v>
      </c>
      <c r="C91" t="s">
        <v>40</v>
      </c>
      <c r="D91">
        <v>5.8192760000000003</v>
      </c>
      <c r="E91">
        <v>0.50414099999999995</v>
      </c>
      <c r="F91" t="s">
        <v>42</v>
      </c>
      <c r="G91">
        <v>-158.78319999999999</v>
      </c>
      <c r="H91">
        <v>35.868609999999997</v>
      </c>
      <c r="I91">
        <v>385.0942</v>
      </c>
      <c r="J91">
        <v>-472.52030000000002</v>
      </c>
      <c r="K91">
        <v>1.1092679999999999</v>
      </c>
      <c r="L91">
        <v>367.3272</v>
      </c>
      <c r="M91">
        <v>0.99947169999999996</v>
      </c>
      <c r="N91">
        <v>0</v>
      </c>
      <c r="O91">
        <v>3.2413089999999999E-2</v>
      </c>
      <c r="P91">
        <v>0.99427069999999995</v>
      </c>
      <c r="Q91">
        <v>8.339075E-2</v>
      </c>
      <c r="R91">
        <v>6.6871920000000001E-2</v>
      </c>
      <c r="S91">
        <v>2.9782709999999999</v>
      </c>
      <c r="T91">
        <v>0.32985170000000003</v>
      </c>
      <c r="U91">
        <v>0.16864009999999999</v>
      </c>
      <c r="V91">
        <v>-3.4639000000000003E-2</v>
      </c>
      <c r="W91">
        <v>8.5769349999999994E-2</v>
      </c>
      <c r="X91">
        <v>0.99571270000000001</v>
      </c>
      <c r="Y91">
        <v>-2.4191919999999999E-2</v>
      </c>
      <c r="Z91">
        <v>2.2402630000000002E-3</v>
      </c>
      <c r="AA91">
        <v>0.99970479999999995</v>
      </c>
      <c r="AB91">
        <v>11</v>
      </c>
      <c r="AC91">
        <v>313.7371</v>
      </c>
      <c r="AD91">
        <v>34.759341999999997</v>
      </c>
      <c r="AE91">
        <v>17.7669999999999</v>
      </c>
      <c r="AF91">
        <v>-7.4967205814690701</v>
      </c>
      <c r="AG91">
        <v>34.759341999999997</v>
      </c>
      <c r="AH91">
        <v>310.35084372715801</v>
      </c>
      <c r="AI91">
        <v>83.611344210293296</v>
      </c>
      <c r="AJ91">
        <v>91.383746635570802</v>
      </c>
      <c r="AK91">
        <v>312.38127165037997</v>
      </c>
      <c r="AL91">
        <v>85.079733107785103</v>
      </c>
      <c r="AM91">
        <v>91.992410523724502</v>
      </c>
      <c r="AN91">
        <v>1.00000001133085</v>
      </c>
    </row>
    <row r="92" spans="1:40" x14ac:dyDescent="0.25">
      <c r="A92" t="str">
        <f>"20190312160603245"</f>
        <v>20190312160603245</v>
      </c>
      <c r="B92" t="str">
        <f>"1552377963235044"</f>
        <v>1552377963235044</v>
      </c>
      <c r="C92" t="s">
        <v>40</v>
      </c>
      <c r="D92">
        <v>5.9730589999999903</v>
      </c>
      <c r="E92">
        <v>0.50423509999999905</v>
      </c>
      <c r="F92" t="s">
        <v>42</v>
      </c>
      <c r="G92">
        <v>-158.78319999999999</v>
      </c>
      <c r="H92">
        <v>35.847380000000001</v>
      </c>
      <c r="I92">
        <v>385.19540000000001</v>
      </c>
      <c r="J92">
        <v>-472.45690000000002</v>
      </c>
      <c r="K92">
        <v>1.1092470000000001</v>
      </c>
      <c r="L92">
        <v>367.3297</v>
      </c>
      <c r="M92">
        <v>0.99946060000000003</v>
      </c>
      <c r="N92">
        <v>0</v>
      </c>
      <c r="O92">
        <v>3.2755380000000001E-2</v>
      </c>
      <c r="P92">
        <v>0.99430019999999997</v>
      </c>
      <c r="Q92">
        <v>8.3071030000000004E-2</v>
      </c>
      <c r="R92">
        <v>6.6833050000000005E-2</v>
      </c>
      <c r="S92">
        <v>2.9782099999999998</v>
      </c>
      <c r="T92">
        <v>0.32975890000000002</v>
      </c>
      <c r="U92">
        <v>0.16961670000000001</v>
      </c>
      <c r="V92">
        <v>-3.4256929999999998E-2</v>
      </c>
      <c r="W92">
        <v>8.5402599999999995E-2</v>
      </c>
      <c r="X92">
        <v>0.99575740000000001</v>
      </c>
      <c r="Y92">
        <v>-2.4179590000000001E-2</v>
      </c>
      <c r="Z92">
        <v>2.2780579999999999E-3</v>
      </c>
      <c r="AA92">
        <v>0.99970499999999995</v>
      </c>
      <c r="AB92">
        <v>11</v>
      </c>
      <c r="AC92">
        <v>313.6737</v>
      </c>
      <c r="AD92">
        <v>34.738132999999998</v>
      </c>
      <c r="AE92">
        <v>17.8657</v>
      </c>
      <c r="AF92">
        <v>-7.4900174735702496</v>
      </c>
      <c r="AG92">
        <v>34.738132999999998</v>
      </c>
      <c r="AH92">
        <v>310.297186403372</v>
      </c>
      <c r="AI92">
        <v>83.614112539447703</v>
      </c>
      <c r="AJ92">
        <v>91.382748828641496</v>
      </c>
      <c r="AK92">
        <v>312.32544266506602</v>
      </c>
      <c r="AL92">
        <v>85.100823520174302</v>
      </c>
      <c r="AM92">
        <v>91.970363166155593</v>
      </c>
      <c r="AN92">
        <v>0.99999997049727196</v>
      </c>
    </row>
    <row r="93" spans="1:40" x14ac:dyDescent="0.25">
      <c r="A93" t="str">
        <f>"20190312160603265"</f>
        <v>20190312160603265</v>
      </c>
      <c r="B93" t="str">
        <f>"1552377963255545"</f>
        <v>1552377963255545</v>
      </c>
      <c r="C93" t="s">
        <v>40</v>
      </c>
      <c r="D93">
        <v>5.8692469999999997</v>
      </c>
      <c r="E93">
        <v>0.50423509999999905</v>
      </c>
      <c r="F93" t="s">
        <v>42</v>
      </c>
      <c r="G93">
        <v>-158.78319999999999</v>
      </c>
      <c r="H93">
        <v>36.198749999999997</v>
      </c>
      <c r="I93">
        <v>385.13459999999998</v>
      </c>
      <c r="J93">
        <v>-472.36009999999999</v>
      </c>
      <c r="K93">
        <v>1.1092219999999999</v>
      </c>
      <c r="L93">
        <v>367.33339999999998</v>
      </c>
      <c r="M93">
        <v>0.99944409999999895</v>
      </c>
      <c r="N93">
        <v>0</v>
      </c>
      <c r="O93">
        <v>3.3265070000000001E-2</v>
      </c>
      <c r="P93">
        <v>0.99433389999999999</v>
      </c>
      <c r="Q93">
        <v>8.2508650000000003E-2</v>
      </c>
      <c r="R93">
        <v>6.7026810000000006E-2</v>
      </c>
      <c r="S93">
        <v>2.9779659999999999</v>
      </c>
      <c r="T93">
        <v>0.3331345</v>
      </c>
      <c r="U93">
        <v>0.16903689999999999</v>
      </c>
      <c r="V93">
        <v>-3.3940169999999999E-2</v>
      </c>
      <c r="W93">
        <v>8.4768789999999997E-2</v>
      </c>
      <c r="X93">
        <v>0.9958224</v>
      </c>
      <c r="Y93">
        <v>-2.348894E-2</v>
      </c>
      <c r="Z93">
        <v>2.3966590000000002E-3</v>
      </c>
      <c r="AA93">
        <v>0.99972119999999998</v>
      </c>
      <c r="AB93">
        <v>11</v>
      </c>
      <c r="AC93">
        <v>313.57690000000002</v>
      </c>
      <c r="AD93">
        <v>35.089527999999902</v>
      </c>
      <c r="AE93">
        <v>17.801199999999898</v>
      </c>
      <c r="AF93">
        <v>-7.2694309198542797</v>
      </c>
      <c r="AG93">
        <v>35.089527999999902</v>
      </c>
      <c r="AH93">
        <v>310.12466791314</v>
      </c>
      <c r="AI93">
        <v>83.546393567471199</v>
      </c>
      <c r="AJ93">
        <v>91.342787259454198</v>
      </c>
      <c r="AK93">
        <v>312.188131179577</v>
      </c>
      <c r="AL93">
        <v>85.137270315225905</v>
      </c>
      <c r="AM93">
        <v>91.952030852008406</v>
      </c>
      <c r="AN93">
        <v>0.99999996761972598</v>
      </c>
    </row>
    <row r="94" spans="1:40" x14ac:dyDescent="0.25">
      <c r="A94" t="str">
        <f>"20190312160603366"</f>
        <v>20190312160603366</v>
      </c>
      <c r="B94" t="str">
        <f>"1552377963354898"</f>
        <v>1552377963354898</v>
      </c>
      <c r="C94" t="s">
        <v>40</v>
      </c>
      <c r="D94">
        <v>6.100625</v>
      </c>
      <c r="E94">
        <v>0.50932690000000003</v>
      </c>
      <c r="F94" t="s">
        <v>42</v>
      </c>
      <c r="G94">
        <v>-158.78319999999999</v>
      </c>
      <c r="H94">
        <v>36.00562</v>
      </c>
      <c r="I94">
        <v>385.20249999999999</v>
      </c>
      <c r="J94">
        <v>-471.8313</v>
      </c>
      <c r="K94">
        <v>1.1091470000000001</v>
      </c>
      <c r="L94">
        <v>367.35449999999997</v>
      </c>
      <c r="M94">
        <v>0.99935719999999995</v>
      </c>
      <c r="N94">
        <v>0</v>
      </c>
      <c r="O94">
        <v>3.580117E-2</v>
      </c>
      <c r="P94">
        <v>0.99394610000000005</v>
      </c>
      <c r="Q94">
        <v>8.2949830000000002E-2</v>
      </c>
      <c r="R94">
        <v>7.2048020000000004E-2</v>
      </c>
      <c r="S94">
        <v>2.9781490000000002</v>
      </c>
      <c r="T94">
        <v>0.33142389999999999</v>
      </c>
      <c r="U94">
        <v>0.16970829999999901</v>
      </c>
      <c r="V94">
        <v>-3.644418E-2</v>
      </c>
      <c r="W94">
        <v>8.4836259999999997E-2</v>
      </c>
      <c r="X94">
        <v>0.99572819999999995</v>
      </c>
      <c r="Y94">
        <v>-2.1202169999999999E-2</v>
      </c>
      <c r="Z94">
        <v>2.7918830000000002E-3</v>
      </c>
      <c r="AA94">
        <v>0.99977130000000003</v>
      </c>
      <c r="AB94">
        <v>12</v>
      </c>
      <c r="AC94">
        <v>313.04809999999998</v>
      </c>
      <c r="AD94">
        <v>34.896473</v>
      </c>
      <c r="AE94">
        <v>17.847999999999999</v>
      </c>
      <c r="AF94">
        <v>-6.5479475762975996</v>
      </c>
      <c r="AG94">
        <v>34.896473</v>
      </c>
      <c r="AH94">
        <v>309.65105292010202</v>
      </c>
      <c r="AI94">
        <v>83.571542046781403</v>
      </c>
      <c r="AJ94">
        <v>91.211408297998901</v>
      </c>
      <c r="AK94">
        <v>311.67998655645101</v>
      </c>
      <c r="AL94">
        <v>85.133390793984901</v>
      </c>
      <c r="AM94">
        <v>92.096120252625894</v>
      </c>
      <c r="AN94">
        <v>1.00000000877094</v>
      </c>
    </row>
    <row r="95" spans="1:40" x14ac:dyDescent="0.25">
      <c r="A95" t="str">
        <f>"20190312160603388"</f>
        <v>20190312160603388</v>
      </c>
      <c r="B95" t="str">
        <f>"1552377963385153"</f>
        <v>1552377963385153</v>
      </c>
      <c r="C95" t="s">
        <v>40</v>
      </c>
      <c r="D95">
        <v>9.4174930000000003</v>
      </c>
      <c r="E95">
        <v>0.50866940000000005</v>
      </c>
      <c r="F95" t="s">
        <v>44</v>
      </c>
      <c r="G95">
        <v>-471.10120000000001</v>
      </c>
      <c r="H95">
        <v>0.96223689999999995</v>
      </c>
      <c r="I95">
        <v>367.3827</v>
      </c>
      <c r="J95">
        <v>-471.71469999999999</v>
      </c>
      <c r="K95">
        <v>1.109143</v>
      </c>
      <c r="L95">
        <v>367.35930000000002</v>
      </c>
      <c r="M95">
        <v>0.99933839999999996</v>
      </c>
      <c r="N95">
        <v>0</v>
      </c>
      <c r="O95">
        <v>3.6322479999999997E-2</v>
      </c>
      <c r="P95">
        <v>0.99385120000000005</v>
      </c>
      <c r="Q95">
        <v>8.2829520000000004E-2</v>
      </c>
      <c r="R95">
        <v>7.3477319999999999E-2</v>
      </c>
      <c r="S95">
        <v>3.0610050000000002</v>
      </c>
      <c r="T95">
        <v>-0.61623119999999998</v>
      </c>
      <c r="U95">
        <v>0.12039179999999999</v>
      </c>
      <c r="V95">
        <v>-3.7357830000000002E-2</v>
      </c>
      <c r="W95">
        <v>8.4640030000000005E-2</v>
      </c>
      <c r="X95">
        <v>0.99571100000000001</v>
      </c>
      <c r="Y95">
        <v>-3.634371E-3</v>
      </c>
      <c r="Z95">
        <v>-6.8724469999999899E-3</v>
      </c>
      <c r="AA95">
        <v>0.99996980000000002</v>
      </c>
      <c r="AB95">
        <v>12</v>
      </c>
      <c r="AC95">
        <v>0.61349999999998694</v>
      </c>
      <c r="AD95">
        <v>-0.14690609999999901</v>
      </c>
      <c r="AE95">
        <v>2.3399999999980901E-2</v>
      </c>
      <c r="AF95">
        <v>-1.04107162721198E-3</v>
      </c>
      <c r="AG95">
        <v>-0.14690609999999901</v>
      </c>
      <c r="AH95">
        <v>0.580696870489394</v>
      </c>
      <c r="AI95">
        <v>104.196936720179</v>
      </c>
      <c r="AJ95">
        <v>90.102719593535099</v>
      </c>
      <c r="AK95">
        <v>0.59899193771161796</v>
      </c>
      <c r="AL95">
        <v>85.144674335048094</v>
      </c>
      <c r="AM95">
        <v>92.148658095211701</v>
      </c>
      <c r="AN95">
        <v>0.99999996883085396</v>
      </c>
    </row>
    <row r="96" spans="1:40" x14ac:dyDescent="0.25">
      <c r="A96" t="str">
        <f>"20190312160603400"</f>
        <v>20190312160603400</v>
      </c>
      <c r="B96" t="str">
        <f>"1552377963394913"</f>
        <v>1552377963394913</v>
      </c>
      <c r="C96" t="s">
        <v>40</v>
      </c>
      <c r="D96">
        <v>6.2749750000000004</v>
      </c>
      <c r="E96">
        <v>0.50822709999999904</v>
      </c>
      <c r="F96" t="s">
        <v>45</v>
      </c>
      <c r="G96">
        <v>-426.97919999999999</v>
      </c>
      <c r="H96">
        <v>-0.05</v>
      </c>
      <c r="I96">
        <v>369.48469999999998</v>
      </c>
      <c r="J96">
        <v>-471.64870000000002</v>
      </c>
      <c r="K96">
        <v>1.109137</v>
      </c>
      <c r="L96">
        <v>367.36200000000002</v>
      </c>
      <c r="M96">
        <v>0.99932790000000005</v>
      </c>
      <c r="N96">
        <v>0</v>
      </c>
      <c r="O96">
        <v>3.661375E-2</v>
      </c>
      <c r="P96">
        <v>0.99378639999999996</v>
      </c>
      <c r="Q96">
        <v>8.2972530000000003E-2</v>
      </c>
      <c r="R96">
        <v>7.4190779999999998E-2</v>
      </c>
      <c r="S96">
        <v>3.0144959999999998</v>
      </c>
      <c r="T96">
        <v>-7.8108789999999997E-2</v>
      </c>
      <c r="U96">
        <v>0.14321900000000001</v>
      </c>
      <c r="V96">
        <v>-3.7783869999999997E-2</v>
      </c>
      <c r="W96">
        <v>8.4741230000000001E-2</v>
      </c>
      <c r="X96">
        <v>0.99568639999999997</v>
      </c>
      <c r="Y96">
        <v>-1.086081E-2</v>
      </c>
      <c r="Z96">
        <v>-8.0703950000000002E-4</v>
      </c>
      <c r="AA96">
        <v>0.99994070000000002</v>
      </c>
      <c r="AB96">
        <v>12</v>
      </c>
      <c r="AC96">
        <v>44.669499999999999</v>
      </c>
      <c r="AD96">
        <v>-1.1591370000000001</v>
      </c>
      <c r="AE96">
        <v>2.1227</v>
      </c>
      <c r="AF96">
        <v>-0.48543006768411701</v>
      </c>
      <c r="AG96">
        <v>-1.1591370000000001</v>
      </c>
      <c r="AH96">
        <v>44.687245961881203</v>
      </c>
      <c r="AI96">
        <v>91.485767407788302</v>
      </c>
      <c r="AJ96">
        <v>90.622369976347201</v>
      </c>
      <c r="AK96">
        <v>44.704912398897001</v>
      </c>
      <c r="AL96">
        <v>85.138855500528905</v>
      </c>
      <c r="AM96">
        <v>92.173192320432193</v>
      </c>
      <c r="AN96">
        <v>1.00000005201952</v>
      </c>
    </row>
    <row r="97" spans="1:40" x14ac:dyDescent="0.25">
      <c r="A97" t="str">
        <f>"20190312160603412"</f>
        <v>20190312160603412</v>
      </c>
      <c r="B97" t="str">
        <f>"1552377963405649"</f>
        <v>1552377963405649</v>
      </c>
      <c r="C97" t="s">
        <v>40</v>
      </c>
      <c r="D97">
        <v>6.4077159999999997</v>
      </c>
      <c r="E97">
        <v>0.5064746</v>
      </c>
      <c r="F97" t="s">
        <v>42</v>
      </c>
      <c r="G97">
        <v>-169.2955</v>
      </c>
      <c r="H97">
        <v>2.276475</v>
      </c>
      <c r="I97">
        <v>382.57530000000003</v>
      </c>
      <c r="J97">
        <v>-471.57940000000002</v>
      </c>
      <c r="K97">
        <v>1.109132</v>
      </c>
      <c r="L97">
        <v>367.36489999999998</v>
      </c>
      <c r="M97">
        <v>0.99931689999999995</v>
      </c>
      <c r="N97">
        <v>0</v>
      </c>
      <c r="O97">
        <v>3.691759E-2</v>
      </c>
      <c r="P97">
        <v>0.99370130000000001</v>
      </c>
      <c r="Q97">
        <v>8.3272869999999999E-2</v>
      </c>
      <c r="R97">
        <v>7.4990000000000001E-2</v>
      </c>
      <c r="S97">
        <v>3.0065</v>
      </c>
      <c r="T97">
        <v>1.1608479999999999E-2</v>
      </c>
      <c r="U97">
        <v>0.15127560000000001</v>
      </c>
      <c r="V97">
        <v>-3.8283440000000002E-2</v>
      </c>
      <c r="W97">
        <v>8.4998760000000007E-2</v>
      </c>
      <c r="X97">
        <v>0.99564529999999996</v>
      </c>
      <c r="Y97">
        <v>-1.334754E-2</v>
      </c>
      <c r="Z97">
        <v>1.166439E-4</v>
      </c>
      <c r="AA97">
        <v>0.99991090000000005</v>
      </c>
      <c r="AB97">
        <v>12</v>
      </c>
      <c r="AC97">
        <v>302.28390000000002</v>
      </c>
      <c r="AD97">
        <v>1.167343</v>
      </c>
      <c r="AE97">
        <v>15.2104</v>
      </c>
      <c r="AF97">
        <v>-4.04036229688937</v>
      </c>
      <c r="AG97">
        <v>1.167343</v>
      </c>
      <c r="AH97">
        <v>302.63486683019602</v>
      </c>
      <c r="AI97">
        <v>89.779015761237204</v>
      </c>
      <c r="AJ97">
        <v>90.764888584575999</v>
      </c>
      <c r="AK97">
        <v>302.66408746083601</v>
      </c>
      <c r="AL97">
        <v>85.124046372622203</v>
      </c>
      <c r="AM97">
        <v>92.201988496330898</v>
      </c>
      <c r="AN97">
        <v>0.99999998719592997</v>
      </c>
    </row>
    <row r="98" spans="1:40" x14ac:dyDescent="0.25">
      <c r="A98" t="str">
        <f>"20190312160603424"</f>
        <v>20190312160603424</v>
      </c>
      <c r="B98" t="str">
        <f>"1552377963415410"</f>
        <v>1552377963415410</v>
      </c>
      <c r="C98" t="s">
        <v>40</v>
      </c>
      <c r="D98">
        <v>5.9029910000000001</v>
      </c>
      <c r="E98">
        <v>0.50656970000000001</v>
      </c>
      <c r="F98" t="s">
        <v>42</v>
      </c>
      <c r="G98">
        <v>-158.78319999999999</v>
      </c>
      <c r="H98">
        <v>10.19267</v>
      </c>
      <c r="I98">
        <v>384.99549999999999</v>
      </c>
      <c r="J98">
        <v>-471.51339999999999</v>
      </c>
      <c r="K98">
        <v>1.1091279999999999</v>
      </c>
      <c r="L98">
        <v>367.36759999999998</v>
      </c>
      <c r="M98">
        <v>0.99930629999999998</v>
      </c>
      <c r="N98">
        <v>0</v>
      </c>
      <c r="O98">
        <v>3.7203960000000001E-2</v>
      </c>
      <c r="P98">
        <v>0.99364750000000002</v>
      </c>
      <c r="Q98">
        <v>8.3199129999999996E-2</v>
      </c>
      <c r="R98">
        <v>7.5780669999999994E-2</v>
      </c>
      <c r="S98">
        <v>2.998993</v>
      </c>
      <c r="T98">
        <v>8.7090970000000004E-2</v>
      </c>
      <c r="U98">
        <v>0.16903689999999999</v>
      </c>
      <c r="V98">
        <v>-3.8791329999999999E-2</v>
      </c>
      <c r="W98">
        <v>8.4885199999999994E-2</v>
      </c>
      <c r="X98">
        <v>0.9956353</v>
      </c>
      <c r="Y98">
        <v>-1.9098799999999999E-2</v>
      </c>
      <c r="Z98">
        <v>8.0181709999999995E-4</v>
      </c>
      <c r="AA98">
        <v>0.99981730000000002</v>
      </c>
      <c r="AB98">
        <v>12</v>
      </c>
      <c r="AC98">
        <v>312.73020000000002</v>
      </c>
      <c r="AD98">
        <v>9.0835419999999996</v>
      </c>
      <c r="AE98">
        <v>17.6279</v>
      </c>
      <c r="AF98">
        <v>-5.97585234161666</v>
      </c>
      <c r="AG98">
        <v>9.0835419999999996</v>
      </c>
      <c r="AH98">
        <v>312.90637019518198</v>
      </c>
      <c r="AI98">
        <v>88.337497282011398</v>
      </c>
      <c r="AJ98">
        <v>91.094095656621903</v>
      </c>
      <c r="AK98">
        <v>313.09522202550198</v>
      </c>
      <c r="AL98">
        <v>85.130576337120203</v>
      </c>
      <c r="AM98">
        <v>92.231194390596201</v>
      </c>
      <c r="AN98">
        <v>0.99999995753414805</v>
      </c>
    </row>
    <row r="99" spans="1:40" x14ac:dyDescent="0.25">
      <c r="A99" t="str">
        <f>"20190312160603443"</f>
        <v>20190312160603443</v>
      </c>
      <c r="B99" t="str">
        <f>"1552377963434929"</f>
        <v>1552377963434929</v>
      </c>
      <c r="C99" t="s">
        <v>40</v>
      </c>
      <c r="D99">
        <v>6.0198859999999996</v>
      </c>
      <c r="E99">
        <v>0.50659650000000001</v>
      </c>
      <c r="F99" t="s">
        <v>42</v>
      </c>
      <c r="G99">
        <v>-158.78319999999999</v>
      </c>
      <c r="H99">
        <v>16.200589999999998</v>
      </c>
      <c r="I99">
        <v>385.34949999999998</v>
      </c>
      <c r="J99">
        <v>-471.40339999999998</v>
      </c>
      <c r="K99">
        <v>1.1091089999999999</v>
      </c>
      <c r="L99">
        <v>367.3723</v>
      </c>
      <c r="M99">
        <v>0.99928519999999998</v>
      </c>
      <c r="N99">
        <v>0</v>
      </c>
      <c r="O99">
        <v>3.7774160000000001E-2</v>
      </c>
      <c r="P99">
        <v>0.99358429999999998</v>
      </c>
      <c r="Q99">
        <v>8.2943249999999996E-2</v>
      </c>
      <c r="R99">
        <v>7.6883699999999999E-2</v>
      </c>
      <c r="S99">
        <v>2.9939269999999998</v>
      </c>
      <c r="T99">
        <v>0.144479</v>
      </c>
      <c r="U99">
        <v>0.17214969999999999</v>
      </c>
      <c r="V99">
        <v>-3.9327590000000003E-2</v>
      </c>
      <c r="W99">
        <v>8.4524580000000002E-2</v>
      </c>
      <c r="X99">
        <v>0.995645</v>
      </c>
      <c r="Y99">
        <v>-1.9672889999999998E-2</v>
      </c>
      <c r="Z99">
        <v>1.34549E-3</v>
      </c>
      <c r="AA99">
        <v>0.99980559999999996</v>
      </c>
      <c r="AB99">
        <v>12</v>
      </c>
      <c r="AC99">
        <v>312.62019999999899</v>
      </c>
      <c r="AD99">
        <v>15.0914809999999</v>
      </c>
      <c r="AE99">
        <v>17.9771999999999</v>
      </c>
      <c r="AF99">
        <v>-6.1411271333150497</v>
      </c>
      <c r="AG99">
        <v>15.0914809999999</v>
      </c>
      <c r="AH99">
        <v>312.35065590066301</v>
      </c>
      <c r="AI99">
        <v>87.234391647440802</v>
      </c>
      <c r="AJ99">
        <v>91.126347367042001</v>
      </c>
      <c r="AK99">
        <v>312.77531629400499</v>
      </c>
      <c r="AL99">
        <v>85.151313146765801</v>
      </c>
      <c r="AM99">
        <v>92.261985083030197</v>
      </c>
      <c r="AN99">
        <v>1.0000000149921899</v>
      </c>
    </row>
    <row r="100" spans="1:40" x14ac:dyDescent="0.25">
      <c r="A100" t="str">
        <f>"20190312160603714"</f>
        <v>20190312160603714</v>
      </c>
      <c r="B100" t="str">
        <f>"1552377963705197"</f>
        <v>1552377963705197</v>
      </c>
      <c r="C100" t="s">
        <v>40</v>
      </c>
      <c r="D100">
        <v>6.2559930000000001</v>
      </c>
      <c r="E100">
        <v>0.50656999999999996</v>
      </c>
      <c r="F100" t="s">
        <v>42</v>
      </c>
      <c r="G100">
        <v>-158.78319999999999</v>
      </c>
      <c r="H100">
        <v>25.456029999999998</v>
      </c>
      <c r="I100">
        <v>385.98239999999998</v>
      </c>
      <c r="J100">
        <v>-469.70749999999998</v>
      </c>
      <c r="K100">
        <v>1.108768</v>
      </c>
      <c r="L100">
        <v>367.44749999999999</v>
      </c>
      <c r="M100">
        <v>0.99906220000000001</v>
      </c>
      <c r="N100">
        <v>0</v>
      </c>
      <c r="O100">
        <v>4.3287300000000001E-2</v>
      </c>
      <c r="P100">
        <v>0.99390919999999905</v>
      </c>
      <c r="Q100">
        <v>7.4387889999999998E-2</v>
      </c>
      <c r="R100">
        <v>8.1310209999999994E-2</v>
      </c>
      <c r="S100">
        <v>2.9861759999999999</v>
      </c>
      <c r="T100">
        <v>0.23256460000000001</v>
      </c>
      <c r="U100">
        <v>0.177764899999999</v>
      </c>
      <c r="V100">
        <v>-3.8235489999999997E-2</v>
      </c>
      <c r="W100">
        <v>7.5462840000000003E-2</v>
      </c>
      <c r="X100">
        <v>0.9964153</v>
      </c>
      <c r="Y100">
        <v>-1.6239070000000001E-2</v>
      </c>
      <c r="Z100">
        <v>2.7304640000000002E-3</v>
      </c>
      <c r="AA100">
        <v>0.99986439999999999</v>
      </c>
      <c r="AB100">
        <v>15</v>
      </c>
      <c r="AC100">
        <v>310.92430000000002</v>
      </c>
      <c r="AD100">
        <v>24.347262000000001</v>
      </c>
      <c r="AE100">
        <v>18.5349</v>
      </c>
      <c r="AF100">
        <v>-5.0277268150344598</v>
      </c>
      <c r="AG100">
        <v>24.347262000000001</v>
      </c>
      <c r="AH100">
        <v>309.54383321103398</v>
      </c>
      <c r="AI100">
        <v>85.503233437177599</v>
      </c>
      <c r="AJ100">
        <v>90.9305376751187</v>
      </c>
      <c r="AK100">
        <v>310.54058009027398</v>
      </c>
      <c r="AL100">
        <v>85.672183644590703</v>
      </c>
      <c r="AM100">
        <v>92.197535381137598</v>
      </c>
      <c r="AN100">
        <v>1.00000002149524</v>
      </c>
    </row>
    <row r="101" spans="1:40" x14ac:dyDescent="0.25">
      <c r="A101" t="str">
        <f>"20190312160603726"</f>
        <v>20190312160603726</v>
      </c>
      <c r="B101" t="str">
        <f>"1552377963714958"</f>
        <v>1552377963714958</v>
      </c>
      <c r="C101" t="s">
        <v>40</v>
      </c>
      <c r="D101">
        <v>5.7134489999999998</v>
      </c>
      <c r="E101">
        <v>0.50562629999999997</v>
      </c>
      <c r="F101" t="s">
        <v>41</v>
      </c>
      <c r="G101">
        <v>0</v>
      </c>
      <c r="H101">
        <v>0</v>
      </c>
      <c r="I101">
        <v>0</v>
      </c>
      <c r="J101">
        <v>-469.62369999999999</v>
      </c>
      <c r="K101">
        <v>1.1087610000000001</v>
      </c>
      <c r="L101">
        <v>367.4513</v>
      </c>
      <c r="M101">
        <v>0.99905520000000003</v>
      </c>
      <c r="N101">
        <v>0</v>
      </c>
      <c r="O101">
        <v>4.3446440000000003E-2</v>
      </c>
      <c r="P101">
        <v>0.9938785</v>
      </c>
      <c r="Q101">
        <v>7.4481519999999996E-2</v>
      </c>
      <c r="R101">
        <v>8.1596370000000001E-2</v>
      </c>
      <c r="S101">
        <v>2.9849239999999999</v>
      </c>
      <c r="T101">
        <v>0.23727500000000001</v>
      </c>
      <c r="U101">
        <v>0.19207759999999999</v>
      </c>
      <c r="V101">
        <v>-3.836167E-2</v>
      </c>
      <c r="W101">
        <v>7.5531799999999996E-2</v>
      </c>
      <c r="X101">
        <v>0.99640519999999999</v>
      </c>
      <c r="Y101">
        <v>-2.0869809999999999E-2</v>
      </c>
      <c r="Z101">
        <v>2.6152860000000001E-3</v>
      </c>
      <c r="AA101">
        <v>0.99977879999999997</v>
      </c>
      <c r="AB101">
        <v>15</v>
      </c>
      <c r="AC101">
        <v>2.9849239999999999</v>
      </c>
      <c r="AD101">
        <v>0.23727500000000001</v>
      </c>
      <c r="AE101">
        <v>0.19207759999999999</v>
      </c>
      <c r="AF101">
        <v>-6.1822800776435601E-2</v>
      </c>
      <c r="AG101">
        <v>0.23727500000000001</v>
      </c>
      <c r="AH101">
        <v>2.97175001851007</v>
      </c>
      <c r="AI101">
        <v>85.435970477942405</v>
      </c>
      <c r="AJ101">
        <v>91.191780826265997</v>
      </c>
      <c r="AK101">
        <v>2.9818483624818102</v>
      </c>
      <c r="AL101">
        <v>85.668221110763199</v>
      </c>
      <c r="AM101">
        <v>92.204802595003002</v>
      </c>
      <c r="AN101">
        <v>0.99999999656173399</v>
      </c>
    </row>
    <row r="102" spans="1:40" x14ac:dyDescent="0.25">
      <c r="A102" t="str">
        <f>"20190312160603747"</f>
        <v>20190312160603747</v>
      </c>
      <c r="B102" t="str">
        <f>"1552377963735454"</f>
        <v>1552377963735454</v>
      </c>
      <c r="C102" t="s">
        <v>40</v>
      </c>
      <c r="D102">
        <v>5.9672470000000004</v>
      </c>
      <c r="E102">
        <v>0.50543859999999996</v>
      </c>
      <c r="F102" t="s">
        <v>41</v>
      </c>
      <c r="G102">
        <v>0</v>
      </c>
      <c r="H102">
        <v>0</v>
      </c>
      <c r="I102">
        <v>0</v>
      </c>
      <c r="J102">
        <v>-469.48829999999998</v>
      </c>
      <c r="K102">
        <v>1.108754</v>
      </c>
      <c r="L102">
        <v>367.45760000000001</v>
      </c>
      <c r="M102">
        <v>0.99904510000000002</v>
      </c>
      <c r="N102">
        <v>0</v>
      </c>
      <c r="O102">
        <v>4.3683189999999997E-2</v>
      </c>
      <c r="P102">
        <v>0.9938285</v>
      </c>
      <c r="Q102">
        <v>7.49721E-2</v>
      </c>
      <c r="R102">
        <v>8.175752E-2</v>
      </c>
      <c r="S102">
        <v>2.9827880000000002</v>
      </c>
      <c r="T102">
        <v>0.25650420000000002</v>
      </c>
      <c r="U102">
        <v>0.2010498</v>
      </c>
      <c r="V102">
        <v>-3.8284319999999997E-2</v>
      </c>
      <c r="W102">
        <v>7.5985860000000002E-2</v>
      </c>
      <c r="X102">
        <v>0.99637370000000003</v>
      </c>
      <c r="Y102">
        <v>-2.367559E-2</v>
      </c>
      <c r="Z102">
        <v>2.7281440000000001E-3</v>
      </c>
      <c r="AA102">
        <v>0.99971600000000005</v>
      </c>
      <c r="AB102">
        <v>15</v>
      </c>
      <c r="AC102">
        <v>2.9827880000000002</v>
      </c>
      <c r="AD102">
        <v>0.25650420000000002</v>
      </c>
      <c r="AE102">
        <v>0.2010498</v>
      </c>
      <c r="AF102">
        <v>-7.0044502559533706E-2</v>
      </c>
      <c r="AG102">
        <v>0.25650420000000002</v>
      </c>
      <c r="AH102">
        <v>2.9668820617570399</v>
      </c>
      <c r="AI102">
        <v>85.060103394863901</v>
      </c>
      <c r="AJ102">
        <v>91.352432928295897</v>
      </c>
      <c r="AK102">
        <v>2.9787732047492499</v>
      </c>
      <c r="AL102">
        <v>85.642130620344702</v>
      </c>
      <c r="AM102">
        <v>92.200430842503295</v>
      </c>
      <c r="AN102">
        <v>1.0000000450647399</v>
      </c>
    </row>
    <row r="103" spans="1:40" x14ac:dyDescent="0.25">
      <c r="A103" t="str">
        <f>"20190312160603769"</f>
        <v>20190312160603769</v>
      </c>
      <c r="B103" t="str">
        <f>"1552377963765709"</f>
        <v>1552377963765709</v>
      </c>
      <c r="C103" t="s">
        <v>40</v>
      </c>
      <c r="D103">
        <v>6.1300119999999998</v>
      </c>
      <c r="E103">
        <v>0.50425120000000001</v>
      </c>
      <c r="F103" t="s">
        <v>41</v>
      </c>
      <c r="G103">
        <v>0</v>
      </c>
      <c r="H103">
        <v>0</v>
      </c>
      <c r="I103">
        <v>0</v>
      </c>
      <c r="J103">
        <v>-469.33699999999999</v>
      </c>
      <c r="K103">
        <v>1.1087419999999999</v>
      </c>
      <c r="L103">
        <v>367.46449999999999</v>
      </c>
      <c r="M103">
        <v>0.9990348</v>
      </c>
      <c r="N103">
        <v>0</v>
      </c>
      <c r="O103">
        <v>4.3914979999999999E-2</v>
      </c>
      <c r="P103">
        <v>0.99380820000000003</v>
      </c>
      <c r="Q103">
        <v>7.4989810000000004E-2</v>
      </c>
      <c r="R103">
        <v>8.1987000000000004E-2</v>
      </c>
      <c r="S103">
        <v>2.9791259999999999</v>
      </c>
      <c r="T103">
        <v>0.3008497</v>
      </c>
      <c r="U103">
        <v>0.20437620000000001</v>
      </c>
      <c r="V103">
        <v>-3.8279149999999998E-2</v>
      </c>
      <c r="W103">
        <v>7.5968270000000004E-2</v>
      </c>
      <c r="X103">
        <v>0.99637520000000002</v>
      </c>
      <c r="Y103">
        <v>-2.466111E-2</v>
      </c>
      <c r="Z103">
        <v>3.1750609999999999E-3</v>
      </c>
      <c r="AA103">
        <v>0.99969079999999999</v>
      </c>
      <c r="AB103">
        <v>15</v>
      </c>
      <c r="AC103">
        <v>2.9791259999999999</v>
      </c>
      <c r="AD103">
        <v>0.3008497</v>
      </c>
      <c r="AE103">
        <v>0.20437620000000001</v>
      </c>
      <c r="AF103">
        <v>-7.2613655800937801E-2</v>
      </c>
      <c r="AG103">
        <v>0.3008497</v>
      </c>
      <c r="AH103">
        <v>2.9552304213669598</v>
      </c>
      <c r="AI103">
        <v>84.188916821088995</v>
      </c>
      <c r="AJ103">
        <v>91.407544738297105</v>
      </c>
      <c r="AK103">
        <v>2.9713919513203901</v>
      </c>
      <c r="AL103">
        <v>85.643141200878901</v>
      </c>
      <c r="AM103">
        <v>92.200130674498894</v>
      </c>
      <c r="AN103">
        <v>1.00000000527327</v>
      </c>
    </row>
    <row r="104" spans="1:40" x14ac:dyDescent="0.25">
      <c r="A104" t="str">
        <f>"20190312160603879"</f>
        <v>20190312160603879</v>
      </c>
      <c r="B104" t="str">
        <f>"1552377963875021"</f>
        <v>1552377963875021</v>
      </c>
      <c r="C104" t="s">
        <v>40</v>
      </c>
      <c r="D104">
        <v>5.9906470000000001</v>
      </c>
      <c r="E104">
        <v>0.50460870000000002</v>
      </c>
      <c r="F104" t="s">
        <v>41</v>
      </c>
      <c r="G104">
        <v>0</v>
      </c>
      <c r="H104">
        <v>0</v>
      </c>
      <c r="I104">
        <v>0</v>
      </c>
      <c r="J104">
        <v>-468.53219999999999</v>
      </c>
      <c r="K104">
        <v>1.1087530000000001</v>
      </c>
      <c r="L104">
        <v>367.50130000000001</v>
      </c>
      <c r="M104">
        <v>0.99899210000000005</v>
      </c>
      <c r="N104">
        <v>0</v>
      </c>
      <c r="O104">
        <v>4.487791E-2</v>
      </c>
      <c r="P104">
        <v>0.99396260000000003</v>
      </c>
      <c r="Q104">
        <v>7.5132560000000001E-2</v>
      </c>
      <c r="R104">
        <v>7.9959520000000006E-2</v>
      </c>
      <c r="S104">
        <v>2.973541</v>
      </c>
      <c r="T104">
        <v>0.3620292</v>
      </c>
      <c r="U104">
        <v>0.21658330000000001</v>
      </c>
      <c r="V104">
        <v>-3.5278610000000002E-2</v>
      </c>
      <c r="W104">
        <v>7.5988230000000004E-2</v>
      </c>
      <c r="X104">
        <v>0.99648440000000005</v>
      </c>
      <c r="Y104">
        <v>-2.7935999999999999E-2</v>
      </c>
      <c r="Z104">
        <v>3.740957E-3</v>
      </c>
      <c r="AA104">
        <v>0.99960269999999996</v>
      </c>
      <c r="AB104">
        <v>16</v>
      </c>
      <c r="AC104">
        <v>2.973541</v>
      </c>
      <c r="AD104">
        <v>0.3620292</v>
      </c>
      <c r="AE104">
        <v>0.21658330000000001</v>
      </c>
      <c r="AF104">
        <v>-8.1713870042255804E-2</v>
      </c>
      <c r="AG104">
        <v>0.3620292</v>
      </c>
      <c r="AH104">
        <v>2.93695976651329</v>
      </c>
      <c r="AI104">
        <v>82.975481129246205</v>
      </c>
      <c r="AJ104">
        <v>91.593706670253795</v>
      </c>
      <c r="AK104">
        <v>2.9603167006804698</v>
      </c>
      <c r="AL104">
        <v>85.641994131573497</v>
      </c>
      <c r="AM104">
        <v>92.027599834081997</v>
      </c>
      <c r="AN104">
        <v>0.99999997543271202</v>
      </c>
    </row>
    <row r="105" spans="1:40" x14ac:dyDescent="0.25">
      <c r="A105" t="str">
        <f>"20190312160603890"</f>
        <v>20190312160603890</v>
      </c>
      <c r="B105" t="str">
        <f>"1552377963884782"</f>
        <v>1552377963884782</v>
      </c>
      <c r="C105" t="s">
        <v>40</v>
      </c>
      <c r="D105">
        <v>5.7986959999999996</v>
      </c>
      <c r="E105">
        <v>0.50470669999999995</v>
      </c>
      <c r="F105" t="s">
        <v>41</v>
      </c>
      <c r="G105">
        <v>0</v>
      </c>
      <c r="H105">
        <v>0</v>
      </c>
      <c r="I105">
        <v>0</v>
      </c>
      <c r="J105">
        <v>-468.44740000000002</v>
      </c>
      <c r="K105">
        <v>1.1087629999999999</v>
      </c>
      <c r="L105">
        <v>367.50529999999998</v>
      </c>
      <c r="M105">
        <v>0.99898779999999998</v>
      </c>
      <c r="N105">
        <v>0</v>
      </c>
      <c r="O105">
        <v>4.4974769999999997E-2</v>
      </c>
      <c r="P105">
        <v>0.99396379999999995</v>
      </c>
      <c r="Q105">
        <v>7.5097170000000005E-2</v>
      </c>
      <c r="R105">
        <v>7.9978179999999996E-2</v>
      </c>
      <c r="S105">
        <v>2.9728089999999998</v>
      </c>
      <c r="T105">
        <v>0.37927129999999998</v>
      </c>
      <c r="U105">
        <v>0.2079773</v>
      </c>
      <c r="V105">
        <v>-3.520127E-2</v>
      </c>
      <c r="W105">
        <v>7.5946399999999997E-2</v>
      </c>
      <c r="X105">
        <v>0.9964904</v>
      </c>
      <c r="Y105">
        <v>-2.5014229999999998E-2</v>
      </c>
      <c r="Z105">
        <v>4.1168519999999998E-3</v>
      </c>
      <c r="AA105">
        <v>0.99967859999999997</v>
      </c>
      <c r="AB105">
        <v>17</v>
      </c>
      <c r="AC105">
        <v>2.9728089999999998</v>
      </c>
      <c r="AD105">
        <v>0.37927129999999998</v>
      </c>
      <c r="AE105">
        <v>0.2079773</v>
      </c>
      <c r="AF105">
        <v>-7.2884862383253202E-2</v>
      </c>
      <c r="AG105">
        <v>0.37927129999999998</v>
      </c>
      <c r="AH105">
        <v>2.9316691731106501</v>
      </c>
      <c r="AI105">
        <v>82.630814956814106</v>
      </c>
      <c r="AJ105">
        <v>91.424149421671402</v>
      </c>
      <c r="AK105">
        <v>2.9569989960660501</v>
      </c>
      <c r="AL105">
        <v>85.644398090428595</v>
      </c>
      <c r="AM105">
        <v>92.023146327905096</v>
      </c>
      <c r="AN105">
        <v>1.0000000511873599</v>
      </c>
    </row>
    <row r="106" spans="1:40" x14ac:dyDescent="0.25">
      <c r="A106" t="str">
        <f>"20190312160603902"</f>
        <v>20190312160603902</v>
      </c>
      <c r="B106" t="str">
        <f>"1552377963895519"</f>
        <v>1552377963895519</v>
      </c>
      <c r="C106" t="s">
        <v>40</v>
      </c>
      <c r="D106">
        <v>5.8832959999999996</v>
      </c>
      <c r="E106">
        <v>0.50458840000000005</v>
      </c>
      <c r="F106" t="s">
        <v>41</v>
      </c>
      <c r="G106">
        <v>0</v>
      </c>
      <c r="H106">
        <v>0</v>
      </c>
      <c r="I106">
        <v>0</v>
      </c>
      <c r="J106">
        <v>-468.35669999999999</v>
      </c>
      <c r="K106">
        <v>1.1087750000000001</v>
      </c>
      <c r="L106">
        <v>367.5095</v>
      </c>
      <c r="M106">
        <v>0.99898319999999996</v>
      </c>
      <c r="N106">
        <v>0</v>
      </c>
      <c r="O106">
        <v>4.5079260000000003E-2</v>
      </c>
      <c r="P106">
        <v>0.9940175</v>
      </c>
      <c r="Q106">
        <v>7.4680650000000001E-2</v>
      </c>
      <c r="R106">
        <v>7.9702209999999996E-2</v>
      </c>
      <c r="S106">
        <v>2.9725039999999998</v>
      </c>
      <c r="T106">
        <v>0.38431739999999998</v>
      </c>
      <c r="U106">
        <v>0.20788570000000001</v>
      </c>
      <c r="V106">
        <v>-3.4819889999999999E-2</v>
      </c>
      <c r="W106">
        <v>7.5523699999999999E-2</v>
      </c>
      <c r="X106">
        <v>0.99653590000000003</v>
      </c>
      <c r="Y106">
        <v>-2.4892359999999999E-2</v>
      </c>
      <c r="Z106">
        <v>4.1928599999999996E-3</v>
      </c>
      <c r="AA106">
        <v>0.99968140000000005</v>
      </c>
      <c r="AB106">
        <v>17</v>
      </c>
      <c r="AC106">
        <v>2.9725039999999998</v>
      </c>
      <c r="AD106">
        <v>0.38431739999999998</v>
      </c>
      <c r="AE106">
        <v>0.20788570000000001</v>
      </c>
      <c r="AF106">
        <v>-7.2470527935325393E-2</v>
      </c>
      <c r="AG106">
        <v>0.38431739999999998</v>
      </c>
      <c r="AH106">
        <v>2.9301118559886201</v>
      </c>
      <c r="AI106">
        <v>82.529922163917007</v>
      </c>
      <c r="AJ106">
        <v>91.416809060005306</v>
      </c>
      <c r="AK106">
        <v>2.9560966374540398</v>
      </c>
      <c r="AL106">
        <v>85.668686668040706</v>
      </c>
      <c r="AM106">
        <v>92.001153639759096</v>
      </c>
      <c r="AN106">
        <v>1.00000002699505</v>
      </c>
    </row>
    <row r="107" spans="1:40" x14ac:dyDescent="0.25">
      <c r="A107" t="str">
        <f>"20190312160603923"</f>
        <v>20190312160603923</v>
      </c>
      <c r="B107" t="str">
        <f>"1552377963915041"</f>
        <v>1552377963915041</v>
      </c>
      <c r="C107" t="s">
        <v>40</v>
      </c>
      <c r="D107">
        <v>6.0181639999999996</v>
      </c>
      <c r="E107">
        <v>0.5049785</v>
      </c>
      <c r="F107" t="s">
        <v>41</v>
      </c>
      <c r="G107">
        <v>0</v>
      </c>
      <c r="H107">
        <v>0</v>
      </c>
      <c r="I107">
        <v>0</v>
      </c>
      <c r="J107">
        <v>-468.19150000000002</v>
      </c>
      <c r="K107">
        <v>1.1087910000000001</v>
      </c>
      <c r="L107">
        <v>367.51710000000003</v>
      </c>
      <c r="M107">
        <v>0.99897440000000004</v>
      </c>
      <c r="N107">
        <v>0</v>
      </c>
      <c r="O107">
        <v>4.5271319999999997E-2</v>
      </c>
      <c r="P107">
        <v>0.99408319999999994</v>
      </c>
      <c r="Q107">
        <v>7.4423429999999999E-2</v>
      </c>
      <c r="R107">
        <v>7.9120079999999995E-2</v>
      </c>
      <c r="S107">
        <v>2.972137</v>
      </c>
      <c r="T107">
        <v>0.38954329999999998</v>
      </c>
      <c r="U107">
        <v>0.20773320000000001</v>
      </c>
      <c r="V107">
        <v>-3.4045539999999999E-2</v>
      </c>
      <c r="W107">
        <v>7.5258389999999994E-2</v>
      </c>
      <c r="X107">
        <v>0.99658270000000004</v>
      </c>
      <c r="Y107">
        <v>-2.466581E-2</v>
      </c>
      <c r="Z107">
        <v>4.2896840000000002E-3</v>
      </c>
      <c r="AA107">
        <v>0.99968650000000003</v>
      </c>
      <c r="AB107">
        <v>17</v>
      </c>
      <c r="AC107">
        <v>2.972137</v>
      </c>
      <c r="AD107">
        <v>0.38954329999999998</v>
      </c>
      <c r="AE107">
        <v>0.20773320000000001</v>
      </c>
      <c r="AF107">
        <v>-7.1741224312503099E-2</v>
      </c>
      <c r="AG107">
        <v>0.38954329999999998</v>
      </c>
      <c r="AH107">
        <v>2.92843387886359</v>
      </c>
      <c r="AI107">
        <v>82.425184590846698</v>
      </c>
      <c r="AJ107">
        <v>91.403360131628204</v>
      </c>
      <c r="AK107">
        <v>2.9550999591751199</v>
      </c>
      <c r="AL107">
        <v>85.683931083758395</v>
      </c>
      <c r="AM107">
        <v>91.956593702827703</v>
      </c>
      <c r="AN107">
        <v>1.00000000099928</v>
      </c>
    </row>
    <row r="108" spans="1:40" x14ac:dyDescent="0.25">
      <c r="A108" t="str">
        <f>"20190312160603947"</f>
        <v>20190312160603947</v>
      </c>
      <c r="B108" t="str">
        <f>"1552377963935537"</f>
        <v>1552377963935537</v>
      </c>
      <c r="C108" t="s">
        <v>40</v>
      </c>
      <c r="D108">
        <v>5.8325399999999998</v>
      </c>
      <c r="E108">
        <v>0.50564690000000001</v>
      </c>
      <c r="F108" t="s">
        <v>41</v>
      </c>
      <c r="G108">
        <v>0</v>
      </c>
      <c r="H108">
        <v>0</v>
      </c>
      <c r="I108">
        <v>0</v>
      </c>
      <c r="J108">
        <v>-468.01639999999998</v>
      </c>
      <c r="K108">
        <v>1.10880499999999</v>
      </c>
      <c r="L108">
        <v>367.52530000000002</v>
      </c>
      <c r="M108">
        <v>0.99896499999999999</v>
      </c>
      <c r="N108">
        <v>0</v>
      </c>
      <c r="O108">
        <v>4.5478879999999999E-2</v>
      </c>
      <c r="P108">
        <v>0.99409689999999995</v>
      </c>
      <c r="Q108">
        <v>7.4353230000000006E-2</v>
      </c>
      <c r="R108">
        <v>7.9012239999999997E-2</v>
      </c>
      <c r="S108">
        <v>2.972229</v>
      </c>
      <c r="T108">
        <v>0.39361629999999997</v>
      </c>
      <c r="U108">
        <v>0.20306399999999999</v>
      </c>
      <c r="V108">
        <v>-3.3732570000000003E-2</v>
      </c>
      <c r="W108">
        <v>7.5183730000000004E-2</v>
      </c>
      <c r="X108">
        <v>0.99659900000000001</v>
      </c>
      <c r="Y108">
        <v>-2.2913630000000001E-2</v>
      </c>
      <c r="Z108">
        <v>4.476982E-3</v>
      </c>
      <c r="AA108">
        <v>0.99972740000000004</v>
      </c>
      <c r="AB108">
        <v>17</v>
      </c>
      <c r="AC108">
        <v>2.972229</v>
      </c>
      <c r="AD108">
        <v>0.39361629999999997</v>
      </c>
      <c r="AE108">
        <v>0.20306399999999999</v>
      </c>
      <c r="AF108">
        <v>-6.6519008602474505E-2</v>
      </c>
      <c r="AG108">
        <v>0.39361629999999997</v>
      </c>
      <c r="AH108">
        <v>2.9272883152449398</v>
      </c>
      <c r="AI108">
        <v>82.343641280629996</v>
      </c>
      <c r="AJ108">
        <v>91.301751736525304</v>
      </c>
      <c r="AK108">
        <v>2.95438241443127</v>
      </c>
      <c r="AL108">
        <v>85.688221036088606</v>
      </c>
      <c r="AM108">
        <v>91.938589453738601</v>
      </c>
      <c r="AN108">
        <v>1.00000002316825</v>
      </c>
    </row>
    <row r="109" spans="1:40" x14ac:dyDescent="0.25">
      <c r="A109" t="str">
        <f>"20190312160603961"</f>
        <v>20190312160603961</v>
      </c>
      <c r="B109" t="str">
        <f>"1552377963955053"</f>
        <v>1552377963955053</v>
      </c>
      <c r="C109" t="s">
        <v>40</v>
      </c>
      <c r="D109">
        <v>6.3094229999999998</v>
      </c>
      <c r="E109">
        <v>0.50541700000000001</v>
      </c>
      <c r="F109" t="s">
        <v>41</v>
      </c>
      <c r="G109">
        <v>0</v>
      </c>
      <c r="H109">
        <v>0</v>
      </c>
      <c r="I109">
        <v>0</v>
      </c>
      <c r="J109">
        <v>-467.90010000000001</v>
      </c>
      <c r="K109">
        <v>1.1088129999999901</v>
      </c>
      <c r="L109">
        <v>367.53070000000002</v>
      </c>
      <c r="M109">
        <v>0.99895849999999997</v>
      </c>
      <c r="N109">
        <v>0</v>
      </c>
      <c r="O109">
        <v>4.5619069999999998E-2</v>
      </c>
      <c r="P109">
        <v>0.99412370000000005</v>
      </c>
      <c r="Q109">
        <v>7.3933990000000005E-2</v>
      </c>
      <c r="R109">
        <v>7.906958E-2</v>
      </c>
      <c r="S109">
        <v>2.9730530000000002</v>
      </c>
      <c r="T109">
        <v>0.3888414</v>
      </c>
      <c r="U109">
        <v>0.19732669999999999</v>
      </c>
      <c r="V109">
        <v>-3.3649989999999998E-2</v>
      </c>
      <c r="W109">
        <v>7.4763389999999999E-2</v>
      </c>
      <c r="X109">
        <v>0.9966334</v>
      </c>
      <c r="Y109">
        <v>-2.0847810000000001E-2</v>
      </c>
      <c r="Z109">
        <v>4.5748530000000003E-3</v>
      </c>
      <c r="AA109">
        <v>0.9997722</v>
      </c>
      <c r="AB109">
        <v>17</v>
      </c>
      <c r="AC109">
        <v>2.9730530000000002</v>
      </c>
      <c r="AD109">
        <v>0.3888414</v>
      </c>
      <c r="AE109">
        <v>0.19732669999999999</v>
      </c>
      <c r="AF109">
        <v>-6.0463563762614997E-2</v>
      </c>
      <c r="AG109">
        <v>0.3888414</v>
      </c>
      <c r="AH109">
        <v>2.9290756347318099</v>
      </c>
      <c r="AI109">
        <v>82.439662802942394</v>
      </c>
      <c r="AJ109">
        <v>91.182562525459502</v>
      </c>
      <c r="AK109">
        <v>2.9553912686607799</v>
      </c>
      <c r="AL109">
        <v>85.712372662139501</v>
      </c>
      <c r="AM109">
        <v>91.933780542887604</v>
      </c>
      <c r="AN109">
        <v>1.0000000101534201</v>
      </c>
    </row>
    <row r="110" spans="1:40" x14ac:dyDescent="0.25">
      <c r="A110" t="str">
        <f>"20190312160603981"</f>
        <v>20190312160603981</v>
      </c>
      <c r="B110" t="str">
        <f>"1552377963975552"</f>
        <v>1552377963975552</v>
      </c>
      <c r="C110" t="s">
        <v>40</v>
      </c>
      <c r="D110">
        <v>6.7960429999999903</v>
      </c>
      <c r="E110">
        <v>0.50497320000000001</v>
      </c>
      <c r="F110" t="s">
        <v>41</v>
      </c>
      <c r="G110">
        <v>0</v>
      </c>
      <c r="H110">
        <v>0</v>
      </c>
      <c r="I110">
        <v>0</v>
      </c>
      <c r="J110">
        <v>-467.75189999999998</v>
      </c>
      <c r="K110">
        <v>1.1088169999999999</v>
      </c>
      <c r="L110">
        <v>367.5376</v>
      </c>
      <c r="M110">
        <v>0.99895029999999996</v>
      </c>
      <c r="N110">
        <v>0</v>
      </c>
      <c r="O110">
        <v>4.5799920000000001E-2</v>
      </c>
      <c r="P110">
        <v>0.99418499999999999</v>
      </c>
      <c r="Q110">
        <v>7.367013E-2</v>
      </c>
      <c r="R110">
        <v>7.8542550000000003E-2</v>
      </c>
      <c r="S110">
        <v>2.973328</v>
      </c>
      <c r="T110">
        <v>0.38407730000000001</v>
      </c>
      <c r="U110">
        <v>0.1990662</v>
      </c>
      <c r="V110">
        <v>-3.2942060000000002E-2</v>
      </c>
      <c r="W110">
        <v>7.4500919999999998E-2</v>
      </c>
      <c r="X110">
        <v>0.99667669999999997</v>
      </c>
      <c r="Y110">
        <v>-2.123618E-2</v>
      </c>
      <c r="Z110">
        <v>4.5169950000000002E-3</v>
      </c>
      <c r="AA110">
        <v>0.99976430000000005</v>
      </c>
      <c r="AB110">
        <v>17</v>
      </c>
      <c r="AC110">
        <v>2.973328</v>
      </c>
      <c r="AD110">
        <v>0.38407730000000001</v>
      </c>
      <c r="AE110">
        <v>0.1990662</v>
      </c>
      <c r="AF110">
        <v>-6.1654895151529297E-2</v>
      </c>
      <c r="AG110">
        <v>0.38407730000000001</v>
      </c>
      <c r="AH110">
        <v>2.9306426822654599</v>
      </c>
      <c r="AI110">
        <v>82.535249597609393</v>
      </c>
      <c r="AJ110">
        <v>91.205211494916298</v>
      </c>
      <c r="AK110">
        <v>2.9563462634792201</v>
      </c>
      <c r="AL110">
        <v>85.727453122234806</v>
      </c>
      <c r="AM110">
        <v>91.893045316191206</v>
      </c>
      <c r="AN110">
        <v>1.0000000053603899</v>
      </c>
    </row>
    <row r="111" spans="1:40" x14ac:dyDescent="0.25">
      <c r="A111" t="str">
        <f>"20190312160604003"</f>
        <v>20190312160604003</v>
      </c>
      <c r="B111" t="str">
        <f>"1552377963995070"</f>
        <v>1552377963995070</v>
      </c>
      <c r="C111" t="s">
        <v>40</v>
      </c>
      <c r="D111">
        <v>5.8252940000000004</v>
      </c>
      <c r="E111">
        <v>0.50466509999999998</v>
      </c>
      <c r="F111" t="s">
        <v>41</v>
      </c>
      <c r="G111">
        <v>0</v>
      </c>
      <c r="H111">
        <v>0</v>
      </c>
      <c r="I111">
        <v>0</v>
      </c>
      <c r="J111">
        <v>-467.57159999999999</v>
      </c>
      <c r="K111">
        <v>1.1088229999999999</v>
      </c>
      <c r="L111">
        <v>367.54610000000002</v>
      </c>
      <c r="M111">
        <v>0.9989401</v>
      </c>
      <c r="N111">
        <v>0</v>
      </c>
      <c r="O111">
        <v>4.6022550000000002E-2</v>
      </c>
      <c r="P111">
        <v>0.99424170000000001</v>
      </c>
      <c r="Q111">
        <v>7.3752600000000001E-2</v>
      </c>
      <c r="R111">
        <v>7.7743899999999894E-2</v>
      </c>
      <c r="S111">
        <v>2.9734189999999998</v>
      </c>
      <c r="T111">
        <v>0.38100650000000003</v>
      </c>
      <c r="U111">
        <v>0.20101930000000001</v>
      </c>
      <c r="V111">
        <v>-3.1920520000000001E-2</v>
      </c>
      <c r="W111">
        <v>7.4588420000000002E-2</v>
      </c>
      <c r="X111">
        <v>0.99670340000000002</v>
      </c>
      <c r="Y111">
        <v>-2.1660180000000001E-2</v>
      </c>
      <c r="Z111">
        <v>4.4822280000000004E-3</v>
      </c>
      <c r="AA111">
        <v>0.99975530000000001</v>
      </c>
      <c r="AB111">
        <v>18</v>
      </c>
      <c r="AC111">
        <v>2.9734189999999998</v>
      </c>
      <c r="AD111">
        <v>0.38100650000000003</v>
      </c>
      <c r="AE111">
        <v>0.20101930000000001</v>
      </c>
      <c r="AF111">
        <v>-6.2933319488143097E-2</v>
      </c>
      <c r="AG111">
        <v>0.38100650000000003</v>
      </c>
      <c r="AH111">
        <v>2.9316041325986002</v>
      </c>
      <c r="AI111">
        <v>82.596735708876494</v>
      </c>
      <c r="AJ111">
        <v>91.2297908195725</v>
      </c>
      <c r="AK111">
        <v>2.9569290397324801</v>
      </c>
      <c r="AL111">
        <v>85.722425772736798</v>
      </c>
      <c r="AM111">
        <v>91.834333236372601</v>
      </c>
      <c r="AN111">
        <v>1.0000000097833599</v>
      </c>
    </row>
    <row r="112" spans="1:40" x14ac:dyDescent="0.25">
      <c r="A112" t="str">
        <f>"20190312160604024"</f>
        <v>20190312160604024</v>
      </c>
      <c r="B112" t="str">
        <f>"1552377964015569"</f>
        <v>1552377964015569</v>
      </c>
      <c r="C112" t="s">
        <v>40</v>
      </c>
      <c r="D112">
        <v>6.0046460000000002</v>
      </c>
      <c r="E112">
        <v>0.50447849999999905</v>
      </c>
      <c r="F112" t="s">
        <v>41</v>
      </c>
      <c r="G112">
        <v>0</v>
      </c>
      <c r="H112">
        <v>0</v>
      </c>
      <c r="I112">
        <v>0</v>
      </c>
      <c r="J112">
        <v>-467.39920000000001</v>
      </c>
      <c r="K112">
        <v>1.1088199999999999</v>
      </c>
      <c r="L112">
        <v>367.55430000000001</v>
      </c>
      <c r="M112">
        <v>0.99893030000000005</v>
      </c>
      <c r="N112">
        <v>0</v>
      </c>
      <c r="O112">
        <v>4.6236770000000003E-2</v>
      </c>
      <c r="P112">
        <v>0.99431380000000003</v>
      </c>
      <c r="Q112">
        <v>7.3508069999999995E-2</v>
      </c>
      <c r="R112">
        <v>7.7051300000000003E-2</v>
      </c>
      <c r="S112">
        <v>2.973236</v>
      </c>
      <c r="T112">
        <v>0.38383689999999998</v>
      </c>
      <c r="U112">
        <v>0.20083619999999999</v>
      </c>
      <c r="V112">
        <v>-3.101187E-2</v>
      </c>
      <c r="W112">
        <v>7.4351130000000001E-2</v>
      </c>
      <c r="X112">
        <v>0.99674980000000002</v>
      </c>
      <c r="Y112">
        <v>-2.1395560000000001E-2</v>
      </c>
      <c r="Z112">
        <v>4.559998E-3</v>
      </c>
      <c r="AA112">
        <v>0.99976069999999995</v>
      </c>
      <c r="AB112">
        <v>18</v>
      </c>
      <c r="AC112">
        <v>2.973236</v>
      </c>
      <c r="AD112">
        <v>0.38383689999999998</v>
      </c>
      <c r="AE112">
        <v>0.20083619999999999</v>
      </c>
      <c r="AF112">
        <v>-6.2117985558741901E-2</v>
      </c>
      <c r="AG112">
        <v>0.38383689999999998</v>
      </c>
      <c r="AH112">
        <v>2.93072026105121</v>
      </c>
      <c r="AI112">
        <v>82.540089023563496</v>
      </c>
      <c r="AJ112">
        <v>91.214229014915205</v>
      </c>
      <c r="AK112">
        <v>2.9564016402491</v>
      </c>
      <c r="AL112">
        <v>85.736059282619394</v>
      </c>
      <c r="AM112">
        <v>91.782068336182306</v>
      </c>
      <c r="AN112">
        <v>0.99999999520660698</v>
      </c>
    </row>
    <row r="113" spans="1:40" x14ac:dyDescent="0.25">
      <c r="A113" t="str">
        <f>"20190312160604247"</f>
        <v>20190312160604247</v>
      </c>
      <c r="B113" t="str">
        <f>"1552377964235167"</f>
        <v>1552377964235167</v>
      </c>
      <c r="C113" t="s">
        <v>40</v>
      </c>
      <c r="D113">
        <v>5.8462690000000004</v>
      </c>
      <c r="E113">
        <v>0.50447849999999905</v>
      </c>
      <c r="F113" t="s">
        <v>41</v>
      </c>
      <c r="G113">
        <v>0</v>
      </c>
      <c r="H113">
        <v>0</v>
      </c>
      <c r="I113">
        <v>0</v>
      </c>
      <c r="J113">
        <v>-465.50479999999999</v>
      </c>
      <c r="K113">
        <v>1.108884</v>
      </c>
      <c r="L113">
        <v>367.64659999999998</v>
      </c>
      <c r="M113">
        <v>0.99881830000000005</v>
      </c>
      <c r="N113">
        <v>0</v>
      </c>
      <c r="O113">
        <v>4.8587970000000001E-2</v>
      </c>
      <c r="P113">
        <v>0.99424369999999995</v>
      </c>
      <c r="Q113">
        <v>7.3929679999999998E-2</v>
      </c>
      <c r="R113">
        <v>7.754933E-2</v>
      </c>
      <c r="S113">
        <v>2.9729610000000002</v>
      </c>
      <c r="T113">
        <v>0.38791740000000002</v>
      </c>
      <c r="U113">
        <v>0.20062260000000001</v>
      </c>
      <c r="V113">
        <v>-2.9170519999999998E-2</v>
      </c>
      <c r="W113">
        <v>7.5020180000000006E-2</v>
      </c>
      <c r="X113">
        <v>0.99675519999999995</v>
      </c>
      <c r="Y113">
        <v>-1.9021050000000001E-2</v>
      </c>
      <c r="Z113">
        <v>5.0672460000000001E-3</v>
      </c>
      <c r="AA113">
        <v>0.99980619999999998</v>
      </c>
      <c r="AB113">
        <v>20</v>
      </c>
      <c r="AC113">
        <v>2.9729610000000002</v>
      </c>
      <c r="AD113">
        <v>0.38791740000000002</v>
      </c>
      <c r="AE113">
        <v>0.20062260000000001</v>
      </c>
      <c r="AF113">
        <v>-5.50032059328011E-2</v>
      </c>
      <c r="AG113">
        <v>0.38791740000000002</v>
      </c>
      <c r="AH113">
        <v>2.92954658669843</v>
      </c>
      <c r="AI113">
        <v>82.458345625157804</v>
      </c>
      <c r="AJ113">
        <v>91.075620829172095</v>
      </c>
      <c r="AK113">
        <v>2.9556299608580998</v>
      </c>
      <c r="AL113">
        <v>85.697617931334307</v>
      </c>
      <c r="AM113">
        <v>91.676310066019397</v>
      </c>
      <c r="AN113">
        <v>0.99999993768566897</v>
      </c>
    </row>
    <row r="114" spans="1:40" x14ac:dyDescent="0.25">
      <c r="A114" t="str">
        <f>"20190312160604259"</f>
        <v>20190312160604259</v>
      </c>
      <c r="B114" t="str">
        <f>"1552377964255662"</f>
        <v>1552377964255662</v>
      </c>
      <c r="C114" t="s">
        <v>40</v>
      </c>
      <c r="D114">
        <v>5.7649660000000003</v>
      </c>
      <c r="E114">
        <v>0.50745680000000004</v>
      </c>
      <c r="F114" t="s">
        <v>41</v>
      </c>
      <c r="G114">
        <v>0</v>
      </c>
      <c r="H114">
        <v>0</v>
      </c>
      <c r="I114">
        <v>0</v>
      </c>
      <c r="J114">
        <v>-465.3929</v>
      </c>
      <c r="K114">
        <v>1.108886</v>
      </c>
      <c r="L114">
        <v>367.65219999999999</v>
      </c>
      <c r="M114">
        <v>0.99881160000000002</v>
      </c>
      <c r="N114">
        <v>0</v>
      </c>
      <c r="O114">
        <v>4.8726129999999999E-2</v>
      </c>
      <c r="P114">
        <v>0.99423550000000005</v>
      </c>
      <c r="Q114">
        <v>7.4022160000000004E-2</v>
      </c>
      <c r="R114">
        <v>7.7568049999999999E-2</v>
      </c>
      <c r="S114">
        <v>2.9726870000000001</v>
      </c>
      <c r="T114">
        <v>0.38916980000000001</v>
      </c>
      <c r="U114">
        <v>0.2018433</v>
      </c>
      <c r="V114">
        <v>-2.9052399999999999E-2</v>
      </c>
      <c r="W114">
        <v>7.5130009999999997E-2</v>
      </c>
      <c r="X114">
        <v>0.99675040000000004</v>
      </c>
      <c r="Y114">
        <v>-1.929811E-2</v>
      </c>
      <c r="Z114">
        <v>5.0837679999999998E-3</v>
      </c>
      <c r="AA114">
        <v>0.99980089999999999</v>
      </c>
      <c r="AB114">
        <v>20</v>
      </c>
      <c r="AC114">
        <v>2.9726870000000001</v>
      </c>
      <c r="AD114">
        <v>0.38916980000000001</v>
      </c>
      <c r="AE114">
        <v>0.2018433</v>
      </c>
      <c r="AF114">
        <v>-5.5803907151567397E-2</v>
      </c>
      <c r="AG114">
        <v>0.38916980000000001</v>
      </c>
      <c r="AH114">
        <v>2.9290215377192501</v>
      </c>
      <c r="AI114">
        <v>82.432977461481599</v>
      </c>
      <c r="AJ114">
        <v>91.091470836432407</v>
      </c>
      <c r="AK114">
        <v>2.9552892206531398</v>
      </c>
      <c r="AL114">
        <v>85.691307423069702</v>
      </c>
      <c r="AM114">
        <v>91.669534079076598</v>
      </c>
      <c r="AN114">
        <v>0.99999996012425896</v>
      </c>
    </row>
    <row r="115" spans="1:40" x14ac:dyDescent="0.25">
      <c r="A115" t="str">
        <f>"20190312160604272"</f>
        <v>20190312160604272</v>
      </c>
      <c r="B115" t="str">
        <f>"1552377964265422"</f>
        <v>1552377964265422</v>
      </c>
      <c r="C115" t="s">
        <v>40</v>
      </c>
      <c r="D115">
        <v>5.9976029999999998</v>
      </c>
      <c r="E115">
        <v>0.50688500000000003</v>
      </c>
      <c r="F115" t="s">
        <v>41</v>
      </c>
      <c r="G115">
        <v>0</v>
      </c>
      <c r="H115">
        <v>0</v>
      </c>
      <c r="I115">
        <v>0</v>
      </c>
      <c r="J115">
        <v>-465.27339999999998</v>
      </c>
      <c r="K115">
        <v>1.108887</v>
      </c>
      <c r="L115">
        <v>367.65820000000002</v>
      </c>
      <c r="M115">
        <v>0.99880429999999998</v>
      </c>
      <c r="N115">
        <v>0</v>
      </c>
      <c r="O115">
        <v>4.8873760000000002E-2</v>
      </c>
      <c r="P115">
        <v>0.99422790000000005</v>
      </c>
      <c r="Q115">
        <v>7.4046239999999999E-2</v>
      </c>
      <c r="R115">
        <v>7.7640909999999994E-2</v>
      </c>
      <c r="S115">
        <v>2.9373469999999999</v>
      </c>
      <c r="T115">
        <v>0.87348159999999897</v>
      </c>
      <c r="U115">
        <v>0.1923523</v>
      </c>
      <c r="V115">
        <v>-2.897864E-2</v>
      </c>
      <c r="W115">
        <v>7.5172810000000007E-2</v>
      </c>
      <c r="X115">
        <v>0.99674929999999995</v>
      </c>
      <c r="Y115">
        <v>-1.7833040000000001E-2</v>
      </c>
      <c r="Z115">
        <v>1.160889E-2</v>
      </c>
      <c r="AA115">
        <v>0.99977360000000004</v>
      </c>
      <c r="AB115">
        <v>20</v>
      </c>
      <c r="AC115">
        <v>2.9373469999999999</v>
      </c>
      <c r="AD115">
        <v>0.87348159999999897</v>
      </c>
      <c r="AE115">
        <v>0.1923523</v>
      </c>
      <c r="AF115">
        <v>-4.4633114745837102E-2</v>
      </c>
      <c r="AG115">
        <v>0.87348159999999897</v>
      </c>
      <c r="AH115">
        <v>2.7050527738846299</v>
      </c>
      <c r="AI115">
        <v>72.106627290560795</v>
      </c>
      <c r="AJ115">
        <v>90.945289161351496</v>
      </c>
      <c r="AK115">
        <v>2.8429338244094602</v>
      </c>
      <c r="AL115">
        <v>85.688848122337504</v>
      </c>
      <c r="AM115">
        <v>91.665299590978407</v>
      </c>
      <c r="AN115">
        <v>0.99999993999501602</v>
      </c>
    </row>
    <row r="116" spans="1:40" x14ac:dyDescent="0.25">
      <c r="A116" t="str">
        <f>"20190312160604293"</f>
        <v>20190312160604293</v>
      </c>
      <c r="B116" t="str">
        <f>"1552377964284943"</f>
        <v>1552377964284943</v>
      </c>
      <c r="C116" t="s">
        <v>40</v>
      </c>
      <c r="D116">
        <v>6.1474769999999896</v>
      </c>
      <c r="E116">
        <v>0.52481219999999995</v>
      </c>
      <c r="F116" t="s">
        <v>41</v>
      </c>
      <c r="G116">
        <v>0</v>
      </c>
      <c r="H116">
        <v>0</v>
      </c>
      <c r="I116">
        <v>0</v>
      </c>
      <c r="J116">
        <v>-465.08780000000002</v>
      </c>
      <c r="K116">
        <v>1.108886</v>
      </c>
      <c r="L116">
        <v>367.66750000000002</v>
      </c>
      <c r="M116">
        <v>0.99879320000000005</v>
      </c>
      <c r="N116">
        <v>0</v>
      </c>
      <c r="O116">
        <v>4.9101739999999998E-2</v>
      </c>
      <c r="P116">
        <v>0.99426460000000005</v>
      </c>
      <c r="Q116">
        <v>7.3686630000000003E-2</v>
      </c>
      <c r="R116">
        <v>7.7513949999999998E-2</v>
      </c>
      <c r="S116">
        <v>2.9419249999999999</v>
      </c>
      <c r="T116">
        <v>0.8084924</v>
      </c>
      <c r="U116">
        <v>0.19497680000000001</v>
      </c>
      <c r="V116">
        <v>-2.8622410000000001E-2</v>
      </c>
      <c r="W116">
        <v>7.4842820000000004E-2</v>
      </c>
      <c r="X116">
        <v>0.99678449999999996</v>
      </c>
      <c r="Y116">
        <v>-1.8194999999999999E-2</v>
      </c>
      <c r="Z116">
        <v>1.077324E-2</v>
      </c>
      <c r="AA116">
        <v>0.99977640000000001</v>
      </c>
      <c r="AB116">
        <v>20</v>
      </c>
      <c r="AC116">
        <v>2.9419249999999999</v>
      </c>
      <c r="AD116">
        <v>0.8084924</v>
      </c>
      <c r="AE116">
        <v>0.19497680000000001</v>
      </c>
      <c r="AF116">
        <v>-4.67709808060068E-2</v>
      </c>
      <c r="AG116">
        <v>0.8084924</v>
      </c>
      <c r="AH116">
        <v>2.7417834467827298</v>
      </c>
      <c r="AI116">
        <v>73.572617559615395</v>
      </c>
      <c r="AJ116">
        <v>90.977290864287795</v>
      </c>
      <c r="AK116">
        <v>2.8588850894282398</v>
      </c>
      <c r="AL116">
        <v>85.7078088919192</v>
      </c>
      <c r="AM116">
        <v>91.644781579525301</v>
      </c>
      <c r="AN116">
        <v>1.0000000147500001</v>
      </c>
    </row>
    <row r="117" spans="1:40" x14ac:dyDescent="0.25">
      <c r="A117" t="str">
        <f>"20190312160604316"</f>
        <v>20190312160604316</v>
      </c>
      <c r="B117" t="str">
        <f>"1552377964305442"</f>
        <v>1552377964305442</v>
      </c>
      <c r="C117" t="s">
        <v>40</v>
      </c>
      <c r="D117">
        <v>5.9568890000000003</v>
      </c>
      <c r="E117">
        <v>0.51991620000000005</v>
      </c>
      <c r="F117" t="s">
        <v>42</v>
      </c>
      <c r="G117">
        <v>-158.19499999999999</v>
      </c>
      <c r="H117">
        <v>54.250520000000002</v>
      </c>
      <c r="I117">
        <v>372.16829999999999</v>
      </c>
      <c r="J117">
        <v>-464.88339999999999</v>
      </c>
      <c r="K117">
        <v>1.1088880000000001</v>
      </c>
      <c r="L117">
        <v>367.67779999999999</v>
      </c>
      <c r="M117">
        <v>0.99878069999999997</v>
      </c>
      <c r="N117">
        <v>0</v>
      </c>
      <c r="O117">
        <v>4.9352960000000001E-2</v>
      </c>
      <c r="P117">
        <v>0.99435949999999995</v>
      </c>
      <c r="Q117">
        <v>7.2459309999999999E-2</v>
      </c>
      <c r="R117">
        <v>7.7452820000000006E-2</v>
      </c>
      <c r="S117">
        <v>2.9756770000000001</v>
      </c>
      <c r="T117">
        <v>0.51526959999999999</v>
      </c>
      <c r="U117">
        <v>4.3640140000000001E-2</v>
      </c>
      <c r="V117">
        <v>-2.8306000000000001E-2</v>
      </c>
      <c r="W117">
        <v>7.3647820000000003E-2</v>
      </c>
      <c r="X117">
        <v>0.9968825</v>
      </c>
      <c r="Y117">
        <v>3.3469930000000002E-2</v>
      </c>
      <c r="Z117">
        <v>1.135533E-2</v>
      </c>
      <c r="AA117">
        <v>0.99937520000000002</v>
      </c>
      <c r="AB117">
        <v>20</v>
      </c>
      <c r="AC117">
        <v>306.6884</v>
      </c>
      <c r="AD117">
        <v>53.141632000000001</v>
      </c>
      <c r="AE117">
        <v>4.4904999999999902</v>
      </c>
      <c r="AF117">
        <v>10.340559962243701</v>
      </c>
      <c r="AG117">
        <v>53.141632000000001</v>
      </c>
      <c r="AH117">
        <v>297.60284190969099</v>
      </c>
      <c r="AI117">
        <v>79.881631426597096</v>
      </c>
      <c r="AJ117">
        <v>88.009991493279003</v>
      </c>
      <c r="AK117">
        <v>302.48704392862999</v>
      </c>
      <c r="AL117">
        <v>85.776466678487594</v>
      </c>
      <c r="AM117">
        <v>91.626449138881398</v>
      </c>
      <c r="AN117">
        <v>0.99999997491649995</v>
      </c>
    </row>
    <row r="118" spans="1:40" x14ac:dyDescent="0.25">
      <c r="A118" t="str">
        <f>"20190312160604327"</f>
        <v>20190312160604327</v>
      </c>
      <c r="B118" t="str">
        <f>"1552377964324958"</f>
        <v>1552377964324958</v>
      </c>
      <c r="C118" t="s">
        <v>40</v>
      </c>
      <c r="D118">
        <v>5.9569429999999999</v>
      </c>
      <c r="E118">
        <v>0.51623640000000004</v>
      </c>
      <c r="F118" t="s">
        <v>42</v>
      </c>
      <c r="G118">
        <v>-158.19499999999999</v>
      </c>
      <c r="H118">
        <v>56.875920000000001</v>
      </c>
      <c r="I118">
        <v>376.2586</v>
      </c>
      <c r="J118">
        <v>-464.76369999999997</v>
      </c>
      <c r="K118">
        <v>1.1088880000000001</v>
      </c>
      <c r="L118">
        <v>367.68389999999999</v>
      </c>
      <c r="M118">
        <v>0.99877349999999998</v>
      </c>
      <c r="N118">
        <v>0</v>
      </c>
      <c r="O118">
        <v>4.9499700000000001E-2</v>
      </c>
      <c r="P118">
        <v>0.99441310000000005</v>
      </c>
      <c r="Q118">
        <v>7.1794060000000007E-2</v>
      </c>
      <c r="R118">
        <v>7.7384010000000003E-2</v>
      </c>
      <c r="S118">
        <v>2.9711910000000001</v>
      </c>
      <c r="T118">
        <v>0.54027069999999999</v>
      </c>
      <c r="U118">
        <v>8.3129880000000003E-2</v>
      </c>
      <c r="V118">
        <v>-2.8088209999999999E-2</v>
      </c>
      <c r="W118">
        <v>7.3001549999999998E-2</v>
      </c>
      <c r="X118">
        <v>0.99693620000000005</v>
      </c>
      <c r="Y118">
        <v>2.040252E-2</v>
      </c>
      <c r="Z118">
        <v>1.076119E-2</v>
      </c>
      <c r="AA118">
        <v>0.99973389999999995</v>
      </c>
      <c r="AB118">
        <v>21</v>
      </c>
      <c r="AC118">
        <v>306.56869999999998</v>
      </c>
      <c r="AD118">
        <v>55.767031999999901</v>
      </c>
      <c r="AE118">
        <v>8.5747</v>
      </c>
      <c r="AF118">
        <v>6.3992914376342798</v>
      </c>
      <c r="AG118">
        <v>55.767031999999901</v>
      </c>
      <c r="AH118">
        <v>296.803716079423</v>
      </c>
      <c r="AI118">
        <v>79.361067389389007</v>
      </c>
      <c r="AJ118">
        <v>88.764855111854402</v>
      </c>
      <c r="AK118">
        <v>302.06515632814597</v>
      </c>
      <c r="AL118">
        <v>85.813595191681799</v>
      </c>
      <c r="AM118">
        <v>91.613854785539601</v>
      </c>
      <c r="AN118">
        <v>0.99999998035692295</v>
      </c>
    </row>
    <row r="119" spans="1:40" x14ac:dyDescent="0.25">
      <c r="A119" t="str">
        <f>"20190312160604347"</f>
        <v>20190312160604347</v>
      </c>
      <c r="B119" t="str">
        <f>"1552377964345455"</f>
        <v>1552377964345455</v>
      </c>
      <c r="C119" t="s">
        <v>40</v>
      </c>
      <c r="D119">
        <v>5.7722030000000002</v>
      </c>
      <c r="E119">
        <v>0.51479979999999903</v>
      </c>
      <c r="F119" t="s">
        <v>42</v>
      </c>
      <c r="G119">
        <v>-158.19499999999999</v>
      </c>
      <c r="H119">
        <v>61.703279999999999</v>
      </c>
      <c r="I119">
        <v>379.41289999999998</v>
      </c>
      <c r="J119">
        <v>-464.58589999999998</v>
      </c>
      <c r="K119">
        <v>1.1088800000000001</v>
      </c>
      <c r="L119">
        <v>367.69299999999998</v>
      </c>
      <c r="M119">
        <v>0.9987625</v>
      </c>
      <c r="N119">
        <v>0</v>
      </c>
      <c r="O119">
        <v>4.9717959999999999E-2</v>
      </c>
      <c r="P119">
        <v>0.99445190000000006</v>
      </c>
      <c r="Q119">
        <v>7.1309789999999998E-2</v>
      </c>
      <c r="R119">
        <v>7.7333659999999999E-2</v>
      </c>
      <c r="S119">
        <v>2.9656980000000002</v>
      </c>
      <c r="T119">
        <v>0.58618139999999996</v>
      </c>
      <c r="U119">
        <v>0.11346440000000001</v>
      </c>
      <c r="V119">
        <v>-2.7818639999999999E-2</v>
      </c>
      <c r="W119">
        <v>7.2545949999999998E-2</v>
      </c>
      <c r="X119">
        <v>0.996977</v>
      </c>
      <c r="Y119">
        <v>1.0338959999999999E-2</v>
      </c>
      <c r="Z119">
        <v>1.0735629999999999E-2</v>
      </c>
      <c r="AA119">
        <v>0.99988889999999997</v>
      </c>
      <c r="AB119">
        <v>21</v>
      </c>
      <c r="AC119">
        <v>306.39089999999999</v>
      </c>
      <c r="AD119">
        <v>60.5944</v>
      </c>
      <c r="AE119">
        <v>11.7198999999999</v>
      </c>
      <c r="AF119">
        <v>3.3951390442984799</v>
      </c>
      <c r="AG119">
        <v>60.5944</v>
      </c>
      <c r="AH119">
        <v>295.07064764682298</v>
      </c>
      <c r="AI119">
        <v>78.396071584944806</v>
      </c>
      <c r="AJ119">
        <v>89.340772944743193</v>
      </c>
      <c r="AK119">
        <v>301.247232988463</v>
      </c>
      <c r="AL119">
        <v>85.839768485128502</v>
      </c>
      <c r="AM119">
        <v>91.598308889216099</v>
      </c>
      <c r="AN119">
        <v>0.99999996506092503</v>
      </c>
    </row>
    <row r="120" spans="1:40" x14ac:dyDescent="0.25">
      <c r="A120" t="str">
        <f>"20190312160604360"</f>
        <v>20190312160604360</v>
      </c>
      <c r="B120" t="str">
        <f>"1552377964355214"</f>
        <v>1552377964355214</v>
      </c>
      <c r="C120" t="s">
        <v>40</v>
      </c>
      <c r="D120">
        <v>5.9655079999999998</v>
      </c>
      <c r="E120">
        <v>0.51393529999999998</v>
      </c>
      <c r="F120" t="s">
        <v>42</v>
      </c>
      <c r="G120">
        <v>-158.19499999999999</v>
      </c>
      <c r="H120">
        <v>63.078220000000002</v>
      </c>
      <c r="I120">
        <v>380.62049999999999</v>
      </c>
      <c r="J120">
        <v>-464.46730000000002</v>
      </c>
      <c r="K120">
        <v>1.1088830000000001</v>
      </c>
      <c r="L120">
        <v>367.69900000000001</v>
      </c>
      <c r="M120">
        <v>0.99875539999999996</v>
      </c>
      <c r="N120">
        <v>0</v>
      </c>
      <c r="O120">
        <v>4.9863570000000003E-2</v>
      </c>
      <c r="P120">
        <v>0.99447799999999997</v>
      </c>
      <c r="Q120">
        <v>7.1068439999999997E-2</v>
      </c>
      <c r="R120">
        <v>7.7220380000000005E-2</v>
      </c>
      <c r="S120">
        <v>2.9640200000000001</v>
      </c>
      <c r="T120">
        <v>0.59949079999999999</v>
      </c>
      <c r="U120">
        <v>0.12506099999999901</v>
      </c>
      <c r="V120">
        <v>-2.7558570000000001E-2</v>
      </c>
      <c r="W120">
        <v>7.232384E-2</v>
      </c>
      <c r="X120">
        <v>0.99700040000000001</v>
      </c>
      <c r="Y120">
        <v>6.5765809999999997E-3</v>
      </c>
      <c r="Z120">
        <v>1.063222E-2</v>
      </c>
      <c r="AA120">
        <v>0.99992190000000003</v>
      </c>
      <c r="AB120">
        <v>21</v>
      </c>
      <c r="AC120">
        <v>306.27229999999997</v>
      </c>
      <c r="AD120">
        <v>61.969337000000003</v>
      </c>
      <c r="AE120">
        <v>12.921499999999901</v>
      </c>
      <c r="AF120">
        <v>2.2735040509076998</v>
      </c>
      <c r="AG120">
        <v>61.969337000000003</v>
      </c>
      <c r="AH120">
        <v>294.50046027864198</v>
      </c>
      <c r="AI120">
        <v>78.117416521777699</v>
      </c>
      <c r="AJ120">
        <v>89.557693053939005</v>
      </c>
      <c r="AK120">
        <v>300.95828390861902</v>
      </c>
      <c r="AL120">
        <v>85.852528134909093</v>
      </c>
      <c r="AM120">
        <v>91.583337169626901</v>
      </c>
      <c r="AN120">
        <v>1.0000000051064699</v>
      </c>
    </row>
    <row r="121" spans="1:40" x14ac:dyDescent="0.25">
      <c r="A121" t="str">
        <f>"20190312160604383"</f>
        <v>20190312160604383</v>
      </c>
      <c r="B121" t="str">
        <f>"1552377964374734"</f>
        <v>1552377964374734</v>
      </c>
      <c r="C121" t="s">
        <v>40</v>
      </c>
      <c r="D121">
        <v>5.8225129999999998</v>
      </c>
      <c r="E121">
        <v>0.514354599999999</v>
      </c>
      <c r="F121" t="s">
        <v>42</v>
      </c>
      <c r="G121">
        <v>-158.19499999999999</v>
      </c>
      <c r="H121">
        <v>63.55574</v>
      </c>
      <c r="I121">
        <v>381.34120000000001</v>
      </c>
      <c r="J121">
        <v>-464.25139999999999</v>
      </c>
      <c r="K121">
        <v>1.108884</v>
      </c>
      <c r="L121">
        <v>367.71010000000001</v>
      </c>
      <c r="M121">
        <v>0.99874200000000002</v>
      </c>
      <c r="N121">
        <v>0</v>
      </c>
      <c r="O121">
        <v>5.0128430000000002E-2</v>
      </c>
      <c r="P121">
        <v>0.99451489999999998</v>
      </c>
      <c r="Q121">
        <v>7.0911859999999993E-2</v>
      </c>
      <c r="R121">
        <v>7.688992E-2</v>
      </c>
      <c r="S121">
        <v>2.9631959999999999</v>
      </c>
      <c r="T121">
        <v>0.6041763</v>
      </c>
      <c r="U121">
        <v>0.13198850000000001</v>
      </c>
      <c r="V121">
        <v>-2.696264E-2</v>
      </c>
      <c r="W121">
        <v>7.2202580000000002E-2</v>
      </c>
      <c r="X121">
        <v>0.99702550000000001</v>
      </c>
      <c r="Y121">
        <v>4.5154699999999997E-3</v>
      </c>
      <c r="Z121">
        <v>1.0561360000000001E-2</v>
      </c>
      <c r="AA121">
        <v>0.99993399999999999</v>
      </c>
      <c r="AB121">
        <v>21</v>
      </c>
      <c r="AC121">
        <v>306.0564</v>
      </c>
      <c r="AD121">
        <v>62.446855999999997</v>
      </c>
      <c r="AE121">
        <v>13.6311</v>
      </c>
      <c r="AF121">
        <v>1.65923693026457</v>
      </c>
      <c r="AG121">
        <v>62.446855999999997</v>
      </c>
      <c r="AH121">
        <v>294.13403402959</v>
      </c>
      <c r="AI121">
        <v>78.013840218869106</v>
      </c>
      <c r="AJ121">
        <v>89.676792706964804</v>
      </c>
      <c r="AK121">
        <v>300.69451751901801</v>
      </c>
      <c r="AL121">
        <v>85.859494103179301</v>
      </c>
      <c r="AM121">
        <v>91.549076774227103</v>
      </c>
      <c r="AN121">
        <v>1.00000002208233</v>
      </c>
    </row>
    <row r="122" spans="1:40" x14ac:dyDescent="0.25">
      <c r="A122" t="str">
        <f>"20190312160604405"</f>
        <v>20190312160604405</v>
      </c>
      <c r="B122" t="str">
        <f>"1552377964395230"</f>
        <v>1552377964395230</v>
      </c>
      <c r="C122" t="s">
        <v>40</v>
      </c>
      <c r="D122">
        <v>5.8280919999999998</v>
      </c>
      <c r="E122">
        <v>0.5154784</v>
      </c>
      <c r="F122" t="s">
        <v>42</v>
      </c>
      <c r="G122">
        <v>-158.19499999999999</v>
      </c>
      <c r="H122">
        <v>64.026859999999999</v>
      </c>
      <c r="I122">
        <v>380.91370000000001</v>
      </c>
      <c r="J122">
        <v>-464.0385</v>
      </c>
      <c r="K122">
        <v>1.108889</v>
      </c>
      <c r="L122">
        <v>367.72109999999998</v>
      </c>
      <c r="M122">
        <v>0.99872890000000003</v>
      </c>
      <c r="N122">
        <v>0</v>
      </c>
      <c r="O122">
        <v>5.0389610000000001E-2</v>
      </c>
      <c r="P122">
        <v>0.99454739999999997</v>
      </c>
      <c r="Q122">
        <v>7.0859859999999997E-2</v>
      </c>
      <c r="R122">
        <v>7.6514579999999999E-2</v>
      </c>
      <c r="S122">
        <v>2.963257</v>
      </c>
      <c r="T122">
        <v>0.6091763</v>
      </c>
      <c r="U122">
        <v>0.12783810000000001</v>
      </c>
      <c r="V122">
        <v>-2.6326080000000002E-2</v>
      </c>
      <c r="W122">
        <v>7.2185460000000007E-2</v>
      </c>
      <c r="X122">
        <v>0.99704369999999998</v>
      </c>
      <c r="Y122">
        <v>6.1183569999999996E-3</v>
      </c>
      <c r="Z122">
        <v>1.086318E-2</v>
      </c>
      <c r="AA122">
        <v>0.99992230000000004</v>
      </c>
      <c r="AB122">
        <v>21</v>
      </c>
      <c r="AC122">
        <v>305.84350000000001</v>
      </c>
      <c r="AD122">
        <v>62.917970999999902</v>
      </c>
      <c r="AE122">
        <v>13.192600000000001</v>
      </c>
      <c r="AF122">
        <v>2.1449007313947401</v>
      </c>
      <c r="AG122">
        <v>62.917970999999902</v>
      </c>
      <c r="AH122">
        <v>293.71274870962799</v>
      </c>
      <c r="AI122">
        <v>77.909374701447405</v>
      </c>
      <c r="AJ122">
        <v>89.581592643268394</v>
      </c>
      <c r="AK122">
        <v>300.38383849413299</v>
      </c>
      <c r="AL122">
        <v>85.860477363064703</v>
      </c>
      <c r="AM122">
        <v>91.512494273346803</v>
      </c>
      <c r="AN122">
        <v>0.99999997141663299</v>
      </c>
    </row>
    <row r="123" spans="1:40" x14ac:dyDescent="0.25">
      <c r="A123" t="str">
        <f>"20190312160604426"</f>
        <v>20190312160604426</v>
      </c>
      <c r="B123" t="str">
        <f>"1552377964415732"</f>
        <v>1552377964415732</v>
      </c>
      <c r="C123" t="s">
        <v>40</v>
      </c>
      <c r="D123">
        <v>5.815493</v>
      </c>
      <c r="E123">
        <v>0.51632609999999901</v>
      </c>
      <c r="F123" t="s">
        <v>42</v>
      </c>
      <c r="G123">
        <v>-158.19499999999999</v>
      </c>
      <c r="H123">
        <v>64.127039999999994</v>
      </c>
      <c r="I123">
        <v>379.81670000000003</v>
      </c>
      <c r="J123">
        <v>-463.84160000000003</v>
      </c>
      <c r="K123">
        <v>1.1088910000000001</v>
      </c>
      <c r="L123">
        <v>367.73129999999998</v>
      </c>
      <c r="M123">
        <v>0.99871650000000001</v>
      </c>
      <c r="N123">
        <v>0</v>
      </c>
      <c r="O123">
        <v>5.0630929999999998E-2</v>
      </c>
      <c r="P123">
        <v>0.99457879999999999</v>
      </c>
      <c r="Q123">
        <v>7.0715819999999999E-2</v>
      </c>
      <c r="R123">
        <v>7.6238219999999995E-2</v>
      </c>
      <c r="S123">
        <v>2.9639280000000001</v>
      </c>
      <c r="T123">
        <v>0.61070930000000001</v>
      </c>
      <c r="U123">
        <v>0.117218</v>
      </c>
      <c r="V123">
        <v>-2.5807119999999999E-2</v>
      </c>
      <c r="W123">
        <v>7.2074150000000003E-2</v>
      </c>
      <c r="X123">
        <v>0.99706539999999999</v>
      </c>
      <c r="Y123">
        <v>9.8574160000000008E-3</v>
      </c>
      <c r="Z123">
        <v>1.1318740000000001E-2</v>
      </c>
      <c r="AA123">
        <v>0.99988730000000003</v>
      </c>
      <c r="AB123">
        <v>21</v>
      </c>
      <c r="AC123">
        <v>305.64659999999998</v>
      </c>
      <c r="AD123">
        <v>63.018149000000001</v>
      </c>
      <c r="AE123">
        <v>12.0854</v>
      </c>
      <c r="AF123">
        <v>3.2666380425603401</v>
      </c>
      <c r="AG123">
        <v>63.018149000000001</v>
      </c>
      <c r="AH123">
        <v>293.41293880474097</v>
      </c>
      <c r="AI123">
        <v>77.879099439089899</v>
      </c>
      <c r="AJ123">
        <v>89.362138420307602</v>
      </c>
      <c r="AK123">
        <v>300.12182640641402</v>
      </c>
      <c r="AL123">
        <v>85.866871942233104</v>
      </c>
      <c r="AM123">
        <v>91.482660007421998</v>
      </c>
      <c r="AN123">
        <v>1.0000000512090299</v>
      </c>
    </row>
    <row r="124" spans="1:40" x14ac:dyDescent="0.25">
      <c r="A124" t="str">
        <f>"20190312160604439"</f>
        <v>20190312160604439</v>
      </c>
      <c r="B124" t="str">
        <f>"1552377964435246"</f>
        <v>1552377964435246</v>
      </c>
      <c r="C124" t="s">
        <v>40</v>
      </c>
      <c r="D124">
        <v>5.7010430000000003</v>
      </c>
      <c r="E124">
        <v>0.5174493</v>
      </c>
      <c r="F124" t="s">
        <v>42</v>
      </c>
      <c r="G124">
        <v>-158.19499999999999</v>
      </c>
      <c r="H124">
        <v>63.908740000000002</v>
      </c>
      <c r="I124">
        <v>379.06420000000003</v>
      </c>
      <c r="J124">
        <v>-463.71640000000002</v>
      </c>
      <c r="K124">
        <v>1.1088910000000001</v>
      </c>
      <c r="L124">
        <v>367.73779999999999</v>
      </c>
      <c r="M124">
        <v>0.9987087</v>
      </c>
      <c r="N124">
        <v>0</v>
      </c>
      <c r="O124">
        <v>5.0784160000000002E-2</v>
      </c>
      <c r="P124">
        <v>0.9945444</v>
      </c>
      <c r="Q124">
        <v>7.0882319999999999E-2</v>
      </c>
      <c r="R124">
        <v>7.6533619999999997E-2</v>
      </c>
      <c r="S124">
        <v>2.9646300000000001</v>
      </c>
      <c r="T124">
        <v>0.6091299</v>
      </c>
      <c r="U124">
        <v>0.1099243</v>
      </c>
      <c r="V124">
        <v>-2.59513E-2</v>
      </c>
      <c r="W124">
        <v>7.2261539999999999E-2</v>
      </c>
      <c r="X124">
        <v>0.99704800000000005</v>
      </c>
      <c r="Y124">
        <v>1.2426660000000001E-2</v>
      </c>
      <c r="Z124">
        <v>1.158036E-2</v>
      </c>
      <c r="AA124">
        <v>0.99985570000000001</v>
      </c>
      <c r="AB124">
        <v>21</v>
      </c>
      <c r="AC124">
        <v>305.52140000000003</v>
      </c>
      <c r="AD124">
        <v>62.799849000000002</v>
      </c>
      <c r="AE124">
        <v>11.3264</v>
      </c>
      <c r="AF124">
        <v>4.0336853082493</v>
      </c>
      <c r="AG124">
        <v>62.799849000000002</v>
      </c>
      <c r="AH124">
        <v>293.32614641508502</v>
      </c>
      <c r="AI124">
        <v>77.916764539961306</v>
      </c>
      <c r="AJ124">
        <v>89.212144637207501</v>
      </c>
      <c r="AK124">
        <v>300.00053303671399</v>
      </c>
      <c r="AL124">
        <v>85.856106827480701</v>
      </c>
      <c r="AM124">
        <v>91.490965656273602</v>
      </c>
      <c r="AN124">
        <v>0.99999995721942903</v>
      </c>
    </row>
    <row r="125" spans="1:40" x14ac:dyDescent="0.25">
      <c r="A125" t="str">
        <f>"20190312160604459"</f>
        <v>20190312160604459</v>
      </c>
      <c r="B125" t="str">
        <f>"1552377964454767"</f>
        <v>1552377964454767</v>
      </c>
      <c r="C125" t="s">
        <v>40</v>
      </c>
      <c r="D125">
        <v>5.8136140000000003</v>
      </c>
      <c r="E125">
        <v>0.51824459999999894</v>
      </c>
      <c r="F125" t="s">
        <v>42</v>
      </c>
      <c r="G125">
        <v>-158.19499999999999</v>
      </c>
      <c r="H125">
        <v>63.278750000000002</v>
      </c>
      <c r="I125">
        <v>378.27019999999999</v>
      </c>
      <c r="J125">
        <v>-463.51440000000002</v>
      </c>
      <c r="K125">
        <v>1.1089009999999999</v>
      </c>
      <c r="L125">
        <v>367.74829999999997</v>
      </c>
      <c r="M125">
        <v>0.99869620000000003</v>
      </c>
      <c r="N125">
        <v>0</v>
      </c>
      <c r="O125">
        <v>5.1031029999999998E-2</v>
      </c>
      <c r="P125">
        <v>0.99451420000000001</v>
      </c>
      <c r="Q125">
        <v>7.0873439999999996E-2</v>
      </c>
      <c r="R125">
        <v>7.693403E-2</v>
      </c>
      <c r="S125">
        <v>2.965576</v>
      </c>
      <c r="T125">
        <v>0.60345899999999997</v>
      </c>
      <c r="U125">
        <v>0.1022339</v>
      </c>
      <c r="V125">
        <v>-2.610672E-2</v>
      </c>
      <c r="W125">
        <v>7.2285790000000003E-2</v>
      </c>
      <c r="X125">
        <v>0.99704219999999999</v>
      </c>
      <c r="Y125">
        <v>1.52374E-2</v>
      </c>
      <c r="Z125">
        <v>1.1804449999999999E-2</v>
      </c>
      <c r="AA125">
        <v>0.99981419999999999</v>
      </c>
      <c r="AB125">
        <v>22</v>
      </c>
      <c r="AC125">
        <v>305.31939999999997</v>
      </c>
      <c r="AD125">
        <v>62.169848999999999</v>
      </c>
      <c r="AE125">
        <v>10.5219</v>
      </c>
      <c r="AF125">
        <v>4.8708696119608303</v>
      </c>
      <c r="AG125">
        <v>62.169848999999999</v>
      </c>
      <c r="AH125">
        <v>293.31165475455799</v>
      </c>
      <c r="AI125">
        <v>78.034400609787198</v>
      </c>
      <c r="AJ125">
        <v>89.048607115941095</v>
      </c>
      <c r="AK125">
        <v>299.86754127500501</v>
      </c>
      <c r="AL125">
        <v>85.854713824809707</v>
      </c>
      <c r="AM125">
        <v>91.499899569859394</v>
      </c>
      <c r="AN125">
        <v>0.99999997242296002</v>
      </c>
    </row>
    <row r="126" spans="1:40" x14ac:dyDescent="0.25">
      <c r="A126" t="str">
        <f>"20190312160604483"</f>
        <v>20190312160604483</v>
      </c>
      <c r="B126" t="str">
        <f>"1552377964475262"</f>
        <v>1552377964475262</v>
      </c>
      <c r="C126" t="s">
        <v>40</v>
      </c>
      <c r="D126">
        <v>5.8379130000000004</v>
      </c>
      <c r="E126">
        <v>0.51773829999999998</v>
      </c>
      <c r="F126" t="s">
        <v>42</v>
      </c>
      <c r="G126">
        <v>-158.19499999999999</v>
      </c>
      <c r="H126">
        <v>63.272489999999998</v>
      </c>
      <c r="I126">
        <v>377.72890000000001</v>
      </c>
      <c r="J126">
        <v>-463.2833</v>
      </c>
      <c r="K126">
        <v>1.1089119999999999</v>
      </c>
      <c r="L126">
        <v>367.7604</v>
      </c>
      <c r="M126">
        <v>0.99868159999999895</v>
      </c>
      <c r="N126">
        <v>0</v>
      </c>
      <c r="O126">
        <v>5.131347E-2</v>
      </c>
      <c r="P126">
        <v>0.99447580000000002</v>
      </c>
      <c r="Q126">
        <v>7.1051139999999999E-2</v>
      </c>
      <c r="R126">
        <v>7.7263499999999999E-2</v>
      </c>
      <c r="S126">
        <v>2.965973</v>
      </c>
      <c r="T126">
        <v>0.60387800000000003</v>
      </c>
      <c r="U126">
        <v>9.6954349999999995E-2</v>
      </c>
      <c r="V126">
        <v>-2.6156229999999999E-2</v>
      </c>
      <c r="W126">
        <v>7.2502670000000005E-2</v>
      </c>
      <c r="X126">
        <v>0.99702519999999994</v>
      </c>
      <c r="Y126">
        <v>1.7253770000000002E-2</v>
      </c>
      <c r="Z126">
        <v>1.207136E-2</v>
      </c>
      <c r="AA126">
        <v>0.99977830000000001</v>
      </c>
      <c r="AB126">
        <v>22</v>
      </c>
      <c r="AC126">
        <v>305.0883</v>
      </c>
      <c r="AD126">
        <v>62.163578000000001</v>
      </c>
      <c r="AE126">
        <v>9.9685000000000006</v>
      </c>
      <c r="AF126">
        <v>5.47281746906968</v>
      </c>
      <c r="AG126">
        <v>62.163578000000001</v>
      </c>
      <c r="AH126">
        <v>293.04467438403799</v>
      </c>
      <c r="AI126">
        <v>78.025411417734304</v>
      </c>
      <c r="AJ126">
        <v>88.930084992972596</v>
      </c>
      <c r="AK126">
        <v>299.615492499401</v>
      </c>
      <c r="AL126">
        <v>85.842255012215304</v>
      </c>
      <c r="AM126">
        <v>91.502768357316</v>
      </c>
      <c r="AN126">
        <v>1.0000000174799899</v>
      </c>
    </row>
    <row r="127" spans="1:40" x14ac:dyDescent="0.25">
      <c r="A127" t="str">
        <f>"20190312160604506"</f>
        <v>20190312160604506</v>
      </c>
      <c r="B127" t="str">
        <f>"1552377964494783"</f>
        <v>1552377964494783</v>
      </c>
      <c r="C127" t="s">
        <v>40</v>
      </c>
      <c r="D127">
        <v>5.7063199999999998</v>
      </c>
      <c r="E127">
        <v>0.51769739999999997</v>
      </c>
      <c r="F127" t="s">
        <v>42</v>
      </c>
      <c r="G127">
        <v>-158.19499999999999</v>
      </c>
      <c r="H127">
        <v>64.558499999999995</v>
      </c>
      <c r="I127">
        <v>378.2715</v>
      </c>
      <c r="J127">
        <v>-463.05779999999999</v>
      </c>
      <c r="K127">
        <v>1.108919</v>
      </c>
      <c r="L127">
        <v>367.77229999999997</v>
      </c>
      <c r="M127">
        <v>0.99866739999999998</v>
      </c>
      <c r="N127">
        <v>0</v>
      </c>
      <c r="O127">
        <v>5.1588469999999997E-2</v>
      </c>
      <c r="P127">
        <v>0.99440099999999998</v>
      </c>
      <c r="Q127">
        <v>7.1847190000000005E-2</v>
      </c>
      <c r="R127">
        <v>7.7492099999999994E-2</v>
      </c>
      <c r="S127">
        <v>2.9647220000000001</v>
      </c>
      <c r="T127">
        <v>0.6165775</v>
      </c>
      <c r="U127">
        <v>0.10214230000000001</v>
      </c>
      <c r="V127">
        <v>-2.6114689999999999E-2</v>
      </c>
      <c r="W127">
        <v>7.3336819999999997E-2</v>
      </c>
      <c r="X127">
        <v>0.99696530000000005</v>
      </c>
      <c r="Y127">
        <v>1.5734189999999999E-2</v>
      </c>
      <c r="Z127">
        <v>1.2224769999999999E-2</v>
      </c>
      <c r="AA127">
        <v>0.99980150000000001</v>
      </c>
      <c r="AB127">
        <v>22</v>
      </c>
      <c r="AC127">
        <v>304.86279999999999</v>
      </c>
      <c r="AD127">
        <v>63.449581000000002</v>
      </c>
      <c r="AE127">
        <v>10.4992</v>
      </c>
      <c r="AF127">
        <v>5.0248052564405103</v>
      </c>
      <c r="AG127">
        <v>63.449581000000002</v>
      </c>
      <c r="AH127">
        <v>292.35004884999398</v>
      </c>
      <c r="AI127">
        <v>77.756589473964695</v>
      </c>
      <c r="AJ127">
        <v>89.015318142594396</v>
      </c>
      <c r="AK127">
        <v>299.19834401201899</v>
      </c>
      <c r="AL127">
        <v>85.794334248462604</v>
      </c>
      <c r="AM127">
        <v>91.500472933780301</v>
      </c>
      <c r="AN127">
        <v>1.00000003780279</v>
      </c>
    </row>
    <row r="128" spans="1:40" x14ac:dyDescent="0.25">
      <c r="A128" t="str">
        <f>"20190312160604526"</f>
        <v>20190312160604526</v>
      </c>
      <c r="B128" t="str">
        <f>"1552377964515278"</f>
        <v>1552377964515278</v>
      </c>
      <c r="C128" t="s">
        <v>40</v>
      </c>
      <c r="D128">
        <v>5.656021</v>
      </c>
      <c r="E128">
        <v>0.53589019999999898</v>
      </c>
      <c r="F128" t="s">
        <v>42</v>
      </c>
      <c r="G128">
        <v>-158.19499999999999</v>
      </c>
      <c r="H128">
        <v>65.821550000000002</v>
      </c>
      <c r="I128">
        <v>378.387</v>
      </c>
      <c r="J128">
        <v>-462.84649999999999</v>
      </c>
      <c r="K128">
        <v>1.1089249999999999</v>
      </c>
      <c r="L128">
        <v>367.7835</v>
      </c>
      <c r="M128">
        <v>0.99865389999999998</v>
      </c>
      <c r="N128">
        <v>0</v>
      </c>
      <c r="O128">
        <v>5.1846000000000003E-2</v>
      </c>
      <c r="P128">
        <v>0.99433830000000001</v>
      </c>
      <c r="Q128">
        <v>7.2607249999999998E-2</v>
      </c>
      <c r="R128">
        <v>7.7587020000000007E-2</v>
      </c>
      <c r="S128">
        <v>2.9634399999999999</v>
      </c>
      <c r="T128">
        <v>0.62904419999999905</v>
      </c>
      <c r="U128">
        <v>0.1031799</v>
      </c>
      <c r="V128">
        <v>-2.5956280000000002E-2</v>
      </c>
      <c r="W128">
        <v>7.4132870000000003E-2</v>
      </c>
      <c r="X128">
        <v>0.99691050000000003</v>
      </c>
      <c r="Y128">
        <v>1.5566200000000001E-2</v>
      </c>
      <c r="Z128">
        <v>1.2508129999999999E-2</v>
      </c>
      <c r="AA128">
        <v>0.99980060000000004</v>
      </c>
      <c r="AB128">
        <v>22</v>
      </c>
      <c r="AC128">
        <v>304.6515</v>
      </c>
      <c r="AD128">
        <v>64.712625000000003</v>
      </c>
      <c r="AE128">
        <v>10.603499999999899</v>
      </c>
      <c r="AF128">
        <v>4.9812576423200197</v>
      </c>
      <c r="AG128">
        <v>64.712625000000003</v>
      </c>
      <c r="AH128">
        <v>291.64820562732302</v>
      </c>
      <c r="AI128">
        <v>77.491323471871098</v>
      </c>
      <c r="AJ128">
        <v>89.0215016359722</v>
      </c>
      <c r="AK128">
        <v>298.78288539962801</v>
      </c>
      <c r="AL128">
        <v>85.748599193196796</v>
      </c>
      <c r="AM128">
        <v>91.491457229932905</v>
      </c>
      <c r="AN128">
        <v>0.99999997794806195</v>
      </c>
    </row>
    <row r="129" spans="1:40" x14ac:dyDescent="0.25">
      <c r="A129" t="str">
        <f>"20190312160604550"</f>
        <v>20190312160604550</v>
      </c>
      <c r="B129" t="str">
        <f>"1552377964545535"</f>
        <v>1552377964545535</v>
      </c>
      <c r="C129" t="s">
        <v>40</v>
      </c>
      <c r="D129">
        <v>5.8328049999999996</v>
      </c>
      <c r="E129">
        <v>0.53374049999999995</v>
      </c>
      <c r="F129" t="s">
        <v>41</v>
      </c>
      <c r="G129">
        <v>0</v>
      </c>
      <c r="H129">
        <v>0</v>
      </c>
      <c r="I129">
        <v>0</v>
      </c>
      <c r="J129">
        <v>-462.61939999999998</v>
      </c>
      <c r="K129">
        <v>1.1089389999999999</v>
      </c>
      <c r="L129">
        <v>367.79559999999998</v>
      </c>
      <c r="M129">
        <v>0.99863950000000001</v>
      </c>
      <c r="N129">
        <v>0</v>
      </c>
      <c r="O129">
        <v>5.21229E-2</v>
      </c>
      <c r="P129">
        <v>0.99422730000000004</v>
      </c>
      <c r="Q129">
        <v>7.3863949999999998E-2</v>
      </c>
      <c r="R129">
        <v>7.7822219999999998E-2</v>
      </c>
      <c r="S129">
        <v>2.9543759999999999</v>
      </c>
      <c r="T129">
        <v>0.89601500000000001</v>
      </c>
      <c r="U129">
        <v>-3.4210209999999998E-2</v>
      </c>
      <c r="V129">
        <v>-2.5921429999999999E-2</v>
      </c>
      <c r="W129">
        <v>7.5429090000000004E-2</v>
      </c>
      <c r="X129">
        <v>0.99681419999999998</v>
      </c>
      <c r="Y129">
        <v>5.8699290000000001E-2</v>
      </c>
      <c r="Z129">
        <v>2.4160879999999999E-2</v>
      </c>
      <c r="AA129">
        <v>0.99798330000000002</v>
      </c>
      <c r="AB129">
        <v>22</v>
      </c>
      <c r="AC129">
        <v>2.9543759999999999</v>
      </c>
      <c r="AD129">
        <v>0.89601500000000001</v>
      </c>
      <c r="AE129">
        <v>-3.4210209999999998E-2</v>
      </c>
      <c r="AF129">
        <v>0.17230759977027199</v>
      </c>
      <c r="AG129">
        <v>0.89601500000000001</v>
      </c>
      <c r="AH129">
        <v>2.7002390038616801</v>
      </c>
      <c r="AI129">
        <v>71.677479012034297</v>
      </c>
      <c r="AJ129">
        <v>86.348793308202005</v>
      </c>
      <c r="AK129">
        <v>2.8502321777601698</v>
      </c>
      <c r="AL129">
        <v>85.674122848910002</v>
      </c>
      <c r="AM129">
        <v>91.489599467158598</v>
      </c>
      <c r="AN129">
        <v>1.0000000087365499</v>
      </c>
    </row>
    <row r="130" spans="1:40" x14ac:dyDescent="0.25">
      <c r="A130" t="str">
        <f>"20190312160604573"</f>
        <v>20190312160604573</v>
      </c>
      <c r="B130" t="str">
        <f>"1552377964565055"</f>
        <v>1552377964565055</v>
      </c>
      <c r="C130" t="s">
        <v>40</v>
      </c>
      <c r="D130">
        <v>5.7529339999999998</v>
      </c>
      <c r="E130">
        <v>0.53433039999999998</v>
      </c>
      <c r="F130" t="s">
        <v>41</v>
      </c>
      <c r="G130">
        <v>0</v>
      </c>
      <c r="H130">
        <v>0</v>
      </c>
      <c r="I130">
        <v>0</v>
      </c>
      <c r="J130">
        <v>-462.37709999999998</v>
      </c>
      <c r="K130">
        <v>1.1089549999999999</v>
      </c>
      <c r="L130">
        <v>367.80849999999998</v>
      </c>
      <c r="M130">
        <v>0.99862399999999996</v>
      </c>
      <c r="N130">
        <v>0</v>
      </c>
      <c r="O130">
        <v>5.2417329999999998E-2</v>
      </c>
      <c r="P130">
        <v>0.99407749999999995</v>
      </c>
      <c r="Q130">
        <v>7.5555590000000006E-2</v>
      </c>
      <c r="R130">
        <v>7.811332E-2</v>
      </c>
      <c r="S130">
        <v>2.9553829999999999</v>
      </c>
      <c r="T130">
        <v>0.85398149999999995</v>
      </c>
      <c r="U130">
        <v>-1.7700199999999999E-2</v>
      </c>
      <c r="V130">
        <v>-2.5927499999999999E-2</v>
      </c>
      <c r="W130">
        <v>7.7162090000000003E-2</v>
      </c>
      <c r="X130">
        <v>0.99668140000000005</v>
      </c>
      <c r="Y130">
        <v>5.4043099999999997E-2</v>
      </c>
      <c r="Z130">
        <v>2.2489550000000001E-2</v>
      </c>
      <c r="AA130">
        <v>0.99828530000000004</v>
      </c>
      <c r="AB130">
        <v>22</v>
      </c>
      <c r="AC130">
        <v>2.9553829999999999</v>
      </c>
      <c r="AD130">
        <v>0.85398149999999995</v>
      </c>
      <c r="AE130">
        <v>-1.7700199999999999E-2</v>
      </c>
      <c r="AF130">
        <v>0.159289662534531</v>
      </c>
      <c r="AG130">
        <v>0.85398149999999995</v>
      </c>
      <c r="AH130">
        <v>2.72303593146815</v>
      </c>
      <c r="AI130">
        <v>72.615781502888098</v>
      </c>
      <c r="AJ130">
        <v>86.652179121371304</v>
      </c>
      <c r="AK130">
        <v>2.8582481143174401</v>
      </c>
      <c r="AL130">
        <v>85.574539030646406</v>
      </c>
      <c r="AM130">
        <v>91.490146562656506</v>
      </c>
      <c r="AN130">
        <v>1.00000001824768</v>
      </c>
    </row>
    <row r="131" spans="1:40" x14ac:dyDescent="0.25">
      <c r="A131" t="str">
        <f>"20190312160604597"</f>
        <v>20190312160604597</v>
      </c>
      <c r="B131" t="str">
        <f>"1552377964585550"</f>
        <v>1552377964585550</v>
      </c>
      <c r="C131" t="s">
        <v>40</v>
      </c>
      <c r="D131">
        <v>5.7452290000000001</v>
      </c>
      <c r="E131">
        <v>0.53264160000000005</v>
      </c>
      <c r="F131" t="s">
        <v>41</v>
      </c>
      <c r="G131">
        <v>0</v>
      </c>
      <c r="H131">
        <v>0</v>
      </c>
      <c r="I131">
        <v>0</v>
      </c>
      <c r="J131">
        <v>-462.1465</v>
      </c>
      <c r="K131">
        <v>1.1089719999999901</v>
      </c>
      <c r="L131">
        <v>367.82100000000003</v>
      </c>
      <c r="M131">
        <v>0.99860919999999997</v>
      </c>
      <c r="N131">
        <v>0</v>
      </c>
      <c r="O131">
        <v>5.2697559999999997E-2</v>
      </c>
      <c r="P131">
        <v>0.99387570000000003</v>
      </c>
      <c r="Q131">
        <v>7.8417109999999998E-2</v>
      </c>
      <c r="R131">
        <v>7.7858529999999995E-2</v>
      </c>
      <c r="S131">
        <v>2.9548030000000001</v>
      </c>
      <c r="T131">
        <v>0.85151880000000002</v>
      </c>
      <c r="U131">
        <v>-2.0782470000000001E-2</v>
      </c>
      <c r="V131">
        <v>-2.540506E-2</v>
      </c>
      <c r="W131">
        <v>8.0063690000000007E-2</v>
      </c>
      <c r="X131">
        <v>0.99646590000000002</v>
      </c>
      <c r="Y131">
        <v>5.5325050000000001E-2</v>
      </c>
      <c r="Z131">
        <v>2.2691590000000001E-2</v>
      </c>
      <c r="AA131">
        <v>0.9982105</v>
      </c>
      <c r="AB131">
        <v>23</v>
      </c>
      <c r="AC131">
        <v>2.9548030000000001</v>
      </c>
      <c r="AD131">
        <v>0.85151880000000002</v>
      </c>
      <c r="AE131">
        <v>-2.0782470000000001E-2</v>
      </c>
      <c r="AF131">
        <v>0.162933965952236</v>
      </c>
      <c r="AG131">
        <v>0.85151880000000002</v>
      </c>
      <c r="AH131">
        <v>2.7234362453263898</v>
      </c>
      <c r="AI131">
        <v>72.666578347451605</v>
      </c>
      <c r="AJ131">
        <v>86.576268454891306</v>
      </c>
      <c r="AK131">
        <v>2.8581001952996501</v>
      </c>
      <c r="AL131">
        <v>85.407773126038407</v>
      </c>
      <c r="AM131">
        <v>91.460448829232703</v>
      </c>
      <c r="AN131">
        <v>0.99999995069641301</v>
      </c>
    </row>
    <row r="132" spans="1:40" x14ac:dyDescent="0.25">
      <c r="A132" t="str">
        <f>"20190312160604616"</f>
        <v>20190312160604616</v>
      </c>
      <c r="B132" t="str">
        <f>"1552377964605071"</f>
        <v>1552377964605071</v>
      </c>
      <c r="C132" t="s">
        <v>40</v>
      </c>
      <c r="D132">
        <v>5.6975939999999996</v>
      </c>
      <c r="E132">
        <v>0.53114890000000003</v>
      </c>
      <c r="F132" t="s">
        <v>41</v>
      </c>
      <c r="G132">
        <v>0</v>
      </c>
      <c r="H132">
        <v>0</v>
      </c>
      <c r="I132">
        <v>0</v>
      </c>
      <c r="J132">
        <v>-461.93529999999998</v>
      </c>
      <c r="K132">
        <v>1.108978</v>
      </c>
      <c r="L132">
        <v>367.83229999999998</v>
      </c>
      <c r="M132">
        <v>0.99859549999999997</v>
      </c>
      <c r="N132">
        <v>0</v>
      </c>
      <c r="O132">
        <v>5.2954139999999997E-2</v>
      </c>
      <c r="P132">
        <v>0.99385480000000004</v>
      </c>
      <c r="Q132">
        <v>7.9375600000000004E-2</v>
      </c>
      <c r="R132">
        <v>7.7148889999999998E-2</v>
      </c>
      <c r="S132">
        <v>2.95105</v>
      </c>
      <c r="T132">
        <v>0.86201689999999997</v>
      </c>
      <c r="U132">
        <v>-8.0261229999999996E-3</v>
      </c>
      <c r="V132">
        <v>-2.4441830000000001E-2</v>
      </c>
      <c r="W132">
        <v>8.1059899999999893E-2</v>
      </c>
      <c r="X132">
        <v>0.99640949999999995</v>
      </c>
      <c r="Y132">
        <v>5.1314070000000003E-2</v>
      </c>
      <c r="Z132">
        <v>2.2487569999999998E-2</v>
      </c>
      <c r="AA132">
        <v>0.99842940000000002</v>
      </c>
      <c r="AB132">
        <v>23</v>
      </c>
      <c r="AC132">
        <v>2.95105</v>
      </c>
      <c r="AD132">
        <v>0.86201689999999997</v>
      </c>
      <c r="AE132">
        <v>-8.0261229999999996E-3</v>
      </c>
      <c r="AF132">
        <v>0.15136980582736501</v>
      </c>
      <c r="AG132">
        <v>0.86201689999999997</v>
      </c>
      <c r="AH132">
        <v>2.7148412362292298</v>
      </c>
      <c r="AI132">
        <v>72.409938272182103</v>
      </c>
      <c r="AJ132">
        <v>86.808697205057001</v>
      </c>
      <c r="AK132">
        <v>2.8524285954134698</v>
      </c>
      <c r="AL132">
        <v>85.350508594508796</v>
      </c>
      <c r="AM132">
        <v>91.405178212431593</v>
      </c>
      <c r="AN132">
        <v>1.000000001066</v>
      </c>
    </row>
    <row r="133" spans="1:40" x14ac:dyDescent="0.25">
      <c r="A133" t="str">
        <f>"20190312160604638"</f>
        <v>20190312160604638</v>
      </c>
      <c r="B133" t="str">
        <f>"1552377964635327"</f>
        <v>1552377964635327</v>
      </c>
      <c r="C133" t="s">
        <v>40</v>
      </c>
      <c r="D133">
        <v>5.6577729999999997</v>
      </c>
      <c r="E133">
        <v>0.53092030000000001</v>
      </c>
      <c r="F133" t="s">
        <v>41</v>
      </c>
      <c r="G133">
        <v>0</v>
      </c>
      <c r="H133">
        <v>0</v>
      </c>
      <c r="I133">
        <v>0</v>
      </c>
      <c r="J133">
        <v>-461.71170000000001</v>
      </c>
      <c r="K133">
        <v>1.108981</v>
      </c>
      <c r="L133">
        <v>367.84449999999998</v>
      </c>
      <c r="M133">
        <v>0.9985811</v>
      </c>
      <c r="N133">
        <v>0</v>
      </c>
      <c r="O133">
        <v>5.3225670000000003E-2</v>
      </c>
      <c r="P133">
        <v>0.99386719999999895</v>
      </c>
      <c r="Q133">
        <v>7.9959740000000001E-2</v>
      </c>
      <c r="R133">
        <v>7.6386369999999995E-2</v>
      </c>
      <c r="S133">
        <v>2.949341</v>
      </c>
      <c r="T133">
        <v>0.86565759999999903</v>
      </c>
      <c r="U133">
        <v>8.8500979999999905E-4</v>
      </c>
      <c r="V133">
        <v>-2.341008E-2</v>
      </c>
      <c r="W133">
        <v>8.1683430000000001E-2</v>
      </c>
      <c r="X133">
        <v>0.99638340000000003</v>
      </c>
      <c r="Y133">
        <v>4.8631029999999999E-2</v>
      </c>
      <c r="Z133">
        <v>2.2283359999999999E-2</v>
      </c>
      <c r="AA133">
        <v>0.99856820000000002</v>
      </c>
      <c r="AB133">
        <v>23</v>
      </c>
      <c r="AC133">
        <v>2.949341</v>
      </c>
      <c r="AD133">
        <v>0.86565759999999903</v>
      </c>
      <c r="AE133">
        <v>8.8500979999999905E-4</v>
      </c>
      <c r="AF133">
        <v>0.143716325696573</v>
      </c>
      <c r="AG133">
        <v>0.86565759999999903</v>
      </c>
      <c r="AH133">
        <v>2.71160928548611</v>
      </c>
      <c r="AI133">
        <v>72.318039157469101</v>
      </c>
      <c r="AJ133">
        <v>86.966140466617901</v>
      </c>
      <c r="AK133">
        <v>2.85006006600632</v>
      </c>
      <c r="AL133">
        <v>85.314664306579402</v>
      </c>
      <c r="AM133">
        <v>91.345919710209898</v>
      </c>
      <c r="AN133">
        <v>1.0000000471888599</v>
      </c>
    </row>
    <row r="134" spans="1:40" x14ac:dyDescent="0.25">
      <c r="A134" t="str">
        <f>"20190312160604649"</f>
        <v>20190312160604649</v>
      </c>
      <c r="B134" t="str">
        <f>"1552377964645087"</f>
        <v>1552377964645087</v>
      </c>
      <c r="C134" t="s">
        <v>40</v>
      </c>
      <c r="D134">
        <v>5.696688</v>
      </c>
      <c r="E134">
        <v>0.53070240000000002</v>
      </c>
      <c r="F134" t="s">
        <v>41</v>
      </c>
      <c r="G134">
        <v>0</v>
      </c>
      <c r="H134">
        <v>0</v>
      </c>
      <c r="I134">
        <v>0</v>
      </c>
      <c r="J134">
        <v>-461.58870000000002</v>
      </c>
      <c r="K134">
        <v>1.1089800000000001</v>
      </c>
      <c r="L134">
        <v>367.85120000000001</v>
      </c>
      <c r="M134">
        <v>0.99857309999999999</v>
      </c>
      <c r="N134">
        <v>0</v>
      </c>
      <c r="O134">
        <v>5.3374730000000002E-2</v>
      </c>
      <c r="P134">
        <v>0.99390449999999997</v>
      </c>
      <c r="Q134">
        <v>7.9739149999999995E-2</v>
      </c>
      <c r="R134">
        <v>7.6129180000000005E-2</v>
      </c>
      <c r="S134">
        <v>2.9484859999999999</v>
      </c>
      <c r="T134">
        <v>0.86991859999999999</v>
      </c>
      <c r="U134">
        <v>3.3569339999999902E-4</v>
      </c>
      <c r="V134">
        <v>-2.3002330000000001E-2</v>
      </c>
      <c r="W134">
        <v>8.1485249999999995E-2</v>
      </c>
      <c r="X134">
        <v>0.99640910000000005</v>
      </c>
      <c r="Y134">
        <v>4.8904070000000001E-2</v>
      </c>
      <c r="Z134">
        <v>2.2477270000000001E-2</v>
      </c>
      <c r="AA134">
        <v>0.99855050000000001</v>
      </c>
      <c r="AB134">
        <v>23</v>
      </c>
      <c r="AC134">
        <v>2.9484859999999999</v>
      </c>
      <c r="AD134">
        <v>0.86991859999999999</v>
      </c>
      <c r="AE134">
        <v>3.3569339999999902E-4</v>
      </c>
      <c r="AF134">
        <v>0.144464319168912</v>
      </c>
      <c r="AG134">
        <v>0.86991859999999999</v>
      </c>
      <c r="AH134">
        <v>2.7085288207663898</v>
      </c>
      <c r="AI134">
        <v>72.217829011683804</v>
      </c>
      <c r="AJ134">
        <v>86.946918175309605</v>
      </c>
      <c r="AK134">
        <v>2.8484656717364598</v>
      </c>
      <c r="AL134">
        <v>85.326057053105103</v>
      </c>
      <c r="AM134">
        <v>91.322451171103907</v>
      </c>
      <c r="AN134">
        <v>1.0000000238579001</v>
      </c>
    </row>
    <row r="135" spans="1:40" x14ac:dyDescent="0.25">
      <c r="A135" t="str">
        <f>"20190312160604672"</f>
        <v>20190312160604672</v>
      </c>
      <c r="B135" t="str">
        <f>"1552377964665583"</f>
        <v>1552377964665583</v>
      </c>
      <c r="C135" t="s">
        <v>40</v>
      </c>
      <c r="D135">
        <v>5.753266</v>
      </c>
      <c r="E135">
        <v>0.53096140000000003</v>
      </c>
      <c r="F135" t="s">
        <v>41</v>
      </c>
      <c r="G135">
        <v>0</v>
      </c>
      <c r="H135">
        <v>0</v>
      </c>
      <c r="I135">
        <v>0</v>
      </c>
      <c r="J135">
        <v>-461.35500000000002</v>
      </c>
      <c r="K135">
        <v>1.108976</v>
      </c>
      <c r="L135">
        <v>367.86399999999998</v>
      </c>
      <c r="M135">
        <v>0.99855780000000005</v>
      </c>
      <c r="N135">
        <v>0</v>
      </c>
      <c r="O135">
        <v>5.3658119999999997E-2</v>
      </c>
      <c r="P135">
        <v>0.99404289999999995</v>
      </c>
      <c r="Q135">
        <v>7.8562450000000006E-2</v>
      </c>
      <c r="R135">
        <v>7.5542730000000002E-2</v>
      </c>
      <c r="S135">
        <v>2.9484859999999999</v>
      </c>
      <c r="T135">
        <v>0.8698574</v>
      </c>
      <c r="U135">
        <v>1.556396E-3</v>
      </c>
      <c r="V135">
        <v>-2.212633E-2</v>
      </c>
      <c r="W135">
        <v>8.0350770000000002E-2</v>
      </c>
      <c r="X135">
        <v>0.99652110000000005</v>
      </c>
      <c r="Y135">
        <v>4.8768400000000003E-2</v>
      </c>
      <c r="Z135">
        <v>2.2537890000000001E-2</v>
      </c>
      <c r="AA135">
        <v>0.99855579999999999</v>
      </c>
      <c r="AB135">
        <v>23</v>
      </c>
      <c r="AC135">
        <v>2.9484859999999999</v>
      </c>
      <c r="AD135">
        <v>0.8698574</v>
      </c>
      <c r="AE135">
        <v>1.556396E-3</v>
      </c>
      <c r="AF135">
        <v>0.14411329497511299</v>
      </c>
      <c r="AG135">
        <v>0.8698574</v>
      </c>
      <c r="AH135">
        <v>2.7085785422795601</v>
      </c>
      <c r="AI135">
        <v>72.219191505622604</v>
      </c>
      <c r="AJ135">
        <v>86.954378475293396</v>
      </c>
      <c r="AK135">
        <v>2.8484764801241802</v>
      </c>
      <c r="AL135">
        <v>85.391272000811298</v>
      </c>
      <c r="AM135">
        <v>91.271962083342899</v>
      </c>
      <c r="AN135">
        <v>1.0000000617320299</v>
      </c>
    </row>
    <row r="136" spans="1:40" x14ac:dyDescent="0.25">
      <c r="A136" t="str">
        <f>"20190312160604684"</f>
        <v>20190312160604684</v>
      </c>
      <c r="B136" t="str">
        <f>"1552377964675343"</f>
        <v>1552377964675343</v>
      </c>
      <c r="C136" t="s">
        <v>40</v>
      </c>
      <c r="D136">
        <v>5.709028</v>
      </c>
      <c r="E136">
        <v>0.53136909999999904</v>
      </c>
      <c r="F136" t="s">
        <v>41</v>
      </c>
      <c r="G136">
        <v>0</v>
      </c>
      <c r="H136">
        <v>0</v>
      </c>
      <c r="I136">
        <v>0</v>
      </c>
      <c r="J136">
        <v>-461.22859999999997</v>
      </c>
      <c r="K136">
        <v>1.1089800000000001</v>
      </c>
      <c r="L136">
        <v>367.87090000000001</v>
      </c>
      <c r="M136">
        <v>0.99854940000000003</v>
      </c>
      <c r="N136">
        <v>0</v>
      </c>
      <c r="O136">
        <v>5.3811289999999998E-2</v>
      </c>
      <c r="P136">
        <v>0.99407270000000003</v>
      </c>
      <c r="Q136">
        <v>7.8168409999999994E-2</v>
      </c>
      <c r="R136">
        <v>7.5559719999999997E-2</v>
      </c>
      <c r="S136">
        <v>2.949951</v>
      </c>
      <c r="T136">
        <v>0.86317440000000001</v>
      </c>
      <c r="U136">
        <v>-2.380371E-3</v>
      </c>
      <c r="V136">
        <v>-2.19892E-2</v>
      </c>
      <c r="W136">
        <v>7.9979099999999997E-2</v>
      </c>
      <c r="X136">
        <v>0.99655400000000005</v>
      </c>
      <c r="Y136">
        <v>5.0255210000000002E-2</v>
      </c>
      <c r="Z136">
        <v>2.261811E-2</v>
      </c>
      <c r="AA136">
        <v>0.99848029999999999</v>
      </c>
      <c r="AB136">
        <v>23</v>
      </c>
      <c r="AC136">
        <v>2.949951</v>
      </c>
      <c r="AD136">
        <v>0.86317440000000001</v>
      </c>
      <c r="AE136">
        <v>-2.380371E-3</v>
      </c>
      <c r="AF136">
        <v>0.148411136732992</v>
      </c>
      <c r="AG136">
        <v>0.86317440000000001</v>
      </c>
      <c r="AH136">
        <v>2.7132450222795699</v>
      </c>
      <c r="AI136">
        <v>72.377094714481501</v>
      </c>
      <c r="AJ136">
        <v>86.869111944295099</v>
      </c>
      <c r="AK136">
        <v>2.8511040775893499</v>
      </c>
      <c r="AL136">
        <v>85.4126357247697</v>
      </c>
      <c r="AM136">
        <v>91.264039826576607</v>
      </c>
      <c r="AN136">
        <v>1.0000000281347201</v>
      </c>
    </row>
    <row r="137" spans="1:40" x14ac:dyDescent="0.25">
      <c r="A137" t="str">
        <f>"20190312160604695"</f>
        <v>20190312160604695</v>
      </c>
      <c r="B137" t="str">
        <f>"1552377964685103"</f>
        <v>1552377964685103</v>
      </c>
      <c r="C137" t="s">
        <v>40</v>
      </c>
      <c r="D137">
        <v>5.5069140000000001</v>
      </c>
      <c r="E137">
        <v>0.53191239999999995</v>
      </c>
      <c r="F137" t="s">
        <v>41</v>
      </c>
      <c r="G137">
        <v>0</v>
      </c>
      <c r="H137">
        <v>0</v>
      </c>
      <c r="I137">
        <v>0</v>
      </c>
      <c r="J137">
        <v>-461.1003</v>
      </c>
      <c r="K137">
        <v>1.1089789999999999</v>
      </c>
      <c r="L137">
        <v>367.87799999999999</v>
      </c>
      <c r="M137">
        <v>0.99854120000000002</v>
      </c>
      <c r="N137">
        <v>0</v>
      </c>
      <c r="O137">
        <v>5.396654E-2</v>
      </c>
      <c r="P137">
        <v>0.99411530000000004</v>
      </c>
      <c r="Q137">
        <v>7.8042600000000004E-2</v>
      </c>
      <c r="R137">
        <v>7.5130240000000001E-2</v>
      </c>
      <c r="S137">
        <v>2.950958</v>
      </c>
      <c r="T137">
        <v>0.85693299999999994</v>
      </c>
      <c r="U137">
        <v>-5.9509280000000003E-3</v>
      </c>
      <c r="V137">
        <v>-2.1403450000000001E-2</v>
      </c>
      <c r="W137">
        <v>7.9876899999999904E-2</v>
      </c>
      <c r="X137">
        <v>0.99657490000000004</v>
      </c>
      <c r="Y137">
        <v>5.161992E-2</v>
      </c>
      <c r="Z137">
        <v>2.2692090000000002E-2</v>
      </c>
      <c r="AA137">
        <v>0.99840899999999999</v>
      </c>
      <c r="AB137">
        <v>24</v>
      </c>
      <c r="AC137">
        <v>2.950958</v>
      </c>
      <c r="AD137">
        <v>0.85693299999999994</v>
      </c>
      <c r="AE137">
        <v>-5.9509280000000003E-3</v>
      </c>
      <c r="AF137">
        <v>0.152348430253374</v>
      </c>
      <c r="AG137">
        <v>0.85693299999999994</v>
      </c>
      <c r="AH137">
        <v>2.7172033203622399</v>
      </c>
      <c r="AI137">
        <v>72.521899785543297</v>
      </c>
      <c r="AJ137">
        <v>86.790894380957994</v>
      </c>
      <c r="AK137">
        <v>2.8531978716656199</v>
      </c>
      <c r="AL137">
        <v>85.418509922389404</v>
      </c>
      <c r="AM137">
        <v>91.230352933282404</v>
      </c>
      <c r="AN137">
        <v>0.99999997906776095</v>
      </c>
    </row>
    <row r="138" spans="1:40" x14ac:dyDescent="0.25">
      <c r="A138" t="str">
        <f>"20190312160604708"</f>
        <v>20190312160604708</v>
      </c>
      <c r="B138" t="str">
        <f>"1552377964705599"</f>
        <v>1552377964705599</v>
      </c>
      <c r="C138" t="s">
        <v>40</v>
      </c>
      <c r="D138">
        <v>5.7842659999999997</v>
      </c>
      <c r="E138">
        <v>0.5319583</v>
      </c>
      <c r="F138" t="s">
        <v>41</v>
      </c>
      <c r="G138">
        <v>0</v>
      </c>
      <c r="H138">
        <v>0</v>
      </c>
      <c r="I138">
        <v>0</v>
      </c>
      <c r="J138">
        <v>-460.96769999999998</v>
      </c>
      <c r="K138">
        <v>1.108981</v>
      </c>
      <c r="L138">
        <v>367.8854</v>
      </c>
      <c r="M138">
        <v>0.99853239999999999</v>
      </c>
      <c r="N138">
        <v>0</v>
      </c>
      <c r="O138">
        <v>5.4127040000000001E-2</v>
      </c>
      <c r="P138">
        <v>0.99414340000000001</v>
      </c>
      <c r="Q138">
        <v>7.7960390000000004E-2</v>
      </c>
      <c r="R138">
        <v>7.4840870000000004E-2</v>
      </c>
      <c r="S138">
        <v>2.9514770000000001</v>
      </c>
      <c r="T138">
        <v>0.85490549999999998</v>
      </c>
      <c r="U138">
        <v>-1.1444090000000001E-2</v>
      </c>
      <c r="V138">
        <v>-2.0953050000000001E-2</v>
      </c>
      <c r="W138">
        <v>7.9818920000000002E-2</v>
      </c>
      <c r="X138">
        <v>0.99658910000000001</v>
      </c>
      <c r="Y138">
        <v>5.3572939999999999E-2</v>
      </c>
      <c r="Z138">
        <v>2.2959489999999999E-2</v>
      </c>
      <c r="AA138">
        <v>0.99829999999999997</v>
      </c>
      <c r="AB138">
        <v>24</v>
      </c>
      <c r="AC138">
        <v>2.9514770000000001</v>
      </c>
      <c r="AD138">
        <v>0.85490549999999998</v>
      </c>
      <c r="AE138">
        <v>-1.1444090000000001E-2</v>
      </c>
      <c r="AF138">
        <v>0.15793212422858399</v>
      </c>
      <c r="AG138">
        <v>0.85490549999999998</v>
      </c>
      <c r="AH138">
        <v>2.7184580399963498</v>
      </c>
      <c r="AI138">
        <v>72.570194136809604</v>
      </c>
      <c r="AJ138">
        <v>86.675069418577493</v>
      </c>
      <c r="AK138">
        <v>2.8540883106544599</v>
      </c>
      <c r="AL138">
        <v>85.421842495631793</v>
      </c>
      <c r="AM138">
        <v>91.204452754642304</v>
      </c>
      <c r="AN138">
        <v>0.99999996226653798</v>
      </c>
    </row>
    <row r="139" spans="1:40" x14ac:dyDescent="0.25">
      <c r="A139" t="str">
        <f>"20190312160604728"</f>
        <v>20190312160604728</v>
      </c>
      <c r="B139" t="str">
        <f>"1552377964715358"</f>
        <v>1552377964715358</v>
      </c>
      <c r="C139" t="s">
        <v>40</v>
      </c>
      <c r="D139">
        <v>5.7939639999999999</v>
      </c>
      <c r="E139">
        <v>0.53021200000000002</v>
      </c>
      <c r="F139" t="s">
        <v>41</v>
      </c>
      <c r="G139">
        <v>0</v>
      </c>
      <c r="H139">
        <v>0</v>
      </c>
      <c r="I139">
        <v>0</v>
      </c>
      <c r="J139">
        <v>-460.76929999999999</v>
      </c>
      <c r="K139">
        <v>1.108984</v>
      </c>
      <c r="L139">
        <v>367.89640000000003</v>
      </c>
      <c r="M139">
        <v>0.9985193</v>
      </c>
      <c r="N139">
        <v>0</v>
      </c>
      <c r="O139">
        <v>5.4366930000000001E-2</v>
      </c>
      <c r="P139">
        <v>0.99417920000000004</v>
      </c>
      <c r="Q139">
        <v>7.8251379999999995E-2</v>
      </c>
      <c r="R139">
        <v>7.4057280000000003E-2</v>
      </c>
      <c r="S139">
        <v>2.9522400000000002</v>
      </c>
      <c r="T139">
        <v>0.8458099</v>
      </c>
      <c r="U139">
        <v>-1.254272E-2</v>
      </c>
      <c r="V139">
        <v>-1.9929390000000002E-2</v>
      </c>
      <c r="W139">
        <v>8.0146389999999998E-2</v>
      </c>
      <c r="X139">
        <v>0.99658389999999997</v>
      </c>
      <c r="Y139">
        <v>5.4240799999999999E-2</v>
      </c>
      <c r="Z139">
        <v>2.288018E-2</v>
      </c>
      <c r="AA139">
        <v>0.99826570000000003</v>
      </c>
      <c r="AB139">
        <v>24</v>
      </c>
      <c r="AC139">
        <v>2.9522400000000002</v>
      </c>
      <c r="AD139">
        <v>0.8458099</v>
      </c>
      <c r="AE139">
        <v>-1.254272E-2</v>
      </c>
      <c r="AF139">
        <v>0.15990385316922101</v>
      </c>
      <c r="AG139">
        <v>0.8458099</v>
      </c>
      <c r="AH139">
        <v>2.7236371785616802</v>
      </c>
      <c r="AI139">
        <v>72.7760177485425</v>
      </c>
      <c r="AJ139">
        <v>86.640040271228301</v>
      </c>
      <c r="AK139">
        <v>2.85642488254808</v>
      </c>
      <c r="AL139">
        <v>85.403019932694207</v>
      </c>
      <c r="AM139">
        <v>91.145631348660302</v>
      </c>
      <c r="AN139">
        <v>1.0000000470774999</v>
      </c>
    </row>
    <row r="140" spans="1:40" x14ac:dyDescent="0.25">
      <c r="A140" t="str">
        <f>"20190312160604739"</f>
        <v>20190312160604739</v>
      </c>
      <c r="B140" t="str">
        <f>"1552377964734879"</f>
        <v>1552377964734879</v>
      </c>
      <c r="C140" t="s">
        <v>40</v>
      </c>
      <c r="D140">
        <v>5.5867370000000003</v>
      </c>
      <c r="E140">
        <v>0.52347279999999996</v>
      </c>
      <c r="F140" t="s">
        <v>42</v>
      </c>
      <c r="G140">
        <v>-158.19499999999999</v>
      </c>
      <c r="H140">
        <v>37.728450000000002</v>
      </c>
      <c r="I140">
        <v>366.41719999999998</v>
      </c>
      <c r="J140">
        <v>-460.64330000000001</v>
      </c>
      <c r="K140">
        <v>1.1089869999999999</v>
      </c>
      <c r="L140">
        <v>367.90339999999998</v>
      </c>
      <c r="M140">
        <v>0.99851100000000004</v>
      </c>
      <c r="N140">
        <v>0</v>
      </c>
      <c r="O140">
        <v>5.4519020000000001E-2</v>
      </c>
      <c r="P140">
        <v>0.99417759999999999</v>
      </c>
      <c r="Q140">
        <v>7.8330780000000003E-2</v>
      </c>
      <c r="R140">
        <v>7.3995569999999997E-2</v>
      </c>
      <c r="S140">
        <v>2.9901430000000002</v>
      </c>
      <c r="T140">
        <v>0.36188670000000001</v>
      </c>
      <c r="U140">
        <v>-1.461792E-2</v>
      </c>
      <c r="V140">
        <v>-1.9716339999999999E-2</v>
      </c>
      <c r="W140">
        <v>8.0249070000000006E-2</v>
      </c>
      <c r="X140">
        <v>0.99657980000000002</v>
      </c>
      <c r="Y140">
        <v>5.8574859999999999E-2</v>
      </c>
      <c r="Z140">
        <v>1.010365E-2</v>
      </c>
      <c r="AA140">
        <v>0.99823189999999995</v>
      </c>
      <c r="AB140">
        <v>24</v>
      </c>
      <c r="AC140">
        <v>302.44830000000002</v>
      </c>
      <c r="AD140">
        <v>36.619463000000003</v>
      </c>
      <c r="AE140">
        <v>-1.48619999999999</v>
      </c>
      <c r="AF140">
        <v>17.713536249499601</v>
      </c>
      <c r="AG140">
        <v>36.619463000000003</v>
      </c>
      <c r="AH140">
        <v>297.55551576972499</v>
      </c>
      <c r="AI140">
        <v>82.996296274212796</v>
      </c>
      <c r="AJ140">
        <v>86.593191988301697</v>
      </c>
      <c r="AK140">
        <v>300.32322487922499</v>
      </c>
      <c r="AL140">
        <v>85.397117447525005</v>
      </c>
      <c r="AM140">
        <v>91.133392145905603</v>
      </c>
      <c r="AN140">
        <v>0.99999997253344897</v>
      </c>
    </row>
    <row r="141" spans="1:40" x14ac:dyDescent="0.25">
      <c r="A141" t="str">
        <f>"20190312160604752"</f>
        <v>20190312160604752</v>
      </c>
      <c r="B141" t="str">
        <f>"1552377964745614"</f>
        <v>1552377964745614</v>
      </c>
      <c r="C141" t="s">
        <v>40</v>
      </c>
      <c r="D141">
        <v>5.4987949999999897</v>
      </c>
      <c r="E141">
        <v>0.52347279999999996</v>
      </c>
      <c r="F141" t="s">
        <v>42</v>
      </c>
      <c r="G141">
        <v>-158.19499999999999</v>
      </c>
      <c r="H141">
        <v>28.98705</v>
      </c>
      <c r="I141">
        <v>371.57310000000001</v>
      </c>
      <c r="J141">
        <v>-460.50119999999998</v>
      </c>
      <c r="K141">
        <v>1.108995</v>
      </c>
      <c r="L141">
        <v>367.91129999999998</v>
      </c>
      <c r="M141">
        <v>0.99850150000000004</v>
      </c>
      <c r="N141">
        <v>0</v>
      </c>
      <c r="O141">
        <v>5.4690429999999998E-2</v>
      </c>
      <c r="P141">
        <v>0.99416510000000002</v>
      </c>
      <c r="Q141">
        <v>7.8413440000000001E-2</v>
      </c>
      <c r="R141">
        <v>7.4075539999999995E-2</v>
      </c>
      <c r="S141">
        <v>2.9931030000000001</v>
      </c>
      <c r="T141">
        <v>0.27588889999999999</v>
      </c>
      <c r="U141">
        <v>3.6315920000000002E-2</v>
      </c>
      <c r="V141">
        <v>-1.9626350000000001E-2</v>
      </c>
      <c r="W141">
        <v>8.0357419999999999E-2</v>
      </c>
      <c r="X141">
        <v>0.99657289999999998</v>
      </c>
      <c r="Y141">
        <v>4.2162089999999999E-2</v>
      </c>
      <c r="Z141">
        <v>6.9669049999999998E-3</v>
      </c>
      <c r="AA141">
        <v>0.99908649999999999</v>
      </c>
      <c r="AB141">
        <v>24</v>
      </c>
      <c r="AC141">
        <v>302.30619999999999</v>
      </c>
      <c r="AD141">
        <v>27.878055</v>
      </c>
      <c r="AE141">
        <v>3.6618000000000199</v>
      </c>
      <c r="AF141">
        <v>12.768398743537601</v>
      </c>
      <c r="AG141">
        <v>27.878055</v>
      </c>
      <c r="AH141">
        <v>299.507338875107</v>
      </c>
      <c r="AI141">
        <v>84.687045865309102</v>
      </c>
      <c r="AJ141">
        <v>87.5588823678453</v>
      </c>
      <c r="AK141">
        <v>301.07285496554601</v>
      </c>
      <c r="AL141">
        <v>85.390889586435904</v>
      </c>
      <c r="AM141">
        <v>91.128228227970496</v>
      </c>
      <c r="AN141">
        <v>1.00000002678889</v>
      </c>
    </row>
    <row r="142" spans="1:40" x14ac:dyDescent="0.25">
      <c r="A142" t="str">
        <f>"20190312160604764"</f>
        <v>20190312160604764</v>
      </c>
      <c r="B142" t="str">
        <f>"1552377964755375"</f>
        <v>1552377964755375</v>
      </c>
      <c r="C142" t="s">
        <v>40</v>
      </c>
      <c r="D142">
        <v>5.5649290000000002</v>
      </c>
      <c r="E142">
        <v>0.52176279999999997</v>
      </c>
      <c r="F142" t="s">
        <v>42</v>
      </c>
      <c r="G142">
        <v>-158.19499999999999</v>
      </c>
      <c r="H142">
        <v>28.997710000000001</v>
      </c>
      <c r="I142">
        <v>371.61939999999998</v>
      </c>
      <c r="J142">
        <v>-460.37220000000002</v>
      </c>
      <c r="K142">
        <v>1.1089990000000001</v>
      </c>
      <c r="L142">
        <v>367.91849999999999</v>
      </c>
      <c r="M142">
        <v>0.99849299999999996</v>
      </c>
      <c r="N142">
        <v>0</v>
      </c>
      <c r="O142">
        <v>5.4845140000000001E-2</v>
      </c>
      <c r="P142">
        <v>0.99409579999999997</v>
      </c>
      <c r="Q142">
        <v>7.9207540000000007E-2</v>
      </c>
      <c r="R142">
        <v>7.416093E-2</v>
      </c>
      <c r="S142">
        <v>2.9930729999999999</v>
      </c>
      <c r="T142">
        <v>0.27612130000000001</v>
      </c>
      <c r="U142">
        <v>3.6712649999999999E-2</v>
      </c>
      <c r="V142">
        <v>-1.9561370000000002E-2</v>
      </c>
      <c r="W142">
        <v>8.1174919999999998E-2</v>
      </c>
      <c r="X142">
        <v>0.9965079</v>
      </c>
      <c r="Y142">
        <v>4.2182919999999999E-2</v>
      </c>
      <c r="Z142">
        <v>6.9879919999999898E-3</v>
      </c>
      <c r="AA142">
        <v>0.99908549999999996</v>
      </c>
      <c r="AB142">
        <v>24</v>
      </c>
      <c r="AC142">
        <v>302.17720000000003</v>
      </c>
      <c r="AD142">
        <v>27.888711000000001</v>
      </c>
      <c r="AE142">
        <v>3.7008999999999901</v>
      </c>
      <c r="AF142">
        <v>12.7689039976909</v>
      </c>
      <c r="AG142">
        <v>27.888711000000001</v>
      </c>
      <c r="AH142">
        <v>299.37568453780898</v>
      </c>
      <c r="AI142">
        <v>84.682707354747507</v>
      </c>
      <c r="AJ142">
        <v>87.557713632145095</v>
      </c>
      <c r="AK142">
        <v>300.94289425574698</v>
      </c>
      <c r="AL142">
        <v>85.343896662035704</v>
      </c>
      <c r="AM142">
        <v>91.1245671179759</v>
      </c>
      <c r="AN142">
        <v>1.0000000047978399</v>
      </c>
    </row>
    <row r="143" spans="1:40" x14ac:dyDescent="0.25">
      <c r="A143" t="str">
        <f>"20190312160604778"</f>
        <v>20190312160604778</v>
      </c>
      <c r="B143" t="str">
        <f>"1552377964765135"</f>
        <v>1552377964765135</v>
      </c>
      <c r="C143" t="s">
        <v>40</v>
      </c>
      <c r="D143">
        <v>5.5696079999999997</v>
      </c>
      <c r="E143">
        <v>0.52034590000000003</v>
      </c>
      <c r="F143" t="s">
        <v>42</v>
      </c>
      <c r="G143">
        <v>-158.19499999999999</v>
      </c>
      <c r="H143">
        <v>27.070460000000001</v>
      </c>
      <c r="I143">
        <v>372.92419999999998</v>
      </c>
      <c r="J143">
        <v>-460.22770000000003</v>
      </c>
      <c r="K143">
        <v>1.1090040000000001</v>
      </c>
      <c r="L143">
        <v>367.92669999999998</v>
      </c>
      <c r="M143">
        <v>0.99848329999999996</v>
      </c>
      <c r="N143">
        <v>0</v>
      </c>
      <c r="O143">
        <v>5.5017379999999998E-2</v>
      </c>
      <c r="P143">
        <v>0.99400129999999998</v>
      </c>
      <c r="Q143">
        <v>8.0236059999999998E-2</v>
      </c>
      <c r="R143">
        <v>7.4321219999999993E-2</v>
      </c>
      <c r="S143">
        <v>2.993652</v>
      </c>
      <c r="T143">
        <v>0.25719940000000002</v>
      </c>
      <c r="U143">
        <v>4.9591059999999999E-2</v>
      </c>
      <c r="V143">
        <v>-1.9555389999999999E-2</v>
      </c>
      <c r="W143">
        <v>8.2230429999999993E-2</v>
      </c>
      <c r="X143">
        <v>0.99642149999999996</v>
      </c>
      <c r="Y143">
        <v>3.8129089999999997E-2</v>
      </c>
      <c r="Z143">
        <v>6.3502899999999998E-3</v>
      </c>
      <c r="AA143">
        <v>0.99925260000000005</v>
      </c>
      <c r="AB143">
        <v>24</v>
      </c>
      <c r="AC143">
        <v>302.03269999999998</v>
      </c>
      <c r="AD143">
        <v>25.961455999999998</v>
      </c>
      <c r="AE143">
        <v>4.9974999999999996</v>
      </c>
      <c r="AF143">
        <v>11.5418991009313</v>
      </c>
      <c r="AG143">
        <v>25.961455999999998</v>
      </c>
      <c r="AH143">
        <v>299.636957813854</v>
      </c>
      <c r="AI143">
        <v>85.051737733099799</v>
      </c>
      <c r="AJ143">
        <v>87.7940794405378</v>
      </c>
      <c r="AK143">
        <v>300.98092816728001</v>
      </c>
      <c r="AL143">
        <v>85.2832176507425</v>
      </c>
      <c r="AM143">
        <v>91.124320877645502</v>
      </c>
      <c r="AN143">
        <v>1.0000000312791399</v>
      </c>
    </row>
    <row r="144" spans="1:40" x14ac:dyDescent="0.25">
      <c r="A144" t="str">
        <f>"20190312160604797"</f>
        <v>20190312160604797</v>
      </c>
      <c r="B144" t="str">
        <f>"1552377964785630"</f>
        <v>1552377964785630</v>
      </c>
      <c r="C144" t="s">
        <v>40</v>
      </c>
      <c r="D144">
        <v>5.6601679999999996</v>
      </c>
      <c r="E144">
        <v>0.51920100000000002</v>
      </c>
      <c r="F144" t="s">
        <v>42</v>
      </c>
      <c r="G144">
        <v>-158.19499999999999</v>
      </c>
      <c r="H144">
        <v>26.310220000000001</v>
      </c>
      <c r="I144">
        <v>374.12220000000002</v>
      </c>
      <c r="J144">
        <v>-460.01249999999999</v>
      </c>
      <c r="K144">
        <v>1.109011</v>
      </c>
      <c r="L144">
        <v>367.93880000000001</v>
      </c>
      <c r="M144">
        <v>0.99846950000000001</v>
      </c>
      <c r="N144">
        <v>0</v>
      </c>
      <c r="O144">
        <v>5.5267740000000003E-2</v>
      </c>
      <c r="P144">
        <v>0.99381660000000005</v>
      </c>
      <c r="Q144">
        <v>8.1902470000000005E-2</v>
      </c>
      <c r="R144">
        <v>7.4971999999999997E-2</v>
      </c>
      <c r="S144">
        <v>2.993347</v>
      </c>
      <c r="T144">
        <v>0.24976180000000001</v>
      </c>
      <c r="U144">
        <v>6.1401369999999997E-2</v>
      </c>
      <c r="V144">
        <v>-1.9966379999999999E-2</v>
      </c>
      <c r="W144">
        <v>8.3935389999999999E-2</v>
      </c>
      <c r="X144">
        <v>0.99627109999999997</v>
      </c>
      <c r="Y144">
        <v>3.4467820000000003E-2</v>
      </c>
      <c r="Z144">
        <v>6.0359360000000004E-3</v>
      </c>
      <c r="AA144">
        <v>0.99938760000000004</v>
      </c>
      <c r="AB144">
        <v>24</v>
      </c>
      <c r="AC144">
        <v>301.8175</v>
      </c>
      <c r="AD144">
        <v>25.201208999999999</v>
      </c>
      <c r="AE144">
        <v>6.1833999999999998</v>
      </c>
      <c r="AF144">
        <v>10.4341408021694</v>
      </c>
      <c r="AG144">
        <v>25.201208999999999</v>
      </c>
      <c r="AH144">
        <v>299.60994702286899</v>
      </c>
      <c r="AI144">
        <v>85.1948747056597</v>
      </c>
      <c r="AJ144">
        <v>88.005437662215101</v>
      </c>
      <c r="AK144">
        <v>300.84895310502202</v>
      </c>
      <c r="AL144">
        <v>85.185191351920395</v>
      </c>
      <c r="AM144">
        <v>91.148117398389701</v>
      </c>
      <c r="AN144">
        <v>0.99999995535998198</v>
      </c>
    </row>
    <row r="145" spans="1:40" x14ac:dyDescent="0.25">
      <c r="A145" t="str">
        <f>"20190312160604819"</f>
        <v>20190312160604819</v>
      </c>
      <c r="B145" t="str">
        <f>"1552377964814910"</f>
        <v>1552377964814910</v>
      </c>
      <c r="C145" t="s">
        <v>40</v>
      </c>
      <c r="D145">
        <v>5.4466000000000001</v>
      </c>
      <c r="E145">
        <v>0.51804079999999997</v>
      </c>
      <c r="F145" t="s">
        <v>42</v>
      </c>
      <c r="G145">
        <v>-158.19499999999999</v>
      </c>
      <c r="H145">
        <v>25.22852</v>
      </c>
      <c r="I145">
        <v>375.20330000000001</v>
      </c>
      <c r="J145">
        <v>-459.76819999999998</v>
      </c>
      <c r="K145">
        <v>1.109013</v>
      </c>
      <c r="L145">
        <v>367.95260000000002</v>
      </c>
      <c r="M145">
        <v>0.99845430000000002</v>
      </c>
      <c r="N145">
        <v>0</v>
      </c>
      <c r="O145">
        <v>5.553889E-2</v>
      </c>
      <c r="P145">
        <v>0.9936161</v>
      </c>
      <c r="Q145">
        <v>8.3052319999999999E-2</v>
      </c>
      <c r="R145">
        <v>7.6351450000000001E-2</v>
      </c>
      <c r="S145">
        <v>2.9935299999999998</v>
      </c>
      <c r="T145">
        <v>0.2392263</v>
      </c>
      <c r="U145">
        <v>7.2052000000000005E-2</v>
      </c>
      <c r="V145">
        <v>-2.1082989999999999E-2</v>
      </c>
      <c r="W145">
        <v>8.5129880000000005E-2</v>
      </c>
      <c r="X145">
        <v>0.9961468</v>
      </c>
      <c r="Y145">
        <v>3.122159E-2</v>
      </c>
      <c r="Z145">
        <v>5.6735789999999998E-3</v>
      </c>
      <c r="AA145">
        <v>0.99949639999999995</v>
      </c>
      <c r="AB145">
        <v>25</v>
      </c>
      <c r="AC145">
        <v>301.57319999999999</v>
      </c>
      <c r="AD145">
        <v>24.119506999999999</v>
      </c>
      <c r="AE145">
        <v>7.2506999999999904</v>
      </c>
      <c r="AF145">
        <v>9.44916142334794</v>
      </c>
      <c r="AG145">
        <v>24.119506999999999</v>
      </c>
      <c r="AH145">
        <v>299.59513122870698</v>
      </c>
      <c r="AI145">
        <v>85.399493137856098</v>
      </c>
      <c r="AJ145">
        <v>88.193503162663902</v>
      </c>
      <c r="AK145">
        <v>300.71295270652001</v>
      </c>
      <c r="AL145">
        <v>85.116506572078094</v>
      </c>
      <c r="AM145">
        <v>91.212457873054902</v>
      </c>
      <c r="AN145">
        <v>1.0000000180431901</v>
      </c>
    </row>
    <row r="146" spans="1:40" x14ac:dyDescent="0.25">
      <c r="A146" t="str">
        <f>"20190312160604841"</f>
        <v>20190312160604841</v>
      </c>
      <c r="B146" t="str">
        <f>"1552377964835407"</f>
        <v>1552377964835407</v>
      </c>
      <c r="C146" t="s">
        <v>40</v>
      </c>
      <c r="D146">
        <v>5.6488699999999996</v>
      </c>
      <c r="E146">
        <v>0.51877169999999995</v>
      </c>
      <c r="F146" t="s">
        <v>42</v>
      </c>
      <c r="G146">
        <v>-158.19499999999999</v>
      </c>
      <c r="H146">
        <v>24.261340000000001</v>
      </c>
      <c r="I146">
        <v>376.52089999999998</v>
      </c>
      <c r="J146">
        <v>-459.53030000000001</v>
      </c>
      <c r="K146">
        <v>1.1090089999999999</v>
      </c>
      <c r="L146">
        <v>367.96609999999998</v>
      </c>
      <c r="M146">
        <v>0.99844069999999996</v>
      </c>
      <c r="N146">
        <v>0</v>
      </c>
      <c r="O146">
        <v>5.5783569999999998E-2</v>
      </c>
      <c r="P146">
        <v>0.99344679999999996</v>
      </c>
      <c r="Q146">
        <v>8.3853419999999998E-2</v>
      </c>
      <c r="R146">
        <v>7.766932E-2</v>
      </c>
      <c r="S146">
        <v>2.9935299999999998</v>
      </c>
      <c r="T146">
        <v>0.22981950000000001</v>
      </c>
      <c r="U146">
        <v>8.5052489999999994E-2</v>
      </c>
      <c r="V146">
        <v>-2.2162939999999999E-2</v>
      </c>
      <c r="W146">
        <v>8.5975070000000001E-2</v>
      </c>
      <c r="X146">
        <v>0.99605080000000001</v>
      </c>
      <c r="Y146">
        <v>2.7161109999999999E-2</v>
      </c>
      <c r="Z146">
        <v>5.3138329999999996E-3</v>
      </c>
      <c r="AA146">
        <v>0.99961690000000003</v>
      </c>
      <c r="AB146">
        <v>25</v>
      </c>
      <c r="AC146">
        <v>301.33530000000002</v>
      </c>
      <c r="AD146">
        <v>23.152331</v>
      </c>
      <c r="AE146">
        <v>8.5548000000000002</v>
      </c>
      <c r="AF146">
        <v>8.2196330559336808</v>
      </c>
      <c r="AG146">
        <v>23.152331</v>
      </c>
      <c r="AH146">
        <v>299.57626012386402</v>
      </c>
      <c r="AI146">
        <v>85.582416353915207</v>
      </c>
      <c r="AJ146">
        <v>88.4283395605582</v>
      </c>
      <c r="AK146">
        <v>300.58198287340599</v>
      </c>
      <c r="AL146">
        <v>85.067902722771507</v>
      </c>
      <c r="AM146">
        <v>91.274667336227594</v>
      </c>
      <c r="AN146">
        <v>1.0000000523757899</v>
      </c>
    </row>
    <row r="147" spans="1:40" x14ac:dyDescent="0.25">
      <c r="A147" t="str">
        <f>"20190312160604862"</f>
        <v>20190312160604862</v>
      </c>
      <c r="B147" t="str">
        <f>"1552377964854927"</f>
        <v>1552377964854927</v>
      </c>
      <c r="C147" t="s">
        <v>40</v>
      </c>
      <c r="D147">
        <v>5.6657929999999999</v>
      </c>
      <c r="E147">
        <v>0.52018189999999997</v>
      </c>
      <c r="F147" t="s">
        <v>42</v>
      </c>
      <c r="G147">
        <v>-158.19499999999999</v>
      </c>
      <c r="H147">
        <v>23.640129999999999</v>
      </c>
      <c r="I147">
        <v>376.29480000000001</v>
      </c>
      <c r="J147">
        <v>-459.28109999999998</v>
      </c>
      <c r="K147">
        <v>1.1089899999999999</v>
      </c>
      <c r="L147">
        <v>367.9803</v>
      </c>
      <c r="M147">
        <v>0.99842790000000003</v>
      </c>
      <c r="N147">
        <v>0</v>
      </c>
      <c r="O147">
        <v>5.6009379999999998E-2</v>
      </c>
      <c r="P147">
        <v>0.99332790000000004</v>
      </c>
      <c r="Q147">
        <v>8.4829139999999997E-2</v>
      </c>
      <c r="R147">
        <v>7.8126039999999994E-2</v>
      </c>
      <c r="S147">
        <v>2.994415</v>
      </c>
      <c r="T147">
        <v>0.22389600000000001</v>
      </c>
      <c r="U147">
        <v>8.2763669999999998E-2</v>
      </c>
      <c r="V147">
        <v>-2.239652E-2</v>
      </c>
      <c r="W147">
        <v>8.6997859999999996E-2</v>
      </c>
      <c r="X147">
        <v>0.99595670000000003</v>
      </c>
      <c r="Y147">
        <v>2.816813E-2</v>
      </c>
      <c r="Z147">
        <v>5.2302290000000003E-3</v>
      </c>
      <c r="AA147">
        <v>0.99958950000000002</v>
      </c>
      <c r="AB147">
        <v>25</v>
      </c>
      <c r="AC147">
        <v>301.08609999999999</v>
      </c>
      <c r="AD147">
        <v>22.531140000000001</v>
      </c>
      <c r="AE147">
        <v>8.3145000000000095</v>
      </c>
      <c r="AF147">
        <v>8.5145919991023593</v>
      </c>
      <c r="AG147">
        <v>22.531140000000001</v>
      </c>
      <c r="AH147">
        <v>299.40378515519802</v>
      </c>
      <c r="AI147">
        <v>85.698144515472507</v>
      </c>
      <c r="AJ147">
        <v>88.371033507704695</v>
      </c>
      <c r="AK147">
        <v>300.37106570352398</v>
      </c>
      <c r="AL147">
        <v>85.0090804565246</v>
      </c>
      <c r="AM147">
        <v>91.288218488425301</v>
      </c>
      <c r="AN147">
        <v>0.99999999001379003</v>
      </c>
    </row>
    <row r="148" spans="1:40" x14ac:dyDescent="0.25">
      <c r="A148" t="str">
        <f>"20190312160604875"</f>
        <v>20190312160604875</v>
      </c>
      <c r="B148" t="str">
        <f>"1552377964865663"</f>
        <v>1552377964865663</v>
      </c>
      <c r="C148" t="s">
        <v>40</v>
      </c>
      <c r="D148">
        <v>5.4652279999999998</v>
      </c>
      <c r="E148">
        <v>0.51988140000000005</v>
      </c>
      <c r="F148" t="s">
        <v>42</v>
      </c>
      <c r="G148">
        <v>-158.19499999999999</v>
      </c>
      <c r="H148">
        <v>23.401009999999999</v>
      </c>
      <c r="I148">
        <v>375.30520000000001</v>
      </c>
      <c r="J148">
        <v>-459.13920000000002</v>
      </c>
      <c r="K148">
        <v>1.1089789999999999</v>
      </c>
      <c r="L148">
        <v>367.98829999999998</v>
      </c>
      <c r="M148">
        <v>0.99842140000000001</v>
      </c>
      <c r="N148">
        <v>0</v>
      </c>
      <c r="O148">
        <v>5.612317E-2</v>
      </c>
      <c r="P148">
        <v>0.99329160000000005</v>
      </c>
      <c r="Q148">
        <v>8.5188929999999996E-2</v>
      </c>
      <c r="R148">
        <v>7.8197089999999997E-2</v>
      </c>
      <c r="S148">
        <v>2.995514</v>
      </c>
      <c r="T148">
        <v>0.2217847</v>
      </c>
      <c r="U148">
        <v>7.2875980000000007E-2</v>
      </c>
      <c r="V148">
        <v>-2.2353020000000001E-2</v>
      </c>
      <c r="W148">
        <v>8.7384989999999996E-2</v>
      </c>
      <c r="X148">
        <v>0.99592380000000003</v>
      </c>
      <c r="Y148">
        <v>3.1584139999999997E-2</v>
      </c>
      <c r="Z148">
        <v>5.3141339999999999E-3</v>
      </c>
      <c r="AA148">
        <v>0.99948700000000001</v>
      </c>
      <c r="AB148">
        <v>25</v>
      </c>
      <c r="AC148">
        <v>300.94420000000002</v>
      </c>
      <c r="AD148">
        <v>22.292031000000001</v>
      </c>
      <c r="AE148">
        <v>7.3169000000000297</v>
      </c>
      <c r="AF148">
        <v>9.5323442738485795</v>
      </c>
      <c r="AG148">
        <v>22.292031000000001</v>
      </c>
      <c r="AH148">
        <v>299.23958521415898</v>
      </c>
      <c r="AI148">
        <v>85.741738410819806</v>
      </c>
      <c r="AJ148">
        <v>88.1754470514866</v>
      </c>
      <c r="AK148">
        <v>300.22013522180998</v>
      </c>
      <c r="AL148">
        <v>84.9868148175333</v>
      </c>
      <c r="AM148">
        <v>91.285759725065702</v>
      </c>
      <c r="AN148">
        <v>1.0000000046934301</v>
      </c>
    </row>
    <row r="149" spans="1:40" x14ac:dyDescent="0.25">
      <c r="A149" t="str">
        <f>"20190312160604896"</f>
        <v>20190312160604896</v>
      </c>
      <c r="B149" t="str">
        <f>"1552377964885183"</f>
        <v>1552377964885183</v>
      </c>
      <c r="C149" t="s">
        <v>40</v>
      </c>
      <c r="D149">
        <v>5.4263789999999998</v>
      </c>
      <c r="E149">
        <v>0.53279270000000001</v>
      </c>
      <c r="F149" t="s">
        <v>42</v>
      </c>
      <c r="G149">
        <v>-158.19499999999999</v>
      </c>
      <c r="H149">
        <v>23.344249999999999</v>
      </c>
      <c r="I149">
        <v>375.55250000000001</v>
      </c>
      <c r="J149">
        <v>-458.90530000000001</v>
      </c>
      <c r="K149">
        <v>1.1089500000000001</v>
      </c>
      <c r="L149">
        <v>368.00170000000003</v>
      </c>
      <c r="M149">
        <v>0.99841310000000005</v>
      </c>
      <c r="N149">
        <v>0</v>
      </c>
      <c r="O149">
        <v>5.6269619999999999E-2</v>
      </c>
      <c r="P149">
        <v>0.9932898</v>
      </c>
      <c r="Q149">
        <v>8.482228E-2</v>
      </c>
      <c r="R149">
        <v>7.861667E-2</v>
      </c>
      <c r="S149">
        <v>2.9953310000000002</v>
      </c>
      <c r="T149">
        <v>0.2213109</v>
      </c>
      <c r="U149">
        <v>7.5286870000000006E-2</v>
      </c>
      <c r="V149">
        <v>-2.26196E-2</v>
      </c>
      <c r="W149">
        <v>8.7063390000000004E-2</v>
      </c>
      <c r="X149">
        <v>0.99594590000000005</v>
      </c>
      <c r="Y149">
        <v>3.0927670000000001E-2</v>
      </c>
      <c r="Z149">
        <v>5.2896310000000004E-3</v>
      </c>
      <c r="AA149">
        <v>0.99950760000000005</v>
      </c>
      <c r="AB149">
        <v>25</v>
      </c>
      <c r="AC149">
        <v>300.71030000000002</v>
      </c>
      <c r="AD149">
        <v>22.235299999999999</v>
      </c>
      <c r="AE149">
        <v>7.5507999999999802</v>
      </c>
      <c r="AF149">
        <v>9.33107461256159</v>
      </c>
      <c r="AG149">
        <v>22.235299999999999</v>
      </c>
      <c r="AH149">
        <v>299.02484648460802</v>
      </c>
      <c r="AI149">
        <v>85.7494097600336</v>
      </c>
      <c r="AJ149">
        <v>88.212664371117796</v>
      </c>
      <c r="AK149">
        <v>299.99556052491602</v>
      </c>
      <c r="AL149">
        <v>85.005311402972396</v>
      </c>
      <c r="AM149">
        <v>91.301059472787699</v>
      </c>
      <c r="AN149">
        <v>0.99999995795463004</v>
      </c>
    </row>
    <row r="150" spans="1:40" x14ac:dyDescent="0.25">
      <c r="A150" t="str">
        <f>"20190312160604909"</f>
        <v>20190312160604909</v>
      </c>
      <c r="B150" t="str">
        <f>"1552377964905679"</f>
        <v>1552377964905679</v>
      </c>
      <c r="C150" t="s">
        <v>40</v>
      </c>
      <c r="D150">
        <v>5.3958700000000004</v>
      </c>
      <c r="E150">
        <v>0.5318792</v>
      </c>
      <c r="F150" t="s">
        <v>45</v>
      </c>
      <c r="G150">
        <v>-425.05419999999998</v>
      </c>
      <c r="H150">
        <v>-0.05</v>
      </c>
      <c r="I150">
        <v>367.59249999999997</v>
      </c>
      <c r="J150">
        <v>-458.75130000000001</v>
      </c>
      <c r="K150">
        <v>1.10893</v>
      </c>
      <c r="L150">
        <v>368.0104</v>
      </c>
      <c r="M150">
        <v>0.99840910000000005</v>
      </c>
      <c r="N150">
        <v>0</v>
      </c>
      <c r="O150">
        <v>5.633933E-2</v>
      </c>
      <c r="P150">
        <v>0.99332169999999997</v>
      </c>
      <c r="Q150">
        <v>8.4561339999999999E-2</v>
      </c>
      <c r="R150">
        <v>7.8494380000000002E-2</v>
      </c>
      <c r="S150">
        <v>3.0321039999999999</v>
      </c>
      <c r="T150">
        <v>-0.1038092</v>
      </c>
      <c r="U150">
        <v>-3.6651610000000001E-2</v>
      </c>
      <c r="V150">
        <v>-2.242154E-2</v>
      </c>
      <c r="W150">
        <v>8.6833010000000002E-2</v>
      </c>
      <c r="X150">
        <v>0.99597049999999998</v>
      </c>
      <c r="Y150">
        <v>6.8330100000000005E-2</v>
      </c>
      <c r="Z150">
        <v>-3.0969529999999999E-3</v>
      </c>
      <c r="AA150">
        <v>0.99765800000000004</v>
      </c>
      <c r="AB150">
        <v>25</v>
      </c>
      <c r="AC150">
        <v>33.697099999999999</v>
      </c>
      <c r="AD150">
        <v>-1.15893</v>
      </c>
      <c r="AE150">
        <v>-0.41790000000003102</v>
      </c>
      <c r="AF150">
        <v>2.3129776786389198</v>
      </c>
      <c r="AG150">
        <v>-1.15893</v>
      </c>
      <c r="AH150">
        <v>33.5803192878289</v>
      </c>
      <c r="AI150">
        <v>91.971949153480494</v>
      </c>
      <c r="AJ150">
        <v>86.059749332630304</v>
      </c>
      <c r="AK150">
        <v>33.6798282056087</v>
      </c>
      <c r="AL150">
        <v>85.018561430181194</v>
      </c>
      <c r="AM150">
        <v>91.289639257048293</v>
      </c>
      <c r="AN150">
        <v>0.99999996697593996</v>
      </c>
    </row>
    <row r="151" spans="1:40" x14ac:dyDescent="0.25">
      <c r="A151" t="str">
        <f>"20190312160604929"</f>
        <v>20190312160604929</v>
      </c>
      <c r="B151" t="str">
        <f>"1552377964925199"</f>
        <v>1552377964925199</v>
      </c>
      <c r="C151" t="s">
        <v>40</v>
      </c>
      <c r="D151">
        <v>5.5392749999999999</v>
      </c>
      <c r="E151">
        <v>0.51912020000000003</v>
      </c>
      <c r="F151" t="s">
        <v>45</v>
      </c>
      <c r="G151">
        <v>-423.21409999999997</v>
      </c>
      <c r="H151">
        <v>-0.05</v>
      </c>
      <c r="I151">
        <v>367.6662</v>
      </c>
      <c r="J151">
        <v>-458.53300000000002</v>
      </c>
      <c r="K151">
        <v>1.1089020000000001</v>
      </c>
      <c r="L151">
        <v>368.02280000000002</v>
      </c>
      <c r="M151">
        <v>0.99840499999999999</v>
      </c>
      <c r="N151">
        <v>0</v>
      </c>
      <c r="O151">
        <v>5.641007E-2</v>
      </c>
      <c r="P151">
        <v>0.99335450000000003</v>
      </c>
      <c r="Q151">
        <v>8.4367029999999996E-2</v>
      </c>
      <c r="R151">
        <v>7.8289520000000001E-2</v>
      </c>
      <c r="S151">
        <v>3.0309140000000001</v>
      </c>
      <c r="T151">
        <v>-9.8843570000000006E-2</v>
      </c>
      <c r="U151">
        <v>-2.9357910000000001E-2</v>
      </c>
      <c r="V151">
        <v>-2.2138310000000001E-2</v>
      </c>
      <c r="W151">
        <v>8.6681469999999997E-2</v>
      </c>
      <c r="X151">
        <v>0.99599009999999999</v>
      </c>
      <c r="Y151">
        <v>6.6012790000000002E-2</v>
      </c>
      <c r="Z151">
        <v>-2.9145870000000002E-3</v>
      </c>
      <c r="AA151">
        <v>0.99781450000000005</v>
      </c>
      <c r="AB151">
        <v>25</v>
      </c>
      <c r="AC151">
        <v>35.318899999999999</v>
      </c>
      <c r="AD151">
        <v>-1.1589020000000001</v>
      </c>
      <c r="AE151">
        <v>-0.35660000000001402</v>
      </c>
      <c r="AF151">
        <v>2.3458537056007698</v>
      </c>
      <c r="AG151">
        <v>-1.1589020000000001</v>
      </c>
      <c r="AH151">
        <v>35.204645358998199</v>
      </c>
      <c r="AI151">
        <v>91.881270389660401</v>
      </c>
      <c r="AJ151">
        <v>86.187744207521803</v>
      </c>
      <c r="AK151">
        <v>35.301744125560099</v>
      </c>
      <c r="AL151">
        <v>85.027277212173203</v>
      </c>
      <c r="AM151">
        <v>91.273328818277704</v>
      </c>
      <c r="AN151">
        <v>1.00000003065451</v>
      </c>
    </row>
    <row r="152" spans="1:40" x14ac:dyDescent="0.25">
      <c r="A152" t="str">
        <f>"20190312160604941"</f>
        <v>20190312160604941</v>
      </c>
      <c r="B152" t="str">
        <f>"1552377964934961"</f>
        <v>1552377964934961</v>
      </c>
      <c r="C152" t="s">
        <v>40</v>
      </c>
      <c r="D152">
        <v>6.2975139999999996</v>
      </c>
      <c r="E152">
        <v>0.51925100000000002</v>
      </c>
      <c r="F152" t="s">
        <v>42</v>
      </c>
      <c r="G152">
        <v>-158.19499999999999</v>
      </c>
      <c r="H152">
        <v>19.867380000000001</v>
      </c>
      <c r="I152">
        <v>376.11579999999998</v>
      </c>
      <c r="J152">
        <v>-458.38560000000001</v>
      </c>
      <c r="K152">
        <v>1.108886</v>
      </c>
      <c r="L152">
        <v>368.03120000000001</v>
      </c>
      <c r="M152">
        <v>0.99840320000000005</v>
      </c>
      <c r="N152">
        <v>0</v>
      </c>
      <c r="O152">
        <v>5.6441089999999999E-2</v>
      </c>
      <c r="P152">
        <v>0.99336539999999995</v>
      </c>
      <c r="Q152">
        <v>8.4561209999999998E-2</v>
      </c>
      <c r="R152">
        <v>7.7941830000000004E-2</v>
      </c>
      <c r="S152">
        <v>2.997833</v>
      </c>
      <c r="T152">
        <v>0.18723909999999999</v>
      </c>
      <c r="U152">
        <v>8.0780030000000003E-2</v>
      </c>
      <c r="V152">
        <v>-2.175556E-2</v>
      </c>
      <c r="W152">
        <v>8.6904729999999999E-2</v>
      </c>
      <c r="X152">
        <v>0.99597910000000001</v>
      </c>
      <c r="Y152">
        <v>2.936043E-2</v>
      </c>
      <c r="Z152">
        <v>4.4349130000000004E-3</v>
      </c>
      <c r="AA152">
        <v>0.99955899999999998</v>
      </c>
      <c r="AB152">
        <v>25</v>
      </c>
      <c r="AC152">
        <v>300.19060000000002</v>
      </c>
      <c r="AD152">
        <v>18.758493999999999</v>
      </c>
      <c r="AE152">
        <v>8.0845999999999592</v>
      </c>
      <c r="AF152">
        <v>8.8369366556407094</v>
      </c>
      <c r="AG152">
        <v>18.758493999999999</v>
      </c>
      <c r="AH152">
        <v>299.00167429610201</v>
      </c>
      <c r="AI152">
        <v>86.4116973356969</v>
      </c>
      <c r="AJ152">
        <v>88.307127103569499</v>
      </c>
      <c r="AK152">
        <v>299.71982546784602</v>
      </c>
      <c r="AL152">
        <v>85.014437009081306</v>
      </c>
      <c r="AM152">
        <v>91.251335069530498</v>
      </c>
      <c r="AN152">
        <v>1.00000005206204</v>
      </c>
    </row>
    <row r="153" spans="1:40" x14ac:dyDescent="0.25">
      <c r="A153" t="str">
        <f>"20190312160604962"</f>
        <v>20190312160604962</v>
      </c>
      <c r="B153" t="str">
        <f>"1552377964955456"</f>
        <v>1552377964955456</v>
      </c>
      <c r="C153" t="s">
        <v>40</v>
      </c>
      <c r="D153">
        <v>5.9490540000000003</v>
      </c>
      <c r="E153">
        <v>0.51907530000000002</v>
      </c>
      <c r="F153" t="s">
        <v>42</v>
      </c>
      <c r="G153">
        <v>-158.19499999999999</v>
      </c>
      <c r="H153">
        <v>20.576989999999999</v>
      </c>
      <c r="I153">
        <v>375.89850000000001</v>
      </c>
      <c r="J153">
        <v>-458.14299999999997</v>
      </c>
      <c r="K153">
        <v>1.1088720000000001</v>
      </c>
      <c r="L153">
        <v>368.04489999999998</v>
      </c>
      <c r="M153">
        <v>0.99840130000000005</v>
      </c>
      <c r="N153">
        <v>0</v>
      </c>
      <c r="O153">
        <v>5.6470949999999999E-2</v>
      </c>
      <c r="P153">
        <v>0.99337549999999997</v>
      </c>
      <c r="Q153">
        <v>8.475771E-2</v>
      </c>
      <c r="R153">
        <v>7.7597250000000006E-2</v>
      </c>
      <c r="S153">
        <v>2.9972840000000001</v>
      </c>
      <c r="T153">
        <v>0.1943822</v>
      </c>
      <c r="U153">
        <v>7.8552250000000004E-2</v>
      </c>
      <c r="V153">
        <v>-2.1376119999999998E-2</v>
      </c>
      <c r="W153">
        <v>8.7148429999999999E-2</v>
      </c>
      <c r="X153">
        <v>0.99596600000000002</v>
      </c>
      <c r="Y153">
        <v>3.0113129999999998E-2</v>
      </c>
      <c r="Z153">
        <v>4.6309709999999898E-3</v>
      </c>
      <c r="AA153">
        <v>0.99953570000000003</v>
      </c>
      <c r="AB153">
        <v>26</v>
      </c>
      <c r="AC153">
        <v>299.94799999999998</v>
      </c>
      <c r="AD153">
        <v>19.468118</v>
      </c>
      <c r="AE153">
        <v>7.8536000000000197</v>
      </c>
      <c r="AF153">
        <v>9.05919366729605</v>
      </c>
      <c r="AG153">
        <v>19.468118</v>
      </c>
      <c r="AH153">
        <v>298.65558321943098</v>
      </c>
      <c r="AI153">
        <v>86.272112336734196</v>
      </c>
      <c r="AJ153">
        <v>88.262565693851101</v>
      </c>
      <c r="AK153">
        <v>299.42650850668201</v>
      </c>
      <c r="AL153">
        <v>85.000420741571205</v>
      </c>
      <c r="AM153">
        <v>91.229533386901593</v>
      </c>
      <c r="AN153">
        <v>1.0000000302568499</v>
      </c>
    </row>
    <row r="154" spans="1:40" x14ac:dyDescent="0.25">
      <c r="A154" t="str">
        <f>"20190312160604987"</f>
        <v>20190312160604987</v>
      </c>
      <c r="B154" t="str">
        <f>"1552377964974975"</f>
        <v>1552377964974975</v>
      </c>
      <c r="C154" t="s">
        <v>40</v>
      </c>
      <c r="D154">
        <v>6.3202569999999998</v>
      </c>
      <c r="E154">
        <v>0.51910659999999997</v>
      </c>
      <c r="F154" t="s">
        <v>42</v>
      </c>
      <c r="G154">
        <v>-158.19499999999999</v>
      </c>
      <c r="H154">
        <v>20.499140000000001</v>
      </c>
      <c r="I154">
        <v>375.97629999999998</v>
      </c>
      <c r="J154">
        <v>-457.85919999999999</v>
      </c>
      <c r="K154">
        <v>1.108859</v>
      </c>
      <c r="L154">
        <v>368.06099999999998</v>
      </c>
      <c r="M154">
        <v>0.99840059999999997</v>
      </c>
      <c r="N154">
        <v>0</v>
      </c>
      <c r="O154">
        <v>5.6481980000000001E-2</v>
      </c>
      <c r="P154">
        <v>0.99336869999999999</v>
      </c>
      <c r="Q154">
        <v>8.492632E-2</v>
      </c>
      <c r="R154">
        <v>7.7498709999999998E-2</v>
      </c>
      <c r="S154">
        <v>2.9972530000000002</v>
      </c>
      <c r="T154">
        <v>0.1937596</v>
      </c>
      <c r="U154">
        <v>7.9254149999999995E-2</v>
      </c>
      <c r="V154">
        <v>-2.1263150000000001E-2</v>
      </c>
      <c r="W154">
        <v>8.7371699999999997E-2</v>
      </c>
      <c r="X154">
        <v>0.99594890000000003</v>
      </c>
      <c r="Y154">
        <v>2.9891589999999999E-2</v>
      </c>
      <c r="Z154">
        <v>4.6097539999999998E-3</v>
      </c>
      <c r="AA154">
        <v>0.9995425</v>
      </c>
      <c r="AB154">
        <v>26</v>
      </c>
      <c r="AC154">
        <v>299.66419999999999</v>
      </c>
      <c r="AD154">
        <v>19.390280999999899</v>
      </c>
      <c r="AE154">
        <v>7.9153000000000002</v>
      </c>
      <c r="AF154">
        <v>8.9854189456531</v>
      </c>
      <c r="AG154">
        <v>19.390280999999899</v>
      </c>
      <c r="AH154">
        <v>298.38444024032702</v>
      </c>
      <c r="AI154">
        <v>86.283586146287803</v>
      </c>
      <c r="AJ154">
        <v>88.275141131883998</v>
      </c>
      <c r="AK154">
        <v>299.14878393271403</v>
      </c>
      <c r="AL154">
        <v>84.987579547628002</v>
      </c>
      <c r="AM154">
        <v>91.223058435228594</v>
      </c>
      <c r="AN154">
        <v>1.0000000734600001</v>
      </c>
    </row>
    <row r="155" spans="1:40" x14ac:dyDescent="0.25">
      <c r="A155" t="str">
        <f>"20190312160605009"</f>
        <v>20190312160605009</v>
      </c>
      <c r="B155" t="str">
        <f>"1552377965005231"</f>
        <v>1552377965005231</v>
      </c>
      <c r="C155" t="s">
        <v>40</v>
      </c>
      <c r="D155">
        <v>5.4765739999999896</v>
      </c>
      <c r="E155">
        <v>0.51893670000000003</v>
      </c>
      <c r="F155" t="s">
        <v>42</v>
      </c>
      <c r="G155">
        <v>-158.19499999999999</v>
      </c>
      <c r="H155">
        <v>20.425270000000001</v>
      </c>
      <c r="I155">
        <v>375.90820000000002</v>
      </c>
      <c r="J155">
        <v>-457.60680000000002</v>
      </c>
      <c r="K155">
        <v>1.108857</v>
      </c>
      <c r="L155">
        <v>368.07530000000003</v>
      </c>
      <c r="M155">
        <v>0.99840079999999998</v>
      </c>
      <c r="N155">
        <v>0</v>
      </c>
      <c r="O155">
        <v>5.6478260000000002E-2</v>
      </c>
      <c r="P155">
        <v>0.99333000000000005</v>
      </c>
      <c r="Q155">
        <v>8.5103419999999999E-2</v>
      </c>
      <c r="R155">
        <v>7.7802999999999997E-2</v>
      </c>
      <c r="S155">
        <v>2.9974059999999998</v>
      </c>
      <c r="T155">
        <v>0.1932142</v>
      </c>
      <c r="U155">
        <v>7.8491210000000006E-2</v>
      </c>
      <c r="V155">
        <v>-2.1571880000000002E-2</v>
      </c>
      <c r="W155">
        <v>8.7597320000000006E-2</v>
      </c>
      <c r="X155">
        <v>0.99592239999999999</v>
      </c>
      <c r="Y155">
        <v>3.0143960000000001E-2</v>
      </c>
      <c r="Z155">
        <v>4.6044800000000002E-3</v>
      </c>
      <c r="AA155">
        <v>0.99953499999999995</v>
      </c>
      <c r="AB155">
        <v>26</v>
      </c>
      <c r="AC155">
        <v>299.41180000000003</v>
      </c>
      <c r="AD155">
        <v>19.316413000000001</v>
      </c>
      <c r="AE155">
        <v>7.8328999999999898</v>
      </c>
      <c r="AF155">
        <v>9.0522604788965406</v>
      </c>
      <c r="AG155">
        <v>19.316413000000001</v>
      </c>
      <c r="AH155">
        <v>298.13624293460902</v>
      </c>
      <c r="AI155">
        <v>86.294658773384498</v>
      </c>
      <c r="AJ155">
        <v>88.260872210162304</v>
      </c>
      <c r="AK155">
        <v>298.89845530234601</v>
      </c>
      <c r="AL155">
        <v>84.974602509415902</v>
      </c>
      <c r="AM155">
        <v>91.240844108276306</v>
      </c>
      <c r="AN155">
        <v>1.0000000316498301</v>
      </c>
    </row>
    <row r="156" spans="1:40" x14ac:dyDescent="0.25">
      <c r="A156" t="str">
        <f>"20190312160605030"</f>
        <v>20190312160605030</v>
      </c>
      <c r="B156" t="str">
        <f>"1552377965025726"</f>
        <v>1552377965025726</v>
      </c>
      <c r="C156" t="s">
        <v>40</v>
      </c>
      <c r="D156">
        <v>6.5288130000000004</v>
      </c>
      <c r="E156">
        <v>0.51865890000000003</v>
      </c>
      <c r="F156" t="s">
        <v>42</v>
      </c>
      <c r="G156">
        <v>-158.19499999999999</v>
      </c>
      <c r="H156">
        <v>20.652329999999999</v>
      </c>
      <c r="I156">
        <v>376.16059999999999</v>
      </c>
      <c r="J156">
        <v>-457.35899999999998</v>
      </c>
      <c r="K156">
        <v>1.108862</v>
      </c>
      <c r="L156">
        <v>368.08929999999998</v>
      </c>
      <c r="M156">
        <v>0.99840119999999999</v>
      </c>
      <c r="N156">
        <v>0</v>
      </c>
      <c r="O156">
        <v>5.6469070000000003E-2</v>
      </c>
      <c r="P156">
        <v>0.99327670000000001</v>
      </c>
      <c r="Q156">
        <v>8.5359930000000001E-2</v>
      </c>
      <c r="R156">
        <v>7.8199539999999998E-2</v>
      </c>
      <c r="S156">
        <v>2.9970699999999999</v>
      </c>
      <c r="T156">
        <v>0.1956283</v>
      </c>
      <c r="U156">
        <v>8.0932619999999997E-2</v>
      </c>
      <c r="V156">
        <v>-2.1979700000000001E-2</v>
      </c>
      <c r="W156">
        <v>8.7901320000000005E-2</v>
      </c>
      <c r="X156">
        <v>0.99588670000000001</v>
      </c>
      <c r="Y156">
        <v>2.931543E-2</v>
      </c>
      <c r="Z156">
        <v>4.6347339999999997E-3</v>
      </c>
      <c r="AA156">
        <v>0.99955950000000005</v>
      </c>
      <c r="AB156">
        <v>26</v>
      </c>
      <c r="AC156">
        <v>299.16399999999999</v>
      </c>
      <c r="AD156">
        <v>19.543468000000001</v>
      </c>
      <c r="AE156">
        <v>8.0713000000000008</v>
      </c>
      <c r="AF156">
        <v>8.7976275058204596</v>
      </c>
      <c r="AG156">
        <v>19.543468000000001</v>
      </c>
      <c r="AH156">
        <v>297.87213877121502</v>
      </c>
      <c r="AI156">
        <v>86.247820781170006</v>
      </c>
      <c r="AJ156">
        <v>88.308265966604196</v>
      </c>
      <c r="AK156">
        <v>298.64218798980198</v>
      </c>
      <c r="AL156">
        <v>84.957117157848501</v>
      </c>
      <c r="AM156">
        <v>91.264340237305703</v>
      </c>
      <c r="AN156">
        <v>1.0000000342533599</v>
      </c>
    </row>
    <row r="157" spans="1:40" x14ac:dyDescent="0.25">
      <c r="A157" t="str">
        <f>"20190312160605052"</f>
        <v>20190312160605052</v>
      </c>
      <c r="B157" t="str">
        <f>"1552377965045247"</f>
        <v>1552377965045247</v>
      </c>
      <c r="C157" t="s">
        <v>40</v>
      </c>
      <c r="D157">
        <v>5.4568890000000003</v>
      </c>
      <c r="E157">
        <v>0.51607179999999997</v>
      </c>
      <c r="F157" t="s">
        <v>42</v>
      </c>
      <c r="G157">
        <v>-158.19499999999999</v>
      </c>
      <c r="H157">
        <v>20.845369999999999</v>
      </c>
      <c r="I157">
        <v>376.51029999999997</v>
      </c>
      <c r="J157">
        <v>-457.0926</v>
      </c>
      <c r="K157">
        <v>1.108867</v>
      </c>
      <c r="L157">
        <v>368.10430000000002</v>
      </c>
      <c r="M157">
        <v>0.9984016</v>
      </c>
      <c r="N157">
        <v>0</v>
      </c>
      <c r="O157">
        <v>5.645882E-2</v>
      </c>
      <c r="P157">
        <v>0.99329670000000003</v>
      </c>
      <c r="Q157">
        <v>8.4930259999999994E-2</v>
      </c>
      <c r="R157">
        <v>7.8412880000000004E-2</v>
      </c>
      <c r="S157">
        <v>2.9966430000000002</v>
      </c>
      <c r="T157">
        <v>0.19769600000000001</v>
      </c>
      <c r="U157">
        <v>8.4350590000000003E-2</v>
      </c>
      <c r="V157">
        <v>-2.2202199999999998E-2</v>
      </c>
      <c r="W157">
        <v>8.7522260000000004E-2</v>
      </c>
      <c r="X157">
        <v>0.99591510000000005</v>
      </c>
      <c r="Y157">
        <v>2.8160689999999999E-2</v>
      </c>
      <c r="Z157">
        <v>4.6454620000000004E-3</v>
      </c>
      <c r="AA157">
        <v>0.99959260000000005</v>
      </c>
      <c r="AB157">
        <v>26</v>
      </c>
      <c r="AC157">
        <v>298.89760000000001</v>
      </c>
      <c r="AD157">
        <v>19.736502999999999</v>
      </c>
      <c r="AE157">
        <v>8.4059999999999402</v>
      </c>
      <c r="AF157">
        <v>8.4460735927973296</v>
      </c>
      <c r="AG157">
        <v>19.736502999999999</v>
      </c>
      <c r="AH157">
        <v>297.59889545165498</v>
      </c>
      <c r="AI157">
        <v>86.2072719808356</v>
      </c>
      <c r="AJ157">
        <v>88.374340388016094</v>
      </c>
      <c r="AK157">
        <v>298.37219757183999</v>
      </c>
      <c r="AL157">
        <v>84.978919477104199</v>
      </c>
      <c r="AM157">
        <v>91.277098499452407</v>
      </c>
      <c r="AN157">
        <v>0.99999998504417797</v>
      </c>
    </row>
    <row r="158" spans="1:40" x14ac:dyDescent="0.25">
      <c r="A158" t="str">
        <f>"20190312160605064"</f>
        <v>20190312160605064</v>
      </c>
      <c r="B158" t="str">
        <f>"1552377965055007"</f>
        <v>1552377965055007</v>
      </c>
      <c r="C158" t="s">
        <v>40</v>
      </c>
      <c r="D158">
        <v>5.4878559999999998</v>
      </c>
      <c r="E158">
        <v>0.51513240000000005</v>
      </c>
      <c r="F158" t="s">
        <v>42</v>
      </c>
      <c r="G158">
        <v>-158.19499999999999</v>
      </c>
      <c r="H158">
        <v>20.382930000000002</v>
      </c>
      <c r="I158">
        <v>378.64690000000002</v>
      </c>
      <c r="J158">
        <v>-456.94729999999998</v>
      </c>
      <c r="K158">
        <v>1.1088690000000001</v>
      </c>
      <c r="L158">
        <v>368.11250000000001</v>
      </c>
      <c r="M158">
        <v>0.99840189999999995</v>
      </c>
      <c r="N158">
        <v>0</v>
      </c>
      <c r="O158">
        <v>5.645389E-2</v>
      </c>
      <c r="P158">
        <v>0.99329389999999995</v>
      </c>
      <c r="Q158">
        <v>8.4813479999999997E-2</v>
      </c>
      <c r="R158">
        <v>7.8577510000000003E-2</v>
      </c>
      <c r="S158">
        <v>2.9953919999999998</v>
      </c>
      <c r="T158">
        <v>0.1931552</v>
      </c>
      <c r="U158">
        <v>0.10565190000000001</v>
      </c>
      <c r="V158">
        <v>-2.2372389999999999E-2</v>
      </c>
      <c r="W158">
        <v>8.7433919999999998E-2</v>
      </c>
      <c r="X158">
        <v>0.995919</v>
      </c>
      <c r="Y158">
        <v>2.1065049999999998E-2</v>
      </c>
      <c r="Z158">
        <v>4.3113980000000001E-3</v>
      </c>
      <c r="AA158">
        <v>0.99976880000000001</v>
      </c>
      <c r="AB158">
        <v>26</v>
      </c>
      <c r="AC158">
        <v>298.75229999999999</v>
      </c>
      <c r="AD158">
        <v>19.274061</v>
      </c>
      <c r="AE158">
        <v>10.5344</v>
      </c>
      <c r="AF158">
        <v>6.3219050513727302</v>
      </c>
      <c r="AG158">
        <v>19.274061</v>
      </c>
      <c r="AH158">
        <v>297.63328500767102</v>
      </c>
      <c r="AI158">
        <v>86.295661123173105</v>
      </c>
      <c r="AJ158">
        <v>88.783187103777905</v>
      </c>
      <c r="AK158">
        <v>298.32369710662903</v>
      </c>
      <c r="AL158">
        <v>84.984000209817296</v>
      </c>
      <c r="AM158">
        <v>91.286879725324695</v>
      </c>
      <c r="AN158">
        <v>0.99999993438093704</v>
      </c>
    </row>
    <row r="159" spans="1:40" x14ac:dyDescent="0.25">
      <c r="A159" t="str">
        <f>"20190312160605077"</f>
        <v>20190312160605077</v>
      </c>
      <c r="B159" t="str">
        <f>"1552377965064767"</f>
        <v>1552377965064767</v>
      </c>
      <c r="C159" t="s">
        <v>40</v>
      </c>
      <c r="D159">
        <v>5.5223879999999896</v>
      </c>
      <c r="E159">
        <v>0.51433999999999902</v>
      </c>
      <c r="F159" t="s">
        <v>42</v>
      </c>
      <c r="G159">
        <v>-158.19499999999999</v>
      </c>
      <c r="H159">
        <v>20.144359999999999</v>
      </c>
      <c r="I159">
        <v>379.44310000000002</v>
      </c>
      <c r="J159">
        <v>-456.80160000000001</v>
      </c>
      <c r="K159">
        <v>1.1088709999999999</v>
      </c>
      <c r="L159">
        <v>368.12079999999997</v>
      </c>
      <c r="M159">
        <v>0.99840189999999995</v>
      </c>
      <c r="N159">
        <v>0</v>
      </c>
      <c r="O159">
        <v>5.6449920000000001E-2</v>
      </c>
      <c r="P159">
        <v>0.99330419999999997</v>
      </c>
      <c r="Q159">
        <v>8.468175E-2</v>
      </c>
      <c r="R159">
        <v>7.8587679999999993E-2</v>
      </c>
      <c r="S159">
        <v>2.9949340000000002</v>
      </c>
      <c r="T159">
        <v>0.19082779999999999</v>
      </c>
      <c r="U159">
        <v>0.1135864</v>
      </c>
      <c r="V159">
        <v>-2.2385889999999999E-2</v>
      </c>
      <c r="W159">
        <v>8.7329889999999993E-2</v>
      </c>
      <c r="X159">
        <v>0.99592789999999998</v>
      </c>
      <c r="Y159">
        <v>1.8419620000000001E-2</v>
      </c>
      <c r="Z159">
        <v>4.1755170000000001E-3</v>
      </c>
      <c r="AA159">
        <v>0.99982159999999998</v>
      </c>
      <c r="AB159">
        <v>27</v>
      </c>
      <c r="AC159">
        <v>298.60660000000001</v>
      </c>
      <c r="AD159">
        <v>19.035488999999998</v>
      </c>
      <c r="AE159">
        <v>11.3223</v>
      </c>
      <c r="AF159">
        <v>5.5296932791238396</v>
      </c>
      <c r="AG159">
        <v>19.035488999999998</v>
      </c>
      <c r="AH159">
        <v>297.562104916556</v>
      </c>
      <c r="AI159">
        <v>86.340321836503506</v>
      </c>
      <c r="AJ159">
        <v>88.935376453913307</v>
      </c>
      <c r="AK159">
        <v>298.221618316986</v>
      </c>
      <c r="AL159">
        <v>84.989983956432695</v>
      </c>
      <c r="AM159">
        <v>91.287644492817094</v>
      </c>
      <c r="AN159">
        <v>1.0000000098784501</v>
      </c>
    </row>
    <row r="160" spans="1:40" x14ac:dyDescent="0.25">
      <c r="A160" t="str">
        <f>"20190312160605096"</f>
        <v>20190312160605096</v>
      </c>
      <c r="B160" t="str">
        <f>"1552377965085263"</f>
        <v>1552377965085263</v>
      </c>
      <c r="C160" t="s">
        <v>40</v>
      </c>
      <c r="D160">
        <v>5.7396729999999998</v>
      </c>
      <c r="E160">
        <v>0.51354529999999998</v>
      </c>
      <c r="F160" t="s">
        <v>42</v>
      </c>
      <c r="G160">
        <v>-158.19499999999999</v>
      </c>
      <c r="H160">
        <v>19.876449999999998</v>
      </c>
      <c r="I160">
        <v>380.0675</v>
      </c>
      <c r="J160">
        <v>-456.57159999999999</v>
      </c>
      <c r="K160">
        <v>1.1088720000000001</v>
      </c>
      <c r="L160">
        <v>368.13380000000001</v>
      </c>
      <c r="M160">
        <v>0.99840209999999996</v>
      </c>
      <c r="N160">
        <v>0</v>
      </c>
      <c r="O160">
        <v>5.644557E-2</v>
      </c>
      <c r="P160">
        <v>0.99323490000000003</v>
      </c>
      <c r="Q160">
        <v>8.5068260000000007E-2</v>
      </c>
      <c r="R160">
        <v>7.9043450000000001E-2</v>
      </c>
      <c r="S160">
        <v>2.9946899999999999</v>
      </c>
      <c r="T160">
        <v>0.18821860000000001</v>
      </c>
      <c r="U160">
        <v>0.119812</v>
      </c>
      <c r="V160">
        <v>-2.284947E-2</v>
      </c>
      <c r="W160">
        <v>8.7760240000000003E-2</v>
      </c>
      <c r="X160">
        <v>0.99587950000000003</v>
      </c>
      <c r="Y160">
        <v>1.634499E-2</v>
      </c>
      <c r="Z160">
        <v>4.0532759999999998E-3</v>
      </c>
      <c r="AA160">
        <v>0.99985820000000003</v>
      </c>
      <c r="AB160">
        <v>27</v>
      </c>
      <c r="AC160">
        <v>298.3766</v>
      </c>
      <c r="AD160">
        <v>18.767578</v>
      </c>
      <c r="AE160">
        <v>11.9336999999999</v>
      </c>
      <c r="AF160">
        <v>4.9080371683576498</v>
      </c>
      <c r="AG160">
        <v>18.767578</v>
      </c>
      <c r="AH160">
        <v>297.39977764240302</v>
      </c>
      <c r="AI160">
        <v>86.389596514580703</v>
      </c>
      <c r="AJ160">
        <v>89.054524208918906</v>
      </c>
      <c r="AK160">
        <v>298.03177440431199</v>
      </c>
      <c r="AL160">
        <v>84.965231472833807</v>
      </c>
      <c r="AM160">
        <v>91.314364376867701</v>
      </c>
      <c r="AN160">
        <v>0.99999996826219295</v>
      </c>
    </row>
    <row r="161" spans="1:40" x14ac:dyDescent="0.25">
      <c r="A161" t="str">
        <f>"20190312160605231"</f>
        <v>20190312160605231</v>
      </c>
      <c r="B161" t="str">
        <f>"1552377965225546"</f>
        <v>1552377965225546</v>
      </c>
      <c r="C161" t="s">
        <v>40</v>
      </c>
      <c r="D161">
        <v>5.9612679999999996</v>
      </c>
      <c r="E161">
        <v>0.49887789999999999</v>
      </c>
      <c r="F161" t="s">
        <v>42</v>
      </c>
      <c r="G161">
        <v>-158.19499999999999</v>
      </c>
      <c r="H161">
        <v>20.094190000000001</v>
      </c>
      <c r="I161">
        <v>380.81920000000002</v>
      </c>
      <c r="J161">
        <v>-454.92129999999997</v>
      </c>
      <c r="K161">
        <v>1.1087579999999999</v>
      </c>
      <c r="L161">
        <v>368.22669999999999</v>
      </c>
      <c r="M161">
        <v>0.9984248</v>
      </c>
      <c r="N161">
        <v>0</v>
      </c>
      <c r="O161">
        <v>5.6026659999999999E-2</v>
      </c>
      <c r="P161">
        <v>0.99363199999999996</v>
      </c>
      <c r="Q161">
        <v>8.3035970000000001E-2</v>
      </c>
      <c r="R161">
        <v>7.6161350000000003E-2</v>
      </c>
      <c r="S161">
        <v>2.9939879999999999</v>
      </c>
      <c r="T161">
        <v>0.19050439999999999</v>
      </c>
      <c r="U161">
        <v>0.12728879999999901</v>
      </c>
      <c r="V161">
        <v>-2.0341789999999998E-2</v>
      </c>
      <c r="W161">
        <v>8.6053450000000004E-2</v>
      </c>
      <c r="X161">
        <v>0.99608280000000005</v>
      </c>
      <c r="Y161">
        <v>1.34266E-2</v>
      </c>
      <c r="Z161">
        <v>3.9838109999999899E-3</v>
      </c>
      <c r="AA161">
        <v>0.99990199999999996</v>
      </c>
      <c r="AB161">
        <v>28</v>
      </c>
      <c r="AC161">
        <v>296.72629999999998</v>
      </c>
      <c r="AD161">
        <v>18.985431999999999</v>
      </c>
      <c r="AE161">
        <v>12.592499999999999</v>
      </c>
      <c r="AF161">
        <v>4.0354466275060297</v>
      </c>
      <c r="AG161">
        <v>18.985431999999999</v>
      </c>
      <c r="AH161">
        <v>295.757138513543</v>
      </c>
      <c r="AI161">
        <v>86.327412946562106</v>
      </c>
      <c r="AJ161">
        <v>89.218278502096396</v>
      </c>
      <c r="AK161">
        <v>296.39334749523101</v>
      </c>
      <c r="AL161">
        <v>85.063394739855696</v>
      </c>
      <c r="AM161">
        <v>91.169919540602095</v>
      </c>
      <c r="AN161">
        <v>0.99999996456657203</v>
      </c>
    </row>
    <row r="162" spans="1:40" x14ac:dyDescent="0.25">
      <c r="A162" t="str">
        <f>"20190312160605253"</f>
        <v>20190312160605253</v>
      </c>
      <c r="B162" t="str">
        <f>"1552377965245069"</f>
        <v>1552377965245069</v>
      </c>
      <c r="C162" t="s">
        <v>40</v>
      </c>
      <c r="D162">
        <v>5.745323</v>
      </c>
      <c r="E162">
        <v>0.49980160000000001</v>
      </c>
      <c r="F162" t="s">
        <v>46</v>
      </c>
      <c r="G162">
        <v>-177.4306</v>
      </c>
      <c r="H162">
        <v>50.240180000000002</v>
      </c>
      <c r="I162">
        <v>391.28050000000002</v>
      </c>
      <c r="J162">
        <v>-454.64179999999999</v>
      </c>
      <c r="K162">
        <v>1.1086959999999999</v>
      </c>
      <c r="L162">
        <v>368.24209999999999</v>
      </c>
      <c r="M162">
        <v>0.99844029999999995</v>
      </c>
      <c r="N162">
        <v>0</v>
      </c>
      <c r="O162">
        <v>5.5745370000000002E-2</v>
      </c>
      <c r="P162">
        <v>0.99374059999999997</v>
      </c>
      <c r="Q162">
        <v>8.2844089999999995E-2</v>
      </c>
      <c r="R162">
        <v>7.494344E-2</v>
      </c>
      <c r="S162">
        <v>2.9566349999999999</v>
      </c>
      <c r="T162">
        <v>0.52349009999999996</v>
      </c>
      <c r="U162">
        <v>0.24563599999999999</v>
      </c>
      <c r="V162">
        <v>-1.938732E-2</v>
      </c>
      <c r="W162">
        <v>8.5919010000000004E-2</v>
      </c>
      <c r="X162">
        <v>0.99611349999999999</v>
      </c>
      <c r="Y162">
        <v>-2.7545799999999902E-2</v>
      </c>
      <c r="Z162">
        <v>7.352356E-3</v>
      </c>
      <c r="AA162">
        <v>0.99959350000000002</v>
      </c>
      <c r="AB162">
        <v>28</v>
      </c>
      <c r="AC162">
        <v>277.21120000000002</v>
      </c>
      <c r="AD162">
        <v>49.131484</v>
      </c>
      <c r="AE162">
        <v>23.038399999999999</v>
      </c>
      <c r="AF162">
        <v>-7.3208744048450001</v>
      </c>
      <c r="AG162">
        <v>49.131484</v>
      </c>
      <c r="AH162">
        <v>269.65216520045999</v>
      </c>
      <c r="AI162">
        <v>79.677523435293097</v>
      </c>
      <c r="AJ162">
        <v>91.555159747431404</v>
      </c>
      <c r="AK162">
        <v>274.18932896702898</v>
      </c>
      <c r="AL162">
        <v>85.071126516589899</v>
      </c>
      <c r="AM162">
        <v>91.1150048492444</v>
      </c>
      <c r="AN162">
        <v>1.0000000246692</v>
      </c>
    </row>
    <row r="163" spans="1:40" x14ac:dyDescent="0.25">
      <c r="A163" t="str">
        <f>"20190312160605266"</f>
        <v>20190312160605266</v>
      </c>
      <c r="B163" t="str">
        <f>"1552377965254826"</f>
        <v>1552377965254826</v>
      </c>
      <c r="C163" t="s">
        <v>40</v>
      </c>
      <c r="D163">
        <v>5.8753140000000004</v>
      </c>
      <c r="E163">
        <v>0.49895659999999997</v>
      </c>
      <c r="F163" t="s">
        <v>41</v>
      </c>
      <c r="G163">
        <v>0</v>
      </c>
      <c r="H163">
        <v>0</v>
      </c>
      <c r="I163">
        <v>0</v>
      </c>
      <c r="J163">
        <v>-454.48509999999999</v>
      </c>
      <c r="K163">
        <v>1.1086549999999999</v>
      </c>
      <c r="L163">
        <v>368.25060000000002</v>
      </c>
      <c r="M163">
        <v>0.99845220000000001</v>
      </c>
      <c r="N163">
        <v>0</v>
      </c>
      <c r="O163">
        <v>5.553102E-2</v>
      </c>
      <c r="P163">
        <v>0.99377159999999998</v>
      </c>
      <c r="Q163">
        <v>8.2769220000000004E-2</v>
      </c>
      <c r="R163">
        <v>7.4614120000000006E-2</v>
      </c>
      <c r="S163">
        <v>3.0007320000000002</v>
      </c>
      <c r="T163">
        <v>1.9541139999999999E-2</v>
      </c>
      <c r="U163">
        <v>0.2192993</v>
      </c>
      <c r="V163">
        <v>-1.9261509999999999E-2</v>
      </c>
      <c r="W163">
        <v>8.5877199999999904E-2</v>
      </c>
      <c r="X163">
        <v>0.99611950000000005</v>
      </c>
      <c r="Y163">
        <v>-1.7392290000000001E-2</v>
      </c>
      <c r="Z163">
        <v>3.0426470000000002E-4</v>
      </c>
      <c r="AA163">
        <v>0.99984870000000003</v>
      </c>
      <c r="AB163">
        <v>28</v>
      </c>
      <c r="AC163">
        <v>3.0007320000000002</v>
      </c>
      <c r="AD163">
        <v>1.9541139999999999E-2</v>
      </c>
      <c r="AE163">
        <v>0.2192993</v>
      </c>
      <c r="AF163">
        <v>-5.2324201488975403E-2</v>
      </c>
      <c r="AG163">
        <v>1.9541139999999999E-2</v>
      </c>
      <c r="AH163">
        <v>3.0081527941177102</v>
      </c>
      <c r="AI163">
        <v>89.627864723622096</v>
      </c>
      <c r="AJ163">
        <v>90.996509759354694</v>
      </c>
      <c r="AK163">
        <v>3.00867128662673</v>
      </c>
      <c r="AL163">
        <v>85.073530713285095</v>
      </c>
      <c r="AM163">
        <v>91.107764394148106</v>
      </c>
      <c r="AN163">
        <v>0.99999997876378399</v>
      </c>
    </row>
    <row r="164" spans="1:40" x14ac:dyDescent="0.25">
      <c r="A164" t="str">
        <f>"20190312160605286"</f>
        <v>20190312160605286</v>
      </c>
      <c r="B164" t="str">
        <f>"1552377965274888"</f>
        <v>1552377965274888</v>
      </c>
      <c r="C164" t="s">
        <v>40</v>
      </c>
      <c r="D164">
        <v>5.63253</v>
      </c>
      <c r="E164">
        <v>0.50028459999999997</v>
      </c>
      <c r="F164" t="s">
        <v>41</v>
      </c>
      <c r="G164">
        <v>0</v>
      </c>
      <c r="H164">
        <v>0</v>
      </c>
      <c r="I164">
        <v>0</v>
      </c>
      <c r="J164">
        <v>-454.23469999999998</v>
      </c>
      <c r="K164">
        <v>1.108584</v>
      </c>
      <c r="L164">
        <v>368.26420000000002</v>
      </c>
      <c r="M164">
        <v>0.99847419999999998</v>
      </c>
      <c r="N164">
        <v>0</v>
      </c>
      <c r="O164">
        <v>5.5131060000000003E-2</v>
      </c>
      <c r="P164">
        <v>0.99382360000000003</v>
      </c>
      <c r="Q164">
        <v>8.2924999999999999E-2</v>
      </c>
      <c r="R164">
        <v>7.3744249999999997E-2</v>
      </c>
      <c r="S164">
        <v>2.9949340000000002</v>
      </c>
      <c r="T164">
        <v>8.2259890000000002E-2</v>
      </c>
      <c r="U164">
        <v>0.22683719999999999</v>
      </c>
      <c r="V164">
        <v>-1.877384E-2</v>
      </c>
      <c r="W164">
        <v>8.6084789999999994E-2</v>
      </c>
      <c r="X164">
        <v>0.99611090000000002</v>
      </c>
      <c r="Y164">
        <v>-2.0448210000000001E-2</v>
      </c>
      <c r="Z164">
        <v>1.2300799999999999E-3</v>
      </c>
      <c r="AA164">
        <v>0.99979010000000001</v>
      </c>
      <c r="AB164">
        <v>28</v>
      </c>
      <c r="AC164">
        <v>2.9949340000000002</v>
      </c>
      <c r="AD164">
        <v>8.2259890000000002E-2</v>
      </c>
      <c r="AE164">
        <v>0.22683719999999999</v>
      </c>
      <c r="AF164">
        <v>-6.1331503089333501E-2</v>
      </c>
      <c r="AG164">
        <v>8.2259890000000002E-2</v>
      </c>
      <c r="AH164">
        <v>3.0006341095159699</v>
      </c>
      <c r="AI164">
        <v>88.430004887821099</v>
      </c>
      <c r="AJ164">
        <v>91.170934847518893</v>
      </c>
      <c r="AK164">
        <v>3.00238793328989</v>
      </c>
      <c r="AL164">
        <v>85.061592511059104</v>
      </c>
      <c r="AM164">
        <v>91.079733652940405</v>
      </c>
      <c r="AN164">
        <v>0.99999998661824896</v>
      </c>
    </row>
    <row r="165" spans="1:40" x14ac:dyDescent="0.25">
      <c r="A165" t="str">
        <f>"20190312160605298"</f>
        <v>20190312160605298</v>
      </c>
      <c r="B165" t="str">
        <f>"1552377965295384"</f>
        <v>1552377965295384</v>
      </c>
      <c r="C165" t="s">
        <v>40</v>
      </c>
      <c r="D165">
        <v>5.7376670000000001</v>
      </c>
      <c r="E165">
        <v>0.50075349999999996</v>
      </c>
      <c r="F165" t="s">
        <v>41</v>
      </c>
      <c r="G165">
        <v>0</v>
      </c>
      <c r="H165">
        <v>0</v>
      </c>
      <c r="I165">
        <v>0</v>
      </c>
      <c r="J165">
        <v>-454.08539999999999</v>
      </c>
      <c r="K165">
        <v>1.108541</v>
      </c>
      <c r="L165">
        <v>368.2722</v>
      </c>
      <c r="M165">
        <v>0.99848930000000002</v>
      </c>
      <c r="N165">
        <v>0</v>
      </c>
      <c r="O165">
        <v>5.4855170000000002E-2</v>
      </c>
      <c r="P165">
        <v>0.99385599999999996</v>
      </c>
      <c r="Q165">
        <v>8.2921529999999993E-2</v>
      </c>
      <c r="R165">
        <v>7.3310319999999998E-2</v>
      </c>
      <c r="S165">
        <v>2.991638</v>
      </c>
      <c r="T165">
        <v>0.13251979999999999</v>
      </c>
      <c r="U165">
        <v>0.21521000000000001</v>
      </c>
      <c r="V165">
        <v>-1.8604229999999999E-2</v>
      </c>
      <c r="W165">
        <v>8.6113300000000004E-2</v>
      </c>
      <c r="X165">
        <v>0.99611159999999999</v>
      </c>
      <c r="Y165">
        <v>-1.696655E-2</v>
      </c>
      <c r="Z165">
        <v>2.0483770000000001E-3</v>
      </c>
      <c r="AA165">
        <v>0.99985400000000002</v>
      </c>
      <c r="AB165">
        <v>28</v>
      </c>
      <c r="AC165">
        <v>2.991638</v>
      </c>
      <c r="AD165">
        <v>0.13251979999999999</v>
      </c>
      <c r="AE165">
        <v>0.21521000000000001</v>
      </c>
      <c r="AF165">
        <v>-5.0679394603586898E-2</v>
      </c>
      <c r="AG165">
        <v>0.13251979999999999</v>
      </c>
      <c r="AH165">
        <v>2.9930961310362298</v>
      </c>
      <c r="AI165">
        <v>87.465238901392198</v>
      </c>
      <c r="AJ165">
        <v>90.970045011996405</v>
      </c>
      <c r="AK165">
        <v>2.9964569658270501</v>
      </c>
      <c r="AL165">
        <v>85.059952831301302</v>
      </c>
      <c r="AM165">
        <v>91.069980455462002</v>
      </c>
      <c r="AN165">
        <v>0.99999996873267005</v>
      </c>
    </row>
    <row r="166" spans="1:40" x14ac:dyDescent="0.25">
      <c r="A166" t="str">
        <f>"20190312160605320"</f>
        <v>20190312160605320</v>
      </c>
      <c r="B166" t="str">
        <f>"1552377965314904"</f>
        <v>1552377965314904</v>
      </c>
      <c r="C166" t="s">
        <v>40</v>
      </c>
      <c r="D166">
        <v>5.6577650000000004</v>
      </c>
      <c r="E166">
        <v>0.50349880000000002</v>
      </c>
      <c r="F166" t="s">
        <v>41</v>
      </c>
      <c r="G166">
        <v>0</v>
      </c>
      <c r="H166">
        <v>0</v>
      </c>
      <c r="I166">
        <v>0</v>
      </c>
      <c r="J166">
        <v>-453.80259999999998</v>
      </c>
      <c r="K166">
        <v>1.108466</v>
      </c>
      <c r="L166">
        <v>368.28719999999998</v>
      </c>
      <c r="M166">
        <v>0.99852269999999999</v>
      </c>
      <c r="N166">
        <v>0</v>
      </c>
      <c r="O166">
        <v>5.4240030000000002E-2</v>
      </c>
      <c r="P166">
        <v>0.9938766</v>
      </c>
      <c r="Q166">
        <v>8.3505220000000005E-2</v>
      </c>
      <c r="R166">
        <v>7.2364510000000007E-2</v>
      </c>
      <c r="S166">
        <v>2.9856569999999998</v>
      </c>
      <c r="T166">
        <v>0.2061192</v>
      </c>
      <c r="U166">
        <v>0.21264649999999999</v>
      </c>
      <c r="V166">
        <v>-1.825456E-2</v>
      </c>
      <c r="W166">
        <v>8.6755570000000004E-2</v>
      </c>
      <c r="X166">
        <v>0.99606240000000001</v>
      </c>
      <c r="Y166">
        <v>-1.692308E-2</v>
      </c>
      <c r="Z166">
        <v>3.1494940000000001E-3</v>
      </c>
      <c r="AA166">
        <v>0.99985179999999996</v>
      </c>
      <c r="AB166">
        <v>28</v>
      </c>
      <c r="AC166">
        <v>2.9856569999999998</v>
      </c>
      <c r="AD166">
        <v>0.2061192</v>
      </c>
      <c r="AE166">
        <v>0.21264649999999999</v>
      </c>
      <c r="AF166">
        <v>-5.0152672125871302E-2</v>
      </c>
      <c r="AG166">
        <v>0.2061192</v>
      </c>
      <c r="AH166">
        <v>2.9786710640365901</v>
      </c>
      <c r="AI166">
        <v>86.042094518209794</v>
      </c>
      <c r="AJ166">
        <v>90.964613039031207</v>
      </c>
      <c r="AK166">
        <v>2.9862152840776401</v>
      </c>
      <c r="AL166">
        <v>85.023015543872702</v>
      </c>
      <c r="AM166">
        <v>91.049926362414794</v>
      </c>
      <c r="AN166">
        <v>1.0000000312902799</v>
      </c>
    </row>
    <row r="167" spans="1:40" x14ac:dyDescent="0.25">
      <c r="A167" t="str">
        <f>"20190312160605331"</f>
        <v>20190312160605331</v>
      </c>
      <c r="B167" t="str">
        <f>"1552377965325639"</f>
        <v>1552377965325639</v>
      </c>
      <c r="C167" t="s">
        <v>40</v>
      </c>
      <c r="D167">
        <v>5.6807019999999904</v>
      </c>
      <c r="E167">
        <v>0.50507299999999999</v>
      </c>
      <c r="F167" t="s">
        <v>43</v>
      </c>
      <c r="G167">
        <v>-285.21629999999999</v>
      </c>
      <c r="H167">
        <v>9.0087240000000008</v>
      </c>
      <c r="I167">
        <v>378.7704</v>
      </c>
      <c r="J167">
        <v>-453.65629999999999</v>
      </c>
      <c r="K167">
        <v>1.108428</v>
      </c>
      <c r="L167">
        <v>368.29480000000001</v>
      </c>
      <c r="M167">
        <v>0.99854180000000003</v>
      </c>
      <c r="N167">
        <v>0</v>
      </c>
      <c r="O167">
        <v>5.3884910000000001E-2</v>
      </c>
      <c r="P167">
        <v>0.99386509999999995</v>
      </c>
      <c r="Q167">
        <v>8.3845080000000002E-2</v>
      </c>
      <c r="R167">
        <v>7.2126369999999995E-2</v>
      </c>
      <c r="S167">
        <v>2.9931950000000001</v>
      </c>
      <c r="T167">
        <v>0.1402677</v>
      </c>
      <c r="U167">
        <v>0.18612670000000001</v>
      </c>
      <c r="V167">
        <v>-1.8361789999999999E-2</v>
      </c>
      <c r="W167">
        <v>8.7126590000000004E-2</v>
      </c>
      <c r="X167">
        <v>0.99602800000000002</v>
      </c>
      <c r="Y167">
        <v>-8.241745E-3</v>
      </c>
      <c r="Z167">
        <v>2.3265730000000002E-3</v>
      </c>
      <c r="AA167">
        <v>0.9999633</v>
      </c>
      <c r="AB167">
        <v>28</v>
      </c>
      <c r="AC167">
        <v>168.44</v>
      </c>
      <c r="AD167">
        <v>7.900296</v>
      </c>
      <c r="AE167">
        <v>10.475599999999901</v>
      </c>
      <c r="AF167">
        <v>-1.3809314772722101</v>
      </c>
      <c r="AG167">
        <v>7.900296</v>
      </c>
      <c r="AH167">
        <v>168.390749742819</v>
      </c>
      <c r="AI167">
        <v>87.313945394709606</v>
      </c>
      <c r="AJ167">
        <v>90.469858183612899</v>
      </c>
      <c r="AK167">
        <v>168.58163081303101</v>
      </c>
      <c r="AL167">
        <v>85.001676644506205</v>
      </c>
      <c r="AM167">
        <v>91.056128859444897</v>
      </c>
      <c r="AN167">
        <v>0.99999998740051599</v>
      </c>
    </row>
    <row r="168" spans="1:40" x14ac:dyDescent="0.25">
      <c r="A168" t="str">
        <f>"20190312160605343"</f>
        <v>20190312160605343</v>
      </c>
      <c r="B168" t="str">
        <f>"1552377965335401"</f>
        <v>1552377965335401</v>
      </c>
      <c r="C168" t="s">
        <v>40</v>
      </c>
      <c r="D168">
        <v>5.6462760000000003</v>
      </c>
      <c r="E168">
        <v>0.50589899999999999</v>
      </c>
      <c r="F168" t="s">
        <v>42</v>
      </c>
      <c r="G168">
        <v>-158.78319999999999</v>
      </c>
      <c r="H168">
        <v>15.26445</v>
      </c>
      <c r="I168">
        <v>385.29860000000002</v>
      </c>
      <c r="J168">
        <v>-453.50790000000001</v>
      </c>
      <c r="K168">
        <v>1.1083889999999901</v>
      </c>
      <c r="L168">
        <v>368.30250000000001</v>
      </c>
      <c r="M168">
        <v>0.99856290000000003</v>
      </c>
      <c r="N168">
        <v>0</v>
      </c>
      <c r="O168">
        <v>5.3489200000000001E-2</v>
      </c>
      <c r="P168">
        <v>0.99384510000000004</v>
      </c>
      <c r="Q168">
        <v>8.4380899999999995E-2</v>
      </c>
      <c r="R168">
        <v>7.1776430000000002E-2</v>
      </c>
      <c r="S168">
        <v>2.9938349999999998</v>
      </c>
      <c r="T168">
        <v>0.1437263</v>
      </c>
      <c r="U168">
        <v>0.17263789999999901</v>
      </c>
      <c r="V168">
        <v>-1.8398379999999999E-2</v>
      </c>
      <c r="W168">
        <v>8.7693750000000001E-2</v>
      </c>
      <c r="X168">
        <v>0.99597760000000002</v>
      </c>
      <c r="Y168">
        <v>-4.1422009999999999E-3</v>
      </c>
      <c r="Z168">
        <v>2.4630950000000002E-3</v>
      </c>
      <c r="AA168">
        <v>0.9999884</v>
      </c>
      <c r="AB168">
        <v>28</v>
      </c>
      <c r="AC168">
        <v>294.72469999999998</v>
      </c>
      <c r="AD168">
        <v>14.156060999999999</v>
      </c>
      <c r="AE168">
        <v>16.996099999999998</v>
      </c>
      <c r="AF168">
        <v>-1.2043239517447699</v>
      </c>
      <c r="AG168">
        <v>14.156060999999999</v>
      </c>
      <c r="AH168">
        <v>294.53464278547699</v>
      </c>
      <c r="AI168">
        <v>87.248364036092397</v>
      </c>
      <c r="AJ168">
        <v>90.234275650557294</v>
      </c>
      <c r="AK168">
        <v>294.87709348131</v>
      </c>
      <c r="AL168">
        <v>84.969056160271407</v>
      </c>
      <c r="AM168">
        <v>91.058286493994999</v>
      </c>
      <c r="AN168">
        <v>1.0000000369387201</v>
      </c>
    </row>
    <row r="169" spans="1:40" x14ac:dyDescent="0.25">
      <c r="A169" t="str">
        <f>"20190312160605355"</f>
        <v>20190312160605355</v>
      </c>
      <c r="B169" t="str">
        <f>"1552377965345160"</f>
        <v>1552377965345160</v>
      </c>
      <c r="C169" t="s">
        <v>40</v>
      </c>
      <c r="D169">
        <v>5.7346750000000002</v>
      </c>
      <c r="E169">
        <v>0.5054459</v>
      </c>
      <c r="F169" t="s">
        <v>42</v>
      </c>
      <c r="G169">
        <v>-158.78319999999999</v>
      </c>
      <c r="H169">
        <v>15.635020000000001</v>
      </c>
      <c r="I169">
        <v>384.56650000000002</v>
      </c>
      <c r="J169">
        <v>-453.34399999999999</v>
      </c>
      <c r="K169">
        <v>1.1083459999999901</v>
      </c>
      <c r="L169">
        <v>368.31079999999997</v>
      </c>
      <c r="M169">
        <v>0.99858740000000001</v>
      </c>
      <c r="N169">
        <v>0</v>
      </c>
      <c r="O169">
        <v>5.3032349999999999E-2</v>
      </c>
      <c r="P169">
        <v>0.99384320000000004</v>
      </c>
      <c r="Q169">
        <v>8.4868349999999995E-2</v>
      </c>
      <c r="R169">
        <v>7.1227570000000004E-2</v>
      </c>
      <c r="S169">
        <v>2.994049</v>
      </c>
      <c r="T169">
        <v>0.14757390000000001</v>
      </c>
      <c r="U169">
        <v>0.16522220000000001</v>
      </c>
      <c r="V169">
        <v>-1.8295909999999999E-2</v>
      </c>
      <c r="W169">
        <v>8.8214799999999996E-2</v>
      </c>
      <c r="X169">
        <v>0.99593339999999997</v>
      </c>
      <c r="Y169">
        <v>-2.1315940000000001E-3</v>
      </c>
      <c r="Z169">
        <v>2.5560299999999999E-3</v>
      </c>
      <c r="AA169">
        <v>0.99999450000000001</v>
      </c>
      <c r="AB169">
        <v>29</v>
      </c>
      <c r="AC169">
        <v>294.56079999999997</v>
      </c>
      <c r="AD169">
        <v>14.526674</v>
      </c>
      <c r="AE169">
        <v>16.255700000000001</v>
      </c>
      <c r="AF169">
        <v>-0.61000994638475503</v>
      </c>
      <c r="AG169">
        <v>14.526674</v>
      </c>
      <c r="AH169">
        <v>294.29478780532298</v>
      </c>
      <c r="AI169">
        <v>87.174124835433403</v>
      </c>
      <c r="AJ169">
        <v>90.118761686520699</v>
      </c>
      <c r="AK169">
        <v>294.65372642988399</v>
      </c>
      <c r="AL169">
        <v>84.939085677495996</v>
      </c>
      <c r="AM169">
        <v>91.052440379099096</v>
      </c>
      <c r="AN169">
        <v>0.999999964248663</v>
      </c>
    </row>
    <row r="170" spans="1:40" x14ac:dyDescent="0.25">
      <c r="A170" t="str">
        <f>"20190312160605367"</f>
        <v>20190312160605367</v>
      </c>
      <c r="B170" t="str">
        <f>"1552377965354920"</f>
        <v>1552377965354920</v>
      </c>
      <c r="C170" t="s">
        <v>40</v>
      </c>
      <c r="D170">
        <v>5.5967909999999996</v>
      </c>
      <c r="E170">
        <v>0.50513799999999998</v>
      </c>
      <c r="F170" t="s">
        <v>42</v>
      </c>
      <c r="G170">
        <v>-158.78319999999999</v>
      </c>
      <c r="H170">
        <v>16.026789999999998</v>
      </c>
      <c r="I170">
        <v>384.75110000000001</v>
      </c>
      <c r="J170">
        <v>-453.18740000000003</v>
      </c>
      <c r="K170">
        <v>1.1082970000000001</v>
      </c>
      <c r="L170">
        <v>368.31869999999998</v>
      </c>
      <c r="M170">
        <v>0.99861279999999997</v>
      </c>
      <c r="N170">
        <v>0</v>
      </c>
      <c r="O170">
        <v>5.2547669999999998E-2</v>
      </c>
      <c r="P170">
        <v>0.99388770000000004</v>
      </c>
      <c r="Q170">
        <v>8.4949579999999997E-2</v>
      </c>
      <c r="R170">
        <v>7.0504720000000007E-2</v>
      </c>
      <c r="S170">
        <v>2.993652</v>
      </c>
      <c r="T170">
        <v>0.15161849999999999</v>
      </c>
      <c r="U170">
        <v>0.1670837</v>
      </c>
      <c r="V170">
        <v>-1.8045930000000002E-2</v>
      </c>
      <c r="W170">
        <v>8.8328799999999999E-2</v>
      </c>
      <c r="X170">
        <v>0.99592789999999998</v>
      </c>
      <c r="Y170">
        <v>-3.2455499999999998E-3</v>
      </c>
      <c r="Z170">
        <v>2.5736470000000001E-3</v>
      </c>
      <c r="AA170">
        <v>0.99999139999999997</v>
      </c>
      <c r="AB170">
        <v>29</v>
      </c>
      <c r="AC170">
        <v>294.4042</v>
      </c>
      <c r="AD170">
        <v>14.9184929999999</v>
      </c>
      <c r="AE170">
        <v>16.432400000000001</v>
      </c>
      <c r="AF170">
        <v>-0.93695704527821799</v>
      </c>
      <c r="AG170">
        <v>14.9184929999999</v>
      </c>
      <c r="AH170">
        <v>294.10807424317898</v>
      </c>
      <c r="AI170">
        <v>87.096202161173807</v>
      </c>
      <c r="AJ170">
        <v>90.182529849974003</v>
      </c>
      <c r="AK170">
        <v>294.487688464097</v>
      </c>
      <c r="AL170">
        <v>84.932528579893599</v>
      </c>
      <c r="AM170">
        <v>91.0380696144409</v>
      </c>
      <c r="AN170">
        <v>1.0000000072487001</v>
      </c>
    </row>
    <row r="171" spans="1:40" x14ac:dyDescent="0.25">
      <c r="A171" t="str">
        <f>"20190312160605386"</f>
        <v>20190312160605386</v>
      </c>
      <c r="B171" t="str">
        <f>"1552377965375288"</f>
        <v>1552377965375288</v>
      </c>
      <c r="C171" t="s">
        <v>40</v>
      </c>
      <c r="D171">
        <v>5.8211170000000001</v>
      </c>
      <c r="E171">
        <v>0.5041639</v>
      </c>
      <c r="F171" t="s">
        <v>42</v>
      </c>
      <c r="G171">
        <v>-158.78319999999999</v>
      </c>
      <c r="H171">
        <v>16.29571</v>
      </c>
      <c r="I171">
        <v>384.77280000000002</v>
      </c>
      <c r="J171">
        <v>-452.9434</v>
      </c>
      <c r="K171">
        <v>1.1082259999999999</v>
      </c>
      <c r="L171">
        <v>368.33069999999998</v>
      </c>
      <c r="M171">
        <v>0.99865490000000001</v>
      </c>
      <c r="N171">
        <v>0</v>
      </c>
      <c r="O171">
        <v>5.1738300000000001E-2</v>
      </c>
      <c r="P171">
        <v>0.99395040000000001</v>
      </c>
      <c r="Q171">
        <v>8.4788959999999997E-2</v>
      </c>
      <c r="R171">
        <v>6.9810700000000003E-2</v>
      </c>
      <c r="S171">
        <v>2.9933779999999999</v>
      </c>
      <c r="T171">
        <v>0.15442</v>
      </c>
      <c r="U171">
        <v>0.16729740000000001</v>
      </c>
      <c r="V171">
        <v>-1.814203E-2</v>
      </c>
      <c r="W171">
        <v>8.8219560000000002E-2</v>
      </c>
      <c r="X171">
        <v>0.99593589999999999</v>
      </c>
      <c r="Y171">
        <v>-4.1323810000000001E-3</v>
      </c>
      <c r="Z171">
        <v>2.5569109999999998E-3</v>
      </c>
      <c r="AA171">
        <v>0.99998819999999999</v>
      </c>
      <c r="AB171">
        <v>29</v>
      </c>
      <c r="AC171">
        <v>294.16019999999997</v>
      </c>
      <c r="AD171">
        <v>15.187484</v>
      </c>
      <c r="AE171">
        <v>16.4421</v>
      </c>
      <c r="AF171">
        <v>-1.1974599101016301</v>
      </c>
      <c r="AG171">
        <v>15.187484</v>
      </c>
      <c r="AH171">
        <v>293.83608526517702</v>
      </c>
      <c r="AI171">
        <v>87.041214792324496</v>
      </c>
      <c r="AJ171">
        <v>90.233494191532301</v>
      </c>
      <c r="AK171">
        <v>294.230757373274</v>
      </c>
      <c r="AL171">
        <v>84.938812421098106</v>
      </c>
      <c r="AM171">
        <v>91.043588046764697</v>
      </c>
      <c r="AN171">
        <v>1.00000007046395</v>
      </c>
    </row>
    <row r="172" spans="1:40" x14ac:dyDescent="0.25">
      <c r="A172" t="str">
        <f>"20190312160605411"</f>
        <v>20190312160605411</v>
      </c>
      <c r="B172" t="str">
        <f>"1552377965405540"</f>
        <v>1552377965405540</v>
      </c>
      <c r="C172" t="s">
        <v>40</v>
      </c>
      <c r="D172">
        <v>5.7423830000000002</v>
      </c>
      <c r="E172">
        <v>0.50335379999999996</v>
      </c>
      <c r="F172" t="s">
        <v>42</v>
      </c>
      <c r="G172">
        <v>-158.78319999999999</v>
      </c>
      <c r="H172">
        <v>16.602429999999998</v>
      </c>
      <c r="I172">
        <v>385.36</v>
      </c>
      <c r="J172">
        <v>-452.6352</v>
      </c>
      <c r="K172">
        <v>1.108142</v>
      </c>
      <c r="L172">
        <v>368.34570000000002</v>
      </c>
      <c r="M172">
        <v>0.99871239999999994</v>
      </c>
      <c r="N172">
        <v>0</v>
      </c>
      <c r="O172">
        <v>5.0613850000000002E-2</v>
      </c>
      <c r="P172">
        <v>0.99407299999999998</v>
      </c>
      <c r="Q172">
        <v>8.4504720000000005E-2</v>
      </c>
      <c r="R172">
        <v>6.8396289999999998E-2</v>
      </c>
      <c r="S172">
        <v>2.9926759999999999</v>
      </c>
      <c r="T172">
        <v>0.1576331</v>
      </c>
      <c r="U172">
        <v>0.17324829999999999</v>
      </c>
      <c r="V172">
        <v>-1.7826100000000001E-2</v>
      </c>
      <c r="W172">
        <v>8.7999640000000004E-2</v>
      </c>
      <c r="X172">
        <v>0.99596099999999999</v>
      </c>
      <c r="Y172">
        <v>-7.250205E-3</v>
      </c>
      <c r="Z172">
        <v>2.4694460000000001E-3</v>
      </c>
      <c r="AA172">
        <v>0.99997069999999999</v>
      </c>
      <c r="AB172">
        <v>29</v>
      </c>
      <c r="AC172">
        <v>293.85199999999998</v>
      </c>
      <c r="AD172">
        <v>15.4942879999999</v>
      </c>
      <c r="AE172">
        <v>17.014299999999899</v>
      </c>
      <c r="AF172">
        <v>-2.1135671817994202</v>
      </c>
      <c r="AG172">
        <v>15.4942879999999</v>
      </c>
      <c r="AH172">
        <v>293.52318405984198</v>
      </c>
      <c r="AI172">
        <v>86.978394875076305</v>
      </c>
      <c r="AJ172">
        <v>90.412561572296696</v>
      </c>
      <c r="AK172">
        <v>293.93944904943697</v>
      </c>
      <c r="AL172">
        <v>84.951461799345594</v>
      </c>
      <c r="AM172">
        <v>91.025392812625697</v>
      </c>
      <c r="AN172">
        <v>1.0000000100011599</v>
      </c>
    </row>
    <row r="173" spans="1:40" x14ac:dyDescent="0.25">
      <c r="A173" t="str">
        <f>"20190312160605431"</f>
        <v>20190312160605431</v>
      </c>
      <c r="B173" t="str">
        <f>"1552377965425060"</f>
        <v>1552377965425060</v>
      </c>
      <c r="C173" t="s">
        <v>40</v>
      </c>
      <c r="D173">
        <v>5.7785950000000001</v>
      </c>
      <c r="E173">
        <v>0.50273459999999903</v>
      </c>
      <c r="F173" t="s">
        <v>42</v>
      </c>
      <c r="G173">
        <v>-158.78319999999999</v>
      </c>
      <c r="H173">
        <v>16.771989999999999</v>
      </c>
      <c r="I173">
        <v>385.56610000000001</v>
      </c>
      <c r="J173">
        <v>-452.35449999999997</v>
      </c>
      <c r="K173">
        <v>1.108061</v>
      </c>
      <c r="L173">
        <v>368.35879999999997</v>
      </c>
      <c r="M173">
        <v>0.99876849999999995</v>
      </c>
      <c r="N173">
        <v>0</v>
      </c>
      <c r="O173">
        <v>4.9488409999999997E-2</v>
      </c>
      <c r="P173">
        <v>0.99419230000000003</v>
      </c>
      <c r="Q173">
        <v>8.3996790000000002E-2</v>
      </c>
      <c r="R173">
        <v>6.7278690000000002E-2</v>
      </c>
      <c r="S173">
        <v>2.9922789999999999</v>
      </c>
      <c r="T173">
        <v>0.15950490000000001</v>
      </c>
      <c r="U173">
        <v>0.17535400000000001</v>
      </c>
      <c r="V173">
        <v>-1.7809709999999999E-2</v>
      </c>
      <c r="W173">
        <v>8.7551229999999994E-2</v>
      </c>
      <c r="X173">
        <v>0.99600080000000002</v>
      </c>
      <c r="Y173">
        <v>-9.0832380000000004E-3</v>
      </c>
      <c r="Z173">
        <v>2.390419E-3</v>
      </c>
      <c r="AA173">
        <v>0.99995590000000001</v>
      </c>
      <c r="AB173">
        <v>29</v>
      </c>
      <c r="AC173">
        <v>293.57129999999898</v>
      </c>
      <c r="AD173">
        <v>15.663929</v>
      </c>
      <c r="AE173">
        <v>17.2073</v>
      </c>
      <c r="AF173">
        <v>-2.65022966264352</v>
      </c>
      <c r="AG173">
        <v>15.663929</v>
      </c>
      <c r="AH173">
        <v>293.23120364977598</v>
      </c>
      <c r="AI173">
        <v>86.942384493113195</v>
      </c>
      <c r="AJ173">
        <v>90.517826336832997</v>
      </c>
      <c r="AK173">
        <v>293.66123541059801</v>
      </c>
      <c r="AL173">
        <v>84.977253290455707</v>
      </c>
      <c r="AM173">
        <v>91.024409300054103</v>
      </c>
      <c r="AN173">
        <v>0.99999999862271804</v>
      </c>
    </row>
    <row r="174" spans="1:40" x14ac:dyDescent="0.25">
      <c r="A174" t="str">
        <f>"20190312160605455"</f>
        <v>20190312160605455</v>
      </c>
      <c r="B174" t="str">
        <f>"1552377965445559"</f>
        <v>1552377965445559</v>
      </c>
      <c r="C174" t="s">
        <v>40</v>
      </c>
      <c r="D174">
        <v>5.8058350000000001</v>
      </c>
      <c r="E174">
        <v>0.50246199999999996</v>
      </c>
      <c r="F174" t="s">
        <v>42</v>
      </c>
      <c r="G174">
        <v>-158.78319999999999</v>
      </c>
      <c r="H174">
        <v>16.75264</v>
      </c>
      <c r="I174">
        <v>385.75259999999997</v>
      </c>
      <c r="J174">
        <v>-452.0566</v>
      </c>
      <c r="K174">
        <v>1.1079779999999999</v>
      </c>
      <c r="L174">
        <v>368.3723</v>
      </c>
      <c r="M174">
        <v>0.99883160000000004</v>
      </c>
      <c r="N174">
        <v>0</v>
      </c>
      <c r="O174">
        <v>4.8194330000000001E-2</v>
      </c>
      <c r="P174">
        <v>0.9942107</v>
      </c>
      <c r="Q174">
        <v>8.4352109999999994E-2</v>
      </c>
      <c r="R174">
        <v>6.6557450000000004E-2</v>
      </c>
      <c r="S174">
        <v>2.9920650000000002</v>
      </c>
      <c r="T174">
        <v>0.1594497</v>
      </c>
      <c r="U174">
        <v>0.17727660000000001</v>
      </c>
      <c r="V174">
        <v>-1.8359940000000002E-2</v>
      </c>
      <c r="W174">
        <v>8.7970199999999998E-2</v>
      </c>
      <c r="X174">
        <v>0.99595389999999995</v>
      </c>
      <c r="Y174">
        <v>-1.1018679999999999E-2</v>
      </c>
      <c r="Z174">
        <v>2.2694770000000002E-3</v>
      </c>
      <c r="AA174">
        <v>0.99993670000000001</v>
      </c>
      <c r="AB174">
        <v>29</v>
      </c>
      <c r="AC174">
        <v>293.27339999999998</v>
      </c>
      <c r="AD174">
        <v>15.644662</v>
      </c>
      <c r="AE174">
        <v>17.380299999999899</v>
      </c>
      <c r="AF174">
        <v>-3.2167764893960702</v>
      </c>
      <c r="AG174">
        <v>15.644662</v>
      </c>
      <c r="AH174">
        <v>292.93954625562799</v>
      </c>
      <c r="AI174">
        <v>86.943162909870694</v>
      </c>
      <c r="AJ174">
        <v>90.629141101809793</v>
      </c>
      <c r="AK174">
        <v>293.37464249749002</v>
      </c>
      <c r="AL174">
        <v>84.953155140086693</v>
      </c>
      <c r="AM174">
        <v>91.056101027073694</v>
      </c>
      <c r="AN174">
        <v>1.0000000072050199</v>
      </c>
    </row>
    <row r="175" spans="1:40" x14ac:dyDescent="0.25">
      <c r="A175" t="str">
        <f>"20190312160605477"</f>
        <v>20190312160605477</v>
      </c>
      <c r="B175" t="str">
        <f>"1552377965465076"</f>
        <v>1552377965465076</v>
      </c>
      <c r="C175" t="s">
        <v>40</v>
      </c>
      <c r="D175">
        <v>5.7465210000000004</v>
      </c>
      <c r="E175">
        <v>0.50909329999999997</v>
      </c>
      <c r="F175" t="s">
        <v>42</v>
      </c>
      <c r="G175">
        <v>-158.78319999999999</v>
      </c>
      <c r="H175">
        <v>16.898779999999999</v>
      </c>
      <c r="I175">
        <v>385.74599999999998</v>
      </c>
      <c r="J175">
        <v>-451.76139999999998</v>
      </c>
      <c r="K175">
        <v>1.107898</v>
      </c>
      <c r="L175">
        <v>368.3852</v>
      </c>
      <c r="M175">
        <v>0.99889709999999998</v>
      </c>
      <c r="N175">
        <v>0</v>
      </c>
      <c r="O175">
        <v>4.6812819999999998E-2</v>
      </c>
      <c r="P175">
        <v>0.9943282</v>
      </c>
      <c r="Q175">
        <v>8.3969959999999996E-2</v>
      </c>
      <c r="R175">
        <v>6.5275009999999994E-2</v>
      </c>
      <c r="S175">
        <v>2.9919739999999999</v>
      </c>
      <c r="T175">
        <v>0.16109849999999901</v>
      </c>
      <c r="U175">
        <v>0.17724609999999999</v>
      </c>
      <c r="V175">
        <v>-1.8434550000000001E-2</v>
      </c>
      <c r="W175">
        <v>8.7650519999999996E-2</v>
      </c>
      <c r="X175">
        <v>0.99598070000000005</v>
      </c>
      <c r="Y175">
        <v>-1.2390429999999999E-2</v>
      </c>
      <c r="Z175">
        <v>2.1819589999999998E-3</v>
      </c>
      <c r="AA175">
        <v>0.99992080000000005</v>
      </c>
      <c r="AB175">
        <v>29</v>
      </c>
      <c r="AC175">
        <v>292.97820000000002</v>
      </c>
      <c r="AD175">
        <v>15.7908819999999</v>
      </c>
      <c r="AE175">
        <v>17.360799999999902</v>
      </c>
      <c r="AF175">
        <v>-3.6160730257145302</v>
      </c>
      <c r="AG175">
        <v>15.7908819999999</v>
      </c>
      <c r="AH175">
        <v>292.62262439831898</v>
      </c>
      <c r="AI175">
        <v>86.911362095590206</v>
      </c>
      <c r="AJ175">
        <v>90.707994393628297</v>
      </c>
      <c r="AK175">
        <v>293.07068814233998</v>
      </c>
      <c r="AL175">
        <v>84.971542447625595</v>
      </c>
      <c r="AM175">
        <v>91.060363241141204</v>
      </c>
      <c r="AN175">
        <v>1.0000000005312299</v>
      </c>
    </row>
    <row r="176" spans="1:40" x14ac:dyDescent="0.25">
      <c r="A176" t="str">
        <f>"20190312160605491"</f>
        <v>20190312160605491</v>
      </c>
      <c r="B176" t="str">
        <f>"1552377965485573"</f>
        <v>1552377965485573</v>
      </c>
      <c r="C176" t="s">
        <v>40</v>
      </c>
      <c r="D176">
        <v>6.1258790000000003</v>
      </c>
      <c r="E176">
        <v>0.50218830000000003</v>
      </c>
      <c r="F176" t="s">
        <v>45</v>
      </c>
      <c r="G176">
        <v>-422.61509999999998</v>
      </c>
      <c r="H176">
        <v>-0.05</v>
      </c>
      <c r="I176">
        <v>369.46289999999999</v>
      </c>
      <c r="J176">
        <v>-451.57249999999999</v>
      </c>
      <c r="K176">
        <v>1.1078520000000001</v>
      </c>
      <c r="L176">
        <v>368.39319999999998</v>
      </c>
      <c r="M176">
        <v>0.99893949999999998</v>
      </c>
      <c r="N176">
        <v>0</v>
      </c>
      <c r="O176">
        <v>4.5893370000000003E-2</v>
      </c>
      <c r="P176">
        <v>0.99439359999999999</v>
      </c>
      <c r="Q176">
        <v>8.4038520000000005E-2</v>
      </c>
      <c r="R176">
        <v>6.4179199999999895E-2</v>
      </c>
      <c r="S176">
        <v>3.0198969999999998</v>
      </c>
      <c r="T176">
        <v>-0.11997149999999999</v>
      </c>
      <c r="U176">
        <v>0.11166379999999999</v>
      </c>
      <c r="V176">
        <v>-1.824346E-2</v>
      </c>
      <c r="W176">
        <v>8.7757390000000005E-2</v>
      </c>
      <c r="X176">
        <v>0.99597480000000005</v>
      </c>
      <c r="Y176">
        <v>8.9073639999999992E-3</v>
      </c>
      <c r="Z176">
        <v>-1.9978130000000002E-3</v>
      </c>
      <c r="AA176">
        <v>0.99995829999999997</v>
      </c>
      <c r="AB176">
        <v>29</v>
      </c>
      <c r="AC176">
        <v>28.9574</v>
      </c>
      <c r="AD176">
        <v>-1.1578520000000001</v>
      </c>
      <c r="AE176">
        <v>1.0697000000000101</v>
      </c>
      <c r="AF176">
        <v>0.25997379672700499</v>
      </c>
      <c r="AG176">
        <v>-1.1578520000000001</v>
      </c>
      <c r="AH176">
        <v>28.929791765790402</v>
      </c>
      <c r="AI176">
        <v>92.291823304742806</v>
      </c>
      <c r="AJ176">
        <v>89.485132816789701</v>
      </c>
      <c r="AK176">
        <v>28.9541199009896</v>
      </c>
      <c r="AL176">
        <v>84.9653955220505</v>
      </c>
      <c r="AM176">
        <v>91.049380347845897</v>
      </c>
      <c r="AN176">
        <v>0.99999999278371099</v>
      </c>
    </row>
    <row r="177" spans="1:40" x14ac:dyDescent="0.25">
      <c r="A177" t="str">
        <f>"20190312160605510"</f>
        <v>20190312160605510</v>
      </c>
      <c r="B177" t="str">
        <f>"1552377965505093"</f>
        <v>1552377965505093</v>
      </c>
      <c r="C177" t="s">
        <v>40</v>
      </c>
      <c r="D177">
        <v>5.8586660000000004</v>
      </c>
      <c r="E177">
        <v>0.49985800000000002</v>
      </c>
      <c r="F177" t="s">
        <v>42</v>
      </c>
      <c r="G177">
        <v>-158.78319999999999</v>
      </c>
      <c r="H177">
        <v>19.26558</v>
      </c>
      <c r="I177">
        <v>385.31610000000001</v>
      </c>
      <c r="J177">
        <v>-451.32319999999999</v>
      </c>
      <c r="K177">
        <v>1.1078030000000001</v>
      </c>
      <c r="L177">
        <v>368.40339999999998</v>
      </c>
      <c r="M177">
        <v>0.99899640000000001</v>
      </c>
      <c r="N177">
        <v>0</v>
      </c>
      <c r="O177">
        <v>4.4636080000000002E-2</v>
      </c>
      <c r="P177">
        <v>0.99456259999999996</v>
      </c>
      <c r="Q177">
        <v>8.3462179999999997E-2</v>
      </c>
      <c r="R177">
        <v>6.2284190000000003E-2</v>
      </c>
      <c r="S177">
        <v>2.9900509999999998</v>
      </c>
      <c r="T177">
        <v>0.18543290000000001</v>
      </c>
      <c r="U177">
        <v>0.172821</v>
      </c>
      <c r="V177">
        <v>-1.758651E-2</v>
      </c>
      <c r="W177">
        <v>8.723061E-2</v>
      </c>
      <c r="X177">
        <v>0.9960329</v>
      </c>
      <c r="Y177">
        <v>-1.314308E-2</v>
      </c>
      <c r="Z177">
        <v>2.354849E-3</v>
      </c>
      <c r="AA177">
        <v>0.99991079999999999</v>
      </c>
      <c r="AB177">
        <v>29</v>
      </c>
      <c r="AC177">
        <v>292.54000000000002</v>
      </c>
      <c r="AD177">
        <v>18.157776999999999</v>
      </c>
      <c r="AE177">
        <v>16.912700000000001</v>
      </c>
      <c r="AF177">
        <v>-3.8232337237747398</v>
      </c>
      <c r="AG177">
        <v>18.157776999999999</v>
      </c>
      <c r="AH177">
        <v>291.88258392569099</v>
      </c>
      <c r="AI177">
        <v>86.440568242496497</v>
      </c>
      <c r="AJ177">
        <v>90.750447755150802</v>
      </c>
      <c r="AK177">
        <v>292.47181878059001</v>
      </c>
      <c r="AL177">
        <v>84.995694029132494</v>
      </c>
      <c r="AM177">
        <v>91.011540992049206</v>
      </c>
      <c r="AN177">
        <v>1.00000000126868</v>
      </c>
    </row>
    <row r="178" spans="1:40" x14ac:dyDescent="0.25">
      <c r="A178" t="str">
        <f>"20190312160605533"</f>
        <v>20190312160605533</v>
      </c>
      <c r="B178" t="str">
        <f>"1552377965525589"</f>
        <v>1552377965525589</v>
      </c>
      <c r="C178" t="s">
        <v>40</v>
      </c>
      <c r="D178">
        <v>5.9105089999999896</v>
      </c>
      <c r="E178">
        <v>0.49948520000000002</v>
      </c>
      <c r="F178" t="s">
        <v>42</v>
      </c>
      <c r="G178">
        <v>-158.78319999999999</v>
      </c>
      <c r="H178">
        <v>19.55208</v>
      </c>
      <c r="I178">
        <v>386.5874</v>
      </c>
      <c r="J178">
        <v>-451.0154</v>
      </c>
      <c r="K178">
        <v>1.107748</v>
      </c>
      <c r="L178">
        <v>368.41559999999998</v>
      </c>
      <c r="M178">
        <v>0.99906680000000003</v>
      </c>
      <c r="N178">
        <v>0</v>
      </c>
      <c r="O178">
        <v>4.3025109999999998E-2</v>
      </c>
      <c r="P178">
        <v>0.99470449999999999</v>
      </c>
      <c r="Q178">
        <v>8.3522529999999998E-2</v>
      </c>
      <c r="R178">
        <v>5.9890840000000001E-2</v>
      </c>
      <c r="S178">
        <v>2.9889830000000002</v>
      </c>
      <c r="T178">
        <v>0.18845239999999999</v>
      </c>
      <c r="U178">
        <v>0.18579100000000001</v>
      </c>
      <c r="V178">
        <v>-1.678224E-2</v>
      </c>
      <c r="W178">
        <v>8.735126E-2</v>
      </c>
      <c r="X178">
        <v>0.99603620000000004</v>
      </c>
      <c r="Y178">
        <v>-1.9086160000000001E-2</v>
      </c>
      <c r="Z178">
        <v>2.1053759999999999E-3</v>
      </c>
      <c r="AA178">
        <v>0.99981560000000003</v>
      </c>
      <c r="AB178">
        <v>30</v>
      </c>
      <c r="AC178">
        <v>292.23219999999998</v>
      </c>
      <c r="AD178">
        <v>18.444331999999999</v>
      </c>
      <c r="AE178">
        <v>18.171800000000001</v>
      </c>
      <c r="AF178">
        <v>-5.5594984185304401</v>
      </c>
      <c r="AG178">
        <v>18.444331999999999</v>
      </c>
      <c r="AH178">
        <v>291.58636248821</v>
      </c>
      <c r="AI178">
        <v>86.381226447272894</v>
      </c>
      <c r="AJ178">
        <v>91.092291156867503</v>
      </c>
      <c r="AK178">
        <v>292.22201866850702</v>
      </c>
      <c r="AL178">
        <v>84.988754793742004</v>
      </c>
      <c r="AM178">
        <v>90.965286750373593</v>
      </c>
      <c r="AN178">
        <v>0.99999999895672198</v>
      </c>
    </row>
    <row r="179" spans="1:40" x14ac:dyDescent="0.25">
      <c r="A179" t="str">
        <f>"20190312160605554"</f>
        <v>20190312160605554</v>
      </c>
      <c r="B179" t="str">
        <f>"1552377965545112"</f>
        <v>1552377965545112</v>
      </c>
      <c r="C179" t="s">
        <v>40</v>
      </c>
      <c r="D179">
        <v>5.7665850000000001</v>
      </c>
      <c r="E179">
        <v>0.49926599999999999</v>
      </c>
      <c r="F179" t="s">
        <v>42</v>
      </c>
      <c r="G179">
        <v>-158.78319999999999</v>
      </c>
      <c r="H179">
        <v>19.543399999999998</v>
      </c>
      <c r="I179">
        <v>386.18830000000003</v>
      </c>
      <c r="J179">
        <v>-450.73410000000001</v>
      </c>
      <c r="K179">
        <v>1.1077060000000001</v>
      </c>
      <c r="L179">
        <v>368.42630000000003</v>
      </c>
      <c r="M179">
        <v>0.99913099999999999</v>
      </c>
      <c r="N179">
        <v>0</v>
      </c>
      <c r="O179">
        <v>4.1504359999999997E-2</v>
      </c>
      <c r="P179">
        <v>0.99475939999999996</v>
      </c>
      <c r="Q179">
        <v>8.409722E-2</v>
      </c>
      <c r="R179">
        <v>5.8150930000000003E-2</v>
      </c>
      <c r="S179">
        <v>2.9891969999999999</v>
      </c>
      <c r="T179">
        <v>0.1885762</v>
      </c>
      <c r="U179">
        <v>0.18179319999999999</v>
      </c>
      <c r="V179">
        <v>-1.6545750000000001E-2</v>
      </c>
      <c r="W179">
        <v>8.7980639999999999E-2</v>
      </c>
      <c r="X179">
        <v>0.99598469999999995</v>
      </c>
      <c r="Y179">
        <v>-1.9268130000000001E-2</v>
      </c>
      <c r="Z179">
        <v>2.0053549999999999E-3</v>
      </c>
      <c r="AA179">
        <v>0.99981240000000005</v>
      </c>
      <c r="AB179">
        <v>30</v>
      </c>
      <c r="AC179">
        <v>291.95089999999999</v>
      </c>
      <c r="AD179">
        <v>18.435694000000002</v>
      </c>
      <c r="AE179">
        <v>17.762</v>
      </c>
      <c r="AF179">
        <v>-5.6070949828215602</v>
      </c>
      <c r="AG179">
        <v>18.435694000000002</v>
      </c>
      <c r="AH179">
        <v>291.279345147659</v>
      </c>
      <c r="AI179">
        <v>86.379127032380197</v>
      </c>
      <c r="AJ179">
        <v>91.102801176316106</v>
      </c>
      <c r="AK179">
        <v>291.91603456654599</v>
      </c>
      <c r="AL179">
        <v>84.952554297376196</v>
      </c>
      <c r="AM179">
        <v>90.9517359558821</v>
      </c>
      <c r="AN179">
        <v>0.99999993874597903</v>
      </c>
    </row>
    <row r="180" spans="1:40" x14ac:dyDescent="0.25">
      <c r="A180" t="str">
        <f>"20190312160605567"</f>
        <v>20190312160605567</v>
      </c>
      <c r="B180" t="str">
        <f>"1552377965554869"</f>
        <v>1552377965554869</v>
      </c>
      <c r="C180" t="s">
        <v>40</v>
      </c>
      <c r="D180">
        <v>5.7771699999999999</v>
      </c>
      <c r="E180">
        <v>0.50751650000000004</v>
      </c>
      <c r="F180" t="s">
        <v>42</v>
      </c>
      <c r="G180">
        <v>-158.78319999999999</v>
      </c>
      <c r="H180">
        <v>19.699570000000001</v>
      </c>
      <c r="I180">
        <v>385.86849999999998</v>
      </c>
      <c r="J180">
        <v>-450.5634</v>
      </c>
      <c r="K180">
        <v>1.107688</v>
      </c>
      <c r="L180">
        <v>368.4325</v>
      </c>
      <c r="M180">
        <v>0.99916950000000004</v>
      </c>
      <c r="N180">
        <v>0</v>
      </c>
      <c r="O180">
        <v>4.0563660000000001E-2</v>
      </c>
      <c r="P180">
        <v>0.99483089999999996</v>
      </c>
      <c r="Q180">
        <v>8.4130830000000004E-2</v>
      </c>
      <c r="R180">
        <v>5.6866300000000002E-2</v>
      </c>
      <c r="S180">
        <v>2.989258</v>
      </c>
      <c r="T180">
        <v>0.19036110000000001</v>
      </c>
      <c r="U180">
        <v>0.17858889999999999</v>
      </c>
      <c r="V180">
        <v>-1.6191839999999999E-2</v>
      </c>
      <c r="W180">
        <v>8.8047130000000001E-2</v>
      </c>
      <c r="X180">
        <v>0.99598469999999995</v>
      </c>
      <c r="Y180">
        <v>-1.9139550000000002E-2</v>
      </c>
      <c r="Z180">
        <v>1.9687060000000002E-3</v>
      </c>
      <c r="AA180">
        <v>0.99981489999999995</v>
      </c>
      <c r="AB180">
        <v>30</v>
      </c>
      <c r="AC180">
        <v>291.78019999999998</v>
      </c>
      <c r="AD180">
        <v>18.591881999999998</v>
      </c>
      <c r="AE180">
        <v>17.4359999999999</v>
      </c>
      <c r="AF180">
        <v>-5.56338076532007</v>
      </c>
      <c r="AG180">
        <v>18.591881999999998</v>
      </c>
      <c r="AH180">
        <v>291.06975891719998</v>
      </c>
      <c r="AI180">
        <v>86.345901824927097</v>
      </c>
      <c r="AJ180">
        <v>91.094993276618197</v>
      </c>
      <c r="AK180">
        <v>291.715981457922</v>
      </c>
      <c r="AL180">
        <v>84.948730157675399</v>
      </c>
      <c r="AM180">
        <v>90.931382155685</v>
      </c>
      <c r="AN180">
        <v>0.99999999770895598</v>
      </c>
    </row>
    <row r="181" spans="1:40" x14ac:dyDescent="0.25">
      <c r="A181" t="str">
        <f>"20190312160605580"</f>
        <v>20190312160605580</v>
      </c>
      <c r="B181" t="str">
        <f>"1552377965575365"</f>
        <v>1552377965575365</v>
      </c>
      <c r="C181" t="s">
        <v>40</v>
      </c>
      <c r="D181">
        <v>5.8624099999999997</v>
      </c>
      <c r="E181">
        <v>0.4966602</v>
      </c>
      <c r="F181" t="s">
        <v>45</v>
      </c>
      <c r="G181">
        <v>-423.75240000000002</v>
      </c>
      <c r="H181">
        <v>-0.05</v>
      </c>
      <c r="I181">
        <v>369.31020000000001</v>
      </c>
      <c r="J181">
        <v>-450.39409999999998</v>
      </c>
      <c r="K181">
        <v>1.107669</v>
      </c>
      <c r="L181">
        <v>368.43849999999998</v>
      </c>
      <c r="M181">
        <v>0.99920699999999996</v>
      </c>
      <c r="N181">
        <v>0</v>
      </c>
      <c r="O181">
        <v>3.9626199999999903E-2</v>
      </c>
      <c r="P181">
        <v>0.99484810000000001</v>
      </c>
      <c r="Q181">
        <v>8.4571309999999997E-2</v>
      </c>
      <c r="R181">
        <v>5.5901840000000001E-2</v>
      </c>
      <c r="S181">
        <v>3.020966</v>
      </c>
      <c r="T181">
        <v>-0.13044420000000001</v>
      </c>
      <c r="U181">
        <v>9.8907469999999997E-2</v>
      </c>
      <c r="V181">
        <v>-1.6156009999999998E-2</v>
      </c>
      <c r="W181">
        <v>8.8520210000000002E-2</v>
      </c>
      <c r="X181">
        <v>0.99594340000000003</v>
      </c>
      <c r="Y181">
        <v>6.8649160000000004E-3</v>
      </c>
      <c r="Z181">
        <v>-1.857294E-3</v>
      </c>
      <c r="AA181">
        <v>0.99997469999999999</v>
      </c>
      <c r="AB181">
        <v>30</v>
      </c>
      <c r="AC181">
        <v>26.641699999999901</v>
      </c>
      <c r="AD181">
        <v>-1.1576690000000001</v>
      </c>
      <c r="AE181">
        <v>0.871700000000032</v>
      </c>
      <c r="AF181">
        <v>0.18435426539727101</v>
      </c>
      <c r="AG181">
        <v>-1.1576690000000001</v>
      </c>
      <c r="AH181">
        <v>26.605135270127001</v>
      </c>
      <c r="AI181">
        <v>92.491479291647096</v>
      </c>
      <c r="AJ181">
        <v>89.602988213201996</v>
      </c>
      <c r="AK181">
        <v>26.630948288607499</v>
      </c>
      <c r="AL181">
        <v>84.921518685178896</v>
      </c>
      <c r="AM181">
        <v>90.9293600455931</v>
      </c>
      <c r="AN181">
        <v>1.0000000501205599</v>
      </c>
    </row>
    <row r="182" spans="1:40" x14ac:dyDescent="0.25">
      <c r="A182" t="str">
        <f>"20190312160605600"</f>
        <v>20190312160605600</v>
      </c>
      <c r="B182" t="str">
        <f>"1552377965595860"</f>
        <v>1552377965595860</v>
      </c>
      <c r="C182" t="s">
        <v>40</v>
      </c>
      <c r="D182">
        <v>5.8098700000000001</v>
      </c>
      <c r="E182">
        <v>0.49729499999999999</v>
      </c>
      <c r="F182" t="s">
        <v>41</v>
      </c>
      <c r="G182">
        <v>0</v>
      </c>
      <c r="H182">
        <v>0</v>
      </c>
      <c r="I182">
        <v>0</v>
      </c>
      <c r="J182">
        <v>-450.11610000000002</v>
      </c>
      <c r="K182">
        <v>1.1076429999999999</v>
      </c>
      <c r="L182">
        <v>368.44799999999998</v>
      </c>
      <c r="M182">
        <v>0.99926720000000002</v>
      </c>
      <c r="N182">
        <v>0</v>
      </c>
      <c r="O182">
        <v>3.807311E-2</v>
      </c>
      <c r="P182">
        <v>0.99493279999999995</v>
      </c>
      <c r="Q182">
        <v>8.485827E-2</v>
      </c>
      <c r="R182">
        <v>5.3926500000000002E-2</v>
      </c>
      <c r="S182">
        <v>2.9887700000000001</v>
      </c>
      <c r="T182">
        <v>0.18802650000000001</v>
      </c>
      <c r="U182">
        <v>0.19210820000000001</v>
      </c>
      <c r="V182">
        <v>-1.5719569999999999E-2</v>
      </c>
      <c r="W182">
        <v>8.8859339999999995E-2</v>
      </c>
      <c r="X182">
        <v>0.99592009999999997</v>
      </c>
      <c r="Y182">
        <v>-2.6126280000000002E-2</v>
      </c>
      <c r="Z182">
        <v>1.5690890000000001E-3</v>
      </c>
      <c r="AA182">
        <v>0.99965740000000003</v>
      </c>
      <c r="AB182">
        <v>30</v>
      </c>
      <c r="AC182">
        <v>2.9887700000000001</v>
      </c>
      <c r="AD182">
        <v>0.18802650000000001</v>
      </c>
      <c r="AE182">
        <v>0.19210820000000001</v>
      </c>
      <c r="AF182">
        <v>-7.7869337344978098E-2</v>
      </c>
      <c r="AG182">
        <v>0.18802650000000001</v>
      </c>
      <c r="AH182">
        <v>2.9821629680560302</v>
      </c>
      <c r="AI182">
        <v>86.393481159401404</v>
      </c>
      <c r="AJ182">
        <v>91.495750180483199</v>
      </c>
      <c r="AK182">
        <v>2.9890991228872901</v>
      </c>
      <c r="AL182">
        <v>84.902010666732096</v>
      </c>
      <c r="AM182">
        <v>90.904279602980694</v>
      </c>
      <c r="AN182">
        <v>0.99999996638511401</v>
      </c>
    </row>
    <row r="183" spans="1:40" x14ac:dyDescent="0.25">
      <c r="A183" t="str">
        <f>"20190312160605626"</f>
        <v>20190312160605626</v>
      </c>
      <c r="B183" t="str">
        <f>"1552377965615381"</f>
        <v>1552377965615381</v>
      </c>
      <c r="C183" t="s">
        <v>40</v>
      </c>
      <c r="D183">
        <v>5.9647969999999999</v>
      </c>
      <c r="E183">
        <v>0.4971237</v>
      </c>
      <c r="F183" t="s">
        <v>42</v>
      </c>
      <c r="G183">
        <v>-158.78319999999999</v>
      </c>
      <c r="H183">
        <v>19.940840000000001</v>
      </c>
      <c r="I183">
        <v>386.13749999999999</v>
      </c>
      <c r="J183">
        <v>-449.76639999999998</v>
      </c>
      <c r="K183">
        <v>1.107623</v>
      </c>
      <c r="L183">
        <v>368.45940000000002</v>
      </c>
      <c r="M183">
        <v>0.99933989999999995</v>
      </c>
      <c r="N183">
        <v>0</v>
      </c>
      <c r="O183">
        <v>3.6107809999999997E-2</v>
      </c>
      <c r="P183">
        <v>0.994973</v>
      </c>
      <c r="Q183">
        <v>8.5444039999999999E-2</v>
      </c>
      <c r="R183">
        <v>5.2234019999999999E-2</v>
      </c>
      <c r="S183">
        <v>2.9889830000000002</v>
      </c>
      <c r="T183">
        <v>0.19322349999999999</v>
      </c>
      <c r="U183">
        <v>0.18148800000000001</v>
      </c>
      <c r="V183">
        <v>-1.597792E-2</v>
      </c>
      <c r="W183">
        <v>8.9512369999999994E-2</v>
      </c>
      <c r="X183">
        <v>0.99585749999999995</v>
      </c>
      <c r="Y183">
        <v>-2.455013E-2</v>
      </c>
      <c r="Z183">
        <v>1.5366570000000001E-3</v>
      </c>
      <c r="AA183">
        <v>0.99969739999999996</v>
      </c>
      <c r="AB183">
        <v>30</v>
      </c>
      <c r="AC183">
        <v>290.98320000000001</v>
      </c>
      <c r="AD183">
        <v>18.833217000000001</v>
      </c>
      <c r="AE183">
        <v>17.678099999999901</v>
      </c>
      <c r="AF183">
        <v>-7.12996405054104</v>
      </c>
      <c r="AG183">
        <v>18.833217000000001</v>
      </c>
      <c r="AH183">
        <v>290.22049864133498</v>
      </c>
      <c r="AI183">
        <v>86.288239906327803</v>
      </c>
      <c r="AJ183">
        <v>91.407325437251899</v>
      </c>
      <c r="AK183">
        <v>290.91831204232602</v>
      </c>
      <c r="AL183">
        <v>84.864445066728607</v>
      </c>
      <c r="AM183">
        <v>90.919196611599801</v>
      </c>
      <c r="AN183">
        <v>0.99999995930839503</v>
      </c>
    </row>
    <row r="184" spans="1:40" x14ac:dyDescent="0.25">
      <c r="A184" t="str">
        <f>"20190312160605644"</f>
        <v>20190312160605644</v>
      </c>
      <c r="B184" t="str">
        <f>"1552377965634900"</f>
        <v>1552377965634900</v>
      </c>
      <c r="C184" t="s">
        <v>40</v>
      </c>
      <c r="D184">
        <v>5.9593579999999999</v>
      </c>
      <c r="E184">
        <v>0.49677660000000001</v>
      </c>
      <c r="F184" t="s">
        <v>42</v>
      </c>
      <c r="G184">
        <v>-158.78319999999999</v>
      </c>
      <c r="H184">
        <v>20.18824</v>
      </c>
      <c r="I184">
        <v>385.75900000000001</v>
      </c>
      <c r="J184">
        <v>-449.50580000000002</v>
      </c>
      <c r="K184">
        <v>1.107607</v>
      </c>
      <c r="L184">
        <v>368.4674</v>
      </c>
      <c r="M184">
        <v>0.99939160000000005</v>
      </c>
      <c r="N184">
        <v>0</v>
      </c>
      <c r="O184">
        <v>3.4638639999999998E-2</v>
      </c>
      <c r="P184">
        <v>0.99502360000000001</v>
      </c>
      <c r="Q184">
        <v>8.5737030000000006E-2</v>
      </c>
      <c r="R184">
        <v>5.0766970000000002E-2</v>
      </c>
      <c r="S184">
        <v>2.9890140000000001</v>
      </c>
      <c r="T184">
        <v>0.19599910000000001</v>
      </c>
      <c r="U184">
        <v>0.1777039</v>
      </c>
      <c r="V184">
        <v>-1.5969359999999998E-2</v>
      </c>
      <c r="W184">
        <v>8.9854779999999995E-2</v>
      </c>
      <c r="X184">
        <v>0.99582680000000001</v>
      </c>
      <c r="Y184">
        <v>-2.4755180000000002E-2</v>
      </c>
      <c r="Z184">
        <v>1.4559760000000001E-3</v>
      </c>
      <c r="AA184">
        <v>0.99969249999999998</v>
      </c>
      <c r="AB184">
        <v>30</v>
      </c>
      <c r="AC184">
        <v>290.7226</v>
      </c>
      <c r="AD184">
        <v>19.080632999999999</v>
      </c>
      <c r="AE184">
        <v>17.291599999999999</v>
      </c>
      <c r="AF184">
        <v>-7.1800847616037702</v>
      </c>
      <c r="AG184">
        <v>19.080632999999999</v>
      </c>
      <c r="AH184">
        <v>289.90273594955801</v>
      </c>
      <c r="AI184">
        <v>86.235525298807005</v>
      </c>
      <c r="AJ184">
        <v>91.418767110485305</v>
      </c>
      <c r="AK184">
        <v>290.61868571016498</v>
      </c>
      <c r="AL184">
        <v>84.844747038236605</v>
      </c>
      <c r="AM184">
        <v>90.918732563817798</v>
      </c>
      <c r="AN184">
        <v>0.99999995877294801</v>
      </c>
    </row>
    <row r="185" spans="1:40" x14ac:dyDescent="0.25">
      <c r="A185" t="str">
        <f>"20190312160605657"</f>
        <v>20190312160605657</v>
      </c>
      <c r="B185" t="str">
        <f>"1552377965645637"</f>
        <v>1552377965645637</v>
      </c>
      <c r="C185" t="s">
        <v>40</v>
      </c>
      <c r="D185">
        <v>5.8479159999999997</v>
      </c>
      <c r="E185">
        <v>0.49665340000000002</v>
      </c>
      <c r="F185" t="s">
        <v>42</v>
      </c>
      <c r="G185">
        <v>-158.78319999999999</v>
      </c>
      <c r="H185">
        <v>20.194520000000001</v>
      </c>
      <c r="I185">
        <v>385.60570000000001</v>
      </c>
      <c r="J185">
        <v>-449.334</v>
      </c>
      <c r="K185">
        <v>1.1075969999999999</v>
      </c>
      <c r="L185">
        <v>368.47250000000003</v>
      </c>
      <c r="M185">
        <v>0.9994246</v>
      </c>
      <c r="N185">
        <v>0</v>
      </c>
      <c r="O185">
        <v>3.3669200000000003E-2</v>
      </c>
      <c r="P185">
        <v>0.99505390000000005</v>
      </c>
      <c r="Q185">
        <v>8.5826410000000006E-2</v>
      </c>
      <c r="R185">
        <v>5.001618E-2</v>
      </c>
      <c r="S185">
        <v>2.9890750000000001</v>
      </c>
      <c r="T185">
        <v>0.19624349999999999</v>
      </c>
      <c r="U185">
        <v>0.17620849999999999</v>
      </c>
      <c r="V185">
        <v>-1.6181910000000001E-2</v>
      </c>
      <c r="W185">
        <v>8.9976829999999994E-2</v>
      </c>
      <c r="X185">
        <v>0.99581240000000004</v>
      </c>
      <c r="Y185">
        <v>-2.5222290000000001E-2</v>
      </c>
      <c r="Z185">
        <v>1.3790160000000001E-3</v>
      </c>
      <c r="AA185">
        <v>0.99968089999999998</v>
      </c>
      <c r="AB185">
        <v>30</v>
      </c>
      <c r="AC185">
        <v>290.55079999999998</v>
      </c>
      <c r="AD185">
        <v>19.086922999999999</v>
      </c>
      <c r="AE185">
        <v>17.133199999999899</v>
      </c>
      <c r="AF185">
        <v>-7.3093564463711198</v>
      </c>
      <c r="AG185">
        <v>19.086922999999999</v>
      </c>
      <c r="AH185">
        <v>289.71699869371298</v>
      </c>
      <c r="AI185">
        <v>86.231924028440403</v>
      </c>
      <c r="AJ185">
        <v>91.445225700616007</v>
      </c>
      <c r="AK185">
        <v>290.43704421674801</v>
      </c>
      <c r="AL185">
        <v>84.837725912528498</v>
      </c>
      <c r="AM185">
        <v>90.930972090564197</v>
      </c>
      <c r="AN185">
        <v>1.0000000100709201</v>
      </c>
    </row>
    <row r="186" spans="1:40" x14ac:dyDescent="0.25">
      <c r="A186" t="str">
        <f>"20190312160605669"</f>
        <v>20190312160605669</v>
      </c>
      <c r="B186" t="str">
        <f>"1552377965665157"</f>
        <v>1552377965665157</v>
      </c>
      <c r="C186" t="s">
        <v>40</v>
      </c>
      <c r="D186">
        <v>5.8607589999999998</v>
      </c>
      <c r="E186">
        <v>0.4964286</v>
      </c>
      <c r="F186" t="s">
        <v>42</v>
      </c>
      <c r="G186">
        <v>-158.78319999999999</v>
      </c>
      <c r="H186">
        <v>20.161709999999999</v>
      </c>
      <c r="I186">
        <v>385.44279999999998</v>
      </c>
      <c r="J186">
        <v>-449.16739999999999</v>
      </c>
      <c r="K186">
        <v>1.1075889999999999</v>
      </c>
      <c r="L186">
        <v>368.47730000000001</v>
      </c>
      <c r="M186">
        <v>0.99945569999999895</v>
      </c>
      <c r="N186">
        <v>0</v>
      </c>
      <c r="O186">
        <v>3.2728800000000002E-2</v>
      </c>
      <c r="P186">
        <v>0.9951082</v>
      </c>
      <c r="Q186">
        <v>8.5628590000000004E-2</v>
      </c>
      <c r="R186">
        <v>4.9268489999999998E-2</v>
      </c>
      <c r="S186">
        <v>2.9891969999999999</v>
      </c>
      <c r="T186">
        <v>0.19603010000000001</v>
      </c>
      <c r="U186">
        <v>0.1745911</v>
      </c>
      <c r="V186">
        <v>-1.6368299999999999E-2</v>
      </c>
      <c r="W186">
        <v>8.9809669999999994E-2</v>
      </c>
      <c r="X186">
        <v>0.9958245</v>
      </c>
      <c r="Y186">
        <v>-2.561855E-2</v>
      </c>
      <c r="Z186">
        <v>1.303025E-3</v>
      </c>
      <c r="AA186">
        <v>0.99967090000000003</v>
      </c>
      <c r="AB186">
        <v>31</v>
      </c>
      <c r="AC186">
        <v>290.38420000000002</v>
      </c>
      <c r="AD186">
        <v>19.054120999999999</v>
      </c>
      <c r="AE186">
        <v>16.965499999999899</v>
      </c>
      <c r="AF186">
        <v>-7.42056194930269</v>
      </c>
      <c r="AG186">
        <v>19.054120999999999</v>
      </c>
      <c r="AH186">
        <v>289.54149099032003</v>
      </c>
      <c r="AI186">
        <v>86.236145589729006</v>
      </c>
      <c r="AJ186">
        <v>91.468092981373999</v>
      </c>
      <c r="AK186">
        <v>290.26263843564698</v>
      </c>
      <c r="AL186">
        <v>84.847342699442507</v>
      </c>
      <c r="AM186">
        <v>90.941682055808002</v>
      </c>
      <c r="AN186">
        <v>1.0000000664353199</v>
      </c>
    </row>
    <row r="187" spans="1:40" x14ac:dyDescent="0.25">
      <c r="A187" t="str">
        <f>"20190312160605688"</f>
        <v>20190312160605688</v>
      </c>
      <c r="B187" t="str">
        <f>"1552377965685652"</f>
        <v>1552377965685652</v>
      </c>
      <c r="C187" t="s">
        <v>40</v>
      </c>
      <c r="D187">
        <v>5.8403359999999997</v>
      </c>
      <c r="E187">
        <v>0.49640869999999998</v>
      </c>
      <c r="F187" t="s">
        <v>42</v>
      </c>
      <c r="G187">
        <v>-158.78319999999999</v>
      </c>
      <c r="H187">
        <v>20.139530000000001</v>
      </c>
      <c r="I187">
        <v>385.4051</v>
      </c>
      <c r="J187">
        <v>-448.90159999999997</v>
      </c>
      <c r="K187">
        <v>1.1075790000000001</v>
      </c>
      <c r="L187">
        <v>368.4846</v>
      </c>
      <c r="M187">
        <v>0.99950340000000004</v>
      </c>
      <c r="N187">
        <v>0</v>
      </c>
      <c r="O187">
        <v>3.122904E-2</v>
      </c>
      <c r="P187">
        <v>0.99522960000000005</v>
      </c>
      <c r="Q187">
        <v>8.5077849999999997E-2</v>
      </c>
      <c r="R187">
        <v>4.7747610000000003E-2</v>
      </c>
      <c r="S187">
        <v>2.9892270000000001</v>
      </c>
      <c r="T187">
        <v>0.19591639999999999</v>
      </c>
      <c r="U187">
        <v>0.17425539999999901</v>
      </c>
      <c r="V187">
        <v>-1.6338169999999999E-2</v>
      </c>
      <c r="W187">
        <v>8.9305300000000004E-2</v>
      </c>
      <c r="X187">
        <v>0.99587029999999999</v>
      </c>
      <c r="Y187">
        <v>-2.699992E-2</v>
      </c>
      <c r="Z187">
        <v>1.159057E-3</v>
      </c>
      <c r="AA187">
        <v>0.99963469999999999</v>
      </c>
      <c r="AB187">
        <v>31</v>
      </c>
      <c r="AC187">
        <v>290.11839999999899</v>
      </c>
      <c r="AD187">
        <v>19.031950999999999</v>
      </c>
      <c r="AE187">
        <v>16.920500000000001</v>
      </c>
      <c r="AF187">
        <v>-7.8185151802466804</v>
      </c>
      <c r="AG187">
        <v>19.031950999999999</v>
      </c>
      <c r="AH187">
        <v>289.26469504101999</v>
      </c>
      <c r="AI187">
        <v>86.237063506471003</v>
      </c>
      <c r="AJ187">
        <v>91.548266649036805</v>
      </c>
      <c r="AK187">
        <v>289.995531233956</v>
      </c>
      <c r="AL187">
        <v>84.876357289481007</v>
      </c>
      <c r="AM187">
        <v>90.939905742436494</v>
      </c>
      <c r="AN187">
        <v>1.0000000134145599</v>
      </c>
    </row>
    <row r="188" spans="1:40" x14ac:dyDescent="0.25">
      <c r="A188" t="str">
        <f>"20190312160605712"</f>
        <v>20190312160605712</v>
      </c>
      <c r="B188" t="str">
        <f>"1552377965705172"</f>
        <v>1552377965705172</v>
      </c>
      <c r="C188" t="s">
        <v>40</v>
      </c>
      <c r="D188">
        <v>5.8815010000000001</v>
      </c>
      <c r="E188">
        <v>0.49615490000000001</v>
      </c>
      <c r="F188" t="s">
        <v>42</v>
      </c>
      <c r="G188">
        <v>-158.78319999999999</v>
      </c>
      <c r="H188">
        <v>19.930859999999999</v>
      </c>
      <c r="I188">
        <v>384.983</v>
      </c>
      <c r="J188">
        <v>-448.58539999999999</v>
      </c>
      <c r="K188">
        <v>1.107569</v>
      </c>
      <c r="L188">
        <v>368.49270000000001</v>
      </c>
      <c r="M188">
        <v>0.99955740000000004</v>
      </c>
      <c r="N188">
        <v>0</v>
      </c>
      <c r="O188">
        <v>2.944693E-2</v>
      </c>
      <c r="P188">
        <v>0.99540379999999995</v>
      </c>
      <c r="Q188">
        <v>8.41914E-2</v>
      </c>
      <c r="R188">
        <v>4.5642500000000003E-2</v>
      </c>
      <c r="S188">
        <v>2.9896240000000001</v>
      </c>
      <c r="T188">
        <v>0.1939718</v>
      </c>
      <c r="U188">
        <v>0.17001340000000001</v>
      </c>
      <c r="V188">
        <v>-1.6004589999999999E-2</v>
      </c>
      <c r="W188">
        <v>8.8469870000000006E-2</v>
      </c>
      <c r="X188">
        <v>0.99595029999999996</v>
      </c>
      <c r="Y188">
        <v>-2.7356149999999999E-2</v>
      </c>
      <c r="Z188">
        <v>1.020625E-3</v>
      </c>
      <c r="AA188">
        <v>0.99962519999999999</v>
      </c>
      <c r="AB188">
        <v>31</v>
      </c>
      <c r="AC188">
        <v>289.80220000000003</v>
      </c>
      <c r="AD188">
        <v>18.823291000000001</v>
      </c>
      <c r="AE188">
        <v>16.490299999999898</v>
      </c>
      <c r="AF188">
        <v>-7.9159992270834598</v>
      </c>
      <c r="AG188">
        <v>18.823291000000001</v>
      </c>
      <c r="AH188">
        <v>288.94704438639701</v>
      </c>
      <c r="AI188">
        <v>86.274159590549104</v>
      </c>
      <c r="AJ188">
        <v>91.569283839200395</v>
      </c>
      <c r="AK188">
        <v>289.66769545026602</v>
      </c>
      <c r="AL188">
        <v>84.924414225235793</v>
      </c>
      <c r="AM188">
        <v>90.920644874413995</v>
      </c>
      <c r="AN188">
        <v>1.00000003243448</v>
      </c>
    </row>
    <row r="189" spans="1:40" x14ac:dyDescent="0.25">
      <c r="A189" t="str">
        <f>"20190312160605723"</f>
        <v>20190312160605723</v>
      </c>
      <c r="B189" t="str">
        <f>"1552377965714933"</f>
        <v>1552377965714933</v>
      </c>
      <c r="C189" t="s">
        <v>40</v>
      </c>
      <c r="D189">
        <v>5.8670650000000002</v>
      </c>
      <c r="E189">
        <v>0.49615490000000001</v>
      </c>
      <c r="F189" t="s">
        <v>42</v>
      </c>
      <c r="G189">
        <v>-158.78319999999999</v>
      </c>
      <c r="H189">
        <v>19.568819999999999</v>
      </c>
      <c r="I189">
        <v>384.56229999999999</v>
      </c>
      <c r="J189">
        <v>-448.40980000000002</v>
      </c>
      <c r="K189">
        <v>1.1075630000000001</v>
      </c>
      <c r="L189">
        <v>368.49689999999998</v>
      </c>
      <c r="M189">
        <v>0.99958590000000003</v>
      </c>
      <c r="N189">
        <v>0</v>
      </c>
      <c r="O189">
        <v>2.8458919999999999E-2</v>
      </c>
      <c r="P189">
        <v>0.9954963</v>
      </c>
      <c r="Q189">
        <v>8.3622180000000004E-2</v>
      </c>
      <c r="R189">
        <v>4.4661850000000003E-2</v>
      </c>
      <c r="S189">
        <v>2.9901119999999999</v>
      </c>
      <c r="T189">
        <v>0.1904798</v>
      </c>
      <c r="U189">
        <v>0.165802</v>
      </c>
      <c r="V189">
        <v>-1.6006780000000002E-2</v>
      </c>
      <c r="W189">
        <v>8.7929820000000006E-2</v>
      </c>
      <c r="X189">
        <v>0.9959981</v>
      </c>
      <c r="Y189">
        <v>-2.6930160000000002E-2</v>
      </c>
      <c r="Z189">
        <v>9.5293560000000001E-4</v>
      </c>
      <c r="AA189">
        <v>0.99963690000000005</v>
      </c>
      <c r="AB189">
        <v>31</v>
      </c>
      <c r="AC189">
        <v>289.6266</v>
      </c>
      <c r="AD189">
        <v>18.461257</v>
      </c>
      <c r="AE189">
        <v>16.0654</v>
      </c>
      <c r="AF189">
        <v>-7.7848252508000897</v>
      </c>
      <c r="AG189">
        <v>18.461257</v>
      </c>
      <c r="AH189">
        <v>288.79671778444902</v>
      </c>
      <c r="AI189">
        <v>86.343683107699306</v>
      </c>
      <c r="AJ189">
        <v>91.544095261413801</v>
      </c>
      <c r="AK189">
        <v>289.490873288393</v>
      </c>
      <c r="AL189">
        <v>84.955477923651102</v>
      </c>
      <c r="AM189">
        <v>90.920726647773193</v>
      </c>
      <c r="AN189">
        <v>1.0000000427274001</v>
      </c>
    </row>
    <row r="190" spans="1:40" x14ac:dyDescent="0.25">
      <c r="A190" t="str">
        <f>"20190312160605736"</f>
        <v>20190312160605736</v>
      </c>
      <c r="B190" t="str">
        <f>"1552377965725670"</f>
        <v>1552377965725670</v>
      </c>
      <c r="C190" t="s">
        <v>40</v>
      </c>
      <c r="D190">
        <v>5.8365</v>
      </c>
      <c r="E190">
        <v>0.49598340000000002</v>
      </c>
      <c r="F190" t="s">
        <v>42</v>
      </c>
      <c r="G190">
        <v>-158.78319999999999</v>
      </c>
      <c r="H190">
        <v>19.39359</v>
      </c>
      <c r="I190">
        <v>384.245</v>
      </c>
      <c r="J190">
        <v>-448.23439999999999</v>
      </c>
      <c r="K190">
        <v>1.107559</v>
      </c>
      <c r="L190">
        <v>368.50110000000001</v>
      </c>
      <c r="M190">
        <v>0.99961330000000004</v>
      </c>
      <c r="N190">
        <v>0</v>
      </c>
      <c r="O190">
        <v>2.747378E-2</v>
      </c>
      <c r="P190">
        <v>0.99560590000000004</v>
      </c>
      <c r="Q190">
        <v>8.2968210000000001E-2</v>
      </c>
      <c r="R190">
        <v>4.3419649999999997E-2</v>
      </c>
      <c r="S190">
        <v>2.9903870000000001</v>
      </c>
      <c r="T190">
        <v>0.18880359999999999</v>
      </c>
      <c r="U190">
        <v>0.16259770000000001</v>
      </c>
      <c r="V190">
        <v>-1.5745019999999998E-2</v>
      </c>
      <c r="W190">
        <v>8.7303290000000006E-2</v>
      </c>
      <c r="X190">
        <v>0.99605730000000003</v>
      </c>
      <c r="Y190">
        <v>-2.6840490000000002E-2</v>
      </c>
      <c r="Z190">
        <v>8.8529059999999896E-4</v>
      </c>
      <c r="AA190">
        <v>0.99963930000000001</v>
      </c>
      <c r="AB190">
        <v>31</v>
      </c>
      <c r="AC190">
        <v>289.45119999999997</v>
      </c>
      <c r="AD190">
        <v>18.286031000000001</v>
      </c>
      <c r="AE190">
        <v>15.743899999999901</v>
      </c>
      <c r="AF190">
        <v>-7.75470683354329</v>
      </c>
      <c r="AG190">
        <v>18.286031000000001</v>
      </c>
      <c r="AH190">
        <v>288.62596024196102</v>
      </c>
      <c r="AI190">
        <v>86.376148858362399</v>
      </c>
      <c r="AJ190">
        <v>91.539033795715099</v>
      </c>
      <c r="AK190">
        <v>289.30858841970303</v>
      </c>
      <c r="AL190">
        <v>84.991513604425506</v>
      </c>
      <c r="AM190">
        <v>90.905618649786504</v>
      </c>
      <c r="AN190">
        <v>0.99999995749145598</v>
      </c>
    </row>
    <row r="191" spans="1:40" x14ac:dyDescent="0.25">
      <c r="A191" t="str">
        <f>"20190312160605755"</f>
        <v>20190312160605755</v>
      </c>
      <c r="B191" t="str">
        <f>"1552377965745192"</f>
        <v>1552377965745192</v>
      </c>
      <c r="C191" t="s">
        <v>40</v>
      </c>
      <c r="D191">
        <v>6.0903919999999996</v>
      </c>
      <c r="E191">
        <v>0.49600559999999999</v>
      </c>
      <c r="F191" t="s">
        <v>42</v>
      </c>
      <c r="G191">
        <v>-158.32210000000001</v>
      </c>
      <c r="H191">
        <v>19.152560000000001</v>
      </c>
      <c r="I191">
        <v>384.04969999999997</v>
      </c>
      <c r="J191">
        <v>-447.9676</v>
      </c>
      <c r="K191">
        <v>1.107553</v>
      </c>
      <c r="L191">
        <v>368.50700000000001</v>
      </c>
      <c r="M191">
        <v>0.99965309999999996</v>
      </c>
      <c r="N191">
        <v>0</v>
      </c>
      <c r="O191">
        <v>2.597965E-2</v>
      </c>
      <c r="P191">
        <v>0.99568809999999996</v>
      </c>
      <c r="Q191">
        <v>8.2998569999999994E-2</v>
      </c>
      <c r="R191">
        <v>4.1432820000000002E-2</v>
      </c>
      <c r="S191">
        <v>2.9907530000000002</v>
      </c>
      <c r="T191">
        <v>0.18615409999999999</v>
      </c>
      <c r="U191">
        <v>0.1604004</v>
      </c>
      <c r="V191">
        <v>-1.5243369999999999E-2</v>
      </c>
      <c r="W191">
        <v>8.7374540000000001E-2</v>
      </c>
      <c r="X191">
        <v>0.99605889999999997</v>
      </c>
      <c r="Y191">
        <v>-2.7591330000000001E-2</v>
      </c>
      <c r="Z191">
        <v>7.5669319999999997E-4</v>
      </c>
      <c r="AA191">
        <v>0.99961900000000004</v>
      </c>
      <c r="AB191">
        <v>31</v>
      </c>
      <c r="AC191">
        <v>289.64550000000003</v>
      </c>
      <c r="AD191">
        <v>18.045006999999998</v>
      </c>
      <c r="AE191">
        <v>15.5427</v>
      </c>
      <c r="AF191">
        <v>-7.9816043014960796</v>
      </c>
      <c r="AG191">
        <v>18.045006999999998</v>
      </c>
      <c r="AH191">
        <v>288.83369241087701</v>
      </c>
      <c r="AI191">
        <v>86.426428978880395</v>
      </c>
      <c r="AJ191">
        <v>91.582903585351005</v>
      </c>
      <c r="AK191">
        <v>289.50687410933301</v>
      </c>
      <c r="AL191">
        <v>84.9874158409052</v>
      </c>
      <c r="AM191">
        <v>90.876768023876494</v>
      </c>
      <c r="AN191">
        <v>1.0000000014191801</v>
      </c>
    </row>
    <row r="192" spans="1:40" x14ac:dyDescent="0.25">
      <c r="A192" t="str">
        <f>"20190312160605768"</f>
        <v>20190312160605768</v>
      </c>
      <c r="B192" t="str">
        <f>"1552377965765685"</f>
        <v>1552377965765685</v>
      </c>
      <c r="C192" t="s">
        <v>40</v>
      </c>
      <c r="D192">
        <v>5.7536100000000001</v>
      </c>
      <c r="E192">
        <v>0.49573990000000001</v>
      </c>
      <c r="F192" t="s">
        <v>42</v>
      </c>
      <c r="G192">
        <v>-158.19499999999999</v>
      </c>
      <c r="H192">
        <v>19.013590000000001</v>
      </c>
      <c r="I192">
        <v>383.45190000000002</v>
      </c>
      <c r="J192">
        <v>-447.78149999999999</v>
      </c>
      <c r="K192">
        <v>1.107551</v>
      </c>
      <c r="L192">
        <v>368.51089999999999</v>
      </c>
      <c r="M192">
        <v>0.9996794</v>
      </c>
      <c r="N192">
        <v>0</v>
      </c>
      <c r="O192">
        <v>2.494147E-2</v>
      </c>
      <c r="P192">
        <v>0.99576600000000004</v>
      </c>
      <c r="Q192">
        <v>8.2678489999999993E-2</v>
      </c>
      <c r="R192">
        <v>4.0182009999999997E-2</v>
      </c>
      <c r="S192">
        <v>2.9911500000000002</v>
      </c>
      <c r="T192">
        <v>0.1848342</v>
      </c>
      <c r="U192">
        <v>0.1542664</v>
      </c>
      <c r="V192">
        <v>-1.5025739999999999E-2</v>
      </c>
      <c r="W192">
        <v>8.7083830000000001E-2</v>
      </c>
      <c r="X192">
        <v>0.99608770000000002</v>
      </c>
      <c r="Y192">
        <v>-2.6578069999999999E-2</v>
      </c>
      <c r="Z192">
        <v>7.1853270000000005E-4</v>
      </c>
      <c r="AA192">
        <v>0.99964649999999999</v>
      </c>
      <c r="AB192">
        <v>31</v>
      </c>
      <c r="AC192">
        <v>289.5865</v>
      </c>
      <c r="AD192">
        <v>17.906039</v>
      </c>
      <c r="AE192">
        <v>14.941000000000001</v>
      </c>
      <c r="AF192">
        <v>-7.6842687317900999</v>
      </c>
      <c r="AG192">
        <v>17.906039</v>
      </c>
      <c r="AH192">
        <v>288.76794017662598</v>
      </c>
      <c r="AI192">
        <v>86.452975710395805</v>
      </c>
      <c r="AJ192">
        <v>91.524311486881999</v>
      </c>
      <c r="AK192">
        <v>289.42459724851199</v>
      </c>
      <c r="AL192">
        <v>85.004136204055101</v>
      </c>
      <c r="AM192">
        <v>90.864227311387296</v>
      </c>
      <c r="AN192">
        <v>1.00000003620065</v>
      </c>
    </row>
    <row r="193" spans="1:40" x14ac:dyDescent="0.25">
      <c r="A193" t="str">
        <f>"20190312160605789"</f>
        <v>20190312160605789</v>
      </c>
      <c r="B193" t="str">
        <f>"1552377965785205"</f>
        <v>1552377965785205</v>
      </c>
      <c r="C193" t="s">
        <v>40</v>
      </c>
      <c r="D193">
        <v>5.8668639999999996</v>
      </c>
      <c r="E193">
        <v>0.49559609999999898</v>
      </c>
      <c r="F193" t="s">
        <v>42</v>
      </c>
      <c r="G193">
        <v>-158.19499999999999</v>
      </c>
      <c r="H193">
        <v>18.75545</v>
      </c>
      <c r="I193">
        <v>383.2672</v>
      </c>
      <c r="J193">
        <v>-447.49950000000001</v>
      </c>
      <c r="K193">
        <v>1.1075410000000001</v>
      </c>
      <c r="L193">
        <v>368.51650000000001</v>
      </c>
      <c r="M193">
        <v>0.99971710000000003</v>
      </c>
      <c r="N193">
        <v>0</v>
      </c>
      <c r="O193">
        <v>2.33738E-2</v>
      </c>
      <c r="P193">
        <v>0.99585749999999995</v>
      </c>
      <c r="Q193">
        <v>8.2342819999999997E-2</v>
      </c>
      <c r="R193">
        <v>3.8568430000000001E-2</v>
      </c>
      <c r="S193">
        <v>2.9914860000000001</v>
      </c>
      <c r="T193">
        <v>0.1823071</v>
      </c>
      <c r="U193">
        <v>0.1524353</v>
      </c>
      <c r="V193">
        <v>-1.497245E-2</v>
      </c>
      <c r="W193">
        <v>8.6792640000000004E-2</v>
      </c>
      <c r="X193">
        <v>0.9961139</v>
      </c>
      <c r="Y193">
        <v>-2.7525040000000001E-2</v>
      </c>
      <c r="Z193">
        <v>5.8451519999999895E-4</v>
      </c>
      <c r="AA193">
        <v>0.99962090000000003</v>
      </c>
      <c r="AB193">
        <v>31</v>
      </c>
      <c r="AC193">
        <v>289.30450000000002</v>
      </c>
      <c r="AD193">
        <v>17.647908999999999</v>
      </c>
      <c r="AE193">
        <v>14.750699999999901</v>
      </c>
      <c r="AF193">
        <v>-7.9549342178546398</v>
      </c>
      <c r="AG193">
        <v>17.647908999999999</v>
      </c>
      <c r="AH193">
        <v>288.499478760084</v>
      </c>
      <c r="AI193">
        <v>86.500827058351902</v>
      </c>
      <c r="AJ193">
        <v>91.579443752237495</v>
      </c>
      <c r="AK193">
        <v>289.14819542117601</v>
      </c>
      <c r="AL193">
        <v>85.020883487156397</v>
      </c>
      <c r="AM193">
        <v>90.861140074787102</v>
      </c>
      <c r="AN193">
        <v>1.0000000191951901</v>
      </c>
    </row>
    <row r="194" spans="1:40" x14ac:dyDescent="0.25">
      <c r="A194" t="str">
        <f>"20190312160605803"</f>
        <v>20190312160605803</v>
      </c>
      <c r="B194" t="str">
        <f>"1552377965794966"</f>
        <v>1552377965794966</v>
      </c>
      <c r="C194" t="s">
        <v>40</v>
      </c>
      <c r="D194">
        <v>5.8366089999999904</v>
      </c>
      <c r="E194">
        <v>0.4954308</v>
      </c>
      <c r="F194" t="s">
        <v>42</v>
      </c>
      <c r="G194">
        <v>-158.19499999999999</v>
      </c>
      <c r="H194">
        <v>18.533940000000001</v>
      </c>
      <c r="I194">
        <v>382.8879</v>
      </c>
      <c r="J194">
        <v>-447.29309999999998</v>
      </c>
      <c r="K194">
        <v>1.10754</v>
      </c>
      <c r="L194">
        <v>368.52030000000002</v>
      </c>
      <c r="M194">
        <v>0.99974300000000005</v>
      </c>
      <c r="N194">
        <v>0</v>
      </c>
      <c r="O194">
        <v>2.2234719999999999E-2</v>
      </c>
      <c r="P194">
        <v>0.99593220000000005</v>
      </c>
      <c r="Q194">
        <v>8.2012810000000005E-2</v>
      </c>
      <c r="R194">
        <v>3.7324999999999997E-2</v>
      </c>
      <c r="S194">
        <v>2.9918209999999998</v>
      </c>
      <c r="T194">
        <v>0.1802146</v>
      </c>
      <c r="U194">
        <v>0.14862059999999999</v>
      </c>
      <c r="V194">
        <v>-1.4863589999999999E-2</v>
      </c>
      <c r="W194">
        <v>8.6495730000000007E-2</v>
      </c>
      <c r="X194">
        <v>0.99614130000000001</v>
      </c>
      <c r="Y194">
        <v>-2.7385320000000001E-2</v>
      </c>
      <c r="Z194">
        <v>5.1350150000000004E-4</v>
      </c>
      <c r="AA194">
        <v>0.99962479999999998</v>
      </c>
      <c r="AB194">
        <v>31</v>
      </c>
      <c r="AC194">
        <v>289.09809999999999</v>
      </c>
      <c r="AD194">
        <v>17.426400000000001</v>
      </c>
      <c r="AE194">
        <v>14.3675999999999</v>
      </c>
      <c r="AF194">
        <v>-7.9073093980124503</v>
      </c>
      <c r="AG194">
        <v>17.426400000000001</v>
      </c>
      <c r="AH194">
        <v>288.30112936108702</v>
      </c>
      <c r="AI194">
        <v>86.5422547316726</v>
      </c>
      <c r="AJ194">
        <v>91.571072245646306</v>
      </c>
      <c r="AK194">
        <v>288.93553978310399</v>
      </c>
      <c r="AL194">
        <v>85.037959117182993</v>
      </c>
      <c r="AM194">
        <v>90.854856416334897</v>
      </c>
      <c r="AN194">
        <v>0.99999996359080401</v>
      </c>
    </row>
    <row r="195" spans="1:40" x14ac:dyDescent="0.25">
      <c r="A195" t="str">
        <f>"20190312160605824"</f>
        <v>20190312160605824</v>
      </c>
      <c r="B195" t="str">
        <f>"1552377965815461"</f>
        <v>1552377965815461</v>
      </c>
      <c r="C195" t="s">
        <v>40</v>
      </c>
      <c r="D195">
        <v>5.8843370000000004</v>
      </c>
      <c r="E195">
        <v>0.49524469999999998</v>
      </c>
      <c r="F195" t="s">
        <v>42</v>
      </c>
      <c r="G195">
        <v>-158.19499999999999</v>
      </c>
      <c r="H195">
        <v>18.409130000000001</v>
      </c>
      <c r="I195">
        <v>382.64440000000002</v>
      </c>
      <c r="J195">
        <v>-446.99849999999998</v>
      </c>
      <c r="K195">
        <v>1.10754</v>
      </c>
      <c r="L195">
        <v>368.52530000000002</v>
      </c>
      <c r="M195">
        <v>0.99977740000000004</v>
      </c>
      <c r="N195">
        <v>0</v>
      </c>
      <c r="O195">
        <v>2.0621380000000002E-2</v>
      </c>
      <c r="P195">
        <v>0.99602449999999998</v>
      </c>
      <c r="Q195">
        <v>8.1562140000000005E-2</v>
      </c>
      <c r="R195">
        <v>3.5822079999999999E-2</v>
      </c>
      <c r="S195">
        <v>2.9920650000000002</v>
      </c>
      <c r="T195">
        <v>0.17906629999999901</v>
      </c>
      <c r="U195">
        <v>0.14617920000000001</v>
      </c>
      <c r="V195">
        <v>-1.496862E-2</v>
      </c>
      <c r="W195">
        <v>8.6092409999999994E-2</v>
      </c>
      <c r="X195">
        <v>0.99617469999999997</v>
      </c>
      <c r="Y195">
        <v>-2.8176530000000002E-2</v>
      </c>
      <c r="Z195">
        <v>3.9019770000000003E-4</v>
      </c>
      <c r="AA195">
        <v>0.99960289999999996</v>
      </c>
      <c r="AB195">
        <v>31</v>
      </c>
      <c r="AC195">
        <v>288.80349999999999</v>
      </c>
      <c r="AD195">
        <v>17.301589999999901</v>
      </c>
      <c r="AE195">
        <v>14.1191</v>
      </c>
      <c r="AF195">
        <v>-8.1313980253896005</v>
      </c>
      <c r="AG195">
        <v>17.301589999999901</v>
      </c>
      <c r="AH195">
        <v>288.00208500134403</v>
      </c>
      <c r="AI195">
        <v>86.5634808502368</v>
      </c>
      <c r="AJ195">
        <v>91.617248888351398</v>
      </c>
      <c r="AK195">
        <v>288.63587028555003</v>
      </c>
      <c r="AL195">
        <v>85.061154345586303</v>
      </c>
      <c r="AM195">
        <v>90.860867288577694</v>
      </c>
      <c r="AN195">
        <v>0.99999999778220094</v>
      </c>
    </row>
    <row r="196" spans="1:40" x14ac:dyDescent="0.25">
      <c r="A196" t="str">
        <f>"20190312160605846"</f>
        <v>20190312160605846</v>
      </c>
      <c r="B196" t="str">
        <f>"1552377965834982"</f>
        <v>1552377965834982</v>
      </c>
      <c r="C196" t="s">
        <v>40</v>
      </c>
      <c r="D196">
        <v>5.9767669999999997</v>
      </c>
      <c r="E196">
        <v>0.49519160000000001</v>
      </c>
      <c r="F196" t="s">
        <v>42</v>
      </c>
      <c r="G196">
        <v>-158.19499999999999</v>
      </c>
      <c r="H196">
        <v>18.113530000000001</v>
      </c>
      <c r="I196">
        <v>382.36829999999998</v>
      </c>
      <c r="J196">
        <v>-446.68700000000001</v>
      </c>
      <c r="K196">
        <v>1.1075349999999999</v>
      </c>
      <c r="L196">
        <v>368.5301</v>
      </c>
      <c r="M196">
        <v>0.99981050000000005</v>
      </c>
      <c r="N196">
        <v>0</v>
      </c>
      <c r="O196">
        <v>1.8934920000000001E-2</v>
      </c>
      <c r="P196">
        <v>0.99611349999999999</v>
      </c>
      <c r="Q196">
        <v>8.0967780000000003E-2</v>
      </c>
      <c r="R196">
        <v>3.4674249999999997E-2</v>
      </c>
      <c r="S196">
        <v>2.9924010000000001</v>
      </c>
      <c r="T196">
        <v>0.17620620000000001</v>
      </c>
      <c r="U196">
        <v>0.14343259999999999</v>
      </c>
      <c r="V196">
        <v>-1.5502780000000001E-2</v>
      </c>
      <c r="W196">
        <v>8.5550810000000005E-2</v>
      </c>
      <c r="X196">
        <v>0.99621320000000002</v>
      </c>
      <c r="Y196">
        <v>-2.8938040000000002E-2</v>
      </c>
      <c r="Z196">
        <v>2.6243019999999998E-4</v>
      </c>
      <c r="AA196">
        <v>0.99958119999999995</v>
      </c>
      <c r="AB196">
        <v>32</v>
      </c>
      <c r="AC196">
        <v>288.49200000000002</v>
      </c>
      <c r="AD196">
        <v>17.005994999999999</v>
      </c>
      <c r="AE196">
        <v>13.838199999999899</v>
      </c>
      <c r="AF196">
        <v>-8.3441620801984406</v>
      </c>
      <c r="AG196">
        <v>17.005994999999999</v>
      </c>
      <c r="AH196">
        <v>287.70486810138198</v>
      </c>
      <c r="AI196">
        <v>86.6186487385568</v>
      </c>
      <c r="AJ196">
        <v>91.661255491207399</v>
      </c>
      <c r="AK196">
        <v>288.32779962395898</v>
      </c>
      <c r="AL196">
        <v>85.092300706985398</v>
      </c>
      <c r="AM196">
        <v>90.891548289142506</v>
      </c>
      <c r="AN196">
        <v>1.0000000085668099</v>
      </c>
    </row>
    <row r="197" spans="1:40" x14ac:dyDescent="0.25">
      <c r="A197" t="str">
        <f>"20190312160605867"</f>
        <v>20190312160605867</v>
      </c>
      <c r="B197" t="str">
        <f>"1552377965855480"</f>
        <v>1552377965855480</v>
      </c>
      <c r="C197" t="s">
        <v>40</v>
      </c>
      <c r="D197">
        <v>5.9782349999999997</v>
      </c>
      <c r="E197">
        <v>0.49778499999999998</v>
      </c>
      <c r="F197" t="s">
        <v>42</v>
      </c>
      <c r="G197">
        <v>-158.19499999999999</v>
      </c>
      <c r="H197">
        <v>18.010629999999999</v>
      </c>
      <c r="I197">
        <v>382.04849999999999</v>
      </c>
      <c r="J197">
        <v>-446.39600000000002</v>
      </c>
      <c r="K197">
        <v>1.1075410000000001</v>
      </c>
      <c r="L197">
        <v>368.53410000000002</v>
      </c>
      <c r="M197">
        <v>0.99983849999999996</v>
      </c>
      <c r="N197">
        <v>0</v>
      </c>
      <c r="O197">
        <v>1.7378850000000001E-2</v>
      </c>
      <c r="P197">
        <v>0.99618980000000001</v>
      </c>
      <c r="Q197">
        <v>8.0560240000000005E-2</v>
      </c>
      <c r="R197">
        <v>3.3410469999999998E-2</v>
      </c>
      <c r="S197">
        <v>2.9925839999999999</v>
      </c>
      <c r="T197">
        <v>0.17533989999999999</v>
      </c>
      <c r="U197">
        <v>0.1402283</v>
      </c>
      <c r="V197">
        <v>-1.5790660000000002E-2</v>
      </c>
      <c r="W197">
        <v>8.5191180000000005E-2</v>
      </c>
      <c r="X197">
        <v>0.99623949999999994</v>
      </c>
      <c r="Y197">
        <v>-2.9419569999999999E-2</v>
      </c>
      <c r="Z197">
        <v>1.560341E-4</v>
      </c>
      <c r="AA197">
        <v>0.99956719999999999</v>
      </c>
      <c r="AB197">
        <v>32</v>
      </c>
      <c r="AC197">
        <v>288.20100000000002</v>
      </c>
      <c r="AD197">
        <v>16.903088999999898</v>
      </c>
      <c r="AE197">
        <v>13.514399999999901</v>
      </c>
      <c r="AF197">
        <v>-8.4746169860523306</v>
      </c>
      <c r="AG197">
        <v>16.903088999999898</v>
      </c>
      <c r="AH197">
        <v>287.40587332227398</v>
      </c>
      <c r="AI197">
        <v>86.635621837740501</v>
      </c>
      <c r="AJ197">
        <v>91.6889673455333</v>
      </c>
      <c r="AK197">
        <v>288.02720283150501</v>
      </c>
      <c r="AL197">
        <v>85.112981504312998</v>
      </c>
      <c r="AM197">
        <v>90.908077243557898</v>
      </c>
      <c r="AN197">
        <v>1.0000000117266299</v>
      </c>
    </row>
    <row r="198" spans="1:40" x14ac:dyDescent="0.25">
      <c r="A198" t="str">
        <f>"20190312160605878"</f>
        <v>20190312160605878</v>
      </c>
      <c r="B198" t="str">
        <f>"1552377965874997"</f>
        <v>1552377965874997</v>
      </c>
      <c r="C198" t="s">
        <v>40</v>
      </c>
      <c r="D198">
        <v>5.9953799999999999</v>
      </c>
      <c r="E198">
        <v>0.49798120000000001</v>
      </c>
      <c r="F198" t="s">
        <v>42</v>
      </c>
      <c r="G198">
        <v>-158.19499999999999</v>
      </c>
      <c r="H198">
        <v>24.177489999999999</v>
      </c>
      <c r="I198">
        <v>379.91019999999997</v>
      </c>
      <c r="J198">
        <v>-446.21890000000002</v>
      </c>
      <c r="K198">
        <v>1.107553</v>
      </c>
      <c r="L198">
        <v>368.53640000000001</v>
      </c>
      <c r="M198">
        <v>0.99985420000000003</v>
      </c>
      <c r="N198">
        <v>0</v>
      </c>
      <c r="O198">
        <v>1.644172E-2</v>
      </c>
      <c r="P198">
        <v>0.9962242</v>
      </c>
      <c r="Q198">
        <v>8.0458870000000002E-2</v>
      </c>
      <c r="R198">
        <v>3.2617159999999999E-2</v>
      </c>
      <c r="S198">
        <v>2.988159</v>
      </c>
      <c r="T198">
        <v>0.2391974</v>
      </c>
      <c r="U198">
        <v>0.1179504</v>
      </c>
      <c r="V198">
        <v>-1.5931850000000001E-2</v>
      </c>
      <c r="W198">
        <v>8.5119899999999998E-2</v>
      </c>
      <c r="X198">
        <v>0.9962434</v>
      </c>
      <c r="Y198">
        <v>-2.298656E-2</v>
      </c>
      <c r="Z198">
        <v>3.9519240000000002E-4</v>
      </c>
      <c r="AA198">
        <v>0.9997357</v>
      </c>
      <c r="AB198">
        <v>32</v>
      </c>
      <c r="AC198">
        <v>288.02390000000003</v>
      </c>
      <c r="AD198">
        <v>23.069936999999999</v>
      </c>
      <c r="AE198">
        <v>11.3737999999999</v>
      </c>
      <c r="AF198">
        <v>-6.5943631137925003</v>
      </c>
      <c r="AG198">
        <v>23.069936999999999</v>
      </c>
      <c r="AH198">
        <v>286.33781031263197</v>
      </c>
      <c r="AI198">
        <v>85.394904835274701</v>
      </c>
      <c r="AJ198">
        <v>91.319289261775197</v>
      </c>
      <c r="AK198">
        <v>287.341346194197</v>
      </c>
      <c r="AL198">
        <v>85.117080704851205</v>
      </c>
      <c r="AM198">
        <v>90.916191726580394</v>
      </c>
      <c r="AN198">
        <v>1.0000000666319899</v>
      </c>
    </row>
    <row r="199" spans="1:40" x14ac:dyDescent="0.25">
      <c r="A199" t="str">
        <f>"20190312160605891"</f>
        <v>20190312160605891</v>
      </c>
      <c r="B199" t="str">
        <f>"1552377965885732"</f>
        <v>1552377965885732</v>
      </c>
      <c r="C199" t="s">
        <v>40</v>
      </c>
      <c r="D199">
        <v>5.9221839999999997</v>
      </c>
      <c r="E199">
        <v>0.49784279999999997</v>
      </c>
      <c r="F199" t="s">
        <v>42</v>
      </c>
      <c r="G199">
        <v>-158.19499999999999</v>
      </c>
      <c r="H199">
        <v>24.718730000000001</v>
      </c>
      <c r="I199">
        <v>379.53309999999999</v>
      </c>
      <c r="J199">
        <v>-446.03070000000002</v>
      </c>
      <c r="K199">
        <v>1.1075600000000001</v>
      </c>
      <c r="L199">
        <v>368.53859999999997</v>
      </c>
      <c r="M199">
        <v>0.99986980000000003</v>
      </c>
      <c r="N199">
        <v>0</v>
      </c>
      <c r="O199">
        <v>1.5454229999999999E-2</v>
      </c>
      <c r="P199">
        <v>0.99627359999999998</v>
      </c>
      <c r="Q199">
        <v>8.0310049999999994E-2</v>
      </c>
      <c r="R199">
        <v>3.1455200000000003E-2</v>
      </c>
      <c r="S199">
        <v>2.9878230000000001</v>
      </c>
      <c r="T199">
        <v>0.24493210000000001</v>
      </c>
      <c r="U199">
        <v>0.1140747</v>
      </c>
      <c r="V199">
        <v>-1.5754819999999999E-2</v>
      </c>
      <c r="W199">
        <v>8.5001129999999994E-2</v>
      </c>
      <c r="X199">
        <v>0.99625629999999998</v>
      </c>
      <c r="Y199">
        <v>-2.2680169999999999E-2</v>
      </c>
      <c r="Z199">
        <v>3.3646009999999999E-4</v>
      </c>
      <c r="AA199">
        <v>0.99974269999999998</v>
      </c>
      <c r="AB199">
        <v>32</v>
      </c>
      <c r="AC199">
        <v>287.83569999999997</v>
      </c>
      <c r="AD199">
        <v>23.611170000000001</v>
      </c>
      <c r="AE199">
        <v>10.9945</v>
      </c>
      <c r="AF199">
        <v>-6.50117772148272</v>
      </c>
      <c r="AG199">
        <v>23.611170000000001</v>
      </c>
      <c r="AH199">
        <v>286.04923851650898</v>
      </c>
      <c r="AI199">
        <v>85.2825826730203</v>
      </c>
      <c r="AJ199">
        <v>91.301964416993599</v>
      </c>
      <c r="AK199">
        <v>287.09566265690898</v>
      </c>
      <c r="AL199">
        <v>85.123910204131107</v>
      </c>
      <c r="AM199">
        <v>90.906001252370203</v>
      </c>
      <c r="AN199">
        <v>1.0000000108720899</v>
      </c>
    </row>
    <row r="200" spans="1:40" x14ac:dyDescent="0.25">
      <c r="A200" t="str">
        <f>"20190312160605905"</f>
        <v>20190312160605905</v>
      </c>
      <c r="B200" t="str">
        <f>"1552377965895493"</f>
        <v>1552377965895493</v>
      </c>
      <c r="C200" t="s">
        <v>40</v>
      </c>
      <c r="D200">
        <v>5.9748150000000004</v>
      </c>
      <c r="E200">
        <v>0.49803789999999998</v>
      </c>
      <c r="F200" t="s">
        <v>42</v>
      </c>
      <c r="G200">
        <v>-158.19499999999999</v>
      </c>
      <c r="H200">
        <v>24.813549999999999</v>
      </c>
      <c r="I200">
        <v>379.29880000000003</v>
      </c>
      <c r="J200">
        <v>-445.84690000000001</v>
      </c>
      <c r="K200">
        <v>1.1075710000000001</v>
      </c>
      <c r="L200">
        <v>368.54059999999998</v>
      </c>
      <c r="M200">
        <v>0.99988390000000005</v>
      </c>
      <c r="N200">
        <v>0</v>
      </c>
      <c r="O200">
        <v>1.450448E-2</v>
      </c>
      <c r="P200">
        <v>0.99631530000000001</v>
      </c>
      <c r="Q200">
        <v>8.0211790000000005E-2</v>
      </c>
      <c r="R200">
        <v>3.036813E-2</v>
      </c>
      <c r="S200">
        <v>2.987854</v>
      </c>
      <c r="T200">
        <v>0.24607879999999999</v>
      </c>
      <c r="U200">
        <v>0.1116943</v>
      </c>
      <c r="V200">
        <v>-1.561571E-2</v>
      </c>
      <c r="W200">
        <v>8.4932709999999995E-2</v>
      </c>
      <c r="X200">
        <v>0.99626429999999999</v>
      </c>
      <c r="Y200">
        <v>-2.2830110000000001E-2</v>
      </c>
      <c r="Z200">
        <v>2.5382660000000001E-4</v>
      </c>
      <c r="AA200">
        <v>0.9997393</v>
      </c>
      <c r="AB200">
        <v>32</v>
      </c>
      <c r="AC200">
        <v>287.65190000000001</v>
      </c>
      <c r="AD200">
        <v>23.705978999999999</v>
      </c>
      <c r="AE200">
        <v>10.7582</v>
      </c>
      <c r="AF200">
        <v>-6.54042271064211</v>
      </c>
      <c r="AG200">
        <v>23.705978999999999</v>
      </c>
      <c r="AH200">
        <v>285.83904954456301</v>
      </c>
      <c r="AI200">
        <v>85.260275868270497</v>
      </c>
      <c r="AJ200">
        <v>91.310783949889199</v>
      </c>
      <c r="AK200">
        <v>286.89495083413698</v>
      </c>
      <c r="AL200">
        <v>85.127844485308401</v>
      </c>
      <c r="AM200">
        <v>90.897995658381404</v>
      </c>
      <c r="AN200">
        <v>0.99999998554061897</v>
      </c>
    </row>
    <row r="201" spans="1:40" x14ac:dyDescent="0.25">
      <c r="A201" t="str">
        <f>"20190312160605924"</f>
        <v>20190312160605924</v>
      </c>
      <c r="B201" t="str">
        <f>"1552377965915012"</f>
        <v>1552377965915012</v>
      </c>
      <c r="C201" t="s">
        <v>40</v>
      </c>
      <c r="D201">
        <v>6.0367430000000004</v>
      </c>
      <c r="E201">
        <v>0.49844490000000002</v>
      </c>
      <c r="F201" t="s">
        <v>42</v>
      </c>
      <c r="G201">
        <v>-158.19499999999999</v>
      </c>
      <c r="H201">
        <v>24.516470000000002</v>
      </c>
      <c r="I201">
        <v>378.83420000000001</v>
      </c>
      <c r="J201">
        <v>-445.56889999999999</v>
      </c>
      <c r="K201">
        <v>1.1075790000000001</v>
      </c>
      <c r="L201">
        <v>368.54340000000002</v>
      </c>
      <c r="M201">
        <v>0.99990330000000005</v>
      </c>
      <c r="N201">
        <v>0</v>
      </c>
      <c r="O201">
        <v>1.308635E-2</v>
      </c>
      <c r="P201">
        <v>0.99638040000000005</v>
      </c>
      <c r="Q201">
        <v>8.0020519999999998E-2</v>
      </c>
      <c r="R201">
        <v>2.8687480000000001E-2</v>
      </c>
      <c r="S201">
        <v>2.988251</v>
      </c>
      <c r="T201">
        <v>0.24318239999999999</v>
      </c>
      <c r="U201">
        <v>0.1069336</v>
      </c>
      <c r="V201">
        <v>-1.5350829999999999E-2</v>
      </c>
      <c r="W201">
        <v>8.4786379999999995E-2</v>
      </c>
      <c r="X201">
        <v>0.99628090000000002</v>
      </c>
      <c r="Y201">
        <v>-2.2649039999999999E-2</v>
      </c>
      <c r="Z201">
        <v>1.4302149999999999E-4</v>
      </c>
      <c r="AA201">
        <v>0.99974350000000001</v>
      </c>
      <c r="AB201">
        <v>32</v>
      </c>
      <c r="AC201">
        <v>287.37389999999999</v>
      </c>
      <c r="AD201">
        <v>23.408891000000001</v>
      </c>
      <c r="AE201">
        <v>10.2907999999999</v>
      </c>
      <c r="AF201">
        <v>-6.4862181904572598</v>
      </c>
      <c r="AG201">
        <v>23.408891000000001</v>
      </c>
      <c r="AH201">
        <v>285.59137638777202</v>
      </c>
      <c r="AI201">
        <v>85.315350300842596</v>
      </c>
      <c r="AJ201">
        <v>91.301051362225607</v>
      </c>
      <c r="AK201">
        <v>286.62254180599001</v>
      </c>
      <c r="AL201">
        <v>85.136259023074203</v>
      </c>
      <c r="AM201">
        <v>90.882751217122603</v>
      </c>
      <c r="AN201">
        <v>1.00000000496</v>
      </c>
    </row>
    <row r="202" spans="1:40" x14ac:dyDescent="0.25">
      <c r="A202" t="str">
        <f>"20190312160605937"</f>
        <v>20190312160605937</v>
      </c>
      <c r="B202" t="str">
        <f>"1552377965925748"</f>
        <v>1552377965925748</v>
      </c>
      <c r="C202" t="s">
        <v>40</v>
      </c>
      <c r="D202">
        <v>5.9352679999999998</v>
      </c>
      <c r="E202">
        <v>0.49844490000000002</v>
      </c>
      <c r="F202" t="s">
        <v>42</v>
      </c>
      <c r="G202">
        <v>-158.19499999999999</v>
      </c>
      <c r="H202">
        <v>24.765689999999999</v>
      </c>
      <c r="I202">
        <v>378.0401</v>
      </c>
      <c r="J202">
        <v>-445.38029999999998</v>
      </c>
      <c r="K202">
        <v>1.1075889999999999</v>
      </c>
      <c r="L202">
        <v>368.54500000000002</v>
      </c>
      <c r="M202">
        <v>0.99991509999999995</v>
      </c>
      <c r="N202">
        <v>0</v>
      </c>
      <c r="O202">
        <v>1.213883E-2</v>
      </c>
      <c r="P202">
        <v>0.99641650000000004</v>
      </c>
      <c r="Q202">
        <v>7.9985539999999994E-2</v>
      </c>
      <c r="R202">
        <v>2.7511239999999999E-2</v>
      </c>
      <c r="S202">
        <v>2.9883730000000002</v>
      </c>
      <c r="T202">
        <v>0.24601909999999999</v>
      </c>
      <c r="U202">
        <v>9.8754880000000003E-2</v>
      </c>
      <c r="V202">
        <v>-1.5120430000000001E-2</v>
      </c>
      <c r="W202">
        <v>8.4781620000000002E-2</v>
      </c>
      <c r="X202">
        <v>0.99628479999999997</v>
      </c>
      <c r="Y202">
        <v>-2.086408E-2</v>
      </c>
      <c r="Z202">
        <v>1.4018019999999999E-4</v>
      </c>
      <c r="AA202">
        <v>0.99978230000000001</v>
      </c>
      <c r="AB202">
        <v>32</v>
      </c>
      <c r="AC202">
        <v>287.18529999999998</v>
      </c>
      <c r="AD202">
        <v>23.658100999999998</v>
      </c>
      <c r="AE202">
        <v>9.4950999999999794</v>
      </c>
      <c r="AF202">
        <v>-5.9678123926299396</v>
      </c>
      <c r="AG202">
        <v>23.658100999999998</v>
      </c>
      <c r="AH202">
        <v>285.345067913393</v>
      </c>
      <c r="AI202">
        <v>85.261450398493807</v>
      </c>
      <c r="AJ202">
        <v>91.198130473752002</v>
      </c>
      <c r="AK202">
        <v>286.38632703077599</v>
      </c>
      <c r="AL202">
        <v>85.136532598278706</v>
      </c>
      <c r="AM202">
        <v>90.869500685458107</v>
      </c>
      <c r="AN202">
        <v>0.99999997660212403</v>
      </c>
    </row>
    <row r="203" spans="1:40" x14ac:dyDescent="0.25">
      <c r="A203" t="str">
        <f>"20190312160606136"</f>
        <v>20190312160606136</v>
      </c>
      <c r="B203" t="str">
        <f>"1552377966124853"</f>
        <v>1552377966124853</v>
      </c>
      <c r="C203" t="s">
        <v>40</v>
      </c>
      <c r="D203">
        <v>5.947889</v>
      </c>
      <c r="E203">
        <v>0.4963899</v>
      </c>
      <c r="F203" t="s">
        <v>42</v>
      </c>
      <c r="G203">
        <v>-158.19499999999999</v>
      </c>
      <c r="H203">
        <v>24.738199999999999</v>
      </c>
      <c r="I203">
        <v>377.68049999999999</v>
      </c>
      <c r="J203">
        <v>-442.49220000000003</v>
      </c>
      <c r="K203">
        <v>1.108522</v>
      </c>
      <c r="L203">
        <v>368.55079999999998</v>
      </c>
      <c r="M203">
        <v>0.99996019999999997</v>
      </c>
      <c r="N203">
        <v>0</v>
      </c>
      <c r="O203">
        <v>-2.258603E-4</v>
      </c>
      <c r="P203">
        <v>0.99713909999999994</v>
      </c>
      <c r="Q203">
        <v>7.3069040000000002E-2</v>
      </c>
      <c r="R203">
        <v>1.9355290000000001E-2</v>
      </c>
      <c r="S203">
        <v>2.9884029999999999</v>
      </c>
      <c r="T203">
        <v>0.24589710000000001</v>
      </c>
      <c r="U203">
        <v>9.5062259999999996E-2</v>
      </c>
      <c r="V203">
        <v>-1.934667E-2</v>
      </c>
      <c r="W203">
        <v>8.2019430000000004E-2</v>
      </c>
      <c r="X203">
        <v>0.99644290000000002</v>
      </c>
      <c r="Y203">
        <v>-3.1911559999999999E-2</v>
      </c>
      <c r="Z203">
        <v>-1.3289059999999999E-3</v>
      </c>
      <c r="AA203">
        <v>0.99948979999999998</v>
      </c>
      <c r="AB203">
        <v>32</v>
      </c>
      <c r="AC203">
        <v>284.29719999999998</v>
      </c>
      <c r="AD203">
        <v>23.629677999999998</v>
      </c>
      <c r="AE203">
        <v>9.1297000000000104</v>
      </c>
      <c r="AF203">
        <v>-9.1308998686323903</v>
      </c>
      <c r="AG203">
        <v>23.629677999999998</v>
      </c>
      <c r="AH203">
        <v>282.34660833989602</v>
      </c>
      <c r="AI203">
        <v>85.218534196005194</v>
      </c>
      <c r="AJ203">
        <v>91.852261527645595</v>
      </c>
      <c r="AK203">
        <v>283.480761703219</v>
      </c>
      <c r="AL203">
        <v>85.295347731509594</v>
      </c>
      <c r="AM203">
        <v>91.112299843416295</v>
      </c>
      <c r="AN203">
        <v>0.99999996674901104</v>
      </c>
    </row>
    <row r="204" spans="1:40" x14ac:dyDescent="0.25">
      <c r="A204" t="str">
        <f>"20190312160606159"</f>
        <v>20190312160606159</v>
      </c>
      <c r="B204" t="str">
        <f>"1552377966155110"</f>
        <v>1552377966155110</v>
      </c>
      <c r="C204" t="s">
        <v>40</v>
      </c>
      <c r="D204">
        <v>6.3728499999999997</v>
      </c>
      <c r="E204">
        <v>0.4928959</v>
      </c>
      <c r="F204" t="s">
        <v>45</v>
      </c>
      <c r="G204">
        <v>-424.43869999999998</v>
      </c>
      <c r="H204">
        <v>-0.05</v>
      </c>
      <c r="I204">
        <v>368.98860000000002</v>
      </c>
      <c r="J204">
        <v>-442.18220000000002</v>
      </c>
      <c r="K204">
        <v>1.1086</v>
      </c>
      <c r="L204">
        <v>368.54950000000002</v>
      </c>
      <c r="M204">
        <v>0.99995579999999995</v>
      </c>
      <c r="N204">
        <v>0</v>
      </c>
      <c r="O204">
        <v>-1.3168800000000001E-3</v>
      </c>
      <c r="P204">
        <v>0.99714990000000003</v>
      </c>
      <c r="Q204">
        <v>7.3040690000000005E-2</v>
      </c>
      <c r="R204">
        <v>1.8906800000000001E-2</v>
      </c>
      <c r="S204">
        <v>3.0213930000000002</v>
      </c>
      <c r="T204">
        <v>-0.1938869</v>
      </c>
      <c r="U204">
        <v>7.3272710000000005E-2</v>
      </c>
      <c r="V204">
        <v>-1.9995590000000001E-2</v>
      </c>
      <c r="W204">
        <v>8.2380120000000001E-2</v>
      </c>
      <c r="X204">
        <v>0.99640039999999996</v>
      </c>
      <c r="Y204">
        <v>-2.550556E-2</v>
      </c>
      <c r="Z204">
        <v>9.0181349999999996E-4</v>
      </c>
      <c r="AA204">
        <v>0.99967430000000002</v>
      </c>
      <c r="AB204">
        <v>32</v>
      </c>
      <c r="AC204">
        <v>17.743500000000001</v>
      </c>
      <c r="AD204">
        <v>-1.1586000000000001</v>
      </c>
      <c r="AE204">
        <v>0.43909999999999599</v>
      </c>
      <c r="AF204">
        <v>-0.46050443278499598</v>
      </c>
      <c r="AG204">
        <v>-1.1586000000000001</v>
      </c>
      <c r="AH204">
        <v>17.6676226917583</v>
      </c>
      <c r="AI204">
        <v>93.750676387817606</v>
      </c>
      <c r="AJ204">
        <v>91.493069453704706</v>
      </c>
      <c r="AK204">
        <v>17.7115586516531</v>
      </c>
      <c r="AL204">
        <v>85.274611853271907</v>
      </c>
      <c r="AM204">
        <v>91.149647431026096</v>
      </c>
      <c r="AN204">
        <v>1.0000000324554099</v>
      </c>
    </row>
    <row r="205" spans="1:40" x14ac:dyDescent="0.25">
      <c r="A205" t="str">
        <f>"20190312160606171"</f>
        <v>20190312160606171</v>
      </c>
      <c r="B205" t="str">
        <f>"1552377966164870"</f>
        <v>1552377966164870</v>
      </c>
      <c r="C205" t="s">
        <v>40</v>
      </c>
      <c r="D205">
        <v>5.8582289999999997</v>
      </c>
      <c r="E205">
        <v>0.49450699999999997</v>
      </c>
      <c r="F205" t="s">
        <v>42</v>
      </c>
      <c r="G205">
        <v>-158.19499999999999</v>
      </c>
      <c r="H205">
        <v>4.1572809999999896</v>
      </c>
      <c r="I205">
        <v>378.67520000000002</v>
      </c>
      <c r="J205">
        <v>-441.96589999999998</v>
      </c>
      <c r="K205">
        <v>1.108649</v>
      </c>
      <c r="L205">
        <v>368.54840000000002</v>
      </c>
      <c r="M205">
        <v>0.99995230000000002</v>
      </c>
      <c r="N205">
        <v>0</v>
      </c>
      <c r="O205">
        <v>-2.062164E-3</v>
      </c>
      <c r="P205">
        <v>0.99719069999999999</v>
      </c>
      <c r="Q205">
        <v>7.2540629999999995E-2</v>
      </c>
      <c r="R205">
        <v>1.8679370000000001E-2</v>
      </c>
      <c r="S205">
        <v>3.0042110000000002</v>
      </c>
      <c r="T205">
        <v>3.2251950000000001E-2</v>
      </c>
      <c r="U205">
        <v>0.1071167</v>
      </c>
      <c r="V205">
        <v>-2.0519599999999999E-2</v>
      </c>
      <c r="W205">
        <v>8.2125399999999904E-2</v>
      </c>
      <c r="X205">
        <v>0.99641069999999998</v>
      </c>
      <c r="Y205">
        <v>-3.7691460000000003E-2</v>
      </c>
      <c r="Z205">
        <v>-2.2438180000000001E-4</v>
      </c>
      <c r="AA205">
        <v>0.99928939999999999</v>
      </c>
      <c r="AB205">
        <v>32</v>
      </c>
      <c r="AC205">
        <v>283.77089999999998</v>
      </c>
      <c r="AD205">
        <v>3.048632</v>
      </c>
      <c r="AE205">
        <v>10.126799999999999</v>
      </c>
      <c r="AF205">
        <v>-10.7107526267036</v>
      </c>
      <c r="AG205">
        <v>3.048632</v>
      </c>
      <c r="AH205">
        <v>283.71670807803002</v>
      </c>
      <c r="AI205">
        <v>89.384799358011904</v>
      </c>
      <c r="AJ205">
        <v>92.161979245300998</v>
      </c>
      <c r="AK205">
        <v>283.93517714706599</v>
      </c>
      <c r="AL205">
        <v>85.289255509076199</v>
      </c>
      <c r="AM205">
        <v>91.179754813424907</v>
      </c>
      <c r="AN205">
        <v>0.99999995919190399</v>
      </c>
    </row>
    <row r="206" spans="1:40" x14ac:dyDescent="0.25">
      <c r="A206" t="str">
        <f>"20190312160606191"</f>
        <v>20190312160606191</v>
      </c>
      <c r="B206" t="str">
        <f>"1552377966185365"</f>
        <v>1552377966185365</v>
      </c>
      <c r="C206" t="s">
        <v>40</v>
      </c>
      <c r="D206">
        <v>6.003393</v>
      </c>
      <c r="E206">
        <v>0.49508950000000002</v>
      </c>
      <c r="F206" t="s">
        <v>42</v>
      </c>
      <c r="G206">
        <v>-158.19499999999999</v>
      </c>
      <c r="H206">
        <v>6.6230449999999896</v>
      </c>
      <c r="I206">
        <v>377.50130000000001</v>
      </c>
      <c r="J206">
        <v>-441.69529999999997</v>
      </c>
      <c r="K206">
        <v>1.108703</v>
      </c>
      <c r="L206">
        <v>368.54680000000002</v>
      </c>
      <c r="M206">
        <v>0.99994729999999998</v>
      </c>
      <c r="N206">
        <v>0</v>
      </c>
      <c r="O206">
        <v>-2.9684780000000001E-3</v>
      </c>
      <c r="P206">
        <v>0.99720529999999996</v>
      </c>
      <c r="Q206">
        <v>7.2322189999999995E-2</v>
      </c>
      <c r="R206">
        <v>1.8744400000000001E-2</v>
      </c>
      <c r="S206">
        <v>3.002472</v>
      </c>
      <c r="T206">
        <v>5.8346629999999997E-2</v>
      </c>
      <c r="U206">
        <v>9.4726560000000001E-2</v>
      </c>
      <c r="V206">
        <v>-2.1496350000000001E-2</v>
      </c>
      <c r="W206">
        <v>8.218338E-2</v>
      </c>
      <c r="X206">
        <v>0.99638539999999998</v>
      </c>
      <c r="Y206">
        <v>-3.4493780000000002E-2</v>
      </c>
      <c r="Z206">
        <v>-3.9271109999999999E-4</v>
      </c>
      <c r="AA206">
        <v>0.99940479999999998</v>
      </c>
      <c r="AB206">
        <v>32</v>
      </c>
      <c r="AC206">
        <v>283.50029999999998</v>
      </c>
      <c r="AD206">
        <v>5.5143419999999903</v>
      </c>
      <c r="AE206">
        <v>8.9544999999999906</v>
      </c>
      <c r="AF206">
        <v>-9.7923644566226091</v>
      </c>
      <c r="AG206">
        <v>5.5143419999999903</v>
      </c>
      <c r="AH206">
        <v>283.36536714114698</v>
      </c>
      <c r="AI206">
        <v>88.885819259370805</v>
      </c>
      <c r="AJ206">
        <v>91.979204368892994</v>
      </c>
      <c r="AK206">
        <v>283.58813385679798</v>
      </c>
      <c r="AL206">
        <v>85.285922581420195</v>
      </c>
      <c r="AM206">
        <v>91.235926471842205</v>
      </c>
      <c r="AN206">
        <v>1.00000003317235</v>
      </c>
    </row>
    <row r="207" spans="1:40" x14ac:dyDescent="0.25">
      <c r="A207" t="str">
        <f>"20190312160606203"</f>
        <v>20190312160606203</v>
      </c>
      <c r="B207" t="str">
        <f>"1552377966195126"</f>
        <v>1552377966195126</v>
      </c>
      <c r="C207" t="s">
        <v>40</v>
      </c>
      <c r="D207">
        <v>5.9469260000000004</v>
      </c>
      <c r="E207">
        <v>0.49584879999999998</v>
      </c>
      <c r="F207" t="s">
        <v>42</v>
      </c>
      <c r="G207">
        <v>-168.84350000000001</v>
      </c>
      <c r="H207">
        <v>10.79922</v>
      </c>
      <c r="I207">
        <v>376.85989999999998</v>
      </c>
      <c r="J207">
        <v>-441.5086</v>
      </c>
      <c r="K207">
        <v>1.1087389999999999</v>
      </c>
      <c r="L207">
        <v>368.54570000000001</v>
      </c>
      <c r="M207">
        <v>0.99994369999999999</v>
      </c>
      <c r="N207">
        <v>0</v>
      </c>
      <c r="O207">
        <v>-3.572062E-3</v>
      </c>
      <c r="P207">
        <v>0.99722279999999996</v>
      </c>
      <c r="Q207">
        <v>7.2063779999999994E-2</v>
      </c>
      <c r="R207">
        <v>1.8814009999999999E-2</v>
      </c>
      <c r="S207">
        <v>2.9989620000000001</v>
      </c>
      <c r="T207">
        <v>0.1065111</v>
      </c>
      <c r="U207">
        <v>9.1369629999999993E-2</v>
      </c>
      <c r="V207">
        <v>-2.2174490000000002E-2</v>
      </c>
      <c r="W207">
        <v>8.2097370000000003E-2</v>
      </c>
      <c r="X207">
        <v>0.99637759999999997</v>
      </c>
      <c r="Y207">
        <v>-3.3999670000000003E-2</v>
      </c>
      <c r="Z207">
        <v>-7.3023960000000003E-4</v>
      </c>
      <c r="AA207">
        <v>0.99942160000000002</v>
      </c>
      <c r="AB207">
        <v>32</v>
      </c>
      <c r="AC207">
        <v>272.6651</v>
      </c>
      <c r="AD207">
        <v>9.6904810000000001</v>
      </c>
      <c r="AE207">
        <v>8.3141999999999694</v>
      </c>
      <c r="AF207">
        <v>-9.2764661633635406</v>
      </c>
      <c r="AG207">
        <v>9.6904810000000001</v>
      </c>
      <c r="AH207">
        <v>272.290054747071</v>
      </c>
      <c r="AI207">
        <v>87.962952009752897</v>
      </c>
      <c r="AJ207">
        <v>91.951216595058796</v>
      </c>
      <c r="AK207">
        <v>272.62030768204801</v>
      </c>
      <c r="AL207">
        <v>85.2908671627915</v>
      </c>
      <c r="AM207">
        <v>91.274913241896996</v>
      </c>
      <c r="AN207">
        <v>1.0000000039747099</v>
      </c>
    </row>
    <row r="208" spans="1:40" x14ac:dyDescent="0.25">
      <c r="A208" t="str">
        <f>"20190312160606227"</f>
        <v>20190312160606227</v>
      </c>
      <c r="B208" t="str">
        <f>"1552377966215621"</f>
        <v>1552377966215621</v>
      </c>
      <c r="C208" t="s">
        <v>40</v>
      </c>
      <c r="D208">
        <v>5.8502390000000002</v>
      </c>
      <c r="E208">
        <v>0.49591819999999998</v>
      </c>
      <c r="F208" t="s">
        <v>42</v>
      </c>
      <c r="G208">
        <v>-168.84350000000001</v>
      </c>
      <c r="H208">
        <v>11.62773</v>
      </c>
      <c r="I208">
        <v>376.37720000000002</v>
      </c>
      <c r="J208">
        <v>-441.17880000000002</v>
      </c>
      <c r="K208">
        <v>1.1086769999999999</v>
      </c>
      <c r="L208">
        <v>368.54340000000002</v>
      </c>
      <c r="M208">
        <v>0.99994110000000003</v>
      </c>
      <c r="N208">
        <v>0</v>
      </c>
      <c r="O208">
        <v>-4.6261760000000001E-3</v>
      </c>
      <c r="P208">
        <v>0.99716179999999999</v>
      </c>
      <c r="Q208">
        <v>7.2831709999999994E-2</v>
      </c>
      <c r="R208">
        <v>1.9087449999999999E-2</v>
      </c>
      <c r="S208">
        <v>2.9984130000000002</v>
      </c>
      <c r="T208">
        <v>0.115675</v>
      </c>
      <c r="U208">
        <v>8.612061E-2</v>
      </c>
      <c r="V208">
        <v>-2.350791E-2</v>
      </c>
      <c r="W208">
        <v>8.2682359999999996E-2</v>
      </c>
      <c r="X208">
        <v>0.99629869999999998</v>
      </c>
      <c r="Y208">
        <v>-3.3306210000000003E-2</v>
      </c>
      <c r="Z208">
        <v>-8.2046449999999998E-4</v>
      </c>
      <c r="AA208">
        <v>0.99944480000000002</v>
      </c>
      <c r="AB208">
        <v>32</v>
      </c>
      <c r="AC208">
        <v>272.33530000000002</v>
      </c>
      <c r="AD208">
        <v>10.519053</v>
      </c>
      <c r="AE208">
        <v>7.8337999999999903</v>
      </c>
      <c r="AF208">
        <v>-9.0801123224193905</v>
      </c>
      <c r="AG208">
        <v>10.519053</v>
      </c>
      <c r="AH208">
        <v>271.89083932783802</v>
      </c>
      <c r="AI208">
        <v>87.785649587607693</v>
      </c>
      <c r="AJ208">
        <v>91.912748627680998</v>
      </c>
      <c r="AK208">
        <v>272.24571149276301</v>
      </c>
      <c r="AL208">
        <v>85.257235566949305</v>
      </c>
      <c r="AM208">
        <v>91.351657043423501</v>
      </c>
      <c r="AN208">
        <v>1.0000000470547099</v>
      </c>
    </row>
    <row r="209" spans="1:40" x14ac:dyDescent="0.25">
      <c r="A209" t="str">
        <f>"20190312160606247"</f>
        <v>20190312160606247</v>
      </c>
      <c r="B209" t="str">
        <f>"1552377966235141"</f>
        <v>1552377966235141</v>
      </c>
      <c r="C209" t="s">
        <v>40</v>
      </c>
      <c r="D209">
        <v>5.8539219999999998</v>
      </c>
      <c r="E209">
        <v>0.49692649999999999</v>
      </c>
      <c r="F209" t="s">
        <v>42</v>
      </c>
      <c r="G209">
        <v>-170.08879999999999</v>
      </c>
      <c r="H209">
        <v>13.972490000000001</v>
      </c>
      <c r="I209">
        <v>376.43680000000001</v>
      </c>
      <c r="J209">
        <v>-440.87380000000002</v>
      </c>
      <c r="K209">
        <v>1.108506</v>
      </c>
      <c r="L209">
        <v>368.541</v>
      </c>
      <c r="M209">
        <v>0.99994050000000001</v>
      </c>
      <c r="N209">
        <v>0</v>
      </c>
      <c r="O209">
        <v>-5.5732560000000004E-3</v>
      </c>
      <c r="P209">
        <v>0.99708620000000003</v>
      </c>
      <c r="Q209">
        <v>7.3819350000000006E-2</v>
      </c>
      <c r="R209">
        <v>1.924174E-2</v>
      </c>
      <c r="S209">
        <v>2.9964900000000001</v>
      </c>
      <c r="T209">
        <v>0.14219089999999901</v>
      </c>
      <c r="U209">
        <v>8.7249759999999996E-2</v>
      </c>
      <c r="V209">
        <v>-2.4614609999999999E-2</v>
      </c>
      <c r="W209">
        <v>8.3244509999999994E-2</v>
      </c>
      <c r="X209">
        <v>0.99622509999999997</v>
      </c>
      <c r="Y209">
        <v>-3.4630469999999997E-2</v>
      </c>
      <c r="Z209">
        <v>-1.0852909999999999E-3</v>
      </c>
      <c r="AA209">
        <v>0.99939960000000005</v>
      </c>
      <c r="AB209">
        <v>32</v>
      </c>
      <c r="AC209">
        <v>270.78500000000003</v>
      </c>
      <c r="AD209">
        <v>12.863984</v>
      </c>
      <c r="AE209">
        <v>7.8958000000000004</v>
      </c>
      <c r="AF209">
        <v>-9.3837381922127694</v>
      </c>
      <c r="AG209">
        <v>12.863984</v>
      </c>
      <c r="AH209">
        <v>270.12766845656603</v>
      </c>
      <c r="AI209">
        <v>87.275168917857997</v>
      </c>
      <c r="AJ209">
        <v>91.9895499290365</v>
      </c>
      <c r="AK209">
        <v>270.59655188599999</v>
      </c>
      <c r="AL209">
        <v>85.224915045083407</v>
      </c>
      <c r="AM209">
        <v>91.4153692608283</v>
      </c>
      <c r="AN209">
        <v>0.99999998867030004</v>
      </c>
    </row>
    <row r="210" spans="1:40" x14ac:dyDescent="0.25">
      <c r="A210" t="str">
        <f>"20190312160606269"</f>
        <v>20190312160606269</v>
      </c>
      <c r="B210" t="str">
        <f>"1552377966265397"</f>
        <v>1552377966265397</v>
      </c>
      <c r="C210" t="s">
        <v>40</v>
      </c>
      <c r="D210">
        <v>5.2875889999999997</v>
      </c>
      <c r="E210">
        <v>0.49663479999999999</v>
      </c>
      <c r="F210" t="s">
        <v>42</v>
      </c>
      <c r="G210">
        <v>-170.08879999999999</v>
      </c>
      <c r="H210">
        <v>13.563510000000001</v>
      </c>
      <c r="I210">
        <v>375.69880000000001</v>
      </c>
      <c r="J210">
        <v>-440.55500000000001</v>
      </c>
      <c r="K210">
        <v>1.108303</v>
      </c>
      <c r="L210">
        <v>368.53840000000002</v>
      </c>
      <c r="M210">
        <v>0.99993410000000005</v>
      </c>
      <c r="N210">
        <v>0</v>
      </c>
      <c r="O210">
        <v>-6.5133049999999996E-3</v>
      </c>
      <c r="P210">
        <v>0.99709239999999999</v>
      </c>
      <c r="Q210">
        <v>7.3724040000000005E-2</v>
      </c>
      <c r="R210">
        <v>1.928096E-2</v>
      </c>
      <c r="S210">
        <v>2.9971009999999998</v>
      </c>
      <c r="T210">
        <v>0.13785529999999999</v>
      </c>
      <c r="U210">
        <v>7.9223630000000003E-2</v>
      </c>
      <c r="V210">
        <v>-2.5600879999999999E-2</v>
      </c>
      <c r="W210">
        <v>8.3197469999999996E-2</v>
      </c>
      <c r="X210">
        <v>0.99620419999999998</v>
      </c>
      <c r="Y210">
        <v>-3.2893310000000002E-2</v>
      </c>
      <c r="Z210">
        <v>-1.055348E-3</v>
      </c>
      <c r="AA210">
        <v>0.99945830000000002</v>
      </c>
      <c r="AB210">
        <v>33</v>
      </c>
      <c r="AC210">
        <v>270.46620000000001</v>
      </c>
      <c r="AD210">
        <v>12.455207</v>
      </c>
      <c r="AE210">
        <v>7.1603999999999797</v>
      </c>
      <c r="AF210">
        <v>-8.9030882698072809</v>
      </c>
      <c r="AG210">
        <v>12.455207</v>
      </c>
      <c r="AH210">
        <v>269.84197378319402</v>
      </c>
      <c r="AI210">
        <v>87.358686085219603</v>
      </c>
      <c r="AJ210">
        <v>91.889714920940605</v>
      </c>
      <c r="AK210">
        <v>270.27594783362201</v>
      </c>
      <c r="AL210">
        <v>85.227619751572604</v>
      </c>
      <c r="AM210">
        <v>91.472087351929005</v>
      </c>
      <c r="AN210">
        <v>1.0000000160844</v>
      </c>
    </row>
    <row r="211" spans="1:40" x14ac:dyDescent="0.25">
      <c r="A211" t="str">
        <f>"20190312160606281"</f>
        <v>20190312160606281</v>
      </c>
      <c r="B211" t="str">
        <f>"1552377966275157"</f>
        <v>1552377966275157</v>
      </c>
      <c r="C211" t="s">
        <v>40</v>
      </c>
      <c r="D211">
        <v>5.9163009999999998</v>
      </c>
      <c r="E211">
        <v>0.49650660000000002</v>
      </c>
      <c r="F211" t="s">
        <v>42</v>
      </c>
      <c r="G211">
        <v>-170.08879999999999</v>
      </c>
      <c r="H211">
        <v>13.390560000000001</v>
      </c>
      <c r="I211">
        <v>375.8997</v>
      </c>
      <c r="J211">
        <v>-440.37130000000002</v>
      </c>
      <c r="K211">
        <v>1.1081289999999999</v>
      </c>
      <c r="L211">
        <v>368.5367</v>
      </c>
      <c r="M211">
        <v>0.99992809999999999</v>
      </c>
      <c r="N211">
        <v>0</v>
      </c>
      <c r="O211">
        <v>-7.0305580000000001E-3</v>
      </c>
      <c r="P211">
        <v>0.99710330000000003</v>
      </c>
      <c r="Q211">
        <v>7.3647249999999997E-2</v>
      </c>
      <c r="R211">
        <v>1.9007179999999999E-2</v>
      </c>
      <c r="S211">
        <v>2.997131</v>
      </c>
      <c r="T211">
        <v>0.1361049</v>
      </c>
      <c r="U211">
        <v>8.1573489999999999E-2</v>
      </c>
      <c r="V211">
        <v>-2.584697E-2</v>
      </c>
      <c r="W211">
        <v>8.3402749999999998E-2</v>
      </c>
      <c r="X211">
        <v>0.99618070000000003</v>
      </c>
      <c r="Y211">
        <v>-3.4192279999999999E-2</v>
      </c>
      <c r="Z211">
        <v>-1.0948889999999999E-3</v>
      </c>
      <c r="AA211">
        <v>0.99941469999999999</v>
      </c>
      <c r="AB211">
        <v>33</v>
      </c>
      <c r="AC211">
        <v>270.28250000000003</v>
      </c>
      <c r="AD211">
        <v>12.2824309999999</v>
      </c>
      <c r="AE211">
        <v>7.3629999999999898</v>
      </c>
      <c r="AF211">
        <v>-9.2440690595414505</v>
      </c>
      <c r="AG211">
        <v>12.2824309999999</v>
      </c>
      <c r="AH211">
        <v>269.667584031562</v>
      </c>
      <c r="AI211">
        <v>87.393705346439006</v>
      </c>
      <c r="AJ211">
        <v>91.963301711388795</v>
      </c>
      <c r="AK211">
        <v>270.10538091912701</v>
      </c>
      <c r="AL211">
        <v>85.215817148508705</v>
      </c>
      <c r="AM211">
        <v>91.486266608284396</v>
      </c>
      <c r="AN211">
        <v>1.0000000358091099</v>
      </c>
    </row>
    <row r="212" spans="1:40" x14ac:dyDescent="0.25">
      <c r="A212" t="str">
        <f>"20190312160606294"</f>
        <v>20190312160606294</v>
      </c>
      <c r="B212" t="str">
        <f>"1552377966284917"</f>
        <v>1552377966284917</v>
      </c>
      <c r="C212" t="s">
        <v>40</v>
      </c>
      <c r="D212">
        <v>7.385033</v>
      </c>
      <c r="E212">
        <v>0.49628450000000002</v>
      </c>
      <c r="F212" t="s">
        <v>42</v>
      </c>
      <c r="G212">
        <v>-170.08879999999999</v>
      </c>
      <c r="H212">
        <v>13.276579999999999</v>
      </c>
      <c r="I212">
        <v>375.92880000000002</v>
      </c>
      <c r="J212">
        <v>-440.18</v>
      </c>
      <c r="K212">
        <v>1.1079060000000001</v>
      </c>
      <c r="L212">
        <v>368.53489999999999</v>
      </c>
      <c r="M212">
        <v>0.99992009999999998</v>
      </c>
      <c r="N212">
        <v>0</v>
      </c>
      <c r="O212">
        <v>-7.5556219999999997E-3</v>
      </c>
      <c r="P212">
        <v>0.99714669999999905</v>
      </c>
      <c r="Q212">
        <v>7.3071570000000002E-2</v>
      </c>
      <c r="R212">
        <v>1.8959549999999999E-2</v>
      </c>
      <c r="S212">
        <v>2.9971619999999999</v>
      </c>
      <c r="T212">
        <v>0.1349369</v>
      </c>
      <c r="U212">
        <v>8.1970210000000002E-2</v>
      </c>
      <c r="V212">
        <v>-2.632806E-2</v>
      </c>
      <c r="W212">
        <v>8.3230730000000003E-2</v>
      </c>
      <c r="X212">
        <v>0.99618240000000002</v>
      </c>
      <c r="Y212">
        <v>-3.4848539999999997E-2</v>
      </c>
      <c r="Z212">
        <v>-1.1238789999999999E-3</v>
      </c>
      <c r="AA212">
        <v>0.99939199999999995</v>
      </c>
      <c r="AB212">
        <v>33</v>
      </c>
      <c r="AC212">
        <v>270.09120000000001</v>
      </c>
      <c r="AD212">
        <v>12.168673999999999</v>
      </c>
      <c r="AE212">
        <v>7.3939000000000297</v>
      </c>
      <c r="AF212">
        <v>-9.4154031247897105</v>
      </c>
      <c r="AG212">
        <v>12.168673999999999</v>
      </c>
      <c r="AH212">
        <v>269.48102275005903</v>
      </c>
      <c r="AI212">
        <v>87.416085019406495</v>
      </c>
      <c r="AJ212">
        <v>92.001044462560202</v>
      </c>
      <c r="AK212">
        <v>269.91989194080998</v>
      </c>
      <c r="AL212">
        <v>85.225707133913403</v>
      </c>
      <c r="AM212">
        <v>91.513915169641606</v>
      </c>
      <c r="AN212">
        <v>0.99999994761472599</v>
      </c>
    </row>
    <row r="213" spans="1:40" x14ac:dyDescent="0.25">
      <c r="A213" t="str">
        <f>"20190312160606315"</f>
        <v>20190312160606315</v>
      </c>
      <c r="B213" t="str">
        <f>"1552377966305416"</f>
        <v>1552377966305416</v>
      </c>
      <c r="C213" t="s">
        <v>40</v>
      </c>
      <c r="D213">
        <v>5.9217199999999997</v>
      </c>
      <c r="E213">
        <v>0.49593480000000001</v>
      </c>
      <c r="F213" t="s">
        <v>42</v>
      </c>
      <c r="G213">
        <v>-170.08879999999999</v>
      </c>
      <c r="H213">
        <v>13.00901</v>
      </c>
      <c r="I213">
        <v>376.04509999999999</v>
      </c>
      <c r="J213">
        <v>-439.88130000000001</v>
      </c>
      <c r="K213">
        <v>1.1073409999999999</v>
      </c>
      <c r="L213">
        <v>368.53199999999998</v>
      </c>
      <c r="M213">
        <v>0.99990489999999999</v>
      </c>
      <c r="N213">
        <v>0</v>
      </c>
      <c r="O213">
        <v>-8.3225620000000004E-3</v>
      </c>
      <c r="P213">
        <v>0.99722109999999997</v>
      </c>
      <c r="Q213">
        <v>7.2125750000000002E-2</v>
      </c>
      <c r="R213">
        <v>1.8669069999999999E-2</v>
      </c>
      <c r="S213">
        <v>2.9973139999999998</v>
      </c>
      <c r="T213">
        <v>0.13207240000000001</v>
      </c>
      <c r="U213">
        <v>8.3343509999999996E-2</v>
      </c>
      <c r="V213">
        <v>-2.6807060000000001E-2</v>
      </c>
      <c r="W213">
        <v>8.3148040000000006E-2</v>
      </c>
      <c r="X213">
        <v>0.99617659999999997</v>
      </c>
      <c r="Y213">
        <v>-3.6071159999999998E-2</v>
      </c>
      <c r="Z213">
        <v>-1.1606769999999999E-3</v>
      </c>
      <c r="AA213">
        <v>0.99934849999999997</v>
      </c>
      <c r="AB213">
        <v>33</v>
      </c>
      <c r="AC213">
        <v>269.79250000000002</v>
      </c>
      <c r="AD213">
        <v>11.901669</v>
      </c>
      <c r="AE213">
        <v>7.5130999999999997</v>
      </c>
      <c r="AF213">
        <v>-9.7394015858698708</v>
      </c>
      <c r="AG213">
        <v>11.901669</v>
      </c>
      <c r="AH213">
        <v>269.19715550631298</v>
      </c>
      <c r="AI213">
        <v>87.470156682098207</v>
      </c>
      <c r="AJ213">
        <v>92.072025312543104</v>
      </c>
      <c r="AK213">
        <v>269.636077335594</v>
      </c>
      <c r="AL213">
        <v>85.230461731916293</v>
      </c>
      <c r="AM213">
        <v>91.541454411129095</v>
      </c>
      <c r="AN213">
        <v>1.0000000167046199</v>
      </c>
    </row>
    <row r="214" spans="1:40" x14ac:dyDescent="0.25">
      <c r="A214" t="str">
        <f>"20190312160606335"</f>
        <v>20190312160606335</v>
      </c>
      <c r="B214" t="str">
        <f>"1552377966324933"</f>
        <v>1552377966324933</v>
      </c>
      <c r="C214" t="s">
        <v>40</v>
      </c>
      <c r="D214">
        <v>6.0249290000000002</v>
      </c>
      <c r="E214">
        <v>0.49575940000000002</v>
      </c>
      <c r="F214" t="s">
        <v>42</v>
      </c>
      <c r="G214">
        <v>-168.84350000000001</v>
      </c>
      <c r="H214">
        <v>12.645479999999999</v>
      </c>
      <c r="I214">
        <v>376.25279999999998</v>
      </c>
      <c r="J214">
        <v>-439.57920000000001</v>
      </c>
      <c r="K214">
        <v>1.1065290000000001</v>
      </c>
      <c r="L214">
        <v>368.52890000000002</v>
      </c>
      <c r="M214">
        <v>0.99988630000000001</v>
      </c>
      <c r="N214">
        <v>0</v>
      </c>
      <c r="O214">
        <v>-8.9337900000000005E-3</v>
      </c>
      <c r="P214">
        <v>0.99729380000000001</v>
      </c>
      <c r="Q214">
        <v>7.1125930000000004E-2</v>
      </c>
      <c r="R214">
        <v>1.8610379999999999E-2</v>
      </c>
      <c r="S214">
        <v>2.9975589999999999</v>
      </c>
      <c r="T214">
        <v>0.12760759999999999</v>
      </c>
      <c r="U214">
        <v>8.5388179999999994E-2</v>
      </c>
      <c r="V214">
        <v>-2.736015E-2</v>
      </c>
      <c r="W214">
        <v>8.328062E-2</v>
      </c>
      <c r="X214">
        <v>0.99615050000000005</v>
      </c>
      <c r="Y214">
        <v>-3.7362149999999997E-2</v>
      </c>
      <c r="Z214">
        <v>-1.1748450000000001E-3</v>
      </c>
      <c r="AA214">
        <v>0.99930110000000005</v>
      </c>
      <c r="AB214">
        <v>33</v>
      </c>
      <c r="AC214">
        <v>270.73570000000001</v>
      </c>
      <c r="AD214">
        <v>11.5389509999999</v>
      </c>
      <c r="AE214">
        <v>7.7238999999999498</v>
      </c>
      <c r="AF214">
        <v>-10.1240903775763</v>
      </c>
      <c r="AG214">
        <v>11.5389509999999</v>
      </c>
      <c r="AH214">
        <v>270.16552177459801</v>
      </c>
      <c r="AI214">
        <v>87.556058449955302</v>
      </c>
      <c r="AJ214">
        <v>92.146078263212999</v>
      </c>
      <c r="AK214">
        <v>270.60128187407798</v>
      </c>
      <c r="AL214">
        <v>85.222839078706002</v>
      </c>
      <c r="AM214">
        <v>91.5732834636988</v>
      </c>
      <c r="AN214">
        <v>1.0000000290629201</v>
      </c>
    </row>
    <row r="215" spans="1:40" x14ac:dyDescent="0.25">
      <c r="A215" t="str">
        <f>"20190312160606347"</f>
        <v>20190312160606347</v>
      </c>
      <c r="B215" t="str">
        <f>"1552377966335671"</f>
        <v>1552377966335671</v>
      </c>
      <c r="C215" t="s">
        <v>40</v>
      </c>
      <c r="D215">
        <v>5.8848529999999997</v>
      </c>
      <c r="E215">
        <v>0.49575940000000002</v>
      </c>
      <c r="F215" t="s">
        <v>42</v>
      </c>
      <c r="G215">
        <v>-168.84350000000001</v>
      </c>
      <c r="H215">
        <v>12.147600000000001</v>
      </c>
      <c r="I215">
        <v>376.33980000000003</v>
      </c>
      <c r="J215">
        <v>-439.39499999999998</v>
      </c>
      <c r="K215">
        <v>1.1057699999999999</v>
      </c>
      <c r="L215">
        <v>368.52690000000001</v>
      </c>
      <c r="M215">
        <v>0.99988030000000006</v>
      </c>
      <c r="N215">
        <v>0</v>
      </c>
      <c r="O215">
        <v>-9.2909729999999992E-3</v>
      </c>
      <c r="P215">
        <v>0.99729630000000002</v>
      </c>
      <c r="Q215">
        <v>7.1086570000000002E-2</v>
      </c>
      <c r="R215">
        <v>1.8615619999999999E-2</v>
      </c>
      <c r="S215">
        <v>2.9977719999999999</v>
      </c>
      <c r="T215">
        <v>0.1222553</v>
      </c>
      <c r="U215">
        <v>8.6486820000000006E-2</v>
      </c>
      <c r="V215">
        <v>-2.7725E-2</v>
      </c>
      <c r="W215">
        <v>8.3463570000000001E-2</v>
      </c>
      <c r="X215">
        <v>0.99612500000000004</v>
      </c>
      <c r="Y215">
        <v>-3.8085590000000002E-2</v>
      </c>
      <c r="Z215">
        <v>-1.154827E-3</v>
      </c>
      <c r="AA215">
        <v>0.99927379999999999</v>
      </c>
      <c r="AB215">
        <v>33</v>
      </c>
      <c r="AC215">
        <v>270.55149999999998</v>
      </c>
      <c r="AD215">
        <v>11.041829999999999</v>
      </c>
      <c r="AE215">
        <v>7.8129000000000097</v>
      </c>
      <c r="AF215">
        <v>-10.309284516842601</v>
      </c>
      <c r="AG215">
        <v>11.041829999999999</v>
      </c>
      <c r="AH215">
        <v>270.01784676638499</v>
      </c>
      <c r="AI215">
        <v>87.660013469043193</v>
      </c>
      <c r="AJ215">
        <v>92.186491512166796</v>
      </c>
      <c r="AK215">
        <v>270.44008750433699</v>
      </c>
      <c r="AL215">
        <v>85.212319716150901</v>
      </c>
      <c r="AM215">
        <v>91.594293371255205</v>
      </c>
      <c r="AN215">
        <v>0.99999992938356996</v>
      </c>
    </row>
    <row r="216" spans="1:40" x14ac:dyDescent="0.25">
      <c r="A216" t="str">
        <f>"20190312160606361"</f>
        <v>20190312160606361</v>
      </c>
      <c r="B216" t="str">
        <f>"1552377966355189"</f>
        <v>1552377966355189</v>
      </c>
      <c r="C216" t="s">
        <v>40</v>
      </c>
      <c r="D216">
        <v>6.0145589999999904</v>
      </c>
      <c r="E216">
        <v>0.49587229999999999</v>
      </c>
      <c r="F216" t="s">
        <v>42</v>
      </c>
      <c r="G216">
        <v>-168.84350000000001</v>
      </c>
      <c r="H216">
        <v>12.128069999999999</v>
      </c>
      <c r="I216">
        <v>376.346</v>
      </c>
      <c r="J216">
        <v>-439.21550000000002</v>
      </c>
      <c r="K216">
        <v>1.10497</v>
      </c>
      <c r="L216">
        <v>368.5249</v>
      </c>
      <c r="M216">
        <v>0.99987539999999997</v>
      </c>
      <c r="N216">
        <v>0</v>
      </c>
      <c r="O216">
        <v>-9.6288599999999995E-3</v>
      </c>
      <c r="P216">
        <v>0.9973071</v>
      </c>
      <c r="Q216">
        <v>7.0900690000000002E-2</v>
      </c>
      <c r="R216">
        <v>1.8754119999999999E-2</v>
      </c>
      <c r="S216">
        <v>2.997833</v>
      </c>
      <c r="T216">
        <v>0.12213300000000001</v>
      </c>
      <c r="U216">
        <v>8.6639399999999894E-2</v>
      </c>
      <c r="V216">
        <v>-2.8205279999999999E-2</v>
      </c>
      <c r="W216">
        <v>8.3428890000000006E-2</v>
      </c>
      <c r="X216">
        <v>0.99611450000000001</v>
      </c>
      <c r="Y216">
        <v>-3.8473E-2</v>
      </c>
      <c r="Z216">
        <v>-1.1752939999999999E-3</v>
      </c>
      <c r="AA216">
        <v>0.99925889999999995</v>
      </c>
      <c r="AB216">
        <v>33</v>
      </c>
      <c r="AC216">
        <v>270.37200000000001</v>
      </c>
      <c r="AD216">
        <v>11.023099999999999</v>
      </c>
      <c r="AE216">
        <v>7.8211000000000004</v>
      </c>
      <c r="AF216">
        <v>-10.4070310671835</v>
      </c>
      <c r="AG216">
        <v>11.023099999999999</v>
      </c>
      <c r="AH216">
        <v>269.836002598726</v>
      </c>
      <c r="AI216">
        <v>87.662440531466402</v>
      </c>
      <c r="AJ216">
        <v>92.208688100774907</v>
      </c>
      <c r="AK216">
        <v>270.26150914938501</v>
      </c>
      <c r="AL216">
        <v>85.214314062133397</v>
      </c>
      <c r="AM216">
        <v>91.621913766622498</v>
      </c>
      <c r="AN216">
        <v>1.0000000073083799</v>
      </c>
    </row>
    <row r="217" spans="1:40" x14ac:dyDescent="0.25">
      <c r="A217" t="str">
        <f>"20190312160606380"</f>
        <v>20190312160606380</v>
      </c>
      <c r="B217" t="str">
        <f>"1552377966375121"</f>
        <v>1552377966375121</v>
      </c>
      <c r="C217" t="s">
        <v>40</v>
      </c>
      <c r="D217">
        <v>5.9513910000000001</v>
      </c>
      <c r="E217">
        <v>0.49608360000000001</v>
      </c>
      <c r="F217" t="s">
        <v>42</v>
      </c>
      <c r="G217">
        <v>-168.84350000000001</v>
      </c>
      <c r="H217">
        <v>12.05912</v>
      </c>
      <c r="I217">
        <v>376.28390000000002</v>
      </c>
      <c r="J217">
        <v>-438.90109999999999</v>
      </c>
      <c r="K217">
        <v>1.1034280000000001</v>
      </c>
      <c r="L217">
        <v>368.52140000000003</v>
      </c>
      <c r="M217">
        <v>0.99986799999999998</v>
      </c>
      <c r="N217">
        <v>0</v>
      </c>
      <c r="O217">
        <v>-1.019056E-2</v>
      </c>
      <c r="P217">
        <v>0.9973128</v>
      </c>
      <c r="Q217">
        <v>7.0853929999999996E-2</v>
      </c>
      <c r="R217">
        <v>1.863443E-2</v>
      </c>
      <c r="S217">
        <v>2.997833</v>
      </c>
      <c r="T217">
        <v>0.12145839999999899</v>
      </c>
      <c r="U217">
        <v>8.6029049999999996E-2</v>
      </c>
      <c r="V217">
        <v>-2.8657720000000001E-2</v>
      </c>
      <c r="W217">
        <v>8.3520590000000006E-2</v>
      </c>
      <c r="X217">
        <v>0.99609389999999998</v>
      </c>
      <c r="Y217">
        <v>-3.8830770000000001E-2</v>
      </c>
      <c r="Z217">
        <v>-1.198801E-3</v>
      </c>
      <c r="AA217">
        <v>0.9992451</v>
      </c>
      <c r="AB217">
        <v>33</v>
      </c>
      <c r="AC217">
        <v>270.05759999999998</v>
      </c>
      <c r="AD217">
        <v>10.955692000000001</v>
      </c>
      <c r="AE217">
        <v>7.7624999999999797</v>
      </c>
      <c r="AF217">
        <v>-10.497093969984</v>
      </c>
      <c r="AG217">
        <v>10.955692000000001</v>
      </c>
      <c r="AH217">
        <v>269.52126296689198</v>
      </c>
      <c r="AI217">
        <v>87.6740433750156</v>
      </c>
      <c r="AJ217">
        <v>92.230381926776303</v>
      </c>
      <c r="AK217">
        <v>269.94800862440599</v>
      </c>
      <c r="AL217">
        <v>85.209041630351095</v>
      </c>
      <c r="AM217">
        <v>91.647950662700296</v>
      </c>
      <c r="AN217">
        <v>1.00000000574337</v>
      </c>
    </row>
    <row r="218" spans="1:40" x14ac:dyDescent="0.25">
      <c r="A218" t="str">
        <f>"20190312160606393"</f>
        <v>20190312160606393</v>
      </c>
      <c r="B218" t="str">
        <f>"1552377966384881"</f>
        <v>1552377966384881</v>
      </c>
      <c r="C218" t="s">
        <v>40</v>
      </c>
      <c r="D218">
        <v>6.0864140000000004</v>
      </c>
      <c r="E218">
        <v>0.49612840000000002</v>
      </c>
      <c r="F218" t="s">
        <v>42</v>
      </c>
      <c r="G218">
        <v>-168.84350000000001</v>
      </c>
      <c r="H218">
        <v>12.01618</v>
      </c>
      <c r="I218">
        <v>376.07310000000001</v>
      </c>
      <c r="J218">
        <v>-438.70760000000001</v>
      </c>
      <c r="K218">
        <v>1.1024499999999999</v>
      </c>
      <c r="L218">
        <v>368.51909999999998</v>
      </c>
      <c r="M218">
        <v>0.99986350000000002</v>
      </c>
      <c r="N218">
        <v>0</v>
      </c>
      <c r="O218">
        <v>-1.0522E-2</v>
      </c>
      <c r="P218">
        <v>0.99731069999999999</v>
      </c>
      <c r="Q218">
        <v>7.0923949999999999E-2</v>
      </c>
      <c r="R218">
        <v>1.847555E-2</v>
      </c>
      <c r="S218">
        <v>2.997925</v>
      </c>
      <c r="T218">
        <v>0.1211441</v>
      </c>
      <c r="U218">
        <v>8.3831790000000003E-2</v>
      </c>
      <c r="V218">
        <v>-2.883786E-2</v>
      </c>
      <c r="W218">
        <v>8.3664569999999994E-2</v>
      </c>
      <c r="X218">
        <v>0.99607659999999998</v>
      </c>
      <c r="Y218">
        <v>-3.8429619999999998E-2</v>
      </c>
      <c r="Z218">
        <v>-1.2009639999999999E-3</v>
      </c>
      <c r="AA218">
        <v>0.99926060000000005</v>
      </c>
      <c r="AB218">
        <v>33</v>
      </c>
      <c r="AC218">
        <v>269.86410000000001</v>
      </c>
      <c r="AD218">
        <v>10.913729999999999</v>
      </c>
      <c r="AE218">
        <v>7.5540000000000296</v>
      </c>
      <c r="AF218">
        <v>-10.3763647520503</v>
      </c>
      <c r="AG218">
        <v>10.913729999999999</v>
      </c>
      <c r="AH218">
        <v>269.32951959498098</v>
      </c>
      <c r="AI218">
        <v>87.681256967235797</v>
      </c>
      <c r="AJ218">
        <v>92.206323389124506</v>
      </c>
      <c r="AK218">
        <v>269.75019661391099</v>
      </c>
      <c r="AL218">
        <v>85.200763123179499</v>
      </c>
      <c r="AM218">
        <v>91.658332560527896</v>
      </c>
      <c r="AN218">
        <v>0.99999998775511201</v>
      </c>
    </row>
    <row r="219" spans="1:40" x14ac:dyDescent="0.25">
      <c r="A219" t="str">
        <f>"20190312160606407"</f>
        <v>20190312160606407</v>
      </c>
      <c r="B219" t="str">
        <f>"1552377966395616"</f>
        <v>1552377966395616</v>
      </c>
      <c r="C219" t="s">
        <v>40</v>
      </c>
      <c r="D219">
        <v>5.8395400000000004</v>
      </c>
      <c r="E219">
        <v>0.49612840000000002</v>
      </c>
      <c r="F219" t="s">
        <v>42</v>
      </c>
      <c r="G219">
        <v>-168.84350000000001</v>
      </c>
      <c r="H219">
        <v>12.04406</v>
      </c>
      <c r="I219">
        <v>376.0188</v>
      </c>
      <c r="J219">
        <v>-438.524</v>
      </c>
      <c r="K219">
        <v>1.101413</v>
      </c>
      <c r="L219">
        <v>368.517</v>
      </c>
      <c r="M219">
        <v>0.99986430000000004</v>
      </c>
      <c r="N219">
        <v>0</v>
      </c>
      <c r="O219">
        <v>-1.082195E-2</v>
      </c>
      <c r="P219">
        <v>0.99729080000000003</v>
      </c>
      <c r="Q219">
        <v>7.1220320000000004E-2</v>
      </c>
      <c r="R219">
        <v>1.8401509999999999E-2</v>
      </c>
      <c r="S219">
        <v>2.9978940000000001</v>
      </c>
      <c r="T219">
        <v>0.1215502</v>
      </c>
      <c r="U219">
        <v>8.3312990000000003E-2</v>
      </c>
      <c r="V219">
        <v>-2.9071119999999999E-2</v>
      </c>
      <c r="W219">
        <v>8.3639850000000002E-2</v>
      </c>
      <c r="X219">
        <v>0.99607190000000001</v>
      </c>
      <c r="Y219">
        <v>-3.855621E-2</v>
      </c>
      <c r="Z219">
        <v>-1.2197200000000001E-3</v>
      </c>
      <c r="AA219">
        <v>0.99925569999999997</v>
      </c>
      <c r="AB219">
        <v>33</v>
      </c>
      <c r="AC219">
        <v>269.68049999999999</v>
      </c>
      <c r="AD219">
        <v>10.942646999999999</v>
      </c>
      <c r="AE219">
        <v>7.5018000000000002</v>
      </c>
      <c r="AF219">
        <v>-10.4029400942143</v>
      </c>
      <c r="AG219">
        <v>10.942646999999999</v>
      </c>
      <c r="AH219">
        <v>269.14073375197802</v>
      </c>
      <c r="AI219">
        <v>87.673502253654803</v>
      </c>
      <c r="AJ219">
        <v>92.213518508918995</v>
      </c>
      <c r="AK219">
        <v>269.56390197970501</v>
      </c>
      <c r="AL219">
        <v>85.202184478229896</v>
      </c>
      <c r="AM219">
        <v>91.671746571814396</v>
      </c>
      <c r="AN219">
        <v>0.99999999224784297</v>
      </c>
    </row>
    <row r="220" spans="1:40" x14ac:dyDescent="0.25">
      <c r="A220" t="str">
        <f>"20190312160606429"</f>
        <v>20190312160606429</v>
      </c>
      <c r="B220" t="str">
        <f>"1552377966424896"</f>
        <v>1552377966424896</v>
      </c>
      <c r="C220" t="s">
        <v>40</v>
      </c>
      <c r="D220">
        <v>5.898352</v>
      </c>
      <c r="E220">
        <v>0.4962202</v>
      </c>
      <c r="F220" t="s">
        <v>42</v>
      </c>
      <c r="G220">
        <v>-168.84350000000001</v>
      </c>
      <c r="H220">
        <v>12.11801</v>
      </c>
      <c r="I220">
        <v>375.976</v>
      </c>
      <c r="J220">
        <v>-438.18579999999997</v>
      </c>
      <c r="K220">
        <v>1.0994299999999999</v>
      </c>
      <c r="L220">
        <v>368.5129</v>
      </c>
      <c r="M220">
        <v>0.99986770000000003</v>
      </c>
      <c r="N220">
        <v>0</v>
      </c>
      <c r="O220">
        <v>-1.1319020000000001E-2</v>
      </c>
      <c r="P220">
        <v>0.99724380000000001</v>
      </c>
      <c r="Q220">
        <v>7.1988750000000004E-2</v>
      </c>
      <c r="R220">
        <v>1.7955269999999999E-2</v>
      </c>
      <c r="S220">
        <v>2.9978639999999999</v>
      </c>
      <c r="T220">
        <v>0.1224654</v>
      </c>
      <c r="U220">
        <v>8.2916260000000006E-2</v>
      </c>
      <c r="V220">
        <v>-2.9134230000000001E-2</v>
      </c>
      <c r="W220">
        <v>8.3666939999999995E-2</v>
      </c>
      <c r="X220">
        <v>0.99606779999999995</v>
      </c>
      <c r="Y220">
        <v>-3.891969E-2</v>
      </c>
      <c r="Z220">
        <v>-1.256622E-3</v>
      </c>
      <c r="AA220">
        <v>0.9992415</v>
      </c>
      <c r="AB220">
        <v>34</v>
      </c>
      <c r="AC220">
        <v>269.34230000000002</v>
      </c>
      <c r="AD220">
        <v>11.01858</v>
      </c>
      <c r="AE220">
        <v>7.4630999999999901</v>
      </c>
      <c r="AF220">
        <v>-10.493971897697</v>
      </c>
      <c r="AG220">
        <v>11.01858</v>
      </c>
      <c r="AH220">
        <v>268.791068506432</v>
      </c>
      <c r="AI220">
        <v>87.654367466081595</v>
      </c>
      <c r="AJ220">
        <v>92.235770319371994</v>
      </c>
      <c r="AK220">
        <v>269.22141642193901</v>
      </c>
      <c r="AL220">
        <v>85.200626967198005</v>
      </c>
      <c r="AM220">
        <v>91.675380564144803</v>
      </c>
      <c r="AN220">
        <v>1.00000001120174</v>
      </c>
    </row>
    <row r="221" spans="1:40" x14ac:dyDescent="0.25">
      <c r="A221" t="str">
        <f>"20190312160606450"</f>
        <v>20190312160606450</v>
      </c>
      <c r="B221" t="str">
        <f>"1552377966445393"</f>
        <v>1552377966445393</v>
      </c>
      <c r="C221" t="s">
        <v>40</v>
      </c>
      <c r="D221">
        <v>6.0670390000000003</v>
      </c>
      <c r="E221">
        <v>0.50636369999999997</v>
      </c>
      <c r="F221" t="s">
        <v>42</v>
      </c>
      <c r="G221">
        <v>-168.84350000000001</v>
      </c>
      <c r="H221">
        <v>12.293240000000001</v>
      </c>
      <c r="I221">
        <v>375.79250000000002</v>
      </c>
      <c r="J221">
        <v>-437.85610000000003</v>
      </c>
      <c r="K221">
        <v>1.0974010000000001</v>
      </c>
      <c r="L221">
        <v>368.50889999999998</v>
      </c>
      <c r="M221">
        <v>0.99987150000000002</v>
      </c>
      <c r="N221">
        <v>0</v>
      </c>
      <c r="O221">
        <v>-1.168982E-2</v>
      </c>
      <c r="P221">
        <v>0.99717389999999995</v>
      </c>
      <c r="Q221">
        <v>7.283046E-2</v>
      </c>
      <c r="R221">
        <v>1.844107E-2</v>
      </c>
      <c r="S221">
        <v>2.9978940000000001</v>
      </c>
      <c r="T221">
        <v>0.1245928</v>
      </c>
      <c r="U221">
        <v>8.1024170000000006E-2</v>
      </c>
      <c r="V221">
        <v>-3.0000700000000002E-2</v>
      </c>
      <c r="W221">
        <v>8.3798070000000002E-2</v>
      </c>
      <c r="X221">
        <v>0.996031</v>
      </c>
      <c r="Y221">
        <v>-3.8658140000000001E-2</v>
      </c>
      <c r="Z221">
        <v>-1.2883969999999999E-3</v>
      </c>
      <c r="AA221">
        <v>0.99925169999999996</v>
      </c>
      <c r="AB221">
        <v>34</v>
      </c>
      <c r="AC221">
        <v>269.01260000000002</v>
      </c>
      <c r="AD221">
        <v>11.195838999999999</v>
      </c>
      <c r="AE221">
        <v>7.2836000000000301</v>
      </c>
      <c r="AF221">
        <v>-10.409982638460701</v>
      </c>
      <c r="AG221">
        <v>11.195838999999999</v>
      </c>
      <c r="AH221">
        <v>268.44444077635097</v>
      </c>
      <c r="AI221">
        <v>87.613577576661299</v>
      </c>
      <c r="AJ221">
        <v>92.220755093477393</v>
      </c>
      <c r="AK221">
        <v>268.87940109494201</v>
      </c>
      <c r="AL221">
        <v>85.193087027211305</v>
      </c>
      <c r="AM221">
        <v>91.725241442269393</v>
      </c>
      <c r="AN221">
        <v>0.99999995574860601</v>
      </c>
    </row>
    <row r="222" spans="1:40" x14ac:dyDescent="0.25">
      <c r="A222" t="str">
        <f>"20190312160606470"</f>
        <v>20190312160606470</v>
      </c>
      <c r="B222" t="str">
        <f>"1552377966464913"</f>
        <v>1552377966464913</v>
      </c>
      <c r="C222" t="s">
        <v>40</v>
      </c>
      <c r="D222">
        <v>5.9490189999999998</v>
      </c>
      <c r="E222">
        <v>0.49878800000000001</v>
      </c>
      <c r="F222" t="s">
        <v>45</v>
      </c>
      <c r="G222">
        <v>-416.07279999999997</v>
      </c>
      <c r="H222">
        <v>-0.05</v>
      </c>
      <c r="I222">
        <v>368.45350000000002</v>
      </c>
      <c r="J222">
        <v>-437.52159999999998</v>
      </c>
      <c r="K222">
        <v>1.0952519999999999</v>
      </c>
      <c r="L222">
        <v>368.50470000000001</v>
      </c>
      <c r="M222">
        <v>0.99987490000000001</v>
      </c>
      <c r="N222">
        <v>0</v>
      </c>
      <c r="O222">
        <v>-1.1944430000000001E-2</v>
      </c>
      <c r="P222">
        <v>0.99712179999999995</v>
      </c>
      <c r="Q222">
        <v>7.3397850000000001E-2</v>
      </c>
      <c r="R222">
        <v>1.9009470000000001E-2</v>
      </c>
      <c r="S222">
        <v>3.0202640000000001</v>
      </c>
      <c r="T222">
        <v>-0.15908710000000001</v>
      </c>
      <c r="U222">
        <v>-7.6904299999999998E-3</v>
      </c>
      <c r="V222">
        <v>-3.0833840000000001E-2</v>
      </c>
      <c r="W222">
        <v>8.3761500000000003E-2</v>
      </c>
      <c r="X222">
        <v>0.99600869999999997</v>
      </c>
      <c r="Y222">
        <v>-9.3694039999999996E-3</v>
      </c>
      <c r="Z222">
        <v>8.7532259999999998E-4</v>
      </c>
      <c r="AA222">
        <v>0.9999557</v>
      </c>
      <c r="AB222">
        <v>35</v>
      </c>
      <c r="AC222">
        <v>21.448799999999999</v>
      </c>
      <c r="AD222">
        <v>-1.1452519999999999</v>
      </c>
      <c r="AE222">
        <v>-5.1199999999994299E-2</v>
      </c>
      <c r="AF222">
        <v>-0.20442829620258099</v>
      </c>
      <c r="AG222">
        <v>-1.1452519999999999</v>
      </c>
      <c r="AH222">
        <v>21.386907752496999</v>
      </c>
      <c r="AI222">
        <v>93.065076321419298</v>
      </c>
      <c r="AJ222">
        <v>90.547649151517007</v>
      </c>
      <c r="AK222">
        <v>21.418525072600399</v>
      </c>
      <c r="AL222">
        <v>85.195190048029602</v>
      </c>
      <c r="AM222">
        <v>91.773162082043996</v>
      </c>
      <c r="AN222">
        <v>1.0000000225235399</v>
      </c>
    </row>
    <row r="223" spans="1:40" x14ac:dyDescent="0.25">
      <c r="A223" t="str">
        <f>"20190312160606496"</f>
        <v>20190312160606496</v>
      </c>
      <c r="B223" t="str">
        <f>"1552377966485409"</f>
        <v>1552377966485409</v>
      </c>
      <c r="C223" t="s">
        <v>40</v>
      </c>
      <c r="D223">
        <v>6.0233179999999997</v>
      </c>
      <c r="E223">
        <v>0.4980369</v>
      </c>
      <c r="F223" t="s">
        <v>42</v>
      </c>
      <c r="G223">
        <v>-170.08879999999999</v>
      </c>
      <c r="H223">
        <v>12.791410000000001</v>
      </c>
      <c r="I223">
        <v>374.2</v>
      </c>
      <c r="J223">
        <v>-437.1361</v>
      </c>
      <c r="K223">
        <v>1.0926290000000001</v>
      </c>
      <c r="L223">
        <v>368.49990000000003</v>
      </c>
      <c r="M223">
        <v>0.99987950000000003</v>
      </c>
      <c r="N223">
        <v>0</v>
      </c>
      <c r="O223">
        <v>-1.2091589999999999E-2</v>
      </c>
      <c r="P223">
        <v>0.99709910000000002</v>
      </c>
      <c r="Q223">
        <v>7.3566880000000001E-2</v>
      </c>
      <c r="R223">
        <v>1.9530260000000001E-2</v>
      </c>
      <c r="S223">
        <v>2.9978639999999999</v>
      </c>
      <c r="T223">
        <v>0.13111229999999999</v>
      </c>
      <c r="U223">
        <v>6.3842769999999993E-2</v>
      </c>
      <c r="V223">
        <v>-3.1517999999999997E-2</v>
      </c>
      <c r="W223">
        <v>8.3302009999999996E-2</v>
      </c>
      <c r="X223">
        <v>0.99602579999999996</v>
      </c>
      <c r="Y223">
        <v>-3.3335730000000001E-2</v>
      </c>
      <c r="Z223">
        <v>-1.2570909999999999E-3</v>
      </c>
      <c r="AA223">
        <v>0.99944339999999998</v>
      </c>
      <c r="AB223">
        <v>35</v>
      </c>
      <c r="AC223">
        <v>267.04730000000001</v>
      </c>
      <c r="AD223">
        <v>11.698781</v>
      </c>
      <c r="AE223">
        <v>5.70009999999996</v>
      </c>
      <c r="AF223">
        <v>-8.9117676745932606</v>
      </c>
      <c r="AG223">
        <v>11.698781</v>
      </c>
      <c r="AH223">
        <v>266.44773336938903</v>
      </c>
      <c r="AI223">
        <v>87.487362126050598</v>
      </c>
      <c r="AJ223">
        <v>91.915634245205794</v>
      </c>
      <c r="AK223">
        <v>266.853284966959</v>
      </c>
      <c r="AL223">
        <v>85.221609117743796</v>
      </c>
      <c r="AM223">
        <v>91.812449026963293</v>
      </c>
      <c r="AN223">
        <v>1.0000000017298301</v>
      </c>
    </row>
    <row r="224" spans="1:40" x14ac:dyDescent="0.25">
      <c r="A224" t="str">
        <f>"20190312160606516"</f>
        <v>20190312160606516</v>
      </c>
      <c r="B224" t="str">
        <f>"1552377966504929"</f>
        <v>1552377966504929</v>
      </c>
      <c r="C224" t="s">
        <v>40</v>
      </c>
      <c r="D224">
        <v>6.1210529999999999</v>
      </c>
      <c r="E224">
        <v>0.49824429999999997</v>
      </c>
      <c r="F224" t="s">
        <v>42</v>
      </c>
      <c r="G224">
        <v>-170.08879999999999</v>
      </c>
      <c r="H224">
        <v>13.03073</v>
      </c>
      <c r="I224">
        <v>374.85390000000001</v>
      </c>
      <c r="J224">
        <v>-436.80509999999998</v>
      </c>
      <c r="K224">
        <v>1.090276</v>
      </c>
      <c r="L224">
        <v>368.49579999999997</v>
      </c>
      <c r="M224">
        <v>0.99988370000000004</v>
      </c>
      <c r="N224">
        <v>0</v>
      </c>
      <c r="O224">
        <v>-1.206664E-2</v>
      </c>
      <c r="P224">
        <v>0.99702670000000004</v>
      </c>
      <c r="Q224">
        <v>7.4310479999999998E-2</v>
      </c>
      <c r="R224">
        <v>2.038713E-2</v>
      </c>
      <c r="S224">
        <v>2.9974669999999999</v>
      </c>
      <c r="T224">
        <v>0.13399990000000001</v>
      </c>
      <c r="U224">
        <v>7.1319579999999994E-2</v>
      </c>
      <c r="V224">
        <v>-3.2366800000000001E-2</v>
      </c>
      <c r="W224">
        <v>8.3618479999999995E-2</v>
      </c>
      <c r="X224">
        <v>0.99597199999999997</v>
      </c>
      <c r="Y224">
        <v>-3.5800779999999997E-2</v>
      </c>
      <c r="Z224">
        <v>-1.33883299999999E-3</v>
      </c>
      <c r="AA224">
        <v>0.99935810000000003</v>
      </c>
      <c r="AB224">
        <v>35</v>
      </c>
      <c r="AC224">
        <v>266.71629999999999</v>
      </c>
      <c r="AD224">
        <v>11.9404539999999</v>
      </c>
      <c r="AE224">
        <v>6.3581000000000296</v>
      </c>
      <c r="AF224">
        <v>-9.5570032818686599</v>
      </c>
      <c r="AG224">
        <v>11.9404539999999</v>
      </c>
      <c r="AH224">
        <v>266.08716504714499</v>
      </c>
      <c r="AI224">
        <v>87.432273759987794</v>
      </c>
      <c r="AJ224">
        <v>92.056997653253504</v>
      </c>
      <c r="AK224">
        <v>266.52634045490203</v>
      </c>
      <c r="AL224">
        <v>85.203412953460301</v>
      </c>
      <c r="AM224">
        <v>91.861326031482605</v>
      </c>
      <c r="AN224">
        <v>0.99999994236187295</v>
      </c>
    </row>
    <row r="225" spans="1:40" x14ac:dyDescent="0.25">
      <c r="A225" t="str">
        <f>"20190312160606538"</f>
        <v>20190312160606538</v>
      </c>
      <c r="B225" t="str">
        <f>"1552377966535185"</f>
        <v>1552377966535185</v>
      </c>
      <c r="C225" t="s">
        <v>40</v>
      </c>
      <c r="D225">
        <v>6.0457330000000002</v>
      </c>
      <c r="E225">
        <v>0.49795909999999899</v>
      </c>
      <c r="F225" t="s">
        <v>42</v>
      </c>
      <c r="G225">
        <v>-170.08879999999999</v>
      </c>
      <c r="H225">
        <v>12.88114</v>
      </c>
      <c r="I225">
        <v>374.93130000000002</v>
      </c>
      <c r="J225">
        <v>-436.46100000000001</v>
      </c>
      <c r="K225">
        <v>1.087772</v>
      </c>
      <c r="L225">
        <v>368.49160000000001</v>
      </c>
      <c r="M225">
        <v>0.99988699999999997</v>
      </c>
      <c r="N225">
        <v>0</v>
      </c>
      <c r="O225">
        <v>-1.195242E-2</v>
      </c>
      <c r="P225">
        <v>0.99700739999999999</v>
      </c>
      <c r="Q225">
        <v>7.4299130000000005E-2</v>
      </c>
      <c r="R225">
        <v>2.1360870000000001E-2</v>
      </c>
      <c r="S225">
        <v>2.9975890000000001</v>
      </c>
      <c r="T225">
        <v>0.13251689999999999</v>
      </c>
      <c r="U225">
        <v>7.2326660000000001E-2</v>
      </c>
      <c r="V225">
        <v>-3.3248800000000002E-2</v>
      </c>
      <c r="W225">
        <v>8.3413669999999995E-2</v>
      </c>
      <c r="X225">
        <v>0.99596019999999996</v>
      </c>
      <c r="Y225">
        <v>-3.6022140000000001E-2</v>
      </c>
      <c r="Z225">
        <v>-1.3238130000000001E-3</v>
      </c>
      <c r="AA225">
        <v>0.99935010000000002</v>
      </c>
      <c r="AB225">
        <v>35</v>
      </c>
      <c r="AC225">
        <v>266.37220000000002</v>
      </c>
      <c r="AD225">
        <v>11.793367999999999</v>
      </c>
      <c r="AE225">
        <v>6.43970000000001</v>
      </c>
      <c r="AF225">
        <v>-9.6043493634281898</v>
      </c>
      <c r="AG225">
        <v>11.793367999999999</v>
      </c>
      <c r="AH225">
        <v>265.75557071666998</v>
      </c>
      <c r="AI225">
        <v>87.460722246039396</v>
      </c>
      <c r="AJ225">
        <v>92.069756412417703</v>
      </c>
      <c r="AK225">
        <v>266.19044014092901</v>
      </c>
      <c r="AL225">
        <v>85.215189222268407</v>
      </c>
      <c r="AM225">
        <v>91.912032923612401</v>
      </c>
      <c r="AN225">
        <v>1.00000002151417</v>
      </c>
    </row>
    <row r="226" spans="1:40" x14ac:dyDescent="0.25">
      <c r="A226" t="str">
        <f>"20190312160606559"</f>
        <v>20190312160606559</v>
      </c>
      <c r="B226" t="str">
        <f>"1552377966555681"</f>
        <v>1552377966555681</v>
      </c>
      <c r="C226" t="s">
        <v>40</v>
      </c>
      <c r="D226">
        <v>6.0156519999999896</v>
      </c>
      <c r="E226">
        <v>0.4979674</v>
      </c>
      <c r="F226" t="s">
        <v>42</v>
      </c>
      <c r="G226">
        <v>-170.08879999999999</v>
      </c>
      <c r="H226">
        <v>12.78276</v>
      </c>
      <c r="I226">
        <v>375.37450000000001</v>
      </c>
      <c r="J226">
        <v>-436.12079999999997</v>
      </c>
      <c r="K226">
        <v>1.085275</v>
      </c>
      <c r="L226">
        <v>368.48759999999999</v>
      </c>
      <c r="M226">
        <v>0.99988940000000004</v>
      </c>
      <c r="N226">
        <v>0</v>
      </c>
      <c r="O226">
        <v>-1.177725E-2</v>
      </c>
      <c r="P226">
        <v>0.99704409999999999</v>
      </c>
      <c r="Q226">
        <v>7.3571440000000002E-2</v>
      </c>
      <c r="R226">
        <v>2.214605E-2</v>
      </c>
      <c r="S226">
        <v>2.997528</v>
      </c>
      <c r="T226">
        <v>0.13160649999999999</v>
      </c>
      <c r="U226">
        <v>7.7453610000000006E-2</v>
      </c>
      <c r="V226">
        <v>-3.3881710000000002E-2</v>
      </c>
      <c r="W226">
        <v>8.2626270000000002E-2</v>
      </c>
      <c r="X226">
        <v>0.99600449999999996</v>
      </c>
      <c r="Y226">
        <v>-3.755505E-2</v>
      </c>
      <c r="Z226">
        <v>-1.34067E-3</v>
      </c>
      <c r="AA226">
        <v>0.99929369999999995</v>
      </c>
      <c r="AB226">
        <v>35</v>
      </c>
      <c r="AC226">
        <v>266.03199999999998</v>
      </c>
      <c r="AD226">
        <v>11.697485</v>
      </c>
      <c r="AE226">
        <v>6.8869000000000202</v>
      </c>
      <c r="AF226">
        <v>-10.000355382526701</v>
      </c>
      <c r="AG226">
        <v>11.697485</v>
      </c>
      <c r="AH226">
        <v>265.41962261170301</v>
      </c>
      <c r="AI226">
        <v>87.478299438652101</v>
      </c>
      <c r="AJ226">
        <v>92.157742707909094</v>
      </c>
      <c r="AK226">
        <v>265.86540641918901</v>
      </c>
      <c r="AL226">
        <v>85.260460180380903</v>
      </c>
      <c r="AM226">
        <v>91.9483151831366</v>
      </c>
      <c r="AN226">
        <v>1.00000001739344</v>
      </c>
    </row>
    <row r="227" spans="1:40" x14ac:dyDescent="0.25">
      <c r="A227" t="str">
        <f>"20190312160606572"</f>
        <v>20190312160606572</v>
      </c>
      <c r="B227" t="str">
        <f>"1552377966565441"</f>
        <v>1552377966565441</v>
      </c>
      <c r="C227" t="s">
        <v>40</v>
      </c>
      <c r="D227">
        <v>6.1662499999999998</v>
      </c>
      <c r="E227">
        <v>0.49806159999999999</v>
      </c>
      <c r="F227" t="s">
        <v>42</v>
      </c>
      <c r="G227">
        <v>-168.84350000000001</v>
      </c>
      <c r="H227">
        <v>12.616580000000001</v>
      </c>
      <c r="I227">
        <v>375.58159999999998</v>
      </c>
      <c r="J227">
        <v>-435.91860000000003</v>
      </c>
      <c r="K227">
        <v>1.0837810000000001</v>
      </c>
      <c r="L227">
        <v>368.48540000000003</v>
      </c>
      <c r="M227">
        <v>0.99989119999999998</v>
      </c>
      <c r="N227">
        <v>0</v>
      </c>
      <c r="O227">
        <v>-1.1650799999999999E-2</v>
      </c>
      <c r="P227">
        <v>0.99707060000000003</v>
      </c>
      <c r="Q227">
        <v>7.3165800000000003E-2</v>
      </c>
      <c r="R227">
        <v>2.2304460000000002E-2</v>
      </c>
      <c r="S227">
        <v>2.9975589999999999</v>
      </c>
      <c r="T227">
        <v>0.12932630000000001</v>
      </c>
      <c r="U227">
        <v>7.9559329999999998E-2</v>
      </c>
      <c r="V227">
        <v>-3.3926629999999999E-2</v>
      </c>
      <c r="W227">
        <v>8.2190979999999997E-2</v>
      </c>
      <c r="X227">
        <v>0.99603900000000001</v>
      </c>
      <c r="Y227">
        <v>-3.8131129999999999E-2</v>
      </c>
      <c r="Z227">
        <v>-1.324406E-3</v>
      </c>
      <c r="AA227">
        <v>0.99927189999999999</v>
      </c>
      <c r="AB227">
        <v>35</v>
      </c>
      <c r="AC227">
        <v>267.07510000000002</v>
      </c>
      <c r="AD227">
        <v>11.532799000000001</v>
      </c>
      <c r="AE227">
        <v>7.0961999999999499</v>
      </c>
      <c r="AF227">
        <v>-10.1884994276028</v>
      </c>
      <c r="AG227">
        <v>11.532799000000001</v>
      </c>
      <c r="AH227">
        <v>266.47774829326499</v>
      </c>
      <c r="AI227">
        <v>87.523669150626603</v>
      </c>
      <c r="AJ227">
        <v>92.189577992843894</v>
      </c>
      <c r="AK227">
        <v>266.921713820381</v>
      </c>
      <c r="AL227">
        <v>85.285485647300902</v>
      </c>
      <c r="AM227">
        <v>91.950828722000693</v>
      </c>
      <c r="AN227">
        <v>1.0000000314687501</v>
      </c>
    </row>
    <row r="228" spans="1:40" x14ac:dyDescent="0.25">
      <c r="A228" t="str">
        <f>"20190312160606585"</f>
        <v>20190312160606585</v>
      </c>
      <c r="B228" t="str">
        <f>"1552377966575201"</f>
        <v>1552377966575201</v>
      </c>
      <c r="C228" t="s">
        <v>40</v>
      </c>
      <c r="D228">
        <v>6.1691449999999897</v>
      </c>
      <c r="E228">
        <v>0.49806119999999998</v>
      </c>
      <c r="F228" t="s">
        <v>42</v>
      </c>
      <c r="G228">
        <v>-168.84350000000001</v>
      </c>
      <c r="H228">
        <v>12.492100000000001</v>
      </c>
      <c r="I228">
        <v>375.54640000000001</v>
      </c>
      <c r="J228">
        <v>-435.70729999999998</v>
      </c>
      <c r="K228">
        <v>1.0822309999999999</v>
      </c>
      <c r="L228">
        <v>368.483</v>
      </c>
      <c r="M228">
        <v>0.99989360000000005</v>
      </c>
      <c r="N228">
        <v>0</v>
      </c>
      <c r="O228">
        <v>-1.149329E-2</v>
      </c>
      <c r="P228">
        <v>0.99709369999999997</v>
      </c>
      <c r="Q228">
        <v>7.2864100000000001E-2</v>
      </c>
      <c r="R228">
        <v>2.225794E-2</v>
      </c>
      <c r="S228">
        <v>2.997681</v>
      </c>
      <c r="T228">
        <v>0.1280493</v>
      </c>
      <c r="U228">
        <v>7.9254149999999995E-2</v>
      </c>
      <c r="V228">
        <v>-3.3734819999999999E-2</v>
      </c>
      <c r="W228">
        <v>8.1823160000000006E-2</v>
      </c>
      <c r="X228">
        <v>0.99607570000000001</v>
      </c>
      <c r="Y228">
        <v>-3.7872250000000003E-2</v>
      </c>
      <c r="Z228">
        <v>-1.2990370000000001E-3</v>
      </c>
      <c r="AA228">
        <v>0.9992818</v>
      </c>
      <c r="AB228">
        <v>35</v>
      </c>
      <c r="AC228">
        <v>266.86380000000003</v>
      </c>
      <c r="AD228">
        <v>11.409869</v>
      </c>
      <c r="AE228">
        <v>7.0633999999999997</v>
      </c>
      <c r="AF228">
        <v>-10.1117286782468</v>
      </c>
      <c r="AG228">
        <v>11.409869</v>
      </c>
      <c r="AH228">
        <v>266.27856429508</v>
      </c>
      <c r="AI228">
        <v>87.548177823404004</v>
      </c>
      <c r="AJ228">
        <v>92.174719290367193</v>
      </c>
      <c r="AK228">
        <v>266.71465271054899</v>
      </c>
      <c r="AL228">
        <v>85.306630945488493</v>
      </c>
      <c r="AM228">
        <v>91.939736411755803</v>
      </c>
      <c r="AN228">
        <v>0.99999993386165098</v>
      </c>
    </row>
    <row r="229" spans="1:40" x14ac:dyDescent="0.25">
      <c r="A229" t="str">
        <f>"20190312160606605"</f>
        <v>20190312160606605</v>
      </c>
      <c r="B229" t="str">
        <f>"1552377966595700"</f>
        <v>1552377966595700</v>
      </c>
      <c r="C229" t="s">
        <v>40</v>
      </c>
      <c r="D229">
        <v>6.0199360000000004</v>
      </c>
      <c r="E229">
        <v>0.4979539</v>
      </c>
      <c r="F229" t="s">
        <v>42</v>
      </c>
      <c r="G229">
        <v>-168.84350000000001</v>
      </c>
      <c r="H229">
        <v>12.49376</v>
      </c>
      <c r="I229">
        <v>375.55489999999998</v>
      </c>
      <c r="J229">
        <v>-435.3879</v>
      </c>
      <c r="K229">
        <v>1.079925</v>
      </c>
      <c r="L229">
        <v>368.4796</v>
      </c>
      <c r="M229">
        <v>0.99989779999999995</v>
      </c>
      <c r="N229">
        <v>0</v>
      </c>
      <c r="O229">
        <v>-1.12243E-2</v>
      </c>
      <c r="P229">
        <v>0.99710430000000005</v>
      </c>
      <c r="Q229">
        <v>7.2583800000000004E-2</v>
      </c>
      <c r="R229">
        <v>2.268595E-2</v>
      </c>
      <c r="S229">
        <v>2.99762</v>
      </c>
      <c r="T229">
        <v>0.12818399999999999</v>
      </c>
      <c r="U229">
        <v>7.9437259999999996E-2</v>
      </c>
      <c r="V229">
        <v>-3.3908899999999999E-2</v>
      </c>
      <c r="W229">
        <v>8.1393530000000006E-2</v>
      </c>
      <c r="X229">
        <v>0.99610509999999997</v>
      </c>
      <c r="Y229">
        <v>-3.7665289999999997E-2</v>
      </c>
      <c r="Z229">
        <v>-1.28451E-3</v>
      </c>
      <c r="AA229">
        <v>0.9992896</v>
      </c>
      <c r="AB229">
        <v>36</v>
      </c>
      <c r="AC229">
        <v>266.5444</v>
      </c>
      <c r="AD229">
        <v>11.413835000000001</v>
      </c>
      <c r="AE229">
        <v>7.0752999999999702</v>
      </c>
      <c r="AF229">
        <v>-10.048333385019101</v>
      </c>
      <c r="AG229">
        <v>11.413835000000001</v>
      </c>
      <c r="AH229">
        <v>265.96084520246899</v>
      </c>
      <c r="AI229">
        <v>87.5443823219493</v>
      </c>
      <c r="AJ229">
        <v>92.163677110779602</v>
      </c>
      <c r="AK229">
        <v>266.39522483339601</v>
      </c>
      <c r="AL229">
        <v>85.331329836196602</v>
      </c>
      <c r="AM229">
        <v>91.949680722783299</v>
      </c>
      <c r="AN229">
        <v>1.00000004523553</v>
      </c>
    </row>
    <row r="230" spans="1:40" x14ac:dyDescent="0.25">
      <c r="A230" t="str">
        <f>"20190312160606627"</f>
        <v>20190312160606627</v>
      </c>
      <c r="B230" t="str">
        <f>"1552377966624976"</f>
        <v>1552377966624976</v>
      </c>
      <c r="C230" t="s">
        <v>40</v>
      </c>
      <c r="D230">
        <v>6.1453699999999998</v>
      </c>
      <c r="E230">
        <v>0.49803930000000002</v>
      </c>
      <c r="F230" t="s">
        <v>42</v>
      </c>
      <c r="G230">
        <v>-168.84350000000001</v>
      </c>
      <c r="H230">
        <v>12.40781</v>
      </c>
      <c r="I230">
        <v>375.70330000000001</v>
      </c>
      <c r="J230">
        <v>-435.02960000000002</v>
      </c>
      <c r="K230">
        <v>1.0774429999999999</v>
      </c>
      <c r="L230">
        <v>368.47579999999999</v>
      </c>
      <c r="M230">
        <v>0.99990369999999995</v>
      </c>
      <c r="N230">
        <v>0</v>
      </c>
      <c r="O230">
        <v>-1.087754E-2</v>
      </c>
      <c r="P230">
        <v>0.99709760000000003</v>
      </c>
      <c r="Q230">
        <v>7.2486250000000002E-2</v>
      </c>
      <c r="R230">
        <v>2.328241E-2</v>
      </c>
      <c r="S230">
        <v>2.9975589999999999</v>
      </c>
      <c r="T230">
        <v>0.12739429999999999</v>
      </c>
      <c r="U230">
        <v>8.1237790000000004E-2</v>
      </c>
      <c r="V230">
        <v>-3.417108E-2</v>
      </c>
      <c r="W230">
        <v>8.1058000000000005E-2</v>
      </c>
      <c r="X230">
        <v>0.99612339999999999</v>
      </c>
      <c r="Y230">
        <v>-3.7919700000000001E-2</v>
      </c>
      <c r="Z230">
        <v>-1.2672930000000001E-3</v>
      </c>
      <c r="AA230">
        <v>0.99927999999999995</v>
      </c>
      <c r="AB230">
        <v>36</v>
      </c>
      <c r="AC230">
        <v>266.18610000000001</v>
      </c>
      <c r="AD230">
        <v>11.330366999999899</v>
      </c>
      <c r="AE230">
        <v>7.2275000000000098</v>
      </c>
      <c r="AF230">
        <v>-10.1043360098052</v>
      </c>
      <c r="AG230">
        <v>11.330366999999899</v>
      </c>
      <c r="AH230">
        <v>265.61084343407799</v>
      </c>
      <c r="AI230">
        <v>87.5591339611546</v>
      </c>
      <c r="AJ230">
        <v>92.178588672178506</v>
      </c>
      <c r="AK230">
        <v>266.044347754873</v>
      </c>
      <c r="AL230">
        <v>85.350617554890405</v>
      </c>
      <c r="AM230">
        <v>91.964707610417193</v>
      </c>
      <c r="AN230">
        <v>0.99999994504996104</v>
      </c>
    </row>
    <row r="231" spans="1:40" x14ac:dyDescent="0.25">
      <c r="A231" t="str">
        <f>"20190312160606651"</f>
        <v>20190312160606651</v>
      </c>
      <c r="B231" t="str">
        <f>"1552377966645472"</f>
        <v>1552377966645472</v>
      </c>
      <c r="C231" t="s">
        <v>40</v>
      </c>
      <c r="D231">
        <v>6.0761019999999997</v>
      </c>
      <c r="E231">
        <v>0.49793419999999999</v>
      </c>
      <c r="F231" t="s">
        <v>42</v>
      </c>
      <c r="G231">
        <v>-168.84350000000001</v>
      </c>
      <c r="H231">
        <v>12.37612</v>
      </c>
      <c r="I231">
        <v>375.80090000000001</v>
      </c>
      <c r="J231">
        <v>-434.66640000000001</v>
      </c>
      <c r="K231">
        <v>1.0750820000000001</v>
      </c>
      <c r="L231">
        <v>368.47219999999999</v>
      </c>
      <c r="M231">
        <v>0.99991039999999998</v>
      </c>
      <c r="N231">
        <v>0</v>
      </c>
      <c r="O231">
        <v>-1.0489210000000001E-2</v>
      </c>
      <c r="P231">
        <v>0.99711289999999997</v>
      </c>
      <c r="Q231">
        <v>7.2222990000000001E-2</v>
      </c>
      <c r="R231">
        <v>2.3454699999999998E-2</v>
      </c>
      <c r="S231">
        <v>2.9975890000000001</v>
      </c>
      <c r="T231">
        <v>0.1272382</v>
      </c>
      <c r="U231">
        <v>8.2489010000000001E-2</v>
      </c>
      <c r="V231">
        <v>-3.3964080000000001E-2</v>
      </c>
      <c r="W231">
        <v>8.0506670000000002E-2</v>
      </c>
      <c r="X231">
        <v>0.99617520000000004</v>
      </c>
      <c r="Y231">
        <v>-3.7948540000000003E-2</v>
      </c>
      <c r="Z231">
        <v>-1.2498570000000001E-3</v>
      </c>
      <c r="AA231">
        <v>0.99927889999999997</v>
      </c>
      <c r="AB231">
        <v>36</v>
      </c>
      <c r="AC231">
        <v>265.8229</v>
      </c>
      <c r="AD231">
        <v>11.301038</v>
      </c>
      <c r="AE231">
        <v>7.32870000000002</v>
      </c>
      <c r="AF231">
        <v>-10.0984275176307</v>
      </c>
      <c r="AG231">
        <v>11.301038</v>
      </c>
      <c r="AH231">
        <v>265.252349934309</v>
      </c>
      <c r="AI231">
        <v>87.562160921359194</v>
      </c>
      <c r="AJ231">
        <v>92.180255818074002</v>
      </c>
      <c r="AK231">
        <v>265.68496540805501</v>
      </c>
      <c r="AL231">
        <v>85.382310067606895</v>
      </c>
      <c r="AM231">
        <v>91.952713672264395</v>
      </c>
      <c r="AN231">
        <v>0.99999995586988599</v>
      </c>
    </row>
    <row r="232" spans="1:40" x14ac:dyDescent="0.25">
      <c r="A232" t="str">
        <f>"20190312160606672"</f>
        <v>20190312160606672</v>
      </c>
      <c r="B232" t="str">
        <f>"1552377966664993"</f>
        <v>1552377966664993</v>
      </c>
      <c r="C232" t="s">
        <v>40</v>
      </c>
      <c r="D232">
        <v>6.1274089999999903</v>
      </c>
      <c r="E232">
        <v>0.49800230000000001</v>
      </c>
      <c r="F232" t="s">
        <v>42</v>
      </c>
      <c r="G232">
        <v>-168.84350000000001</v>
      </c>
      <c r="H232">
        <v>12.22958</v>
      </c>
      <c r="I232">
        <v>375.90359999999998</v>
      </c>
      <c r="J232">
        <v>-434.31290000000001</v>
      </c>
      <c r="K232">
        <v>1.0729869999999999</v>
      </c>
      <c r="L232">
        <v>368.46879999999999</v>
      </c>
      <c r="M232">
        <v>0.9999169</v>
      </c>
      <c r="N232">
        <v>0</v>
      </c>
      <c r="O232">
        <v>-1.0089219999999999E-2</v>
      </c>
      <c r="P232">
        <v>0.99715290000000001</v>
      </c>
      <c r="Q232">
        <v>7.159016E-2</v>
      </c>
      <c r="R232">
        <v>2.3689970000000001E-2</v>
      </c>
      <c r="S232">
        <v>2.99762</v>
      </c>
      <c r="T232">
        <v>0.1257875</v>
      </c>
      <c r="U232">
        <v>8.3801269999999997E-2</v>
      </c>
      <c r="V232">
        <v>-3.3805130000000003E-2</v>
      </c>
      <c r="W232">
        <v>7.9572690000000001E-2</v>
      </c>
      <c r="X232">
        <v>0.99625569999999997</v>
      </c>
      <c r="Y232">
        <v>-3.798692E-2</v>
      </c>
      <c r="Z232">
        <v>-1.2196290000000001E-3</v>
      </c>
      <c r="AA232">
        <v>0.99927750000000004</v>
      </c>
      <c r="AB232">
        <v>36</v>
      </c>
      <c r="AC232">
        <v>265.46940000000001</v>
      </c>
      <c r="AD232">
        <v>11.1565929999999</v>
      </c>
      <c r="AE232">
        <v>7.4347999999999903</v>
      </c>
      <c r="AF232">
        <v>-10.0950712821708</v>
      </c>
      <c r="AG232">
        <v>11.1565929999999</v>
      </c>
      <c r="AH232">
        <v>264.91335645878399</v>
      </c>
      <c r="AI232">
        <v>87.590210654065501</v>
      </c>
      <c r="AJ232">
        <v>92.182318223220193</v>
      </c>
      <c r="AK232">
        <v>265.340284280052</v>
      </c>
      <c r="AL232">
        <v>85.435995670668603</v>
      </c>
      <c r="AM232">
        <v>91.943425180574593</v>
      </c>
      <c r="AN232">
        <v>1.0000000097953201</v>
      </c>
    </row>
    <row r="233" spans="1:40" x14ac:dyDescent="0.25">
      <c r="A233" t="str">
        <f>"20190312160606695"</f>
        <v>20190312160606695</v>
      </c>
      <c r="B233" t="str">
        <f>"1552377966685489"</f>
        <v>1552377966685489</v>
      </c>
      <c r="C233" t="s">
        <v>40</v>
      </c>
      <c r="D233">
        <v>6.1769049999999996</v>
      </c>
      <c r="E233">
        <v>0.49798700000000001</v>
      </c>
      <c r="F233" t="s">
        <v>42</v>
      </c>
      <c r="G233">
        <v>-168.84350000000001</v>
      </c>
      <c r="H233">
        <v>11.92282</v>
      </c>
      <c r="I233">
        <v>375.90069999999997</v>
      </c>
      <c r="J233">
        <v>-433.95490000000001</v>
      </c>
      <c r="K233">
        <v>1.0710710000000001</v>
      </c>
      <c r="L233">
        <v>368.46550000000002</v>
      </c>
      <c r="M233">
        <v>0.99992340000000002</v>
      </c>
      <c r="N233">
        <v>0</v>
      </c>
      <c r="O233">
        <v>-9.6746569999999997E-3</v>
      </c>
      <c r="P233">
        <v>0.99716159999999998</v>
      </c>
      <c r="Q233">
        <v>7.1290220000000001E-2</v>
      </c>
      <c r="R233">
        <v>2.4215810000000001E-2</v>
      </c>
      <c r="S233">
        <v>2.9977719999999999</v>
      </c>
      <c r="T233">
        <v>0.122521</v>
      </c>
      <c r="U233">
        <v>8.3923339999999999E-2</v>
      </c>
      <c r="V233">
        <v>-3.3921260000000002E-2</v>
      </c>
      <c r="W233">
        <v>7.8963790000000006E-2</v>
      </c>
      <c r="X233">
        <v>0.99630019999999997</v>
      </c>
      <c r="Y233">
        <v>-3.7614670000000003E-2</v>
      </c>
      <c r="Z233">
        <v>-1.163386E-3</v>
      </c>
      <c r="AA233">
        <v>0.9992917</v>
      </c>
      <c r="AB233">
        <v>36</v>
      </c>
      <c r="AC233">
        <v>265.1114</v>
      </c>
      <c r="AD233">
        <v>10.851749</v>
      </c>
      <c r="AE233">
        <v>7.4351999999999503</v>
      </c>
      <c r="AF233">
        <v>-9.9830768678306292</v>
      </c>
      <c r="AG233">
        <v>10.851749</v>
      </c>
      <c r="AH233">
        <v>264.58409629142199</v>
      </c>
      <c r="AI233">
        <v>87.653034428664498</v>
      </c>
      <c r="AJ233">
        <v>92.160813801361698</v>
      </c>
      <c r="AK233">
        <v>264.99465332428201</v>
      </c>
      <c r="AL233">
        <v>85.470993199093698</v>
      </c>
      <c r="AM233">
        <v>91.9500092050326</v>
      </c>
      <c r="AN233">
        <v>1.0000000102655899</v>
      </c>
    </row>
    <row r="234" spans="1:40" x14ac:dyDescent="0.25">
      <c r="A234" t="str">
        <f>"20190312160606706"</f>
        <v>20190312160606706</v>
      </c>
      <c r="B234" t="str">
        <f>"1552377966695249"</f>
        <v>1552377966695249</v>
      </c>
      <c r="C234" t="s">
        <v>40</v>
      </c>
      <c r="D234">
        <v>6.1265130000000001</v>
      </c>
      <c r="E234">
        <v>0.49791770000000002</v>
      </c>
      <c r="F234" t="s">
        <v>42</v>
      </c>
      <c r="G234">
        <v>-168.84350000000001</v>
      </c>
      <c r="H234">
        <v>11.73095</v>
      </c>
      <c r="I234">
        <v>376.04109999999997</v>
      </c>
      <c r="J234">
        <v>-433.7534</v>
      </c>
      <c r="K234">
        <v>1.070111</v>
      </c>
      <c r="L234">
        <v>368.46379999999999</v>
      </c>
      <c r="M234">
        <v>0.99992689999999995</v>
      </c>
      <c r="N234">
        <v>0</v>
      </c>
      <c r="O234">
        <v>-9.44154E-3</v>
      </c>
      <c r="P234">
        <v>0.99717149999999999</v>
      </c>
      <c r="Q234">
        <v>7.10538E-2</v>
      </c>
      <c r="R234">
        <v>2.4508519999999999E-2</v>
      </c>
      <c r="S234">
        <v>2.997833</v>
      </c>
      <c r="T234">
        <v>0.120541</v>
      </c>
      <c r="U234">
        <v>8.5662840000000004E-2</v>
      </c>
      <c r="V234">
        <v>-3.3983630000000001E-2</v>
      </c>
      <c r="W234">
        <v>7.8557349999999998E-2</v>
      </c>
      <c r="X234">
        <v>0.99633020000000005</v>
      </c>
      <c r="Y234">
        <v>-3.7961679999999998E-2</v>
      </c>
      <c r="Z234">
        <v>-1.142171E-3</v>
      </c>
      <c r="AA234">
        <v>0.99927849999999996</v>
      </c>
      <c r="AB234">
        <v>36</v>
      </c>
      <c r="AC234">
        <v>264.90989999999999</v>
      </c>
      <c r="AD234">
        <v>10.660838999999999</v>
      </c>
      <c r="AE234">
        <v>7.5772999999999797</v>
      </c>
      <c r="AF234">
        <v>-10.0619088668003</v>
      </c>
      <c r="AG234">
        <v>10.660838999999999</v>
      </c>
      <c r="AH234">
        <v>264.39869924006803</v>
      </c>
      <c r="AI234">
        <v>87.692691869809494</v>
      </c>
      <c r="AJ234">
        <v>92.179386087406399</v>
      </c>
      <c r="AK234">
        <v>264.80477272524303</v>
      </c>
      <c r="AL234">
        <v>85.494353041865295</v>
      </c>
      <c r="AM234">
        <v>91.953533074531194</v>
      </c>
      <c r="AN234">
        <v>1.00000000588951</v>
      </c>
    </row>
    <row r="235" spans="1:40" x14ac:dyDescent="0.25">
      <c r="A235" t="str">
        <f>"20190312160606727"</f>
        <v>20190312160606727</v>
      </c>
      <c r="B235" t="str">
        <f>"1552377966715745"</f>
        <v>1552377966715745</v>
      </c>
      <c r="C235" t="s">
        <v>40</v>
      </c>
      <c r="D235">
        <v>6.0777539999999997</v>
      </c>
      <c r="E235">
        <v>0.49791380000000002</v>
      </c>
      <c r="F235" t="s">
        <v>42</v>
      </c>
      <c r="G235">
        <v>-168.84350000000001</v>
      </c>
      <c r="H235">
        <v>11.64251</v>
      </c>
      <c r="I235">
        <v>376.1739</v>
      </c>
      <c r="J235">
        <v>-433.43020000000001</v>
      </c>
      <c r="K235">
        <v>1.0686869999999999</v>
      </c>
      <c r="L235">
        <v>368.46100000000001</v>
      </c>
      <c r="M235">
        <v>0.9999323</v>
      </c>
      <c r="N235">
        <v>0</v>
      </c>
      <c r="O235">
        <v>-9.0687440000000001E-3</v>
      </c>
      <c r="P235">
        <v>0.9971489</v>
      </c>
      <c r="Q235">
        <v>7.1187860000000006E-2</v>
      </c>
      <c r="R235">
        <v>2.502795E-2</v>
      </c>
      <c r="S235">
        <v>2.9978030000000002</v>
      </c>
      <c r="T235">
        <v>0.11964139999999999</v>
      </c>
      <c r="U235">
        <v>8.7249759999999996E-2</v>
      </c>
      <c r="V235">
        <v>-3.413364E-2</v>
      </c>
      <c r="W235">
        <v>7.8427579999999997E-2</v>
      </c>
      <c r="X235">
        <v>0.99633530000000003</v>
      </c>
      <c r="Y235">
        <v>-3.8118680000000002E-2</v>
      </c>
      <c r="Z235">
        <v>-1.121918E-3</v>
      </c>
      <c r="AA235">
        <v>0.99927259999999996</v>
      </c>
      <c r="AB235">
        <v>36</v>
      </c>
      <c r="AC235">
        <v>264.58670000000001</v>
      </c>
      <c r="AD235">
        <v>10.5738229999999</v>
      </c>
      <c r="AE235">
        <v>7.7128999999999897</v>
      </c>
      <c r="AF235">
        <v>-10.096005145435299</v>
      </c>
      <c r="AG235">
        <v>10.5738229999999</v>
      </c>
      <c r="AH235">
        <v>264.08446367818101</v>
      </c>
      <c r="AI235">
        <v>87.708799505727796</v>
      </c>
      <c r="AJ235">
        <v>92.189363616586206</v>
      </c>
      <c r="AK235">
        <v>264.48882586779399</v>
      </c>
      <c r="AL235">
        <v>85.501811346255394</v>
      </c>
      <c r="AM235">
        <v>91.962139567510306</v>
      </c>
      <c r="AN235">
        <v>1.00000001035519</v>
      </c>
    </row>
    <row r="236" spans="1:40" x14ac:dyDescent="0.25">
      <c r="A236" t="str">
        <f>"20190312160606740"</f>
        <v>20190312160606740</v>
      </c>
      <c r="B236" t="str">
        <f>"1552377966735266"</f>
        <v>1552377966735266</v>
      </c>
      <c r="C236" t="s">
        <v>40</v>
      </c>
      <c r="D236">
        <v>6.0672709999999999</v>
      </c>
      <c r="E236">
        <v>0.50998699999999997</v>
      </c>
      <c r="F236" t="s">
        <v>42</v>
      </c>
      <c r="G236">
        <v>-168.84350000000001</v>
      </c>
      <c r="H236">
        <v>11.62398</v>
      </c>
      <c r="I236">
        <v>376.29910000000001</v>
      </c>
      <c r="J236">
        <v>-433.22430000000003</v>
      </c>
      <c r="K236">
        <v>1.067858</v>
      </c>
      <c r="L236">
        <v>368.45929999999998</v>
      </c>
      <c r="M236">
        <v>0.99993560000000004</v>
      </c>
      <c r="N236">
        <v>0</v>
      </c>
      <c r="O236">
        <v>-8.8327340000000001E-3</v>
      </c>
      <c r="P236">
        <v>0.99713339999999995</v>
      </c>
      <c r="Q236">
        <v>7.1250419999999995E-2</v>
      </c>
      <c r="R236">
        <v>2.5467090000000001E-2</v>
      </c>
      <c r="S236">
        <v>2.9978030000000002</v>
      </c>
      <c r="T236">
        <v>0.1195939</v>
      </c>
      <c r="U236">
        <v>8.880615E-2</v>
      </c>
      <c r="V236">
        <v>-3.4339139999999997E-2</v>
      </c>
      <c r="W236">
        <v>7.8330129999999998E-2</v>
      </c>
      <c r="X236">
        <v>0.99633590000000005</v>
      </c>
      <c r="Y236">
        <v>-3.8401150000000002E-2</v>
      </c>
      <c r="Z236">
        <v>-1.1176840000000001E-3</v>
      </c>
      <c r="AA236">
        <v>0.99926179999999998</v>
      </c>
      <c r="AB236">
        <v>36</v>
      </c>
      <c r="AC236">
        <v>264.38080000000002</v>
      </c>
      <c r="AD236">
        <v>10.556122</v>
      </c>
      <c r="AE236">
        <v>7.8398000000000199</v>
      </c>
      <c r="AF236">
        <v>-10.158577924713599</v>
      </c>
      <c r="AG236">
        <v>10.556122</v>
      </c>
      <c r="AH236">
        <v>263.88092217500702</v>
      </c>
      <c r="AI236">
        <v>87.710891883859205</v>
      </c>
      <c r="AJ236">
        <v>92.204616995053698</v>
      </c>
      <c r="AK236">
        <v>264.28728593154699</v>
      </c>
      <c r="AL236">
        <v>85.5074120287738</v>
      </c>
      <c r="AM236">
        <v>91.973942032915502</v>
      </c>
      <c r="AN236">
        <v>1.00000000571528</v>
      </c>
    </row>
    <row r="237" spans="1:40" x14ac:dyDescent="0.25">
      <c r="A237" t="str">
        <f>"20190312160606772"</f>
        <v>20190312160606772</v>
      </c>
      <c r="B237" t="str">
        <f>"1552377966765521"</f>
        <v>1552377966765521</v>
      </c>
      <c r="C237" t="s">
        <v>40</v>
      </c>
      <c r="D237">
        <v>6.1482760000000001</v>
      </c>
      <c r="E237">
        <v>0.49839739999999999</v>
      </c>
      <c r="F237" t="s">
        <v>45</v>
      </c>
      <c r="G237">
        <v>-412.89580000000001</v>
      </c>
      <c r="H237">
        <v>-0.05</v>
      </c>
      <c r="I237">
        <v>368.35910000000001</v>
      </c>
      <c r="J237">
        <v>-432.68860000000001</v>
      </c>
      <c r="K237">
        <v>1.0659809999999901</v>
      </c>
      <c r="L237">
        <v>368.45510000000002</v>
      </c>
      <c r="M237">
        <v>0.99994340000000004</v>
      </c>
      <c r="N237">
        <v>0</v>
      </c>
      <c r="O237">
        <v>-8.2240679999999993E-3</v>
      </c>
      <c r="P237">
        <v>0.99718949999999995</v>
      </c>
      <c r="Q237">
        <v>7.0152099999999995E-2</v>
      </c>
      <c r="R237">
        <v>2.630279E-2</v>
      </c>
      <c r="S237">
        <v>3.020905</v>
      </c>
      <c r="T237">
        <v>-0.16611890000000001</v>
      </c>
      <c r="U237">
        <v>-1.4892580000000001E-2</v>
      </c>
      <c r="V237">
        <v>-3.4570700000000003E-2</v>
      </c>
      <c r="W237">
        <v>7.6850689999999999E-2</v>
      </c>
      <c r="X237">
        <v>0.99644310000000003</v>
      </c>
      <c r="Y237">
        <v>-3.2771670000000001E-3</v>
      </c>
      <c r="Z237">
        <v>5.4193649999999998E-4</v>
      </c>
      <c r="AA237">
        <v>0.99999450000000001</v>
      </c>
      <c r="AB237">
        <v>36</v>
      </c>
      <c r="AC237">
        <v>19.7928</v>
      </c>
      <c r="AD237">
        <v>-1.1159809999999999</v>
      </c>
      <c r="AE237">
        <v>-9.6000000000003596E-2</v>
      </c>
      <c r="AF237">
        <v>-6.65726544428831E-2</v>
      </c>
      <c r="AG237">
        <v>-1.1159809999999999</v>
      </c>
      <c r="AH237">
        <v>19.730198074450801</v>
      </c>
      <c r="AI237">
        <v>93.237300543301899</v>
      </c>
      <c r="AJ237">
        <v>90.193323839984501</v>
      </c>
      <c r="AK237">
        <v>19.7618461072781</v>
      </c>
      <c r="AL237">
        <v>85.592434022665898</v>
      </c>
      <c r="AM237">
        <v>91.987028708348802</v>
      </c>
      <c r="AN237">
        <v>1.0000000066947801</v>
      </c>
    </row>
    <row r="238" spans="1:40" x14ac:dyDescent="0.25">
      <c r="A238" t="str">
        <f>"20190312160606794"</f>
        <v>20190312160606794</v>
      </c>
      <c r="B238" t="str">
        <f>"1552377966785655"</f>
        <v>1552377966785655</v>
      </c>
      <c r="C238" t="s">
        <v>40</v>
      </c>
      <c r="D238">
        <v>6.150169</v>
      </c>
      <c r="E238">
        <v>0.49850650000000002</v>
      </c>
      <c r="F238" t="s">
        <v>42</v>
      </c>
      <c r="G238">
        <v>-168.84350000000001</v>
      </c>
      <c r="H238">
        <v>10.905340000000001</v>
      </c>
      <c r="I238">
        <v>376.26190000000003</v>
      </c>
      <c r="J238">
        <v>-432.3252</v>
      </c>
      <c r="K238">
        <v>1.0649230000000001</v>
      </c>
      <c r="L238">
        <v>368.45240000000001</v>
      </c>
      <c r="M238">
        <v>0.99994830000000001</v>
      </c>
      <c r="N238">
        <v>0</v>
      </c>
      <c r="O238">
        <v>-7.8139809999999994E-3</v>
      </c>
      <c r="P238">
        <v>0.99718839999999997</v>
      </c>
      <c r="Q238">
        <v>6.9953219999999997E-2</v>
      </c>
      <c r="R238">
        <v>2.6874450000000001E-2</v>
      </c>
      <c r="S238">
        <v>2.998291</v>
      </c>
      <c r="T238">
        <v>0.1118138</v>
      </c>
      <c r="U238">
        <v>8.8714600000000005E-2</v>
      </c>
      <c r="V238">
        <v>-3.4735290000000002E-2</v>
      </c>
      <c r="W238">
        <v>7.6423270000000001E-2</v>
      </c>
      <c r="X238">
        <v>0.99647019999999997</v>
      </c>
      <c r="Y238">
        <v>-3.7353900000000002E-2</v>
      </c>
      <c r="Z238">
        <v>-9.8736630000000004E-4</v>
      </c>
      <c r="AA238">
        <v>0.99930160000000001</v>
      </c>
      <c r="AB238">
        <v>37</v>
      </c>
      <c r="AC238">
        <v>263.48169999999999</v>
      </c>
      <c r="AD238">
        <v>9.8404170000000004</v>
      </c>
      <c r="AE238">
        <v>7.8095000000000097</v>
      </c>
      <c r="AF238">
        <v>-9.8544128344451103</v>
      </c>
      <c r="AG238">
        <v>9.8404170000000004</v>
      </c>
      <c r="AH238">
        <v>263.046044557443</v>
      </c>
      <c r="AI238">
        <v>87.859093851775398</v>
      </c>
      <c r="AJ238">
        <v>92.145450811208207</v>
      </c>
      <c r="AK238">
        <v>263.414435474524</v>
      </c>
      <c r="AL238">
        <v>85.616995405178997</v>
      </c>
      <c r="AM238">
        <v>91.996426998652197</v>
      </c>
      <c r="AN238">
        <v>0.99999995802845698</v>
      </c>
    </row>
    <row r="239" spans="1:40" x14ac:dyDescent="0.25">
      <c r="A239" t="str">
        <f>"20190312160606815"</f>
        <v>20190312160606815</v>
      </c>
      <c r="B239" t="str">
        <f>"1552377966805175"</f>
        <v>1552377966805175</v>
      </c>
      <c r="C239" t="s">
        <v>40</v>
      </c>
      <c r="D239">
        <v>6.1759570000000004</v>
      </c>
      <c r="E239">
        <v>0.499</v>
      </c>
      <c r="F239" t="s">
        <v>42</v>
      </c>
      <c r="G239">
        <v>-168.84350000000001</v>
      </c>
      <c r="H239">
        <v>10.63639</v>
      </c>
      <c r="I239">
        <v>376.31779999999998</v>
      </c>
      <c r="J239">
        <v>-431.97300000000001</v>
      </c>
      <c r="K239">
        <v>1.0640459999999901</v>
      </c>
      <c r="L239">
        <v>368.45</v>
      </c>
      <c r="M239">
        <v>0.99995259999999997</v>
      </c>
      <c r="N239">
        <v>0</v>
      </c>
      <c r="O239">
        <v>-7.416916E-3</v>
      </c>
      <c r="P239">
        <v>0.99715050000000005</v>
      </c>
      <c r="Q239">
        <v>7.0375610000000005E-2</v>
      </c>
      <c r="R239">
        <v>2.7177199999999999E-2</v>
      </c>
      <c r="S239">
        <v>2.9984440000000001</v>
      </c>
      <c r="T239">
        <v>0.1089251</v>
      </c>
      <c r="U239">
        <v>8.950806E-2</v>
      </c>
      <c r="V239">
        <v>-3.4643930000000003E-2</v>
      </c>
      <c r="W239">
        <v>7.6654810000000004E-2</v>
      </c>
      <c r="X239">
        <v>0.9964556</v>
      </c>
      <c r="Y239">
        <v>-3.7221730000000001E-2</v>
      </c>
      <c r="Z239">
        <v>-9.4500580000000001E-4</v>
      </c>
      <c r="AA239">
        <v>0.99930660000000004</v>
      </c>
      <c r="AB239">
        <v>37</v>
      </c>
      <c r="AC239">
        <v>263.12950000000001</v>
      </c>
      <c r="AD239">
        <v>9.5723439999999993</v>
      </c>
      <c r="AE239">
        <v>7.8677999999999804</v>
      </c>
      <c r="AF239">
        <v>-9.8062655962229606</v>
      </c>
      <c r="AG239">
        <v>9.5723439999999993</v>
      </c>
      <c r="AH239">
        <v>262.71653258217401</v>
      </c>
      <c r="AI239">
        <v>87.914743977087198</v>
      </c>
      <c r="AJ239">
        <v>92.137653484256603</v>
      </c>
      <c r="AK239">
        <v>263.07369520078998</v>
      </c>
      <c r="AL239">
        <v>85.603690128563301</v>
      </c>
      <c r="AM239">
        <v>91.991209423611807</v>
      </c>
      <c r="AN239">
        <v>0.99999996227666899</v>
      </c>
    </row>
    <row r="240" spans="1:40" x14ac:dyDescent="0.25">
      <c r="A240" t="str">
        <f>"20190312160606840"</f>
        <v>20190312160606840</v>
      </c>
      <c r="B240" t="str">
        <f>"1552377966835427"</f>
        <v>1552377966835427</v>
      </c>
      <c r="C240" t="s">
        <v>40</v>
      </c>
      <c r="D240">
        <v>6.1748139999999996</v>
      </c>
      <c r="E240">
        <v>0.49968040000000002</v>
      </c>
      <c r="F240" t="s">
        <v>42</v>
      </c>
      <c r="G240">
        <v>-168.84350000000001</v>
      </c>
      <c r="H240">
        <v>10.610889999999999</v>
      </c>
      <c r="I240">
        <v>376.04219999999998</v>
      </c>
      <c r="J240">
        <v>-431.57209999999998</v>
      </c>
      <c r="K240">
        <v>1.06321</v>
      </c>
      <c r="L240">
        <v>368.44740000000002</v>
      </c>
      <c r="M240">
        <v>0.99995699999999998</v>
      </c>
      <c r="N240">
        <v>0</v>
      </c>
      <c r="O240">
        <v>-6.9647069999999997E-3</v>
      </c>
      <c r="P240">
        <v>0.99714150000000001</v>
      </c>
      <c r="Q240">
        <v>7.0308819999999994E-2</v>
      </c>
      <c r="R240">
        <v>2.7669940000000001E-2</v>
      </c>
      <c r="S240">
        <v>2.9985050000000002</v>
      </c>
      <c r="T240">
        <v>0.1087924</v>
      </c>
      <c r="U240">
        <v>8.6517330000000003E-2</v>
      </c>
      <c r="V240">
        <v>-3.4686399999999999E-2</v>
      </c>
      <c r="W240">
        <v>7.6405200000000006E-2</v>
      </c>
      <c r="X240">
        <v>0.99647330000000001</v>
      </c>
      <c r="Y240">
        <v>-3.5774630000000002E-2</v>
      </c>
      <c r="Z240">
        <v>-9.012124E-4</v>
      </c>
      <c r="AA240">
        <v>0.99935949999999996</v>
      </c>
      <c r="AB240">
        <v>37</v>
      </c>
      <c r="AC240">
        <v>262.72859999999997</v>
      </c>
      <c r="AD240">
        <v>9.5476799999999997</v>
      </c>
      <c r="AE240">
        <v>7.5947999999999602</v>
      </c>
      <c r="AF240">
        <v>-9.4120583472762593</v>
      </c>
      <c r="AG240">
        <v>9.5476799999999997</v>
      </c>
      <c r="AH240">
        <v>262.32318852729998</v>
      </c>
      <c r="AI240">
        <v>87.9168860627219</v>
      </c>
      <c r="AJ240">
        <v>92.054869764211603</v>
      </c>
      <c r="AK240">
        <v>262.66556735675198</v>
      </c>
      <c r="AL240">
        <v>85.618033825357799</v>
      </c>
      <c r="AM240">
        <v>91.993613095089898</v>
      </c>
      <c r="AN240">
        <v>0.99999996927244394</v>
      </c>
    </row>
    <row r="241" spans="1:40" x14ac:dyDescent="0.25">
      <c r="A241" t="str">
        <f>"20190312160606861"</f>
        <v>20190312160606861</v>
      </c>
      <c r="B241" t="str">
        <f>"1552377966854948"</f>
        <v>1552377966854948</v>
      </c>
      <c r="C241" t="s">
        <v>40</v>
      </c>
      <c r="D241">
        <v>6.049188</v>
      </c>
      <c r="E241">
        <v>0.4996564</v>
      </c>
      <c r="F241" t="s">
        <v>42</v>
      </c>
      <c r="G241">
        <v>-168.84350000000001</v>
      </c>
      <c r="H241">
        <v>10.344889999999999</v>
      </c>
      <c r="I241">
        <v>375.66890000000001</v>
      </c>
      <c r="J241">
        <v>-431.2045</v>
      </c>
      <c r="K241">
        <v>1.0625690000000001</v>
      </c>
      <c r="L241">
        <v>368.4452</v>
      </c>
      <c r="M241">
        <v>0.99996070000000004</v>
      </c>
      <c r="N241">
        <v>0</v>
      </c>
      <c r="O241">
        <v>-6.5500619999999997E-3</v>
      </c>
      <c r="P241">
        <v>0.99713830000000003</v>
      </c>
      <c r="Q241">
        <v>7.0333409999999999E-2</v>
      </c>
      <c r="R241">
        <v>2.7727000000000002E-2</v>
      </c>
      <c r="S241">
        <v>2.9988709999999998</v>
      </c>
      <c r="T241">
        <v>0.1059451</v>
      </c>
      <c r="U241">
        <v>8.2427979999999998E-2</v>
      </c>
      <c r="V241">
        <v>-3.433129E-2</v>
      </c>
      <c r="W241">
        <v>7.6286820000000005E-2</v>
      </c>
      <c r="X241">
        <v>0.99649469999999996</v>
      </c>
      <c r="Y241">
        <v>-3.3997800000000002E-2</v>
      </c>
      <c r="Z241">
        <v>-8.3153759999999904E-4</v>
      </c>
      <c r="AA241">
        <v>0.99942149999999996</v>
      </c>
      <c r="AB241">
        <v>37</v>
      </c>
      <c r="AC241">
        <v>262.36099999999999</v>
      </c>
      <c r="AD241">
        <v>9.2823209999999996</v>
      </c>
      <c r="AE241">
        <v>7.2237</v>
      </c>
      <c r="AF241">
        <v>-8.9308858293866802</v>
      </c>
      <c r="AG241">
        <v>9.2823209999999996</v>
      </c>
      <c r="AH241">
        <v>261.98037187341203</v>
      </c>
      <c r="AI241">
        <v>87.971958533107596</v>
      </c>
      <c r="AJ241">
        <v>91.952451551135894</v>
      </c>
      <c r="AK241">
        <v>262.29684987009603</v>
      </c>
      <c r="AL241">
        <v>85.624836496303999</v>
      </c>
      <c r="AM241">
        <v>91.973176898287406</v>
      </c>
      <c r="AN241">
        <v>1.0000000017534301</v>
      </c>
    </row>
    <row r="242" spans="1:40" x14ac:dyDescent="0.25">
      <c r="A242" t="str">
        <f>"20190312160606883"</f>
        <v>20190312160606883</v>
      </c>
      <c r="B242" t="str">
        <f>"1552377966875044"</f>
        <v>1552377966875044</v>
      </c>
      <c r="C242" t="s">
        <v>40</v>
      </c>
      <c r="D242">
        <v>6.1455659999999996</v>
      </c>
      <c r="E242">
        <v>0.49975799999999998</v>
      </c>
      <c r="F242" t="s">
        <v>42</v>
      </c>
      <c r="G242">
        <v>-168.84350000000001</v>
      </c>
      <c r="H242">
        <v>10.09205</v>
      </c>
      <c r="I242">
        <v>375.68549999999999</v>
      </c>
      <c r="J242">
        <v>-430.84190000000001</v>
      </c>
      <c r="K242">
        <v>1.0620270000000001</v>
      </c>
      <c r="L242">
        <v>368.44310000000002</v>
      </c>
      <c r="M242">
        <v>0.99996390000000002</v>
      </c>
      <c r="N242">
        <v>0</v>
      </c>
      <c r="O242">
        <v>-6.1416960000000003E-3</v>
      </c>
      <c r="P242">
        <v>0.99710690000000002</v>
      </c>
      <c r="Q242">
        <v>7.0892380000000005E-2</v>
      </c>
      <c r="R242">
        <v>2.7432169999999999E-2</v>
      </c>
      <c r="S242">
        <v>2.9990540000000001</v>
      </c>
      <c r="T242">
        <v>0.10321710000000001</v>
      </c>
      <c r="U242">
        <v>8.2763669999999998E-2</v>
      </c>
      <c r="V242">
        <v>-3.3630229999999997E-2</v>
      </c>
      <c r="W242">
        <v>7.6727550000000005E-2</v>
      </c>
      <c r="X242">
        <v>0.99648479999999995</v>
      </c>
      <c r="Y242">
        <v>-3.3701460000000003E-2</v>
      </c>
      <c r="Z242">
        <v>-7.9094270000000001E-4</v>
      </c>
      <c r="AA242">
        <v>0.99943159999999998</v>
      </c>
      <c r="AB242">
        <v>37</v>
      </c>
      <c r="AC242">
        <v>261.9984</v>
      </c>
      <c r="AD242">
        <v>9.0300229999999999</v>
      </c>
      <c r="AE242">
        <v>7.2423999999999698</v>
      </c>
      <c r="AF242">
        <v>-8.8409115532097609</v>
      </c>
      <c r="AG242">
        <v>9.0300229999999999</v>
      </c>
      <c r="AH242">
        <v>261.638413695069</v>
      </c>
      <c r="AI242">
        <v>88.024440887264007</v>
      </c>
      <c r="AJ242">
        <v>91.935320779730802</v>
      </c>
      <c r="AK242">
        <v>261.94343388095098</v>
      </c>
      <c r="AL242">
        <v>85.599510434521207</v>
      </c>
      <c r="AM242">
        <v>91.932933832300805</v>
      </c>
      <c r="AN242">
        <v>1.0000000329649401</v>
      </c>
    </row>
    <row r="243" spans="1:40" x14ac:dyDescent="0.25">
      <c r="A243" t="str">
        <f>"20190312160606906"</f>
        <v>20190312160606906</v>
      </c>
      <c r="B243" t="str">
        <f>"1552377966895540"</f>
        <v>1552377966895540</v>
      </c>
      <c r="C243" t="s">
        <v>40</v>
      </c>
      <c r="D243">
        <v>6.0738120000000002</v>
      </c>
      <c r="E243">
        <v>0.51508379999999998</v>
      </c>
      <c r="F243" t="s">
        <v>42</v>
      </c>
      <c r="G243">
        <v>-168.84350000000001</v>
      </c>
      <c r="H243">
        <v>9.9059089999999994</v>
      </c>
      <c r="I243">
        <v>375.529</v>
      </c>
      <c r="J243">
        <v>-430.46120000000002</v>
      </c>
      <c r="K243">
        <v>1.061553</v>
      </c>
      <c r="L243">
        <v>368.44119999999998</v>
      </c>
      <c r="M243">
        <v>0.99996700000000005</v>
      </c>
      <c r="N243">
        <v>0</v>
      </c>
      <c r="O243">
        <v>-5.7156380000000003E-3</v>
      </c>
      <c r="P243">
        <v>0.99705869999999996</v>
      </c>
      <c r="Q243">
        <v>7.132985E-2</v>
      </c>
      <c r="R243">
        <v>2.8041150000000001E-2</v>
      </c>
      <c r="S243">
        <v>2.9992679999999998</v>
      </c>
      <c r="T243">
        <v>0.1012427</v>
      </c>
      <c r="U243">
        <v>8.1115720000000002E-2</v>
      </c>
      <c r="V243">
        <v>-3.3815119999999997E-2</v>
      </c>
      <c r="W243">
        <v>7.7069380000000007E-2</v>
      </c>
      <c r="X243">
        <v>0.99645220000000001</v>
      </c>
      <c r="Y243">
        <v>-3.2726619999999998E-2</v>
      </c>
      <c r="Z243">
        <v>-7.4495029999999997E-4</v>
      </c>
      <c r="AA243">
        <v>0.99946400000000002</v>
      </c>
      <c r="AB243">
        <v>37</v>
      </c>
      <c r="AC243">
        <v>261.61770000000001</v>
      </c>
      <c r="AD243">
        <v>8.8443559999999994</v>
      </c>
      <c r="AE243">
        <v>7.0878000000000103</v>
      </c>
      <c r="AF243">
        <v>-8.5732302773666405</v>
      </c>
      <c r="AG243">
        <v>8.8443559999999994</v>
      </c>
      <c r="AH243">
        <v>261.27452977693002</v>
      </c>
      <c r="AI243">
        <v>88.062273520790697</v>
      </c>
      <c r="AJ243">
        <v>91.879378486011404</v>
      </c>
      <c r="AK243">
        <v>261.56472013748203</v>
      </c>
      <c r="AL243">
        <v>85.579867013557504</v>
      </c>
      <c r="AM243">
        <v>91.943615993867297</v>
      </c>
      <c r="AN243">
        <v>1.0000000692795099</v>
      </c>
    </row>
    <row r="244" spans="1:40" x14ac:dyDescent="0.25">
      <c r="A244" t="str">
        <f>"20190312160606927"</f>
        <v>20190312160606927</v>
      </c>
      <c r="B244" t="str">
        <f>"1552377966915056"</f>
        <v>1552377966915056</v>
      </c>
      <c r="C244" t="s">
        <v>40</v>
      </c>
      <c r="D244">
        <v>6.029833</v>
      </c>
      <c r="E244">
        <v>0.51602389999999998</v>
      </c>
      <c r="F244" t="s">
        <v>45</v>
      </c>
      <c r="G244">
        <v>-407.39440000000002</v>
      </c>
      <c r="H244">
        <v>-0.05</v>
      </c>
      <c r="I244">
        <v>368.08249999999998</v>
      </c>
      <c r="J244">
        <v>-430.10399999999998</v>
      </c>
      <c r="K244">
        <v>1.061194</v>
      </c>
      <c r="L244">
        <v>368.43939999999998</v>
      </c>
      <c r="M244">
        <v>0.99996940000000001</v>
      </c>
      <c r="N244">
        <v>0</v>
      </c>
      <c r="O244">
        <v>-5.3199600000000003E-3</v>
      </c>
      <c r="P244">
        <v>0.99697029999999998</v>
      </c>
      <c r="Q244">
        <v>7.193774E-2</v>
      </c>
      <c r="R244">
        <v>2.9584880000000001E-2</v>
      </c>
      <c r="S244">
        <v>3.0205380000000002</v>
      </c>
      <c r="T244">
        <v>-0.14555589999999999</v>
      </c>
      <c r="U244">
        <v>-4.6966550000000003E-2</v>
      </c>
      <c r="V244">
        <v>-3.4964410000000001E-2</v>
      </c>
      <c r="W244">
        <v>7.7616589999999999E-2</v>
      </c>
      <c r="X244">
        <v>0.99636999999999998</v>
      </c>
      <c r="Y244">
        <v>1.0221879999999999E-2</v>
      </c>
      <c r="Z244" s="1">
        <v>1.0066690000000001E-5</v>
      </c>
      <c r="AA244">
        <v>0.99994769999999999</v>
      </c>
      <c r="AB244">
        <v>37</v>
      </c>
      <c r="AC244">
        <v>22.709599999999998</v>
      </c>
      <c r="AD244">
        <v>-1.111194</v>
      </c>
      <c r="AE244">
        <v>-0.356899999999996</v>
      </c>
      <c r="AF244">
        <v>0.23551506699684399</v>
      </c>
      <c r="AG244">
        <v>-1.111194</v>
      </c>
      <c r="AH244">
        <v>22.656945437266</v>
      </c>
      <c r="AI244">
        <v>92.807630102764406</v>
      </c>
      <c r="AJ244">
        <v>89.404441635839703</v>
      </c>
      <c r="AK244">
        <v>22.6854005034001</v>
      </c>
      <c r="AL244">
        <v>85.548419733540399</v>
      </c>
      <c r="AM244">
        <v>92.009786943881593</v>
      </c>
      <c r="AN244">
        <v>1.0000000109549301</v>
      </c>
    </row>
    <row r="245" spans="1:40" x14ac:dyDescent="0.25">
      <c r="A245" t="str">
        <f>"20190312160606950"</f>
        <v>20190312160606950</v>
      </c>
      <c r="B245" t="str">
        <f>"1552377966945314"</f>
        <v>1552377966945314</v>
      </c>
      <c r="C245" t="s">
        <v>40</v>
      </c>
      <c r="D245">
        <v>5.8882879999999904</v>
      </c>
      <c r="E245">
        <v>0.51658559999999998</v>
      </c>
      <c r="F245" t="s">
        <v>45</v>
      </c>
      <c r="G245">
        <v>-410.35550000000001</v>
      </c>
      <c r="H245">
        <v>-0.05</v>
      </c>
      <c r="I245">
        <v>368.10489999999999</v>
      </c>
      <c r="J245">
        <v>-429.72109999999998</v>
      </c>
      <c r="K245">
        <v>1.060854</v>
      </c>
      <c r="L245">
        <v>368.43770000000001</v>
      </c>
      <c r="M245">
        <v>0.99997179999999997</v>
      </c>
      <c r="N245">
        <v>0</v>
      </c>
      <c r="O245">
        <v>-4.9037400000000002E-3</v>
      </c>
      <c r="P245">
        <v>0.9969652</v>
      </c>
      <c r="Q245">
        <v>7.1371630000000005E-2</v>
      </c>
      <c r="R245">
        <v>3.1092760000000001E-2</v>
      </c>
      <c r="S245">
        <v>3.0229490000000001</v>
      </c>
      <c r="T245">
        <v>-0.17009289999999999</v>
      </c>
      <c r="U245">
        <v>-5.1208499999999997E-2</v>
      </c>
      <c r="V245">
        <v>-3.6056440000000002E-2</v>
      </c>
      <c r="W245">
        <v>7.7018509999999998E-2</v>
      </c>
      <c r="X245">
        <v>0.99637750000000003</v>
      </c>
      <c r="Y245">
        <v>1.202291E-2</v>
      </c>
      <c r="Z245" s="1">
        <v>-6.2273380000000004E-5</v>
      </c>
      <c r="AA245">
        <v>0.99992769999999997</v>
      </c>
      <c r="AB245">
        <v>38</v>
      </c>
      <c r="AC245">
        <v>19.365599999999901</v>
      </c>
      <c r="AD245">
        <v>-1.110854</v>
      </c>
      <c r="AE245">
        <v>-0.33280000000002002</v>
      </c>
      <c r="AF245">
        <v>0.23705082715800899</v>
      </c>
      <c r="AG245">
        <v>-1.110854</v>
      </c>
      <c r="AH245">
        <v>19.303501164831701</v>
      </c>
      <c r="AI245">
        <v>93.293306387879198</v>
      </c>
      <c r="AJ245">
        <v>89.296431816449399</v>
      </c>
      <c r="AK245">
        <v>19.336890828792299</v>
      </c>
      <c r="AL245">
        <v>85.582790121116304</v>
      </c>
      <c r="AM245">
        <v>92.0724883501113</v>
      </c>
      <c r="AN245">
        <v>1.0000000201271699</v>
      </c>
    </row>
    <row r="246" spans="1:40" x14ac:dyDescent="0.25">
      <c r="A246" t="str">
        <f>"20190312160606973"</f>
        <v>20190312160606973</v>
      </c>
      <c r="B246" t="str">
        <f>"1552377966965808"</f>
        <v>1552377966965808</v>
      </c>
      <c r="C246" t="s">
        <v>40</v>
      </c>
      <c r="D246">
        <v>6.0778040000000004</v>
      </c>
      <c r="E246">
        <v>0.5163394</v>
      </c>
      <c r="F246" t="s">
        <v>45</v>
      </c>
      <c r="G246">
        <v>-411.68709999999999</v>
      </c>
      <c r="H246">
        <v>-0.05</v>
      </c>
      <c r="I246">
        <v>368.12909999999999</v>
      </c>
      <c r="J246">
        <v>-429.32299999999998</v>
      </c>
      <c r="K246">
        <v>1.0605690000000001</v>
      </c>
      <c r="L246">
        <v>368.43610000000001</v>
      </c>
      <c r="M246">
        <v>0.99997380000000002</v>
      </c>
      <c r="N246">
        <v>0</v>
      </c>
      <c r="O246">
        <v>-4.4847489999999997E-3</v>
      </c>
      <c r="P246">
        <v>0.99700129999999998</v>
      </c>
      <c r="Q246">
        <v>7.0751480000000005E-2</v>
      </c>
      <c r="R246">
        <v>3.1346810000000003E-2</v>
      </c>
      <c r="S246">
        <v>3.0240779999999998</v>
      </c>
      <c r="T246">
        <v>-0.18627669999999999</v>
      </c>
      <c r="U246">
        <v>-5.1757810000000001E-2</v>
      </c>
      <c r="V246">
        <v>-3.589092E-2</v>
      </c>
      <c r="W246">
        <v>7.6396649999999997E-2</v>
      </c>
      <c r="X246">
        <v>0.99643139999999997</v>
      </c>
      <c r="Y246">
        <v>1.2612989999999999E-2</v>
      </c>
      <c r="Z246">
        <v>-1.121002E-4</v>
      </c>
      <c r="AA246">
        <v>0.99992040000000004</v>
      </c>
      <c r="AB246">
        <v>38</v>
      </c>
      <c r="AC246">
        <v>17.635899999999999</v>
      </c>
      <c r="AD246">
        <v>-1.1105689999999999</v>
      </c>
      <c r="AE246">
        <v>-0.30700000000001598</v>
      </c>
      <c r="AF246">
        <v>0.22700314692094001</v>
      </c>
      <c r="AG246">
        <v>-1.1105689999999999</v>
      </c>
      <c r="AH246">
        <v>17.5674571699195</v>
      </c>
      <c r="AI246">
        <v>93.616975547353803</v>
      </c>
      <c r="AJ246">
        <v>89.259676668032697</v>
      </c>
      <c r="AK246">
        <v>17.603989472543699</v>
      </c>
      <c r="AL246">
        <v>85.618525585092101</v>
      </c>
      <c r="AM246">
        <v>92.062871167865396</v>
      </c>
      <c r="AN246">
        <v>1.00000007058781</v>
      </c>
    </row>
    <row r="247" spans="1:40" x14ac:dyDescent="0.25">
      <c r="A247" t="str">
        <f>"20190312160606996"</f>
        <v>20190312160606996</v>
      </c>
      <c r="B247" t="str">
        <f>"1552377966985275"</f>
        <v>1552377966985275</v>
      </c>
      <c r="C247" t="s">
        <v>40</v>
      </c>
      <c r="D247">
        <v>6.0293130000000001</v>
      </c>
      <c r="E247">
        <v>0.53577209999999997</v>
      </c>
      <c r="F247" t="s">
        <v>45</v>
      </c>
      <c r="G247">
        <v>-411.89229999999998</v>
      </c>
      <c r="H247">
        <v>-0.05</v>
      </c>
      <c r="I247">
        <v>368.15699999999998</v>
      </c>
      <c r="J247">
        <v>-428.9402</v>
      </c>
      <c r="K247">
        <v>1.0603560000000001</v>
      </c>
      <c r="L247">
        <v>368.43470000000002</v>
      </c>
      <c r="M247">
        <v>0.99997519999999995</v>
      </c>
      <c r="N247">
        <v>0</v>
      </c>
      <c r="O247">
        <v>-4.0989950000000002E-3</v>
      </c>
      <c r="P247">
        <v>0.99701419999999996</v>
      </c>
      <c r="Q247">
        <v>7.0928630000000006E-2</v>
      </c>
      <c r="R247">
        <v>3.052318E-2</v>
      </c>
      <c r="S247">
        <v>3.0242</v>
      </c>
      <c r="T247">
        <v>-0.1926823</v>
      </c>
      <c r="U247">
        <v>-4.8431399999999999E-2</v>
      </c>
      <c r="V247">
        <v>-3.4681110000000001E-2</v>
      </c>
      <c r="W247">
        <v>7.6605839999999994E-2</v>
      </c>
      <c r="X247">
        <v>0.99645810000000001</v>
      </c>
      <c r="Y247">
        <v>1.189808E-2</v>
      </c>
      <c r="Z247">
        <v>-1.177443E-4</v>
      </c>
      <c r="AA247">
        <v>0.99992919999999996</v>
      </c>
      <c r="AB247">
        <v>38</v>
      </c>
      <c r="AC247">
        <v>17.047899999999998</v>
      </c>
      <c r="AD247">
        <v>-1.1103559999999999</v>
      </c>
      <c r="AE247">
        <v>-0.27770000000003803</v>
      </c>
      <c r="AF247">
        <v>0.206939634760853</v>
      </c>
      <c r="AG247">
        <v>-1.1103559999999999</v>
      </c>
      <c r="AH247">
        <v>16.976896200411499</v>
      </c>
      <c r="AI247">
        <v>93.741763206571406</v>
      </c>
      <c r="AJ247">
        <v>89.301628498054299</v>
      </c>
      <c r="AK247">
        <v>17.014426791952701</v>
      </c>
      <c r="AL247">
        <v>85.606504297708099</v>
      </c>
      <c r="AM247">
        <v>91.993339677227397</v>
      </c>
      <c r="AN247">
        <v>0.99999998958427305</v>
      </c>
    </row>
    <row r="248" spans="1:40" x14ac:dyDescent="0.25">
      <c r="A248" t="str">
        <f>"20190312160607018"</f>
        <v>20190312160607018</v>
      </c>
      <c r="B248" t="str">
        <f>"1552377967005771"</f>
        <v>1552377967005771</v>
      </c>
      <c r="C248" t="s">
        <v>40</v>
      </c>
      <c r="D248">
        <v>6.0068809999999999</v>
      </c>
      <c r="E248">
        <v>0.53611169999999997</v>
      </c>
      <c r="F248" t="s">
        <v>44</v>
      </c>
      <c r="G248">
        <v>-427.9708</v>
      </c>
      <c r="H248">
        <v>0.87106839999999996</v>
      </c>
      <c r="I248">
        <v>368.36540000000002</v>
      </c>
      <c r="J248">
        <v>-428.5718</v>
      </c>
      <c r="K248">
        <v>1.0601780000000001</v>
      </c>
      <c r="L248">
        <v>368.43349999999998</v>
      </c>
      <c r="M248">
        <v>0.99997630000000004</v>
      </c>
      <c r="N248">
        <v>0</v>
      </c>
      <c r="O248">
        <v>-3.7419409999999999E-3</v>
      </c>
      <c r="P248">
        <v>0.99701130000000004</v>
      </c>
      <c r="Q248">
        <v>7.0985960000000001E-2</v>
      </c>
      <c r="R248">
        <v>3.0490989999999999E-2</v>
      </c>
      <c r="S248">
        <v>3.0581670000000001</v>
      </c>
      <c r="T248">
        <v>-0.59733619999999898</v>
      </c>
      <c r="U248">
        <v>-0.21710209999999999</v>
      </c>
      <c r="V248">
        <v>-3.4292110000000001E-2</v>
      </c>
      <c r="W248">
        <v>7.6728980000000002E-2</v>
      </c>
      <c r="X248">
        <v>0.99646210000000002</v>
      </c>
      <c r="Y248">
        <v>6.5910700000000003E-2</v>
      </c>
      <c r="Z248">
        <v>-5.6458009999999998E-3</v>
      </c>
      <c r="AA248">
        <v>0.99780950000000002</v>
      </c>
      <c r="AB248">
        <v>38</v>
      </c>
      <c r="AC248">
        <v>0.60099999999999898</v>
      </c>
      <c r="AD248">
        <v>-0.18910959999999999</v>
      </c>
      <c r="AE248">
        <v>-6.8099999999958499E-2</v>
      </c>
      <c r="AF248">
        <v>5.9986606813406299E-2</v>
      </c>
      <c r="AG248">
        <v>-0.18910959999999999</v>
      </c>
      <c r="AH248">
        <v>0.54770945346142896</v>
      </c>
      <c r="AI248">
        <v>108.943307344921</v>
      </c>
      <c r="AJ248">
        <v>83.7497244124866</v>
      </c>
      <c r="AK248">
        <v>0.58253453049597304</v>
      </c>
      <c r="AL248">
        <v>85.599428118184704</v>
      </c>
      <c r="AM248">
        <v>91.970991250250194</v>
      </c>
      <c r="AN248">
        <v>1.0000000009582499</v>
      </c>
    </row>
    <row r="249" spans="1:40" x14ac:dyDescent="0.25">
      <c r="A249" t="str">
        <f>"20190312160607040"</f>
        <v>20190312160607040</v>
      </c>
      <c r="B249" t="str">
        <f>"1552377967035051"</f>
        <v>1552377967035051</v>
      </c>
      <c r="C249" t="s">
        <v>40</v>
      </c>
      <c r="D249">
        <v>6.0636769999999904</v>
      </c>
      <c r="E249">
        <v>0.51945140000000001</v>
      </c>
      <c r="F249" t="s">
        <v>44</v>
      </c>
      <c r="G249">
        <v>-427.62790000000001</v>
      </c>
      <c r="H249">
        <v>0.87484379999999995</v>
      </c>
      <c r="I249">
        <v>368.36520000000002</v>
      </c>
      <c r="J249">
        <v>-428.18779999999998</v>
      </c>
      <c r="K249">
        <v>1.0600309999999999</v>
      </c>
      <c r="L249">
        <v>368.4323</v>
      </c>
      <c r="M249">
        <v>0.99997689999999995</v>
      </c>
      <c r="N249">
        <v>0</v>
      </c>
      <c r="O249">
        <v>-3.3823460000000001E-3</v>
      </c>
      <c r="P249">
        <v>0.99699950000000004</v>
      </c>
      <c r="Q249">
        <v>7.1037660000000002E-2</v>
      </c>
      <c r="R249">
        <v>3.0750980000000001E-2</v>
      </c>
      <c r="S249">
        <v>3.0585330000000002</v>
      </c>
      <c r="T249">
        <v>-0.60058929999999999</v>
      </c>
      <c r="U249">
        <v>-0.22079470000000001</v>
      </c>
      <c r="V249">
        <v>-3.4191930000000002E-2</v>
      </c>
      <c r="W249">
        <v>7.6878740000000001E-2</v>
      </c>
      <c r="X249">
        <v>0.99645399999999995</v>
      </c>
      <c r="Y249">
        <v>6.7411910000000005E-2</v>
      </c>
      <c r="Z249">
        <v>-5.8907400000000002E-3</v>
      </c>
      <c r="AA249">
        <v>0.99770780000000003</v>
      </c>
      <c r="AB249">
        <v>38</v>
      </c>
      <c r="AC249">
        <v>0.55989999999996998</v>
      </c>
      <c r="AD249">
        <v>-0.185187199999999</v>
      </c>
      <c r="AE249">
        <v>-6.7099999999982105E-2</v>
      </c>
      <c r="AF249">
        <v>5.8858136797135301E-2</v>
      </c>
      <c r="AG249">
        <v>-0.185187199999999</v>
      </c>
      <c r="AH249">
        <v>0.50559669200837998</v>
      </c>
      <c r="AI249">
        <v>109.99227781464501</v>
      </c>
      <c r="AJ249">
        <v>83.359902036762605</v>
      </c>
      <c r="AK249">
        <v>0.54165172784815097</v>
      </c>
      <c r="AL249">
        <v>85.590822083994695</v>
      </c>
      <c r="AM249">
        <v>91.965253736380305</v>
      </c>
      <c r="AN249">
        <v>1.0000000014285499</v>
      </c>
    </row>
    <row r="250" spans="1:40" x14ac:dyDescent="0.25">
      <c r="A250" t="str">
        <f>"20190312160607064"</f>
        <v>20190312160607064</v>
      </c>
      <c r="B250" t="str">
        <f>"1552377967055546"</f>
        <v>1552377967055546</v>
      </c>
      <c r="C250" t="s">
        <v>40</v>
      </c>
      <c r="D250">
        <v>6.1761929999999996</v>
      </c>
      <c r="E250">
        <v>0.54753419999999997</v>
      </c>
      <c r="F250" t="s">
        <v>44</v>
      </c>
      <c r="G250">
        <v>-427.23</v>
      </c>
      <c r="H250">
        <v>0.98938550000000003</v>
      </c>
      <c r="I250">
        <v>368.40800000000002</v>
      </c>
      <c r="J250">
        <v>-427.78820000000002</v>
      </c>
      <c r="K250">
        <v>1.059922</v>
      </c>
      <c r="L250">
        <v>368.43130000000002</v>
      </c>
      <c r="M250">
        <v>0.99997720000000001</v>
      </c>
      <c r="N250">
        <v>0</v>
      </c>
      <c r="O250">
        <v>-3.0196530000000002E-3</v>
      </c>
      <c r="P250">
        <v>0.99699890000000002</v>
      </c>
      <c r="Q250">
        <v>7.1005840000000001E-2</v>
      </c>
      <c r="R250">
        <v>3.0846450000000001E-2</v>
      </c>
      <c r="S250">
        <v>3.0273129999999999</v>
      </c>
      <c r="T250">
        <v>-0.22345010000000001</v>
      </c>
      <c r="U250">
        <v>-7.6202389999999995E-2</v>
      </c>
      <c r="V250">
        <v>-3.3924610000000001E-2</v>
      </c>
      <c r="W250">
        <v>7.6991889999999993E-2</v>
      </c>
      <c r="X250">
        <v>0.99645439999999996</v>
      </c>
      <c r="Y250">
        <v>2.2092939999999998E-2</v>
      </c>
      <c r="Z250">
        <v>-5.9157049999999998E-4</v>
      </c>
      <c r="AA250">
        <v>0.99975570000000002</v>
      </c>
      <c r="AB250">
        <v>38</v>
      </c>
      <c r="AC250">
        <v>0.55819999999999903</v>
      </c>
      <c r="AD250">
        <v>-7.0536500000000099E-2</v>
      </c>
      <c r="AE250">
        <v>-2.3300000000006E-2</v>
      </c>
      <c r="AF250">
        <v>2.1275163638900099E-2</v>
      </c>
      <c r="AG250">
        <v>-7.0536500000000099E-2</v>
      </c>
      <c r="AH250">
        <v>0.54950857087326999</v>
      </c>
      <c r="AI250">
        <v>97.309234553439893</v>
      </c>
      <c r="AJ250">
        <v>87.782803360670599</v>
      </c>
      <c r="AK250">
        <v>0.55442555846866903</v>
      </c>
      <c r="AL250">
        <v>85.584319791472794</v>
      </c>
      <c r="AM250">
        <v>91.949900077445704</v>
      </c>
      <c r="AN250">
        <v>1.0000000007843901</v>
      </c>
    </row>
    <row r="251" spans="1:40" x14ac:dyDescent="0.25">
      <c r="A251" t="str">
        <f>"20190312160607084"</f>
        <v>20190312160607084</v>
      </c>
      <c r="B251" t="str">
        <f>"1552377967075070"</f>
        <v>1552377967075070</v>
      </c>
      <c r="C251" t="s">
        <v>40</v>
      </c>
      <c r="D251">
        <v>6.1024229999999999</v>
      </c>
      <c r="E251">
        <v>0.55229410000000001</v>
      </c>
      <c r="F251" t="s">
        <v>44</v>
      </c>
      <c r="G251">
        <v>-426.87970000000001</v>
      </c>
      <c r="H251">
        <v>1.0027029999999999</v>
      </c>
      <c r="I251">
        <v>368.34179999999998</v>
      </c>
      <c r="J251">
        <v>-427.43119999999999</v>
      </c>
      <c r="K251">
        <v>1.059847</v>
      </c>
      <c r="L251">
        <v>368.43049999999999</v>
      </c>
      <c r="M251">
        <v>0.99997720000000001</v>
      </c>
      <c r="N251">
        <v>0</v>
      </c>
      <c r="O251">
        <v>-2.708308E-3</v>
      </c>
      <c r="P251">
        <v>0.9970135</v>
      </c>
      <c r="Q251">
        <v>7.0599110000000007E-2</v>
      </c>
      <c r="R251">
        <v>3.1309030000000002E-2</v>
      </c>
      <c r="S251">
        <v>3.03186</v>
      </c>
      <c r="T251">
        <v>-0.19101099999999999</v>
      </c>
      <c r="U251">
        <v>-0.29858400000000002</v>
      </c>
      <c r="V251">
        <v>-3.4075359999999999E-2</v>
      </c>
      <c r="W251">
        <v>7.6760839999999997E-2</v>
      </c>
      <c r="X251">
        <v>0.99646710000000005</v>
      </c>
      <c r="Y251">
        <v>9.513083E-2</v>
      </c>
      <c r="Z251">
        <v>-2.8164650000000002E-3</v>
      </c>
      <c r="AA251">
        <v>0.99546080000000003</v>
      </c>
      <c r="AB251">
        <v>38</v>
      </c>
      <c r="AC251">
        <v>0.55149999999997501</v>
      </c>
      <c r="AD251">
        <v>-5.7143999999999799E-2</v>
      </c>
      <c r="AE251">
        <v>-8.8700000000017099E-2</v>
      </c>
      <c r="AF251">
        <v>8.6302814337717401E-2</v>
      </c>
      <c r="AG251">
        <v>-5.7143999999999799E-2</v>
      </c>
      <c r="AH251">
        <v>0.54602381054322702</v>
      </c>
      <c r="AI251">
        <v>95.901790390496004</v>
      </c>
      <c r="AJ251">
        <v>81.018310038276795</v>
      </c>
      <c r="AK251">
        <v>0.55574779727746704</v>
      </c>
      <c r="AL251">
        <v>85.597597354858195</v>
      </c>
      <c r="AM251">
        <v>91.958533127290295</v>
      </c>
      <c r="AN251">
        <v>1.00000001904952</v>
      </c>
    </row>
    <row r="252" spans="1:40" x14ac:dyDescent="0.25">
      <c r="A252" t="str">
        <f>"20190312160607106"</f>
        <v>20190312160607106</v>
      </c>
      <c r="B252" t="str">
        <f>"1552377967095566"</f>
        <v>1552377967095566</v>
      </c>
      <c r="C252" t="s">
        <v>40</v>
      </c>
      <c r="D252">
        <v>5.9565219999999997</v>
      </c>
      <c r="E252">
        <v>0.553234</v>
      </c>
      <c r="F252" t="s">
        <v>44</v>
      </c>
      <c r="G252">
        <v>-426.53629999999998</v>
      </c>
      <c r="H252">
        <v>1.0025459999999999</v>
      </c>
      <c r="I252">
        <v>368.33120000000002</v>
      </c>
      <c r="J252">
        <v>-427.06189999999998</v>
      </c>
      <c r="K252">
        <v>1.0597920000000001</v>
      </c>
      <c r="L252">
        <v>368.42970000000003</v>
      </c>
      <c r="M252">
        <v>0.99997650000000005</v>
      </c>
      <c r="N252">
        <v>0</v>
      </c>
      <c r="O252">
        <v>-2.4001130000000002E-3</v>
      </c>
      <c r="P252">
        <v>0.99693540000000003</v>
      </c>
      <c r="Q252">
        <v>7.1040930000000002E-2</v>
      </c>
      <c r="R252">
        <v>3.2756800000000003E-2</v>
      </c>
      <c r="S252">
        <v>3.033264</v>
      </c>
      <c r="T252">
        <v>-0.19460669999999999</v>
      </c>
      <c r="U252">
        <v>-0.3348083</v>
      </c>
      <c r="V252">
        <v>-3.5213889999999998E-2</v>
      </c>
      <c r="W252">
        <v>7.7426889999999998E-2</v>
      </c>
      <c r="X252">
        <v>0.99637600000000004</v>
      </c>
      <c r="Y252">
        <v>0.107113899999999</v>
      </c>
      <c r="Z252">
        <v>-3.2688309999999998E-3</v>
      </c>
      <c r="AA252">
        <v>0.99424140000000005</v>
      </c>
      <c r="AB252">
        <v>38</v>
      </c>
      <c r="AC252">
        <v>0.52559999999999696</v>
      </c>
      <c r="AD252">
        <v>-5.7246000000000102E-2</v>
      </c>
      <c r="AE252">
        <v>-9.8500000000001295E-2</v>
      </c>
      <c r="AF252">
        <v>9.6136456891756095E-2</v>
      </c>
      <c r="AG252">
        <v>-5.7246000000000102E-2</v>
      </c>
      <c r="AH252">
        <v>0.51987705591352096</v>
      </c>
      <c r="AI252">
        <v>96.179836791654907</v>
      </c>
      <c r="AJ252">
        <v>79.523129527479895</v>
      </c>
      <c r="AK252">
        <v>0.531781417619129</v>
      </c>
      <c r="AL252">
        <v>85.559321667554897</v>
      </c>
      <c r="AM252">
        <v>92.024103222289597</v>
      </c>
      <c r="AN252">
        <v>1.00000003736</v>
      </c>
    </row>
    <row r="253" spans="1:40" x14ac:dyDescent="0.25">
      <c r="A253" t="str">
        <f>"20190312160607128"</f>
        <v>20190312160607128</v>
      </c>
      <c r="B253" t="str">
        <f>"1552377967125819"</f>
        <v>1552377967125819</v>
      </c>
      <c r="C253" t="s">
        <v>40</v>
      </c>
      <c r="D253">
        <v>6.1487220000000002</v>
      </c>
      <c r="E253">
        <v>0.55449349999999997</v>
      </c>
      <c r="F253" t="s">
        <v>44</v>
      </c>
      <c r="G253">
        <v>-426.19119999999998</v>
      </c>
      <c r="H253">
        <v>1.0042070000000001</v>
      </c>
      <c r="I253">
        <v>368.33249999999998</v>
      </c>
      <c r="J253">
        <v>-426.67430000000002</v>
      </c>
      <c r="K253">
        <v>1.05976</v>
      </c>
      <c r="L253">
        <v>368.42899999999997</v>
      </c>
      <c r="M253">
        <v>0.99997550000000002</v>
      </c>
      <c r="N253">
        <v>0</v>
      </c>
      <c r="O253">
        <v>-2.0936510000000002E-3</v>
      </c>
      <c r="P253">
        <v>0.99685789999999996</v>
      </c>
      <c r="Q253">
        <v>7.1228970000000003E-2</v>
      </c>
      <c r="R253">
        <v>3.4656380000000001E-2</v>
      </c>
      <c r="S253">
        <v>3.0341490000000002</v>
      </c>
      <c r="T253">
        <v>-0.19388320000000001</v>
      </c>
      <c r="U253">
        <v>-0.33810420000000002</v>
      </c>
      <c r="V253">
        <v>-3.6806520000000002E-2</v>
      </c>
      <c r="W253">
        <v>7.7881850000000002E-2</v>
      </c>
      <c r="X253">
        <v>0.99628289999999997</v>
      </c>
      <c r="Y253">
        <v>0.1084522</v>
      </c>
      <c r="Z253">
        <v>-3.3176519999999999E-3</v>
      </c>
      <c r="AA253">
        <v>0.99409619999999999</v>
      </c>
      <c r="AB253">
        <v>38</v>
      </c>
      <c r="AC253">
        <v>0.483100000000035</v>
      </c>
      <c r="AD253">
        <v>-5.5552999999999901E-2</v>
      </c>
      <c r="AE253">
        <v>-9.6500000000048602E-2</v>
      </c>
      <c r="AF253">
        <v>9.42893437893014E-2</v>
      </c>
      <c r="AG253">
        <v>-5.5552999999999901E-2</v>
      </c>
      <c r="AH253">
        <v>0.47723251433904301</v>
      </c>
      <c r="AI253">
        <v>96.514895850163299</v>
      </c>
      <c r="AJ253">
        <v>78.823712953184895</v>
      </c>
      <c r="AK253">
        <v>0.48961973908695899</v>
      </c>
      <c r="AL253">
        <v>85.533175079901</v>
      </c>
      <c r="AM253">
        <v>92.115764122919501</v>
      </c>
      <c r="AN253">
        <v>0.99999995965317001</v>
      </c>
    </row>
    <row r="254" spans="1:40" x14ac:dyDescent="0.25">
      <c r="A254" t="str">
        <f>"20190312160607151"</f>
        <v>20190312160607151</v>
      </c>
      <c r="B254" t="str">
        <f>"1552377967145339"</f>
        <v>1552377967145339</v>
      </c>
      <c r="C254" t="s">
        <v>40</v>
      </c>
      <c r="D254">
        <v>5.7158470000000001</v>
      </c>
      <c r="E254">
        <v>0.55487580000000003</v>
      </c>
      <c r="F254" t="s">
        <v>44</v>
      </c>
      <c r="G254">
        <v>-425.84660000000002</v>
      </c>
      <c r="H254">
        <v>1.004904</v>
      </c>
      <c r="I254">
        <v>368.33519999999999</v>
      </c>
      <c r="J254">
        <v>-426.29059999999998</v>
      </c>
      <c r="K254">
        <v>1.059734</v>
      </c>
      <c r="L254">
        <v>368.42849999999999</v>
      </c>
      <c r="M254">
        <v>0.99997400000000003</v>
      </c>
      <c r="N254">
        <v>0</v>
      </c>
      <c r="O254">
        <v>-1.810554E-3</v>
      </c>
      <c r="P254">
        <v>0.9968477</v>
      </c>
      <c r="Q254">
        <v>7.1224380000000004E-2</v>
      </c>
      <c r="R254">
        <v>3.495347E-2</v>
      </c>
      <c r="S254">
        <v>3.035736</v>
      </c>
      <c r="T254">
        <v>-0.2014301</v>
      </c>
      <c r="U254">
        <v>-0.34307860000000001</v>
      </c>
      <c r="V254">
        <v>-3.6818549999999999E-2</v>
      </c>
      <c r="W254">
        <v>7.8160899999999894E-2</v>
      </c>
      <c r="X254">
        <v>0.99626060000000005</v>
      </c>
      <c r="Y254">
        <v>0.11026370000000001</v>
      </c>
      <c r="Z254">
        <v>-3.522964E-3</v>
      </c>
      <c r="AA254">
        <v>0.99389609999999995</v>
      </c>
      <c r="AB254">
        <v>38</v>
      </c>
      <c r="AC254">
        <v>0.44399999999995998</v>
      </c>
      <c r="AD254">
        <v>-5.48299999999999E-2</v>
      </c>
      <c r="AE254">
        <v>-9.3299999999999203E-2</v>
      </c>
      <c r="AF254">
        <v>9.11644743074147E-2</v>
      </c>
      <c r="AG254">
        <v>-5.48299999999999E-2</v>
      </c>
      <c r="AH254">
        <v>0.43777445680545402</v>
      </c>
      <c r="AI254">
        <v>96.990522413384497</v>
      </c>
      <c r="AJ254">
        <v>78.236545124246604</v>
      </c>
      <c r="AK254">
        <v>0.45051500009107098</v>
      </c>
      <c r="AL254">
        <v>85.517137795668205</v>
      </c>
      <c r="AM254">
        <v>92.1165023505216</v>
      </c>
      <c r="AN254">
        <v>0.99999995751263504</v>
      </c>
    </row>
    <row r="255" spans="1:40" x14ac:dyDescent="0.25">
      <c r="A255" t="str">
        <f>"20190312160607174"</f>
        <v>20190312160607174</v>
      </c>
      <c r="B255" t="str">
        <f>"1552377967164859"</f>
        <v>1552377967164859</v>
      </c>
      <c r="C255" t="s">
        <v>40</v>
      </c>
      <c r="D255">
        <v>6.1458769999999996</v>
      </c>
      <c r="E255">
        <v>0.55547979999999997</v>
      </c>
      <c r="F255" t="s">
        <v>44</v>
      </c>
      <c r="G255">
        <v>-425.50130000000001</v>
      </c>
      <c r="H255">
        <v>1.005857</v>
      </c>
      <c r="I255">
        <v>368.33839999999998</v>
      </c>
      <c r="J255">
        <v>-425.89420000000001</v>
      </c>
      <c r="K255">
        <v>1.059704</v>
      </c>
      <c r="L255">
        <v>368.428</v>
      </c>
      <c r="M255">
        <v>0.99997230000000004</v>
      </c>
      <c r="N255">
        <v>0</v>
      </c>
      <c r="O255">
        <v>-1.5454900000000001E-3</v>
      </c>
      <c r="P255">
        <v>0.99694720000000003</v>
      </c>
      <c r="Q255">
        <v>7.0033970000000001E-2</v>
      </c>
      <c r="R255">
        <v>3.4524260000000001E-2</v>
      </c>
      <c r="S255">
        <v>3.036438</v>
      </c>
      <c r="T255">
        <v>-0.2075187</v>
      </c>
      <c r="U255">
        <v>-0.34545900000000002</v>
      </c>
      <c r="V255">
        <v>-3.6120340000000001E-2</v>
      </c>
      <c r="W255">
        <v>7.7272389999999996E-2</v>
      </c>
      <c r="X255">
        <v>0.99635549999999995</v>
      </c>
      <c r="Y255">
        <v>0.11125350000000001</v>
      </c>
      <c r="Z255">
        <v>-3.6799300000000001E-3</v>
      </c>
      <c r="AA255">
        <v>0.99378529999999998</v>
      </c>
      <c r="AB255">
        <v>38</v>
      </c>
      <c r="AC255">
        <v>0.39289999999999697</v>
      </c>
      <c r="AD255">
        <v>-5.3846999999999902E-2</v>
      </c>
      <c r="AE255">
        <v>-8.9600000000075397E-2</v>
      </c>
      <c r="AF255">
        <v>8.7431630513927702E-2</v>
      </c>
      <c r="AG255">
        <v>-5.3846999999999902E-2</v>
      </c>
      <c r="AH255">
        <v>0.38614371637824801</v>
      </c>
      <c r="AI255">
        <v>97.745011512537701</v>
      </c>
      <c r="AJ255">
        <v>77.242063527360799</v>
      </c>
      <c r="AK255">
        <v>0.399563210420741</v>
      </c>
      <c r="AL255">
        <v>85.5682002634707</v>
      </c>
      <c r="AM255">
        <v>92.076203849643306</v>
      </c>
      <c r="AN255">
        <v>0.99999999179913801</v>
      </c>
    </row>
    <row r="256" spans="1:40" x14ac:dyDescent="0.25">
      <c r="A256" t="str">
        <f>"20190312160607195"</f>
        <v>20190312160607195</v>
      </c>
      <c r="B256" t="str">
        <f>"1552377967185355"</f>
        <v>1552377967185355</v>
      </c>
      <c r="C256" t="s">
        <v>40</v>
      </c>
      <c r="D256">
        <v>5.948531</v>
      </c>
      <c r="E256">
        <v>0.55579789999999996</v>
      </c>
      <c r="F256" t="s">
        <v>44</v>
      </c>
      <c r="G256">
        <v>-424.8252</v>
      </c>
      <c r="H256">
        <v>0.98380029999999996</v>
      </c>
      <c r="I256">
        <v>368.30410000000001</v>
      </c>
      <c r="J256">
        <v>-425.52760000000001</v>
      </c>
      <c r="K256">
        <v>1.0596749999999999</v>
      </c>
      <c r="L256">
        <v>368.42759999999998</v>
      </c>
      <c r="M256">
        <v>0.99997049999999998</v>
      </c>
      <c r="N256">
        <v>0</v>
      </c>
      <c r="O256">
        <v>-1.3342110000000001E-3</v>
      </c>
      <c r="P256">
        <v>0.99703940000000002</v>
      </c>
      <c r="Q256">
        <v>6.9047940000000002E-2</v>
      </c>
      <c r="R256">
        <v>3.3835219999999999E-2</v>
      </c>
      <c r="S256">
        <v>3.0364990000000001</v>
      </c>
      <c r="T256">
        <v>-0.21571580000000001</v>
      </c>
      <c r="U256">
        <v>-0.35122680000000001</v>
      </c>
      <c r="V256">
        <v>-3.5215290000000003E-2</v>
      </c>
      <c r="W256">
        <v>7.6566380000000003E-2</v>
      </c>
      <c r="X256">
        <v>0.99644239999999995</v>
      </c>
      <c r="Y256">
        <v>0.1132983</v>
      </c>
      <c r="Z256">
        <v>-3.911688E-3</v>
      </c>
      <c r="AA256">
        <v>0.99355329999999997</v>
      </c>
      <c r="AB256">
        <v>39</v>
      </c>
      <c r="AC256">
        <v>0.70240000000001102</v>
      </c>
      <c r="AD256">
        <v>-7.5874699999999795E-2</v>
      </c>
      <c r="AE256">
        <v>-0.123499999999978</v>
      </c>
      <c r="AF256">
        <v>0.121190971233095</v>
      </c>
      <c r="AG256">
        <v>-7.5874699999999795E-2</v>
      </c>
      <c r="AH256">
        <v>0.69470094000217597</v>
      </c>
      <c r="AI256">
        <v>96.141073946956197</v>
      </c>
      <c r="AJ256">
        <v>80.104302230861904</v>
      </c>
      <c r="AK256">
        <v>0.70926272822446901</v>
      </c>
      <c r="AL256">
        <v>85.608771859055395</v>
      </c>
      <c r="AM256">
        <v>92.0240488542332</v>
      </c>
      <c r="AN256">
        <v>0.99999999185692401</v>
      </c>
    </row>
    <row r="257" spans="1:40" x14ac:dyDescent="0.25">
      <c r="A257" t="str">
        <f>"20190312160607218"</f>
        <v>20190312160607218</v>
      </c>
      <c r="B257" t="str">
        <f>"1552377967215610"</f>
        <v>1552377967215610</v>
      </c>
      <c r="C257" t="s">
        <v>40</v>
      </c>
      <c r="D257">
        <v>5.965516</v>
      </c>
      <c r="E257">
        <v>0.57985059999999999</v>
      </c>
      <c r="F257" t="s">
        <v>44</v>
      </c>
      <c r="G257">
        <v>-424.48020000000002</v>
      </c>
      <c r="H257">
        <v>0.98291189999999995</v>
      </c>
      <c r="I257">
        <v>368.30439999999999</v>
      </c>
      <c r="J257">
        <v>-425.12979999999999</v>
      </c>
      <c r="K257">
        <v>1.059636</v>
      </c>
      <c r="L257">
        <v>368.4273</v>
      </c>
      <c r="M257">
        <v>0.99996859999999999</v>
      </c>
      <c r="N257">
        <v>0</v>
      </c>
      <c r="O257">
        <v>-1.1373710000000001E-3</v>
      </c>
      <c r="P257">
        <v>0.99706890000000004</v>
      </c>
      <c r="Q257">
        <v>6.865744E-2</v>
      </c>
      <c r="R257">
        <v>3.3768230000000003E-2</v>
      </c>
      <c r="S257">
        <v>3.0364070000000001</v>
      </c>
      <c r="T257">
        <v>-0.2227527</v>
      </c>
      <c r="U257">
        <v>-0.35626219999999997</v>
      </c>
      <c r="V257">
        <v>-3.4946619999999998E-2</v>
      </c>
      <c r="W257">
        <v>7.6467010000000002E-2</v>
      </c>
      <c r="X257">
        <v>0.99645950000000005</v>
      </c>
      <c r="Y257">
        <v>0.11509900000000001</v>
      </c>
      <c r="Z257">
        <v>-4.1188049999999997E-3</v>
      </c>
      <c r="AA257">
        <v>0.99334549999999999</v>
      </c>
      <c r="AB257">
        <v>39</v>
      </c>
      <c r="AC257">
        <v>0.64959999999996398</v>
      </c>
      <c r="AD257">
        <v>-7.6724099999999906E-2</v>
      </c>
      <c r="AE257">
        <v>-0.122900000000015</v>
      </c>
      <c r="AF257">
        <v>0.120537678727711</v>
      </c>
      <c r="AG257">
        <v>-7.6724099999999906E-2</v>
      </c>
      <c r="AH257">
        <v>0.64110506297554803</v>
      </c>
      <c r="AI257">
        <v>96.707968819597298</v>
      </c>
      <c r="AJ257">
        <v>79.351815408314394</v>
      </c>
      <c r="AK257">
        <v>0.65683454635604899</v>
      </c>
      <c r="AL257">
        <v>85.614482128156297</v>
      </c>
      <c r="AM257">
        <v>92.008584920546994</v>
      </c>
      <c r="AN257">
        <v>1.0000000025039999</v>
      </c>
    </row>
    <row r="258" spans="1:40" x14ac:dyDescent="0.25">
      <c r="A258" t="str">
        <f>"20190312160607242"</f>
        <v>20190312160607242</v>
      </c>
      <c r="B258" t="str">
        <f>"1552377967235131"</f>
        <v>1552377967235131</v>
      </c>
      <c r="C258" t="s">
        <v>40</v>
      </c>
      <c r="D258">
        <v>6.0417899999999998</v>
      </c>
      <c r="E258">
        <v>0.57821509999999998</v>
      </c>
      <c r="F258" t="s">
        <v>44</v>
      </c>
      <c r="G258">
        <v>-424.19499999999999</v>
      </c>
      <c r="H258">
        <v>0.84716179999999996</v>
      </c>
      <c r="I258">
        <v>368.25619999999998</v>
      </c>
      <c r="J258">
        <v>-424.72230000000002</v>
      </c>
      <c r="K258">
        <v>1.0596019999999999</v>
      </c>
      <c r="L258">
        <v>368.42700000000002</v>
      </c>
      <c r="M258">
        <v>0.99996649999999998</v>
      </c>
      <c r="N258">
        <v>0</v>
      </c>
      <c r="O258">
        <v>-9.710764E-4</v>
      </c>
      <c r="P258">
        <v>0.9970909</v>
      </c>
      <c r="Q258">
        <v>6.8574919999999998E-2</v>
      </c>
      <c r="R258">
        <v>3.3273339999999998E-2</v>
      </c>
      <c r="S258">
        <v>3.0760190000000001</v>
      </c>
      <c r="T258">
        <v>-0.69919180000000003</v>
      </c>
      <c r="U258">
        <v>-0.56289669999999903</v>
      </c>
      <c r="V258">
        <v>-3.4279940000000002E-2</v>
      </c>
      <c r="W258">
        <v>7.6660519999999996E-2</v>
      </c>
      <c r="X258">
        <v>0.99646780000000001</v>
      </c>
      <c r="Y258">
        <v>0.17475979999999999</v>
      </c>
      <c r="Z258">
        <v>-1.9239849999999999E-2</v>
      </c>
      <c r="AA258">
        <v>0.9844231</v>
      </c>
      <c r="AB258">
        <v>39</v>
      </c>
      <c r="AC258">
        <v>0.52730000000002497</v>
      </c>
      <c r="AD258">
        <v>-0.212440199999999</v>
      </c>
      <c r="AE258">
        <v>-0.17079999999998499</v>
      </c>
      <c r="AF258">
        <v>0.14847641503235201</v>
      </c>
      <c r="AG258">
        <v>-0.212440199999999</v>
      </c>
      <c r="AH258">
        <v>0.45990481408836498</v>
      </c>
      <c r="AI258">
        <v>113.729412802852</v>
      </c>
      <c r="AJ258">
        <v>72.107761009972407</v>
      </c>
      <c r="AK258">
        <v>0.52790957788105497</v>
      </c>
      <c r="AL258">
        <v>85.6033622276953</v>
      </c>
      <c r="AM258">
        <v>91.970281050789097</v>
      </c>
      <c r="AN258">
        <v>1.00000001302495</v>
      </c>
    </row>
    <row r="259" spans="1:40" x14ac:dyDescent="0.25">
      <c r="A259" t="str">
        <f>"20190312160607265"</f>
        <v>20190312160607265</v>
      </c>
      <c r="B259" t="str">
        <f>"1552377967255627"</f>
        <v>1552377967255627</v>
      </c>
      <c r="C259" t="s">
        <v>40</v>
      </c>
      <c r="D259">
        <v>5.9926000000000004</v>
      </c>
      <c r="E259">
        <v>0.57842329999999997</v>
      </c>
      <c r="F259" t="s">
        <v>44</v>
      </c>
      <c r="G259">
        <v>-423.84289999999999</v>
      </c>
      <c r="H259">
        <v>0.86283500000000002</v>
      </c>
      <c r="I259">
        <v>368.26859999999999</v>
      </c>
      <c r="J259">
        <v>-424.32619999999997</v>
      </c>
      <c r="K259">
        <v>1.059566</v>
      </c>
      <c r="L259">
        <v>368.42669999999998</v>
      </c>
      <c r="M259">
        <v>0.99996470000000004</v>
      </c>
      <c r="N259">
        <v>0</v>
      </c>
      <c r="O259">
        <v>-8.4728590000000001E-4</v>
      </c>
      <c r="P259">
        <v>0.99708160000000001</v>
      </c>
      <c r="Q259">
        <v>6.8621539999999995E-2</v>
      </c>
      <c r="R259">
        <v>3.3462430000000001E-2</v>
      </c>
      <c r="S259">
        <v>3.0744929999999999</v>
      </c>
      <c r="T259">
        <v>-0.68806350000000005</v>
      </c>
      <c r="U259">
        <v>-0.55184940000000005</v>
      </c>
      <c r="V259">
        <v>-3.4339519999999998E-2</v>
      </c>
      <c r="W259">
        <v>7.6951489999999997E-2</v>
      </c>
      <c r="X259">
        <v>0.99644330000000003</v>
      </c>
      <c r="Y259">
        <v>0.17173859999999999</v>
      </c>
      <c r="Z259">
        <v>-1.8651520000000001E-2</v>
      </c>
      <c r="AA259">
        <v>0.98496600000000001</v>
      </c>
      <c r="AB259">
        <v>39</v>
      </c>
      <c r="AC259">
        <v>0.48329999999998502</v>
      </c>
      <c r="AD259">
        <v>-0.19673099999999999</v>
      </c>
      <c r="AE259">
        <v>-0.15809999999999</v>
      </c>
      <c r="AF259">
        <v>0.13716044339341699</v>
      </c>
      <c r="AG259">
        <v>-0.19673099999999999</v>
      </c>
      <c r="AH259">
        <v>0.42049470096345498</v>
      </c>
      <c r="AI259">
        <v>113.979089045309</v>
      </c>
      <c r="AJ259">
        <v>71.934280769802996</v>
      </c>
      <c r="AK259">
        <v>0.48407836879086502</v>
      </c>
      <c r="AL259">
        <v>85.586641391010602</v>
      </c>
      <c r="AM259">
        <v>91.973751267300997</v>
      </c>
      <c r="AN259">
        <v>0.99999999228097003</v>
      </c>
    </row>
    <row r="260" spans="1:40" x14ac:dyDescent="0.25">
      <c r="A260" t="str">
        <f>"20190312160607285"</f>
        <v>20190312160607285</v>
      </c>
      <c r="B260" t="str">
        <f>"1552377967275149"</f>
        <v>1552377967275149</v>
      </c>
      <c r="C260" t="s">
        <v>40</v>
      </c>
      <c r="D260">
        <v>6.0168290000000004</v>
      </c>
      <c r="E260">
        <v>0.5596797</v>
      </c>
      <c r="F260" t="s">
        <v>44</v>
      </c>
      <c r="G260">
        <v>-423.49270000000001</v>
      </c>
      <c r="H260">
        <v>0.87273909999999999</v>
      </c>
      <c r="I260">
        <v>368.27699999999999</v>
      </c>
      <c r="J260">
        <v>-423.96190000000001</v>
      </c>
      <c r="K260">
        <v>1.0595399999999999</v>
      </c>
      <c r="L260">
        <v>368.42649999999998</v>
      </c>
      <c r="M260">
        <v>0.99996309999999999</v>
      </c>
      <c r="N260">
        <v>0</v>
      </c>
      <c r="O260">
        <v>-7.6640490000000003E-4</v>
      </c>
      <c r="P260">
        <v>0.99708719999999995</v>
      </c>
      <c r="Q260">
        <v>6.8430889999999994E-2</v>
      </c>
      <c r="R260">
        <v>3.3687679999999998E-2</v>
      </c>
      <c r="S260">
        <v>3.074738</v>
      </c>
      <c r="T260">
        <v>-0.6891446</v>
      </c>
      <c r="U260">
        <v>-0.55239869999999902</v>
      </c>
      <c r="V260">
        <v>-3.4478689999999999E-2</v>
      </c>
      <c r="W260">
        <v>7.6968129999999996E-2</v>
      </c>
      <c r="X260">
        <v>0.99643720000000002</v>
      </c>
      <c r="Y260">
        <v>0.171956</v>
      </c>
      <c r="Z260">
        <v>-1.8720069999999998E-2</v>
      </c>
      <c r="AA260">
        <v>0.98492679999999999</v>
      </c>
      <c r="AB260">
        <v>39</v>
      </c>
      <c r="AC260">
        <v>0.46920000000000001</v>
      </c>
      <c r="AD260">
        <v>-0.18680089999999899</v>
      </c>
      <c r="AE260">
        <v>-0.149499999999989</v>
      </c>
      <c r="AF260">
        <v>0.130379308453278</v>
      </c>
      <c r="AG260">
        <v>-0.18680089999999899</v>
      </c>
      <c r="AH260">
        <v>0.41027726158612599</v>
      </c>
      <c r="AI260">
        <v>113.457029197889</v>
      </c>
      <c r="AJ260">
        <v>72.370606565940093</v>
      </c>
      <c r="AK260">
        <v>0.46927686038006999</v>
      </c>
      <c r="AL260">
        <v>85.585685113591197</v>
      </c>
      <c r="AM260">
        <v>91.981756173920502</v>
      </c>
      <c r="AN260">
        <v>0.99999998332182605</v>
      </c>
    </row>
    <row r="261" spans="1:40" x14ac:dyDescent="0.25">
      <c r="A261" t="str">
        <f>"20190312160607299"</f>
        <v>20190312160607299</v>
      </c>
      <c r="B261" t="str">
        <f>"1552377967295643"</f>
        <v>1552377967295643</v>
      </c>
      <c r="C261" t="s">
        <v>40</v>
      </c>
      <c r="D261">
        <v>6.000489</v>
      </c>
      <c r="E261">
        <v>0.56016569999999899</v>
      </c>
      <c r="F261" t="s">
        <v>44</v>
      </c>
      <c r="G261">
        <v>-423.09949999999998</v>
      </c>
      <c r="H261">
        <v>0.97386719999999904</v>
      </c>
      <c r="I261">
        <v>368.31560000000002</v>
      </c>
      <c r="J261">
        <v>-423.73880000000003</v>
      </c>
      <c r="K261">
        <v>1.0595220000000001</v>
      </c>
      <c r="L261">
        <v>368.4264</v>
      </c>
      <c r="M261">
        <v>0.99996200000000002</v>
      </c>
      <c r="N261">
        <v>0</v>
      </c>
      <c r="O261">
        <v>-7.2952729999999999E-4</v>
      </c>
      <c r="P261">
        <v>0.99708240000000004</v>
      </c>
      <c r="Q261">
        <v>6.827039E-2</v>
      </c>
      <c r="R261">
        <v>3.4152830000000002E-2</v>
      </c>
      <c r="S261">
        <v>3.0426639999999998</v>
      </c>
      <c r="T261">
        <v>-0.30243100000000001</v>
      </c>
      <c r="U261">
        <v>-0.3901367</v>
      </c>
      <c r="V261">
        <v>-3.490356E-2</v>
      </c>
      <c r="W261">
        <v>7.692628E-2</v>
      </c>
      <c r="X261">
        <v>0.99642560000000002</v>
      </c>
      <c r="Y261">
        <v>0.12585060000000001</v>
      </c>
      <c r="Z261">
        <v>-6.1419079999999997E-3</v>
      </c>
      <c r="AA261">
        <v>0.99203019999999997</v>
      </c>
      <c r="AB261">
        <v>39</v>
      </c>
      <c r="AC261">
        <v>0.63930000000004805</v>
      </c>
      <c r="AD261">
        <v>-8.5654800000000003E-2</v>
      </c>
      <c r="AE261">
        <v>-0.110799999999983</v>
      </c>
      <c r="AF261">
        <v>0.108443639817995</v>
      </c>
      <c r="AG261">
        <v>-8.5654800000000003E-2</v>
      </c>
      <c r="AH261">
        <v>0.62842858194431395</v>
      </c>
      <c r="AI261">
        <v>97.649889466505698</v>
      </c>
      <c r="AJ261">
        <v>80.209280558101099</v>
      </c>
      <c r="AK261">
        <v>0.64344327674205803</v>
      </c>
      <c r="AL261">
        <v>85.588089897126196</v>
      </c>
      <c r="AM261">
        <v>92.006180231466701</v>
      </c>
      <c r="AN261">
        <v>0.99999994369533396</v>
      </c>
    </row>
    <row r="262" spans="1:40" x14ac:dyDescent="0.25">
      <c r="A262" t="str">
        <f>"20190312160607319"</f>
        <v>20190312160607319</v>
      </c>
      <c r="B262" t="str">
        <f>"1552377967315163"</f>
        <v>1552377967315163</v>
      </c>
      <c r="C262" t="s">
        <v>40</v>
      </c>
      <c r="D262">
        <v>6.0047459999999999</v>
      </c>
      <c r="E262">
        <v>0.56022869999999902</v>
      </c>
      <c r="F262" t="s">
        <v>44</v>
      </c>
      <c r="G262">
        <v>-422.75749999999999</v>
      </c>
      <c r="H262">
        <v>0.96285149999999997</v>
      </c>
      <c r="I262">
        <v>368.29939999999999</v>
      </c>
      <c r="J262">
        <v>-423.39490000000001</v>
      </c>
      <c r="K262">
        <v>1.059499</v>
      </c>
      <c r="L262">
        <v>368.42610000000002</v>
      </c>
      <c r="M262">
        <v>0.99996050000000003</v>
      </c>
      <c r="N262">
        <v>0</v>
      </c>
      <c r="O262">
        <v>-6.8925949999999996E-4</v>
      </c>
      <c r="P262">
        <v>0.99708149999999995</v>
      </c>
      <c r="Q262">
        <v>6.8127359999999998E-2</v>
      </c>
      <c r="R262">
        <v>3.4454829999999999E-2</v>
      </c>
      <c r="S262">
        <v>3.0427550000000001</v>
      </c>
      <c r="T262">
        <v>-0.29989949999999999</v>
      </c>
      <c r="U262">
        <v>-0.3927002</v>
      </c>
      <c r="V262">
        <v>-3.516006E-2</v>
      </c>
      <c r="W262">
        <v>7.6951000000000006E-2</v>
      </c>
      <c r="X262">
        <v>0.99641469999999999</v>
      </c>
      <c r="Y262">
        <v>0.12671479999999999</v>
      </c>
      <c r="Z262">
        <v>-6.1364920000000003E-3</v>
      </c>
      <c r="AA262">
        <v>0.99192020000000003</v>
      </c>
      <c r="AB262">
        <v>39</v>
      </c>
      <c r="AC262">
        <v>0.63740000000001296</v>
      </c>
      <c r="AD262">
        <v>-9.6647499999999997E-2</v>
      </c>
      <c r="AE262">
        <v>-0.12670000000002801</v>
      </c>
      <c r="AF262">
        <v>0.123528529343077</v>
      </c>
      <c r="AG262">
        <v>-9.6647499999999997E-2</v>
      </c>
      <c r="AH262">
        <v>0.62369292033915502</v>
      </c>
      <c r="AI262">
        <v>98.643211528332799</v>
      </c>
      <c r="AJ262">
        <v>78.796993952745495</v>
      </c>
      <c r="AK262">
        <v>0.64311188427760901</v>
      </c>
      <c r="AL262">
        <v>85.586669452226801</v>
      </c>
      <c r="AM262">
        <v>92.020933198751294</v>
      </c>
      <c r="AN262">
        <v>0.99999997029814602</v>
      </c>
    </row>
    <row r="263" spans="1:40" x14ac:dyDescent="0.25">
      <c r="A263" t="str">
        <f>"20190312160607331"</f>
        <v>20190312160607331</v>
      </c>
      <c r="B263" t="str">
        <f>"1552377967324923"</f>
        <v>1552377967324923</v>
      </c>
      <c r="C263" t="s">
        <v>40</v>
      </c>
      <c r="D263">
        <v>5.9860470000000001</v>
      </c>
      <c r="E263">
        <v>0.55959419999999904</v>
      </c>
      <c r="F263" t="s">
        <v>44</v>
      </c>
      <c r="G263">
        <v>-422.40969999999999</v>
      </c>
      <c r="H263">
        <v>0.96377360000000001</v>
      </c>
      <c r="I263">
        <v>368.29899999999998</v>
      </c>
      <c r="J263">
        <v>-423.1635</v>
      </c>
      <c r="K263">
        <v>1.059485</v>
      </c>
      <c r="L263">
        <v>368.42599999999999</v>
      </c>
      <c r="M263">
        <v>0.99995970000000001</v>
      </c>
      <c r="N263">
        <v>0</v>
      </c>
      <c r="O263">
        <v>-6.7067789999999895E-4</v>
      </c>
      <c r="P263">
        <v>0.99705960000000005</v>
      </c>
      <c r="Q263">
        <v>6.8114820000000006E-2</v>
      </c>
      <c r="R263">
        <v>3.5106419999999999E-2</v>
      </c>
      <c r="S263">
        <v>3.0425420000000001</v>
      </c>
      <c r="T263">
        <v>-0.29567850000000001</v>
      </c>
      <c r="U263">
        <v>-0.39199830000000002</v>
      </c>
      <c r="V263">
        <v>-3.5790299999999997E-2</v>
      </c>
      <c r="W263">
        <v>7.7042289999999999E-2</v>
      </c>
      <c r="X263">
        <v>0.99638519999999997</v>
      </c>
      <c r="Y263">
        <v>0.12653439999999999</v>
      </c>
      <c r="Z263">
        <v>-6.0441180000000002E-3</v>
      </c>
      <c r="AA263">
        <v>0.99194380000000004</v>
      </c>
      <c r="AB263">
        <v>39</v>
      </c>
      <c r="AC263">
        <v>0.75380000000001202</v>
      </c>
      <c r="AD263">
        <v>-9.5711400000000099E-2</v>
      </c>
      <c r="AE263">
        <v>-0.12699999999995201</v>
      </c>
      <c r="AF263">
        <v>0.124541966813538</v>
      </c>
      <c r="AG263">
        <v>-9.5711400000000099E-2</v>
      </c>
      <c r="AH263">
        <v>0.742248875973885</v>
      </c>
      <c r="AI263">
        <v>97.247410288507396</v>
      </c>
      <c r="AJ263">
        <v>80.475064388109402</v>
      </c>
      <c r="AK263">
        <v>0.758686211468378</v>
      </c>
      <c r="AL263">
        <v>85.581423315978</v>
      </c>
      <c r="AM263">
        <v>92.057188195779503</v>
      </c>
      <c r="AN263">
        <v>0.99999996340078601</v>
      </c>
    </row>
    <row r="264" spans="1:40" x14ac:dyDescent="0.25">
      <c r="A264" t="str">
        <f>"20190312160607344"</f>
        <v>20190312160607344</v>
      </c>
      <c r="B264" t="str">
        <f>"1552377967335660"</f>
        <v>1552377967335660</v>
      </c>
      <c r="C264" t="s">
        <v>40</v>
      </c>
      <c r="D264">
        <v>6.0676259999999997</v>
      </c>
      <c r="E264">
        <v>0.55902099999999999</v>
      </c>
      <c r="F264" t="s">
        <v>44</v>
      </c>
      <c r="G264">
        <v>-422.39940000000001</v>
      </c>
      <c r="H264">
        <v>0.98570119999999894</v>
      </c>
      <c r="I264">
        <v>368.32920000000001</v>
      </c>
      <c r="J264">
        <v>-422.95119999999997</v>
      </c>
      <c r="K264">
        <v>1.059474</v>
      </c>
      <c r="L264">
        <v>368.42590000000001</v>
      </c>
      <c r="M264">
        <v>0.99995900000000004</v>
      </c>
      <c r="N264">
        <v>0</v>
      </c>
      <c r="O264">
        <v>-6.5938569999999998E-4</v>
      </c>
      <c r="P264">
        <v>0.99704610000000005</v>
      </c>
      <c r="Q264">
        <v>6.8175910000000006E-2</v>
      </c>
      <c r="R264">
        <v>3.5377840000000001E-2</v>
      </c>
      <c r="S264">
        <v>3.0425110000000002</v>
      </c>
      <c r="T264">
        <v>-0.29393010000000003</v>
      </c>
      <c r="U264">
        <v>-0.38494869999999998</v>
      </c>
      <c r="V264">
        <v>-3.604835E-2</v>
      </c>
      <c r="W264">
        <v>7.7191090000000004E-2</v>
      </c>
      <c r="X264">
        <v>0.99636440000000004</v>
      </c>
      <c r="Y264">
        <v>0.12430190000000001</v>
      </c>
      <c r="Z264">
        <v>-5.9033920000000004E-3</v>
      </c>
      <c r="AA264">
        <v>0.99222690000000002</v>
      </c>
      <c r="AB264">
        <v>39</v>
      </c>
      <c r="AC264">
        <v>0.55179999999995699</v>
      </c>
      <c r="AD264">
        <v>-7.3772800000000194E-2</v>
      </c>
      <c r="AE264">
        <v>-9.6699999999998398E-2</v>
      </c>
      <c r="AF264">
        <v>9.4693958270164705E-2</v>
      </c>
      <c r="AG264">
        <v>-7.3772800000000194E-2</v>
      </c>
      <c r="AH264">
        <v>0.54245651211686796</v>
      </c>
      <c r="AI264">
        <v>97.630576691756403</v>
      </c>
      <c r="AJ264">
        <v>80.097935519909299</v>
      </c>
      <c r="AK264">
        <v>0.55557937262888801</v>
      </c>
      <c r="AL264">
        <v>85.572872325024406</v>
      </c>
      <c r="AM264">
        <v>92.072050969120994</v>
      </c>
      <c r="AN264">
        <v>0.99999998275023505</v>
      </c>
    </row>
    <row r="265" spans="1:40" x14ac:dyDescent="0.25">
      <c r="A265" t="str">
        <f>"20190312160607364"</f>
        <v>20190312160607364</v>
      </c>
      <c r="B265" t="str">
        <f>"1552377967355179"</f>
        <v>1552377967355179</v>
      </c>
      <c r="C265" t="s">
        <v>40</v>
      </c>
      <c r="D265">
        <v>6.2151930000000002</v>
      </c>
      <c r="E265">
        <v>0.55858640000000004</v>
      </c>
      <c r="F265" t="s">
        <v>44</v>
      </c>
      <c r="G265">
        <v>-422.0573</v>
      </c>
      <c r="H265">
        <v>0.97381209999999996</v>
      </c>
      <c r="I265">
        <v>368.31420000000003</v>
      </c>
      <c r="J265">
        <v>-422.59109999999998</v>
      </c>
      <c r="K265">
        <v>1.0594600000000001</v>
      </c>
      <c r="L265">
        <v>368.42570000000001</v>
      </c>
      <c r="M265">
        <v>0.99995769999999995</v>
      </c>
      <c r="N265">
        <v>0</v>
      </c>
      <c r="O265">
        <v>-6.475513E-4</v>
      </c>
      <c r="P265">
        <v>0.99701580000000001</v>
      </c>
      <c r="Q265">
        <v>6.815425E-2</v>
      </c>
      <c r="R265">
        <v>3.6259340000000001E-2</v>
      </c>
      <c r="S265">
        <v>3.0423279999999999</v>
      </c>
      <c r="T265">
        <v>-0.29160419999999998</v>
      </c>
      <c r="U265">
        <v>-0.37939450000000002</v>
      </c>
      <c r="V265">
        <v>-3.6914599999999999E-2</v>
      </c>
      <c r="W265">
        <v>7.7306139999999995E-2</v>
      </c>
      <c r="X265">
        <v>0.99632379999999998</v>
      </c>
      <c r="Y265">
        <v>0.1225541</v>
      </c>
      <c r="Z265">
        <v>-5.7757719999999898E-3</v>
      </c>
      <c r="AA265">
        <v>0.99244509999999997</v>
      </c>
      <c r="AB265">
        <v>39</v>
      </c>
      <c r="AC265">
        <v>0.53379999999998495</v>
      </c>
      <c r="AD265">
        <v>-8.5647900000000096E-2</v>
      </c>
      <c r="AE265">
        <v>-0.11149999999997801</v>
      </c>
      <c r="AF265">
        <v>0.10847838220730199</v>
      </c>
      <c r="AG265">
        <v>-8.5647900000000096E-2</v>
      </c>
      <c r="AH265">
        <v>0.52101971211834797</v>
      </c>
      <c r="AI265">
        <v>99.142447321005506</v>
      </c>
      <c r="AJ265">
        <v>78.238813884155704</v>
      </c>
      <c r="AK265">
        <v>0.539040501814669</v>
      </c>
      <c r="AL265">
        <v>85.566260857630795</v>
      </c>
      <c r="AM265">
        <v>92.121884228972604</v>
      </c>
      <c r="AN265">
        <v>1.0000000207106401</v>
      </c>
    </row>
    <row r="266" spans="1:40" x14ac:dyDescent="0.25">
      <c r="A266" t="str">
        <f>"20190312160607377"</f>
        <v>20190312160607377</v>
      </c>
      <c r="B266" t="str">
        <f>"1552377967364939"</f>
        <v>1552377967364939</v>
      </c>
      <c r="C266" t="s">
        <v>40</v>
      </c>
      <c r="D266">
        <v>6.1117220000000003</v>
      </c>
      <c r="E266">
        <v>0.55843690000000001</v>
      </c>
      <c r="F266" t="s">
        <v>44</v>
      </c>
      <c r="G266">
        <v>-421.70890000000003</v>
      </c>
      <c r="H266">
        <v>0.97494630000000004</v>
      </c>
      <c r="I266">
        <v>368.31700000000001</v>
      </c>
      <c r="J266">
        <v>-422.36590000000001</v>
      </c>
      <c r="K266">
        <v>1.0594520000000001</v>
      </c>
      <c r="L266">
        <v>368.4255</v>
      </c>
      <c r="M266">
        <v>0.99995690000000004</v>
      </c>
      <c r="N266">
        <v>0</v>
      </c>
      <c r="O266">
        <v>-6.4527360000000001E-4</v>
      </c>
      <c r="P266">
        <v>0.99698909999999996</v>
      </c>
      <c r="Q266">
        <v>6.8312199999999906E-2</v>
      </c>
      <c r="R266">
        <v>3.6689409999999999E-2</v>
      </c>
      <c r="S266">
        <v>3.0425420000000001</v>
      </c>
      <c r="T266">
        <v>-0.29174159999999999</v>
      </c>
      <c r="U266">
        <v>-0.37313839999999998</v>
      </c>
      <c r="V266">
        <v>-3.7340529999999997E-2</v>
      </c>
      <c r="W266">
        <v>7.754337E-2</v>
      </c>
      <c r="X266">
        <v>0.99628950000000005</v>
      </c>
      <c r="Y266">
        <v>0.120546</v>
      </c>
      <c r="Z266">
        <v>-5.683324E-3</v>
      </c>
      <c r="AA266">
        <v>0.99269149999999995</v>
      </c>
      <c r="AB266">
        <v>39</v>
      </c>
      <c r="AC266">
        <v>0.65699999999998204</v>
      </c>
      <c r="AD266">
        <v>-8.45057000000001E-2</v>
      </c>
      <c r="AE266">
        <v>-0.108500000000049</v>
      </c>
      <c r="AF266">
        <v>0.10636305802483501</v>
      </c>
      <c r="AG266">
        <v>-8.45057000000001E-2</v>
      </c>
      <c r="AH266">
        <v>0.64665561498632895</v>
      </c>
      <c r="AI266">
        <v>97.347658309932299</v>
      </c>
      <c r="AJ266">
        <v>80.659522930482197</v>
      </c>
      <c r="AK266">
        <v>0.66077060909080398</v>
      </c>
      <c r="AL266">
        <v>85.552627691145005</v>
      </c>
      <c r="AM266">
        <v>92.146418123216904</v>
      </c>
      <c r="AN266">
        <v>1.0000000286109401</v>
      </c>
    </row>
    <row r="267" spans="1:40" x14ac:dyDescent="0.25">
      <c r="A267" t="str">
        <f>"20190312160607397"</f>
        <v>20190312160607397</v>
      </c>
      <c r="B267" t="str">
        <f>"1552377967385435"</f>
        <v>1552377967385435</v>
      </c>
      <c r="C267" t="s">
        <v>40</v>
      </c>
      <c r="D267">
        <v>6.0683490000000004</v>
      </c>
      <c r="E267">
        <v>0.55806650000000002</v>
      </c>
      <c r="F267" t="s">
        <v>44</v>
      </c>
      <c r="G267">
        <v>-421.3657</v>
      </c>
      <c r="H267">
        <v>0.96395790000000003</v>
      </c>
      <c r="I267">
        <v>368.30360000000002</v>
      </c>
      <c r="J267">
        <v>-422.03530000000001</v>
      </c>
      <c r="K267">
        <v>1.059439</v>
      </c>
      <c r="L267">
        <v>368.42529999999999</v>
      </c>
      <c r="M267">
        <v>0.99995599999999996</v>
      </c>
      <c r="N267">
        <v>0</v>
      </c>
      <c r="O267">
        <v>-6.5103709999999996E-4</v>
      </c>
      <c r="P267">
        <v>0.99689819999999996</v>
      </c>
      <c r="Q267">
        <v>6.8955199999999994E-2</v>
      </c>
      <c r="R267">
        <v>3.7936200000000003E-2</v>
      </c>
      <c r="S267">
        <v>3.0426329999999999</v>
      </c>
      <c r="T267">
        <v>-0.29051949999999999</v>
      </c>
      <c r="U267">
        <v>-0.37051390000000001</v>
      </c>
      <c r="V267">
        <v>-3.8590520000000003E-2</v>
      </c>
      <c r="W267">
        <v>7.8289719999999993E-2</v>
      </c>
      <c r="X267">
        <v>0.9961835</v>
      </c>
      <c r="Y267">
        <v>0.1197013</v>
      </c>
      <c r="Z267">
        <v>-5.6191089999999997E-3</v>
      </c>
      <c r="AA267">
        <v>0.99279399999999995</v>
      </c>
      <c r="AB267">
        <v>39</v>
      </c>
      <c r="AC267">
        <v>0.66960000000000197</v>
      </c>
      <c r="AD267">
        <v>-9.5481100000000096E-2</v>
      </c>
      <c r="AE267">
        <v>-0.12169999999997499</v>
      </c>
      <c r="AF267">
        <v>0.118923262835433</v>
      </c>
      <c r="AG267">
        <v>-9.5481100000000096E-2</v>
      </c>
      <c r="AH267">
        <v>0.65675228580928102</v>
      </c>
      <c r="AI267">
        <v>98.141340070089001</v>
      </c>
      <c r="AJ267">
        <v>79.736221846067394</v>
      </c>
      <c r="AK267">
        <v>0.67422766764376496</v>
      </c>
      <c r="AL267">
        <v>85.509734624456996</v>
      </c>
      <c r="AM267">
        <v>92.218435555228396</v>
      </c>
      <c r="AN267">
        <v>1.00000003708189</v>
      </c>
    </row>
    <row r="268" spans="1:40" x14ac:dyDescent="0.25">
      <c r="A268" t="str">
        <f>"20190312160607419"</f>
        <v>20190312160607419</v>
      </c>
      <c r="B268" t="str">
        <f>"1552377967415691"</f>
        <v>1552377967415691</v>
      </c>
      <c r="C268" t="s">
        <v>40</v>
      </c>
      <c r="D268">
        <v>6.0298299999999996</v>
      </c>
      <c r="E268">
        <v>0.55841339999999995</v>
      </c>
      <c r="F268" t="s">
        <v>44</v>
      </c>
      <c r="G268">
        <v>-421.01749999999998</v>
      </c>
      <c r="H268">
        <v>0.9629375</v>
      </c>
      <c r="I268">
        <v>368.30329999999998</v>
      </c>
      <c r="J268">
        <v>-421.64510000000001</v>
      </c>
      <c r="K268">
        <v>1.0594129999999999</v>
      </c>
      <c r="L268">
        <v>368.42509999999999</v>
      </c>
      <c r="M268">
        <v>0.99995489999999998</v>
      </c>
      <c r="N268">
        <v>0</v>
      </c>
      <c r="O268">
        <v>-6.7775840000000001E-4</v>
      </c>
      <c r="P268">
        <v>0.99688679999999996</v>
      </c>
      <c r="Q268">
        <v>6.8876740000000006E-2</v>
      </c>
      <c r="R268">
        <v>3.8377750000000002E-2</v>
      </c>
      <c r="S268">
        <v>3.0431819999999998</v>
      </c>
      <c r="T268">
        <v>-0.28869149999999999</v>
      </c>
      <c r="U268">
        <v>-0.36392210000000003</v>
      </c>
      <c r="V268">
        <v>-3.9054989999999998E-2</v>
      </c>
      <c r="W268">
        <v>7.8321109999999999E-2</v>
      </c>
      <c r="X268">
        <v>0.99616289999999996</v>
      </c>
      <c r="Y268">
        <v>0.11754969999999999</v>
      </c>
      <c r="Z268">
        <v>-5.4796419999999998E-3</v>
      </c>
      <c r="AA268">
        <v>0.99305189999999999</v>
      </c>
      <c r="AB268">
        <v>39</v>
      </c>
      <c r="AC268">
        <v>0.62760000000002902</v>
      </c>
      <c r="AD268">
        <v>-9.6475499999999895E-2</v>
      </c>
      <c r="AE268">
        <v>-0.121800000000007</v>
      </c>
      <c r="AF268">
        <v>0.11867212663201</v>
      </c>
      <c r="AG268">
        <v>-9.6475499999999895E-2</v>
      </c>
      <c r="AH268">
        <v>0.61370675215633397</v>
      </c>
      <c r="AI268">
        <v>98.773925549682204</v>
      </c>
      <c r="AJ268">
        <v>79.055820776393801</v>
      </c>
      <c r="AK268">
        <v>0.63247653978775298</v>
      </c>
      <c r="AL268">
        <v>85.507930430265205</v>
      </c>
      <c r="AM268">
        <v>92.245155548531102</v>
      </c>
      <c r="AN268">
        <v>1.0000000059259699</v>
      </c>
    </row>
    <row r="269" spans="1:40" x14ac:dyDescent="0.25">
      <c r="A269" t="str">
        <f>"20190312160607431"</f>
        <v>20190312160607431</v>
      </c>
      <c r="B269" t="str">
        <f>"1552377967425452"</f>
        <v>1552377967425452</v>
      </c>
      <c r="C269" t="s">
        <v>40</v>
      </c>
      <c r="D269">
        <v>6.12052</v>
      </c>
      <c r="E269">
        <v>0.55798719999999902</v>
      </c>
      <c r="F269" t="s">
        <v>44</v>
      </c>
      <c r="G269">
        <v>-420.66680000000002</v>
      </c>
      <c r="H269">
        <v>0.96663619999999995</v>
      </c>
      <c r="I269">
        <v>368.30739999999997</v>
      </c>
      <c r="J269">
        <v>-421.42059999999998</v>
      </c>
      <c r="K269">
        <v>1.0593999999999999</v>
      </c>
      <c r="L269">
        <v>368.42489999999998</v>
      </c>
      <c r="M269">
        <v>0.99995440000000002</v>
      </c>
      <c r="N269">
        <v>0</v>
      </c>
      <c r="O269">
        <v>-7.0226079999999996E-4</v>
      </c>
      <c r="P269">
        <v>0.99686839999999999</v>
      </c>
      <c r="Q269">
        <v>6.9063979999999997E-2</v>
      </c>
      <c r="R269">
        <v>3.8516790000000002E-2</v>
      </c>
      <c r="S269">
        <v>3.0434269999999999</v>
      </c>
      <c r="T269">
        <v>-0.28882799999999997</v>
      </c>
      <c r="U269">
        <v>-0.36547849999999998</v>
      </c>
      <c r="V269">
        <v>-3.9216210000000001E-2</v>
      </c>
      <c r="W269">
        <v>7.8565930000000006E-2</v>
      </c>
      <c r="X269">
        <v>0.9961373</v>
      </c>
      <c r="Y269">
        <v>0.1180143</v>
      </c>
      <c r="Z269">
        <v>-5.5012280000000004E-3</v>
      </c>
      <c r="AA269">
        <v>0.99299660000000001</v>
      </c>
      <c r="AB269">
        <v>39</v>
      </c>
      <c r="AC269">
        <v>0.75379999999995495</v>
      </c>
      <c r="AD269">
        <v>-9.2763799999999896E-2</v>
      </c>
      <c r="AE269">
        <v>-0.117500000000006</v>
      </c>
      <c r="AF269">
        <v>0.11526637995344199</v>
      </c>
      <c r="AG269">
        <v>-9.2763799999999896E-2</v>
      </c>
      <c r="AH269">
        <v>0.74289864507344305</v>
      </c>
      <c r="AI269">
        <v>97.0342251840502</v>
      </c>
      <c r="AJ269">
        <v>81.180448572755097</v>
      </c>
      <c r="AK269">
        <v>0.75748917998210996</v>
      </c>
      <c r="AL269">
        <v>85.493859976762295</v>
      </c>
      <c r="AM269">
        <v>92.254471942028601</v>
      </c>
      <c r="AN269">
        <v>1.0000000184674001</v>
      </c>
    </row>
    <row r="270" spans="1:40" x14ac:dyDescent="0.25">
      <c r="A270" t="str">
        <f>"20190312160607444"</f>
        <v>20190312160607444</v>
      </c>
      <c r="B270" t="str">
        <f>"1552377967435212"</f>
        <v>1552377967435212</v>
      </c>
      <c r="C270" t="s">
        <v>40</v>
      </c>
      <c r="D270">
        <v>6.0373229999999998</v>
      </c>
      <c r="E270">
        <v>0.55798719999999902</v>
      </c>
      <c r="F270" t="s">
        <v>44</v>
      </c>
      <c r="G270">
        <v>-420.65699999999998</v>
      </c>
      <c r="H270">
        <v>0.98737280000000005</v>
      </c>
      <c r="I270">
        <v>368.334</v>
      </c>
      <c r="J270">
        <v>-421.19819999999999</v>
      </c>
      <c r="K270">
        <v>1.0593859999999999</v>
      </c>
      <c r="L270">
        <v>368.42469999999997</v>
      </c>
      <c r="M270">
        <v>0.9999538</v>
      </c>
      <c r="N270">
        <v>0</v>
      </c>
      <c r="O270">
        <v>-7.3893280000000003E-4</v>
      </c>
      <c r="P270">
        <v>0.99690529999999999</v>
      </c>
      <c r="Q270">
        <v>6.8614359999999999E-2</v>
      </c>
      <c r="R270">
        <v>3.8368390000000002E-2</v>
      </c>
      <c r="S270">
        <v>3.0432739999999998</v>
      </c>
      <c r="T270">
        <v>-0.28725430000000002</v>
      </c>
      <c r="U270">
        <v>-0.36157230000000001</v>
      </c>
      <c r="V270">
        <v>-3.910106E-2</v>
      </c>
      <c r="W270">
        <v>7.8169459999999996E-2</v>
      </c>
      <c r="X270">
        <v>0.99617299999999998</v>
      </c>
      <c r="Y270">
        <v>0.1167382</v>
      </c>
      <c r="Z270">
        <v>-5.408749E-3</v>
      </c>
      <c r="AA270">
        <v>0.99314800000000003</v>
      </c>
      <c r="AB270">
        <v>39</v>
      </c>
      <c r="AC270">
        <v>0.54120000000000301</v>
      </c>
      <c r="AD270">
        <v>-7.2013200000000097E-2</v>
      </c>
      <c r="AE270">
        <v>-9.0699999999969805E-2</v>
      </c>
      <c r="AF270">
        <v>8.8771244382609193E-2</v>
      </c>
      <c r="AG270">
        <v>-7.2013200000000097E-2</v>
      </c>
      <c r="AH270">
        <v>0.53210309482057505</v>
      </c>
      <c r="AI270">
        <v>97.603573605800506</v>
      </c>
      <c r="AJ270">
        <v>80.528521832495997</v>
      </c>
      <c r="AK270">
        <v>0.54424253630262198</v>
      </c>
      <c r="AL270">
        <v>85.516646036879095</v>
      </c>
      <c r="AM270">
        <v>92.247778494513994</v>
      </c>
      <c r="AN270">
        <v>1.0000000016493999</v>
      </c>
    </row>
    <row r="271" spans="1:40" x14ac:dyDescent="0.25">
      <c r="A271" t="str">
        <f>"20190312160607466"</f>
        <v>20190312160607466</v>
      </c>
      <c r="B271" t="str">
        <f>"1552377967455707"</f>
        <v>1552377967455707</v>
      </c>
      <c r="C271" t="s">
        <v>40</v>
      </c>
      <c r="D271">
        <v>6.3561750000000004</v>
      </c>
      <c r="E271">
        <v>0.55370149999999996</v>
      </c>
      <c r="F271" t="s">
        <v>44</v>
      </c>
      <c r="G271">
        <v>-420.3134</v>
      </c>
      <c r="H271">
        <v>0.97547980000000001</v>
      </c>
      <c r="I271">
        <v>368.31900000000002</v>
      </c>
      <c r="J271">
        <v>-420.82799999999997</v>
      </c>
      <c r="K271">
        <v>1.059348</v>
      </c>
      <c r="L271">
        <v>368.42439999999999</v>
      </c>
      <c r="M271">
        <v>0.99995299999999998</v>
      </c>
      <c r="N271">
        <v>0</v>
      </c>
      <c r="O271">
        <v>-8.2779259999999895E-4</v>
      </c>
      <c r="P271">
        <v>0.99685469999999998</v>
      </c>
      <c r="Q271">
        <v>6.9241759999999999E-2</v>
      </c>
      <c r="R271">
        <v>3.8556710000000001E-2</v>
      </c>
      <c r="S271">
        <v>3.0431210000000002</v>
      </c>
      <c r="T271">
        <v>-0.2887672</v>
      </c>
      <c r="U271">
        <v>-0.36196899999999999</v>
      </c>
      <c r="V271">
        <v>-3.9371509999999998E-2</v>
      </c>
      <c r="W271">
        <v>7.8876810000000006E-2</v>
      </c>
      <c r="X271">
        <v>0.99610659999999895</v>
      </c>
      <c r="Y271">
        <v>0.1167783</v>
      </c>
      <c r="Z271">
        <v>-5.4308439999999998E-3</v>
      </c>
      <c r="AA271">
        <v>0.99314309999999995</v>
      </c>
      <c r="AB271">
        <v>39</v>
      </c>
      <c r="AC271">
        <v>0.51460000000002903</v>
      </c>
      <c r="AD271">
        <v>-8.3868199999999796E-2</v>
      </c>
      <c r="AE271">
        <v>-0.105399999999974</v>
      </c>
      <c r="AF271">
        <v>0.102364463587759</v>
      </c>
      <c r="AG271">
        <v>-8.3868199999999796E-2</v>
      </c>
      <c r="AH271">
        <v>0.50189271309989603</v>
      </c>
      <c r="AI271">
        <v>99.298702244027695</v>
      </c>
      <c r="AJ271">
        <v>78.4722424233331</v>
      </c>
      <c r="AK271">
        <v>0.51904590725640398</v>
      </c>
      <c r="AL271">
        <v>85.475992390049001</v>
      </c>
      <c r="AM271">
        <v>92.263460287936496</v>
      </c>
      <c r="AN271">
        <v>1.0000000127594999</v>
      </c>
    </row>
    <row r="272" spans="1:40" x14ac:dyDescent="0.25">
      <c r="A272" t="str">
        <f>"20190312160607490"</f>
        <v>20190312160607490</v>
      </c>
      <c r="B272" t="str">
        <f>"1552377967484987"</f>
        <v>1552377967484987</v>
      </c>
      <c r="C272" t="s">
        <v>40</v>
      </c>
      <c r="D272">
        <v>6.1628049999999996</v>
      </c>
      <c r="E272">
        <v>0.50290199999999996</v>
      </c>
      <c r="F272" t="s">
        <v>44</v>
      </c>
      <c r="G272">
        <v>-419.96370000000002</v>
      </c>
      <c r="H272">
        <v>0.97591099999999997</v>
      </c>
      <c r="I272">
        <v>368.33100000000002</v>
      </c>
      <c r="J272">
        <v>-420.42540000000002</v>
      </c>
      <c r="K272">
        <v>1.0593060000000001</v>
      </c>
      <c r="L272">
        <v>368.42399999999998</v>
      </c>
      <c r="M272">
        <v>0.99995210000000001</v>
      </c>
      <c r="N272">
        <v>0</v>
      </c>
      <c r="O272">
        <v>-9.7568950000000002E-4</v>
      </c>
      <c r="P272">
        <v>0.99683029999999995</v>
      </c>
      <c r="Q272">
        <v>6.93685E-2</v>
      </c>
      <c r="R272">
        <v>3.8957159999999998E-2</v>
      </c>
      <c r="S272">
        <v>3.0425110000000002</v>
      </c>
      <c r="T272">
        <v>-0.2938384</v>
      </c>
      <c r="U272">
        <v>-0.32800289999999999</v>
      </c>
      <c r="V272">
        <v>-3.9910889999999997E-2</v>
      </c>
      <c r="W272">
        <v>7.9082139999999995E-2</v>
      </c>
      <c r="X272">
        <v>0.99606879999999998</v>
      </c>
      <c r="Y272">
        <v>0.1057336</v>
      </c>
      <c r="Z272">
        <v>-4.9855389999999998E-3</v>
      </c>
      <c r="AA272">
        <v>0.99438199999999999</v>
      </c>
      <c r="AB272">
        <v>39</v>
      </c>
      <c r="AC272">
        <v>0.46170000000000699</v>
      </c>
      <c r="AD272">
        <v>-8.3394999999999705E-2</v>
      </c>
      <c r="AE272">
        <v>-9.3000000000074495E-2</v>
      </c>
      <c r="AF272">
        <v>8.9735914812569206E-2</v>
      </c>
      <c r="AG272">
        <v>-8.3394999999999705E-2</v>
      </c>
      <c r="AH272">
        <v>0.44775189128489801</v>
      </c>
      <c r="AI272">
        <v>100.34937931098899</v>
      </c>
      <c r="AJ272">
        <v>78.667240637102196</v>
      </c>
      <c r="AK272">
        <v>0.46420794540965299</v>
      </c>
      <c r="AL272">
        <v>85.464190739457294</v>
      </c>
      <c r="AM272">
        <v>92.294523198754504</v>
      </c>
      <c r="AN272">
        <v>0.99999995917050499</v>
      </c>
    </row>
    <row r="273" spans="1:40" x14ac:dyDescent="0.25">
      <c r="A273" t="str">
        <f>"20190312160607510"</f>
        <v>20190312160607510</v>
      </c>
      <c r="B273" t="str">
        <f>"1552377967505483"</f>
        <v>1552377967505483</v>
      </c>
      <c r="C273" t="s">
        <v>40</v>
      </c>
      <c r="D273">
        <v>6.1326640000000001</v>
      </c>
      <c r="E273">
        <v>0.50472910000000004</v>
      </c>
      <c r="F273" t="s">
        <v>42</v>
      </c>
      <c r="G273">
        <v>-158.19499999999999</v>
      </c>
      <c r="H273">
        <v>4.4327079999999999</v>
      </c>
      <c r="I273">
        <v>376.1191</v>
      </c>
      <c r="J273">
        <v>-420.0573</v>
      </c>
      <c r="K273">
        <v>1.0592629999999901</v>
      </c>
      <c r="L273">
        <v>368.42340000000002</v>
      </c>
      <c r="M273">
        <v>0.99995129999999999</v>
      </c>
      <c r="N273">
        <v>0</v>
      </c>
      <c r="O273">
        <v>-1.165576E-3</v>
      </c>
      <c r="P273">
        <v>0.99692519999999996</v>
      </c>
      <c r="Q273">
        <v>6.8220680000000006E-2</v>
      </c>
      <c r="R273">
        <v>3.8551429999999998E-2</v>
      </c>
      <c r="S273">
        <v>3.0034179999999999</v>
      </c>
      <c r="T273">
        <v>3.863776E-2</v>
      </c>
      <c r="U273">
        <v>8.8134770000000001E-2</v>
      </c>
      <c r="V273">
        <v>-3.9685810000000002E-2</v>
      </c>
      <c r="W273">
        <v>7.8007820000000005E-2</v>
      </c>
      <c r="X273">
        <v>0.99616249999999995</v>
      </c>
      <c r="Y273">
        <v>-3.0494690000000001E-2</v>
      </c>
      <c r="Z273">
        <v>-2.110922E-4</v>
      </c>
      <c r="AA273">
        <v>0.9995349</v>
      </c>
      <c r="AB273">
        <v>39</v>
      </c>
      <c r="AC273">
        <v>261.8623</v>
      </c>
      <c r="AD273">
        <v>3.3734449999999998</v>
      </c>
      <c r="AE273">
        <v>7.69569999999998</v>
      </c>
      <c r="AF273">
        <v>-7.9996033796330099</v>
      </c>
      <c r="AG273">
        <v>3.3734449999999998</v>
      </c>
      <c r="AH273">
        <v>261.80973951131699</v>
      </c>
      <c r="AI273">
        <v>89.262123258909895</v>
      </c>
      <c r="AJ273">
        <v>91.750129518349993</v>
      </c>
      <c r="AK273">
        <v>261.95364759511</v>
      </c>
      <c r="AL273">
        <v>85.525935484028494</v>
      </c>
      <c r="AM273">
        <v>92.281382421136001</v>
      </c>
      <c r="AN273">
        <v>0.99999995495137795</v>
      </c>
    </row>
    <row r="274" spans="1:40" x14ac:dyDescent="0.25">
      <c r="A274" t="str">
        <f>"20190312160607533"</f>
        <v>20190312160607533</v>
      </c>
      <c r="B274" t="str">
        <f>"1552377967525004"</f>
        <v>1552377967525004</v>
      </c>
      <c r="C274" t="s">
        <v>40</v>
      </c>
      <c r="D274">
        <v>6.4875749999999996</v>
      </c>
      <c r="E274">
        <v>0.50544679999999997</v>
      </c>
      <c r="F274" t="s">
        <v>42</v>
      </c>
      <c r="G274">
        <v>-158.19499999999999</v>
      </c>
      <c r="H274">
        <v>6.5760589999999999</v>
      </c>
      <c r="I274">
        <v>374.79349999999999</v>
      </c>
      <c r="J274">
        <v>-419.65280000000001</v>
      </c>
      <c r="K274">
        <v>1.059221</v>
      </c>
      <c r="L274">
        <v>368.42270000000002</v>
      </c>
      <c r="M274">
        <v>0.99995000000000001</v>
      </c>
      <c r="N274">
        <v>0</v>
      </c>
      <c r="O274">
        <v>-1.438749E-3</v>
      </c>
      <c r="P274">
        <v>0.99710359999999998</v>
      </c>
      <c r="Q274">
        <v>6.677756E-2</v>
      </c>
      <c r="R274">
        <v>3.6406250000000001E-2</v>
      </c>
      <c r="S274">
        <v>3.002075</v>
      </c>
      <c r="T274">
        <v>6.3247319999999996E-2</v>
      </c>
      <c r="U274">
        <v>7.3028560000000006E-2</v>
      </c>
      <c r="V274">
        <v>-3.780153E-2</v>
      </c>
      <c r="W274">
        <v>7.6669550000000003E-2</v>
      </c>
      <c r="X274">
        <v>0.99633970000000005</v>
      </c>
      <c r="Y274">
        <v>-2.575117E-2</v>
      </c>
      <c r="Z274">
        <v>-3.0149609999999998E-4</v>
      </c>
      <c r="AA274">
        <v>0.99966840000000001</v>
      </c>
      <c r="AB274">
        <v>39</v>
      </c>
      <c r="AC274">
        <v>261.45780000000002</v>
      </c>
      <c r="AD274">
        <v>5.5168379999999999</v>
      </c>
      <c r="AE274">
        <v>6.3707999999999698</v>
      </c>
      <c r="AF274">
        <v>-6.7439831815515703</v>
      </c>
      <c r="AG274">
        <v>5.5168379999999999</v>
      </c>
      <c r="AH274">
        <v>261.33208100959098</v>
      </c>
      <c r="AI274">
        <v>88.7910422751943</v>
      </c>
      <c r="AJ274">
        <v>91.478257205392794</v>
      </c>
      <c r="AK274">
        <v>261.47729036280498</v>
      </c>
      <c r="AL274">
        <v>85.602843203554599</v>
      </c>
      <c r="AM274">
        <v>92.172782824664793</v>
      </c>
      <c r="AN274">
        <v>0.999999986681816</v>
      </c>
    </row>
    <row r="275" spans="1:40" x14ac:dyDescent="0.25">
      <c r="A275" t="str">
        <f>"20190312160607555"</f>
        <v>20190312160607555</v>
      </c>
      <c r="B275" t="str">
        <f>"1552377967545504"</f>
        <v>1552377967545504</v>
      </c>
      <c r="C275" t="s">
        <v>40</v>
      </c>
      <c r="D275">
        <v>6.1432609999999999</v>
      </c>
      <c r="E275">
        <v>0.50517479999999904</v>
      </c>
      <c r="F275" t="s">
        <v>42</v>
      </c>
      <c r="G275">
        <v>-158.19499999999999</v>
      </c>
      <c r="H275">
        <v>5.7822950000000004</v>
      </c>
      <c r="I275">
        <v>373.76369999999997</v>
      </c>
      <c r="J275">
        <v>-419.27690000000001</v>
      </c>
      <c r="K275">
        <v>1.059194</v>
      </c>
      <c r="L275">
        <v>368.42189999999999</v>
      </c>
      <c r="M275">
        <v>0.99994810000000001</v>
      </c>
      <c r="N275">
        <v>0</v>
      </c>
      <c r="O275">
        <v>-1.758599E-3</v>
      </c>
      <c r="P275">
        <v>0.99719860000000005</v>
      </c>
      <c r="Q275">
        <v>6.6566470000000003E-2</v>
      </c>
      <c r="R275">
        <v>3.4118170000000003E-2</v>
      </c>
      <c r="S275">
        <v>3.0028079999999999</v>
      </c>
      <c r="T275">
        <v>5.4244880000000002E-2</v>
      </c>
      <c r="U275">
        <v>6.1340329999999998E-2</v>
      </c>
      <c r="V275">
        <v>-3.5822430000000002E-2</v>
      </c>
      <c r="W275">
        <v>7.6595369999999996E-2</v>
      </c>
      <c r="X275">
        <v>0.99641849999999998</v>
      </c>
      <c r="Y275">
        <v>-2.2177789999999999E-2</v>
      </c>
      <c r="Z275">
        <v>-2.3204500000000001E-4</v>
      </c>
      <c r="AA275">
        <v>0.99975400000000003</v>
      </c>
      <c r="AB275">
        <v>39</v>
      </c>
      <c r="AC275">
        <v>261.08190000000002</v>
      </c>
      <c r="AD275">
        <v>4.7231009999999998</v>
      </c>
      <c r="AE275">
        <v>5.3417999999999699</v>
      </c>
      <c r="AF275">
        <v>-5.7990561876437496</v>
      </c>
      <c r="AG275">
        <v>4.7231009999999998</v>
      </c>
      <c r="AH275">
        <v>260.986725331005</v>
      </c>
      <c r="AI275">
        <v>88.963481917076194</v>
      </c>
      <c r="AJ275">
        <v>91.272887651572702</v>
      </c>
      <c r="AK275">
        <v>261.0938672867</v>
      </c>
      <c r="AL275">
        <v>85.607105831605693</v>
      </c>
      <c r="AM275">
        <v>92.0589646518834</v>
      </c>
      <c r="AN275">
        <v>0.99999996216939502</v>
      </c>
    </row>
    <row r="276" spans="1:40" x14ac:dyDescent="0.25">
      <c r="A276" t="str">
        <f>"20190312160607575"</f>
        <v>20190312160607575</v>
      </c>
      <c r="B276" t="str">
        <f>"1552377967565023"</f>
        <v>1552377967565023</v>
      </c>
      <c r="C276" t="s">
        <v>40</v>
      </c>
      <c r="D276">
        <v>5.3300879999999999</v>
      </c>
      <c r="E276">
        <v>0.50458029999999998</v>
      </c>
      <c r="F276" t="s">
        <v>42</v>
      </c>
      <c r="G276">
        <v>-158.19499999999999</v>
      </c>
      <c r="H276">
        <v>5.4720230000000001</v>
      </c>
      <c r="I276">
        <v>373.34350000000001</v>
      </c>
      <c r="J276">
        <v>-418.90480000000002</v>
      </c>
      <c r="K276">
        <v>1.059167</v>
      </c>
      <c r="L276">
        <v>368.42090000000002</v>
      </c>
      <c r="M276">
        <v>0.99994559999999999</v>
      </c>
      <c r="N276">
        <v>0</v>
      </c>
      <c r="O276">
        <v>-2.1323499999999999E-3</v>
      </c>
      <c r="P276">
        <v>0.99724000000000002</v>
      </c>
      <c r="Q276">
        <v>6.6632049999999998E-2</v>
      </c>
      <c r="R276">
        <v>3.2752179999999999E-2</v>
      </c>
      <c r="S276">
        <v>3.003082</v>
      </c>
      <c r="T276">
        <v>5.0759319999999997E-2</v>
      </c>
      <c r="U276">
        <v>5.6610109999999998E-2</v>
      </c>
      <c r="V276">
        <v>-3.4818269999999998E-2</v>
      </c>
      <c r="W276">
        <v>7.6840710000000007E-2</v>
      </c>
      <c r="X276">
        <v>0.99643519999999997</v>
      </c>
      <c r="Y276">
        <v>-2.0976060000000001E-2</v>
      </c>
      <c r="Z276">
        <v>-2.1328260000000001E-4</v>
      </c>
      <c r="AA276">
        <v>0.99977990000000005</v>
      </c>
      <c r="AB276">
        <v>39</v>
      </c>
      <c r="AC276">
        <v>260.70979999999997</v>
      </c>
      <c r="AD276">
        <v>4.4128559999999997</v>
      </c>
      <c r="AE276">
        <v>4.9225999999999797</v>
      </c>
      <c r="AF276">
        <v>-5.4769737350170402</v>
      </c>
      <c r="AG276">
        <v>4.4128559999999997</v>
      </c>
      <c r="AH276">
        <v>260.62406775719501</v>
      </c>
      <c r="AI276">
        <v>89.030181388627895</v>
      </c>
      <c r="AJ276">
        <v>91.203884581830806</v>
      </c>
      <c r="AK276">
        <v>260.71895833191297</v>
      </c>
      <c r="AL276">
        <v>85.593007311935395</v>
      </c>
      <c r="AM276">
        <v>92.001262674787299</v>
      </c>
      <c r="AN276">
        <v>0.99999995721906698</v>
      </c>
    </row>
    <row r="277" spans="1:40" x14ac:dyDescent="0.25">
      <c r="A277" t="str">
        <f>"20190312160607588"</f>
        <v>20190312160607588</v>
      </c>
      <c r="B277" t="str">
        <f>"1552377967575756"</f>
        <v>1552377967575756</v>
      </c>
      <c r="C277" t="s">
        <v>40</v>
      </c>
      <c r="D277">
        <v>6.1368369999999999</v>
      </c>
      <c r="E277">
        <v>0.50430070000000005</v>
      </c>
      <c r="F277" t="s">
        <v>42</v>
      </c>
      <c r="G277">
        <v>-158.19499999999999</v>
      </c>
      <c r="H277">
        <v>5.2575909999999997</v>
      </c>
      <c r="I277">
        <v>373.37240000000003</v>
      </c>
      <c r="J277">
        <v>-418.67840000000001</v>
      </c>
      <c r="K277">
        <v>1.0591569999999999</v>
      </c>
      <c r="L277">
        <v>368.42020000000002</v>
      </c>
      <c r="M277">
        <v>0.9999439</v>
      </c>
      <c r="N277">
        <v>0</v>
      </c>
      <c r="O277">
        <v>-2.3816330000000002E-3</v>
      </c>
      <c r="P277">
        <v>0.99726000000000004</v>
      </c>
      <c r="Q277">
        <v>6.6695110000000002E-2</v>
      </c>
      <c r="R277">
        <v>3.2009019999999999E-2</v>
      </c>
      <c r="S277">
        <v>3.003174</v>
      </c>
      <c r="T277">
        <v>4.8363570000000002E-2</v>
      </c>
      <c r="U277">
        <v>5.7037350000000001E-2</v>
      </c>
      <c r="V277">
        <v>-3.4316979999999997E-2</v>
      </c>
      <c r="W277">
        <v>7.7024690000000007E-2</v>
      </c>
      <c r="X277">
        <v>0.99643839999999995</v>
      </c>
      <c r="Y277">
        <v>-2.136714E-2</v>
      </c>
      <c r="Z277">
        <v>-2.1037359999999999E-4</v>
      </c>
      <c r="AA277">
        <v>0.99977169999999904</v>
      </c>
      <c r="AB277">
        <v>39</v>
      </c>
      <c r="AC277">
        <v>260.48340000000002</v>
      </c>
      <c r="AD277">
        <v>4.1984339999999998</v>
      </c>
      <c r="AE277">
        <v>4.9522000000000004</v>
      </c>
      <c r="AF277">
        <v>-5.5711480809122502</v>
      </c>
      <c r="AG277">
        <v>4.1984339999999998</v>
      </c>
      <c r="AH277">
        <v>260.403241725648</v>
      </c>
      <c r="AI277">
        <v>89.076521906292896</v>
      </c>
      <c r="AJ277">
        <v>91.225616784922906</v>
      </c>
      <c r="AK277">
        <v>260.49666569884897</v>
      </c>
      <c r="AL277">
        <v>85.582434762943606</v>
      </c>
      <c r="AM277">
        <v>91.972466439078104</v>
      </c>
      <c r="AN277">
        <v>0.99999997149023701</v>
      </c>
    </row>
    <row r="278" spans="1:40" x14ac:dyDescent="0.25">
      <c r="A278" t="str">
        <f>"20190312160607610"</f>
        <v>20190312160607610</v>
      </c>
      <c r="B278" t="str">
        <f>"1552377967605035"</f>
        <v>1552377967605035</v>
      </c>
      <c r="C278" t="s">
        <v>40</v>
      </c>
      <c r="D278">
        <v>6.1896389999999997</v>
      </c>
      <c r="E278">
        <v>0.50391359999999996</v>
      </c>
      <c r="F278" t="s">
        <v>42</v>
      </c>
      <c r="G278">
        <v>-158.19499999999999</v>
      </c>
      <c r="H278">
        <v>5.2691470000000002</v>
      </c>
      <c r="I278">
        <v>373.37009999999998</v>
      </c>
      <c r="J278">
        <v>-418.30349999999999</v>
      </c>
      <c r="K278">
        <v>1.0591429999999999</v>
      </c>
      <c r="L278">
        <v>368.41890000000001</v>
      </c>
      <c r="M278">
        <v>0.99994059999999996</v>
      </c>
      <c r="N278">
        <v>0</v>
      </c>
      <c r="O278">
        <v>-2.8148689999999998E-3</v>
      </c>
      <c r="P278">
        <v>0.99723539999999999</v>
      </c>
      <c r="Q278">
        <v>6.7152779999999995E-2</v>
      </c>
      <c r="R278">
        <v>3.1816320000000002E-2</v>
      </c>
      <c r="S278">
        <v>3.0031430000000001</v>
      </c>
      <c r="T278">
        <v>4.8538449999999997E-2</v>
      </c>
      <c r="U278">
        <v>5.706787E-2</v>
      </c>
      <c r="V278">
        <v>-3.454658E-2</v>
      </c>
      <c r="W278">
        <v>7.7691699999999905E-2</v>
      </c>
      <c r="X278">
        <v>0.99637869999999995</v>
      </c>
      <c r="Y278">
        <v>-2.1810510000000002E-2</v>
      </c>
      <c r="Z278">
        <v>-2.2172049999999999E-4</v>
      </c>
      <c r="AA278">
        <v>0.99976209999999999</v>
      </c>
      <c r="AB278">
        <v>39</v>
      </c>
      <c r="AC278">
        <v>260.10849999999999</v>
      </c>
      <c r="AD278">
        <v>4.2100039999999996</v>
      </c>
      <c r="AE278">
        <v>4.9511999999999698</v>
      </c>
      <c r="AF278">
        <v>-5.6819043637615101</v>
      </c>
      <c r="AG278">
        <v>4.2100039999999996</v>
      </c>
      <c r="AH278">
        <v>260.02543677290299</v>
      </c>
      <c r="AI278">
        <v>89.072641363018406</v>
      </c>
      <c r="AJ278">
        <v>91.251790378667494</v>
      </c>
      <c r="AK278">
        <v>260.12157915063102</v>
      </c>
      <c r="AL278">
        <v>85.5441031202419</v>
      </c>
      <c r="AM278">
        <v>91.985771704732798</v>
      </c>
      <c r="AN278">
        <v>0.99999999012613805</v>
      </c>
    </row>
    <row r="279" spans="1:40" x14ac:dyDescent="0.25">
      <c r="A279" t="str">
        <f>"20190312160607632"</f>
        <v>20190312160607632</v>
      </c>
      <c r="B279" t="str">
        <f>"1552377967625532"</f>
        <v>1552377967625532</v>
      </c>
      <c r="C279" t="s">
        <v>40</v>
      </c>
      <c r="D279">
        <v>6.1341789999999996</v>
      </c>
      <c r="E279">
        <v>0.50371960000000005</v>
      </c>
      <c r="F279" t="s">
        <v>42</v>
      </c>
      <c r="G279">
        <v>-158.19499999999999</v>
      </c>
      <c r="H279">
        <v>5.079548</v>
      </c>
      <c r="I279">
        <v>373.565</v>
      </c>
      <c r="J279">
        <v>-417.9153</v>
      </c>
      <c r="K279">
        <v>1.05914</v>
      </c>
      <c r="L279">
        <v>368.41739999999999</v>
      </c>
      <c r="M279">
        <v>0.99993679999999996</v>
      </c>
      <c r="N279">
        <v>0</v>
      </c>
      <c r="O279">
        <v>-3.2874620000000001E-3</v>
      </c>
      <c r="P279">
        <v>0.99723680000000003</v>
      </c>
      <c r="Q279">
        <v>6.7025199999999993E-2</v>
      </c>
      <c r="R279">
        <v>3.2039970000000001E-2</v>
      </c>
      <c r="S279">
        <v>3.0032649999999999</v>
      </c>
      <c r="T279">
        <v>4.6421410000000003E-2</v>
      </c>
      <c r="U279">
        <v>5.941772E-2</v>
      </c>
      <c r="V279">
        <v>-3.5234269999999998E-2</v>
      </c>
      <c r="W279">
        <v>7.7786770000000005E-2</v>
      </c>
      <c r="X279">
        <v>0.99634719999999999</v>
      </c>
      <c r="Y279">
        <v>-2.306426E-2</v>
      </c>
      <c r="Z279">
        <v>-2.2903339999999999E-4</v>
      </c>
      <c r="AA279">
        <v>0.99973400000000001</v>
      </c>
      <c r="AB279">
        <v>39</v>
      </c>
      <c r="AC279">
        <v>259.72030000000001</v>
      </c>
      <c r="AD279">
        <v>4.0204079999999998</v>
      </c>
      <c r="AE279">
        <v>5.1476000000000104</v>
      </c>
      <c r="AF279">
        <v>-6.0000049732112801</v>
      </c>
      <c r="AG279">
        <v>4.0204079999999998</v>
      </c>
      <c r="AH279">
        <v>259.639781636973</v>
      </c>
      <c r="AI279">
        <v>89.113107654908006</v>
      </c>
      <c r="AJ279">
        <v>91.323810183346097</v>
      </c>
      <c r="AK279">
        <v>259.74021627129702</v>
      </c>
      <c r="AL279">
        <v>85.538639471620499</v>
      </c>
      <c r="AM279">
        <v>92.025332187508496</v>
      </c>
      <c r="AN279">
        <v>0.99999998915865196</v>
      </c>
    </row>
    <row r="280" spans="1:40" x14ac:dyDescent="0.25">
      <c r="A280" t="str">
        <f>"20190312160607646"</f>
        <v>20190312160607646</v>
      </c>
      <c r="B280" t="str">
        <f>"1552377967635292"</f>
        <v>1552377967635292</v>
      </c>
      <c r="C280" t="s">
        <v>40</v>
      </c>
      <c r="D280">
        <v>6.1349090000000004</v>
      </c>
      <c r="E280">
        <v>0.50369779999999997</v>
      </c>
      <c r="F280" t="s">
        <v>42</v>
      </c>
      <c r="G280">
        <v>-158.19499999999999</v>
      </c>
      <c r="H280">
        <v>4.9655579999999997</v>
      </c>
      <c r="I280">
        <v>373.74579999999997</v>
      </c>
      <c r="J280">
        <v>-417.68759999999997</v>
      </c>
      <c r="K280">
        <v>1.059142</v>
      </c>
      <c r="L280">
        <v>368.41640000000001</v>
      </c>
      <c r="M280">
        <v>0.99993430000000005</v>
      </c>
      <c r="N280">
        <v>0</v>
      </c>
      <c r="O280">
        <v>-3.5744629999999999E-3</v>
      </c>
      <c r="P280">
        <v>0.9972548</v>
      </c>
      <c r="Q280">
        <v>6.6595689999999999E-2</v>
      </c>
      <c r="R280">
        <v>3.2371030000000002E-2</v>
      </c>
      <c r="S280">
        <v>3.0032960000000002</v>
      </c>
      <c r="T280">
        <v>4.5173169999999999E-2</v>
      </c>
      <c r="U280">
        <v>6.1614990000000001E-2</v>
      </c>
      <c r="V280">
        <v>-3.5848449999999997E-2</v>
      </c>
      <c r="W280">
        <v>7.7489169999999996E-2</v>
      </c>
      <c r="X280">
        <v>0.99634849999999997</v>
      </c>
      <c r="Y280">
        <v>-2.4082139999999998E-2</v>
      </c>
      <c r="Z280">
        <v>-2.34842E-4</v>
      </c>
      <c r="AA280">
        <v>0.99970999999999999</v>
      </c>
      <c r="AB280">
        <v>39</v>
      </c>
      <c r="AC280">
        <v>259.49259999999998</v>
      </c>
      <c r="AD280">
        <v>3.9064160000000001</v>
      </c>
      <c r="AE280">
        <v>5.3293999999999597</v>
      </c>
      <c r="AF280">
        <v>-6.2555506003511203</v>
      </c>
      <c r="AG280">
        <v>3.9064160000000001</v>
      </c>
      <c r="AH280">
        <v>259.41312657863398</v>
      </c>
      <c r="AI280">
        <v>89.137517810252504</v>
      </c>
      <c r="AJ280">
        <v>91.381376510113995</v>
      </c>
      <c r="AK280">
        <v>259.51794203981501</v>
      </c>
      <c r="AL280">
        <v>85.555742403331806</v>
      </c>
      <c r="AM280">
        <v>92.060603549898005</v>
      </c>
      <c r="AN280">
        <v>1.0000000081434699</v>
      </c>
    </row>
    <row r="281" spans="1:40" x14ac:dyDescent="0.25">
      <c r="A281" t="str">
        <f>"20190312160607667"</f>
        <v>20190312160607667</v>
      </c>
      <c r="B281" t="str">
        <f>"1552377967655787"</f>
        <v>1552377967655787</v>
      </c>
      <c r="C281" t="s">
        <v>40</v>
      </c>
      <c r="D281">
        <v>6.0683669999999896</v>
      </c>
      <c r="E281">
        <v>0.50346610000000003</v>
      </c>
      <c r="F281" t="s">
        <v>42</v>
      </c>
      <c r="G281">
        <v>-158.19499999999999</v>
      </c>
      <c r="H281">
        <v>4.7662259999999996</v>
      </c>
      <c r="I281">
        <v>373.83499999999998</v>
      </c>
      <c r="J281">
        <v>-417.30419999999998</v>
      </c>
      <c r="K281">
        <v>1.0591549999999901</v>
      </c>
      <c r="L281">
        <v>368.41460000000001</v>
      </c>
      <c r="M281">
        <v>0.99992999999999999</v>
      </c>
      <c r="N281">
        <v>0</v>
      </c>
      <c r="O281">
        <v>-4.062782E-3</v>
      </c>
      <c r="P281">
        <v>0.99727540000000003</v>
      </c>
      <c r="Q281">
        <v>6.5968890000000002E-2</v>
      </c>
      <c r="R281">
        <v>3.3019529999999998E-2</v>
      </c>
      <c r="S281">
        <v>3.0033569999999998</v>
      </c>
      <c r="T281">
        <v>4.2906640000000003E-2</v>
      </c>
      <c r="U281">
        <v>6.2713619999999998E-2</v>
      </c>
      <c r="V281">
        <v>-3.6980770000000003E-2</v>
      </c>
      <c r="W281">
        <v>7.7094109999999993E-2</v>
      </c>
      <c r="X281">
        <v>0.99633780000000005</v>
      </c>
      <c r="Y281">
        <v>-2.4935639999999999E-2</v>
      </c>
      <c r="Z281">
        <v>-2.3612629999999999E-4</v>
      </c>
      <c r="AA281">
        <v>0.99968900000000005</v>
      </c>
      <c r="AB281">
        <v>39</v>
      </c>
      <c r="AC281">
        <v>259.10919999999999</v>
      </c>
      <c r="AD281">
        <v>3.707071</v>
      </c>
      <c r="AE281">
        <v>5.4203999999999697</v>
      </c>
      <c r="AF281">
        <v>-6.4718003257882204</v>
      </c>
      <c r="AG281">
        <v>3.707071</v>
      </c>
      <c r="AH281">
        <v>259.03203999375103</v>
      </c>
      <c r="AI281">
        <v>89.180337785536395</v>
      </c>
      <c r="AJ281">
        <v>91.431211820003</v>
      </c>
      <c r="AK281">
        <v>259.13939167594702</v>
      </c>
      <c r="AL281">
        <v>85.5784457551093</v>
      </c>
      <c r="AM281">
        <v>92.125654412112993</v>
      </c>
      <c r="AN281">
        <v>1.0000000454276601</v>
      </c>
    </row>
    <row r="282" spans="1:40" x14ac:dyDescent="0.25">
      <c r="A282" t="str">
        <f>"20190312160607688"</f>
        <v>20190312160607688</v>
      </c>
      <c r="B282" t="str">
        <f>"1552377967685070"</f>
        <v>1552377967685070</v>
      </c>
      <c r="C282" t="s">
        <v>40</v>
      </c>
      <c r="D282">
        <v>6.4172269999999996</v>
      </c>
      <c r="E282">
        <v>0.50335149999999995</v>
      </c>
      <c r="F282" t="s">
        <v>42</v>
      </c>
      <c r="G282">
        <v>-158.19499999999999</v>
      </c>
      <c r="H282">
        <v>4.5700909999999997</v>
      </c>
      <c r="I282">
        <v>374.15699999999998</v>
      </c>
      <c r="J282">
        <v>-416.9239</v>
      </c>
      <c r="K282">
        <v>1.0591790000000001</v>
      </c>
      <c r="L282">
        <v>368.4126</v>
      </c>
      <c r="M282">
        <v>0.99992510000000001</v>
      </c>
      <c r="N282">
        <v>0</v>
      </c>
      <c r="O282">
        <v>-4.5512479999999999E-3</v>
      </c>
      <c r="P282">
        <v>0.99725490000000006</v>
      </c>
      <c r="Q282">
        <v>6.6052269999999996E-2</v>
      </c>
      <c r="R282">
        <v>3.3463100000000003E-2</v>
      </c>
      <c r="S282">
        <v>3.0032649999999999</v>
      </c>
      <c r="T282">
        <v>4.0695309999999998E-2</v>
      </c>
      <c r="U282">
        <v>6.6558839999999994E-2</v>
      </c>
      <c r="V282">
        <v>-3.7908089999999998E-2</v>
      </c>
      <c r="W282">
        <v>7.742976E-2</v>
      </c>
      <c r="X282">
        <v>0.99627690000000002</v>
      </c>
      <c r="Y282">
        <v>-2.6704039999999998E-2</v>
      </c>
      <c r="Z282">
        <v>-2.4255939999999999E-4</v>
      </c>
      <c r="AA282">
        <v>0.99964330000000001</v>
      </c>
      <c r="AB282">
        <v>39</v>
      </c>
      <c r="AC282">
        <v>258.72890000000001</v>
      </c>
      <c r="AD282">
        <v>3.5109119999999998</v>
      </c>
      <c r="AE282">
        <v>5.7443999999999802</v>
      </c>
      <c r="AF282">
        <v>-6.9206821404062797</v>
      </c>
      <c r="AG282">
        <v>3.5109119999999998</v>
      </c>
      <c r="AH282">
        <v>258.65246912324102</v>
      </c>
      <c r="AI282">
        <v>89.222601153572299</v>
      </c>
      <c r="AJ282">
        <v>91.532679324577103</v>
      </c>
      <c r="AK282">
        <v>258.76885849713301</v>
      </c>
      <c r="AL282">
        <v>85.559156684080406</v>
      </c>
      <c r="AM282">
        <v>92.179039073715401</v>
      </c>
      <c r="AN282">
        <v>1.0000000262473501</v>
      </c>
    </row>
    <row r="283" spans="1:40" x14ac:dyDescent="0.25">
      <c r="A283" t="str">
        <f>"20190312160607710"</f>
        <v>20190312160607710</v>
      </c>
      <c r="B283" t="str">
        <f>"1552377967705565"</f>
        <v>1552377967705565</v>
      </c>
      <c r="C283" t="s">
        <v>40</v>
      </c>
      <c r="D283">
        <v>6.5724390000000001</v>
      </c>
      <c r="E283">
        <v>0.50312659999999998</v>
      </c>
      <c r="F283" t="s">
        <v>42</v>
      </c>
      <c r="G283">
        <v>-158.19499999999999</v>
      </c>
      <c r="H283">
        <v>4.5165550000000003</v>
      </c>
      <c r="I283">
        <v>374.3279</v>
      </c>
      <c r="J283">
        <v>-416.55720000000002</v>
      </c>
      <c r="K283">
        <v>1.0592140000000001</v>
      </c>
      <c r="L283">
        <v>368.41039999999998</v>
      </c>
      <c r="M283">
        <v>0.99991960000000002</v>
      </c>
      <c r="N283">
        <v>0</v>
      </c>
      <c r="O283">
        <v>-5.0267840000000003E-3</v>
      </c>
      <c r="P283">
        <v>0.99726170000000003</v>
      </c>
      <c r="Q283">
        <v>6.596436E-2</v>
      </c>
      <c r="R283">
        <v>3.343927E-2</v>
      </c>
      <c r="S283">
        <v>3.0032960000000002</v>
      </c>
      <c r="T283">
        <v>4.0133830000000002E-2</v>
      </c>
      <c r="U283">
        <v>6.8664550000000005E-2</v>
      </c>
      <c r="V283">
        <v>-3.8357879999999997E-2</v>
      </c>
      <c r="W283">
        <v>7.7616110000000002E-2</v>
      </c>
      <c r="X283">
        <v>0.99624509999999999</v>
      </c>
      <c r="Y283">
        <v>-2.787968E-2</v>
      </c>
      <c r="Z283">
        <v>-2.534169E-4</v>
      </c>
      <c r="AA283">
        <v>0.99961129999999998</v>
      </c>
      <c r="AB283">
        <v>39</v>
      </c>
      <c r="AC283">
        <v>258.36219999999997</v>
      </c>
      <c r="AD283">
        <v>3.457341</v>
      </c>
      <c r="AE283">
        <v>5.9175000000000102</v>
      </c>
      <c r="AF283">
        <v>-7.2149528983353397</v>
      </c>
      <c r="AG283">
        <v>3.457341</v>
      </c>
      <c r="AH283">
        <v>258.28296043820302</v>
      </c>
      <c r="AI283">
        <v>89.233391205886306</v>
      </c>
      <c r="AJ283">
        <v>91.600101202367796</v>
      </c>
      <c r="AK283">
        <v>258.406842798014</v>
      </c>
      <c r="AL283">
        <v>85.548447017318395</v>
      </c>
      <c r="AM283">
        <v>92.204938917791296</v>
      </c>
      <c r="AN283">
        <v>0.99999994338181597</v>
      </c>
    </row>
    <row r="284" spans="1:40" x14ac:dyDescent="0.25">
      <c r="A284" t="str">
        <f>"20190312160607723"</f>
        <v>20190312160607723</v>
      </c>
      <c r="B284" t="str">
        <f>"1552377967715324"</f>
        <v>1552377967715324</v>
      </c>
      <c r="C284" t="s">
        <v>40</v>
      </c>
      <c r="D284">
        <v>6.1116669999999997</v>
      </c>
      <c r="E284">
        <v>0.50299929999999904</v>
      </c>
      <c r="F284" t="s">
        <v>42</v>
      </c>
      <c r="G284">
        <v>-158.19499999999999</v>
      </c>
      <c r="H284">
        <v>4.521922</v>
      </c>
      <c r="I284">
        <v>374.47250000000003</v>
      </c>
      <c r="J284">
        <v>-416.32749999999999</v>
      </c>
      <c r="K284">
        <v>1.059245</v>
      </c>
      <c r="L284">
        <v>368.40899999999999</v>
      </c>
      <c r="M284">
        <v>0.99991600000000003</v>
      </c>
      <c r="N284">
        <v>0</v>
      </c>
      <c r="O284">
        <v>-5.3274450000000001E-3</v>
      </c>
      <c r="P284">
        <v>0.99731720000000001</v>
      </c>
      <c r="Q284">
        <v>6.5321900000000002E-2</v>
      </c>
      <c r="R284">
        <v>3.3049219999999997E-2</v>
      </c>
      <c r="S284">
        <v>3.003174</v>
      </c>
      <c r="T284">
        <v>4.0251139999999998E-2</v>
      </c>
      <c r="U284">
        <v>7.0465089999999994E-2</v>
      </c>
      <c r="V284">
        <v>-3.8267559999999999E-2</v>
      </c>
      <c r="W284">
        <v>7.7159729999999996E-2</v>
      </c>
      <c r="X284">
        <v>0.99628410000000001</v>
      </c>
      <c r="Y284">
        <v>-2.878004E-2</v>
      </c>
      <c r="Z284">
        <v>-2.6422819999999999E-4</v>
      </c>
      <c r="AA284">
        <v>0.99958570000000002</v>
      </c>
      <c r="AB284">
        <v>39</v>
      </c>
      <c r="AC284">
        <v>258.13249999999999</v>
      </c>
      <c r="AD284">
        <v>3.4626769999999998</v>
      </c>
      <c r="AE284">
        <v>6.0635000000000296</v>
      </c>
      <c r="AF284">
        <v>-7.4373590696856002</v>
      </c>
      <c r="AG284">
        <v>3.4626769999999998</v>
      </c>
      <c r="AH284">
        <v>258.05012203467402</v>
      </c>
      <c r="AI284">
        <v>89.231534809053002</v>
      </c>
      <c r="AJ284">
        <v>91.650886074630904</v>
      </c>
      <c r="AK284">
        <v>258.18049872917999</v>
      </c>
      <c r="AL284">
        <v>85.574674656345294</v>
      </c>
      <c r="AM284">
        <v>92.199666103593998</v>
      </c>
      <c r="AN284">
        <v>1.0000000189974101</v>
      </c>
    </row>
    <row r="285" spans="1:40" x14ac:dyDescent="0.25">
      <c r="A285" t="str">
        <f>"20190312160607743"</f>
        <v>20190312160607743</v>
      </c>
      <c r="B285" t="str">
        <f>"1552377967735819"</f>
        <v>1552377967735819</v>
      </c>
      <c r="C285" t="s">
        <v>40</v>
      </c>
      <c r="D285">
        <v>6.061966</v>
      </c>
      <c r="E285">
        <v>0.50290349999999995</v>
      </c>
      <c r="F285" t="s">
        <v>42</v>
      </c>
      <c r="G285">
        <v>-158.19499999999999</v>
      </c>
      <c r="H285">
        <v>4.3288399999999996</v>
      </c>
      <c r="I285">
        <v>374.46570000000003</v>
      </c>
      <c r="J285">
        <v>-415.95780000000002</v>
      </c>
      <c r="K285">
        <v>1.0592870000000001</v>
      </c>
      <c r="L285">
        <v>368.40660000000003</v>
      </c>
      <c r="M285">
        <v>0.99990959999999995</v>
      </c>
      <c r="N285">
        <v>0</v>
      </c>
      <c r="O285">
        <v>-5.8114439999999998E-3</v>
      </c>
      <c r="P285">
        <v>0.99734509999999998</v>
      </c>
      <c r="Q285">
        <v>6.5238840000000006E-2</v>
      </c>
      <c r="R285">
        <v>3.2359239999999997E-2</v>
      </c>
      <c r="S285">
        <v>3.0032040000000002</v>
      </c>
      <c r="T285">
        <v>3.8040640000000001E-2</v>
      </c>
      <c r="U285">
        <v>7.0465089999999994E-2</v>
      </c>
      <c r="V285">
        <v>-3.8060240000000002E-2</v>
      </c>
      <c r="W285">
        <v>7.7384579999999994E-2</v>
      </c>
      <c r="X285">
        <v>0.99627460000000001</v>
      </c>
      <c r="Y285">
        <v>-2.9263910000000001E-2</v>
      </c>
      <c r="Z285">
        <v>-2.5891039999999997E-4</v>
      </c>
      <c r="AA285">
        <v>0.99957169999999895</v>
      </c>
      <c r="AB285">
        <v>39</v>
      </c>
      <c r="AC285">
        <v>257.76280000000003</v>
      </c>
      <c r="AD285">
        <v>3.2695529999999899</v>
      </c>
      <c r="AE285">
        <v>6.0590999999999999</v>
      </c>
      <c r="AF285">
        <v>-7.5558668600734</v>
      </c>
      <c r="AG285">
        <v>3.2695529999999899</v>
      </c>
      <c r="AH285">
        <v>257.68179569939599</v>
      </c>
      <c r="AI285">
        <v>89.273363236648194</v>
      </c>
      <c r="AJ285">
        <v>91.679572546921094</v>
      </c>
      <c r="AK285">
        <v>257.813283086213</v>
      </c>
      <c r="AL285">
        <v>85.561753055903495</v>
      </c>
      <c r="AM285">
        <v>92.187781549224397</v>
      </c>
      <c r="AN285">
        <v>1.00000001684789</v>
      </c>
    </row>
    <row r="286" spans="1:40" x14ac:dyDescent="0.25">
      <c r="A286" t="str">
        <f>"20190312160607766"</f>
        <v>20190312160607766</v>
      </c>
      <c r="B286" t="str">
        <f>"1552377967755339"</f>
        <v>1552377967755339</v>
      </c>
      <c r="C286" t="s">
        <v>40</v>
      </c>
      <c r="D286">
        <v>6.063447</v>
      </c>
      <c r="E286">
        <v>0.50273069999999997</v>
      </c>
      <c r="F286" t="s">
        <v>42</v>
      </c>
      <c r="G286">
        <v>-158.19499999999999</v>
      </c>
      <c r="H286">
        <v>4.2680189999999998</v>
      </c>
      <c r="I286">
        <v>374.33640000000003</v>
      </c>
      <c r="J286">
        <v>-415.5788</v>
      </c>
      <c r="K286">
        <v>1.0593300000000001</v>
      </c>
      <c r="L286">
        <v>368.404</v>
      </c>
      <c r="M286">
        <v>0.99990259999999997</v>
      </c>
      <c r="N286">
        <v>0</v>
      </c>
      <c r="O286">
        <v>-6.3053229999999998E-3</v>
      </c>
      <c r="P286">
        <v>0.99739460000000002</v>
      </c>
      <c r="Q286">
        <v>6.5201029999999993E-2</v>
      </c>
      <c r="R286">
        <v>3.0876239999999999E-2</v>
      </c>
      <c r="S286">
        <v>3.0033569999999998</v>
      </c>
      <c r="T286">
        <v>3.738797E-2</v>
      </c>
      <c r="U286">
        <v>6.9091799999999995E-2</v>
      </c>
      <c r="V286">
        <v>-3.7069409999999997E-2</v>
      </c>
      <c r="W286">
        <v>7.7656989999999995E-2</v>
      </c>
      <c r="X286">
        <v>0.99629069999999997</v>
      </c>
      <c r="Y286">
        <v>-2.9299700000000001E-2</v>
      </c>
      <c r="Z286">
        <v>-2.6082779999999999E-4</v>
      </c>
      <c r="AA286">
        <v>0.99957059999999998</v>
      </c>
      <c r="AB286">
        <v>39</v>
      </c>
      <c r="AC286">
        <v>257.38380000000001</v>
      </c>
      <c r="AD286">
        <v>3.2086890000000001</v>
      </c>
      <c r="AE286">
        <v>5.9324000000000296</v>
      </c>
      <c r="AF286">
        <v>-7.5541224622612804</v>
      </c>
      <c r="AG286">
        <v>3.2086890000000001</v>
      </c>
      <c r="AH286">
        <v>257.30130690028699</v>
      </c>
      <c r="AI286">
        <v>89.285834801124693</v>
      </c>
      <c r="AJ286">
        <v>91.681666710996794</v>
      </c>
      <c r="AK286">
        <v>257.43217161782502</v>
      </c>
      <c r="AL286">
        <v>85.546097722508705</v>
      </c>
      <c r="AM286">
        <v>92.130845386927902</v>
      </c>
      <c r="AN286">
        <v>0.99999995408004805</v>
      </c>
    </row>
    <row r="287" spans="1:40" x14ac:dyDescent="0.25">
      <c r="A287" t="str">
        <f>"20190312160607788"</f>
        <v>20190312160607788</v>
      </c>
      <c r="B287" t="str">
        <f>"1552377967785596"</f>
        <v>1552377967785596</v>
      </c>
      <c r="C287" t="s">
        <v>40</v>
      </c>
      <c r="D287">
        <v>6.0106859999999998</v>
      </c>
      <c r="E287">
        <v>0.50254949999999998</v>
      </c>
      <c r="F287" t="s">
        <v>42</v>
      </c>
      <c r="G287">
        <v>-158.19499999999999</v>
      </c>
      <c r="H287">
        <v>4.2443530000000003</v>
      </c>
      <c r="I287">
        <v>374.08980000000003</v>
      </c>
      <c r="J287">
        <v>-415.1927</v>
      </c>
      <c r="K287">
        <v>1.059358</v>
      </c>
      <c r="L287">
        <v>368.40109999999999</v>
      </c>
      <c r="M287">
        <v>0.99989570000000005</v>
      </c>
      <c r="N287">
        <v>0</v>
      </c>
      <c r="O287">
        <v>-6.8032619999999896E-3</v>
      </c>
      <c r="P287">
        <v>0.99743559999999998</v>
      </c>
      <c r="Q287">
        <v>6.5073889999999995E-2</v>
      </c>
      <c r="R287">
        <v>2.9800239999999999E-2</v>
      </c>
      <c r="S287">
        <v>3.0033259999999999</v>
      </c>
      <c r="T287">
        <v>3.7165999999999998E-2</v>
      </c>
      <c r="U287">
        <v>6.6345210000000002E-2</v>
      </c>
      <c r="V287">
        <v>-3.6488859999999998E-2</v>
      </c>
      <c r="W287">
        <v>7.7827179999999996E-2</v>
      </c>
      <c r="X287">
        <v>0.99629889999999999</v>
      </c>
      <c r="Y287">
        <v>-2.8884099999999999E-2</v>
      </c>
      <c r="Z287">
        <v>-2.6287540000000001E-4</v>
      </c>
      <c r="AA287">
        <v>0.99958270000000005</v>
      </c>
      <c r="AB287">
        <v>39</v>
      </c>
      <c r="AC287">
        <v>256.99770000000001</v>
      </c>
      <c r="AD287">
        <v>3.1849949999999998</v>
      </c>
      <c r="AE287">
        <v>5.6887000000000398</v>
      </c>
      <c r="AF287">
        <v>-7.4359913962277799</v>
      </c>
      <c r="AG287">
        <v>3.1849949999999998</v>
      </c>
      <c r="AH287">
        <v>256.913606937211</v>
      </c>
      <c r="AI287">
        <v>89.290029640487802</v>
      </c>
      <c r="AJ287">
        <v>91.657880314727393</v>
      </c>
      <c r="AK287">
        <v>257.04092979656502</v>
      </c>
      <c r="AL287">
        <v>85.536317168422102</v>
      </c>
      <c r="AM287">
        <v>92.097486670631696</v>
      </c>
      <c r="AN287">
        <v>1.00000000249603</v>
      </c>
    </row>
    <row r="288" spans="1:40" x14ac:dyDescent="0.25">
      <c r="A288" t="str">
        <f>"20190312160607800"</f>
        <v>20190312160607800</v>
      </c>
      <c r="B288" t="str">
        <f>"1552377967795356"</f>
        <v>1552377967795356</v>
      </c>
      <c r="C288" t="s">
        <v>40</v>
      </c>
      <c r="D288">
        <v>6.1107740000000002</v>
      </c>
      <c r="E288">
        <v>0.5025501</v>
      </c>
      <c r="F288" t="s">
        <v>42</v>
      </c>
      <c r="G288">
        <v>-158.19499999999999</v>
      </c>
      <c r="H288">
        <v>4.1290250000000004</v>
      </c>
      <c r="I288">
        <v>373.91890000000001</v>
      </c>
      <c r="J288">
        <v>-414.98070000000001</v>
      </c>
      <c r="K288">
        <v>1.059369</v>
      </c>
      <c r="L288">
        <v>368.39940000000001</v>
      </c>
      <c r="M288">
        <v>0.99989189999999994</v>
      </c>
      <c r="N288">
        <v>0</v>
      </c>
      <c r="O288">
        <v>-7.0741600000000003E-3</v>
      </c>
      <c r="P288">
        <v>0.99744739999999998</v>
      </c>
      <c r="Q288">
        <v>6.5162360000000003E-2</v>
      </c>
      <c r="R288">
        <v>2.920348E-2</v>
      </c>
      <c r="S288">
        <v>3.003387</v>
      </c>
      <c r="T288">
        <v>3.5874490000000002E-2</v>
      </c>
      <c r="U288">
        <v>6.4483639999999995E-2</v>
      </c>
      <c r="V288">
        <v>-3.6161329999999998E-2</v>
      </c>
      <c r="W288">
        <v>7.8067719999999993E-2</v>
      </c>
      <c r="X288">
        <v>0.99629199999999996</v>
      </c>
      <c r="Y288">
        <v>-2.8535399999999999E-2</v>
      </c>
      <c r="Z288">
        <v>-2.548912E-4</v>
      </c>
      <c r="AA288">
        <v>0.9995927</v>
      </c>
      <c r="AB288">
        <v>39</v>
      </c>
      <c r="AC288">
        <v>256.78570000000002</v>
      </c>
      <c r="AD288">
        <v>3.0696560000000002</v>
      </c>
      <c r="AE288">
        <v>5.5194999999999901</v>
      </c>
      <c r="AF288">
        <v>-7.3350082158822598</v>
      </c>
      <c r="AG288">
        <v>3.0696560000000002</v>
      </c>
      <c r="AH288">
        <v>256.70355805921798</v>
      </c>
      <c r="AI288">
        <v>89.315170357483197</v>
      </c>
      <c r="AJ288">
        <v>91.636715499585094</v>
      </c>
      <c r="AK288">
        <v>256.82667667854798</v>
      </c>
      <c r="AL288">
        <v>85.522493080683503</v>
      </c>
      <c r="AM288">
        <v>92.078690260406901</v>
      </c>
      <c r="AN288">
        <v>0.99999997997868295</v>
      </c>
    </row>
    <row r="289" spans="1:40" x14ac:dyDescent="0.25">
      <c r="A289" t="str">
        <f>"20190312160607812"</f>
        <v>20190312160607812</v>
      </c>
      <c r="B289" t="str">
        <f>"1552377967805115"</f>
        <v>1552377967805115</v>
      </c>
      <c r="C289" t="s">
        <v>40</v>
      </c>
      <c r="D289">
        <v>6.0091519999999896</v>
      </c>
      <c r="E289">
        <v>0.50249149999999998</v>
      </c>
      <c r="F289" t="s">
        <v>42</v>
      </c>
      <c r="G289">
        <v>-158.19499999999999</v>
      </c>
      <c r="H289">
        <v>4.1200289999999997</v>
      </c>
      <c r="I289">
        <v>373.72980000000001</v>
      </c>
      <c r="J289">
        <v>-414.75400000000002</v>
      </c>
      <c r="K289">
        <v>1.0593840000000001</v>
      </c>
      <c r="L289">
        <v>368.39760000000001</v>
      </c>
      <c r="M289">
        <v>0.99988770000000005</v>
      </c>
      <c r="N289">
        <v>0</v>
      </c>
      <c r="O289">
        <v>-7.3629790000000004E-3</v>
      </c>
      <c r="P289">
        <v>0.99748720000000002</v>
      </c>
      <c r="Q289">
        <v>6.4937320000000007E-2</v>
      </c>
      <c r="R289">
        <v>2.8324999999999999E-2</v>
      </c>
      <c r="S289">
        <v>3.0035099999999999</v>
      </c>
      <c r="T289">
        <v>3.5800220000000001E-2</v>
      </c>
      <c r="U289">
        <v>6.2347409999999999E-2</v>
      </c>
      <c r="V289">
        <v>-3.5570060000000001E-2</v>
      </c>
      <c r="W289">
        <v>7.7998310000000001E-2</v>
      </c>
      <c r="X289">
        <v>0.99631879999999995</v>
      </c>
      <c r="Y289">
        <v>-2.8112660000000001E-2</v>
      </c>
      <c r="Z289">
        <v>-2.5527870000000003E-4</v>
      </c>
      <c r="AA289">
        <v>0.99960470000000001</v>
      </c>
      <c r="AB289">
        <v>39</v>
      </c>
      <c r="AC289">
        <v>256.55900000000003</v>
      </c>
      <c r="AD289">
        <v>3.0606450000000001</v>
      </c>
      <c r="AE289">
        <v>5.3322000000000003</v>
      </c>
      <c r="AF289">
        <v>-7.2202278013987602</v>
      </c>
      <c r="AG289">
        <v>3.0606450000000001</v>
      </c>
      <c r="AH289">
        <v>256.476295297739</v>
      </c>
      <c r="AI289">
        <v>89.316567326452201</v>
      </c>
      <c r="AJ289">
        <v>91.612544141113403</v>
      </c>
      <c r="AK289">
        <v>256.59615992250002</v>
      </c>
      <c r="AL289">
        <v>85.526482495826201</v>
      </c>
      <c r="AM289">
        <v>92.044675956125303</v>
      </c>
      <c r="AN289">
        <v>1.0000000583823401</v>
      </c>
    </row>
    <row r="290" spans="1:40" x14ac:dyDescent="0.25">
      <c r="A290" t="str">
        <f>"20190312160607824"</f>
        <v>20190312160607824</v>
      </c>
      <c r="B290" t="str">
        <f>"1552377967814876"</f>
        <v>1552377967814876</v>
      </c>
      <c r="C290" t="s">
        <v>40</v>
      </c>
      <c r="D290">
        <v>5.9874519999999896</v>
      </c>
      <c r="E290">
        <v>0.50249149999999998</v>
      </c>
      <c r="F290" t="s">
        <v>42</v>
      </c>
      <c r="G290">
        <v>-158.19499999999999</v>
      </c>
      <c r="H290">
        <v>4.0145379999999999</v>
      </c>
      <c r="I290">
        <v>373.52499999999998</v>
      </c>
      <c r="J290">
        <v>-414.55500000000001</v>
      </c>
      <c r="K290">
        <v>1.0593900000000001</v>
      </c>
      <c r="L290">
        <v>368.39580000000001</v>
      </c>
      <c r="M290">
        <v>0.99988410000000005</v>
      </c>
      <c r="N290">
        <v>0</v>
      </c>
      <c r="O290">
        <v>-7.6156890000000001E-3</v>
      </c>
      <c r="P290">
        <v>0.99750649999999996</v>
      </c>
      <c r="Q290">
        <v>6.4789109999999997E-2</v>
      </c>
      <c r="R290">
        <v>2.7983480000000002E-2</v>
      </c>
      <c r="S290">
        <v>3.0036010000000002</v>
      </c>
      <c r="T290">
        <v>3.4597749999999997E-2</v>
      </c>
      <c r="U290">
        <v>6.0028079999999998E-2</v>
      </c>
      <c r="V290">
        <v>-3.547985E-2</v>
      </c>
      <c r="W290">
        <v>7.7975500000000003E-2</v>
      </c>
      <c r="X290">
        <v>0.99632379999999998</v>
      </c>
      <c r="Y290">
        <v>-2.7593300000000001E-2</v>
      </c>
      <c r="Z290">
        <v>-2.4661939999999998E-4</v>
      </c>
      <c r="AA290">
        <v>0.99961920000000004</v>
      </c>
      <c r="AB290">
        <v>39</v>
      </c>
      <c r="AC290">
        <v>256.36</v>
      </c>
      <c r="AD290">
        <v>2.9551479999999999</v>
      </c>
      <c r="AE290">
        <v>5.12919999999996</v>
      </c>
      <c r="AF290">
        <v>-7.0806384355601901</v>
      </c>
      <c r="AG290">
        <v>2.9551479999999999</v>
      </c>
      <c r="AH290">
        <v>256.279457881121</v>
      </c>
      <c r="AI290">
        <v>89.339605959170697</v>
      </c>
      <c r="AJ290">
        <v>91.582598631822194</v>
      </c>
      <c r="AK290">
        <v>256.39428400843599</v>
      </c>
      <c r="AL290">
        <v>85.527793396129397</v>
      </c>
      <c r="AM290">
        <v>92.0394845674099</v>
      </c>
      <c r="AN290">
        <v>1.00000005640135</v>
      </c>
    </row>
    <row r="291" spans="1:40" x14ac:dyDescent="0.25">
      <c r="A291" t="str">
        <f>"20190312160607845"</f>
        <v>20190312160607845</v>
      </c>
      <c r="B291" t="str">
        <f>"1552377967835371"</f>
        <v>1552377967835371</v>
      </c>
      <c r="C291" t="s">
        <v>40</v>
      </c>
      <c r="D291">
        <v>6.0651710000000003</v>
      </c>
      <c r="E291">
        <v>0.50241049999999998</v>
      </c>
      <c r="F291" t="s">
        <v>42</v>
      </c>
      <c r="G291">
        <v>-158.19499999999999</v>
      </c>
      <c r="H291">
        <v>3.9745460000000001</v>
      </c>
      <c r="I291">
        <v>373.44889999999998</v>
      </c>
      <c r="J291">
        <v>-414.20819999999998</v>
      </c>
      <c r="K291">
        <v>1.0593969999999999</v>
      </c>
      <c r="L291">
        <v>368.39280000000002</v>
      </c>
      <c r="M291">
        <v>0.99987789999999999</v>
      </c>
      <c r="N291">
        <v>0</v>
      </c>
      <c r="O291">
        <v>-8.0567609999999904E-3</v>
      </c>
      <c r="P291">
        <v>0.99757580000000001</v>
      </c>
      <c r="Q291">
        <v>6.4115229999999995E-2</v>
      </c>
      <c r="R291">
        <v>2.7050580000000001E-2</v>
      </c>
      <c r="S291">
        <v>3.0036320000000001</v>
      </c>
      <c r="T291">
        <v>3.4156319999999997E-2</v>
      </c>
      <c r="U291">
        <v>5.9204100000000003E-2</v>
      </c>
      <c r="V291">
        <v>-3.4987520000000001E-2</v>
      </c>
      <c r="W291">
        <v>7.7506290000000005E-2</v>
      </c>
      <c r="X291">
        <v>0.99637779999999998</v>
      </c>
      <c r="Y291">
        <v>-2.775998E-2</v>
      </c>
      <c r="Z291">
        <v>-2.4943460000000003E-4</v>
      </c>
      <c r="AA291">
        <v>0.99961460000000002</v>
      </c>
      <c r="AB291">
        <v>39</v>
      </c>
      <c r="AC291">
        <v>256.01319999999998</v>
      </c>
      <c r="AD291">
        <v>2.915149</v>
      </c>
      <c r="AE291">
        <v>5.0560999999999501</v>
      </c>
      <c r="AF291">
        <v>-7.1178354279177602</v>
      </c>
      <c r="AG291">
        <v>2.915149</v>
      </c>
      <c r="AH291">
        <v>255.930979477954</v>
      </c>
      <c r="AI291">
        <v>89.347660208843095</v>
      </c>
      <c r="AJ291">
        <v>91.593073379632102</v>
      </c>
      <c r="AK291">
        <v>256.046534699098</v>
      </c>
      <c r="AL291">
        <v>85.554758664462298</v>
      </c>
      <c r="AM291">
        <v>92.011098507014793</v>
      </c>
      <c r="AN291">
        <v>1.0000000359390699</v>
      </c>
    </row>
    <row r="292" spans="1:40" x14ac:dyDescent="0.25">
      <c r="A292" t="str">
        <f>"20190312160607867"</f>
        <v>20190312160607867</v>
      </c>
      <c r="B292" t="str">
        <f>"1552377967865627"</f>
        <v>1552377967865627</v>
      </c>
      <c r="C292" t="s">
        <v>40</v>
      </c>
      <c r="D292">
        <v>6.0274130000000001</v>
      </c>
      <c r="E292">
        <v>0.50224290000000005</v>
      </c>
      <c r="F292" t="s">
        <v>42</v>
      </c>
      <c r="G292">
        <v>-158.19499999999999</v>
      </c>
      <c r="H292">
        <v>3.7301150000000001</v>
      </c>
      <c r="I292">
        <v>373.2568</v>
      </c>
      <c r="J292">
        <v>-413.81270000000001</v>
      </c>
      <c r="K292">
        <v>1.059409</v>
      </c>
      <c r="L292">
        <v>368.38909999999998</v>
      </c>
      <c r="M292">
        <v>0.99987099999999995</v>
      </c>
      <c r="N292">
        <v>0</v>
      </c>
      <c r="O292">
        <v>-8.5616340000000003E-3</v>
      </c>
      <c r="P292">
        <v>0.99761580000000005</v>
      </c>
      <c r="Q292">
        <v>6.3709740000000001E-2</v>
      </c>
      <c r="R292">
        <v>2.65372E-2</v>
      </c>
      <c r="S292">
        <v>3.0037229999999999</v>
      </c>
      <c r="T292">
        <v>3.1335710000000003E-2</v>
      </c>
      <c r="U292">
        <v>5.706787E-2</v>
      </c>
      <c r="V292">
        <v>-3.4977599999999998E-2</v>
      </c>
      <c r="W292">
        <v>7.7310420000000005E-2</v>
      </c>
      <c r="X292">
        <v>0.99639330000000004</v>
      </c>
      <c r="Y292">
        <v>-2.755384E-2</v>
      </c>
      <c r="Z292">
        <v>-2.330241E-4</v>
      </c>
      <c r="AA292">
        <v>0.99962030000000002</v>
      </c>
      <c r="AB292">
        <v>39</v>
      </c>
      <c r="AC292">
        <v>255.61770000000001</v>
      </c>
      <c r="AD292">
        <v>2.670706</v>
      </c>
      <c r="AE292">
        <v>4.8677000000000099</v>
      </c>
      <c r="AF292">
        <v>-7.0554589598181403</v>
      </c>
      <c r="AG292">
        <v>2.670706</v>
      </c>
      <c r="AH292">
        <v>255.53876525691001</v>
      </c>
      <c r="AI292">
        <v>89.401435921180493</v>
      </c>
      <c r="AJ292">
        <v>91.581542219025707</v>
      </c>
      <c r="AK292">
        <v>255.65009822157</v>
      </c>
      <c r="AL292">
        <v>85.566014674352203</v>
      </c>
      <c r="AM292">
        <v>92.010497518613406</v>
      </c>
      <c r="AN292">
        <v>0.99999997091361204</v>
      </c>
    </row>
    <row r="293" spans="1:40" x14ac:dyDescent="0.25">
      <c r="A293" t="str">
        <f>"20190312160607890"</f>
        <v>20190312160607890</v>
      </c>
      <c r="B293" t="str">
        <f>"1552377967885149"</f>
        <v>1552377967885149</v>
      </c>
      <c r="C293" t="s">
        <v>40</v>
      </c>
      <c r="D293">
        <v>7.0787839999999997</v>
      </c>
      <c r="E293">
        <v>0.50210569999999999</v>
      </c>
      <c r="F293" t="s">
        <v>42</v>
      </c>
      <c r="G293">
        <v>-158.19499999999999</v>
      </c>
      <c r="H293">
        <v>3.521296</v>
      </c>
      <c r="I293">
        <v>373.22210000000001</v>
      </c>
      <c r="J293">
        <v>-413.42770000000002</v>
      </c>
      <c r="K293">
        <v>1.0594190000000001</v>
      </c>
      <c r="L293">
        <v>368.38529999999997</v>
      </c>
      <c r="M293">
        <v>0.99986419999999998</v>
      </c>
      <c r="N293">
        <v>0</v>
      </c>
      <c r="O293">
        <v>-9.0556620000000008E-3</v>
      </c>
      <c r="P293">
        <v>0.9976545</v>
      </c>
      <c r="Q293">
        <v>6.3363749999999996E-2</v>
      </c>
      <c r="R293">
        <v>2.5900389999999999E-2</v>
      </c>
      <c r="S293">
        <v>3.0038149999999999</v>
      </c>
      <c r="T293">
        <v>2.8931140000000001E-2</v>
      </c>
      <c r="U293">
        <v>5.6793209999999997E-2</v>
      </c>
      <c r="V293">
        <v>-3.4834080000000003E-2</v>
      </c>
      <c r="W293">
        <v>7.7144500000000005E-2</v>
      </c>
      <c r="X293">
        <v>0.99641120000000005</v>
      </c>
      <c r="Y293">
        <v>-2.7956060000000001E-2</v>
      </c>
      <c r="Z293">
        <v>-2.2183249999999999E-4</v>
      </c>
      <c r="AA293">
        <v>0.99960910000000003</v>
      </c>
      <c r="AB293">
        <v>39</v>
      </c>
      <c r="AC293">
        <v>255.23269999999999</v>
      </c>
      <c r="AD293">
        <v>2.4618769999999999</v>
      </c>
      <c r="AE293">
        <v>4.8368000000000304</v>
      </c>
      <c r="AF293">
        <v>-7.1474570694023596</v>
      </c>
      <c r="AG293">
        <v>2.4618769999999999</v>
      </c>
      <c r="AH293">
        <v>255.15469749759899</v>
      </c>
      <c r="AI293">
        <v>89.447411778347202</v>
      </c>
      <c r="AJ293">
        <v>91.604564070687402</v>
      </c>
      <c r="AK293">
        <v>255.26665790113199</v>
      </c>
      <c r="AL293">
        <v>85.575549721311404</v>
      </c>
      <c r="AM293">
        <v>92.002218838544096</v>
      </c>
      <c r="AN293">
        <v>0.999999983247568</v>
      </c>
    </row>
    <row r="294" spans="1:40" x14ac:dyDescent="0.25">
      <c r="A294" t="str">
        <f>"20190312160607911"</f>
        <v>20190312160607911</v>
      </c>
      <c r="B294" t="str">
        <f>"1552377967905644"</f>
        <v>1552377967905644</v>
      </c>
      <c r="C294" t="s">
        <v>40</v>
      </c>
      <c r="D294">
        <v>6.0646740000000001</v>
      </c>
      <c r="E294">
        <v>0.50226219999999999</v>
      </c>
      <c r="F294" t="s">
        <v>42</v>
      </c>
      <c r="G294">
        <v>-158.19499999999999</v>
      </c>
      <c r="H294">
        <v>3.4184779999999999</v>
      </c>
      <c r="I294">
        <v>373.18770000000001</v>
      </c>
      <c r="J294">
        <v>-413.0634</v>
      </c>
      <c r="K294">
        <v>1.059431</v>
      </c>
      <c r="L294">
        <v>368.38150000000002</v>
      </c>
      <c r="M294">
        <v>0.99985780000000002</v>
      </c>
      <c r="N294">
        <v>0</v>
      </c>
      <c r="O294">
        <v>-9.5259690000000005E-3</v>
      </c>
      <c r="P294">
        <v>0.99768869999999998</v>
      </c>
      <c r="Q294">
        <v>6.2880610000000003E-2</v>
      </c>
      <c r="R294">
        <v>2.5758179999999999E-2</v>
      </c>
      <c r="S294">
        <v>3.003784</v>
      </c>
      <c r="T294">
        <v>2.7764319999999999E-2</v>
      </c>
      <c r="U294">
        <v>5.6518550000000001E-2</v>
      </c>
      <c r="V294">
        <v>-3.5161400000000002E-2</v>
      </c>
      <c r="W294">
        <v>7.6811240000000003E-2</v>
      </c>
      <c r="X294">
        <v>0.99642540000000002</v>
      </c>
      <c r="Y294">
        <v>-2.833519E-2</v>
      </c>
      <c r="Z294">
        <v>-2.189878E-4</v>
      </c>
      <c r="AA294">
        <v>0.9995984</v>
      </c>
      <c r="AB294">
        <v>39</v>
      </c>
      <c r="AC294">
        <v>254.86840000000001</v>
      </c>
      <c r="AD294">
        <v>2.3590469999999999</v>
      </c>
      <c r="AE294">
        <v>4.8061999999999898</v>
      </c>
      <c r="AF294">
        <v>-7.2334659698479404</v>
      </c>
      <c r="AG294">
        <v>2.3590469999999999</v>
      </c>
      <c r="AH294">
        <v>254.78922479418699</v>
      </c>
      <c r="AI294">
        <v>89.469737615498602</v>
      </c>
      <c r="AJ294">
        <v>91.626190347948807</v>
      </c>
      <c r="AK294">
        <v>254.902799521519</v>
      </c>
      <c r="AL294">
        <v>85.594700722181102</v>
      </c>
      <c r="AM294">
        <v>92.0209884711375</v>
      </c>
      <c r="AN294">
        <v>0.99999993420272604</v>
      </c>
    </row>
    <row r="295" spans="1:40" x14ac:dyDescent="0.25">
      <c r="A295" t="str">
        <f>"20190312160607933"</f>
        <v>20190312160607933</v>
      </c>
      <c r="B295" t="str">
        <f>"1552377967925163"</f>
        <v>1552377967925163</v>
      </c>
      <c r="C295" t="s">
        <v>40</v>
      </c>
      <c r="D295">
        <v>6.3740839999999999</v>
      </c>
      <c r="E295">
        <v>0.50233509999999904</v>
      </c>
      <c r="F295" t="s">
        <v>42</v>
      </c>
      <c r="G295">
        <v>-158.19499999999999</v>
      </c>
      <c r="H295">
        <v>3.345135</v>
      </c>
      <c r="I295">
        <v>373.01139999999998</v>
      </c>
      <c r="J295">
        <v>-412.67070000000001</v>
      </c>
      <c r="K295">
        <v>1.0594399999999999</v>
      </c>
      <c r="L295">
        <v>368.37729999999999</v>
      </c>
      <c r="M295">
        <v>0.99985069999999998</v>
      </c>
      <c r="N295">
        <v>0</v>
      </c>
      <c r="O295">
        <v>-1.0033530000000001E-2</v>
      </c>
      <c r="P295">
        <v>0.99773250000000002</v>
      </c>
      <c r="Q295">
        <v>6.2422020000000002E-2</v>
      </c>
      <c r="R295">
        <v>2.5165590000000002E-2</v>
      </c>
      <c r="S295">
        <v>3.0038149999999999</v>
      </c>
      <c r="T295">
        <v>2.6939749999999998E-2</v>
      </c>
      <c r="U295">
        <v>5.4565429999999998E-2</v>
      </c>
      <c r="V295">
        <v>-3.5076250000000003E-2</v>
      </c>
      <c r="W295">
        <v>7.6495060000000004E-2</v>
      </c>
      <c r="X295">
        <v>0.99645280000000003</v>
      </c>
      <c r="Y295">
        <v>-2.8192789999999999E-2</v>
      </c>
      <c r="Z295">
        <v>-2.163972E-4</v>
      </c>
      <c r="AA295">
        <v>0.99960249999999995</v>
      </c>
      <c r="AB295">
        <v>39</v>
      </c>
      <c r="AC295">
        <v>254.47569999999999</v>
      </c>
      <c r="AD295">
        <v>2.285695</v>
      </c>
      <c r="AE295">
        <v>4.6340999999999797</v>
      </c>
      <c r="AF295">
        <v>-7.1868293380560502</v>
      </c>
      <c r="AG295">
        <v>2.285695</v>
      </c>
      <c r="AH295">
        <v>254.395870088322</v>
      </c>
      <c r="AI295">
        <v>89.485428246825407</v>
      </c>
      <c r="AJ295">
        <v>91.618208252588005</v>
      </c>
      <c r="AK295">
        <v>254.507629817972</v>
      </c>
      <c r="AL295">
        <v>85.612870293714593</v>
      </c>
      <c r="AM295">
        <v>92.016042915973202</v>
      </c>
      <c r="AN295">
        <v>1.0000000100731501</v>
      </c>
    </row>
    <row r="296" spans="1:40" x14ac:dyDescent="0.25">
      <c r="A296" t="str">
        <f>"20190312160607955"</f>
        <v>20190312160607955</v>
      </c>
      <c r="B296" t="str">
        <f>"1552377967945661"</f>
        <v>1552377967945661</v>
      </c>
      <c r="C296" t="s">
        <v>40</v>
      </c>
      <c r="D296">
        <v>6.1123890000000003</v>
      </c>
      <c r="E296">
        <v>0.50247310000000001</v>
      </c>
      <c r="F296" t="s">
        <v>42</v>
      </c>
      <c r="G296">
        <v>-158.19499999999999</v>
      </c>
      <c r="H296">
        <v>3.293939</v>
      </c>
      <c r="I296">
        <v>372.82929999999999</v>
      </c>
      <c r="J296">
        <v>-412.29790000000003</v>
      </c>
      <c r="K296">
        <v>1.0594520000000001</v>
      </c>
      <c r="L296">
        <v>368.37310000000002</v>
      </c>
      <c r="M296">
        <v>0.99984410000000001</v>
      </c>
      <c r="N296">
        <v>0</v>
      </c>
      <c r="O296">
        <v>-1.0513720000000001E-2</v>
      </c>
      <c r="P296">
        <v>0.99773639999999997</v>
      </c>
      <c r="Q296">
        <v>6.2828590000000004E-2</v>
      </c>
      <c r="R296">
        <v>2.3969440000000002E-2</v>
      </c>
      <c r="S296">
        <v>3.003876</v>
      </c>
      <c r="T296">
        <v>2.6377439999999999E-2</v>
      </c>
      <c r="U296">
        <v>5.2551269999999997E-2</v>
      </c>
      <c r="V296">
        <v>-3.4359300000000002E-2</v>
      </c>
      <c r="W296">
        <v>7.7016130000000002E-2</v>
      </c>
      <c r="X296">
        <v>0.99643760000000003</v>
      </c>
      <c r="Y296">
        <v>-2.8002530000000001E-2</v>
      </c>
      <c r="Z296">
        <v>-2.152589E-4</v>
      </c>
      <c r="AA296">
        <v>0.99960780000000005</v>
      </c>
      <c r="AB296">
        <v>39</v>
      </c>
      <c r="AC296">
        <v>254.10290000000001</v>
      </c>
      <c r="AD296">
        <v>2.2344870000000001</v>
      </c>
      <c r="AE296">
        <v>4.45619999999996</v>
      </c>
      <c r="AF296">
        <v>-7.1272382799516301</v>
      </c>
      <c r="AG296">
        <v>2.2344870000000001</v>
      </c>
      <c r="AH296">
        <v>254.022359793086</v>
      </c>
      <c r="AI296">
        <v>89.496213587723602</v>
      </c>
      <c r="AJ296">
        <v>91.607156026549802</v>
      </c>
      <c r="AK296">
        <v>254.13215013551601</v>
      </c>
      <c r="AL296">
        <v>85.582926661643995</v>
      </c>
      <c r="AM296">
        <v>91.974898561271104</v>
      </c>
      <c r="AN296">
        <v>0.99999996823521298</v>
      </c>
    </row>
    <row r="297" spans="1:40" x14ac:dyDescent="0.25">
      <c r="A297" t="str">
        <f>"20190312160607977"</f>
        <v>20190312160607977</v>
      </c>
      <c r="B297" t="str">
        <f>"1552377967965180"</f>
        <v>1552377967965180</v>
      </c>
      <c r="C297" t="s">
        <v>40</v>
      </c>
      <c r="D297">
        <v>5.6598249999999997</v>
      </c>
      <c r="E297">
        <v>0.502305</v>
      </c>
      <c r="F297" t="s">
        <v>42</v>
      </c>
      <c r="G297">
        <v>-158.19499999999999</v>
      </c>
      <c r="H297">
        <v>3.4220000000000002</v>
      </c>
      <c r="I297">
        <v>372.42860000000002</v>
      </c>
      <c r="J297">
        <v>-411.91460000000001</v>
      </c>
      <c r="K297">
        <v>1.0594629999999901</v>
      </c>
      <c r="L297">
        <v>368.36860000000001</v>
      </c>
      <c r="M297">
        <v>0.99983730000000004</v>
      </c>
      <c r="N297">
        <v>0</v>
      </c>
      <c r="O297">
        <v>-1.1004399999999999E-2</v>
      </c>
      <c r="P297">
        <v>0.99775009999999997</v>
      </c>
      <c r="Q297">
        <v>6.2996339999999998E-2</v>
      </c>
      <c r="R297">
        <v>2.2940749999999999E-2</v>
      </c>
      <c r="S297">
        <v>3.0039060000000002</v>
      </c>
      <c r="T297">
        <v>2.7930139999999999E-2</v>
      </c>
      <c r="U297">
        <v>4.7943119999999999E-2</v>
      </c>
      <c r="V297">
        <v>-3.3820250000000003E-2</v>
      </c>
      <c r="W297">
        <v>7.7286649999999998E-2</v>
      </c>
      <c r="X297">
        <v>0.99643510000000002</v>
      </c>
      <c r="Y297">
        <v>-2.6959739999999999E-2</v>
      </c>
      <c r="Z297">
        <v>-2.2764500000000001E-4</v>
      </c>
      <c r="AA297">
        <v>0.99963650000000004</v>
      </c>
      <c r="AB297">
        <v>39</v>
      </c>
      <c r="AC297">
        <v>253.71960000000001</v>
      </c>
      <c r="AD297">
        <v>2.3625370000000001</v>
      </c>
      <c r="AE297">
        <v>4.0599999999999996</v>
      </c>
      <c r="AF297">
        <v>-6.8514773870846799</v>
      </c>
      <c r="AG297">
        <v>2.3625370000000001</v>
      </c>
      <c r="AH297">
        <v>253.63756537814299</v>
      </c>
      <c r="AI297">
        <v>89.466521733312902</v>
      </c>
      <c r="AJ297">
        <v>91.547346883409105</v>
      </c>
      <c r="AK297">
        <v>253.74108633489701</v>
      </c>
      <c r="AL297">
        <v>85.567380687202899</v>
      </c>
      <c r="AM297">
        <v>91.943943962567602</v>
      </c>
      <c r="AN297">
        <v>0.99999997204514701</v>
      </c>
    </row>
    <row r="298" spans="1:40" x14ac:dyDescent="0.25">
      <c r="A298" t="str">
        <f>"20190312160608000"</f>
        <v>20190312160608000</v>
      </c>
      <c r="B298" t="str">
        <f>"1552377967995436"</f>
        <v>1552377967995436</v>
      </c>
      <c r="C298" t="s">
        <v>40</v>
      </c>
      <c r="D298">
        <v>6.15435</v>
      </c>
      <c r="E298">
        <v>0.50247679999999995</v>
      </c>
      <c r="F298" t="s">
        <v>42</v>
      </c>
      <c r="G298">
        <v>-158.19499999999999</v>
      </c>
      <c r="H298">
        <v>3.3826939999999999</v>
      </c>
      <c r="I298">
        <v>372.26589999999999</v>
      </c>
      <c r="J298">
        <v>-411.52390000000003</v>
      </c>
      <c r="K298">
        <v>1.059472</v>
      </c>
      <c r="L298">
        <v>368.36380000000003</v>
      </c>
      <c r="M298">
        <v>0.99983040000000001</v>
      </c>
      <c r="N298">
        <v>0</v>
      </c>
      <c r="O298">
        <v>-1.150021E-2</v>
      </c>
      <c r="P298">
        <v>0.997776</v>
      </c>
      <c r="Q298">
        <v>6.2949969999999994E-2</v>
      </c>
      <c r="R298">
        <v>2.1918630000000001E-2</v>
      </c>
      <c r="S298">
        <v>3.0039669999999998</v>
      </c>
      <c r="T298">
        <v>2.7507420000000001E-2</v>
      </c>
      <c r="U298">
        <v>4.6142580000000002E-2</v>
      </c>
      <c r="V298">
        <v>-3.3293679999999999E-2</v>
      </c>
      <c r="W298">
        <v>7.7330860000000001E-2</v>
      </c>
      <c r="X298">
        <v>0.99644940000000004</v>
      </c>
      <c r="Y298">
        <v>-2.685616E-2</v>
      </c>
      <c r="Z298">
        <v>-2.2826239999999999E-4</v>
      </c>
      <c r="AA298">
        <v>0.99963930000000001</v>
      </c>
      <c r="AB298">
        <v>38</v>
      </c>
      <c r="AC298">
        <v>253.3289</v>
      </c>
      <c r="AD298">
        <v>2.3232219999999999</v>
      </c>
      <c r="AE298">
        <v>3.9020999999999599</v>
      </c>
      <c r="AF298">
        <v>-6.8149058879043798</v>
      </c>
      <c r="AG298">
        <v>2.3232219999999999</v>
      </c>
      <c r="AH298">
        <v>253.24597066442101</v>
      </c>
      <c r="AI298">
        <v>89.474586250563604</v>
      </c>
      <c r="AJ298">
        <v>91.541470262733696</v>
      </c>
      <c r="AK298">
        <v>253.34830167279</v>
      </c>
      <c r="AL298">
        <v>85.5648400230763</v>
      </c>
      <c r="AM298">
        <v>91.913672643813399</v>
      </c>
      <c r="AN298">
        <v>0.99999996889831999</v>
      </c>
    </row>
    <row r="299" spans="1:40" x14ac:dyDescent="0.25">
      <c r="A299" t="str">
        <f>"20190312160608023"</f>
        <v>20190312160608023</v>
      </c>
      <c r="B299" t="str">
        <f>"1552377968015931"</f>
        <v>1552377968015931</v>
      </c>
      <c r="C299" t="s">
        <v>40</v>
      </c>
      <c r="D299">
        <v>5.9544489999999897</v>
      </c>
      <c r="E299">
        <v>0.56489469999999997</v>
      </c>
      <c r="F299" t="s">
        <v>42</v>
      </c>
      <c r="G299">
        <v>-158.19499999999999</v>
      </c>
      <c r="H299">
        <v>3.283175</v>
      </c>
      <c r="I299">
        <v>371.85599999999999</v>
      </c>
      <c r="J299">
        <v>-411.12130000000002</v>
      </c>
      <c r="K299">
        <v>1.059485</v>
      </c>
      <c r="L299">
        <v>368.3587</v>
      </c>
      <c r="M299">
        <v>0.99982349999999998</v>
      </c>
      <c r="N299">
        <v>0</v>
      </c>
      <c r="O299">
        <v>-1.2005210000000001E-2</v>
      </c>
      <c r="P299">
        <v>0.99779830000000003</v>
      </c>
      <c r="Q299">
        <v>6.28779E-2</v>
      </c>
      <c r="R299">
        <v>2.1107520000000001E-2</v>
      </c>
      <c r="S299">
        <v>3.0041500000000001</v>
      </c>
      <c r="T299">
        <v>2.6371240000000001E-2</v>
      </c>
      <c r="U299">
        <v>4.1412350000000001E-2</v>
      </c>
      <c r="V299">
        <v>-3.2987660000000002E-2</v>
      </c>
      <c r="W299">
        <v>7.7338950000000004E-2</v>
      </c>
      <c r="X299">
        <v>0.99645899999999998</v>
      </c>
      <c r="Y299">
        <v>-2.5786610000000001E-2</v>
      </c>
      <c r="Z299">
        <v>-2.1856250000000001E-4</v>
      </c>
      <c r="AA299">
        <v>0.99966750000000004</v>
      </c>
      <c r="AB299">
        <v>38</v>
      </c>
      <c r="AC299">
        <v>252.9263</v>
      </c>
      <c r="AD299">
        <v>2.2236899999999999</v>
      </c>
      <c r="AE299">
        <v>3.4972999999999899</v>
      </c>
      <c r="AF299">
        <v>-6.5332934748081604</v>
      </c>
      <c r="AG299">
        <v>2.2236899999999999</v>
      </c>
      <c r="AH299">
        <v>252.84653837304299</v>
      </c>
      <c r="AI299">
        <v>89.496286322346094</v>
      </c>
      <c r="AJ299">
        <v>91.480134435451504</v>
      </c>
      <c r="AK299">
        <v>252.94070587407401</v>
      </c>
      <c r="AL299">
        <v>85.564375329609007</v>
      </c>
      <c r="AM299">
        <v>91.896077701175898</v>
      </c>
      <c r="AN299">
        <v>1.0000000187901801</v>
      </c>
    </row>
    <row r="300" spans="1:40" x14ac:dyDescent="0.25">
      <c r="A300" t="str">
        <f>"20190312160608045"</f>
        <v>20190312160608045</v>
      </c>
      <c r="B300" t="str">
        <f>"1552377968035451"</f>
        <v>1552377968035451</v>
      </c>
      <c r="C300" t="s">
        <v>40</v>
      </c>
      <c r="D300">
        <v>6.0212879999999904</v>
      </c>
      <c r="E300">
        <v>0.56436809999999904</v>
      </c>
      <c r="F300" t="s">
        <v>44</v>
      </c>
      <c r="G300">
        <v>-410.23259999999999</v>
      </c>
      <c r="H300">
        <v>0.95267999999999997</v>
      </c>
      <c r="I300">
        <v>368.22149999999999</v>
      </c>
      <c r="J300">
        <v>-410.75189999999998</v>
      </c>
      <c r="K300">
        <v>1.0595000000000001</v>
      </c>
      <c r="L300">
        <v>368.35379999999998</v>
      </c>
      <c r="M300">
        <v>0.99981690000000001</v>
      </c>
      <c r="N300">
        <v>0</v>
      </c>
      <c r="O300">
        <v>-1.2459609999999999E-2</v>
      </c>
      <c r="P300">
        <v>0.99779110000000004</v>
      </c>
      <c r="Q300">
        <v>6.3148049999999997E-2</v>
      </c>
      <c r="R300">
        <v>2.0619820000000001E-2</v>
      </c>
      <c r="S300">
        <v>3.0395509999999999</v>
      </c>
      <c r="T300">
        <v>-0.36528349999999998</v>
      </c>
      <c r="U300">
        <v>-0.46917720000000002</v>
      </c>
      <c r="V300">
        <v>-3.2954020000000001E-2</v>
      </c>
      <c r="W300">
        <v>7.767172E-2</v>
      </c>
      <c r="X300">
        <v>0.99643419999999905</v>
      </c>
      <c r="Y300">
        <v>0.1393326</v>
      </c>
      <c r="Z300">
        <v>-6.8105960000000004E-3</v>
      </c>
      <c r="AA300">
        <v>0.99022220000000005</v>
      </c>
      <c r="AB300">
        <v>38</v>
      </c>
      <c r="AC300">
        <v>0.51929999999998699</v>
      </c>
      <c r="AD300">
        <v>-0.10682</v>
      </c>
      <c r="AE300">
        <v>-0.13229999999998601</v>
      </c>
      <c r="AF300">
        <v>0.12101059023821099</v>
      </c>
      <c r="AG300">
        <v>-0.10682</v>
      </c>
      <c r="AH300">
        <v>0.50100168747152996</v>
      </c>
      <c r="AI300">
        <v>101.708949807316</v>
      </c>
      <c r="AJ300">
        <v>76.421012661331204</v>
      </c>
      <c r="AK300">
        <v>0.52636182061308401</v>
      </c>
      <c r="AL300">
        <v>85.545251355646997</v>
      </c>
      <c r="AM300">
        <v>91.894192645803699</v>
      </c>
      <c r="AN300">
        <v>0.99999998922577904</v>
      </c>
    </row>
    <row r="301" spans="1:40" x14ac:dyDescent="0.25">
      <c r="A301" t="str">
        <f>"20190312160608067"</f>
        <v>20190312160608067</v>
      </c>
      <c r="B301" t="str">
        <f>"1552377968055947"</f>
        <v>1552377968055947</v>
      </c>
      <c r="C301" t="s">
        <v>40</v>
      </c>
      <c r="D301">
        <v>6.0562719999999999</v>
      </c>
      <c r="E301">
        <v>0.56486619999999998</v>
      </c>
      <c r="F301" t="s">
        <v>44</v>
      </c>
      <c r="G301">
        <v>-409.88369999999998</v>
      </c>
      <c r="H301">
        <v>0.96528579999999997</v>
      </c>
      <c r="I301">
        <v>368.2201</v>
      </c>
      <c r="J301">
        <v>-410.3698</v>
      </c>
      <c r="K301">
        <v>1.0595239999999999</v>
      </c>
      <c r="L301">
        <v>368.34859999999998</v>
      </c>
      <c r="M301">
        <v>0.99981030000000004</v>
      </c>
      <c r="N301">
        <v>0</v>
      </c>
      <c r="O301">
        <v>-1.2914220000000001E-2</v>
      </c>
      <c r="P301">
        <v>0.99775659999999999</v>
      </c>
      <c r="Q301">
        <v>6.3721509999999995E-2</v>
      </c>
      <c r="R301">
        <v>2.0523980000000001E-2</v>
      </c>
      <c r="S301">
        <v>3.03714</v>
      </c>
      <c r="T301">
        <v>-0.32978760000000001</v>
      </c>
      <c r="U301">
        <v>-0.46591189999999999</v>
      </c>
      <c r="V301">
        <v>-3.3313009999999997E-2</v>
      </c>
      <c r="W301">
        <v>7.8299709999999995E-2</v>
      </c>
      <c r="X301">
        <v>0.99637310000000001</v>
      </c>
      <c r="Y301">
        <v>0.13813329999999999</v>
      </c>
      <c r="Z301">
        <v>-6.0446160000000001E-3</v>
      </c>
      <c r="AA301">
        <v>0.99039520000000003</v>
      </c>
      <c r="AB301">
        <v>38</v>
      </c>
      <c r="AC301">
        <v>0.48610000000002102</v>
      </c>
      <c r="AD301">
        <v>-9.4238199999999897E-2</v>
      </c>
      <c r="AE301">
        <v>-0.128499999999974</v>
      </c>
      <c r="AF301">
        <v>0.118063541480194</v>
      </c>
      <c r="AG301">
        <v>-9.4238199999999897E-2</v>
      </c>
      <c r="AH301">
        <v>0.47116740266698298</v>
      </c>
      <c r="AI301">
        <v>100.97965692704599</v>
      </c>
      <c r="AJ301">
        <v>75.932665549436095</v>
      </c>
      <c r="AK301">
        <v>0.494791430303755</v>
      </c>
      <c r="AL301">
        <v>85.509160210440598</v>
      </c>
      <c r="AM301">
        <v>91.914929398046397</v>
      </c>
      <c r="AN301">
        <v>0.99999997781247696</v>
      </c>
    </row>
    <row r="302" spans="1:40" x14ac:dyDescent="0.25">
      <c r="A302" t="str">
        <f>"20190312160608091"</f>
        <v>20190312160608091</v>
      </c>
      <c r="B302" t="str">
        <f>"1552377968085228"</f>
        <v>1552377968085228</v>
      </c>
      <c r="C302" t="s">
        <v>40</v>
      </c>
      <c r="D302">
        <v>6.0598549999999998</v>
      </c>
      <c r="E302">
        <v>0.56511679999999997</v>
      </c>
      <c r="F302" t="s">
        <v>44</v>
      </c>
      <c r="G302">
        <v>-409.53730000000002</v>
      </c>
      <c r="H302">
        <v>0.97334620000000005</v>
      </c>
      <c r="I302">
        <v>368.2199</v>
      </c>
      <c r="J302">
        <v>-409.9821</v>
      </c>
      <c r="K302">
        <v>1.0595490000000001</v>
      </c>
      <c r="L302">
        <v>368.34309999999999</v>
      </c>
      <c r="M302">
        <v>0.99980400000000003</v>
      </c>
      <c r="N302">
        <v>0</v>
      </c>
      <c r="O302">
        <v>-1.3350290000000001E-2</v>
      </c>
      <c r="P302">
        <v>0.99769850000000004</v>
      </c>
      <c r="Q302">
        <v>6.4766569999999996E-2</v>
      </c>
      <c r="R302">
        <v>2.007747E-2</v>
      </c>
      <c r="S302">
        <v>3.03653</v>
      </c>
      <c r="T302">
        <v>-0.31435629999999998</v>
      </c>
      <c r="U302">
        <v>-0.46899410000000002</v>
      </c>
      <c r="V302">
        <v>-3.3302999999999999E-2</v>
      </c>
      <c r="W302">
        <v>7.9391600000000007E-2</v>
      </c>
      <c r="X302">
        <v>0.99628700000000003</v>
      </c>
      <c r="Y302">
        <v>0.1387775</v>
      </c>
      <c r="Z302">
        <v>-5.7523180000000002E-3</v>
      </c>
      <c r="AA302">
        <v>0.99030689999999999</v>
      </c>
      <c r="AB302">
        <v>38</v>
      </c>
      <c r="AC302">
        <v>0.44479999999998598</v>
      </c>
      <c r="AD302">
        <v>-8.6202800000000093E-2</v>
      </c>
      <c r="AE302">
        <v>-0.12319999999999701</v>
      </c>
      <c r="AF302">
        <v>0.113298019937837</v>
      </c>
      <c r="AG302">
        <v>-8.6202800000000093E-2</v>
      </c>
      <c r="AH302">
        <v>0.43135828886511801</v>
      </c>
      <c r="AI302">
        <v>100.939487018978</v>
      </c>
      <c r="AJ302">
        <v>75.283436704114905</v>
      </c>
      <c r="AK302">
        <v>0.45424369827474398</v>
      </c>
      <c r="AL302">
        <v>85.446404025612594</v>
      </c>
      <c r="AM302">
        <v>91.914519739207904</v>
      </c>
      <c r="AN302">
        <v>0.99999995116427798</v>
      </c>
    </row>
    <row r="303" spans="1:40" x14ac:dyDescent="0.25">
      <c r="A303" t="str">
        <f>"20190312160608112"</f>
        <v>20190312160608112</v>
      </c>
      <c r="B303" t="str">
        <f>"1552377968105723"</f>
        <v>1552377968105723</v>
      </c>
      <c r="C303" t="s">
        <v>40</v>
      </c>
      <c r="D303">
        <v>6.104476</v>
      </c>
      <c r="E303">
        <v>0.56535349999999995</v>
      </c>
      <c r="F303" t="s">
        <v>44</v>
      </c>
      <c r="G303">
        <v>-409.19220000000001</v>
      </c>
      <c r="H303">
        <v>0.97977519999999996</v>
      </c>
      <c r="I303">
        <v>368.2199</v>
      </c>
      <c r="J303">
        <v>-409.61149999999998</v>
      </c>
      <c r="K303">
        <v>1.0595840000000001</v>
      </c>
      <c r="L303">
        <v>368.33780000000002</v>
      </c>
      <c r="M303">
        <v>0.99979819999999997</v>
      </c>
      <c r="N303">
        <v>0</v>
      </c>
      <c r="O303">
        <v>-1.373454E-2</v>
      </c>
      <c r="P303">
        <v>0.99766290000000002</v>
      </c>
      <c r="Q303">
        <v>6.5276500000000001E-2</v>
      </c>
      <c r="R303">
        <v>2.020462E-2</v>
      </c>
      <c r="S303">
        <v>3.0363159999999998</v>
      </c>
      <c r="T303">
        <v>-0.3069441</v>
      </c>
      <c r="U303">
        <v>-0.47207640000000001</v>
      </c>
      <c r="V303">
        <v>-3.3817430000000002E-2</v>
      </c>
      <c r="W303">
        <v>7.9939170000000004E-2</v>
      </c>
      <c r="X303">
        <v>0.99622599999999994</v>
      </c>
      <c r="Y303">
        <v>0.1394184</v>
      </c>
      <c r="Z303">
        <v>-5.6109469999999998E-3</v>
      </c>
      <c r="AA303">
        <v>0.99021769999999998</v>
      </c>
      <c r="AB303">
        <v>38</v>
      </c>
      <c r="AC303">
        <v>0.41929999999996398</v>
      </c>
      <c r="AD303">
        <v>-7.9808799999999999E-2</v>
      </c>
      <c r="AE303">
        <v>-0.11790000000002</v>
      </c>
      <c r="AF303">
        <v>0.10848700895717001</v>
      </c>
      <c r="AG303">
        <v>-7.9808799999999999E-2</v>
      </c>
      <c r="AH303">
        <v>0.40720825726846799</v>
      </c>
      <c r="AI303">
        <v>100.723915477734</v>
      </c>
      <c r="AJ303">
        <v>75.081964196845902</v>
      </c>
      <c r="AK303">
        <v>0.42890260019908499</v>
      </c>
      <c r="AL303">
        <v>85.414931069231599</v>
      </c>
      <c r="AM303">
        <v>91.944189668464304</v>
      </c>
      <c r="AN303">
        <v>1.00000006627404</v>
      </c>
    </row>
    <row r="304" spans="1:40" x14ac:dyDescent="0.25">
      <c r="A304" t="str">
        <f>"20190312160608135"</f>
        <v>20190312160608135</v>
      </c>
      <c r="B304" t="str">
        <f>"1552377968125247"</f>
        <v>1552377968125247</v>
      </c>
      <c r="C304" t="s">
        <v>40</v>
      </c>
      <c r="D304">
        <v>6.1010580000000001</v>
      </c>
      <c r="E304">
        <v>0.56527959999999899</v>
      </c>
      <c r="F304" t="s">
        <v>44</v>
      </c>
      <c r="G304">
        <v>-408.84879999999998</v>
      </c>
      <c r="H304">
        <v>0.98347229999999997</v>
      </c>
      <c r="I304">
        <v>368.21850000000001</v>
      </c>
      <c r="J304">
        <v>-409.2242</v>
      </c>
      <c r="K304">
        <v>1.059625</v>
      </c>
      <c r="L304">
        <v>368.33210000000003</v>
      </c>
      <c r="M304">
        <v>0.99979269999999998</v>
      </c>
      <c r="N304">
        <v>0</v>
      </c>
      <c r="O304">
        <v>-1.409355E-2</v>
      </c>
      <c r="P304">
        <v>0.99762059999999997</v>
      </c>
      <c r="Q304">
        <v>6.5834249999999997E-2</v>
      </c>
      <c r="R304">
        <v>2.0478920000000001E-2</v>
      </c>
      <c r="S304">
        <v>3.0364990000000001</v>
      </c>
      <c r="T304">
        <v>-0.30329390000000001</v>
      </c>
      <c r="U304">
        <v>-0.47341919999999998</v>
      </c>
      <c r="V304">
        <v>-3.4455189999999997E-2</v>
      </c>
      <c r="W304">
        <v>8.0529489999999995E-2</v>
      </c>
      <c r="X304">
        <v>0.9961565</v>
      </c>
      <c r="Y304">
        <v>0.1394975</v>
      </c>
      <c r="Z304">
        <v>-5.512411E-3</v>
      </c>
      <c r="AA304">
        <v>0.99020710000000001</v>
      </c>
      <c r="AB304">
        <v>38</v>
      </c>
      <c r="AC304">
        <v>0.375400000000013</v>
      </c>
      <c r="AD304">
        <v>-7.6152700000000004E-2</v>
      </c>
      <c r="AE304">
        <v>-0.11360000000001901</v>
      </c>
      <c r="AF304">
        <v>0.10436304782349901</v>
      </c>
      <c r="AG304">
        <v>-7.6152700000000004E-2</v>
      </c>
      <c r="AH304">
        <v>0.36326904679508498</v>
      </c>
      <c r="AI304">
        <v>101.391548995001</v>
      </c>
      <c r="AJ304">
        <v>73.971246097793994</v>
      </c>
      <c r="AK304">
        <v>0.38555840002224001</v>
      </c>
      <c r="AL304">
        <v>85.380998364240696</v>
      </c>
      <c r="AM304">
        <v>91.980964124051397</v>
      </c>
      <c r="AN304">
        <v>0.999999965684922</v>
      </c>
    </row>
    <row r="305" spans="1:40" x14ac:dyDescent="0.25">
      <c r="A305" t="str">
        <f>"20190312160608156"</f>
        <v>20190312160608156</v>
      </c>
      <c r="B305" t="str">
        <f>"1552377968145739"</f>
        <v>1552377968145739</v>
      </c>
      <c r="C305" t="s">
        <v>40</v>
      </c>
      <c r="D305">
        <v>6.0987049999999998</v>
      </c>
      <c r="E305">
        <v>0.56510329999999998</v>
      </c>
      <c r="F305" t="s">
        <v>44</v>
      </c>
      <c r="G305">
        <v>-408.18</v>
      </c>
      <c r="H305">
        <v>0.95666359999999995</v>
      </c>
      <c r="I305">
        <v>368.16980000000001</v>
      </c>
      <c r="J305">
        <v>-408.85590000000002</v>
      </c>
      <c r="K305">
        <v>1.0596779999999999</v>
      </c>
      <c r="L305">
        <v>368.32670000000002</v>
      </c>
      <c r="M305">
        <v>0.99978800000000001</v>
      </c>
      <c r="N305">
        <v>0</v>
      </c>
      <c r="O305">
        <v>-1.4382290000000001E-2</v>
      </c>
      <c r="P305">
        <v>0.99759039999999999</v>
      </c>
      <c r="Q305">
        <v>6.6238089999999999E-2</v>
      </c>
      <c r="R305">
        <v>2.0643359999999999E-2</v>
      </c>
      <c r="S305">
        <v>3.036591</v>
      </c>
      <c r="T305">
        <v>-0.29939929999999998</v>
      </c>
      <c r="U305">
        <v>-0.47198489999999999</v>
      </c>
      <c r="V305">
        <v>-3.4915189999999999E-2</v>
      </c>
      <c r="W305">
        <v>8.0957719999999997E-2</v>
      </c>
      <c r="X305">
        <v>0.99610580000000004</v>
      </c>
      <c r="Y305">
        <v>0.13877059999999999</v>
      </c>
      <c r="Z305">
        <v>-5.3782409999999998E-3</v>
      </c>
      <c r="AA305">
        <v>0.99031000000000002</v>
      </c>
      <c r="AB305">
        <v>38</v>
      </c>
      <c r="AC305">
        <v>0.67590000000001205</v>
      </c>
      <c r="AD305">
        <v>-0.10301440000000001</v>
      </c>
      <c r="AE305">
        <v>-0.15690000000000701</v>
      </c>
      <c r="AF305">
        <v>0.143988040278414</v>
      </c>
      <c r="AG305">
        <v>-0.10301440000000001</v>
      </c>
      <c r="AH305">
        <v>0.66346331249293899</v>
      </c>
      <c r="AI305">
        <v>98.627985330384007</v>
      </c>
      <c r="AJ305">
        <v>77.755275410146396</v>
      </c>
      <c r="AK305">
        <v>0.68667902936865799</v>
      </c>
      <c r="AL305">
        <v>85.356382348582301</v>
      </c>
      <c r="AM305">
        <v>92.007491923887898</v>
      </c>
      <c r="AN305">
        <v>0.99999999385698701</v>
      </c>
    </row>
    <row r="306" spans="1:40" x14ac:dyDescent="0.25">
      <c r="A306" t="str">
        <f>"20190312160608178"</f>
        <v>20190312160608178</v>
      </c>
      <c r="B306" t="str">
        <f>"1552377968175020"</f>
        <v>1552377968175020</v>
      </c>
      <c r="C306" t="s">
        <v>40</v>
      </c>
      <c r="D306">
        <v>6.0465169999999997</v>
      </c>
      <c r="E306">
        <v>0.56504639999999995</v>
      </c>
      <c r="F306" t="s">
        <v>44</v>
      </c>
      <c r="G306">
        <v>-407.83789999999999</v>
      </c>
      <c r="H306">
        <v>0.96026999999999996</v>
      </c>
      <c r="I306">
        <v>368.1687</v>
      </c>
      <c r="J306">
        <v>-408.47890000000001</v>
      </c>
      <c r="K306">
        <v>1.059731</v>
      </c>
      <c r="L306">
        <v>368.32100000000003</v>
      </c>
      <c r="M306">
        <v>0.99978420000000001</v>
      </c>
      <c r="N306">
        <v>0</v>
      </c>
      <c r="O306">
        <v>-1.4631140000000001E-2</v>
      </c>
      <c r="P306">
        <v>0.99757799999999996</v>
      </c>
      <c r="Q306">
        <v>6.6599640000000002E-2</v>
      </c>
      <c r="R306">
        <v>2.0073069999999998E-2</v>
      </c>
      <c r="S306">
        <v>3.0366819999999999</v>
      </c>
      <c r="T306">
        <v>-0.29668650000000002</v>
      </c>
      <c r="U306">
        <v>-0.4698792</v>
      </c>
      <c r="V306">
        <v>-3.4601100000000003E-2</v>
      </c>
      <c r="W306">
        <v>8.1339819999999993E-2</v>
      </c>
      <c r="X306">
        <v>0.99608560000000002</v>
      </c>
      <c r="Y306">
        <v>0.13786489999999901</v>
      </c>
      <c r="Z306">
        <v>-5.2618780000000002E-3</v>
      </c>
      <c r="AA306">
        <v>0.99043709999999996</v>
      </c>
      <c r="AB306">
        <v>38</v>
      </c>
      <c r="AC306">
        <v>0.641000000000019</v>
      </c>
      <c r="AD306">
        <v>-9.9460999999999897E-2</v>
      </c>
      <c r="AE306">
        <v>-0.15229999999996799</v>
      </c>
      <c r="AF306">
        <v>0.139719930962446</v>
      </c>
      <c r="AG306">
        <v>-9.9460999999999897E-2</v>
      </c>
      <c r="AH306">
        <v>0.62882907879203997</v>
      </c>
      <c r="AI306">
        <v>98.777335300713005</v>
      </c>
      <c r="AJ306">
        <v>77.472917067319997</v>
      </c>
      <c r="AK306">
        <v>0.65179763727985196</v>
      </c>
      <c r="AL306">
        <v>85.334417043166496</v>
      </c>
      <c r="AM306">
        <v>91.989487821633304</v>
      </c>
      <c r="AN306">
        <v>0.99999996248309997</v>
      </c>
    </row>
    <row r="307" spans="1:40" x14ac:dyDescent="0.25">
      <c r="A307" t="str">
        <f>"20190312160608201"</f>
        <v>20190312160608201</v>
      </c>
      <c r="B307" t="str">
        <f>"1552377968195516"</f>
        <v>1552377968195516</v>
      </c>
      <c r="C307" t="s">
        <v>40</v>
      </c>
      <c r="D307">
        <v>5.5941999999999998</v>
      </c>
      <c r="E307">
        <v>0.56499149999999998</v>
      </c>
      <c r="F307" t="s">
        <v>44</v>
      </c>
      <c r="G307">
        <v>-407.49579999999997</v>
      </c>
      <c r="H307">
        <v>0.96467190000000003</v>
      </c>
      <c r="I307">
        <v>368.16820000000001</v>
      </c>
      <c r="J307">
        <v>-408.09379999999999</v>
      </c>
      <c r="K307">
        <v>1.0597829999999999</v>
      </c>
      <c r="L307">
        <v>368.3152</v>
      </c>
      <c r="M307">
        <v>0.99978069999999997</v>
      </c>
      <c r="N307">
        <v>0</v>
      </c>
      <c r="O307">
        <v>-1.483104E-2</v>
      </c>
      <c r="P307">
        <v>0.99756829999999996</v>
      </c>
      <c r="Q307">
        <v>6.6715099999999999E-2</v>
      </c>
      <c r="R307">
        <v>2.0160819999999999E-2</v>
      </c>
      <c r="S307">
        <v>3.036346</v>
      </c>
      <c r="T307">
        <v>-0.29369309999999998</v>
      </c>
      <c r="U307">
        <v>-0.47116089999999999</v>
      </c>
      <c r="V307">
        <v>-3.48971E-2</v>
      </c>
      <c r="W307">
        <v>8.1471929999999998E-2</v>
      </c>
      <c r="X307">
        <v>0.99606450000000002</v>
      </c>
      <c r="Y307">
        <v>0.1381029</v>
      </c>
      <c r="Z307">
        <v>-5.2016830000000003E-3</v>
      </c>
      <c r="AA307">
        <v>0.99040419999999996</v>
      </c>
      <c r="AB307">
        <v>38</v>
      </c>
      <c r="AC307">
        <v>0.59800000000001297</v>
      </c>
      <c r="AD307">
        <v>-9.5111099999999699E-2</v>
      </c>
      <c r="AE307">
        <v>-0.146999999999991</v>
      </c>
      <c r="AF307">
        <v>0.13489595578476399</v>
      </c>
      <c r="AG307">
        <v>-9.5111099999999699E-2</v>
      </c>
      <c r="AH307">
        <v>0.58613243341618204</v>
      </c>
      <c r="AI307">
        <v>98.986058210656196</v>
      </c>
      <c r="AJ307">
        <v>77.039298197284793</v>
      </c>
      <c r="AK307">
        <v>0.60892878872054501</v>
      </c>
      <c r="AL307">
        <v>85.326822599482</v>
      </c>
      <c r="AM307">
        <v>92.006535793285806</v>
      </c>
      <c r="AN307">
        <v>0.99999998556329195</v>
      </c>
    </row>
    <row r="308" spans="1:40" x14ac:dyDescent="0.25">
      <c r="A308" t="str">
        <f>"20190312160608225"</f>
        <v>20190312160608225</v>
      </c>
      <c r="B308" t="str">
        <f>"1552377968215036"</f>
        <v>1552377968215036</v>
      </c>
      <c r="C308" t="s">
        <v>40</v>
      </c>
      <c r="D308">
        <v>6.0474059999999996</v>
      </c>
      <c r="E308">
        <v>0.564884099999999</v>
      </c>
      <c r="F308" t="s">
        <v>44</v>
      </c>
      <c r="G308">
        <v>-407.15480000000002</v>
      </c>
      <c r="H308">
        <v>0.96792290000000003</v>
      </c>
      <c r="I308">
        <v>368.1694</v>
      </c>
      <c r="J308">
        <v>-407.68340000000001</v>
      </c>
      <c r="K308">
        <v>1.0598449999999999</v>
      </c>
      <c r="L308">
        <v>368.30889999999999</v>
      </c>
      <c r="M308">
        <v>0.99977819999999995</v>
      </c>
      <c r="N308">
        <v>0</v>
      </c>
      <c r="O308">
        <v>-1.4980520000000001E-2</v>
      </c>
      <c r="P308">
        <v>0.9975716</v>
      </c>
      <c r="Q308">
        <v>6.6633769999999995E-2</v>
      </c>
      <c r="R308">
        <v>2.0270059999999999E-2</v>
      </c>
      <c r="S308">
        <v>3.0366819999999999</v>
      </c>
      <c r="T308">
        <v>-0.29720249999999998</v>
      </c>
      <c r="U308">
        <v>-0.47027590000000002</v>
      </c>
      <c r="V308">
        <v>-3.516565E-2</v>
      </c>
      <c r="W308">
        <v>8.1405420000000006E-2</v>
      </c>
      <c r="X308">
        <v>0.99606050000000002</v>
      </c>
      <c r="Y308">
        <v>0.13764579999999901</v>
      </c>
      <c r="Z308">
        <v>-5.2264099999999999E-3</v>
      </c>
      <c r="AA308">
        <v>0.99046769999999995</v>
      </c>
      <c r="AB308">
        <v>38</v>
      </c>
      <c r="AC308">
        <v>0.52859999999998297</v>
      </c>
      <c r="AD308">
        <v>-9.1922100000000201E-2</v>
      </c>
      <c r="AE308">
        <v>-0.13949999999999799</v>
      </c>
      <c r="AF308">
        <v>0.12794753032949299</v>
      </c>
      <c r="AG308">
        <v>-9.1922100000000201E-2</v>
      </c>
      <c r="AH308">
        <v>0.51604152267687797</v>
      </c>
      <c r="AI308">
        <v>99.809137690338005</v>
      </c>
      <c r="AJ308">
        <v>76.074876251025401</v>
      </c>
      <c r="AK308">
        <v>0.53955453488270999</v>
      </c>
      <c r="AL308">
        <v>85.330646074428998</v>
      </c>
      <c r="AM308">
        <v>92.021972398105106</v>
      </c>
      <c r="AN308">
        <v>0.99999999250277405</v>
      </c>
    </row>
    <row r="309" spans="1:40" x14ac:dyDescent="0.25">
      <c r="A309" t="str">
        <f>"20190312160608245"</f>
        <v>20190312160608245</v>
      </c>
      <c r="B309" t="str">
        <f>"1552377968235531"</f>
        <v>1552377968235531</v>
      </c>
      <c r="C309" t="s">
        <v>40</v>
      </c>
      <c r="D309">
        <v>6.050338</v>
      </c>
      <c r="E309">
        <v>0.564855</v>
      </c>
      <c r="F309" t="s">
        <v>44</v>
      </c>
      <c r="G309">
        <v>-406.81209999999999</v>
      </c>
      <c r="H309">
        <v>0.97502109999999997</v>
      </c>
      <c r="I309">
        <v>368.17419999999998</v>
      </c>
      <c r="J309">
        <v>-407.34800000000001</v>
      </c>
      <c r="K309">
        <v>1.0598920000000001</v>
      </c>
      <c r="L309">
        <v>368.30380000000002</v>
      </c>
      <c r="M309">
        <v>0.99977689999999997</v>
      </c>
      <c r="N309">
        <v>0</v>
      </c>
      <c r="O309">
        <v>-1.50603E-2</v>
      </c>
      <c r="P309">
        <v>0.99752180000000001</v>
      </c>
      <c r="Q309">
        <v>6.7145090000000004E-2</v>
      </c>
      <c r="R309">
        <v>2.1021270000000002E-2</v>
      </c>
      <c r="S309">
        <v>3.0365600000000001</v>
      </c>
      <c r="T309">
        <v>-0.29559619999999998</v>
      </c>
      <c r="U309">
        <v>-0.46902470000000002</v>
      </c>
      <c r="V309">
        <v>-3.6003340000000002E-2</v>
      </c>
      <c r="W309">
        <v>8.1925330000000005E-2</v>
      </c>
      <c r="X309">
        <v>0.99598799999999998</v>
      </c>
      <c r="Y309">
        <v>0.13718269999999999</v>
      </c>
      <c r="Z309">
        <v>-5.1686060000000001E-3</v>
      </c>
      <c r="AA309">
        <v>0.99053230000000003</v>
      </c>
      <c r="AB309">
        <v>38</v>
      </c>
      <c r="AC309">
        <v>0.53590000000002602</v>
      </c>
      <c r="AD309">
        <v>-8.4870899999999999E-2</v>
      </c>
      <c r="AE309">
        <v>-0.12960000000003899</v>
      </c>
      <c r="AF309">
        <v>0.118700923143467</v>
      </c>
      <c r="AG309">
        <v>-8.4870899999999999E-2</v>
      </c>
      <c r="AH309">
        <v>0.52534298376687105</v>
      </c>
      <c r="AI309">
        <v>98.9550808381194</v>
      </c>
      <c r="AJ309">
        <v>77.267852484337297</v>
      </c>
      <c r="AK309">
        <v>0.54523227106894601</v>
      </c>
      <c r="AL309">
        <v>85.300757853927095</v>
      </c>
      <c r="AM309">
        <v>92.070247459818702</v>
      </c>
      <c r="AN309">
        <v>1.0000000481653799</v>
      </c>
    </row>
    <row r="310" spans="1:40" x14ac:dyDescent="0.25">
      <c r="A310" t="str">
        <f>"20190312160608269"</f>
        <v>20190312160608269</v>
      </c>
      <c r="B310" t="str">
        <f>"1552377968265787"</f>
        <v>1552377968265787</v>
      </c>
      <c r="C310" t="s">
        <v>40</v>
      </c>
      <c r="D310">
        <v>5.7034580000000004</v>
      </c>
      <c r="E310">
        <v>0.56469060000000004</v>
      </c>
      <c r="F310" t="s">
        <v>44</v>
      </c>
      <c r="G310">
        <v>-406.47300000000001</v>
      </c>
      <c r="H310">
        <v>0.97563540000000004</v>
      </c>
      <c r="I310">
        <v>368.16910000000001</v>
      </c>
      <c r="J310">
        <v>-406.95429999999999</v>
      </c>
      <c r="K310">
        <v>1.0599430000000001</v>
      </c>
      <c r="L310">
        <v>368.2978</v>
      </c>
      <c r="M310">
        <v>0.99977590000000005</v>
      </c>
      <c r="N310">
        <v>0</v>
      </c>
      <c r="O310">
        <v>-1.5114030000000001E-2</v>
      </c>
      <c r="P310">
        <v>0.99751140000000005</v>
      </c>
      <c r="Q310">
        <v>6.7161529999999997E-2</v>
      </c>
      <c r="R310">
        <v>2.1467190000000001E-2</v>
      </c>
      <c r="S310">
        <v>3.0369869999999999</v>
      </c>
      <c r="T310">
        <v>-0.29256179999999998</v>
      </c>
      <c r="U310">
        <v>-0.46664430000000001</v>
      </c>
      <c r="V310">
        <v>-3.6511910000000002E-2</v>
      </c>
      <c r="W310">
        <v>8.1950519999999999E-2</v>
      </c>
      <c r="X310">
        <v>0.99596739999999995</v>
      </c>
      <c r="Y310">
        <v>0.1363656</v>
      </c>
      <c r="Z310">
        <v>-5.0712090000000001E-3</v>
      </c>
      <c r="AA310">
        <v>0.99064560000000002</v>
      </c>
      <c r="AB310">
        <v>38</v>
      </c>
      <c r="AC310">
        <v>0.48129999999997602</v>
      </c>
      <c r="AD310">
        <v>-8.4307600000000094E-2</v>
      </c>
      <c r="AE310">
        <v>-0.12869999999998</v>
      </c>
      <c r="AF310">
        <v>0.118030232381464</v>
      </c>
      <c r="AG310">
        <v>-8.4307600000000094E-2</v>
      </c>
      <c r="AH310">
        <v>0.469739079923015</v>
      </c>
      <c r="AI310">
        <v>99.874353062955095</v>
      </c>
      <c r="AJ310">
        <v>75.895418633241505</v>
      </c>
      <c r="AK310">
        <v>0.49162354538885</v>
      </c>
      <c r="AL310">
        <v>85.299309639814396</v>
      </c>
      <c r="AM310">
        <v>92.099508415311703</v>
      </c>
      <c r="AN310">
        <v>1.0000000345814299</v>
      </c>
    </row>
    <row r="311" spans="1:40" x14ac:dyDescent="0.25">
      <c r="A311" t="str">
        <f>"20190312160608292"</f>
        <v>20190312160608292</v>
      </c>
      <c r="B311" t="str">
        <f>"1552377968285308"</f>
        <v>1552377968285308</v>
      </c>
      <c r="C311" t="s">
        <v>40</v>
      </c>
      <c r="D311">
        <v>5.9747349999999999</v>
      </c>
      <c r="E311">
        <v>0.56482519999999903</v>
      </c>
      <c r="F311" t="s">
        <v>44</v>
      </c>
      <c r="G311">
        <v>-406.13189999999997</v>
      </c>
      <c r="H311">
        <v>0.98130689999999998</v>
      </c>
      <c r="I311">
        <v>368.1721</v>
      </c>
      <c r="J311">
        <v>-406.56310000000002</v>
      </c>
      <c r="K311">
        <v>1.059995</v>
      </c>
      <c r="L311">
        <v>368.29180000000002</v>
      </c>
      <c r="M311">
        <v>0.99977559999999999</v>
      </c>
      <c r="N311">
        <v>0</v>
      </c>
      <c r="O311">
        <v>-1.5125120000000001E-2</v>
      </c>
      <c r="P311">
        <v>0.99754089999999995</v>
      </c>
      <c r="Q311">
        <v>6.6877420000000007E-2</v>
      </c>
      <c r="R311">
        <v>2.0974590000000001E-2</v>
      </c>
      <c r="S311">
        <v>3.0370180000000002</v>
      </c>
      <c r="T311">
        <v>-0.29039860000000001</v>
      </c>
      <c r="U311">
        <v>-0.4636536</v>
      </c>
      <c r="V311">
        <v>-3.6039719999999997E-2</v>
      </c>
      <c r="W311">
        <v>8.1672969999999998E-2</v>
      </c>
      <c r="X311">
        <v>0.99600739999999999</v>
      </c>
      <c r="Y311">
        <v>0.13541210000000001</v>
      </c>
      <c r="Z311">
        <v>-4.9879249999999998E-3</v>
      </c>
      <c r="AA311">
        <v>0.99077680000000001</v>
      </c>
      <c r="AB311">
        <v>38</v>
      </c>
      <c r="AC311">
        <v>0.43120000000004599</v>
      </c>
      <c r="AD311">
        <v>-7.8688099999999997E-2</v>
      </c>
      <c r="AE311">
        <v>-0.119700000000023</v>
      </c>
      <c r="AF311">
        <v>0.109769703596625</v>
      </c>
      <c r="AG311">
        <v>-7.8688099999999997E-2</v>
      </c>
      <c r="AH311">
        <v>0.41997623940665102</v>
      </c>
      <c r="AI311">
        <v>100.274642880165</v>
      </c>
      <c r="AJ311">
        <v>75.352217806280606</v>
      </c>
      <c r="AK311">
        <v>0.44115898106629697</v>
      </c>
      <c r="AL311">
        <v>85.315265587135997</v>
      </c>
      <c r="AM311">
        <v>92.072297213462704</v>
      </c>
      <c r="AN311">
        <v>1.0000000381505201</v>
      </c>
    </row>
    <row r="312" spans="1:40" x14ac:dyDescent="0.25">
      <c r="A312" t="str">
        <f>"20190312160608313"</f>
        <v>20190312160608313</v>
      </c>
      <c r="B312" t="str">
        <f>"1552377968305808"</f>
        <v>1552377968305808</v>
      </c>
      <c r="C312" t="s">
        <v>40</v>
      </c>
      <c r="D312">
        <v>6.0467639999999996</v>
      </c>
      <c r="E312">
        <v>0.56483629999999996</v>
      </c>
      <c r="F312" t="s">
        <v>44</v>
      </c>
      <c r="G312">
        <v>-405.7919</v>
      </c>
      <c r="H312">
        <v>0.98542070000000004</v>
      </c>
      <c r="I312">
        <v>368.17329999999998</v>
      </c>
      <c r="J312">
        <v>-406.18630000000002</v>
      </c>
      <c r="K312">
        <v>1.0600309999999999</v>
      </c>
      <c r="L312">
        <v>368.28609999999998</v>
      </c>
      <c r="M312">
        <v>0.999776</v>
      </c>
      <c r="N312">
        <v>0</v>
      </c>
      <c r="O312">
        <v>-1.509368E-2</v>
      </c>
      <c r="P312">
        <v>0.99753429999999998</v>
      </c>
      <c r="Q312">
        <v>6.6979540000000004E-2</v>
      </c>
      <c r="R312">
        <v>2.096079E-2</v>
      </c>
      <c r="S312">
        <v>3.0369259999999998</v>
      </c>
      <c r="T312">
        <v>-0.29382970000000003</v>
      </c>
      <c r="U312">
        <v>-0.46582030000000002</v>
      </c>
      <c r="V312">
        <v>-3.6002359999999997E-2</v>
      </c>
      <c r="W312">
        <v>8.1778959999999998E-2</v>
      </c>
      <c r="X312">
        <v>0.996</v>
      </c>
      <c r="Y312">
        <v>0.1361223</v>
      </c>
      <c r="Z312">
        <v>-5.0835680000000001E-3</v>
      </c>
      <c r="AA312">
        <v>0.99067899999999998</v>
      </c>
      <c r="AB312">
        <v>38</v>
      </c>
      <c r="AC312">
        <v>0.39440000000001801</v>
      </c>
      <c r="AD312">
        <v>-7.4610299999999893E-2</v>
      </c>
      <c r="AE312">
        <v>-0.112799999999992</v>
      </c>
      <c r="AF312">
        <v>0.10341256296213699</v>
      </c>
      <c r="AG312">
        <v>-7.4610299999999893E-2</v>
      </c>
      <c r="AH312">
        <v>0.38337540847844598</v>
      </c>
      <c r="AI312">
        <v>100.641704677465</v>
      </c>
      <c r="AJ312">
        <v>74.904187857948401</v>
      </c>
      <c r="AK312">
        <v>0.40402668088939703</v>
      </c>
      <c r="AL312">
        <v>85.309172171030497</v>
      </c>
      <c r="AM312">
        <v>92.070166236982402</v>
      </c>
      <c r="AN312">
        <v>0.99999998411212498</v>
      </c>
    </row>
    <row r="313" spans="1:40" x14ac:dyDescent="0.25">
      <c r="A313" t="str">
        <f>"20190312160608336"</f>
        <v>20190312160608336</v>
      </c>
      <c r="B313" t="str">
        <f>"1552377968325327"</f>
        <v>1552377968325327</v>
      </c>
      <c r="C313" t="s">
        <v>40</v>
      </c>
      <c r="D313">
        <v>6.0494409999999998</v>
      </c>
      <c r="E313">
        <v>0.56474460000000004</v>
      </c>
      <c r="F313" t="s">
        <v>44</v>
      </c>
      <c r="G313">
        <v>-405.4522</v>
      </c>
      <c r="H313">
        <v>0.98955369999999998</v>
      </c>
      <c r="I313">
        <v>368.17329999999998</v>
      </c>
      <c r="J313">
        <v>-405.8254</v>
      </c>
      <c r="K313">
        <v>1.0600700000000001</v>
      </c>
      <c r="L313">
        <v>368.28070000000002</v>
      </c>
      <c r="M313">
        <v>0.99977680000000002</v>
      </c>
      <c r="N313">
        <v>0</v>
      </c>
      <c r="O313">
        <v>-1.502674E-2</v>
      </c>
      <c r="P313">
        <v>0.99752039999999997</v>
      </c>
      <c r="Q313">
        <v>6.706289E-2</v>
      </c>
      <c r="R313">
        <v>2.1350689999999999E-2</v>
      </c>
      <c r="S313">
        <v>3.0368040000000001</v>
      </c>
      <c r="T313">
        <v>-0.29166199999999998</v>
      </c>
      <c r="U313">
        <v>-0.46661380000000002</v>
      </c>
      <c r="V313">
        <v>-3.6333119999999997E-2</v>
      </c>
      <c r="W313">
        <v>8.1864499999999896E-2</v>
      </c>
      <c r="X313">
        <v>0.99598100000000001</v>
      </c>
      <c r="Y313">
        <v>0.13645379999999999</v>
      </c>
      <c r="Z313">
        <v>-5.0685000000000001E-3</v>
      </c>
      <c r="AA313">
        <v>0.99063349999999994</v>
      </c>
      <c r="AB313">
        <v>38</v>
      </c>
      <c r="AC313">
        <v>0.37319999999999698</v>
      </c>
      <c r="AD313">
        <v>-7.0516300000000004E-2</v>
      </c>
      <c r="AE313">
        <v>-0.107400000000041</v>
      </c>
      <c r="AF313">
        <v>9.8530561156448399E-2</v>
      </c>
      <c r="AG313">
        <v>-7.0516300000000004E-2</v>
      </c>
      <c r="AH313">
        <v>0.36280948768343402</v>
      </c>
      <c r="AI313">
        <v>100.62341348457601</v>
      </c>
      <c r="AJ313">
        <v>74.806264475781006</v>
      </c>
      <c r="AK313">
        <v>0.38250692072250198</v>
      </c>
      <c r="AL313">
        <v>85.304254780353801</v>
      </c>
      <c r="AM313">
        <v>92.089208260002394</v>
      </c>
      <c r="AN313">
        <v>1.00000002216509</v>
      </c>
    </row>
    <row r="314" spans="1:40" x14ac:dyDescent="0.25">
      <c r="A314" t="str">
        <f>"20190312160608346"</f>
        <v>20190312160608346</v>
      </c>
      <c r="B314" t="str">
        <f>"1552377968335084"</f>
        <v>1552377968335084</v>
      </c>
      <c r="C314" t="s">
        <v>40</v>
      </c>
      <c r="D314">
        <v>5.9624779999999999</v>
      </c>
      <c r="E314">
        <v>0.56468980000000002</v>
      </c>
      <c r="F314" t="s">
        <v>44</v>
      </c>
      <c r="G314">
        <v>-404.7919</v>
      </c>
      <c r="H314">
        <v>0.96148100000000003</v>
      </c>
      <c r="I314">
        <v>368.12200000000001</v>
      </c>
      <c r="J314">
        <v>-405.6232</v>
      </c>
      <c r="K314">
        <v>1.0600889999999901</v>
      </c>
      <c r="L314">
        <v>368.27769999999998</v>
      </c>
      <c r="M314">
        <v>0.99977760000000004</v>
      </c>
      <c r="N314">
        <v>0</v>
      </c>
      <c r="O314">
        <v>-1.4975479999999999E-2</v>
      </c>
      <c r="P314">
        <v>0.99753020000000003</v>
      </c>
      <c r="Q314">
        <v>6.6977460000000003E-2</v>
      </c>
      <c r="R314">
        <v>2.116432E-2</v>
      </c>
      <c r="S314">
        <v>3.0368650000000001</v>
      </c>
      <c r="T314">
        <v>-0.2898809</v>
      </c>
      <c r="U314">
        <v>-0.46542359999999999</v>
      </c>
      <c r="V314">
        <v>-3.609971E-2</v>
      </c>
      <c r="W314">
        <v>8.1779900000000003E-2</v>
      </c>
      <c r="X314">
        <v>0.9959964</v>
      </c>
      <c r="Y314">
        <v>0.1361301</v>
      </c>
      <c r="Z314">
        <v>-5.0272579999999997E-3</v>
      </c>
      <c r="AA314">
        <v>0.99067819999999995</v>
      </c>
      <c r="AB314">
        <v>38</v>
      </c>
      <c r="AC314">
        <v>0.83129999999999804</v>
      </c>
      <c r="AD314">
        <v>-9.8607999999999904E-2</v>
      </c>
      <c r="AE314">
        <v>-0.15570000000002401</v>
      </c>
      <c r="AF314">
        <v>0.14131111896174101</v>
      </c>
      <c r="AG314">
        <v>-9.8607999999999904E-2</v>
      </c>
      <c r="AH314">
        <v>0.82235985996259597</v>
      </c>
      <c r="AI314">
        <v>96.739757367013397</v>
      </c>
      <c r="AJ314">
        <v>80.249739396410007</v>
      </c>
      <c r="AK314">
        <v>0.84021908409885504</v>
      </c>
      <c r="AL314">
        <v>85.309118135974501</v>
      </c>
      <c r="AM314">
        <v>92.075766550541402</v>
      </c>
      <c r="AN314">
        <v>0.99999998495952702</v>
      </c>
    </row>
    <row r="315" spans="1:40" x14ac:dyDescent="0.25">
      <c r="A315" t="str">
        <f>"20190312160608358"</f>
        <v>20190312160608358</v>
      </c>
      <c r="B315" t="str">
        <f>"1552377968355580"</f>
        <v>1552377968355580</v>
      </c>
      <c r="C315" t="s">
        <v>40</v>
      </c>
      <c r="D315">
        <v>5.9462400000000004</v>
      </c>
      <c r="E315">
        <v>0.56449479999999996</v>
      </c>
      <c r="F315" t="s">
        <v>44</v>
      </c>
      <c r="G315">
        <v>-404.78280000000001</v>
      </c>
      <c r="H315">
        <v>0.98026570000000002</v>
      </c>
      <c r="I315">
        <v>368.14859999999999</v>
      </c>
      <c r="J315">
        <v>-405.43689999999998</v>
      </c>
      <c r="K315">
        <v>1.060106</v>
      </c>
      <c r="L315">
        <v>368.2749</v>
      </c>
      <c r="M315">
        <v>0.99977839999999996</v>
      </c>
      <c r="N315">
        <v>0</v>
      </c>
      <c r="O315">
        <v>-1.49245E-2</v>
      </c>
      <c r="P315">
        <v>0.99754730000000003</v>
      </c>
      <c r="Q315">
        <v>6.6737199999999997E-2</v>
      </c>
      <c r="R315">
        <v>2.111828E-2</v>
      </c>
      <c r="S315">
        <v>3.0366819999999999</v>
      </c>
      <c r="T315">
        <v>-0.28866649999999999</v>
      </c>
      <c r="U315">
        <v>-0.46554570000000001</v>
      </c>
      <c r="V315">
        <v>-3.6007329999999997E-2</v>
      </c>
      <c r="W315">
        <v>8.1540849999999998E-2</v>
      </c>
      <c r="X315">
        <v>0.9960194</v>
      </c>
      <c r="Y315">
        <v>0.1362322</v>
      </c>
      <c r="Z315">
        <v>-5.016192E-3</v>
      </c>
      <c r="AA315">
        <v>0.99066419999999999</v>
      </c>
      <c r="AB315">
        <v>38</v>
      </c>
      <c r="AC315">
        <v>0.65409999999997104</v>
      </c>
      <c r="AD315">
        <v>-7.9840300000000003E-2</v>
      </c>
      <c r="AE315">
        <v>-0.12630000000001401</v>
      </c>
      <c r="AF315">
        <v>0.11487277033535399</v>
      </c>
      <c r="AG315">
        <v>-7.9840300000000003E-2</v>
      </c>
      <c r="AH315">
        <v>0.64662455115961204</v>
      </c>
      <c r="AI315">
        <v>96.931377659726706</v>
      </c>
      <c r="AJ315">
        <v>79.926505974059197</v>
      </c>
      <c r="AK315">
        <v>0.66158411183384602</v>
      </c>
      <c r="AL315">
        <v>85.322860854680002</v>
      </c>
      <c r="AM315">
        <v>92.070411475300602</v>
      </c>
      <c r="AN315">
        <v>1.0000000416043999</v>
      </c>
    </row>
    <row r="316" spans="1:40" x14ac:dyDescent="0.25">
      <c r="A316" t="str">
        <f>"20190312160608379"</f>
        <v>20190312160608379</v>
      </c>
      <c r="B316" t="str">
        <f>"1552377968375100"</f>
        <v>1552377968375100</v>
      </c>
      <c r="C316" t="s">
        <v>40</v>
      </c>
      <c r="D316">
        <v>5.8802469999999998</v>
      </c>
      <c r="E316">
        <v>0.56433369999999905</v>
      </c>
      <c r="F316" t="s">
        <v>44</v>
      </c>
      <c r="G316">
        <v>-404.45310000000001</v>
      </c>
      <c r="H316">
        <v>0.96652079999999996</v>
      </c>
      <c r="I316">
        <v>368.12430000000001</v>
      </c>
      <c r="J316">
        <v>-405.0797</v>
      </c>
      <c r="K316">
        <v>1.0601419999999999</v>
      </c>
      <c r="L316">
        <v>368.2697</v>
      </c>
      <c r="M316">
        <v>0.99978</v>
      </c>
      <c r="N316">
        <v>0</v>
      </c>
      <c r="O316">
        <v>-1.4810500000000001E-2</v>
      </c>
      <c r="P316">
        <v>0.99758709999999995</v>
      </c>
      <c r="Q316">
        <v>6.6246639999999996E-2</v>
      </c>
      <c r="R316">
        <v>2.077008E-2</v>
      </c>
      <c r="S316">
        <v>3.0364990000000001</v>
      </c>
      <c r="T316">
        <v>-0.28902800000000001</v>
      </c>
      <c r="U316">
        <v>-0.46377560000000001</v>
      </c>
      <c r="V316">
        <v>-3.555138E-2</v>
      </c>
      <c r="W316">
        <v>8.1051339999999999E-2</v>
      </c>
      <c r="X316">
        <v>0.99607570000000001</v>
      </c>
      <c r="Y316">
        <v>0.13578979999999999</v>
      </c>
      <c r="Z316">
        <v>-5.0128350000000002E-3</v>
      </c>
      <c r="AA316">
        <v>0.99072499999999997</v>
      </c>
      <c r="AB316">
        <v>38</v>
      </c>
      <c r="AC316">
        <v>0.62659999999999605</v>
      </c>
      <c r="AD316">
        <v>-9.3621199999999793E-2</v>
      </c>
      <c r="AE316">
        <v>-0.14539999999999501</v>
      </c>
      <c r="AF316">
        <v>0.133279485024798</v>
      </c>
      <c r="AG316">
        <v>-9.3621199999999793E-2</v>
      </c>
      <c r="AH316">
        <v>0.61564366431172601</v>
      </c>
      <c r="AI316">
        <v>98.453839210135996</v>
      </c>
      <c r="AJ316">
        <v>77.784653789905093</v>
      </c>
      <c r="AK316">
        <v>0.63682452184654803</v>
      </c>
      <c r="AL316">
        <v>85.351000708212794</v>
      </c>
      <c r="AM316">
        <v>92.044101417364502</v>
      </c>
      <c r="AN316">
        <v>1.0000000102330899</v>
      </c>
    </row>
    <row r="317" spans="1:40" x14ac:dyDescent="0.25">
      <c r="A317" t="str">
        <f>"20190312160608391"</f>
        <v>20190312160608391</v>
      </c>
      <c r="B317" t="str">
        <f>"1552377968385837"</f>
        <v>1552377968385837</v>
      </c>
      <c r="C317" t="s">
        <v>40</v>
      </c>
      <c r="D317">
        <v>6.2832369999999997</v>
      </c>
      <c r="E317">
        <v>0.54235299999999997</v>
      </c>
      <c r="F317" t="s">
        <v>44</v>
      </c>
      <c r="G317">
        <v>-404.11630000000002</v>
      </c>
      <c r="H317">
        <v>0.96806230000000004</v>
      </c>
      <c r="I317">
        <v>368.12240000000003</v>
      </c>
      <c r="J317">
        <v>-404.86680000000001</v>
      </c>
      <c r="K317">
        <v>1.060162</v>
      </c>
      <c r="L317">
        <v>368.26659999999998</v>
      </c>
      <c r="M317">
        <v>0.99978109999999998</v>
      </c>
      <c r="N317">
        <v>0</v>
      </c>
      <c r="O317">
        <v>-1.473609E-2</v>
      </c>
      <c r="P317">
        <v>0.99761069999999996</v>
      </c>
      <c r="Q317">
        <v>6.5920290000000006E-2</v>
      </c>
      <c r="R317">
        <v>2.0675269999999999E-2</v>
      </c>
      <c r="S317">
        <v>3.0361940000000001</v>
      </c>
      <c r="T317">
        <v>-0.29040379999999999</v>
      </c>
      <c r="U317">
        <v>-0.46292109999999898</v>
      </c>
      <c r="V317">
        <v>-3.5385600000000003E-2</v>
      </c>
      <c r="W317">
        <v>8.07253E-2</v>
      </c>
      <c r="X317">
        <v>0.99610810000000005</v>
      </c>
      <c r="Y317">
        <v>0.13560120000000001</v>
      </c>
      <c r="Z317">
        <v>-5.0353000000000004E-3</v>
      </c>
      <c r="AA317">
        <v>0.99075069999999998</v>
      </c>
      <c r="AB317">
        <v>38</v>
      </c>
      <c r="AC317">
        <v>0.75049999999998795</v>
      </c>
      <c r="AD317">
        <v>-9.2099700000000104E-2</v>
      </c>
      <c r="AE317">
        <v>-0.144199999999955</v>
      </c>
      <c r="AF317">
        <v>0.131217941145678</v>
      </c>
      <c r="AG317">
        <v>-9.2099700000000104E-2</v>
      </c>
      <c r="AH317">
        <v>0.74177057335564001</v>
      </c>
      <c r="AI317">
        <v>96.970598968580404</v>
      </c>
      <c r="AJ317">
        <v>79.968256896023604</v>
      </c>
      <c r="AK317">
        <v>0.75889662426114102</v>
      </c>
      <c r="AL317">
        <v>85.369742934328698</v>
      </c>
      <c r="AM317">
        <v>92.034511454721098</v>
      </c>
      <c r="AN317">
        <v>1.00000003081652</v>
      </c>
    </row>
    <row r="318" spans="1:40" x14ac:dyDescent="0.25">
      <c r="A318" t="str">
        <f>"20190312160608403"</f>
        <v>20190312160608403</v>
      </c>
      <c r="B318" t="str">
        <f>"1552377968395597"</f>
        <v>1552377968395597</v>
      </c>
      <c r="C318" t="s">
        <v>40</v>
      </c>
      <c r="D318">
        <v>5.7761529999999999</v>
      </c>
      <c r="E318">
        <v>0.53486210000000001</v>
      </c>
      <c r="F318" t="s">
        <v>47</v>
      </c>
      <c r="G318">
        <v>-369.50009999999997</v>
      </c>
      <c r="H318" s="1">
        <v>-1.39721E-6</v>
      </c>
      <c r="I318">
        <v>364.95209999999997</v>
      </c>
      <c r="J318">
        <v>-404.67160000000001</v>
      </c>
      <c r="K318">
        <v>1.0601750000000001</v>
      </c>
      <c r="L318">
        <v>368.2638</v>
      </c>
      <c r="M318">
        <v>0.99978199999999995</v>
      </c>
      <c r="N318">
        <v>0</v>
      </c>
      <c r="O318">
        <v>-1.466259E-2</v>
      </c>
      <c r="P318">
        <v>0.99761580000000005</v>
      </c>
      <c r="Q318">
        <v>6.5827380000000005E-2</v>
      </c>
      <c r="R318">
        <v>2.072303E-2</v>
      </c>
      <c r="S318">
        <v>3.0190429999999999</v>
      </c>
      <c r="T318">
        <v>-9.049952E-2</v>
      </c>
      <c r="U318">
        <v>-0.28292850000000003</v>
      </c>
      <c r="V318">
        <v>-3.5362600000000001E-2</v>
      </c>
      <c r="W318">
        <v>8.0632609999999993E-2</v>
      </c>
      <c r="X318">
        <v>0.99611640000000001</v>
      </c>
      <c r="Y318">
        <v>7.8667039999999994E-2</v>
      </c>
      <c r="Z318">
        <v>-7.3779869999999895E-4</v>
      </c>
      <c r="AA318">
        <v>0.99690069999999997</v>
      </c>
      <c r="AB318">
        <v>38</v>
      </c>
      <c r="AC318">
        <v>35.171500000000002</v>
      </c>
      <c r="AD318">
        <v>-1.06017639721</v>
      </c>
      <c r="AE318">
        <v>-3.3117000000000298</v>
      </c>
      <c r="AF318">
        <v>2.7930661512452701</v>
      </c>
      <c r="AG318">
        <v>-1.06017639721</v>
      </c>
      <c r="AH318">
        <v>35.184593727972498</v>
      </c>
      <c r="AI318">
        <v>91.720495571606406</v>
      </c>
      <c r="AJ318">
        <v>85.461194930408993</v>
      </c>
      <c r="AK318">
        <v>35.311199757596903</v>
      </c>
      <c r="AL318">
        <v>85.375070937614694</v>
      </c>
      <c r="AM318">
        <v>92.033173242248395</v>
      </c>
      <c r="AN318">
        <v>1.00000000681156</v>
      </c>
    </row>
    <row r="319" spans="1:40" x14ac:dyDescent="0.25">
      <c r="A319" t="str">
        <f>"20190312160608416"</f>
        <v>20190312160608416</v>
      </c>
      <c r="B319" t="str">
        <f>"1552377968405356"</f>
        <v>1552377968405356</v>
      </c>
      <c r="C319" t="s">
        <v>40</v>
      </c>
      <c r="D319">
        <v>5.7923249999999999</v>
      </c>
      <c r="E319">
        <v>0.53039740000000002</v>
      </c>
      <c r="F319" t="s">
        <v>47</v>
      </c>
      <c r="G319">
        <v>-384.1241</v>
      </c>
      <c r="H319" s="1">
        <v>-3.0144119999999998E-6</v>
      </c>
      <c r="I319">
        <v>366.73349999999999</v>
      </c>
      <c r="J319">
        <v>-404.46910000000003</v>
      </c>
      <c r="K319">
        <v>1.0601879999999999</v>
      </c>
      <c r="L319">
        <v>368.26080000000002</v>
      </c>
      <c r="M319">
        <v>0.99978330000000004</v>
      </c>
      <c r="N319">
        <v>0</v>
      </c>
      <c r="O319">
        <v>-1.4584919999999999E-2</v>
      </c>
      <c r="P319">
        <v>0.99760979999999999</v>
      </c>
      <c r="Q319">
        <v>6.5775459999999994E-2</v>
      </c>
      <c r="R319">
        <v>2.11808E-2</v>
      </c>
      <c r="S319">
        <v>3.022125</v>
      </c>
      <c r="T319">
        <v>-0.1559305</v>
      </c>
      <c r="U319">
        <v>-0.22506709999999999</v>
      </c>
      <c r="V319">
        <v>-3.5744640000000001E-2</v>
      </c>
      <c r="W319">
        <v>8.058034E-2</v>
      </c>
      <c r="X319">
        <v>0.99610699999999996</v>
      </c>
      <c r="Y319">
        <v>5.9653730000000002E-2</v>
      </c>
      <c r="Z319">
        <v>-7.848601E-4</v>
      </c>
      <c r="AA319">
        <v>0.99821879999999996</v>
      </c>
      <c r="AB319">
        <v>38</v>
      </c>
      <c r="AC319">
        <v>20.344999999999999</v>
      </c>
      <c r="AD319">
        <v>-1.0601910144119999</v>
      </c>
      <c r="AE319">
        <v>-1.5273000000000201</v>
      </c>
      <c r="AF319">
        <v>1.22706113991638</v>
      </c>
      <c r="AG319">
        <v>-1.0601910144119999</v>
      </c>
      <c r="AH319">
        <v>20.310269669767901</v>
      </c>
      <c r="AI319">
        <v>92.982684664695</v>
      </c>
      <c r="AJ319">
        <v>86.542632242784194</v>
      </c>
      <c r="AK319">
        <v>20.3749046154044</v>
      </c>
      <c r="AL319">
        <v>85.3780755935435</v>
      </c>
      <c r="AM319">
        <v>92.055139280584598</v>
      </c>
      <c r="AN319">
        <v>1.00000001296612</v>
      </c>
    </row>
    <row r="320" spans="1:40" x14ac:dyDescent="0.25">
      <c r="A320" t="str">
        <f>"20190312160608428"</f>
        <v>20190312160608428</v>
      </c>
      <c r="B320" t="str">
        <f>"1552377968425853"</f>
        <v>1552377968425853</v>
      </c>
      <c r="C320" t="s">
        <v>40</v>
      </c>
      <c r="D320">
        <v>5.7750519999999996</v>
      </c>
      <c r="E320">
        <v>0.52519059999999995</v>
      </c>
      <c r="F320" t="s">
        <v>44</v>
      </c>
      <c r="G320">
        <v>-403.42140000000001</v>
      </c>
      <c r="H320">
        <v>1.0013989999999999</v>
      </c>
      <c r="I320">
        <v>368.19529999999997</v>
      </c>
      <c r="J320">
        <v>-404.25040000000001</v>
      </c>
      <c r="K320">
        <v>1.0601989999999999</v>
      </c>
      <c r="L320">
        <v>368.25779999999997</v>
      </c>
      <c r="M320">
        <v>0.99978460000000002</v>
      </c>
      <c r="N320">
        <v>0</v>
      </c>
      <c r="O320">
        <v>-1.44975E-2</v>
      </c>
      <c r="P320">
        <v>0.99762119999999999</v>
      </c>
      <c r="Q320">
        <v>6.5507250000000003E-2</v>
      </c>
      <c r="R320">
        <v>2.147427E-2</v>
      </c>
      <c r="S320">
        <v>3.0223689999999999</v>
      </c>
      <c r="T320">
        <v>-0.16975190000000001</v>
      </c>
      <c r="U320">
        <v>-0.18884280000000001</v>
      </c>
      <c r="V320">
        <v>-3.5952989999999997E-2</v>
      </c>
      <c r="W320">
        <v>8.031228E-2</v>
      </c>
      <c r="X320">
        <v>0.99612109999999998</v>
      </c>
      <c r="Y320">
        <v>4.7830350000000001E-2</v>
      </c>
      <c r="Z320">
        <v>-5.2803879999999896E-4</v>
      </c>
      <c r="AA320">
        <v>0.99885539999999995</v>
      </c>
      <c r="AB320">
        <v>38</v>
      </c>
      <c r="AC320">
        <v>0.82900000000000695</v>
      </c>
      <c r="AD320">
        <v>-5.8799999999999901E-2</v>
      </c>
      <c r="AE320">
        <v>-6.25E-2</v>
      </c>
      <c r="AF320">
        <v>5.02224409420607E-2</v>
      </c>
      <c r="AG320">
        <v>-5.8799999999999901E-2</v>
      </c>
      <c r="AH320">
        <v>0.82568857304728605</v>
      </c>
      <c r="AI320">
        <v>94.065855552014</v>
      </c>
      <c r="AJ320">
        <v>86.519277109522903</v>
      </c>
      <c r="AK320">
        <v>0.82930172629450205</v>
      </c>
      <c r="AL320">
        <v>85.393484008923707</v>
      </c>
      <c r="AM320">
        <v>92.067078774550396</v>
      </c>
      <c r="AN320">
        <v>0.99999996283697301</v>
      </c>
    </row>
    <row r="321" spans="1:40" x14ac:dyDescent="0.25">
      <c r="A321" t="str">
        <f>"20190312160608446"</f>
        <v>20190312160608446</v>
      </c>
      <c r="B321" t="str">
        <f>"1552377968435612"</f>
        <v>1552377968435612</v>
      </c>
      <c r="C321" t="s">
        <v>40</v>
      </c>
      <c r="D321">
        <v>6.3834819999999999</v>
      </c>
      <c r="E321">
        <v>0.52507269999999995</v>
      </c>
      <c r="F321" t="s">
        <v>47</v>
      </c>
      <c r="G321">
        <v>-384.5018</v>
      </c>
      <c r="H321" s="1">
        <v>-2.7516859999999999E-6</v>
      </c>
      <c r="I321">
        <v>367.30110000000002</v>
      </c>
      <c r="J321">
        <v>-403.9597</v>
      </c>
      <c r="K321">
        <v>1.060214</v>
      </c>
      <c r="L321">
        <v>368.25360000000001</v>
      </c>
      <c r="M321">
        <v>0.99978619999999996</v>
      </c>
      <c r="N321">
        <v>0</v>
      </c>
      <c r="O321">
        <v>-1.437883E-2</v>
      </c>
      <c r="P321">
        <v>0.99767360000000005</v>
      </c>
      <c r="Q321">
        <v>6.4579460000000005E-2</v>
      </c>
      <c r="R321">
        <v>2.1844869999999999E-2</v>
      </c>
      <c r="S321">
        <v>3.0209350000000001</v>
      </c>
      <c r="T321">
        <v>-0.1621783</v>
      </c>
      <c r="U321">
        <v>-0.14633180000000001</v>
      </c>
      <c r="V321">
        <v>-3.6207900000000001E-2</v>
      </c>
      <c r="W321">
        <v>7.9384460000000004E-2</v>
      </c>
      <c r="X321">
        <v>0.99618629999999997</v>
      </c>
      <c r="Y321">
        <v>3.398578E-2</v>
      </c>
      <c r="Z321">
        <v>-1.4015429999999999E-4</v>
      </c>
      <c r="AA321">
        <v>0.99942229999999999</v>
      </c>
      <c r="AB321">
        <v>38</v>
      </c>
      <c r="AC321">
        <v>19.457899999999899</v>
      </c>
      <c r="AD321">
        <v>-1.0602167516859999</v>
      </c>
      <c r="AE321">
        <v>-0.95249999999998602</v>
      </c>
      <c r="AF321">
        <v>0.670602577496198</v>
      </c>
      <c r="AG321">
        <v>-1.0602167516859999</v>
      </c>
      <c r="AH321">
        <v>19.412090309768399</v>
      </c>
      <c r="AI321">
        <v>93.124318122254607</v>
      </c>
      <c r="AJ321">
        <v>88.021468929859196</v>
      </c>
      <c r="AK321">
        <v>19.452583827659101</v>
      </c>
      <c r="AL321">
        <v>85.446814746970901</v>
      </c>
      <c r="AM321">
        <v>92.081585575711699</v>
      </c>
      <c r="AN321">
        <v>1.00000002440979</v>
      </c>
    </row>
    <row r="322" spans="1:40" x14ac:dyDescent="0.25">
      <c r="A322" t="str">
        <f>"20190312160608460"</f>
        <v>20190312160608460</v>
      </c>
      <c r="B322" t="str">
        <f>"1552377968455133"</f>
        <v>1552377968455133</v>
      </c>
      <c r="C322" t="s">
        <v>40</v>
      </c>
      <c r="D322">
        <v>5.7052559999999897</v>
      </c>
      <c r="E322">
        <v>0.52139279999999999</v>
      </c>
      <c r="F322" t="s">
        <v>47</v>
      </c>
      <c r="G322">
        <v>-379.1438</v>
      </c>
      <c r="H322" s="1">
        <v>-9.5273830000000002E-7</v>
      </c>
      <c r="I322">
        <v>367.07830000000001</v>
      </c>
      <c r="J322">
        <v>-403.74130000000002</v>
      </c>
      <c r="K322">
        <v>1.060222</v>
      </c>
      <c r="L322">
        <v>368.25049999999999</v>
      </c>
      <c r="M322">
        <v>0.99978750000000005</v>
      </c>
      <c r="N322">
        <v>0</v>
      </c>
      <c r="O322">
        <v>-1.4288469999999999E-2</v>
      </c>
      <c r="P322">
        <v>0.9976874</v>
      </c>
      <c r="Q322">
        <v>6.432715E-2</v>
      </c>
      <c r="R322">
        <v>2.1953480000000001E-2</v>
      </c>
      <c r="S322">
        <v>3.0184329999999999</v>
      </c>
      <c r="T322">
        <v>-0.1289566</v>
      </c>
      <c r="U322">
        <v>-0.1429443</v>
      </c>
      <c r="V322">
        <v>-3.6227639999999998E-2</v>
      </c>
      <c r="W322">
        <v>7.9132069999999999E-2</v>
      </c>
      <c r="X322">
        <v>0.99620560000000002</v>
      </c>
      <c r="Y322">
        <v>3.3008210000000003E-2</v>
      </c>
      <c r="Z322" s="1">
        <v>-9.4562009999999994E-5</v>
      </c>
      <c r="AA322">
        <v>0.99945510000000004</v>
      </c>
      <c r="AB322">
        <v>38</v>
      </c>
      <c r="AC322">
        <v>24.5975</v>
      </c>
      <c r="AD322">
        <v>-1.0602229527383</v>
      </c>
      <c r="AE322">
        <v>-1.1721999999999699</v>
      </c>
      <c r="AF322">
        <v>0.81906260768444705</v>
      </c>
      <c r="AG322">
        <v>-1.0602229527383</v>
      </c>
      <c r="AH322">
        <v>24.566202099791798</v>
      </c>
      <c r="AI322">
        <v>92.469854900676793</v>
      </c>
      <c r="AJ322">
        <v>88.090406775358005</v>
      </c>
      <c r="AK322">
        <v>24.602707612631502</v>
      </c>
      <c r="AL322">
        <v>85.461320980136506</v>
      </c>
      <c r="AM322">
        <v>92.082679111513301</v>
      </c>
      <c r="AN322">
        <v>0.99999996193690599</v>
      </c>
    </row>
    <row r="323" spans="1:40" x14ac:dyDescent="0.25">
      <c r="A323" t="str">
        <f>"20190312160608473"</f>
        <v>20190312160608473</v>
      </c>
      <c r="B323" t="str">
        <f>"1552377968465868"</f>
        <v>1552377968465868</v>
      </c>
      <c r="C323" t="s">
        <v>40</v>
      </c>
      <c r="D323">
        <v>6.007307</v>
      </c>
      <c r="E323">
        <v>0.51973649999999905</v>
      </c>
      <c r="F323" t="s">
        <v>47</v>
      </c>
      <c r="G323">
        <v>-367.71629999999999</v>
      </c>
      <c r="H323" s="1">
        <v>-1.48171E-6</v>
      </c>
      <c r="I323">
        <v>366.91590000000002</v>
      </c>
      <c r="J323">
        <v>-403.49610000000001</v>
      </c>
      <c r="K323">
        <v>1.06023</v>
      </c>
      <c r="L323">
        <v>368.24709999999999</v>
      </c>
      <c r="M323">
        <v>0.99978900000000004</v>
      </c>
      <c r="N323">
        <v>0</v>
      </c>
      <c r="O323">
        <v>-1.418668E-2</v>
      </c>
      <c r="P323">
        <v>0.99766679999999996</v>
      </c>
      <c r="Q323">
        <v>6.4490829999999999E-2</v>
      </c>
      <c r="R323">
        <v>2.240789E-2</v>
      </c>
      <c r="S323">
        <v>3.0151669999999999</v>
      </c>
      <c r="T323">
        <v>-8.8736889999999999E-2</v>
      </c>
      <c r="U323">
        <v>-0.1116943</v>
      </c>
      <c r="V323">
        <v>-3.6581530000000001E-2</v>
      </c>
      <c r="W323">
        <v>7.9294160000000002E-2</v>
      </c>
      <c r="X323">
        <v>0.99617979999999995</v>
      </c>
      <c r="Y323">
        <v>2.283278E-2</v>
      </c>
      <c r="Z323" s="1">
        <v>8.1492729999999995E-5</v>
      </c>
      <c r="AA323">
        <v>0.9997393</v>
      </c>
      <c r="AB323">
        <v>37</v>
      </c>
      <c r="AC323">
        <v>35.779800000000002</v>
      </c>
      <c r="AD323">
        <v>-1.06023148171</v>
      </c>
      <c r="AE323">
        <v>-1.33119999999996</v>
      </c>
      <c r="AF323">
        <v>0.82269203307407601</v>
      </c>
      <c r="AG323">
        <v>-1.06023148171</v>
      </c>
      <c r="AH323">
        <v>35.763726472915799</v>
      </c>
      <c r="AI323">
        <v>91.697612547003601</v>
      </c>
      <c r="AJ323">
        <v>88.682227097622302</v>
      </c>
      <c r="AK323">
        <v>35.788895543249602</v>
      </c>
      <c r="AL323">
        <v>85.452004728315998</v>
      </c>
      <c r="AM323">
        <v>92.103060017075293</v>
      </c>
      <c r="AN323">
        <v>0.99999998303764304</v>
      </c>
    </row>
    <row r="324" spans="1:40" x14ac:dyDescent="0.25">
      <c r="A324" t="str">
        <f>"20190312160608489"</f>
        <v>20190312160608489</v>
      </c>
      <c r="B324" t="str">
        <f>"1552377968485389"</f>
        <v>1552377968485389</v>
      </c>
      <c r="C324" t="s">
        <v>40</v>
      </c>
      <c r="D324">
        <v>5.993061</v>
      </c>
      <c r="E324">
        <v>0.50172879999999997</v>
      </c>
      <c r="F324" t="s">
        <v>47</v>
      </c>
      <c r="G324">
        <v>-358.72919999999999</v>
      </c>
      <c r="H324" s="1">
        <v>-1.165949E-6</v>
      </c>
      <c r="I324">
        <v>366.8073</v>
      </c>
      <c r="J324">
        <v>-403.25200000000001</v>
      </c>
      <c r="K324">
        <v>1.060236</v>
      </c>
      <c r="L324">
        <v>368.24369999999999</v>
      </c>
      <c r="M324">
        <v>0.99979039999999997</v>
      </c>
      <c r="N324">
        <v>0</v>
      </c>
      <c r="O324">
        <v>-1.4084910000000001E-2</v>
      </c>
      <c r="P324">
        <v>0.99765630000000005</v>
      </c>
      <c r="Q324">
        <v>6.4532199999999998E-2</v>
      </c>
      <c r="R324">
        <v>2.2750340000000001E-2</v>
      </c>
      <c r="S324">
        <v>3.013763</v>
      </c>
      <c r="T324">
        <v>-7.1375850000000005E-2</v>
      </c>
      <c r="U324">
        <v>-9.6923830000000002E-2</v>
      </c>
      <c r="V324">
        <v>-3.68232E-2</v>
      </c>
      <c r="W324">
        <v>7.9334550000000004E-2</v>
      </c>
      <c r="X324">
        <v>0.99616769999999999</v>
      </c>
      <c r="Y324">
        <v>1.806029E-2</v>
      </c>
      <c r="Z324">
        <v>1.196756E-4</v>
      </c>
      <c r="AA324">
        <v>0.99983690000000003</v>
      </c>
      <c r="AB324">
        <v>37</v>
      </c>
      <c r="AC324">
        <v>44.522799999999897</v>
      </c>
      <c r="AD324">
        <v>-1.060237165949</v>
      </c>
      <c r="AE324">
        <v>-1.4363999999999899</v>
      </c>
      <c r="AF324">
        <v>0.80863053832893605</v>
      </c>
      <c r="AG324">
        <v>-1.060237165949</v>
      </c>
      <c r="AH324">
        <v>44.513400057517501</v>
      </c>
      <c r="AI324">
        <v>91.364209786459</v>
      </c>
      <c r="AJ324">
        <v>88.959279194547193</v>
      </c>
      <c r="AK324">
        <v>44.533366938467402</v>
      </c>
      <c r="AL324">
        <v>85.449683327915807</v>
      </c>
      <c r="AM324">
        <v>92.116966635898905</v>
      </c>
      <c r="AN324">
        <v>1.0000000027026099</v>
      </c>
    </row>
    <row r="325" spans="1:40" x14ac:dyDescent="0.25">
      <c r="A325" t="str">
        <f>"20190312160608504"</f>
        <v>20190312160608504</v>
      </c>
      <c r="B325" t="str">
        <f>"1552377968495149"</f>
        <v>1552377968495149</v>
      </c>
      <c r="C325" t="s">
        <v>40</v>
      </c>
      <c r="D325">
        <v>5.9379359999999997</v>
      </c>
      <c r="E325">
        <v>0.50283710000000004</v>
      </c>
      <c r="F325" t="s">
        <v>42</v>
      </c>
      <c r="G325">
        <v>-168.84350000000001</v>
      </c>
      <c r="H325">
        <v>11.641080000000001</v>
      </c>
      <c r="I325">
        <v>372.3897</v>
      </c>
      <c r="J325">
        <v>-402.9846</v>
      </c>
      <c r="K325">
        <v>1.0602400000000001</v>
      </c>
      <c r="L325">
        <v>368.24009999999998</v>
      </c>
      <c r="M325">
        <v>0.99979220000000002</v>
      </c>
      <c r="N325">
        <v>0</v>
      </c>
      <c r="O325">
        <v>-1.397433E-2</v>
      </c>
      <c r="P325">
        <v>0.9976486</v>
      </c>
      <c r="Q325">
        <v>6.4549239999999994E-2</v>
      </c>
      <c r="R325">
        <v>2.304699E-2</v>
      </c>
      <c r="S325">
        <v>2.9971009999999998</v>
      </c>
      <c r="T325">
        <v>0.13528570000000001</v>
      </c>
      <c r="U325">
        <v>5.3009029999999999E-2</v>
      </c>
      <c r="V325">
        <v>-3.7010769999999998E-2</v>
      </c>
      <c r="W325">
        <v>7.935072E-2</v>
      </c>
      <c r="X325">
        <v>0.99615940000000003</v>
      </c>
      <c r="Y325">
        <v>-3.160955E-2</v>
      </c>
      <c r="Z325">
        <v>-1.34348E-3</v>
      </c>
      <c r="AA325">
        <v>0.99949940000000004</v>
      </c>
      <c r="AB325">
        <v>37</v>
      </c>
      <c r="AC325">
        <v>234.14109999999999</v>
      </c>
      <c r="AD325">
        <v>10.58084</v>
      </c>
      <c r="AE325">
        <v>4.1496000000000199</v>
      </c>
      <c r="AF325">
        <v>-7.4064000052227996</v>
      </c>
      <c r="AG325">
        <v>10.58084</v>
      </c>
      <c r="AH325">
        <v>233.58337821559201</v>
      </c>
      <c r="AI325">
        <v>87.407694645024407</v>
      </c>
      <c r="AJ325">
        <v>91.816110965381796</v>
      </c>
      <c r="AK325">
        <v>233.94017080174899</v>
      </c>
      <c r="AL325">
        <v>85.448753648433694</v>
      </c>
      <c r="AM325">
        <v>92.127757865294797</v>
      </c>
      <c r="AN325">
        <v>0.99999994203443299</v>
      </c>
    </row>
    <row r="326" spans="1:40" x14ac:dyDescent="0.25">
      <c r="A326" t="str">
        <f>"20190312160608528"</f>
        <v>20190312160608528</v>
      </c>
      <c r="B326" t="str">
        <f>"1552377968515644"</f>
        <v>1552377968515644</v>
      </c>
      <c r="C326" t="s">
        <v>40</v>
      </c>
      <c r="D326">
        <v>5.8153189999999997</v>
      </c>
      <c r="E326">
        <v>0.5044189</v>
      </c>
      <c r="F326" t="s">
        <v>42</v>
      </c>
      <c r="G326">
        <v>-168.84350000000001</v>
      </c>
      <c r="H326">
        <v>10.29463</v>
      </c>
      <c r="I326">
        <v>371.71699999999998</v>
      </c>
      <c r="J326">
        <v>-402.60090000000002</v>
      </c>
      <c r="K326">
        <v>1.060241</v>
      </c>
      <c r="L326">
        <v>368.23489999999998</v>
      </c>
      <c r="M326">
        <v>0.99979419999999997</v>
      </c>
      <c r="N326">
        <v>0</v>
      </c>
      <c r="O326">
        <v>-1.3816510000000001E-2</v>
      </c>
      <c r="P326">
        <v>0.99764759999999997</v>
      </c>
      <c r="Q326">
        <v>6.4501260000000005E-2</v>
      </c>
      <c r="R326">
        <v>2.3214660000000002E-2</v>
      </c>
      <c r="S326">
        <v>2.998383</v>
      </c>
      <c r="T326">
        <v>0.1182555</v>
      </c>
      <c r="U326">
        <v>4.4525149999999999E-2</v>
      </c>
      <c r="V326">
        <v>-3.7021850000000002E-2</v>
      </c>
      <c r="W326">
        <v>7.9300809999999999E-2</v>
      </c>
      <c r="X326">
        <v>0.99616300000000002</v>
      </c>
      <c r="Y326">
        <v>-2.863019E-2</v>
      </c>
      <c r="Z326">
        <v>-1.1090729999999999E-3</v>
      </c>
      <c r="AA326">
        <v>0.99958939999999996</v>
      </c>
      <c r="AB326">
        <v>37</v>
      </c>
      <c r="AC326">
        <v>233.75739999999999</v>
      </c>
      <c r="AD326">
        <v>9.2343890000000002</v>
      </c>
      <c r="AE326">
        <v>3.4821</v>
      </c>
      <c r="AF326">
        <v>-6.7013796934703302</v>
      </c>
      <c r="AG326">
        <v>9.2343890000000002</v>
      </c>
      <c r="AH326">
        <v>233.322928615444</v>
      </c>
      <c r="AI326">
        <v>87.734479980639705</v>
      </c>
      <c r="AJ326">
        <v>91.645167272878695</v>
      </c>
      <c r="AK326">
        <v>233.60173682506499</v>
      </c>
      <c r="AL326">
        <v>85.451622490299798</v>
      </c>
      <c r="AM326">
        <v>92.1283865866843</v>
      </c>
      <c r="AN326">
        <v>0.99999997920653905</v>
      </c>
    </row>
    <row r="327" spans="1:40" x14ac:dyDescent="0.25">
      <c r="A327" t="str">
        <f>"20190312160608547"</f>
        <v>20190312160608547</v>
      </c>
      <c r="B327" t="str">
        <f>"1552377968535165"</f>
        <v>1552377968535165</v>
      </c>
      <c r="C327" t="s">
        <v>40</v>
      </c>
      <c r="D327">
        <v>5.8970120000000001</v>
      </c>
      <c r="E327">
        <v>0.50448820000000005</v>
      </c>
      <c r="F327" t="s">
        <v>42</v>
      </c>
      <c r="G327">
        <v>-168.84350000000001</v>
      </c>
      <c r="H327">
        <v>9.1665989999999997</v>
      </c>
      <c r="I327">
        <v>370.72489999999999</v>
      </c>
      <c r="J327">
        <v>-402.26609999999999</v>
      </c>
      <c r="K327">
        <v>1.060244</v>
      </c>
      <c r="L327">
        <v>368.23039999999997</v>
      </c>
      <c r="M327">
        <v>0.99979609999999997</v>
      </c>
      <c r="N327">
        <v>0</v>
      </c>
      <c r="O327">
        <v>-1.367936E-2</v>
      </c>
      <c r="P327">
        <v>0.99762810000000002</v>
      </c>
      <c r="Q327">
        <v>6.476295E-2</v>
      </c>
      <c r="R327">
        <v>2.3332970000000001E-2</v>
      </c>
      <c r="S327">
        <v>2.9995729999999998</v>
      </c>
      <c r="T327">
        <v>0.1040218</v>
      </c>
      <c r="U327">
        <v>3.1951899999999998E-2</v>
      </c>
      <c r="V327">
        <v>-3.7003500000000002E-2</v>
      </c>
      <c r="W327">
        <v>7.9560320000000004E-2</v>
      </c>
      <c r="X327">
        <v>0.996143</v>
      </c>
      <c r="Y327">
        <v>-2.4307809999999999E-2</v>
      </c>
      <c r="Z327">
        <v>-8.9562339999999896E-4</v>
      </c>
      <c r="AA327">
        <v>0.99970409999999998</v>
      </c>
      <c r="AB327">
        <v>37</v>
      </c>
      <c r="AC327">
        <v>233.42259999999999</v>
      </c>
      <c r="AD327">
        <v>8.1063550000000006</v>
      </c>
      <c r="AE327">
        <v>2.4945000000000102</v>
      </c>
      <c r="AF327">
        <v>-5.6808400345882397</v>
      </c>
      <c r="AG327">
        <v>8.1063550000000006</v>
      </c>
      <c r="AH327">
        <v>233.08554683944701</v>
      </c>
      <c r="AI327">
        <v>88.008735030807102</v>
      </c>
      <c r="AJ327">
        <v>91.396155778867197</v>
      </c>
      <c r="AK327">
        <v>233.29564308046699</v>
      </c>
      <c r="AL327">
        <v>85.436706583076997</v>
      </c>
      <c r="AM327">
        <v>92.127375286623405</v>
      </c>
      <c r="AN327">
        <v>0.99999998998987605</v>
      </c>
    </row>
    <row r="328" spans="1:40" x14ac:dyDescent="0.25">
      <c r="A328" t="str">
        <f>"20190312160608569"</f>
        <v>20190312160608569</v>
      </c>
      <c r="B328" t="str">
        <f>"1552377968565421"</f>
        <v>1552377968565421</v>
      </c>
      <c r="C328" t="s">
        <v>40</v>
      </c>
      <c r="D328">
        <v>5.9985339999999896</v>
      </c>
      <c r="E328">
        <v>0.50532719999999998</v>
      </c>
      <c r="F328" t="s">
        <v>42</v>
      </c>
      <c r="G328">
        <v>-168.84350000000001</v>
      </c>
      <c r="H328">
        <v>8.9413619999999998</v>
      </c>
      <c r="I328">
        <v>370.70949999999999</v>
      </c>
      <c r="J328">
        <v>-401.90289999999999</v>
      </c>
      <c r="K328">
        <v>1.060246</v>
      </c>
      <c r="L328">
        <v>368.22550000000001</v>
      </c>
      <c r="M328">
        <v>0.99979810000000002</v>
      </c>
      <c r="N328">
        <v>0</v>
      </c>
      <c r="O328">
        <v>-1.353041E-2</v>
      </c>
      <c r="P328">
        <v>0.99767439999999996</v>
      </c>
      <c r="Q328">
        <v>6.4064029999999994E-2</v>
      </c>
      <c r="R328">
        <v>2.3271090000000001E-2</v>
      </c>
      <c r="S328">
        <v>2.9998170000000002</v>
      </c>
      <c r="T328">
        <v>0.1012849</v>
      </c>
      <c r="U328">
        <v>3.1860350000000003E-2</v>
      </c>
      <c r="V328">
        <v>-3.6794180000000003E-2</v>
      </c>
      <c r="W328">
        <v>7.8860650000000004E-2</v>
      </c>
      <c r="X328">
        <v>0.99620640000000005</v>
      </c>
      <c r="Y328">
        <v>-2.412887E-2</v>
      </c>
      <c r="Z328">
        <v>-8.6395380000000004E-4</v>
      </c>
      <c r="AA328">
        <v>0.9997085</v>
      </c>
      <c r="AB328">
        <v>37</v>
      </c>
      <c r="AC328">
        <v>233.05940000000001</v>
      </c>
      <c r="AD328">
        <v>7.8811159999999996</v>
      </c>
      <c r="AE328">
        <v>2.48399999999998</v>
      </c>
      <c r="AF328">
        <v>-5.6310713263643901</v>
      </c>
      <c r="AG328">
        <v>7.8811159999999996</v>
      </c>
      <c r="AH328">
        <v>232.73833799109701</v>
      </c>
      <c r="AI328">
        <v>88.061126270787298</v>
      </c>
      <c r="AJ328">
        <v>91.385992912946406</v>
      </c>
      <c r="AK328">
        <v>232.939809660234</v>
      </c>
      <c r="AL328">
        <v>85.476921136969594</v>
      </c>
      <c r="AM328">
        <v>92.115217692399398</v>
      </c>
      <c r="AN328">
        <v>1.0000000026006199</v>
      </c>
    </row>
    <row r="329" spans="1:40" x14ac:dyDescent="0.25">
      <c r="A329" t="str">
        <f>"20190312160608592"</f>
        <v>20190312160608592</v>
      </c>
      <c r="B329" t="str">
        <f>"1552377968585171"</f>
        <v>1552377968585171</v>
      </c>
      <c r="C329" t="s">
        <v>40</v>
      </c>
      <c r="D329">
        <v>5.8520139999999996</v>
      </c>
      <c r="E329">
        <v>0.50515920000000003</v>
      </c>
      <c r="F329" t="s">
        <v>42</v>
      </c>
      <c r="G329">
        <v>-170.08879999999999</v>
      </c>
      <c r="H329">
        <v>8.4683779999999995</v>
      </c>
      <c r="I329">
        <v>370.14019999999999</v>
      </c>
      <c r="J329">
        <v>-401.51830000000001</v>
      </c>
      <c r="K329">
        <v>1.060252</v>
      </c>
      <c r="L329">
        <v>368.22050000000002</v>
      </c>
      <c r="M329">
        <v>0.99980029999999998</v>
      </c>
      <c r="N329">
        <v>0</v>
      </c>
      <c r="O329">
        <v>-1.3372999999999999E-2</v>
      </c>
      <c r="P329">
        <v>0.99767209999999995</v>
      </c>
      <c r="Q329">
        <v>6.4110109999999998E-2</v>
      </c>
      <c r="R329">
        <v>2.3248540000000002E-2</v>
      </c>
      <c r="S329">
        <v>3.0002439999999999</v>
      </c>
      <c r="T329">
        <v>9.5880510000000002E-2</v>
      </c>
      <c r="U329">
        <v>2.478027E-2</v>
      </c>
      <c r="V329">
        <v>-3.6614969999999997E-2</v>
      </c>
      <c r="W329">
        <v>7.8903899999999999E-2</v>
      </c>
      <c r="X329">
        <v>0.99620960000000003</v>
      </c>
      <c r="Y329">
        <v>-2.1614560000000001E-2</v>
      </c>
      <c r="Z329">
        <v>-7.7257599999999997E-4</v>
      </c>
      <c r="AA329">
        <v>0.99976609999999999</v>
      </c>
      <c r="AB329">
        <v>37</v>
      </c>
      <c r="AC329">
        <v>231.42949999999999</v>
      </c>
      <c r="AD329">
        <v>7.4081259999999904</v>
      </c>
      <c r="AE329">
        <v>1.91969999999997</v>
      </c>
      <c r="AF329">
        <v>-5.0096434843759798</v>
      </c>
      <c r="AG329">
        <v>7.4081259999999904</v>
      </c>
      <c r="AH329">
        <v>231.14629563962399</v>
      </c>
      <c r="AI329">
        <v>88.164757246263093</v>
      </c>
      <c r="AJ329">
        <v>91.241579489068997</v>
      </c>
      <c r="AK329">
        <v>231.31923146723699</v>
      </c>
      <c r="AL329">
        <v>85.4744354470389</v>
      </c>
      <c r="AM329">
        <v>92.104917832496895</v>
      </c>
      <c r="AN329">
        <v>1.0000000242977301</v>
      </c>
    </row>
    <row r="330" spans="1:40" x14ac:dyDescent="0.25">
      <c r="A330" t="str">
        <f>"20190312160608615"</f>
        <v>20190312160608615</v>
      </c>
      <c r="B330" t="str">
        <f>"1552377968605667"</f>
        <v>1552377968605667</v>
      </c>
      <c r="C330" t="s">
        <v>40</v>
      </c>
      <c r="D330">
        <v>5.9144079999999999</v>
      </c>
      <c r="E330">
        <v>0.50493650000000001</v>
      </c>
      <c r="F330" t="s">
        <v>42</v>
      </c>
      <c r="G330">
        <v>-170.08879999999999</v>
      </c>
      <c r="H330">
        <v>8.3032350000000008</v>
      </c>
      <c r="I330">
        <v>370.2473</v>
      </c>
      <c r="J330">
        <v>-401.15100000000001</v>
      </c>
      <c r="K330">
        <v>1.060268</v>
      </c>
      <c r="L330">
        <v>368.21570000000003</v>
      </c>
      <c r="M330">
        <v>0.99980190000000002</v>
      </c>
      <c r="N330">
        <v>0</v>
      </c>
      <c r="O330">
        <v>-1.32237E-2</v>
      </c>
      <c r="P330">
        <v>0.99764830000000004</v>
      </c>
      <c r="Q330">
        <v>6.4394080000000006E-2</v>
      </c>
      <c r="R330">
        <v>2.3481370000000001E-2</v>
      </c>
      <c r="S330">
        <v>3.0003359999999999</v>
      </c>
      <c r="T330">
        <v>9.3901750000000006E-2</v>
      </c>
      <c r="U330">
        <v>2.6275630000000001E-2</v>
      </c>
      <c r="V330">
        <v>-3.6699089999999997E-2</v>
      </c>
      <c r="W330">
        <v>7.9215240000000006E-2</v>
      </c>
      <c r="X330">
        <v>0.99618180000000001</v>
      </c>
      <c r="Y330">
        <v>-2.196389E-2</v>
      </c>
      <c r="Z330">
        <v>-7.5740880000000005E-4</v>
      </c>
      <c r="AA330">
        <v>0.99975849999999999</v>
      </c>
      <c r="AB330">
        <v>37</v>
      </c>
      <c r="AC330">
        <v>231.06219999999999</v>
      </c>
      <c r="AD330">
        <v>7.2429670000000002</v>
      </c>
      <c r="AE330">
        <v>2.0315999999999601</v>
      </c>
      <c r="AF330">
        <v>-5.0822642474905502</v>
      </c>
      <c r="AG330">
        <v>7.2429670000000002</v>
      </c>
      <c r="AH330">
        <v>230.78836960304901</v>
      </c>
      <c r="AI330">
        <v>88.202878297043597</v>
      </c>
      <c r="AJ330">
        <v>91.261524728596299</v>
      </c>
      <c r="AK330">
        <v>230.957921546064</v>
      </c>
      <c r="AL330">
        <v>85.4565409848786</v>
      </c>
      <c r="AM330">
        <v>92.109808172480697</v>
      </c>
      <c r="AN330">
        <v>1.00000002805316</v>
      </c>
    </row>
    <row r="331" spans="1:40" x14ac:dyDescent="0.25">
      <c r="A331" t="str">
        <f>"20190312160608627"</f>
        <v>20190312160608627</v>
      </c>
      <c r="B331" t="str">
        <f>"1552377968615426"</f>
        <v>1552377968615426</v>
      </c>
      <c r="C331" t="s">
        <v>40</v>
      </c>
      <c r="D331">
        <v>5.9184089999999996</v>
      </c>
      <c r="E331">
        <v>0.50475079999999894</v>
      </c>
      <c r="F331" t="s">
        <v>42</v>
      </c>
      <c r="G331">
        <v>-170.08879999999999</v>
      </c>
      <c r="H331">
        <v>8.2613699999999994</v>
      </c>
      <c r="I331">
        <v>370.4178</v>
      </c>
      <c r="J331">
        <v>-400.94310000000002</v>
      </c>
      <c r="K331">
        <v>1.060419</v>
      </c>
      <c r="L331">
        <v>368.21300000000002</v>
      </c>
      <c r="M331">
        <v>0.99979430000000002</v>
      </c>
      <c r="N331">
        <v>0</v>
      </c>
      <c r="O331">
        <v>-1.315208E-2</v>
      </c>
      <c r="P331">
        <v>0.99765740000000003</v>
      </c>
      <c r="Q331">
        <v>6.4172419999999994E-2</v>
      </c>
      <c r="R331">
        <v>2.3700510000000001E-2</v>
      </c>
      <c r="S331">
        <v>3.0003660000000001</v>
      </c>
      <c r="T331">
        <v>9.350812E-2</v>
      </c>
      <c r="U331">
        <v>2.8594970000000001E-2</v>
      </c>
      <c r="V331">
        <v>-3.6846299999999998E-2</v>
      </c>
      <c r="W331">
        <v>7.9554150000000004E-2</v>
      </c>
      <c r="X331">
        <v>0.99614930000000002</v>
      </c>
      <c r="Y331">
        <v>-2.266489E-2</v>
      </c>
      <c r="Z331">
        <v>-7.6291800000000002E-4</v>
      </c>
      <c r="AA331">
        <v>0.99974280000000004</v>
      </c>
      <c r="AB331">
        <v>37</v>
      </c>
      <c r="AC331">
        <v>230.85429999999999</v>
      </c>
      <c r="AD331">
        <v>7.2009509999999999</v>
      </c>
      <c r="AE331">
        <v>2.2047999999999699</v>
      </c>
      <c r="AF331">
        <v>-5.2360912841502198</v>
      </c>
      <c r="AG331">
        <v>7.2009509999999999</v>
      </c>
      <c r="AH331">
        <v>230.58099678176899</v>
      </c>
      <c r="AI331">
        <v>88.211718126093601</v>
      </c>
      <c r="AJ331">
        <v>91.300863403203195</v>
      </c>
      <c r="AK331">
        <v>230.75282538706799</v>
      </c>
      <c r="AL331">
        <v>85.437061131868703</v>
      </c>
      <c r="AM331">
        <v>92.118332537621001</v>
      </c>
      <c r="AN331">
        <v>0.99999997024819998</v>
      </c>
    </row>
    <row r="332" spans="1:40" x14ac:dyDescent="0.25">
      <c r="A332" t="str">
        <f>"20190312160608640"</f>
        <v>20190312160608640</v>
      </c>
      <c r="B332" t="str">
        <f>"1552377968635921"</f>
        <v>1552377968635921</v>
      </c>
      <c r="C332" t="s">
        <v>40</v>
      </c>
      <c r="D332">
        <v>5.8591329999999999</v>
      </c>
      <c r="E332">
        <v>0.50425370000000003</v>
      </c>
      <c r="F332" t="s">
        <v>42</v>
      </c>
      <c r="G332">
        <v>-170.08879999999999</v>
      </c>
      <c r="H332">
        <v>8.2196719999999992</v>
      </c>
      <c r="I332">
        <v>370.5917</v>
      </c>
      <c r="J332">
        <v>-400.73390000000001</v>
      </c>
      <c r="K332">
        <v>1.0606819999999999</v>
      </c>
      <c r="L332">
        <v>368.21039999999999</v>
      </c>
      <c r="M332">
        <v>0.99978509999999998</v>
      </c>
      <c r="N332">
        <v>0</v>
      </c>
      <c r="O332">
        <v>-1.3081270000000001E-2</v>
      </c>
      <c r="P332">
        <v>0.9976891</v>
      </c>
      <c r="Q332">
        <v>6.3684290000000005E-2</v>
      </c>
      <c r="R332">
        <v>2.3684879999999998E-2</v>
      </c>
      <c r="S332">
        <v>3.0003359999999999</v>
      </c>
      <c r="T332">
        <v>9.3047500000000005E-2</v>
      </c>
      <c r="U332">
        <v>3.091431E-2</v>
      </c>
      <c r="V332">
        <v>-3.675987E-2</v>
      </c>
      <c r="W332">
        <v>7.9708639999999997E-2</v>
      </c>
      <c r="X332">
        <v>0.99614020000000003</v>
      </c>
      <c r="Y332">
        <v>-2.3366930000000001E-2</v>
      </c>
      <c r="Z332">
        <v>-7.6785850000000001E-4</v>
      </c>
      <c r="AA332">
        <v>0.99972669999999997</v>
      </c>
      <c r="AB332">
        <v>37</v>
      </c>
      <c r="AC332">
        <v>230.64510000000001</v>
      </c>
      <c r="AD332">
        <v>7.1589900000000002</v>
      </c>
      <c r="AE332">
        <v>2.3813</v>
      </c>
      <c r="AF332">
        <v>-5.3934216953732497</v>
      </c>
      <c r="AG332">
        <v>7.1589900000000002</v>
      </c>
      <c r="AH332">
        <v>230.37228434336799</v>
      </c>
      <c r="AI332">
        <v>88.220551158763797</v>
      </c>
      <c r="AJ332">
        <v>91.341150306369101</v>
      </c>
      <c r="AK332">
        <v>230.54658863012</v>
      </c>
      <c r="AL332">
        <v>85.428181566265707</v>
      </c>
      <c r="AM332">
        <v>92.113387385654704</v>
      </c>
      <c r="AN332">
        <v>1.0000000266945499</v>
      </c>
    </row>
    <row r="333" spans="1:40" x14ac:dyDescent="0.25">
      <c r="A333" t="str">
        <f>"20190312160608652"</f>
        <v>20190312160608652</v>
      </c>
      <c r="B333" t="str">
        <f>"1552377968645683"</f>
        <v>1552377968645683</v>
      </c>
      <c r="C333" t="s">
        <v>40</v>
      </c>
      <c r="D333">
        <v>5.8547390000000004</v>
      </c>
      <c r="E333">
        <v>0.50425370000000003</v>
      </c>
      <c r="F333" t="s">
        <v>42</v>
      </c>
      <c r="G333">
        <v>-170.08879999999999</v>
      </c>
      <c r="H333">
        <v>8.2082199999999901</v>
      </c>
      <c r="I333">
        <v>370.8802</v>
      </c>
      <c r="J333">
        <v>-400.53890000000001</v>
      </c>
      <c r="K333">
        <v>1.0610379999999999</v>
      </c>
      <c r="L333">
        <v>368.2079</v>
      </c>
      <c r="M333">
        <v>0.99977479999999996</v>
      </c>
      <c r="N333">
        <v>0</v>
      </c>
      <c r="O333">
        <v>-1.301599E-2</v>
      </c>
      <c r="P333">
        <v>0.99770320000000001</v>
      </c>
      <c r="Q333">
        <v>6.3346760000000002E-2</v>
      </c>
      <c r="R333">
        <v>2.3989380000000001E-2</v>
      </c>
      <c r="S333">
        <v>3.0001829999999998</v>
      </c>
      <c r="T333">
        <v>9.2974780000000007E-2</v>
      </c>
      <c r="U333">
        <v>3.4729000000000003E-2</v>
      </c>
      <c r="V333">
        <v>-3.6997780000000001E-2</v>
      </c>
      <c r="W333">
        <v>8.0049439999999999E-2</v>
      </c>
      <c r="X333">
        <v>0.99610410000000005</v>
      </c>
      <c r="Y333">
        <v>-2.4572770000000001E-2</v>
      </c>
      <c r="Z333">
        <v>-7.8395429999999903E-4</v>
      </c>
      <c r="AA333">
        <v>0.99969770000000002</v>
      </c>
      <c r="AB333">
        <v>37</v>
      </c>
      <c r="AC333">
        <v>230.45009999999999</v>
      </c>
      <c r="AD333">
        <v>7.1471819999999902</v>
      </c>
      <c r="AE333">
        <v>2.6722999999999999</v>
      </c>
      <c r="AF333">
        <v>-5.6665814067103204</v>
      </c>
      <c r="AG333">
        <v>7.1471819999999902</v>
      </c>
      <c r="AH333">
        <v>230.17441735771399</v>
      </c>
      <c r="AI333">
        <v>88.222009577125107</v>
      </c>
      <c r="AJ333">
        <v>91.4102593783917</v>
      </c>
      <c r="AK333">
        <v>230.35506237403001</v>
      </c>
      <c r="AL333">
        <v>85.408592738096999</v>
      </c>
      <c r="AM333">
        <v>92.127129728525802</v>
      </c>
      <c r="AN333">
        <v>1.0000000633030199</v>
      </c>
    </row>
    <row r="334" spans="1:40" x14ac:dyDescent="0.25">
      <c r="A334" t="str">
        <f>"20190312160608671"</f>
        <v>20190312160608671</v>
      </c>
      <c r="B334" t="str">
        <f>"1552377968665202"</f>
        <v>1552377968665202</v>
      </c>
      <c r="C334" t="s">
        <v>40</v>
      </c>
      <c r="D334">
        <v>5.9477010000000003</v>
      </c>
      <c r="E334">
        <v>0.50390800000000002</v>
      </c>
      <c r="F334" t="s">
        <v>42</v>
      </c>
      <c r="G334">
        <v>-170.08879999999999</v>
      </c>
      <c r="H334">
        <v>8.125591</v>
      </c>
      <c r="I334">
        <v>370.92230000000001</v>
      </c>
      <c r="J334">
        <v>-400.24529999999999</v>
      </c>
      <c r="K334">
        <v>1.0616719999999999</v>
      </c>
      <c r="L334">
        <v>368.20420000000001</v>
      </c>
      <c r="M334">
        <v>0.99977199999999999</v>
      </c>
      <c r="N334">
        <v>0</v>
      </c>
      <c r="O334">
        <v>-1.291022E-2</v>
      </c>
      <c r="P334">
        <v>0.99771650000000001</v>
      </c>
      <c r="Q334">
        <v>6.3119750000000002E-2</v>
      </c>
      <c r="R334">
        <v>2.4043869999999998E-2</v>
      </c>
      <c r="S334">
        <v>3.0002439999999999</v>
      </c>
      <c r="T334">
        <v>9.1974970000000003E-2</v>
      </c>
      <c r="U334">
        <v>3.533936E-2</v>
      </c>
      <c r="V334">
        <v>-3.6947849999999997E-2</v>
      </c>
      <c r="W334">
        <v>8.0068929999999996E-2</v>
      </c>
      <c r="X334">
        <v>0.99610430000000005</v>
      </c>
      <c r="Y334">
        <v>-2.4670569999999999E-2</v>
      </c>
      <c r="Z334">
        <v>-7.7376970000000002E-4</v>
      </c>
      <c r="AA334">
        <v>0.99969540000000001</v>
      </c>
      <c r="AB334">
        <v>37</v>
      </c>
      <c r="AC334">
        <v>230.15649999999999</v>
      </c>
      <c r="AD334">
        <v>7.0639190000000003</v>
      </c>
      <c r="AE334">
        <v>2.71809999999999</v>
      </c>
      <c r="AF334">
        <v>-5.6843205106426904</v>
      </c>
      <c r="AG334">
        <v>7.0639190000000003</v>
      </c>
      <c r="AH334">
        <v>229.885697625793</v>
      </c>
      <c r="AI334">
        <v>88.240508730132206</v>
      </c>
      <c r="AJ334">
        <v>91.416448374324801</v>
      </c>
      <c r="AK334">
        <v>230.064435374536</v>
      </c>
      <c r="AL334">
        <v>85.407472049410799</v>
      </c>
      <c r="AM334">
        <v>92.124261286509096</v>
      </c>
      <c r="AN334">
        <v>0.99999997682472797</v>
      </c>
    </row>
    <row r="335" spans="1:40" x14ac:dyDescent="0.25">
      <c r="A335" t="str">
        <f>"20190312160608694"</f>
        <v>20190312160608694</v>
      </c>
      <c r="B335" t="str">
        <f>"1552377968685700"</f>
        <v>1552377968685700</v>
      </c>
      <c r="C335" t="s">
        <v>40</v>
      </c>
      <c r="D335">
        <v>5.9382650000000003</v>
      </c>
      <c r="E335">
        <v>0.50385409999999997</v>
      </c>
      <c r="F335" t="s">
        <v>42</v>
      </c>
      <c r="G335">
        <v>-170.08879999999999</v>
      </c>
      <c r="H335">
        <v>8.2173409999999993</v>
      </c>
      <c r="I335">
        <v>371.15410000000003</v>
      </c>
      <c r="J335">
        <v>-399.85930000000002</v>
      </c>
      <c r="K335">
        <v>1.0624389999999999</v>
      </c>
      <c r="L335">
        <v>368.19929999999999</v>
      </c>
      <c r="M335">
        <v>0.9997973</v>
      </c>
      <c r="N335">
        <v>0</v>
      </c>
      <c r="O335">
        <v>-1.2764620000000001E-2</v>
      </c>
      <c r="P335">
        <v>0.99761560000000005</v>
      </c>
      <c r="Q335">
        <v>6.4670800000000001E-2</v>
      </c>
      <c r="R335">
        <v>2.4102700000000001E-2</v>
      </c>
      <c r="S335">
        <v>3.0000610000000001</v>
      </c>
      <c r="T335">
        <v>9.3274350000000006E-2</v>
      </c>
      <c r="U335">
        <v>3.8452149999999997E-2</v>
      </c>
      <c r="V335">
        <v>-3.6861039999999998E-2</v>
      </c>
      <c r="W335">
        <v>8.0186800000000003E-2</v>
      </c>
      <c r="X335">
        <v>0.99609800000000004</v>
      </c>
      <c r="Y335">
        <v>-2.5561629999999998E-2</v>
      </c>
      <c r="Z335">
        <v>-7.9405220000000002E-4</v>
      </c>
      <c r="AA335">
        <v>0.99967289999999998</v>
      </c>
      <c r="AB335">
        <v>36</v>
      </c>
      <c r="AC335">
        <v>229.7705</v>
      </c>
      <c r="AD335">
        <v>7.1549019999999999</v>
      </c>
      <c r="AE335">
        <v>2.9548000000000298</v>
      </c>
      <c r="AF335">
        <v>-5.8821451716309099</v>
      </c>
      <c r="AG335">
        <v>7.1549019999999999</v>
      </c>
      <c r="AH335">
        <v>229.49156267158699</v>
      </c>
      <c r="AI335">
        <v>88.214842961496998</v>
      </c>
      <c r="AJ335">
        <v>91.468238373474804</v>
      </c>
      <c r="AK335">
        <v>229.678404713845</v>
      </c>
      <c r="AL335">
        <v>85.400696651824902</v>
      </c>
      <c r="AM335">
        <v>92.119288223474697</v>
      </c>
      <c r="AN335">
        <v>0.99999994238405898</v>
      </c>
    </row>
    <row r="336" spans="1:40" x14ac:dyDescent="0.25">
      <c r="A336" t="str">
        <f>"20190312160608715"</f>
        <v>20190312160608715</v>
      </c>
      <c r="B336" t="str">
        <f>"1552377968705218"</f>
        <v>1552377968705218</v>
      </c>
      <c r="C336" t="s">
        <v>40</v>
      </c>
      <c r="D336">
        <v>5.9881659999999997</v>
      </c>
      <c r="E336">
        <v>0.50378500000000004</v>
      </c>
      <c r="F336" t="s">
        <v>42</v>
      </c>
      <c r="G336">
        <v>-168.84350000000001</v>
      </c>
      <c r="H336">
        <v>8.7123439999999999</v>
      </c>
      <c r="I336">
        <v>371.22879999999998</v>
      </c>
      <c r="J336">
        <v>-399.50670000000002</v>
      </c>
      <c r="K336">
        <v>1.063358</v>
      </c>
      <c r="L336">
        <v>368.19499999999999</v>
      </c>
      <c r="M336">
        <v>0.99983049999999996</v>
      </c>
      <c r="N336">
        <v>0</v>
      </c>
      <c r="O336">
        <v>-1.2638689999999999E-2</v>
      </c>
      <c r="P336">
        <v>0.99744860000000002</v>
      </c>
      <c r="Q336">
        <v>6.7323419999999995E-2</v>
      </c>
      <c r="R336">
        <v>2.3744999999999999E-2</v>
      </c>
      <c r="S336">
        <v>2.9997859999999998</v>
      </c>
      <c r="T336">
        <v>9.933662E-2</v>
      </c>
      <c r="U336">
        <v>3.9337160000000003E-2</v>
      </c>
      <c r="V336">
        <v>-3.6377079999999999E-2</v>
      </c>
      <c r="W336">
        <v>8.0656870000000006E-2</v>
      </c>
      <c r="X336">
        <v>0.99607789999999996</v>
      </c>
      <c r="Y336">
        <v>-2.5728850000000001E-2</v>
      </c>
      <c r="Z336">
        <v>-8.4429479999999896E-4</v>
      </c>
      <c r="AA336">
        <v>0.99966860000000002</v>
      </c>
      <c r="AB336">
        <v>37</v>
      </c>
      <c r="AC336">
        <v>230.66319999999999</v>
      </c>
      <c r="AD336">
        <v>7.6489859999999998</v>
      </c>
      <c r="AE336">
        <v>3.0337999999999798</v>
      </c>
      <c r="AF336">
        <v>-5.9425660549999098</v>
      </c>
      <c r="AG336">
        <v>7.6489859999999998</v>
      </c>
      <c r="AH336">
        <v>230.35316452340101</v>
      </c>
      <c r="AI336">
        <v>88.098797343806197</v>
      </c>
      <c r="AJ336">
        <v>91.477767638097802</v>
      </c>
      <c r="AK336">
        <v>230.55672075238101</v>
      </c>
      <c r="AL336">
        <v>85.373676381035907</v>
      </c>
      <c r="AM336">
        <v>92.091530474736402</v>
      </c>
      <c r="AN336">
        <v>1.0000000027479601</v>
      </c>
    </row>
    <row r="337" spans="1:40" x14ac:dyDescent="0.25">
      <c r="A337" t="str">
        <f>"20190312160608736"</f>
        <v>20190312160608736</v>
      </c>
      <c r="B337" t="str">
        <f>"1552377968725718"</f>
        <v>1552377968725718</v>
      </c>
      <c r="C337" t="s">
        <v>40</v>
      </c>
      <c r="D337">
        <v>6.2430469999999998</v>
      </c>
      <c r="E337">
        <v>0.53223880000000001</v>
      </c>
      <c r="F337" t="s">
        <v>42</v>
      </c>
      <c r="G337">
        <v>-168.84350000000001</v>
      </c>
      <c r="H337">
        <v>9.5379579999999997</v>
      </c>
      <c r="I337">
        <v>371.19450000000001</v>
      </c>
      <c r="J337">
        <v>-399.1635</v>
      </c>
      <c r="K337">
        <v>1.0645639999999901</v>
      </c>
      <c r="L337">
        <v>368.19080000000002</v>
      </c>
      <c r="M337">
        <v>0.99985679999999999</v>
      </c>
      <c r="N337">
        <v>0</v>
      </c>
      <c r="O337">
        <v>-1.2506639999999999E-2</v>
      </c>
      <c r="P337">
        <v>0.99726890000000001</v>
      </c>
      <c r="Q337">
        <v>6.9868669999999994E-2</v>
      </c>
      <c r="R337">
        <v>2.3937770000000001E-2</v>
      </c>
      <c r="S337">
        <v>2.999298</v>
      </c>
      <c r="T337">
        <v>0.1101958</v>
      </c>
      <c r="U337">
        <v>3.9001460000000002E-2</v>
      </c>
      <c r="V337">
        <v>-3.6435250000000002E-2</v>
      </c>
      <c r="W337">
        <v>8.1221489999999993E-2</v>
      </c>
      <c r="X337">
        <v>0.99602990000000002</v>
      </c>
      <c r="Y337">
        <v>-2.548218E-2</v>
      </c>
      <c r="Z337">
        <v>-9.2729270000000005E-4</v>
      </c>
      <c r="AA337">
        <v>0.99967490000000003</v>
      </c>
      <c r="AB337">
        <v>37</v>
      </c>
      <c r="AC337">
        <v>230.32</v>
      </c>
      <c r="AD337">
        <v>8.4733939999999901</v>
      </c>
      <c r="AE337">
        <v>3.0036999999999798</v>
      </c>
      <c r="AF337">
        <v>-5.8762295712284498</v>
      </c>
      <c r="AG337">
        <v>8.4733939999999901</v>
      </c>
      <c r="AH337">
        <v>229.95323151942401</v>
      </c>
      <c r="AI337">
        <v>87.890388687346203</v>
      </c>
      <c r="AJ337">
        <v>91.463818945984798</v>
      </c>
      <c r="AK337">
        <v>230.18431129440401</v>
      </c>
      <c r="AL337">
        <v>85.341219581024205</v>
      </c>
      <c r="AM337">
        <v>92.094972894480705</v>
      </c>
      <c r="AN337">
        <v>1.0000000097871899</v>
      </c>
    </row>
    <row r="338" spans="1:40" x14ac:dyDescent="0.25">
      <c r="A338" t="str">
        <f>"20190312160608747"</f>
        <v>20190312160608747</v>
      </c>
      <c r="B338" t="str">
        <f>"1552377968735474"</f>
        <v>1552377968735474</v>
      </c>
      <c r="C338" t="s">
        <v>40</v>
      </c>
      <c r="D338">
        <v>6.0802880000000004</v>
      </c>
      <c r="E338">
        <v>0.53330339999999998</v>
      </c>
      <c r="F338" t="s">
        <v>42</v>
      </c>
      <c r="G338">
        <v>-158.78319999999999</v>
      </c>
      <c r="H338">
        <v>17.430209999999999</v>
      </c>
      <c r="I338">
        <v>353.31560000000002</v>
      </c>
      <c r="J338">
        <v>-398.98829999999998</v>
      </c>
      <c r="K338">
        <v>1.0652779999999999</v>
      </c>
      <c r="L338">
        <v>368.18869999999998</v>
      </c>
      <c r="M338">
        <v>0.99986779999999997</v>
      </c>
      <c r="N338">
        <v>0</v>
      </c>
      <c r="O338">
        <v>-1.243151E-2</v>
      </c>
      <c r="P338">
        <v>0.99717560000000005</v>
      </c>
      <c r="Q338">
        <v>7.1100869999999997E-2</v>
      </c>
      <c r="R338">
        <v>2.4198089999999998E-2</v>
      </c>
      <c r="S338">
        <v>2.998383</v>
      </c>
      <c r="T338">
        <v>0.20413780000000001</v>
      </c>
      <c r="U338">
        <v>-0.18554689999999999</v>
      </c>
      <c r="V338">
        <v>-3.6618600000000001E-2</v>
      </c>
      <c r="W338">
        <v>8.1532309999999997E-2</v>
      </c>
      <c r="X338">
        <v>0.99599780000000004</v>
      </c>
      <c r="Y338">
        <v>4.9266009999999999E-2</v>
      </c>
      <c r="Z338">
        <v>8.2901079999999998E-4</v>
      </c>
      <c r="AA338">
        <v>0.99878540000000005</v>
      </c>
      <c r="AB338">
        <v>37</v>
      </c>
      <c r="AC338">
        <v>240.20509999999999</v>
      </c>
      <c r="AD338">
        <v>16.364932</v>
      </c>
      <c r="AE338">
        <v>-14.8730999999999</v>
      </c>
      <c r="AF338">
        <v>11.830970026975701</v>
      </c>
      <c r="AG338">
        <v>16.364932</v>
      </c>
      <c r="AH338">
        <v>239.265119663348</v>
      </c>
      <c r="AI338">
        <v>86.092014398399598</v>
      </c>
      <c r="AJ338">
        <v>87.169194588344695</v>
      </c>
      <c r="AK338">
        <v>240.11576445260701</v>
      </c>
      <c r="AL338">
        <v>85.323351733960706</v>
      </c>
      <c r="AM338">
        <v>92.105573580320495</v>
      </c>
      <c r="AN338">
        <v>1.00000002852236</v>
      </c>
    </row>
    <row r="339" spans="1:40" x14ac:dyDescent="0.25">
      <c r="A339" t="str">
        <f>"20190312160608758"</f>
        <v>20190312160608758</v>
      </c>
      <c r="B339" t="str">
        <f>"1552377968754993"</f>
        <v>1552377968754993</v>
      </c>
      <c r="C339" t="s">
        <v>40</v>
      </c>
      <c r="D339">
        <v>6.4210159999999998</v>
      </c>
      <c r="E339">
        <v>0.53229510000000002</v>
      </c>
      <c r="F339" t="s">
        <v>42</v>
      </c>
      <c r="G339">
        <v>-158.78319999999999</v>
      </c>
      <c r="H339">
        <v>17.006799999999998</v>
      </c>
      <c r="I339">
        <v>352.7063</v>
      </c>
      <c r="J339">
        <v>-398.80130000000003</v>
      </c>
      <c r="K339">
        <v>1.06606</v>
      </c>
      <c r="L339">
        <v>368.18650000000002</v>
      </c>
      <c r="M339">
        <v>0.9998785</v>
      </c>
      <c r="N339">
        <v>0</v>
      </c>
      <c r="O339">
        <v>-1.234852E-2</v>
      </c>
      <c r="P339">
        <v>0.99710739999999998</v>
      </c>
      <c r="Q339">
        <v>7.2016810000000001E-2</v>
      </c>
      <c r="R339">
        <v>2.4299910000000001E-2</v>
      </c>
      <c r="S339">
        <v>2.9989620000000001</v>
      </c>
      <c r="T339">
        <v>0.19903100000000001</v>
      </c>
      <c r="U339">
        <v>-0.19329830000000001</v>
      </c>
      <c r="V339">
        <v>-3.6635819999999999E-2</v>
      </c>
      <c r="W339">
        <v>8.148859E-2</v>
      </c>
      <c r="X339">
        <v>0.99600069999999996</v>
      </c>
      <c r="Y339">
        <v>5.1906559999999997E-2</v>
      </c>
      <c r="Z339">
        <v>9.0103809999999998E-4</v>
      </c>
      <c r="AA339">
        <v>0.99865159999999997</v>
      </c>
      <c r="AB339">
        <v>37</v>
      </c>
      <c r="AC339">
        <v>240.0181</v>
      </c>
      <c r="AD339">
        <v>15.9407399999999</v>
      </c>
      <c r="AE339">
        <v>-15.4802</v>
      </c>
      <c r="AF339">
        <v>12.4602835502901</v>
      </c>
      <c r="AG339">
        <v>15.9407399999999</v>
      </c>
      <c r="AH339">
        <v>239.14050466896401</v>
      </c>
      <c r="AI339">
        <v>86.191543759047704</v>
      </c>
      <c r="AJ339">
        <v>87.017332378036002</v>
      </c>
      <c r="AK339">
        <v>239.99488917730699</v>
      </c>
      <c r="AL339">
        <v>85.325864859974203</v>
      </c>
      <c r="AM339">
        <v>92.106556712346801</v>
      </c>
      <c r="AN339">
        <v>0.99999998400387502</v>
      </c>
    </row>
    <row r="340" spans="1:40" x14ac:dyDescent="0.25">
      <c r="A340" t="str">
        <f>"20190312160608770"</f>
        <v>20190312160608770</v>
      </c>
      <c r="B340" t="str">
        <f>"1552377968765729"</f>
        <v>1552377968765729</v>
      </c>
      <c r="C340" t="s">
        <v>40</v>
      </c>
      <c r="D340">
        <v>6.3017159999999999</v>
      </c>
      <c r="E340">
        <v>0.53201140000000002</v>
      </c>
      <c r="F340" t="s">
        <v>42</v>
      </c>
      <c r="G340">
        <v>-158.78319999999999</v>
      </c>
      <c r="H340">
        <v>19.833909999999999</v>
      </c>
      <c r="I340">
        <v>353.40870000000001</v>
      </c>
      <c r="J340">
        <v>-398.60390000000001</v>
      </c>
      <c r="K340">
        <v>1.0669230000000001</v>
      </c>
      <c r="L340">
        <v>368.1841</v>
      </c>
      <c r="M340">
        <v>0.99988860000000002</v>
      </c>
      <c r="N340">
        <v>0</v>
      </c>
      <c r="O340">
        <v>-1.2257570000000001E-2</v>
      </c>
      <c r="P340">
        <v>0.99707279999999998</v>
      </c>
      <c r="Q340">
        <v>7.2635889999999995E-2</v>
      </c>
      <c r="R340">
        <v>2.3879580000000001E-2</v>
      </c>
      <c r="S340">
        <v>2.9962770000000001</v>
      </c>
      <c r="T340">
        <v>0.23429040000000001</v>
      </c>
      <c r="U340">
        <v>-0.1844788</v>
      </c>
      <c r="V340">
        <v>-3.6123000000000002E-2</v>
      </c>
      <c r="W340">
        <v>8.1133559999999993E-2</v>
      </c>
      <c r="X340">
        <v>0.9960485</v>
      </c>
      <c r="Y340">
        <v>4.9101470000000001E-2</v>
      </c>
      <c r="Z340">
        <v>9.5895439999999995E-4</v>
      </c>
      <c r="AA340">
        <v>0.99879340000000005</v>
      </c>
      <c r="AB340">
        <v>37</v>
      </c>
      <c r="AC340">
        <v>239.82069999999999</v>
      </c>
      <c r="AD340">
        <v>18.766987</v>
      </c>
      <c r="AE340">
        <v>-14.7753999999999</v>
      </c>
      <c r="AF340">
        <v>11.7628044393939</v>
      </c>
      <c r="AG340">
        <v>18.766987</v>
      </c>
      <c r="AH340">
        <v>238.52863821196601</v>
      </c>
      <c r="AI340">
        <v>85.506780338922795</v>
      </c>
      <c r="AJ340">
        <v>87.176802236076597</v>
      </c>
      <c r="AK340">
        <v>239.55474242141901</v>
      </c>
      <c r="AL340">
        <v>85.346274562028697</v>
      </c>
      <c r="AM340">
        <v>92.076996023015099</v>
      </c>
      <c r="AN340">
        <v>1.00000007001975</v>
      </c>
    </row>
    <row r="341" spans="1:40" x14ac:dyDescent="0.25">
      <c r="A341" t="str">
        <f>"20190312160608782"</f>
        <v>20190312160608782</v>
      </c>
      <c r="B341" t="str">
        <f>"1552377968775491"</f>
        <v>1552377968775491</v>
      </c>
      <c r="C341" t="s">
        <v>40</v>
      </c>
      <c r="D341">
        <v>6.179017</v>
      </c>
      <c r="E341">
        <v>0.53215129999999999</v>
      </c>
      <c r="F341" t="s">
        <v>42</v>
      </c>
      <c r="G341">
        <v>-158.78319999999999</v>
      </c>
      <c r="H341">
        <v>20.699950000000001</v>
      </c>
      <c r="I341">
        <v>353.53359999999998</v>
      </c>
      <c r="J341">
        <v>-398.41559999999998</v>
      </c>
      <c r="K341">
        <v>1.0678350000000001</v>
      </c>
      <c r="L341">
        <v>368.18189999999998</v>
      </c>
      <c r="M341">
        <v>0.99989459999999997</v>
      </c>
      <c r="N341">
        <v>0</v>
      </c>
      <c r="O341">
        <v>-1.216738E-2</v>
      </c>
      <c r="P341">
        <v>0.99705100000000002</v>
      </c>
      <c r="Q341">
        <v>7.3020879999999996E-2</v>
      </c>
      <c r="R341">
        <v>2.3605080000000001E-2</v>
      </c>
      <c r="S341">
        <v>2.9953310000000002</v>
      </c>
      <c r="T341">
        <v>0.24521509999999999</v>
      </c>
      <c r="U341">
        <v>-0.18298339999999999</v>
      </c>
      <c r="V341">
        <v>-3.5756980000000001E-2</v>
      </c>
      <c r="W341">
        <v>8.0912100000000001E-2</v>
      </c>
      <c r="X341">
        <v>0.99607959999999995</v>
      </c>
      <c r="Y341">
        <v>4.8704490000000003E-2</v>
      </c>
      <c r="Z341">
        <v>9.950146E-4</v>
      </c>
      <c r="AA341">
        <v>0.9988127</v>
      </c>
      <c r="AB341">
        <v>37</v>
      </c>
      <c r="AC341">
        <v>239.63239999999999</v>
      </c>
      <c r="AD341">
        <v>19.632114999999999</v>
      </c>
      <c r="AE341">
        <v>-14.648300000000001</v>
      </c>
      <c r="AF341">
        <v>11.6535001216974</v>
      </c>
      <c r="AG341">
        <v>19.632114999999999</v>
      </c>
      <c r="AH341">
        <v>238.20008245623899</v>
      </c>
      <c r="AI341">
        <v>85.294014836574505</v>
      </c>
      <c r="AJ341">
        <v>87.199142731518407</v>
      </c>
      <c r="AK341">
        <v>239.291669906453</v>
      </c>
      <c r="AL341">
        <v>85.359004579131806</v>
      </c>
      <c r="AM341">
        <v>92.055904664015799</v>
      </c>
      <c r="AN341">
        <v>0.99999994954064297</v>
      </c>
    </row>
    <row r="342" spans="1:40" x14ac:dyDescent="0.25">
      <c r="A342" t="str">
        <f>"20190312160608794"</f>
        <v>20190312160608794</v>
      </c>
      <c r="B342" t="str">
        <f>"1552377968785251"</f>
        <v>1552377968785251</v>
      </c>
      <c r="C342" t="s">
        <v>40</v>
      </c>
      <c r="D342">
        <v>6.4257330000000001</v>
      </c>
      <c r="E342">
        <v>0.53215939999999995</v>
      </c>
      <c r="F342" t="s">
        <v>42</v>
      </c>
      <c r="G342">
        <v>-158.78319999999999</v>
      </c>
      <c r="H342">
        <v>21.321269999999998</v>
      </c>
      <c r="I342">
        <v>353.38600000000002</v>
      </c>
      <c r="J342">
        <v>-398.2278</v>
      </c>
      <c r="K342">
        <v>1.068786</v>
      </c>
      <c r="L342">
        <v>368.17959999999999</v>
      </c>
      <c r="M342">
        <v>0.99989939999999999</v>
      </c>
      <c r="N342">
        <v>0</v>
      </c>
      <c r="O342">
        <v>-1.207602E-2</v>
      </c>
      <c r="P342">
        <v>0.99703220000000004</v>
      </c>
      <c r="Q342">
        <v>7.3421680000000003E-2</v>
      </c>
      <c r="R342">
        <v>2.3152949999999999E-2</v>
      </c>
      <c r="S342">
        <v>2.99472</v>
      </c>
      <c r="T342">
        <v>0.25311099999999997</v>
      </c>
      <c r="U342">
        <v>-0.18490599999999999</v>
      </c>
      <c r="V342">
        <v>-3.521241E-2</v>
      </c>
      <c r="W342">
        <v>8.0833189999999999E-2</v>
      </c>
      <c r="X342">
        <v>0.99610540000000003</v>
      </c>
      <c r="Y342">
        <v>4.9436069999999999E-2</v>
      </c>
      <c r="Z342">
        <v>1.0656660000000001E-3</v>
      </c>
      <c r="AA342">
        <v>0.99877669999999996</v>
      </c>
      <c r="AB342">
        <v>37</v>
      </c>
      <c r="AC342">
        <v>239.44460000000001</v>
      </c>
      <c r="AD342">
        <v>20.252483999999999</v>
      </c>
      <c r="AE342">
        <v>-14.7936</v>
      </c>
      <c r="AF342">
        <v>11.8166887461076</v>
      </c>
      <c r="AG342">
        <v>20.252483999999999</v>
      </c>
      <c r="AH342">
        <v>237.91026359614199</v>
      </c>
      <c r="AI342">
        <v>85.140299370857093</v>
      </c>
      <c r="AJ342">
        <v>87.156530985277996</v>
      </c>
      <c r="AK342">
        <v>239.062943103858</v>
      </c>
      <c r="AL342">
        <v>85.363540617855705</v>
      </c>
      <c r="AM342">
        <v>92.0245676055102</v>
      </c>
      <c r="AN342">
        <v>0.99999994316636998</v>
      </c>
    </row>
    <row r="343" spans="1:40" x14ac:dyDescent="0.25">
      <c r="A343" t="str">
        <f>"20190312160608805"</f>
        <v>20190312160608805</v>
      </c>
      <c r="B343" t="str">
        <f>"1552377968795986"</f>
        <v>1552377968795986</v>
      </c>
      <c r="C343" t="s">
        <v>40</v>
      </c>
      <c r="D343">
        <v>6.3330739999999999</v>
      </c>
      <c r="E343">
        <v>0.53232999999999997</v>
      </c>
      <c r="F343" t="s">
        <v>42</v>
      </c>
      <c r="G343">
        <v>-158.78319999999999</v>
      </c>
      <c r="H343">
        <v>22.034040000000001</v>
      </c>
      <c r="I343">
        <v>353.27949999999998</v>
      </c>
      <c r="J343">
        <v>-398.04899999999998</v>
      </c>
      <c r="K343">
        <v>1.0699650000000001</v>
      </c>
      <c r="L343">
        <v>368.17759999999998</v>
      </c>
      <c r="M343">
        <v>0.99990060000000003</v>
      </c>
      <c r="N343">
        <v>0</v>
      </c>
      <c r="O343">
        <v>-1.198602E-2</v>
      </c>
      <c r="P343">
        <v>0.99704859999999995</v>
      </c>
      <c r="Q343">
        <v>7.3263670000000003E-2</v>
      </c>
      <c r="R343">
        <v>2.2945210000000001E-2</v>
      </c>
      <c r="S343">
        <v>2.9939879999999999</v>
      </c>
      <c r="T343">
        <v>0.2621481</v>
      </c>
      <c r="U343">
        <v>-0.1863098</v>
      </c>
      <c r="V343">
        <v>-3.4914590000000002E-2</v>
      </c>
      <c r="W343">
        <v>8.0668279999999995E-2</v>
      </c>
      <c r="X343">
        <v>0.9961293</v>
      </c>
      <c r="Y343">
        <v>4.9995339999999999E-2</v>
      </c>
      <c r="Z343">
        <v>1.1360960000000001E-3</v>
      </c>
      <c r="AA343">
        <v>0.99874879999999999</v>
      </c>
      <c r="AB343">
        <v>37</v>
      </c>
      <c r="AC343">
        <v>239.26580000000001</v>
      </c>
      <c r="AD343">
        <v>20.964075000000001</v>
      </c>
      <c r="AE343">
        <v>-14.898099999999999</v>
      </c>
      <c r="AF343">
        <v>11.937813664982899</v>
      </c>
      <c r="AG343">
        <v>20.964075000000001</v>
      </c>
      <c r="AH343">
        <v>237.610103212149</v>
      </c>
      <c r="AI343">
        <v>84.964232041332394</v>
      </c>
      <c r="AJ343">
        <v>87.1238103953783</v>
      </c>
      <c r="AK343">
        <v>238.83166662776</v>
      </c>
      <c r="AL343">
        <v>85.373020445225293</v>
      </c>
      <c r="AM343">
        <v>92.007410134558796</v>
      </c>
      <c r="AN343">
        <v>0.99999999115575799</v>
      </c>
    </row>
    <row r="344" spans="1:40" x14ac:dyDescent="0.25">
      <c r="A344" t="str">
        <f>"20190312160608817"</f>
        <v>20190312160608817</v>
      </c>
      <c r="B344" t="str">
        <f>"1552377968805746"</f>
        <v>1552377968805746</v>
      </c>
      <c r="C344" t="s">
        <v>40</v>
      </c>
      <c r="D344">
        <v>6.4311179999999997</v>
      </c>
      <c r="E344">
        <v>0.53228149999999996</v>
      </c>
      <c r="F344" t="s">
        <v>42</v>
      </c>
      <c r="G344">
        <v>-158.78319999999999</v>
      </c>
      <c r="H344">
        <v>22.47373</v>
      </c>
      <c r="I344">
        <v>353.14249999999998</v>
      </c>
      <c r="J344">
        <v>-397.85520000000002</v>
      </c>
      <c r="K344">
        <v>1.071288</v>
      </c>
      <c r="L344">
        <v>368.17529999999999</v>
      </c>
      <c r="M344">
        <v>0.9999015</v>
      </c>
      <c r="N344">
        <v>0</v>
      </c>
      <c r="O344">
        <v>-1.18894E-2</v>
      </c>
      <c r="P344">
        <v>0.99706260000000002</v>
      </c>
      <c r="Q344">
        <v>7.3127159999999997E-2</v>
      </c>
      <c r="R344">
        <v>2.2771509999999998E-2</v>
      </c>
      <c r="S344">
        <v>2.9935610000000001</v>
      </c>
      <c r="T344">
        <v>0.2677929</v>
      </c>
      <c r="U344">
        <v>-0.18811040000000001</v>
      </c>
      <c r="V344">
        <v>-3.4644670000000002E-2</v>
      </c>
      <c r="W344">
        <v>8.0543740000000003E-2</v>
      </c>
      <c r="X344">
        <v>0.99614879999999995</v>
      </c>
      <c r="Y344">
        <v>5.0689570000000003E-2</v>
      </c>
      <c r="Z344">
        <v>1.2001819999999999E-3</v>
      </c>
      <c r="AA344">
        <v>0.99871370000000004</v>
      </c>
      <c r="AB344">
        <v>36</v>
      </c>
      <c r="AC344">
        <v>239.072</v>
      </c>
      <c r="AD344">
        <v>21.402442000000001</v>
      </c>
      <c r="AE344">
        <v>-15.0328</v>
      </c>
      <c r="AF344">
        <v>12.0927020247643</v>
      </c>
      <c r="AG344">
        <v>21.402442000000001</v>
      </c>
      <c r="AH344">
        <v>237.33920468726899</v>
      </c>
      <c r="AI344">
        <v>84.853838115126806</v>
      </c>
      <c r="AJ344">
        <v>87.083237207915104</v>
      </c>
      <c r="AK344">
        <v>238.60887671544899</v>
      </c>
      <c r="AL344">
        <v>85.380179348702299</v>
      </c>
      <c r="AM344">
        <v>91.991864705942504</v>
      </c>
      <c r="AN344">
        <v>0.99999998947701796</v>
      </c>
    </row>
    <row r="345" spans="1:40" x14ac:dyDescent="0.25">
      <c r="A345" t="str">
        <f>"20190312160608829"</f>
        <v>20190312160608829</v>
      </c>
      <c r="B345" t="str">
        <f>"1552377968825267"</f>
        <v>1552377968825267</v>
      </c>
      <c r="C345" t="s">
        <v>40</v>
      </c>
      <c r="D345">
        <v>6.2224240000000002</v>
      </c>
      <c r="E345">
        <v>0.53265980000000002</v>
      </c>
      <c r="F345" t="s">
        <v>42</v>
      </c>
      <c r="G345">
        <v>-158.78319999999999</v>
      </c>
      <c r="H345">
        <v>22.82339</v>
      </c>
      <c r="I345">
        <v>353.15519999999998</v>
      </c>
      <c r="J345">
        <v>-397.66430000000003</v>
      </c>
      <c r="K345">
        <v>1.072727</v>
      </c>
      <c r="L345">
        <v>368.173</v>
      </c>
      <c r="M345">
        <v>0.99990219999999996</v>
      </c>
      <c r="N345">
        <v>0</v>
      </c>
      <c r="O345">
        <v>-1.179769E-2</v>
      </c>
      <c r="P345">
        <v>0.9970658</v>
      </c>
      <c r="Q345">
        <v>7.3065720000000001E-2</v>
      </c>
      <c r="R345">
        <v>2.282495E-2</v>
      </c>
      <c r="S345">
        <v>2.993134</v>
      </c>
      <c r="T345">
        <v>0.27233289999999999</v>
      </c>
      <c r="U345">
        <v>-0.1880493</v>
      </c>
      <c r="V345">
        <v>-3.4606680000000001E-2</v>
      </c>
      <c r="W345">
        <v>8.0539940000000004E-2</v>
      </c>
      <c r="X345">
        <v>0.99615039999999999</v>
      </c>
      <c r="Y345">
        <v>5.0763820000000001E-2</v>
      </c>
      <c r="Z345">
        <v>1.2323049999999999E-3</v>
      </c>
      <c r="AA345">
        <v>0.99870990000000004</v>
      </c>
      <c r="AB345">
        <v>36</v>
      </c>
      <c r="AC345">
        <v>238.8811</v>
      </c>
      <c r="AD345">
        <v>21.750662999999999</v>
      </c>
      <c r="AE345">
        <v>-15.017799999999999</v>
      </c>
      <c r="AF345">
        <v>12.0985220337712</v>
      </c>
      <c r="AG345">
        <v>21.750662999999999</v>
      </c>
      <c r="AH345">
        <v>237.083845504295</v>
      </c>
      <c r="AI345">
        <v>84.764989585048298</v>
      </c>
      <c r="AJ345">
        <v>87.078698180038202</v>
      </c>
      <c r="AK345">
        <v>238.38669294959701</v>
      </c>
      <c r="AL345">
        <v>85.380397654302499</v>
      </c>
      <c r="AM345">
        <v>91.989679067752405</v>
      </c>
      <c r="AN345">
        <v>0.999999961827992</v>
      </c>
    </row>
    <row r="346" spans="1:40" x14ac:dyDescent="0.25">
      <c r="A346" t="str">
        <f>"20190312160608848"</f>
        <v>20190312160608848</v>
      </c>
      <c r="B346" t="str">
        <f>"1552377968845762"</f>
        <v>1552377968845762</v>
      </c>
      <c r="C346" t="s">
        <v>40</v>
      </c>
      <c r="D346">
        <v>6.2782410000000004</v>
      </c>
      <c r="E346">
        <v>0.53277980000000003</v>
      </c>
      <c r="F346" t="s">
        <v>42</v>
      </c>
      <c r="G346">
        <v>-158.78319999999999</v>
      </c>
      <c r="H346">
        <v>23.440480000000001</v>
      </c>
      <c r="I346">
        <v>352.97239999999999</v>
      </c>
      <c r="J346">
        <v>-397.35680000000002</v>
      </c>
      <c r="K346">
        <v>1.0751459999999999</v>
      </c>
      <c r="L346">
        <v>368.16950000000003</v>
      </c>
      <c r="M346">
        <v>0.99990480000000004</v>
      </c>
      <c r="N346">
        <v>0</v>
      </c>
      <c r="O346">
        <v>-1.164837E-2</v>
      </c>
      <c r="P346">
        <v>0.99704859999999995</v>
      </c>
      <c r="Q346">
        <v>7.3324550000000002E-2</v>
      </c>
      <c r="R346">
        <v>2.275104E-2</v>
      </c>
      <c r="S346">
        <v>2.992645</v>
      </c>
      <c r="T346">
        <v>0.28021869999999999</v>
      </c>
      <c r="U346">
        <v>-0.19042970000000001</v>
      </c>
      <c r="V346">
        <v>-3.4385369999999998E-2</v>
      </c>
      <c r="W346">
        <v>8.0695829999999996E-2</v>
      </c>
      <c r="X346">
        <v>0.99614550000000002</v>
      </c>
      <c r="Y346">
        <v>5.170019E-2</v>
      </c>
      <c r="Z346">
        <v>1.3256450000000001E-3</v>
      </c>
      <c r="AA346">
        <v>0.99866180000000004</v>
      </c>
      <c r="AB346">
        <v>36</v>
      </c>
      <c r="AC346">
        <v>238.5736</v>
      </c>
      <c r="AD346">
        <v>22.365334000000001</v>
      </c>
      <c r="AE346">
        <v>-15.197100000000001</v>
      </c>
      <c r="AF346">
        <v>12.309258754670999</v>
      </c>
      <c r="AG346">
        <v>22.365334000000001</v>
      </c>
      <c r="AH346">
        <v>236.66297415010899</v>
      </c>
      <c r="AI346">
        <v>84.608661051512001</v>
      </c>
      <c r="AJ346">
        <v>87.022628323456999</v>
      </c>
      <c r="AK346">
        <v>238.035899287473</v>
      </c>
      <c r="AL346">
        <v>85.371436889121</v>
      </c>
      <c r="AM346">
        <v>91.976974900046898</v>
      </c>
      <c r="AN346">
        <v>1.00000001390983</v>
      </c>
    </row>
    <row r="347" spans="1:40" x14ac:dyDescent="0.25">
      <c r="A347" t="str">
        <f>"20190312160608859"</f>
        <v>20190312160608859</v>
      </c>
      <c r="B347" t="str">
        <f>"1552377968855523"</f>
        <v>1552377968855523</v>
      </c>
      <c r="C347" t="s">
        <v>40</v>
      </c>
      <c r="D347">
        <v>6.406072</v>
      </c>
      <c r="E347">
        <v>0.53290439999999994</v>
      </c>
      <c r="F347" t="s">
        <v>42</v>
      </c>
      <c r="G347">
        <v>-158.78319999999999</v>
      </c>
      <c r="H347">
        <v>23.853490000000001</v>
      </c>
      <c r="I347">
        <v>352.87939999999998</v>
      </c>
      <c r="J347">
        <v>-397.17340000000002</v>
      </c>
      <c r="K347">
        <v>1.076633</v>
      </c>
      <c r="L347">
        <v>368.16739999999999</v>
      </c>
      <c r="M347">
        <v>0.99990659999999998</v>
      </c>
      <c r="N347">
        <v>0</v>
      </c>
      <c r="O347">
        <v>-1.156162E-2</v>
      </c>
      <c r="P347">
        <v>0.99705730000000004</v>
      </c>
      <c r="Q347">
        <v>7.3213440000000005E-2</v>
      </c>
      <c r="R347">
        <v>2.2732349999999998E-2</v>
      </c>
      <c r="S347">
        <v>2.9922490000000002</v>
      </c>
      <c r="T347">
        <v>0.28569250000000002</v>
      </c>
      <c r="U347">
        <v>-0.19177250000000001</v>
      </c>
      <c r="V347">
        <v>-3.4281020000000002E-2</v>
      </c>
      <c r="W347">
        <v>8.0470070000000005E-2</v>
      </c>
      <c r="X347">
        <v>0.99616740000000004</v>
      </c>
      <c r="Y347">
        <v>5.2231840000000002E-2</v>
      </c>
      <c r="Z347">
        <v>1.385135E-3</v>
      </c>
      <c r="AA347">
        <v>0.99863400000000002</v>
      </c>
      <c r="AB347">
        <v>36</v>
      </c>
      <c r="AC347">
        <v>238.39019999999999</v>
      </c>
      <c r="AD347">
        <v>22.776857</v>
      </c>
      <c r="AE347">
        <v>-15.288</v>
      </c>
      <c r="AF347">
        <v>12.417833159730201</v>
      </c>
      <c r="AG347">
        <v>22.776857</v>
      </c>
      <c r="AH347">
        <v>236.40181296916899</v>
      </c>
      <c r="AI347">
        <v>84.504180170920193</v>
      </c>
      <c r="AJ347">
        <v>86.993102073996795</v>
      </c>
      <c r="AK347">
        <v>237.82095149564</v>
      </c>
      <c r="AL347">
        <v>85.384414376040596</v>
      </c>
      <c r="AM347">
        <v>91.970936775895098</v>
      </c>
      <c r="AN347">
        <v>1.0000000546604</v>
      </c>
    </row>
    <row r="348" spans="1:40" x14ac:dyDescent="0.25">
      <c r="A348" t="str">
        <f>"20190312160608871"</f>
        <v>20190312160608871</v>
      </c>
      <c r="B348" t="str">
        <f>"1552377968865284"</f>
        <v>1552377968865284</v>
      </c>
      <c r="C348" t="s">
        <v>40</v>
      </c>
      <c r="D348">
        <v>6.3069569999999997</v>
      </c>
      <c r="E348">
        <v>0.53305689999999994</v>
      </c>
      <c r="F348" t="s">
        <v>42</v>
      </c>
      <c r="G348">
        <v>-158.78319999999999</v>
      </c>
      <c r="H348">
        <v>23.92549</v>
      </c>
      <c r="I348">
        <v>352.80610000000001</v>
      </c>
      <c r="J348">
        <v>-396.98360000000002</v>
      </c>
      <c r="K348">
        <v>1.0782069999999999</v>
      </c>
      <c r="L348">
        <v>368.1653</v>
      </c>
      <c r="M348">
        <v>0.99990860000000004</v>
      </c>
      <c r="N348">
        <v>0</v>
      </c>
      <c r="O348">
        <v>-1.147483E-2</v>
      </c>
      <c r="P348">
        <v>0.99704820000000005</v>
      </c>
      <c r="Q348">
        <v>7.3320369999999996E-2</v>
      </c>
      <c r="R348">
        <v>2.2789199999999999E-2</v>
      </c>
      <c r="S348">
        <v>2.9921880000000001</v>
      </c>
      <c r="T348">
        <v>0.28679159999999998</v>
      </c>
      <c r="U348">
        <v>-0.19281010000000001</v>
      </c>
      <c r="V348">
        <v>-3.4252119999999997E-2</v>
      </c>
      <c r="W348">
        <v>8.0442990000000006E-2</v>
      </c>
      <c r="X348">
        <v>0.99617049999999996</v>
      </c>
      <c r="Y348">
        <v>5.2660930000000002E-2</v>
      </c>
      <c r="Z348">
        <v>1.41924E-3</v>
      </c>
      <c r="AA348">
        <v>0.99861149999999999</v>
      </c>
      <c r="AB348">
        <v>36</v>
      </c>
      <c r="AC348">
        <v>238.2004</v>
      </c>
      <c r="AD348">
        <v>22.847282999999901</v>
      </c>
      <c r="AE348">
        <v>-15.3591999999999</v>
      </c>
      <c r="AF348">
        <v>12.5101935004773</v>
      </c>
      <c r="AG348">
        <v>22.847282999999901</v>
      </c>
      <c r="AH348">
        <v>236.19696878585901</v>
      </c>
      <c r="AI348">
        <v>84.482666086874801</v>
      </c>
      <c r="AJ348">
        <v>86.968156891574694</v>
      </c>
      <c r="AK348">
        <v>237.628936254677</v>
      </c>
      <c r="AL348">
        <v>85.385970617746494</v>
      </c>
      <c r="AM348">
        <v>91.969270398344094</v>
      </c>
      <c r="AN348">
        <v>0.99999997371744098</v>
      </c>
    </row>
    <row r="349" spans="1:40" x14ac:dyDescent="0.25">
      <c r="A349" t="str">
        <f>"20190312160608895"</f>
        <v>20190312160608895</v>
      </c>
      <c r="B349" t="str">
        <f>"1552377968885778"</f>
        <v>1552377968885778</v>
      </c>
      <c r="C349" t="s">
        <v>40</v>
      </c>
      <c r="D349">
        <v>6.2791829999999997</v>
      </c>
      <c r="E349">
        <v>0.53339060000000005</v>
      </c>
      <c r="F349" t="s">
        <v>42</v>
      </c>
      <c r="G349">
        <v>-158.78319999999999</v>
      </c>
      <c r="H349">
        <v>24.102370000000001</v>
      </c>
      <c r="I349">
        <v>352.72550000000001</v>
      </c>
      <c r="J349">
        <v>-396.60520000000002</v>
      </c>
      <c r="K349">
        <v>1.0814239999999999</v>
      </c>
      <c r="L349">
        <v>368.16109999999998</v>
      </c>
      <c r="M349">
        <v>0.99991140000000001</v>
      </c>
      <c r="N349">
        <v>0</v>
      </c>
      <c r="O349">
        <v>-1.130973E-2</v>
      </c>
      <c r="P349">
        <v>0.99707230000000002</v>
      </c>
      <c r="Q349">
        <v>7.301465E-2</v>
      </c>
      <c r="R349">
        <v>2.271273E-2</v>
      </c>
      <c r="S349">
        <v>2.992035</v>
      </c>
      <c r="T349">
        <v>0.28920750000000001</v>
      </c>
      <c r="U349">
        <v>-0.19393920000000001</v>
      </c>
      <c r="V349">
        <v>-3.4012000000000001E-2</v>
      </c>
      <c r="W349">
        <v>8.0008079999999995E-2</v>
      </c>
      <c r="X349">
        <v>0.99621380000000004</v>
      </c>
      <c r="Y349">
        <v>5.3197939999999999E-2</v>
      </c>
      <c r="Z349">
        <v>1.472964E-3</v>
      </c>
      <c r="AA349">
        <v>0.99858290000000005</v>
      </c>
      <c r="AB349">
        <v>36</v>
      </c>
      <c r="AC349">
        <v>237.822</v>
      </c>
      <c r="AD349">
        <v>23.020945999999999</v>
      </c>
      <c r="AE349">
        <v>-15.4355999999999</v>
      </c>
      <c r="AF349">
        <v>12.627024218025801</v>
      </c>
      <c r="AG349">
        <v>23.020945999999999</v>
      </c>
      <c r="AH349">
        <v>235.781348362724</v>
      </c>
      <c r="AI349">
        <v>84.431425877842599</v>
      </c>
      <c r="AJ349">
        <v>86.934512676029101</v>
      </c>
      <c r="AK349">
        <v>237.23880359477801</v>
      </c>
      <c r="AL349">
        <v>85.410969927486093</v>
      </c>
      <c r="AM349">
        <v>91.955390914057404</v>
      </c>
      <c r="AN349">
        <v>1.0000000221598599</v>
      </c>
    </row>
    <row r="350" spans="1:40" x14ac:dyDescent="0.25">
      <c r="A350" t="str">
        <f>"20190312160608917"</f>
        <v>20190312160608917</v>
      </c>
      <c r="B350" t="str">
        <f>"1552377968905299"</f>
        <v>1552377968905299</v>
      </c>
      <c r="C350" t="s">
        <v>40</v>
      </c>
      <c r="D350">
        <v>6.2452930000000002</v>
      </c>
      <c r="E350">
        <v>0.53395179999999998</v>
      </c>
      <c r="F350" t="s">
        <v>42</v>
      </c>
      <c r="G350">
        <v>-158.78319999999999</v>
      </c>
      <c r="H350">
        <v>24.337990000000001</v>
      </c>
      <c r="I350">
        <v>352.53379999999999</v>
      </c>
      <c r="J350">
        <v>-396.24540000000002</v>
      </c>
      <c r="K350">
        <v>1.084495</v>
      </c>
      <c r="L350">
        <v>368.15710000000001</v>
      </c>
      <c r="M350">
        <v>0.99991229999999998</v>
      </c>
      <c r="N350">
        <v>0</v>
      </c>
      <c r="O350">
        <v>-1.1157169999999999E-2</v>
      </c>
      <c r="P350">
        <v>0.9970869</v>
      </c>
      <c r="Q350">
        <v>7.2790919999999995E-2</v>
      </c>
      <c r="R350">
        <v>2.278995E-2</v>
      </c>
      <c r="S350">
        <v>2.9918520000000002</v>
      </c>
      <c r="T350">
        <v>0.29257349999999999</v>
      </c>
      <c r="U350">
        <v>-0.1965942</v>
      </c>
      <c r="V350">
        <v>-3.393724E-2</v>
      </c>
      <c r="W350">
        <v>7.9902100000000004E-2</v>
      </c>
      <c r="X350">
        <v>0.99622480000000002</v>
      </c>
      <c r="Y350">
        <v>5.4226429999999999E-2</v>
      </c>
      <c r="Z350">
        <v>1.5550539999999999E-3</v>
      </c>
      <c r="AA350">
        <v>0.99852750000000001</v>
      </c>
      <c r="AB350">
        <v>36</v>
      </c>
      <c r="AC350">
        <v>237.4622</v>
      </c>
      <c r="AD350">
        <v>23.253495000000001</v>
      </c>
      <c r="AE350">
        <v>-15.6233</v>
      </c>
      <c r="AF350">
        <v>12.8501608150527</v>
      </c>
      <c r="AG350">
        <v>23.253495000000001</v>
      </c>
      <c r="AH350">
        <v>235.37438451818699</v>
      </c>
      <c r="AI350">
        <v>84.366184957784498</v>
      </c>
      <c r="AJ350">
        <v>86.875064390802393</v>
      </c>
      <c r="AK350">
        <v>236.86906203639799</v>
      </c>
      <c r="AL350">
        <v>85.417061383491102</v>
      </c>
      <c r="AM350">
        <v>91.951074670311399</v>
      </c>
      <c r="AN350">
        <v>0.99999996698913296</v>
      </c>
    </row>
    <row r="351" spans="1:40" x14ac:dyDescent="0.25">
      <c r="A351" t="str">
        <f>"20190312160608938"</f>
        <v>20190312160608938</v>
      </c>
      <c r="B351" t="str">
        <f>"1552377968935554"</f>
        <v>1552377968935554</v>
      </c>
      <c r="C351" t="s">
        <v>40</v>
      </c>
      <c r="D351">
        <v>6.3410529999999996</v>
      </c>
      <c r="E351">
        <v>0.53425259999999997</v>
      </c>
      <c r="F351" t="s">
        <v>42</v>
      </c>
      <c r="G351">
        <v>-158.78319999999999</v>
      </c>
      <c r="H351">
        <v>24.499890000000001</v>
      </c>
      <c r="I351">
        <v>352.2167</v>
      </c>
      <c r="J351">
        <v>-395.89640000000003</v>
      </c>
      <c r="K351">
        <v>1.0873949999999999</v>
      </c>
      <c r="L351">
        <v>368.15339999999998</v>
      </c>
      <c r="M351">
        <v>0.99991180000000002</v>
      </c>
      <c r="N351">
        <v>0</v>
      </c>
      <c r="O351">
        <v>-1.1009039999999999E-2</v>
      </c>
      <c r="P351">
        <v>0.997081</v>
      </c>
      <c r="Q351">
        <v>7.2692649999999998E-2</v>
      </c>
      <c r="R351">
        <v>2.3356120000000001E-2</v>
      </c>
      <c r="S351">
        <v>2.9918209999999998</v>
      </c>
      <c r="T351">
        <v>0.29501490000000002</v>
      </c>
      <c r="U351">
        <v>-0.20083619999999999</v>
      </c>
      <c r="V351">
        <v>-3.4356169999999998E-2</v>
      </c>
      <c r="W351">
        <v>8.0092200000000002E-2</v>
      </c>
      <c r="X351">
        <v>0.99619519999999995</v>
      </c>
      <c r="Y351">
        <v>5.57729E-2</v>
      </c>
      <c r="Z351">
        <v>1.65844E-3</v>
      </c>
      <c r="AA351">
        <v>0.9984421</v>
      </c>
      <c r="AB351">
        <v>36</v>
      </c>
      <c r="AC351">
        <v>237.11320000000001</v>
      </c>
      <c r="AD351">
        <v>23.412495</v>
      </c>
      <c r="AE351">
        <v>-15.936699999999901</v>
      </c>
      <c r="AF351">
        <v>13.197185605407601</v>
      </c>
      <c r="AG351">
        <v>23.412495</v>
      </c>
      <c r="AH351">
        <v>234.99350795381801</v>
      </c>
      <c r="AI351">
        <v>84.319267566990206</v>
      </c>
      <c r="AJ351">
        <v>86.7856575891239</v>
      </c>
      <c r="AK351">
        <v>236.52538851140201</v>
      </c>
      <c r="AL351">
        <v>85.406134549377697</v>
      </c>
      <c r="AM351">
        <v>91.975198917537298</v>
      </c>
      <c r="AN351">
        <v>0.99999999171047405</v>
      </c>
    </row>
    <row r="352" spans="1:40" x14ac:dyDescent="0.25">
      <c r="A352" t="str">
        <f>"20190312160608950"</f>
        <v>20190312160608950</v>
      </c>
      <c r="B352" t="str">
        <f>"1552377968945315"</f>
        <v>1552377968945315</v>
      </c>
      <c r="C352" t="s">
        <v>40</v>
      </c>
      <c r="D352">
        <v>5.9579649999999997</v>
      </c>
      <c r="E352">
        <v>0.53438079999999999</v>
      </c>
      <c r="F352" t="s">
        <v>42</v>
      </c>
      <c r="G352">
        <v>-158.78319999999999</v>
      </c>
      <c r="H352">
        <v>24.798739999999999</v>
      </c>
      <c r="I352">
        <v>352.18020000000001</v>
      </c>
      <c r="J352">
        <v>-395.70310000000001</v>
      </c>
      <c r="K352">
        <v>1.0889439999999999</v>
      </c>
      <c r="L352">
        <v>368.15129999999999</v>
      </c>
      <c r="M352">
        <v>0.99991099999999999</v>
      </c>
      <c r="N352">
        <v>0</v>
      </c>
      <c r="O352">
        <v>-1.0927060000000001E-2</v>
      </c>
      <c r="P352">
        <v>0.99708370000000002</v>
      </c>
      <c r="Q352">
        <v>7.2527330000000001E-2</v>
      </c>
      <c r="R352">
        <v>2.3744870000000001E-2</v>
      </c>
      <c r="S352">
        <v>2.99173</v>
      </c>
      <c r="T352">
        <v>0.2991742</v>
      </c>
      <c r="U352">
        <v>-0.2015381</v>
      </c>
      <c r="V352">
        <v>-3.4663380000000001E-2</v>
      </c>
      <c r="W352">
        <v>8.0138790000000001E-2</v>
      </c>
      <c r="X352">
        <v>0.99618079999999998</v>
      </c>
      <c r="Y352">
        <v>5.6081890000000002E-2</v>
      </c>
      <c r="Z352">
        <v>1.7053039999999999E-3</v>
      </c>
      <c r="AA352">
        <v>0.99842470000000005</v>
      </c>
      <c r="AB352">
        <v>36</v>
      </c>
      <c r="AC352">
        <v>236.91990000000001</v>
      </c>
      <c r="AD352">
        <v>23.709796000000001</v>
      </c>
      <c r="AE352">
        <v>-15.9710999999999</v>
      </c>
      <c r="AF352">
        <v>13.2491422377103</v>
      </c>
      <c r="AG352">
        <v>23.709796000000001</v>
      </c>
      <c r="AH352">
        <v>234.73998224484501</v>
      </c>
      <c r="AI352">
        <v>84.2415316918011</v>
      </c>
      <c r="AJ352">
        <v>86.769551742136301</v>
      </c>
      <c r="AK352">
        <v>236.30605887430599</v>
      </c>
      <c r="AL352">
        <v>85.403456481081506</v>
      </c>
      <c r="AM352">
        <v>91.992875586710397</v>
      </c>
      <c r="AN352">
        <v>0.99999998093216402</v>
      </c>
    </row>
    <row r="353" spans="1:40" x14ac:dyDescent="0.25">
      <c r="A353" t="str">
        <f>"20190312160608961"</f>
        <v>20190312160608961</v>
      </c>
      <c r="B353" t="str">
        <f>"1552377968955075"</f>
        <v>1552377968955075</v>
      </c>
      <c r="C353" t="s">
        <v>40</v>
      </c>
      <c r="D353">
        <v>5.8734310000000001</v>
      </c>
      <c r="E353">
        <v>0.53451029999999999</v>
      </c>
      <c r="F353" t="s">
        <v>42</v>
      </c>
      <c r="G353">
        <v>-158.78319999999999</v>
      </c>
      <c r="H353">
        <v>24.871929999999999</v>
      </c>
      <c r="I353">
        <v>352.20319999999998</v>
      </c>
      <c r="J353">
        <v>-395.51929999999999</v>
      </c>
      <c r="K353">
        <v>1.0903560000000001</v>
      </c>
      <c r="L353">
        <v>368.14940000000001</v>
      </c>
      <c r="M353">
        <v>0.99991019999999997</v>
      </c>
      <c r="N353">
        <v>0</v>
      </c>
      <c r="O353">
        <v>-1.0849569999999999E-2</v>
      </c>
      <c r="P353">
        <v>0.99710699999999997</v>
      </c>
      <c r="Q353">
        <v>7.2159050000000002E-2</v>
      </c>
      <c r="R353">
        <v>2.3894720000000001E-2</v>
      </c>
      <c r="S353">
        <v>2.99173</v>
      </c>
      <c r="T353">
        <v>0.30032300000000001</v>
      </c>
      <c r="U353">
        <v>-0.2013855</v>
      </c>
      <c r="V353">
        <v>-3.4736450000000002E-2</v>
      </c>
      <c r="W353">
        <v>7.9995250000000004E-2</v>
      </c>
      <c r="X353">
        <v>0.99618980000000001</v>
      </c>
      <c r="Y353">
        <v>5.6106330000000003E-2</v>
      </c>
      <c r="Z353">
        <v>1.7207920000000001E-3</v>
      </c>
      <c r="AA353">
        <v>0.99842330000000001</v>
      </c>
      <c r="AB353">
        <v>36</v>
      </c>
      <c r="AC353">
        <v>236.73609999999999</v>
      </c>
      <c r="AD353">
        <v>23.781573999999999</v>
      </c>
      <c r="AE353">
        <v>-15.946199999999999</v>
      </c>
      <c r="AF353">
        <v>13.243653410111399</v>
      </c>
      <c r="AG353">
        <v>23.781573999999999</v>
      </c>
      <c r="AH353">
        <v>234.53903866680801</v>
      </c>
      <c r="AI353">
        <v>84.219309545723902</v>
      </c>
      <c r="AJ353">
        <v>86.7681265016042</v>
      </c>
      <c r="AK353">
        <v>236.11335895352201</v>
      </c>
      <c r="AL353">
        <v>85.411707245025198</v>
      </c>
      <c r="AM353">
        <v>91.997055119253204</v>
      </c>
      <c r="AN353">
        <v>0.99999998930260203</v>
      </c>
    </row>
    <row r="354" spans="1:40" x14ac:dyDescent="0.25">
      <c r="A354" t="str">
        <f>"20190312160608972"</f>
        <v>20190312160608972</v>
      </c>
      <c r="B354" t="str">
        <f>"1552377968965810"</f>
        <v>1552377968965810</v>
      </c>
      <c r="C354" t="s">
        <v>40</v>
      </c>
      <c r="D354">
        <v>5.7957769999999904</v>
      </c>
      <c r="E354">
        <v>0.53447290000000003</v>
      </c>
      <c r="F354" t="s">
        <v>42</v>
      </c>
      <c r="G354">
        <v>-158.78319999999999</v>
      </c>
      <c r="H354">
        <v>24.862639999999999</v>
      </c>
      <c r="I354">
        <v>352.18049999999999</v>
      </c>
      <c r="J354">
        <v>-395.32600000000002</v>
      </c>
      <c r="K354">
        <v>1.0918060000000001</v>
      </c>
      <c r="L354">
        <v>368.14729999999997</v>
      </c>
      <c r="M354">
        <v>0.99990919999999905</v>
      </c>
      <c r="N354">
        <v>0</v>
      </c>
      <c r="O354">
        <v>-1.0768379999999999E-2</v>
      </c>
      <c r="P354">
        <v>0.99712900000000004</v>
      </c>
      <c r="Q354">
        <v>7.1833449999999993E-2</v>
      </c>
      <c r="R354">
        <v>2.3962520000000001E-2</v>
      </c>
      <c r="S354">
        <v>2.9918520000000002</v>
      </c>
      <c r="T354">
        <v>0.30043320000000001</v>
      </c>
      <c r="U354">
        <v>-0.20181270000000001</v>
      </c>
      <c r="V354">
        <v>-3.4723370000000003E-2</v>
      </c>
      <c r="W354">
        <v>7.9919199999999996E-2</v>
      </c>
      <c r="X354">
        <v>0.99619639999999998</v>
      </c>
      <c r="Y354">
        <v>5.6324930000000002E-2</v>
      </c>
      <c r="Z354">
        <v>1.740398E-3</v>
      </c>
      <c r="AA354">
        <v>0.99841100000000005</v>
      </c>
      <c r="AB354">
        <v>36</v>
      </c>
      <c r="AC354">
        <v>236.5428</v>
      </c>
      <c r="AD354">
        <v>23.770834000000001</v>
      </c>
      <c r="AE354">
        <v>-15.9667999999999</v>
      </c>
      <c r="AF354">
        <v>13.2850533681186</v>
      </c>
      <c r="AG354">
        <v>23.770834000000001</v>
      </c>
      <c r="AH354">
        <v>234.345157838777</v>
      </c>
      <c r="AI354">
        <v>84.217226845408703</v>
      </c>
      <c r="AJ354">
        <v>86.755368669968703</v>
      </c>
      <c r="AK354">
        <v>235.92201718900799</v>
      </c>
      <c r="AL354">
        <v>85.416078767950196</v>
      </c>
      <c r="AM354">
        <v>91.996290522090305</v>
      </c>
      <c r="AN354">
        <v>1.0000000291628699</v>
      </c>
    </row>
    <row r="355" spans="1:40" x14ac:dyDescent="0.25">
      <c r="A355" t="str">
        <f>"20190312160608986"</f>
        <v>20190312160608986</v>
      </c>
      <c r="B355" t="str">
        <f>"1552377968975570"</f>
        <v>1552377968975570</v>
      </c>
      <c r="C355" t="s">
        <v>40</v>
      </c>
      <c r="D355">
        <v>6.2353160000000001</v>
      </c>
      <c r="E355">
        <v>0.53443419999999997</v>
      </c>
      <c r="F355" t="s">
        <v>42</v>
      </c>
      <c r="G355">
        <v>-158.78319999999999</v>
      </c>
      <c r="H355">
        <v>24.95262</v>
      </c>
      <c r="I355">
        <v>352.2319</v>
      </c>
      <c r="J355">
        <v>-395.13040000000001</v>
      </c>
      <c r="K355">
        <v>1.093167</v>
      </c>
      <c r="L355">
        <v>368.14519999999999</v>
      </c>
      <c r="M355">
        <v>0.99990769999999995</v>
      </c>
      <c r="N355">
        <v>0</v>
      </c>
      <c r="O355">
        <v>-1.068672E-2</v>
      </c>
      <c r="P355">
        <v>0.9971622</v>
      </c>
      <c r="Q355">
        <v>7.1339260000000002E-2</v>
      </c>
      <c r="R355">
        <v>2.405301E-2</v>
      </c>
      <c r="S355">
        <v>2.99173</v>
      </c>
      <c r="T355">
        <v>0.3017861</v>
      </c>
      <c r="U355">
        <v>-0.2012939</v>
      </c>
      <c r="V355">
        <v>-3.4733020000000003E-2</v>
      </c>
      <c r="W355">
        <v>7.9696279999999994E-2</v>
      </c>
      <c r="X355">
        <v>0.99621389999999999</v>
      </c>
      <c r="Y355">
        <v>5.623479E-2</v>
      </c>
      <c r="Z355">
        <v>1.7519499999999999E-3</v>
      </c>
      <c r="AA355">
        <v>0.99841599999999997</v>
      </c>
      <c r="AB355">
        <v>36</v>
      </c>
      <c r="AC355">
        <v>236.34719999999999</v>
      </c>
      <c r="AD355">
        <v>23.859452999999998</v>
      </c>
      <c r="AE355">
        <v>-15.9132999999999</v>
      </c>
      <c r="AF355">
        <v>13.2520824697775</v>
      </c>
      <c r="AG355">
        <v>23.859452999999998</v>
      </c>
      <c r="AH355">
        <v>234.12851585246</v>
      </c>
      <c r="AI355">
        <v>84.190452506742204</v>
      </c>
      <c r="AJ355">
        <v>86.760415581994096</v>
      </c>
      <c r="AK355">
        <v>235.71392220766401</v>
      </c>
      <c r="AL355">
        <v>85.428891912610197</v>
      </c>
      <c r="AM355">
        <v>91.9968098145456</v>
      </c>
      <c r="AN355">
        <v>1.0000000071386801</v>
      </c>
    </row>
    <row r="356" spans="1:40" x14ac:dyDescent="0.25">
      <c r="A356" t="str">
        <f>"20190312160609005"</f>
        <v>20190312160609005</v>
      </c>
      <c r="B356" t="str">
        <f>"1552377968995090"</f>
        <v>1552377968995090</v>
      </c>
      <c r="C356" t="s">
        <v>40</v>
      </c>
      <c r="D356">
        <v>6.0964470000000004</v>
      </c>
      <c r="E356">
        <v>0.5343424</v>
      </c>
      <c r="F356" t="s">
        <v>42</v>
      </c>
      <c r="G356">
        <v>-158.78319999999999</v>
      </c>
      <c r="H356">
        <v>24.955649999999999</v>
      </c>
      <c r="I356">
        <v>352.28410000000002</v>
      </c>
      <c r="J356">
        <v>-394.80380000000002</v>
      </c>
      <c r="K356">
        <v>1.095315</v>
      </c>
      <c r="L356">
        <v>368.14190000000002</v>
      </c>
      <c r="M356">
        <v>0.99990520000000005</v>
      </c>
      <c r="N356">
        <v>0</v>
      </c>
      <c r="O356">
        <v>-1.055152E-2</v>
      </c>
      <c r="P356">
        <v>0.99721079999999995</v>
      </c>
      <c r="Q356">
        <v>7.0676089999999997E-2</v>
      </c>
      <c r="R356">
        <v>2.3993629999999998E-2</v>
      </c>
      <c r="S356">
        <v>2.9917600000000002</v>
      </c>
      <c r="T356">
        <v>0.302060099999999</v>
      </c>
      <c r="U356">
        <v>-0.20077510000000001</v>
      </c>
      <c r="V356">
        <v>-3.4539760000000003E-2</v>
      </c>
      <c r="W356">
        <v>7.9495209999999997E-2</v>
      </c>
      <c r="X356">
        <v>0.99623669999999998</v>
      </c>
      <c r="Y356">
        <v>5.6195809999999999E-2</v>
      </c>
      <c r="Z356">
        <v>1.7651590000000001E-3</v>
      </c>
      <c r="AA356">
        <v>0.99841820000000003</v>
      </c>
      <c r="AB356">
        <v>36</v>
      </c>
      <c r="AC356">
        <v>236.0206</v>
      </c>
      <c r="AD356">
        <v>23.860334999999999</v>
      </c>
      <c r="AE356">
        <v>-15.8577999999999</v>
      </c>
      <c r="AF356">
        <v>13.231821384910999</v>
      </c>
      <c r="AG356">
        <v>23.860334999999999</v>
      </c>
      <c r="AH356">
        <v>233.796119040138</v>
      </c>
      <c r="AI356">
        <v>84.182033864237894</v>
      </c>
      <c r="AJ356">
        <v>86.760769024238002</v>
      </c>
      <c r="AK356">
        <v>235.38271381243101</v>
      </c>
      <c r="AL356">
        <v>85.4404491152589</v>
      </c>
      <c r="AM356">
        <v>91.985662760535206</v>
      </c>
      <c r="AN356">
        <v>1.0000000229303401</v>
      </c>
    </row>
    <row r="357" spans="1:40" x14ac:dyDescent="0.25">
      <c r="A357" t="str">
        <f>"20190312160609018"</f>
        <v>20190312160609018</v>
      </c>
      <c r="B357" t="str">
        <f>"1552377969015587"</f>
        <v>1552377969015587</v>
      </c>
      <c r="C357" t="s">
        <v>40</v>
      </c>
      <c r="D357">
        <v>6.0842900000000002</v>
      </c>
      <c r="E357">
        <v>0.53434989999999905</v>
      </c>
      <c r="F357" t="s">
        <v>42</v>
      </c>
      <c r="G357">
        <v>-158.78319999999999</v>
      </c>
      <c r="H357">
        <v>25.042310000000001</v>
      </c>
      <c r="I357">
        <v>352.3383</v>
      </c>
      <c r="J357">
        <v>-394.60419999999999</v>
      </c>
      <c r="K357">
        <v>1.0965279999999999</v>
      </c>
      <c r="L357">
        <v>368.13979999999998</v>
      </c>
      <c r="M357">
        <v>0.9999036</v>
      </c>
      <c r="N357">
        <v>0</v>
      </c>
      <c r="O357">
        <v>-1.0469289999999999E-2</v>
      </c>
      <c r="P357">
        <v>0.99721530000000003</v>
      </c>
      <c r="Q357">
        <v>7.0599590000000004E-2</v>
      </c>
      <c r="R357">
        <v>2.4040249999999999E-2</v>
      </c>
      <c r="S357">
        <v>2.9916689999999999</v>
      </c>
      <c r="T357">
        <v>0.30354009999999998</v>
      </c>
      <c r="U357">
        <v>-0.20031740000000001</v>
      </c>
      <c r="V357">
        <v>-3.4504510000000002E-2</v>
      </c>
      <c r="W357">
        <v>7.9702449999999994E-2</v>
      </c>
      <c r="X357">
        <v>0.99622140000000003</v>
      </c>
      <c r="Y357">
        <v>5.6125510000000003E-2</v>
      </c>
      <c r="Z357">
        <v>1.7785819999999999E-3</v>
      </c>
      <c r="AA357">
        <v>0.99842209999999998</v>
      </c>
      <c r="AB357">
        <v>36</v>
      </c>
      <c r="AC357">
        <v>235.821</v>
      </c>
      <c r="AD357">
        <v>23.945782000000001</v>
      </c>
      <c r="AE357">
        <v>-15.8014999999999</v>
      </c>
      <c r="AF357">
        <v>13.1961973970296</v>
      </c>
      <c r="AG357">
        <v>23.945782000000001</v>
      </c>
      <c r="AH357">
        <v>233.57591842575999</v>
      </c>
      <c r="AI357">
        <v>84.155843971553296</v>
      </c>
      <c r="AJ357">
        <v>86.766432420161706</v>
      </c>
      <c r="AK357">
        <v>235.17068220713699</v>
      </c>
      <c r="AL357">
        <v>85.428537510683896</v>
      </c>
      <c r="AM357">
        <v>91.983668326850193</v>
      </c>
      <c r="AN357">
        <v>1.0000000597821399</v>
      </c>
    </row>
    <row r="358" spans="1:40" x14ac:dyDescent="0.25">
      <c r="A358" t="str">
        <f>"20190312160609031"</f>
        <v>20190312160609031</v>
      </c>
      <c r="B358" t="str">
        <f>"1552377969025347"</f>
        <v>1552377969025347</v>
      </c>
      <c r="C358" t="s">
        <v>40</v>
      </c>
      <c r="D358">
        <v>6.2929089999999999</v>
      </c>
      <c r="E358">
        <v>0.53433599999999903</v>
      </c>
      <c r="F358" t="s">
        <v>42</v>
      </c>
      <c r="G358">
        <v>-158.78319999999999</v>
      </c>
      <c r="H358">
        <v>25.293859999999999</v>
      </c>
      <c r="I358">
        <v>352.38959999999997</v>
      </c>
      <c r="J358">
        <v>-394.37810000000002</v>
      </c>
      <c r="K358">
        <v>1.0978110000000001</v>
      </c>
      <c r="L358">
        <v>368.13760000000002</v>
      </c>
      <c r="M358">
        <v>0.9999015</v>
      </c>
      <c r="N358">
        <v>0</v>
      </c>
      <c r="O358">
        <v>-1.037618E-2</v>
      </c>
      <c r="P358">
        <v>0.99721910000000002</v>
      </c>
      <c r="Q358">
        <v>7.0459279999999999E-2</v>
      </c>
      <c r="R358">
        <v>2.427872E-2</v>
      </c>
      <c r="S358">
        <v>2.9914860000000001</v>
      </c>
      <c r="T358">
        <v>0.306954</v>
      </c>
      <c r="U358">
        <v>-0.19979859999999999</v>
      </c>
      <c r="V358">
        <v>-3.4649840000000001E-2</v>
      </c>
      <c r="W358">
        <v>7.9882120000000001E-2</v>
      </c>
      <c r="X358">
        <v>0.99620189999999997</v>
      </c>
      <c r="Y358">
        <v>5.6044770000000001E-2</v>
      </c>
      <c r="Z358">
        <v>1.8039880000000001E-3</v>
      </c>
      <c r="AA358">
        <v>0.99842660000000005</v>
      </c>
      <c r="AB358">
        <v>36</v>
      </c>
      <c r="AC358">
        <v>235.5949</v>
      </c>
      <c r="AD358">
        <v>24.196048999999999</v>
      </c>
      <c r="AE358">
        <v>-15.747999999999999</v>
      </c>
      <c r="AF358">
        <v>13.1642333257678</v>
      </c>
      <c r="AG358">
        <v>24.196048999999999</v>
      </c>
      <c r="AH358">
        <v>233.295842025686</v>
      </c>
      <c r="AI358">
        <v>84.088132185797704</v>
      </c>
      <c r="AJ358">
        <v>86.770383878690097</v>
      </c>
      <c r="AK358">
        <v>234.91635901473501</v>
      </c>
      <c r="AL358">
        <v>85.418209952953305</v>
      </c>
      <c r="AM358">
        <v>91.9920556094945</v>
      </c>
      <c r="AN358">
        <v>0.99999999503566495</v>
      </c>
    </row>
    <row r="359" spans="1:40" x14ac:dyDescent="0.25">
      <c r="A359" t="str">
        <f>"20190312160609049"</f>
        <v>20190312160609049</v>
      </c>
      <c r="B359" t="str">
        <f>"1552377969045843"</f>
        <v>1552377969045843</v>
      </c>
      <c r="C359" t="s">
        <v>40</v>
      </c>
      <c r="D359">
        <v>6.2999150000000004</v>
      </c>
      <c r="E359">
        <v>0.53425999999999996</v>
      </c>
      <c r="F359" t="s">
        <v>42</v>
      </c>
      <c r="G359">
        <v>-158.78319999999999</v>
      </c>
      <c r="H359">
        <v>25.335149999999999</v>
      </c>
      <c r="I359">
        <v>352.4479</v>
      </c>
      <c r="J359">
        <v>-394.09879999999998</v>
      </c>
      <c r="K359">
        <v>1.099251</v>
      </c>
      <c r="L359">
        <v>368.13479999999998</v>
      </c>
      <c r="M359">
        <v>0.99989899999999998</v>
      </c>
      <c r="N359">
        <v>0</v>
      </c>
      <c r="O359">
        <v>-1.0261849999999999E-2</v>
      </c>
      <c r="P359">
        <v>0.99720339999999996</v>
      </c>
      <c r="Q359">
        <v>7.0521669999999995E-2</v>
      </c>
      <c r="R359">
        <v>2.4749980000000001E-2</v>
      </c>
      <c r="S359">
        <v>2.9914550000000002</v>
      </c>
      <c r="T359">
        <v>0.30775330000000001</v>
      </c>
      <c r="U359">
        <v>-0.1992188</v>
      </c>
      <c r="V359">
        <v>-3.5008169999999998E-2</v>
      </c>
      <c r="W359">
        <v>8.0327960000000004E-2</v>
      </c>
      <c r="X359">
        <v>0.99615350000000003</v>
      </c>
      <c r="Y359">
        <v>5.5965470000000003E-2</v>
      </c>
      <c r="Z359">
        <v>1.816338E-3</v>
      </c>
      <c r="AA359">
        <v>0.99843099999999996</v>
      </c>
      <c r="AB359">
        <v>36</v>
      </c>
      <c r="AC359">
        <v>235.31559999999999</v>
      </c>
      <c r="AD359">
        <v>24.235899</v>
      </c>
      <c r="AE359">
        <v>-15.6868999999999</v>
      </c>
      <c r="AF359">
        <v>13.132495966544999</v>
      </c>
      <c r="AG359">
        <v>24.235899</v>
      </c>
      <c r="AH359">
        <v>233.003521624478</v>
      </c>
      <c r="AI359">
        <v>84.0710669144257</v>
      </c>
      <c r="AJ359">
        <v>86.774120149340504</v>
      </c>
      <c r="AK359">
        <v>234.62839201609501</v>
      </c>
      <c r="AL359">
        <v>85.392582752172501</v>
      </c>
      <c r="AM359">
        <v>92.012737228458505</v>
      </c>
      <c r="AN359">
        <v>0.99999997434337995</v>
      </c>
    </row>
    <row r="360" spans="1:40" x14ac:dyDescent="0.25">
      <c r="A360" t="str">
        <f>"20190312160609061"</f>
        <v>20190312160609061</v>
      </c>
      <c r="B360" t="str">
        <f>"1552377969055603"</f>
        <v>1552377969055603</v>
      </c>
      <c r="C360" t="s">
        <v>40</v>
      </c>
      <c r="D360">
        <v>6.3449019999999896</v>
      </c>
      <c r="E360">
        <v>0.53431770000000001</v>
      </c>
      <c r="F360" t="s">
        <v>42</v>
      </c>
      <c r="G360">
        <v>-158.78319999999999</v>
      </c>
      <c r="H360">
        <v>25.499770000000002</v>
      </c>
      <c r="I360">
        <v>352.63619999999997</v>
      </c>
      <c r="J360">
        <v>-393.90750000000003</v>
      </c>
      <c r="K360">
        <v>1.1001609999999999</v>
      </c>
      <c r="L360">
        <v>368.13290000000001</v>
      </c>
      <c r="M360">
        <v>0.99989720000000004</v>
      </c>
      <c r="N360">
        <v>0</v>
      </c>
      <c r="O360">
        <v>-1.0183319999999999E-2</v>
      </c>
      <c r="P360">
        <v>0.99720960000000003</v>
      </c>
      <c r="Q360">
        <v>7.0422109999999996E-2</v>
      </c>
      <c r="R360">
        <v>2.4781600000000001E-2</v>
      </c>
      <c r="S360">
        <v>2.9913940000000001</v>
      </c>
      <c r="T360">
        <v>0.31018689999999999</v>
      </c>
      <c r="U360">
        <v>-0.19702149999999999</v>
      </c>
      <c r="V360">
        <v>-3.4961190000000003E-2</v>
      </c>
      <c r="W360">
        <v>8.0482910000000005E-2</v>
      </c>
      <c r="X360">
        <v>0.99614270000000005</v>
      </c>
      <c r="Y360">
        <v>5.5314269999999999E-2</v>
      </c>
      <c r="Z360">
        <v>1.8051779999999999E-3</v>
      </c>
      <c r="AA360">
        <v>0.9984674</v>
      </c>
      <c r="AB360">
        <v>36</v>
      </c>
      <c r="AC360">
        <v>235.12430000000001</v>
      </c>
      <c r="AD360">
        <v>24.399608999999899</v>
      </c>
      <c r="AE360">
        <v>-15.496700000000001</v>
      </c>
      <c r="AF360">
        <v>12.9624411436761</v>
      </c>
      <c r="AG360">
        <v>24.399608999999899</v>
      </c>
      <c r="AH360">
        <v>232.774048315605</v>
      </c>
      <c r="AI360">
        <v>84.025240864167301</v>
      </c>
      <c r="AJ360">
        <v>86.812673498765193</v>
      </c>
      <c r="AK360">
        <v>234.408027526772</v>
      </c>
      <c r="AL360">
        <v>85.383676195740307</v>
      </c>
      <c r="AM360">
        <v>92.010060182238306</v>
      </c>
      <c r="AN360">
        <v>1.00000003118578</v>
      </c>
    </row>
    <row r="361" spans="1:40" x14ac:dyDescent="0.25">
      <c r="A361" t="str">
        <f>"20190312160609072"</f>
        <v>20190312160609072</v>
      </c>
      <c r="B361" t="str">
        <f>"1552377969065362"</f>
        <v>1552377969065362</v>
      </c>
      <c r="C361" t="s">
        <v>40</v>
      </c>
      <c r="D361">
        <v>6.2183640000000002</v>
      </c>
      <c r="E361">
        <v>0.53452860000000002</v>
      </c>
      <c r="F361" t="s">
        <v>42</v>
      </c>
      <c r="G361">
        <v>-158.78319999999999</v>
      </c>
      <c r="H361">
        <v>25.53426</v>
      </c>
      <c r="I361">
        <v>352.62009999999998</v>
      </c>
      <c r="J361">
        <v>-393.71839999999997</v>
      </c>
      <c r="K361">
        <v>1.1010139999999999</v>
      </c>
      <c r="L361">
        <v>368.13099999999997</v>
      </c>
      <c r="M361">
        <v>0.99989530000000004</v>
      </c>
      <c r="N361">
        <v>0</v>
      </c>
      <c r="O361">
        <v>-1.0105380000000001E-2</v>
      </c>
      <c r="P361">
        <v>0.99721630000000006</v>
      </c>
      <c r="Q361">
        <v>7.0261299999999999E-2</v>
      </c>
      <c r="R361">
        <v>2.495259E-2</v>
      </c>
      <c r="S361">
        <v>2.9913020000000001</v>
      </c>
      <c r="T361">
        <v>0.31085679999999999</v>
      </c>
      <c r="U361">
        <v>-0.19735720000000001</v>
      </c>
      <c r="V361">
        <v>-3.5054519999999999E-2</v>
      </c>
      <c r="W361">
        <v>8.0568940000000006E-2</v>
      </c>
      <c r="X361">
        <v>0.99613240000000003</v>
      </c>
      <c r="Y361">
        <v>5.5503139999999999E-2</v>
      </c>
      <c r="Z361">
        <v>1.826947E-3</v>
      </c>
      <c r="AA361">
        <v>0.99845680000000003</v>
      </c>
      <c r="AB361">
        <v>36</v>
      </c>
      <c r="AC361">
        <v>234.93520000000001</v>
      </c>
      <c r="AD361">
        <v>24.433246</v>
      </c>
      <c r="AE361">
        <v>-15.5108999999999</v>
      </c>
      <c r="AF361">
        <v>12.995917472966299</v>
      </c>
      <c r="AG361">
        <v>24.433246</v>
      </c>
      <c r="AH361">
        <v>232.57534026771901</v>
      </c>
      <c r="AI361">
        <v>84.012052563342905</v>
      </c>
      <c r="AJ361">
        <v>86.801734517200501</v>
      </c>
      <c r="AK361">
        <v>234.21606751396499</v>
      </c>
      <c r="AL361">
        <v>85.378730678096801</v>
      </c>
      <c r="AM361">
        <v>92.015442504275995</v>
      </c>
      <c r="AN361">
        <v>0.99999996589745599</v>
      </c>
    </row>
    <row r="362" spans="1:40" x14ac:dyDescent="0.25">
      <c r="A362" t="str">
        <f>"20190312160609085"</f>
        <v>20190312160609085</v>
      </c>
      <c r="B362" t="str">
        <f>"1552377969075123"</f>
        <v>1552377969075123</v>
      </c>
      <c r="C362" t="s">
        <v>40</v>
      </c>
      <c r="D362">
        <v>6.3751699999999998</v>
      </c>
      <c r="E362">
        <v>0.53471150000000001</v>
      </c>
      <c r="F362" t="s">
        <v>42</v>
      </c>
      <c r="G362">
        <v>-158.78319999999999</v>
      </c>
      <c r="H362">
        <v>25.493539999999999</v>
      </c>
      <c r="I362">
        <v>352.54050000000001</v>
      </c>
      <c r="J362">
        <v>-393.51209999999998</v>
      </c>
      <c r="K362">
        <v>1.101847</v>
      </c>
      <c r="L362">
        <v>368.12900000000002</v>
      </c>
      <c r="M362">
        <v>0.9998937</v>
      </c>
      <c r="N362">
        <v>0</v>
      </c>
      <c r="O362">
        <v>-1.0020599999999999E-2</v>
      </c>
      <c r="P362">
        <v>0.9972512</v>
      </c>
      <c r="Q362">
        <v>6.9814470000000003E-2</v>
      </c>
      <c r="R362">
        <v>2.482767E-2</v>
      </c>
      <c r="S362">
        <v>2.9914550000000002</v>
      </c>
      <c r="T362">
        <v>0.31059350000000002</v>
      </c>
      <c r="U362">
        <v>-0.19851679999999999</v>
      </c>
      <c r="V362">
        <v>-3.4845580000000001E-2</v>
      </c>
      <c r="W362">
        <v>8.0377390000000007E-2</v>
      </c>
      <c r="X362">
        <v>0.99615529999999997</v>
      </c>
      <c r="Y362">
        <v>5.5967299999999998E-2</v>
      </c>
      <c r="Z362">
        <v>1.858062E-3</v>
      </c>
      <c r="AA362">
        <v>0.99843079999999995</v>
      </c>
      <c r="AB362">
        <v>36</v>
      </c>
      <c r="AC362">
        <v>234.72890000000001</v>
      </c>
      <c r="AD362">
        <v>24.391693</v>
      </c>
      <c r="AE362">
        <v>-15.5885</v>
      </c>
      <c r="AF362">
        <v>13.0946829745867</v>
      </c>
      <c r="AG362">
        <v>24.391693</v>
      </c>
      <c r="AH362">
        <v>232.37511696739799</v>
      </c>
      <c r="AI362">
        <v>84.017206132090394</v>
      </c>
      <c r="AJ362">
        <v>86.7747088000243</v>
      </c>
      <c r="AK362">
        <v>234.01841892300499</v>
      </c>
      <c r="AL362">
        <v>85.389741832338501</v>
      </c>
      <c r="AM362">
        <v>92.003393401481105</v>
      </c>
      <c r="AN362">
        <v>1.0000000604934101</v>
      </c>
    </row>
    <row r="363" spans="1:40" x14ac:dyDescent="0.25">
      <c r="A363" t="str">
        <f>"20190312160609108"</f>
        <v>20190312160609108</v>
      </c>
      <c r="B363" t="str">
        <f>"1552377969095618"</f>
        <v>1552377969095618</v>
      </c>
      <c r="C363" t="s">
        <v>40</v>
      </c>
      <c r="D363">
        <v>6.08683</v>
      </c>
      <c r="E363">
        <v>0.53503389999999995</v>
      </c>
      <c r="F363" t="s">
        <v>42</v>
      </c>
      <c r="G363">
        <v>-158.78319999999999</v>
      </c>
      <c r="H363">
        <v>25.334579999999999</v>
      </c>
      <c r="I363">
        <v>352.40960000000001</v>
      </c>
      <c r="J363">
        <v>-393.15910000000002</v>
      </c>
      <c r="K363">
        <v>1.103145</v>
      </c>
      <c r="L363">
        <v>368.12560000000002</v>
      </c>
      <c r="M363">
        <v>0.99989059999999996</v>
      </c>
      <c r="N363">
        <v>0</v>
      </c>
      <c r="O363">
        <v>-9.8750720000000004E-3</v>
      </c>
      <c r="P363">
        <v>0.99726340000000002</v>
      </c>
      <c r="Q363">
        <v>6.9660449999999999E-2</v>
      </c>
      <c r="R363">
        <v>2.476629E-2</v>
      </c>
      <c r="S363">
        <v>2.9916689999999999</v>
      </c>
      <c r="T363">
        <v>0.30885220000000002</v>
      </c>
      <c r="U363">
        <v>-0.2003479</v>
      </c>
      <c r="V363">
        <v>-3.4638699999999897E-2</v>
      </c>
      <c r="W363">
        <v>8.0639279999999994E-2</v>
      </c>
      <c r="X363">
        <v>0.99614130000000001</v>
      </c>
      <c r="Y363">
        <v>5.6714290000000001E-2</v>
      </c>
      <c r="Z363">
        <v>1.9009070000000001E-3</v>
      </c>
      <c r="AA363">
        <v>0.99838859999999996</v>
      </c>
      <c r="AB363">
        <v>36</v>
      </c>
      <c r="AC363">
        <v>234.3759</v>
      </c>
      <c r="AD363">
        <v>24.231435000000001</v>
      </c>
      <c r="AE363">
        <v>-15.715999999999999</v>
      </c>
      <c r="AF363">
        <v>13.259519306053599</v>
      </c>
      <c r="AG363">
        <v>24.231435000000001</v>
      </c>
      <c r="AH363">
        <v>232.050419145528</v>
      </c>
      <c r="AI363">
        <v>84.048238483986395</v>
      </c>
      <c r="AJ363">
        <v>86.729636273675297</v>
      </c>
      <c r="AK363">
        <v>233.68862685206099</v>
      </c>
      <c r="AL363">
        <v>85.374687546999496</v>
      </c>
      <c r="AM363">
        <v>91.991536724678397</v>
      </c>
      <c r="AN363">
        <v>1.00000001129114</v>
      </c>
    </row>
    <row r="364" spans="1:40" x14ac:dyDescent="0.25">
      <c r="A364" t="str">
        <f>"20190312160609128"</f>
        <v>20190312160609128</v>
      </c>
      <c r="B364" t="str">
        <f>"1552377969115139"</f>
        <v>1552377969115139</v>
      </c>
      <c r="C364" t="s">
        <v>40</v>
      </c>
      <c r="D364">
        <v>6.1841210000000002</v>
      </c>
      <c r="E364">
        <v>0.53525469999999997</v>
      </c>
      <c r="F364" t="s">
        <v>42</v>
      </c>
      <c r="G364">
        <v>-158.78319999999999</v>
      </c>
      <c r="H364">
        <v>25.163070000000001</v>
      </c>
      <c r="I364">
        <v>352.19889999999998</v>
      </c>
      <c r="J364">
        <v>-392.82380000000001</v>
      </c>
      <c r="K364">
        <v>1.1042110000000001</v>
      </c>
      <c r="L364">
        <v>368.12240000000003</v>
      </c>
      <c r="M364">
        <v>0.99988790000000005</v>
      </c>
      <c r="N364">
        <v>0</v>
      </c>
      <c r="O364">
        <v>-9.7363880000000003E-3</v>
      </c>
      <c r="P364">
        <v>0.99726740000000003</v>
      </c>
      <c r="Q364">
        <v>6.9447579999999995E-2</v>
      </c>
      <c r="R364">
        <v>2.5200920000000002E-2</v>
      </c>
      <c r="S364">
        <v>2.9918520000000002</v>
      </c>
      <c r="T364">
        <v>0.30713030000000002</v>
      </c>
      <c r="U364">
        <v>-0.20330809999999999</v>
      </c>
      <c r="V364">
        <v>-3.4935620000000001E-2</v>
      </c>
      <c r="W364">
        <v>8.0790420000000002E-2</v>
      </c>
      <c r="X364">
        <v>0.99611870000000002</v>
      </c>
      <c r="Y364">
        <v>5.782822E-2</v>
      </c>
      <c r="Z364">
        <v>1.9613260000000002E-3</v>
      </c>
      <c r="AA364">
        <v>0.99832460000000001</v>
      </c>
      <c r="AB364">
        <v>36</v>
      </c>
      <c r="AC364">
        <v>234.04060000000001</v>
      </c>
      <c r="AD364">
        <v>24.058858999999899</v>
      </c>
      <c r="AE364">
        <v>-15.923500000000001</v>
      </c>
      <c r="AF364">
        <v>13.5018655880321</v>
      </c>
      <c r="AG364">
        <v>24.058858999999899</v>
      </c>
      <c r="AH364">
        <v>231.746877553319</v>
      </c>
      <c r="AI364">
        <v>84.083018831848307</v>
      </c>
      <c r="AJ364">
        <v>86.665644843803605</v>
      </c>
      <c r="AK364">
        <v>233.383256311271</v>
      </c>
      <c r="AL364">
        <v>85.365999588908593</v>
      </c>
      <c r="AM364">
        <v>92.008639618550006</v>
      </c>
      <c r="AN364">
        <v>1.0000000269991201</v>
      </c>
    </row>
    <row r="365" spans="1:40" x14ac:dyDescent="0.25">
      <c r="A365" t="str">
        <f>"20190312160609150"</f>
        <v>20190312160609150</v>
      </c>
      <c r="B365" t="str">
        <f>"1552377969145394"</f>
        <v>1552377969145394</v>
      </c>
      <c r="C365" t="s">
        <v>40</v>
      </c>
      <c r="D365">
        <v>6.2643810000000002</v>
      </c>
      <c r="E365">
        <v>0.53566269999999905</v>
      </c>
      <c r="F365" t="s">
        <v>42</v>
      </c>
      <c r="G365">
        <v>-158.78319999999999</v>
      </c>
      <c r="H365">
        <v>24.996300000000002</v>
      </c>
      <c r="I365">
        <v>352.1841</v>
      </c>
      <c r="J365">
        <v>-392.47840000000002</v>
      </c>
      <c r="K365">
        <v>1.1051599999999999</v>
      </c>
      <c r="L365">
        <v>368.11919999999998</v>
      </c>
      <c r="M365">
        <v>0.99988529999999998</v>
      </c>
      <c r="N365">
        <v>0</v>
      </c>
      <c r="O365">
        <v>-9.5937269999999998E-3</v>
      </c>
      <c r="P365">
        <v>0.99727520000000003</v>
      </c>
      <c r="Q365">
        <v>6.9381830000000005E-2</v>
      </c>
      <c r="R365">
        <v>2.507653E-2</v>
      </c>
      <c r="S365">
        <v>2.9921259999999998</v>
      </c>
      <c r="T365">
        <v>0.30545290000000003</v>
      </c>
      <c r="U365">
        <v>-0.2037659</v>
      </c>
      <c r="V365">
        <v>-3.4668829999999998E-2</v>
      </c>
      <c r="W365">
        <v>8.1069879999999997E-2</v>
      </c>
      <c r="X365">
        <v>0.99610529999999997</v>
      </c>
      <c r="Y365">
        <v>5.8117000000000002E-2</v>
      </c>
      <c r="Z365">
        <v>1.9796710000000001E-3</v>
      </c>
      <c r="AA365">
        <v>0.99830779999999997</v>
      </c>
      <c r="AB365">
        <v>36</v>
      </c>
      <c r="AC365">
        <v>233.6952</v>
      </c>
      <c r="AD365">
        <v>23.89114</v>
      </c>
      <c r="AE365">
        <v>-15.935099999999901</v>
      </c>
      <c r="AF365">
        <v>13.551230849032301</v>
      </c>
      <c r="AG365">
        <v>23.89114</v>
      </c>
      <c r="AH365">
        <v>231.429761956627</v>
      </c>
      <c r="AI365">
        <v>84.116082196635006</v>
      </c>
      <c r="AJ365">
        <v>86.648906386840295</v>
      </c>
      <c r="AK365">
        <v>233.05397904203301</v>
      </c>
      <c r="AL365">
        <v>85.349934940556906</v>
      </c>
      <c r="AM365">
        <v>91.993339619004502</v>
      </c>
      <c r="AN365">
        <v>1.0000000109524301</v>
      </c>
    </row>
    <row r="366" spans="1:40" x14ac:dyDescent="0.25">
      <c r="A366" t="str">
        <f>"20190312160609162"</f>
        <v>20190312160609162</v>
      </c>
      <c r="B366" t="str">
        <f>"1552377969155155"</f>
        <v>1552377969155155</v>
      </c>
      <c r="C366" t="s">
        <v>40</v>
      </c>
      <c r="D366">
        <v>6.2086730000000001</v>
      </c>
      <c r="E366">
        <v>0.53577849999999905</v>
      </c>
      <c r="F366" t="s">
        <v>42</v>
      </c>
      <c r="G366">
        <v>-158.78319999999999</v>
      </c>
      <c r="H366">
        <v>24.72935</v>
      </c>
      <c r="I366">
        <v>351.93639999999999</v>
      </c>
      <c r="J366">
        <v>-392.27339999999998</v>
      </c>
      <c r="K366">
        <v>1.1056539999999999</v>
      </c>
      <c r="L366">
        <v>368.1173</v>
      </c>
      <c r="M366">
        <v>0.99988370000000004</v>
      </c>
      <c r="N366">
        <v>0</v>
      </c>
      <c r="O366">
        <v>-9.5085110000000007E-3</v>
      </c>
      <c r="P366">
        <v>0.99728090000000003</v>
      </c>
      <c r="Q366">
        <v>6.9329290000000002E-2</v>
      </c>
      <c r="R366">
        <v>2.4986080000000001E-2</v>
      </c>
      <c r="S366">
        <v>2.9923709999999999</v>
      </c>
      <c r="T366">
        <v>0.30249890000000001</v>
      </c>
      <c r="U366">
        <v>-0.20721439999999999</v>
      </c>
      <c r="V366">
        <v>-3.4493650000000001E-2</v>
      </c>
      <c r="W366">
        <v>8.1206269999999997E-2</v>
      </c>
      <c r="X366">
        <v>0.99610019999999999</v>
      </c>
      <c r="Y366">
        <v>5.9339799999999998E-2</v>
      </c>
      <c r="Z366">
        <v>2.030544E-3</v>
      </c>
      <c r="AA366">
        <v>0.99823580000000001</v>
      </c>
      <c r="AB366">
        <v>36</v>
      </c>
      <c r="AC366">
        <v>233.49019999999999</v>
      </c>
      <c r="AD366">
        <v>23.623695999999999</v>
      </c>
      <c r="AE366">
        <v>-16.180900000000001</v>
      </c>
      <c r="AF366">
        <v>13.819081284726099</v>
      </c>
      <c r="AG366">
        <v>23.623695999999999</v>
      </c>
      <c r="AH366">
        <v>231.27731815959001</v>
      </c>
      <c r="AI366">
        <v>84.178092977630698</v>
      </c>
      <c r="AJ366">
        <v>86.580577855559198</v>
      </c>
      <c r="AK366">
        <v>232.89105589383701</v>
      </c>
      <c r="AL366">
        <v>85.342094183938499</v>
      </c>
      <c r="AM366">
        <v>91.983285576013202</v>
      </c>
      <c r="AN366">
        <v>0.99999993930883502</v>
      </c>
    </row>
    <row r="367" spans="1:40" x14ac:dyDescent="0.25">
      <c r="A367" t="str">
        <f>"20190312160609175"</f>
        <v>20190312160609175</v>
      </c>
      <c r="B367" t="str">
        <f>"1552377969165890"</f>
        <v>1552377969165890</v>
      </c>
      <c r="C367" t="s">
        <v>40</v>
      </c>
      <c r="D367">
        <v>6.1179189999999997</v>
      </c>
      <c r="E367">
        <v>0.53593029999999997</v>
      </c>
      <c r="F367" t="s">
        <v>42</v>
      </c>
      <c r="G367">
        <v>-158.78319999999999</v>
      </c>
      <c r="H367">
        <v>24.62068</v>
      </c>
      <c r="I367">
        <v>351.8562</v>
      </c>
      <c r="J367">
        <v>-392.07279999999997</v>
      </c>
      <c r="K367">
        <v>1.106109</v>
      </c>
      <c r="L367">
        <v>368.1155</v>
      </c>
      <c r="M367">
        <v>0.99988239999999995</v>
      </c>
      <c r="N367">
        <v>0</v>
      </c>
      <c r="O367">
        <v>-9.4256340000000004E-3</v>
      </c>
      <c r="P367">
        <v>0.9972915</v>
      </c>
      <c r="Q367">
        <v>6.9235989999999997E-2</v>
      </c>
      <c r="R367">
        <v>2.4824720000000002E-2</v>
      </c>
      <c r="S367">
        <v>2.992432</v>
      </c>
      <c r="T367">
        <v>0.30137160000000002</v>
      </c>
      <c r="U367">
        <v>-0.20840449999999999</v>
      </c>
      <c r="V367">
        <v>-3.4249759999999997E-2</v>
      </c>
      <c r="W367">
        <v>8.1291829999999995E-2</v>
      </c>
      <c r="X367">
        <v>0.99610169999999998</v>
      </c>
      <c r="Y367">
        <v>5.981533E-2</v>
      </c>
      <c r="Z367">
        <v>2.0551160000000001E-3</v>
      </c>
      <c r="AA367">
        <v>0.99820730000000002</v>
      </c>
      <c r="AB367">
        <v>36</v>
      </c>
      <c r="AC367">
        <v>233.28960000000001</v>
      </c>
      <c r="AD367">
        <v>23.514571</v>
      </c>
      <c r="AE367">
        <v>-16.2592999999999</v>
      </c>
      <c r="AF367">
        <v>13.9187864030051</v>
      </c>
      <c r="AG367">
        <v>23.514571</v>
      </c>
      <c r="AH367">
        <v>231.09597121030399</v>
      </c>
      <c r="AI367">
        <v>84.200450708391401</v>
      </c>
      <c r="AJ367">
        <v>86.553269677972096</v>
      </c>
      <c r="AK367">
        <v>232.705856337738</v>
      </c>
      <c r="AL367">
        <v>85.337175989350001</v>
      </c>
      <c r="AM367">
        <v>91.969270720359702</v>
      </c>
      <c r="AN367">
        <v>1.00000000221384</v>
      </c>
    </row>
    <row r="368" spans="1:40" x14ac:dyDescent="0.25">
      <c r="A368" t="str">
        <f>"20190312160609186"</f>
        <v>20190312160609186</v>
      </c>
      <c r="B368" t="str">
        <f>"1552377969175650"</f>
        <v>1552377969175650</v>
      </c>
      <c r="C368" t="s">
        <v>40</v>
      </c>
      <c r="D368">
        <v>6.335102</v>
      </c>
      <c r="E368">
        <v>0.53607090000000002</v>
      </c>
      <c r="F368" t="s">
        <v>42</v>
      </c>
      <c r="G368">
        <v>-158.78319999999999</v>
      </c>
      <c r="H368">
        <v>24.519919999999999</v>
      </c>
      <c r="I368">
        <v>351.72140000000002</v>
      </c>
      <c r="J368">
        <v>-391.8852</v>
      </c>
      <c r="K368">
        <v>1.106481</v>
      </c>
      <c r="L368">
        <v>368.11380000000003</v>
      </c>
      <c r="M368">
        <v>0.99988120000000003</v>
      </c>
      <c r="N368">
        <v>0</v>
      </c>
      <c r="O368">
        <v>-9.3481050000000007E-3</v>
      </c>
      <c r="P368">
        <v>0.99729000000000001</v>
      </c>
      <c r="Q368">
        <v>6.9262110000000002E-2</v>
      </c>
      <c r="R368">
        <v>2.480978E-2</v>
      </c>
      <c r="S368">
        <v>2.9925540000000002</v>
      </c>
      <c r="T368">
        <v>0.30034470000000002</v>
      </c>
      <c r="U368">
        <v>-0.2102966</v>
      </c>
      <c r="V368">
        <v>-3.415758E-2</v>
      </c>
      <c r="W368">
        <v>8.1471000000000002E-2</v>
      </c>
      <c r="X368">
        <v>0.99609020000000004</v>
      </c>
      <c r="Y368">
        <v>6.0515800000000002E-2</v>
      </c>
      <c r="Z368">
        <v>2.0907899999999999E-3</v>
      </c>
      <c r="AA368">
        <v>0.99816510000000003</v>
      </c>
      <c r="AB368">
        <v>36</v>
      </c>
      <c r="AC368">
        <v>233.102</v>
      </c>
      <c r="AD368">
        <v>23.413439</v>
      </c>
      <c r="AE368">
        <v>-16.392399999999999</v>
      </c>
      <c r="AF368">
        <v>14.071195466152499</v>
      </c>
      <c r="AG368">
        <v>23.413439</v>
      </c>
      <c r="AH368">
        <v>230.92675928949501</v>
      </c>
      <c r="AI368">
        <v>84.221265703075701</v>
      </c>
      <c r="AJ368">
        <v>86.513073985103006</v>
      </c>
      <c r="AK368">
        <v>232.536783807642</v>
      </c>
      <c r="AL368">
        <v>85.326876014330693</v>
      </c>
      <c r="AM368">
        <v>91.963997426741898</v>
      </c>
      <c r="AN368">
        <v>0.999999975324248</v>
      </c>
    </row>
    <row r="369" spans="1:40" x14ac:dyDescent="0.25">
      <c r="A369" t="str">
        <f>"20190312160609205"</f>
        <v>20190312160609205</v>
      </c>
      <c r="B369" t="str">
        <f>"1552377969195174"</f>
        <v>1552377969195174</v>
      </c>
      <c r="C369" t="s">
        <v>40</v>
      </c>
      <c r="D369">
        <v>6.1967689999999997</v>
      </c>
      <c r="E369">
        <v>0.53619490000000003</v>
      </c>
      <c r="F369" t="s">
        <v>42</v>
      </c>
      <c r="G369">
        <v>-158.78319999999999</v>
      </c>
      <c r="H369">
        <v>24.442810000000001</v>
      </c>
      <c r="I369">
        <v>351.65499999999997</v>
      </c>
      <c r="J369">
        <v>-391.57530000000003</v>
      </c>
      <c r="K369">
        <v>1.107043</v>
      </c>
      <c r="L369">
        <v>368.11110000000002</v>
      </c>
      <c r="M369">
        <v>0.99987930000000003</v>
      </c>
      <c r="N369">
        <v>0</v>
      </c>
      <c r="O369">
        <v>-9.2198499999999999E-3</v>
      </c>
      <c r="P369">
        <v>0.99729230000000002</v>
      </c>
      <c r="Q369">
        <v>6.9271849999999996E-2</v>
      </c>
      <c r="R369">
        <v>2.4688450000000001E-2</v>
      </c>
      <c r="S369">
        <v>2.992645</v>
      </c>
      <c r="T369">
        <v>0.29960100000000001</v>
      </c>
      <c r="U369">
        <v>-0.21130370000000001</v>
      </c>
      <c r="V369">
        <v>-3.3908470000000003E-2</v>
      </c>
      <c r="W369">
        <v>8.1720020000000004E-2</v>
      </c>
      <c r="X369">
        <v>0.99607829999999997</v>
      </c>
      <c r="Y369">
        <v>6.0974269999999997E-2</v>
      </c>
      <c r="Z369">
        <v>2.1212029999999999E-3</v>
      </c>
      <c r="AA369">
        <v>0.9981371</v>
      </c>
      <c r="AB369">
        <v>36</v>
      </c>
      <c r="AC369">
        <v>232.7921</v>
      </c>
      <c r="AD369">
        <v>23.335767000000001</v>
      </c>
      <c r="AE369">
        <v>-16.456099999999999</v>
      </c>
      <c r="AF369">
        <v>14.1672702923307</v>
      </c>
      <c r="AG369">
        <v>23.335767000000001</v>
      </c>
      <c r="AH369">
        <v>230.62796225675501</v>
      </c>
      <c r="AI369">
        <v>84.2330681726595</v>
      </c>
      <c r="AJ369">
        <v>86.484788451288196</v>
      </c>
      <c r="AK369">
        <v>232.23808159670401</v>
      </c>
      <c r="AL369">
        <v>85.312560425660394</v>
      </c>
      <c r="AM369">
        <v>91.949708433906494</v>
      </c>
      <c r="AN369">
        <v>0.99999996286871495</v>
      </c>
    </row>
    <row r="370" spans="1:40" x14ac:dyDescent="0.25">
      <c r="A370" t="str">
        <f>"20190312160609228"</f>
        <v>20190312160609228</v>
      </c>
      <c r="B370" t="str">
        <f>"1552377969225427"</f>
        <v>1552377969225427</v>
      </c>
      <c r="C370" t="s">
        <v>40</v>
      </c>
      <c r="D370">
        <v>6.0535540000000001</v>
      </c>
      <c r="E370">
        <v>0.52109079999999997</v>
      </c>
      <c r="F370" t="s">
        <v>42</v>
      </c>
      <c r="G370">
        <v>-158.78319999999999</v>
      </c>
      <c r="H370">
        <v>24.35491</v>
      </c>
      <c r="I370">
        <v>351.55529999999999</v>
      </c>
      <c r="J370">
        <v>-391.21969999999999</v>
      </c>
      <c r="K370">
        <v>1.107585</v>
      </c>
      <c r="L370">
        <v>368.10789999999997</v>
      </c>
      <c r="M370">
        <v>0.99987769999999998</v>
      </c>
      <c r="N370">
        <v>0</v>
      </c>
      <c r="O370">
        <v>-9.0729720000000003E-3</v>
      </c>
      <c r="P370">
        <v>0.99728660000000002</v>
      </c>
      <c r="Q370">
        <v>6.9272669999999995E-2</v>
      </c>
      <c r="R370">
        <v>2.492399E-2</v>
      </c>
      <c r="S370">
        <v>2.9926149999999998</v>
      </c>
      <c r="T370">
        <v>0.298859599999999</v>
      </c>
      <c r="U370">
        <v>-0.21282960000000001</v>
      </c>
      <c r="V370">
        <v>-3.3997550000000001E-2</v>
      </c>
      <c r="W370">
        <v>8.1970009999999996E-2</v>
      </c>
      <c r="X370">
        <v>0.99605480000000002</v>
      </c>
      <c r="Y370">
        <v>6.1625289999999999E-2</v>
      </c>
      <c r="Z370">
        <v>2.1629589999999999E-3</v>
      </c>
      <c r="AA370">
        <v>0.99809700000000001</v>
      </c>
      <c r="AB370">
        <v>36</v>
      </c>
      <c r="AC370">
        <v>232.4365</v>
      </c>
      <c r="AD370">
        <v>23.247325</v>
      </c>
      <c r="AE370">
        <v>-16.552599999999899</v>
      </c>
      <c r="AF370">
        <v>14.3005288883744</v>
      </c>
      <c r="AG370">
        <v>23.247325</v>
      </c>
      <c r="AH370">
        <v>230.28516814696201</v>
      </c>
      <c r="AI370">
        <v>84.246519066055299</v>
      </c>
      <c r="AJ370">
        <v>86.446539953689793</v>
      </c>
      <c r="AK370">
        <v>231.89696400474401</v>
      </c>
      <c r="AL370">
        <v>85.298189202244401</v>
      </c>
      <c r="AM370">
        <v>91.954872574655695</v>
      </c>
      <c r="AN370">
        <v>1.00000004027422</v>
      </c>
    </row>
    <row r="371" spans="1:40" x14ac:dyDescent="0.25">
      <c r="A371" t="str">
        <f>"20190312160609241"</f>
        <v>20190312160609241</v>
      </c>
      <c r="B371" t="str">
        <f>"1552377969235187"</f>
        <v>1552377969235187</v>
      </c>
      <c r="C371" t="s">
        <v>40</v>
      </c>
      <c r="D371">
        <v>6.1072340000000001</v>
      </c>
      <c r="E371">
        <v>0.51797599999999999</v>
      </c>
      <c r="F371" t="s">
        <v>42</v>
      </c>
      <c r="G371">
        <v>-160.49299999999999</v>
      </c>
      <c r="H371">
        <v>6.6740890000000004</v>
      </c>
      <c r="I371">
        <v>360.74470000000002</v>
      </c>
      <c r="J371">
        <v>-391.02699999999999</v>
      </c>
      <c r="K371">
        <v>1.1078429999999999</v>
      </c>
      <c r="L371">
        <v>368.10629999999998</v>
      </c>
      <c r="M371">
        <v>0.9998766</v>
      </c>
      <c r="N371">
        <v>0</v>
      </c>
      <c r="O371">
        <v>-8.9930440000000004E-3</v>
      </c>
      <c r="P371">
        <v>0.99728669999999997</v>
      </c>
      <c r="Q371">
        <v>6.9233779999999995E-2</v>
      </c>
      <c r="R371">
        <v>2.5018439999999999E-2</v>
      </c>
      <c r="S371">
        <v>3.0055239999999999</v>
      </c>
      <c r="T371">
        <v>7.2512270000000004E-2</v>
      </c>
      <c r="U371">
        <v>-9.5916749999999995E-2</v>
      </c>
      <c r="V371">
        <v>-3.4012019999999997E-2</v>
      </c>
      <c r="W371">
        <v>8.2055080000000002E-2</v>
      </c>
      <c r="X371">
        <v>0.99604729999999997</v>
      </c>
      <c r="Y371">
        <v>2.2902700000000002E-2</v>
      </c>
      <c r="Z371" s="1">
        <v>5.9278289999999997E-5</v>
      </c>
      <c r="AA371">
        <v>0.99973769999999995</v>
      </c>
      <c r="AB371">
        <v>36</v>
      </c>
      <c r="AC371">
        <v>230.53399999999999</v>
      </c>
      <c r="AD371">
        <v>5.5662459999999996</v>
      </c>
      <c r="AE371">
        <v>-7.3615999999999504</v>
      </c>
      <c r="AF371">
        <v>5.2848500194885197</v>
      </c>
      <c r="AG371">
        <v>5.5662459999999996</v>
      </c>
      <c r="AH371">
        <v>230.45666961986899</v>
      </c>
      <c r="AI371">
        <v>88.616761088741598</v>
      </c>
      <c r="AJ371">
        <v>88.686319037971202</v>
      </c>
      <c r="AK371">
        <v>230.58445157152801</v>
      </c>
      <c r="AL371">
        <v>85.293298568208101</v>
      </c>
      <c r="AM371">
        <v>91.955718673956895</v>
      </c>
      <c r="AN371">
        <v>1.0000000387477801</v>
      </c>
    </row>
    <row r="372" spans="1:40" x14ac:dyDescent="0.25">
      <c r="A372" t="str">
        <f>"20190312160609251"</f>
        <v>20190312160609251</v>
      </c>
      <c r="B372" t="str">
        <f>"1552377969245922"</f>
        <v>1552377969245922</v>
      </c>
      <c r="C372" t="s">
        <v>40</v>
      </c>
      <c r="D372">
        <v>6.1072179999999996</v>
      </c>
      <c r="E372">
        <v>0.5160496</v>
      </c>
      <c r="F372" t="s">
        <v>42</v>
      </c>
      <c r="G372">
        <v>-170.08879999999999</v>
      </c>
      <c r="H372">
        <v>6.9980270000000004</v>
      </c>
      <c r="I372">
        <v>362.89980000000003</v>
      </c>
      <c r="J372">
        <v>-390.83909999999997</v>
      </c>
      <c r="K372">
        <v>1.1080779999999999</v>
      </c>
      <c r="L372">
        <v>368.1046</v>
      </c>
      <c r="M372">
        <v>0.99987590000000004</v>
      </c>
      <c r="N372">
        <v>0</v>
      </c>
      <c r="O372">
        <v>-8.9150979999999998E-3</v>
      </c>
      <c r="P372">
        <v>0.997309</v>
      </c>
      <c r="Q372">
        <v>6.8925219999999995E-2</v>
      </c>
      <c r="R372">
        <v>2.4983180000000001E-2</v>
      </c>
      <c r="S372">
        <v>3.0044249999999999</v>
      </c>
      <c r="T372">
        <v>8.0098749999999996E-2</v>
      </c>
      <c r="U372">
        <v>-7.0800779999999994E-2</v>
      </c>
      <c r="V372">
        <v>-3.389905E-2</v>
      </c>
      <c r="W372">
        <v>8.1862119999999997E-2</v>
      </c>
      <c r="X372">
        <v>0.99606700000000004</v>
      </c>
      <c r="Y372">
        <v>1.464262E-2</v>
      </c>
      <c r="Z372" s="1">
        <v>-4.2488889999999998E-5</v>
      </c>
      <c r="AA372">
        <v>0.99989280000000003</v>
      </c>
      <c r="AB372">
        <v>36</v>
      </c>
      <c r="AC372">
        <v>220.75030000000001</v>
      </c>
      <c r="AD372">
        <v>5.8899489999999997</v>
      </c>
      <c r="AE372">
        <v>-5.2047999999999703</v>
      </c>
      <c r="AF372">
        <v>3.2341154432696699</v>
      </c>
      <c r="AG372">
        <v>5.8899489999999997</v>
      </c>
      <c r="AH372">
        <v>220.63095062007599</v>
      </c>
      <c r="AI372">
        <v>88.470963119032405</v>
      </c>
      <c r="AJ372">
        <v>89.160190831850102</v>
      </c>
      <c r="AK372">
        <v>220.733249360945</v>
      </c>
      <c r="AL372">
        <v>85.304391548106906</v>
      </c>
      <c r="AM372">
        <v>91.949189305213096</v>
      </c>
      <c r="AN372">
        <v>1.0000000103853901</v>
      </c>
    </row>
    <row r="373" spans="1:40" x14ac:dyDescent="0.25">
      <c r="A373" t="str">
        <f>"20190312160609274"</f>
        <v>20190312160609274</v>
      </c>
      <c r="B373" t="str">
        <f>"1552377969265446"</f>
        <v>1552377969265446</v>
      </c>
      <c r="C373" t="s">
        <v>40</v>
      </c>
      <c r="D373">
        <v>6.0612349999999999</v>
      </c>
      <c r="E373">
        <v>0.5133221</v>
      </c>
      <c r="F373" t="s">
        <v>42</v>
      </c>
      <c r="G373">
        <v>-170.08879999999999</v>
      </c>
      <c r="H373">
        <v>7.3636759999999999</v>
      </c>
      <c r="I373">
        <v>364.02929999999998</v>
      </c>
      <c r="J373">
        <v>-390.49349999999998</v>
      </c>
      <c r="K373">
        <v>1.1084480000000001</v>
      </c>
      <c r="L373">
        <v>368.10169999999999</v>
      </c>
      <c r="M373">
        <v>0.99987470000000001</v>
      </c>
      <c r="N373">
        <v>0</v>
      </c>
      <c r="O373">
        <v>-8.7720950000000006E-3</v>
      </c>
      <c r="P373">
        <v>0.99734069999999997</v>
      </c>
      <c r="Q373">
        <v>6.8454909999999994E-2</v>
      </c>
      <c r="R373">
        <v>2.50113E-2</v>
      </c>
      <c r="S373">
        <v>3.0036010000000002</v>
      </c>
      <c r="T373">
        <v>8.5116860000000003E-2</v>
      </c>
      <c r="U373">
        <v>-5.5450439999999997E-2</v>
      </c>
      <c r="V373">
        <v>-3.3785349999999999E-2</v>
      </c>
      <c r="W373">
        <v>8.1586480000000003E-2</v>
      </c>
      <c r="X373">
        <v>0.99609349999999997</v>
      </c>
      <c r="Y373">
        <v>9.6857349999999991E-3</v>
      </c>
      <c r="Z373">
        <v>-1.113299E-4</v>
      </c>
      <c r="AA373">
        <v>0.99995310000000004</v>
      </c>
      <c r="AB373">
        <v>36</v>
      </c>
      <c r="AC373">
        <v>220.40469999999999</v>
      </c>
      <c r="AD373">
        <v>6.2552279999999998</v>
      </c>
      <c r="AE373">
        <v>-4.0724000000000098</v>
      </c>
      <c r="AF373">
        <v>2.1369438048730198</v>
      </c>
      <c r="AG373">
        <v>6.2552279999999998</v>
      </c>
      <c r="AH373">
        <v>220.25459894103801</v>
      </c>
      <c r="AI373">
        <v>88.373314325267799</v>
      </c>
      <c r="AJ373">
        <v>89.444125025687498</v>
      </c>
      <c r="AK373">
        <v>220.3537672944</v>
      </c>
      <c r="AL373">
        <v>85.320237664137807</v>
      </c>
      <c r="AM373">
        <v>91.942604950657199</v>
      </c>
      <c r="AN373">
        <v>1.00000003216783</v>
      </c>
    </row>
    <row r="374" spans="1:40" x14ac:dyDescent="0.25">
      <c r="A374" t="str">
        <f>"20190312160609286"</f>
        <v>20190312160609286</v>
      </c>
      <c r="B374" t="str">
        <f>"1552377969275203"</f>
        <v>1552377969275203</v>
      </c>
      <c r="C374" t="s">
        <v>40</v>
      </c>
      <c r="D374">
        <v>6.0123150000000001</v>
      </c>
      <c r="E374">
        <v>0.51243439999999996</v>
      </c>
      <c r="F374" t="s">
        <v>42</v>
      </c>
      <c r="G374">
        <v>-170.08879999999999</v>
      </c>
      <c r="H374">
        <v>7.5256189999999998</v>
      </c>
      <c r="I374">
        <v>365.649</v>
      </c>
      <c r="J374">
        <v>-390.29059999999998</v>
      </c>
      <c r="K374">
        <v>1.108638</v>
      </c>
      <c r="L374">
        <v>368.1</v>
      </c>
      <c r="M374">
        <v>0.99987389999999998</v>
      </c>
      <c r="N374">
        <v>0</v>
      </c>
      <c r="O374">
        <v>-8.6876409999999994E-3</v>
      </c>
      <c r="P374">
        <v>0.99734100000000003</v>
      </c>
      <c r="Q374">
        <v>6.8372349999999998E-2</v>
      </c>
      <c r="R374">
        <v>2.522603E-2</v>
      </c>
      <c r="S374">
        <v>3.0028990000000002</v>
      </c>
      <c r="T374">
        <v>8.7431789999999995E-2</v>
      </c>
      <c r="U374">
        <v>-3.3416750000000002E-2</v>
      </c>
      <c r="V374">
        <v>-3.3915920000000002E-2</v>
      </c>
      <c r="W374">
        <v>8.1605490000000003E-2</v>
      </c>
      <c r="X374">
        <v>0.99608750000000001</v>
      </c>
      <c r="Y374">
        <v>2.4418299999999999E-3</v>
      </c>
      <c r="Z374">
        <v>-2.1736379999999999E-4</v>
      </c>
      <c r="AA374">
        <v>0.99999700000000002</v>
      </c>
      <c r="AB374">
        <v>36</v>
      </c>
      <c r="AC374">
        <v>220.20179999999999</v>
      </c>
      <c r="AD374">
        <v>6.4169809999999998</v>
      </c>
      <c r="AE374">
        <v>-2.4510000000000201</v>
      </c>
      <c r="AF374">
        <v>0.53724806880496001</v>
      </c>
      <c r="AG374">
        <v>6.4169809999999998</v>
      </c>
      <c r="AH374">
        <v>220.02795498152699</v>
      </c>
      <c r="AI374">
        <v>88.329482061546997</v>
      </c>
      <c r="AJ374">
        <v>89.860099659961804</v>
      </c>
      <c r="AK374">
        <v>220.122164386039</v>
      </c>
      <c r="AL374">
        <v>85.319144801403496</v>
      </c>
      <c r="AM374">
        <v>91.950118474083695</v>
      </c>
      <c r="AN374">
        <v>1.00000002664191</v>
      </c>
    </row>
    <row r="375" spans="1:40" x14ac:dyDescent="0.25">
      <c r="A375" t="str">
        <f>"20190312160609301"</f>
        <v>20190312160609301</v>
      </c>
      <c r="B375" t="str">
        <f>"1552377969295699"</f>
        <v>1552377969295699</v>
      </c>
      <c r="C375" t="s">
        <v>40</v>
      </c>
      <c r="D375">
        <v>6.0955059999999897</v>
      </c>
      <c r="E375">
        <v>0.51114879999999996</v>
      </c>
      <c r="F375" t="s">
        <v>42</v>
      </c>
      <c r="G375">
        <v>-170.08879999999999</v>
      </c>
      <c r="H375">
        <v>7.6314119999999903</v>
      </c>
      <c r="I375">
        <v>366.20659999999998</v>
      </c>
      <c r="J375">
        <v>-390.07100000000003</v>
      </c>
      <c r="K375">
        <v>1.1088249999999999</v>
      </c>
      <c r="L375">
        <v>368.09820000000002</v>
      </c>
      <c r="M375">
        <v>0.99987329999999996</v>
      </c>
      <c r="N375">
        <v>0</v>
      </c>
      <c r="O375">
        <v>-8.5965350000000006E-3</v>
      </c>
      <c r="P375">
        <v>0.997359</v>
      </c>
      <c r="Q375">
        <v>6.806487E-2</v>
      </c>
      <c r="R375">
        <v>2.5344149999999999E-2</v>
      </c>
      <c r="S375">
        <v>3.0025629999999999</v>
      </c>
      <c r="T375">
        <v>8.8942530000000006E-2</v>
      </c>
      <c r="U375">
        <v>-2.581787E-2</v>
      </c>
      <c r="V375">
        <v>-3.3942600000000003E-2</v>
      </c>
      <c r="W375">
        <v>8.1403020000000006E-2</v>
      </c>
      <c r="X375">
        <v>0.99610310000000002</v>
      </c>
      <c r="Y375" s="1">
        <v>4.754401E-6</v>
      </c>
      <c r="Z375">
        <v>-2.5453550000000002E-4</v>
      </c>
      <c r="AA375">
        <v>0.99999990000000005</v>
      </c>
      <c r="AB375">
        <v>36</v>
      </c>
      <c r="AC375">
        <v>219.98220000000001</v>
      </c>
      <c r="AD375">
        <v>6.5225869999999997</v>
      </c>
      <c r="AE375">
        <v>-1.8916000000000399</v>
      </c>
      <c r="AF375">
        <v>2.7543521201134298E-4</v>
      </c>
      <c r="AG375">
        <v>6.5225869999999997</v>
      </c>
      <c r="AH375">
        <v>219.797111568372</v>
      </c>
      <c r="AI375">
        <v>88.3002185095405</v>
      </c>
      <c r="AJ375">
        <v>89.999928200716198</v>
      </c>
      <c r="AK375">
        <v>219.89387075370601</v>
      </c>
      <c r="AL375">
        <v>85.330783931248902</v>
      </c>
      <c r="AM375">
        <v>91.951620810058699</v>
      </c>
      <c r="AN375">
        <v>0.99999996879474395</v>
      </c>
    </row>
    <row r="376" spans="1:40" x14ac:dyDescent="0.25">
      <c r="A376" t="str">
        <f>"20190312160609319"</f>
        <v>20190312160609319</v>
      </c>
      <c r="B376" t="str">
        <f>"1552377969315219"</f>
        <v>1552377969315219</v>
      </c>
      <c r="C376" t="s">
        <v>40</v>
      </c>
      <c r="D376">
        <v>6.0696029999999999</v>
      </c>
      <c r="E376">
        <v>0.51011739999999905</v>
      </c>
      <c r="F376" t="s">
        <v>42</v>
      </c>
      <c r="G376">
        <v>-170.08879999999999</v>
      </c>
      <c r="H376">
        <v>7.7259369999999903</v>
      </c>
      <c r="I376">
        <v>367.0025</v>
      </c>
      <c r="J376">
        <v>-389.78280000000001</v>
      </c>
      <c r="K376">
        <v>1.109035</v>
      </c>
      <c r="L376">
        <v>368.09589999999997</v>
      </c>
      <c r="M376">
        <v>0.99987269999999995</v>
      </c>
      <c r="N376">
        <v>0</v>
      </c>
      <c r="O376">
        <v>-8.4773260000000003E-3</v>
      </c>
      <c r="P376">
        <v>0.99730890000000005</v>
      </c>
      <c r="Q376">
        <v>6.8525089999999997E-2</v>
      </c>
      <c r="R376">
        <v>2.6064199999999999E-2</v>
      </c>
      <c r="S376">
        <v>3.002167</v>
      </c>
      <c r="T376">
        <v>9.0306999999999998E-2</v>
      </c>
      <c r="U376">
        <v>-1.4953610000000001E-2</v>
      </c>
      <c r="V376">
        <v>-3.454368E-2</v>
      </c>
      <c r="W376">
        <v>8.1988539999999999E-2</v>
      </c>
      <c r="X376">
        <v>0.99603439999999999</v>
      </c>
      <c r="Y376">
        <v>-3.4918829999999999E-3</v>
      </c>
      <c r="Z376">
        <v>-3.074703E-4</v>
      </c>
      <c r="AA376">
        <v>0.99999389999999999</v>
      </c>
      <c r="AB376">
        <v>36</v>
      </c>
      <c r="AC376">
        <v>219.69399999999999</v>
      </c>
      <c r="AD376">
        <v>6.6169019999999996</v>
      </c>
      <c r="AE376">
        <v>-1.09339999999997</v>
      </c>
      <c r="AF376">
        <v>-0.76852998245395199</v>
      </c>
      <c r="AG376">
        <v>6.6169019999999996</v>
      </c>
      <c r="AH376">
        <v>219.49626589719799</v>
      </c>
      <c r="AI376">
        <v>88.273303408779896</v>
      </c>
      <c r="AJ376">
        <v>90.200610904720605</v>
      </c>
      <c r="AK376">
        <v>219.59732414859999</v>
      </c>
      <c r="AL376">
        <v>85.297123529770104</v>
      </c>
      <c r="AM376">
        <v>91.986290959297406</v>
      </c>
      <c r="AN376">
        <v>0.99999995625131599</v>
      </c>
    </row>
    <row r="377" spans="1:40" x14ac:dyDescent="0.25">
      <c r="A377" t="str">
        <f>"20190312160609339"</f>
        <v>20190312160609339</v>
      </c>
      <c r="B377" t="str">
        <f>"1552377969335714"</f>
        <v>1552377969335714</v>
      </c>
      <c r="C377" t="s">
        <v>40</v>
      </c>
      <c r="D377">
        <v>6.0102960000000003</v>
      </c>
      <c r="E377">
        <v>0.5093567</v>
      </c>
      <c r="F377" t="s">
        <v>42</v>
      </c>
      <c r="G377">
        <v>-170.08879999999999</v>
      </c>
      <c r="H377">
        <v>7.8715989999999998</v>
      </c>
      <c r="I377">
        <v>367.74079999999998</v>
      </c>
      <c r="J377">
        <v>-389.4479</v>
      </c>
      <c r="K377">
        <v>1.1092420000000001</v>
      </c>
      <c r="L377">
        <v>368.09320000000002</v>
      </c>
      <c r="M377">
        <v>0.99987210000000004</v>
      </c>
      <c r="N377">
        <v>0</v>
      </c>
      <c r="O377">
        <v>-8.3387329999999992E-3</v>
      </c>
      <c r="P377">
        <v>0.99731369999999997</v>
      </c>
      <c r="Q377">
        <v>6.8202260000000001E-2</v>
      </c>
      <c r="R377">
        <v>2.6721120000000001E-2</v>
      </c>
      <c r="S377">
        <v>3.0019230000000001</v>
      </c>
      <c r="T377">
        <v>9.2405559999999998E-2</v>
      </c>
      <c r="U377">
        <v>-4.8522950000000004E-3</v>
      </c>
      <c r="V377">
        <v>-3.5062400000000001E-2</v>
      </c>
      <c r="W377">
        <v>8.1797969999999998E-2</v>
      </c>
      <c r="X377">
        <v>0.99603200000000003</v>
      </c>
      <c r="Y377">
        <v>-6.7160309999999999E-3</v>
      </c>
      <c r="Z377">
        <v>-3.5998660000000001E-4</v>
      </c>
      <c r="AA377">
        <v>0.99997740000000002</v>
      </c>
      <c r="AB377">
        <v>36</v>
      </c>
      <c r="AC377">
        <v>219.35910000000001</v>
      </c>
      <c r="AD377">
        <v>6.7623569999999997</v>
      </c>
      <c r="AE377">
        <v>-0.35240000000004501</v>
      </c>
      <c r="AF377">
        <v>-1.47555728919249</v>
      </c>
      <c r="AG377">
        <v>6.7623569999999997</v>
      </c>
      <c r="AH377">
        <v>219.146145156426</v>
      </c>
      <c r="AI377">
        <v>88.232582036771802</v>
      </c>
      <c r="AJ377">
        <v>90.385778757158704</v>
      </c>
      <c r="AK377">
        <v>219.255421092456</v>
      </c>
      <c r="AL377">
        <v>85.308079449922104</v>
      </c>
      <c r="AM377">
        <v>92.016098221765702</v>
      </c>
      <c r="AN377">
        <v>1.0000000124069399</v>
      </c>
    </row>
    <row r="378" spans="1:40" x14ac:dyDescent="0.25">
      <c r="A378" t="str">
        <f>"20190312160609352"</f>
        <v>20190312160609352</v>
      </c>
      <c r="B378" t="str">
        <f>"1552377969345474"</f>
        <v>1552377969345474</v>
      </c>
      <c r="C378" t="s">
        <v>40</v>
      </c>
      <c r="D378">
        <v>6.1052210000000002</v>
      </c>
      <c r="E378">
        <v>0.50913909999999996</v>
      </c>
      <c r="F378" t="s">
        <v>42</v>
      </c>
      <c r="G378">
        <v>-170.08879999999999</v>
      </c>
      <c r="H378">
        <v>7.8125390000000001</v>
      </c>
      <c r="I378">
        <v>368.32510000000002</v>
      </c>
      <c r="J378">
        <v>-389.25049999999999</v>
      </c>
      <c r="K378">
        <v>1.1093489999999999</v>
      </c>
      <c r="L378">
        <v>368.09160000000003</v>
      </c>
      <c r="M378">
        <v>0.99987170000000003</v>
      </c>
      <c r="N378">
        <v>0</v>
      </c>
      <c r="O378">
        <v>-8.2567219999999993E-3</v>
      </c>
      <c r="P378">
        <v>0.9973552</v>
      </c>
      <c r="Q378">
        <v>6.7550310000000002E-2</v>
      </c>
      <c r="R378">
        <v>2.682733E-2</v>
      </c>
      <c r="S378">
        <v>3.001709</v>
      </c>
      <c r="T378">
        <v>9.1729039999999998E-2</v>
      </c>
      <c r="U378">
        <v>3.1738280000000001E-3</v>
      </c>
      <c r="V378">
        <v>-3.5087340000000002E-2</v>
      </c>
      <c r="W378">
        <v>8.121863E-2</v>
      </c>
      <c r="X378">
        <v>0.99607849999999998</v>
      </c>
      <c r="Y378">
        <v>-9.3065979999999993E-3</v>
      </c>
      <c r="Z378">
        <v>-3.944463E-4</v>
      </c>
      <c r="AA378">
        <v>0.99995659999999997</v>
      </c>
      <c r="AB378">
        <v>36</v>
      </c>
      <c r="AC378">
        <v>219.1617</v>
      </c>
      <c r="AD378">
        <v>6.7031899999999904</v>
      </c>
      <c r="AE378">
        <v>0.23349999999999199</v>
      </c>
      <c r="AF378">
        <v>-2.0413101632823598</v>
      </c>
      <c r="AG378">
        <v>6.7031899999999904</v>
      </c>
      <c r="AH378">
        <v>218.94747944020901</v>
      </c>
      <c r="AI378">
        <v>88.246484072540895</v>
      </c>
      <c r="AJ378">
        <v>90.534169512657698</v>
      </c>
      <c r="AK378">
        <v>219.05957741349599</v>
      </c>
      <c r="AL378">
        <v>85.341383863776102</v>
      </c>
      <c r="AM378">
        <v>92.017436987625103</v>
      </c>
      <c r="AN378">
        <v>0.99999998272480095</v>
      </c>
    </row>
    <row r="379" spans="1:40" x14ac:dyDescent="0.25">
      <c r="A379" t="str">
        <f>"20190312160609364"</f>
        <v>20190312160609364</v>
      </c>
      <c r="B379" t="str">
        <f>"1552377969355235"</f>
        <v>1552377969355235</v>
      </c>
      <c r="C379" t="s">
        <v>40</v>
      </c>
      <c r="D379">
        <v>6.0542230000000004</v>
      </c>
      <c r="E379">
        <v>0.50900579999999995</v>
      </c>
      <c r="F379" t="s">
        <v>42</v>
      </c>
      <c r="G379">
        <v>-170.08879999999999</v>
      </c>
      <c r="H379">
        <v>7.6762050000000004</v>
      </c>
      <c r="I379">
        <v>368.47039999999998</v>
      </c>
      <c r="J379">
        <v>-389.06920000000002</v>
      </c>
      <c r="K379">
        <v>1.1094349999999999</v>
      </c>
      <c r="L379">
        <v>368.09010000000001</v>
      </c>
      <c r="M379">
        <v>0.99987159999999997</v>
      </c>
      <c r="N379">
        <v>0</v>
      </c>
      <c r="O379">
        <v>-8.1816700000000003E-3</v>
      </c>
      <c r="P379">
        <v>0.99740649999999997</v>
      </c>
      <c r="Q379">
        <v>6.6810610000000006E-2</v>
      </c>
      <c r="R379">
        <v>2.6773459999999999E-2</v>
      </c>
      <c r="S379">
        <v>3.001709</v>
      </c>
      <c r="T379">
        <v>8.9942930000000004E-2</v>
      </c>
      <c r="U379">
        <v>5.1879880000000001E-3</v>
      </c>
      <c r="V379">
        <v>-3.4958650000000001E-2</v>
      </c>
      <c r="W379">
        <v>8.0539940000000004E-2</v>
      </c>
      <c r="X379">
        <v>0.99613819999999997</v>
      </c>
      <c r="Y379">
        <v>-9.9026050000000001E-3</v>
      </c>
      <c r="Z379">
        <v>-3.9344830000000001E-4</v>
      </c>
      <c r="AA379">
        <v>0.99995089999999998</v>
      </c>
      <c r="AB379">
        <v>36</v>
      </c>
      <c r="AC379">
        <v>218.9804</v>
      </c>
      <c r="AD379">
        <v>6.56677</v>
      </c>
      <c r="AE379">
        <v>0.38029999999997699</v>
      </c>
      <c r="AF379">
        <v>-2.1701311852045002</v>
      </c>
      <c r="AG379">
        <v>6.56677</v>
      </c>
      <c r="AH379">
        <v>218.77322049046899</v>
      </c>
      <c r="AI379">
        <v>88.2807915158333</v>
      </c>
      <c r="AJ379">
        <v>90.568329522417997</v>
      </c>
      <c r="AK379">
        <v>218.88251173030099</v>
      </c>
      <c r="AL379">
        <v>85.380398068627997</v>
      </c>
      <c r="AM379">
        <v>92.009923339378602</v>
      </c>
      <c r="AN379">
        <v>1.0000000513221301</v>
      </c>
    </row>
    <row r="380" spans="1:40" x14ac:dyDescent="0.25">
      <c r="A380" t="str">
        <f>"20190312160609376"</f>
        <v>20190312160609376</v>
      </c>
      <c r="B380" t="str">
        <f>"1552377969365971"</f>
        <v>1552377969365971</v>
      </c>
      <c r="C380" t="s">
        <v>40</v>
      </c>
      <c r="D380">
        <v>6.1559439999999999</v>
      </c>
      <c r="E380">
        <v>0.50902460000000005</v>
      </c>
      <c r="F380" t="s">
        <v>42</v>
      </c>
      <c r="G380">
        <v>-170.08879999999999</v>
      </c>
      <c r="H380">
        <v>7.5276300000000003</v>
      </c>
      <c r="I380">
        <v>368.56659999999999</v>
      </c>
      <c r="J380">
        <v>-388.86540000000002</v>
      </c>
      <c r="K380">
        <v>1.1095280000000001</v>
      </c>
      <c r="L380">
        <v>368.08859999999999</v>
      </c>
      <c r="M380">
        <v>0.99987130000000002</v>
      </c>
      <c r="N380">
        <v>0</v>
      </c>
      <c r="O380">
        <v>-8.0973529999999998E-3</v>
      </c>
      <c r="P380">
        <v>0.99746109999999999</v>
      </c>
      <c r="Q380">
        <v>6.5970470000000003E-2</v>
      </c>
      <c r="R380">
        <v>2.681797E-2</v>
      </c>
      <c r="S380">
        <v>3.0017399999999999</v>
      </c>
      <c r="T380">
        <v>8.7980509999999998E-2</v>
      </c>
      <c r="U380">
        <v>6.5307619999999999E-3</v>
      </c>
      <c r="V380">
        <v>-3.4919029999999997E-2</v>
      </c>
      <c r="W380">
        <v>7.9766149999999994E-2</v>
      </c>
      <c r="X380">
        <v>0.99620180000000003</v>
      </c>
      <c r="Y380">
        <v>-1.026581E-2</v>
      </c>
      <c r="Z380">
        <v>-3.8771440000000002E-4</v>
      </c>
      <c r="AA380">
        <v>0.99994720000000004</v>
      </c>
      <c r="AB380">
        <v>35</v>
      </c>
      <c r="AC380">
        <v>218.7766</v>
      </c>
      <c r="AD380">
        <v>6.4181019999999904</v>
      </c>
      <c r="AE380">
        <v>0.47800000000000797</v>
      </c>
      <c r="AF380">
        <v>-2.2477311779366098</v>
      </c>
      <c r="AG380">
        <v>6.4181019999999904</v>
      </c>
      <c r="AH380">
        <v>218.57744407694599</v>
      </c>
      <c r="AI380">
        <v>88.318192878401604</v>
      </c>
      <c r="AJ380">
        <v>90.589177767828005</v>
      </c>
      <c r="AK380">
        <v>218.68320325974</v>
      </c>
      <c r="AL380">
        <v>85.424875846721903</v>
      </c>
      <c r="AM380">
        <v>92.007519211801394</v>
      </c>
      <c r="AN380">
        <v>1.0000000018326001</v>
      </c>
    </row>
    <row r="381" spans="1:40" x14ac:dyDescent="0.25">
      <c r="A381" t="str">
        <f>"20190312160609388"</f>
        <v>20190312160609388</v>
      </c>
      <c r="B381" t="str">
        <f>"1552377969375730"</f>
        <v>1552377969375730</v>
      </c>
      <c r="C381" t="s">
        <v>40</v>
      </c>
      <c r="D381">
        <v>6.0721579999999999</v>
      </c>
      <c r="E381">
        <v>0.50872209999999995</v>
      </c>
      <c r="F381" t="s">
        <v>42</v>
      </c>
      <c r="G381">
        <v>-170.08879999999999</v>
      </c>
      <c r="H381">
        <v>7.2465029999999997</v>
      </c>
      <c r="I381">
        <v>368.54899999999998</v>
      </c>
      <c r="J381">
        <v>-388.67430000000002</v>
      </c>
      <c r="K381">
        <v>1.1096079999999999</v>
      </c>
      <c r="L381">
        <v>368.08710000000002</v>
      </c>
      <c r="M381">
        <v>0.99987130000000002</v>
      </c>
      <c r="N381">
        <v>0</v>
      </c>
      <c r="O381">
        <v>-8.0181019999999992E-3</v>
      </c>
      <c r="P381">
        <v>0.99747640000000004</v>
      </c>
      <c r="Q381">
        <v>6.5766749999999999E-2</v>
      </c>
      <c r="R381">
        <v>2.6751110000000002E-2</v>
      </c>
      <c r="S381">
        <v>3.0018919999999998</v>
      </c>
      <c r="T381">
        <v>8.4208249999999998E-2</v>
      </c>
      <c r="U381">
        <v>6.3171390000000003E-3</v>
      </c>
      <c r="V381">
        <v>-3.4773140000000001E-2</v>
      </c>
      <c r="W381">
        <v>7.9618800000000003E-2</v>
      </c>
      <c r="X381">
        <v>0.99621870000000001</v>
      </c>
      <c r="Y381">
        <v>-1.011604E-2</v>
      </c>
      <c r="Z381">
        <v>-3.6675569999999999E-4</v>
      </c>
      <c r="AA381">
        <v>0.99994870000000002</v>
      </c>
      <c r="AB381">
        <v>35</v>
      </c>
      <c r="AC381">
        <v>218.5855</v>
      </c>
      <c r="AD381">
        <v>6.136895</v>
      </c>
      <c r="AE381">
        <v>0.46190000000001402</v>
      </c>
      <c r="AF381">
        <v>-2.21295090667466</v>
      </c>
      <c r="AG381">
        <v>6.136895</v>
      </c>
      <c r="AH381">
        <v>218.402616774249</v>
      </c>
      <c r="AI381">
        <v>88.390552012176798</v>
      </c>
      <c r="AJ381">
        <v>90.580526049770796</v>
      </c>
      <c r="AK381">
        <v>218.50002664941701</v>
      </c>
      <c r="AL381">
        <v>85.433345360805205</v>
      </c>
      <c r="AM381">
        <v>91.999104828387402</v>
      </c>
      <c r="AN381">
        <v>1.00000001140429</v>
      </c>
    </row>
    <row r="382" spans="1:40" x14ac:dyDescent="0.25">
      <c r="A382" t="str">
        <f>"20190312160609406"</f>
        <v>20190312160609406</v>
      </c>
      <c r="B382" t="str">
        <f>"1552377969395251"</f>
        <v>1552377969395251</v>
      </c>
      <c r="C382" t="s">
        <v>40</v>
      </c>
      <c r="D382">
        <v>6.1997019999999896</v>
      </c>
      <c r="E382">
        <v>0.5087332</v>
      </c>
      <c r="F382" t="s">
        <v>42</v>
      </c>
      <c r="G382">
        <v>-170.08879999999999</v>
      </c>
      <c r="H382">
        <v>7.2256770000000001</v>
      </c>
      <c r="I382">
        <v>368.69600000000003</v>
      </c>
      <c r="J382">
        <v>-388.39089999999999</v>
      </c>
      <c r="K382">
        <v>1.1097079999999999</v>
      </c>
      <c r="L382">
        <v>368.08499999999998</v>
      </c>
      <c r="M382">
        <v>0.99987110000000001</v>
      </c>
      <c r="N382">
        <v>0</v>
      </c>
      <c r="O382">
        <v>-7.9004899999999996E-3</v>
      </c>
      <c r="P382">
        <v>0.99751990000000001</v>
      </c>
      <c r="Q382">
        <v>6.5143530000000005E-2</v>
      </c>
      <c r="R382">
        <v>2.6665500000000002E-2</v>
      </c>
      <c r="S382">
        <v>3.0018310000000001</v>
      </c>
      <c r="T382">
        <v>8.3993079999999998E-2</v>
      </c>
      <c r="U382">
        <v>8.3618159999999993E-3</v>
      </c>
      <c r="V382">
        <v>-3.4570379999999998E-2</v>
      </c>
      <c r="W382">
        <v>7.9073119999999997E-2</v>
      </c>
      <c r="X382">
        <v>0.99626919999999997</v>
      </c>
      <c r="Y382">
        <v>-1.067943E-2</v>
      </c>
      <c r="Z382">
        <v>-3.7041640000000001E-4</v>
      </c>
      <c r="AA382">
        <v>0.99994289999999997</v>
      </c>
      <c r="AB382">
        <v>35</v>
      </c>
      <c r="AC382">
        <v>218.3021</v>
      </c>
      <c r="AD382">
        <v>6.1159689999999998</v>
      </c>
      <c r="AE382">
        <v>0.61099999999999</v>
      </c>
      <c r="AF382">
        <v>-2.3340110304348598</v>
      </c>
      <c r="AG382">
        <v>6.1159689999999998</v>
      </c>
      <c r="AH382">
        <v>218.11925730971501</v>
      </c>
      <c r="AI382">
        <v>88.393964021507003</v>
      </c>
      <c r="AJ382">
        <v>90.613076897688202</v>
      </c>
      <c r="AK382">
        <v>218.21746743476001</v>
      </c>
      <c r="AL382">
        <v>85.464709329982597</v>
      </c>
      <c r="AM382">
        <v>91.987356887345101</v>
      </c>
      <c r="AN382">
        <v>0.999999994174259</v>
      </c>
    </row>
    <row r="383" spans="1:40" x14ac:dyDescent="0.25">
      <c r="A383" t="str">
        <f>"20190312160609419"</f>
        <v>20190312160609419</v>
      </c>
      <c r="B383" t="str">
        <f>"1552377969415746"</f>
        <v>1552377969415746</v>
      </c>
      <c r="C383" t="s">
        <v>40</v>
      </c>
      <c r="D383">
        <v>6.0976319999999999</v>
      </c>
      <c r="E383">
        <v>0.50858149999999902</v>
      </c>
      <c r="F383" t="s">
        <v>42</v>
      </c>
      <c r="G383">
        <v>-170.08879999999999</v>
      </c>
      <c r="H383">
        <v>7.216208</v>
      </c>
      <c r="I383">
        <v>368.6687</v>
      </c>
      <c r="J383">
        <v>-388.19900000000001</v>
      </c>
      <c r="K383">
        <v>1.109764</v>
      </c>
      <c r="L383">
        <v>368.08350000000002</v>
      </c>
      <c r="M383">
        <v>0.99987099999999995</v>
      </c>
      <c r="N383">
        <v>0</v>
      </c>
      <c r="O383">
        <v>-7.8208329999999993E-3</v>
      </c>
      <c r="P383">
        <v>0.9975368</v>
      </c>
      <c r="Q383">
        <v>6.4852460000000001E-2</v>
      </c>
      <c r="R383">
        <v>2.6733880000000002E-2</v>
      </c>
      <c r="S383">
        <v>3.001709</v>
      </c>
      <c r="T383">
        <v>8.3967089999999994E-2</v>
      </c>
      <c r="U383">
        <v>8.0261229999999996E-3</v>
      </c>
      <c r="V383">
        <v>-3.4559640000000003E-2</v>
      </c>
      <c r="W383">
        <v>7.8830209999999998E-2</v>
      </c>
      <c r="X383">
        <v>0.99628879999999997</v>
      </c>
      <c r="Y383">
        <v>-1.048817E-2</v>
      </c>
      <c r="Z383">
        <v>-3.654145E-4</v>
      </c>
      <c r="AA383">
        <v>0.99994490000000003</v>
      </c>
      <c r="AB383">
        <v>35</v>
      </c>
      <c r="AC383">
        <v>218.11019999999999</v>
      </c>
      <c r="AD383">
        <v>6.1064439999999998</v>
      </c>
      <c r="AE383">
        <v>0.58519999999998595</v>
      </c>
      <c r="AF383">
        <v>-2.2893589727235302</v>
      </c>
      <c r="AG383">
        <v>6.1064439999999998</v>
      </c>
      <c r="AH383">
        <v>217.92813245251401</v>
      </c>
      <c r="AI383">
        <v>88.3950550477267</v>
      </c>
      <c r="AJ383">
        <v>90.601876318390097</v>
      </c>
      <c r="AK383">
        <v>218.02568825042499</v>
      </c>
      <c r="AL383">
        <v>85.478670527784601</v>
      </c>
      <c r="AM383">
        <v>91.986700915056105</v>
      </c>
      <c r="AN383">
        <v>0.99999997186550604</v>
      </c>
    </row>
    <row r="384" spans="1:40" x14ac:dyDescent="0.25">
      <c r="A384" t="str">
        <f>"20190312160609431"</f>
        <v>20190312160609431</v>
      </c>
      <c r="B384" t="str">
        <f>"1552377969425507"</f>
        <v>1552377969425507</v>
      </c>
      <c r="C384" t="s">
        <v>40</v>
      </c>
      <c r="D384">
        <v>6.1991059999999996</v>
      </c>
      <c r="E384">
        <v>0.50870079999999995</v>
      </c>
      <c r="F384" t="s">
        <v>42</v>
      </c>
      <c r="G384">
        <v>-170.08879999999999</v>
      </c>
      <c r="H384">
        <v>7.2798949999999998</v>
      </c>
      <c r="I384">
        <v>368.78429999999997</v>
      </c>
      <c r="J384">
        <v>-387.995</v>
      </c>
      <c r="K384">
        <v>1.1098190000000001</v>
      </c>
      <c r="L384">
        <v>368.08199999999999</v>
      </c>
      <c r="M384">
        <v>0.99987110000000001</v>
      </c>
      <c r="N384">
        <v>0</v>
      </c>
      <c r="O384">
        <v>-7.7362849999999999E-3</v>
      </c>
      <c r="P384">
        <v>0.99758429999999998</v>
      </c>
      <c r="Q384">
        <v>6.419938E-2</v>
      </c>
      <c r="R384">
        <v>2.6540680000000001E-2</v>
      </c>
      <c r="S384">
        <v>3.001617</v>
      </c>
      <c r="T384">
        <v>8.4914089999999998E-2</v>
      </c>
      <c r="U384">
        <v>9.6435549999999998E-3</v>
      </c>
      <c r="V384">
        <v>-3.4282399999999998E-2</v>
      </c>
      <c r="W384">
        <v>7.822556E-2</v>
      </c>
      <c r="X384">
        <v>0.99634610000000001</v>
      </c>
      <c r="Y384">
        <v>-1.0942210000000001E-2</v>
      </c>
      <c r="Z384">
        <v>-3.735748E-4</v>
      </c>
      <c r="AA384">
        <v>0.99994000000000005</v>
      </c>
      <c r="AB384">
        <v>35</v>
      </c>
      <c r="AC384">
        <v>217.90620000000001</v>
      </c>
      <c r="AD384">
        <v>6.1700759999999999</v>
      </c>
      <c r="AE384">
        <v>0.70229999999997905</v>
      </c>
      <c r="AF384">
        <v>-2.3863170842680801</v>
      </c>
      <c r="AG384">
        <v>6.1700759999999999</v>
      </c>
      <c r="AH384">
        <v>217.71968792040599</v>
      </c>
      <c r="AI384">
        <v>88.376795838830105</v>
      </c>
      <c r="AJ384">
        <v>90.627965362846197</v>
      </c>
      <c r="AK384">
        <v>217.82017090993099</v>
      </c>
      <c r="AL384">
        <v>85.513422025710597</v>
      </c>
      <c r="AM384">
        <v>91.970662820875702</v>
      </c>
      <c r="AN384">
        <v>1.0000000360861401</v>
      </c>
    </row>
    <row r="385" spans="1:40" x14ac:dyDescent="0.25">
      <c r="A385" t="str">
        <f>"20190312160609444"</f>
        <v>20190312160609444</v>
      </c>
      <c r="B385" t="str">
        <f>"1552377969435269"</f>
        <v>1552377969435269</v>
      </c>
      <c r="C385" t="s">
        <v>40</v>
      </c>
      <c r="D385">
        <v>6.0979799999999997</v>
      </c>
      <c r="E385">
        <v>0.50856229999999902</v>
      </c>
      <c r="F385" t="s">
        <v>42</v>
      </c>
      <c r="G385">
        <v>-170.08879999999999</v>
      </c>
      <c r="H385">
        <v>7.1933600000000002</v>
      </c>
      <c r="I385">
        <v>368.66239999999999</v>
      </c>
      <c r="J385">
        <v>-387.79599999999999</v>
      </c>
      <c r="K385">
        <v>1.1098650000000001</v>
      </c>
      <c r="L385">
        <v>368.08049999999997</v>
      </c>
      <c r="M385">
        <v>0.99987110000000001</v>
      </c>
      <c r="N385">
        <v>0</v>
      </c>
      <c r="O385">
        <v>-7.6537289999999997E-3</v>
      </c>
      <c r="P385">
        <v>0.99761180000000005</v>
      </c>
      <c r="Q385">
        <v>6.3801499999999997E-2</v>
      </c>
      <c r="R385">
        <v>2.6464410000000001E-2</v>
      </c>
      <c r="S385">
        <v>3.0015869999999998</v>
      </c>
      <c r="T385">
        <v>8.3799960000000007E-2</v>
      </c>
      <c r="U385">
        <v>7.9956049999999994E-3</v>
      </c>
      <c r="V385">
        <v>-3.4123729999999998E-2</v>
      </c>
      <c r="W385">
        <v>7.7870449999999994E-2</v>
      </c>
      <c r="X385">
        <v>0.99637929999999997</v>
      </c>
      <c r="Y385">
        <v>-1.031117E-2</v>
      </c>
      <c r="Z385">
        <v>-3.5756749999999999E-4</v>
      </c>
      <c r="AA385">
        <v>0.99994680000000002</v>
      </c>
      <c r="AB385">
        <v>35</v>
      </c>
      <c r="AC385">
        <v>217.7072</v>
      </c>
      <c r="AD385">
        <v>6.0834950000000001</v>
      </c>
      <c r="AE385">
        <v>0.58190000000001796</v>
      </c>
      <c r="AF385">
        <v>-2.2465666602189001</v>
      </c>
      <c r="AG385">
        <v>6.0834950000000001</v>
      </c>
      <c r="AH385">
        <v>217.52651621796099</v>
      </c>
      <c r="AI385">
        <v>88.398130074516899</v>
      </c>
      <c r="AJ385">
        <v>90.591717341136302</v>
      </c>
      <c r="AK385">
        <v>217.62316336065101</v>
      </c>
      <c r="AL385">
        <v>85.533830299902306</v>
      </c>
      <c r="AM385">
        <v>91.961483790694004</v>
      </c>
      <c r="AN385">
        <v>0.99999997270040197</v>
      </c>
    </row>
    <row r="386" spans="1:40" x14ac:dyDescent="0.25">
      <c r="A386" t="str">
        <f>"20190312160609457"</f>
        <v>20190312160609457</v>
      </c>
      <c r="B386" t="str">
        <f>"1552377969445028"</f>
        <v>1552377969445028</v>
      </c>
      <c r="C386" t="s">
        <v>40</v>
      </c>
      <c r="D386">
        <v>6.1489549999999999</v>
      </c>
      <c r="E386">
        <v>0.50856259999999998</v>
      </c>
      <c r="F386" t="s">
        <v>42</v>
      </c>
      <c r="G386">
        <v>-170.08879999999999</v>
      </c>
      <c r="H386">
        <v>7.1460259999999902</v>
      </c>
      <c r="I386">
        <v>368.72680000000003</v>
      </c>
      <c r="J386">
        <v>-387.5804</v>
      </c>
      <c r="K386">
        <v>1.1099110000000001</v>
      </c>
      <c r="L386">
        <v>368.07889999999998</v>
      </c>
      <c r="M386">
        <v>0.99987110000000001</v>
      </c>
      <c r="N386">
        <v>0</v>
      </c>
      <c r="O386">
        <v>-7.5643860000000002E-3</v>
      </c>
      <c r="P386">
        <v>0.99764319999999895</v>
      </c>
      <c r="Q386">
        <v>6.3326279999999999E-2</v>
      </c>
      <c r="R386">
        <v>2.6423869999999999E-2</v>
      </c>
      <c r="S386">
        <v>3.001617</v>
      </c>
      <c r="T386">
        <v>8.3224179999999995E-2</v>
      </c>
      <c r="U386">
        <v>8.9111329999999999E-3</v>
      </c>
      <c r="V386">
        <v>-3.3994219999999999E-2</v>
      </c>
      <c r="W386">
        <v>7.7439259999999996E-2</v>
      </c>
      <c r="X386">
        <v>0.99641729999999995</v>
      </c>
      <c r="Y386">
        <v>-1.0526840000000001E-2</v>
      </c>
      <c r="Z386">
        <v>-3.5562050000000002E-4</v>
      </c>
      <c r="AA386">
        <v>0.99994450000000001</v>
      </c>
      <c r="AB386">
        <v>35</v>
      </c>
      <c r="AC386">
        <v>217.49160000000001</v>
      </c>
      <c r="AD386">
        <v>6.0361149999999899</v>
      </c>
      <c r="AE386">
        <v>0.64790000000004899</v>
      </c>
      <c r="AF386">
        <v>-2.29147189736101</v>
      </c>
      <c r="AG386">
        <v>6.0361149999999899</v>
      </c>
      <c r="AH386">
        <v>217.313091499162</v>
      </c>
      <c r="AI386">
        <v>88.409042909001002</v>
      </c>
      <c r="AJ386">
        <v>90.604136649100099</v>
      </c>
      <c r="AK386">
        <v>217.40898156394701</v>
      </c>
      <c r="AL386">
        <v>85.558610354949295</v>
      </c>
      <c r="AM386">
        <v>91.953970678541197</v>
      </c>
      <c r="AN386">
        <v>0.99999994086102095</v>
      </c>
    </row>
    <row r="387" spans="1:40" x14ac:dyDescent="0.25">
      <c r="A387" t="str">
        <f>"20190312160609475"</f>
        <v>20190312160609475</v>
      </c>
      <c r="B387" t="str">
        <f>"1552377969465526"</f>
        <v>1552377969465526</v>
      </c>
      <c r="C387" t="s">
        <v>40</v>
      </c>
      <c r="D387">
        <v>6.3072080000000001</v>
      </c>
      <c r="E387">
        <v>0.5087062</v>
      </c>
      <c r="F387" t="s">
        <v>42</v>
      </c>
      <c r="G387">
        <v>-170.08879999999999</v>
      </c>
      <c r="H387">
        <v>7.0557489999999996</v>
      </c>
      <c r="I387">
        <v>368.71359999999999</v>
      </c>
      <c r="J387">
        <v>-387.30520000000001</v>
      </c>
      <c r="K387">
        <v>1.109961</v>
      </c>
      <c r="L387">
        <v>368.077</v>
      </c>
      <c r="M387">
        <v>0.99987119999999996</v>
      </c>
      <c r="N387">
        <v>0</v>
      </c>
      <c r="O387">
        <v>-7.4502959999999899E-3</v>
      </c>
      <c r="P387">
        <v>0.99768610000000002</v>
      </c>
      <c r="Q387">
        <v>6.2500050000000001E-2</v>
      </c>
      <c r="R387">
        <v>2.6759439999999999E-2</v>
      </c>
      <c r="S387">
        <v>3.0016479999999999</v>
      </c>
      <c r="T387">
        <v>8.2060930000000004E-2</v>
      </c>
      <c r="U387">
        <v>8.7585449999999995E-3</v>
      </c>
      <c r="V387">
        <v>-3.4216259999999998E-2</v>
      </c>
      <c r="W387">
        <v>7.6663839999999997E-2</v>
      </c>
      <c r="X387">
        <v>0.99646970000000001</v>
      </c>
      <c r="Y387">
        <v>-1.036218E-2</v>
      </c>
      <c r="Z387">
        <v>-3.4527929999999998E-4</v>
      </c>
      <c r="AA387">
        <v>0.99994620000000001</v>
      </c>
      <c r="AB387">
        <v>35</v>
      </c>
      <c r="AC387">
        <v>217.21639999999999</v>
      </c>
      <c r="AD387">
        <v>5.9457879999999896</v>
      </c>
      <c r="AE387">
        <v>0.63659999999998695</v>
      </c>
      <c r="AF387">
        <v>-2.2533839819130201</v>
      </c>
      <c r="AG387">
        <v>5.9457879999999896</v>
      </c>
      <c r="AH387">
        <v>217.04300620816301</v>
      </c>
      <c r="AI387">
        <v>88.430886863534994</v>
      </c>
      <c r="AJ387">
        <v>90.594834892113795</v>
      </c>
      <c r="AK387">
        <v>217.13612476552001</v>
      </c>
      <c r="AL387">
        <v>85.603171298392795</v>
      </c>
      <c r="AM387">
        <v>91.9666200955444</v>
      </c>
      <c r="AN387">
        <v>0.99999997991501099</v>
      </c>
    </row>
    <row r="388" spans="1:40" x14ac:dyDescent="0.25">
      <c r="A388" t="str">
        <f>"20190312160609488"</f>
        <v>20190312160609488</v>
      </c>
      <c r="B388" t="str">
        <f>"1552377969475285"</f>
        <v>1552377969475285</v>
      </c>
      <c r="C388" t="s">
        <v>40</v>
      </c>
      <c r="D388">
        <v>6.241282</v>
      </c>
      <c r="E388">
        <v>0.5087062</v>
      </c>
      <c r="F388" t="s">
        <v>42</v>
      </c>
      <c r="G388">
        <v>-170.08879999999999</v>
      </c>
      <c r="H388">
        <v>7.0352819999999996</v>
      </c>
      <c r="I388">
        <v>368.70859999999999</v>
      </c>
      <c r="J388">
        <v>-387.09300000000002</v>
      </c>
      <c r="K388">
        <v>1.1099920000000001</v>
      </c>
      <c r="L388">
        <v>368.07549999999998</v>
      </c>
      <c r="M388">
        <v>0.99987139999999997</v>
      </c>
      <c r="N388">
        <v>0</v>
      </c>
      <c r="O388">
        <v>-7.3620880000000001E-3</v>
      </c>
      <c r="P388">
        <v>0.99769750000000001</v>
      </c>
      <c r="Q388">
        <v>6.2349099999999998E-2</v>
      </c>
      <c r="R388">
        <v>2.669113E-2</v>
      </c>
      <c r="S388">
        <v>3.0015559999999999</v>
      </c>
      <c r="T388">
        <v>8.1878900000000004E-2</v>
      </c>
      <c r="U388">
        <v>8.7280269999999993E-3</v>
      </c>
      <c r="V388">
        <v>-3.4059760000000001E-2</v>
      </c>
      <c r="W388">
        <v>7.6547359999999995E-2</v>
      </c>
      <c r="X388">
        <v>0.99648400000000004</v>
      </c>
      <c r="Y388">
        <v>-1.0263990000000001E-2</v>
      </c>
      <c r="Z388">
        <v>-3.4077929999999998E-4</v>
      </c>
      <c r="AA388">
        <v>0.99994720000000004</v>
      </c>
      <c r="AB388">
        <v>35</v>
      </c>
      <c r="AC388">
        <v>217.0042</v>
      </c>
      <c r="AD388">
        <v>5.9252900000000004</v>
      </c>
      <c r="AE388">
        <v>0.63310000000001299</v>
      </c>
      <c r="AF388">
        <v>-2.2291870440914101</v>
      </c>
      <c r="AG388">
        <v>5.9252900000000004</v>
      </c>
      <c r="AH388">
        <v>216.83199644965799</v>
      </c>
      <c r="AI388">
        <v>88.434771060947796</v>
      </c>
      <c r="AJ388">
        <v>90.589020587082601</v>
      </c>
      <c r="AK388">
        <v>216.924394711167</v>
      </c>
      <c r="AL388">
        <v>85.6098647095221</v>
      </c>
      <c r="AM388">
        <v>91.957604016416397</v>
      </c>
      <c r="AN388">
        <v>0.99999996391511203</v>
      </c>
    </row>
    <row r="389" spans="1:40" x14ac:dyDescent="0.25">
      <c r="A389" t="str">
        <f>"20190312160609510"</f>
        <v>20190312160609510</v>
      </c>
      <c r="B389" t="str">
        <f>"1552377969505539"</f>
        <v>1552377969505539</v>
      </c>
      <c r="C389" t="s">
        <v>40</v>
      </c>
      <c r="D389">
        <v>5.931629</v>
      </c>
      <c r="E389">
        <v>0.54125959999999995</v>
      </c>
      <c r="F389" t="s">
        <v>42</v>
      </c>
      <c r="G389">
        <v>-170.08879999999999</v>
      </c>
      <c r="H389">
        <v>6.9958780000000003</v>
      </c>
      <c r="I389">
        <v>368.69549999999998</v>
      </c>
      <c r="J389">
        <v>-386.76549999999997</v>
      </c>
      <c r="K389">
        <v>1.1100380000000001</v>
      </c>
      <c r="L389">
        <v>368.07319999999999</v>
      </c>
      <c r="M389">
        <v>0.99987159999999997</v>
      </c>
      <c r="N389">
        <v>0</v>
      </c>
      <c r="O389">
        <v>-7.2253500000000002E-3</v>
      </c>
      <c r="P389">
        <v>0.99771759999999998</v>
      </c>
      <c r="Q389">
        <v>6.1887200000000003E-2</v>
      </c>
      <c r="R389">
        <v>2.7012629999999999E-2</v>
      </c>
      <c r="S389">
        <v>3.001617</v>
      </c>
      <c r="T389">
        <v>8.1415180000000004E-2</v>
      </c>
      <c r="U389">
        <v>8.5754390000000007E-3</v>
      </c>
      <c r="V389">
        <v>-3.4244740000000003E-2</v>
      </c>
      <c r="W389">
        <v>7.6134670000000002E-2</v>
      </c>
      <c r="X389">
        <v>0.99650930000000004</v>
      </c>
      <c r="Y389">
        <v>-1.007655E-2</v>
      </c>
      <c r="Z389">
        <v>-3.3259320000000002E-4</v>
      </c>
      <c r="AA389">
        <v>0.99994919999999998</v>
      </c>
      <c r="AB389">
        <v>35</v>
      </c>
      <c r="AC389">
        <v>216.67670000000001</v>
      </c>
      <c r="AD389">
        <v>5.88584</v>
      </c>
      <c r="AE389">
        <v>0.62229999999999497</v>
      </c>
      <c r="AF389">
        <v>-2.1863956022145001</v>
      </c>
      <c r="AG389">
        <v>5.88584</v>
      </c>
      <c r="AH389">
        <v>216.50678890509801</v>
      </c>
      <c r="AI389">
        <v>88.442849897020494</v>
      </c>
      <c r="AJ389">
        <v>90.578582236914102</v>
      </c>
      <c r="AK389">
        <v>216.59781411692899</v>
      </c>
      <c r="AL389">
        <v>85.633579414113896</v>
      </c>
      <c r="AM389">
        <v>91.968177575880205</v>
      </c>
      <c r="AN389">
        <v>0.99999998759008302</v>
      </c>
    </row>
    <row r="390" spans="1:40" x14ac:dyDescent="0.25">
      <c r="A390" t="str">
        <f>"20190312160609531"</f>
        <v>20190312160609531</v>
      </c>
      <c r="B390" t="str">
        <f>"1552377969525059"</f>
        <v>1552377969525059</v>
      </c>
      <c r="C390" t="s">
        <v>40</v>
      </c>
      <c r="D390">
        <v>6.1962859999999997</v>
      </c>
      <c r="E390">
        <v>0.53808290000000003</v>
      </c>
      <c r="F390" t="s">
        <v>41</v>
      </c>
      <c r="G390">
        <v>0</v>
      </c>
      <c r="H390">
        <v>0</v>
      </c>
      <c r="I390">
        <v>0</v>
      </c>
      <c r="J390">
        <v>-386.42599999999999</v>
      </c>
      <c r="K390">
        <v>1.1100760000000001</v>
      </c>
      <c r="L390">
        <v>368.07089999999999</v>
      </c>
      <c r="M390">
        <v>0.99987210000000004</v>
      </c>
      <c r="N390">
        <v>0</v>
      </c>
      <c r="O390">
        <v>-7.0840520000000004E-3</v>
      </c>
      <c r="P390">
        <v>0.99774439999999998</v>
      </c>
      <c r="Q390">
        <v>6.1402190000000002E-2</v>
      </c>
      <c r="R390">
        <v>2.712726E-2</v>
      </c>
      <c r="S390">
        <v>3.0073850000000002</v>
      </c>
      <c r="T390">
        <v>0.1004734</v>
      </c>
      <c r="U390">
        <v>-0.24978639999999999</v>
      </c>
      <c r="V390">
        <v>-3.4218329999999998E-2</v>
      </c>
      <c r="W390">
        <v>7.5694880000000006E-2</v>
      </c>
      <c r="X390">
        <v>0.99654370000000003</v>
      </c>
      <c r="Y390">
        <v>7.5672100000000006E-2</v>
      </c>
      <c r="Z390">
        <v>1.0253339999999999E-3</v>
      </c>
      <c r="AA390">
        <v>0.99713220000000002</v>
      </c>
      <c r="AB390">
        <v>35</v>
      </c>
      <c r="AC390">
        <v>3.0073850000000002</v>
      </c>
      <c r="AD390">
        <v>0.1004734</v>
      </c>
      <c r="AE390">
        <v>-0.24978639999999999</v>
      </c>
      <c r="AF390">
        <v>0.22822048486920599</v>
      </c>
      <c r="AG390">
        <v>0.1004734</v>
      </c>
      <c r="AH390">
        <v>3.0057473125971601</v>
      </c>
      <c r="AI390">
        <v>88.090972260900898</v>
      </c>
      <c r="AJ390">
        <v>85.657975322367193</v>
      </c>
      <c r="AK390">
        <v>3.0160730098932498</v>
      </c>
      <c r="AL390">
        <v>85.658850405947902</v>
      </c>
      <c r="AM390">
        <v>91.966593049040696</v>
      </c>
      <c r="AN390">
        <v>0.999999977487946</v>
      </c>
    </row>
    <row r="391" spans="1:40" x14ac:dyDescent="0.25">
      <c r="A391" t="str">
        <f>"20190312160609554"</f>
        <v>20190312160609554</v>
      </c>
      <c r="B391" t="str">
        <f>"1552377969545555"</f>
        <v>1552377969545555</v>
      </c>
      <c r="C391" t="s">
        <v>40</v>
      </c>
      <c r="D391">
        <v>6.3514599999999897</v>
      </c>
      <c r="E391">
        <v>0.53729019999999905</v>
      </c>
      <c r="F391" t="s">
        <v>42</v>
      </c>
      <c r="G391">
        <v>-158.78319999999999</v>
      </c>
      <c r="H391">
        <v>10.9396</v>
      </c>
      <c r="I391">
        <v>351.14749999999998</v>
      </c>
      <c r="J391">
        <v>-386.06990000000002</v>
      </c>
      <c r="K391">
        <v>1.1101030000000001</v>
      </c>
      <c r="L391">
        <v>368.06849999999997</v>
      </c>
      <c r="M391">
        <v>0.99987250000000005</v>
      </c>
      <c r="N391">
        <v>0</v>
      </c>
      <c r="O391">
        <v>-6.9349839999999999E-3</v>
      </c>
      <c r="P391">
        <v>0.99775930000000002</v>
      </c>
      <c r="Q391">
        <v>6.1238550000000003E-2</v>
      </c>
      <c r="R391">
        <v>2.6952380000000001E-2</v>
      </c>
      <c r="S391">
        <v>3.004883</v>
      </c>
      <c r="T391">
        <v>0.1297507</v>
      </c>
      <c r="U391">
        <v>-0.2233887</v>
      </c>
      <c r="V391">
        <v>-3.3894559999999997E-2</v>
      </c>
      <c r="W391">
        <v>7.5572199999999895E-2</v>
      </c>
      <c r="X391">
        <v>0.99656409999999995</v>
      </c>
      <c r="Y391">
        <v>6.7163089999999995E-2</v>
      </c>
      <c r="Z391">
        <v>1.14847E-3</v>
      </c>
      <c r="AA391">
        <v>0.99774130000000005</v>
      </c>
      <c r="AB391">
        <v>35</v>
      </c>
      <c r="AC391">
        <v>227.2867</v>
      </c>
      <c r="AD391">
        <v>9.8294969999999999</v>
      </c>
      <c r="AE391">
        <v>-16.9209999999999</v>
      </c>
      <c r="AF391">
        <v>15.315713002133799</v>
      </c>
      <c r="AG391">
        <v>9.8294969999999999</v>
      </c>
      <c r="AH391">
        <v>226.97641496896901</v>
      </c>
      <c r="AI391">
        <v>87.525903214704002</v>
      </c>
      <c r="AJ391">
        <v>86.139698023217903</v>
      </c>
      <c r="AK391">
        <v>227.70481555777999</v>
      </c>
      <c r="AL391">
        <v>85.665899750085501</v>
      </c>
      <c r="AM391">
        <v>91.947959925286995</v>
      </c>
      <c r="AN391">
        <v>1.00000000200962</v>
      </c>
    </row>
    <row r="392" spans="1:40" x14ac:dyDescent="0.25">
      <c r="A392" t="str">
        <f>"20190312160609566"</f>
        <v>20190312160609566</v>
      </c>
      <c r="B392" t="str">
        <f>"1552377969555317"</f>
        <v>1552377969555317</v>
      </c>
      <c r="C392" t="s">
        <v>40</v>
      </c>
      <c r="D392">
        <v>6.540832</v>
      </c>
      <c r="E392">
        <v>0.53693840000000004</v>
      </c>
      <c r="F392" t="s">
        <v>42</v>
      </c>
      <c r="G392">
        <v>-158.78319999999999</v>
      </c>
      <c r="H392">
        <v>12.011799999999999</v>
      </c>
      <c r="I392">
        <v>351.6386</v>
      </c>
      <c r="J392">
        <v>-385.87849999999997</v>
      </c>
      <c r="K392">
        <v>1.1101209999999999</v>
      </c>
      <c r="L392">
        <v>368.06729999999999</v>
      </c>
      <c r="M392">
        <v>0.99987280000000001</v>
      </c>
      <c r="N392">
        <v>0</v>
      </c>
      <c r="O392">
        <v>-6.8552530000000004E-3</v>
      </c>
      <c r="P392">
        <v>0.99777130000000003</v>
      </c>
      <c r="Q392">
        <v>6.098166E-2</v>
      </c>
      <c r="R392">
        <v>2.7094110000000001E-2</v>
      </c>
      <c r="S392">
        <v>3.0037539999999998</v>
      </c>
      <c r="T392">
        <v>0.1440746</v>
      </c>
      <c r="U392">
        <v>-0.21713260000000001</v>
      </c>
      <c r="V392">
        <v>-3.3957429999999997E-2</v>
      </c>
      <c r="W392">
        <v>7.5334940000000003E-2</v>
      </c>
      <c r="X392">
        <v>0.99657989999999996</v>
      </c>
      <c r="Y392">
        <v>6.5192429999999996E-2</v>
      </c>
      <c r="Z392">
        <v>1.232335E-3</v>
      </c>
      <c r="AA392">
        <v>0.99787190000000003</v>
      </c>
      <c r="AB392">
        <v>35</v>
      </c>
      <c r="AC392">
        <v>227.09530000000001</v>
      </c>
      <c r="AD392">
        <v>10.901679</v>
      </c>
      <c r="AE392">
        <v>-16.4286999999999</v>
      </c>
      <c r="AF392">
        <v>14.8373425394142</v>
      </c>
      <c r="AG392">
        <v>10.901679</v>
      </c>
      <c r="AH392">
        <v>226.68293360442601</v>
      </c>
      <c r="AI392">
        <v>87.252511947273803</v>
      </c>
      <c r="AJ392">
        <v>86.255094431086405</v>
      </c>
      <c r="AK392">
        <v>227.42943021113101</v>
      </c>
      <c r="AL392">
        <v>85.679532508639497</v>
      </c>
      <c r="AM392">
        <v>91.951539429457696</v>
      </c>
      <c r="AN392">
        <v>0.99999997866050805</v>
      </c>
    </row>
    <row r="393" spans="1:40" x14ac:dyDescent="0.25">
      <c r="A393" t="str">
        <f>"20190312160609579"</f>
        <v>20190312160609579</v>
      </c>
      <c r="B393" t="str">
        <f>"1552377969575811"</f>
        <v>1552377969575811</v>
      </c>
      <c r="C393" t="s">
        <v>40</v>
      </c>
      <c r="D393">
        <v>6.4004450000000004</v>
      </c>
      <c r="E393">
        <v>0.53643750000000001</v>
      </c>
      <c r="F393" t="s">
        <v>42</v>
      </c>
      <c r="G393">
        <v>-158.78319999999999</v>
      </c>
      <c r="H393">
        <v>12.301600000000001</v>
      </c>
      <c r="I393">
        <v>351.88260000000002</v>
      </c>
      <c r="J393">
        <v>-385.67790000000002</v>
      </c>
      <c r="K393">
        <v>1.110142</v>
      </c>
      <c r="L393">
        <v>368.06599999999997</v>
      </c>
      <c r="M393">
        <v>0.99987309999999996</v>
      </c>
      <c r="N393">
        <v>0</v>
      </c>
      <c r="O393">
        <v>-6.7717059999999997E-3</v>
      </c>
      <c r="P393">
        <v>0.99776180000000003</v>
      </c>
      <c r="Q393">
        <v>6.1043439999999997E-2</v>
      </c>
      <c r="R393">
        <v>2.7301909999999999E-2</v>
      </c>
      <c r="S393">
        <v>3.0034480000000001</v>
      </c>
      <c r="T393">
        <v>0.148013899999999</v>
      </c>
      <c r="U393">
        <v>-0.2140503</v>
      </c>
      <c r="V393">
        <v>-3.408125E-2</v>
      </c>
      <c r="W393">
        <v>7.5415300000000005E-2</v>
      </c>
      <c r="X393">
        <v>0.99656960000000006</v>
      </c>
      <c r="Y393">
        <v>6.4261559999999995E-2</v>
      </c>
      <c r="Z393">
        <v>1.24738E-3</v>
      </c>
      <c r="AA393">
        <v>0.99793229999999999</v>
      </c>
      <c r="AB393">
        <v>35</v>
      </c>
      <c r="AC393">
        <v>226.8947</v>
      </c>
      <c r="AD393">
        <v>11.191458000000001</v>
      </c>
      <c r="AE393">
        <v>-16.183399999999899</v>
      </c>
      <c r="AF393">
        <v>14.611037603647601</v>
      </c>
      <c r="AG393">
        <v>11.191458000000001</v>
      </c>
      <c r="AH393">
        <v>226.45095283418601</v>
      </c>
      <c r="AI393">
        <v>87.176542320852207</v>
      </c>
      <c r="AJ393">
        <v>86.308286780654598</v>
      </c>
      <c r="AK393">
        <v>227.19763465214999</v>
      </c>
      <c r="AL393">
        <v>85.674915104640704</v>
      </c>
      <c r="AM393">
        <v>91.958670081755002</v>
      </c>
      <c r="AN393">
        <v>0.99999998335990603</v>
      </c>
    </row>
    <row r="394" spans="1:40" x14ac:dyDescent="0.25">
      <c r="A394" t="str">
        <f>"20190312160609597"</f>
        <v>20190312160609597</v>
      </c>
      <c r="B394" t="str">
        <f>"1552377969585571"</f>
        <v>1552377969585571</v>
      </c>
      <c r="C394" t="s">
        <v>40</v>
      </c>
      <c r="D394">
        <v>5.6753749999999998</v>
      </c>
      <c r="E394">
        <v>0.53597139999999999</v>
      </c>
      <c r="F394" t="s">
        <v>42</v>
      </c>
      <c r="G394">
        <v>-159.35079999999999</v>
      </c>
      <c r="H394">
        <v>12.67065</v>
      </c>
      <c r="I394">
        <v>352.29539999999997</v>
      </c>
      <c r="J394">
        <v>-385.39580000000001</v>
      </c>
      <c r="K394">
        <v>1.1101620000000001</v>
      </c>
      <c r="L394">
        <v>368.06420000000003</v>
      </c>
      <c r="M394">
        <v>0.99987360000000003</v>
      </c>
      <c r="N394">
        <v>0</v>
      </c>
      <c r="O394">
        <v>-6.6544580000000002E-3</v>
      </c>
      <c r="P394">
        <v>0.99773160000000005</v>
      </c>
      <c r="Q394">
        <v>6.1321550000000002E-2</v>
      </c>
      <c r="R394">
        <v>2.7780559999999999E-2</v>
      </c>
      <c r="S394">
        <v>3.0031129999999999</v>
      </c>
      <c r="T394">
        <v>0.15339639999999999</v>
      </c>
      <c r="U394">
        <v>-0.209259</v>
      </c>
      <c r="V394">
        <v>-3.4443029999999999E-2</v>
      </c>
      <c r="W394">
        <v>7.5716759999999994E-2</v>
      </c>
      <c r="X394">
        <v>0.99653429999999998</v>
      </c>
      <c r="Y394">
        <v>6.279875E-2</v>
      </c>
      <c r="Z394">
        <v>1.261585E-3</v>
      </c>
      <c r="AA394">
        <v>0.99802539999999995</v>
      </c>
      <c r="AB394">
        <v>35</v>
      </c>
      <c r="AC394">
        <v>226.04499999999999</v>
      </c>
      <c r="AD394">
        <v>11.560487999999999</v>
      </c>
      <c r="AE394">
        <v>-15.768800000000001</v>
      </c>
      <c r="AF394">
        <v>14.227055666126301</v>
      </c>
      <c r="AG394">
        <v>11.560487999999999</v>
      </c>
      <c r="AH394">
        <v>225.557837759639</v>
      </c>
      <c r="AI394">
        <v>87.071802672191197</v>
      </c>
      <c r="AJ394">
        <v>86.390851173592395</v>
      </c>
      <c r="AK394">
        <v>226.301551409902</v>
      </c>
      <c r="AL394">
        <v>85.657593179635398</v>
      </c>
      <c r="AM394">
        <v>91.979515405836295</v>
      </c>
      <c r="AN394">
        <v>0.99999998056848405</v>
      </c>
    </row>
    <row r="395" spans="1:40" x14ac:dyDescent="0.25">
      <c r="A395" t="str">
        <f>"20190312160609608"</f>
        <v>20190312160609608</v>
      </c>
      <c r="B395" t="str">
        <f>"1552377969605092"</f>
        <v>1552377969605092</v>
      </c>
      <c r="C395" t="s">
        <v>40</v>
      </c>
      <c r="D395">
        <v>6.3296700000000001</v>
      </c>
      <c r="E395">
        <v>0.53660669999999899</v>
      </c>
      <c r="F395" t="s">
        <v>43</v>
      </c>
      <c r="G395">
        <v>-249.6738</v>
      </c>
      <c r="H395">
        <v>8.0546380000000006</v>
      </c>
      <c r="I395">
        <v>358.84120000000001</v>
      </c>
      <c r="J395">
        <v>-385.20440000000002</v>
      </c>
      <c r="K395">
        <v>1.1101760000000001</v>
      </c>
      <c r="L395">
        <v>368.06299999999999</v>
      </c>
      <c r="M395">
        <v>0.99987389999999998</v>
      </c>
      <c r="N395">
        <v>0</v>
      </c>
      <c r="O395">
        <v>-6.5746959999999997E-3</v>
      </c>
      <c r="P395">
        <v>0.99771399999999999</v>
      </c>
      <c r="Q395">
        <v>6.1557929999999997E-2</v>
      </c>
      <c r="R395">
        <v>2.788651E-2</v>
      </c>
      <c r="S395">
        <v>3.0030519999999998</v>
      </c>
      <c r="T395">
        <v>0.15365889999999999</v>
      </c>
      <c r="U395">
        <v>-0.204071</v>
      </c>
      <c r="V395">
        <v>-3.446946E-2</v>
      </c>
      <c r="W395">
        <v>7.5967309999999996E-2</v>
      </c>
      <c r="X395">
        <v>0.99651429999999996</v>
      </c>
      <c r="Y395">
        <v>6.1165400000000002E-2</v>
      </c>
      <c r="Z395">
        <v>1.226202E-3</v>
      </c>
      <c r="AA395">
        <v>0.99812690000000004</v>
      </c>
      <c r="AB395">
        <v>35</v>
      </c>
      <c r="AC395">
        <v>135.53059999999999</v>
      </c>
      <c r="AD395">
        <v>6.9444619999999997</v>
      </c>
      <c r="AE395">
        <v>-9.2218000000000302</v>
      </c>
      <c r="AF395">
        <v>8.3087214947320298</v>
      </c>
      <c r="AG395">
        <v>6.9444619999999997</v>
      </c>
      <c r="AH395">
        <v>135.23489176394199</v>
      </c>
      <c r="AI395">
        <v>87.065902954461194</v>
      </c>
      <c r="AJ395">
        <v>86.484213341019299</v>
      </c>
      <c r="AK395">
        <v>135.667742502599</v>
      </c>
      <c r="AL395">
        <v>85.643196179627196</v>
      </c>
      <c r="AM395">
        <v>91.981072912804393</v>
      </c>
      <c r="AN395">
        <v>0.99999996298290805</v>
      </c>
    </row>
    <row r="396" spans="1:40" x14ac:dyDescent="0.25">
      <c r="A396" t="str">
        <f>"20190312160609622"</f>
        <v>20190312160609622</v>
      </c>
      <c r="B396" t="str">
        <f>"1552377969615828"</f>
        <v>1552377969615828</v>
      </c>
      <c r="C396" t="s">
        <v>40</v>
      </c>
      <c r="D396">
        <v>6.3784619999999999</v>
      </c>
      <c r="E396">
        <v>0.53732290000000005</v>
      </c>
      <c r="F396" t="s">
        <v>43</v>
      </c>
      <c r="G396">
        <v>-249.6568</v>
      </c>
      <c r="H396">
        <v>7.7190859999999999</v>
      </c>
      <c r="I396">
        <v>358.63630000000001</v>
      </c>
      <c r="J396">
        <v>-384.99900000000002</v>
      </c>
      <c r="K396">
        <v>1.110188</v>
      </c>
      <c r="L396">
        <v>368.06169999999997</v>
      </c>
      <c r="M396">
        <v>0.99987429999999999</v>
      </c>
      <c r="N396">
        <v>0</v>
      </c>
      <c r="O396">
        <v>-6.4892109999999999E-3</v>
      </c>
      <c r="P396">
        <v>0.99771279999999996</v>
      </c>
      <c r="Q396">
        <v>6.1564340000000002E-2</v>
      </c>
      <c r="R396">
        <v>2.791795E-2</v>
      </c>
      <c r="S396">
        <v>3.0036930000000002</v>
      </c>
      <c r="T396">
        <v>0.14645329999999901</v>
      </c>
      <c r="U396">
        <v>-0.20889279999999999</v>
      </c>
      <c r="V396">
        <v>-3.441524E-2</v>
      </c>
      <c r="W396">
        <v>7.5988239999999999E-2</v>
      </c>
      <c r="X396">
        <v>0.99651460000000003</v>
      </c>
      <c r="Y396">
        <v>6.2835450000000001E-2</v>
      </c>
      <c r="Z396">
        <v>1.2132600000000001E-3</v>
      </c>
      <c r="AA396">
        <v>0.9980232</v>
      </c>
      <c r="AB396">
        <v>35</v>
      </c>
      <c r="AC396">
        <v>135.34219999999999</v>
      </c>
      <c r="AD396">
        <v>6.6088979999999999</v>
      </c>
      <c r="AE396">
        <v>-9.4253999999999607</v>
      </c>
      <c r="AF396">
        <v>8.5266121880497501</v>
      </c>
      <c r="AG396">
        <v>6.6088979999999999</v>
      </c>
      <c r="AH396">
        <v>135.07998015732599</v>
      </c>
      <c r="AI396">
        <v>87.204545695232298</v>
      </c>
      <c r="AJ396">
        <v>86.388128120435894</v>
      </c>
      <c r="AK396">
        <v>135.51007965270799</v>
      </c>
      <c r="AL396">
        <v>85.641993597366195</v>
      </c>
      <c r="AM396">
        <v>91.9779585937966</v>
      </c>
      <c r="AN396">
        <v>0.999999984687857</v>
      </c>
    </row>
    <row r="397" spans="1:40" x14ac:dyDescent="0.25">
      <c r="A397" t="str">
        <f>"20190312160609634"</f>
        <v>20190312160609634</v>
      </c>
      <c r="B397" t="str">
        <f>"1552377969625588"</f>
        <v>1552377969625588</v>
      </c>
      <c r="C397" t="s">
        <v>40</v>
      </c>
      <c r="D397">
        <v>6.9384459999999999</v>
      </c>
      <c r="E397">
        <v>0.53754590000000002</v>
      </c>
      <c r="F397" t="s">
        <v>43</v>
      </c>
      <c r="G397">
        <v>-249.61449999999999</v>
      </c>
      <c r="H397">
        <v>7.3953550000000003</v>
      </c>
      <c r="I397">
        <v>358.3897</v>
      </c>
      <c r="J397">
        <v>-384.81509999999997</v>
      </c>
      <c r="K397">
        <v>1.110196</v>
      </c>
      <c r="L397">
        <v>368.06060000000002</v>
      </c>
      <c r="M397">
        <v>0.9998745</v>
      </c>
      <c r="N397">
        <v>0</v>
      </c>
      <c r="O397">
        <v>-6.4128889999999997E-3</v>
      </c>
      <c r="P397">
        <v>0.99769810000000003</v>
      </c>
      <c r="Q397">
        <v>6.1738840000000003E-2</v>
      </c>
      <c r="R397">
        <v>2.805181E-2</v>
      </c>
      <c r="S397">
        <v>3.0043030000000002</v>
      </c>
      <c r="T397">
        <v>0.1394755</v>
      </c>
      <c r="U397">
        <v>-0.21463009999999999</v>
      </c>
      <c r="V397">
        <v>-3.4473200000000002E-2</v>
      </c>
      <c r="W397">
        <v>7.6174629999999993E-2</v>
      </c>
      <c r="X397">
        <v>0.99649840000000001</v>
      </c>
      <c r="Y397">
        <v>6.4798010000000003E-2</v>
      </c>
      <c r="Z397">
        <v>1.204217E-3</v>
      </c>
      <c r="AA397">
        <v>0.9978977</v>
      </c>
      <c r="AB397">
        <v>35</v>
      </c>
      <c r="AC397">
        <v>135.20059999999901</v>
      </c>
      <c r="AD397">
        <v>6.2851589999999904</v>
      </c>
      <c r="AE397">
        <v>-9.6709000000000103</v>
      </c>
      <c r="AF397">
        <v>8.7846956823261007</v>
      </c>
      <c r="AG397">
        <v>6.2851589999999904</v>
      </c>
      <c r="AH397">
        <v>134.96964585000501</v>
      </c>
      <c r="AI397">
        <v>87.339443171155906</v>
      </c>
      <c r="AJ397">
        <v>86.276073430056996</v>
      </c>
      <c r="AK397">
        <v>135.40117947330501</v>
      </c>
      <c r="AL397">
        <v>85.631283341838099</v>
      </c>
      <c r="AM397">
        <v>91.9813192795405</v>
      </c>
      <c r="AN397">
        <v>1.0000000184882101</v>
      </c>
    </row>
    <row r="398" spans="1:40" x14ac:dyDescent="0.25">
      <c r="A398" t="str">
        <f>"20190312160609651"</f>
        <v>20190312160609651</v>
      </c>
      <c r="B398" t="str">
        <f>"1552377969645107"</f>
        <v>1552377969645107</v>
      </c>
      <c r="C398" t="s">
        <v>40</v>
      </c>
      <c r="D398">
        <v>6.328881</v>
      </c>
      <c r="E398">
        <v>0.53798310000000005</v>
      </c>
      <c r="F398" t="s">
        <v>43</v>
      </c>
      <c r="G398">
        <v>-249.64869999999999</v>
      </c>
      <c r="H398">
        <v>7.4134539999999998</v>
      </c>
      <c r="I398">
        <v>358.34249999999997</v>
      </c>
      <c r="J398">
        <v>-384.5256</v>
      </c>
      <c r="K398">
        <v>1.1102080000000001</v>
      </c>
      <c r="L398">
        <v>368.05889999999999</v>
      </c>
      <c r="M398">
        <v>0.99987510000000002</v>
      </c>
      <c r="N398">
        <v>0</v>
      </c>
      <c r="O398">
        <v>-6.2917869999999897E-3</v>
      </c>
      <c r="P398">
        <v>0.99770309999999995</v>
      </c>
      <c r="Q398">
        <v>6.162575E-2</v>
      </c>
      <c r="R398">
        <v>2.8127309999999999E-2</v>
      </c>
      <c r="S398">
        <v>3.0043329999999999</v>
      </c>
      <c r="T398">
        <v>0.1401039</v>
      </c>
      <c r="U398">
        <v>-0.21600340000000001</v>
      </c>
      <c r="V398">
        <v>-3.4427819999999998E-2</v>
      </c>
      <c r="W398">
        <v>7.6079049999999995E-2</v>
      </c>
      <c r="X398">
        <v>0.99650720000000004</v>
      </c>
      <c r="Y398">
        <v>6.5370650000000002E-2</v>
      </c>
      <c r="Z398">
        <v>1.22857E-3</v>
      </c>
      <c r="AA398">
        <v>0.99786030000000003</v>
      </c>
      <c r="AB398">
        <v>35</v>
      </c>
      <c r="AC398">
        <v>134.87690000000001</v>
      </c>
      <c r="AD398">
        <v>6.3032459999999997</v>
      </c>
      <c r="AE398">
        <v>-9.7164000000000197</v>
      </c>
      <c r="AF398">
        <v>8.8482768103103897</v>
      </c>
      <c r="AG398">
        <v>6.3032459999999997</v>
      </c>
      <c r="AH398">
        <v>134.64282745458499</v>
      </c>
      <c r="AI398">
        <v>87.325440330028101</v>
      </c>
      <c r="AJ398">
        <v>86.240119136021804</v>
      </c>
      <c r="AK398">
        <v>135.08039790292901</v>
      </c>
      <c r="AL398">
        <v>85.636775302611994</v>
      </c>
      <c r="AM398">
        <v>91.978695715605497</v>
      </c>
      <c r="AN398">
        <v>0.99999994814534598</v>
      </c>
    </row>
    <row r="399" spans="1:40" x14ac:dyDescent="0.25">
      <c r="A399" t="str">
        <f>"20190312160609664"</f>
        <v>20190312160609664</v>
      </c>
      <c r="B399" t="str">
        <f>"1552377969655842"</f>
        <v>1552377969655842</v>
      </c>
      <c r="C399" t="s">
        <v>40</v>
      </c>
      <c r="D399">
        <v>6.0156400000000003</v>
      </c>
      <c r="E399">
        <v>0.53830549999999999</v>
      </c>
      <c r="F399" t="s">
        <v>42</v>
      </c>
      <c r="G399">
        <v>-158.78319999999999</v>
      </c>
      <c r="H399">
        <v>11.179970000000001</v>
      </c>
      <c r="I399">
        <v>351.57690000000002</v>
      </c>
      <c r="J399">
        <v>-384.34089999999998</v>
      </c>
      <c r="K399">
        <v>1.110214</v>
      </c>
      <c r="L399">
        <v>368.05779999999999</v>
      </c>
      <c r="M399">
        <v>0.99987539999999997</v>
      </c>
      <c r="N399">
        <v>0</v>
      </c>
      <c r="O399">
        <v>-6.2146140000000002E-3</v>
      </c>
      <c r="P399">
        <v>0.99771310000000002</v>
      </c>
      <c r="Q399">
        <v>6.131934E-2</v>
      </c>
      <c r="R399">
        <v>2.8441310000000001E-2</v>
      </c>
      <c r="S399">
        <v>3.0048520000000001</v>
      </c>
      <c r="T399">
        <v>0.13403950000000001</v>
      </c>
      <c r="U399">
        <v>-0.2193909</v>
      </c>
      <c r="V399">
        <v>-3.4664769999999998E-2</v>
      </c>
      <c r="W399">
        <v>7.5782349999999998E-2</v>
      </c>
      <c r="X399">
        <v>0.99652169999999896</v>
      </c>
      <c r="Y399">
        <v>6.6558500000000007E-2</v>
      </c>
      <c r="Z399">
        <v>1.2050769999999999E-3</v>
      </c>
      <c r="AA399">
        <v>0.99778180000000005</v>
      </c>
      <c r="AB399">
        <v>35</v>
      </c>
      <c r="AC399">
        <v>225.55770000000001</v>
      </c>
      <c r="AD399">
        <v>10.0697559999999</v>
      </c>
      <c r="AE399">
        <v>-16.480899999999899</v>
      </c>
      <c r="AF399">
        <v>15.048845903897901</v>
      </c>
      <c r="AG399">
        <v>10.0697559999999</v>
      </c>
      <c r="AH399">
        <v>225.20930229730399</v>
      </c>
      <c r="AI399">
        <v>87.4455351098119</v>
      </c>
      <c r="AJ399">
        <v>86.177087512086899</v>
      </c>
      <c r="AK399">
        <v>225.93604756695399</v>
      </c>
      <c r="AL399">
        <v>85.653824643836003</v>
      </c>
      <c r="AM399">
        <v>91.9922742160837</v>
      </c>
      <c r="AN399">
        <v>1.0000000547107799</v>
      </c>
    </row>
    <row r="400" spans="1:40" x14ac:dyDescent="0.25">
      <c r="A400" t="str">
        <f>"20190312160609677"</f>
        <v>20190312160609677</v>
      </c>
      <c r="B400" t="str">
        <f>"1552377969665604"</f>
        <v>1552377969665604</v>
      </c>
      <c r="C400" t="s">
        <v>40</v>
      </c>
      <c r="D400">
        <v>6.3353669999999997</v>
      </c>
      <c r="E400">
        <v>0.53880519999999998</v>
      </c>
      <c r="F400" t="s">
        <v>42</v>
      </c>
      <c r="G400">
        <v>-158.78319999999999</v>
      </c>
      <c r="H400">
        <v>10.4534</v>
      </c>
      <c r="I400">
        <v>351.44869999999997</v>
      </c>
      <c r="J400">
        <v>-384.15289999999999</v>
      </c>
      <c r="K400">
        <v>1.1102190000000001</v>
      </c>
      <c r="L400">
        <v>368.05669999999998</v>
      </c>
      <c r="M400">
        <v>0.99987570000000003</v>
      </c>
      <c r="N400">
        <v>0</v>
      </c>
      <c r="O400">
        <v>-6.1360080000000001E-3</v>
      </c>
      <c r="P400">
        <v>0.99773140000000005</v>
      </c>
      <c r="Q400">
        <v>6.1034930000000001E-2</v>
      </c>
      <c r="R400">
        <v>2.8405260000000002E-2</v>
      </c>
      <c r="S400">
        <v>3.0055239999999999</v>
      </c>
      <c r="T400">
        <v>0.1244977</v>
      </c>
      <c r="U400">
        <v>-0.2213135</v>
      </c>
      <c r="V400">
        <v>-3.4550499999999998E-2</v>
      </c>
      <c r="W400">
        <v>7.5507050000000006E-2</v>
      </c>
      <c r="X400">
        <v>0.9965465</v>
      </c>
      <c r="Y400">
        <v>6.7263160000000002E-2</v>
      </c>
      <c r="Z400">
        <v>1.136911E-3</v>
      </c>
      <c r="AA400">
        <v>0.99773460000000003</v>
      </c>
      <c r="AB400">
        <v>35</v>
      </c>
      <c r="AC400">
        <v>225.36969999999999</v>
      </c>
      <c r="AD400">
        <v>9.3431809999999995</v>
      </c>
      <c r="AE400">
        <v>-16.608000000000001</v>
      </c>
      <c r="AF400">
        <v>15.1986903256698</v>
      </c>
      <c r="AG400">
        <v>9.3431809999999995</v>
      </c>
      <c r="AH400">
        <v>225.08261537283599</v>
      </c>
      <c r="AI400">
        <v>87.628410827321602</v>
      </c>
      <c r="AJ400">
        <v>86.136970059454796</v>
      </c>
      <c r="AK400">
        <v>225.78857137129501</v>
      </c>
      <c r="AL400">
        <v>85.669643210318497</v>
      </c>
      <c r="AM400">
        <v>91.985662712375799</v>
      </c>
      <c r="AN400">
        <v>0.999999989156101</v>
      </c>
    </row>
    <row r="401" spans="1:40" x14ac:dyDescent="0.25">
      <c r="A401" t="str">
        <f>"20190312160609697"</f>
        <v>20190312160609697</v>
      </c>
      <c r="B401" t="str">
        <f>"1552377969685123"</f>
        <v>1552377969685123</v>
      </c>
      <c r="C401" t="s">
        <v>40</v>
      </c>
      <c r="D401">
        <v>6.3396730000000003</v>
      </c>
      <c r="E401">
        <v>0.53990019999999905</v>
      </c>
      <c r="F401" t="s">
        <v>43</v>
      </c>
      <c r="G401">
        <v>-249.6908</v>
      </c>
      <c r="H401">
        <v>6.4921069999999999</v>
      </c>
      <c r="I401">
        <v>357.96140000000003</v>
      </c>
      <c r="J401">
        <v>-383.84089999999998</v>
      </c>
      <c r="K401">
        <v>1.1102289999999999</v>
      </c>
      <c r="L401">
        <v>368.05489999999998</v>
      </c>
      <c r="M401">
        <v>0.9998764</v>
      </c>
      <c r="N401">
        <v>0</v>
      </c>
      <c r="O401">
        <v>-6.0056980000000003E-3</v>
      </c>
      <c r="P401">
        <v>0.99775519999999995</v>
      </c>
      <c r="Q401">
        <v>6.0674369999999998E-2</v>
      </c>
      <c r="R401">
        <v>2.8344520000000002E-2</v>
      </c>
      <c r="S401">
        <v>3.00589</v>
      </c>
      <c r="T401">
        <v>0.12031360000000001</v>
      </c>
      <c r="U401">
        <v>-0.2256775</v>
      </c>
      <c r="V401">
        <v>-3.4359420000000002E-2</v>
      </c>
      <c r="W401">
        <v>7.5160439999999995E-2</v>
      </c>
      <c r="X401">
        <v>0.99657929999999995</v>
      </c>
      <c r="Y401">
        <v>6.8826879999999993E-2</v>
      </c>
      <c r="Z401">
        <v>1.1349859999999999E-3</v>
      </c>
      <c r="AA401">
        <v>0.99762799999999996</v>
      </c>
      <c r="AB401">
        <v>35</v>
      </c>
      <c r="AC401">
        <v>134.15009999999899</v>
      </c>
      <c r="AD401">
        <v>5.3818780000000004</v>
      </c>
      <c r="AE401">
        <v>-10.093499999999899</v>
      </c>
      <c r="AF401">
        <v>9.2727276252882405</v>
      </c>
      <c r="AG401">
        <v>5.3818780000000004</v>
      </c>
      <c r="AH401">
        <v>133.99385860375099</v>
      </c>
      <c r="AI401">
        <v>87.705426966227293</v>
      </c>
      <c r="AJ401">
        <v>86.041292653586396</v>
      </c>
      <c r="AK401">
        <v>134.422104699866</v>
      </c>
      <c r="AL401">
        <v>85.689559060455807</v>
      </c>
      <c r="AM401">
        <v>91.974624870812605</v>
      </c>
      <c r="AN401">
        <v>0.99999998133610901</v>
      </c>
    </row>
    <row r="402" spans="1:40" x14ac:dyDescent="0.25">
      <c r="A402" t="str">
        <f>"20190312160609721"</f>
        <v>20190312160609721</v>
      </c>
      <c r="B402" t="str">
        <f>"1552377969715380"</f>
        <v>1552377969715380</v>
      </c>
      <c r="C402" t="s">
        <v>40</v>
      </c>
      <c r="D402">
        <v>6.0617239999999999</v>
      </c>
      <c r="E402">
        <v>0.54072989999999999</v>
      </c>
      <c r="F402" t="s">
        <v>41</v>
      </c>
      <c r="G402">
        <v>0</v>
      </c>
      <c r="H402">
        <v>0</v>
      </c>
      <c r="I402">
        <v>0</v>
      </c>
      <c r="J402">
        <v>-383.46429999999998</v>
      </c>
      <c r="K402">
        <v>1.1102379999999901</v>
      </c>
      <c r="L402">
        <v>368.05279999999999</v>
      </c>
      <c r="M402">
        <v>0.99987720000000002</v>
      </c>
      <c r="N402">
        <v>0</v>
      </c>
      <c r="O402">
        <v>-5.8485660000000004E-3</v>
      </c>
      <c r="P402">
        <v>0.99776629999999999</v>
      </c>
      <c r="Q402">
        <v>6.0600309999999998E-2</v>
      </c>
      <c r="R402">
        <v>2.8105950000000001E-2</v>
      </c>
      <c r="S402">
        <v>3.0064090000000001</v>
      </c>
      <c r="T402">
        <v>0.11574470000000001</v>
      </c>
      <c r="U402">
        <v>-0.234375</v>
      </c>
      <c r="V402">
        <v>-3.3963729999999998E-2</v>
      </c>
      <c r="W402">
        <v>7.5099579999999999E-2</v>
      </c>
      <c r="X402">
        <v>0.99659750000000003</v>
      </c>
      <c r="Y402">
        <v>7.1841230000000006E-2</v>
      </c>
      <c r="Z402">
        <v>1.155564E-3</v>
      </c>
      <c r="AA402">
        <v>0.99741539999999995</v>
      </c>
      <c r="AB402">
        <v>35</v>
      </c>
      <c r="AC402">
        <v>3.0064090000000001</v>
      </c>
      <c r="AD402">
        <v>0.11574470000000001</v>
      </c>
      <c r="AE402">
        <v>-0.234375</v>
      </c>
      <c r="AF402">
        <v>0.21646704176922599</v>
      </c>
      <c r="AG402">
        <v>0.11574470000000001</v>
      </c>
      <c r="AH402">
        <v>3.0033038738865998</v>
      </c>
      <c r="AI402">
        <v>87.798668007397097</v>
      </c>
      <c r="AJ402">
        <v>85.877460993374498</v>
      </c>
      <c r="AK402">
        <v>3.01331859826549</v>
      </c>
      <c r="AL402">
        <v>85.693056172366994</v>
      </c>
      <c r="AM402">
        <v>91.951866767432094</v>
      </c>
      <c r="AN402">
        <v>1.0000000294389599</v>
      </c>
    </row>
    <row r="403" spans="1:40" x14ac:dyDescent="0.25">
      <c r="A403" t="str">
        <f>"20190312160609743"</f>
        <v>20190312160609743</v>
      </c>
      <c r="B403" t="str">
        <f>"1552377969735875"</f>
        <v>1552377969735875</v>
      </c>
      <c r="C403" t="s">
        <v>40</v>
      </c>
      <c r="D403">
        <v>6.2331310000000002</v>
      </c>
      <c r="E403">
        <v>0.54093829999999998</v>
      </c>
      <c r="F403" t="s">
        <v>41</v>
      </c>
      <c r="G403">
        <v>0</v>
      </c>
      <c r="H403">
        <v>0</v>
      </c>
      <c r="I403">
        <v>0</v>
      </c>
      <c r="J403">
        <v>-383.11779999999999</v>
      </c>
      <c r="K403">
        <v>1.110244</v>
      </c>
      <c r="L403">
        <v>368.05090000000001</v>
      </c>
      <c r="M403">
        <v>0.99987780000000004</v>
      </c>
      <c r="N403">
        <v>0</v>
      </c>
      <c r="O403">
        <v>-5.7042830000000001E-3</v>
      </c>
      <c r="P403">
        <v>0.99774580000000002</v>
      </c>
      <c r="Q403">
        <v>6.074591E-2</v>
      </c>
      <c r="R403">
        <v>2.8522619999999999E-2</v>
      </c>
      <c r="S403">
        <v>3.0068359999999998</v>
      </c>
      <c r="T403">
        <v>0.1107515</v>
      </c>
      <c r="U403">
        <v>-0.24166869999999999</v>
      </c>
      <c r="V403">
        <v>-3.4237049999999998E-2</v>
      </c>
      <c r="W403">
        <v>7.5254580000000001E-2</v>
      </c>
      <c r="X403">
        <v>0.99657640000000003</v>
      </c>
      <c r="Y403">
        <v>7.4380639999999998E-2</v>
      </c>
      <c r="Z403">
        <v>1.157466E-3</v>
      </c>
      <c r="AA403">
        <v>0.99722929999999999</v>
      </c>
      <c r="AB403">
        <v>35</v>
      </c>
      <c r="AC403">
        <v>3.0068359999999998</v>
      </c>
      <c r="AD403">
        <v>0.1107515</v>
      </c>
      <c r="AE403">
        <v>-0.24166869999999999</v>
      </c>
      <c r="AF403">
        <v>0.224208877798487</v>
      </c>
      <c r="AG403">
        <v>0.1107515</v>
      </c>
      <c r="AH403">
        <v>3.0041162751452299</v>
      </c>
      <c r="AI403">
        <v>87.894507211642093</v>
      </c>
      <c r="AJ403">
        <v>85.731706575064194</v>
      </c>
      <c r="AK403">
        <v>3.0145066114089598</v>
      </c>
      <c r="AL403">
        <v>85.684149885689706</v>
      </c>
      <c r="AM403">
        <v>91.967603564816301</v>
      </c>
      <c r="AN403">
        <v>0.99999997422031905</v>
      </c>
    </row>
    <row r="404" spans="1:40" x14ac:dyDescent="0.25">
      <c r="A404" t="str">
        <f>"20190312160609765"</f>
        <v>20190312160609765</v>
      </c>
      <c r="B404" t="str">
        <f>"1552377969755398"</f>
        <v>1552377969755398</v>
      </c>
      <c r="C404" t="s">
        <v>40</v>
      </c>
      <c r="D404">
        <v>6.3419369999999997</v>
      </c>
      <c r="E404">
        <v>0.54188389999999997</v>
      </c>
      <c r="F404" t="s">
        <v>41</v>
      </c>
      <c r="G404">
        <v>0</v>
      </c>
      <c r="H404">
        <v>0</v>
      </c>
      <c r="I404">
        <v>0</v>
      </c>
      <c r="J404">
        <v>-382.77949999999998</v>
      </c>
      <c r="K404">
        <v>1.110252</v>
      </c>
      <c r="L404">
        <v>368.04910000000001</v>
      </c>
      <c r="M404">
        <v>0.99987839999999995</v>
      </c>
      <c r="N404">
        <v>0</v>
      </c>
      <c r="O404">
        <v>-5.5630890000000002E-3</v>
      </c>
      <c r="P404">
        <v>0.99774569999999996</v>
      </c>
      <c r="Q404">
        <v>6.05833E-2</v>
      </c>
      <c r="R404">
        <v>2.8869479999999999E-2</v>
      </c>
      <c r="S404">
        <v>3.0072019999999999</v>
      </c>
      <c r="T404">
        <v>0.1069634</v>
      </c>
      <c r="U404">
        <v>-0.24246219999999999</v>
      </c>
      <c r="V404">
        <v>-3.4442739999999999E-2</v>
      </c>
      <c r="W404">
        <v>7.5100040000000007E-2</v>
      </c>
      <c r="X404">
        <v>0.99658100000000005</v>
      </c>
      <c r="Y404">
        <v>7.4775960000000002E-2</v>
      </c>
      <c r="Z404">
        <v>1.1297830000000001E-3</v>
      </c>
      <c r="AA404">
        <v>0.99719970000000002</v>
      </c>
      <c r="AB404">
        <v>35</v>
      </c>
      <c r="AC404">
        <v>3.0072019999999999</v>
      </c>
      <c r="AD404">
        <v>0.1069634</v>
      </c>
      <c r="AE404">
        <v>-0.24246219999999999</v>
      </c>
      <c r="AF404">
        <v>0.22544395904786599</v>
      </c>
      <c r="AG404">
        <v>0.1069634</v>
      </c>
      <c r="AH404">
        <v>3.0047275321931601</v>
      </c>
      <c r="AI404">
        <v>87.966934293511599</v>
      </c>
      <c r="AJ404">
        <v>85.709151593797699</v>
      </c>
      <c r="AK404">
        <v>3.0150710920856101</v>
      </c>
      <c r="AL404">
        <v>85.693029631698593</v>
      </c>
      <c r="AM404">
        <v>91.979406066221799</v>
      </c>
      <c r="AN404">
        <v>1.0000000039538499</v>
      </c>
    </row>
    <row r="405" spans="1:40" x14ac:dyDescent="0.25">
      <c r="A405" t="str">
        <f>"20190312160609777"</f>
        <v>20190312160609777</v>
      </c>
      <c r="B405" t="str">
        <f>"1552377969765156"</f>
        <v>1552377969765156</v>
      </c>
      <c r="C405" t="s">
        <v>40</v>
      </c>
      <c r="D405">
        <v>6.3335220000000003</v>
      </c>
      <c r="E405">
        <v>0.54203159999999995</v>
      </c>
      <c r="F405" t="s">
        <v>41</v>
      </c>
      <c r="G405">
        <v>0</v>
      </c>
      <c r="H405">
        <v>0</v>
      </c>
      <c r="I405">
        <v>0</v>
      </c>
      <c r="J405">
        <v>-382.59190000000001</v>
      </c>
      <c r="K405">
        <v>1.110252</v>
      </c>
      <c r="L405">
        <v>368.04820000000001</v>
      </c>
      <c r="M405">
        <v>0.99987890000000001</v>
      </c>
      <c r="N405">
        <v>0</v>
      </c>
      <c r="O405">
        <v>-5.4848029999999999E-3</v>
      </c>
      <c r="P405">
        <v>0.99775309999999995</v>
      </c>
      <c r="Q405">
        <v>6.0539740000000002E-2</v>
      </c>
      <c r="R405">
        <v>2.870487E-2</v>
      </c>
      <c r="S405">
        <v>3.0081790000000002</v>
      </c>
      <c r="T405">
        <v>9.5962049999999993E-2</v>
      </c>
      <c r="U405">
        <v>-0.24899289999999999</v>
      </c>
      <c r="V405">
        <v>-3.4200019999999998E-2</v>
      </c>
      <c r="W405">
        <v>7.5061050000000004E-2</v>
      </c>
      <c r="X405">
        <v>0.99659229999999999</v>
      </c>
      <c r="Y405">
        <v>7.698584E-2</v>
      </c>
      <c r="Z405">
        <v>1.0509E-3</v>
      </c>
      <c r="AA405">
        <v>0.99703160000000002</v>
      </c>
      <c r="AB405">
        <v>35</v>
      </c>
      <c r="AC405">
        <v>3.0081790000000002</v>
      </c>
      <c r="AD405">
        <v>9.5962049999999993E-2</v>
      </c>
      <c r="AE405">
        <v>-0.24899289999999999</v>
      </c>
      <c r="AF405">
        <v>0.23225339395851</v>
      </c>
      <c r="AG405">
        <v>9.5962049999999993E-2</v>
      </c>
      <c r="AH405">
        <v>3.00646090538948</v>
      </c>
      <c r="AI405">
        <v>88.177246227824199</v>
      </c>
      <c r="AJ405">
        <v>85.582592729567807</v>
      </c>
      <c r="AK405">
        <v>3.0169450657379899</v>
      </c>
      <c r="AL405">
        <v>85.695269932726006</v>
      </c>
      <c r="AM405">
        <v>91.965445787080498</v>
      </c>
      <c r="AN405">
        <v>1.00000000750719</v>
      </c>
    </row>
    <row r="406" spans="1:40" x14ac:dyDescent="0.25">
      <c r="A406" t="str">
        <f>"20190312160609790"</f>
        <v>20190312160609790</v>
      </c>
      <c r="B406" t="str">
        <f>"1552377969785652"</f>
        <v>1552377969785652</v>
      </c>
      <c r="C406" t="s">
        <v>40</v>
      </c>
      <c r="D406">
        <v>6.168107</v>
      </c>
      <c r="E406">
        <v>0.54198900000000005</v>
      </c>
      <c r="F406" t="s">
        <v>41</v>
      </c>
      <c r="G406">
        <v>0</v>
      </c>
      <c r="H406">
        <v>0</v>
      </c>
      <c r="I406">
        <v>0</v>
      </c>
      <c r="J406">
        <v>-382.39249999999998</v>
      </c>
      <c r="K406">
        <v>1.110257</v>
      </c>
      <c r="L406">
        <v>368.0471</v>
      </c>
      <c r="M406">
        <v>0.99987910000000002</v>
      </c>
      <c r="N406">
        <v>0</v>
      </c>
      <c r="O406">
        <v>-5.4013899999999998E-3</v>
      </c>
      <c r="P406">
        <v>0.997776</v>
      </c>
      <c r="Q406">
        <v>6.0124869999999997E-2</v>
      </c>
      <c r="R406">
        <v>2.877621E-2</v>
      </c>
      <c r="S406">
        <v>3.0083009999999999</v>
      </c>
      <c r="T406">
        <v>9.3612070000000006E-2</v>
      </c>
      <c r="U406">
        <v>-0.2506409</v>
      </c>
      <c r="V406">
        <v>-3.4188240000000002E-2</v>
      </c>
      <c r="W406">
        <v>7.4649750000000001E-2</v>
      </c>
      <c r="X406">
        <v>0.99662360000000005</v>
      </c>
      <c r="Y406">
        <v>7.7609520000000001E-2</v>
      </c>
      <c r="Z406">
        <v>1.037388E-3</v>
      </c>
      <c r="AA406">
        <v>0.99698330000000002</v>
      </c>
      <c r="AB406">
        <v>35</v>
      </c>
      <c r="AC406">
        <v>3.0083009999999999</v>
      </c>
      <c r="AD406">
        <v>9.3612070000000006E-2</v>
      </c>
      <c r="AE406">
        <v>-0.2506409</v>
      </c>
      <c r="AF406">
        <v>0.23416132727082001</v>
      </c>
      <c r="AG406">
        <v>9.3612070000000006E-2</v>
      </c>
      <c r="AH406">
        <v>3.0067196493731401</v>
      </c>
      <c r="AI406">
        <v>88.222092912850201</v>
      </c>
      <c r="AJ406">
        <v>85.546831375166406</v>
      </c>
      <c r="AK406">
        <v>3.0172765529141499</v>
      </c>
      <c r="AL406">
        <v>85.718902001805901</v>
      </c>
      <c r="AM406">
        <v>91.964707674019394</v>
      </c>
      <c r="AN406">
        <v>1.0000000105031599</v>
      </c>
    </row>
    <row r="407" spans="1:40" x14ac:dyDescent="0.25">
      <c r="A407" t="str">
        <f>"20190312160609808"</f>
        <v>20190312160609808</v>
      </c>
      <c r="B407" t="str">
        <f>"1552377969805014"</f>
        <v>1552377969805014</v>
      </c>
      <c r="C407" t="s">
        <v>40</v>
      </c>
      <c r="D407">
        <v>6.3958690000000002</v>
      </c>
      <c r="E407">
        <v>0.5419098</v>
      </c>
      <c r="F407" t="s">
        <v>41</v>
      </c>
      <c r="G407">
        <v>0</v>
      </c>
      <c r="H407">
        <v>0</v>
      </c>
      <c r="I407">
        <v>0</v>
      </c>
      <c r="J407">
        <v>-382.10359999999997</v>
      </c>
      <c r="K407">
        <v>1.110255</v>
      </c>
      <c r="L407">
        <v>368.04570000000001</v>
      </c>
      <c r="M407">
        <v>0.99987979999999999</v>
      </c>
      <c r="N407">
        <v>0</v>
      </c>
      <c r="O407">
        <v>-5.280674E-3</v>
      </c>
      <c r="P407">
        <v>0.99779329999999999</v>
      </c>
      <c r="Q407">
        <v>5.9949919999999997E-2</v>
      </c>
      <c r="R407">
        <v>2.8543900000000001E-2</v>
      </c>
      <c r="S407">
        <v>3.0080870000000002</v>
      </c>
      <c r="T407">
        <v>9.6961259999999994E-2</v>
      </c>
      <c r="U407">
        <v>-0.25018309999999999</v>
      </c>
      <c r="V407">
        <v>-3.3835570000000002E-2</v>
      </c>
      <c r="W407">
        <v>7.4479999999999894E-2</v>
      </c>
      <c r="X407">
        <v>0.99664830000000004</v>
      </c>
      <c r="Y407">
        <v>7.7582490000000004E-2</v>
      </c>
      <c r="Z407">
        <v>1.078016E-3</v>
      </c>
      <c r="AA407">
        <v>0.99698540000000002</v>
      </c>
      <c r="AB407">
        <v>35</v>
      </c>
      <c r="AC407">
        <v>3.0080870000000002</v>
      </c>
      <c r="AD407">
        <v>9.6961259999999994E-2</v>
      </c>
      <c r="AE407">
        <v>-0.25018309999999999</v>
      </c>
      <c r="AF407">
        <v>0.234051686948794</v>
      </c>
      <c r="AG407">
        <v>9.6961259999999994E-2</v>
      </c>
      <c r="AH407">
        <v>3.0062642735110701</v>
      </c>
      <c r="AI407">
        <v>88.158244920908999</v>
      </c>
      <c r="AJ407">
        <v>85.5482365595538</v>
      </c>
      <c r="AK407">
        <v>3.0169200453928902</v>
      </c>
      <c r="AL407">
        <v>85.728654959601698</v>
      </c>
      <c r="AM407">
        <v>91.944408148687501</v>
      </c>
      <c r="AN407">
        <v>0.999999975045057</v>
      </c>
    </row>
    <row r="408" spans="1:40" x14ac:dyDescent="0.25">
      <c r="A408" t="str">
        <f>"20190312160609822"</f>
        <v>20190312160609822</v>
      </c>
      <c r="B408" t="str">
        <f>"1552377969815750"</f>
        <v>1552377969815750</v>
      </c>
      <c r="C408" t="s">
        <v>40</v>
      </c>
      <c r="D408">
        <v>6.4030750000000003</v>
      </c>
      <c r="E408">
        <v>0.54187339999999995</v>
      </c>
      <c r="F408" t="s">
        <v>41</v>
      </c>
      <c r="G408">
        <v>0</v>
      </c>
      <c r="H408">
        <v>0</v>
      </c>
      <c r="I408">
        <v>0</v>
      </c>
      <c r="J408">
        <v>-381.90589999999997</v>
      </c>
      <c r="K408">
        <v>1.110258</v>
      </c>
      <c r="L408">
        <v>368.04469999999998</v>
      </c>
      <c r="M408">
        <v>0.99988010000000005</v>
      </c>
      <c r="N408">
        <v>0</v>
      </c>
      <c r="O408">
        <v>-5.1980890000000004E-3</v>
      </c>
      <c r="P408">
        <v>0.99779859999999998</v>
      </c>
      <c r="Q408">
        <v>5.9839160000000002E-2</v>
      </c>
      <c r="R408">
        <v>2.858747E-2</v>
      </c>
      <c r="S408">
        <v>3.0077820000000002</v>
      </c>
      <c r="T408">
        <v>0.1004002</v>
      </c>
      <c r="U408">
        <v>-0.2501526</v>
      </c>
      <c r="V408">
        <v>-3.3796399999999997E-2</v>
      </c>
      <c r="W408">
        <v>7.437204E-2</v>
      </c>
      <c r="X408">
        <v>0.99665769999999998</v>
      </c>
      <c r="Y408">
        <v>7.7660350000000003E-2</v>
      </c>
      <c r="Z408">
        <v>1.1203910000000001E-3</v>
      </c>
      <c r="AA408">
        <v>0.99697919999999995</v>
      </c>
      <c r="AB408">
        <v>35</v>
      </c>
      <c r="AC408">
        <v>3.0077820000000002</v>
      </c>
      <c r="AD408">
        <v>0.1004002</v>
      </c>
      <c r="AE408">
        <v>-0.2501526</v>
      </c>
      <c r="AF408">
        <v>0.234253617279568</v>
      </c>
      <c r="AG408">
        <v>0.1004002</v>
      </c>
      <c r="AH408">
        <v>3.0057157449793999</v>
      </c>
      <c r="AI408">
        <v>88.092634760411798</v>
      </c>
      <c r="AJ408">
        <v>85.543601368948302</v>
      </c>
      <c r="AK408">
        <v>3.0165016321868099</v>
      </c>
      <c r="AL408">
        <v>85.734857853673901</v>
      </c>
      <c r="AM408">
        <v>91.942140611454406</v>
      </c>
      <c r="AN408">
        <v>0.99999998397800505</v>
      </c>
    </row>
    <row r="409" spans="1:40" x14ac:dyDescent="0.25">
      <c r="A409" t="str">
        <f>"20190312160609833"</f>
        <v>20190312160609833</v>
      </c>
      <c r="B409" t="str">
        <f>"1552377969825511"</f>
        <v>1552377969825511</v>
      </c>
      <c r="C409" t="s">
        <v>40</v>
      </c>
      <c r="D409">
        <v>6.1455580000000003</v>
      </c>
      <c r="E409">
        <v>0.54187339999999995</v>
      </c>
      <c r="F409" t="s">
        <v>41</v>
      </c>
      <c r="G409">
        <v>0</v>
      </c>
      <c r="H409">
        <v>0</v>
      </c>
      <c r="I409">
        <v>0</v>
      </c>
      <c r="J409">
        <v>-381.71559999999999</v>
      </c>
      <c r="K409">
        <v>1.110249</v>
      </c>
      <c r="L409">
        <v>368.04379999999998</v>
      </c>
      <c r="M409">
        <v>0.99988060000000001</v>
      </c>
      <c r="N409">
        <v>0</v>
      </c>
      <c r="O409">
        <v>-5.1184809999999898E-3</v>
      </c>
      <c r="P409">
        <v>0.99779370000000001</v>
      </c>
      <c r="Q409">
        <v>6.02344E-2</v>
      </c>
      <c r="R409">
        <v>2.7927939999999998E-2</v>
      </c>
      <c r="S409">
        <v>3.00766</v>
      </c>
      <c r="T409">
        <v>0.102218</v>
      </c>
      <c r="U409">
        <v>-0.24954219999999999</v>
      </c>
      <c r="V409">
        <v>-3.3057360000000001E-2</v>
      </c>
      <c r="W409">
        <v>7.4769100000000005E-2</v>
      </c>
      <c r="X409">
        <v>0.99665280000000001</v>
      </c>
      <c r="Y409">
        <v>7.7540699999999907E-2</v>
      </c>
      <c r="Z409">
        <v>1.1413910000000001E-3</v>
      </c>
      <c r="AA409">
        <v>0.99698850000000006</v>
      </c>
      <c r="AB409">
        <v>35</v>
      </c>
      <c r="AC409">
        <v>3.00766</v>
      </c>
      <c r="AD409">
        <v>0.102218</v>
      </c>
      <c r="AE409">
        <v>-0.24954219999999999</v>
      </c>
      <c r="AF409">
        <v>0.233874355702203</v>
      </c>
      <c r="AG409">
        <v>0.102218</v>
      </c>
      <c r="AH409">
        <v>3.00545032147016</v>
      </c>
      <c r="AI409">
        <v>88.057937799142906</v>
      </c>
      <c r="AJ409">
        <v>85.550396029828804</v>
      </c>
      <c r="AK409">
        <v>3.0162687825530701</v>
      </c>
      <c r="AL409">
        <v>85.712044565233796</v>
      </c>
      <c r="AM409">
        <v>91.899711810012107</v>
      </c>
      <c r="AN409">
        <v>1.0000000055564</v>
      </c>
    </row>
    <row r="410" spans="1:40" x14ac:dyDescent="0.25">
      <c r="A410" t="str">
        <f>"20190312160609846"</f>
        <v>20190312160609846</v>
      </c>
      <c r="B410" t="str">
        <f>"1552377969835270"</f>
        <v>1552377969835270</v>
      </c>
      <c r="C410" t="s">
        <v>40</v>
      </c>
      <c r="D410">
        <v>6.193244</v>
      </c>
      <c r="E410">
        <v>0.5542338</v>
      </c>
      <c r="F410" t="s">
        <v>41</v>
      </c>
      <c r="G410">
        <v>0</v>
      </c>
      <c r="H410">
        <v>0</v>
      </c>
      <c r="I410">
        <v>0</v>
      </c>
      <c r="J410">
        <v>-381.53379999999999</v>
      </c>
      <c r="K410">
        <v>1.110252</v>
      </c>
      <c r="L410">
        <v>368.04289999999997</v>
      </c>
      <c r="M410">
        <v>0.99988089999999996</v>
      </c>
      <c r="N410">
        <v>0</v>
      </c>
      <c r="O410">
        <v>-5.0424440000000001E-3</v>
      </c>
      <c r="P410">
        <v>0.99779929999999994</v>
      </c>
      <c r="Q410">
        <v>6.0202140000000001E-2</v>
      </c>
      <c r="R410">
        <v>2.7798730000000001E-2</v>
      </c>
      <c r="S410">
        <v>3.0074459999999998</v>
      </c>
      <c r="T410">
        <v>0.1033478</v>
      </c>
      <c r="U410">
        <v>-0.2514343</v>
      </c>
      <c r="V410">
        <v>-3.2852600000000003E-2</v>
      </c>
      <c r="W410">
        <v>7.4739150000000004E-2</v>
      </c>
      <c r="X410">
        <v>0.99666180000000004</v>
      </c>
      <c r="Y410">
        <v>7.8243859999999998E-2</v>
      </c>
      <c r="Z410">
        <v>1.1687150000000001E-3</v>
      </c>
      <c r="AA410">
        <v>0.99693359999999998</v>
      </c>
      <c r="AB410">
        <v>35</v>
      </c>
      <c r="AC410">
        <v>3.0074459999999998</v>
      </c>
      <c r="AD410">
        <v>0.1033478</v>
      </c>
      <c r="AE410">
        <v>-0.2514343</v>
      </c>
      <c r="AF410">
        <v>0.23598787153958301</v>
      </c>
      <c r="AG410">
        <v>0.1033478</v>
      </c>
      <c r="AH410">
        <v>3.0051516361056501</v>
      </c>
      <c r="AI410">
        <v>88.036402586566794</v>
      </c>
      <c r="AJ410">
        <v>85.509904347478894</v>
      </c>
      <c r="AK410">
        <v>3.01617429855555</v>
      </c>
      <c r="AL410">
        <v>85.713765316410701</v>
      </c>
      <c r="AM410">
        <v>91.887936345175504</v>
      </c>
      <c r="AN410">
        <v>0.99999998872436102</v>
      </c>
    </row>
    <row r="411" spans="1:40" x14ac:dyDescent="0.25">
      <c r="A411" t="str">
        <f>"20190312160609858"</f>
        <v>20190312160609858</v>
      </c>
      <c r="B411" t="str">
        <f>"1552377969846005"</f>
        <v>1552377969846005</v>
      </c>
      <c r="C411" t="s">
        <v>40</v>
      </c>
      <c r="D411">
        <v>6.4079709999999999</v>
      </c>
      <c r="E411">
        <v>0.55380769999999901</v>
      </c>
      <c r="F411" t="s">
        <v>47</v>
      </c>
      <c r="G411">
        <v>-333.5779</v>
      </c>
      <c r="H411" s="1">
        <v>-4.0841770000000002E-6</v>
      </c>
      <c r="I411">
        <v>362.42809999999997</v>
      </c>
      <c r="J411">
        <v>-381.34699999999998</v>
      </c>
      <c r="K411">
        <v>1.1102529999999999</v>
      </c>
      <c r="L411">
        <v>368.0421</v>
      </c>
      <c r="M411">
        <v>0.99988129999999997</v>
      </c>
      <c r="N411">
        <v>0</v>
      </c>
      <c r="O411">
        <v>-4.9642619999999997E-3</v>
      </c>
      <c r="P411">
        <v>0.99781209999999998</v>
      </c>
      <c r="Q411">
        <v>6.0127130000000001E-2</v>
      </c>
      <c r="R411">
        <v>2.749242E-2</v>
      </c>
      <c r="S411">
        <v>3.020721</v>
      </c>
      <c r="T411">
        <v>-6.9934250000000003E-2</v>
      </c>
      <c r="U411">
        <v>-0.35366819999999999</v>
      </c>
      <c r="V411">
        <v>-3.2467830000000003E-2</v>
      </c>
      <c r="W411">
        <v>7.4665910000000002E-2</v>
      </c>
      <c r="X411">
        <v>0.99667989999999995</v>
      </c>
      <c r="Y411">
        <v>0.1113258</v>
      </c>
      <c r="Z411">
        <v>-1.169596E-3</v>
      </c>
      <c r="AA411">
        <v>0.99378330000000004</v>
      </c>
      <c r="AB411">
        <v>35</v>
      </c>
      <c r="AC411">
        <v>47.769099999999902</v>
      </c>
      <c r="AD411">
        <v>-1.1102570841769901</v>
      </c>
      <c r="AE411">
        <v>-5.6140000000000301</v>
      </c>
      <c r="AF411">
        <v>5.3739038297202102</v>
      </c>
      <c r="AG411">
        <v>-1.1102570841769901</v>
      </c>
      <c r="AH411">
        <v>47.7709294016516</v>
      </c>
      <c r="AI411">
        <v>91.323044949226201</v>
      </c>
      <c r="AJ411">
        <v>83.581599060919402</v>
      </c>
      <c r="AK411">
        <v>48.085062223747002</v>
      </c>
      <c r="AL411">
        <v>85.717973425335401</v>
      </c>
      <c r="AM411">
        <v>91.865806676186395</v>
      </c>
      <c r="AN411">
        <v>0.99999999058252298</v>
      </c>
    </row>
    <row r="412" spans="1:40" x14ac:dyDescent="0.25">
      <c r="A412" t="str">
        <f>"20190312160609876"</f>
        <v>20190312160609876</v>
      </c>
      <c r="B412" t="str">
        <f>"1552377969865526"</f>
        <v>1552377969865526</v>
      </c>
      <c r="C412" t="s">
        <v>40</v>
      </c>
      <c r="D412">
        <v>6.4672369999999999</v>
      </c>
      <c r="E412">
        <v>0.5538535</v>
      </c>
      <c r="F412" t="s">
        <v>47</v>
      </c>
      <c r="G412">
        <v>-195.8877</v>
      </c>
      <c r="H412" s="1">
        <v>-4.2853579999999998E-6</v>
      </c>
      <c r="I412">
        <v>346.51060000000001</v>
      </c>
      <c r="J412">
        <v>-381.06869999999998</v>
      </c>
      <c r="K412">
        <v>1.1102529999999999</v>
      </c>
      <c r="L412">
        <v>368.04079999999999</v>
      </c>
      <c r="M412">
        <v>0.99988189999999999</v>
      </c>
      <c r="N412">
        <v>0</v>
      </c>
      <c r="O412">
        <v>-4.8475790000000003E-3</v>
      </c>
      <c r="P412">
        <v>0.99783869999999997</v>
      </c>
      <c r="Q412">
        <v>5.9991709999999997E-2</v>
      </c>
      <c r="R412">
        <v>2.6814600000000001E-2</v>
      </c>
      <c r="S412">
        <v>3.0173649999999999</v>
      </c>
      <c r="T412">
        <v>-1.8063550000000001E-2</v>
      </c>
      <c r="U412">
        <v>-0.35031129999999999</v>
      </c>
      <c r="V412">
        <v>-3.1673979999999997E-2</v>
      </c>
      <c r="W412">
        <v>7.4532769999999998E-2</v>
      </c>
      <c r="X412">
        <v>0.99671540000000003</v>
      </c>
      <c r="Y412">
        <v>0.1105049</v>
      </c>
      <c r="Z412">
        <v>-3.0073650000000002E-4</v>
      </c>
      <c r="AA412">
        <v>0.99387559999999997</v>
      </c>
      <c r="AB412">
        <v>34</v>
      </c>
      <c r="AC412">
        <v>185.18100000000001</v>
      </c>
      <c r="AD412">
        <v>-1.1102572853579999</v>
      </c>
      <c r="AE412">
        <v>-21.530199999999901</v>
      </c>
      <c r="AF412">
        <v>20.631440237992798</v>
      </c>
      <c r="AG412">
        <v>-1.1102572853579999</v>
      </c>
      <c r="AH412">
        <v>185.276632998922</v>
      </c>
      <c r="AI412">
        <v>90.341227822872796</v>
      </c>
      <c r="AJ412">
        <v>83.646017215032003</v>
      </c>
      <c r="AK412">
        <v>186.42510488920499</v>
      </c>
      <c r="AL412">
        <v>85.725623062634796</v>
      </c>
      <c r="AM412">
        <v>91.820153324335905</v>
      </c>
      <c r="AN412">
        <v>0.99999998170503601</v>
      </c>
    </row>
    <row r="413" spans="1:40" x14ac:dyDescent="0.25">
      <c r="A413" t="str">
        <f>"20190312160609888"</f>
        <v>20190312160609888</v>
      </c>
      <c r="B413" t="str">
        <f>"1552377969885046"</f>
        <v>1552377969885046</v>
      </c>
      <c r="C413" t="s">
        <v>40</v>
      </c>
      <c r="D413">
        <v>6.2355640000000001</v>
      </c>
      <c r="E413">
        <v>0.55426489999999995</v>
      </c>
      <c r="F413" t="s">
        <v>47</v>
      </c>
      <c r="G413">
        <v>-179.9513</v>
      </c>
      <c r="H413">
        <v>5.6430290000000001E-2</v>
      </c>
      <c r="I413">
        <v>344.52710000000002</v>
      </c>
      <c r="J413">
        <v>-380.8682</v>
      </c>
      <c r="K413">
        <v>1.1102540000000001</v>
      </c>
      <c r="L413">
        <v>368.03989999999999</v>
      </c>
      <c r="M413">
        <v>0.99988220000000005</v>
      </c>
      <c r="N413">
        <v>0</v>
      </c>
      <c r="O413">
        <v>-4.7640240000000004E-3</v>
      </c>
      <c r="P413">
        <v>0.99784439999999996</v>
      </c>
      <c r="Q413">
        <v>5.9937740000000003E-2</v>
      </c>
      <c r="R413">
        <v>2.6725949999999998E-2</v>
      </c>
      <c r="S413">
        <v>3.0169069999999998</v>
      </c>
      <c r="T413">
        <v>-1.580811E-2</v>
      </c>
      <c r="U413">
        <v>-0.35272219999999999</v>
      </c>
      <c r="V413">
        <v>-3.1502059999999998E-2</v>
      </c>
      <c r="W413">
        <v>7.4480469999999993E-2</v>
      </c>
      <c r="X413">
        <v>0.99672479999999997</v>
      </c>
      <c r="Y413">
        <v>0.11138919999999999</v>
      </c>
      <c r="Z413">
        <v>-2.6595939999999999E-4</v>
      </c>
      <c r="AA413">
        <v>0.99377689999999996</v>
      </c>
      <c r="AB413">
        <v>34</v>
      </c>
      <c r="AC413">
        <v>200.9169</v>
      </c>
      <c r="AD413">
        <v>-1.0538237100000001</v>
      </c>
      <c r="AE413">
        <v>-23.512799999999899</v>
      </c>
      <c r="AF413">
        <v>22.554646170169999</v>
      </c>
      <c r="AG413">
        <v>-1.0538237100000001</v>
      </c>
      <c r="AH413">
        <v>201.02119143806499</v>
      </c>
      <c r="AI413">
        <v>90.298488938549795</v>
      </c>
      <c r="AJ413">
        <v>83.598168464026003</v>
      </c>
      <c r="AK413">
        <v>202.285298564805</v>
      </c>
      <c r="AL413">
        <v>85.728628163213699</v>
      </c>
      <c r="AM413">
        <v>91.810263428047406</v>
      </c>
      <c r="AN413">
        <v>1.0000000235653499</v>
      </c>
    </row>
    <row r="414" spans="1:40" x14ac:dyDescent="0.25">
      <c r="A414" t="str">
        <f>"20190312160609900"</f>
        <v>20190312160609900</v>
      </c>
      <c r="B414" t="str">
        <f>"1552377969895419"</f>
        <v>1552377969895419</v>
      </c>
      <c r="C414" t="s">
        <v>40</v>
      </c>
      <c r="D414">
        <v>6.2072339999999997</v>
      </c>
      <c r="E414">
        <v>0.51154079999999902</v>
      </c>
      <c r="F414" t="s">
        <v>45</v>
      </c>
      <c r="G414">
        <v>-231.58109999999999</v>
      </c>
      <c r="H414">
        <v>-0.05</v>
      </c>
      <c r="I414">
        <v>350.40179999999998</v>
      </c>
      <c r="J414">
        <v>-380.69920000000002</v>
      </c>
      <c r="K414">
        <v>1.1102590000000001</v>
      </c>
      <c r="L414">
        <v>368.03919999999999</v>
      </c>
      <c r="M414">
        <v>0.99988250000000001</v>
      </c>
      <c r="N414">
        <v>0</v>
      </c>
      <c r="O414">
        <v>-4.6933440000000003E-3</v>
      </c>
      <c r="P414">
        <v>0.99786339999999996</v>
      </c>
      <c r="Q414">
        <v>5.9674940000000003E-2</v>
      </c>
      <c r="R414">
        <v>2.6601860000000001E-2</v>
      </c>
      <c r="S414">
        <v>3.0174259999999999</v>
      </c>
      <c r="T414">
        <v>-2.3451329999999999E-2</v>
      </c>
      <c r="U414">
        <v>-0.3565063</v>
      </c>
      <c r="V414">
        <v>-3.1307340000000003E-2</v>
      </c>
      <c r="W414">
        <v>7.421846E-2</v>
      </c>
      <c r="X414">
        <v>0.99675049999999998</v>
      </c>
      <c r="Y414">
        <v>0.11266710000000001</v>
      </c>
      <c r="Z414">
        <v>-3.999478E-4</v>
      </c>
      <c r="AA414">
        <v>0.99363270000000004</v>
      </c>
      <c r="AB414">
        <v>34</v>
      </c>
      <c r="AC414">
        <v>149.1181</v>
      </c>
      <c r="AD414">
        <v>-1.1602589999999999</v>
      </c>
      <c r="AE414">
        <v>-17.6374</v>
      </c>
      <c r="AF414">
        <v>16.936257440376799</v>
      </c>
      <c r="AG414">
        <v>-1.1602589999999999</v>
      </c>
      <c r="AH414">
        <v>149.19033698432801</v>
      </c>
      <c r="AI414">
        <v>90.442738949267806</v>
      </c>
      <c r="AJ414">
        <v>83.523443938207294</v>
      </c>
      <c r="AK414">
        <v>150.15305413654099</v>
      </c>
      <c r="AL414">
        <v>85.743681983484905</v>
      </c>
      <c r="AM414">
        <v>91.799034878072106</v>
      </c>
      <c r="AN414">
        <v>1.0000000442964401</v>
      </c>
    </row>
    <row r="415" spans="1:40" x14ac:dyDescent="0.25">
      <c r="A415" t="str">
        <f>"20190312160609922"</f>
        <v>20190312160609922</v>
      </c>
      <c r="B415" t="str">
        <f>"1552377969915915"</f>
        <v>1552377969915915</v>
      </c>
      <c r="C415" t="s">
        <v>40</v>
      </c>
      <c r="D415">
        <v>6.444496</v>
      </c>
      <c r="E415">
        <v>0.49894179999999999</v>
      </c>
      <c r="F415" t="s">
        <v>47</v>
      </c>
      <c r="G415">
        <v>-233.51660000000001</v>
      </c>
      <c r="H415" s="1">
        <v>-3.1817220000000001E-6</v>
      </c>
      <c r="I415">
        <v>367.25970000000001</v>
      </c>
      <c r="J415">
        <v>-380.35759999999999</v>
      </c>
      <c r="K415">
        <v>1.1102559999999999</v>
      </c>
      <c r="L415">
        <v>368.0378</v>
      </c>
      <c r="M415">
        <v>0.99988310000000002</v>
      </c>
      <c r="N415">
        <v>0</v>
      </c>
      <c r="O415">
        <v>-4.5500769999999996E-3</v>
      </c>
      <c r="P415">
        <v>0.99784740000000005</v>
      </c>
      <c r="Q415">
        <v>5.9784810000000001E-2</v>
      </c>
      <c r="R415">
        <v>2.6949239999999999E-2</v>
      </c>
      <c r="S415">
        <v>3.0082089999999999</v>
      </c>
      <c r="T415">
        <v>-2.2692199999999999E-2</v>
      </c>
      <c r="U415">
        <v>-1.5930179999999999E-2</v>
      </c>
      <c r="V415">
        <v>-3.1511440000000002E-2</v>
      </c>
      <c r="W415">
        <v>7.4328770000000002E-2</v>
      </c>
      <c r="X415">
        <v>0.99673579999999995</v>
      </c>
      <c r="Y415">
        <v>7.4504979999999996E-4</v>
      </c>
      <c r="Z415" s="1">
        <v>3.1515849999999997E-5</v>
      </c>
      <c r="AA415">
        <v>0.99999970000000005</v>
      </c>
      <c r="AB415">
        <v>34</v>
      </c>
      <c r="AC415">
        <v>146.84099999999901</v>
      </c>
      <c r="AD415">
        <v>-1.110259181722</v>
      </c>
      <c r="AE415">
        <v>-0.77809999999999402</v>
      </c>
      <c r="AF415">
        <v>0.10987660980679401</v>
      </c>
      <c r="AG415">
        <v>-1.110259181722</v>
      </c>
      <c r="AH415">
        <v>146.83462639386701</v>
      </c>
      <c r="AI415">
        <v>90.433221623210898</v>
      </c>
      <c r="AJ415">
        <v>89.957125475177804</v>
      </c>
      <c r="AK415">
        <v>146.83886493890699</v>
      </c>
      <c r="AL415">
        <v>85.737343974222199</v>
      </c>
      <c r="AM415">
        <v>91.810782119461294</v>
      </c>
      <c r="AN415">
        <v>0.999999995951113</v>
      </c>
    </row>
    <row r="416" spans="1:40" x14ac:dyDescent="0.25">
      <c r="A416" t="str">
        <f>"20190312160609945"</f>
        <v>20190312160609945</v>
      </c>
      <c r="B416" t="str">
        <f>"1552377969935435"</f>
        <v>1552377969935435</v>
      </c>
      <c r="C416" t="s">
        <v>40</v>
      </c>
      <c r="D416">
        <v>6.3619370000000002</v>
      </c>
      <c r="E416">
        <v>0.49527520000000003</v>
      </c>
      <c r="F416" t="s">
        <v>42</v>
      </c>
      <c r="G416">
        <v>-158.19499999999999</v>
      </c>
      <c r="H416">
        <v>1.1633020000000001</v>
      </c>
      <c r="I416">
        <v>374.38850000000002</v>
      </c>
      <c r="J416">
        <v>-380.01170000000002</v>
      </c>
      <c r="K416">
        <v>1.1102620000000001</v>
      </c>
      <c r="L416">
        <v>368.03629999999998</v>
      </c>
      <c r="M416">
        <v>0.99988379999999999</v>
      </c>
      <c r="N416">
        <v>0</v>
      </c>
      <c r="O416">
        <v>-4.4053699999999996E-3</v>
      </c>
      <c r="P416">
        <v>0.9978418</v>
      </c>
      <c r="Q416">
        <v>5.9787090000000001E-2</v>
      </c>
      <c r="R416">
        <v>2.7156159999999999E-2</v>
      </c>
      <c r="S416">
        <v>3.0041199999999999</v>
      </c>
      <c r="T416">
        <v>7.1847440000000001E-4</v>
      </c>
      <c r="U416">
        <v>8.5876460000000002E-2</v>
      </c>
      <c r="V416">
        <v>-3.157418E-2</v>
      </c>
      <c r="W416">
        <v>7.4331159999999993E-2</v>
      </c>
      <c r="X416">
        <v>0.99673369999999994</v>
      </c>
      <c r="Y416">
        <v>-3.2978319999999998E-2</v>
      </c>
      <c r="Z416" s="1">
        <v>-4.9963049999999901E-6</v>
      </c>
      <c r="AA416">
        <v>0.99945600000000001</v>
      </c>
      <c r="AB416">
        <v>34</v>
      </c>
      <c r="AC416">
        <v>221.8167</v>
      </c>
      <c r="AD416">
        <v>5.30399999999999E-2</v>
      </c>
      <c r="AE416">
        <v>6.35220000000003</v>
      </c>
      <c r="AF416">
        <v>-7.3294266406753401</v>
      </c>
      <c r="AG416">
        <v>5.30399999999999E-2</v>
      </c>
      <c r="AH416">
        <v>221.786547658703</v>
      </c>
      <c r="AI416">
        <v>89.986305256015001</v>
      </c>
      <c r="AJ416">
        <v>91.892776819431703</v>
      </c>
      <c r="AK416">
        <v>221.907629500404</v>
      </c>
      <c r="AL416">
        <v>85.737206928644</v>
      </c>
      <c r="AM416">
        <v>91.814388840954706</v>
      </c>
      <c r="AN416">
        <v>1.0000000594526499</v>
      </c>
    </row>
    <row r="417" spans="1:40" x14ac:dyDescent="0.25">
      <c r="A417" t="str">
        <f>"20190312160609965"</f>
        <v>20190312160609965</v>
      </c>
      <c r="B417" t="str">
        <f>"1552377969955930"</f>
        <v>1552377969955930</v>
      </c>
      <c r="C417" t="s">
        <v>40</v>
      </c>
      <c r="D417">
        <v>6.8920560000000002</v>
      </c>
      <c r="E417">
        <v>0.49433490000000002</v>
      </c>
      <c r="F417" t="s">
        <v>42</v>
      </c>
      <c r="G417">
        <v>-158.19499999999999</v>
      </c>
      <c r="H417">
        <v>1.6209739999999999</v>
      </c>
      <c r="I417">
        <v>376.59780000000001</v>
      </c>
      <c r="J417">
        <v>-379.69830000000002</v>
      </c>
      <c r="K417">
        <v>1.110268</v>
      </c>
      <c r="L417">
        <v>368.0351</v>
      </c>
      <c r="M417">
        <v>0.99988440000000001</v>
      </c>
      <c r="N417">
        <v>0</v>
      </c>
      <c r="O417">
        <v>-4.2735359999999997E-3</v>
      </c>
      <c r="P417">
        <v>0.99784949999999994</v>
      </c>
      <c r="Q417">
        <v>5.9533370000000002E-2</v>
      </c>
      <c r="R417">
        <v>2.7427839999999998E-2</v>
      </c>
      <c r="S417">
        <v>3.0029599999999999</v>
      </c>
      <c r="T417">
        <v>6.9152119999999996E-3</v>
      </c>
      <c r="U417">
        <v>0.1159058</v>
      </c>
      <c r="V417">
        <v>-3.1714039999999999E-2</v>
      </c>
      <c r="W417">
        <v>7.4077229999999994E-2</v>
      </c>
      <c r="X417">
        <v>0.99674810000000003</v>
      </c>
      <c r="Y417">
        <v>-4.283878E-2</v>
      </c>
      <c r="Z417" s="1">
        <v>-5.9144760000000001E-5</v>
      </c>
      <c r="AA417">
        <v>0.99908200000000003</v>
      </c>
      <c r="AB417">
        <v>34</v>
      </c>
      <c r="AC417">
        <v>221.5033</v>
      </c>
      <c r="AD417">
        <v>0.51070599999999899</v>
      </c>
      <c r="AE417">
        <v>8.5626999999999995</v>
      </c>
      <c r="AF417">
        <v>-9.5092744364713901</v>
      </c>
      <c r="AG417">
        <v>0.51070599999999899</v>
      </c>
      <c r="AH417">
        <v>221.46350445341599</v>
      </c>
      <c r="AI417">
        <v>89.867994912199194</v>
      </c>
      <c r="AJ417">
        <v>92.458675172139493</v>
      </c>
      <c r="AK417">
        <v>221.66815496528699</v>
      </c>
      <c r="AL417">
        <v>85.751795995137897</v>
      </c>
      <c r="AM417">
        <v>91.822394082659002</v>
      </c>
      <c r="AN417">
        <v>0.99999999559560204</v>
      </c>
    </row>
    <row r="418" spans="1:40" x14ac:dyDescent="0.25">
      <c r="A418" t="str">
        <f>"20190312160609977"</f>
        <v>20190312160609977</v>
      </c>
      <c r="B418" t="str">
        <f>"1552377969965692"</f>
        <v>1552377969965692</v>
      </c>
      <c r="C418" t="s">
        <v>40</v>
      </c>
      <c r="D418">
        <v>6.4082049999999997</v>
      </c>
      <c r="E418">
        <v>0.49312620000000001</v>
      </c>
      <c r="F418" t="s">
        <v>42</v>
      </c>
      <c r="G418">
        <v>-158.19499999999999</v>
      </c>
      <c r="H418">
        <v>1.626887</v>
      </c>
      <c r="I418">
        <v>377.1979</v>
      </c>
      <c r="J418">
        <v>-379.5258</v>
      </c>
      <c r="K418">
        <v>1.110271</v>
      </c>
      <c r="L418">
        <v>368.03440000000001</v>
      </c>
      <c r="M418">
        <v>0.99988469999999996</v>
      </c>
      <c r="N418">
        <v>0</v>
      </c>
      <c r="O418">
        <v>-4.2009439999999999E-3</v>
      </c>
      <c r="P418">
        <v>0.99784479999999998</v>
      </c>
      <c r="Q418">
        <v>5.9554070000000001E-2</v>
      </c>
      <c r="R418">
        <v>2.7557060000000001E-2</v>
      </c>
      <c r="S418">
        <v>3.0026250000000001</v>
      </c>
      <c r="T418">
        <v>7.0042610000000003E-3</v>
      </c>
      <c r="U418">
        <v>0.1242065</v>
      </c>
      <c r="V418">
        <v>-3.1770550000000002E-2</v>
      </c>
      <c r="W418">
        <v>7.4097189999999993E-2</v>
      </c>
      <c r="X418">
        <v>0.99674479999999999</v>
      </c>
      <c r="Y418">
        <v>-4.5527949999999998E-2</v>
      </c>
      <c r="Z418" s="1">
        <v>-6.2875680000000004E-5</v>
      </c>
      <c r="AA418">
        <v>0.99896309999999999</v>
      </c>
      <c r="AB418">
        <v>34</v>
      </c>
      <c r="AC418">
        <v>221.33080000000001</v>
      </c>
      <c r="AD418">
        <v>0.51661599999999996</v>
      </c>
      <c r="AE418">
        <v>9.1635000000000009</v>
      </c>
      <c r="AF418">
        <v>-10.0932615352816</v>
      </c>
      <c r="AG418">
        <v>0.51661599999999996</v>
      </c>
      <c r="AH418">
        <v>221.289143548982</v>
      </c>
      <c r="AI418">
        <v>89.866377894752901</v>
      </c>
      <c r="AJ418">
        <v>92.611518798855599</v>
      </c>
      <c r="AK418">
        <v>221.51980921162101</v>
      </c>
      <c r="AL418">
        <v>85.750649148563895</v>
      </c>
      <c r="AM418">
        <v>91.825645179653094</v>
      </c>
      <c r="AN418">
        <v>0.99999997887011904</v>
      </c>
    </row>
    <row r="419" spans="1:40" x14ac:dyDescent="0.25">
      <c r="A419" t="str">
        <f>"20190312160609990"</f>
        <v>20190312160609990</v>
      </c>
      <c r="B419" t="str">
        <f>"1552377969985211"</f>
        <v>1552377969985211</v>
      </c>
      <c r="C419" t="s">
        <v>40</v>
      </c>
      <c r="D419">
        <v>6.3744529999999999</v>
      </c>
      <c r="E419">
        <v>0.49271799999999999</v>
      </c>
      <c r="F419" t="s">
        <v>42</v>
      </c>
      <c r="G419">
        <v>-158.19499999999999</v>
      </c>
      <c r="H419">
        <v>2.7761079999999998</v>
      </c>
      <c r="I419">
        <v>377.95</v>
      </c>
      <c r="J419">
        <v>-379.31619999999998</v>
      </c>
      <c r="K419">
        <v>1.1102730000000001</v>
      </c>
      <c r="L419">
        <v>368.03359999999998</v>
      </c>
      <c r="M419">
        <v>0.99988520000000003</v>
      </c>
      <c r="N419">
        <v>0</v>
      </c>
      <c r="O419">
        <v>-4.1130890000000003E-3</v>
      </c>
      <c r="P419">
        <v>0.99785330000000005</v>
      </c>
      <c r="Q419">
        <v>5.9271329999999997E-2</v>
      </c>
      <c r="R419">
        <v>2.7857179999999999E-2</v>
      </c>
      <c r="S419">
        <v>3.0013730000000001</v>
      </c>
      <c r="T419">
        <v>2.2590880000000001E-2</v>
      </c>
      <c r="U419">
        <v>0.13446040000000001</v>
      </c>
      <c r="V419">
        <v>-3.1983200000000003E-2</v>
      </c>
      <c r="W419">
        <v>7.3814270000000001E-2</v>
      </c>
      <c r="X419">
        <v>0.99675899999999995</v>
      </c>
      <c r="Y419">
        <v>-4.8862290000000003E-2</v>
      </c>
      <c r="Z419">
        <v>-2.147413E-4</v>
      </c>
      <c r="AA419">
        <v>0.99880550000000001</v>
      </c>
      <c r="AB419">
        <v>34</v>
      </c>
      <c r="AC419">
        <v>221.12119999999999</v>
      </c>
      <c r="AD419">
        <v>1.665835</v>
      </c>
      <c r="AE419">
        <v>9.9164000000000101</v>
      </c>
      <c r="AF419">
        <v>-10.825290847783601</v>
      </c>
      <c r="AG419">
        <v>1.665835</v>
      </c>
      <c r="AH419">
        <v>221.066016419231</v>
      </c>
      <c r="AI419">
        <v>89.568774583552297</v>
      </c>
      <c r="AJ419">
        <v>92.803454073950206</v>
      </c>
      <c r="AK419">
        <v>221.33717614457399</v>
      </c>
      <c r="AL419">
        <v>85.766903821719495</v>
      </c>
      <c r="AM419">
        <v>91.837830263911897</v>
      </c>
      <c r="AN419">
        <v>0.999999987809436</v>
      </c>
    </row>
    <row r="420" spans="1:40" x14ac:dyDescent="0.25">
      <c r="A420" t="str">
        <f>"20190312160610009"</f>
        <v>20190312160610009</v>
      </c>
      <c r="B420" t="str">
        <f>"1552377970005708"</f>
        <v>1552377970005708</v>
      </c>
      <c r="C420" t="s">
        <v>40</v>
      </c>
      <c r="D420">
        <v>6.3186200000000001</v>
      </c>
      <c r="E420">
        <v>0.49246489999999998</v>
      </c>
      <c r="F420" t="s">
        <v>42</v>
      </c>
      <c r="G420">
        <v>-158.19499999999999</v>
      </c>
      <c r="H420">
        <v>2.3290869999999999</v>
      </c>
      <c r="I420">
        <v>378.23790000000002</v>
      </c>
      <c r="J420">
        <v>-379.01949999999999</v>
      </c>
      <c r="K420">
        <v>1.1102730000000001</v>
      </c>
      <c r="L420">
        <v>368.0326</v>
      </c>
      <c r="M420">
        <v>0.99988569999999999</v>
      </c>
      <c r="N420">
        <v>0</v>
      </c>
      <c r="O420">
        <v>-3.9883990000000001E-3</v>
      </c>
      <c r="P420">
        <v>0.99786280000000005</v>
      </c>
      <c r="Q420">
        <v>5.9054889999999999E-2</v>
      </c>
      <c r="R420">
        <v>2.797703E-2</v>
      </c>
      <c r="S420">
        <v>3.0016479999999999</v>
      </c>
      <c r="T420">
        <v>1.6546129999999999E-2</v>
      </c>
      <c r="U420">
        <v>0.13851930000000001</v>
      </c>
      <c r="V420">
        <v>-3.1978489999999998E-2</v>
      </c>
      <c r="W420">
        <v>7.3596460000000002E-2</v>
      </c>
      <c r="X420">
        <v>0.99677530000000003</v>
      </c>
      <c r="Y420">
        <v>-5.0082080000000001E-2</v>
      </c>
      <c r="Z420">
        <v>-1.5993689999999999E-4</v>
      </c>
      <c r="AA420">
        <v>0.99874510000000005</v>
      </c>
      <c r="AB420">
        <v>34</v>
      </c>
      <c r="AC420">
        <v>220.8245</v>
      </c>
      <c r="AD420">
        <v>1.2188139999999901</v>
      </c>
      <c r="AE420">
        <v>10.205299999999999</v>
      </c>
      <c r="AF420">
        <v>-11.0857117098499</v>
      </c>
      <c r="AG420">
        <v>1.2188139999999901</v>
      </c>
      <c r="AH420">
        <v>220.77532485438499</v>
      </c>
      <c r="AI420">
        <v>89.684093670920404</v>
      </c>
      <c r="AJ420">
        <v>92.8745580378759</v>
      </c>
      <c r="AK420">
        <v>221.05683110060099</v>
      </c>
      <c r="AL420">
        <v>85.779417633380106</v>
      </c>
      <c r="AM420">
        <v>91.837529773220098</v>
      </c>
      <c r="AN420">
        <v>1.0000000307186501</v>
      </c>
    </row>
    <row r="421" spans="1:40" x14ac:dyDescent="0.25">
      <c r="A421" t="str">
        <f>"20190312160610021"</f>
        <v>20190312160610021</v>
      </c>
      <c r="B421" t="str">
        <f>"1552377970015467"</f>
        <v>1552377970015467</v>
      </c>
      <c r="C421" t="s">
        <v>40</v>
      </c>
      <c r="D421">
        <v>6.3203230000000001</v>
      </c>
      <c r="E421">
        <v>0.4923535</v>
      </c>
      <c r="F421" t="s">
        <v>42</v>
      </c>
      <c r="G421">
        <v>-158.19499999999999</v>
      </c>
      <c r="H421">
        <v>2.0899220000000001</v>
      </c>
      <c r="I421">
        <v>378.39359999999999</v>
      </c>
      <c r="J421">
        <v>-378.84429999999998</v>
      </c>
      <c r="K421">
        <v>1.1102730000000001</v>
      </c>
      <c r="L421">
        <v>368.03190000000001</v>
      </c>
      <c r="M421">
        <v>0.99988600000000005</v>
      </c>
      <c r="N421">
        <v>0</v>
      </c>
      <c r="O421">
        <v>-3.9147299999999999E-3</v>
      </c>
      <c r="P421">
        <v>0.99787190000000003</v>
      </c>
      <c r="Q421">
        <v>5.8770530000000001E-2</v>
      </c>
      <c r="R421">
        <v>2.824579E-2</v>
      </c>
      <c r="S421">
        <v>3.0016780000000001</v>
      </c>
      <c r="T421">
        <v>1.3317580000000001E-2</v>
      </c>
      <c r="U421">
        <v>0.14083860000000001</v>
      </c>
      <c r="V421">
        <v>-3.2173559999999997E-2</v>
      </c>
      <c r="W421">
        <v>7.3311600000000005E-2</v>
      </c>
      <c r="X421">
        <v>0.99678999999999995</v>
      </c>
      <c r="Y421">
        <v>-5.0778339999999998E-2</v>
      </c>
      <c r="Z421">
        <v>-1.2994309999999999E-4</v>
      </c>
      <c r="AA421">
        <v>0.99870990000000004</v>
      </c>
      <c r="AB421">
        <v>34</v>
      </c>
      <c r="AC421">
        <v>220.64930000000001</v>
      </c>
      <c r="AD421">
        <v>0.97964899999999999</v>
      </c>
      <c r="AE421">
        <v>10.3616999999999</v>
      </c>
      <c r="AF421">
        <v>-11.2252740929907</v>
      </c>
      <c r="AG421">
        <v>0.97964899999999999</v>
      </c>
      <c r="AH421">
        <v>220.602702320752</v>
      </c>
      <c r="AI421">
        <v>89.745892234794795</v>
      </c>
      <c r="AJ421">
        <v>92.912958836166098</v>
      </c>
      <c r="AK421">
        <v>220.89028670777799</v>
      </c>
      <c r="AL421">
        <v>85.795783057944405</v>
      </c>
      <c r="AM421">
        <v>91.848703774683997</v>
      </c>
      <c r="AN421">
        <v>1.0000000163788101</v>
      </c>
    </row>
    <row r="422" spans="1:40" x14ac:dyDescent="0.25">
      <c r="A422" t="str">
        <f>"20190312160610033"</f>
        <v>20190312160610033</v>
      </c>
      <c r="B422" t="str">
        <f>"1552377970025228"</f>
        <v>1552377970025228</v>
      </c>
      <c r="C422" t="s">
        <v>40</v>
      </c>
      <c r="D422">
        <v>6.41859</v>
      </c>
      <c r="E422">
        <v>0.49225429999999998</v>
      </c>
      <c r="F422" t="s">
        <v>42</v>
      </c>
      <c r="G422">
        <v>-158.19499999999999</v>
      </c>
      <c r="H422">
        <v>1.930666</v>
      </c>
      <c r="I422">
        <v>378.51710000000003</v>
      </c>
      <c r="J422">
        <v>-378.66309999999999</v>
      </c>
      <c r="K422">
        <v>1.1102749999999999</v>
      </c>
      <c r="L422">
        <v>368.03129999999999</v>
      </c>
      <c r="M422">
        <v>0.99988630000000001</v>
      </c>
      <c r="N422">
        <v>0</v>
      </c>
      <c r="O422">
        <v>-3.8384389999999999E-3</v>
      </c>
      <c r="P422">
        <v>0.99790420000000002</v>
      </c>
      <c r="Q422">
        <v>5.8317859999999999E-2</v>
      </c>
      <c r="R422">
        <v>2.8042569999999999E-2</v>
      </c>
      <c r="S422">
        <v>3.001709</v>
      </c>
      <c r="T422">
        <v>1.1161799999999999E-2</v>
      </c>
      <c r="U422">
        <v>0.14263919999999999</v>
      </c>
      <c r="V422">
        <v>-3.1894190000000003E-2</v>
      </c>
      <c r="W422">
        <v>7.2858880000000001E-2</v>
      </c>
      <c r="X422">
        <v>0.9968321</v>
      </c>
      <c r="Y422">
        <v>-5.1299549999999999E-2</v>
      </c>
      <c r="Z422">
        <v>-1.09591E-4</v>
      </c>
      <c r="AA422">
        <v>0.99868330000000005</v>
      </c>
      <c r="AB422">
        <v>34</v>
      </c>
      <c r="AC422">
        <v>220.46809999999999</v>
      </c>
      <c r="AD422">
        <v>0.82039099999999998</v>
      </c>
      <c r="AE422">
        <v>10.485799999999999</v>
      </c>
      <c r="AF422">
        <v>-11.3319095265808</v>
      </c>
      <c r="AG422">
        <v>0.82039099999999998</v>
      </c>
      <c r="AH422">
        <v>220.42317684590299</v>
      </c>
      <c r="AI422">
        <v>89.7870335917126</v>
      </c>
      <c r="AJ422">
        <v>92.942973167188896</v>
      </c>
      <c r="AK422">
        <v>220.715794871486</v>
      </c>
      <c r="AL422">
        <v>85.821791261671194</v>
      </c>
      <c r="AM422">
        <v>91.832584726023796</v>
      </c>
      <c r="AN422">
        <v>0.99999994567050798</v>
      </c>
    </row>
    <row r="423" spans="1:40" x14ac:dyDescent="0.25">
      <c r="A423" t="str">
        <f>"20190312160610055"</f>
        <v>20190312160610055</v>
      </c>
      <c r="B423" t="str">
        <f>"1552377970045723"</f>
        <v>1552377970045723</v>
      </c>
      <c r="C423" t="s">
        <v>40</v>
      </c>
      <c r="D423">
        <v>6.3284269999999996</v>
      </c>
      <c r="E423">
        <v>0.49199540000000003</v>
      </c>
      <c r="F423" t="s">
        <v>42</v>
      </c>
      <c r="G423">
        <v>-158.19499999999999</v>
      </c>
      <c r="H423">
        <v>1.796254</v>
      </c>
      <c r="I423">
        <v>378.51889999999997</v>
      </c>
      <c r="J423">
        <v>-378.33019999999999</v>
      </c>
      <c r="K423">
        <v>1.1102700000000001</v>
      </c>
      <c r="L423">
        <v>368.0301</v>
      </c>
      <c r="M423">
        <v>0.99988679999999996</v>
      </c>
      <c r="N423">
        <v>0</v>
      </c>
      <c r="O423">
        <v>-3.699197E-3</v>
      </c>
      <c r="P423">
        <v>0.99789329999999998</v>
      </c>
      <c r="Q423">
        <v>5.8379859999999999E-2</v>
      </c>
      <c r="R423">
        <v>2.8297070000000001E-2</v>
      </c>
      <c r="S423">
        <v>3.0017399999999999</v>
      </c>
      <c r="T423">
        <v>9.3410019999999993E-3</v>
      </c>
      <c r="U423">
        <v>0.14279169999999999</v>
      </c>
      <c r="V423">
        <v>-3.2009549999999998E-2</v>
      </c>
      <c r="W423">
        <v>7.2918799999999895E-2</v>
      </c>
      <c r="X423">
        <v>0.99682409999999999</v>
      </c>
      <c r="Y423">
        <v>-5.1210760000000001E-2</v>
      </c>
      <c r="Z423" s="1">
        <v>-9.1141529999999997E-5</v>
      </c>
      <c r="AA423">
        <v>0.99868789999999996</v>
      </c>
      <c r="AB423">
        <v>34</v>
      </c>
      <c r="AC423">
        <v>220.1352</v>
      </c>
      <c r="AD423">
        <v>0.68598399999999904</v>
      </c>
      <c r="AE423">
        <v>10.4887999999999</v>
      </c>
      <c r="AF423">
        <v>-11.303028798324901</v>
      </c>
      <c r="AG423">
        <v>0.68598399999999904</v>
      </c>
      <c r="AH423">
        <v>220.092756832307</v>
      </c>
      <c r="AI423">
        <v>89.821656406686202</v>
      </c>
      <c r="AJ423">
        <v>92.939885032645606</v>
      </c>
      <c r="AK423">
        <v>220.38387110700501</v>
      </c>
      <c r="AL423">
        <v>85.818349272325804</v>
      </c>
      <c r="AM423">
        <v>91.839223317299798</v>
      </c>
      <c r="AN423">
        <v>1.0000000245127201</v>
      </c>
    </row>
    <row r="424" spans="1:40" x14ac:dyDescent="0.25">
      <c r="A424" t="str">
        <f>"20190312160610067"</f>
        <v>20190312160610067</v>
      </c>
      <c r="B424" t="str">
        <f>"1552377970055484"</f>
        <v>1552377970055484</v>
      </c>
      <c r="C424" t="s">
        <v>40</v>
      </c>
      <c r="D424">
        <v>6.4111599999999997</v>
      </c>
      <c r="E424">
        <v>0.49188159999999997</v>
      </c>
      <c r="F424" t="s">
        <v>42</v>
      </c>
      <c r="G424">
        <v>-158.19499999999999</v>
      </c>
      <c r="H424">
        <v>1.6957369999999901</v>
      </c>
      <c r="I424">
        <v>378.7122</v>
      </c>
      <c r="J424">
        <v>-378.14659999999998</v>
      </c>
      <c r="K424">
        <v>1.110266</v>
      </c>
      <c r="L424">
        <v>368.02960000000002</v>
      </c>
      <c r="M424">
        <v>0.99988699999999997</v>
      </c>
      <c r="N424">
        <v>0</v>
      </c>
      <c r="O424">
        <v>-3.6221859999999999E-3</v>
      </c>
      <c r="P424">
        <v>0.9978842</v>
      </c>
      <c r="Q424">
        <v>5.8579779999999998E-2</v>
      </c>
      <c r="R424">
        <v>2.8202370000000001E-2</v>
      </c>
      <c r="S424">
        <v>3.00177</v>
      </c>
      <c r="T424">
        <v>7.9846380000000005E-3</v>
      </c>
      <c r="U424">
        <v>0.1456604</v>
      </c>
      <c r="V424">
        <v>-3.1838449999999997E-2</v>
      </c>
      <c r="W424">
        <v>7.3118069999999993E-2</v>
      </c>
      <c r="X424">
        <v>0.99681500000000001</v>
      </c>
      <c r="Y424">
        <v>-5.2085609999999997E-2</v>
      </c>
      <c r="Z424" s="1">
        <v>-7.8862869999999998E-5</v>
      </c>
      <c r="AA424">
        <v>0.99864260000000005</v>
      </c>
      <c r="AB424">
        <v>34</v>
      </c>
      <c r="AC424">
        <v>219.95160000000001</v>
      </c>
      <c r="AD424">
        <v>0.58547099999999896</v>
      </c>
      <c r="AE424">
        <v>10.6825999999999</v>
      </c>
      <c r="AF424">
        <v>-11.4792391795312</v>
      </c>
      <c r="AG424">
        <v>0.58547099999999896</v>
      </c>
      <c r="AH424">
        <v>219.90990384215101</v>
      </c>
      <c r="AI424">
        <v>89.847667935581597</v>
      </c>
      <c r="AJ424">
        <v>92.988112584656193</v>
      </c>
      <c r="AK424">
        <v>220.21008495592699</v>
      </c>
      <c r="AL424">
        <v>85.806901455462295</v>
      </c>
      <c r="AM424">
        <v>91.829415541726505</v>
      </c>
      <c r="AN424">
        <v>1.0000000416419601</v>
      </c>
    </row>
    <row r="425" spans="1:40" x14ac:dyDescent="0.25">
      <c r="A425" t="str">
        <f>"20190312160610077"</f>
        <v>20190312160610077</v>
      </c>
      <c r="B425" t="str">
        <f>"1552377970075979"</f>
        <v>1552377970075979</v>
      </c>
      <c r="C425" t="s">
        <v>40</v>
      </c>
      <c r="D425">
        <v>6.3937989999999996</v>
      </c>
      <c r="E425">
        <v>0.49175740000000001</v>
      </c>
      <c r="F425" t="s">
        <v>42</v>
      </c>
      <c r="G425">
        <v>-158.19499999999999</v>
      </c>
      <c r="H425">
        <v>1.703141</v>
      </c>
      <c r="I425">
        <v>378.73630000000003</v>
      </c>
      <c r="J425">
        <v>-377.97829999999999</v>
      </c>
      <c r="K425">
        <v>1.1102730000000001</v>
      </c>
      <c r="L425">
        <v>368.029</v>
      </c>
      <c r="M425">
        <v>0.99988730000000003</v>
      </c>
      <c r="N425">
        <v>0</v>
      </c>
      <c r="O425">
        <v>-3.5516139999999998E-3</v>
      </c>
      <c r="P425">
        <v>0.99786699999999995</v>
      </c>
      <c r="Q425">
        <v>5.8913159999999999E-2</v>
      </c>
      <c r="R425">
        <v>2.811978E-2</v>
      </c>
      <c r="S425">
        <v>3.00177</v>
      </c>
      <c r="T425">
        <v>8.0924029999999997E-3</v>
      </c>
      <c r="U425">
        <v>0.1461182</v>
      </c>
      <c r="V425">
        <v>-3.1685089999999999E-2</v>
      </c>
      <c r="W425">
        <v>7.3450009999999996E-2</v>
      </c>
      <c r="X425">
        <v>0.9967954</v>
      </c>
      <c r="Y425">
        <v>-5.216705E-2</v>
      </c>
      <c r="Z425" s="1">
        <v>-7.984647E-5</v>
      </c>
      <c r="AA425">
        <v>0.99863840000000004</v>
      </c>
      <c r="AB425">
        <v>34</v>
      </c>
      <c r="AC425">
        <v>219.7833</v>
      </c>
      <c r="AD425">
        <v>0.59286799999999995</v>
      </c>
      <c r="AE425">
        <v>10.7073</v>
      </c>
      <c r="AF425">
        <v>-11.4878175630952</v>
      </c>
      <c r="AG425">
        <v>0.59286799999999995</v>
      </c>
      <c r="AH425">
        <v>219.74228610474799</v>
      </c>
      <c r="AI425">
        <v>89.845626309008694</v>
      </c>
      <c r="AJ425">
        <v>92.992618401372496</v>
      </c>
      <c r="AK425">
        <v>220.04316337339199</v>
      </c>
      <c r="AL425">
        <v>85.787831069904101</v>
      </c>
      <c r="AM425">
        <v>91.820645300393096</v>
      </c>
      <c r="AN425">
        <v>0.99999995917923301</v>
      </c>
    </row>
    <row r="426" spans="1:40" x14ac:dyDescent="0.25">
      <c r="A426" t="str">
        <f>"20190312160610099"</f>
        <v>20190312160610099</v>
      </c>
      <c r="B426" t="str">
        <f>"1552377970095499"</f>
        <v>1552377970095499</v>
      </c>
      <c r="C426" t="s">
        <v>40</v>
      </c>
      <c r="D426">
        <v>6.4411110000000003</v>
      </c>
      <c r="E426">
        <v>0.49168010000000001</v>
      </c>
      <c r="F426" t="s">
        <v>42</v>
      </c>
      <c r="G426">
        <v>-158.19499999999999</v>
      </c>
      <c r="H426">
        <v>1.6112200000000001</v>
      </c>
      <c r="I426">
        <v>378.78070000000002</v>
      </c>
      <c r="J426">
        <v>-377.65570000000002</v>
      </c>
      <c r="K426">
        <v>1.1102730000000001</v>
      </c>
      <c r="L426">
        <v>368.02800000000002</v>
      </c>
      <c r="M426">
        <v>0.99988809999999995</v>
      </c>
      <c r="N426">
        <v>0</v>
      </c>
      <c r="O426">
        <v>-3.4159540000000001E-3</v>
      </c>
      <c r="P426">
        <v>0.99785290000000004</v>
      </c>
      <c r="Q426">
        <v>5.920864E-2</v>
      </c>
      <c r="R426">
        <v>2.800977E-2</v>
      </c>
      <c r="S426">
        <v>3.0018919999999998</v>
      </c>
      <c r="T426">
        <v>6.8433280000000001E-3</v>
      </c>
      <c r="U426">
        <v>0.1468506</v>
      </c>
      <c r="V426">
        <v>-3.1439620000000001E-2</v>
      </c>
      <c r="W426">
        <v>7.3742929999999998E-2</v>
      </c>
      <c r="X426">
        <v>0.99678160000000005</v>
      </c>
      <c r="Y426">
        <v>-5.2272720000000002E-2</v>
      </c>
      <c r="Z426" s="1">
        <v>-6.7330189999999994E-5</v>
      </c>
      <c r="AA426">
        <v>0.99863279999999999</v>
      </c>
      <c r="AB426">
        <v>34</v>
      </c>
      <c r="AC426">
        <v>219.4607</v>
      </c>
      <c r="AD426">
        <v>0.50094700000000003</v>
      </c>
      <c r="AE426">
        <v>10.752700000000001</v>
      </c>
      <c r="AF426">
        <v>-11.5023246411612</v>
      </c>
      <c r="AG426">
        <v>0.50094700000000003</v>
      </c>
      <c r="AH426">
        <v>219.42154415131799</v>
      </c>
      <c r="AI426">
        <v>89.869371332643894</v>
      </c>
      <c r="AJ426">
        <v>93.000762674833993</v>
      </c>
      <c r="AK426">
        <v>219.72339078440501</v>
      </c>
      <c r="AL426">
        <v>85.7710025829236</v>
      </c>
      <c r="AM426">
        <v>91.806574816213498</v>
      </c>
      <c r="AN426">
        <v>1.0000000137646401</v>
      </c>
    </row>
    <row r="427" spans="1:40" x14ac:dyDescent="0.25">
      <c r="A427" t="str">
        <f>"20190312160610111"</f>
        <v>20190312160610111</v>
      </c>
      <c r="B427" t="str">
        <f>"1552377970105260"</f>
        <v>1552377970105260</v>
      </c>
      <c r="C427" t="s">
        <v>40</v>
      </c>
      <c r="D427">
        <v>6.337053</v>
      </c>
      <c r="E427">
        <v>0.49171130000000002</v>
      </c>
      <c r="F427" t="s">
        <v>42</v>
      </c>
      <c r="G427">
        <v>-158.19499999999999</v>
      </c>
      <c r="H427">
        <v>1.582308</v>
      </c>
      <c r="I427">
        <v>378.79500000000002</v>
      </c>
      <c r="J427">
        <v>-377.47190000000001</v>
      </c>
      <c r="K427">
        <v>1.1102730000000001</v>
      </c>
      <c r="L427">
        <v>368.02749999999997</v>
      </c>
      <c r="M427">
        <v>0.9998882</v>
      </c>
      <c r="N427">
        <v>0</v>
      </c>
      <c r="O427">
        <v>-3.3387040000000001E-3</v>
      </c>
      <c r="P427">
        <v>0.99785509999999999</v>
      </c>
      <c r="Q427">
        <v>5.9247830000000001E-2</v>
      </c>
      <c r="R427">
        <v>2.783969E-2</v>
      </c>
      <c r="S427">
        <v>3.0019529999999999</v>
      </c>
      <c r="T427">
        <v>6.4580439999999996E-3</v>
      </c>
      <c r="U427">
        <v>0.14727779999999999</v>
      </c>
      <c r="V427">
        <v>-3.1192859999999999E-2</v>
      </c>
      <c r="W427">
        <v>7.3780979999999996E-2</v>
      </c>
      <c r="X427">
        <v>0.99678650000000002</v>
      </c>
      <c r="Y427">
        <v>-5.2336380000000002E-2</v>
      </c>
      <c r="Z427" s="1">
        <v>-6.3440289999999996E-5</v>
      </c>
      <c r="AA427">
        <v>0.99862949999999995</v>
      </c>
      <c r="AB427">
        <v>34</v>
      </c>
      <c r="AC427">
        <v>219.27690000000001</v>
      </c>
      <c r="AD427">
        <v>0.47203499999999998</v>
      </c>
      <c r="AE427">
        <v>10.7675</v>
      </c>
      <c r="AF427">
        <v>-11.4995652525753</v>
      </c>
      <c r="AG427">
        <v>0.47203499999999998</v>
      </c>
      <c r="AH427">
        <v>219.23871076493199</v>
      </c>
      <c r="AI427">
        <v>89.876808052351393</v>
      </c>
      <c r="AJ427">
        <v>93.002541412733393</v>
      </c>
      <c r="AK427">
        <v>219.54060015384101</v>
      </c>
      <c r="AL427">
        <v>85.768816367832699</v>
      </c>
      <c r="AM427">
        <v>91.792396041207596</v>
      </c>
      <c r="AN427">
        <v>0.99999997705349397</v>
      </c>
    </row>
    <row r="428" spans="1:40" x14ac:dyDescent="0.25">
      <c r="A428" t="str">
        <f>"20190312160610135"</f>
        <v>20190312160610135</v>
      </c>
      <c r="B428" t="str">
        <f>"1552377970125755"</f>
        <v>1552377970125755</v>
      </c>
      <c r="C428" t="s">
        <v>40</v>
      </c>
      <c r="D428">
        <v>6.6711130000000001</v>
      </c>
      <c r="E428">
        <v>0.49190240000000002</v>
      </c>
      <c r="F428" t="s">
        <v>42</v>
      </c>
      <c r="G428">
        <v>-158.19499999999999</v>
      </c>
      <c r="H428">
        <v>1.502651</v>
      </c>
      <c r="I428">
        <v>378.71589999999998</v>
      </c>
      <c r="J428">
        <v>-377.12729999999999</v>
      </c>
      <c r="K428">
        <v>1.110271</v>
      </c>
      <c r="L428">
        <v>368.02640000000002</v>
      </c>
      <c r="M428">
        <v>0.99988869999999996</v>
      </c>
      <c r="N428">
        <v>0</v>
      </c>
      <c r="O428">
        <v>-3.19374E-3</v>
      </c>
      <c r="P428">
        <v>0.99786260000000004</v>
      </c>
      <c r="Q428">
        <v>5.935588E-2</v>
      </c>
      <c r="R428">
        <v>2.7334270000000001E-2</v>
      </c>
      <c r="S428">
        <v>3.0020449999999999</v>
      </c>
      <c r="T428">
        <v>5.3731200000000003E-3</v>
      </c>
      <c r="U428">
        <v>0.14633180000000001</v>
      </c>
      <c r="V428">
        <v>-3.054287E-2</v>
      </c>
      <c r="W428">
        <v>7.3887019999999998E-2</v>
      </c>
      <c r="X428">
        <v>0.99679879999999998</v>
      </c>
      <c r="Y428">
        <v>-5.1876199999999997E-2</v>
      </c>
      <c r="Z428" s="1">
        <v>-5.2110490000000001E-5</v>
      </c>
      <c r="AA428">
        <v>0.99865349999999997</v>
      </c>
      <c r="AB428">
        <v>34</v>
      </c>
      <c r="AC428">
        <v>218.9323</v>
      </c>
      <c r="AD428">
        <v>0.39238000000000001</v>
      </c>
      <c r="AE428">
        <v>10.689499999999899</v>
      </c>
      <c r="AF428">
        <v>-11.388696084627</v>
      </c>
      <c r="AG428">
        <v>0.39238000000000001</v>
      </c>
      <c r="AH428">
        <v>218.89633864544899</v>
      </c>
      <c r="AI428">
        <v>89.897433972811797</v>
      </c>
      <c r="AJ428">
        <v>92.978288295099901</v>
      </c>
      <c r="AK428">
        <v>219.19275406125001</v>
      </c>
      <c r="AL428">
        <v>85.762724205455498</v>
      </c>
      <c r="AM428">
        <v>91.755048448469097</v>
      </c>
      <c r="AN428">
        <v>1.0000000031568701</v>
      </c>
    </row>
    <row r="429" spans="1:40" x14ac:dyDescent="0.25">
      <c r="A429" t="str">
        <f>"20190312160610156"</f>
        <v>20190312160610156</v>
      </c>
      <c r="B429" t="str">
        <f>"1552377970145276"</f>
        <v>1552377970145276</v>
      </c>
      <c r="C429" t="s">
        <v>40</v>
      </c>
      <c r="D429">
        <v>6.3923909999999999</v>
      </c>
      <c r="E429">
        <v>0.49187969999999998</v>
      </c>
      <c r="F429" t="s">
        <v>42</v>
      </c>
      <c r="G429">
        <v>-158.19499999999999</v>
      </c>
      <c r="H429">
        <v>1.423243</v>
      </c>
      <c r="I429">
        <v>378.47469999999998</v>
      </c>
      <c r="J429">
        <v>-376.7901</v>
      </c>
      <c r="K429">
        <v>1.1102730000000001</v>
      </c>
      <c r="L429">
        <v>368.02550000000002</v>
      </c>
      <c r="M429">
        <v>0.99988909999999998</v>
      </c>
      <c r="N429">
        <v>0</v>
      </c>
      <c r="O429">
        <v>-3.0519919999999999E-3</v>
      </c>
      <c r="P429">
        <v>0.99784059999999997</v>
      </c>
      <c r="Q429">
        <v>5.965612E-2</v>
      </c>
      <c r="R429">
        <v>2.7475369999999999E-2</v>
      </c>
      <c r="S429">
        <v>3.0022890000000002</v>
      </c>
      <c r="T429">
        <v>4.293084E-3</v>
      </c>
      <c r="U429">
        <v>0.14327999999999999</v>
      </c>
      <c r="V429">
        <v>-3.054219E-2</v>
      </c>
      <c r="W429">
        <v>7.4183739999999998E-2</v>
      </c>
      <c r="X429">
        <v>0.99677680000000002</v>
      </c>
      <c r="Y429">
        <v>-5.071792E-2</v>
      </c>
      <c r="Z429" s="1">
        <v>-4.0603289999999997E-5</v>
      </c>
      <c r="AA429">
        <v>0.99871299999999996</v>
      </c>
      <c r="AB429">
        <v>34</v>
      </c>
      <c r="AC429">
        <v>218.5951</v>
      </c>
      <c r="AD429">
        <v>0.31297000000000003</v>
      </c>
      <c r="AE429">
        <v>10.4491999999999</v>
      </c>
      <c r="AF429">
        <v>-11.1163499726502</v>
      </c>
      <c r="AG429">
        <v>0.31297000000000003</v>
      </c>
      <c r="AH429">
        <v>218.561740448997</v>
      </c>
      <c r="AI429">
        <v>89.918061143758493</v>
      </c>
      <c r="AJ429">
        <v>92.9116330010648</v>
      </c>
      <c r="AK429">
        <v>218.84447805469</v>
      </c>
      <c r="AL429">
        <v>85.745676691952795</v>
      </c>
      <c r="AM429">
        <v>91.7550481097106</v>
      </c>
      <c r="AN429">
        <v>1.0000000208343101</v>
      </c>
    </row>
    <row r="430" spans="1:40" x14ac:dyDescent="0.25">
      <c r="A430" t="str">
        <f>"20190312160610177"</f>
        <v>20190312160610177</v>
      </c>
      <c r="B430" t="str">
        <f>"1552377970165772"</f>
        <v>1552377970165772</v>
      </c>
      <c r="C430" t="s">
        <v>40</v>
      </c>
      <c r="D430">
        <v>6.3425019999999996</v>
      </c>
      <c r="E430">
        <v>0.49183389999999999</v>
      </c>
      <c r="F430" t="s">
        <v>42</v>
      </c>
      <c r="G430">
        <v>-158.19499999999999</v>
      </c>
      <c r="H430">
        <v>1.465274</v>
      </c>
      <c r="I430">
        <v>378.50229999999999</v>
      </c>
      <c r="J430">
        <v>-376.47649999999999</v>
      </c>
      <c r="K430">
        <v>1.1102719999999999</v>
      </c>
      <c r="L430">
        <v>368.0247</v>
      </c>
      <c r="M430">
        <v>0.99988969999999999</v>
      </c>
      <c r="N430">
        <v>0</v>
      </c>
      <c r="O430">
        <v>-2.9207349999999998E-3</v>
      </c>
      <c r="P430">
        <v>0.99784099999999998</v>
      </c>
      <c r="Q430">
        <v>5.9889240000000003E-2</v>
      </c>
      <c r="R430">
        <v>2.6962469999999999E-2</v>
      </c>
      <c r="S430">
        <v>3.0022280000000001</v>
      </c>
      <c r="T430">
        <v>4.8768520000000001E-3</v>
      </c>
      <c r="U430">
        <v>0.1438904</v>
      </c>
      <c r="V430">
        <v>-2.9898589999999999E-2</v>
      </c>
      <c r="W430">
        <v>7.4414839999999996E-2</v>
      </c>
      <c r="X430">
        <v>0.99677910000000003</v>
      </c>
      <c r="Y430">
        <v>-5.0790340000000003E-2</v>
      </c>
      <c r="Z430" s="1">
        <v>-4.597084E-5</v>
      </c>
      <c r="AA430">
        <v>0.99870930000000002</v>
      </c>
      <c r="AB430">
        <v>34</v>
      </c>
      <c r="AC430">
        <v>218.28149999999999</v>
      </c>
      <c r="AD430">
        <v>0.35500199999999998</v>
      </c>
      <c r="AE430">
        <v>10.477599999999899</v>
      </c>
      <c r="AF430">
        <v>-11.115135993105699</v>
      </c>
      <c r="AG430">
        <v>0.35500199999999998</v>
      </c>
      <c r="AH430">
        <v>218.24938727066899</v>
      </c>
      <c r="AI430">
        <v>89.906924039518202</v>
      </c>
      <c r="AJ430">
        <v>92.915474998539807</v>
      </c>
      <c r="AK430">
        <v>218.53253148807701</v>
      </c>
      <c r="AL430">
        <v>85.732398994597204</v>
      </c>
      <c r="AM430">
        <v>91.718083317592104</v>
      </c>
      <c r="AN430">
        <v>1.0000000341465101</v>
      </c>
    </row>
    <row r="431" spans="1:40" x14ac:dyDescent="0.25">
      <c r="A431" t="str">
        <f>"20190312160610189"</f>
        <v>20190312160610189</v>
      </c>
      <c r="B431" t="str">
        <f>"1552377970185291"</f>
        <v>1552377970185291</v>
      </c>
      <c r="C431" t="s">
        <v>40</v>
      </c>
      <c r="D431">
        <v>6.2538580000000001</v>
      </c>
      <c r="E431">
        <v>0.49171189999999998</v>
      </c>
      <c r="F431" t="s">
        <v>42</v>
      </c>
      <c r="G431">
        <v>-158.19499999999999</v>
      </c>
      <c r="H431">
        <v>1.4470430000000001</v>
      </c>
      <c r="I431">
        <v>378.3929</v>
      </c>
      <c r="J431">
        <v>-376.29160000000002</v>
      </c>
      <c r="K431">
        <v>1.1102719999999999</v>
      </c>
      <c r="L431">
        <v>368.02420000000001</v>
      </c>
      <c r="M431">
        <v>0.9998899</v>
      </c>
      <c r="N431">
        <v>0</v>
      </c>
      <c r="O431">
        <v>-2.8427679999999999E-3</v>
      </c>
      <c r="P431">
        <v>0.99783639999999996</v>
      </c>
      <c r="Q431">
        <v>5.9981430000000002E-2</v>
      </c>
      <c r="R431">
        <v>2.6923349999999999E-2</v>
      </c>
      <c r="S431">
        <v>3.0023499999999999</v>
      </c>
      <c r="T431">
        <v>4.6333069999999997E-3</v>
      </c>
      <c r="U431">
        <v>0.1426086</v>
      </c>
      <c r="V431">
        <v>-2.978099E-2</v>
      </c>
      <c r="W431">
        <v>7.4505199999999994E-2</v>
      </c>
      <c r="X431">
        <v>0.99677590000000005</v>
      </c>
      <c r="Y431">
        <v>-5.0285120000000003E-2</v>
      </c>
      <c r="Z431" s="1">
        <v>-4.3163890000000001E-5</v>
      </c>
      <c r="AA431">
        <v>0.99873489999999998</v>
      </c>
      <c r="AB431">
        <v>34</v>
      </c>
      <c r="AC431">
        <v>218.0966</v>
      </c>
      <c r="AD431">
        <v>0.33677099999999999</v>
      </c>
      <c r="AE431">
        <v>10.368699999999899</v>
      </c>
      <c r="AF431">
        <v>-10.988695751351001</v>
      </c>
      <c r="AG431">
        <v>0.33677099999999999</v>
      </c>
      <c r="AH431">
        <v>218.06572084656199</v>
      </c>
      <c r="AI431">
        <v>89.911627149078996</v>
      </c>
      <c r="AJ431">
        <v>92.884789838895202</v>
      </c>
      <c r="AK431">
        <v>218.34267438444701</v>
      </c>
      <c r="AL431">
        <v>85.727207461773105</v>
      </c>
      <c r="AM431">
        <v>91.711335104643695</v>
      </c>
      <c r="AN431">
        <v>1.00000006350661</v>
      </c>
    </row>
    <row r="432" spans="1:40" x14ac:dyDescent="0.25">
      <c r="A432" t="str">
        <f>"20190312160610212"</f>
        <v>20190312160610212</v>
      </c>
      <c r="B432" t="str">
        <f>"1552377970205318"</f>
        <v>1552377970205318</v>
      </c>
      <c r="C432" t="s">
        <v>40</v>
      </c>
      <c r="D432">
        <v>6.4213519999999997</v>
      </c>
      <c r="E432">
        <v>0.49166169999999998</v>
      </c>
      <c r="F432" t="s">
        <v>42</v>
      </c>
      <c r="G432">
        <v>-158.19499999999999</v>
      </c>
      <c r="H432">
        <v>1.4983770000000001</v>
      </c>
      <c r="I432">
        <v>378.47250000000003</v>
      </c>
      <c r="J432">
        <v>-375.95929999999998</v>
      </c>
      <c r="K432">
        <v>1.1102780000000001</v>
      </c>
      <c r="L432">
        <v>368.02339999999998</v>
      </c>
      <c r="M432">
        <v>0.99989030000000001</v>
      </c>
      <c r="N432">
        <v>0</v>
      </c>
      <c r="O432">
        <v>-2.7032839999999998E-3</v>
      </c>
      <c r="P432">
        <v>0.9978532</v>
      </c>
      <c r="Q432">
        <v>5.9868890000000001E-2</v>
      </c>
      <c r="R432">
        <v>2.6554689999999999E-2</v>
      </c>
      <c r="S432">
        <v>3.0022890000000002</v>
      </c>
      <c r="T432">
        <v>5.3437950000000001E-3</v>
      </c>
      <c r="U432">
        <v>0.14382929999999999</v>
      </c>
      <c r="V432">
        <v>-2.927362E-2</v>
      </c>
      <c r="W432">
        <v>7.4390609999999996E-2</v>
      </c>
      <c r="X432">
        <v>0.9967994</v>
      </c>
      <c r="Y432">
        <v>-5.0551899999999997E-2</v>
      </c>
      <c r="Z432" s="1">
        <v>-4.9772440000000001E-5</v>
      </c>
      <c r="AA432">
        <v>0.99872139999999998</v>
      </c>
      <c r="AB432">
        <v>34</v>
      </c>
      <c r="AC432">
        <v>217.76429999999999</v>
      </c>
      <c r="AD432">
        <v>0.38809900000000003</v>
      </c>
      <c r="AE432">
        <v>10.4491</v>
      </c>
      <c r="AF432">
        <v>-11.037768015672301</v>
      </c>
      <c r="AG432">
        <v>0.38809900000000003</v>
      </c>
      <c r="AH432">
        <v>217.734564280218</v>
      </c>
      <c r="AI432">
        <v>89.898004737330595</v>
      </c>
      <c r="AJ432">
        <v>92.902050113306103</v>
      </c>
      <c r="AK432">
        <v>218.014502787998</v>
      </c>
      <c r="AL432">
        <v>85.733790880361099</v>
      </c>
      <c r="AM432">
        <v>91.682156851055197</v>
      </c>
      <c r="AN432">
        <v>0.999999975762218</v>
      </c>
    </row>
    <row r="433" spans="1:40" x14ac:dyDescent="0.25">
      <c r="A433" t="str">
        <f>"20190312160610235"</f>
        <v>20190312160610235</v>
      </c>
      <c r="B433" t="str">
        <f>"1552377970225813"</f>
        <v>1552377970225813</v>
      </c>
      <c r="C433" t="s">
        <v>40</v>
      </c>
      <c r="D433">
        <v>6.4393940000000001</v>
      </c>
      <c r="E433">
        <v>0.49163709999999999</v>
      </c>
      <c r="F433" t="s">
        <v>42</v>
      </c>
      <c r="G433">
        <v>-158.19499999999999</v>
      </c>
      <c r="H433">
        <v>1.387284</v>
      </c>
      <c r="I433">
        <v>378.38900000000001</v>
      </c>
      <c r="J433">
        <v>-375.60300000000001</v>
      </c>
      <c r="K433">
        <v>1.1102810000000001</v>
      </c>
      <c r="L433">
        <v>368.02260000000001</v>
      </c>
      <c r="M433">
        <v>0.99989070000000002</v>
      </c>
      <c r="N433">
        <v>0</v>
      </c>
      <c r="O433">
        <v>-2.5535480000000001E-3</v>
      </c>
      <c r="P433">
        <v>0.99788480000000002</v>
      </c>
      <c r="Q433">
        <v>5.9302899999999999E-2</v>
      </c>
      <c r="R433">
        <v>2.6634000000000001E-2</v>
      </c>
      <c r="S433">
        <v>3.0024109999999999</v>
      </c>
      <c r="T433">
        <v>3.8204189999999998E-3</v>
      </c>
      <c r="U433">
        <v>0.14291379999999901</v>
      </c>
      <c r="V433">
        <v>-2.9203079999999999E-2</v>
      </c>
      <c r="W433">
        <v>7.3821869999999998E-2</v>
      </c>
      <c r="X433">
        <v>0.99684379999999995</v>
      </c>
      <c r="Y433">
        <v>-5.0096590000000003E-2</v>
      </c>
      <c r="Z433" s="1">
        <v>-3.5102489999999997E-5</v>
      </c>
      <c r="AA433">
        <v>0.99874439999999998</v>
      </c>
      <c r="AB433">
        <v>34</v>
      </c>
      <c r="AC433">
        <v>217.40799999999999</v>
      </c>
      <c r="AD433">
        <v>0.277003</v>
      </c>
      <c r="AE433">
        <v>10.366400000000001</v>
      </c>
      <c r="AF433">
        <v>-10.921569144435299</v>
      </c>
      <c r="AG433">
        <v>0.277003</v>
      </c>
      <c r="AH433">
        <v>217.38046503637801</v>
      </c>
      <c r="AI433">
        <v>89.927081299914093</v>
      </c>
      <c r="AJ433">
        <v>92.876220238138501</v>
      </c>
      <c r="AK433">
        <v>217.65482761168099</v>
      </c>
      <c r="AL433">
        <v>85.766467340189294</v>
      </c>
      <c r="AM433">
        <v>91.678031013997796</v>
      </c>
      <c r="AN433">
        <v>1.00000002498511</v>
      </c>
    </row>
    <row r="434" spans="1:40" x14ac:dyDescent="0.25">
      <c r="A434" t="str">
        <f>"20190312160610247"</f>
        <v>20190312160610247</v>
      </c>
      <c r="B434" t="str">
        <f>"1552377970235574"</f>
        <v>1552377970235574</v>
      </c>
      <c r="C434" t="s">
        <v>40</v>
      </c>
      <c r="D434">
        <v>6.4269509999999999</v>
      </c>
      <c r="E434">
        <v>0.49163709999999999</v>
      </c>
      <c r="F434" t="s">
        <v>42</v>
      </c>
      <c r="G434">
        <v>-158.19499999999999</v>
      </c>
      <c r="H434">
        <v>1.135545</v>
      </c>
      <c r="I434">
        <v>378.37759999999997</v>
      </c>
      <c r="J434">
        <v>-375.41390000000001</v>
      </c>
      <c r="K434">
        <v>1.110282</v>
      </c>
      <c r="L434">
        <v>368.0222</v>
      </c>
      <c r="M434">
        <v>0.99989099999999997</v>
      </c>
      <c r="N434">
        <v>0</v>
      </c>
      <c r="O434">
        <v>-2.4742660000000001E-3</v>
      </c>
      <c r="P434">
        <v>0.99787579999999998</v>
      </c>
      <c r="Q434">
        <v>5.9346950000000002E-2</v>
      </c>
      <c r="R434">
        <v>2.6873640000000001E-2</v>
      </c>
      <c r="S434">
        <v>3.002472</v>
      </c>
      <c r="T434">
        <v>3.5011770000000002E-4</v>
      </c>
      <c r="U434">
        <v>0.14300539999999901</v>
      </c>
      <c r="V434">
        <v>-2.936412E-2</v>
      </c>
      <c r="W434">
        <v>7.3864189999999996E-2</v>
      </c>
      <c r="X434">
        <v>0.9968359</v>
      </c>
      <c r="Y434">
        <v>-5.0046859999999999E-2</v>
      </c>
      <c r="Z434" s="1">
        <v>-3.2047189999999999E-6</v>
      </c>
      <c r="AA434">
        <v>0.99874689999999999</v>
      </c>
      <c r="AB434">
        <v>34</v>
      </c>
      <c r="AC434">
        <v>217.21889999999999</v>
      </c>
      <c r="AD434">
        <v>2.5263000000000001E-2</v>
      </c>
      <c r="AE434">
        <v>10.3553999999999</v>
      </c>
      <c r="AF434">
        <v>-10.8928824307685</v>
      </c>
      <c r="AG434">
        <v>2.5263000000000001E-2</v>
      </c>
      <c r="AH434">
        <v>217.19260729196299</v>
      </c>
      <c r="AI434">
        <v>89.993343943469995</v>
      </c>
      <c r="AJ434">
        <v>92.871155235696506</v>
      </c>
      <c r="AK434">
        <v>217.46559311337199</v>
      </c>
      <c r="AL434">
        <v>85.764035799858206</v>
      </c>
      <c r="AM434">
        <v>91.687292523728502</v>
      </c>
      <c r="AN434">
        <v>0.99999999081826996</v>
      </c>
    </row>
    <row r="435" spans="1:40" x14ac:dyDescent="0.25">
      <c r="A435" t="str">
        <f>"20190312160610260"</f>
        <v>20190312160610260</v>
      </c>
      <c r="B435" t="str">
        <f>"1552377970256071"</f>
        <v>1552377970256071</v>
      </c>
      <c r="C435" t="s">
        <v>40</v>
      </c>
      <c r="D435">
        <v>6.4395610000000003</v>
      </c>
      <c r="E435">
        <v>0.49155389999999999</v>
      </c>
      <c r="F435" t="s">
        <v>42</v>
      </c>
      <c r="G435">
        <v>-158.19499999999999</v>
      </c>
      <c r="H435">
        <v>1.143829</v>
      </c>
      <c r="I435">
        <v>378.41230000000002</v>
      </c>
      <c r="J435">
        <v>-375.21890000000002</v>
      </c>
      <c r="K435">
        <v>1.1102810000000001</v>
      </c>
      <c r="L435">
        <v>368.02190000000002</v>
      </c>
      <c r="M435">
        <v>0.99989119999999998</v>
      </c>
      <c r="N435">
        <v>0</v>
      </c>
      <c r="O435">
        <v>-2.3923619999999999E-3</v>
      </c>
      <c r="P435">
        <v>0.99788350000000003</v>
      </c>
      <c r="Q435">
        <v>5.8991960000000003E-2</v>
      </c>
      <c r="R435">
        <v>2.7359749999999999E-2</v>
      </c>
      <c r="S435">
        <v>3.0025019999999998</v>
      </c>
      <c r="T435">
        <v>4.6491620000000002E-4</v>
      </c>
      <c r="U435">
        <v>0.14361570000000001</v>
      </c>
      <c r="V435">
        <v>-2.9767990000000001E-2</v>
      </c>
      <c r="W435">
        <v>7.3507050000000004E-2</v>
      </c>
      <c r="X435">
        <v>0.99685029999999997</v>
      </c>
      <c r="Y435">
        <v>-5.0167129999999997E-2</v>
      </c>
      <c r="Z435" s="1">
        <v>-4.2520659999999998E-6</v>
      </c>
      <c r="AA435">
        <v>0.99874090000000004</v>
      </c>
      <c r="AB435">
        <v>34</v>
      </c>
      <c r="AC435">
        <v>217.0239</v>
      </c>
      <c r="AD435">
        <v>3.3548000000000099E-2</v>
      </c>
      <c r="AE435">
        <v>10.3904</v>
      </c>
      <c r="AF435">
        <v>-10.9096247396316</v>
      </c>
      <c r="AG435">
        <v>3.3548000000000099E-2</v>
      </c>
      <c r="AH435">
        <v>216.99841340542901</v>
      </c>
      <c r="AI435">
        <v>89.991153234039501</v>
      </c>
      <c r="AJ435">
        <v>92.878129827869998</v>
      </c>
      <c r="AK435">
        <v>217.272484355248</v>
      </c>
      <c r="AL435">
        <v>85.784554106290798</v>
      </c>
      <c r="AM435">
        <v>91.710460922377194</v>
      </c>
      <c r="AN435">
        <v>0.99999997011921504</v>
      </c>
    </row>
    <row r="436" spans="1:40" x14ac:dyDescent="0.25">
      <c r="A436" t="str">
        <f>"20190312160610277"</f>
        <v>20190312160610277</v>
      </c>
      <c r="B436" t="str">
        <f>"1552377970265830"</f>
        <v>1552377970265830</v>
      </c>
      <c r="C436" t="s">
        <v>40</v>
      </c>
      <c r="D436">
        <v>6.3679589999999999</v>
      </c>
      <c r="E436">
        <v>0.49151850000000002</v>
      </c>
      <c r="F436" t="s">
        <v>42</v>
      </c>
      <c r="G436">
        <v>-158.19499999999999</v>
      </c>
      <c r="H436">
        <v>0.94836620000000005</v>
      </c>
      <c r="I436">
        <v>378.56799999999998</v>
      </c>
      <c r="J436">
        <v>-374.9615</v>
      </c>
      <c r="K436">
        <v>1.110285</v>
      </c>
      <c r="L436">
        <v>368.0213</v>
      </c>
      <c r="M436">
        <v>0.99989159999999999</v>
      </c>
      <c r="N436">
        <v>0</v>
      </c>
      <c r="O436">
        <v>-2.2841129999999999E-3</v>
      </c>
      <c r="P436">
        <v>0.99789519999999998</v>
      </c>
      <c r="Q436">
        <v>5.8664359999999999E-2</v>
      </c>
      <c r="R436">
        <v>2.7639110000000001E-2</v>
      </c>
      <c r="S436">
        <v>3.0025019999999998</v>
      </c>
      <c r="T436">
        <v>-2.23887E-3</v>
      </c>
      <c r="U436">
        <v>0.14590449999999999</v>
      </c>
      <c r="V436">
        <v>-2.9938889999999999E-2</v>
      </c>
      <c r="W436">
        <v>7.3177489999999998E-2</v>
      </c>
      <c r="X436">
        <v>0.99686940000000002</v>
      </c>
      <c r="Y436">
        <v>-5.081857E-2</v>
      </c>
      <c r="Z436" s="1">
        <v>2.0638100000000002E-5</v>
      </c>
      <c r="AA436">
        <v>0.99870789999999998</v>
      </c>
      <c r="AB436">
        <v>34</v>
      </c>
      <c r="AC436">
        <v>216.76650000000001</v>
      </c>
      <c r="AD436">
        <v>-0.161918799999999</v>
      </c>
      <c r="AE436">
        <v>10.5467</v>
      </c>
      <c r="AF436">
        <v>-11.041837901088201</v>
      </c>
      <c r="AG436">
        <v>-0.161918799999999</v>
      </c>
      <c r="AH436">
        <v>216.741721372592</v>
      </c>
      <c r="AI436">
        <v>90.042747868509593</v>
      </c>
      <c r="AJ436">
        <v>92.916393934759</v>
      </c>
      <c r="AK436">
        <v>217.022860974336</v>
      </c>
      <c r="AL436">
        <v>85.803487374226194</v>
      </c>
      <c r="AM436">
        <v>91.720241967416897</v>
      </c>
      <c r="AN436">
        <v>0.99999994141674398</v>
      </c>
    </row>
    <row r="437" spans="1:40" x14ac:dyDescent="0.25">
      <c r="A437" t="str">
        <f>"20190312160610289"</f>
        <v>20190312160610289</v>
      </c>
      <c r="B437" t="str">
        <f>"1552377970285350"</f>
        <v>1552377970285350</v>
      </c>
      <c r="C437" t="s">
        <v>40</v>
      </c>
      <c r="D437">
        <v>6.3729809999999896</v>
      </c>
      <c r="E437">
        <v>0.49152109999999899</v>
      </c>
      <c r="F437" t="s">
        <v>42</v>
      </c>
      <c r="G437">
        <v>-158.19499999999999</v>
      </c>
      <c r="H437">
        <v>0.83716959999999996</v>
      </c>
      <c r="I437">
        <v>378.62990000000002</v>
      </c>
      <c r="J437">
        <v>-374.78809999999999</v>
      </c>
      <c r="K437">
        <v>1.1102860000000001</v>
      </c>
      <c r="L437">
        <v>368.02100000000002</v>
      </c>
      <c r="M437">
        <v>0.99989159999999999</v>
      </c>
      <c r="N437">
        <v>0</v>
      </c>
      <c r="O437">
        <v>-2.2110329999999998E-3</v>
      </c>
      <c r="P437">
        <v>0.9978863</v>
      </c>
      <c r="Q437">
        <v>5.8795630000000002E-2</v>
      </c>
      <c r="R437">
        <v>2.7675680000000001E-2</v>
      </c>
      <c r="S437">
        <v>3.0025019999999998</v>
      </c>
      <c r="T437">
        <v>-3.781796E-3</v>
      </c>
      <c r="U437">
        <v>0.14694209999999999</v>
      </c>
      <c r="V437">
        <v>-2.990247E-2</v>
      </c>
      <c r="W437">
        <v>7.3306860000000001E-2</v>
      </c>
      <c r="X437">
        <v>0.996861</v>
      </c>
      <c r="Y437">
        <v>-5.1089849999999999E-2</v>
      </c>
      <c r="Z437" s="1">
        <v>3.4939359999999997E-5</v>
      </c>
      <c r="AA437">
        <v>0.99869410000000003</v>
      </c>
      <c r="AB437">
        <v>34</v>
      </c>
      <c r="AC437">
        <v>216.59309999999999</v>
      </c>
      <c r="AD437">
        <v>-0.27311639999999998</v>
      </c>
      <c r="AE437">
        <v>10.6089</v>
      </c>
      <c r="AF437">
        <v>-11.0878017135087</v>
      </c>
      <c r="AG437">
        <v>-0.27311639999999998</v>
      </c>
      <c r="AH437">
        <v>216.56876782029499</v>
      </c>
      <c r="AI437">
        <v>90.072161560449004</v>
      </c>
      <c r="AJ437">
        <v>92.930847564618702</v>
      </c>
      <c r="AK437">
        <v>216.85258848952401</v>
      </c>
      <c r="AL437">
        <v>85.796055107335505</v>
      </c>
      <c r="AM437">
        <v>91.718165055264706</v>
      </c>
      <c r="AN437">
        <v>0.99999995337807901</v>
      </c>
    </row>
    <row r="438" spans="1:40" x14ac:dyDescent="0.25">
      <c r="A438" t="str">
        <f>"20190312160610301"</f>
        <v>20190312160610301</v>
      </c>
      <c r="B438" t="str">
        <f>"1552377970295110"</f>
        <v>1552377970295110</v>
      </c>
      <c r="C438" t="s">
        <v>40</v>
      </c>
      <c r="D438">
        <v>6.1712740000000004</v>
      </c>
      <c r="E438">
        <v>0.49152109999999899</v>
      </c>
      <c r="F438" t="s">
        <v>42</v>
      </c>
      <c r="G438">
        <v>-158.19499999999999</v>
      </c>
      <c r="H438">
        <v>0.80092719999999995</v>
      </c>
      <c r="I438">
        <v>378.62990000000002</v>
      </c>
      <c r="J438">
        <v>-374.60719999999998</v>
      </c>
      <c r="K438">
        <v>1.1102890000000001</v>
      </c>
      <c r="L438">
        <v>368.02069999999998</v>
      </c>
      <c r="M438">
        <v>0.99989189999999994</v>
      </c>
      <c r="N438">
        <v>0</v>
      </c>
      <c r="O438">
        <v>-2.135091E-3</v>
      </c>
      <c r="P438">
        <v>0.99787550000000003</v>
      </c>
      <c r="Q438">
        <v>5.8912829999999999E-2</v>
      </c>
      <c r="R438">
        <v>2.782395E-2</v>
      </c>
      <c r="S438">
        <v>3.0025019999999998</v>
      </c>
      <c r="T438">
        <v>-4.2872429999999996E-3</v>
      </c>
      <c r="U438">
        <v>0.14706420000000001</v>
      </c>
      <c r="V438">
        <v>-2.9974939999999999E-2</v>
      </c>
      <c r="W438">
        <v>7.3422420000000002E-2</v>
      </c>
      <c r="X438">
        <v>0.99685040000000003</v>
      </c>
      <c r="Y438">
        <v>-5.1054490000000001E-2</v>
      </c>
      <c r="Z438" s="1">
        <v>3.9475450000000002E-5</v>
      </c>
      <c r="AA438">
        <v>0.99869589999999997</v>
      </c>
      <c r="AB438">
        <v>34</v>
      </c>
      <c r="AC438">
        <v>216.41220000000001</v>
      </c>
      <c r="AD438">
        <v>-0.30936179999999902</v>
      </c>
      <c r="AE438">
        <v>10.6092</v>
      </c>
      <c r="AF438">
        <v>-11.071261884651101</v>
      </c>
      <c r="AG438">
        <v>-0.30936179999999902</v>
      </c>
      <c r="AH438">
        <v>216.388611495383</v>
      </c>
      <c r="AI438">
        <v>90.081806334224694</v>
      </c>
      <c r="AJ438">
        <v>92.928915413684905</v>
      </c>
      <c r="AK438">
        <v>216.67187110776899</v>
      </c>
      <c r="AL438">
        <v>85.789416457574006</v>
      </c>
      <c r="AM438">
        <v>91.722344904964103</v>
      </c>
      <c r="AN438">
        <v>1.0000000343833999</v>
      </c>
    </row>
    <row r="439" spans="1:40" x14ac:dyDescent="0.25">
      <c r="A439" t="str">
        <f>"20190312160610313"</f>
        <v>20190312160610313</v>
      </c>
      <c r="B439" t="str">
        <f>"1552377970305846"</f>
        <v>1552377970305846</v>
      </c>
      <c r="C439" t="s">
        <v>40</v>
      </c>
      <c r="D439">
        <v>6.3136890000000001</v>
      </c>
      <c r="E439">
        <v>0.50137049999999905</v>
      </c>
      <c r="F439" t="s">
        <v>42</v>
      </c>
      <c r="G439">
        <v>-158.19499999999999</v>
      </c>
      <c r="H439">
        <v>0.82550429999999997</v>
      </c>
      <c r="I439">
        <v>378.66469999999998</v>
      </c>
      <c r="J439">
        <v>-374.42219999999998</v>
      </c>
      <c r="K439">
        <v>1.110285</v>
      </c>
      <c r="L439">
        <v>368.0204</v>
      </c>
      <c r="M439">
        <v>0.99989209999999995</v>
      </c>
      <c r="N439">
        <v>0</v>
      </c>
      <c r="O439">
        <v>-2.0571230000000001E-3</v>
      </c>
      <c r="P439">
        <v>0.99787380000000003</v>
      </c>
      <c r="Q439">
        <v>5.8991410000000001E-2</v>
      </c>
      <c r="R439">
        <v>2.771444E-2</v>
      </c>
      <c r="S439">
        <v>3.0025019999999998</v>
      </c>
      <c r="T439">
        <v>-3.9498809999999997E-3</v>
      </c>
      <c r="U439">
        <v>0.14767459999999999</v>
      </c>
      <c r="V439">
        <v>-2.978797E-2</v>
      </c>
      <c r="W439">
        <v>7.3499449999999994E-2</v>
      </c>
      <c r="X439">
        <v>0.99685029999999997</v>
      </c>
      <c r="Y439">
        <v>-5.117915E-2</v>
      </c>
      <c r="Z439" s="1">
        <v>3.6348369999999997E-5</v>
      </c>
      <c r="AA439">
        <v>0.99868950000000001</v>
      </c>
      <c r="AB439">
        <v>34</v>
      </c>
      <c r="AC439">
        <v>216.22720000000001</v>
      </c>
      <c r="AD439">
        <v>-0.2847807</v>
      </c>
      <c r="AE439">
        <v>10.6442999999999</v>
      </c>
      <c r="AF439">
        <v>-11.089111289084</v>
      </c>
      <c r="AG439">
        <v>-0.2847807</v>
      </c>
      <c r="AH439">
        <v>216.204469318918</v>
      </c>
      <c r="AI439">
        <v>90.075369872053301</v>
      </c>
      <c r="AJ439">
        <v>92.936123465924496</v>
      </c>
      <c r="AK439">
        <v>216.488849696015</v>
      </c>
      <c r="AL439">
        <v>85.784990888766998</v>
      </c>
      <c r="AM439">
        <v>91.711608285287198</v>
      </c>
      <c r="AN439">
        <v>1.0000000064585499</v>
      </c>
    </row>
    <row r="440" spans="1:40" x14ac:dyDescent="0.25">
      <c r="A440" t="str">
        <f>"20190312160610325"</f>
        <v>20190312160610325</v>
      </c>
      <c r="B440" t="str">
        <f>"1552377970315606"</f>
        <v>1552377970315606</v>
      </c>
      <c r="C440" t="s">
        <v>40</v>
      </c>
      <c r="D440">
        <v>6.3819999999999997</v>
      </c>
      <c r="E440">
        <v>0.50245649999999997</v>
      </c>
      <c r="F440" t="s">
        <v>47</v>
      </c>
      <c r="G440">
        <v>-354.08170000000001</v>
      </c>
      <c r="H440" s="1">
        <v>-2.7254650000000001E-6</v>
      </c>
      <c r="I440">
        <v>368.46519999999998</v>
      </c>
      <c r="J440">
        <v>-374.24630000000002</v>
      </c>
      <c r="K440">
        <v>1.110285</v>
      </c>
      <c r="L440">
        <v>368.02010000000001</v>
      </c>
      <c r="M440">
        <v>0.99989220000000001</v>
      </c>
      <c r="N440">
        <v>0</v>
      </c>
      <c r="O440">
        <v>-1.9830889999999999E-3</v>
      </c>
      <c r="P440">
        <v>0.99787420000000004</v>
      </c>
      <c r="Q440">
        <v>5.89557E-2</v>
      </c>
      <c r="R440">
        <v>2.7768589999999999E-2</v>
      </c>
      <c r="S440">
        <v>3.014313</v>
      </c>
      <c r="T440">
        <v>-0.16453499999999999</v>
      </c>
      <c r="U440">
        <v>6.5917970000000006E-2</v>
      </c>
      <c r="V440">
        <v>-2.9768079999999999E-2</v>
      </c>
      <c r="W440">
        <v>7.3461879999999993E-2</v>
      </c>
      <c r="X440">
        <v>0.99685360000000001</v>
      </c>
      <c r="Y440">
        <v>-2.380751E-2</v>
      </c>
      <c r="Z440">
        <v>7.5736550000000003E-4</v>
      </c>
      <c r="AA440">
        <v>0.9997163</v>
      </c>
      <c r="AB440">
        <v>34</v>
      </c>
      <c r="AC440">
        <v>20.1646</v>
      </c>
      <c r="AD440">
        <v>-1.1102877254650001</v>
      </c>
      <c r="AE440">
        <v>0.44509999999996802</v>
      </c>
      <c r="AF440">
        <v>-0.48362603956337402</v>
      </c>
      <c r="AG440">
        <v>-1.1102877254650001</v>
      </c>
      <c r="AH440">
        <v>20.102760925250202</v>
      </c>
      <c r="AI440">
        <v>93.160356420976001</v>
      </c>
      <c r="AJ440">
        <v>91.378138406506906</v>
      </c>
      <c r="AK440">
        <v>20.139206285184802</v>
      </c>
      <c r="AL440">
        <v>85.7871490588863</v>
      </c>
      <c r="AM440">
        <v>91.710460431691104</v>
      </c>
      <c r="AN440">
        <v>0.99999994311648799</v>
      </c>
    </row>
    <row r="441" spans="1:40" x14ac:dyDescent="0.25">
      <c r="A441" t="str">
        <f>"20190312160610340"</f>
        <v>20190312160610340</v>
      </c>
      <c r="B441" t="str">
        <f>"1552377970335126"</f>
        <v>1552377970335126</v>
      </c>
      <c r="C441" t="s">
        <v>40</v>
      </c>
      <c r="D441">
        <v>6.1809770000000004</v>
      </c>
      <c r="E441">
        <v>0.50312609999999902</v>
      </c>
      <c r="F441" t="s">
        <v>47</v>
      </c>
      <c r="G441">
        <v>-351.7355</v>
      </c>
      <c r="H441" s="1">
        <v>-3.7347110000000001E-6</v>
      </c>
      <c r="I441">
        <v>368.44979999999998</v>
      </c>
      <c r="J441">
        <v>-374.02859999999998</v>
      </c>
      <c r="K441">
        <v>1.110284</v>
      </c>
      <c r="L441">
        <v>368.0197</v>
      </c>
      <c r="M441">
        <v>0.99989240000000001</v>
      </c>
      <c r="N441">
        <v>0</v>
      </c>
      <c r="O441">
        <v>-1.8914100000000001E-3</v>
      </c>
      <c r="P441">
        <v>0.99788619999999995</v>
      </c>
      <c r="Q441">
        <v>5.8788390000000003E-2</v>
      </c>
      <c r="R441">
        <v>2.7699109999999999E-2</v>
      </c>
      <c r="S441">
        <v>3.01355</v>
      </c>
      <c r="T441">
        <v>-0.14863460000000001</v>
      </c>
      <c r="U441">
        <v>5.7525630000000001E-2</v>
      </c>
      <c r="V441">
        <v>-2.9607319999999999E-2</v>
      </c>
      <c r="W441">
        <v>7.3292579999999996E-2</v>
      </c>
      <c r="X441">
        <v>0.9968709</v>
      </c>
      <c r="Y441">
        <v>-2.0948990000000001E-2</v>
      </c>
      <c r="Z441">
        <v>6.0949669999999997E-4</v>
      </c>
      <c r="AA441">
        <v>0.99978040000000001</v>
      </c>
      <c r="AB441">
        <v>34</v>
      </c>
      <c r="AC441">
        <v>22.2930999999999</v>
      </c>
      <c r="AD441">
        <v>-1.1102877347110001</v>
      </c>
      <c r="AE441">
        <v>0.430099999999981</v>
      </c>
      <c r="AF441">
        <v>-0.47110097805269602</v>
      </c>
      <c r="AG441">
        <v>-1.1102877347110001</v>
      </c>
      <c r="AH441">
        <v>22.2371090607577</v>
      </c>
      <c r="AI441">
        <v>92.857735759191002</v>
      </c>
      <c r="AJ441">
        <v>91.213649696564403</v>
      </c>
      <c r="AK441">
        <v>22.269793316629698</v>
      </c>
      <c r="AL441">
        <v>85.796875666821094</v>
      </c>
      <c r="AM441">
        <v>91.701199171291606</v>
      </c>
      <c r="AN441">
        <v>0.99999999347372404</v>
      </c>
    </row>
    <row r="442" spans="1:40" x14ac:dyDescent="0.25">
      <c r="A442" t="str">
        <f>"20190312160610358"</f>
        <v>20190312160610358</v>
      </c>
      <c r="B442" t="str">
        <f>"1552377970345861"</f>
        <v>1552377970345861</v>
      </c>
      <c r="C442" t="s">
        <v>40</v>
      </c>
      <c r="D442">
        <v>6.7223519999999999</v>
      </c>
      <c r="E442">
        <v>0.50312609999999902</v>
      </c>
      <c r="F442" t="s">
        <v>47</v>
      </c>
      <c r="G442">
        <v>-352.28089999999997</v>
      </c>
      <c r="H442" s="1">
        <v>-3.5099820000000002E-6</v>
      </c>
      <c r="I442">
        <v>368.39760000000001</v>
      </c>
      <c r="J442">
        <v>-373.762</v>
      </c>
      <c r="K442">
        <v>1.1102890000000001</v>
      </c>
      <c r="L442">
        <v>368.01929999999999</v>
      </c>
      <c r="M442">
        <v>0.99989269999999997</v>
      </c>
      <c r="N442">
        <v>0</v>
      </c>
      <c r="O442">
        <v>-1.7792260000000001E-3</v>
      </c>
      <c r="P442">
        <v>0.99787559999999997</v>
      </c>
      <c r="Q442">
        <v>5.9057730000000003E-2</v>
      </c>
      <c r="R442">
        <v>2.7506739999999998E-2</v>
      </c>
      <c r="S442">
        <v>3.0139770000000001</v>
      </c>
      <c r="T442">
        <v>-0.15387210000000001</v>
      </c>
      <c r="U442">
        <v>5.2368159999999997E-2</v>
      </c>
      <c r="V442">
        <v>-2.9302990000000001E-2</v>
      </c>
      <c r="W442">
        <v>7.3559369999999999E-2</v>
      </c>
      <c r="X442">
        <v>0.99686030000000003</v>
      </c>
      <c r="Y442">
        <v>-1.9124390000000002E-2</v>
      </c>
      <c r="Z442">
        <v>5.7860140000000001E-4</v>
      </c>
      <c r="AA442">
        <v>0.99981699999999996</v>
      </c>
      <c r="AB442">
        <v>34</v>
      </c>
      <c r="AC442">
        <v>21.481099999999898</v>
      </c>
      <c r="AD442">
        <v>-1.11029250998199</v>
      </c>
      <c r="AE442">
        <v>0.37830000000002401</v>
      </c>
      <c r="AF442">
        <v>-0.415413723062249</v>
      </c>
      <c r="AG442">
        <v>-1.11029250998199</v>
      </c>
      <c r="AH442">
        <v>21.423177694416299</v>
      </c>
      <c r="AI442">
        <v>92.9662399356002</v>
      </c>
      <c r="AJ442">
        <v>91.110874910274404</v>
      </c>
      <c r="AK442">
        <v>21.455951634582998</v>
      </c>
      <c r="AL442">
        <v>85.781548599204896</v>
      </c>
      <c r="AM442">
        <v>91.683740765266705</v>
      </c>
      <c r="AN442">
        <v>1.0000000519269101</v>
      </c>
    </row>
    <row r="443" spans="1:40" x14ac:dyDescent="0.25">
      <c r="A443" t="str">
        <f>"20190312160610378"</f>
        <v>20190312160610378</v>
      </c>
      <c r="B443" t="str">
        <f>"1552377970375142"</f>
        <v>1552377970375142</v>
      </c>
      <c r="C443" t="s">
        <v>40</v>
      </c>
      <c r="D443">
        <v>6.4255990000000001</v>
      </c>
      <c r="E443">
        <v>0.50311819999999996</v>
      </c>
      <c r="F443" t="s">
        <v>47</v>
      </c>
      <c r="G443">
        <v>-351.89409999999998</v>
      </c>
      <c r="H443" s="1">
        <v>-3.6766589999999998E-6</v>
      </c>
      <c r="I443">
        <v>368.39330000000001</v>
      </c>
      <c r="J443">
        <v>-373.45850000000002</v>
      </c>
      <c r="K443">
        <v>1.11029</v>
      </c>
      <c r="L443">
        <v>368.01900000000001</v>
      </c>
      <c r="M443">
        <v>0.99989289999999997</v>
      </c>
      <c r="N443">
        <v>0</v>
      </c>
      <c r="O443">
        <v>-1.650594E-3</v>
      </c>
      <c r="P443">
        <v>0.9978629</v>
      </c>
      <c r="Q443">
        <v>5.9228919999999997E-2</v>
      </c>
      <c r="R443">
        <v>2.7600800000000002E-2</v>
      </c>
      <c r="S443">
        <v>3.0140380000000002</v>
      </c>
      <c r="T443">
        <v>-0.15303039999999901</v>
      </c>
      <c r="U443">
        <v>5.1544189999999997E-2</v>
      </c>
      <c r="V443">
        <v>-2.9268880000000001E-2</v>
      </c>
      <c r="W443">
        <v>7.3727239999999999E-2</v>
      </c>
      <c r="X443">
        <v>0.99684879999999998</v>
      </c>
      <c r="Y443">
        <v>-1.8723139999999999E-2</v>
      </c>
      <c r="Z443">
        <v>5.5872419999999999E-4</v>
      </c>
      <c r="AA443">
        <v>0.9998245</v>
      </c>
      <c r="AB443">
        <v>33</v>
      </c>
      <c r="AC443">
        <v>21.564399999999999</v>
      </c>
      <c r="AD443">
        <v>-1.1102936766589999</v>
      </c>
      <c r="AE443">
        <v>0.37430000000000502</v>
      </c>
      <c r="AF443">
        <v>-0.40881390587865402</v>
      </c>
      <c r="AG443">
        <v>-1.1102936766589999</v>
      </c>
      <c r="AH443">
        <v>21.506756644195502</v>
      </c>
      <c r="AI443">
        <v>92.954757821009693</v>
      </c>
      <c r="AJ443">
        <v>91.088982929729795</v>
      </c>
      <c r="AK443">
        <v>21.539277197963699</v>
      </c>
      <c r="AL443">
        <v>85.771903744421607</v>
      </c>
      <c r="AM443">
        <v>91.681801331904893</v>
      </c>
      <c r="AN443">
        <v>0.99999995165795397</v>
      </c>
    </row>
    <row r="444" spans="1:40" x14ac:dyDescent="0.25">
      <c r="A444" t="str">
        <f>"20190312160610400"</f>
        <v>20190312160610400</v>
      </c>
      <c r="B444" t="str">
        <f>"1552377970395638"</f>
        <v>1552377970395638</v>
      </c>
      <c r="C444" t="s">
        <v>40</v>
      </c>
      <c r="D444">
        <v>6.306521</v>
      </c>
      <c r="E444">
        <v>0.49850050000000001</v>
      </c>
      <c r="F444" t="s">
        <v>47</v>
      </c>
      <c r="G444">
        <v>-350.13560000000001</v>
      </c>
      <c r="H444" s="1">
        <v>-4.4267929999999997E-6</v>
      </c>
      <c r="I444">
        <v>368.41739999999999</v>
      </c>
      <c r="J444">
        <v>-373.11790000000002</v>
      </c>
      <c r="K444">
        <v>1.1102890000000001</v>
      </c>
      <c r="L444">
        <v>368.01859999999999</v>
      </c>
      <c r="M444">
        <v>0.99989320000000004</v>
      </c>
      <c r="N444">
        <v>0</v>
      </c>
      <c r="O444">
        <v>-1.5070540000000001E-3</v>
      </c>
      <c r="P444">
        <v>0.99788160000000004</v>
      </c>
      <c r="Q444">
        <v>5.8906920000000002E-2</v>
      </c>
      <c r="R444">
        <v>2.7612210000000002E-2</v>
      </c>
      <c r="S444">
        <v>3.0135190000000001</v>
      </c>
      <c r="T444">
        <v>-0.1434588</v>
      </c>
      <c r="U444">
        <v>5.1483149999999998E-2</v>
      </c>
      <c r="V444">
        <v>-2.913696E-2</v>
      </c>
      <c r="W444">
        <v>7.3402430000000005E-2</v>
      </c>
      <c r="X444">
        <v>0.99687669999999995</v>
      </c>
      <c r="Y444">
        <v>-1.856582E-2</v>
      </c>
      <c r="Z444">
        <v>5.1333699999999999E-4</v>
      </c>
      <c r="AA444">
        <v>0.99982749999999998</v>
      </c>
      <c r="AB444">
        <v>33</v>
      </c>
      <c r="AC444">
        <v>22.982299999999999</v>
      </c>
      <c r="AD444">
        <v>-1.11029342679299</v>
      </c>
      <c r="AE444">
        <v>0.39879999999999399</v>
      </c>
      <c r="AF444">
        <v>-0.43242981548298398</v>
      </c>
      <c r="AG444">
        <v>-1.11029342679299</v>
      </c>
      <c r="AH444">
        <v>22.928176079111701</v>
      </c>
      <c r="AI444">
        <v>92.771881514185296</v>
      </c>
      <c r="AJ444">
        <v>91.0804813340538</v>
      </c>
      <c r="AK444">
        <v>22.9591159532254</v>
      </c>
      <c r="AL444">
        <v>85.790564826097906</v>
      </c>
      <c r="AM444">
        <v>91.674178650276701</v>
      </c>
      <c r="AN444">
        <v>1.00000001708541</v>
      </c>
    </row>
    <row r="445" spans="1:40" x14ac:dyDescent="0.25">
      <c r="A445" t="str">
        <f>"20190312160610424"</f>
        <v>20190312160610424</v>
      </c>
      <c r="B445" t="str">
        <f>"1552377970415161"</f>
        <v>1552377970415161</v>
      </c>
      <c r="C445" t="s">
        <v>40</v>
      </c>
      <c r="D445">
        <v>6.3032949999999897</v>
      </c>
      <c r="E445">
        <v>0.5034805</v>
      </c>
      <c r="F445" t="s">
        <v>42</v>
      </c>
      <c r="G445">
        <v>-158.19499999999999</v>
      </c>
      <c r="H445">
        <v>1.1796150000000001</v>
      </c>
      <c r="I445">
        <v>374.56049999999999</v>
      </c>
      <c r="J445">
        <v>-372.76389999999998</v>
      </c>
      <c r="K445">
        <v>1.1102879999999999</v>
      </c>
      <c r="L445">
        <v>368.01819999999998</v>
      </c>
      <c r="M445">
        <v>0.99989349999999999</v>
      </c>
      <c r="N445">
        <v>0</v>
      </c>
      <c r="O445">
        <v>-1.3576720000000001E-3</v>
      </c>
      <c r="P445">
        <v>0.99790259999999997</v>
      </c>
      <c r="Q445">
        <v>5.8593470000000002E-2</v>
      </c>
      <c r="R445">
        <v>2.752431E-2</v>
      </c>
      <c r="S445">
        <v>3.003784</v>
      </c>
      <c r="T445">
        <v>9.7012520000000003E-4</v>
      </c>
      <c r="U445">
        <v>9.1430659999999997E-2</v>
      </c>
      <c r="V445">
        <v>-2.889949E-2</v>
      </c>
      <c r="W445">
        <v>7.3086189999999995E-2</v>
      </c>
      <c r="X445">
        <v>0.99690679999999998</v>
      </c>
      <c r="Y445">
        <v>-3.178156E-2</v>
      </c>
      <c r="Z445" s="1">
        <v>-5.5694509999999999E-6</v>
      </c>
      <c r="AA445">
        <v>0.99949489999999996</v>
      </c>
      <c r="AB445">
        <v>33</v>
      </c>
      <c r="AC445">
        <v>214.56890000000001</v>
      </c>
      <c r="AD445">
        <v>6.9326999999999903E-2</v>
      </c>
      <c r="AE445">
        <v>6.5423000000000098</v>
      </c>
      <c r="AF445">
        <v>-6.8336382036743304</v>
      </c>
      <c r="AG445">
        <v>6.9326999999999903E-2</v>
      </c>
      <c r="AH445">
        <v>214.559796590453</v>
      </c>
      <c r="AI445">
        <v>89.981496387952006</v>
      </c>
      <c r="AJ445">
        <v>91.824229528878504</v>
      </c>
      <c r="AK445">
        <v>214.66860443546099</v>
      </c>
      <c r="AL445">
        <v>85.808732643365403</v>
      </c>
      <c r="AM445">
        <v>91.660491438702707</v>
      </c>
      <c r="AN445">
        <v>0.99999996978860695</v>
      </c>
    </row>
    <row r="446" spans="1:40" x14ac:dyDescent="0.25">
      <c r="A446" t="str">
        <f>"20190312160610435"</f>
        <v>20190312160610435</v>
      </c>
      <c r="B446" t="str">
        <f>"1552377970425894"</f>
        <v>1552377970425894</v>
      </c>
      <c r="C446" t="s">
        <v>40</v>
      </c>
      <c r="D446">
        <v>6.4443380000000001</v>
      </c>
      <c r="E446">
        <v>0.50483520000000004</v>
      </c>
      <c r="F446" t="s">
        <v>42</v>
      </c>
      <c r="G446">
        <v>-158.19499999999999</v>
      </c>
      <c r="H446">
        <v>3.355766</v>
      </c>
      <c r="I446">
        <v>371.73160000000001</v>
      </c>
      <c r="J446">
        <v>-372.5951</v>
      </c>
      <c r="K446">
        <v>1.11029</v>
      </c>
      <c r="L446">
        <v>368.01799999999997</v>
      </c>
      <c r="M446">
        <v>0.99989349999999999</v>
      </c>
      <c r="N446">
        <v>0</v>
      </c>
      <c r="O446">
        <v>-1.2863779999999999E-3</v>
      </c>
      <c r="P446">
        <v>0.99791339999999995</v>
      </c>
      <c r="Q446">
        <v>5.8489640000000002E-2</v>
      </c>
      <c r="R446">
        <v>2.7344190000000001E-2</v>
      </c>
      <c r="S446">
        <v>3.0030519999999998</v>
      </c>
      <c r="T446">
        <v>3.1428339999999999E-2</v>
      </c>
      <c r="U446">
        <v>5.1971440000000001E-2</v>
      </c>
      <c r="V446">
        <v>-2.8648239999999998E-2</v>
      </c>
      <c r="W446">
        <v>7.2980139999999999E-2</v>
      </c>
      <c r="X446">
        <v>0.99692179999999997</v>
      </c>
      <c r="Y446">
        <v>-1.8588839999999999E-2</v>
      </c>
      <c r="Z446">
        <v>-1.107231E-4</v>
      </c>
      <c r="AA446">
        <v>0.99982720000000003</v>
      </c>
      <c r="AB446">
        <v>33</v>
      </c>
      <c r="AC446">
        <v>214.40010000000001</v>
      </c>
      <c r="AD446">
        <v>2.245476</v>
      </c>
      <c r="AE446">
        <v>3.71359999999998</v>
      </c>
      <c r="AF446">
        <v>-3.98898822541442</v>
      </c>
      <c r="AG446">
        <v>2.245476</v>
      </c>
      <c r="AH446">
        <v>214.371637609684</v>
      </c>
      <c r="AI446">
        <v>89.399970403082406</v>
      </c>
      <c r="AJ446">
        <v>91.066026359985699</v>
      </c>
      <c r="AK446">
        <v>214.42050555156101</v>
      </c>
      <c r="AL446">
        <v>85.814825043312695</v>
      </c>
      <c r="AM446">
        <v>91.646038473962093</v>
      </c>
      <c r="AN446">
        <v>0.99999994890237698</v>
      </c>
    </row>
    <row r="447" spans="1:40" x14ac:dyDescent="0.25">
      <c r="A447" t="str">
        <f>"20190312160610447"</f>
        <v>20190312160610447</v>
      </c>
      <c r="B447" t="str">
        <f>"1552377970435655"</f>
        <v>1552377970435655</v>
      </c>
      <c r="C447" t="s">
        <v>40</v>
      </c>
      <c r="D447">
        <v>6.2511839999999896</v>
      </c>
      <c r="E447">
        <v>0.50578239999999997</v>
      </c>
      <c r="F447" t="s">
        <v>42</v>
      </c>
      <c r="G447">
        <v>-158.19499999999999</v>
      </c>
      <c r="H447">
        <v>3.9968159999999999</v>
      </c>
      <c r="I447">
        <v>370.95960000000002</v>
      </c>
      <c r="J447">
        <v>-372.41890000000001</v>
      </c>
      <c r="K447">
        <v>1.110287</v>
      </c>
      <c r="L447">
        <v>368.0179</v>
      </c>
      <c r="M447">
        <v>0.9998937</v>
      </c>
      <c r="N447">
        <v>0</v>
      </c>
      <c r="O447">
        <v>-1.2117499999999999E-3</v>
      </c>
      <c r="P447">
        <v>0.99789539999999999</v>
      </c>
      <c r="Q447">
        <v>5.8673929999999999E-2</v>
      </c>
      <c r="R447">
        <v>2.7611119999999999E-2</v>
      </c>
      <c r="S447">
        <v>3.002777</v>
      </c>
      <c r="T447">
        <v>4.0428400000000003E-2</v>
      </c>
      <c r="U447">
        <v>4.1198730000000003E-2</v>
      </c>
      <c r="V447">
        <v>-2.8840379999999999E-2</v>
      </c>
      <c r="W447">
        <v>7.3162290000000005E-2</v>
      </c>
      <c r="X447">
        <v>0.99690290000000004</v>
      </c>
      <c r="Y447">
        <v>-1.492921E-2</v>
      </c>
      <c r="Z447">
        <v>-1.168065E-4</v>
      </c>
      <c r="AA447">
        <v>0.99988849999999996</v>
      </c>
      <c r="AB447">
        <v>33</v>
      </c>
      <c r="AC447">
        <v>214.22389999999999</v>
      </c>
      <c r="AD447">
        <v>2.8865289999999999</v>
      </c>
      <c r="AE447">
        <v>2.94170000000002</v>
      </c>
      <c r="AF447">
        <v>-3.20073004751417</v>
      </c>
      <c r="AG447">
        <v>2.8865289999999999</v>
      </c>
      <c r="AH447">
        <v>214.181298656607</v>
      </c>
      <c r="AI447">
        <v>89.227955674157897</v>
      </c>
      <c r="AJ447">
        <v>90.856165661538299</v>
      </c>
      <c r="AK447">
        <v>214.22466108442299</v>
      </c>
      <c r="AL447">
        <v>85.804360605362703</v>
      </c>
      <c r="AM447">
        <v>91.657103502645398</v>
      </c>
      <c r="AN447">
        <v>0.99999994011249704</v>
      </c>
    </row>
    <row r="448" spans="1:40" x14ac:dyDescent="0.25">
      <c r="A448" t="str">
        <f>"20190312160610458"</f>
        <v>20190312160610458</v>
      </c>
      <c r="B448" t="str">
        <f>"1552377970445413"</f>
        <v>1552377970445413</v>
      </c>
      <c r="C448" t="s">
        <v>40</v>
      </c>
      <c r="D448">
        <v>6.29962</v>
      </c>
      <c r="E448">
        <v>0.50652029999999904</v>
      </c>
      <c r="F448" t="s">
        <v>42</v>
      </c>
      <c r="G448">
        <v>-158.19499999999999</v>
      </c>
      <c r="H448">
        <v>4.4783460000000002</v>
      </c>
      <c r="I448">
        <v>370.4674</v>
      </c>
      <c r="J448">
        <v>-372.26280000000003</v>
      </c>
      <c r="K448">
        <v>1.1102879999999999</v>
      </c>
      <c r="L448">
        <v>368.01780000000002</v>
      </c>
      <c r="M448">
        <v>0.99989399999999995</v>
      </c>
      <c r="N448">
        <v>0</v>
      </c>
      <c r="O448">
        <v>-1.1458219999999999E-3</v>
      </c>
      <c r="P448">
        <v>0.99788399999999999</v>
      </c>
      <c r="Q448">
        <v>5.8835390000000001E-2</v>
      </c>
      <c r="R448">
        <v>2.767679E-2</v>
      </c>
      <c r="S448">
        <v>3.0025940000000002</v>
      </c>
      <c r="T448">
        <v>4.7208430000000003E-2</v>
      </c>
      <c r="U448">
        <v>3.433228E-2</v>
      </c>
      <c r="V448">
        <v>-2.8840040000000001E-2</v>
      </c>
      <c r="W448">
        <v>7.3322529999999997E-2</v>
      </c>
      <c r="X448">
        <v>0.99689119999999998</v>
      </c>
      <c r="Y448">
        <v>-1.2577619999999999E-2</v>
      </c>
      <c r="Z448">
        <v>-1.168823E-4</v>
      </c>
      <c r="AA448">
        <v>0.9999209</v>
      </c>
      <c r="AB448">
        <v>33</v>
      </c>
      <c r="AC448">
        <v>214.06780000000001</v>
      </c>
      <c r="AD448">
        <v>3.368058</v>
      </c>
      <c r="AE448">
        <v>2.44959999999997</v>
      </c>
      <c r="AF448">
        <v>-2.6942409660425302</v>
      </c>
      <c r="AG448">
        <v>3.368058</v>
      </c>
      <c r="AH448">
        <v>214.01188143117199</v>
      </c>
      <c r="AI448">
        <v>89.098441211397699</v>
      </c>
      <c r="AJ448">
        <v>90.721270617701407</v>
      </c>
      <c r="AK448">
        <v>214.05533897285599</v>
      </c>
      <c r="AL448">
        <v>85.795155068656101</v>
      </c>
      <c r="AM448">
        <v>91.657103415400599</v>
      </c>
      <c r="AN448">
        <v>1.0000000029751199</v>
      </c>
    </row>
    <row r="449" spans="1:40" x14ac:dyDescent="0.25">
      <c r="A449" t="str">
        <f>"20190312160610469"</f>
        <v>20190312160610469</v>
      </c>
      <c r="B449" t="str">
        <f>"1552377970465910"</f>
        <v>1552377970465910</v>
      </c>
      <c r="C449" t="s">
        <v>40</v>
      </c>
      <c r="D449">
        <v>6.2493420000000004</v>
      </c>
      <c r="E449">
        <v>0.5074052</v>
      </c>
      <c r="F449" t="s">
        <v>42</v>
      </c>
      <c r="G449">
        <v>-158.78319999999999</v>
      </c>
      <c r="H449">
        <v>4.7136290000000001</v>
      </c>
      <c r="I449">
        <v>370.05520000000001</v>
      </c>
      <c r="J449">
        <v>-372.09379999999999</v>
      </c>
      <c r="K449">
        <v>1.1102890000000001</v>
      </c>
      <c r="L449">
        <v>368.01760000000002</v>
      </c>
      <c r="M449">
        <v>0.9998939</v>
      </c>
      <c r="N449">
        <v>0</v>
      </c>
      <c r="O449">
        <v>-1.0745279999999999E-3</v>
      </c>
      <c r="P449">
        <v>0.99786419999999998</v>
      </c>
      <c r="Q449">
        <v>5.9099260000000001E-2</v>
      </c>
      <c r="R449">
        <v>2.783161E-2</v>
      </c>
      <c r="S449">
        <v>3.0025019999999998</v>
      </c>
      <c r="T449">
        <v>5.0680759999999998E-2</v>
      </c>
      <c r="U449">
        <v>2.8656009999999999E-2</v>
      </c>
      <c r="V449">
        <v>-2.892409E-2</v>
      </c>
      <c r="W449">
        <v>7.3584090000000005E-2</v>
      </c>
      <c r="X449">
        <v>0.99686949999999996</v>
      </c>
      <c r="Y449">
        <v>-1.0616530000000001E-2</v>
      </c>
      <c r="Z449">
        <v>-1.077302E-4</v>
      </c>
      <c r="AA449">
        <v>0.99994360000000004</v>
      </c>
      <c r="AB449">
        <v>33</v>
      </c>
      <c r="AC449">
        <v>213.31059999999999</v>
      </c>
      <c r="AD449">
        <v>3.6033400000000002</v>
      </c>
      <c r="AE449">
        <v>2.0375999999999901</v>
      </c>
      <c r="AF449">
        <v>-2.2661846167418398</v>
      </c>
      <c r="AG449">
        <v>3.6033400000000002</v>
      </c>
      <c r="AH449">
        <v>213.24744145019</v>
      </c>
      <c r="AI449">
        <v>89.031993663758001</v>
      </c>
      <c r="AJ449">
        <v>90.608860419218701</v>
      </c>
      <c r="AK449">
        <v>213.28992225823799</v>
      </c>
      <c r="AL449">
        <v>85.780128224293904</v>
      </c>
      <c r="AM449">
        <v>91.661966248841907</v>
      </c>
      <c r="AN449">
        <v>1.0000000106568501</v>
      </c>
    </row>
    <row r="450" spans="1:40" x14ac:dyDescent="0.25">
      <c r="A450" t="str">
        <f>"20190312160610483"</f>
        <v>20190312160610483</v>
      </c>
      <c r="B450" t="str">
        <f>"1552377970475670"</f>
        <v>1552377970475670</v>
      </c>
      <c r="C450" t="s">
        <v>40</v>
      </c>
      <c r="D450">
        <v>6.7977610000000004</v>
      </c>
      <c r="E450">
        <v>0.50779940000000001</v>
      </c>
      <c r="F450" t="s">
        <v>42</v>
      </c>
      <c r="G450">
        <v>-158.78319999999999</v>
      </c>
      <c r="H450">
        <v>5.0578180000000001</v>
      </c>
      <c r="I450">
        <v>369.60469999999998</v>
      </c>
      <c r="J450">
        <v>-371.8931</v>
      </c>
      <c r="K450">
        <v>1.110293</v>
      </c>
      <c r="L450">
        <v>368.01749999999998</v>
      </c>
      <c r="M450">
        <v>0.99989399999999995</v>
      </c>
      <c r="N450">
        <v>0</v>
      </c>
      <c r="O450">
        <v>-9.8964340000000004E-4</v>
      </c>
      <c r="P450">
        <v>0.99783529999999998</v>
      </c>
      <c r="Q450">
        <v>5.9436000000000003E-2</v>
      </c>
      <c r="R450">
        <v>2.8141559999999999E-2</v>
      </c>
      <c r="S450">
        <v>3.002472</v>
      </c>
      <c r="T450">
        <v>5.5565000000000003E-2</v>
      </c>
      <c r="U450">
        <v>2.233887E-2</v>
      </c>
      <c r="V450">
        <v>-2.9149629999999999E-2</v>
      </c>
      <c r="W450">
        <v>7.3918399999999995E-2</v>
      </c>
      <c r="X450">
        <v>0.99683820000000001</v>
      </c>
      <c r="Y450">
        <v>-8.4280580000000004E-3</v>
      </c>
      <c r="Z450" s="1">
        <v>-9.6293710000000003E-5</v>
      </c>
      <c r="AA450">
        <v>0.99996450000000003</v>
      </c>
      <c r="AB450">
        <v>33</v>
      </c>
      <c r="AC450">
        <v>213.10990000000001</v>
      </c>
      <c r="AD450">
        <v>3.9475250000000002</v>
      </c>
      <c r="AE450">
        <v>1.58719999999999</v>
      </c>
      <c r="AF450">
        <v>-1.7975075617476499</v>
      </c>
      <c r="AG450">
        <v>3.9475250000000002</v>
      </c>
      <c r="AH450">
        <v>213.03513272059101</v>
      </c>
      <c r="AI450">
        <v>88.938472776671006</v>
      </c>
      <c r="AJ450">
        <v>90.483428022713895</v>
      </c>
      <c r="AK450">
        <v>213.07928515071501</v>
      </c>
      <c r="AL450">
        <v>85.760921379422101</v>
      </c>
      <c r="AM450">
        <v>91.674970891957301</v>
      </c>
      <c r="AN450">
        <v>1.0000000138834599</v>
      </c>
    </row>
    <row r="451" spans="1:40" x14ac:dyDescent="0.25">
      <c r="A451" t="str">
        <f>"20190312160610496"</f>
        <v>20190312160610496</v>
      </c>
      <c r="B451" t="str">
        <f>"1552377970485431"</f>
        <v>1552377970485431</v>
      </c>
      <c r="C451" t="s">
        <v>40</v>
      </c>
      <c r="D451">
        <v>6.3526220000000002</v>
      </c>
      <c r="E451">
        <v>0.50812879999999905</v>
      </c>
      <c r="F451" t="s">
        <v>42</v>
      </c>
      <c r="G451">
        <v>-158.78319999999999</v>
      </c>
      <c r="H451">
        <v>5.0518239999999999</v>
      </c>
      <c r="I451">
        <v>369.42099999999999</v>
      </c>
      <c r="J451">
        <v>-371.69479999999999</v>
      </c>
      <c r="K451">
        <v>1.110295</v>
      </c>
      <c r="L451">
        <v>368.01729999999998</v>
      </c>
      <c r="M451">
        <v>0.99989410000000001</v>
      </c>
      <c r="N451">
        <v>0</v>
      </c>
      <c r="O451">
        <v>-9.0618839999999997E-4</v>
      </c>
      <c r="P451">
        <v>0.99783580000000005</v>
      </c>
      <c r="Q451">
        <v>5.9359960000000003E-2</v>
      </c>
      <c r="R451">
        <v>2.8290470000000002E-2</v>
      </c>
      <c r="S451">
        <v>3.0026860000000002</v>
      </c>
      <c r="T451">
        <v>5.5536750000000003E-2</v>
      </c>
      <c r="U451">
        <v>1.977539E-2</v>
      </c>
      <c r="V451">
        <v>-2.9214919999999998E-2</v>
      </c>
      <c r="W451">
        <v>7.3840420000000004E-2</v>
      </c>
      <c r="X451">
        <v>0.99684200000000001</v>
      </c>
      <c r="Y451">
        <v>-7.4905839999999998E-3</v>
      </c>
      <c r="Z451" s="1">
        <v>-8.6025859999999996E-5</v>
      </c>
      <c r="AA451">
        <v>0.99997190000000002</v>
      </c>
      <c r="AB451">
        <v>33</v>
      </c>
      <c r="AC451">
        <v>212.91159999999999</v>
      </c>
      <c r="AD451">
        <v>3.9415290000000001</v>
      </c>
      <c r="AE451">
        <v>1.4037000000000099</v>
      </c>
      <c r="AF451">
        <v>-1.5961108163012301</v>
      </c>
      <c r="AG451">
        <v>3.9415290000000001</v>
      </c>
      <c r="AH451">
        <v>212.83730143380399</v>
      </c>
      <c r="AI451">
        <v>88.939091898392903</v>
      </c>
      <c r="AJ451">
        <v>90.429664812129801</v>
      </c>
      <c r="AK451">
        <v>212.87977851881499</v>
      </c>
      <c r="AL451">
        <v>85.765401260044797</v>
      </c>
      <c r="AM451">
        <v>91.678713989647704</v>
      </c>
      <c r="AN451">
        <v>0.99999994607018905</v>
      </c>
    </row>
    <row r="452" spans="1:40" x14ac:dyDescent="0.25">
      <c r="A452" t="str">
        <f>"20190312160610514"</f>
        <v>20190312160610514</v>
      </c>
      <c r="B452" t="str">
        <f>"1552377970505926"</f>
        <v>1552377970505926</v>
      </c>
      <c r="C452" t="s">
        <v>40</v>
      </c>
      <c r="D452">
        <v>6.264462</v>
      </c>
      <c r="E452">
        <v>0.50844179999999894</v>
      </c>
      <c r="F452" t="s">
        <v>42</v>
      </c>
      <c r="G452">
        <v>-158.78319999999999</v>
      </c>
      <c r="H452">
        <v>5.0356230000000002</v>
      </c>
      <c r="I452">
        <v>369.25299999999999</v>
      </c>
      <c r="J452">
        <v>-371.42500000000001</v>
      </c>
      <c r="K452">
        <v>1.1102970000000001</v>
      </c>
      <c r="L452">
        <v>368.0172</v>
      </c>
      <c r="M452">
        <v>0.99989430000000001</v>
      </c>
      <c r="N452">
        <v>0</v>
      </c>
      <c r="O452">
        <v>-7.9256610000000001E-4</v>
      </c>
      <c r="P452">
        <v>0.99782510000000002</v>
      </c>
      <c r="Q452">
        <v>5.9365000000000001E-2</v>
      </c>
      <c r="R452">
        <v>2.8651719999999999E-2</v>
      </c>
      <c r="S452">
        <v>3.0027159999999999</v>
      </c>
      <c r="T452">
        <v>5.5360560000000003E-2</v>
      </c>
      <c r="U452">
        <v>1.742554E-2</v>
      </c>
      <c r="V452">
        <v>-2.9463039999999999E-2</v>
      </c>
      <c r="W452">
        <v>7.3841850000000001E-2</v>
      </c>
      <c r="X452">
        <v>0.99683460000000002</v>
      </c>
      <c r="Y452">
        <v>-6.5945400000000003E-3</v>
      </c>
      <c r="Z452" s="1">
        <v>-7.5398109999999898E-5</v>
      </c>
      <c r="AA452">
        <v>0.99997820000000004</v>
      </c>
      <c r="AB452">
        <v>33</v>
      </c>
      <c r="AC452">
        <v>212.64179999999999</v>
      </c>
      <c r="AD452">
        <v>3.9253260000000001</v>
      </c>
      <c r="AE452">
        <v>1.23580000000004</v>
      </c>
      <c r="AF452">
        <v>-1.40387168344258</v>
      </c>
      <c r="AG452">
        <v>3.9253260000000001</v>
      </c>
      <c r="AH452">
        <v>212.56832037902299</v>
      </c>
      <c r="AI452">
        <v>88.942108821006698</v>
      </c>
      <c r="AJ452">
        <v>90.3783948278992</v>
      </c>
      <c r="AK452">
        <v>212.609195164906</v>
      </c>
      <c r="AL452">
        <v>85.765319139175404</v>
      </c>
      <c r="AM452">
        <v>91.692975472896194</v>
      </c>
      <c r="AN452">
        <v>0.99999995464731095</v>
      </c>
    </row>
    <row r="453" spans="1:40" x14ac:dyDescent="0.25">
      <c r="A453" t="str">
        <f>"20190312160610529"</f>
        <v>20190312160610529</v>
      </c>
      <c r="B453" t="str">
        <f>"1552377970515686"</f>
        <v>1552377970515686</v>
      </c>
      <c r="C453" t="s">
        <v>40</v>
      </c>
      <c r="D453">
        <v>6.3503429999999996</v>
      </c>
      <c r="E453">
        <v>0.50869500000000001</v>
      </c>
      <c r="F453" t="s">
        <v>42</v>
      </c>
      <c r="G453">
        <v>-158.78319999999999</v>
      </c>
      <c r="H453">
        <v>5.0648960000000001</v>
      </c>
      <c r="I453">
        <v>369.14749999999998</v>
      </c>
      <c r="J453">
        <v>-371.21260000000001</v>
      </c>
      <c r="K453">
        <v>1.110298</v>
      </c>
      <c r="L453">
        <v>368.0172</v>
      </c>
      <c r="M453">
        <v>0.99989439999999996</v>
      </c>
      <c r="N453">
        <v>0</v>
      </c>
      <c r="O453">
        <v>-7.0326989999999995E-4</v>
      </c>
      <c r="P453">
        <v>0.99782930000000003</v>
      </c>
      <c r="Q453">
        <v>5.933712E-2</v>
      </c>
      <c r="R453">
        <v>2.8560789999999999E-2</v>
      </c>
      <c r="S453">
        <v>3.002777</v>
      </c>
      <c r="T453">
        <v>5.5845260000000001E-2</v>
      </c>
      <c r="U453">
        <v>1.596069E-2</v>
      </c>
      <c r="V453">
        <v>-2.928248E-2</v>
      </c>
      <c r="W453">
        <v>7.3812359999999994E-2</v>
      </c>
      <c r="X453">
        <v>0.99684209999999995</v>
      </c>
      <c r="Y453">
        <v>-6.0174060000000003E-3</v>
      </c>
      <c r="Z453" s="1">
        <v>-6.9029720000000002E-5</v>
      </c>
      <c r="AA453">
        <v>0.99998189999999998</v>
      </c>
      <c r="AB453">
        <v>33</v>
      </c>
      <c r="AC453">
        <v>212.42939999999999</v>
      </c>
      <c r="AD453">
        <v>3.9545979999999998</v>
      </c>
      <c r="AE453">
        <v>1.1302999999999701</v>
      </c>
      <c r="AF453">
        <v>-1.2792673368830001</v>
      </c>
      <c r="AG453">
        <v>3.9545979999999998</v>
      </c>
      <c r="AH453">
        <v>212.35496132221701</v>
      </c>
      <c r="AI453">
        <v>88.933147234621899</v>
      </c>
      <c r="AJ453">
        <v>90.345156676200901</v>
      </c>
      <c r="AK453">
        <v>212.395633119942</v>
      </c>
      <c r="AL453">
        <v>85.767013396634894</v>
      </c>
      <c r="AM453">
        <v>91.682593646651</v>
      </c>
      <c r="AN453">
        <v>0.99999995022806298</v>
      </c>
    </row>
    <row r="454" spans="1:40" x14ac:dyDescent="0.25">
      <c r="A454" t="str">
        <f>"20190312160610547"</f>
        <v>20190312160610547</v>
      </c>
      <c r="B454" t="str">
        <f>"1552377970535206"</f>
        <v>1552377970535206</v>
      </c>
      <c r="C454" t="s">
        <v>40</v>
      </c>
      <c r="D454">
        <v>6.3479140000000003</v>
      </c>
      <c r="E454">
        <v>0.50936389999999998</v>
      </c>
      <c r="F454" t="s">
        <v>42</v>
      </c>
      <c r="G454">
        <v>-158.78319999999999</v>
      </c>
      <c r="H454">
        <v>5.0366269999999904</v>
      </c>
      <c r="I454">
        <v>368.99299999999999</v>
      </c>
      <c r="J454">
        <v>-370.93299999999999</v>
      </c>
      <c r="K454">
        <v>1.1102989999999999</v>
      </c>
      <c r="L454">
        <v>368.01710000000003</v>
      </c>
      <c r="M454">
        <v>0.99989439999999996</v>
      </c>
      <c r="N454">
        <v>0</v>
      </c>
      <c r="O454">
        <v>-5.8512389999999998E-4</v>
      </c>
      <c r="P454">
        <v>0.99780500000000005</v>
      </c>
      <c r="Q454">
        <v>5.9748629999999997E-2</v>
      </c>
      <c r="R454">
        <v>2.8550260000000001E-2</v>
      </c>
      <c r="S454">
        <v>3.0028079999999999</v>
      </c>
      <c r="T454">
        <v>5.5502059999999999E-2</v>
      </c>
      <c r="U454">
        <v>1.3793949999999999E-2</v>
      </c>
      <c r="V454">
        <v>-2.9154679999999999E-2</v>
      </c>
      <c r="W454">
        <v>7.4220839999999996E-2</v>
      </c>
      <c r="X454">
        <v>0.99681560000000002</v>
      </c>
      <c r="Y454">
        <v>-5.1778290000000001E-3</v>
      </c>
      <c r="Z454" s="1">
        <v>-5.8662819999999903E-5</v>
      </c>
      <c r="AA454">
        <v>0.99998659999999995</v>
      </c>
      <c r="AB454">
        <v>33</v>
      </c>
      <c r="AC454">
        <v>212.1498</v>
      </c>
      <c r="AD454">
        <v>3.9263279999999998</v>
      </c>
      <c r="AE454">
        <v>0.97590000000002397</v>
      </c>
      <c r="AF454">
        <v>-1.0996701871680801</v>
      </c>
      <c r="AG454">
        <v>3.9263279999999998</v>
      </c>
      <c r="AH454">
        <v>212.07655334012199</v>
      </c>
      <c r="AI454">
        <v>88.9393768455773</v>
      </c>
      <c r="AJ454">
        <v>90.297090342692499</v>
      </c>
      <c r="AK454">
        <v>212.11574623942801</v>
      </c>
      <c r="AL454">
        <v>85.743545200318096</v>
      </c>
      <c r="AM454">
        <v>91.675298865560606</v>
      </c>
      <c r="AN454">
        <v>1.0000000344297799</v>
      </c>
    </row>
    <row r="455" spans="1:40" x14ac:dyDescent="0.25">
      <c r="A455" t="str">
        <f>"20190312160610581"</f>
        <v>20190312160610581</v>
      </c>
      <c r="B455" t="str">
        <f>"1552377970575222"</f>
        <v>1552377970575222</v>
      </c>
      <c r="C455" t="s">
        <v>40</v>
      </c>
      <c r="D455">
        <v>6.49139</v>
      </c>
      <c r="E455">
        <v>0.51011200000000001</v>
      </c>
      <c r="F455" t="s">
        <v>42</v>
      </c>
      <c r="G455">
        <v>-158.78319999999999</v>
      </c>
      <c r="H455">
        <v>5.1150919999999998</v>
      </c>
      <c r="I455">
        <v>368.64670000000001</v>
      </c>
      <c r="J455">
        <v>-370.45650000000001</v>
      </c>
      <c r="K455">
        <v>1.1103069999999999</v>
      </c>
      <c r="L455">
        <v>368.017</v>
      </c>
      <c r="M455">
        <v>0.99989479999999997</v>
      </c>
      <c r="N455">
        <v>0</v>
      </c>
      <c r="O455">
        <v>-3.8412050000000001E-4</v>
      </c>
      <c r="P455">
        <v>0.99775400000000003</v>
      </c>
      <c r="Q455">
        <v>6.06420999999999E-2</v>
      </c>
      <c r="R455">
        <v>2.845352E-2</v>
      </c>
      <c r="S455">
        <v>3.0029599999999999</v>
      </c>
      <c r="T455">
        <v>5.6688669999999997E-2</v>
      </c>
      <c r="U455">
        <v>8.9111329999999999E-3</v>
      </c>
      <c r="V455">
        <v>-2.8857109999999998E-2</v>
      </c>
      <c r="W455">
        <v>7.5108129999999995E-2</v>
      </c>
      <c r="X455">
        <v>0.99675769999999997</v>
      </c>
      <c r="Y455">
        <v>-3.3509310000000001E-3</v>
      </c>
      <c r="Z455" s="1">
        <v>-3.8877249999999998E-5</v>
      </c>
      <c r="AA455">
        <v>0.99999439999999995</v>
      </c>
      <c r="AB455">
        <v>33</v>
      </c>
      <c r="AC455">
        <v>211.67330000000001</v>
      </c>
      <c r="AD455">
        <v>4.004785</v>
      </c>
      <c r="AE455">
        <v>0.62970000000001303</v>
      </c>
      <c r="AF455">
        <v>-0.71076213854317805</v>
      </c>
      <c r="AG455">
        <v>4.004785</v>
      </c>
      <c r="AH455">
        <v>211.59730121361801</v>
      </c>
      <c r="AI455">
        <v>88.915730064061094</v>
      </c>
      <c r="AJ455">
        <v>90.192457641853807</v>
      </c>
      <c r="AK455">
        <v>211.63638951418699</v>
      </c>
      <c r="AL455">
        <v>85.692564512456897</v>
      </c>
      <c r="AM455">
        <v>91.658305633663801</v>
      </c>
      <c r="AN455">
        <v>0.99999993824946698</v>
      </c>
    </row>
    <row r="456" spans="1:40" x14ac:dyDescent="0.25">
      <c r="A456" t="str">
        <f>"20190312160610591"</f>
        <v>20190312160610591</v>
      </c>
      <c r="B456" t="str">
        <f>"1552377970585958"</f>
        <v>1552377970585958</v>
      </c>
      <c r="C456" t="s">
        <v>40</v>
      </c>
      <c r="D456">
        <v>6.3397129999999997</v>
      </c>
      <c r="E456">
        <v>0.51027029999999995</v>
      </c>
      <c r="F456" t="s">
        <v>42</v>
      </c>
      <c r="G456">
        <v>-158.78319999999999</v>
      </c>
      <c r="H456">
        <v>5.1708379999999998</v>
      </c>
      <c r="I456">
        <v>368.19130000000001</v>
      </c>
      <c r="J456">
        <v>-370.2833</v>
      </c>
      <c r="K456">
        <v>1.1103080000000001</v>
      </c>
      <c r="L456">
        <v>368.017</v>
      </c>
      <c r="M456">
        <v>0.99989479999999997</v>
      </c>
      <c r="N456">
        <v>0</v>
      </c>
      <c r="O456">
        <v>-3.1091829999999997E-4</v>
      </c>
      <c r="P456">
        <v>0.99775460000000005</v>
      </c>
      <c r="Q456">
        <v>6.0770039999999997E-2</v>
      </c>
      <c r="R456">
        <v>2.8159690000000001E-2</v>
      </c>
      <c r="S456">
        <v>3.0032040000000002</v>
      </c>
      <c r="T456">
        <v>5.7611700000000002E-2</v>
      </c>
      <c r="U456">
        <v>2.4719239999999999E-3</v>
      </c>
      <c r="V456">
        <v>-2.8490379999999999E-2</v>
      </c>
      <c r="W456">
        <v>7.5234599999999999E-2</v>
      </c>
      <c r="X456">
        <v>0.99675879999999994</v>
      </c>
      <c r="Y456">
        <v>-1.13378E-3</v>
      </c>
      <c r="Z456" s="1">
        <v>-1.6838440000000001E-5</v>
      </c>
      <c r="AA456">
        <v>0.99999930000000004</v>
      </c>
      <c r="AB456">
        <v>33</v>
      </c>
      <c r="AC456">
        <v>211.5001</v>
      </c>
      <c r="AD456">
        <v>4.06053</v>
      </c>
      <c r="AE456">
        <v>0.174300000000016</v>
      </c>
      <c r="AF456">
        <v>-0.23997770506302901</v>
      </c>
      <c r="AG456">
        <v>4.06053</v>
      </c>
      <c r="AH456">
        <v>211.422107420987</v>
      </c>
      <c r="AI456">
        <v>88.899724889274907</v>
      </c>
      <c r="AJ456">
        <v>90.065034371003804</v>
      </c>
      <c r="AK456">
        <v>211.46123285252801</v>
      </c>
      <c r="AL456">
        <v>85.685298134117801</v>
      </c>
      <c r="AM456">
        <v>91.637240828261298</v>
      </c>
      <c r="AN456">
        <v>1.00000002608357</v>
      </c>
    </row>
    <row r="457" spans="1:40" x14ac:dyDescent="0.25">
      <c r="A457" t="str">
        <f>"20190312160610603"</f>
        <v>20190312160610603</v>
      </c>
      <c r="B457" t="str">
        <f>"1552377970595718"</f>
        <v>1552377970595718</v>
      </c>
      <c r="C457" t="s">
        <v>40</v>
      </c>
      <c r="D457">
        <v>6.5023279999999897</v>
      </c>
      <c r="E457">
        <v>0.51027029999999995</v>
      </c>
      <c r="F457" t="s">
        <v>42</v>
      </c>
      <c r="G457">
        <v>-158.78319999999999</v>
      </c>
      <c r="H457">
        <v>5.2069739999999998</v>
      </c>
      <c r="I457">
        <v>368.04070000000002</v>
      </c>
      <c r="J457">
        <v>-370.1189</v>
      </c>
      <c r="K457">
        <v>1.1103080000000001</v>
      </c>
      <c r="L457">
        <v>368.01710000000003</v>
      </c>
      <c r="M457">
        <v>0.99989479999999997</v>
      </c>
      <c r="N457">
        <v>0</v>
      </c>
      <c r="O457">
        <v>-2.4153170000000001E-4</v>
      </c>
      <c r="P457">
        <v>0.99776759999999998</v>
      </c>
      <c r="Q457">
        <v>6.0625199999999997E-2</v>
      </c>
      <c r="R457">
        <v>2.8012080000000002E-2</v>
      </c>
      <c r="S457">
        <v>3.0032350000000001</v>
      </c>
      <c r="T457">
        <v>5.8172580000000002E-2</v>
      </c>
      <c r="U457">
        <v>3.3569339999999902E-4</v>
      </c>
      <c r="V457">
        <v>-2.8273489999999998E-2</v>
      </c>
      <c r="W457">
        <v>7.5088160000000001E-2</v>
      </c>
      <c r="X457">
        <v>0.996776</v>
      </c>
      <c r="Y457">
        <v>-3.5322279999999999E-4</v>
      </c>
      <c r="Z457" s="1">
        <v>-8.0991539999999995E-6</v>
      </c>
      <c r="AA457">
        <v>0.99999990000000005</v>
      </c>
      <c r="AB457">
        <v>33</v>
      </c>
      <c r="AC457">
        <v>211.3357</v>
      </c>
      <c r="AD457">
        <v>4.0966659999999999</v>
      </c>
      <c r="AE457">
        <v>2.35999999999876E-2</v>
      </c>
      <c r="AF457">
        <v>-7.4621599012218695E-2</v>
      </c>
      <c r="AG457">
        <v>4.0966659999999999</v>
      </c>
      <c r="AH457">
        <v>211.25630558149601</v>
      </c>
      <c r="AI457">
        <v>88.889063968403903</v>
      </c>
      <c r="AJ457">
        <v>90.020238461021606</v>
      </c>
      <c r="AK457">
        <v>211.29603614038999</v>
      </c>
      <c r="AL457">
        <v>85.693712250769707</v>
      </c>
      <c r="AM457">
        <v>91.624755616128496</v>
      </c>
      <c r="AN457">
        <v>1.00000000809248</v>
      </c>
    </row>
    <row r="458" spans="1:40" x14ac:dyDescent="0.25">
      <c r="A458" t="str">
        <f>"20190312160610615"</f>
        <v>20190312160610615</v>
      </c>
      <c r="B458" t="str">
        <f>"1552377970605478"</f>
        <v>1552377970605478</v>
      </c>
      <c r="C458" t="s">
        <v>40</v>
      </c>
      <c r="D458">
        <v>6.2283480000000004</v>
      </c>
      <c r="E458">
        <v>0.52861639999999999</v>
      </c>
      <c r="F458" t="s">
        <v>42</v>
      </c>
      <c r="G458">
        <v>-158.78319999999999</v>
      </c>
      <c r="H458">
        <v>5.1733890000000002</v>
      </c>
      <c r="I458">
        <v>368.01069999999999</v>
      </c>
      <c r="J458">
        <v>-369.94529999999997</v>
      </c>
      <c r="K458">
        <v>1.110311</v>
      </c>
      <c r="L458">
        <v>368.01710000000003</v>
      </c>
      <c r="M458">
        <v>0.99989479999999997</v>
      </c>
      <c r="N458">
        <v>0</v>
      </c>
      <c r="O458">
        <v>-1.680916E-4</v>
      </c>
      <c r="P458">
        <v>0.99777479999999996</v>
      </c>
      <c r="Q458">
        <v>6.0596659999999997E-2</v>
      </c>
      <c r="R458">
        <v>2.7814120000000001E-2</v>
      </c>
      <c r="S458">
        <v>3.0032040000000002</v>
      </c>
      <c r="T458">
        <v>5.7739970000000002E-2</v>
      </c>
      <c r="U458" s="1">
        <v>-9.1552730000000004E-5</v>
      </c>
      <c r="V458">
        <v>-2.8002160000000002E-2</v>
      </c>
      <c r="W458">
        <v>7.5057719999999994E-2</v>
      </c>
      <c r="X458">
        <v>0.9967859</v>
      </c>
      <c r="Y458">
        <v>-1.3756780000000001E-4</v>
      </c>
      <c r="Z458" s="1">
        <v>-4.554117E-6</v>
      </c>
      <c r="AA458">
        <v>1</v>
      </c>
      <c r="AB458">
        <v>33</v>
      </c>
      <c r="AC458">
        <v>211.16210000000001</v>
      </c>
      <c r="AD458">
        <v>4.063078</v>
      </c>
      <c r="AE458">
        <v>-6.4000000000419199E-3</v>
      </c>
      <c r="AF458">
        <v>-2.9087540011583202E-2</v>
      </c>
      <c r="AG458">
        <v>4.063078</v>
      </c>
      <c r="AH458">
        <v>211.083947264578</v>
      </c>
      <c r="AI458">
        <v>88.897270601586001</v>
      </c>
      <c r="AJ458">
        <v>90.007895405075203</v>
      </c>
      <c r="AK458">
        <v>211.12305000097501</v>
      </c>
      <c r="AL458">
        <v>85.695461046865205</v>
      </c>
      <c r="AM458">
        <v>91.609155714302801</v>
      </c>
      <c r="AN458">
        <v>0.99999995636753602</v>
      </c>
    </row>
    <row r="459" spans="1:40" x14ac:dyDescent="0.25">
      <c r="A459" t="str">
        <f>"20190312160610625"</f>
        <v>20190312160610625</v>
      </c>
      <c r="B459" t="str">
        <f>"1552377970615239"</f>
        <v>1552377970615239</v>
      </c>
      <c r="C459" t="s">
        <v>40</v>
      </c>
      <c r="D459">
        <v>6.3977579999999996</v>
      </c>
      <c r="E459">
        <v>0.52861639999999999</v>
      </c>
      <c r="F459" t="s">
        <v>42</v>
      </c>
      <c r="G459">
        <v>-170.08879999999999</v>
      </c>
      <c r="H459">
        <v>7.8474560000000002</v>
      </c>
      <c r="I459">
        <v>358.2774</v>
      </c>
      <c r="J459">
        <v>-369.77620000000002</v>
      </c>
      <c r="K459">
        <v>1.110309</v>
      </c>
      <c r="L459">
        <v>368.0172</v>
      </c>
      <c r="M459">
        <v>0.99989479999999997</v>
      </c>
      <c r="N459">
        <v>0</v>
      </c>
      <c r="O459" s="1">
        <v>-9.6439430000000006E-5</v>
      </c>
      <c r="P459">
        <v>0.99776980000000004</v>
      </c>
      <c r="Q459">
        <v>6.0712389999999998E-2</v>
      </c>
      <c r="R459">
        <v>2.7741249999999999E-2</v>
      </c>
      <c r="S459">
        <v>3.004578</v>
      </c>
      <c r="T459">
        <v>0.10128529999999999</v>
      </c>
      <c r="U459">
        <v>-0.14642330000000001</v>
      </c>
      <c r="V459">
        <v>-2.785837E-2</v>
      </c>
      <c r="W459">
        <v>7.5171370000000001E-2</v>
      </c>
      <c r="X459">
        <v>0.99678140000000004</v>
      </c>
      <c r="Y459">
        <v>4.8551860000000002E-2</v>
      </c>
      <c r="Z459">
        <v>8.1438439999999995E-4</v>
      </c>
      <c r="AA459">
        <v>0.99882029999999999</v>
      </c>
      <c r="AB459">
        <v>33</v>
      </c>
      <c r="AC459">
        <v>199.6874</v>
      </c>
      <c r="AD459">
        <v>6.7371470000000002</v>
      </c>
      <c r="AE459">
        <v>-9.7398000000000007</v>
      </c>
      <c r="AF459">
        <v>9.7095142336225297</v>
      </c>
      <c r="AG459">
        <v>6.7371470000000002</v>
      </c>
      <c r="AH459">
        <v>199.46183307176301</v>
      </c>
      <c r="AI459">
        <v>88.067763768590595</v>
      </c>
      <c r="AJ459">
        <v>87.213123997477894</v>
      </c>
      <c r="AK459">
        <v>199.811627961689</v>
      </c>
      <c r="AL459">
        <v>85.6889310849038</v>
      </c>
      <c r="AM459">
        <v>91.600904296957907</v>
      </c>
      <c r="AN459">
        <v>0.999999991516346</v>
      </c>
    </row>
    <row r="460" spans="1:40" x14ac:dyDescent="0.25">
      <c r="A460" t="str">
        <f>"20190312160610637"</f>
        <v>20190312160610637</v>
      </c>
      <c r="B460" t="str">
        <f>"1552377970625974"</f>
        <v>1552377970625974</v>
      </c>
      <c r="C460" t="s">
        <v>40</v>
      </c>
      <c r="D460">
        <v>5.8301699999999999</v>
      </c>
      <c r="E460">
        <v>0.52861639999999999</v>
      </c>
      <c r="F460" t="s">
        <v>42</v>
      </c>
      <c r="G460">
        <v>-170.08879999999999</v>
      </c>
      <c r="H460">
        <v>7.8619070000000004</v>
      </c>
      <c r="I460">
        <v>358.26150000000001</v>
      </c>
      <c r="J460">
        <v>-369.61130000000003</v>
      </c>
      <c r="K460">
        <v>1.1103080000000001</v>
      </c>
      <c r="L460">
        <v>368.0172</v>
      </c>
      <c r="M460">
        <v>0.99989490000000003</v>
      </c>
      <c r="N460">
        <v>0</v>
      </c>
      <c r="O460" s="1">
        <v>-2.6873539999999999E-5</v>
      </c>
      <c r="P460">
        <v>0.99778310000000003</v>
      </c>
      <c r="Q460">
        <v>6.0543270000000003E-2</v>
      </c>
      <c r="R460">
        <v>2.7634450000000001E-2</v>
      </c>
      <c r="S460">
        <v>3.0046080000000002</v>
      </c>
      <c r="T460">
        <v>0.1015896</v>
      </c>
      <c r="U460">
        <v>-0.14678959999999999</v>
      </c>
      <c r="V460">
        <v>-2.7681440000000002E-2</v>
      </c>
      <c r="W460">
        <v>7.5000670000000005E-2</v>
      </c>
      <c r="X460">
        <v>0.9967992</v>
      </c>
      <c r="Y460">
        <v>4.8742000000000001E-2</v>
      </c>
      <c r="Z460">
        <v>8.223805E-4</v>
      </c>
      <c r="AA460">
        <v>0.99881109999999995</v>
      </c>
      <c r="AB460">
        <v>33</v>
      </c>
      <c r="AC460">
        <v>199.52250000000001</v>
      </c>
      <c r="AD460">
        <v>6.7515989999999997</v>
      </c>
      <c r="AE460">
        <v>-9.7556999999999903</v>
      </c>
      <c r="AF460">
        <v>9.7392121398860194</v>
      </c>
      <c r="AG460">
        <v>6.7515989999999997</v>
      </c>
      <c r="AH460">
        <v>199.29510088425101</v>
      </c>
      <c r="AI460">
        <v>88.062021159747303</v>
      </c>
      <c r="AJ460">
        <v>87.202278514412995</v>
      </c>
      <c r="AK460">
        <v>199.64712264048899</v>
      </c>
      <c r="AL460">
        <v>85.698739215412601</v>
      </c>
      <c r="AM460">
        <v>91.590713717214399</v>
      </c>
      <c r="AN460">
        <v>1.0000000038707799</v>
      </c>
    </row>
    <row r="461" spans="1:40" x14ac:dyDescent="0.25">
      <c r="A461" t="str">
        <f>"20190312160611129"</f>
        <v>20190312160611129</v>
      </c>
      <c r="B461" t="str">
        <f>"1552377971125165"</f>
        <v>1552377971125165</v>
      </c>
      <c r="C461" t="s">
        <v>40</v>
      </c>
      <c r="D461">
        <v>5.9862310000000001</v>
      </c>
      <c r="E461">
        <v>0.52861639999999999</v>
      </c>
      <c r="F461" t="s">
        <v>42</v>
      </c>
      <c r="G461">
        <v>-170.08879999999999</v>
      </c>
      <c r="H461">
        <v>7.8204229999999999</v>
      </c>
      <c r="I461">
        <v>358.26960000000003</v>
      </c>
      <c r="J461">
        <v>-362.47680000000003</v>
      </c>
      <c r="K461">
        <v>1.110304</v>
      </c>
      <c r="L461">
        <v>368.03050000000002</v>
      </c>
      <c r="M461">
        <v>0.99989150000000004</v>
      </c>
      <c r="N461">
        <v>0</v>
      </c>
      <c r="O461">
        <v>2.9977279999999999E-3</v>
      </c>
      <c r="P461">
        <v>0.99790179999999995</v>
      </c>
      <c r="Q461">
        <v>5.9000049999999998E-2</v>
      </c>
      <c r="R461">
        <v>2.6672009999999999E-2</v>
      </c>
      <c r="S461">
        <v>3.0046080000000002</v>
      </c>
      <c r="T461">
        <v>0.10104879999999999</v>
      </c>
      <c r="U461">
        <v>-0.14678959999999999</v>
      </c>
      <c r="V461">
        <v>-2.36986E-2</v>
      </c>
      <c r="W461">
        <v>7.3387220000000003E-2</v>
      </c>
      <c r="X461">
        <v>0.99702190000000002</v>
      </c>
      <c r="Y461">
        <v>5.1759970000000002E-2</v>
      </c>
      <c r="Z461">
        <v>9.7035410000000002E-4</v>
      </c>
      <c r="AA461">
        <v>0.99865910000000002</v>
      </c>
      <c r="AB461">
        <v>32</v>
      </c>
      <c r="AC461">
        <v>192.38800000000001</v>
      </c>
      <c r="AD461">
        <v>6.7101189999999997</v>
      </c>
      <c r="AE461">
        <v>-9.7608999999999906</v>
      </c>
      <c r="AF461">
        <v>10.3251149837283</v>
      </c>
      <c r="AG461">
        <v>6.7101189999999997</v>
      </c>
      <c r="AH461">
        <v>192.12475621625001</v>
      </c>
      <c r="AI461">
        <v>88.002589698260905</v>
      </c>
      <c r="AJ461">
        <v>86.923785490047194</v>
      </c>
      <c r="AK461">
        <v>192.51897477281199</v>
      </c>
      <c r="AL461">
        <v>85.791438530647099</v>
      </c>
      <c r="AM461">
        <v>91.361629197666005</v>
      </c>
      <c r="AN461">
        <v>0.99999998839044901</v>
      </c>
    </row>
    <row r="462" spans="1:40" x14ac:dyDescent="0.25">
      <c r="A462" t="str">
        <f>"20190312160611139"</f>
        <v>20190312160611139</v>
      </c>
      <c r="B462" t="str">
        <f>"1552377971135901"</f>
        <v>1552377971135901</v>
      </c>
      <c r="C462" t="s">
        <v>40</v>
      </c>
      <c r="D462">
        <v>6.1826470000000002</v>
      </c>
      <c r="E462">
        <v>0.52861639999999999</v>
      </c>
      <c r="F462" t="s">
        <v>42</v>
      </c>
      <c r="G462">
        <v>-170.08879999999999</v>
      </c>
      <c r="H462">
        <v>7.2998659999999997</v>
      </c>
      <c r="I462">
        <v>358.44779999999997</v>
      </c>
      <c r="J462">
        <v>-362.32139999999998</v>
      </c>
      <c r="K462">
        <v>1.1103050000000001</v>
      </c>
      <c r="L462">
        <v>368.03109999999998</v>
      </c>
      <c r="M462">
        <v>0.99989130000000004</v>
      </c>
      <c r="N462">
        <v>0</v>
      </c>
      <c r="O462">
        <v>3.0637160000000002E-3</v>
      </c>
      <c r="P462">
        <v>0.99791719999999895</v>
      </c>
      <c r="Q462">
        <v>5.878705E-2</v>
      </c>
      <c r="R462">
        <v>2.6566820000000001E-2</v>
      </c>
      <c r="S462">
        <v>3.0046080000000002</v>
      </c>
      <c r="T462">
        <v>9.6666459999999996E-2</v>
      </c>
      <c r="U462">
        <v>-0.14965819999999999</v>
      </c>
      <c r="V462">
        <v>-2.3527340000000001E-2</v>
      </c>
      <c r="W462">
        <v>7.3173210000000002E-2</v>
      </c>
      <c r="X462">
        <v>0.99704170000000003</v>
      </c>
      <c r="Y462">
        <v>5.2779060000000003E-2</v>
      </c>
      <c r="Z462">
        <v>9.4677200000000002E-4</v>
      </c>
      <c r="AA462">
        <v>0.99860579999999999</v>
      </c>
      <c r="AB462">
        <v>32</v>
      </c>
      <c r="AC462">
        <v>192.23259999999999</v>
      </c>
      <c r="AD462">
        <v>6.1895610000000003</v>
      </c>
      <c r="AE462">
        <v>-9.5832999999999995</v>
      </c>
      <c r="AF462">
        <v>10.161753491322401</v>
      </c>
      <c r="AG462">
        <v>6.1895610000000003</v>
      </c>
      <c r="AH462">
        <v>192.003771502658</v>
      </c>
      <c r="AI462">
        <v>88.156193328431996</v>
      </c>
      <c r="AJ462">
        <v>86.970461130812794</v>
      </c>
      <c r="AK462">
        <v>192.37208781586801</v>
      </c>
      <c r="AL462">
        <v>85.803733518104394</v>
      </c>
      <c r="AM462">
        <v>91.351766094959899</v>
      </c>
      <c r="AN462">
        <v>1.0000000029640299</v>
      </c>
    </row>
    <row r="463" spans="1:40" x14ac:dyDescent="0.25">
      <c r="A463" t="str">
        <f>"20190312160611151"</f>
        <v>20190312160611151</v>
      </c>
      <c r="B463" t="str">
        <f>"1552377971145661"</f>
        <v>1552377971145661</v>
      </c>
      <c r="C463" t="s">
        <v>40</v>
      </c>
      <c r="D463">
        <v>6.1656259999999996</v>
      </c>
      <c r="E463">
        <v>0.47588239999999998</v>
      </c>
      <c r="F463" t="s">
        <v>42</v>
      </c>
      <c r="G463">
        <v>-170.08879999999999</v>
      </c>
      <c r="H463">
        <v>7.2640269999999996</v>
      </c>
      <c r="I463">
        <v>358.4384</v>
      </c>
      <c r="J463">
        <v>-362.15480000000002</v>
      </c>
      <c r="K463">
        <v>1.1103019999999999</v>
      </c>
      <c r="L463">
        <v>368.03160000000003</v>
      </c>
      <c r="M463">
        <v>0.99989099999999997</v>
      </c>
      <c r="N463">
        <v>0</v>
      </c>
      <c r="O463">
        <v>3.1347710000000002E-3</v>
      </c>
      <c r="P463">
        <v>0.99789649999999996</v>
      </c>
      <c r="Q463">
        <v>5.9006549999999998E-2</v>
      </c>
      <c r="R463">
        <v>2.6848250000000001E-2</v>
      </c>
      <c r="S463">
        <v>3.004578</v>
      </c>
      <c r="T463">
        <v>9.6183420000000006E-2</v>
      </c>
      <c r="U463">
        <v>-0.14993290000000001</v>
      </c>
      <c r="V463">
        <v>-2.373805E-2</v>
      </c>
      <c r="W463">
        <v>7.3390549999999999E-2</v>
      </c>
      <c r="X463">
        <v>0.99702069999999998</v>
      </c>
      <c r="Y463">
        <v>5.2941769999999999E-2</v>
      </c>
      <c r="Z463">
        <v>9.4692599999999995E-4</v>
      </c>
      <c r="AA463">
        <v>0.99859710000000002</v>
      </c>
      <c r="AB463">
        <v>32</v>
      </c>
      <c r="AC463">
        <v>192.066</v>
      </c>
      <c r="AD463">
        <v>6.1537249999999997</v>
      </c>
      <c r="AE463">
        <v>-9.5932000000000208</v>
      </c>
      <c r="AF463">
        <v>10.184869315691399</v>
      </c>
      <c r="AG463">
        <v>6.1537249999999997</v>
      </c>
      <c r="AH463">
        <v>191.838540933671</v>
      </c>
      <c r="AI463">
        <v>88.165299491762198</v>
      </c>
      <c r="AJ463">
        <v>86.960972090123605</v>
      </c>
      <c r="AK463">
        <v>192.20724669458599</v>
      </c>
      <c r="AL463">
        <v>85.791247150861906</v>
      </c>
      <c r="AM463">
        <v>91.363896626408305</v>
      </c>
      <c r="AN463">
        <v>0.999999972037797</v>
      </c>
    </row>
    <row r="464" spans="1:40" x14ac:dyDescent="0.25">
      <c r="A464" t="str">
        <f>"20190312160611165"</f>
        <v>20190312160611165</v>
      </c>
      <c r="B464" t="str">
        <f>"1552377971155421"</f>
        <v>1552377971155421</v>
      </c>
      <c r="C464" t="s">
        <v>40</v>
      </c>
      <c r="D464">
        <v>6.107837</v>
      </c>
      <c r="E464">
        <v>0.4833942</v>
      </c>
      <c r="F464" t="s">
        <v>47</v>
      </c>
      <c r="G464">
        <v>-320.9941</v>
      </c>
      <c r="H464" s="1">
        <v>-4.3060900000000003E-6</v>
      </c>
      <c r="I464">
        <v>371.69299999999998</v>
      </c>
      <c r="J464">
        <v>-361.96550000000002</v>
      </c>
      <c r="K464">
        <v>1.110301</v>
      </c>
      <c r="L464">
        <v>368.03230000000002</v>
      </c>
      <c r="M464">
        <v>0.99989099999999997</v>
      </c>
      <c r="N464">
        <v>0</v>
      </c>
      <c r="O464">
        <v>3.2152449999999998E-3</v>
      </c>
      <c r="P464">
        <v>0.99789019999999995</v>
      </c>
      <c r="Q464">
        <v>5.9096820000000001E-2</v>
      </c>
      <c r="R464">
        <v>2.6889819999999998E-2</v>
      </c>
      <c r="S464">
        <v>3.0039370000000001</v>
      </c>
      <c r="T464">
        <v>-8.1030850000000001E-2</v>
      </c>
      <c r="U464">
        <v>0.2672119</v>
      </c>
      <c r="V464">
        <v>-2.3699390000000001E-2</v>
      </c>
      <c r="W464">
        <v>7.347853E-2</v>
      </c>
      <c r="X464">
        <v>0.99701519999999999</v>
      </c>
      <c r="Y464">
        <v>-8.5371020000000006E-2</v>
      </c>
      <c r="Z464">
        <v>1.06241E-3</v>
      </c>
      <c r="AA464">
        <v>0.99634869999999998</v>
      </c>
      <c r="AB464">
        <v>32</v>
      </c>
      <c r="AC464">
        <v>40.971400000000003</v>
      </c>
      <c r="AD464">
        <v>-1.1103053060900001</v>
      </c>
      <c r="AE464">
        <v>3.6607000000000198</v>
      </c>
      <c r="AF464">
        <v>-3.5263651096053299</v>
      </c>
      <c r="AG464">
        <v>-1.1103053060900001</v>
      </c>
      <c r="AH464">
        <v>40.953122319185901</v>
      </c>
      <c r="AI464">
        <v>91.547277976798696</v>
      </c>
      <c r="AJ464">
        <v>94.921448754901405</v>
      </c>
      <c r="AK464">
        <v>41.119657786139001</v>
      </c>
      <c r="AL464">
        <v>85.786192875161404</v>
      </c>
      <c r="AM464">
        <v>91.361683717985201</v>
      </c>
      <c r="AN464">
        <v>1.00000003224418</v>
      </c>
    </row>
    <row r="465" spans="1:40" x14ac:dyDescent="0.25">
      <c r="A465" t="str">
        <f>"20190312160611184"</f>
        <v>20190312160611184</v>
      </c>
      <c r="B465" t="str">
        <f>"1552377971175917"</f>
        <v>1552377971175917</v>
      </c>
      <c r="C465" t="s">
        <v>40</v>
      </c>
      <c r="D465">
        <v>6.1965379999999897</v>
      </c>
      <c r="E465">
        <v>0.4880372</v>
      </c>
      <c r="F465" t="s">
        <v>47</v>
      </c>
      <c r="G465">
        <v>-332.17599999999999</v>
      </c>
      <c r="H465" s="1">
        <v>-3.462357E-6</v>
      </c>
      <c r="I465">
        <v>370.08080000000001</v>
      </c>
      <c r="J465">
        <v>-361.6936</v>
      </c>
      <c r="K465">
        <v>1.110309</v>
      </c>
      <c r="L465">
        <v>368.0333</v>
      </c>
      <c r="M465">
        <v>0.99989050000000002</v>
      </c>
      <c r="N465">
        <v>0</v>
      </c>
      <c r="O465">
        <v>3.331007E-3</v>
      </c>
      <c r="P465">
        <v>0.99791459999999998</v>
      </c>
      <c r="Q465">
        <v>5.8456479999999998E-2</v>
      </c>
      <c r="R465">
        <v>2.7373459999999999E-2</v>
      </c>
      <c r="S465">
        <v>3.0074770000000002</v>
      </c>
      <c r="T465">
        <v>-0.11209330000000001</v>
      </c>
      <c r="U465">
        <v>0.20681759999999999</v>
      </c>
      <c r="V465">
        <v>-2.4067069999999999E-2</v>
      </c>
      <c r="W465">
        <v>7.2835559999999994E-2</v>
      </c>
      <c r="X465">
        <v>0.99705359999999998</v>
      </c>
      <c r="Y465">
        <v>-6.5239140000000001E-2</v>
      </c>
      <c r="Z465">
        <v>1.089956E-3</v>
      </c>
      <c r="AA465">
        <v>0.99786909999999895</v>
      </c>
      <c r="AB465">
        <v>32</v>
      </c>
      <c r="AC465">
        <v>29.517600000000002</v>
      </c>
      <c r="AD465">
        <v>-1.110312462357</v>
      </c>
      <c r="AE465">
        <v>2.0475000000000101</v>
      </c>
      <c r="AF465">
        <v>-1.9464142738757999</v>
      </c>
      <c r="AG465">
        <v>-1.110312462357</v>
      </c>
      <c r="AH465">
        <v>29.482741528037199</v>
      </c>
      <c r="AI465">
        <v>92.152044806341195</v>
      </c>
      <c r="AJ465">
        <v>93.777115648758596</v>
      </c>
      <c r="AK465">
        <v>29.5677758767659</v>
      </c>
      <c r="AL465">
        <v>85.8231314453609</v>
      </c>
      <c r="AM465">
        <v>91.382747943910005</v>
      </c>
      <c r="AN465">
        <v>1.00000006196592</v>
      </c>
    </row>
    <row r="466" spans="1:40" x14ac:dyDescent="0.25">
      <c r="A466" t="str">
        <f>"20190312160611205"</f>
        <v>20190312160611205</v>
      </c>
      <c r="B466" t="str">
        <f>"1552377971195437"</f>
        <v>1552377971195437</v>
      </c>
      <c r="C466" t="s">
        <v>40</v>
      </c>
      <c r="D466">
        <v>6.13375</v>
      </c>
      <c r="E466">
        <v>0.4892109</v>
      </c>
      <c r="F466" t="s">
        <v>47</v>
      </c>
      <c r="G466">
        <v>-329.66469999999998</v>
      </c>
      <c r="H466" s="1">
        <v>-1.915915E-7</v>
      </c>
      <c r="I466">
        <v>369.86219999999997</v>
      </c>
      <c r="J466">
        <v>-361.39170000000001</v>
      </c>
      <c r="K466">
        <v>1.110314</v>
      </c>
      <c r="L466">
        <v>368.03449999999998</v>
      </c>
      <c r="M466">
        <v>0.99989019999999995</v>
      </c>
      <c r="N466">
        <v>0</v>
      </c>
      <c r="O466">
        <v>3.4594669999999999E-3</v>
      </c>
      <c r="P466">
        <v>0.99790299999999998</v>
      </c>
      <c r="Q466">
        <v>5.8573819999999999E-2</v>
      </c>
      <c r="R466">
        <v>2.754848E-2</v>
      </c>
      <c r="S466">
        <v>3.00766</v>
      </c>
      <c r="T466">
        <v>-0.1042628</v>
      </c>
      <c r="U466">
        <v>0.17175289999999999</v>
      </c>
      <c r="V466">
        <v>-2.4114420000000001E-2</v>
      </c>
      <c r="W466">
        <v>7.2950189999999998E-2</v>
      </c>
      <c r="X466">
        <v>0.99704400000000004</v>
      </c>
      <c r="Y466">
        <v>-5.3527779999999997E-2</v>
      </c>
      <c r="Z466">
        <v>8.0695729999999996E-4</v>
      </c>
      <c r="AA466">
        <v>0.99856599999999995</v>
      </c>
      <c r="AB466">
        <v>32</v>
      </c>
      <c r="AC466">
        <v>31.727</v>
      </c>
      <c r="AD466">
        <v>-1.1103141915915</v>
      </c>
      <c r="AE466">
        <v>1.8276999999999901</v>
      </c>
      <c r="AF466">
        <v>-1.71582471595139</v>
      </c>
      <c r="AG466">
        <v>-1.1103141915915</v>
      </c>
      <c r="AH466">
        <v>31.694445471910701</v>
      </c>
      <c r="AI466">
        <v>92.003423872077704</v>
      </c>
      <c r="AJ466">
        <v>93.098765140280705</v>
      </c>
      <c r="AK466">
        <v>31.760269612077298</v>
      </c>
      <c r="AL466">
        <v>85.816545796685702</v>
      </c>
      <c r="AM466">
        <v>91.385480663287197</v>
      </c>
      <c r="AN466">
        <v>0.99999998670448598</v>
      </c>
    </row>
    <row r="467" spans="1:40" x14ac:dyDescent="0.25">
      <c r="A467" t="str">
        <f>"20190312160611216"</f>
        <v>20190312160611216</v>
      </c>
      <c r="B467" t="str">
        <f>"1552377971205198"</f>
        <v>1552377971205198</v>
      </c>
      <c r="C467" t="s">
        <v>40</v>
      </c>
      <c r="D467">
        <v>6.2340600000000004</v>
      </c>
      <c r="E467">
        <v>0.49012790000000001</v>
      </c>
      <c r="F467" t="s">
        <v>45</v>
      </c>
      <c r="G467">
        <v>-316.77679999999998</v>
      </c>
      <c r="H467">
        <v>-0.05</v>
      </c>
      <c r="I467">
        <v>370.46280000000002</v>
      </c>
      <c r="J467">
        <v>-361.22890000000001</v>
      </c>
      <c r="K467">
        <v>1.110314</v>
      </c>
      <c r="L467">
        <v>368.0351</v>
      </c>
      <c r="M467">
        <v>0.9998899</v>
      </c>
      <c r="N467">
        <v>0</v>
      </c>
      <c r="O467">
        <v>3.5289710000000001E-3</v>
      </c>
      <c r="P467">
        <v>0.99789459999999996</v>
      </c>
      <c r="Q467">
        <v>5.8704409999999999E-2</v>
      </c>
      <c r="R467">
        <v>2.756925E-2</v>
      </c>
      <c r="S467">
        <v>3.0063780000000002</v>
      </c>
      <c r="T467">
        <v>-7.8187820000000005E-2</v>
      </c>
      <c r="U467">
        <v>0.16363529999999901</v>
      </c>
      <c r="V467">
        <v>-2.4065690000000001E-2</v>
      </c>
      <c r="W467">
        <v>7.3078580000000004E-2</v>
      </c>
      <c r="X467">
        <v>0.99703580000000003</v>
      </c>
      <c r="Y467">
        <v>-5.0808520000000003E-2</v>
      </c>
      <c r="Z467">
        <v>5.6839369999999996E-4</v>
      </c>
      <c r="AA467">
        <v>0.99870820000000005</v>
      </c>
      <c r="AB467">
        <v>32</v>
      </c>
      <c r="AC467">
        <v>44.452100000000002</v>
      </c>
      <c r="AD467">
        <v>-1.1603139999999901</v>
      </c>
      <c r="AE467">
        <v>2.42770000000001</v>
      </c>
      <c r="AF467">
        <v>-2.26925686513703</v>
      </c>
      <c r="AG467">
        <v>-1.1603139999999901</v>
      </c>
      <c r="AH467">
        <v>44.4302090822803</v>
      </c>
      <c r="AI467">
        <v>91.4940173638647</v>
      </c>
      <c r="AJ467">
        <v>92.923820611788798</v>
      </c>
      <c r="AK467">
        <v>44.5032508295036</v>
      </c>
      <c r="AL467">
        <v>85.809170007985799</v>
      </c>
      <c r="AM467">
        <v>91.382693363345496</v>
      </c>
      <c r="AN467">
        <v>1.0000000113858101</v>
      </c>
    </row>
    <row r="468" spans="1:40" x14ac:dyDescent="0.25">
      <c r="A468" t="str">
        <f>"20190312160611227"</f>
        <v>20190312160611227</v>
      </c>
      <c r="B468" t="str">
        <f>"1552377971215935"</f>
        <v>1552377971215935</v>
      </c>
      <c r="C468" t="s">
        <v>40</v>
      </c>
      <c r="D468">
        <v>6.2699780000000001</v>
      </c>
      <c r="E468">
        <v>0.4901143</v>
      </c>
      <c r="F468" t="s">
        <v>45</v>
      </c>
      <c r="G468">
        <v>-313.15190000000001</v>
      </c>
      <c r="H468">
        <v>-0.05</v>
      </c>
      <c r="I468">
        <v>370.53730000000002</v>
      </c>
      <c r="J468">
        <v>-361.06009999999998</v>
      </c>
      <c r="K468">
        <v>1.110314</v>
      </c>
      <c r="L468">
        <v>368.03579999999999</v>
      </c>
      <c r="M468">
        <v>0.99988969999999999</v>
      </c>
      <c r="N468">
        <v>0</v>
      </c>
      <c r="O468">
        <v>3.6008009999999998E-3</v>
      </c>
      <c r="P468">
        <v>0.99787409999999999</v>
      </c>
      <c r="Q468">
        <v>5.8976380000000002E-2</v>
      </c>
      <c r="R468">
        <v>2.7735159999999998E-2</v>
      </c>
      <c r="S468">
        <v>3.0063170000000001</v>
      </c>
      <c r="T468">
        <v>-7.2555899999999895E-2</v>
      </c>
      <c r="U468">
        <v>0.15646360000000001</v>
      </c>
      <c r="V468">
        <v>-2.4159819999999999E-2</v>
      </c>
      <c r="W468">
        <v>7.3348220000000006E-2</v>
      </c>
      <c r="X468">
        <v>0.9970137</v>
      </c>
      <c r="Y468">
        <v>-4.836497E-2</v>
      </c>
      <c r="Z468">
        <v>4.9631339999999999E-4</v>
      </c>
      <c r="AA468">
        <v>0.99882959999999998</v>
      </c>
      <c r="AB468">
        <v>32</v>
      </c>
      <c r="AC468">
        <v>47.908199999999901</v>
      </c>
      <c r="AD468">
        <v>-1.1603139999999901</v>
      </c>
      <c r="AE468">
        <v>2.50150000000002</v>
      </c>
      <c r="AF468">
        <v>-2.3275963520460499</v>
      </c>
      <c r="AG468">
        <v>-1.1603139999999901</v>
      </c>
      <c r="AH468">
        <v>47.888883140892702</v>
      </c>
      <c r="AI468">
        <v>91.386329030463301</v>
      </c>
      <c r="AJ468">
        <v>92.782620336196203</v>
      </c>
      <c r="AK468">
        <v>47.959453310465598</v>
      </c>
      <c r="AL468">
        <v>85.793679103434599</v>
      </c>
      <c r="AM468">
        <v>91.388130244144406</v>
      </c>
      <c r="AN468">
        <v>0.99999998813364499</v>
      </c>
    </row>
    <row r="469" spans="1:40" x14ac:dyDescent="0.25">
      <c r="A469" t="str">
        <f>"20190312160611240"</f>
        <v>20190312160611240</v>
      </c>
      <c r="B469" t="str">
        <f>"1552377971235453"</f>
        <v>1552377971235453</v>
      </c>
      <c r="C469" t="s">
        <v>40</v>
      </c>
      <c r="D469">
        <v>6.2776750000000003</v>
      </c>
      <c r="E469">
        <v>0.49007580000000001</v>
      </c>
      <c r="F469" t="s">
        <v>45</v>
      </c>
      <c r="G469">
        <v>-279.3408</v>
      </c>
      <c r="H469">
        <v>-0.05</v>
      </c>
      <c r="I469">
        <v>372.32709999999997</v>
      </c>
      <c r="J469">
        <v>-360.90089999999998</v>
      </c>
      <c r="K469">
        <v>1.1103149999999999</v>
      </c>
      <c r="L469">
        <v>368.03640000000001</v>
      </c>
      <c r="M469">
        <v>0.99988960000000005</v>
      </c>
      <c r="N469">
        <v>0</v>
      </c>
      <c r="O469">
        <v>3.6684579999999999E-3</v>
      </c>
      <c r="P469">
        <v>0.99786750000000002</v>
      </c>
      <c r="Q469">
        <v>5.894303E-2</v>
      </c>
      <c r="R469">
        <v>2.8049190000000002E-2</v>
      </c>
      <c r="S469">
        <v>3.004486</v>
      </c>
      <c r="T469">
        <v>-4.2659999999999997E-2</v>
      </c>
      <c r="U469">
        <v>0.1577759</v>
      </c>
      <c r="V469">
        <v>-2.4406150000000001E-2</v>
      </c>
      <c r="W469">
        <v>7.3313519999999993E-2</v>
      </c>
      <c r="X469">
        <v>0.99701030000000002</v>
      </c>
      <c r="Y469">
        <v>-4.8772500000000003E-2</v>
      </c>
      <c r="Z469">
        <v>2.9394570000000001E-4</v>
      </c>
      <c r="AA469">
        <v>0.99880990000000003</v>
      </c>
      <c r="AB469">
        <v>32</v>
      </c>
      <c r="AC469">
        <v>81.560099999999906</v>
      </c>
      <c r="AD469">
        <v>-1.160315</v>
      </c>
      <c r="AE469">
        <v>4.2906999999999504</v>
      </c>
      <c r="AF469">
        <v>-3.9906348510080698</v>
      </c>
      <c r="AG469">
        <v>-1.160315</v>
      </c>
      <c r="AH469">
        <v>81.558831558436196</v>
      </c>
      <c r="AI469">
        <v>90.814102456875403</v>
      </c>
      <c r="AJ469">
        <v>92.801221209310697</v>
      </c>
      <c r="AK469">
        <v>81.664646589516806</v>
      </c>
      <c r="AL469">
        <v>85.795672833080701</v>
      </c>
      <c r="AM469">
        <v>91.402282575123806</v>
      </c>
      <c r="AN469">
        <v>1.0000000353393499</v>
      </c>
    </row>
    <row r="470" spans="1:40" x14ac:dyDescent="0.25">
      <c r="A470" t="str">
        <f>"20190312160611251"</f>
        <v>20190312160611251</v>
      </c>
      <c r="B470" t="str">
        <f>"1552377971245214"</f>
        <v>1552377971245214</v>
      </c>
      <c r="C470" t="s">
        <v>40</v>
      </c>
      <c r="D470">
        <v>6.2542609999999996</v>
      </c>
      <c r="E470">
        <v>0.49007580000000001</v>
      </c>
      <c r="F470" t="s">
        <v>42</v>
      </c>
      <c r="G470">
        <v>-158.19499999999999</v>
      </c>
      <c r="H470">
        <v>0.5115442</v>
      </c>
      <c r="I470">
        <v>378.7998</v>
      </c>
      <c r="J470">
        <v>-360.72919999999999</v>
      </c>
      <c r="K470">
        <v>1.1103160000000001</v>
      </c>
      <c r="L470">
        <v>368.03710000000001</v>
      </c>
      <c r="M470">
        <v>0.99988929999999998</v>
      </c>
      <c r="N470">
        <v>0</v>
      </c>
      <c r="O470">
        <v>3.741659E-3</v>
      </c>
      <c r="P470">
        <v>0.99784879999999998</v>
      </c>
      <c r="Q470">
        <v>5.9171029999999999E-2</v>
      </c>
      <c r="R470">
        <v>2.822674E-2</v>
      </c>
      <c r="S470">
        <v>3.0024109999999999</v>
      </c>
      <c r="T470">
        <v>-8.8675019999999993E-3</v>
      </c>
      <c r="U470">
        <v>0.15942379999999901</v>
      </c>
      <c r="V470">
        <v>-2.4510810000000001E-2</v>
      </c>
      <c r="W470">
        <v>7.3538919999999994E-2</v>
      </c>
      <c r="X470">
        <v>0.99699110000000002</v>
      </c>
      <c r="Y470">
        <v>-4.928656E-2</v>
      </c>
      <c r="Z470" s="1">
        <v>6.1687680000000001E-5</v>
      </c>
      <c r="AA470">
        <v>0.99878469999999997</v>
      </c>
      <c r="AB470">
        <v>32</v>
      </c>
      <c r="AC470">
        <v>202.5342</v>
      </c>
      <c r="AD470">
        <v>-0.59877179999999997</v>
      </c>
      <c r="AE470">
        <v>10.762699999999899</v>
      </c>
      <c r="AF470">
        <v>-10.0046449427431</v>
      </c>
      <c r="AG470">
        <v>-0.59877179999999997</v>
      </c>
      <c r="AH470">
        <v>202.57129094355099</v>
      </c>
      <c r="AI470">
        <v>90.169151476302005</v>
      </c>
      <c r="AJ470">
        <v>92.827441833213697</v>
      </c>
      <c r="AK470">
        <v>202.81908037124001</v>
      </c>
      <c r="AL470">
        <v>85.782723273263301</v>
      </c>
      <c r="AM470">
        <v>91.408320625597199</v>
      </c>
      <c r="AN470">
        <v>1.0000000030204099</v>
      </c>
    </row>
    <row r="471" spans="1:40" x14ac:dyDescent="0.25">
      <c r="A471" t="str">
        <f>"20190312160611263"</f>
        <v>20190312160611263</v>
      </c>
      <c r="B471" t="str">
        <f>"1552377971255950"</f>
        <v>1552377971255950</v>
      </c>
      <c r="C471" t="s">
        <v>40</v>
      </c>
      <c r="D471">
        <v>3.859674</v>
      </c>
      <c r="E471">
        <v>0.49007580000000001</v>
      </c>
      <c r="F471" t="s">
        <v>42</v>
      </c>
      <c r="G471">
        <v>-158.19499999999999</v>
      </c>
      <c r="H471">
        <v>0.55648419999999998</v>
      </c>
      <c r="I471">
        <v>378.81799999999998</v>
      </c>
      <c r="J471">
        <v>-360.56490000000002</v>
      </c>
      <c r="K471">
        <v>1.110314</v>
      </c>
      <c r="L471">
        <v>368.0378</v>
      </c>
      <c r="M471">
        <v>0.99988900000000003</v>
      </c>
      <c r="N471">
        <v>0</v>
      </c>
      <c r="O471">
        <v>3.8115229999999998E-3</v>
      </c>
      <c r="P471">
        <v>0.9978534</v>
      </c>
      <c r="Q471">
        <v>5.9036709999999999E-2</v>
      </c>
      <c r="R471">
        <v>2.834441E-2</v>
      </c>
      <c r="S471">
        <v>3.002472</v>
      </c>
      <c r="T471">
        <v>-8.2089899999999993E-3</v>
      </c>
      <c r="U471">
        <v>0.15982060000000001</v>
      </c>
      <c r="V471">
        <v>-2.4559069999999999E-2</v>
      </c>
      <c r="W471">
        <v>7.3402919999999997E-2</v>
      </c>
      <c r="X471">
        <v>0.99699990000000005</v>
      </c>
      <c r="Y471">
        <v>-4.9347330000000002E-2</v>
      </c>
      <c r="Z471" s="1">
        <v>5.6997460000000002E-5</v>
      </c>
      <c r="AA471">
        <v>0.99878169999999999</v>
      </c>
      <c r="AB471">
        <v>32</v>
      </c>
      <c r="AC471">
        <v>202.3699</v>
      </c>
      <c r="AD471">
        <v>-0.55382980000000004</v>
      </c>
      <c r="AE471">
        <v>10.780200000000001</v>
      </c>
      <c r="AF471">
        <v>-10.0086293771356</v>
      </c>
      <c r="AG471">
        <v>-0.55382980000000004</v>
      </c>
      <c r="AH471">
        <v>202.40801127430299</v>
      </c>
      <c r="AI471">
        <v>90.156581294206603</v>
      </c>
      <c r="AJ471">
        <v>92.830844111513002</v>
      </c>
      <c r="AK471">
        <v>202.65606928358901</v>
      </c>
      <c r="AL471">
        <v>85.790536470726394</v>
      </c>
      <c r="AM471">
        <v>91.411079936389697</v>
      </c>
      <c r="AN471">
        <v>0.99999996859189999</v>
      </c>
    </row>
    <row r="472" spans="1:40" x14ac:dyDescent="0.25">
      <c r="A472" t="str">
        <f>"20190312160611406"</f>
        <v>20190312160611406</v>
      </c>
      <c r="B472" t="str">
        <f>"1552377971395519"</f>
        <v>1552377971395519</v>
      </c>
      <c r="C472" t="s">
        <v>40</v>
      </c>
      <c r="D472">
        <v>5.2189489999999896</v>
      </c>
      <c r="E472">
        <v>0.49977490000000002</v>
      </c>
      <c r="F472" t="s">
        <v>42</v>
      </c>
      <c r="G472">
        <v>-158.19499999999999</v>
      </c>
      <c r="H472">
        <v>0.52754400000000001</v>
      </c>
      <c r="I472">
        <v>378.8492</v>
      </c>
      <c r="J472">
        <v>-358.54689999999999</v>
      </c>
      <c r="K472">
        <v>1.1103209999999999</v>
      </c>
      <c r="L472">
        <v>368.04719999999998</v>
      </c>
      <c r="M472">
        <v>0.99988569999999999</v>
      </c>
      <c r="N472">
        <v>0</v>
      </c>
      <c r="O472">
        <v>4.6722409999999997E-3</v>
      </c>
      <c r="P472">
        <v>0.99785970000000002</v>
      </c>
      <c r="Q472">
        <v>5.879173E-2</v>
      </c>
      <c r="R472">
        <v>2.863187E-2</v>
      </c>
      <c r="S472">
        <v>3.0024109999999999</v>
      </c>
      <c r="T472">
        <v>-8.6448189999999998E-3</v>
      </c>
      <c r="U472">
        <v>0.1604004</v>
      </c>
      <c r="V472">
        <v>-2.3987149999999999E-2</v>
      </c>
      <c r="W472">
        <v>7.3136119999999999E-2</v>
      </c>
      <c r="X472">
        <v>0.99703350000000002</v>
      </c>
      <c r="Y472">
        <v>-4.8680960000000002E-2</v>
      </c>
      <c r="Z472" s="1">
        <v>5.6589219999999998E-5</v>
      </c>
      <c r="AA472">
        <v>0.99881439999999999</v>
      </c>
      <c r="AB472">
        <v>32</v>
      </c>
      <c r="AC472">
        <v>200.3519</v>
      </c>
      <c r="AD472">
        <v>-0.58277699999999899</v>
      </c>
      <c r="AE472">
        <v>10.802</v>
      </c>
      <c r="AF472">
        <v>-9.8656096932900095</v>
      </c>
      <c r="AG472">
        <v>-0.58277699999999899</v>
      </c>
      <c r="AH472">
        <v>200.398496834486</v>
      </c>
      <c r="AI472">
        <v>90.166419309624203</v>
      </c>
      <c r="AJ472">
        <v>92.818393444747699</v>
      </c>
      <c r="AK472">
        <v>200.642038010916</v>
      </c>
      <c r="AL472">
        <v>85.805864474068898</v>
      </c>
      <c r="AM472">
        <v>91.378185771694802</v>
      </c>
      <c r="AN472">
        <v>1.0000000377680101</v>
      </c>
    </row>
    <row r="473" spans="1:40" x14ac:dyDescent="0.25">
      <c r="A473" t="str">
        <f>"20190312160611416"</f>
        <v>20190312160611416</v>
      </c>
      <c r="B473" t="str">
        <f>"1552377971405277"</f>
        <v>1552377971405277</v>
      </c>
      <c r="C473" t="s">
        <v>40</v>
      </c>
      <c r="D473">
        <v>6.4412089999999997</v>
      </c>
      <c r="E473">
        <v>0.49977490000000002</v>
      </c>
      <c r="F473" t="s">
        <v>44</v>
      </c>
      <c r="G473">
        <v>-357.82249999999999</v>
      </c>
      <c r="H473">
        <v>0.76999039999999996</v>
      </c>
      <c r="I473">
        <v>368.05860000000001</v>
      </c>
      <c r="J473">
        <v>-358.39490000000001</v>
      </c>
      <c r="K473">
        <v>1.1103229999999999</v>
      </c>
      <c r="L473">
        <v>368.04790000000003</v>
      </c>
      <c r="M473">
        <v>0.99988549999999998</v>
      </c>
      <c r="N473">
        <v>0</v>
      </c>
      <c r="O473">
        <v>4.7369769999999999E-3</v>
      </c>
      <c r="P473">
        <v>0.99782939999999998</v>
      </c>
      <c r="Q473">
        <v>5.9248339999999997E-2</v>
      </c>
      <c r="R473">
        <v>2.8747660000000001E-2</v>
      </c>
      <c r="S473">
        <v>3.0905459999999998</v>
      </c>
      <c r="T473">
        <v>-1.4519310000000001</v>
      </c>
      <c r="U473">
        <v>5.0323489999999999E-2</v>
      </c>
      <c r="V473">
        <v>-2.4038159999999999E-2</v>
      </c>
      <c r="W473">
        <v>7.3590760000000005E-2</v>
      </c>
      <c r="X473">
        <v>0.99699879999999996</v>
      </c>
      <c r="Y473">
        <v>-1.0898049999999999E-2</v>
      </c>
      <c r="Z473">
        <v>3.1764340000000002E-4</v>
      </c>
      <c r="AA473">
        <v>0.99994059999999996</v>
      </c>
      <c r="AB473">
        <v>32</v>
      </c>
      <c r="AC473">
        <v>0.57240000000001601</v>
      </c>
      <c r="AD473">
        <v>-0.34033259999999899</v>
      </c>
      <c r="AE473">
        <v>1.06999999999857E-2</v>
      </c>
      <c r="AF473">
        <v>-5.9023232536333002E-3</v>
      </c>
      <c r="AG473">
        <v>-0.34033259999999899</v>
      </c>
      <c r="AH473">
        <v>0.42297019008366199</v>
      </c>
      <c r="AI473">
        <v>128.81831818641399</v>
      </c>
      <c r="AJ473">
        <v>90.799480132225</v>
      </c>
      <c r="AK473">
        <v>0.54292255225028097</v>
      </c>
      <c r="AL473">
        <v>85.779745062626006</v>
      </c>
      <c r="AM473">
        <v>91.381163476290098</v>
      </c>
      <c r="AN473">
        <v>1.0000000201474999</v>
      </c>
    </row>
    <row r="474" spans="1:40" x14ac:dyDescent="0.25">
      <c r="A474" t="str">
        <f>"20190312160611428"</f>
        <v>20190312160611428</v>
      </c>
      <c r="B474" t="str">
        <f>"1552377971425775"</f>
        <v>1552377971425775</v>
      </c>
      <c r="C474" t="s">
        <v>40</v>
      </c>
      <c r="D474">
        <v>6.2298980000000004</v>
      </c>
      <c r="E474">
        <v>0.50981719999999997</v>
      </c>
      <c r="F474" t="s">
        <v>47</v>
      </c>
      <c r="G474">
        <v>-356.02879999999999</v>
      </c>
      <c r="H474" s="1">
        <v>-1.957327E-6</v>
      </c>
      <c r="I474">
        <v>368.0865</v>
      </c>
      <c r="J474">
        <v>-358.22930000000002</v>
      </c>
      <c r="K474">
        <v>1.1103229999999999</v>
      </c>
      <c r="L474">
        <v>368.04880000000003</v>
      </c>
      <c r="M474">
        <v>0.99988509999999997</v>
      </c>
      <c r="N474">
        <v>0</v>
      </c>
      <c r="O474">
        <v>4.8081479999999999E-3</v>
      </c>
      <c r="P474">
        <v>0.99783339999999998</v>
      </c>
      <c r="Q474">
        <v>5.9076320000000002E-2</v>
      </c>
      <c r="R474">
        <v>2.89628E-2</v>
      </c>
      <c r="S474">
        <v>3.0911870000000001</v>
      </c>
      <c r="T474">
        <v>-1.4504760000000001</v>
      </c>
      <c r="U474">
        <v>5.0506589999999997E-2</v>
      </c>
      <c r="V474">
        <v>-2.4182039999999998E-2</v>
      </c>
      <c r="W474">
        <v>7.3417179999999999E-2</v>
      </c>
      <c r="X474">
        <v>0.99700809999999995</v>
      </c>
      <c r="Y474">
        <v>-1.0892260000000001E-2</v>
      </c>
      <c r="Z474">
        <v>2.8426759999999998E-4</v>
      </c>
      <c r="AA474">
        <v>0.99994059999999996</v>
      </c>
      <c r="AB474">
        <v>31</v>
      </c>
      <c r="AC474">
        <v>2.2005000000000301</v>
      </c>
      <c r="AD474">
        <v>-1.110324957327</v>
      </c>
      <c r="AE474">
        <v>3.7699999999972499E-2</v>
      </c>
      <c r="AF474">
        <v>-2.1616266398842499E-2</v>
      </c>
      <c r="AG474">
        <v>-1.110324957327</v>
      </c>
      <c r="AH474">
        <v>1.7541749279755501</v>
      </c>
      <c r="AI474">
        <v>122.33026430654</v>
      </c>
      <c r="AJ474">
        <v>90.706006071308195</v>
      </c>
      <c r="AK474">
        <v>2.0761547273202501</v>
      </c>
      <c r="AL474">
        <v>85.789717365113404</v>
      </c>
      <c r="AM474">
        <v>91.389414220555494</v>
      </c>
      <c r="AN474">
        <v>1.00000000242166</v>
      </c>
    </row>
    <row r="475" spans="1:40" x14ac:dyDescent="0.25">
      <c r="A475" t="str">
        <f>"20190312160611441"</f>
        <v>20190312160611441</v>
      </c>
      <c r="B475" t="str">
        <f>"1552377971435534"</f>
        <v>1552377971435534</v>
      </c>
      <c r="C475" t="s">
        <v>40</v>
      </c>
      <c r="D475">
        <v>6.2813790000000003</v>
      </c>
      <c r="E475">
        <v>0.51070379999999904</v>
      </c>
      <c r="F475" t="s">
        <v>44</v>
      </c>
      <c r="G475">
        <v>-357.41629999999998</v>
      </c>
      <c r="H475">
        <v>1.041439</v>
      </c>
      <c r="I475">
        <v>368.04840000000002</v>
      </c>
      <c r="J475">
        <v>-358.05630000000002</v>
      </c>
      <c r="K475">
        <v>1.1103240000000001</v>
      </c>
      <c r="L475">
        <v>368.04969999999997</v>
      </c>
      <c r="M475">
        <v>0.99988469999999996</v>
      </c>
      <c r="N475">
        <v>0</v>
      </c>
      <c r="O475">
        <v>4.8823019999999998E-3</v>
      </c>
      <c r="P475">
        <v>0.99782159999999998</v>
      </c>
      <c r="Q475">
        <v>5.9295149999999998E-2</v>
      </c>
      <c r="R475">
        <v>2.8918010000000001E-2</v>
      </c>
      <c r="S475">
        <v>3.0217589999999999</v>
      </c>
      <c r="T475">
        <v>-0.25617119999999999</v>
      </c>
      <c r="U475">
        <v>-1.12915E-3</v>
      </c>
      <c r="V475">
        <v>-2.406376E-2</v>
      </c>
      <c r="W475">
        <v>7.3633550000000006E-2</v>
      </c>
      <c r="X475">
        <v>0.99699499999999996</v>
      </c>
      <c r="Y475">
        <v>5.2202359999999996E-3</v>
      </c>
      <c r="Z475">
        <v>-6.3407830000000004E-4</v>
      </c>
      <c r="AA475">
        <v>0.99998620000000005</v>
      </c>
      <c r="AB475">
        <v>31</v>
      </c>
      <c r="AC475">
        <v>0.64000000000004298</v>
      </c>
      <c r="AD475">
        <v>-6.8885000000000002E-2</v>
      </c>
      <c r="AE475">
        <v>-1.29999999995789E-3</v>
      </c>
      <c r="AF475">
        <v>4.3743055026640703E-3</v>
      </c>
      <c r="AG475">
        <v>-6.8885000000000002E-2</v>
      </c>
      <c r="AH475">
        <v>0.63265683612882595</v>
      </c>
      <c r="AI475">
        <v>96.213857820128695</v>
      </c>
      <c r="AJ475">
        <v>89.6038527752319</v>
      </c>
      <c r="AK475">
        <v>0.63641099147812297</v>
      </c>
      <c r="AL475">
        <v>85.777286609233798</v>
      </c>
      <c r="AM475">
        <v>91.382639075732001</v>
      </c>
      <c r="AN475">
        <v>0.99999999712796905</v>
      </c>
    </row>
    <row r="476" spans="1:40" x14ac:dyDescent="0.25">
      <c r="A476" t="str">
        <f>"20190312160611452"</f>
        <v>20190312160611452</v>
      </c>
      <c r="B476" t="str">
        <f>"1552377971445294"</f>
        <v>1552377971445294</v>
      </c>
      <c r="C476" t="s">
        <v>40</v>
      </c>
      <c r="D476">
        <v>6.1850399999999999</v>
      </c>
      <c r="E476">
        <v>0.50935779999999997</v>
      </c>
      <c r="F476" t="s">
        <v>47</v>
      </c>
      <c r="G476">
        <v>-338.471</v>
      </c>
      <c r="H476" s="1">
        <v>-9.33905E-7</v>
      </c>
      <c r="I476">
        <v>368.00959999999998</v>
      </c>
      <c r="J476">
        <v>-357.89019999999999</v>
      </c>
      <c r="K476">
        <v>1.1103240000000001</v>
      </c>
      <c r="L476">
        <v>368.05059999999997</v>
      </c>
      <c r="M476">
        <v>0.99988449999999995</v>
      </c>
      <c r="N476">
        <v>0</v>
      </c>
      <c r="O476">
        <v>4.9531180000000003E-3</v>
      </c>
      <c r="P476">
        <v>0.99782320000000002</v>
      </c>
      <c r="Q476">
        <v>5.9374219999999998E-2</v>
      </c>
      <c r="R476">
        <v>2.8704179999999999E-2</v>
      </c>
      <c r="S476">
        <v>3.0169069999999998</v>
      </c>
      <c r="T476">
        <v>-0.17103279999999901</v>
      </c>
      <c r="U476">
        <v>-6.1645509999999999E-3</v>
      </c>
      <c r="V476">
        <v>-2.3778850000000001E-2</v>
      </c>
      <c r="W476">
        <v>7.3711070000000004E-2</v>
      </c>
      <c r="X476">
        <v>0.99699610000000005</v>
      </c>
      <c r="Y476">
        <v>6.9777669999999898E-3</v>
      </c>
      <c r="Z476">
        <v>-4.7823320000000001E-4</v>
      </c>
      <c r="AA476">
        <v>0.99997559999999996</v>
      </c>
      <c r="AB476">
        <v>31</v>
      </c>
      <c r="AC476">
        <v>19.419199999999901</v>
      </c>
      <c r="AD476">
        <v>-1.1103249339049901</v>
      </c>
      <c r="AE476">
        <v>-4.0999999999996803E-2</v>
      </c>
      <c r="AF476">
        <v>0.136747966110284</v>
      </c>
      <c r="AG476">
        <v>-1.1103249339049901</v>
      </c>
      <c r="AH476">
        <v>19.3554825587808</v>
      </c>
      <c r="AI476">
        <v>93.283085573537093</v>
      </c>
      <c r="AJ476">
        <v>89.595207666265495</v>
      </c>
      <c r="AK476">
        <v>19.387785498822598</v>
      </c>
      <c r="AL476">
        <v>85.772832905170901</v>
      </c>
      <c r="AM476">
        <v>91.366273646988205</v>
      </c>
      <c r="AN476">
        <v>0.99999998948153801</v>
      </c>
    </row>
    <row r="477" spans="1:40" x14ac:dyDescent="0.25">
      <c r="A477" t="str">
        <f>"20190312160611463"</f>
        <v>20190312160611463</v>
      </c>
      <c r="B477" t="str">
        <f>"1552377971456029"</f>
        <v>1552377971456029</v>
      </c>
      <c r="C477" t="s">
        <v>40</v>
      </c>
      <c r="D477">
        <v>6.1085349999999998</v>
      </c>
      <c r="E477">
        <v>0.50955439999999996</v>
      </c>
      <c r="F477" t="s">
        <v>47</v>
      </c>
      <c r="G477">
        <v>-325.8073</v>
      </c>
      <c r="H477" s="1">
        <v>-2.0482289999999999E-6</v>
      </c>
      <c r="I477">
        <v>368.10969999999998</v>
      </c>
      <c r="J477">
        <v>-357.73559999999998</v>
      </c>
      <c r="K477">
        <v>1.1103229999999999</v>
      </c>
      <c r="L477">
        <v>368.0514</v>
      </c>
      <c r="M477">
        <v>0.99988410000000005</v>
      </c>
      <c r="N477">
        <v>0</v>
      </c>
      <c r="O477">
        <v>5.0192270000000002E-3</v>
      </c>
      <c r="P477">
        <v>0.99780100000000005</v>
      </c>
      <c r="Q477">
        <v>5.9715730000000002E-2</v>
      </c>
      <c r="R477">
        <v>2.8764049999999999E-2</v>
      </c>
      <c r="S477">
        <v>3.0126339999999998</v>
      </c>
      <c r="T477">
        <v>-0.1042613</v>
      </c>
      <c r="U477">
        <v>5.5541990000000001E-3</v>
      </c>
      <c r="V477">
        <v>-2.3773019999999999E-2</v>
      </c>
      <c r="W477">
        <v>7.4050589999999999E-2</v>
      </c>
      <c r="X477">
        <v>0.9969711</v>
      </c>
      <c r="Y477">
        <v>3.1712250000000002E-3</v>
      </c>
      <c r="Z477">
        <v>-2.2852899999999999E-4</v>
      </c>
      <c r="AA477">
        <v>0.99999490000000002</v>
      </c>
      <c r="AB477">
        <v>31</v>
      </c>
      <c r="AC477">
        <v>31.928299999999901</v>
      </c>
      <c r="AD477">
        <v>-1.1103250482289999</v>
      </c>
      <c r="AE477">
        <v>5.8299999999974199E-2</v>
      </c>
      <c r="AF477">
        <v>0.101849506059653</v>
      </c>
      <c r="AG477">
        <v>-1.1103250482289999</v>
      </c>
      <c r="AH477">
        <v>31.889625092202301</v>
      </c>
      <c r="AI477">
        <v>91.994094521080598</v>
      </c>
      <c r="AJ477">
        <v>89.817008604389699</v>
      </c>
      <c r="AK477">
        <v>31.909111293732899</v>
      </c>
      <c r="AL477">
        <v>85.753326620955207</v>
      </c>
      <c r="AM477">
        <v>91.365973035835395</v>
      </c>
      <c r="AN477">
        <v>1.00000001029723</v>
      </c>
    </row>
    <row r="478" spans="1:40" x14ac:dyDescent="0.25">
      <c r="A478" t="str">
        <f>"20190312160611475"</f>
        <v>20190312160611475</v>
      </c>
      <c r="B478" t="str">
        <f>"1552377971465789"</f>
        <v>1552377971465789</v>
      </c>
      <c r="C478" t="s">
        <v>40</v>
      </c>
      <c r="D478">
        <v>6.1381759999999996</v>
      </c>
      <c r="E478">
        <v>0.50965830000000001</v>
      </c>
      <c r="F478" t="s">
        <v>45</v>
      </c>
      <c r="G478">
        <v>-299.79989999999998</v>
      </c>
      <c r="H478">
        <v>-0.05</v>
      </c>
      <c r="I478">
        <v>368.1472</v>
      </c>
      <c r="J478">
        <v>-357.56580000000002</v>
      </c>
      <c r="K478">
        <v>1.1103240000000001</v>
      </c>
      <c r="L478">
        <v>368.05239999999998</v>
      </c>
      <c r="M478">
        <v>0.99988370000000004</v>
      </c>
      <c r="N478">
        <v>0</v>
      </c>
      <c r="O478">
        <v>5.0917139999999998E-3</v>
      </c>
      <c r="P478">
        <v>0.99777229999999995</v>
      </c>
      <c r="Q478">
        <v>6.0142139999999997E-2</v>
      </c>
      <c r="R478">
        <v>2.886644E-2</v>
      </c>
      <c r="S478">
        <v>3.01004</v>
      </c>
      <c r="T478">
        <v>-6.0284379999999999E-2</v>
      </c>
      <c r="U478">
        <v>4.9743649999999997E-3</v>
      </c>
      <c r="V478">
        <v>-2.3803169999999998E-2</v>
      </c>
      <c r="W478">
        <v>7.4474280000000004E-2</v>
      </c>
      <c r="X478">
        <v>0.99693880000000001</v>
      </c>
      <c r="Y478">
        <v>3.4379549999999999E-3</v>
      </c>
      <c r="Z478">
        <v>-1.3639929999999999E-4</v>
      </c>
      <c r="AA478">
        <v>0.9999941</v>
      </c>
      <c r="AB478">
        <v>31</v>
      </c>
      <c r="AC478">
        <v>57.765900000000002</v>
      </c>
      <c r="AD478">
        <v>-1.1603239999999999</v>
      </c>
      <c r="AE478">
        <v>9.4800000000020604E-2</v>
      </c>
      <c r="AF478">
        <v>0.19927866439513001</v>
      </c>
      <c r="AG478">
        <v>-1.1603239999999999</v>
      </c>
      <c r="AH478">
        <v>57.742336314586403</v>
      </c>
      <c r="AI478">
        <v>91.151188715563194</v>
      </c>
      <c r="AJ478">
        <v>89.802263264444505</v>
      </c>
      <c r="AK478">
        <v>57.754337212350201</v>
      </c>
      <c r="AL478">
        <v>85.728983668687704</v>
      </c>
      <c r="AM478">
        <v>91.367749061588498</v>
      </c>
      <c r="AN478">
        <v>0.99999999011450302</v>
      </c>
    </row>
    <row r="479" spans="1:40" x14ac:dyDescent="0.25">
      <c r="A479" t="str">
        <f>"20190312160611488"</f>
        <v>20190312160611488</v>
      </c>
      <c r="B479" t="str">
        <f>"1552377971475550"</f>
        <v>1552377971475550</v>
      </c>
      <c r="C479" t="s">
        <v>40</v>
      </c>
      <c r="D479">
        <v>6.0571339999999996</v>
      </c>
      <c r="E479">
        <v>0.50965059999999995</v>
      </c>
      <c r="F479" t="s">
        <v>47</v>
      </c>
      <c r="G479">
        <v>-274.15359999999998</v>
      </c>
      <c r="H479" s="1">
        <v>-2.743054E-6</v>
      </c>
      <c r="I479">
        <v>368.19189999999998</v>
      </c>
      <c r="J479">
        <v>-357.39260000000002</v>
      </c>
      <c r="K479">
        <v>1.1103289999999999</v>
      </c>
      <c r="L479">
        <v>368.05329999999998</v>
      </c>
      <c r="M479">
        <v>0.99988339999999998</v>
      </c>
      <c r="N479">
        <v>0</v>
      </c>
      <c r="O479">
        <v>5.165691E-3</v>
      </c>
      <c r="P479">
        <v>0.99774810000000003</v>
      </c>
      <c r="Q479">
        <v>6.0494529999999998E-2</v>
      </c>
      <c r="R479">
        <v>2.8971230000000001E-2</v>
      </c>
      <c r="S479">
        <v>3.008972</v>
      </c>
      <c r="T479">
        <v>-4.0053369999999998E-2</v>
      </c>
      <c r="U479">
        <v>5.0353999999999998E-3</v>
      </c>
      <c r="V479">
        <v>-2.383439E-2</v>
      </c>
      <c r="W479">
        <v>7.4824730000000006E-2</v>
      </c>
      <c r="X479">
        <v>0.99691180000000001</v>
      </c>
      <c r="Y479">
        <v>3.4920120000000001E-3</v>
      </c>
      <c r="Z479" s="1">
        <v>-9.2006400000000001E-5</v>
      </c>
      <c r="AA479">
        <v>0.99999389999999999</v>
      </c>
      <c r="AB479">
        <v>31</v>
      </c>
      <c r="AC479">
        <v>83.239000000000004</v>
      </c>
      <c r="AD479">
        <v>-1.1103317430540001</v>
      </c>
      <c r="AE479">
        <v>0.138599999999996</v>
      </c>
      <c r="AF479">
        <v>0.29138136058345399</v>
      </c>
      <c r="AG479">
        <v>-1.1103317430540001</v>
      </c>
      <c r="AH479">
        <v>83.223797153370398</v>
      </c>
      <c r="AI479">
        <v>90.764362609312499</v>
      </c>
      <c r="AJ479">
        <v>89.799398074289897</v>
      </c>
      <c r="AK479">
        <v>83.231713621084793</v>
      </c>
      <c r="AL479">
        <v>85.708848127593896</v>
      </c>
      <c r="AM479">
        <v>91.369579382871507</v>
      </c>
      <c r="AN479">
        <v>0.99999997767274196</v>
      </c>
    </row>
    <row r="480" spans="1:40" x14ac:dyDescent="0.25">
      <c r="A480" t="str">
        <f>"20190312160611507"</f>
        <v>20190312160611507</v>
      </c>
      <c r="B480" t="str">
        <f>"1552377971496045"</f>
        <v>1552377971496045</v>
      </c>
      <c r="C480" t="s">
        <v>40</v>
      </c>
      <c r="D480">
        <v>6.2641489999999997</v>
      </c>
      <c r="E480">
        <v>0.51000140000000005</v>
      </c>
      <c r="F480" t="s">
        <v>47</v>
      </c>
      <c r="G480">
        <v>-270.55619999999999</v>
      </c>
      <c r="H480" s="1">
        <v>-4.2844009999999901E-6</v>
      </c>
      <c r="I480">
        <v>368.20299999999997</v>
      </c>
      <c r="J480">
        <v>-357.12880000000001</v>
      </c>
      <c r="K480">
        <v>1.1103289999999999</v>
      </c>
      <c r="L480">
        <v>368.0548</v>
      </c>
      <c r="M480">
        <v>0.99988279999999996</v>
      </c>
      <c r="N480">
        <v>0</v>
      </c>
      <c r="O480">
        <v>5.2783539999999999E-3</v>
      </c>
      <c r="P480">
        <v>0.99770959999999997</v>
      </c>
      <c r="Q480">
        <v>6.0865929999999999E-2</v>
      </c>
      <c r="R480">
        <v>2.9515420000000001E-2</v>
      </c>
      <c r="S480">
        <v>3.0089419999999998</v>
      </c>
      <c r="T480">
        <v>-3.8473729999999998E-2</v>
      </c>
      <c r="U480">
        <v>5.1879880000000001E-3</v>
      </c>
      <c r="V480">
        <v>-2.4266300000000001E-2</v>
      </c>
      <c r="W480">
        <v>7.5192759999999997E-2</v>
      </c>
      <c r="X480">
        <v>0.99687369999999997</v>
      </c>
      <c r="Y480">
        <v>3.5540060000000002E-3</v>
      </c>
      <c r="Z480" s="1">
        <v>-9.0215980000000004E-5</v>
      </c>
      <c r="AA480">
        <v>0.99999369999999999</v>
      </c>
      <c r="AB480">
        <v>31</v>
      </c>
      <c r="AC480">
        <v>86.572599999999994</v>
      </c>
      <c r="AD480">
        <v>-1.1103332844010001</v>
      </c>
      <c r="AE480">
        <v>0.148200000000031</v>
      </c>
      <c r="AF480">
        <v>0.30875930032160898</v>
      </c>
      <c r="AG480">
        <v>-1.1103332844010001</v>
      </c>
      <c r="AH480">
        <v>86.5579379949219</v>
      </c>
      <c r="AI480">
        <v>90.734924130889695</v>
      </c>
      <c r="AJ480">
        <v>89.795622098076706</v>
      </c>
      <c r="AK480">
        <v>86.565609812677593</v>
      </c>
      <c r="AL480">
        <v>85.687702039395006</v>
      </c>
      <c r="AM480">
        <v>91.394441494674695</v>
      </c>
      <c r="AN480">
        <v>0.99999998911189802</v>
      </c>
    </row>
    <row r="481" spans="1:40" x14ac:dyDescent="0.25">
      <c r="A481" t="str">
        <f>"20190312160611520"</f>
        <v>20190312160611520</v>
      </c>
      <c r="B481" t="str">
        <f>"1552377971515567"</f>
        <v>1552377971515567</v>
      </c>
      <c r="C481" t="s">
        <v>40</v>
      </c>
      <c r="D481">
        <v>5.771242</v>
      </c>
      <c r="E481">
        <v>0.5104225</v>
      </c>
      <c r="F481" t="s">
        <v>42</v>
      </c>
      <c r="G481">
        <v>-158.78319999999999</v>
      </c>
      <c r="H481">
        <v>1.7683599999999999</v>
      </c>
      <c r="I481">
        <v>368.35890000000001</v>
      </c>
      <c r="J481">
        <v>-356.94799999999998</v>
      </c>
      <c r="K481">
        <v>1.1103270000000001</v>
      </c>
      <c r="L481">
        <v>368.05579999999998</v>
      </c>
      <c r="M481">
        <v>0.99988239999999995</v>
      </c>
      <c r="N481">
        <v>0</v>
      </c>
      <c r="O481">
        <v>5.3555499999999997E-3</v>
      </c>
      <c r="P481">
        <v>0.99771580000000004</v>
      </c>
      <c r="Q481">
        <v>6.0647760000000002E-2</v>
      </c>
      <c r="R481">
        <v>2.9750180000000001E-2</v>
      </c>
      <c r="S481">
        <v>3.0061040000000001</v>
      </c>
      <c r="T481">
        <v>9.9743599999999998E-3</v>
      </c>
      <c r="U481">
        <v>4.6081539999999997E-3</v>
      </c>
      <c r="V481">
        <v>-2.4424040000000001E-2</v>
      </c>
      <c r="W481">
        <v>7.4972609999999995E-2</v>
      </c>
      <c r="X481">
        <v>0.99688639999999995</v>
      </c>
      <c r="Y481">
        <v>3.8231369999999999E-3</v>
      </c>
      <c r="Z481" s="1">
        <v>2.411424E-5</v>
      </c>
      <c r="AA481">
        <v>0.99999269999999996</v>
      </c>
      <c r="AB481">
        <v>31</v>
      </c>
      <c r="AC481">
        <v>198.16480000000001</v>
      </c>
      <c r="AD481">
        <v>0.65803299999999898</v>
      </c>
      <c r="AE481">
        <v>0.30310000000002801</v>
      </c>
      <c r="AF481">
        <v>0.75828707753739</v>
      </c>
      <c r="AG481">
        <v>0.65803299999999898</v>
      </c>
      <c r="AH481">
        <v>198.16139590955501</v>
      </c>
      <c r="AI481">
        <v>89.809740444681296</v>
      </c>
      <c r="AJ481">
        <v>89.780752265384606</v>
      </c>
      <c r="AK481">
        <v>198.16393929154799</v>
      </c>
      <c r="AL481">
        <v>85.700351286293099</v>
      </c>
      <c r="AM481">
        <v>91.403484397572697</v>
      </c>
      <c r="AN481">
        <v>0.999999960242546</v>
      </c>
    </row>
    <row r="482" spans="1:40" x14ac:dyDescent="0.25">
      <c r="A482" t="str">
        <f>"20190312160611598"</f>
        <v>20190312160611598</v>
      </c>
      <c r="B482" t="str">
        <f>"1552377971595598"</f>
        <v>1552377971595598</v>
      </c>
      <c r="C482" t="s">
        <v>40</v>
      </c>
      <c r="D482">
        <v>5.5426669999999998</v>
      </c>
      <c r="E482">
        <v>0.5524578</v>
      </c>
      <c r="F482" t="s">
        <v>48</v>
      </c>
      <c r="G482">
        <v>-184.96190000000001</v>
      </c>
      <c r="H482" s="1">
        <v>-8.7903790000000006E-6</v>
      </c>
      <c r="I482">
        <v>368.13780000000003</v>
      </c>
      <c r="J482">
        <v>-355.85059999999999</v>
      </c>
      <c r="K482">
        <v>1.1103259999999999</v>
      </c>
      <c r="L482">
        <v>368.06240000000003</v>
      </c>
      <c r="M482">
        <v>0.99988010000000005</v>
      </c>
      <c r="N482">
        <v>0</v>
      </c>
      <c r="O482">
        <v>5.8248010000000001E-3</v>
      </c>
      <c r="P482">
        <v>0.99775749999999996</v>
      </c>
      <c r="Q482">
        <v>6.0203029999999998E-2</v>
      </c>
      <c r="R482">
        <v>2.9253600000000001E-2</v>
      </c>
      <c r="S482">
        <v>3.007965</v>
      </c>
      <c r="T482">
        <v>-1.9419309999999999E-2</v>
      </c>
      <c r="U482">
        <v>1.4343260000000001E-3</v>
      </c>
      <c r="V482">
        <v>-2.3458920000000001E-2</v>
      </c>
      <c r="W482">
        <v>7.4517559999999997E-2</v>
      </c>
      <c r="X482">
        <v>0.99694369999999999</v>
      </c>
      <c r="Y482">
        <v>5.3483319999999999E-3</v>
      </c>
      <c r="Z482" s="1">
        <v>-5.4872140000000002E-5</v>
      </c>
      <c r="AA482">
        <v>0.99998569999999998</v>
      </c>
      <c r="AB482">
        <v>31</v>
      </c>
      <c r="AC482">
        <v>170.88869999999901</v>
      </c>
      <c r="AD482">
        <v>-1.110334790379</v>
      </c>
      <c r="AE482">
        <v>7.5400000000001896E-2</v>
      </c>
      <c r="AF482">
        <v>0.92005757876156802</v>
      </c>
      <c r="AG482">
        <v>-1.110334790379</v>
      </c>
      <c r="AH482">
        <v>170.87902573557099</v>
      </c>
      <c r="AI482">
        <v>90.372284893731504</v>
      </c>
      <c r="AJ482">
        <v>89.691507447784502</v>
      </c>
      <c r="AK482">
        <v>170.88510990028601</v>
      </c>
      <c r="AL482">
        <v>85.726496887232798</v>
      </c>
      <c r="AM482">
        <v>91.347968912045005</v>
      </c>
      <c r="AN482">
        <v>0.99999996432280402</v>
      </c>
    </row>
    <row r="483" spans="1:40" x14ac:dyDescent="0.25">
      <c r="A483" t="str">
        <f>"20190312160611612"</f>
        <v>20190312160611612</v>
      </c>
      <c r="B483" t="str">
        <f>"1552377971605199"</f>
        <v>1552377971605199</v>
      </c>
      <c r="C483" t="s">
        <v>40</v>
      </c>
      <c r="D483">
        <v>6.0914659999999996</v>
      </c>
      <c r="E483">
        <v>0.5524578</v>
      </c>
      <c r="F483" t="s">
        <v>47</v>
      </c>
      <c r="G483">
        <v>-353.55169999999998</v>
      </c>
      <c r="H483" s="1">
        <v>-3.0723760000000002E-6</v>
      </c>
      <c r="I483">
        <v>367.79129999999998</v>
      </c>
      <c r="J483">
        <v>-355.66520000000003</v>
      </c>
      <c r="K483">
        <v>1.1103270000000001</v>
      </c>
      <c r="L483">
        <v>368.06349999999998</v>
      </c>
      <c r="M483">
        <v>0.99987959999999998</v>
      </c>
      <c r="N483">
        <v>0</v>
      </c>
      <c r="O483">
        <v>5.9041419999999898E-3</v>
      </c>
      <c r="P483">
        <v>0.99775769999999997</v>
      </c>
      <c r="Q483">
        <v>6.0126140000000002E-2</v>
      </c>
      <c r="R483">
        <v>2.9404909999999999E-2</v>
      </c>
      <c r="S483">
        <v>3.108063</v>
      </c>
      <c r="T483">
        <v>-1.501045</v>
      </c>
      <c r="U483">
        <v>-0.36642459999999999</v>
      </c>
      <c r="V483">
        <v>-2.3530840000000001E-2</v>
      </c>
      <c r="W483">
        <v>7.4438619999999997E-2</v>
      </c>
      <c r="X483">
        <v>0.9969479</v>
      </c>
      <c r="Y483">
        <v>0.11027190000000001</v>
      </c>
      <c r="Z483">
        <v>-2.7853900000000001E-2</v>
      </c>
      <c r="AA483">
        <v>0.99351109999999998</v>
      </c>
      <c r="AB483">
        <v>31</v>
      </c>
      <c r="AC483">
        <v>2.1135000000000401</v>
      </c>
      <c r="AD483">
        <v>-1.1103300723759999</v>
      </c>
      <c r="AE483">
        <v>-0.272199999999998</v>
      </c>
      <c r="AF483">
        <v>0.223890686644066</v>
      </c>
      <c r="AG483">
        <v>-1.1103300723759999</v>
      </c>
      <c r="AH483">
        <v>1.66092897805428</v>
      </c>
      <c r="AI483">
        <v>123.52476939561799</v>
      </c>
      <c r="AJ483">
        <v>82.322892622264703</v>
      </c>
      <c r="AK483">
        <v>2.0103842864807899</v>
      </c>
      <c r="AL483">
        <v>85.731032402809305</v>
      </c>
      <c r="AM483">
        <v>91.352094268776</v>
      </c>
      <c r="AN483">
        <v>0.99999996194650898</v>
      </c>
    </row>
    <row r="484" spans="1:40" x14ac:dyDescent="0.25">
      <c r="A484" t="str">
        <f>"20190312160611629"</f>
        <v>20190312160611629</v>
      </c>
      <c r="B484" t="str">
        <f>"1552377971625695"</f>
        <v>1552377971625695</v>
      </c>
      <c r="C484" t="s">
        <v>40</v>
      </c>
      <c r="D484">
        <v>7.8985509999999897</v>
      </c>
      <c r="E484">
        <v>0.55319119999999899</v>
      </c>
      <c r="F484" t="s">
        <v>44</v>
      </c>
      <c r="G484">
        <v>-355.01490000000001</v>
      </c>
      <c r="H484">
        <v>0.79614019999999996</v>
      </c>
      <c r="I484">
        <v>367.9864</v>
      </c>
      <c r="J484">
        <v>-355.42739999999998</v>
      </c>
      <c r="K484">
        <v>1.1103270000000001</v>
      </c>
      <c r="L484">
        <v>368.06509999999997</v>
      </c>
      <c r="M484">
        <v>0.99987899999999996</v>
      </c>
      <c r="N484">
        <v>0</v>
      </c>
      <c r="O484">
        <v>6.0058369999999896E-3</v>
      </c>
      <c r="P484">
        <v>0.99776450000000005</v>
      </c>
      <c r="Q484">
        <v>6.0157620000000002E-2</v>
      </c>
      <c r="R484">
        <v>2.9108680000000001E-2</v>
      </c>
      <c r="S484">
        <v>3.1080019999999999</v>
      </c>
      <c r="T484">
        <v>-1.5013179999999999</v>
      </c>
      <c r="U484">
        <v>-0.36614989999999997</v>
      </c>
      <c r="V484">
        <v>-2.313289E-2</v>
      </c>
      <c r="W484">
        <v>7.4467640000000002E-2</v>
      </c>
      <c r="X484">
        <v>0.99695509999999998</v>
      </c>
      <c r="Y484">
        <v>0.1102723</v>
      </c>
      <c r="Z484">
        <v>-2.7905599999999999E-2</v>
      </c>
      <c r="AA484">
        <v>0.99350959999999999</v>
      </c>
      <c r="AB484">
        <v>31</v>
      </c>
      <c r="AC484">
        <v>0.41249999999996501</v>
      </c>
      <c r="AD484">
        <v>-0.31418679999999999</v>
      </c>
      <c r="AE484">
        <v>-7.8699999999969295E-2</v>
      </c>
      <c r="AF484">
        <v>5.2044116333826301E-2</v>
      </c>
      <c r="AG484">
        <v>-0.31418679999999999</v>
      </c>
      <c r="AH484">
        <v>0.26415621375259402</v>
      </c>
      <c r="AI484">
        <v>139.40592785186701</v>
      </c>
      <c r="AJ484">
        <v>78.854323319650604</v>
      </c>
      <c r="AK484">
        <v>0.41376374974532898</v>
      </c>
      <c r="AL484">
        <v>85.729365281550798</v>
      </c>
      <c r="AM484">
        <v>91.329226533523894</v>
      </c>
      <c r="AN484">
        <v>1.0000000157114599</v>
      </c>
    </row>
    <row r="485" spans="1:40" x14ac:dyDescent="0.25">
      <c r="A485" t="str">
        <f>"20190312160611642"</f>
        <v>20190312160611642</v>
      </c>
      <c r="B485" t="str">
        <f>"1552377971635457"</f>
        <v>1552377971635457</v>
      </c>
      <c r="C485" t="s">
        <v>40</v>
      </c>
      <c r="D485">
        <v>6.1020779999999997</v>
      </c>
      <c r="E485">
        <v>0.54017029999999999</v>
      </c>
      <c r="F485" t="s">
        <v>44</v>
      </c>
      <c r="G485">
        <v>-354.6825</v>
      </c>
      <c r="H485">
        <v>0.92647760000000001</v>
      </c>
      <c r="I485">
        <v>367.97809999999998</v>
      </c>
      <c r="J485">
        <v>-355.24759999999998</v>
      </c>
      <c r="K485">
        <v>1.1103270000000001</v>
      </c>
      <c r="L485">
        <v>368.06619999999998</v>
      </c>
      <c r="M485">
        <v>0.99987859999999995</v>
      </c>
      <c r="N485">
        <v>0</v>
      </c>
      <c r="O485">
        <v>6.0826159999999999E-3</v>
      </c>
      <c r="P485">
        <v>0.99778690000000003</v>
      </c>
      <c r="Q485">
        <v>5.9916659999999997E-2</v>
      </c>
      <c r="R485">
        <v>2.8834539999999999E-2</v>
      </c>
      <c r="S485">
        <v>3.0627140000000002</v>
      </c>
      <c r="T485">
        <v>-0.75591850000000005</v>
      </c>
      <c r="U485">
        <v>-0.3566589</v>
      </c>
      <c r="V485">
        <v>-2.2781989999999998E-2</v>
      </c>
      <c r="W485">
        <v>7.4225579999999999E-2</v>
      </c>
      <c r="X485">
        <v>0.99698120000000001</v>
      </c>
      <c r="Y485">
        <v>0.1180345</v>
      </c>
      <c r="Z485">
        <v>-1.577926E-2</v>
      </c>
      <c r="AA485">
        <v>0.99288410000000005</v>
      </c>
      <c r="AB485">
        <v>31</v>
      </c>
      <c r="AC485">
        <v>0.56509999999997196</v>
      </c>
      <c r="AD485">
        <v>-0.1838494</v>
      </c>
      <c r="AE485">
        <v>-8.8099999999997097E-2</v>
      </c>
      <c r="AF485">
        <v>8.2963080214922005E-2</v>
      </c>
      <c r="AG485">
        <v>-0.1838494</v>
      </c>
      <c r="AH485">
        <v>0.51167957291050503</v>
      </c>
      <c r="AI485">
        <v>109.52827076417501</v>
      </c>
      <c r="AJ485">
        <v>80.790281180872896</v>
      </c>
      <c r="AK485">
        <v>0.549999508993403</v>
      </c>
      <c r="AL485">
        <v>85.743272654103393</v>
      </c>
      <c r="AM485">
        <v>91.309036469452707</v>
      </c>
      <c r="AN485">
        <v>0.99999998447406802</v>
      </c>
    </row>
    <row r="486" spans="1:40" x14ac:dyDescent="0.25">
      <c r="A486" t="str">
        <f>"20190312160611653"</f>
        <v>20190312160611653</v>
      </c>
      <c r="B486" t="str">
        <f>"1552377971645215"</f>
        <v>1552377971645215</v>
      </c>
      <c r="C486" t="s">
        <v>40</v>
      </c>
      <c r="D486">
        <v>6.0231949999999896</v>
      </c>
      <c r="E486">
        <v>0.54587810000000003</v>
      </c>
      <c r="F486" t="s">
        <v>47</v>
      </c>
      <c r="G486">
        <v>-329.54329999999999</v>
      </c>
      <c r="H486" s="1">
        <v>-1.0983900000000001E-6</v>
      </c>
      <c r="I486">
        <v>366.02010000000001</v>
      </c>
      <c r="J486">
        <v>-355.09070000000003</v>
      </c>
      <c r="K486">
        <v>1.1103240000000001</v>
      </c>
      <c r="L486">
        <v>368.06729999999999</v>
      </c>
      <c r="M486">
        <v>0.99987820000000005</v>
      </c>
      <c r="N486">
        <v>0</v>
      </c>
      <c r="O486">
        <v>6.1496789999999999E-3</v>
      </c>
      <c r="P486">
        <v>0.99781050000000004</v>
      </c>
      <c r="Q486">
        <v>5.9509869999999999E-2</v>
      </c>
      <c r="R486">
        <v>2.8860589999999998E-2</v>
      </c>
      <c r="S486">
        <v>3.0214539999999999</v>
      </c>
      <c r="T486">
        <v>-0.13051460000000001</v>
      </c>
      <c r="U486">
        <v>-0.240509</v>
      </c>
      <c r="V486">
        <v>-2.2740380000000001E-2</v>
      </c>
      <c r="W486">
        <v>7.3817579999999994E-2</v>
      </c>
      <c r="X486">
        <v>0.99701240000000002</v>
      </c>
      <c r="Y486">
        <v>8.5394020000000001E-2</v>
      </c>
      <c r="Z486">
        <v>-2.1057139999999998E-3</v>
      </c>
      <c r="AA486">
        <v>0.99634500000000004</v>
      </c>
      <c r="AB486">
        <v>31</v>
      </c>
      <c r="AC486">
        <v>25.5474</v>
      </c>
      <c r="AD486">
        <v>-1.1103250983899999</v>
      </c>
      <c r="AE486">
        <v>-2.0471999999999699</v>
      </c>
      <c r="AF486">
        <v>2.2001564165206302</v>
      </c>
      <c r="AG486">
        <v>-1.1103250983899999</v>
      </c>
      <c r="AH486">
        <v>25.486491849398401</v>
      </c>
      <c r="AI486">
        <v>92.485295288729304</v>
      </c>
      <c r="AJ486">
        <v>85.066095090790597</v>
      </c>
      <c r="AK486">
        <v>25.605366173337998</v>
      </c>
      <c r="AL486">
        <v>85.766713463326795</v>
      </c>
      <c r="AM486">
        <v>91.306605543594699</v>
      </c>
      <c r="AN486">
        <v>0.99999994287667804</v>
      </c>
    </row>
    <row r="487" spans="1:40" x14ac:dyDescent="0.25">
      <c r="A487" t="str">
        <f>"20190312160611663"</f>
        <v>20190312160611663</v>
      </c>
      <c r="B487" t="str">
        <f>"1552377971655952"</f>
        <v>1552377971655952</v>
      </c>
      <c r="C487" t="s">
        <v>40</v>
      </c>
      <c r="D487">
        <v>6.0437580000000004</v>
      </c>
      <c r="E487">
        <v>0.545853699999999</v>
      </c>
      <c r="F487" t="s">
        <v>47</v>
      </c>
      <c r="G487">
        <v>-331.01420000000002</v>
      </c>
      <c r="H487" s="1">
        <v>-4.5160359999999998E-6</v>
      </c>
      <c r="I487">
        <v>365.7894</v>
      </c>
      <c r="J487">
        <v>-354.9418</v>
      </c>
      <c r="K487">
        <v>1.110325</v>
      </c>
      <c r="L487">
        <v>368.06819999999999</v>
      </c>
      <c r="M487">
        <v>0.99987789999999999</v>
      </c>
      <c r="N487">
        <v>0</v>
      </c>
      <c r="O487">
        <v>6.2134039999999996E-3</v>
      </c>
      <c r="P487">
        <v>0.99782099999999996</v>
      </c>
      <c r="Q487">
        <v>5.948026E-2</v>
      </c>
      <c r="R487">
        <v>2.855417E-2</v>
      </c>
      <c r="S487">
        <v>3.0231629999999998</v>
      </c>
      <c r="T487">
        <v>-0.13941779999999901</v>
      </c>
      <c r="U487">
        <v>-0.28601070000000001</v>
      </c>
      <c r="V487">
        <v>-2.2370560000000001E-2</v>
      </c>
      <c r="W487">
        <v>7.3786210000000005E-2</v>
      </c>
      <c r="X487">
        <v>0.9970232</v>
      </c>
      <c r="Y487">
        <v>0.10025829999999999</v>
      </c>
      <c r="Z487">
        <v>-2.5912169999999998E-3</v>
      </c>
      <c r="AA487">
        <v>0.99495800000000001</v>
      </c>
      <c r="AB487">
        <v>31</v>
      </c>
      <c r="AC487">
        <v>23.927599999999899</v>
      </c>
      <c r="AD487">
        <v>-1.1103295160360001</v>
      </c>
      <c r="AE487">
        <v>-2.27879999999998</v>
      </c>
      <c r="AF487">
        <v>2.4222741215969399</v>
      </c>
      <c r="AG487">
        <v>-1.1103295160360001</v>
      </c>
      <c r="AH487">
        <v>23.86205703657</v>
      </c>
      <c r="AI487">
        <v>92.650516556055805</v>
      </c>
      <c r="AJ487">
        <v>84.203672453595502</v>
      </c>
      <c r="AK487">
        <v>24.010372957762598</v>
      </c>
      <c r="AL487">
        <v>85.768516218243207</v>
      </c>
      <c r="AM487">
        <v>91.285349877212695</v>
      </c>
      <c r="AN487">
        <v>1.0000000540395499</v>
      </c>
    </row>
    <row r="488" spans="1:40" x14ac:dyDescent="0.25">
      <c r="A488" t="str">
        <f>"20190312160611685"</f>
        <v>20190312160611685</v>
      </c>
      <c r="B488" t="str">
        <f>"1552377971675475"</f>
        <v>1552377971675475</v>
      </c>
      <c r="C488" t="s">
        <v>40</v>
      </c>
      <c r="D488">
        <v>6.0702559999999997</v>
      </c>
      <c r="E488">
        <v>0.54371829999999999</v>
      </c>
      <c r="F488" t="s">
        <v>47</v>
      </c>
      <c r="G488">
        <v>-329.53339999999997</v>
      </c>
      <c r="H488" s="1">
        <v>-1.1970609999999999E-6</v>
      </c>
      <c r="I488">
        <v>365.6619</v>
      </c>
      <c r="J488">
        <v>-354.64920000000001</v>
      </c>
      <c r="K488">
        <v>1.1103289999999999</v>
      </c>
      <c r="L488">
        <v>368.0702</v>
      </c>
      <c r="M488">
        <v>0.99987700000000002</v>
      </c>
      <c r="N488">
        <v>0</v>
      </c>
      <c r="O488">
        <v>6.3386479999999997E-3</v>
      </c>
      <c r="P488">
        <v>0.99779839999999997</v>
      </c>
      <c r="Q488">
        <v>5.9714610000000001E-2</v>
      </c>
      <c r="R488">
        <v>2.885418E-2</v>
      </c>
      <c r="S488">
        <v>3.0226440000000001</v>
      </c>
      <c r="T488">
        <v>-0.13208639999999999</v>
      </c>
      <c r="U488">
        <v>-0.28625489999999998</v>
      </c>
      <c r="V488">
        <v>-2.2545599999999999E-2</v>
      </c>
      <c r="W488">
        <v>7.4017319999999998E-2</v>
      </c>
      <c r="X488">
        <v>0.9970021</v>
      </c>
      <c r="Y488">
        <v>0.1004897</v>
      </c>
      <c r="Z488">
        <v>-2.4659999999999999E-3</v>
      </c>
      <c r="AA488">
        <v>0.99493500000000001</v>
      </c>
      <c r="AB488">
        <v>31</v>
      </c>
      <c r="AC488">
        <v>25.1158</v>
      </c>
      <c r="AD488">
        <v>-1.110330197061</v>
      </c>
      <c r="AE488">
        <v>-2.4082999999999899</v>
      </c>
      <c r="AF488">
        <v>2.5625057119674399</v>
      </c>
      <c r="AG488">
        <v>-1.110330197061</v>
      </c>
      <c r="AH488">
        <v>25.051514139928202</v>
      </c>
      <c r="AI488">
        <v>92.524639474572695</v>
      </c>
      <c r="AJ488">
        <v>84.159559219987699</v>
      </c>
      <c r="AK488">
        <v>25.206698105332901</v>
      </c>
      <c r="AL488">
        <v>85.755238170604599</v>
      </c>
      <c r="AM488">
        <v>91.295431178758705</v>
      </c>
      <c r="AN488">
        <v>1.0000000275718699</v>
      </c>
    </row>
    <row r="489" spans="1:40" x14ac:dyDescent="0.25">
      <c r="A489" t="str">
        <f>"20190312160611696"</f>
        <v>20190312160611696</v>
      </c>
      <c r="B489" t="str">
        <f>"1552377971685232"</f>
        <v>1552377971685232</v>
      </c>
      <c r="C489" t="s">
        <v>40</v>
      </c>
      <c r="D489">
        <v>6.0347600000000003</v>
      </c>
      <c r="E489">
        <v>0.54244130000000002</v>
      </c>
      <c r="F489" t="s">
        <v>47</v>
      </c>
      <c r="G489">
        <v>-269.0419</v>
      </c>
      <c r="H489" s="1">
        <v>-2.737445E-6</v>
      </c>
      <c r="I489">
        <v>360.50099999999998</v>
      </c>
      <c r="J489">
        <v>-354.49079999999998</v>
      </c>
      <c r="K489">
        <v>1.1103289999999999</v>
      </c>
      <c r="L489">
        <v>368.07119999999998</v>
      </c>
      <c r="M489">
        <v>0.99987669999999995</v>
      </c>
      <c r="N489">
        <v>0</v>
      </c>
      <c r="O489">
        <v>6.4063669999999996E-3</v>
      </c>
      <c r="P489">
        <v>0.99775570000000002</v>
      </c>
      <c r="Q489">
        <v>6.0289740000000001E-2</v>
      </c>
      <c r="R489">
        <v>2.9137139999999999E-2</v>
      </c>
      <c r="S489">
        <v>3.0166629999999999</v>
      </c>
      <c r="T489">
        <v>-3.9126279999999999E-2</v>
      </c>
      <c r="U489">
        <v>-0.26672360000000001</v>
      </c>
      <c r="V489">
        <v>-2.2761880000000002E-2</v>
      </c>
      <c r="W489">
        <v>7.4589829999999996E-2</v>
      </c>
      <c r="X489">
        <v>0.99695449999999997</v>
      </c>
      <c r="Y489">
        <v>9.4445109999999999E-2</v>
      </c>
      <c r="Z489">
        <v>-6.9420089999999897E-4</v>
      </c>
      <c r="AA489">
        <v>0.99552980000000002</v>
      </c>
      <c r="AB489">
        <v>31</v>
      </c>
      <c r="AC489">
        <v>85.448899999999895</v>
      </c>
      <c r="AD489">
        <v>-1.1103317374449999</v>
      </c>
      <c r="AE489">
        <v>-7.5701999999999998</v>
      </c>
      <c r="AF489">
        <v>8.1161581865340597</v>
      </c>
      <c r="AG489">
        <v>-1.1103317374449999</v>
      </c>
      <c r="AH489">
        <v>85.384339090293906</v>
      </c>
      <c r="AI489">
        <v>90.741685377936307</v>
      </c>
      <c r="AJ489">
        <v>84.570097796988094</v>
      </c>
      <c r="AK489">
        <v>85.776396649441494</v>
      </c>
      <c r="AL489">
        <v>85.722344763066999</v>
      </c>
      <c r="AM489">
        <v>91.307916380044205</v>
      </c>
      <c r="AN489">
        <v>1.0000000104954001</v>
      </c>
    </row>
    <row r="490" spans="1:40" x14ac:dyDescent="0.25">
      <c r="A490" t="str">
        <f>"20190312160611707"</f>
        <v>20190312160611707</v>
      </c>
      <c r="B490" t="str">
        <f>"1552377971695968"</f>
        <v>1552377971695968</v>
      </c>
      <c r="C490" t="s">
        <v>40</v>
      </c>
      <c r="D490">
        <v>6.1326710000000002</v>
      </c>
      <c r="E490">
        <v>0.54244130000000002</v>
      </c>
      <c r="F490" t="s">
        <v>47</v>
      </c>
      <c r="G490">
        <v>-218.33750000000001</v>
      </c>
      <c r="H490">
        <v>7.9985979999999998E-2</v>
      </c>
      <c r="I490">
        <v>356.54250000000002</v>
      </c>
      <c r="J490">
        <v>-354.3338</v>
      </c>
      <c r="K490">
        <v>1.1103270000000001</v>
      </c>
      <c r="L490">
        <v>368.07229999999998</v>
      </c>
      <c r="M490">
        <v>0.99987630000000005</v>
      </c>
      <c r="N490">
        <v>0</v>
      </c>
      <c r="O490">
        <v>6.4734290000000002E-3</v>
      </c>
      <c r="P490">
        <v>0.99775210000000003</v>
      </c>
      <c r="Q490">
        <v>6.0154720000000002E-2</v>
      </c>
      <c r="R490">
        <v>2.9535289999999999E-2</v>
      </c>
      <c r="S490">
        <v>3.0155639999999999</v>
      </c>
      <c r="T490">
        <v>-2.282035E-2</v>
      </c>
      <c r="U490">
        <v>-0.25534059999999997</v>
      </c>
      <c r="V490">
        <v>-2.3092990000000001E-2</v>
      </c>
      <c r="W490">
        <v>7.4453359999999996E-2</v>
      </c>
      <c r="X490">
        <v>0.99695710000000004</v>
      </c>
      <c r="Y490">
        <v>9.0818789999999996E-2</v>
      </c>
      <c r="Z490">
        <v>-3.919258E-4</v>
      </c>
      <c r="AA490">
        <v>0.99586739999999996</v>
      </c>
      <c r="AB490">
        <v>31</v>
      </c>
      <c r="AC490">
        <v>135.99629999999999</v>
      </c>
      <c r="AD490">
        <v>-1.0303410200000001</v>
      </c>
      <c r="AE490">
        <v>-11.5297999999999</v>
      </c>
      <c r="AF490">
        <v>12.409304018315</v>
      </c>
      <c r="AG490">
        <v>-1.0303410200000001</v>
      </c>
      <c r="AH490">
        <v>135.91105934310099</v>
      </c>
      <c r="AI490">
        <v>90.432551501644795</v>
      </c>
      <c r="AJ490">
        <v>84.783097011456306</v>
      </c>
      <c r="AK490">
        <v>136.480286051137</v>
      </c>
      <c r="AL490">
        <v>85.730185778875295</v>
      </c>
      <c r="AM490">
        <v>91.326932020508707</v>
      </c>
      <c r="AN490">
        <v>1.00000002412141</v>
      </c>
    </row>
    <row r="491" spans="1:40" x14ac:dyDescent="0.25">
      <c r="A491" t="str">
        <f>"20190312160611919"</f>
        <v>20190312160611919</v>
      </c>
      <c r="B491" t="str">
        <f>"1552377971915646"</f>
        <v>1552377971915646</v>
      </c>
      <c r="C491" t="s">
        <v>40</v>
      </c>
      <c r="D491">
        <v>7.8156129999999999</v>
      </c>
      <c r="E491">
        <v>0.54244130000000002</v>
      </c>
      <c r="F491" t="s">
        <v>47</v>
      </c>
      <c r="G491">
        <v>-219.31020000000001</v>
      </c>
      <c r="H491">
        <v>7.9985680000000003E-2</v>
      </c>
      <c r="I491">
        <v>356.69290000000001</v>
      </c>
      <c r="J491">
        <v>-351.43290000000002</v>
      </c>
      <c r="K491">
        <v>1.1103229999999999</v>
      </c>
      <c r="L491">
        <v>368.09399999999999</v>
      </c>
      <c r="M491">
        <v>0.99986799999999998</v>
      </c>
      <c r="N491">
        <v>0</v>
      </c>
      <c r="O491">
        <v>7.7174369999999997E-3</v>
      </c>
      <c r="P491">
        <v>0.99789939999999999</v>
      </c>
      <c r="Q491">
        <v>5.8009619999999998E-2</v>
      </c>
      <c r="R491">
        <v>2.8845610000000001E-2</v>
      </c>
      <c r="S491">
        <v>3.0156559999999999</v>
      </c>
      <c r="T491">
        <v>-2.3011920000000002E-2</v>
      </c>
      <c r="U491">
        <v>-0.2541504</v>
      </c>
      <c r="V491">
        <v>-2.115914E-2</v>
      </c>
      <c r="W491">
        <v>7.2280570000000002E-2</v>
      </c>
      <c r="X491">
        <v>0.99715989999999999</v>
      </c>
      <c r="Y491">
        <v>9.1664889999999999E-2</v>
      </c>
      <c r="Z491">
        <v>-4.0791090000000003E-4</v>
      </c>
      <c r="AA491">
        <v>0.99578979999999995</v>
      </c>
      <c r="AB491">
        <v>31</v>
      </c>
      <c r="AC491">
        <v>132.12270000000001</v>
      </c>
      <c r="AD491">
        <v>-1.0303373199999999</v>
      </c>
      <c r="AE491">
        <v>-11.4010999999999</v>
      </c>
      <c r="AF491">
        <v>12.4197635434591</v>
      </c>
      <c r="AG491">
        <v>-1.0303373199999999</v>
      </c>
      <c r="AH491">
        <v>132.022798835168</v>
      </c>
      <c r="AI491">
        <v>90.445175394927205</v>
      </c>
      <c r="AJ491">
        <v>84.625837613561302</v>
      </c>
      <c r="AK491">
        <v>132.609696228215</v>
      </c>
      <c r="AL491">
        <v>85.855013924326002</v>
      </c>
      <c r="AM491">
        <v>91.215599938895906</v>
      </c>
      <c r="AN491">
        <v>1.00000002808653</v>
      </c>
    </row>
    <row r="492" spans="1:40" x14ac:dyDescent="0.25">
      <c r="A492" t="str">
        <f>"20190312160611930"</f>
        <v>20190312160611930</v>
      </c>
      <c r="B492" t="str">
        <f>"1552377971925407"</f>
        <v>1552377971925407</v>
      </c>
      <c r="C492" t="s">
        <v>40</v>
      </c>
      <c r="D492">
        <v>7.2131899999999902</v>
      </c>
      <c r="E492">
        <v>0.4790355</v>
      </c>
      <c r="F492" t="s">
        <v>47</v>
      </c>
      <c r="G492">
        <v>-246.83840000000001</v>
      </c>
      <c r="H492">
        <v>7.9986160000000001E-2</v>
      </c>
      <c r="I492">
        <v>359.20330000000001</v>
      </c>
      <c r="J492">
        <v>-351.27339999999998</v>
      </c>
      <c r="K492">
        <v>1.110325</v>
      </c>
      <c r="L492">
        <v>368.09519999999998</v>
      </c>
      <c r="M492">
        <v>0.99986739999999996</v>
      </c>
      <c r="N492">
        <v>0</v>
      </c>
      <c r="O492">
        <v>7.7859890000000001E-3</v>
      </c>
      <c r="P492">
        <v>0.99790120000000004</v>
      </c>
      <c r="Q492">
        <v>5.7924259999999998E-2</v>
      </c>
      <c r="R492">
        <v>2.8950799999999999E-2</v>
      </c>
      <c r="S492">
        <v>3.0154420000000002</v>
      </c>
      <c r="T492">
        <v>-2.970445E-2</v>
      </c>
      <c r="U492">
        <v>-0.25631710000000002</v>
      </c>
      <c r="V492">
        <v>-2.119588E-2</v>
      </c>
      <c r="W492">
        <v>7.219354E-2</v>
      </c>
      <c r="X492">
        <v>0.99716539999999998</v>
      </c>
      <c r="Y492">
        <v>9.2447500000000002E-2</v>
      </c>
      <c r="Z492">
        <v>-5.3108120000000005E-4</v>
      </c>
      <c r="AA492">
        <v>0.99571739999999997</v>
      </c>
      <c r="AB492">
        <v>31</v>
      </c>
      <c r="AC492">
        <v>104.43499999999899</v>
      </c>
      <c r="AD492">
        <v>-1.03033884</v>
      </c>
      <c r="AE492">
        <v>-8.8918999999999606</v>
      </c>
      <c r="AF492">
        <v>9.7039056317552301</v>
      </c>
      <c r="AG492">
        <v>-1.03033884</v>
      </c>
      <c r="AH492">
        <v>104.35251045168999</v>
      </c>
      <c r="AI492">
        <v>90.563269345700107</v>
      </c>
      <c r="AJ492">
        <v>84.687253215882507</v>
      </c>
      <c r="AK492">
        <v>104.807794653858</v>
      </c>
      <c r="AL492">
        <v>85.860013336227794</v>
      </c>
      <c r="AM492">
        <v>91.217703315239007</v>
      </c>
      <c r="AN492">
        <v>1.0000000037519301</v>
      </c>
    </row>
    <row r="493" spans="1:40" x14ac:dyDescent="0.25">
      <c r="A493" t="str">
        <f>"20190312160611941"</f>
        <v>20190312160611941</v>
      </c>
      <c r="B493" t="str">
        <f>"1552377971936143"</f>
        <v>1552377971936143</v>
      </c>
      <c r="C493" t="s">
        <v>40</v>
      </c>
      <c r="D493">
        <v>5.9234749999999998</v>
      </c>
      <c r="E493">
        <v>0.4784446</v>
      </c>
      <c r="F493" t="s">
        <v>44</v>
      </c>
      <c r="G493">
        <v>-350.50889999999998</v>
      </c>
      <c r="H493">
        <v>1.0058590000000001</v>
      </c>
      <c r="I493">
        <v>368.15609999999998</v>
      </c>
      <c r="J493">
        <v>-351.11410000000001</v>
      </c>
      <c r="K493">
        <v>1.1103229999999999</v>
      </c>
      <c r="L493">
        <v>368.09649999999999</v>
      </c>
      <c r="M493">
        <v>0.99986699999999995</v>
      </c>
      <c r="N493">
        <v>0</v>
      </c>
      <c r="O493">
        <v>7.8543009999999993E-3</v>
      </c>
      <c r="P493">
        <v>0.99787700000000001</v>
      </c>
      <c r="Q493">
        <v>5.8290420000000003E-2</v>
      </c>
      <c r="R493">
        <v>2.905481E-2</v>
      </c>
      <c r="S493">
        <v>3.0233150000000002</v>
      </c>
      <c r="T493">
        <v>-0.41340139999999997</v>
      </c>
      <c r="U493">
        <v>0.2417908</v>
      </c>
      <c r="V493">
        <v>-2.123241E-2</v>
      </c>
      <c r="W493">
        <v>7.2557369999999996E-2</v>
      </c>
      <c r="X493">
        <v>0.99713819999999997</v>
      </c>
      <c r="Y493">
        <v>-7.1301710000000004E-2</v>
      </c>
      <c r="Z493">
        <v>3.7772729999999998E-3</v>
      </c>
      <c r="AA493">
        <v>0.99744770000000005</v>
      </c>
      <c r="AB493">
        <v>31</v>
      </c>
      <c r="AC493">
        <v>0.60520000000002405</v>
      </c>
      <c r="AD493">
        <v>-0.104463999999999</v>
      </c>
      <c r="AE493">
        <v>5.9599999999989002E-2</v>
      </c>
      <c r="AF493">
        <v>-5.3272279483898503E-2</v>
      </c>
      <c r="AG493">
        <v>-0.104463999999999</v>
      </c>
      <c r="AH493">
        <v>0.58829006656793403</v>
      </c>
      <c r="AI493">
        <v>100.028985977662</v>
      </c>
      <c r="AJ493">
        <v>95.174275009399096</v>
      </c>
      <c r="AK493">
        <v>0.59986320563934803</v>
      </c>
      <c r="AL493">
        <v>85.8391125362499</v>
      </c>
      <c r="AM493">
        <v>91.219834593988594</v>
      </c>
      <c r="AN493">
        <v>0.99999998853748195</v>
      </c>
    </row>
    <row r="494" spans="1:40" x14ac:dyDescent="0.25">
      <c r="A494" t="str">
        <f>"20190312160611953"</f>
        <v>20190312160611953</v>
      </c>
      <c r="B494" t="str">
        <f>"1552377971945902"</f>
        <v>1552377971945902</v>
      </c>
      <c r="C494" t="s">
        <v>40</v>
      </c>
      <c r="D494">
        <v>5.8434350000000004</v>
      </c>
      <c r="E494">
        <v>0.46810740000000001</v>
      </c>
      <c r="F494" t="s">
        <v>47</v>
      </c>
      <c r="G494">
        <v>-340.43950000000001</v>
      </c>
      <c r="H494" s="1">
        <v>-4.6132659999999999E-6</v>
      </c>
      <c r="I494">
        <v>368.97669999999999</v>
      </c>
      <c r="J494">
        <v>-350.96120000000002</v>
      </c>
      <c r="K494">
        <v>1.110322</v>
      </c>
      <c r="L494">
        <v>368.09780000000001</v>
      </c>
      <c r="M494">
        <v>0.99986640000000004</v>
      </c>
      <c r="N494">
        <v>0</v>
      </c>
      <c r="O494">
        <v>7.9201689999999995E-3</v>
      </c>
      <c r="P494">
        <v>0.9978667</v>
      </c>
      <c r="Q494">
        <v>5.835282E-2</v>
      </c>
      <c r="R494">
        <v>2.9280529999999999E-2</v>
      </c>
      <c r="S494">
        <v>3.017487</v>
      </c>
      <c r="T494">
        <v>-0.31386599999999998</v>
      </c>
      <c r="U494">
        <v>0.2488098</v>
      </c>
      <c r="V494">
        <v>-2.139255E-2</v>
      </c>
      <c r="W494">
        <v>7.2618710000000003E-2</v>
      </c>
      <c r="X494">
        <v>0.99713030000000002</v>
      </c>
      <c r="Y494">
        <v>-7.3926660000000005E-2</v>
      </c>
      <c r="Z494">
        <v>3.007745E-3</v>
      </c>
      <c r="AA494">
        <v>0.99725909999999995</v>
      </c>
      <c r="AB494">
        <v>31</v>
      </c>
      <c r="AC494">
        <v>10.521699999999999</v>
      </c>
      <c r="AD494">
        <v>-1.1103266132659999</v>
      </c>
      <c r="AE494">
        <v>0.87889999999998702</v>
      </c>
      <c r="AF494">
        <v>-0.78682884538315401</v>
      </c>
      <c r="AG494">
        <v>-1.1103266132659999</v>
      </c>
      <c r="AH494">
        <v>10.413173968890399</v>
      </c>
      <c r="AI494">
        <v>96.069115707501595</v>
      </c>
      <c r="AJ494">
        <v>94.321109695828596</v>
      </c>
      <c r="AK494">
        <v>10.501719712810401</v>
      </c>
      <c r="AL494">
        <v>85.835588667939305</v>
      </c>
      <c r="AM494">
        <v>91.229041806066903</v>
      </c>
      <c r="AN494">
        <v>0.99999997670782803</v>
      </c>
    </row>
    <row r="495" spans="1:40" x14ac:dyDescent="0.25">
      <c r="A495" t="str">
        <f>"20190312160611966"</f>
        <v>20190312160611966</v>
      </c>
      <c r="B495" t="str">
        <f>"1552377971945902"</f>
        <v>1552377971945902</v>
      </c>
      <c r="C495" t="s">
        <v>40</v>
      </c>
      <c r="D495">
        <v>5.8434350000000004</v>
      </c>
      <c r="E495">
        <v>0.46810740000000001</v>
      </c>
      <c r="F495" t="s">
        <v>47</v>
      </c>
      <c r="G495">
        <v>-340.39299999999997</v>
      </c>
      <c r="H495" s="1">
        <v>-4.5847289999999997E-6</v>
      </c>
      <c r="I495">
        <v>369.26150000000001</v>
      </c>
      <c r="J495">
        <v>-350.79680000000002</v>
      </c>
      <c r="K495">
        <v>1.1103240000000001</v>
      </c>
      <c r="L495">
        <v>368.0992</v>
      </c>
      <c r="M495">
        <v>0.99986580000000003</v>
      </c>
      <c r="N495">
        <v>0</v>
      </c>
      <c r="O495">
        <v>7.9906879999999993E-3</v>
      </c>
      <c r="P495">
        <v>0.99789799999999995</v>
      </c>
      <c r="Q495">
        <v>5.786852E-2</v>
      </c>
      <c r="R495">
        <v>2.9172920000000001E-2</v>
      </c>
      <c r="S495">
        <v>3.0151979999999998</v>
      </c>
      <c r="T495">
        <v>-0.31678430000000002</v>
      </c>
      <c r="U495">
        <v>0.33200069999999998</v>
      </c>
      <c r="V495">
        <v>-2.1213570000000001E-2</v>
      </c>
      <c r="W495">
        <v>7.2133119999999995E-2</v>
      </c>
      <c r="X495">
        <v>0.99716939999999998</v>
      </c>
      <c r="Y495">
        <v>-0.100995</v>
      </c>
      <c r="Z495">
        <v>4.4403200000000002E-3</v>
      </c>
      <c r="AA495">
        <v>0.99487700000000001</v>
      </c>
      <c r="AB495">
        <v>31</v>
      </c>
      <c r="AC495">
        <v>10.403799999999899</v>
      </c>
      <c r="AD495">
        <v>-1.1103285847290001</v>
      </c>
      <c r="AE495">
        <v>1.1623000000000101</v>
      </c>
      <c r="AF495">
        <v>-1.0671163664796901</v>
      </c>
      <c r="AG495">
        <v>-1.1103285847290001</v>
      </c>
      <c r="AH495">
        <v>10.296921379699601</v>
      </c>
      <c r="AI495">
        <v>96.121951372666302</v>
      </c>
      <c r="AJ495">
        <v>95.916698167631594</v>
      </c>
      <c r="AK495">
        <v>10.411443550506799</v>
      </c>
      <c r="AL495">
        <v>85.863484211560902</v>
      </c>
      <c r="AM495">
        <v>91.218714412120306</v>
      </c>
      <c r="AN495">
        <v>1.00000000742471</v>
      </c>
    </row>
    <row r="496" spans="1:40" x14ac:dyDescent="0.25">
      <c r="A496" t="str">
        <f>"20190312160612065"</f>
        <v>20190312160612065</v>
      </c>
      <c r="B496" t="str">
        <f>"1552377972055214"</f>
        <v>1552377972055214</v>
      </c>
      <c r="C496" t="s">
        <v>40</v>
      </c>
      <c r="D496">
        <v>4.5186979999999997</v>
      </c>
      <c r="E496">
        <v>0.46810740000000001</v>
      </c>
      <c r="F496" t="s">
        <v>47</v>
      </c>
      <c r="G496">
        <v>-340.27510000000001</v>
      </c>
      <c r="H496" s="1">
        <v>-4.6412370000000001E-6</v>
      </c>
      <c r="I496">
        <v>369.25709999999998</v>
      </c>
      <c r="J496">
        <v>-349.43509999999998</v>
      </c>
      <c r="K496">
        <v>1.1103229999999999</v>
      </c>
      <c r="L496">
        <v>368.11099999999999</v>
      </c>
      <c r="M496">
        <v>0.99986129999999995</v>
      </c>
      <c r="N496">
        <v>0</v>
      </c>
      <c r="O496">
        <v>8.5756489999999994E-3</v>
      </c>
      <c r="P496">
        <v>0.99795650000000002</v>
      </c>
      <c r="Q496">
        <v>5.6744139999999998E-2</v>
      </c>
      <c r="R496">
        <v>2.9383860000000001E-2</v>
      </c>
      <c r="S496">
        <v>3.0151059999999998</v>
      </c>
      <c r="T496">
        <v>-0.31817519999999999</v>
      </c>
      <c r="U496">
        <v>0.33181759999999999</v>
      </c>
      <c r="V496">
        <v>-2.0840109999999998E-2</v>
      </c>
      <c r="W496">
        <v>7.0994509999999997E-2</v>
      </c>
      <c r="X496">
        <v>0.99725900000000001</v>
      </c>
      <c r="Y496">
        <v>-0.1003588</v>
      </c>
      <c r="Z496">
        <v>4.365117E-3</v>
      </c>
      <c r="AA496">
        <v>0.99494170000000004</v>
      </c>
      <c r="AB496">
        <v>30</v>
      </c>
      <c r="AC496">
        <v>9.1599999999999593</v>
      </c>
      <c r="AD496">
        <v>-1.110327641237</v>
      </c>
      <c r="AE496">
        <v>1.1460999999999899</v>
      </c>
      <c r="AF496">
        <v>-1.05227411380304</v>
      </c>
      <c r="AG496">
        <v>-1.110327641237</v>
      </c>
      <c r="AH496">
        <v>9.0387333222627699</v>
      </c>
      <c r="AI496">
        <v>96.956670449264294</v>
      </c>
      <c r="AJ496">
        <v>96.640386288057002</v>
      </c>
      <c r="AK496">
        <v>9.1672683146321301</v>
      </c>
      <c r="AL496">
        <v>85.928889518579496</v>
      </c>
      <c r="AM496">
        <v>91.197157988878104</v>
      </c>
      <c r="AN496">
        <v>1.0000000218579701</v>
      </c>
    </row>
    <row r="497" spans="1:40" x14ac:dyDescent="0.25">
      <c r="A497" t="str">
        <f>"20190312160612076"</f>
        <v>20190312160612076</v>
      </c>
      <c r="B497" t="str">
        <f>"1552377972065951"</f>
        <v>1552377972065951</v>
      </c>
      <c r="C497" t="s">
        <v>40</v>
      </c>
      <c r="D497">
        <v>5.2450169999999998</v>
      </c>
      <c r="E497">
        <v>0.52579019999999899</v>
      </c>
      <c r="F497" t="s">
        <v>47</v>
      </c>
      <c r="G497">
        <v>-339.02890000000002</v>
      </c>
      <c r="H497" s="1">
        <v>-4.6256389999999999E-7</v>
      </c>
      <c r="I497">
        <v>369.2577</v>
      </c>
      <c r="J497">
        <v>-349.29079999999999</v>
      </c>
      <c r="K497">
        <v>1.110325</v>
      </c>
      <c r="L497">
        <v>368.11239999999998</v>
      </c>
      <c r="M497">
        <v>0.99986079999999999</v>
      </c>
      <c r="N497">
        <v>0</v>
      </c>
      <c r="O497">
        <v>8.6375849999999997E-3</v>
      </c>
      <c r="P497">
        <v>0.9979768</v>
      </c>
      <c r="Q497">
        <v>5.652037E-2</v>
      </c>
      <c r="R497">
        <v>2.912151E-2</v>
      </c>
      <c r="S497">
        <v>3.0145870000000001</v>
      </c>
      <c r="T497">
        <v>-0.32164749999999998</v>
      </c>
      <c r="U497">
        <v>0.33221440000000002</v>
      </c>
      <c r="V497">
        <v>-2.051565E-2</v>
      </c>
      <c r="W497">
        <v>7.0769059999999995E-2</v>
      </c>
      <c r="X497">
        <v>0.99728170000000005</v>
      </c>
      <c r="Y497">
        <v>-0.10043390000000001</v>
      </c>
      <c r="Z497">
        <v>4.4106249999999996E-3</v>
      </c>
      <c r="AA497">
        <v>0.99493399999999999</v>
      </c>
      <c r="AB497">
        <v>30</v>
      </c>
      <c r="AC497">
        <v>10.261899999999899</v>
      </c>
      <c r="AD497">
        <v>-1.1103254625638901</v>
      </c>
      <c r="AE497">
        <v>1.14530000000002</v>
      </c>
      <c r="AF497">
        <v>-1.0445323203271299</v>
      </c>
      <c r="AG497">
        <v>-1.1103254625638901</v>
      </c>
      <c r="AH497">
        <v>10.154000490430301</v>
      </c>
      <c r="AI497">
        <v>96.207916104152403</v>
      </c>
      <c r="AJ497">
        <v>95.873303010775004</v>
      </c>
      <c r="AK497">
        <v>10.2677941331469</v>
      </c>
      <c r="AL497">
        <v>85.941839215450401</v>
      </c>
      <c r="AM497">
        <v>91.178497897768395</v>
      </c>
      <c r="AN497">
        <v>0.99999997045154698</v>
      </c>
    </row>
    <row r="498" spans="1:40" x14ac:dyDescent="0.25">
      <c r="A498" t="str">
        <f>"20190312160612087"</f>
        <v>20190312160612087</v>
      </c>
      <c r="B498" t="str">
        <f>"1552377972075713"</f>
        <v>1552377972075713</v>
      </c>
      <c r="C498" t="s">
        <v>40</v>
      </c>
      <c r="D498">
        <v>5.9673590000000001</v>
      </c>
      <c r="E498">
        <v>0.52579019999999899</v>
      </c>
      <c r="F498" t="s">
        <v>44</v>
      </c>
      <c r="G498">
        <v>-348.42610000000002</v>
      </c>
      <c r="H498">
        <v>0.81682679999999996</v>
      </c>
      <c r="I498">
        <v>368.0718</v>
      </c>
      <c r="J498">
        <v>-349.1474</v>
      </c>
      <c r="K498">
        <v>1.1103270000000001</v>
      </c>
      <c r="L498">
        <v>368.11369999999999</v>
      </c>
      <c r="M498">
        <v>0.99986019999999998</v>
      </c>
      <c r="N498">
        <v>0</v>
      </c>
      <c r="O498">
        <v>8.6993409999999993E-3</v>
      </c>
      <c r="P498">
        <v>0.99797279999999999</v>
      </c>
      <c r="Q498">
        <v>5.6738660000000003E-2</v>
      </c>
      <c r="R498">
        <v>2.8837560000000002E-2</v>
      </c>
      <c r="S498">
        <v>3.0692439999999999</v>
      </c>
      <c r="T498">
        <v>-1.0417209999999999</v>
      </c>
      <c r="U498">
        <v>-0.14297489999999999</v>
      </c>
      <c r="V498">
        <v>-2.01701E-2</v>
      </c>
      <c r="W498">
        <v>7.0985939999999997E-2</v>
      </c>
      <c r="X498">
        <v>0.99727339999999998</v>
      </c>
      <c r="Y498">
        <v>5.1836670000000001E-2</v>
      </c>
      <c r="Z498">
        <v>-1.142397E-2</v>
      </c>
      <c r="AA498">
        <v>0.99859019999999998</v>
      </c>
      <c r="AB498">
        <v>30</v>
      </c>
      <c r="AC498">
        <v>0.72129999999998495</v>
      </c>
      <c r="AD498">
        <v>-0.29350019999999999</v>
      </c>
      <c r="AE498">
        <v>-4.1899999999998203E-2</v>
      </c>
      <c r="AF498">
        <v>4.13504652183279E-2</v>
      </c>
      <c r="AG498">
        <v>-0.29350019999999999</v>
      </c>
      <c r="AH498">
        <v>0.61879762371563596</v>
      </c>
      <c r="AI498">
        <v>115.32593712018701</v>
      </c>
      <c r="AJ498">
        <v>86.176956804350695</v>
      </c>
      <c r="AK498">
        <v>0.68612151073256</v>
      </c>
      <c r="AL498">
        <v>85.929381840924705</v>
      </c>
      <c r="AM498">
        <v>91.158663273767303</v>
      </c>
      <c r="AN498">
        <v>1.0000000354796199</v>
      </c>
    </row>
    <row r="499" spans="1:40" x14ac:dyDescent="0.25">
      <c r="A499" t="str">
        <f>"20190312160612099"</f>
        <v>20190312160612099</v>
      </c>
      <c r="B499" t="str">
        <f>"1552377972095231"</f>
        <v>1552377972095231</v>
      </c>
      <c r="C499" t="s">
        <v>40</v>
      </c>
      <c r="D499">
        <v>6.0750999999999999</v>
      </c>
      <c r="E499">
        <v>0.52890400000000004</v>
      </c>
      <c r="F499" t="s">
        <v>44</v>
      </c>
      <c r="G499">
        <v>-348.40890000000002</v>
      </c>
      <c r="H499">
        <v>0.8598285</v>
      </c>
      <c r="I499">
        <v>368.07889999999998</v>
      </c>
      <c r="J499">
        <v>-348.9896</v>
      </c>
      <c r="K499">
        <v>1.1103270000000001</v>
      </c>
      <c r="L499">
        <v>368.11509999999998</v>
      </c>
      <c r="M499">
        <v>0.99985959999999996</v>
      </c>
      <c r="N499">
        <v>0</v>
      </c>
      <c r="O499">
        <v>8.7673569999999999E-3</v>
      </c>
      <c r="P499">
        <v>0.9979671</v>
      </c>
      <c r="Q499">
        <v>5.6915630000000002E-2</v>
      </c>
      <c r="R499">
        <v>2.867803E-2</v>
      </c>
      <c r="S499">
        <v>3.0694270000000001</v>
      </c>
      <c r="T499">
        <v>-1.041123</v>
      </c>
      <c r="U499">
        <v>-0.14355470000000001</v>
      </c>
      <c r="V499">
        <v>-1.9942540000000002E-2</v>
      </c>
      <c r="W499">
        <v>7.1161459999999996E-2</v>
      </c>
      <c r="X499">
        <v>0.99726550000000003</v>
      </c>
      <c r="Y499">
        <v>5.2077030000000003E-2</v>
      </c>
      <c r="Z499">
        <v>-1.1479140000000001E-2</v>
      </c>
      <c r="AA499">
        <v>0.9985771</v>
      </c>
      <c r="AB499">
        <v>30</v>
      </c>
      <c r="AC499">
        <v>0.58069999999997801</v>
      </c>
      <c r="AD499">
        <v>-0.25049850000000001</v>
      </c>
      <c r="AE499">
        <v>-3.6200000000007997E-2</v>
      </c>
      <c r="AF499">
        <v>3.4833502381827502E-2</v>
      </c>
      <c r="AG499">
        <v>-0.25049850000000001</v>
      </c>
      <c r="AH499">
        <v>0.48960567382856801</v>
      </c>
      <c r="AI499">
        <v>117.037183437051</v>
      </c>
      <c r="AJ499">
        <v>85.930489517447995</v>
      </c>
      <c r="AK499">
        <v>0.55106858668913505</v>
      </c>
      <c r="AL499">
        <v>85.919299921698695</v>
      </c>
      <c r="AM499">
        <v>91.145603757308706</v>
      </c>
      <c r="AN499">
        <v>1.00000006789061</v>
      </c>
    </row>
    <row r="500" spans="1:40" x14ac:dyDescent="0.25">
      <c r="A500" t="str">
        <f>"20190312160612110"</f>
        <v>20190312160612110</v>
      </c>
      <c r="B500" t="str">
        <f>"1552377972105967"</f>
        <v>1552377972105967</v>
      </c>
      <c r="C500" t="s">
        <v>40</v>
      </c>
      <c r="D500">
        <v>5.9530430000000001</v>
      </c>
      <c r="E500">
        <v>0.53147080000000002</v>
      </c>
      <c r="F500" t="s">
        <v>47</v>
      </c>
      <c r="G500">
        <v>-325.58839999999998</v>
      </c>
      <c r="H500" s="1">
        <v>-2.348392E-6</v>
      </c>
      <c r="I500">
        <v>366.947</v>
      </c>
      <c r="J500">
        <v>-348.82929999999999</v>
      </c>
      <c r="K500">
        <v>1.110328</v>
      </c>
      <c r="L500">
        <v>368.11649999999997</v>
      </c>
      <c r="M500">
        <v>0.99985900000000005</v>
      </c>
      <c r="N500">
        <v>0</v>
      </c>
      <c r="O500">
        <v>8.8363260000000002E-3</v>
      </c>
      <c r="P500">
        <v>0.99796470000000004</v>
      </c>
      <c r="Q500">
        <v>5.6976970000000002E-2</v>
      </c>
      <c r="R500">
        <v>2.8643209999999999E-2</v>
      </c>
      <c r="S500">
        <v>3.0186160000000002</v>
      </c>
      <c r="T500">
        <v>-0.1432252</v>
      </c>
      <c r="U500">
        <v>-0.150665299999999</v>
      </c>
      <c r="V500">
        <v>-1.9838789999999999E-2</v>
      </c>
      <c r="W500">
        <v>7.1220909999999998E-2</v>
      </c>
      <c r="X500">
        <v>0.99726329999999996</v>
      </c>
      <c r="Y500">
        <v>5.8598600000000001E-2</v>
      </c>
      <c r="Z500">
        <v>-1.8073539999999999E-3</v>
      </c>
      <c r="AA500">
        <v>0.99827999999999995</v>
      </c>
      <c r="AB500">
        <v>30</v>
      </c>
      <c r="AC500">
        <v>23.2409</v>
      </c>
      <c r="AD500">
        <v>-1.110330348392</v>
      </c>
      <c r="AE500">
        <v>-1.16950000000002</v>
      </c>
      <c r="AF500">
        <v>1.37171649436252</v>
      </c>
      <c r="AG500">
        <v>-1.110330348392</v>
      </c>
      <c r="AH500">
        <v>23.1768911792289</v>
      </c>
      <c r="AI500">
        <v>92.7379757987555</v>
      </c>
      <c r="AJ500">
        <v>86.612919691979002</v>
      </c>
      <c r="AK500">
        <v>23.243982540805799</v>
      </c>
      <c r="AL500">
        <v>85.915884919583306</v>
      </c>
      <c r="AM500">
        <v>91.139647904296993</v>
      </c>
      <c r="AN500">
        <v>1.0000000425683899</v>
      </c>
    </row>
    <row r="501" spans="1:40" x14ac:dyDescent="0.25">
      <c r="A501" t="str">
        <f>"20190312160612122"</f>
        <v>20190312160612122</v>
      </c>
      <c r="B501" t="str">
        <f>"1552377972115726"</f>
        <v>1552377972115726</v>
      </c>
      <c r="C501" t="s">
        <v>40</v>
      </c>
      <c r="D501">
        <v>5.954548</v>
      </c>
      <c r="E501">
        <v>0.53340330000000002</v>
      </c>
      <c r="F501" t="s">
        <v>47</v>
      </c>
      <c r="G501">
        <v>-323.50360000000001</v>
      </c>
      <c r="H501" s="1">
        <v>-3.2900479999999999E-6</v>
      </c>
      <c r="I501">
        <v>366.68040000000002</v>
      </c>
      <c r="J501">
        <v>-348.6748</v>
      </c>
      <c r="K501">
        <v>1.1103289999999999</v>
      </c>
      <c r="L501">
        <v>368.11799999999999</v>
      </c>
      <c r="M501">
        <v>0.99985840000000004</v>
      </c>
      <c r="N501">
        <v>0</v>
      </c>
      <c r="O501">
        <v>8.9027919999999997E-3</v>
      </c>
      <c r="P501">
        <v>0.99796339999999994</v>
      </c>
      <c r="Q501">
        <v>5.7043440000000001E-2</v>
      </c>
      <c r="R501">
        <v>2.854986E-2</v>
      </c>
      <c r="S501">
        <v>3.0186160000000002</v>
      </c>
      <c r="T501">
        <v>-0.13234219999999999</v>
      </c>
      <c r="U501">
        <v>-0.17117309999999999</v>
      </c>
      <c r="V501">
        <v>-1.96794E-2</v>
      </c>
      <c r="W501">
        <v>7.1285609999999999E-2</v>
      </c>
      <c r="X501">
        <v>0.99726179999999998</v>
      </c>
      <c r="Y501">
        <v>6.5430859999999993E-2</v>
      </c>
      <c r="Z501">
        <v>-1.8223499999999999E-3</v>
      </c>
      <c r="AA501">
        <v>0.99785539999999995</v>
      </c>
      <c r="AB501">
        <v>30</v>
      </c>
      <c r="AC501">
        <v>25.171199999999999</v>
      </c>
      <c r="AD501">
        <v>-1.1103322900479999</v>
      </c>
      <c r="AE501">
        <v>-1.43760000000003</v>
      </c>
      <c r="AF501">
        <v>1.65844331910543</v>
      </c>
      <c r="AG501">
        <v>-1.1103322900479999</v>
      </c>
      <c r="AH501">
        <v>25.108704626715198</v>
      </c>
      <c r="AI501">
        <v>92.526529610800495</v>
      </c>
      <c r="AJ501">
        <v>86.221072264463302</v>
      </c>
      <c r="AK501">
        <v>25.1879002711349</v>
      </c>
      <c r="AL501">
        <v>85.912168292281393</v>
      </c>
      <c r="AM501">
        <v>91.130495762323605</v>
      </c>
      <c r="AN501">
        <v>1.0000000073583299</v>
      </c>
    </row>
    <row r="502" spans="1:40" x14ac:dyDescent="0.25">
      <c r="A502" t="str">
        <f>"20190312160612133"</f>
        <v>20190312160612133</v>
      </c>
      <c r="B502" t="str">
        <f>"1552377972125486"</f>
        <v>1552377972125486</v>
      </c>
      <c r="C502" t="s">
        <v>40</v>
      </c>
      <c r="D502">
        <v>6.655513</v>
      </c>
      <c r="E502">
        <v>0.53165450000000003</v>
      </c>
      <c r="F502" t="s">
        <v>45</v>
      </c>
      <c r="G502">
        <v>-315.56180000000001</v>
      </c>
      <c r="H502">
        <v>-0.05</v>
      </c>
      <c r="I502">
        <v>366.07089999999999</v>
      </c>
      <c r="J502">
        <v>-348.51990000000001</v>
      </c>
      <c r="K502">
        <v>1.1103270000000001</v>
      </c>
      <c r="L502">
        <v>368.11950000000002</v>
      </c>
      <c r="M502">
        <v>0.99985789999999997</v>
      </c>
      <c r="N502">
        <v>0</v>
      </c>
      <c r="O502">
        <v>8.9694359999999904E-3</v>
      </c>
      <c r="P502">
        <v>0.99796030000000002</v>
      </c>
      <c r="Q502">
        <v>5.7209419999999997E-2</v>
      </c>
      <c r="R502">
        <v>2.8327439999999999E-2</v>
      </c>
      <c r="S502">
        <v>3.0175480000000001</v>
      </c>
      <c r="T502">
        <v>-0.10573920000000001</v>
      </c>
      <c r="U502">
        <v>-0.186554</v>
      </c>
      <c r="V502">
        <v>-1.9390040000000001E-2</v>
      </c>
      <c r="W502">
        <v>7.1449680000000002E-2</v>
      </c>
      <c r="X502">
        <v>0.99725569999999997</v>
      </c>
      <c r="Y502">
        <v>7.0607329999999996E-2</v>
      </c>
      <c r="Z502">
        <v>-1.5494899999999999E-3</v>
      </c>
      <c r="AA502">
        <v>0.99750300000000003</v>
      </c>
      <c r="AB502">
        <v>30</v>
      </c>
      <c r="AC502">
        <v>32.958100000000002</v>
      </c>
      <c r="AD502">
        <v>-1.1603270000000001</v>
      </c>
      <c r="AE502">
        <v>-2.04860000000002</v>
      </c>
      <c r="AF502">
        <v>2.34127249054213</v>
      </c>
      <c r="AG502">
        <v>-1.1603270000000001</v>
      </c>
      <c r="AH502">
        <v>32.897778375672303</v>
      </c>
      <c r="AI502">
        <v>92.014931656673298</v>
      </c>
      <c r="AJ502">
        <v>85.929231462738301</v>
      </c>
      <c r="AK502">
        <v>33.001389935527698</v>
      </c>
      <c r="AL502">
        <v>85.902743632942304</v>
      </c>
      <c r="AM502">
        <v>91.1138843222421</v>
      </c>
      <c r="AN502">
        <v>0.99999998080289598</v>
      </c>
    </row>
    <row r="503" spans="1:40" x14ac:dyDescent="0.25">
      <c r="A503" t="str">
        <f>"20190312160612145"</f>
        <v>20190312160612145</v>
      </c>
      <c r="B503" t="str">
        <f>"1552377972135247"</f>
        <v>1552377972135247</v>
      </c>
      <c r="C503" t="s">
        <v>40</v>
      </c>
      <c r="D503">
        <v>5.9641479999999998</v>
      </c>
      <c r="E503">
        <v>0.53157980000000005</v>
      </c>
      <c r="F503" t="s">
        <v>45</v>
      </c>
      <c r="G503">
        <v>-296.93060000000003</v>
      </c>
      <c r="H503">
        <v>-0.05</v>
      </c>
      <c r="I503">
        <v>365.16750000000002</v>
      </c>
      <c r="J503">
        <v>-348.37049999999999</v>
      </c>
      <c r="K503">
        <v>1.110325</v>
      </c>
      <c r="L503">
        <v>368.12090000000001</v>
      </c>
      <c r="M503">
        <v>0.99985740000000001</v>
      </c>
      <c r="N503">
        <v>0</v>
      </c>
      <c r="O503">
        <v>9.0335780000000004E-3</v>
      </c>
      <c r="P503">
        <v>0.99795460000000002</v>
      </c>
      <c r="Q503">
        <v>5.73112E-2</v>
      </c>
      <c r="R503">
        <v>2.8319549999999999E-2</v>
      </c>
      <c r="S503">
        <v>3.0149539999999999</v>
      </c>
      <c r="T503">
        <v>-6.7811250000000003E-2</v>
      </c>
      <c r="U503">
        <v>-0.1725159</v>
      </c>
      <c r="V503">
        <v>-1.9318579999999998E-2</v>
      </c>
      <c r="W503">
        <v>7.1550039999999995E-2</v>
      </c>
      <c r="X503">
        <v>0.99724990000000002</v>
      </c>
      <c r="Y503">
        <v>6.6125089999999997E-2</v>
      </c>
      <c r="Z503">
        <v>-9.4594969999999999E-4</v>
      </c>
      <c r="AA503">
        <v>0.99781089999999995</v>
      </c>
      <c r="AB503">
        <v>30</v>
      </c>
      <c r="AC503">
        <v>51.439899999999902</v>
      </c>
      <c r="AD503">
        <v>-1.1603250000000001</v>
      </c>
      <c r="AE503">
        <v>-2.9533999999999798</v>
      </c>
      <c r="AF503">
        <v>3.4162805811150498</v>
      </c>
      <c r="AG503">
        <v>-1.1603250000000001</v>
      </c>
      <c r="AH503">
        <v>51.385058619649399</v>
      </c>
      <c r="AI503">
        <v>91.290726571267896</v>
      </c>
      <c r="AJ503">
        <v>86.196349069891994</v>
      </c>
      <c r="AK503">
        <v>51.511567404412503</v>
      </c>
      <c r="AL503">
        <v>85.896978708965804</v>
      </c>
      <c r="AM503">
        <v>91.109786697455306</v>
      </c>
      <c r="AN503">
        <v>0.99999998940361301</v>
      </c>
    </row>
    <row r="504" spans="1:40" x14ac:dyDescent="0.25">
      <c r="A504" t="str">
        <f>"20190312160612156"</f>
        <v>20190312160612156</v>
      </c>
      <c r="B504" t="str">
        <f>"1552377972145983"</f>
        <v>1552377972145983</v>
      </c>
      <c r="C504" t="s">
        <v>40</v>
      </c>
      <c r="D504">
        <v>6.0374910000000002</v>
      </c>
      <c r="E504">
        <v>0.53031779999999995</v>
      </c>
      <c r="F504" t="s">
        <v>45</v>
      </c>
      <c r="G504">
        <v>-289.73070000000001</v>
      </c>
      <c r="H504">
        <v>-0.05</v>
      </c>
      <c r="I504">
        <v>364.78339999999997</v>
      </c>
      <c r="J504">
        <v>-348.20760000000001</v>
      </c>
      <c r="K504">
        <v>1.110325</v>
      </c>
      <c r="L504">
        <v>368.12240000000003</v>
      </c>
      <c r="M504">
        <v>0.99985670000000004</v>
      </c>
      <c r="N504">
        <v>0</v>
      </c>
      <c r="O504">
        <v>9.1038579999999994E-3</v>
      </c>
      <c r="P504">
        <v>0.99796390000000001</v>
      </c>
      <c r="Q504">
        <v>5.7176249999999998E-2</v>
      </c>
      <c r="R504">
        <v>2.8263949999999999E-2</v>
      </c>
      <c r="S504">
        <v>3.0144350000000002</v>
      </c>
      <c r="T504">
        <v>-5.9647680000000002E-2</v>
      </c>
      <c r="U504">
        <v>-0.17156979999999999</v>
      </c>
      <c r="V504">
        <v>-1.9192750000000001E-2</v>
      </c>
      <c r="W504">
        <v>7.1413550000000006E-2</v>
      </c>
      <c r="X504">
        <v>0.99726210000000004</v>
      </c>
      <c r="Y504">
        <v>6.5897200000000003E-2</v>
      </c>
      <c r="Z504">
        <v>-8.3138099999999996E-4</v>
      </c>
      <c r="AA504">
        <v>0.99782610000000005</v>
      </c>
      <c r="AB504">
        <v>30</v>
      </c>
      <c r="AC504">
        <v>58.476900000000001</v>
      </c>
      <c r="AD504">
        <v>-1.1603250000000001</v>
      </c>
      <c r="AE504">
        <v>-3.3390000000000502</v>
      </c>
      <c r="AF504">
        <v>3.8697625612136402</v>
      </c>
      <c r="AG504">
        <v>-1.1603250000000001</v>
      </c>
      <c r="AH504">
        <v>58.421148297450301</v>
      </c>
      <c r="AI504">
        <v>91.135336686838002</v>
      </c>
      <c r="AJ504">
        <v>86.210316907057901</v>
      </c>
      <c r="AK504">
        <v>58.560669265117497</v>
      </c>
      <c r="AL504">
        <v>85.904819013189396</v>
      </c>
      <c r="AM504">
        <v>91.102546497423106</v>
      </c>
      <c r="AN504">
        <v>0.99999997643628702</v>
      </c>
    </row>
    <row r="505" spans="1:40" x14ac:dyDescent="0.25">
      <c r="A505" t="str">
        <f>"20190312160612168"</f>
        <v>20190312160612168</v>
      </c>
      <c r="B505" t="str">
        <f>"1552377972155742"</f>
        <v>1552377972155742</v>
      </c>
      <c r="C505" t="s">
        <v>40</v>
      </c>
      <c r="D505">
        <v>6.0092460000000001</v>
      </c>
      <c r="E505">
        <v>0.53034349999999997</v>
      </c>
      <c r="F505" t="s">
        <v>47</v>
      </c>
      <c r="G505">
        <v>-258.0829</v>
      </c>
      <c r="H505" s="1">
        <v>-2.3189380000000001E-6</v>
      </c>
      <c r="I505">
        <v>363.3005</v>
      </c>
      <c r="J505">
        <v>-348.04860000000002</v>
      </c>
      <c r="K505">
        <v>1.1103229999999999</v>
      </c>
      <c r="L505">
        <v>368.12389999999999</v>
      </c>
      <c r="M505">
        <v>0.99985610000000003</v>
      </c>
      <c r="N505">
        <v>0</v>
      </c>
      <c r="O505">
        <v>9.1725260000000003E-3</v>
      </c>
      <c r="P505">
        <v>0.99795940000000005</v>
      </c>
      <c r="Q505">
        <v>5.731932E-2</v>
      </c>
      <c r="R505">
        <v>2.8135150000000001E-2</v>
      </c>
      <c r="S505">
        <v>3.012848</v>
      </c>
      <c r="T505">
        <v>-3.7117959999999998E-2</v>
      </c>
      <c r="U505">
        <v>-0.1611938</v>
      </c>
      <c r="V505">
        <v>-1.899522E-2</v>
      </c>
      <c r="W505">
        <v>7.1554809999999996E-2</v>
      </c>
      <c r="X505">
        <v>0.99725580000000003</v>
      </c>
      <c r="Y505">
        <v>6.2578419999999996E-2</v>
      </c>
      <c r="Z505">
        <v>-4.9812640000000002E-4</v>
      </c>
      <c r="AA505">
        <v>0.99803989999999998</v>
      </c>
      <c r="AB505">
        <v>30</v>
      </c>
      <c r="AC505">
        <v>89.965699999999998</v>
      </c>
      <c r="AD505">
        <v>-1.110325318938</v>
      </c>
      <c r="AE505">
        <v>-4.8233999999999897</v>
      </c>
      <c r="AF505">
        <v>5.64763604368936</v>
      </c>
      <c r="AG505">
        <v>-1.110325318938</v>
      </c>
      <c r="AH505">
        <v>89.904012636527696</v>
      </c>
      <c r="AI505">
        <v>90.706181921344196</v>
      </c>
      <c r="AJ505">
        <v>86.405487762644398</v>
      </c>
      <c r="AK505">
        <v>90.088068595928902</v>
      </c>
      <c r="AL505">
        <v>85.8967048312348</v>
      </c>
      <c r="AM505">
        <v>91.091208841070397</v>
      </c>
      <c r="AN505">
        <v>1.0000000199253101</v>
      </c>
    </row>
    <row r="506" spans="1:40" x14ac:dyDescent="0.25">
      <c r="A506" t="str">
        <f>"20190312160612183"</f>
        <v>20190312160612183</v>
      </c>
      <c r="B506" t="str">
        <f>"1552377972175264"</f>
        <v>1552377972175264</v>
      </c>
      <c r="C506" t="s">
        <v>40</v>
      </c>
      <c r="D506">
        <v>5.9888260000000004</v>
      </c>
      <c r="E506">
        <v>0.52969619999999995</v>
      </c>
      <c r="F506" t="s">
        <v>47</v>
      </c>
      <c r="G506">
        <v>-253.7225</v>
      </c>
      <c r="H506" s="1">
        <v>-3.8688869999999998E-6</v>
      </c>
      <c r="I506">
        <v>363.05220000000003</v>
      </c>
      <c r="J506">
        <v>-347.86500000000001</v>
      </c>
      <c r="K506">
        <v>1.11032</v>
      </c>
      <c r="L506">
        <v>368.12569999999999</v>
      </c>
      <c r="M506">
        <v>0.99985550000000001</v>
      </c>
      <c r="N506">
        <v>0</v>
      </c>
      <c r="O506">
        <v>9.2517459999999999E-3</v>
      </c>
      <c r="P506">
        <v>0.99795710000000004</v>
      </c>
      <c r="Q506">
        <v>5.7280959999999999E-2</v>
      </c>
      <c r="R506">
        <v>2.8297900000000001E-2</v>
      </c>
      <c r="S506">
        <v>3.0126949999999999</v>
      </c>
      <c r="T506">
        <v>-3.5462859999999999E-2</v>
      </c>
      <c r="U506">
        <v>-0.161987299999999</v>
      </c>
      <c r="V506">
        <v>-1.9078959999999999E-2</v>
      </c>
      <c r="W506">
        <v>7.1514380000000002E-2</v>
      </c>
      <c r="X506">
        <v>0.99725710000000001</v>
      </c>
      <c r="Y506">
        <v>6.2922729999999996E-2</v>
      </c>
      <c r="Z506">
        <v>-4.78894E-4</v>
      </c>
      <c r="AA506">
        <v>0.99801830000000002</v>
      </c>
      <c r="AB506">
        <v>30</v>
      </c>
      <c r="AC506">
        <v>94.142499999999998</v>
      </c>
      <c r="AD506">
        <v>-1.1103238688869901</v>
      </c>
      <c r="AE506">
        <v>-5.0734999999999602</v>
      </c>
      <c r="AF506">
        <v>5.9435295497265699</v>
      </c>
      <c r="AG506">
        <v>-1.1103238688869901</v>
      </c>
      <c r="AH506">
        <v>94.078478089707303</v>
      </c>
      <c r="AI506">
        <v>90.674834037787505</v>
      </c>
      <c r="AJ506">
        <v>86.385069262455403</v>
      </c>
      <c r="AK506">
        <v>94.272575027299496</v>
      </c>
      <c r="AL506">
        <v>85.899027242968202</v>
      </c>
      <c r="AM506">
        <v>91.096016811427603</v>
      </c>
      <c r="AN506">
        <v>1.0000000183809299</v>
      </c>
    </row>
    <row r="507" spans="1:40" x14ac:dyDescent="0.25">
      <c r="A507" t="str">
        <f>"20190312160612199"</f>
        <v>20190312160612199</v>
      </c>
      <c r="B507" t="str">
        <f>"1552377972195758"</f>
        <v>1552377972195758</v>
      </c>
      <c r="C507" t="s">
        <v>40</v>
      </c>
      <c r="D507">
        <v>6.0922850000000004</v>
      </c>
      <c r="E507">
        <v>0.52921629999999997</v>
      </c>
      <c r="F507" t="s">
        <v>42</v>
      </c>
      <c r="G507">
        <v>-158.19499999999999</v>
      </c>
      <c r="H507">
        <v>0.1255541</v>
      </c>
      <c r="I507">
        <v>358.32319999999999</v>
      </c>
      <c r="J507">
        <v>-347.63249999999999</v>
      </c>
      <c r="K507">
        <v>1.110317</v>
      </c>
      <c r="L507">
        <v>368.12799999999999</v>
      </c>
      <c r="M507">
        <v>0.99985440000000003</v>
      </c>
      <c r="N507">
        <v>0</v>
      </c>
      <c r="O507">
        <v>9.3518909999999993E-3</v>
      </c>
      <c r="P507">
        <v>0.99793509999999996</v>
      </c>
      <c r="Q507">
        <v>5.7360410000000001E-2</v>
      </c>
      <c r="R507">
        <v>2.8907869999999999E-2</v>
      </c>
      <c r="S507">
        <v>3.0114749999999999</v>
      </c>
      <c r="T507">
        <v>-1.5634180000000001E-2</v>
      </c>
      <c r="U507">
        <v>-0.15563959999999999</v>
      </c>
      <c r="V507">
        <v>-1.958909E-2</v>
      </c>
      <c r="W507">
        <v>7.159095E-2</v>
      </c>
      <c r="X507">
        <v>0.99724170000000001</v>
      </c>
      <c r="Y507">
        <v>6.0950499999999998E-2</v>
      </c>
      <c r="Z507">
        <v>-2.066321E-4</v>
      </c>
      <c r="AA507">
        <v>0.99814080000000005</v>
      </c>
      <c r="AB507">
        <v>30</v>
      </c>
      <c r="AC507">
        <v>189.4375</v>
      </c>
      <c r="AD507">
        <v>-0.9847629</v>
      </c>
      <c r="AE507">
        <v>-9.8048000000000499</v>
      </c>
      <c r="AF507">
        <v>11.5758385079654</v>
      </c>
      <c r="AG507">
        <v>-0.9847629</v>
      </c>
      <c r="AH507">
        <v>189.33240883322901</v>
      </c>
      <c r="AI507">
        <v>90.297450865298103</v>
      </c>
      <c r="AJ507">
        <v>86.501274618960494</v>
      </c>
      <c r="AK507">
        <v>189.688510009765</v>
      </c>
      <c r="AL507">
        <v>85.894628765558494</v>
      </c>
      <c r="AM507">
        <v>91.125331858967698</v>
      </c>
      <c r="AN507">
        <v>1.00000000239391</v>
      </c>
    </row>
    <row r="508" spans="1:40" x14ac:dyDescent="0.25">
      <c r="A508" t="str">
        <f>"20190312160612222"</f>
        <v>20190312160612222</v>
      </c>
      <c r="B508" t="str">
        <f>"1552377972215279"</f>
        <v>1552377972215279</v>
      </c>
      <c r="C508" t="s">
        <v>40</v>
      </c>
      <c r="D508">
        <v>5.9663019999999998</v>
      </c>
      <c r="E508">
        <v>0.52969809999999995</v>
      </c>
      <c r="F508" t="s">
        <v>42</v>
      </c>
      <c r="G508">
        <v>-158.19499999999999</v>
      </c>
      <c r="H508">
        <v>1.173135</v>
      </c>
      <c r="I508">
        <v>358.70679999999999</v>
      </c>
      <c r="J508">
        <v>-347.3347</v>
      </c>
      <c r="K508">
        <v>1.11032</v>
      </c>
      <c r="L508">
        <v>368.1309</v>
      </c>
      <c r="M508">
        <v>0.99985349999999995</v>
      </c>
      <c r="N508">
        <v>0</v>
      </c>
      <c r="O508">
        <v>9.4801130000000001E-3</v>
      </c>
      <c r="P508">
        <v>0.99791490000000005</v>
      </c>
      <c r="Q508">
        <v>5.7416330000000002E-2</v>
      </c>
      <c r="R508">
        <v>2.9490430000000002E-2</v>
      </c>
      <c r="S508">
        <v>3.0104980000000001</v>
      </c>
      <c r="T508">
        <v>9.9968910000000004E-4</v>
      </c>
      <c r="U508">
        <v>-0.1497192</v>
      </c>
      <c r="V508">
        <v>-2.004361E-2</v>
      </c>
      <c r="W508">
        <v>7.1643730000000003E-2</v>
      </c>
      <c r="X508">
        <v>0.99722889999999997</v>
      </c>
      <c r="Y508">
        <v>5.9138129999999997E-2</v>
      </c>
      <c r="Z508" s="1">
        <v>1.295943E-5</v>
      </c>
      <c r="AA508">
        <v>0.99824979999999996</v>
      </c>
      <c r="AB508">
        <v>30</v>
      </c>
      <c r="AC508">
        <v>189.1397</v>
      </c>
      <c r="AD508">
        <v>6.2814999999999996E-2</v>
      </c>
      <c r="AE508">
        <v>-9.4241000000000099</v>
      </c>
      <c r="AF508">
        <v>11.216923034143299</v>
      </c>
      <c r="AG508">
        <v>6.2814999999999996E-2</v>
      </c>
      <c r="AH508">
        <v>189.04182744329</v>
      </c>
      <c r="AI508">
        <v>89.980995130079705</v>
      </c>
      <c r="AJ508">
        <v>86.604298044724899</v>
      </c>
      <c r="AK508">
        <v>189.37432727583999</v>
      </c>
      <c r="AL508">
        <v>85.891597000752796</v>
      </c>
      <c r="AM508">
        <v>91.151450434692507</v>
      </c>
      <c r="AN508">
        <v>1.0000000246726699</v>
      </c>
    </row>
    <row r="509" spans="1:40" x14ac:dyDescent="0.25">
      <c r="A509" t="str">
        <f>"20190312160612234"</f>
        <v>20190312160612234</v>
      </c>
      <c r="B509" t="str">
        <f>"1552377972226015"</f>
        <v>1552377972226015</v>
      </c>
      <c r="C509" t="s">
        <v>40</v>
      </c>
      <c r="D509">
        <v>5.915387</v>
      </c>
      <c r="E509">
        <v>0.52994549999999996</v>
      </c>
      <c r="F509" t="s">
        <v>42</v>
      </c>
      <c r="G509">
        <v>-158.19499999999999</v>
      </c>
      <c r="H509">
        <v>1.92578</v>
      </c>
      <c r="I509">
        <v>358.60610000000003</v>
      </c>
      <c r="J509">
        <v>-347.16829999999999</v>
      </c>
      <c r="K509">
        <v>1.1103229999999999</v>
      </c>
      <c r="L509">
        <v>368.13249999999999</v>
      </c>
      <c r="M509">
        <v>0.99985279999999999</v>
      </c>
      <c r="N509">
        <v>0</v>
      </c>
      <c r="O509">
        <v>9.5517650000000003E-3</v>
      </c>
      <c r="P509">
        <v>0.99789779999999995</v>
      </c>
      <c r="Q509">
        <v>5.7513130000000003E-2</v>
      </c>
      <c r="R509">
        <v>2.9874689999999999E-2</v>
      </c>
      <c r="S509">
        <v>3.0100099999999999</v>
      </c>
      <c r="T509">
        <v>1.297879E-2</v>
      </c>
      <c r="U509">
        <v>-0.15158079999999999</v>
      </c>
      <c r="V509">
        <v>-2.035636E-2</v>
      </c>
      <c r="W509">
        <v>7.1738380000000004E-2</v>
      </c>
      <c r="X509">
        <v>0.99721570000000004</v>
      </c>
      <c r="Y509">
        <v>5.9832879999999998E-2</v>
      </c>
      <c r="Z509">
        <v>1.700797E-4</v>
      </c>
      <c r="AA509">
        <v>0.9982084</v>
      </c>
      <c r="AB509">
        <v>30</v>
      </c>
      <c r="AC509">
        <v>188.97329999999999</v>
      </c>
      <c r="AD509">
        <v>0.81545699999999899</v>
      </c>
      <c r="AE509">
        <v>-9.5263999999999598</v>
      </c>
      <c r="AF509">
        <v>11.3309667866833</v>
      </c>
      <c r="AG509">
        <v>0.81545699999999899</v>
      </c>
      <c r="AH509">
        <v>188.87016624745999</v>
      </c>
      <c r="AI509">
        <v>89.753067933665605</v>
      </c>
      <c r="AJ509">
        <v>86.566745419273701</v>
      </c>
      <c r="AK509">
        <v>189.211509895099</v>
      </c>
      <c r="AL509">
        <v>85.886159717035198</v>
      </c>
      <c r="AM509">
        <v>91.169427588799394</v>
      </c>
      <c r="AN509">
        <v>0.99999996444198103</v>
      </c>
    </row>
    <row r="510" spans="1:40" x14ac:dyDescent="0.25">
      <c r="A510" t="str">
        <f>"20190312160612247"</f>
        <v>20190312160612247</v>
      </c>
      <c r="B510" t="str">
        <f>"1552377972235774"</f>
        <v>1552377972235774</v>
      </c>
      <c r="C510" t="s">
        <v>40</v>
      </c>
      <c r="D510">
        <v>5.89255</v>
      </c>
      <c r="E510">
        <v>0.53027469999999999</v>
      </c>
      <c r="F510" t="s">
        <v>42</v>
      </c>
      <c r="G510">
        <v>-158.19499999999999</v>
      </c>
      <c r="H510">
        <v>1.4748779999999999</v>
      </c>
      <c r="I510">
        <v>358.55650000000003</v>
      </c>
      <c r="J510">
        <v>-346.988</v>
      </c>
      <c r="K510">
        <v>1.1103240000000001</v>
      </c>
      <c r="L510">
        <v>368.1343</v>
      </c>
      <c r="M510">
        <v>0.99985210000000002</v>
      </c>
      <c r="N510">
        <v>0</v>
      </c>
      <c r="O510">
        <v>9.6294390000000001E-3</v>
      </c>
      <c r="P510">
        <v>0.99788489999999996</v>
      </c>
      <c r="Q510">
        <v>5.7702860000000002E-2</v>
      </c>
      <c r="R510">
        <v>2.9940149999999999E-2</v>
      </c>
      <c r="S510">
        <v>3.0105590000000002</v>
      </c>
      <c r="T510">
        <v>5.8091879999999999E-3</v>
      </c>
      <c r="U510">
        <v>-0.15255739999999901</v>
      </c>
      <c r="V510">
        <v>-2.0344669999999999E-2</v>
      </c>
      <c r="W510">
        <v>7.1925760000000005E-2</v>
      </c>
      <c r="X510">
        <v>0.99720249999999999</v>
      </c>
      <c r="Y510">
        <v>6.0224769999999997E-2</v>
      </c>
      <c r="Z510" s="1">
        <v>7.6639569999999995E-5</v>
      </c>
      <c r="AA510">
        <v>0.99818490000000004</v>
      </c>
      <c r="AB510">
        <v>30</v>
      </c>
      <c r="AC510">
        <v>188.79300000000001</v>
      </c>
      <c r="AD510">
        <v>0.36455399999999999</v>
      </c>
      <c r="AE510">
        <v>-9.5777999999999608</v>
      </c>
      <c r="AF510">
        <v>11.395468739404</v>
      </c>
      <c r="AG510">
        <v>0.36455399999999999</v>
      </c>
      <c r="AH510">
        <v>188.691305036279</v>
      </c>
      <c r="AI510">
        <v>89.889505278120197</v>
      </c>
      <c r="AJ510">
        <v>86.543983689988195</v>
      </c>
      <c r="AK510">
        <v>189.03544166029701</v>
      </c>
      <c r="AL510">
        <v>85.8753960706415</v>
      </c>
      <c r="AM510">
        <v>91.168771677212206</v>
      </c>
      <c r="AN510">
        <v>1.0000000232776101</v>
      </c>
    </row>
    <row r="511" spans="1:40" x14ac:dyDescent="0.25">
      <c r="A511" t="str">
        <f>"20190312160612266"</f>
        <v>20190312160612266</v>
      </c>
      <c r="B511" t="str">
        <f>"1552377972255296"</f>
        <v>1552377972255296</v>
      </c>
      <c r="C511" t="s">
        <v>40</v>
      </c>
      <c r="D511">
        <v>5.911651</v>
      </c>
      <c r="E511">
        <v>0.53079189999999998</v>
      </c>
      <c r="F511" t="s">
        <v>42</v>
      </c>
      <c r="G511">
        <v>-158.19499999999999</v>
      </c>
      <c r="H511">
        <v>1.1957169999999999</v>
      </c>
      <c r="I511">
        <v>358.3947</v>
      </c>
      <c r="J511">
        <v>-346.74810000000002</v>
      </c>
      <c r="K511">
        <v>1.110325</v>
      </c>
      <c r="L511">
        <v>368.13670000000002</v>
      </c>
      <c r="M511">
        <v>0.99985100000000005</v>
      </c>
      <c r="N511">
        <v>0</v>
      </c>
      <c r="O511">
        <v>9.7329819999999994E-3</v>
      </c>
      <c r="P511">
        <v>0.99784689999999998</v>
      </c>
      <c r="Q511">
        <v>5.8133150000000001E-2</v>
      </c>
      <c r="R511">
        <v>3.0370459999999998E-2</v>
      </c>
      <c r="S511">
        <v>3.0109859999999999</v>
      </c>
      <c r="T511">
        <v>1.363277E-3</v>
      </c>
      <c r="U511">
        <v>-0.15533449999999999</v>
      </c>
      <c r="V511">
        <v>-2.067213E-2</v>
      </c>
      <c r="W511">
        <v>7.2352860000000005E-2</v>
      </c>
      <c r="X511">
        <v>0.99716479999999996</v>
      </c>
      <c r="Y511">
        <v>6.123932E-2</v>
      </c>
      <c r="Z511" s="1">
        <v>1.8258899999999999E-5</v>
      </c>
      <c r="AA511">
        <v>0.99812310000000004</v>
      </c>
      <c r="AB511">
        <v>30</v>
      </c>
      <c r="AC511">
        <v>188.5531</v>
      </c>
      <c r="AD511">
        <v>8.5391999999999899E-2</v>
      </c>
      <c r="AE511">
        <v>-9.7420000000000098</v>
      </c>
      <c r="AF511">
        <v>11.5769065472152</v>
      </c>
      <c r="AG511">
        <v>8.5391999999999899E-2</v>
      </c>
      <c r="AH511">
        <v>188.44930017069299</v>
      </c>
      <c r="AI511">
        <v>89.974086426942307</v>
      </c>
      <c r="AJ511">
        <v>86.484596447075305</v>
      </c>
      <c r="AK511">
        <v>188.80458360914</v>
      </c>
      <c r="AL511">
        <v>85.850860839070705</v>
      </c>
      <c r="AM511">
        <v>91.1876233188394</v>
      </c>
      <c r="AN511">
        <v>0.99999995583397705</v>
      </c>
    </row>
    <row r="512" spans="1:40" x14ac:dyDescent="0.25">
      <c r="A512" t="str">
        <f>"20190312160612277"</f>
        <v>20190312160612277</v>
      </c>
      <c r="B512" t="str">
        <f>"1552377972266030"</f>
        <v>1552377972266030</v>
      </c>
      <c r="C512" t="s">
        <v>40</v>
      </c>
      <c r="D512">
        <v>6.0654019999999997</v>
      </c>
      <c r="E512">
        <v>0.52996869999999996</v>
      </c>
      <c r="F512" t="s">
        <v>42</v>
      </c>
      <c r="G512">
        <v>-158.19499999999999</v>
      </c>
      <c r="H512">
        <v>0.84004500000000004</v>
      </c>
      <c r="I512">
        <v>358.23360000000002</v>
      </c>
      <c r="J512">
        <v>-346.58760000000001</v>
      </c>
      <c r="K512">
        <v>1.110328</v>
      </c>
      <c r="L512">
        <v>368.13839999999999</v>
      </c>
      <c r="M512">
        <v>0.99985040000000003</v>
      </c>
      <c r="N512">
        <v>0</v>
      </c>
      <c r="O512">
        <v>9.8020699999999995E-3</v>
      </c>
      <c r="P512">
        <v>0.99785299999999999</v>
      </c>
      <c r="Q512">
        <v>5.7928790000000001E-2</v>
      </c>
      <c r="R512">
        <v>3.05577E-2</v>
      </c>
      <c r="S512">
        <v>3.0115660000000002</v>
      </c>
      <c r="T512">
        <v>-4.3154949999999999E-3</v>
      </c>
      <c r="U512">
        <v>-0.1581726</v>
      </c>
      <c r="V512">
        <v>-2.0790360000000001E-2</v>
      </c>
      <c r="W512">
        <v>7.2147399999999903E-2</v>
      </c>
      <c r="X512">
        <v>0.99717719999999999</v>
      </c>
      <c r="Y512">
        <v>6.2236390000000003E-2</v>
      </c>
      <c r="Z512" s="1">
        <v>-5.85994199999999E-5</v>
      </c>
      <c r="AA512">
        <v>0.99806139999999999</v>
      </c>
      <c r="AB512">
        <v>30</v>
      </c>
      <c r="AC512">
        <v>188.39259999999999</v>
      </c>
      <c r="AD512">
        <v>-0.270282999999999</v>
      </c>
      <c r="AE512">
        <v>-9.9047999999999607</v>
      </c>
      <c r="AF512">
        <v>11.751124946286</v>
      </c>
      <c r="AG512">
        <v>-0.270282999999999</v>
      </c>
      <c r="AH512">
        <v>188.28606362380199</v>
      </c>
      <c r="AI512">
        <v>90.082087818645206</v>
      </c>
      <c r="AJ512">
        <v>86.428744096239896</v>
      </c>
      <c r="AK512">
        <v>188.652600685359</v>
      </c>
      <c r="AL512">
        <v>85.862663558397102</v>
      </c>
      <c r="AM512">
        <v>91.194398875938305</v>
      </c>
      <c r="AN512">
        <v>0.99999992729776199</v>
      </c>
    </row>
    <row r="513" spans="1:40" x14ac:dyDescent="0.25">
      <c r="A513" t="str">
        <f>"20190312160612288"</f>
        <v>20190312160612288</v>
      </c>
      <c r="B513" t="str">
        <f>"1552377972275790"</f>
        <v>1552377972275790</v>
      </c>
      <c r="C513" t="s">
        <v>40</v>
      </c>
      <c r="D513">
        <v>6.013903</v>
      </c>
      <c r="E513">
        <v>0.52927329999999995</v>
      </c>
      <c r="F513" t="s">
        <v>42</v>
      </c>
      <c r="G513">
        <v>-158.19499999999999</v>
      </c>
      <c r="H513">
        <v>1.3926080000000001</v>
      </c>
      <c r="I513">
        <v>358.69560000000001</v>
      </c>
      <c r="J513">
        <v>-346.43419999999998</v>
      </c>
      <c r="K513">
        <v>1.110328</v>
      </c>
      <c r="L513">
        <v>368.14</v>
      </c>
      <c r="M513">
        <v>0.99984980000000001</v>
      </c>
      <c r="N513">
        <v>0</v>
      </c>
      <c r="O513">
        <v>9.8679990000000006E-3</v>
      </c>
      <c r="P513">
        <v>0.99784260000000002</v>
      </c>
      <c r="Q513">
        <v>5.8079749999999999E-2</v>
      </c>
      <c r="R513">
        <v>3.06144E-2</v>
      </c>
      <c r="S513">
        <v>3.0108030000000001</v>
      </c>
      <c r="T513">
        <v>4.5126680000000001E-3</v>
      </c>
      <c r="U513">
        <v>-0.1509094</v>
      </c>
      <c r="V513">
        <v>-2.0781109999999998E-2</v>
      </c>
      <c r="W513">
        <v>7.2296260000000001E-2</v>
      </c>
      <c r="X513">
        <v>0.99716669999999996</v>
      </c>
      <c r="Y513">
        <v>5.9913929999999997E-2</v>
      </c>
      <c r="Z513" s="1">
        <v>5.9655419999999898E-5</v>
      </c>
      <c r="AA513">
        <v>0.99820350000000002</v>
      </c>
      <c r="AB513">
        <v>30</v>
      </c>
      <c r="AC513">
        <v>188.23920000000001</v>
      </c>
      <c r="AD513">
        <v>0.28227999999999998</v>
      </c>
      <c r="AE513">
        <v>-9.4443999999999697</v>
      </c>
      <c r="AF513">
        <v>11.301647515999299</v>
      </c>
      <c r="AG513">
        <v>0.28227999999999998</v>
      </c>
      <c r="AH513">
        <v>188.136403994451</v>
      </c>
      <c r="AI513">
        <v>89.914188124843406</v>
      </c>
      <c r="AJ513">
        <v>86.562284205025307</v>
      </c>
      <c r="AK513">
        <v>188.475763499018</v>
      </c>
      <c r="AL513">
        <v>85.854112543902602</v>
      </c>
      <c r="AM513">
        <v>91.193880188116495</v>
      </c>
      <c r="AN513">
        <v>1.00000001566585</v>
      </c>
    </row>
    <row r="514" spans="1:40" x14ac:dyDescent="0.25">
      <c r="A514" t="str">
        <f>"20190312160612300"</f>
        <v>20190312160612300</v>
      </c>
      <c r="B514" t="str">
        <f>"1552377972295311"</f>
        <v>1552377972295311</v>
      </c>
      <c r="C514" t="s">
        <v>40</v>
      </c>
      <c r="D514">
        <v>5.957141</v>
      </c>
      <c r="E514">
        <v>0.52816129999999994</v>
      </c>
      <c r="F514" t="s">
        <v>42</v>
      </c>
      <c r="G514">
        <v>-158.19499999999999</v>
      </c>
      <c r="H514">
        <v>1.9442429999999999</v>
      </c>
      <c r="I514">
        <v>359.08080000000001</v>
      </c>
      <c r="J514">
        <v>-346.29070000000002</v>
      </c>
      <c r="K514">
        <v>1.1103289999999999</v>
      </c>
      <c r="L514">
        <v>368.14139999999998</v>
      </c>
      <c r="M514">
        <v>0.99984930000000005</v>
      </c>
      <c r="N514">
        <v>0</v>
      </c>
      <c r="O514">
        <v>9.9299339999999996E-3</v>
      </c>
      <c r="P514">
        <v>0.99783169999999999</v>
      </c>
      <c r="Q514">
        <v>5.8195810000000001E-2</v>
      </c>
      <c r="R514">
        <v>3.0751379999999998E-2</v>
      </c>
      <c r="S514">
        <v>3.0101619999999998</v>
      </c>
      <c r="T514">
        <v>1.333666E-2</v>
      </c>
      <c r="U514">
        <v>-0.14486689999999999</v>
      </c>
      <c r="V514">
        <v>-2.0857009999999999E-2</v>
      </c>
      <c r="W514">
        <v>7.2410879999999997E-2</v>
      </c>
      <c r="X514">
        <v>0.99715679999999995</v>
      </c>
      <c r="Y514">
        <v>5.7986749999999997E-2</v>
      </c>
      <c r="Z514">
        <v>1.723575E-4</v>
      </c>
      <c r="AA514">
        <v>0.99831740000000002</v>
      </c>
      <c r="AB514">
        <v>30</v>
      </c>
      <c r="AC514">
        <v>188.09569999999999</v>
      </c>
      <c r="AD514">
        <v>0.83391399999999904</v>
      </c>
      <c r="AE514">
        <v>-9.06059999999996</v>
      </c>
      <c r="AF514">
        <v>10.9279061815896</v>
      </c>
      <c r="AG514">
        <v>0.83391399999999904</v>
      </c>
      <c r="AH514">
        <v>187.99275760817901</v>
      </c>
      <c r="AI514">
        <v>89.746272564199302</v>
      </c>
      <c r="AJ514">
        <v>86.673174495290795</v>
      </c>
      <c r="AK514">
        <v>188.31195251284601</v>
      </c>
      <c r="AL514">
        <v>85.847528050036601</v>
      </c>
      <c r="AM514">
        <v>91.198251286849398</v>
      </c>
      <c r="AN514">
        <v>1.00000001709737</v>
      </c>
    </row>
    <row r="515" spans="1:40" x14ac:dyDescent="0.25">
      <c r="A515" t="str">
        <f>"20190312160612310"</f>
        <v>20190312160612310</v>
      </c>
      <c r="B515" t="str">
        <f>"1552377972306047"</f>
        <v>1552377972306047</v>
      </c>
      <c r="C515" t="s">
        <v>40</v>
      </c>
      <c r="D515">
        <v>5.9869339999999998</v>
      </c>
      <c r="E515">
        <v>0.52768210000000004</v>
      </c>
      <c r="F515" t="s">
        <v>42</v>
      </c>
      <c r="G515">
        <v>-158.19499999999999</v>
      </c>
      <c r="H515">
        <v>2.9070019999999999</v>
      </c>
      <c r="I515">
        <v>359.66950000000003</v>
      </c>
      <c r="J515">
        <v>-346.13670000000002</v>
      </c>
      <c r="K515">
        <v>1.110333</v>
      </c>
      <c r="L515">
        <v>368.14299999999997</v>
      </c>
      <c r="M515">
        <v>0.99984859999999998</v>
      </c>
      <c r="N515">
        <v>0</v>
      </c>
      <c r="O515">
        <v>9.9963399999999994E-3</v>
      </c>
      <c r="P515">
        <v>0.9978359</v>
      </c>
      <c r="Q515">
        <v>5.8148529999999997E-2</v>
      </c>
      <c r="R515">
        <v>3.070347E-2</v>
      </c>
      <c r="S515">
        <v>3.0090330000000001</v>
      </c>
      <c r="T515">
        <v>2.8743390000000001E-2</v>
      </c>
      <c r="U515">
        <v>-0.1355286</v>
      </c>
      <c r="V515">
        <v>-2.0742489999999999E-2</v>
      </c>
      <c r="W515">
        <v>7.2361899999999896E-2</v>
      </c>
      <c r="X515">
        <v>0.99716269999999996</v>
      </c>
      <c r="Y515">
        <v>5.497697E-2</v>
      </c>
      <c r="Z515">
        <v>3.5789309999999897E-4</v>
      </c>
      <c r="AA515">
        <v>0.99848749999999997</v>
      </c>
      <c r="AB515">
        <v>30</v>
      </c>
      <c r="AC515">
        <v>187.9417</v>
      </c>
      <c r="AD515">
        <v>1.7966689999999901</v>
      </c>
      <c r="AE515">
        <v>-8.4734999999999996</v>
      </c>
      <c r="AF515">
        <v>10.351052206877201</v>
      </c>
      <c r="AG515">
        <v>1.7966689999999901</v>
      </c>
      <c r="AH515">
        <v>187.830464417955</v>
      </c>
      <c r="AI515">
        <v>89.452791285760398</v>
      </c>
      <c r="AJ515">
        <v>86.845706988292903</v>
      </c>
      <c r="AK515">
        <v>188.124043292583</v>
      </c>
      <c r="AL515">
        <v>85.8503415947619</v>
      </c>
      <c r="AM515">
        <v>91.191666878263206</v>
      </c>
      <c r="AN515">
        <v>0.99999997286714903</v>
      </c>
    </row>
    <row r="516" spans="1:40" x14ac:dyDescent="0.25">
      <c r="A516" t="str">
        <f>"20190312160612322"</f>
        <v>20190312160612322</v>
      </c>
      <c r="B516" t="str">
        <f>"1552377972315806"</f>
        <v>1552377972315806</v>
      </c>
      <c r="C516" t="s">
        <v>40</v>
      </c>
      <c r="D516">
        <v>6.0174599999999998</v>
      </c>
      <c r="E516">
        <v>0.5271266</v>
      </c>
      <c r="F516" t="s">
        <v>42</v>
      </c>
      <c r="G516">
        <v>-158.19499999999999</v>
      </c>
      <c r="H516">
        <v>3.2718720000000001</v>
      </c>
      <c r="I516">
        <v>359.92439999999999</v>
      </c>
      <c r="J516">
        <v>-345.98939999999999</v>
      </c>
      <c r="K516">
        <v>1.1103350000000001</v>
      </c>
      <c r="L516">
        <v>368.14460000000003</v>
      </c>
      <c r="M516">
        <v>0.99984779999999995</v>
      </c>
      <c r="N516">
        <v>0</v>
      </c>
      <c r="O516">
        <v>1.005994E-2</v>
      </c>
      <c r="P516">
        <v>0.99783350000000004</v>
      </c>
      <c r="Q516">
        <v>5.8269370000000001E-2</v>
      </c>
      <c r="R516">
        <v>3.0541769999999999E-2</v>
      </c>
      <c r="S516">
        <v>3.0085139999999999</v>
      </c>
      <c r="T516">
        <v>3.4602639999999997E-2</v>
      </c>
      <c r="U516">
        <v>-0.13156129999999999</v>
      </c>
      <c r="V516">
        <v>-2.0516929999999999E-2</v>
      </c>
      <c r="W516">
        <v>7.248127E-2</v>
      </c>
      <c r="X516">
        <v>0.99715869999999995</v>
      </c>
      <c r="Y516">
        <v>5.3732849999999999E-2</v>
      </c>
      <c r="Z516">
        <v>4.2451099999999997E-4</v>
      </c>
      <c r="AA516">
        <v>0.99855519999999998</v>
      </c>
      <c r="AB516">
        <v>30</v>
      </c>
      <c r="AC516">
        <v>187.7944</v>
      </c>
      <c r="AD516">
        <v>2.161537</v>
      </c>
      <c r="AE516">
        <v>-8.2202000000000304</v>
      </c>
      <c r="AF516">
        <v>10.1078397413748</v>
      </c>
      <c r="AG516">
        <v>2.161537</v>
      </c>
      <c r="AH516">
        <v>187.67737557803099</v>
      </c>
      <c r="AI516">
        <v>89.341091233625207</v>
      </c>
      <c r="AJ516">
        <v>86.917169298530396</v>
      </c>
      <c r="AK516">
        <v>187.96179923137899</v>
      </c>
      <c r="AL516">
        <v>85.843484203420203</v>
      </c>
      <c r="AM516">
        <v>91.178716741487406</v>
      </c>
      <c r="AN516">
        <v>0.99999997595156298</v>
      </c>
    </row>
    <row r="517" spans="1:40" x14ac:dyDescent="0.25">
      <c r="A517" t="str">
        <f>"20190312160612344"</f>
        <v>20190312160612344</v>
      </c>
      <c r="B517" t="str">
        <f>"1552377972335326"</f>
        <v>1552377972335326</v>
      </c>
      <c r="C517" t="s">
        <v>40</v>
      </c>
      <c r="D517">
        <v>6.0091590000000004</v>
      </c>
      <c r="E517">
        <v>0.52648989999999996</v>
      </c>
      <c r="F517" t="s">
        <v>42</v>
      </c>
      <c r="G517">
        <v>-158.19499999999999</v>
      </c>
      <c r="H517">
        <v>3.5819549999999998</v>
      </c>
      <c r="I517">
        <v>360.18090000000001</v>
      </c>
      <c r="J517">
        <v>-345.69850000000002</v>
      </c>
      <c r="K517">
        <v>1.110339</v>
      </c>
      <c r="L517">
        <v>368.14760000000001</v>
      </c>
      <c r="M517">
        <v>0.99984680000000004</v>
      </c>
      <c r="N517">
        <v>0</v>
      </c>
      <c r="O517">
        <v>1.018524E-2</v>
      </c>
      <c r="P517">
        <v>0.99780860000000005</v>
      </c>
      <c r="Q517">
        <v>5.8705069999999998E-2</v>
      </c>
      <c r="R517">
        <v>3.0528779999999998E-2</v>
      </c>
      <c r="S517">
        <v>3.0081180000000001</v>
      </c>
      <c r="T517">
        <v>3.959215E-2</v>
      </c>
      <c r="U517">
        <v>-0.1275635</v>
      </c>
      <c r="V517">
        <v>-2.0379350000000001E-2</v>
      </c>
      <c r="W517">
        <v>7.2913560000000002E-2</v>
      </c>
      <c r="X517">
        <v>0.99712999999999996</v>
      </c>
      <c r="Y517">
        <v>5.2537840000000002E-2</v>
      </c>
      <c r="Z517">
        <v>4.7958419999999998E-4</v>
      </c>
      <c r="AA517">
        <v>0.99861880000000003</v>
      </c>
      <c r="AB517">
        <v>30</v>
      </c>
      <c r="AC517">
        <v>187.5035</v>
      </c>
      <c r="AD517">
        <v>2.471616</v>
      </c>
      <c r="AE517">
        <v>-7.9667000000000003</v>
      </c>
      <c r="AF517">
        <v>9.8745356677809699</v>
      </c>
      <c r="AG517">
        <v>2.471616</v>
      </c>
      <c r="AH517">
        <v>187.38012107238399</v>
      </c>
      <c r="AI517">
        <v>89.245337442476497</v>
      </c>
      <c r="AJ517">
        <v>86.983424069789805</v>
      </c>
      <c r="AK517">
        <v>187.65640173840799</v>
      </c>
      <c r="AL517">
        <v>85.818650079452993</v>
      </c>
      <c r="AM517">
        <v>91.170848539635799</v>
      </c>
      <c r="AN517">
        <v>0.99999997101914695</v>
      </c>
    </row>
    <row r="518" spans="1:40" x14ac:dyDescent="0.25">
      <c r="A518" t="str">
        <f>"20190312160612355"</f>
        <v>20190312160612355</v>
      </c>
      <c r="B518" t="str">
        <f>"1552377972346063"</f>
        <v>1552377972346063</v>
      </c>
      <c r="C518" t="s">
        <v>40</v>
      </c>
      <c r="D518">
        <v>6.1200109999999999</v>
      </c>
      <c r="E518">
        <v>0.5262232</v>
      </c>
      <c r="F518" t="s">
        <v>42</v>
      </c>
      <c r="G518">
        <v>-158.19499999999999</v>
      </c>
      <c r="H518">
        <v>4.1985380000000001</v>
      </c>
      <c r="I518">
        <v>360.52350000000001</v>
      </c>
      <c r="J518">
        <v>-345.54270000000002</v>
      </c>
      <c r="K518">
        <v>1.1103400000000001</v>
      </c>
      <c r="L518">
        <v>368.14929999999998</v>
      </c>
      <c r="M518">
        <v>0.99984589999999995</v>
      </c>
      <c r="N518">
        <v>0</v>
      </c>
      <c r="O518">
        <v>1.025248E-2</v>
      </c>
      <c r="P518">
        <v>0.99780069999999998</v>
      </c>
      <c r="Q518">
        <v>5.8850319999999998E-2</v>
      </c>
      <c r="R518">
        <v>3.0503789999999999E-2</v>
      </c>
      <c r="S518">
        <v>3.0073850000000002</v>
      </c>
      <c r="T518">
        <v>4.9533250000000001E-2</v>
      </c>
      <c r="U518">
        <v>-0.1222839</v>
      </c>
      <c r="V518">
        <v>-2.02869E-2</v>
      </c>
      <c r="W518">
        <v>7.3057170000000005E-2</v>
      </c>
      <c r="X518">
        <v>0.99712140000000005</v>
      </c>
      <c r="Y518">
        <v>5.0862299999999999E-2</v>
      </c>
      <c r="Z518">
        <v>5.8746980000000002E-4</v>
      </c>
      <c r="AA518">
        <v>0.99870550000000002</v>
      </c>
      <c r="AB518">
        <v>30</v>
      </c>
      <c r="AC518">
        <v>187.3477</v>
      </c>
      <c r="AD518">
        <v>3.08819799999999</v>
      </c>
      <c r="AE518">
        <v>-7.6257999999999697</v>
      </c>
      <c r="AF518">
        <v>9.5437838183563493</v>
      </c>
      <c r="AG518">
        <v>3.08819799999999</v>
      </c>
      <c r="AH518">
        <v>187.20887675515999</v>
      </c>
      <c r="AI518">
        <v>89.056159876638006</v>
      </c>
      <c r="AJ518">
        <v>87.081625761430601</v>
      </c>
      <c r="AK518">
        <v>187.47742347383399</v>
      </c>
      <c r="AL518">
        <v>85.810399939582297</v>
      </c>
      <c r="AM518">
        <v>91.165548556501903</v>
      </c>
      <c r="AN518">
        <v>0.99999999736898904</v>
      </c>
    </row>
    <row r="519" spans="1:40" x14ac:dyDescent="0.25">
      <c r="A519" t="str">
        <f>"20190312160612366"</f>
        <v>20190312160612366</v>
      </c>
      <c r="B519" t="str">
        <f>"1552377972355823"</f>
        <v>1552377972355823</v>
      </c>
      <c r="C519" t="s">
        <v>40</v>
      </c>
      <c r="D519">
        <v>5.9948569999999997</v>
      </c>
      <c r="E519">
        <v>0.52590539999999997</v>
      </c>
      <c r="F519" t="s">
        <v>42</v>
      </c>
      <c r="G519">
        <v>-158.19499999999999</v>
      </c>
      <c r="H519">
        <v>4.4697719999999999</v>
      </c>
      <c r="I519">
        <v>360.66579999999999</v>
      </c>
      <c r="J519">
        <v>-345.39550000000003</v>
      </c>
      <c r="K519">
        <v>1.1103379999999901</v>
      </c>
      <c r="L519">
        <v>368.15089999999998</v>
      </c>
      <c r="M519">
        <v>0.9998454</v>
      </c>
      <c r="N519">
        <v>0</v>
      </c>
      <c r="O519">
        <v>1.0316260000000001E-2</v>
      </c>
      <c r="P519">
        <v>0.99778370000000005</v>
      </c>
      <c r="Q519">
        <v>5.9044039999999999E-2</v>
      </c>
      <c r="R519">
        <v>3.0688340000000001E-2</v>
      </c>
      <c r="S519">
        <v>3.0071110000000001</v>
      </c>
      <c r="T519">
        <v>5.3923489999999998E-2</v>
      </c>
      <c r="U519">
        <v>-0.12011719999999999</v>
      </c>
      <c r="V519">
        <v>-2.0408320000000001E-2</v>
      </c>
      <c r="W519">
        <v>7.3249320000000007E-2</v>
      </c>
      <c r="X519">
        <v>0.99710480000000001</v>
      </c>
      <c r="Y519">
        <v>5.0209810000000001E-2</v>
      </c>
      <c r="Z519">
        <v>6.3489389999999996E-4</v>
      </c>
      <c r="AA519">
        <v>0.99873849999999997</v>
      </c>
      <c r="AB519">
        <v>30</v>
      </c>
      <c r="AC519">
        <v>187.20050000000001</v>
      </c>
      <c r="AD519">
        <v>3.3594339999999998</v>
      </c>
      <c r="AE519">
        <v>-7.4850999999999797</v>
      </c>
      <c r="AF519">
        <v>9.4130798359207102</v>
      </c>
      <c r="AG519">
        <v>3.3594339999999998</v>
      </c>
      <c r="AH519">
        <v>187.05316660841899</v>
      </c>
      <c r="AI519">
        <v>88.9723909956531</v>
      </c>
      <c r="AJ519">
        <v>87.119133667848004</v>
      </c>
      <c r="AK519">
        <v>187.31999094339801</v>
      </c>
      <c r="AL519">
        <v>85.799360873430004</v>
      </c>
      <c r="AM519">
        <v>91.172542104673198</v>
      </c>
      <c r="AN519">
        <v>0.99999997229436199</v>
      </c>
    </row>
    <row r="520" spans="1:40" x14ac:dyDescent="0.25">
      <c r="A520" t="str">
        <f>"20190312160612377"</f>
        <v>20190312160612377</v>
      </c>
      <c r="B520" t="str">
        <f>"1552377972365583"</f>
        <v>1552377972365583</v>
      </c>
      <c r="C520" t="s">
        <v>40</v>
      </c>
      <c r="D520">
        <v>6.0221920000000004</v>
      </c>
      <c r="E520">
        <v>0.52545140000000001</v>
      </c>
      <c r="F520" t="s">
        <v>42</v>
      </c>
      <c r="G520">
        <v>-158.19499999999999</v>
      </c>
      <c r="H520">
        <v>4.7407130000000004</v>
      </c>
      <c r="I520">
        <v>360.88529999999997</v>
      </c>
      <c r="J520">
        <v>-345.26029999999997</v>
      </c>
      <c r="K520">
        <v>1.110336</v>
      </c>
      <c r="L520">
        <v>368.15230000000003</v>
      </c>
      <c r="M520">
        <v>0.99984479999999998</v>
      </c>
      <c r="N520">
        <v>0</v>
      </c>
      <c r="O520">
        <v>1.0374619999999999E-2</v>
      </c>
      <c r="P520">
        <v>0.99778129999999998</v>
      </c>
      <c r="Q520">
        <v>5.9063570000000003E-2</v>
      </c>
      <c r="R520">
        <v>3.07283E-2</v>
      </c>
      <c r="S520">
        <v>3.0068049999999999</v>
      </c>
      <c r="T520">
        <v>5.8312299999999997E-2</v>
      </c>
      <c r="U520">
        <v>-0.1166992</v>
      </c>
      <c r="V520">
        <v>-2.0390229999999999E-2</v>
      </c>
      <c r="W520">
        <v>7.3267390000000002E-2</v>
      </c>
      <c r="X520">
        <v>0.99710390000000004</v>
      </c>
      <c r="Y520">
        <v>4.9137109999999998E-2</v>
      </c>
      <c r="Z520">
        <v>6.7737759999999896E-4</v>
      </c>
      <c r="AA520">
        <v>0.99879180000000001</v>
      </c>
      <c r="AB520">
        <v>30</v>
      </c>
      <c r="AC520">
        <v>187.06530000000001</v>
      </c>
      <c r="AD520">
        <v>3.63037699999999</v>
      </c>
      <c r="AE520">
        <v>-7.2670000000000501</v>
      </c>
      <c r="AF520">
        <v>9.2040756702085798</v>
      </c>
      <c r="AG520">
        <v>3.63037699999999</v>
      </c>
      <c r="AH520">
        <v>186.909540504337</v>
      </c>
      <c r="AI520">
        <v>88.888620224316298</v>
      </c>
      <c r="AJ520">
        <v>87.180833875015097</v>
      </c>
      <c r="AK520">
        <v>187.17123437549799</v>
      </c>
      <c r="AL520">
        <v>85.7983229906704</v>
      </c>
      <c r="AM520">
        <v>91.171504106507399</v>
      </c>
      <c r="AN520">
        <v>1.0000000296560301</v>
      </c>
    </row>
    <row r="521" spans="1:40" x14ac:dyDescent="0.25">
      <c r="A521" t="str">
        <f>"20190312160612392"</f>
        <v>20190312160612392</v>
      </c>
      <c r="B521" t="str">
        <f>"1552377972386079"</f>
        <v>1552377972386079</v>
      </c>
      <c r="C521" t="s">
        <v>40</v>
      </c>
      <c r="D521">
        <v>6.1559249999999999</v>
      </c>
      <c r="E521">
        <v>0.52491219999999905</v>
      </c>
      <c r="F521" t="s">
        <v>42</v>
      </c>
      <c r="G521">
        <v>-158.19499999999999</v>
      </c>
      <c r="H521">
        <v>4.9436330000000002</v>
      </c>
      <c r="I521">
        <v>361.12670000000003</v>
      </c>
      <c r="J521">
        <v>-345.0539</v>
      </c>
      <c r="K521">
        <v>1.110336</v>
      </c>
      <c r="L521">
        <v>368.15449999999998</v>
      </c>
      <c r="M521">
        <v>0.99984390000000001</v>
      </c>
      <c r="N521">
        <v>0</v>
      </c>
      <c r="O521">
        <v>1.046332E-2</v>
      </c>
      <c r="P521">
        <v>0.99778210000000001</v>
      </c>
      <c r="Q521">
        <v>5.9019759999999998E-2</v>
      </c>
      <c r="R521">
        <v>3.0788240000000001E-2</v>
      </c>
      <c r="S521">
        <v>3.0065</v>
      </c>
      <c r="T521">
        <v>6.1609860000000002E-2</v>
      </c>
      <c r="U521">
        <v>-0.112915</v>
      </c>
      <c r="V521">
        <v>-2.0361290000000001E-2</v>
      </c>
      <c r="W521">
        <v>7.3221250000000002E-2</v>
      </c>
      <c r="X521">
        <v>0.99710790000000005</v>
      </c>
      <c r="Y521">
        <v>4.7973219999999997E-2</v>
      </c>
      <c r="Z521">
        <v>7.0566209999999995E-4</v>
      </c>
      <c r="AA521">
        <v>0.99884839999999997</v>
      </c>
      <c r="AB521">
        <v>30</v>
      </c>
      <c r="AC521">
        <v>186.85890000000001</v>
      </c>
      <c r="AD521">
        <v>3.833297</v>
      </c>
      <c r="AE521">
        <v>-7.0277999999999503</v>
      </c>
      <c r="AF521">
        <v>8.9790044625115897</v>
      </c>
      <c r="AG521">
        <v>3.833297</v>
      </c>
      <c r="AH521">
        <v>186.696668808646</v>
      </c>
      <c r="AI521">
        <v>88.825113359724895</v>
      </c>
      <c r="AJ521">
        <v>87.246533867419004</v>
      </c>
      <c r="AK521">
        <v>186.95176605550799</v>
      </c>
      <c r="AL521">
        <v>85.800973818694203</v>
      </c>
      <c r="AM521">
        <v>91.169837153064705</v>
      </c>
      <c r="AN521">
        <v>1.0000000489122101</v>
      </c>
    </row>
    <row r="522" spans="1:40" x14ac:dyDescent="0.25">
      <c r="A522" t="str">
        <f>"20190312160612412"</f>
        <v>20190312160612412</v>
      </c>
      <c r="B522" t="str">
        <f>"1552377972405599"</f>
        <v>1552377972405599</v>
      </c>
      <c r="C522" t="s">
        <v>40</v>
      </c>
      <c r="D522">
        <v>6.7398199999999999</v>
      </c>
      <c r="E522">
        <v>0.52461400000000002</v>
      </c>
      <c r="F522" t="s">
        <v>42</v>
      </c>
      <c r="G522">
        <v>-158.19499999999999</v>
      </c>
      <c r="H522">
        <v>5.3162960000000004</v>
      </c>
      <c r="I522">
        <v>361.41059999999999</v>
      </c>
      <c r="J522">
        <v>-344.7998</v>
      </c>
      <c r="K522">
        <v>1.1103350000000001</v>
      </c>
      <c r="L522">
        <v>368.15730000000002</v>
      </c>
      <c r="M522">
        <v>0.99984280000000003</v>
      </c>
      <c r="N522">
        <v>0</v>
      </c>
      <c r="O522">
        <v>1.057253E-2</v>
      </c>
      <c r="P522">
        <v>0.99778149999999999</v>
      </c>
      <c r="Q522">
        <v>5.8960449999999998E-2</v>
      </c>
      <c r="R522">
        <v>3.0917279999999998E-2</v>
      </c>
      <c r="S522">
        <v>3.0060120000000001</v>
      </c>
      <c r="T522">
        <v>6.7662949999999999E-2</v>
      </c>
      <c r="U522">
        <v>-0.10849</v>
      </c>
      <c r="V522">
        <v>-2.0381360000000001E-2</v>
      </c>
      <c r="W522">
        <v>7.3159440000000006E-2</v>
      </c>
      <c r="X522">
        <v>0.997112</v>
      </c>
      <c r="Y522">
        <v>4.6617760000000001E-2</v>
      </c>
      <c r="Z522">
        <v>7.6233119999999995E-4</v>
      </c>
      <c r="AA522">
        <v>0.99891249999999998</v>
      </c>
      <c r="AB522">
        <v>30</v>
      </c>
      <c r="AC522">
        <v>186.60480000000001</v>
      </c>
      <c r="AD522">
        <v>4.2059610000000003</v>
      </c>
      <c r="AE522">
        <v>-6.7467000000000299</v>
      </c>
      <c r="AF522">
        <v>8.7149859235750995</v>
      </c>
      <c r="AG522">
        <v>4.2059610000000003</v>
      </c>
      <c r="AH522">
        <v>186.428444868404</v>
      </c>
      <c r="AI522">
        <v>88.708994244110798</v>
      </c>
      <c r="AJ522">
        <v>87.323537938881003</v>
      </c>
      <c r="AK522">
        <v>186.67942078234901</v>
      </c>
      <c r="AL522">
        <v>85.804524681377799</v>
      </c>
      <c r="AM522">
        <v>91.170985119911194</v>
      </c>
      <c r="AN522">
        <v>1.00000002202028</v>
      </c>
    </row>
    <row r="523" spans="1:40" x14ac:dyDescent="0.25">
      <c r="A523" t="str">
        <f>"20190312160612426"</f>
        <v>20190312160612426</v>
      </c>
      <c r="B523" t="str">
        <f>"1552377972415359"</f>
        <v>1552377972415359</v>
      </c>
      <c r="C523" t="s">
        <v>40</v>
      </c>
      <c r="D523">
        <v>5.9782129999999896</v>
      </c>
      <c r="E523">
        <v>0.52433750000000001</v>
      </c>
      <c r="F523" t="s">
        <v>42</v>
      </c>
      <c r="G523">
        <v>-158.19499999999999</v>
      </c>
      <c r="H523">
        <v>5.4849170000000003</v>
      </c>
      <c r="I523">
        <v>361.58139999999997</v>
      </c>
      <c r="J523">
        <v>-344.61880000000002</v>
      </c>
      <c r="K523">
        <v>1.1103339999999999</v>
      </c>
      <c r="L523">
        <v>368.15929999999997</v>
      </c>
      <c r="M523">
        <v>0.99984200000000001</v>
      </c>
      <c r="N523">
        <v>0</v>
      </c>
      <c r="O523">
        <v>1.065033E-2</v>
      </c>
      <c r="P523">
        <v>0.99777559999999998</v>
      </c>
      <c r="Q523">
        <v>5.9026519999999999E-2</v>
      </c>
      <c r="R523">
        <v>3.0977419999999999E-2</v>
      </c>
      <c r="S523">
        <v>3.0058289999999999</v>
      </c>
      <c r="T523">
        <v>7.0467109999999999E-2</v>
      </c>
      <c r="U523">
        <v>-0.10592650000000001</v>
      </c>
      <c r="V523">
        <v>-2.036367E-2</v>
      </c>
      <c r="W523">
        <v>7.3223629999999998E-2</v>
      </c>
      <c r="X523">
        <v>0.99710759999999998</v>
      </c>
      <c r="Y523">
        <v>4.5845799999999999E-2</v>
      </c>
      <c r="Z523">
        <v>7.8675469999999999E-4</v>
      </c>
      <c r="AA523">
        <v>0.99894819999999995</v>
      </c>
      <c r="AB523">
        <v>30</v>
      </c>
      <c r="AC523">
        <v>186.4238</v>
      </c>
      <c r="AD523">
        <v>4.3745830000000003</v>
      </c>
      <c r="AE523">
        <v>-6.5778999999999996</v>
      </c>
      <c r="AF523">
        <v>8.5584961234754502</v>
      </c>
      <c r="AG523">
        <v>4.3745830000000003</v>
      </c>
      <c r="AH523">
        <v>186.240735921609</v>
      </c>
      <c r="AI523">
        <v>88.655852741616499</v>
      </c>
      <c r="AJ523">
        <v>87.368884083761401</v>
      </c>
      <c r="AK523">
        <v>186.488596297312</v>
      </c>
      <c r="AL523">
        <v>85.800836766317104</v>
      </c>
      <c r="AM523">
        <v>91.169974207444099</v>
      </c>
      <c r="AN523">
        <v>0.99999997251200201</v>
      </c>
    </row>
    <row r="524" spans="1:40" x14ac:dyDescent="0.25">
      <c r="A524" t="str">
        <f>"20190312160612444"</f>
        <v>20190312160612444</v>
      </c>
      <c r="B524" t="str">
        <f>"1552377972435854"</f>
        <v>1552377972435854</v>
      </c>
      <c r="C524" t="s">
        <v>40</v>
      </c>
      <c r="D524">
        <v>6.0708529999999996</v>
      </c>
      <c r="E524">
        <v>0.52380509999999902</v>
      </c>
      <c r="F524" t="s">
        <v>42</v>
      </c>
      <c r="G524">
        <v>-158.19499999999999</v>
      </c>
      <c r="H524">
        <v>5.6448830000000001</v>
      </c>
      <c r="I524">
        <v>361.74239999999998</v>
      </c>
      <c r="J524">
        <v>-344.36509999999998</v>
      </c>
      <c r="K524">
        <v>1.110331</v>
      </c>
      <c r="L524">
        <v>368.16210000000001</v>
      </c>
      <c r="M524">
        <v>0.99984090000000003</v>
      </c>
      <c r="N524">
        <v>0</v>
      </c>
      <c r="O524">
        <v>1.0759650000000001E-2</v>
      </c>
      <c r="P524">
        <v>0.99781909999999896</v>
      </c>
      <c r="Q524">
        <v>5.8448159999999999E-2</v>
      </c>
      <c r="R524">
        <v>3.0678629999999998E-2</v>
      </c>
      <c r="S524">
        <v>3.0055239999999999</v>
      </c>
      <c r="T524">
        <v>7.3107359999999996E-2</v>
      </c>
      <c r="U524">
        <v>-0.10345459999999999</v>
      </c>
      <c r="V524">
        <v>-1.995562E-2</v>
      </c>
      <c r="W524">
        <v>7.2642970000000001E-2</v>
      </c>
      <c r="X524">
        <v>0.99715830000000005</v>
      </c>
      <c r="Y524">
        <v>4.5136969999999998E-2</v>
      </c>
      <c r="Z524">
        <v>8.1035989999999995E-4</v>
      </c>
      <c r="AA524">
        <v>0.99898050000000005</v>
      </c>
      <c r="AB524">
        <v>30</v>
      </c>
      <c r="AC524">
        <v>186.17009999999999</v>
      </c>
      <c r="AD524">
        <v>4.5345519999999997</v>
      </c>
      <c r="AE524">
        <v>-6.4197000000000299</v>
      </c>
      <c r="AF524">
        <v>8.4176681986654707</v>
      </c>
      <c r="AG524">
        <v>4.5345519999999997</v>
      </c>
      <c r="AH524">
        <v>185.980035876545</v>
      </c>
      <c r="AI524">
        <v>88.604722972745293</v>
      </c>
      <c r="AJ524">
        <v>87.408496437094101</v>
      </c>
      <c r="AK524">
        <v>186.22565087652299</v>
      </c>
      <c r="AL524">
        <v>85.834194886498494</v>
      </c>
      <c r="AM524">
        <v>91.146478147017604</v>
      </c>
      <c r="AN524">
        <v>0.99999995155944599</v>
      </c>
    </row>
    <row r="525" spans="1:40" x14ac:dyDescent="0.25">
      <c r="A525" t="str">
        <f>"20190312160612456"</f>
        <v>20190312160612456</v>
      </c>
      <c r="B525" t="str">
        <f>"1552377972445614"</f>
        <v>1552377972445614</v>
      </c>
      <c r="C525" t="s">
        <v>40</v>
      </c>
      <c r="D525">
        <v>6.1138070000000004</v>
      </c>
      <c r="E525">
        <v>0.52366069999999998</v>
      </c>
      <c r="F525" t="s">
        <v>42</v>
      </c>
      <c r="G525">
        <v>-158.19499999999999</v>
      </c>
      <c r="H525">
        <v>5.7415190000000003</v>
      </c>
      <c r="I525">
        <v>361.96690000000001</v>
      </c>
      <c r="J525">
        <v>-344.21499999999997</v>
      </c>
      <c r="K525">
        <v>1.11032999999999</v>
      </c>
      <c r="L525">
        <v>368.16379999999998</v>
      </c>
      <c r="M525">
        <v>0.99984030000000002</v>
      </c>
      <c r="N525">
        <v>0</v>
      </c>
      <c r="O525">
        <v>1.082438E-2</v>
      </c>
      <c r="P525">
        <v>0.99782649999999995</v>
      </c>
      <c r="Q525">
        <v>5.8335560000000002E-2</v>
      </c>
      <c r="R525">
        <v>3.065321E-2</v>
      </c>
      <c r="S525">
        <v>3.0052490000000001</v>
      </c>
      <c r="T525">
        <v>7.4760320000000005E-2</v>
      </c>
      <c r="U525">
        <v>-0.1000061</v>
      </c>
      <c r="V525">
        <v>-1.9864969999999999E-2</v>
      </c>
      <c r="W525">
        <v>7.2529289999999996E-2</v>
      </c>
      <c r="X525">
        <v>0.99716839999999995</v>
      </c>
      <c r="Y525">
        <v>4.4059319999999999E-2</v>
      </c>
      <c r="Z525">
        <v>8.1697929999999903E-4</v>
      </c>
      <c r="AA525">
        <v>0.99902860000000004</v>
      </c>
      <c r="AB525">
        <v>30</v>
      </c>
      <c r="AC525">
        <v>186.02</v>
      </c>
      <c r="AD525">
        <v>4.631189</v>
      </c>
      <c r="AE525">
        <v>-6.1968999999999701</v>
      </c>
      <c r="AF525">
        <v>8.2052115368799505</v>
      </c>
      <c r="AG525">
        <v>4.631189</v>
      </c>
      <c r="AH525">
        <v>185.82696374480699</v>
      </c>
      <c r="AI525">
        <v>88.573756308058506</v>
      </c>
      <c r="AJ525">
        <v>87.471740327984193</v>
      </c>
      <c r="AK525">
        <v>186.06567083299501</v>
      </c>
      <c r="AL525">
        <v>85.840725559864197</v>
      </c>
      <c r="AM525">
        <v>91.141260002406199</v>
      </c>
      <c r="AN525">
        <v>0.99999996644978095</v>
      </c>
    </row>
    <row r="526" spans="1:40" x14ac:dyDescent="0.25">
      <c r="A526" t="str">
        <f>"20190312160612466"</f>
        <v>20190312160612466</v>
      </c>
      <c r="B526" t="str">
        <f>"1552377972455374"</f>
        <v>1552377972455374</v>
      </c>
      <c r="C526" t="s">
        <v>40</v>
      </c>
      <c r="D526">
        <v>6.1181179999999999</v>
      </c>
      <c r="E526">
        <v>0.52347489999999997</v>
      </c>
      <c r="F526" t="s">
        <v>42</v>
      </c>
      <c r="G526">
        <v>-158.19499999999999</v>
      </c>
      <c r="H526">
        <v>5.803267</v>
      </c>
      <c r="I526">
        <v>362.05090000000001</v>
      </c>
      <c r="J526">
        <v>-344.07190000000003</v>
      </c>
      <c r="K526">
        <v>1.1103270000000001</v>
      </c>
      <c r="L526">
        <v>368.16539999999998</v>
      </c>
      <c r="M526">
        <v>0.99983960000000005</v>
      </c>
      <c r="N526">
        <v>0</v>
      </c>
      <c r="O526">
        <v>1.088626E-2</v>
      </c>
      <c r="P526">
        <v>0.99783270000000002</v>
      </c>
      <c r="Q526">
        <v>5.8244659999999997E-2</v>
      </c>
      <c r="R526">
        <v>3.0619279999999999E-2</v>
      </c>
      <c r="S526">
        <v>3.0051570000000001</v>
      </c>
      <c r="T526">
        <v>7.5815919999999995E-2</v>
      </c>
      <c r="U526">
        <v>-9.8754880000000003E-2</v>
      </c>
      <c r="V526">
        <v>-1.976905E-2</v>
      </c>
      <c r="W526">
        <v>7.2437029999999999E-2</v>
      </c>
      <c r="X526">
        <v>0.99717710000000004</v>
      </c>
      <c r="Y526">
        <v>4.3706250000000002E-2</v>
      </c>
      <c r="Z526">
        <v>8.2565060000000003E-4</v>
      </c>
      <c r="AA526">
        <v>0.99904409999999999</v>
      </c>
      <c r="AB526">
        <v>30</v>
      </c>
      <c r="AC526">
        <v>185.87690000000001</v>
      </c>
      <c r="AD526">
        <v>4.6929400000000001</v>
      </c>
      <c r="AE526">
        <v>-6.1144999999999596</v>
      </c>
      <c r="AF526">
        <v>8.1326680499022004</v>
      </c>
      <c r="AG526">
        <v>4.6929400000000001</v>
      </c>
      <c r="AH526">
        <v>185.68107991302799</v>
      </c>
      <c r="AI526">
        <v>88.553589580681006</v>
      </c>
      <c r="AJ526">
        <v>87.492098100774498</v>
      </c>
      <c r="AK526">
        <v>185.918335333344</v>
      </c>
      <c r="AL526">
        <v>85.846025972828798</v>
      </c>
      <c r="AM526">
        <v>91.135740854562599</v>
      </c>
      <c r="AN526">
        <v>1.0000000537087601</v>
      </c>
    </row>
    <row r="527" spans="1:40" x14ac:dyDescent="0.25">
      <c r="A527" t="str">
        <f>"20190312160612478"</f>
        <v>20190312160612478</v>
      </c>
      <c r="B527" t="str">
        <f>"1552377972465135"</f>
        <v>1552377972465135</v>
      </c>
      <c r="C527" t="s">
        <v>40</v>
      </c>
      <c r="D527">
        <v>6.0174200000000004</v>
      </c>
      <c r="E527">
        <v>0.52329020000000004</v>
      </c>
      <c r="F527" t="s">
        <v>42</v>
      </c>
      <c r="G527">
        <v>-158.19499999999999</v>
      </c>
      <c r="H527">
        <v>5.8992089999999999</v>
      </c>
      <c r="I527">
        <v>362.14550000000003</v>
      </c>
      <c r="J527">
        <v>-343.91359999999997</v>
      </c>
      <c r="K527">
        <v>1.1103229999999999</v>
      </c>
      <c r="L527">
        <v>368.16719999999998</v>
      </c>
      <c r="M527">
        <v>0.99983889999999997</v>
      </c>
      <c r="N527">
        <v>0</v>
      </c>
      <c r="O527">
        <v>1.0954510000000001E-2</v>
      </c>
      <c r="P527">
        <v>0.99782910000000002</v>
      </c>
      <c r="Q527">
        <v>5.8315520000000003E-2</v>
      </c>
      <c r="R527">
        <v>3.060858E-2</v>
      </c>
      <c r="S527">
        <v>3.0049739999999998</v>
      </c>
      <c r="T527">
        <v>7.7420710000000004E-2</v>
      </c>
      <c r="U527">
        <v>-9.732056E-2</v>
      </c>
      <c r="V527">
        <v>-1.969098E-2</v>
      </c>
      <c r="W527">
        <v>7.2506000000000001E-2</v>
      </c>
      <c r="X527">
        <v>0.99717359999999999</v>
      </c>
      <c r="Y527">
        <v>4.329947E-2</v>
      </c>
      <c r="Z527">
        <v>8.3969920000000003E-4</v>
      </c>
      <c r="AA527">
        <v>0.9990618</v>
      </c>
      <c r="AB527">
        <v>30</v>
      </c>
      <c r="AC527">
        <v>185.71860000000001</v>
      </c>
      <c r="AD527">
        <v>4.7888859999999998</v>
      </c>
      <c r="AE527">
        <v>-6.0216999999999503</v>
      </c>
      <c r="AF527">
        <v>8.0506532773932094</v>
      </c>
      <c r="AG527">
        <v>4.7888859999999998</v>
      </c>
      <c r="AH527">
        <v>185.51826065766201</v>
      </c>
      <c r="AI527">
        <v>88.522710286792105</v>
      </c>
      <c r="AJ527">
        <v>87.515181353906101</v>
      </c>
      <c r="AK527">
        <v>185.754600171188</v>
      </c>
      <c r="AL527">
        <v>85.842063731093006</v>
      </c>
      <c r="AM527">
        <v>91.131260835235096</v>
      </c>
      <c r="AN527">
        <v>1.0000000216331599</v>
      </c>
    </row>
    <row r="528" spans="1:40" x14ac:dyDescent="0.25">
      <c r="A528" t="str">
        <f>"20190312160612491"</f>
        <v>20190312160612491</v>
      </c>
      <c r="B528" t="str">
        <f>"1552377972485631"</f>
        <v>1552377972485631</v>
      </c>
      <c r="C528" t="s">
        <v>40</v>
      </c>
      <c r="D528">
        <v>8.0947910000000007</v>
      </c>
      <c r="E528">
        <v>0.52307910000000002</v>
      </c>
      <c r="F528" t="s">
        <v>42</v>
      </c>
      <c r="G528">
        <v>-158.19499999999999</v>
      </c>
      <c r="H528">
        <v>5.98055</v>
      </c>
      <c r="I528">
        <v>362.25029999999998</v>
      </c>
      <c r="J528">
        <v>-343.74149999999997</v>
      </c>
      <c r="K528">
        <v>1.110322</v>
      </c>
      <c r="L528">
        <v>368.16919999999999</v>
      </c>
      <c r="M528">
        <v>0.99983809999999995</v>
      </c>
      <c r="N528">
        <v>0</v>
      </c>
      <c r="O528">
        <v>1.102914E-2</v>
      </c>
      <c r="P528">
        <v>0.99782850000000001</v>
      </c>
      <c r="Q528">
        <v>5.8337760000000002E-2</v>
      </c>
      <c r="R528">
        <v>3.0579080000000002E-2</v>
      </c>
      <c r="S528">
        <v>3.0048520000000001</v>
      </c>
      <c r="T528">
        <v>7.8799720000000004E-2</v>
      </c>
      <c r="U528">
        <v>-9.5733639999999995E-2</v>
      </c>
      <c r="V528">
        <v>-1.9586820000000001E-2</v>
      </c>
      <c r="W528">
        <v>7.2526439999999998E-2</v>
      </c>
      <c r="X528">
        <v>0.99717409999999995</v>
      </c>
      <c r="Y528">
        <v>4.2847740000000002E-2</v>
      </c>
      <c r="Z528">
        <v>8.5072860000000002E-4</v>
      </c>
      <c r="AA528">
        <v>0.99908129999999995</v>
      </c>
      <c r="AB528">
        <v>30</v>
      </c>
      <c r="AC528">
        <v>185.54650000000001</v>
      </c>
      <c r="AD528">
        <v>4.870228</v>
      </c>
      <c r="AE528">
        <v>-5.9188999999999998</v>
      </c>
      <c r="AF528">
        <v>7.9596867835796097</v>
      </c>
      <c r="AG528">
        <v>4.870228</v>
      </c>
      <c r="AH528">
        <v>185.34236189805901</v>
      </c>
      <c r="AI528">
        <v>88.496174781138805</v>
      </c>
      <c r="AJ528">
        <v>87.540894651811399</v>
      </c>
      <c r="AK528">
        <v>185.57711833201799</v>
      </c>
      <c r="AL528">
        <v>85.840889244088203</v>
      </c>
      <c r="AM528">
        <v>91.125277747671504</v>
      </c>
      <c r="AN528">
        <v>0.99999995686379695</v>
      </c>
    </row>
    <row r="529" spans="1:40" x14ac:dyDescent="0.25">
      <c r="A529" t="str">
        <f>"20190312160612504"</f>
        <v>20190312160612504</v>
      </c>
      <c r="B529" t="str">
        <f>"1552377972495392"</f>
        <v>1552377972495392</v>
      </c>
      <c r="C529" t="s">
        <v>40</v>
      </c>
      <c r="D529">
        <v>6.0710940000000004</v>
      </c>
      <c r="E529">
        <v>0.52300239999999998</v>
      </c>
      <c r="F529" t="s">
        <v>42</v>
      </c>
      <c r="G529">
        <v>-158.19499999999999</v>
      </c>
      <c r="H529">
        <v>6.1688349999999996</v>
      </c>
      <c r="I529">
        <v>362.34789999999998</v>
      </c>
      <c r="J529">
        <v>-343.5797</v>
      </c>
      <c r="K529">
        <v>1.110322</v>
      </c>
      <c r="L529">
        <v>368.17110000000002</v>
      </c>
      <c r="M529">
        <v>0.99983719999999998</v>
      </c>
      <c r="N529">
        <v>0</v>
      </c>
      <c r="O529">
        <v>1.1099009999999999E-2</v>
      </c>
      <c r="P529">
        <v>0.99784090000000003</v>
      </c>
      <c r="Q529">
        <v>5.8106560000000002E-2</v>
      </c>
      <c r="R529">
        <v>3.0616069999999999E-2</v>
      </c>
      <c r="S529">
        <v>3.0046689999999998</v>
      </c>
      <c r="T529">
        <v>8.1917050000000005E-2</v>
      </c>
      <c r="U529">
        <v>-9.42688E-2</v>
      </c>
      <c r="V529">
        <v>-1.9553859999999999E-2</v>
      </c>
      <c r="W529">
        <v>7.229389E-2</v>
      </c>
      <c r="X529">
        <v>0.99719170000000001</v>
      </c>
      <c r="Y529">
        <v>4.2431539999999997E-2</v>
      </c>
      <c r="Z529">
        <v>8.8066469999999999E-4</v>
      </c>
      <c r="AA529">
        <v>0.99909899999999996</v>
      </c>
      <c r="AB529">
        <v>30</v>
      </c>
      <c r="AC529">
        <v>185.38470000000001</v>
      </c>
      <c r="AD529">
        <v>5.0585129999999996</v>
      </c>
      <c r="AE529">
        <v>-5.8232000000000399</v>
      </c>
      <c r="AF529">
        <v>7.8747786833218898</v>
      </c>
      <c r="AG529">
        <v>5.0585129999999996</v>
      </c>
      <c r="AH529">
        <v>185.170906054304</v>
      </c>
      <c r="AI529">
        <v>88.436591104093196</v>
      </c>
      <c r="AJ529">
        <v>87.564844897828706</v>
      </c>
      <c r="AK529">
        <v>185.40729527732799</v>
      </c>
      <c r="AL529">
        <v>85.854248722696994</v>
      </c>
      <c r="AM529">
        <v>91.1233648340271</v>
      </c>
      <c r="AN529">
        <v>1.0000000232605599</v>
      </c>
    </row>
    <row r="530" spans="1:40" x14ac:dyDescent="0.25">
      <c r="A530" t="str">
        <f>"20190312160612516"</f>
        <v>20190312160612516</v>
      </c>
      <c r="B530" t="str">
        <f>"1552377972505151"</f>
        <v>1552377972505151</v>
      </c>
      <c r="C530" t="s">
        <v>40</v>
      </c>
      <c r="D530">
        <v>6.0708449999999896</v>
      </c>
      <c r="E530">
        <v>0.52292109999999903</v>
      </c>
      <c r="F530" t="s">
        <v>42</v>
      </c>
      <c r="G530">
        <v>-158.19499999999999</v>
      </c>
      <c r="H530">
        <v>6.1765460000000001</v>
      </c>
      <c r="I530">
        <v>362.41489999999999</v>
      </c>
      <c r="J530">
        <v>-343.41379999999998</v>
      </c>
      <c r="K530">
        <v>1.1103190000000001</v>
      </c>
      <c r="L530">
        <v>368.173</v>
      </c>
      <c r="M530">
        <v>0.99983639999999996</v>
      </c>
      <c r="N530">
        <v>0</v>
      </c>
      <c r="O530">
        <v>1.117078E-2</v>
      </c>
      <c r="P530">
        <v>0.99785199999999996</v>
      </c>
      <c r="Q530">
        <v>5.8022650000000002E-2</v>
      </c>
      <c r="R530">
        <v>3.0415609999999999E-2</v>
      </c>
      <c r="S530">
        <v>3.004578</v>
      </c>
      <c r="T530">
        <v>8.2111000000000003E-2</v>
      </c>
      <c r="U530">
        <v>-9.3292239999999999E-2</v>
      </c>
      <c r="V530">
        <v>-1.928152E-2</v>
      </c>
      <c r="W530">
        <v>7.220828E-2</v>
      </c>
      <c r="X530">
        <v>0.99720319999999996</v>
      </c>
      <c r="Y530">
        <v>4.2179769999999998E-2</v>
      </c>
      <c r="Z530">
        <v>8.8130229999999895E-4</v>
      </c>
      <c r="AA530">
        <v>0.99910960000000004</v>
      </c>
      <c r="AB530">
        <v>30</v>
      </c>
      <c r="AC530">
        <v>185.21879999999999</v>
      </c>
      <c r="AD530">
        <v>5.0662269999999996</v>
      </c>
      <c r="AE530">
        <v>-5.7581000000000104</v>
      </c>
      <c r="AF530">
        <v>7.8211426424176897</v>
      </c>
      <c r="AG530">
        <v>5.0662269999999996</v>
      </c>
      <c r="AH530">
        <v>185.00463102521101</v>
      </c>
      <c r="AI530">
        <v>88.4327849042444</v>
      </c>
      <c r="AJ530">
        <v>87.579240111826493</v>
      </c>
      <c r="AK530">
        <v>185.23917088192499</v>
      </c>
      <c r="AL530">
        <v>85.859166643137996</v>
      </c>
      <c r="AM530">
        <v>91.107710117250903</v>
      </c>
      <c r="AN530">
        <v>1.0000000174021499</v>
      </c>
    </row>
    <row r="531" spans="1:40" x14ac:dyDescent="0.25">
      <c r="A531" t="str">
        <f>"20190312160612535"</f>
        <v>20190312160612535</v>
      </c>
      <c r="B531" t="str">
        <f>"1552377972525647"</f>
        <v>1552377972525647</v>
      </c>
      <c r="C531" t="s">
        <v>40</v>
      </c>
      <c r="D531">
        <v>6.1362809999999897</v>
      </c>
      <c r="E531">
        <v>0.52281230000000001</v>
      </c>
      <c r="F531" t="s">
        <v>42</v>
      </c>
      <c r="G531">
        <v>-158.19499999999999</v>
      </c>
      <c r="H531">
        <v>6.2112239999999996</v>
      </c>
      <c r="I531">
        <v>362.41800000000001</v>
      </c>
      <c r="J531">
        <v>-343.17529999999999</v>
      </c>
      <c r="K531">
        <v>1.1103179999999999</v>
      </c>
      <c r="L531">
        <v>368.17579999999998</v>
      </c>
      <c r="M531">
        <v>0.99983549999999999</v>
      </c>
      <c r="N531">
        <v>0</v>
      </c>
      <c r="O531">
        <v>1.1273719999999999E-2</v>
      </c>
      <c r="P531">
        <v>0.99790069999999997</v>
      </c>
      <c r="Q531">
        <v>5.7620409999999997E-2</v>
      </c>
      <c r="R531">
        <v>2.956963E-2</v>
      </c>
      <c r="S531">
        <v>3.004486</v>
      </c>
      <c r="T531">
        <v>8.2744600000000001E-2</v>
      </c>
      <c r="U531">
        <v>-9.3353270000000002E-2</v>
      </c>
      <c r="V531">
        <v>-1.8331509999999999E-2</v>
      </c>
      <c r="W531">
        <v>7.1804499999999993E-2</v>
      </c>
      <c r="X531">
        <v>0.99725030000000003</v>
      </c>
      <c r="Y531">
        <v>4.2303460000000001E-2</v>
      </c>
      <c r="Z531">
        <v>8.9266360000000002E-4</v>
      </c>
      <c r="AA531">
        <v>0.9991044</v>
      </c>
      <c r="AB531">
        <v>30</v>
      </c>
      <c r="AC531">
        <v>184.9803</v>
      </c>
      <c r="AD531">
        <v>5.1009059999999904</v>
      </c>
      <c r="AE531">
        <v>-5.7577999999999703</v>
      </c>
      <c r="AF531">
        <v>7.8371070635305804</v>
      </c>
      <c r="AG531">
        <v>5.1009059999999904</v>
      </c>
      <c r="AH531">
        <v>184.76326516820399</v>
      </c>
      <c r="AI531">
        <v>88.420011669669904</v>
      </c>
      <c r="AJ531">
        <v>87.571139763194694</v>
      </c>
      <c r="AK531">
        <v>184.99973958025501</v>
      </c>
      <c r="AL531">
        <v>85.8823618598406</v>
      </c>
      <c r="AM531">
        <v>91.053095575165599</v>
      </c>
      <c r="AN531">
        <v>1.0000000456646001</v>
      </c>
    </row>
    <row r="532" spans="1:40" x14ac:dyDescent="0.25">
      <c r="A532" t="str">
        <f>"20190312160612566"</f>
        <v>20190312160612566</v>
      </c>
      <c r="B532" t="str">
        <f>"1552377972555903"</f>
        <v>1552377972555903</v>
      </c>
      <c r="C532" t="s">
        <v>40</v>
      </c>
      <c r="D532">
        <v>6.0180740000000004</v>
      </c>
      <c r="E532">
        <v>0.52264960000000005</v>
      </c>
      <c r="F532" t="s">
        <v>42</v>
      </c>
      <c r="G532">
        <v>-158.19499999999999</v>
      </c>
      <c r="H532">
        <v>6.164625</v>
      </c>
      <c r="I532">
        <v>362.32659999999998</v>
      </c>
      <c r="J532">
        <v>-342.75959999999998</v>
      </c>
      <c r="K532">
        <v>1.1103259999999999</v>
      </c>
      <c r="L532">
        <v>368.18060000000003</v>
      </c>
      <c r="M532">
        <v>0.99983339999999998</v>
      </c>
      <c r="N532">
        <v>0</v>
      </c>
      <c r="O532">
        <v>1.1453919999999999E-2</v>
      </c>
      <c r="P532">
        <v>0.99791680000000005</v>
      </c>
      <c r="Q532">
        <v>5.7838529999999999E-2</v>
      </c>
      <c r="R532">
        <v>2.8586279999999999E-2</v>
      </c>
      <c r="S532">
        <v>3.0043950000000001</v>
      </c>
      <c r="T532">
        <v>8.2091929999999994E-2</v>
      </c>
      <c r="U532">
        <v>-9.5001219999999997E-2</v>
      </c>
      <c r="V532">
        <v>-1.7168579999999999E-2</v>
      </c>
      <c r="W532">
        <v>7.2018990000000005E-2</v>
      </c>
      <c r="X532">
        <v>0.99725549999999996</v>
      </c>
      <c r="Y532">
        <v>4.3031920000000001E-2</v>
      </c>
      <c r="Z532">
        <v>9.0051490000000003E-4</v>
      </c>
      <c r="AA532">
        <v>0.99907330000000005</v>
      </c>
      <c r="AB532">
        <v>29</v>
      </c>
      <c r="AC532">
        <v>184.56460000000001</v>
      </c>
      <c r="AD532">
        <v>5.0542989999999897</v>
      </c>
      <c r="AE532">
        <v>-5.8540000000000401</v>
      </c>
      <c r="AF532">
        <v>7.9618527064273197</v>
      </c>
      <c r="AG532">
        <v>5.0542989999999897</v>
      </c>
      <c r="AH532">
        <v>184.347322390062</v>
      </c>
      <c r="AI532">
        <v>88.430961959618003</v>
      </c>
      <c r="AJ532">
        <v>87.526965802541099</v>
      </c>
      <c r="AK532">
        <v>184.588386171194</v>
      </c>
      <c r="AL532">
        <v>85.870040456484404</v>
      </c>
      <c r="AM532">
        <v>90.9862969000568</v>
      </c>
      <c r="AN532">
        <v>1.00000001367004</v>
      </c>
    </row>
    <row r="533" spans="1:40" x14ac:dyDescent="0.25">
      <c r="A533" t="str">
        <f>"20190312160612591"</f>
        <v>20190312160612591</v>
      </c>
      <c r="B533" t="str">
        <f>"1552377972585183"</f>
        <v>1552377972585183</v>
      </c>
      <c r="C533" t="s">
        <v>40</v>
      </c>
      <c r="D533">
        <v>6.0143079999999998</v>
      </c>
      <c r="E533">
        <v>0.52239279999999999</v>
      </c>
      <c r="F533" t="s">
        <v>42</v>
      </c>
      <c r="G533">
        <v>-158.19499999999999</v>
      </c>
      <c r="H533">
        <v>6.2717369999999999</v>
      </c>
      <c r="I533">
        <v>362.25979999999998</v>
      </c>
      <c r="J533">
        <v>-342.44369999999998</v>
      </c>
      <c r="K533">
        <v>1.11032999999999</v>
      </c>
      <c r="L533">
        <v>368.18439999999998</v>
      </c>
      <c r="M533">
        <v>0.9998319</v>
      </c>
      <c r="N533">
        <v>0</v>
      </c>
      <c r="O533">
        <v>1.159073E-2</v>
      </c>
      <c r="P533">
        <v>0.9978766</v>
      </c>
      <c r="Q533">
        <v>5.835009E-2</v>
      </c>
      <c r="R533">
        <v>2.8944299999999999E-2</v>
      </c>
      <c r="S533">
        <v>3.004181</v>
      </c>
      <c r="T533">
        <v>8.40143E-2</v>
      </c>
      <c r="U533">
        <v>-9.6374509999999997E-2</v>
      </c>
      <c r="V533">
        <v>-1.7390490000000002E-2</v>
      </c>
      <c r="W533">
        <v>7.2524560000000002E-2</v>
      </c>
      <c r="X533">
        <v>0.99721499999999996</v>
      </c>
      <c r="Y533">
        <v>4.3625860000000002E-2</v>
      </c>
      <c r="Z533">
        <v>9.3377969999999995E-4</v>
      </c>
      <c r="AA533">
        <v>0.99904749999999998</v>
      </c>
      <c r="AB533">
        <v>29</v>
      </c>
      <c r="AC533">
        <v>184.24870000000001</v>
      </c>
      <c r="AD533">
        <v>5.1614069999999996</v>
      </c>
      <c r="AE533">
        <v>-5.9245999999999901</v>
      </c>
      <c r="AF533">
        <v>8.0536808712816494</v>
      </c>
      <c r="AG533">
        <v>5.1614069999999996</v>
      </c>
      <c r="AH533">
        <v>184.02338140455001</v>
      </c>
      <c r="AI533">
        <v>88.3949498848541</v>
      </c>
      <c r="AJ533">
        <v>87.494081164784603</v>
      </c>
      <c r="AK533">
        <v>184.27182856139601</v>
      </c>
      <c r="AL533">
        <v>85.840997418396597</v>
      </c>
      <c r="AM533">
        <v>90.9990831368236</v>
      </c>
      <c r="AN533">
        <v>0.99999999858531596</v>
      </c>
    </row>
    <row r="534" spans="1:40" x14ac:dyDescent="0.25">
      <c r="A534" t="str">
        <f>"20190312160612603"</f>
        <v>20190312160612603</v>
      </c>
      <c r="B534" t="str">
        <f>"1552377972595919"</f>
        <v>1552377972595919</v>
      </c>
      <c r="C534" t="s">
        <v>40</v>
      </c>
      <c r="D534">
        <v>5.966494</v>
      </c>
      <c r="E534">
        <v>0.52230259999999995</v>
      </c>
      <c r="F534" t="s">
        <v>42</v>
      </c>
      <c r="G534">
        <v>-158.19499999999999</v>
      </c>
      <c r="H534">
        <v>6.4914519999999998</v>
      </c>
      <c r="I534">
        <v>362.44920000000002</v>
      </c>
      <c r="J534">
        <v>-342.27249999999998</v>
      </c>
      <c r="K534">
        <v>1.110331</v>
      </c>
      <c r="L534">
        <v>368.18639999999999</v>
      </c>
      <c r="M534">
        <v>0.99983109999999997</v>
      </c>
      <c r="N534">
        <v>0</v>
      </c>
      <c r="O534">
        <v>1.166468E-2</v>
      </c>
      <c r="P534">
        <v>0.99787599999999999</v>
      </c>
      <c r="Q534">
        <v>5.8275300000000002E-2</v>
      </c>
      <c r="R534">
        <v>2.9117649999999998E-2</v>
      </c>
      <c r="S534">
        <v>3.0039370000000001</v>
      </c>
      <c r="T534">
        <v>8.7733630000000007E-2</v>
      </c>
      <c r="U534">
        <v>-9.3505859999999996E-2</v>
      </c>
      <c r="V534">
        <v>-1.7489970000000001E-2</v>
      </c>
      <c r="W534">
        <v>7.2443690000000005E-2</v>
      </c>
      <c r="X534">
        <v>0.99721910000000002</v>
      </c>
      <c r="Y534">
        <v>4.2747609999999998E-2</v>
      </c>
      <c r="Z534">
        <v>9.645341E-4</v>
      </c>
      <c r="AA534">
        <v>0.99908540000000001</v>
      </c>
      <c r="AB534">
        <v>29</v>
      </c>
      <c r="AC534">
        <v>184.07749999999999</v>
      </c>
      <c r="AD534">
        <v>5.3811210000000003</v>
      </c>
      <c r="AE534">
        <v>-5.7371999999999703</v>
      </c>
      <c r="AF534">
        <v>7.8775060184566197</v>
      </c>
      <c r="AG534">
        <v>5.3811210000000003</v>
      </c>
      <c r="AH534">
        <v>183.841093125507</v>
      </c>
      <c r="AI534">
        <v>88.324938696812694</v>
      </c>
      <c r="AJ534">
        <v>87.546403217953497</v>
      </c>
      <c r="AK534">
        <v>184.088454515401</v>
      </c>
      <c r="AL534">
        <v>85.845642989207207</v>
      </c>
      <c r="AM534">
        <v>91.004792961199698</v>
      </c>
      <c r="AN534">
        <v>0.999999960338112</v>
      </c>
    </row>
    <row r="535" spans="1:40" x14ac:dyDescent="0.25">
      <c r="A535" t="str">
        <f>"20190312160612625"</f>
        <v>20190312160612625</v>
      </c>
      <c r="B535" t="str">
        <f>"1552377972615439"</f>
        <v>1552377972615439</v>
      </c>
      <c r="C535" t="s">
        <v>40</v>
      </c>
      <c r="D535">
        <v>5.9756090000000004</v>
      </c>
      <c r="E535">
        <v>0.52191529999999997</v>
      </c>
      <c r="F535" t="s">
        <v>42</v>
      </c>
      <c r="G535">
        <v>-158.19499999999999</v>
      </c>
      <c r="H535">
        <v>6.4989480000000004</v>
      </c>
      <c r="I535">
        <v>362.5351</v>
      </c>
      <c r="J535">
        <v>-341.99720000000002</v>
      </c>
      <c r="K535">
        <v>1.1103289999999999</v>
      </c>
      <c r="L535">
        <v>368.18979999999999</v>
      </c>
      <c r="M535">
        <v>0.99983010000000005</v>
      </c>
      <c r="N535">
        <v>0</v>
      </c>
      <c r="O535">
        <v>1.178359E-2</v>
      </c>
      <c r="P535">
        <v>0.99787179999999998</v>
      </c>
      <c r="Q535">
        <v>5.8164250000000001E-2</v>
      </c>
      <c r="R535">
        <v>2.9480679999999999E-2</v>
      </c>
      <c r="S535">
        <v>3.0039669999999998</v>
      </c>
      <c r="T535">
        <v>8.7938429999999998E-2</v>
      </c>
      <c r="U535">
        <v>-9.2224120000000007E-2</v>
      </c>
      <c r="V535">
        <v>-1.7734070000000001E-2</v>
      </c>
      <c r="W535">
        <v>7.2314820000000002E-2</v>
      </c>
      <c r="X535">
        <v>0.99722420000000001</v>
      </c>
      <c r="Y535">
        <v>4.2440209999999999E-2</v>
      </c>
      <c r="Z535">
        <v>9.6576330000000001E-4</v>
      </c>
      <c r="AA535">
        <v>0.9990985</v>
      </c>
      <c r="AB535">
        <v>29</v>
      </c>
      <c r="AC535">
        <v>183.8022</v>
      </c>
      <c r="AD535">
        <v>5.3886190000000003</v>
      </c>
      <c r="AE535">
        <v>-5.6546999999999903</v>
      </c>
      <c r="AF535">
        <v>7.81366508634735</v>
      </c>
      <c r="AG535">
        <v>5.3886190000000003</v>
      </c>
      <c r="AH535">
        <v>183.565169034924</v>
      </c>
      <c r="AI535">
        <v>88.320065819560696</v>
      </c>
      <c r="AJ535">
        <v>87.562609828035505</v>
      </c>
      <c r="AK535">
        <v>183.810396494945</v>
      </c>
      <c r="AL535">
        <v>85.853046352152603</v>
      </c>
      <c r="AM535">
        <v>91.018808280222103</v>
      </c>
      <c r="AN535">
        <v>1.00000001774801</v>
      </c>
    </row>
    <row r="536" spans="1:40" x14ac:dyDescent="0.25">
      <c r="A536" t="str">
        <f>"20190312160612645"</f>
        <v>20190312160612645</v>
      </c>
      <c r="B536" t="str">
        <f>"1552377972635935"</f>
        <v>1552377972635935</v>
      </c>
      <c r="C536" t="s">
        <v>40</v>
      </c>
      <c r="D536">
        <v>6.0989110000000002</v>
      </c>
      <c r="E536">
        <v>0.49793159999999997</v>
      </c>
      <c r="F536" t="s">
        <v>42</v>
      </c>
      <c r="G536">
        <v>-158.19499999999999</v>
      </c>
      <c r="H536">
        <v>6.4510379999999996</v>
      </c>
      <c r="I536">
        <v>362.81020000000001</v>
      </c>
      <c r="J536">
        <v>-341.71800000000002</v>
      </c>
      <c r="K536">
        <v>1.1103229999999999</v>
      </c>
      <c r="L536">
        <v>368.19330000000002</v>
      </c>
      <c r="M536">
        <v>0.99982910000000003</v>
      </c>
      <c r="N536">
        <v>0</v>
      </c>
      <c r="O536">
        <v>1.1904339999999999E-2</v>
      </c>
      <c r="P536">
        <v>0.99787870000000001</v>
      </c>
      <c r="Q536">
        <v>5.7724919999999999E-2</v>
      </c>
      <c r="R536">
        <v>3.0102400000000001E-2</v>
      </c>
      <c r="S536">
        <v>3.0039060000000002</v>
      </c>
      <c r="T536">
        <v>8.7285399999999999E-2</v>
      </c>
      <c r="U536">
        <v>-8.7921139999999995E-2</v>
      </c>
      <c r="V536">
        <v>-1.8235410000000001E-2</v>
      </c>
      <c r="W536">
        <v>7.1842539999999996E-2</v>
      </c>
      <c r="X536">
        <v>0.99724930000000001</v>
      </c>
      <c r="Y536">
        <v>4.11324E-2</v>
      </c>
      <c r="Z536">
        <v>9.4314889999999997E-4</v>
      </c>
      <c r="AA536">
        <v>0.99915330000000002</v>
      </c>
      <c r="AB536">
        <v>29</v>
      </c>
      <c r="AC536">
        <v>183.523</v>
      </c>
      <c r="AD536">
        <v>5.3407149999999897</v>
      </c>
      <c r="AE536">
        <v>-5.3831000000000104</v>
      </c>
      <c r="AF536">
        <v>7.5612593243964303</v>
      </c>
      <c r="AG536">
        <v>5.3407149999999897</v>
      </c>
      <c r="AH536">
        <v>183.29081401237701</v>
      </c>
      <c r="AI536">
        <v>88.332409334046602</v>
      </c>
      <c r="AJ536">
        <v>87.637728082301095</v>
      </c>
      <c r="AK536">
        <v>183.52443537742201</v>
      </c>
      <c r="AL536">
        <v>85.880176593656202</v>
      </c>
      <c r="AM536">
        <v>91.047577174312195</v>
      </c>
      <c r="AN536">
        <v>1.000000023541</v>
      </c>
    </row>
    <row r="537" spans="1:40" x14ac:dyDescent="0.25">
      <c r="A537" t="str">
        <f>"20190312160612656"</f>
        <v>20190312160612656</v>
      </c>
      <c r="B537" t="str">
        <f>"1552377972645695"</f>
        <v>1552377972645695</v>
      </c>
      <c r="C537" t="s">
        <v>40</v>
      </c>
      <c r="D537">
        <v>6.1367079999999996</v>
      </c>
      <c r="E537">
        <v>0.49793159999999997</v>
      </c>
      <c r="F537" t="s">
        <v>42</v>
      </c>
      <c r="G537">
        <v>-158.19499999999999</v>
      </c>
      <c r="H537">
        <v>3.4746090000000001</v>
      </c>
      <c r="I537">
        <v>374.57600000000002</v>
      </c>
      <c r="J537">
        <v>-341.58179999999999</v>
      </c>
      <c r="K537">
        <v>1.11032</v>
      </c>
      <c r="L537">
        <v>368.19490000000002</v>
      </c>
      <c r="M537">
        <v>0.99982850000000001</v>
      </c>
      <c r="N537">
        <v>0</v>
      </c>
      <c r="O537">
        <v>1.196331E-2</v>
      </c>
      <c r="P537">
        <v>0.99787650000000006</v>
      </c>
      <c r="Q537">
        <v>5.7638839999999997E-2</v>
      </c>
      <c r="R537">
        <v>3.0339809999999998E-2</v>
      </c>
      <c r="S537">
        <v>3.0009769999999998</v>
      </c>
      <c r="T537">
        <v>3.8662309999999998E-2</v>
      </c>
      <c r="U537">
        <v>0.10437009999999999</v>
      </c>
      <c r="V537">
        <v>-1.8413869999999999E-2</v>
      </c>
      <c r="W537">
        <v>7.173744E-2</v>
      </c>
      <c r="X537">
        <v>0.99725350000000001</v>
      </c>
      <c r="Y537">
        <v>-2.2797049999999999E-2</v>
      </c>
      <c r="Z537" s="1">
        <v>7.2783439999999998E-6</v>
      </c>
      <c r="AA537">
        <v>0.99974010000000002</v>
      </c>
      <c r="AB537">
        <v>29</v>
      </c>
      <c r="AC537">
        <v>183.38679999999999</v>
      </c>
      <c r="AD537">
        <v>2.3642889999999901</v>
      </c>
      <c r="AE537">
        <v>6.3810999999999396</v>
      </c>
      <c r="AF537">
        <v>-4.1858159649599296</v>
      </c>
      <c r="AG537">
        <v>2.3642889999999901</v>
      </c>
      <c r="AH537">
        <v>183.419570533089</v>
      </c>
      <c r="AI537">
        <v>89.261687157854098</v>
      </c>
      <c r="AJ537">
        <v>91.307319424528202</v>
      </c>
      <c r="AK537">
        <v>183.48255985872601</v>
      </c>
      <c r="AL537">
        <v>85.886213601454699</v>
      </c>
      <c r="AM537">
        <v>91.057822467699495</v>
      </c>
      <c r="AN537">
        <v>0.999999937084188</v>
      </c>
    </row>
    <row r="538" spans="1:40" x14ac:dyDescent="0.25">
      <c r="A538" t="str">
        <f>"20190312160612667"</f>
        <v>20190312160612667</v>
      </c>
      <c r="B538" t="str">
        <f>"1552377972655455"</f>
        <v>1552377972655455</v>
      </c>
      <c r="C538" t="s">
        <v>40</v>
      </c>
      <c r="D538">
        <v>6.0439059999999998</v>
      </c>
      <c r="E538">
        <v>0.49818129999999999</v>
      </c>
      <c r="F538" t="s">
        <v>42</v>
      </c>
      <c r="G538">
        <v>-158.19499999999999</v>
      </c>
      <c r="H538">
        <v>3.4571130000000001</v>
      </c>
      <c r="I538">
        <v>374.62700000000001</v>
      </c>
      <c r="J538">
        <v>-341.43200000000002</v>
      </c>
      <c r="K538">
        <v>1.1103160000000001</v>
      </c>
      <c r="L538">
        <v>368.1968</v>
      </c>
      <c r="M538">
        <v>0.99982819999999994</v>
      </c>
      <c r="N538">
        <v>0</v>
      </c>
      <c r="O538">
        <v>1.2027599999999999E-2</v>
      </c>
      <c r="P538">
        <v>0.99786490000000005</v>
      </c>
      <c r="Q538">
        <v>5.7641669999999999E-2</v>
      </c>
      <c r="R538">
        <v>3.0713730000000002E-2</v>
      </c>
      <c r="S538">
        <v>3.001007</v>
      </c>
      <c r="T538">
        <v>3.8405179999999997E-2</v>
      </c>
      <c r="U538">
        <v>0.1052551</v>
      </c>
      <c r="V538">
        <v>-1.8723940000000001E-2</v>
      </c>
      <c r="W538">
        <v>7.1716509999999997E-2</v>
      </c>
      <c r="X538">
        <v>0.99724930000000001</v>
      </c>
      <c r="Y538">
        <v>-2.302688E-2</v>
      </c>
      <c r="Z538" s="1">
        <v>6.5820790000000001E-6</v>
      </c>
      <c r="AA538">
        <v>0.99973480000000003</v>
      </c>
      <c r="AB538">
        <v>29</v>
      </c>
      <c r="AC538">
        <v>183.23699999999999</v>
      </c>
      <c r="AD538">
        <v>2.346797</v>
      </c>
      <c r="AE538">
        <v>6.4301999999999504</v>
      </c>
      <c r="AF538">
        <v>-4.2249220602944604</v>
      </c>
      <c r="AG538">
        <v>2.346797</v>
      </c>
      <c r="AH538">
        <v>183.271065551969</v>
      </c>
      <c r="AI538">
        <v>89.266559039561102</v>
      </c>
      <c r="AJ538">
        <v>91.320597631136593</v>
      </c>
      <c r="AK538">
        <v>183.334778182234</v>
      </c>
      <c r="AL538">
        <v>85.887416178916993</v>
      </c>
      <c r="AM538">
        <v>91.075635452538506</v>
      </c>
      <c r="AN538">
        <v>1.0000000050430899</v>
      </c>
    </row>
    <row r="539" spans="1:40" x14ac:dyDescent="0.25">
      <c r="A539" t="str">
        <f>"20190312160612678"</f>
        <v>20190312160612678</v>
      </c>
      <c r="B539" t="str">
        <f>"1552377972666191"</f>
        <v>1552377972666191</v>
      </c>
      <c r="C539" t="s">
        <v>40</v>
      </c>
      <c r="D539">
        <v>5.9647449999999997</v>
      </c>
      <c r="E539">
        <v>0.49805880000000002</v>
      </c>
      <c r="F539" t="s">
        <v>42</v>
      </c>
      <c r="G539">
        <v>-158.19499999999999</v>
      </c>
      <c r="H539">
        <v>3.21489</v>
      </c>
      <c r="I539">
        <v>374.54660000000001</v>
      </c>
      <c r="J539">
        <v>-341.29239999999999</v>
      </c>
      <c r="K539">
        <v>1.1103099999999999</v>
      </c>
      <c r="L539">
        <v>368.19850000000002</v>
      </c>
      <c r="M539">
        <v>0.99982769999999999</v>
      </c>
      <c r="N539">
        <v>0</v>
      </c>
      <c r="O539">
        <v>1.2087779999999999E-2</v>
      </c>
      <c r="P539">
        <v>0.99782110000000002</v>
      </c>
      <c r="Q539">
        <v>5.8118280000000001E-2</v>
      </c>
      <c r="R539">
        <v>3.123776E-2</v>
      </c>
      <c r="S539">
        <v>3.0012509999999999</v>
      </c>
      <c r="T539">
        <v>3.4472349999999999E-2</v>
      </c>
      <c r="U539">
        <v>0.1040039</v>
      </c>
      <c r="V539">
        <v>-1.918837E-2</v>
      </c>
      <c r="W539">
        <v>7.2170239999999997E-2</v>
      </c>
      <c r="X539">
        <v>0.99720779999999998</v>
      </c>
      <c r="Y539">
        <v>-2.254778E-2</v>
      </c>
      <c r="Z539" s="1">
        <v>9.3491839999999998E-6</v>
      </c>
      <c r="AA539">
        <v>0.99974580000000002</v>
      </c>
      <c r="AB539">
        <v>29</v>
      </c>
      <c r="AC539">
        <v>183.09739999999999</v>
      </c>
      <c r="AD539">
        <v>2.1045799999999999</v>
      </c>
      <c r="AE539">
        <v>6.3480999999999801</v>
      </c>
      <c r="AF539">
        <v>-4.1336299017510596</v>
      </c>
      <c r="AG539">
        <v>2.1045799999999999</v>
      </c>
      <c r="AH539">
        <v>183.13659547837</v>
      </c>
      <c r="AI539">
        <v>89.341761580259998</v>
      </c>
      <c r="AJ539">
        <v>91.293020320477794</v>
      </c>
      <c r="AK539">
        <v>183.19532951619999</v>
      </c>
      <c r="AL539">
        <v>85.861352080448597</v>
      </c>
      <c r="AM539">
        <v>91.1023549534804</v>
      </c>
      <c r="AN539">
        <v>1.0000000667328699</v>
      </c>
    </row>
    <row r="540" spans="1:40" x14ac:dyDescent="0.25">
      <c r="A540" t="str">
        <f>"20190312160612689"</f>
        <v>20190312160612689</v>
      </c>
      <c r="B540" t="str">
        <f>"1552377972685712"</f>
        <v>1552377972685712</v>
      </c>
      <c r="C540" t="s">
        <v>40</v>
      </c>
      <c r="D540">
        <v>6.041976</v>
      </c>
      <c r="E540">
        <v>0.49881379999999997</v>
      </c>
      <c r="F540" t="s">
        <v>42</v>
      </c>
      <c r="G540">
        <v>-158.19499999999999</v>
      </c>
      <c r="H540">
        <v>3.241247</v>
      </c>
      <c r="I540">
        <v>374.70749999999998</v>
      </c>
      <c r="J540">
        <v>-341.14350000000002</v>
      </c>
      <c r="K540">
        <v>1.1103069999999999</v>
      </c>
      <c r="L540">
        <v>368.2004</v>
      </c>
      <c r="M540">
        <v>0.99982729999999997</v>
      </c>
      <c r="N540">
        <v>0</v>
      </c>
      <c r="O540">
        <v>1.2152140000000001E-2</v>
      </c>
      <c r="P540">
        <v>0.99778440000000002</v>
      </c>
      <c r="Q540">
        <v>5.8445610000000002E-2</v>
      </c>
      <c r="R540">
        <v>3.178719E-2</v>
      </c>
      <c r="S540">
        <v>3.0011899999999998</v>
      </c>
      <c r="T540">
        <v>3.493011E-2</v>
      </c>
      <c r="U540">
        <v>0.10668950000000001</v>
      </c>
      <c r="V540">
        <v>-1.9673900000000001E-2</v>
      </c>
      <c r="W540">
        <v>7.2472229999999999E-2</v>
      </c>
      <c r="X540">
        <v>0.99717630000000002</v>
      </c>
      <c r="Y540">
        <v>-2.337755E-2</v>
      </c>
      <c r="Z540" s="1">
        <v>5.3948319999999996E-6</v>
      </c>
      <c r="AA540">
        <v>0.99972669999999997</v>
      </c>
      <c r="AB540">
        <v>29</v>
      </c>
      <c r="AC540">
        <v>182.9485</v>
      </c>
      <c r="AD540">
        <v>2.1309399999999998</v>
      </c>
      <c r="AE540">
        <v>6.5070999999999799</v>
      </c>
      <c r="AF540">
        <v>-4.2826035554778201</v>
      </c>
      <c r="AG540">
        <v>2.1309399999999998</v>
      </c>
      <c r="AH540">
        <v>182.989276583106</v>
      </c>
      <c r="AI540">
        <v>89.332994078873497</v>
      </c>
      <c r="AJ540">
        <v>91.340681425697994</v>
      </c>
      <c r="AK540">
        <v>183.051787598224</v>
      </c>
      <c r="AL540">
        <v>85.844003331194102</v>
      </c>
      <c r="AM540">
        <v>91.130276772125896</v>
      </c>
      <c r="AN540">
        <v>0.99999992987203301</v>
      </c>
    </row>
    <row r="541" spans="1:40" x14ac:dyDescent="0.25">
      <c r="A541" t="str">
        <f>"20190312160612701"</f>
        <v>20190312160612701</v>
      </c>
      <c r="B541" t="str">
        <f>"1552377972695471"</f>
        <v>1552377972695471</v>
      </c>
      <c r="C541" t="s">
        <v>40</v>
      </c>
      <c r="D541">
        <v>5.9706809999999999</v>
      </c>
      <c r="E541">
        <v>0.498859</v>
      </c>
      <c r="F541" t="s">
        <v>42</v>
      </c>
      <c r="G541">
        <v>-158.19499999999999</v>
      </c>
      <c r="H541">
        <v>3.0050089999999998</v>
      </c>
      <c r="I541">
        <v>374.42039999999997</v>
      </c>
      <c r="J541">
        <v>-340.9898</v>
      </c>
      <c r="K541">
        <v>1.110301</v>
      </c>
      <c r="L541">
        <v>368.20240000000001</v>
      </c>
      <c r="M541">
        <v>0.99982700000000002</v>
      </c>
      <c r="N541">
        <v>0</v>
      </c>
      <c r="O541">
        <v>1.221849E-2</v>
      </c>
      <c r="P541">
        <v>0.99773820000000002</v>
      </c>
      <c r="Q541">
        <v>5.8802559999999997E-2</v>
      </c>
      <c r="R541">
        <v>3.2574520000000003E-2</v>
      </c>
      <c r="S541">
        <v>3.001617</v>
      </c>
      <c r="T541">
        <v>3.108764E-2</v>
      </c>
      <c r="U541">
        <v>0.1020508</v>
      </c>
      <c r="V541">
        <v>-2.039521E-2</v>
      </c>
      <c r="W541">
        <v>7.280085E-2</v>
      </c>
      <c r="X541">
        <v>0.99713799999999997</v>
      </c>
      <c r="Y541">
        <v>-2.1763279999999999E-2</v>
      </c>
      <c r="Z541" s="1">
        <v>1.38449E-5</v>
      </c>
      <c r="AA541">
        <v>0.99976310000000002</v>
      </c>
      <c r="AB541">
        <v>29</v>
      </c>
      <c r="AC541">
        <v>182.79480000000001</v>
      </c>
      <c r="AD541">
        <v>1.8947080000000001</v>
      </c>
      <c r="AE541">
        <v>6.21799999999996</v>
      </c>
      <c r="AF541">
        <v>-3.9834121631553199</v>
      </c>
      <c r="AG541">
        <v>1.8947080000000001</v>
      </c>
      <c r="AH541">
        <v>182.83751304735901</v>
      </c>
      <c r="AI541">
        <v>89.406417577331197</v>
      </c>
      <c r="AJ541">
        <v>91.248084163570596</v>
      </c>
      <c r="AK541">
        <v>182.89071509568299</v>
      </c>
      <c r="AL541">
        <v>85.825125465948204</v>
      </c>
      <c r="AM541">
        <v>91.171750087036401</v>
      </c>
      <c r="AN541">
        <v>1.00000005969783</v>
      </c>
    </row>
    <row r="542" spans="1:40" x14ac:dyDescent="0.25">
      <c r="A542" t="str">
        <f>"20190312160612713"</f>
        <v>20190312160612713</v>
      </c>
      <c r="B542" t="str">
        <f>"1552377972705232"</f>
        <v>1552377972705232</v>
      </c>
      <c r="C542" t="s">
        <v>40</v>
      </c>
      <c r="D542">
        <v>6.1287909999999997</v>
      </c>
      <c r="E542">
        <v>0.49872840000000002</v>
      </c>
      <c r="F542" t="s">
        <v>42</v>
      </c>
      <c r="G542">
        <v>-158.19499999999999</v>
      </c>
      <c r="H542">
        <v>3.0898850000000002</v>
      </c>
      <c r="I542">
        <v>374.5308</v>
      </c>
      <c r="J542">
        <v>-340.83429999999998</v>
      </c>
      <c r="K542">
        <v>1.110293</v>
      </c>
      <c r="L542">
        <v>368.20429999999999</v>
      </c>
      <c r="M542">
        <v>0.9998264</v>
      </c>
      <c r="N542">
        <v>0</v>
      </c>
      <c r="O542">
        <v>1.2285870000000001E-2</v>
      </c>
      <c r="P542">
        <v>0.99772629999999995</v>
      </c>
      <c r="Q542">
        <v>5.8696539999999998E-2</v>
      </c>
      <c r="R542">
        <v>3.3125540000000002E-2</v>
      </c>
      <c r="S542">
        <v>3.0014949999999998</v>
      </c>
      <c r="T542">
        <v>3.2506229999999997E-2</v>
      </c>
      <c r="U542">
        <v>0.1039124</v>
      </c>
      <c r="V542">
        <v>-2.0879439999999999E-2</v>
      </c>
      <c r="W542">
        <v>7.2664839999999994E-2</v>
      </c>
      <c r="X542">
        <v>0.99713779999999996</v>
      </c>
      <c r="Y542">
        <v>-2.2316539999999999E-2</v>
      </c>
      <c r="Z542" s="1">
        <v>1.2211390000000001E-5</v>
      </c>
      <c r="AA542">
        <v>0.99975099999999995</v>
      </c>
      <c r="AB542">
        <v>29</v>
      </c>
      <c r="AC542">
        <v>182.63929999999999</v>
      </c>
      <c r="AD542">
        <v>1.979592</v>
      </c>
      <c r="AE542">
        <v>6.3265000000000002</v>
      </c>
      <c r="AF542">
        <v>-4.0814406226293398</v>
      </c>
      <c r="AG542">
        <v>1.979592</v>
      </c>
      <c r="AH542">
        <v>182.681811244231</v>
      </c>
      <c r="AI542">
        <v>89.379305838011007</v>
      </c>
      <c r="AJ542">
        <v>91.279877963571096</v>
      </c>
      <c r="AK542">
        <v>182.73812164273599</v>
      </c>
      <c r="AL542">
        <v>85.832938547172802</v>
      </c>
      <c r="AM542">
        <v>91.199562381305498</v>
      </c>
      <c r="AN542">
        <v>0.99999996108788802</v>
      </c>
    </row>
    <row r="543" spans="1:40" x14ac:dyDescent="0.25">
      <c r="A543" t="str">
        <f>"20190312160612723"</f>
        <v>20190312160612723</v>
      </c>
      <c r="B543" t="str">
        <f>"1552377972715967"</f>
        <v>1552377972715967</v>
      </c>
      <c r="C543" t="s">
        <v>40</v>
      </c>
      <c r="D543">
        <v>6.0136190000000003</v>
      </c>
      <c r="E543">
        <v>0.4991679</v>
      </c>
      <c r="F543" t="s">
        <v>42</v>
      </c>
      <c r="G543">
        <v>-158.19499999999999</v>
      </c>
      <c r="H543">
        <v>3.046605</v>
      </c>
      <c r="I543">
        <v>374.70780000000002</v>
      </c>
      <c r="J543">
        <v>-340.69529999999997</v>
      </c>
      <c r="K543">
        <v>1.1102890000000001</v>
      </c>
      <c r="L543">
        <v>368.20609999999999</v>
      </c>
      <c r="M543">
        <v>0.99982629999999995</v>
      </c>
      <c r="N543">
        <v>0</v>
      </c>
      <c r="O543">
        <v>1.2345750000000001E-2</v>
      </c>
      <c r="P543">
        <v>0.9977279</v>
      </c>
      <c r="Q543">
        <v>5.8458000000000003E-2</v>
      </c>
      <c r="R543">
        <v>3.3492699999999903E-2</v>
      </c>
      <c r="S543">
        <v>3.0013730000000001</v>
      </c>
      <c r="T543">
        <v>3.1821490000000001E-2</v>
      </c>
      <c r="U543">
        <v>0.1068726</v>
      </c>
      <c r="V543">
        <v>-2.118654E-2</v>
      </c>
      <c r="W543">
        <v>7.2396139999999998E-2</v>
      </c>
      <c r="X543">
        <v>0.99715089999999995</v>
      </c>
      <c r="Y543">
        <v>-2.324288E-2</v>
      </c>
      <c r="Z543" s="1">
        <v>7.6797300000000008E-6</v>
      </c>
      <c r="AA543">
        <v>0.99972989999999995</v>
      </c>
      <c r="AB543">
        <v>29</v>
      </c>
      <c r="AC543">
        <v>182.50030000000001</v>
      </c>
      <c r="AD543">
        <v>1.9363159999999999</v>
      </c>
      <c r="AE543">
        <v>6.50170000000002</v>
      </c>
      <c r="AF543">
        <v>-4.2474041361729196</v>
      </c>
      <c r="AG543">
        <v>1.9363159999999999</v>
      </c>
      <c r="AH543">
        <v>182.546141526399</v>
      </c>
      <c r="AI543">
        <v>89.392435481894395</v>
      </c>
      <c r="AJ543">
        <v>91.332892750871295</v>
      </c>
      <c r="AK543">
        <v>182.60581466022401</v>
      </c>
      <c r="AL543">
        <v>85.848374716010596</v>
      </c>
      <c r="AM543">
        <v>91.217184587714499</v>
      </c>
      <c r="AN543">
        <v>0.99999999396743999</v>
      </c>
    </row>
    <row r="544" spans="1:40" x14ac:dyDescent="0.25">
      <c r="A544" t="str">
        <f>"20190312160612735"</f>
        <v>20190312160612735</v>
      </c>
      <c r="B544" t="str">
        <f>"1552377972725726"</f>
        <v>1552377972725726</v>
      </c>
      <c r="C544" t="s">
        <v>40</v>
      </c>
      <c r="D544">
        <v>6.0315269999999996</v>
      </c>
      <c r="E544">
        <v>0.49956230000000001</v>
      </c>
      <c r="F544" t="s">
        <v>42</v>
      </c>
      <c r="G544">
        <v>-158.19499999999999</v>
      </c>
      <c r="H544">
        <v>2.969519</v>
      </c>
      <c r="I544">
        <v>374.5428</v>
      </c>
      <c r="J544">
        <v>-340.54419999999999</v>
      </c>
      <c r="K544">
        <v>1.110282</v>
      </c>
      <c r="L544">
        <v>368.20800000000003</v>
      </c>
      <c r="M544">
        <v>0.99982579999999999</v>
      </c>
      <c r="N544">
        <v>0</v>
      </c>
      <c r="O544">
        <v>1.2411129999999999E-2</v>
      </c>
      <c r="P544">
        <v>0.99774149999999995</v>
      </c>
      <c r="Q544">
        <v>5.808406E-2</v>
      </c>
      <c r="R544">
        <v>3.373425E-2</v>
      </c>
      <c r="S544">
        <v>3.0015559999999999</v>
      </c>
      <c r="T544">
        <v>3.057992E-2</v>
      </c>
      <c r="U544">
        <v>0.1042175</v>
      </c>
      <c r="V544">
        <v>-2.1362619999999999E-2</v>
      </c>
      <c r="W544">
        <v>7.1988559999999993E-2</v>
      </c>
      <c r="X544">
        <v>0.99717659999999997</v>
      </c>
      <c r="Y544">
        <v>-2.2292220000000001E-2</v>
      </c>
      <c r="Z544" s="1">
        <v>1.288685E-5</v>
      </c>
      <c r="AA544">
        <v>0.99975150000000002</v>
      </c>
      <c r="AB544">
        <v>29</v>
      </c>
      <c r="AC544">
        <v>182.3492</v>
      </c>
      <c r="AD544">
        <v>1.85923699999999</v>
      </c>
      <c r="AE544">
        <v>6.3347999999999702</v>
      </c>
      <c r="AF544">
        <v>-4.0705097740153198</v>
      </c>
      <c r="AG544">
        <v>1.85923699999999</v>
      </c>
      <c r="AH544">
        <v>182.394843496329</v>
      </c>
      <c r="AI544">
        <v>89.416122590229904</v>
      </c>
      <c r="AJ544">
        <v>91.278458967065106</v>
      </c>
      <c r="AK544">
        <v>182.449732107485</v>
      </c>
      <c r="AL544">
        <v>85.8717882118641</v>
      </c>
      <c r="AM544">
        <v>91.227265829688307</v>
      </c>
      <c r="AN544">
        <v>0.99999994294584704</v>
      </c>
    </row>
    <row r="545" spans="1:40" x14ac:dyDescent="0.25">
      <c r="A545" t="str">
        <f>"20190312160612746"</f>
        <v>20190312160612746</v>
      </c>
      <c r="B545" t="str">
        <f>"1552377972725726"</f>
        <v>1552377972725726</v>
      </c>
      <c r="C545" t="s">
        <v>40</v>
      </c>
      <c r="D545">
        <v>6.0315269999999996</v>
      </c>
      <c r="E545">
        <v>0.49956230000000001</v>
      </c>
      <c r="F545" t="s">
        <v>42</v>
      </c>
      <c r="G545">
        <v>-158.19499999999999</v>
      </c>
      <c r="H545">
        <v>2.9330189999999998</v>
      </c>
      <c r="I545">
        <v>374.40030000000002</v>
      </c>
      <c r="J545">
        <v>-340.4015</v>
      </c>
      <c r="K545">
        <v>1.110268</v>
      </c>
      <c r="L545">
        <v>368.2099</v>
      </c>
      <c r="M545">
        <v>0.99982539999999998</v>
      </c>
      <c r="N545">
        <v>0</v>
      </c>
      <c r="O545">
        <v>1.247233E-2</v>
      </c>
      <c r="P545">
        <v>0.99777499999999997</v>
      </c>
      <c r="Q545">
        <v>5.7574769999999997E-2</v>
      </c>
      <c r="R545">
        <v>3.3621239999999997E-2</v>
      </c>
      <c r="S545">
        <v>3.0015869999999998</v>
      </c>
      <c r="T545">
        <v>3.0004860000000001E-2</v>
      </c>
      <c r="U545">
        <v>0.1019287</v>
      </c>
      <c r="V545">
        <v>-2.118799E-2</v>
      </c>
      <c r="W545">
        <v>7.1447780000000002E-2</v>
      </c>
      <c r="X545">
        <v>0.99721930000000003</v>
      </c>
      <c r="Y545">
        <v>-2.1469269999999999E-2</v>
      </c>
      <c r="Z545" s="1">
        <v>1.7368110000000001E-5</v>
      </c>
      <c r="AA545">
        <v>0.99976949999999998</v>
      </c>
      <c r="AB545">
        <v>29</v>
      </c>
      <c r="AC545">
        <v>182.20650000000001</v>
      </c>
      <c r="AD545">
        <v>1.822751</v>
      </c>
      <c r="AE545">
        <v>6.1904000000000101</v>
      </c>
      <c r="AF545">
        <v>-3.9167672601155998</v>
      </c>
      <c r="AG545">
        <v>1.822751</v>
      </c>
      <c r="AH545">
        <v>182.251323129403</v>
      </c>
      <c r="AI545">
        <v>89.427118833090702</v>
      </c>
      <c r="AJ545">
        <v>91.231155359732995</v>
      </c>
      <c r="AK545">
        <v>182.30251854924001</v>
      </c>
      <c r="AL545">
        <v>85.902852952131298</v>
      </c>
      <c r="AM545">
        <v>91.217184398200601</v>
      </c>
      <c r="AN545">
        <v>1.0000000242398199</v>
      </c>
    </row>
    <row r="546" spans="1:40" x14ac:dyDescent="0.25">
      <c r="A546" t="str">
        <f>"20190312160612768"</f>
        <v>20190312160612768</v>
      </c>
      <c r="B546" t="str">
        <f>"1552377972755983"</f>
        <v>1552377972755983</v>
      </c>
      <c r="C546" t="s">
        <v>40</v>
      </c>
      <c r="D546">
        <v>5.9791420000000004</v>
      </c>
      <c r="E546">
        <v>0.50014049999999999</v>
      </c>
      <c r="F546" t="s">
        <v>42</v>
      </c>
      <c r="G546">
        <v>-158.19499999999999</v>
      </c>
      <c r="H546">
        <v>2.8382830000000001</v>
      </c>
      <c r="I546">
        <v>374.37880000000001</v>
      </c>
      <c r="J546">
        <v>-340.12299999999999</v>
      </c>
      <c r="K546">
        <v>1.110258</v>
      </c>
      <c r="L546">
        <v>368.21350000000001</v>
      </c>
      <c r="M546">
        <v>0.99982490000000002</v>
      </c>
      <c r="N546">
        <v>0</v>
      </c>
      <c r="O546">
        <v>1.2591359999999999E-2</v>
      </c>
      <c r="P546">
        <v>0.99782139999999997</v>
      </c>
      <c r="Q546">
        <v>5.7006540000000001E-2</v>
      </c>
      <c r="R546">
        <v>3.3207470000000003E-2</v>
      </c>
      <c r="S546">
        <v>3.001617</v>
      </c>
      <c r="T546">
        <v>2.846825E-2</v>
      </c>
      <c r="U546">
        <v>0.10162350000000001</v>
      </c>
      <c r="V546">
        <v>-2.065492E-2</v>
      </c>
      <c r="W546">
        <v>7.0818989999999998E-2</v>
      </c>
      <c r="X546">
        <v>0.99727529999999998</v>
      </c>
      <c r="Y546">
        <v>-2.124844E-2</v>
      </c>
      <c r="Z546" s="1">
        <v>1.8653909999999998E-5</v>
      </c>
      <c r="AA546">
        <v>0.99977419999999995</v>
      </c>
      <c r="AB546">
        <v>29</v>
      </c>
      <c r="AC546">
        <v>181.928</v>
      </c>
      <c r="AD546">
        <v>1.7280249999999999</v>
      </c>
      <c r="AE546">
        <v>6.1653000000000002</v>
      </c>
      <c r="AF546">
        <v>-3.8735216340372101</v>
      </c>
      <c r="AG546">
        <v>1.7280249999999999</v>
      </c>
      <c r="AH546">
        <v>181.97481310506001</v>
      </c>
      <c r="AI546">
        <v>89.456061301070605</v>
      </c>
      <c r="AJ546">
        <v>91.219415628815995</v>
      </c>
      <c r="AK546">
        <v>182.02423697099101</v>
      </c>
      <c r="AL546">
        <v>85.938971318816499</v>
      </c>
      <c r="AM546">
        <v>91.186503435482194</v>
      </c>
      <c r="AN546">
        <v>0.99999998952745806</v>
      </c>
    </row>
    <row r="547" spans="1:40" x14ac:dyDescent="0.25">
      <c r="A547" t="str">
        <f>"20190312160612780"</f>
        <v>20190312160612780</v>
      </c>
      <c r="B547" t="str">
        <f>"1552377972775503"</f>
        <v>1552377972775503</v>
      </c>
      <c r="C547" t="s">
        <v>40</v>
      </c>
      <c r="D547">
        <v>5.9581839999999904</v>
      </c>
      <c r="E547">
        <v>0.50052829999999904</v>
      </c>
      <c r="F547" t="s">
        <v>42</v>
      </c>
      <c r="G547">
        <v>-158.19499999999999</v>
      </c>
      <c r="H547">
        <v>2.744157</v>
      </c>
      <c r="I547">
        <v>374.03210000000001</v>
      </c>
      <c r="J547">
        <v>-339.96890000000002</v>
      </c>
      <c r="K547">
        <v>1.1102559999999999</v>
      </c>
      <c r="L547">
        <v>368.21550000000002</v>
      </c>
      <c r="M547">
        <v>0.9998245</v>
      </c>
      <c r="N547">
        <v>0</v>
      </c>
      <c r="O547">
        <v>1.2657440000000001E-2</v>
      </c>
      <c r="P547">
        <v>0.99781240000000004</v>
      </c>
      <c r="Q547">
        <v>5.7243000000000002E-2</v>
      </c>
      <c r="R547">
        <v>3.3075319999999998E-2</v>
      </c>
      <c r="S547">
        <v>3.001862</v>
      </c>
      <c r="T547">
        <v>2.6961209999999999E-2</v>
      </c>
      <c r="U547">
        <v>9.6008300000000005E-2</v>
      </c>
      <c r="V547">
        <v>-2.0456789999999999E-2</v>
      </c>
      <c r="W547">
        <v>7.1023050000000004E-2</v>
      </c>
      <c r="X547">
        <v>0.99726490000000001</v>
      </c>
      <c r="Y547">
        <v>-1.931157E-2</v>
      </c>
      <c r="Z547" s="1">
        <v>2.6954750000000001E-5</v>
      </c>
      <c r="AA547">
        <v>0.99981350000000002</v>
      </c>
      <c r="AB547">
        <v>29</v>
      </c>
      <c r="AC547">
        <v>181.7739</v>
      </c>
      <c r="AD547">
        <v>1.633901</v>
      </c>
      <c r="AE547">
        <v>5.8165999999999896</v>
      </c>
      <c r="AF547">
        <v>-3.5148385459713101</v>
      </c>
      <c r="AG547">
        <v>1.633901</v>
      </c>
      <c r="AH547">
        <v>181.81829074150701</v>
      </c>
      <c r="AI547">
        <v>89.485224369375402</v>
      </c>
      <c r="AJ547">
        <v>91.107481169927098</v>
      </c>
      <c r="AK547">
        <v>181.85960126054701</v>
      </c>
      <c r="AL547">
        <v>85.927250140344995</v>
      </c>
      <c r="AM547">
        <v>91.175137492857303</v>
      </c>
      <c r="AN547">
        <v>1.0000000173301999</v>
      </c>
    </row>
    <row r="548" spans="1:40" x14ac:dyDescent="0.25">
      <c r="A548" t="str">
        <f>"20190312160612792"</f>
        <v>20190312160612792</v>
      </c>
      <c r="B548" t="str">
        <f>"1552377972786239"</f>
        <v>1552377972786239</v>
      </c>
      <c r="C548" t="s">
        <v>40</v>
      </c>
      <c r="D548">
        <v>6.0727449999999896</v>
      </c>
      <c r="E548">
        <v>0.50087769999999998</v>
      </c>
      <c r="F548" t="s">
        <v>42</v>
      </c>
      <c r="G548">
        <v>-158.19499999999999</v>
      </c>
      <c r="H548">
        <v>2.8193450000000002</v>
      </c>
      <c r="I548">
        <v>373.81670000000003</v>
      </c>
      <c r="J548">
        <v>-339.80930000000001</v>
      </c>
      <c r="K548">
        <v>1.1102529999999999</v>
      </c>
      <c r="L548">
        <v>368.2176</v>
      </c>
      <c r="M548">
        <v>0.99982420000000005</v>
      </c>
      <c r="N548">
        <v>0</v>
      </c>
      <c r="O548">
        <v>1.272584E-2</v>
      </c>
      <c r="P548">
        <v>0.99781730000000002</v>
      </c>
      <c r="Q548">
        <v>5.723756E-2</v>
      </c>
      <c r="R548">
        <v>3.2933669999999998E-2</v>
      </c>
      <c r="S548">
        <v>3.001862</v>
      </c>
      <c r="T548">
        <v>2.8225779999999999E-2</v>
      </c>
      <c r="U548">
        <v>9.2498780000000003E-2</v>
      </c>
      <c r="V548">
        <v>-2.024666E-2</v>
      </c>
      <c r="W548">
        <v>7.0985939999999997E-2</v>
      </c>
      <c r="X548">
        <v>0.99727180000000004</v>
      </c>
      <c r="Y548">
        <v>-1.807545E-2</v>
      </c>
      <c r="Z548" s="1">
        <v>3.4672580000000003E-5</v>
      </c>
      <c r="AA548">
        <v>0.99983659999999996</v>
      </c>
      <c r="AB548">
        <v>29</v>
      </c>
      <c r="AC548">
        <v>181.61429999999999</v>
      </c>
      <c r="AD548">
        <v>1.7090919999999901</v>
      </c>
      <c r="AE548">
        <v>5.5991000000000204</v>
      </c>
      <c r="AF548">
        <v>-3.2869420248479999</v>
      </c>
      <c r="AG548">
        <v>1.7090919999999901</v>
      </c>
      <c r="AH548">
        <v>181.654778857331</v>
      </c>
      <c r="AI548">
        <v>89.461038985082794</v>
      </c>
      <c r="AJ548">
        <v>91.036622088010105</v>
      </c>
      <c r="AK548">
        <v>181.69255258552801</v>
      </c>
      <c r="AL548">
        <v>85.929381643237903</v>
      </c>
      <c r="AM548">
        <v>91.163061891855804</v>
      </c>
      <c r="AN548">
        <v>0.99999998699703896</v>
      </c>
    </row>
    <row r="549" spans="1:40" x14ac:dyDescent="0.25">
      <c r="A549" t="str">
        <f>"20190312160612815"</f>
        <v>20190312160612815</v>
      </c>
      <c r="B549" t="str">
        <f>"1552377972805759"</f>
        <v>1552377972805759</v>
      </c>
      <c r="C549" t="s">
        <v>40</v>
      </c>
      <c r="D549">
        <v>5.9353099999999896</v>
      </c>
      <c r="E549">
        <v>0.50106569999999995</v>
      </c>
      <c r="F549" t="s">
        <v>42</v>
      </c>
      <c r="G549">
        <v>-158.19499999999999</v>
      </c>
      <c r="H549">
        <v>2.8244980000000002</v>
      </c>
      <c r="I549">
        <v>373.63080000000002</v>
      </c>
      <c r="J549">
        <v>-339.51240000000001</v>
      </c>
      <c r="K549">
        <v>1.1102540000000001</v>
      </c>
      <c r="L549">
        <v>368.22149999999999</v>
      </c>
      <c r="M549">
        <v>0.99982320000000002</v>
      </c>
      <c r="N549">
        <v>0</v>
      </c>
      <c r="O549">
        <v>1.2854000000000001E-2</v>
      </c>
      <c r="P549">
        <v>0.99776229999999999</v>
      </c>
      <c r="Q549">
        <v>5.8240189999999997E-2</v>
      </c>
      <c r="R549">
        <v>3.2844110000000003E-2</v>
      </c>
      <c r="S549">
        <v>3.002014</v>
      </c>
      <c r="T549">
        <v>2.833724E-2</v>
      </c>
      <c r="U549">
        <v>8.9477539999999994E-2</v>
      </c>
      <c r="V549">
        <v>-2.002988E-2</v>
      </c>
      <c r="W549">
        <v>7.1932910000000003E-2</v>
      </c>
      <c r="X549">
        <v>0.99720839999999999</v>
      </c>
      <c r="Y549">
        <v>-1.6940469999999999E-2</v>
      </c>
      <c r="Z549" s="1">
        <v>4.1373160000000003E-5</v>
      </c>
      <c r="AA549">
        <v>0.99985650000000004</v>
      </c>
      <c r="AB549">
        <v>29</v>
      </c>
      <c r="AC549">
        <v>181.31739999999999</v>
      </c>
      <c r="AD549">
        <v>1.7142439999999901</v>
      </c>
      <c r="AE549">
        <v>5.4093000000000302</v>
      </c>
      <c r="AF549">
        <v>-3.07770479135741</v>
      </c>
      <c r="AG549">
        <v>1.7142439999999901</v>
      </c>
      <c r="AH549">
        <v>181.355759006163</v>
      </c>
      <c r="AI549">
        <v>89.458512469776906</v>
      </c>
      <c r="AJ549">
        <v>90.972246872560305</v>
      </c>
      <c r="AK549">
        <v>181.389972776821</v>
      </c>
      <c r="AL549">
        <v>85.874985519837907</v>
      </c>
      <c r="AM549">
        <v>91.150685544218604</v>
      </c>
      <c r="AN549">
        <v>1.0000000663322099</v>
      </c>
    </row>
    <row r="550" spans="1:40" x14ac:dyDescent="0.25">
      <c r="A550" t="str">
        <f>"20190312160612846"</f>
        <v>20190312160612846</v>
      </c>
      <c r="B550" t="str">
        <f>"1552377972836016"</f>
        <v>1552377972836016</v>
      </c>
      <c r="C550" t="s">
        <v>40</v>
      </c>
      <c r="D550">
        <v>5.917262</v>
      </c>
      <c r="E550">
        <v>0.50106930000000005</v>
      </c>
      <c r="F550" t="s">
        <v>42</v>
      </c>
      <c r="G550">
        <v>-158.19499999999999</v>
      </c>
      <c r="H550">
        <v>2.9140510000000002</v>
      </c>
      <c r="I550">
        <v>373.50040000000001</v>
      </c>
      <c r="J550">
        <v>-339.10640000000001</v>
      </c>
      <c r="K550">
        <v>1.110255</v>
      </c>
      <c r="L550">
        <v>368.22699999999998</v>
      </c>
      <c r="M550">
        <v>0.99982170000000004</v>
      </c>
      <c r="N550">
        <v>0</v>
      </c>
      <c r="O550">
        <v>1.303091E-2</v>
      </c>
      <c r="P550">
        <v>0.99772400000000006</v>
      </c>
      <c r="Q550">
        <v>5.8584209999999998E-2</v>
      </c>
      <c r="R550">
        <v>3.3387189999999997E-2</v>
      </c>
      <c r="S550">
        <v>3.002075</v>
      </c>
      <c r="T550">
        <v>2.986693E-2</v>
      </c>
      <c r="U550">
        <v>8.7402339999999995E-2</v>
      </c>
      <c r="V550">
        <v>-2.0396560000000001E-2</v>
      </c>
      <c r="W550">
        <v>7.2209709999999996E-2</v>
      </c>
      <c r="X550">
        <v>0.99718090000000004</v>
      </c>
      <c r="Y550">
        <v>-1.6072409999999999E-2</v>
      </c>
      <c r="Z550" s="1">
        <v>4.9682599999999998E-5</v>
      </c>
      <c r="AA550">
        <v>0.99987079999999995</v>
      </c>
      <c r="AB550">
        <v>29</v>
      </c>
      <c r="AC550">
        <v>180.91139999999999</v>
      </c>
      <c r="AD550">
        <v>1.803796</v>
      </c>
      <c r="AE550">
        <v>5.2734000000000298</v>
      </c>
      <c r="AF550">
        <v>-2.9150022863406302</v>
      </c>
      <c r="AG550">
        <v>1.803796</v>
      </c>
      <c r="AH550">
        <v>180.94678711873499</v>
      </c>
      <c r="AI550">
        <v>89.428931182383494</v>
      </c>
      <c r="AJ550">
        <v>90.922939196108899</v>
      </c>
      <c r="AK550">
        <v>180.97925485240501</v>
      </c>
      <c r="AL550">
        <v>85.859084442631698</v>
      </c>
      <c r="AM550">
        <v>91.1717772264373</v>
      </c>
      <c r="AN550">
        <v>1.0000000046014601</v>
      </c>
    </row>
    <row r="551" spans="1:40" x14ac:dyDescent="0.25">
      <c r="A551" t="str">
        <f>"20190312160612858"</f>
        <v>20190312160612858</v>
      </c>
      <c r="B551" t="str">
        <f>"1552377972845776"</f>
        <v>1552377972845776</v>
      </c>
      <c r="C551" t="s">
        <v>40</v>
      </c>
      <c r="D551">
        <v>5.9206560000000001</v>
      </c>
      <c r="E551">
        <v>0.50094929999999904</v>
      </c>
      <c r="F551" t="s">
        <v>42</v>
      </c>
      <c r="G551">
        <v>-158.19499999999999</v>
      </c>
      <c r="H551">
        <v>2.873329</v>
      </c>
      <c r="I551">
        <v>373.57479999999998</v>
      </c>
      <c r="J551">
        <v>-338.95499999999998</v>
      </c>
      <c r="K551">
        <v>1.1102529999999999</v>
      </c>
      <c r="L551">
        <v>368.22899999999998</v>
      </c>
      <c r="M551">
        <v>0.99982119999999997</v>
      </c>
      <c r="N551">
        <v>0</v>
      </c>
      <c r="O551">
        <v>1.309692E-2</v>
      </c>
      <c r="P551">
        <v>0.99772689999999997</v>
      </c>
      <c r="Q551">
        <v>5.8292450000000003E-2</v>
      </c>
      <c r="R551">
        <v>3.3809609999999997E-2</v>
      </c>
      <c r="S551">
        <v>3.002167</v>
      </c>
      <c r="T551">
        <v>2.9259090000000001E-2</v>
      </c>
      <c r="U551">
        <v>8.8745119999999997E-2</v>
      </c>
      <c r="V551">
        <v>-2.075318E-2</v>
      </c>
      <c r="W551">
        <v>7.1894369999999999E-2</v>
      </c>
      <c r="X551">
        <v>0.99719630000000004</v>
      </c>
      <c r="Y551">
        <v>-1.6452330000000001E-2</v>
      </c>
      <c r="Z551" s="1">
        <v>4.7461840000000003E-5</v>
      </c>
      <c r="AA551">
        <v>0.99986459999999999</v>
      </c>
      <c r="AB551">
        <v>29</v>
      </c>
      <c r="AC551">
        <v>180.76</v>
      </c>
      <c r="AD551">
        <v>1.7630760000000001</v>
      </c>
      <c r="AE551">
        <v>5.3457999999999402</v>
      </c>
      <c r="AF551">
        <v>-2.97743890120698</v>
      </c>
      <c r="AG551">
        <v>1.7630760000000001</v>
      </c>
      <c r="AH551">
        <v>180.79732865154801</v>
      </c>
      <c r="AI551">
        <v>89.441363882650407</v>
      </c>
      <c r="AJ551">
        <v>90.943483315780398</v>
      </c>
      <c r="AK551">
        <v>180.830438883856</v>
      </c>
      <c r="AL551">
        <v>85.877199065628702</v>
      </c>
      <c r="AM551">
        <v>91.192240685436602</v>
      </c>
      <c r="AN551">
        <v>0.99999997782574901</v>
      </c>
    </row>
    <row r="552" spans="1:40" x14ac:dyDescent="0.25">
      <c r="A552" t="str">
        <f>"20190312160612869"</f>
        <v>20190312160612869</v>
      </c>
      <c r="B552" t="str">
        <f>"1552377972865295"</f>
        <v>1552377972865295</v>
      </c>
      <c r="C552" t="s">
        <v>40</v>
      </c>
      <c r="D552">
        <v>5.9174629999999997</v>
      </c>
      <c r="E552">
        <v>0.50103399999999998</v>
      </c>
      <c r="F552" t="s">
        <v>42</v>
      </c>
      <c r="G552">
        <v>-158.19499999999999</v>
      </c>
      <c r="H552">
        <v>2.7056960000000001</v>
      </c>
      <c r="I552">
        <v>373.71570000000003</v>
      </c>
      <c r="J552">
        <v>-338.8014</v>
      </c>
      <c r="K552">
        <v>1.1102529999999999</v>
      </c>
      <c r="L552">
        <v>368.2312</v>
      </c>
      <c r="M552">
        <v>0.99982059999999995</v>
      </c>
      <c r="N552">
        <v>0</v>
      </c>
      <c r="O552">
        <v>1.3163350000000001E-2</v>
      </c>
      <c r="P552">
        <v>0.99773040000000002</v>
      </c>
      <c r="Q552">
        <v>5.8011489999999999E-2</v>
      </c>
      <c r="R552">
        <v>3.418711E-2</v>
      </c>
      <c r="S552">
        <v>3.0021969999999998</v>
      </c>
      <c r="T552">
        <v>2.6499749999999999E-2</v>
      </c>
      <c r="U552">
        <v>9.1125490000000003E-2</v>
      </c>
      <c r="V552">
        <v>-2.1064139999999999E-2</v>
      </c>
      <c r="W552">
        <v>7.1592379999999997E-2</v>
      </c>
      <c r="X552">
        <v>0.99721150000000003</v>
      </c>
      <c r="Y552">
        <v>-1.7177660000000001E-2</v>
      </c>
      <c r="Z552" s="1">
        <v>4.0370639999999999E-5</v>
      </c>
      <c r="AA552">
        <v>0.99985250000000003</v>
      </c>
      <c r="AB552">
        <v>29</v>
      </c>
      <c r="AC552">
        <v>180.60640000000001</v>
      </c>
      <c r="AD552">
        <v>1.5954429999999999</v>
      </c>
      <c r="AE552">
        <v>5.4845000000000201</v>
      </c>
      <c r="AF552">
        <v>-3.10617677868755</v>
      </c>
      <c r="AG552">
        <v>1.5954429999999999</v>
      </c>
      <c r="AH552">
        <v>180.64886616194201</v>
      </c>
      <c r="AI552">
        <v>89.494066768151399</v>
      </c>
      <c r="AJ552">
        <v>90.985078332053703</v>
      </c>
      <c r="AK552">
        <v>180.68261293810701</v>
      </c>
      <c r="AL552">
        <v>85.894546493942201</v>
      </c>
      <c r="AM552">
        <v>91.210081183149001</v>
      </c>
      <c r="AN552">
        <v>0.99999997130012597</v>
      </c>
    </row>
    <row r="553" spans="1:40" x14ac:dyDescent="0.25">
      <c r="A553" t="str">
        <f>"20190312160612880"</f>
        <v>20190312160612880</v>
      </c>
      <c r="B553" t="str">
        <f>"1552377972876033"</f>
        <v>1552377972876033</v>
      </c>
      <c r="C553" t="s">
        <v>40</v>
      </c>
      <c r="D553">
        <v>7.3067119999999903</v>
      </c>
      <c r="E553">
        <v>0.5010154</v>
      </c>
      <c r="F553" t="s">
        <v>42</v>
      </c>
      <c r="G553">
        <v>-158.19499999999999</v>
      </c>
      <c r="H553">
        <v>2.538888</v>
      </c>
      <c r="I553">
        <v>373.74779999999998</v>
      </c>
      <c r="J553">
        <v>-338.65550000000002</v>
      </c>
      <c r="K553">
        <v>1.1102459999999901</v>
      </c>
      <c r="L553">
        <v>368.23309999999998</v>
      </c>
      <c r="M553">
        <v>0.99982009999999999</v>
      </c>
      <c r="N553">
        <v>0</v>
      </c>
      <c r="O553">
        <v>1.322594E-2</v>
      </c>
      <c r="P553">
        <v>0.99771639999999995</v>
      </c>
      <c r="Q553">
        <v>5.7823560000000003E-2</v>
      </c>
      <c r="R553">
        <v>3.4907710000000002E-2</v>
      </c>
      <c r="S553">
        <v>3.0022890000000002</v>
      </c>
      <c r="T553">
        <v>2.3750190000000001E-2</v>
      </c>
      <c r="U553">
        <v>9.1705320000000007E-2</v>
      </c>
      <c r="V553">
        <v>-2.1722080000000001E-2</v>
      </c>
      <c r="W553">
        <v>7.1384520000000007E-2</v>
      </c>
      <c r="X553">
        <v>0.99721230000000005</v>
      </c>
      <c r="Y553">
        <v>-1.7307099999999999E-2</v>
      </c>
      <c r="Z553" s="1">
        <v>3.6163869999999999E-5</v>
      </c>
      <c r="AA553">
        <v>0.99985020000000002</v>
      </c>
      <c r="AB553">
        <v>29</v>
      </c>
      <c r="AC553">
        <v>180.4605</v>
      </c>
      <c r="AD553">
        <v>1.428642</v>
      </c>
      <c r="AE553">
        <v>5.5147000000000004</v>
      </c>
      <c r="AF553">
        <v>-3.12704139694217</v>
      </c>
      <c r="AG553">
        <v>1.428642</v>
      </c>
      <c r="AH553">
        <v>180.50635428115899</v>
      </c>
      <c r="AI553">
        <v>89.546602284687793</v>
      </c>
      <c r="AJ553">
        <v>90.992476719593796</v>
      </c>
      <c r="AK553">
        <v>180.53909089650799</v>
      </c>
      <c r="AL553">
        <v>85.906486600136304</v>
      </c>
      <c r="AM553">
        <v>91.247865388909801</v>
      </c>
      <c r="AN553">
        <v>0.99999998486322295</v>
      </c>
    </row>
    <row r="554" spans="1:40" x14ac:dyDescent="0.25">
      <c r="A554" t="str">
        <f>"20190312160612892"</f>
        <v>20190312160612892</v>
      </c>
      <c r="B554" t="str">
        <f>"1552377972885792"</f>
        <v>1552377972885792</v>
      </c>
      <c r="C554" t="s">
        <v>40</v>
      </c>
      <c r="D554">
        <v>5.9086129999999999</v>
      </c>
      <c r="E554">
        <v>0.5010175</v>
      </c>
      <c r="F554" t="s">
        <v>42</v>
      </c>
      <c r="G554">
        <v>-158.19499999999999</v>
      </c>
      <c r="H554">
        <v>2.4751859999999999</v>
      </c>
      <c r="I554">
        <v>373.8793</v>
      </c>
      <c r="J554">
        <v>-338.50139999999999</v>
      </c>
      <c r="K554">
        <v>1.1102430000000001</v>
      </c>
      <c r="L554">
        <v>368.2353</v>
      </c>
      <c r="M554">
        <v>0.99981949999999997</v>
      </c>
      <c r="N554">
        <v>0</v>
      </c>
      <c r="O554">
        <v>1.3291570000000001E-2</v>
      </c>
      <c r="P554">
        <v>0.99765820000000005</v>
      </c>
      <c r="Q554">
        <v>5.8344109999999998E-2</v>
      </c>
      <c r="R554">
        <v>3.5697079999999999E-2</v>
      </c>
      <c r="S554">
        <v>3.0022579999999999</v>
      </c>
      <c r="T554">
        <v>2.2709489999999999E-2</v>
      </c>
      <c r="U554">
        <v>9.393311E-2</v>
      </c>
      <c r="V554">
        <v>-2.2446890000000001E-2</v>
      </c>
      <c r="W554">
        <v>7.1884870000000003E-2</v>
      </c>
      <c r="X554">
        <v>0.9971603</v>
      </c>
      <c r="Y554">
        <v>-1.7982990000000001E-2</v>
      </c>
      <c r="Z554" s="1">
        <v>3.25198E-5</v>
      </c>
      <c r="AA554">
        <v>0.99983829999999996</v>
      </c>
      <c r="AB554">
        <v>29</v>
      </c>
      <c r="AC554">
        <v>180.3064</v>
      </c>
      <c r="AD554">
        <v>1.36494299999999</v>
      </c>
      <c r="AE554">
        <v>5.6440000000000001</v>
      </c>
      <c r="AF554">
        <v>-3.2465394561318299</v>
      </c>
      <c r="AG554">
        <v>1.36494299999999</v>
      </c>
      <c r="AH554">
        <v>180.35516843078099</v>
      </c>
      <c r="AI554">
        <v>89.566459258219595</v>
      </c>
      <c r="AJ554">
        <v>91.031259171363303</v>
      </c>
      <c r="AK554">
        <v>180.38955032797401</v>
      </c>
      <c r="AL554">
        <v>85.877744799216302</v>
      </c>
      <c r="AM554">
        <v>91.289556840701394</v>
      </c>
      <c r="AN554">
        <v>0.99999998065083895</v>
      </c>
    </row>
    <row r="555" spans="1:40" x14ac:dyDescent="0.25">
      <c r="A555" t="str">
        <f>"20190312160612904"</f>
        <v>20190312160612904</v>
      </c>
      <c r="B555" t="str">
        <f>"1552377972895551"</f>
        <v>1552377972895551</v>
      </c>
      <c r="C555" t="s">
        <v>40</v>
      </c>
      <c r="D555">
        <v>6.01152</v>
      </c>
      <c r="E555">
        <v>0.5009962</v>
      </c>
      <c r="F555" t="s">
        <v>42</v>
      </c>
      <c r="G555">
        <v>-158.19499999999999</v>
      </c>
      <c r="H555">
        <v>2.5439799999999999</v>
      </c>
      <c r="I555">
        <v>374.01060000000001</v>
      </c>
      <c r="J555">
        <v>-338.35239999999999</v>
      </c>
      <c r="K555">
        <v>1.110241</v>
      </c>
      <c r="L555">
        <v>368.2373</v>
      </c>
      <c r="M555">
        <v>0.99981909999999896</v>
      </c>
      <c r="N555">
        <v>0</v>
      </c>
      <c r="O555">
        <v>1.335297E-2</v>
      </c>
      <c r="P555">
        <v>0.99762150000000005</v>
      </c>
      <c r="Q555">
        <v>5.8435800000000003E-2</v>
      </c>
      <c r="R555">
        <v>3.6564659999999999E-2</v>
      </c>
      <c r="S555">
        <v>3.002167</v>
      </c>
      <c r="T555">
        <v>2.3873689999999999E-2</v>
      </c>
      <c r="U555">
        <v>9.6160889999999999E-2</v>
      </c>
      <c r="V555">
        <v>-2.3253659999999999E-2</v>
      </c>
      <c r="W555">
        <v>7.1956220000000001E-2</v>
      </c>
      <c r="X555">
        <v>0.99713669999999999</v>
      </c>
      <c r="Y555">
        <v>-1.866371E-2</v>
      </c>
      <c r="Z555" s="1">
        <v>3.1969469999999997E-5</v>
      </c>
      <c r="AA555">
        <v>0.99982579999999999</v>
      </c>
      <c r="AB555">
        <v>29</v>
      </c>
      <c r="AC555">
        <v>180.1574</v>
      </c>
      <c r="AD555">
        <v>1.4337390000000001</v>
      </c>
      <c r="AE555">
        <v>5.7732999999999999</v>
      </c>
      <c r="AF555">
        <v>-3.3667151159086499</v>
      </c>
      <c r="AG555">
        <v>1.4337390000000001</v>
      </c>
      <c r="AH555">
        <v>180.20703141684899</v>
      </c>
      <c r="AI555">
        <v>89.544240153718405</v>
      </c>
      <c r="AJ555">
        <v>91.070303013971497</v>
      </c>
      <c r="AK555">
        <v>180.24418035061399</v>
      </c>
      <c r="AL555">
        <v>85.873646270686805</v>
      </c>
      <c r="AM555">
        <v>91.335920268382296</v>
      </c>
      <c r="AN555">
        <v>1.00000001439348</v>
      </c>
    </row>
    <row r="556" spans="1:40" x14ac:dyDescent="0.25">
      <c r="A556" t="str">
        <f>"20190312160612916"</f>
        <v>20190312160612916</v>
      </c>
      <c r="B556" t="str">
        <f>"1552377972905312"</f>
        <v>1552377972905312</v>
      </c>
      <c r="C556" t="s">
        <v>40</v>
      </c>
      <c r="D556">
        <v>6.0074630000000004</v>
      </c>
      <c r="E556">
        <v>0.5010192</v>
      </c>
      <c r="F556" t="s">
        <v>42</v>
      </c>
      <c r="G556">
        <v>-158.19499999999999</v>
      </c>
      <c r="H556">
        <v>2.5379360000000002</v>
      </c>
      <c r="I556">
        <v>374.16370000000001</v>
      </c>
      <c r="J556">
        <v>-338.20519999999999</v>
      </c>
      <c r="K556">
        <v>1.110236</v>
      </c>
      <c r="L556">
        <v>368.23930000000001</v>
      </c>
      <c r="M556">
        <v>0.9998184</v>
      </c>
      <c r="N556">
        <v>0</v>
      </c>
      <c r="O556">
        <v>1.3413400000000001E-2</v>
      </c>
      <c r="P556">
        <v>0.99756650000000002</v>
      </c>
      <c r="Q556">
        <v>5.88008E-2</v>
      </c>
      <c r="R556">
        <v>3.7467050000000002E-2</v>
      </c>
      <c r="S556">
        <v>3.0021059999999999</v>
      </c>
      <c r="T556">
        <v>2.3792270000000001E-2</v>
      </c>
      <c r="U556">
        <v>9.8754880000000003E-2</v>
      </c>
      <c r="V556">
        <v>-2.4096059999999999E-2</v>
      </c>
      <c r="W556">
        <v>7.2301500000000005E-2</v>
      </c>
      <c r="X556">
        <v>0.99709170000000003</v>
      </c>
      <c r="Y556">
        <v>-1.9466899999999999E-2</v>
      </c>
      <c r="Z556" s="1">
        <v>2.915745E-5</v>
      </c>
      <c r="AA556">
        <v>0.99981050000000005</v>
      </c>
      <c r="AB556">
        <v>29</v>
      </c>
      <c r="AC556">
        <v>180.0102</v>
      </c>
      <c r="AD556">
        <v>1.4277</v>
      </c>
      <c r="AE556">
        <v>5.9243999999999897</v>
      </c>
      <c r="AF556">
        <v>-3.5088763597486499</v>
      </c>
      <c r="AG556">
        <v>1.4277</v>
      </c>
      <c r="AH556">
        <v>180.06216186562199</v>
      </c>
      <c r="AI556">
        <v>89.545801610742103</v>
      </c>
      <c r="AJ556">
        <v>91.116383150967295</v>
      </c>
      <c r="AK556">
        <v>180.102006308424</v>
      </c>
      <c r="AL556">
        <v>85.853811430499206</v>
      </c>
      <c r="AM556">
        <v>91.384360006359501</v>
      </c>
      <c r="AN556">
        <v>0.99999999260933103</v>
      </c>
    </row>
    <row r="557" spans="1:40" x14ac:dyDescent="0.25">
      <c r="A557" t="str">
        <f>"20190312160612926"</f>
        <v>20190312160612926</v>
      </c>
      <c r="B557" t="str">
        <f>"1552377972916047"</f>
        <v>1552377972916047</v>
      </c>
      <c r="C557" t="s">
        <v>40</v>
      </c>
      <c r="D557">
        <v>5.9586399999999999</v>
      </c>
      <c r="E557">
        <v>0.50091239999999904</v>
      </c>
      <c r="F557" t="s">
        <v>42</v>
      </c>
      <c r="G557">
        <v>-158.19499999999999</v>
      </c>
      <c r="H557">
        <v>2.5956939999999999</v>
      </c>
      <c r="I557">
        <v>374.29079999999999</v>
      </c>
      <c r="J557">
        <v>-338.05889999999999</v>
      </c>
      <c r="K557">
        <v>1.110233</v>
      </c>
      <c r="L557">
        <v>368.2414</v>
      </c>
      <c r="M557">
        <v>0.99981799999999998</v>
      </c>
      <c r="N557">
        <v>0</v>
      </c>
      <c r="O557">
        <v>1.347024E-2</v>
      </c>
      <c r="P557">
        <v>0.99756369999999905</v>
      </c>
      <c r="Q557">
        <v>5.8530859999999997E-2</v>
      </c>
      <c r="R557">
        <v>3.7966359999999998E-2</v>
      </c>
      <c r="S557">
        <v>3.0021059999999999</v>
      </c>
      <c r="T557">
        <v>2.477503E-2</v>
      </c>
      <c r="U557">
        <v>0.1009216</v>
      </c>
      <c r="V557">
        <v>-2.453874E-2</v>
      </c>
      <c r="W557">
        <v>7.2011859999999997E-2</v>
      </c>
      <c r="X557">
        <v>0.99710180000000004</v>
      </c>
      <c r="Y557">
        <v>-2.0130829999999999E-2</v>
      </c>
      <c r="Z557" s="1">
        <v>2.8091420000000001E-5</v>
      </c>
      <c r="AA557">
        <v>0.9997973</v>
      </c>
      <c r="AB557">
        <v>29</v>
      </c>
      <c r="AC557">
        <v>179.8639</v>
      </c>
      <c r="AD557">
        <v>1.4854609999999999</v>
      </c>
      <c r="AE557">
        <v>6.0493999999999897</v>
      </c>
      <c r="AF557">
        <v>-3.6255730022133998</v>
      </c>
      <c r="AG557">
        <v>1.4854609999999999</v>
      </c>
      <c r="AH557">
        <v>179.916814795562</v>
      </c>
      <c r="AI557">
        <v>89.527051221878494</v>
      </c>
      <c r="AJ557">
        <v>91.154433065124095</v>
      </c>
      <c r="AK557">
        <v>179.959472160144</v>
      </c>
      <c r="AL557">
        <v>85.870449687165703</v>
      </c>
      <c r="AM557">
        <v>91.409768286487505</v>
      </c>
      <c r="AN557">
        <v>0.999999928652341</v>
      </c>
    </row>
    <row r="558" spans="1:40" x14ac:dyDescent="0.25">
      <c r="A558" t="str">
        <f>"20190312160612937"</f>
        <v>20190312160612937</v>
      </c>
      <c r="B558" t="str">
        <f>"1552377972925807"</f>
        <v>1552377972925807</v>
      </c>
      <c r="C558" t="s">
        <v>40</v>
      </c>
      <c r="D558">
        <v>5.8999990000000002</v>
      </c>
      <c r="E558">
        <v>0.50092340000000002</v>
      </c>
      <c r="F558" t="s">
        <v>42</v>
      </c>
      <c r="G558">
        <v>-158.19499999999999</v>
      </c>
      <c r="H558">
        <v>2.5158610000000001</v>
      </c>
      <c r="I558">
        <v>374.42689999999999</v>
      </c>
      <c r="J558">
        <v>-337.91759999999999</v>
      </c>
      <c r="K558">
        <v>1.110228</v>
      </c>
      <c r="L558">
        <v>368.24340000000001</v>
      </c>
      <c r="M558">
        <v>0.99981739999999997</v>
      </c>
      <c r="N558">
        <v>0</v>
      </c>
      <c r="O558">
        <v>1.3524390000000001E-2</v>
      </c>
      <c r="P558">
        <v>0.99755629999999995</v>
      </c>
      <c r="Q558">
        <v>5.8355990000000003E-2</v>
      </c>
      <c r="R558">
        <v>3.841994E-2</v>
      </c>
      <c r="S558">
        <v>3.0020449999999999</v>
      </c>
      <c r="T558">
        <v>2.3462299999999998E-2</v>
      </c>
      <c r="U558">
        <v>0.103241</v>
      </c>
      <c r="V558">
        <v>-2.493799E-2</v>
      </c>
      <c r="W558">
        <v>7.1818279999999998E-2</v>
      </c>
      <c r="X558">
        <v>0.99710600000000005</v>
      </c>
      <c r="Y558">
        <v>-2.0848909999999998E-2</v>
      </c>
      <c r="Z558" s="1">
        <v>2.4220929999999999E-5</v>
      </c>
      <c r="AA558">
        <v>0.99978259999999997</v>
      </c>
      <c r="AB558">
        <v>29</v>
      </c>
      <c r="AC558">
        <v>179.7226</v>
      </c>
      <c r="AD558">
        <v>1.4056329999999999</v>
      </c>
      <c r="AE558">
        <v>6.18349999999998</v>
      </c>
      <c r="AF558">
        <v>-3.7518450671451502</v>
      </c>
      <c r="AG558">
        <v>1.4056329999999999</v>
      </c>
      <c r="AH558">
        <v>179.77881141965</v>
      </c>
      <c r="AI558">
        <v>89.552129276768596</v>
      </c>
      <c r="AJ558">
        <v>91.195545162881501</v>
      </c>
      <c r="AK558">
        <v>179.82345003085899</v>
      </c>
      <c r="AL558">
        <v>85.881570388848004</v>
      </c>
      <c r="AM558">
        <v>91.432689970747006</v>
      </c>
      <c r="AN558">
        <v>1.0000000719616899</v>
      </c>
    </row>
    <row r="559" spans="1:40" x14ac:dyDescent="0.25">
      <c r="A559" t="str">
        <f>"20190312160612948"</f>
        <v>20190312160612948</v>
      </c>
      <c r="B559" t="str">
        <f>"1552377972945327"</f>
        <v>1552377972945327</v>
      </c>
      <c r="C559" t="s">
        <v>40</v>
      </c>
      <c r="D559">
        <v>5.9972859999999999</v>
      </c>
      <c r="E559">
        <v>0.50102740000000001</v>
      </c>
      <c r="F559" t="s">
        <v>42</v>
      </c>
      <c r="G559">
        <v>-158.19499999999999</v>
      </c>
      <c r="H559">
        <v>2.487889</v>
      </c>
      <c r="I559">
        <v>374.512</v>
      </c>
      <c r="J559">
        <v>-337.77210000000002</v>
      </c>
      <c r="K559">
        <v>1.1102289999999999</v>
      </c>
      <c r="L559">
        <v>368.24540000000002</v>
      </c>
      <c r="M559">
        <v>0.99981699999999996</v>
      </c>
      <c r="N559">
        <v>0</v>
      </c>
      <c r="O559">
        <v>1.357823E-2</v>
      </c>
      <c r="P559">
        <v>0.99756290000000003</v>
      </c>
      <c r="Q559">
        <v>5.819158E-2</v>
      </c>
      <c r="R559">
        <v>3.8499899999999997E-2</v>
      </c>
      <c r="S559">
        <v>3.0019529999999999</v>
      </c>
      <c r="T559">
        <v>2.3012879999999999E-2</v>
      </c>
      <c r="U559">
        <v>0.1047058</v>
      </c>
      <c r="V559">
        <v>-2.4963050000000001E-2</v>
      </c>
      <c r="W559">
        <v>7.1636130000000006E-2</v>
      </c>
      <c r="X559">
        <v>0.99711839999999996</v>
      </c>
      <c r="Y559">
        <v>-2.1283380000000001E-2</v>
      </c>
      <c r="Z559" s="1">
        <v>2.2505099999999999E-5</v>
      </c>
      <c r="AA559">
        <v>0.99977349999999998</v>
      </c>
      <c r="AB559">
        <v>29</v>
      </c>
      <c r="AC559">
        <v>179.5771</v>
      </c>
      <c r="AD559">
        <v>1.3776600000000001</v>
      </c>
      <c r="AE559">
        <v>6.2665999999999196</v>
      </c>
      <c r="AF559">
        <v>-3.8272366140442302</v>
      </c>
      <c r="AG559">
        <v>1.3776600000000001</v>
      </c>
      <c r="AH559">
        <v>179.635079593032</v>
      </c>
      <c r="AI559">
        <v>89.560694669550102</v>
      </c>
      <c r="AJ559">
        <v>91.220537407379993</v>
      </c>
      <c r="AK559">
        <v>179.68112729936499</v>
      </c>
      <c r="AL559">
        <v>85.892033453662805</v>
      </c>
      <c r="AM559">
        <v>91.434111242108102</v>
      </c>
      <c r="AN559">
        <v>0.99999999630261904</v>
      </c>
    </row>
    <row r="560" spans="1:40" x14ac:dyDescent="0.25">
      <c r="A560" t="str">
        <f>"20190312160612969"</f>
        <v>20190312160612969</v>
      </c>
      <c r="B560" t="str">
        <f>"1552377972965823"</f>
        <v>1552377972965823</v>
      </c>
      <c r="C560" t="s">
        <v>40</v>
      </c>
      <c r="D560">
        <v>6.0810760000000004</v>
      </c>
      <c r="E560">
        <v>0.50101079999999998</v>
      </c>
      <c r="F560" t="s">
        <v>42</v>
      </c>
      <c r="G560">
        <v>-158.19499999999999</v>
      </c>
      <c r="H560">
        <v>2.3873310000000001</v>
      </c>
      <c r="I560">
        <v>374.4502</v>
      </c>
      <c r="J560">
        <v>-337.5104</v>
      </c>
      <c r="K560">
        <v>1.11022</v>
      </c>
      <c r="L560">
        <v>368.2491</v>
      </c>
      <c r="M560">
        <v>0.99981620000000004</v>
      </c>
      <c r="N560">
        <v>0</v>
      </c>
      <c r="O560">
        <v>1.367061E-2</v>
      </c>
      <c r="P560">
        <v>0.9976119</v>
      </c>
      <c r="Q560">
        <v>5.766524E-2</v>
      </c>
      <c r="R560">
        <v>3.802026E-2</v>
      </c>
      <c r="S560">
        <v>3.0021059999999999</v>
      </c>
      <c r="T560">
        <v>2.1351579999999998E-2</v>
      </c>
      <c r="U560">
        <v>0.10372919999999999</v>
      </c>
      <c r="V560">
        <v>-2.4389660000000001E-2</v>
      </c>
      <c r="W560">
        <v>7.1080599999999994E-2</v>
      </c>
      <c r="X560">
        <v>0.99717239999999996</v>
      </c>
      <c r="Y560">
        <v>-2.0864460000000001E-2</v>
      </c>
      <c r="Z560" s="1">
        <v>2.3025590000000001E-5</v>
      </c>
      <c r="AA560">
        <v>0.99978230000000001</v>
      </c>
      <c r="AB560">
        <v>29</v>
      </c>
      <c r="AC560">
        <v>179.31540000000001</v>
      </c>
      <c r="AD560">
        <v>1.2771110000000001</v>
      </c>
      <c r="AE560">
        <v>6.2010999999999896</v>
      </c>
      <c r="AF560">
        <v>-3.7487581052500998</v>
      </c>
      <c r="AG560">
        <v>1.2771110000000001</v>
      </c>
      <c r="AH560">
        <v>179.37433304102299</v>
      </c>
      <c r="AI560">
        <v>89.5921609366643</v>
      </c>
      <c r="AJ560">
        <v>91.197254653477501</v>
      </c>
      <c r="AK560">
        <v>179.418046900945</v>
      </c>
      <c r="AL560">
        <v>85.923944552040595</v>
      </c>
      <c r="AM560">
        <v>91.401107791895996</v>
      </c>
      <c r="AN560">
        <v>1.0000000512665099</v>
      </c>
    </row>
    <row r="561" spans="1:40" x14ac:dyDescent="0.25">
      <c r="A561" t="str">
        <f>"20190312160612981"</f>
        <v>20190312160612981</v>
      </c>
      <c r="B561" t="str">
        <f>"1552377972975585"</f>
        <v>1552377972975585</v>
      </c>
      <c r="C561" t="s">
        <v>40</v>
      </c>
      <c r="D561">
        <v>5.9487079999999999</v>
      </c>
      <c r="E561">
        <v>0.50101110000000004</v>
      </c>
      <c r="F561" t="s">
        <v>42</v>
      </c>
      <c r="G561">
        <v>-158.19499999999999</v>
      </c>
      <c r="H561">
        <v>2.2933789999999998</v>
      </c>
      <c r="I561">
        <v>374.3938</v>
      </c>
      <c r="J561">
        <v>-337.35879999999997</v>
      </c>
      <c r="K561">
        <v>1.1102110000000001</v>
      </c>
      <c r="L561">
        <v>368.25119999999998</v>
      </c>
      <c r="M561">
        <v>0.99981569999999997</v>
      </c>
      <c r="N561">
        <v>0</v>
      </c>
      <c r="O561">
        <v>1.3721870000000001E-2</v>
      </c>
      <c r="P561">
        <v>0.99763250000000003</v>
      </c>
      <c r="Q561">
        <v>5.7452969999999999E-2</v>
      </c>
      <c r="R561">
        <v>3.7803589999999998E-2</v>
      </c>
      <c r="S561">
        <v>3.0021059999999999</v>
      </c>
      <c r="T561">
        <v>1.9809960000000001E-2</v>
      </c>
      <c r="U561">
        <v>0.1028748</v>
      </c>
      <c r="V561">
        <v>-2.4120920000000001E-2</v>
      </c>
      <c r="W561">
        <v>7.0850860000000002E-2</v>
      </c>
      <c r="X561">
        <v>0.99719519999999995</v>
      </c>
      <c r="Y561">
        <v>-2.0528999999999999E-2</v>
      </c>
      <c r="Z561" s="1">
        <v>2.2807890000000002E-5</v>
      </c>
      <c r="AA561">
        <v>0.99978920000000004</v>
      </c>
      <c r="AB561">
        <v>29</v>
      </c>
      <c r="AC561">
        <v>179.16379999999899</v>
      </c>
      <c r="AD561">
        <v>1.183168</v>
      </c>
      <c r="AE561">
        <v>6.1426000000000096</v>
      </c>
      <c r="AF561">
        <v>-3.6831771336776402</v>
      </c>
      <c r="AG561">
        <v>1.183168</v>
      </c>
      <c r="AH561">
        <v>179.22341750255001</v>
      </c>
      <c r="AI561">
        <v>89.621839383143893</v>
      </c>
      <c r="AJ561">
        <v>91.1773059960354</v>
      </c>
      <c r="AK561">
        <v>179.265164105042</v>
      </c>
      <c r="AL561">
        <v>85.937140604171702</v>
      </c>
      <c r="AM561">
        <v>91.385643923004906</v>
      </c>
      <c r="AN561">
        <v>0.99999996502371202</v>
      </c>
    </row>
    <row r="562" spans="1:40" x14ac:dyDescent="0.25">
      <c r="A562" t="str">
        <f>"20190312160612995"</f>
        <v>20190312160612995</v>
      </c>
      <c r="B562" t="str">
        <f>"1552377972985344"</f>
        <v>1552377972985344</v>
      </c>
      <c r="C562" t="s">
        <v>40</v>
      </c>
      <c r="D562">
        <v>5.9983139999999997</v>
      </c>
      <c r="E562">
        <v>0.50101289999999998</v>
      </c>
      <c r="F562" t="s">
        <v>42</v>
      </c>
      <c r="G562">
        <v>-158.19499999999999</v>
      </c>
      <c r="H562">
        <v>2.2267869999999998</v>
      </c>
      <c r="I562">
        <v>374.34859999999998</v>
      </c>
      <c r="J562">
        <v>-337.18299999999999</v>
      </c>
      <c r="K562">
        <v>1.110204</v>
      </c>
      <c r="L562">
        <v>368.25369999999998</v>
      </c>
      <c r="M562">
        <v>0.99981509999999996</v>
      </c>
      <c r="N562">
        <v>0</v>
      </c>
      <c r="O562">
        <v>1.377989E-2</v>
      </c>
      <c r="P562">
        <v>0.99763279999999999</v>
      </c>
      <c r="Q562">
        <v>5.754107E-2</v>
      </c>
      <c r="R562">
        <v>3.7659150000000002E-2</v>
      </c>
      <c r="S562">
        <v>3.0022280000000001</v>
      </c>
      <c r="T562">
        <v>1.8711809999999999E-2</v>
      </c>
      <c r="U562">
        <v>0.1021729</v>
      </c>
      <c r="V562">
        <v>-2.3918249999999999E-2</v>
      </c>
      <c r="W562">
        <v>7.0917930000000004E-2</v>
      </c>
      <c r="X562">
        <v>0.99719539999999995</v>
      </c>
      <c r="Y562">
        <v>-2.0236150000000001E-2</v>
      </c>
      <c r="Z562" s="1">
        <v>2.2816609999999998E-5</v>
      </c>
      <c r="AA562">
        <v>0.9997952</v>
      </c>
      <c r="AB562">
        <v>29</v>
      </c>
      <c r="AC562">
        <v>178.988</v>
      </c>
      <c r="AD562">
        <v>1.1165829999999899</v>
      </c>
      <c r="AE562">
        <v>6.0948999999999902</v>
      </c>
      <c r="AF562">
        <v>-3.6275233821373898</v>
      </c>
      <c r="AG562">
        <v>1.1165829999999899</v>
      </c>
      <c r="AH562">
        <v>179.04803728137401</v>
      </c>
      <c r="AI562">
        <v>89.642768836980807</v>
      </c>
      <c r="AJ562">
        <v>91.160656952405304</v>
      </c>
      <c r="AK562">
        <v>179.088261306531</v>
      </c>
      <c r="AL562">
        <v>85.933288433958296</v>
      </c>
      <c r="AM562">
        <v>91.374005602899402</v>
      </c>
      <c r="AN562">
        <v>1.0000000506298501</v>
      </c>
    </row>
    <row r="563" spans="1:40" x14ac:dyDescent="0.25">
      <c r="A563" t="str">
        <f>"20190312160613014"</f>
        <v>20190312160613014</v>
      </c>
      <c r="B563" t="str">
        <f>"1552377973005839"</f>
        <v>1552377973005839</v>
      </c>
      <c r="C563" t="s">
        <v>40</v>
      </c>
      <c r="D563">
        <v>6.0495850000000004</v>
      </c>
      <c r="E563">
        <v>0.50110869999999996</v>
      </c>
      <c r="F563" t="s">
        <v>42</v>
      </c>
      <c r="G563">
        <v>-158.19499999999999</v>
      </c>
      <c r="H563">
        <v>2.1985939999999999</v>
      </c>
      <c r="I563">
        <v>374.30689999999998</v>
      </c>
      <c r="J563">
        <v>-336.92059999999998</v>
      </c>
      <c r="K563">
        <v>1.110196</v>
      </c>
      <c r="L563">
        <v>368.25740000000002</v>
      </c>
      <c r="M563">
        <v>0.99981450000000005</v>
      </c>
      <c r="N563">
        <v>0</v>
      </c>
      <c r="O563">
        <v>1.3861760000000001E-2</v>
      </c>
      <c r="P563">
        <v>0.99760099999999996</v>
      </c>
      <c r="Q563">
        <v>5.8153469999999999E-2</v>
      </c>
      <c r="R563">
        <v>3.7560219999999998E-2</v>
      </c>
      <c r="S563">
        <v>3.0022280000000001</v>
      </c>
      <c r="T563">
        <v>1.825738E-2</v>
      </c>
      <c r="U563">
        <v>0.101532</v>
      </c>
      <c r="V563">
        <v>-2.3737049999999999E-2</v>
      </c>
      <c r="W563">
        <v>7.1497249999999998E-2</v>
      </c>
      <c r="X563">
        <v>0.99715830000000005</v>
      </c>
      <c r="Y563">
        <v>-1.994112E-2</v>
      </c>
      <c r="Z563" s="1">
        <v>2.3657100000000001E-5</v>
      </c>
      <c r="AA563">
        <v>0.99980119999999895</v>
      </c>
      <c r="AB563">
        <v>29</v>
      </c>
      <c r="AC563">
        <v>178.72559999999999</v>
      </c>
      <c r="AD563">
        <v>1.088398</v>
      </c>
      <c r="AE563">
        <v>6.0494999999999601</v>
      </c>
      <c r="AF563">
        <v>-3.5711134747490201</v>
      </c>
      <c r="AG563">
        <v>1.088398</v>
      </c>
      <c r="AH563">
        <v>178.78566666650099</v>
      </c>
      <c r="AI563">
        <v>89.651272908124696</v>
      </c>
      <c r="AJ563">
        <v>91.144289301484093</v>
      </c>
      <c r="AK563">
        <v>178.824640547775</v>
      </c>
      <c r="AL563">
        <v>85.900011121035902</v>
      </c>
      <c r="AM563">
        <v>91.363651063962607</v>
      </c>
      <c r="AN563">
        <v>0.99999998977957705</v>
      </c>
    </row>
    <row r="564" spans="1:40" x14ac:dyDescent="0.25">
      <c r="A564" t="str">
        <f>"20190312160613038"</f>
        <v>20190312160613038</v>
      </c>
      <c r="B564" t="str">
        <f>"1552377973025359"</f>
        <v>1552377973025359</v>
      </c>
      <c r="C564" t="s">
        <v>40</v>
      </c>
      <c r="D564">
        <v>5.6853980000000002</v>
      </c>
      <c r="E564">
        <v>0.50122239999999996</v>
      </c>
      <c r="F564" t="s">
        <v>42</v>
      </c>
      <c r="G564">
        <v>-158.19499999999999</v>
      </c>
      <c r="H564">
        <v>2.2312050000000001</v>
      </c>
      <c r="I564">
        <v>374.23430000000002</v>
      </c>
      <c r="J564">
        <v>-336.62979999999999</v>
      </c>
      <c r="K564">
        <v>1.110193</v>
      </c>
      <c r="L564">
        <v>368.26159999999999</v>
      </c>
      <c r="M564">
        <v>0.99981379999999997</v>
      </c>
      <c r="N564">
        <v>0</v>
      </c>
      <c r="O564">
        <v>1.3948189999999999E-2</v>
      </c>
      <c r="P564">
        <v>0.99755280000000002</v>
      </c>
      <c r="Q564">
        <v>5.8558890000000002E-2</v>
      </c>
      <c r="R564">
        <v>3.8196439999999998E-2</v>
      </c>
      <c r="S564">
        <v>3.0023499999999999</v>
      </c>
      <c r="T564">
        <v>1.883292E-2</v>
      </c>
      <c r="U564">
        <v>0.1004028</v>
      </c>
      <c r="V564">
        <v>-2.4287019999999999E-2</v>
      </c>
      <c r="W564">
        <v>7.1860599999999997E-2</v>
      </c>
      <c r="X564">
        <v>0.99711890000000003</v>
      </c>
      <c r="Y564">
        <v>-1.947774E-2</v>
      </c>
      <c r="Z564" s="1">
        <v>2.6396819999999999E-5</v>
      </c>
      <c r="AA564">
        <v>0.99981030000000004</v>
      </c>
      <c r="AB564">
        <v>29</v>
      </c>
      <c r="AC564">
        <v>178.4348</v>
      </c>
      <c r="AD564">
        <v>1.1210119999999999</v>
      </c>
      <c r="AE564">
        <v>5.9727000000000299</v>
      </c>
      <c r="AF564">
        <v>-3.482917755715</v>
      </c>
      <c r="AG564">
        <v>1.1210119999999999</v>
      </c>
      <c r="AH564">
        <v>178.49371723692201</v>
      </c>
      <c r="AI564">
        <v>89.640232781113895</v>
      </c>
      <c r="AJ564">
        <v>91.117861007009907</v>
      </c>
      <c r="AK564">
        <v>178.531214293331</v>
      </c>
      <c r="AL564">
        <v>85.879138859082602</v>
      </c>
      <c r="AM564">
        <v>91.395288618472804</v>
      </c>
      <c r="AN564">
        <v>0.99999995295502397</v>
      </c>
    </row>
    <row r="565" spans="1:40" x14ac:dyDescent="0.25">
      <c r="A565" t="str">
        <f>"20190312160613058"</f>
        <v>20190312160613058</v>
      </c>
      <c r="B565" t="str">
        <f>"1552377973055615"</f>
        <v>1552377973055615</v>
      </c>
      <c r="C565" t="s">
        <v>40</v>
      </c>
      <c r="D565">
        <v>3.5240809999999998</v>
      </c>
      <c r="E565">
        <v>0.50160119999999997</v>
      </c>
      <c r="F565" t="s">
        <v>42</v>
      </c>
      <c r="G565">
        <v>-158.19499999999999</v>
      </c>
      <c r="H565">
        <v>2.2685789999999999</v>
      </c>
      <c r="I565">
        <v>374.274</v>
      </c>
      <c r="J565">
        <v>-336.36110000000002</v>
      </c>
      <c r="K565">
        <v>1.1101920000000001</v>
      </c>
      <c r="L565">
        <v>368.2654</v>
      </c>
      <c r="M565">
        <v>0.99981339999999996</v>
      </c>
      <c r="N565">
        <v>0</v>
      </c>
      <c r="O565">
        <v>1.402435E-2</v>
      </c>
      <c r="P565">
        <v>0.99747529999999995</v>
      </c>
      <c r="Q565">
        <v>5.90457E-2</v>
      </c>
      <c r="R565">
        <v>3.9456779999999997E-2</v>
      </c>
      <c r="S565">
        <v>3.0023499999999999</v>
      </c>
      <c r="T565">
        <v>1.9492510000000001E-2</v>
      </c>
      <c r="U565">
        <v>0.1011658</v>
      </c>
      <c r="V565">
        <v>-2.5472939999999999E-2</v>
      </c>
      <c r="W565">
        <v>7.2301969999999993E-2</v>
      </c>
      <c r="X565">
        <v>0.99705739999999998</v>
      </c>
      <c r="Y565">
        <v>-1.965536E-2</v>
      </c>
      <c r="Z565" s="1">
        <v>2.723894E-5</v>
      </c>
      <c r="AA565">
        <v>0.9998068</v>
      </c>
      <c r="AB565">
        <v>29</v>
      </c>
      <c r="AC565">
        <v>178.1661</v>
      </c>
      <c r="AD565">
        <v>1.1583869999999901</v>
      </c>
      <c r="AE565">
        <v>6.0086000000000004</v>
      </c>
      <c r="AF565">
        <v>-3.5089765499776502</v>
      </c>
      <c r="AG565">
        <v>1.1583869999999901</v>
      </c>
      <c r="AH565">
        <v>178.225323665932</v>
      </c>
      <c r="AI565">
        <v>89.627679777971096</v>
      </c>
      <c r="AJ565">
        <v>91.127918136069894</v>
      </c>
      <c r="AK565">
        <v>178.26362717250001</v>
      </c>
      <c r="AL565">
        <v>85.853784263048595</v>
      </c>
      <c r="AM565">
        <v>91.4634809773342</v>
      </c>
      <c r="AN565">
        <v>0.999999952216441</v>
      </c>
    </row>
    <row r="566" spans="1:40" x14ac:dyDescent="0.25">
      <c r="A566" t="str">
        <f>"20190312160613406"</f>
        <v>20190312160613406</v>
      </c>
      <c r="B566" t="str">
        <f>"1552377973395264"</f>
        <v>1552377973395264</v>
      </c>
      <c r="C566" t="s">
        <v>40</v>
      </c>
      <c r="D566">
        <v>6.2048779999999999</v>
      </c>
      <c r="E566">
        <v>0.50160119999999997</v>
      </c>
      <c r="F566" t="s">
        <v>42</v>
      </c>
      <c r="G566">
        <v>-158.19499999999999</v>
      </c>
      <c r="H566">
        <v>2.0867939999999998</v>
      </c>
      <c r="I566">
        <v>374.3082</v>
      </c>
      <c r="J566">
        <v>-331.86849999999998</v>
      </c>
      <c r="K566">
        <v>1.109756</v>
      </c>
      <c r="L566">
        <v>368.32659999999998</v>
      </c>
      <c r="M566">
        <v>0.99984649999999997</v>
      </c>
      <c r="N566">
        <v>0</v>
      </c>
      <c r="O566">
        <v>1.2542569999999999E-2</v>
      </c>
      <c r="P566">
        <v>0.99756350000000005</v>
      </c>
      <c r="Q566">
        <v>5.8742129999999997E-2</v>
      </c>
      <c r="R566">
        <v>3.7638419999999999E-2</v>
      </c>
      <c r="S566">
        <v>3.0025940000000002</v>
      </c>
      <c r="T566">
        <v>1.6459939999999999E-2</v>
      </c>
      <c r="U566">
        <v>0.1018372</v>
      </c>
      <c r="V566">
        <v>-2.5079779999999999E-2</v>
      </c>
      <c r="W566">
        <v>7.0970259999999993E-2</v>
      </c>
      <c r="X566">
        <v>0.99716309999999997</v>
      </c>
      <c r="Y566">
        <v>-2.1357810000000001E-2</v>
      </c>
      <c r="Z566" s="1">
        <v>1.0213540000000001E-5</v>
      </c>
      <c r="AA566">
        <v>0.99977190000000005</v>
      </c>
      <c r="AB566">
        <v>29</v>
      </c>
      <c r="AC566">
        <v>173.67349999999999</v>
      </c>
      <c r="AD566">
        <v>0.97703799999999996</v>
      </c>
      <c r="AE566">
        <v>5.98160000000001</v>
      </c>
      <c r="AF566">
        <v>-3.8025341548386802</v>
      </c>
      <c r="AG566">
        <v>0.97703799999999996</v>
      </c>
      <c r="AH566">
        <v>173.72937506026099</v>
      </c>
      <c r="AI566">
        <v>89.677854366081505</v>
      </c>
      <c r="AJ566">
        <v>91.253871873202996</v>
      </c>
      <c r="AK566">
        <v>173.773731122057</v>
      </c>
      <c r="AL566">
        <v>85.930282408834103</v>
      </c>
      <c r="AM566">
        <v>91.440749925261102</v>
      </c>
      <c r="AN566">
        <v>1.0000000105854601</v>
      </c>
    </row>
    <row r="567" spans="1:40" x14ac:dyDescent="0.25">
      <c r="A567" t="str">
        <f>"20190312160613428"</f>
        <v>20190312160613428</v>
      </c>
      <c r="B567" t="str">
        <f>"1552377973415759"</f>
        <v>1552377973415759</v>
      </c>
      <c r="C567" t="s">
        <v>40</v>
      </c>
      <c r="D567">
        <v>6.2203019999999896</v>
      </c>
      <c r="E567">
        <v>0.49752350000000001</v>
      </c>
      <c r="F567" t="s">
        <v>42</v>
      </c>
      <c r="G567">
        <v>-158.19499999999999</v>
      </c>
      <c r="H567">
        <v>2.010723</v>
      </c>
      <c r="I567">
        <v>373.8759</v>
      </c>
      <c r="J567">
        <v>-331.59359999999998</v>
      </c>
      <c r="K567">
        <v>1.109745</v>
      </c>
      <c r="L567">
        <v>368.3297</v>
      </c>
      <c r="M567">
        <v>0.99985100000000005</v>
      </c>
      <c r="N567">
        <v>0</v>
      </c>
      <c r="O567">
        <v>1.22276E-2</v>
      </c>
      <c r="P567">
        <v>0.99761279999999997</v>
      </c>
      <c r="Q567">
        <v>5.8381759999999998E-2</v>
      </c>
      <c r="R567">
        <v>3.6884790000000001E-2</v>
      </c>
      <c r="S567">
        <v>3.0028380000000001</v>
      </c>
      <c r="T567">
        <v>1.5579340000000001E-2</v>
      </c>
      <c r="U567">
        <v>9.5947270000000001E-2</v>
      </c>
      <c r="V567">
        <v>-2.4637360000000001E-2</v>
      </c>
      <c r="W567">
        <v>7.0555510000000002E-2</v>
      </c>
      <c r="X567">
        <v>0.99720350000000002</v>
      </c>
      <c r="Y567">
        <v>-1.9711139999999999E-2</v>
      </c>
      <c r="Z567" s="1">
        <v>1.230377E-5</v>
      </c>
      <c r="AA567">
        <v>0.99980570000000002</v>
      </c>
      <c r="AB567">
        <v>29</v>
      </c>
      <c r="AC567">
        <v>173.39859999999999</v>
      </c>
      <c r="AD567">
        <v>0.90097799999999995</v>
      </c>
      <c r="AE567">
        <v>5.54619999999999</v>
      </c>
      <c r="AF567">
        <v>-3.42528679376138</v>
      </c>
      <c r="AG567">
        <v>0.90097799999999995</v>
      </c>
      <c r="AH567">
        <v>173.448778519038</v>
      </c>
      <c r="AI567">
        <v>89.702438321190201</v>
      </c>
      <c r="AJ567">
        <v>91.131336710713299</v>
      </c>
      <c r="AK567">
        <v>173.48493629339299</v>
      </c>
      <c r="AL567">
        <v>85.954105308293407</v>
      </c>
      <c r="AM567">
        <v>91.415287481863601</v>
      </c>
      <c r="AN567">
        <v>0.99999994995568797</v>
      </c>
    </row>
    <row r="568" spans="1:40" x14ac:dyDescent="0.25">
      <c r="A568" t="str">
        <f>"20190312160613442"</f>
        <v>20190312160613442</v>
      </c>
      <c r="B568" t="str">
        <f>"1552377973435280"</f>
        <v>1552377973435280</v>
      </c>
      <c r="C568" t="s">
        <v>40</v>
      </c>
      <c r="D568">
        <v>6.2957409999999996</v>
      </c>
      <c r="E568">
        <v>0.49796469999999998</v>
      </c>
      <c r="F568" t="s">
        <v>44</v>
      </c>
      <c r="G568">
        <v>-330.80029999999999</v>
      </c>
      <c r="H568">
        <v>1.0009870000000001</v>
      </c>
      <c r="I568">
        <v>368.35989999999998</v>
      </c>
      <c r="J568">
        <v>-331.41739999999999</v>
      </c>
      <c r="K568">
        <v>1.1097360000000001</v>
      </c>
      <c r="L568">
        <v>368.33159999999998</v>
      </c>
      <c r="M568">
        <v>0.99985380000000001</v>
      </c>
      <c r="N568">
        <v>0</v>
      </c>
      <c r="O568">
        <v>1.2021499999999999E-2</v>
      </c>
      <c r="P568">
        <v>0.99760110000000002</v>
      </c>
      <c r="Q568">
        <v>5.8704199999999901E-2</v>
      </c>
      <c r="R568">
        <v>3.6688199999999997E-2</v>
      </c>
      <c r="S568">
        <v>3.0272220000000001</v>
      </c>
      <c r="T568">
        <v>-0.4151378</v>
      </c>
      <c r="U568">
        <v>0.1157837</v>
      </c>
      <c r="V568">
        <v>-2.464541E-2</v>
      </c>
      <c r="W568">
        <v>7.0844690000000002E-2</v>
      </c>
      <c r="X568">
        <v>0.99718280000000004</v>
      </c>
      <c r="Y568">
        <v>-2.607191E-2</v>
      </c>
      <c r="Z568">
        <v>1.3842260000000001E-4</v>
      </c>
      <c r="AA568">
        <v>0.99966010000000005</v>
      </c>
      <c r="AB568">
        <v>29</v>
      </c>
      <c r="AC568">
        <v>0.61709999999999299</v>
      </c>
      <c r="AD568">
        <v>-0.108748999999999</v>
      </c>
      <c r="AE568">
        <v>2.8300000000001501E-2</v>
      </c>
      <c r="AF568">
        <v>-2.02513415758621E-2</v>
      </c>
      <c r="AG568">
        <v>-0.108748999999999</v>
      </c>
      <c r="AH568">
        <v>0.59883742935464201</v>
      </c>
      <c r="AI568">
        <v>100.28700154385901</v>
      </c>
      <c r="AJ568">
        <v>91.936876887971707</v>
      </c>
      <c r="AK568">
        <v>0.60896857770553203</v>
      </c>
      <c r="AL568">
        <v>85.937494954583698</v>
      </c>
      <c r="AM568">
        <v>91.415779100941606</v>
      </c>
      <c r="AN568">
        <v>0.99999995147555099</v>
      </c>
    </row>
    <row r="569" spans="1:40" x14ac:dyDescent="0.25">
      <c r="A569" t="str">
        <f>"20190312160613454"</f>
        <v>20190312160613454</v>
      </c>
      <c r="B569" t="str">
        <f>"1552377973446016"</f>
        <v>1552377973446016</v>
      </c>
      <c r="C569" t="s">
        <v>40</v>
      </c>
      <c r="D569">
        <v>6.2392529999999997</v>
      </c>
      <c r="E569">
        <v>0.49869649999999999</v>
      </c>
      <c r="F569" t="s">
        <v>45</v>
      </c>
      <c r="G569">
        <v>-314.11470000000003</v>
      </c>
      <c r="H569">
        <v>-0.05</v>
      </c>
      <c r="I569">
        <v>369.00299999999999</v>
      </c>
      <c r="J569">
        <v>-331.24540000000002</v>
      </c>
      <c r="K569">
        <v>1.1097220000000001</v>
      </c>
      <c r="L569">
        <v>368.33350000000002</v>
      </c>
      <c r="M569">
        <v>0.99985659999999998</v>
      </c>
      <c r="N569">
        <v>0</v>
      </c>
      <c r="O569">
        <v>1.1818209999999999E-2</v>
      </c>
      <c r="P569">
        <v>0.99758519999999995</v>
      </c>
      <c r="Q569">
        <v>5.8996630000000001E-2</v>
      </c>
      <c r="R569">
        <v>3.6645799999999999E-2</v>
      </c>
      <c r="S569">
        <v>3.0148009999999998</v>
      </c>
      <c r="T569">
        <v>-0.20207079999999999</v>
      </c>
      <c r="U569">
        <v>0.11697390000000001</v>
      </c>
      <c r="V569">
        <v>-2.4805190000000001E-2</v>
      </c>
      <c r="W569">
        <v>7.1105340000000003E-2</v>
      </c>
      <c r="X569">
        <v>0.9971603</v>
      </c>
      <c r="Y569">
        <v>-2.692396E-2</v>
      </c>
      <c r="Z569">
        <v>1.100122E-4</v>
      </c>
      <c r="AA569">
        <v>0.99963749999999996</v>
      </c>
      <c r="AB569">
        <v>29</v>
      </c>
      <c r="AC569">
        <v>17.130699999999901</v>
      </c>
      <c r="AD569">
        <v>-1.1597219999999999</v>
      </c>
      <c r="AE569">
        <v>0.66950000000002696</v>
      </c>
      <c r="AF569">
        <v>-0.46485690584949202</v>
      </c>
      <c r="AG569">
        <v>-1.1597219999999999</v>
      </c>
      <c r="AH569">
        <v>17.059351173517499</v>
      </c>
      <c r="AI569">
        <v>93.8876364073394</v>
      </c>
      <c r="AJ569">
        <v>91.560888757660393</v>
      </c>
      <c r="AK569">
        <v>17.105043394320699</v>
      </c>
      <c r="AL569">
        <v>85.922523107859803</v>
      </c>
      <c r="AM569">
        <v>91.424986182873795</v>
      </c>
      <c r="AN569">
        <v>0.99999996536177005</v>
      </c>
    </row>
    <row r="570" spans="1:40" x14ac:dyDescent="0.25">
      <c r="A570" t="str">
        <f>"20190312160613465"</f>
        <v>20190312160613465</v>
      </c>
      <c r="B570" t="str">
        <f>"1552377973455776"</f>
        <v>1552377973455776</v>
      </c>
      <c r="C570" t="s">
        <v>40</v>
      </c>
      <c r="D570">
        <v>6.2537629999999904</v>
      </c>
      <c r="E570">
        <v>0.499751</v>
      </c>
      <c r="F570" t="s">
        <v>45</v>
      </c>
      <c r="G570">
        <v>-309.37599999999998</v>
      </c>
      <c r="H570">
        <v>-0.05</v>
      </c>
      <c r="I570">
        <v>369.14609999999999</v>
      </c>
      <c r="J570">
        <v>-331.09390000000002</v>
      </c>
      <c r="K570">
        <v>1.1097170000000001</v>
      </c>
      <c r="L570">
        <v>368.33510000000001</v>
      </c>
      <c r="M570">
        <v>0.99985919999999895</v>
      </c>
      <c r="N570">
        <v>0</v>
      </c>
      <c r="O570">
        <v>1.16375E-2</v>
      </c>
      <c r="P570">
        <v>0.99754699999999996</v>
      </c>
      <c r="Q570">
        <v>5.9558130000000001E-2</v>
      </c>
      <c r="R570">
        <v>3.6783589999999998E-2</v>
      </c>
      <c r="S570">
        <v>3.0125730000000002</v>
      </c>
      <c r="T570">
        <v>-0.15975500000000001</v>
      </c>
      <c r="U570">
        <v>0.1119385</v>
      </c>
      <c r="V570">
        <v>-2.5122800000000001E-2</v>
      </c>
      <c r="W570">
        <v>7.1641369999999996E-2</v>
      </c>
      <c r="X570">
        <v>0.99711399999999994</v>
      </c>
      <c r="Y570">
        <v>-2.547922E-2</v>
      </c>
      <c r="Z570" s="1">
        <v>5.8381409999999997E-5</v>
      </c>
      <c r="AA570">
        <v>0.99967530000000004</v>
      </c>
      <c r="AB570">
        <v>29</v>
      </c>
      <c r="AC570">
        <v>21.7179</v>
      </c>
      <c r="AD570">
        <v>-1.1597170000000001</v>
      </c>
      <c r="AE570">
        <v>0.81099999999997796</v>
      </c>
      <c r="AF570">
        <v>-0.55659962492887705</v>
      </c>
      <c r="AG570">
        <v>-1.1597170000000001</v>
      </c>
      <c r="AH570">
        <v>21.6641791196353</v>
      </c>
      <c r="AI570">
        <v>93.063198033403495</v>
      </c>
      <c r="AJ570">
        <v>91.471728750170001</v>
      </c>
      <c r="AK570">
        <v>21.702336362479599</v>
      </c>
      <c r="AL570">
        <v>85.891732403819503</v>
      </c>
      <c r="AM570">
        <v>91.443291273967603</v>
      </c>
      <c r="AN570">
        <v>0.99999998498565801</v>
      </c>
    </row>
    <row r="571" spans="1:40" x14ac:dyDescent="0.25">
      <c r="A571" t="str">
        <f>"20190312160613484"</f>
        <v>20190312160613484</v>
      </c>
      <c r="B571" t="str">
        <f>"1552377973475296"</f>
        <v>1552377973475296</v>
      </c>
      <c r="C571" t="s">
        <v>40</v>
      </c>
      <c r="D571">
        <v>6.2150230000000004</v>
      </c>
      <c r="E571">
        <v>0.50061699999999998</v>
      </c>
      <c r="F571" t="s">
        <v>45</v>
      </c>
      <c r="G571">
        <v>-305.73110000000003</v>
      </c>
      <c r="H571">
        <v>-0.05</v>
      </c>
      <c r="I571">
        <v>369.21449999999999</v>
      </c>
      <c r="J571">
        <v>-330.86970000000002</v>
      </c>
      <c r="K571">
        <v>1.1097109999999999</v>
      </c>
      <c r="L571">
        <v>368.3374</v>
      </c>
      <c r="M571">
        <v>0.99986269999999999</v>
      </c>
      <c r="N571">
        <v>0</v>
      </c>
      <c r="O571">
        <v>1.1370379999999999E-2</v>
      </c>
      <c r="P571">
        <v>0.99749109999999996</v>
      </c>
      <c r="Q571">
        <v>6.0249379999999998E-2</v>
      </c>
      <c r="R571">
        <v>3.7177380000000003E-2</v>
      </c>
      <c r="S571">
        <v>3.0117799999999999</v>
      </c>
      <c r="T571">
        <v>-0.137714</v>
      </c>
      <c r="U571">
        <v>0.1044312</v>
      </c>
      <c r="V571">
        <v>-2.578341E-2</v>
      </c>
      <c r="W571">
        <v>7.2297699999999895E-2</v>
      </c>
      <c r="X571">
        <v>0.99704970000000004</v>
      </c>
      <c r="Y571">
        <v>-2.3274369999999999E-2</v>
      </c>
      <c r="Z571" s="1">
        <v>1.218583E-5</v>
      </c>
      <c r="AA571">
        <v>0.99972910000000004</v>
      </c>
      <c r="AB571">
        <v>29</v>
      </c>
      <c r="AC571">
        <v>25.1386</v>
      </c>
      <c r="AD571">
        <v>-1.1597109999999999</v>
      </c>
      <c r="AE571">
        <v>0.877099999999984</v>
      </c>
      <c r="AF571">
        <v>-0.58993310613004901</v>
      </c>
      <c r="AG571">
        <v>-1.1597109999999999</v>
      </c>
      <c r="AH571">
        <v>25.0936084759628</v>
      </c>
      <c r="AI571">
        <v>92.645334332668597</v>
      </c>
      <c r="AJ571">
        <v>91.346735452858795</v>
      </c>
      <c r="AK571">
        <v>25.127318540149499</v>
      </c>
      <c r="AL571">
        <v>85.854029436494997</v>
      </c>
      <c r="AM571">
        <v>91.481321752285098</v>
      </c>
      <c r="AN571">
        <v>0.99999992296330098</v>
      </c>
    </row>
    <row r="572" spans="1:40" x14ac:dyDescent="0.25">
      <c r="A572" t="str">
        <f>"20190312160613496"</f>
        <v>20190312160613496</v>
      </c>
      <c r="B572" t="str">
        <f>"1552377973486033"</f>
        <v>1552377973486033</v>
      </c>
      <c r="C572" t="s">
        <v>40</v>
      </c>
      <c r="D572">
        <v>6.2098129999999996</v>
      </c>
      <c r="E572">
        <v>0.500917099999999</v>
      </c>
      <c r="F572" t="s">
        <v>45</v>
      </c>
      <c r="G572">
        <v>-288.51029999999997</v>
      </c>
      <c r="H572">
        <v>-0.05</v>
      </c>
      <c r="I572">
        <v>369.7466</v>
      </c>
      <c r="J572">
        <v>-330.70940000000002</v>
      </c>
      <c r="K572">
        <v>1.109702</v>
      </c>
      <c r="L572">
        <v>368.33909999999997</v>
      </c>
      <c r="M572">
        <v>0.99986509999999995</v>
      </c>
      <c r="N572">
        <v>0</v>
      </c>
      <c r="O572">
        <v>1.117926E-2</v>
      </c>
      <c r="P572">
        <v>0.99749310000000002</v>
      </c>
      <c r="Q572">
        <v>6.0158120000000002E-2</v>
      </c>
      <c r="R572">
        <v>3.7268179999999998E-2</v>
      </c>
      <c r="S572">
        <v>3.0088200000000001</v>
      </c>
      <c r="T572">
        <v>-8.2375050000000005E-2</v>
      </c>
      <c r="U572">
        <v>0.1000977</v>
      </c>
      <c r="V572">
        <v>-2.6065080000000001E-2</v>
      </c>
      <c r="W572">
        <v>7.2183079999999997E-2</v>
      </c>
      <c r="X572">
        <v>0.99705080000000001</v>
      </c>
      <c r="Y572">
        <v>-2.206965E-2</v>
      </c>
      <c r="Z572" s="1">
        <v>-3.9555599999999996E-6</v>
      </c>
      <c r="AA572">
        <v>0.99975650000000005</v>
      </c>
      <c r="AB572">
        <v>29</v>
      </c>
      <c r="AC572">
        <v>42.199100000000001</v>
      </c>
      <c r="AD572">
        <v>-1.159702</v>
      </c>
      <c r="AE572">
        <v>1.40750000000002</v>
      </c>
      <c r="AF572">
        <v>-0.93491785684861295</v>
      </c>
      <c r="AG572">
        <v>-1.159702</v>
      </c>
      <c r="AH572">
        <v>42.180377534526201</v>
      </c>
      <c r="AI572">
        <v>91.574499701867794</v>
      </c>
      <c r="AJ572">
        <v>91.269739178732493</v>
      </c>
      <c r="AK572">
        <v>42.206672802804803</v>
      </c>
      <c r="AL572">
        <v>85.860614374737395</v>
      </c>
      <c r="AM572">
        <v>91.497495422018105</v>
      </c>
      <c r="AN572">
        <v>1.0000000416071599</v>
      </c>
    </row>
    <row r="573" spans="1:40" x14ac:dyDescent="0.25">
      <c r="A573" t="str">
        <f>"20190312160613508"</f>
        <v>20190312160613508</v>
      </c>
      <c r="B573" t="str">
        <f>"1552377973495792"</f>
        <v>1552377973495792</v>
      </c>
      <c r="C573" t="s">
        <v>40</v>
      </c>
      <c r="D573">
        <v>5.6075309999999998</v>
      </c>
      <c r="E573">
        <v>0.500917099999999</v>
      </c>
      <c r="F573" t="s">
        <v>45</v>
      </c>
      <c r="G573">
        <v>-291.32740000000001</v>
      </c>
      <c r="H573">
        <v>-0.05</v>
      </c>
      <c r="I573">
        <v>369.61790000000002</v>
      </c>
      <c r="J573">
        <v>-330.54349999999999</v>
      </c>
      <c r="K573">
        <v>1.1096980000000001</v>
      </c>
      <c r="L573">
        <v>368.34070000000003</v>
      </c>
      <c r="M573">
        <v>0.99986759999999997</v>
      </c>
      <c r="N573">
        <v>0</v>
      </c>
      <c r="O573">
        <v>1.098241E-2</v>
      </c>
      <c r="P573">
        <v>0.99749699999999997</v>
      </c>
      <c r="Q573">
        <v>6.0071960000000001E-2</v>
      </c>
      <c r="R573">
        <v>3.7300020000000003E-2</v>
      </c>
      <c r="S573">
        <v>3.0092469999999998</v>
      </c>
      <c r="T573">
        <v>-8.8614940000000003E-2</v>
      </c>
      <c r="U573">
        <v>9.7717289999999998E-2</v>
      </c>
      <c r="V573">
        <v>-2.629302E-2</v>
      </c>
      <c r="W573">
        <v>7.2074639999999995E-2</v>
      </c>
      <c r="X573">
        <v>0.99705259999999996</v>
      </c>
      <c r="Y573">
        <v>-2.1471319999999999E-2</v>
      </c>
      <c r="Z573" s="1">
        <v>-7.2667609999999996E-6</v>
      </c>
      <c r="AA573">
        <v>0.99976940000000003</v>
      </c>
      <c r="AB573">
        <v>29</v>
      </c>
      <c r="AC573">
        <v>39.216099999999898</v>
      </c>
      <c r="AD573">
        <v>-1.1596979999999999</v>
      </c>
      <c r="AE573">
        <v>1.2771999999999899</v>
      </c>
      <c r="AF573">
        <v>-0.84566587157328199</v>
      </c>
      <c r="AG573">
        <v>-1.1596979999999999</v>
      </c>
      <c r="AH573">
        <v>39.193523825949796</v>
      </c>
      <c r="AI573">
        <v>91.694437376043297</v>
      </c>
      <c r="AJ573">
        <v>91.236060540944095</v>
      </c>
      <c r="AK573">
        <v>39.219795513399099</v>
      </c>
      <c r="AL573">
        <v>85.866843507130596</v>
      </c>
      <c r="AM573">
        <v>91.510582302582705</v>
      </c>
      <c r="AN573">
        <v>0.99999998189930395</v>
      </c>
    </row>
    <row r="574" spans="1:40" x14ac:dyDescent="0.25">
      <c r="A574" t="str">
        <f>"20190312160613583"</f>
        <v>20190312160613583</v>
      </c>
      <c r="B574" t="str">
        <f>"1552377973575855"</f>
        <v>1552377973575855</v>
      </c>
      <c r="C574" t="s">
        <v>40</v>
      </c>
      <c r="D574">
        <v>6.4286320000000003</v>
      </c>
      <c r="E574">
        <v>0.51403390000000004</v>
      </c>
      <c r="F574" t="s">
        <v>45</v>
      </c>
      <c r="G574">
        <v>-291.27670000000001</v>
      </c>
      <c r="H574">
        <v>-0.05</v>
      </c>
      <c r="I574">
        <v>369.61739999999998</v>
      </c>
      <c r="J574">
        <v>-329.57940000000002</v>
      </c>
      <c r="K574">
        <v>1.1096919999999999</v>
      </c>
      <c r="L574">
        <v>368.34960000000001</v>
      </c>
      <c r="M574">
        <v>0.99988069999999896</v>
      </c>
      <c r="N574">
        <v>0</v>
      </c>
      <c r="O574">
        <v>9.8458720000000003E-3</v>
      </c>
      <c r="P574">
        <v>0.99755159999999998</v>
      </c>
      <c r="Q574">
        <v>6.0466800000000001E-2</v>
      </c>
      <c r="R574">
        <v>3.5140480000000002E-2</v>
      </c>
      <c r="S574">
        <v>3.0092159999999999</v>
      </c>
      <c r="T574">
        <v>-8.8873510000000003E-2</v>
      </c>
      <c r="U574">
        <v>9.783936E-2</v>
      </c>
      <c r="V574">
        <v>-2.5266489999999999E-2</v>
      </c>
      <c r="W574">
        <v>7.2365219999999994E-2</v>
      </c>
      <c r="X574">
        <v>0.99705809999999995</v>
      </c>
      <c r="Y574">
        <v>-2.2647540000000001E-2</v>
      </c>
      <c r="Z574" s="1">
        <v>4.3621429999999997E-5</v>
      </c>
      <c r="AA574">
        <v>0.99974350000000001</v>
      </c>
      <c r="AB574">
        <v>29</v>
      </c>
      <c r="AC574">
        <v>38.302700000000002</v>
      </c>
      <c r="AD574">
        <v>-1.1596919999999999</v>
      </c>
      <c r="AE574">
        <v>1.2677999999999601</v>
      </c>
      <c r="AF574">
        <v>-0.88977358422054997</v>
      </c>
      <c r="AG574">
        <v>-1.1596919999999999</v>
      </c>
      <c r="AH574">
        <v>38.278275379642601</v>
      </c>
      <c r="AI574">
        <v>91.734853802691504</v>
      </c>
      <c r="AJ574">
        <v>91.331593223904704</v>
      </c>
      <c r="AK574">
        <v>38.306173766193197</v>
      </c>
      <c r="AL574">
        <v>85.850150934331893</v>
      </c>
      <c r="AM574">
        <v>91.451624010958994</v>
      </c>
      <c r="AN574">
        <v>0.99999998767908904</v>
      </c>
    </row>
    <row r="575" spans="1:40" x14ac:dyDescent="0.25">
      <c r="A575" t="str">
        <f>"20190312160613594"</f>
        <v>20190312160613594</v>
      </c>
      <c r="B575" t="str">
        <f>"1552377973585614"</f>
        <v>1552377973585614</v>
      </c>
      <c r="C575" t="s">
        <v>40</v>
      </c>
      <c r="D575">
        <v>6.3755249999999997</v>
      </c>
      <c r="E575">
        <v>0.51403390000000004</v>
      </c>
      <c r="F575" t="s">
        <v>44</v>
      </c>
      <c r="G575">
        <v>-328.81849999999997</v>
      </c>
      <c r="H575">
        <v>0.80906699999999998</v>
      </c>
      <c r="I575">
        <v>368.33969999999999</v>
      </c>
      <c r="J575">
        <v>-329.43759999999997</v>
      </c>
      <c r="K575">
        <v>1.1096900000000001</v>
      </c>
      <c r="L575">
        <v>368.35090000000002</v>
      </c>
      <c r="M575">
        <v>0.99988259999999995</v>
      </c>
      <c r="N575">
        <v>0</v>
      </c>
      <c r="O575">
        <v>9.6774960000000007E-3</v>
      </c>
      <c r="P575">
        <v>0.99756630000000002</v>
      </c>
      <c r="Q575">
        <v>6.0609339999999998E-2</v>
      </c>
      <c r="R575">
        <v>3.4472469999999998E-2</v>
      </c>
      <c r="S575">
        <v>3.0825809999999998</v>
      </c>
      <c r="T575">
        <v>-1.217867</v>
      </c>
      <c r="U575">
        <v>-3.9703370000000002E-2</v>
      </c>
      <c r="V575">
        <v>-2.4766090000000001E-2</v>
      </c>
      <c r="W575">
        <v>7.249601E-2</v>
      </c>
      <c r="X575">
        <v>0.99706119999999998</v>
      </c>
      <c r="Y575">
        <v>2.0301019999999999E-2</v>
      </c>
      <c r="Z575">
        <v>-7.5497139999999999E-3</v>
      </c>
      <c r="AA575">
        <v>0.99976540000000003</v>
      </c>
      <c r="AB575">
        <v>29</v>
      </c>
      <c r="AC575">
        <v>0.61910000000000298</v>
      </c>
      <c r="AD575">
        <v>-0.30062299999999997</v>
      </c>
      <c r="AE575">
        <v>-1.1200000000030699E-2</v>
      </c>
      <c r="AF575">
        <v>1.3912014797164401E-2</v>
      </c>
      <c r="AG575">
        <v>-0.30062299999999997</v>
      </c>
      <c r="AH575">
        <v>0.50089574409401805</v>
      </c>
      <c r="AI575">
        <v>120.961205369467</v>
      </c>
      <c r="AJ575">
        <v>88.409060422274493</v>
      </c>
      <c r="AK575">
        <v>0.58434944916224296</v>
      </c>
      <c r="AL575">
        <v>85.842637676105696</v>
      </c>
      <c r="AM575">
        <v>91.422882276358294</v>
      </c>
      <c r="AN575">
        <v>1.00000003361262</v>
      </c>
    </row>
    <row r="576" spans="1:40" x14ac:dyDescent="0.25">
      <c r="A576" t="str">
        <f>"20190312160613606"</f>
        <v>20190312160613606</v>
      </c>
      <c r="B576" t="str">
        <f>"1552377973595375"</f>
        <v>1552377973595375</v>
      </c>
      <c r="C576" t="s">
        <v>40</v>
      </c>
      <c r="D576">
        <v>6.5857910000000004</v>
      </c>
      <c r="E576">
        <v>0.51550509999999905</v>
      </c>
      <c r="F576" t="s">
        <v>44</v>
      </c>
      <c r="G576">
        <v>-328.57560000000001</v>
      </c>
      <c r="H576">
        <v>0.7692177</v>
      </c>
      <c r="I576">
        <v>368.33929999999998</v>
      </c>
      <c r="J576">
        <v>-329.28800000000001</v>
      </c>
      <c r="K576">
        <v>1.1096870000000001</v>
      </c>
      <c r="L576">
        <v>368.35219999999998</v>
      </c>
      <c r="M576">
        <v>0.99988429999999995</v>
      </c>
      <c r="N576">
        <v>0</v>
      </c>
      <c r="O576">
        <v>9.4959810000000006E-3</v>
      </c>
      <c r="P576">
        <v>0.9976005</v>
      </c>
      <c r="Q576">
        <v>6.0556939999999997E-2</v>
      </c>
      <c r="R576">
        <v>3.3564280000000002E-2</v>
      </c>
      <c r="S576">
        <v>3.0826720000000001</v>
      </c>
      <c r="T576">
        <v>-1.2175750000000001</v>
      </c>
      <c r="U576">
        <v>-4.058838E-2</v>
      </c>
      <c r="V576">
        <v>-2.4038779999999999E-2</v>
      </c>
      <c r="W576">
        <v>7.2432280000000002E-2</v>
      </c>
      <c r="X576">
        <v>0.99708359999999996</v>
      </c>
      <c r="Y576">
        <v>2.041256E-2</v>
      </c>
      <c r="Z576">
        <v>-7.49994599999999E-3</v>
      </c>
      <c r="AA576">
        <v>0.99976350000000003</v>
      </c>
      <c r="AB576">
        <v>29</v>
      </c>
      <c r="AC576">
        <v>0.71240000000000203</v>
      </c>
      <c r="AD576">
        <v>-0.34046929999999997</v>
      </c>
      <c r="AE576">
        <v>-1.29000000000019E-2</v>
      </c>
      <c r="AF576">
        <v>1.6009386561884401E-2</v>
      </c>
      <c r="AG576">
        <v>-0.34046929999999997</v>
      </c>
      <c r="AH576">
        <v>0.57984786916803399</v>
      </c>
      <c r="AI576">
        <v>120.410648927567</v>
      </c>
      <c r="AJ576">
        <v>88.418486361643502</v>
      </c>
      <c r="AK576">
        <v>0.67260627121614502</v>
      </c>
      <c r="AL576">
        <v>85.846298628396198</v>
      </c>
      <c r="AM576">
        <v>91.381081663136996</v>
      </c>
      <c r="AN576">
        <v>1.0000000017594199</v>
      </c>
    </row>
    <row r="577" spans="1:40" x14ac:dyDescent="0.25">
      <c r="A577" t="str">
        <f>"20190312160613618"</f>
        <v>20190312160613618</v>
      </c>
      <c r="B577" t="str">
        <f>"1552377973606110"</f>
        <v>1552377973606110</v>
      </c>
      <c r="C577" t="s">
        <v>40</v>
      </c>
      <c r="D577">
        <v>6.2994279999999998</v>
      </c>
      <c r="E577">
        <v>0.51596690000000001</v>
      </c>
      <c r="F577" t="s">
        <v>44</v>
      </c>
      <c r="G577">
        <v>-328.49990000000003</v>
      </c>
      <c r="H577">
        <v>0.94815740000000004</v>
      </c>
      <c r="I577">
        <v>368.34120000000001</v>
      </c>
      <c r="J577">
        <v>-329.13119999999998</v>
      </c>
      <c r="K577">
        <v>1.1096900000000001</v>
      </c>
      <c r="L577">
        <v>368.3535</v>
      </c>
      <c r="M577">
        <v>0.99988619999999995</v>
      </c>
      <c r="N577">
        <v>0</v>
      </c>
      <c r="O577">
        <v>9.3040880000000003E-3</v>
      </c>
      <c r="P577">
        <v>0.99761460000000002</v>
      </c>
      <c r="Q577">
        <v>6.0758760000000002E-2</v>
      </c>
      <c r="R577">
        <v>3.2765950000000002E-2</v>
      </c>
      <c r="S577">
        <v>3.0465390000000001</v>
      </c>
      <c r="T577">
        <v>-0.62456669999999903</v>
      </c>
      <c r="U577">
        <v>-4.162598E-2</v>
      </c>
      <c r="V577">
        <v>-2.343083E-2</v>
      </c>
      <c r="W577">
        <v>7.2622049999999994E-2</v>
      </c>
      <c r="X577">
        <v>0.99708430000000003</v>
      </c>
      <c r="Y577">
        <v>2.2308000000000001E-2</v>
      </c>
      <c r="Z577">
        <v>-4.1508719999999999E-3</v>
      </c>
      <c r="AA577">
        <v>0.99974249999999998</v>
      </c>
      <c r="AB577">
        <v>29</v>
      </c>
      <c r="AC577">
        <v>0.63129999999995301</v>
      </c>
      <c r="AD577">
        <v>-0.1615326</v>
      </c>
      <c r="AE577">
        <v>-1.22999999999819E-2</v>
      </c>
      <c r="AF577">
        <v>1.70572232703247E-2</v>
      </c>
      <c r="AG577">
        <v>-0.1615326</v>
      </c>
      <c r="AH577">
        <v>0.59238867748433699</v>
      </c>
      <c r="AI577">
        <v>105.246577826893</v>
      </c>
      <c r="AJ577">
        <v>88.350682613805901</v>
      </c>
      <c r="AK577">
        <v>0.61425408011676697</v>
      </c>
      <c r="AL577">
        <v>85.835397030866105</v>
      </c>
      <c r="AM577">
        <v>91.346165650648899</v>
      </c>
      <c r="AN577">
        <v>1.0000000336235899</v>
      </c>
    </row>
    <row r="578" spans="1:40" x14ac:dyDescent="0.25">
      <c r="A578" t="str">
        <f>"20190312160613641"</f>
        <v>20190312160613641</v>
      </c>
      <c r="B578" t="str">
        <f>"1552377973635390"</f>
        <v>1552377973635390</v>
      </c>
      <c r="C578" t="s">
        <v>40</v>
      </c>
      <c r="D578">
        <v>6.258578</v>
      </c>
      <c r="E578">
        <v>0.51738519999999999</v>
      </c>
      <c r="F578" t="s">
        <v>44</v>
      </c>
      <c r="G578">
        <v>-328.23630000000003</v>
      </c>
      <c r="H578">
        <v>0.9586247</v>
      </c>
      <c r="I578">
        <v>368.3399</v>
      </c>
      <c r="J578">
        <v>-328.8433</v>
      </c>
      <c r="K578">
        <v>1.109683</v>
      </c>
      <c r="L578">
        <v>368.35579999999999</v>
      </c>
      <c r="M578">
        <v>0.99988969999999999</v>
      </c>
      <c r="N578">
        <v>0</v>
      </c>
      <c r="O578">
        <v>8.9421180000000006E-3</v>
      </c>
      <c r="P578">
        <v>0.9976431</v>
      </c>
      <c r="Q578">
        <v>6.0729379999999999E-2</v>
      </c>
      <c r="R578">
        <v>3.19464E-2</v>
      </c>
      <c r="S578">
        <v>3.0399479999999999</v>
      </c>
      <c r="T578">
        <v>-0.51327489999999998</v>
      </c>
      <c r="U578">
        <v>-4.5257569999999997E-2</v>
      </c>
      <c r="V578">
        <v>-2.2971149999999999E-2</v>
      </c>
      <c r="W578">
        <v>7.2574949999999999E-2</v>
      </c>
      <c r="X578">
        <v>0.99709840000000005</v>
      </c>
      <c r="Y578">
        <v>2.3369870000000001E-2</v>
      </c>
      <c r="Z578">
        <v>-3.4581939999999999E-3</v>
      </c>
      <c r="AA578">
        <v>0.99972090000000002</v>
      </c>
      <c r="AB578">
        <v>29</v>
      </c>
      <c r="AC578">
        <v>0.60699999999997001</v>
      </c>
      <c r="AD578">
        <v>-0.15105830000000001</v>
      </c>
      <c r="AE578">
        <v>-1.5899999999987799E-2</v>
      </c>
      <c r="AF578">
        <v>2.0084594746688798E-2</v>
      </c>
      <c r="AG578">
        <v>-0.15105830000000001</v>
      </c>
      <c r="AH578">
        <v>0.57146603968712895</v>
      </c>
      <c r="AI578">
        <v>104.797867920594</v>
      </c>
      <c r="AJ578">
        <v>87.987126150709798</v>
      </c>
      <c r="AK578">
        <v>0.591435064449784</v>
      </c>
      <c r="AL578">
        <v>85.8381026958169</v>
      </c>
      <c r="AM578">
        <v>91.319746547709499</v>
      </c>
      <c r="AN578">
        <v>1.0000000081911899</v>
      </c>
    </row>
    <row r="579" spans="1:40" x14ac:dyDescent="0.25">
      <c r="A579" t="str">
        <f>"20190312160613661"</f>
        <v>20190312160613661</v>
      </c>
      <c r="B579" t="str">
        <f>"1552377973655886"</f>
        <v>1552377973655886</v>
      </c>
      <c r="C579" t="s">
        <v>40</v>
      </c>
      <c r="D579">
        <v>6.2214510000000001</v>
      </c>
      <c r="E579">
        <v>0.51566000000000001</v>
      </c>
      <c r="F579" t="s">
        <v>44</v>
      </c>
      <c r="G579">
        <v>-327.9479</v>
      </c>
      <c r="H579">
        <v>1.0195459999999901</v>
      </c>
      <c r="I579">
        <v>368.33929999999998</v>
      </c>
      <c r="J579">
        <v>-328.56810000000002</v>
      </c>
      <c r="K579">
        <v>1.1096820000000001</v>
      </c>
      <c r="L579">
        <v>368.3578</v>
      </c>
      <c r="M579">
        <v>0.99989320000000004</v>
      </c>
      <c r="N579">
        <v>0</v>
      </c>
      <c r="O579">
        <v>8.5827219999999992E-3</v>
      </c>
      <c r="P579">
        <v>0.99766239999999995</v>
      </c>
      <c r="Q579">
        <v>6.0675439999999997E-2</v>
      </c>
      <c r="R579">
        <v>3.1444260000000002E-2</v>
      </c>
      <c r="S579">
        <v>3.0274350000000001</v>
      </c>
      <c r="T579">
        <v>-0.30491279999999998</v>
      </c>
      <c r="U579">
        <v>-5.502319E-2</v>
      </c>
      <c r="V579">
        <v>-2.282578E-2</v>
      </c>
      <c r="W579">
        <v>7.2506459999999995E-2</v>
      </c>
      <c r="X579">
        <v>0.99710670000000001</v>
      </c>
      <c r="Y579">
        <v>2.6575270000000002E-2</v>
      </c>
      <c r="Z579">
        <v>-2.1970380000000001E-3</v>
      </c>
      <c r="AA579">
        <v>0.99964439999999999</v>
      </c>
      <c r="AB579">
        <v>29</v>
      </c>
      <c r="AC579">
        <v>0.62020000000001096</v>
      </c>
      <c r="AD579">
        <v>-9.0136000000000202E-2</v>
      </c>
      <c r="AE579">
        <v>-1.8500000000017201E-2</v>
      </c>
      <c r="AF579">
        <v>2.3330351796351199E-2</v>
      </c>
      <c r="AG579">
        <v>-9.0136000000000202E-2</v>
      </c>
      <c r="AH579">
        <v>0.607204450126138</v>
      </c>
      <c r="AI579">
        <v>98.437432437570607</v>
      </c>
      <c r="AJ579">
        <v>87.799631619926998</v>
      </c>
      <c r="AK579">
        <v>0.61430126816076802</v>
      </c>
      <c r="AL579">
        <v>85.842037161556604</v>
      </c>
      <c r="AM579">
        <v>91.311386713062006</v>
      </c>
      <c r="AN579">
        <v>0.99999998707961402</v>
      </c>
    </row>
    <row r="580" spans="1:40" x14ac:dyDescent="0.25">
      <c r="A580" t="str">
        <f>"20190312160613673"</f>
        <v>20190312160613673</v>
      </c>
      <c r="B580" t="str">
        <f>"1552377973665647"</f>
        <v>1552377973665647</v>
      </c>
      <c r="C580" t="s">
        <v>40</v>
      </c>
      <c r="D580">
        <v>6.2692889999999997</v>
      </c>
      <c r="E580">
        <v>0.51504039999999995</v>
      </c>
      <c r="F580" t="s">
        <v>44</v>
      </c>
      <c r="G580">
        <v>-327.6764</v>
      </c>
      <c r="H580">
        <v>1.042114</v>
      </c>
      <c r="I580">
        <v>368.34559999999999</v>
      </c>
      <c r="J580">
        <v>-328.4119</v>
      </c>
      <c r="K580">
        <v>1.109677</v>
      </c>
      <c r="L580">
        <v>368.35890000000001</v>
      </c>
      <c r="M580">
        <v>0.99989499999999998</v>
      </c>
      <c r="N580">
        <v>0</v>
      </c>
      <c r="O580">
        <v>8.3738939999999998E-3</v>
      </c>
      <c r="P580">
        <v>0.99768009999999996</v>
      </c>
      <c r="Q580">
        <v>6.0489500000000002E-2</v>
      </c>
      <c r="R580">
        <v>3.1240759999999999E-2</v>
      </c>
      <c r="S580">
        <v>3.0222470000000001</v>
      </c>
      <c r="T580">
        <v>-0.22897210000000001</v>
      </c>
      <c r="U580">
        <v>-4.1259770000000001E-2</v>
      </c>
      <c r="V580">
        <v>-2.282942E-2</v>
      </c>
      <c r="W580">
        <v>7.2312909999999994E-2</v>
      </c>
      <c r="X580">
        <v>0.99712069999999997</v>
      </c>
      <c r="Y580">
        <v>2.1937109999999999E-2</v>
      </c>
      <c r="Z580">
        <v>-1.4633090000000001E-3</v>
      </c>
      <c r="AA580">
        <v>0.99975829999999999</v>
      </c>
      <c r="AB580">
        <v>29</v>
      </c>
      <c r="AC580">
        <v>0.73550000000000104</v>
      </c>
      <c r="AD580">
        <v>-6.7562999999999998E-2</v>
      </c>
      <c r="AE580">
        <v>-1.33000000000151E-2</v>
      </c>
      <c r="AF580">
        <v>1.9296190522013298E-2</v>
      </c>
      <c r="AG580">
        <v>-6.7562999999999998E-2</v>
      </c>
      <c r="AH580">
        <v>0.72921156832228995</v>
      </c>
      <c r="AI580">
        <v>95.2916212290461</v>
      </c>
      <c r="AJ580">
        <v>88.484208999266002</v>
      </c>
      <c r="AK580">
        <v>0.73258897979202198</v>
      </c>
      <c r="AL580">
        <v>85.853156062392102</v>
      </c>
      <c r="AM580">
        <v>91.311577356365802</v>
      </c>
      <c r="AN580">
        <v>1.00000001486934</v>
      </c>
    </row>
    <row r="581" spans="1:40" x14ac:dyDescent="0.25">
      <c r="A581" t="str">
        <f>"20190312160613684"</f>
        <v>20190312160613684</v>
      </c>
      <c r="B581" t="str">
        <f>"1552377973675407"</f>
        <v>1552377973675407</v>
      </c>
      <c r="C581" t="s">
        <v>40</v>
      </c>
      <c r="D581">
        <v>6.2850539999999997</v>
      </c>
      <c r="E581">
        <v>0.51314040000000005</v>
      </c>
      <c r="F581" t="s">
        <v>45</v>
      </c>
      <c r="G581">
        <v>-311.39440000000002</v>
      </c>
      <c r="H581">
        <v>-0.05</v>
      </c>
      <c r="I581">
        <v>368.15379999999999</v>
      </c>
      <c r="J581">
        <v>-328.27929999999998</v>
      </c>
      <c r="K581">
        <v>1.109666</v>
      </c>
      <c r="L581">
        <v>368.35980000000001</v>
      </c>
      <c r="M581">
        <v>0.99989649999999997</v>
      </c>
      <c r="N581">
        <v>0</v>
      </c>
      <c r="O581">
        <v>8.1897900000000006E-3</v>
      </c>
      <c r="P581">
        <v>0.99773719999999999</v>
      </c>
      <c r="Q581">
        <v>5.9815159999999999E-2</v>
      </c>
      <c r="R581">
        <v>3.0709090000000001E-2</v>
      </c>
      <c r="S581">
        <v>3.0206300000000001</v>
      </c>
      <c r="T581">
        <v>-0.205845</v>
      </c>
      <c r="U581">
        <v>-3.6407469999999997E-2</v>
      </c>
      <c r="V581">
        <v>-2.248058E-2</v>
      </c>
      <c r="W581">
        <v>7.1633749999999996E-2</v>
      </c>
      <c r="X581">
        <v>0.99717769999999994</v>
      </c>
      <c r="Y581">
        <v>2.017565E-2</v>
      </c>
      <c r="Z581">
        <v>-1.2441069999999999E-3</v>
      </c>
      <c r="AA581">
        <v>0.99979569999999995</v>
      </c>
      <c r="AB581">
        <v>29</v>
      </c>
      <c r="AC581">
        <v>16.884899999999899</v>
      </c>
      <c r="AD581">
        <v>-1.1596660000000001</v>
      </c>
      <c r="AE581">
        <v>-0.206000000000017</v>
      </c>
      <c r="AF581">
        <v>0.34267040386617398</v>
      </c>
      <c r="AG581">
        <v>-1.1596660000000001</v>
      </c>
      <c r="AH581">
        <v>16.8033960706519</v>
      </c>
      <c r="AI581">
        <v>93.9471207235148</v>
      </c>
      <c r="AJ581">
        <v>88.831733369724702</v>
      </c>
      <c r="AK581">
        <v>16.8468503805442</v>
      </c>
      <c r="AL581">
        <v>85.892170463864005</v>
      </c>
      <c r="AM581">
        <v>91.291469122745397</v>
      </c>
      <c r="AN581">
        <v>1.00000006799674</v>
      </c>
    </row>
    <row r="582" spans="1:40" x14ac:dyDescent="0.25">
      <c r="A582" t="str">
        <f>"20190312160613695"</f>
        <v>20190312160613695</v>
      </c>
      <c r="B582" t="str">
        <f>"1552377973686142"</f>
        <v>1552377973686142</v>
      </c>
      <c r="C582" t="s">
        <v>40</v>
      </c>
      <c r="D582">
        <v>6.2931010000000001</v>
      </c>
      <c r="E582">
        <v>0.51288219999999995</v>
      </c>
      <c r="F582" t="s">
        <v>45</v>
      </c>
      <c r="G582">
        <v>-307.66800000000001</v>
      </c>
      <c r="H582">
        <v>-0.05</v>
      </c>
      <c r="I582">
        <v>368.21449999999999</v>
      </c>
      <c r="J582">
        <v>-328.12639999999999</v>
      </c>
      <c r="K582">
        <v>1.109658</v>
      </c>
      <c r="L582">
        <v>368.36090000000002</v>
      </c>
      <c r="M582">
        <v>0.99989839999999997</v>
      </c>
      <c r="N582">
        <v>0</v>
      </c>
      <c r="O582">
        <v>7.9755090000000004E-3</v>
      </c>
      <c r="P582">
        <v>0.99777400000000005</v>
      </c>
      <c r="Q582">
        <v>5.9545010000000002E-2</v>
      </c>
      <c r="R582">
        <v>3.0032179999999999E-2</v>
      </c>
      <c r="S582">
        <v>3.017639</v>
      </c>
      <c r="T582">
        <v>-0.169783399999999</v>
      </c>
      <c r="U582">
        <v>-2.1270750000000001E-2</v>
      </c>
      <c r="V582">
        <v>-2.2016460000000002E-2</v>
      </c>
      <c r="W582">
        <v>7.1357879999999999E-2</v>
      </c>
      <c r="X582">
        <v>0.99720779999999998</v>
      </c>
      <c r="Y582">
        <v>1.498796E-2</v>
      </c>
      <c r="Z582">
        <v>-8.6970220000000004E-4</v>
      </c>
      <c r="AA582">
        <v>0.99988730000000003</v>
      </c>
      <c r="AB582">
        <v>29</v>
      </c>
      <c r="AC582">
        <v>20.458399999999902</v>
      </c>
      <c r="AD582">
        <v>-1.1596580000000001</v>
      </c>
      <c r="AE582">
        <v>-0.14640000000002801</v>
      </c>
      <c r="AF582">
        <v>0.30858145040413898</v>
      </c>
      <c r="AG582">
        <v>-1.1596580000000001</v>
      </c>
      <c r="AH582">
        <v>20.391067516195701</v>
      </c>
      <c r="AI582">
        <v>93.254583540042205</v>
      </c>
      <c r="AJ582">
        <v>89.132999523674101</v>
      </c>
      <c r="AK582">
        <v>20.4263472906575</v>
      </c>
      <c r="AL582">
        <v>85.908017063428701</v>
      </c>
      <c r="AM582">
        <v>91.264776846045294</v>
      </c>
      <c r="AN582">
        <v>1.00000003396493</v>
      </c>
    </row>
    <row r="583" spans="1:40" x14ac:dyDescent="0.25">
      <c r="A583" t="str">
        <f>"20190312160613706"</f>
        <v>20190312160613706</v>
      </c>
      <c r="B583" t="str">
        <f>"1552377973695904"</f>
        <v>1552377973695904</v>
      </c>
      <c r="C583" t="s">
        <v>40</v>
      </c>
      <c r="D583">
        <v>6.2990700000000004</v>
      </c>
      <c r="E583">
        <v>0.51441210000000004</v>
      </c>
      <c r="F583" t="s">
        <v>45</v>
      </c>
      <c r="G583">
        <v>-305.85289999999998</v>
      </c>
      <c r="H583">
        <v>-0.05</v>
      </c>
      <c r="I583">
        <v>368.2063</v>
      </c>
      <c r="J583">
        <v>-327.97680000000003</v>
      </c>
      <c r="K583">
        <v>1.1096509999999999</v>
      </c>
      <c r="L583">
        <v>368.36180000000002</v>
      </c>
      <c r="M583">
        <v>0.99990020000000002</v>
      </c>
      <c r="N583">
        <v>0</v>
      </c>
      <c r="O583">
        <v>7.7564119999999999E-3</v>
      </c>
      <c r="P583">
        <v>0.99781399999999998</v>
      </c>
      <c r="Q583">
        <v>5.9106400000000003E-2</v>
      </c>
      <c r="R583">
        <v>2.956168E-2</v>
      </c>
      <c r="S583">
        <v>3.0166930000000001</v>
      </c>
      <c r="T583">
        <v>-0.15706239999999999</v>
      </c>
      <c r="U583">
        <v>-2.0935059999999998E-2</v>
      </c>
      <c r="V583">
        <v>-2.1763230000000001E-2</v>
      </c>
      <c r="W583">
        <v>7.0919350000000006E-2</v>
      </c>
      <c r="X583">
        <v>0.99724460000000004</v>
      </c>
      <c r="Y583">
        <v>1.466576E-2</v>
      </c>
      <c r="Z583">
        <v>-7.8510220000000005E-4</v>
      </c>
      <c r="AA583">
        <v>0.99989209999999995</v>
      </c>
      <c r="AB583">
        <v>29</v>
      </c>
      <c r="AC583">
        <v>22.123899999999999</v>
      </c>
      <c r="AD583">
        <v>-1.159651</v>
      </c>
      <c r="AE583">
        <v>-0.15550000000001701</v>
      </c>
      <c r="AF583">
        <v>0.32621315642326798</v>
      </c>
      <c r="AG583">
        <v>-1.159651</v>
      </c>
      <c r="AH583">
        <v>22.061418331874101</v>
      </c>
      <c r="AI583">
        <v>93.0086357423408</v>
      </c>
      <c r="AJ583">
        <v>89.152852514361996</v>
      </c>
      <c r="AK583">
        <v>22.0942839729912</v>
      </c>
      <c r="AL583">
        <v>85.9332066309955</v>
      </c>
      <c r="AM583">
        <v>91.250188096685804</v>
      </c>
      <c r="AN583">
        <v>0.99999999230680703</v>
      </c>
    </row>
    <row r="584" spans="1:40" x14ac:dyDescent="0.25">
      <c r="A584" t="str">
        <f>"20190312160613718"</f>
        <v>20190312160613718</v>
      </c>
      <c r="B584" t="str">
        <f>"1552377973705662"</f>
        <v>1552377973705662</v>
      </c>
      <c r="C584" t="s">
        <v>40</v>
      </c>
      <c r="D584">
        <v>6.2387629999999996</v>
      </c>
      <c r="E584">
        <v>0.51522250000000003</v>
      </c>
      <c r="F584" t="s">
        <v>45</v>
      </c>
      <c r="G584">
        <v>-308.19450000000001</v>
      </c>
      <c r="H584">
        <v>-0.05</v>
      </c>
      <c r="I584">
        <v>368.13659999999999</v>
      </c>
      <c r="J584">
        <v>-327.84469999999999</v>
      </c>
      <c r="K584">
        <v>1.1096429999999999</v>
      </c>
      <c r="L584">
        <v>368.36259999999999</v>
      </c>
      <c r="M584">
        <v>0.9999015</v>
      </c>
      <c r="N584">
        <v>0</v>
      </c>
      <c r="O584">
        <v>7.5606809999999997E-3</v>
      </c>
      <c r="P584">
        <v>0.99782660000000001</v>
      </c>
      <c r="Q584">
        <v>5.9224989999999998E-2</v>
      </c>
      <c r="R584">
        <v>2.889166E-2</v>
      </c>
      <c r="S584">
        <v>3.0180359999999999</v>
      </c>
      <c r="T584">
        <v>-0.1769193</v>
      </c>
      <c r="U584">
        <v>-3.4362789999999997E-2</v>
      </c>
      <c r="V584">
        <v>-2.1287520000000001E-2</v>
      </c>
      <c r="W584">
        <v>7.1039210000000005E-2</v>
      </c>
      <c r="X584">
        <v>0.99724630000000003</v>
      </c>
      <c r="Y584">
        <v>1.8900050000000002E-2</v>
      </c>
      <c r="Z584">
        <v>-9.9632449999999999E-4</v>
      </c>
      <c r="AA584">
        <v>0.99982090000000001</v>
      </c>
      <c r="AB584">
        <v>29</v>
      </c>
      <c r="AC584">
        <v>19.650199999999899</v>
      </c>
      <c r="AD584">
        <v>-1.159643</v>
      </c>
      <c r="AE584">
        <v>-0.22599999999999901</v>
      </c>
      <c r="AF584">
        <v>0.373272999520602</v>
      </c>
      <c r="AG584">
        <v>-1.159643</v>
      </c>
      <c r="AH584">
        <v>19.579748287378099</v>
      </c>
      <c r="AI584">
        <v>93.388863534575606</v>
      </c>
      <c r="AJ584">
        <v>88.907831871340406</v>
      </c>
      <c r="AK584">
        <v>19.617610650043702</v>
      </c>
      <c r="AL584">
        <v>85.926321643055999</v>
      </c>
      <c r="AM584">
        <v>91.222867256738496</v>
      </c>
      <c r="AN584">
        <v>0.99999995536443098</v>
      </c>
    </row>
    <row r="585" spans="1:40" x14ac:dyDescent="0.25">
      <c r="A585" t="str">
        <f>"20190312160613729"</f>
        <v>20190312160613729</v>
      </c>
      <c r="B585" t="str">
        <f>"1552377973726159"</f>
        <v>1552377973726159</v>
      </c>
      <c r="C585" t="s">
        <v>40</v>
      </c>
      <c r="D585">
        <v>6.0236470000000004</v>
      </c>
      <c r="E585">
        <v>0.51480179999999998</v>
      </c>
      <c r="F585" t="s">
        <v>45</v>
      </c>
      <c r="G585">
        <v>-309.09280000000001</v>
      </c>
      <c r="H585">
        <v>-0.05</v>
      </c>
      <c r="I585">
        <v>368.0942</v>
      </c>
      <c r="J585">
        <v>-327.68880000000001</v>
      </c>
      <c r="K585">
        <v>1.1096349999999999</v>
      </c>
      <c r="L585">
        <v>368.36360000000002</v>
      </c>
      <c r="M585">
        <v>0.99990330000000005</v>
      </c>
      <c r="N585">
        <v>0</v>
      </c>
      <c r="O585">
        <v>7.3238950000000004E-3</v>
      </c>
      <c r="P585">
        <v>0.99785140000000006</v>
      </c>
      <c r="Q585">
        <v>5.9100399999999997E-2</v>
      </c>
      <c r="R585">
        <v>2.8283240000000001E-2</v>
      </c>
      <c r="S585">
        <v>3.0188899999999999</v>
      </c>
      <c r="T585">
        <v>-0.1866922</v>
      </c>
      <c r="U585">
        <v>-4.3212889999999997E-2</v>
      </c>
      <c r="V585">
        <v>-2.0913930000000001E-2</v>
      </c>
      <c r="W585">
        <v>7.0920319999999995E-2</v>
      </c>
      <c r="X585">
        <v>0.99726269999999995</v>
      </c>
      <c r="Y585">
        <v>2.1580760000000001E-2</v>
      </c>
      <c r="Z585">
        <v>-1.119119E-3</v>
      </c>
      <c r="AA585">
        <v>0.9997665</v>
      </c>
      <c r="AB585">
        <v>29</v>
      </c>
      <c r="AC585">
        <v>18.596</v>
      </c>
      <c r="AD585">
        <v>-1.159635</v>
      </c>
      <c r="AE585">
        <v>-0.26940000000001801</v>
      </c>
      <c r="AF585">
        <v>0.40402663728621202</v>
      </c>
      <c r="AG585">
        <v>-1.159635</v>
      </c>
      <c r="AH585">
        <v>18.5215186191462</v>
      </c>
      <c r="AI585">
        <v>93.581770857250703</v>
      </c>
      <c r="AJ585">
        <v>88.750353528872694</v>
      </c>
      <c r="AK585">
        <v>18.562183137127001</v>
      </c>
      <c r="AL585">
        <v>85.933150898425296</v>
      </c>
      <c r="AM585">
        <v>91.201392874495099</v>
      </c>
      <c r="AN585">
        <v>0.99999998853411798</v>
      </c>
    </row>
    <row r="586" spans="1:40" x14ac:dyDescent="0.25">
      <c r="A586" t="str">
        <f>"20190312160613740"</f>
        <v>20190312160613740</v>
      </c>
      <c r="B586" t="str">
        <f>"1552377973735920"</f>
        <v>1552377973735920</v>
      </c>
      <c r="C586" t="s">
        <v>40</v>
      </c>
      <c r="D586">
        <v>6.3729149999999999</v>
      </c>
      <c r="E586">
        <v>0.5145149</v>
      </c>
      <c r="F586" t="s">
        <v>45</v>
      </c>
      <c r="G586">
        <v>-305.8159</v>
      </c>
      <c r="H586">
        <v>-0.05</v>
      </c>
      <c r="I586">
        <v>368.06439999999998</v>
      </c>
      <c r="J586">
        <v>-327.55360000000002</v>
      </c>
      <c r="K586">
        <v>1.1096299999999999</v>
      </c>
      <c r="L586">
        <v>368.36430000000001</v>
      </c>
      <c r="M586">
        <v>0.99990480000000004</v>
      </c>
      <c r="N586">
        <v>0</v>
      </c>
      <c r="O586">
        <v>7.1152560000000004E-3</v>
      </c>
      <c r="P586">
        <v>0.9978918</v>
      </c>
      <c r="Q586">
        <v>5.869386E-2</v>
      </c>
      <c r="R586">
        <v>2.770152E-2</v>
      </c>
      <c r="S586">
        <v>3.0170590000000002</v>
      </c>
      <c r="T586">
        <v>-0.15995490000000001</v>
      </c>
      <c r="U586">
        <v>-4.1259770000000001E-2</v>
      </c>
      <c r="V586">
        <v>-2.0538850000000001E-2</v>
      </c>
      <c r="W586">
        <v>7.0519830000000006E-2</v>
      </c>
      <c r="X586">
        <v>0.99729889999999999</v>
      </c>
      <c r="Y586">
        <v>2.074983E-2</v>
      </c>
      <c r="Z586">
        <v>-9.2660799999999999E-4</v>
      </c>
      <c r="AA586">
        <v>0.99978429999999996</v>
      </c>
      <c r="AB586">
        <v>29</v>
      </c>
      <c r="AC586">
        <v>21.7377</v>
      </c>
      <c r="AD586">
        <v>-1.1596299999999999</v>
      </c>
      <c r="AE586">
        <v>-0.29990000000003603</v>
      </c>
      <c r="AF586">
        <v>0.45328278899209501</v>
      </c>
      <c r="AG586">
        <v>-1.1596299999999999</v>
      </c>
      <c r="AH586">
        <v>21.673348328162898</v>
      </c>
      <c r="AI586">
        <v>93.062015379755096</v>
      </c>
      <c r="AJ586">
        <v>88.801873865123</v>
      </c>
      <c r="AK586">
        <v>21.709081850174499</v>
      </c>
      <c r="AL586">
        <v>85.956154902492102</v>
      </c>
      <c r="AM586">
        <v>91.179809876282704</v>
      </c>
      <c r="AN586">
        <v>0.99999999336187995</v>
      </c>
    </row>
    <row r="587" spans="1:40" x14ac:dyDescent="0.25">
      <c r="A587" t="str">
        <f>"20190312160613752"</f>
        <v>20190312160613752</v>
      </c>
      <c r="B587" t="str">
        <f>"1552377973745679"</f>
        <v>1552377973745679</v>
      </c>
      <c r="C587" t="s">
        <v>40</v>
      </c>
      <c r="D587">
        <v>6.2838029999999998</v>
      </c>
      <c r="E587">
        <v>0.51416949999999995</v>
      </c>
      <c r="F587" t="s">
        <v>45</v>
      </c>
      <c r="G587">
        <v>-304.14580000000001</v>
      </c>
      <c r="H587">
        <v>-0.05</v>
      </c>
      <c r="I587">
        <v>368.05149999999998</v>
      </c>
      <c r="J587">
        <v>-327.39909999999998</v>
      </c>
      <c r="K587">
        <v>1.1096200000000001</v>
      </c>
      <c r="L587">
        <v>368.36520000000002</v>
      </c>
      <c r="M587">
        <v>0.99990619999999997</v>
      </c>
      <c r="N587">
        <v>0</v>
      </c>
      <c r="O587">
        <v>6.8744050000000001E-3</v>
      </c>
      <c r="P587">
        <v>0.99793500000000002</v>
      </c>
      <c r="Q587">
        <v>5.8279850000000001E-2</v>
      </c>
      <c r="R587">
        <v>2.700847E-2</v>
      </c>
      <c r="S587">
        <v>3.016235</v>
      </c>
      <c r="T587">
        <v>-0.14942529999999901</v>
      </c>
      <c r="U587">
        <v>-4.0313719999999997E-2</v>
      </c>
      <c r="V587">
        <v>-2.0085260000000001E-2</v>
      </c>
      <c r="W587">
        <v>7.0115040000000003E-2</v>
      </c>
      <c r="X587">
        <v>0.99733669999999996</v>
      </c>
      <c r="Y587">
        <v>2.020514E-2</v>
      </c>
      <c r="Z587">
        <v>-8.4051779999999999E-4</v>
      </c>
      <c r="AA587">
        <v>0.99979549999999995</v>
      </c>
      <c r="AB587">
        <v>29</v>
      </c>
      <c r="AC587">
        <v>23.2532999999999</v>
      </c>
      <c r="AD587">
        <v>-1.1596200000000001</v>
      </c>
      <c r="AE587">
        <v>-0.313700000000039</v>
      </c>
      <c r="AF587">
        <v>0.47238184272536099</v>
      </c>
      <c r="AG587">
        <v>-1.1596200000000001</v>
      </c>
      <c r="AH587">
        <v>23.192925312250399</v>
      </c>
      <c r="AI587">
        <v>92.861747973298904</v>
      </c>
      <c r="AJ587">
        <v>88.833189694533502</v>
      </c>
      <c r="AK587">
        <v>23.226701179663099</v>
      </c>
      <c r="AL587">
        <v>85.979405300171706</v>
      </c>
      <c r="AM587">
        <v>91.153717784141307</v>
      </c>
      <c r="AN587">
        <v>1.00000001483517</v>
      </c>
    </row>
    <row r="588" spans="1:40" x14ac:dyDescent="0.25">
      <c r="A588" t="str">
        <f>"20190312160613764"</f>
        <v>20190312160613764</v>
      </c>
      <c r="B588" t="str">
        <f>"1552377973755439"</f>
        <v>1552377973755439</v>
      </c>
      <c r="C588" t="s">
        <v>40</v>
      </c>
      <c r="D588">
        <v>6.3138639999999997</v>
      </c>
      <c r="E588">
        <v>0.51367059999999998</v>
      </c>
      <c r="F588" t="s">
        <v>45</v>
      </c>
      <c r="G588">
        <v>-302.33429999999998</v>
      </c>
      <c r="H588">
        <v>-0.05</v>
      </c>
      <c r="I588">
        <v>368.0367</v>
      </c>
      <c r="J588">
        <v>-327.24520000000001</v>
      </c>
      <c r="K588">
        <v>1.1096170000000001</v>
      </c>
      <c r="L588">
        <v>368.36599999999999</v>
      </c>
      <c r="M588">
        <v>0.99990789999999996</v>
      </c>
      <c r="N588">
        <v>0</v>
      </c>
      <c r="O588">
        <v>6.6309269999999896E-3</v>
      </c>
      <c r="P588">
        <v>0.99797469999999999</v>
      </c>
      <c r="Q588">
        <v>5.7910910000000003E-2</v>
      </c>
      <c r="R588">
        <v>2.6325020000000001E-2</v>
      </c>
      <c r="S588">
        <v>3.0154420000000002</v>
      </c>
      <c r="T588">
        <v>-0.13950879999999999</v>
      </c>
      <c r="U588">
        <v>-3.9520260000000001E-2</v>
      </c>
      <c r="V588">
        <v>-1.964395E-2</v>
      </c>
      <c r="W588">
        <v>6.9759719999999997E-2</v>
      </c>
      <c r="X588">
        <v>0.99737039999999999</v>
      </c>
      <c r="Y588">
        <v>1.9707200000000001E-2</v>
      </c>
      <c r="Z588">
        <v>-7.6223640000000004E-4</v>
      </c>
      <c r="AA588">
        <v>0.99980550000000001</v>
      </c>
      <c r="AB588">
        <v>29</v>
      </c>
      <c r="AC588">
        <v>24.910900000000002</v>
      </c>
      <c r="AD588">
        <v>-1.1596169999999999</v>
      </c>
      <c r="AE588">
        <v>-0.32929999999998899</v>
      </c>
      <c r="AF588">
        <v>0.493417673012508</v>
      </c>
      <c r="AG588">
        <v>-1.1596169999999999</v>
      </c>
      <c r="AH588">
        <v>24.854319709372799</v>
      </c>
      <c r="AI588">
        <v>92.670761164061801</v>
      </c>
      <c r="AJ588">
        <v>88.862691177595593</v>
      </c>
      <c r="AK588">
        <v>24.8862488294731</v>
      </c>
      <c r="AL588">
        <v>85.9998135852979</v>
      </c>
      <c r="AM588">
        <v>91.128336999311898</v>
      </c>
      <c r="AN588">
        <v>1.0000000090511201</v>
      </c>
    </row>
    <row r="589" spans="1:40" x14ac:dyDescent="0.25">
      <c r="A589" t="str">
        <f>"20190312160613775"</f>
        <v>20190312160613775</v>
      </c>
      <c r="B589" t="str">
        <f>"1552377973766176"</f>
        <v>1552377973766176</v>
      </c>
      <c r="C589" t="s">
        <v>40</v>
      </c>
      <c r="D589">
        <v>6.3420189999999996</v>
      </c>
      <c r="E589">
        <v>0.51343209999999995</v>
      </c>
      <c r="F589" t="s">
        <v>45</v>
      </c>
      <c r="G589">
        <v>-300.596</v>
      </c>
      <c r="H589">
        <v>-0.05</v>
      </c>
      <c r="I589">
        <v>368.03789999999998</v>
      </c>
      <c r="J589">
        <v>-327.0926</v>
      </c>
      <c r="K589">
        <v>1.1096109999999999</v>
      </c>
      <c r="L589">
        <v>368.36680000000001</v>
      </c>
      <c r="M589">
        <v>0.99990919999999905</v>
      </c>
      <c r="N589">
        <v>0</v>
      </c>
      <c r="O589">
        <v>6.388103E-3</v>
      </c>
      <c r="P589">
        <v>0.99802539999999995</v>
      </c>
      <c r="Q589">
        <v>5.7434680000000002E-2</v>
      </c>
      <c r="R589">
        <v>2.5434189999999999E-2</v>
      </c>
      <c r="S589">
        <v>3.0146480000000002</v>
      </c>
      <c r="T589">
        <v>-0.13117989999999999</v>
      </c>
      <c r="U589">
        <v>-3.7109379999999997E-2</v>
      </c>
      <c r="V589">
        <v>-1.8994919999999998E-2</v>
      </c>
      <c r="W589">
        <v>6.9297819999999996E-2</v>
      </c>
      <c r="X589">
        <v>0.99741519999999995</v>
      </c>
      <c r="Y589">
        <v>1.8672859999999999E-2</v>
      </c>
      <c r="Z589">
        <v>-6.8391160000000003E-4</v>
      </c>
      <c r="AA589">
        <v>0.99982539999999998</v>
      </c>
      <c r="AB589">
        <v>29</v>
      </c>
      <c r="AC589">
        <v>26.496600000000001</v>
      </c>
      <c r="AD589">
        <v>-1.1596109999999999</v>
      </c>
      <c r="AE589">
        <v>-0.328900000000032</v>
      </c>
      <c r="AF589">
        <v>0.497216026408343</v>
      </c>
      <c r="AG589">
        <v>-1.1596109999999999</v>
      </c>
      <c r="AH589">
        <v>26.443318124126801</v>
      </c>
      <c r="AI589">
        <v>92.510522901277</v>
      </c>
      <c r="AJ589">
        <v>88.922789379748593</v>
      </c>
      <c r="AK589">
        <v>26.473401648862801</v>
      </c>
      <c r="AL589">
        <v>86.026342823027903</v>
      </c>
      <c r="AM589">
        <v>91.091017266745197</v>
      </c>
      <c r="AN589">
        <v>1.0000000380167899</v>
      </c>
    </row>
    <row r="590" spans="1:40" x14ac:dyDescent="0.25">
      <c r="A590" t="str">
        <f>"20190312160613788"</f>
        <v>20190312160613788</v>
      </c>
      <c r="B590" t="str">
        <f>"1552377973775935"</f>
        <v>1552377973775935</v>
      </c>
      <c r="C590" t="s">
        <v>40</v>
      </c>
      <c r="D590">
        <v>6.2610469999999996</v>
      </c>
      <c r="E590">
        <v>0.51385209999999903</v>
      </c>
      <c r="F590" t="s">
        <v>45</v>
      </c>
      <c r="G590">
        <v>-299.35739999999998</v>
      </c>
      <c r="H590">
        <v>-0.05</v>
      </c>
      <c r="I590">
        <v>368.01710000000003</v>
      </c>
      <c r="J590">
        <v>-326.93099999999998</v>
      </c>
      <c r="K590">
        <v>1.109607</v>
      </c>
      <c r="L590">
        <v>368.36750000000001</v>
      </c>
      <c r="M590">
        <v>0.99991050000000004</v>
      </c>
      <c r="N590">
        <v>0</v>
      </c>
      <c r="O590">
        <v>6.1291109999999996E-3</v>
      </c>
      <c r="P590">
        <v>0.99809000000000003</v>
      </c>
      <c r="Q590">
        <v>5.6622600000000002E-2</v>
      </c>
      <c r="R590">
        <v>2.470601E-2</v>
      </c>
      <c r="S590">
        <v>3.0141909999999998</v>
      </c>
      <c r="T590">
        <v>-0.12602379999999999</v>
      </c>
      <c r="U590">
        <v>-3.7994380000000001E-2</v>
      </c>
      <c r="V590">
        <v>-1.852461E-2</v>
      </c>
      <c r="W590">
        <v>6.8506259999999999E-2</v>
      </c>
      <c r="X590">
        <v>0.99747870000000005</v>
      </c>
      <c r="Y590">
        <v>1.8711289999999998E-2</v>
      </c>
      <c r="Z590">
        <v>-6.4713110000000004E-4</v>
      </c>
      <c r="AA590">
        <v>0.99982470000000001</v>
      </c>
      <c r="AB590">
        <v>29</v>
      </c>
      <c r="AC590">
        <v>27.573599999999999</v>
      </c>
      <c r="AD590">
        <v>-1.1596070000000001</v>
      </c>
      <c r="AE590">
        <v>-0.35039999999997901</v>
      </c>
      <c r="AF590">
        <v>0.51849016000484505</v>
      </c>
      <c r="AG590">
        <v>-1.1596070000000001</v>
      </c>
      <c r="AH590">
        <v>27.522265624074901</v>
      </c>
      <c r="AI590">
        <v>92.412212280349905</v>
      </c>
      <c r="AJ590">
        <v>88.920736228118002</v>
      </c>
      <c r="AK590">
        <v>27.5515630322965</v>
      </c>
      <c r="AL590">
        <v>86.071803812332504</v>
      </c>
      <c r="AM590">
        <v>91.063942490674094</v>
      </c>
      <c r="AN590">
        <v>1.0000000128942601</v>
      </c>
    </row>
    <row r="591" spans="1:40" x14ac:dyDescent="0.25">
      <c r="A591" t="str">
        <f>"20190312160613800"</f>
        <v>20190312160613800</v>
      </c>
      <c r="B591" t="str">
        <f>"1552377973795455"</f>
        <v>1552377973795455</v>
      </c>
      <c r="C591" t="s">
        <v>40</v>
      </c>
      <c r="D591">
        <v>6.4914769999999997</v>
      </c>
      <c r="E591">
        <v>0.5127332</v>
      </c>
      <c r="F591" t="s">
        <v>45</v>
      </c>
      <c r="G591">
        <v>-301.7346</v>
      </c>
      <c r="H591">
        <v>-0.05</v>
      </c>
      <c r="I591">
        <v>368.00659999999999</v>
      </c>
      <c r="J591">
        <v>-326.77820000000003</v>
      </c>
      <c r="K591">
        <v>1.109607</v>
      </c>
      <c r="L591">
        <v>368.3682</v>
      </c>
      <c r="M591">
        <v>0.99991169999999996</v>
      </c>
      <c r="N591">
        <v>0</v>
      </c>
      <c r="O591">
        <v>5.8837119999999897E-3</v>
      </c>
      <c r="P591">
        <v>0.9981449</v>
      </c>
      <c r="Q591">
        <v>5.5819559999999997E-2</v>
      </c>
      <c r="R591">
        <v>2.43108E-2</v>
      </c>
      <c r="S591">
        <v>3.0146790000000001</v>
      </c>
      <c r="T591">
        <v>-0.1387438</v>
      </c>
      <c r="U591">
        <v>-4.3182369999999998E-2</v>
      </c>
      <c r="V591">
        <v>-1.8373859999999999E-2</v>
      </c>
      <c r="W591">
        <v>6.7726540000000002E-2</v>
      </c>
      <c r="X591">
        <v>0.9975347</v>
      </c>
      <c r="Y591">
        <v>2.017826E-2</v>
      </c>
      <c r="Z591">
        <v>-7.3470830000000003E-4</v>
      </c>
      <c r="AA591">
        <v>0.99979620000000002</v>
      </c>
      <c r="AB591">
        <v>29</v>
      </c>
      <c r="AC591">
        <v>25.043600000000001</v>
      </c>
      <c r="AD591">
        <v>-1.1596070000000001</v>
      </c>
      <c r="AE591">
        <v>-0.36160000000000903</v>
      </c>
      <c r="AF591">
        <v>0.50786488718589096</v>
      </c>
      <c r="AG591">
        <v>-1.1596070000000001</v>
      </c>
      <c r="AH591">
        <v>24.987476355938501</v>
      </c>
      <c r="AI591">
        <v>92.656501254615193</v>
      </c>
      <c r="AJ591">
        <v>88.835636366598393</v>
      </c>
      <c r="AK591">
        <v>25.019524171667801</v>
      </c>
      <c r="AL591">
        <v>86.116582355245797</v>
      </c>
      <c r="AM591">
        <v>91.055227052140097</v>
      </c>
      <c r="AN591">
        <v>0.99999998032787996</v>
      </c>
    </row>
    <row r="592" spans="1:40" x14ac:dyDescent="0.25">
      <c r="A592" t="str">
        <f>"20190312160613812"</f>
        <v>20190312160613812</v>
      </c>
      <c r="B592" t="str">
        <f>"1552377973806192"</f>
        <v>1552377973806192</v>
      </c>
      <c r="C592" t="s">
        <v>40</v>
      </c>
      <c r="D592">
        <v>6.3085079999999998</v>
      </c>
      <c r="E592">
        <v>0.5115982</v>
      </c>
      <c r="F592" t="s">
        <v>45</v>
      </c>
      <c r="G592">
        <v>-299.68259999999998</v>
      </c>
      <c r="H592">
        <v>-0.05</v>
      </c>
      <c r="I592">
        <v>368.04750000000001</v>
      </c>
      <c r="J592">
        <v>-326.62329999999997</v>
      </c>
      <c r="K592">
        <v>1.109607</v>
      </c>
      <c r="L592">
        <v>368.36880000000002</v>
      </c>
      <c r="M592">
        <v>0.99991289999999999</v>
      </c>
      <c r="N592">
        <v>0</v>
      </c>
      <c r="O592">
        <v>5.6347259999999996E-3</v>
      </c>
      <c r="P592">
        <v>0.99819080000000004</v>
      </c>
      <c r="Q592">
        <v>5.5021970000000003E-2</v>
      </c>
      <c r="R592">
        <v>2.4245949999999999E-2</v>
      </c>
      <c r="S592">
        <v>3.0136409999999998</v>
      </c>
      <c r="T592">
        <v>-0.1289748</v>
      </c>
      <c r="U592">
        <v>-3.567505E-2</v>
      </c>
      <c r="V592">
        <v>-1.855795E-2</v>
      </c>
      <c r="W592">
        <v>6.6957240000000001E-2</v>
      </c>
      <c r="X592">
        <v>0.99758329999999995</v>
      </c>
      <c r="Y592">
        <v>1.7450440000000001E-2</v>
      </c>
      <c r="Z592">
        <v>-6.142783E-4</v>
      </c>
      <c r="AA592">
        <v>0.9998475</v>
      </c>
      <c r="AB592">
        <v>29</v>
      </c>
      <c r="AC592">
        <v>26.9407</v>
      </c>
      <c r="AD592">
        <v>-1.1596070000000001</v>
      </c>
      <c r="AE592">
        <v>-0.32130000000000702</v>
      </c>
      <c r="AF592">
        <v>0.47223439226770503</v>
      </c>
      <c r="AG592">
        <v>-1.1596070000000001</v>
      </c>
      <c r="AH592">
        <v>26.8886522995181</v>
      </c>
      <c r="AI592">
        <v>92.469042202042004</v>
      </c>
      <c r="AJ592">
        <v>88.993841120573606</v>
      </c>
      <c r="AK592">
        <v>26.9177881000663</v>
      </c>
      <c r="AL592">
        <v>86.160760573134894</v>
      </c>
      <c r="AM592">
        <v>91.065745166022197</v>
      </c>
      <c r="AN592">
        <v>1.0000000549677499</v>
      </c>
    </row>
    <row r="593" spans="1:40" x14ac:dyDescent="0.25">
      <c r="A593" t="str">
        <f>"20190312160613824"</f>
        <v>20190312160613824</v>
      </c>
      <c r="B593" t="str">
        <f>"1552377973815950"</f>
        <v>1552377973815950</v>
      </c>
      <c r="C593" t="s">
        <v>40</v>
      </c>
      <c r="D593">
        <v>6.2821480000000003</v>
      </c>
      <c r="E593">
        <v>0.51113549999999996</v>
      </c>
      <c r="F593" t="s">
        <v>45</v>
      </c>
      <c r="G593">
        <v>-298.58539999999999</v>
      </c>
      <c r="H593">
        <v>-0.05</v>
      </c>
      <c r="I593">
        <v>368.12430000000001</v>
      </c>
      <c r="J593">
        <v>-326.45850000000002</v>
      </c>
      <c r="K593">
        <v>1.1096170000000001</v>
      </c>
      <c r="L593">
        <v>368.36939999999998</v>
      </c>
      <c r="M593">
        <v>0.99991379999999996</v>
      </c>
      <c r="N593">
        <v>0</v>
      </c>
      <c r="O593">
        <v>5.3747959999999899E-3</v>
      </c>
      <c r="P593">
        <v>0.99821059999999995</v>
      </c>
      <c r="Q593">
        <v>5.4498890000000001E-2</v>
      </c>
      <c r="R593">
        <v>2.461694E-2</v>
      </c>
      <c r="S593">
        <v>3.0129389999999998</v>
      </c>
      <c r="T593">
        <v>-0.12461129999999999</v>
      </c>
      <c r="U593">
        <v>-2.6275630000000001E-2</v>
      </c>
      <c r="V593">
        <v>-1.9189310000000001E-2</v>
      </c>
      <c r="W593">
        <v>6.6492399999999993E-2</v>
      </c>
      <c r="X593">
        <v>0.9976024</v>
      </c>
      <c r="Y593">
        <v>1.4078820000000001E-2</v>
      </c>
      <c r="Z593">
        <v>-5.1322279999999997E-4</v>
      </c>
      <c r="AA593">
        <v>0.99990080000000003</v>
      </c>
      <c r="AB593">
        <v>29</v>
      </c>
      <c r="AC593">
        <v>27.873100000000001</v>
      </c>
      <c r="AD593">
        <v>-1.1596169999999999</v>
      </c>
      <c r="AE593">
        <v>-0.245099999999979</v>
      </c>
      <c r="AF593">
        <v>0.39423712480861001</v>
      </c>
      <c r="AG593">
        <v>-1.1596169999999999</v>
      </c>
      <c r="AH593">
        <v>27.823225862364001</v>
      </c>
      <c r="AI593">
        <v>92.386354209013007</v>
      </c>
      <c r="AJ593">
        <v>89.188210166720793</v>
      </c>
      <c r="AK593">
        <v>27.8501711284758</v>
      </c>
      <c r="AL593">
        <v>86.187453252600307</v>
      </c>
      <c r="AM593">
        <v>91.101972993816901</v>
      </c>
      <c r="AN593">
        <v>1.00000000868089</v>
      </c>
    </row>
    <row r="594" spans="1:40" x14ac:dyDescent="0.25">
      <c r="A594" t="str">
        <f>"20190312160613842"</f>
        <v>20190312160613842</v>
      </c>
      <c r="B594" t="str">
        <f>"1552377973835471"</f>
        <v>1552377973835471</v>
      </c>
      <c r="C594" t="s">
        <v>40</v>
      </c>
      <c r="D594">
        <v>6.6702119999999896</v>
      </c>
      <c r="E594">
        <v>0.51086520000000002</v>
      </c>
      <c r="F594" t="s">
        <v>45</v>
      </c>
      <c r="G594">
        <v>-299.94400000000002</v>
      </c>
      <c r="H594">
        <v>-0.05</v>
      </c>
      <c r="I594">
        <v>368.17399999999998</v>
      </c>
      <c r="J594">
        <v>-326.2405</v>
      </c>
      <c r="K594">
        <v>1.1096410000000001</v>
      </c>
      <c r="L594">
        <v>368.37020000000001</v>
      </c>
      <c r="M594">
        <v>0.99991419999999998</v>
      </c>
      <c r="N594">
        <v>0</v>
      </c>
      <c r="O594">
        <v>5.0318189999999999E-3</v>
      </c>
      <c r="P594">
        <v>0.99825129999999995</v>
      </c>
      <c r="Q594">
        <v>5.3525110000000001E-2</v>
      </c>
      <c r="R594">
        <v>2.5097499999999998E-2</v>
      </c>
      <c r="S594">
        <v>3.0131230000000002</v>
      </c>
      <c r="T594">
        <v>-0.131779799999999</v>
      </c>
      <c r="U594">
        <v>-2.2216799999999998E-2</v>
      </c>
      <c r="V594">
        <v>-2.0013400000000001E-2</v>
      </c>
      <c r="W594">
        <v>6.5624089999999996E-2</v>
      </c>
      <c r="X594">
        <v>0.99764370000000002</v>
      </c>
      <c r="Y594">
        <v>1.2388450000000001E-2</v>
      </c>
      <c r="Z594">
        <v>-4.9074959999999995E-4</v>
      </c>
      <c r="AA594">
        <v>0.99992309999999995</v>
      </c>
      <c r="AB594">
        <v>29</v>
      </c>
      <c r="AC594">
        <v>26.296499999999899</v>
      </c>
      <c r="AD594">
        <v>-1.1596409999999999</v>
      </c>
      <c r="AE594">
        <v>-0.196199999999976</v>
      </c>
      <c r="AF594">
        <v>0.32788881475079701</v>
      </c>
      <c r="AG594">
        <v>-1.1596409999999999</v>
      </c>
      <c r="AH594">
        <v>26.244145744738098</v>
      </c>
      <c r="AI594">
        <v>92.529865867489505</v>
      </c>
      <c r="AJ594">
        <v>89.284195873240805</v>
      </c>
      <c r="AK594">
        <v>26.271799789789402</v>
      </c>
      <c r="AL594">
        <v>86.237312641757697</v>
      </c>
      <c r="AM594">
        <v>91.149237519108695</v>
      </c>
      <c r="AN594">
        <v>1.00000000475878</v>
      </c>
    </row>
    <row r="595" spans="1:40" x14ac:dyDescent="0.25">
      <c r="A595" t="str">
        <f>"20190312160613863"</f>
        <v>20190312160613863</v>
      </c>
      <c r="B595" t="str">
        <f>"1552377973855967"</f>
        <v>1552377973855967</v>
      </c>
      <c r="C595" t="s">
        <v>40</v>
      </c>
      <c r="D595">
        <v>9.0634340000000009</v>
      </c>
      <c r="E595">
        <v>0.51061089999999998</v>
      </c>
      <c r="F595" t="s">
        <v>45</v>
      </c>
      <c r="G595">
        <v>-301.5718</v>
      </c>
      <c r="H595">
        <v>-0.05</v>
      </c>
      <c r="I595">
        <v>368.21660000000003</v>
      </c>
      <c r="J595">
        <v>-325.95299999999997</v>
      </c>
      <c r="K595">
        <v>1.109686</v>
      </c>
      <c r="L595">
        <v>368.37119999999999</v>
      </c>
      <c r="M595">
        <v>0.99991419999999998</v>
      </c>
      <c r="N595">
        <v>0</v>
      </c>
      <c r="O595">
        <v>4.5750570000000004E-3</v>
      </c>
      <c r="P595">
        <v>0.9982953</v>
      </c>
      <c r="Q595">
        <v>5.2454889999999997E-2</v>
      </c>
      <c r="R595">
        <v>2.5595719999999999E-2</v>
      </c>
      <c r="S595">
        <v>3.0133359999999998</v>
      </c>
      <c r="T595">
        <v>-0.14165229999999901</v>
      </c>
      <c r="U595">
        <v>-1.876831E-2</v>
      </c>
      <c r="V595">
        <v>-2.096984E-2</v>
      </c>
      <c r="W595">
        <v>6.4737619999999996E-2</v>
      </c>
      <c r="X595">
        <v>0.99768199999999996</v>
      </c>
      <c r="Y595">
        <v>1.078658E-2</v>
      </c>
      <c r="Z595">
        <v>-4.6835030000000002E-4</v>
      </c>
      <c r="AA595">
        <v>0.99994170000000004</v>
      </c>
      <c r="AB595">
        <v>29</v>
      </c>
      <c r="AC595">
        <v>24.3811999999999</v>
      </c>
      <c r="AD595">
        <v>-1.159686</v>
      </c>
      <c r="AE595">
        <v>-0.15459999999995899</v>
      </c>
      <c r="AF595">
        <v>0.26555140412917499</v>
      </c>
      <c r="AG595">
        <v>-1.159686</v>
      </c>
      <c r="AH595">
        <v>24.3252061436737</v>
      </c>
      <c r="AI595">
        <v>92.729304408362395</v>
      </c>
      <c r="AJ595">
        <v>89.374543005297795</v>
      </c>
      <c r="AK595">
        <v>24.354281822690901</v>
      </c>
      <c r="AL595">
        <v>86.288211978142698</v>
      </c>
      <c r="AM595">
        <v>91.204097543656502</v>
      </c>
      <c r="AN595">
        <v>1.00000003337844</v>
      </c>
    </row>
    <row r="596" spans="1:40" x14ac:dyDescent="0.25">
      <c r="A596" t="str">
        <f>"20190312160613875"</f>
        <v>20190312160613875</v>
      </c>
      <c r="B596" t="str">
        <f>"1552377973865726"</f>
        <v>1552377973865726</v>
      </c>
      <c r="C596" t="s">
        <v>40</v>
      </c>
      <c r="D596">
        <v>6.2746760000000004</v>
      </c>
      <c r="E596">
        <v>0.50995779999999902</v>
      </c>
      <c r="F596" t="s">
        <v>45</v>
      </c>
      <c r="G596">
        <v>-301.36470000000003</v>
      </c>
      <c r="H596">
        <v>-0.05</v>
      </c>
      <c r="I596">
        <v>368.2491</v>
      </c>
      <c r="J596">
        <v>-325.80509999999998</v>
      </c>
      <c r="K596">
        <v>1.1097030000000001</v>
      </c>
      <c r="L596">
        <v>368.3716</v>
      </c>
      <c r="M596">
        <v>0.99991390000000002</v>
      </c>
      <c r="N596">
        <v>0</v>
      </c>
      <c r="O596">
        <v>4.3383370000000003E-3</v>
      </c>
      <c r="P596">
        <v>0.99832430000000005</v>
      </c>
      <c r="Q596">
        <v>5.184018E-2</v>
      </c>
      <c r="R596">
        <v>2.5722249999999999E-2</v>
      </c>
      <c r="S596">
        <v>3.0129999999999999</v>
      </c>
      <c r="T596">
        <v>-0.14210519999999999</v>
      </c>
      <c r="U596">
        <v>-1.4953610000000001E-2</v>
      </c>
      <c r="V596">
        <v>-2.133401E-2</v>
      </c>
      <c r="W596">
        <v>6.4223240000000001E-2</v>
      </c>
      <c r="X596">
        <v>0.99770749999999997</v>
      </c>
      <c r="Y596">
        <v>9.2863930000000004E-3</v>
      </c>
      <c r="Z596">
        <v>-4.2338309999999997E-4</v>
      </c>
      <c r="AA596">
        <v>0.99995679999999998</v>
      </c>
      <c r="AB596">
        <v>29</v>
      </c>
      <c r="AC596">
        <v>24.440399999999901</v>
      </c>
      <c r="AD596">
        <v>-1.1597029999999999</v>
      </c>
      <c r="AE596">
        <v>-0.122500000000002</v>
      </c>
      <c r="AF596">
        <v>0.228024280938941</v>
      </c>
      <c r="AG596">
        <v>-1.1597029999999999</v>
      </c>
      <c r="AH596">
        <v>24.384736991102699</v>
      </c>
      <c r="AI596">
        <v>92.722734332324094</v>
      </c>
      <c r="AJ596">
        <v>89.464236660050602</v>
      </c>
      <c r="AK596">
        <v>24.413363230947098</v>
      </c>
      <c r="AL596">
        <v>86.317745154075197</v>
      </c>
      <c r="AM596">
        <v>91.224970729781603</v>
      </c>
      <c r="AN596">
        <v>1.0000000100475099</v>
      </c>
    </row>
    <row r="597" spans="1:40" x14ac:dyDescent="0.25">
      <c r="A597" t="str">
        <f>"20190312160613886"</f>
        <v>20190312160613886</v>
      </c>
      <c r="B597" t="str">
        <f>"1552377973875487"</f>
        <v>1552377973875487</v>
      </c>
      <c r="C597" t="s">
        <v>40</v>
      </c>
      <c r="D597">
        <v>6.281021</v>
      </c>
      <c r="E597">
        <v>0.50977439999999996</v>
      </c>
      <c r="F597" t="s">
        <v>45</v>
      </c>
      <c r="G597">
        <v>-300.56950000000001</v>
      </c>
      <c r="H597">
        <v>-0.05</v>
      </c>
      <c r="I597">
        <v>368.29410000000001</v>
      </c>
      <c r="J597">
        <v>-325.65960000000001</v>
      </c>
      <c r="K597">
        <v>1.1097189999999999</v>
      </c>
      <c r="L597">
        <v>368.37200000000001</v>
      </c>
      <c r="M597">
        <v>0.99991359999999996</v>
      </c>
      <c r="N597">
        <v>0</v>
      </c>
      <c r="O597">
        <v>4.1050720000000004E-3</v>
      </c>
      <c r="P597">
        <v>0.99835680000000004</v>
      </c>
      <c r="Q597">
        <v>5.123113E-2</v>
      </c>
      <c r="R597">
        <v>2.5665360000000002E-2</v>
      </c>
      <c r="S597">
        <v>3.012451</v>
      </c>
      <c r="T597">
        <v>-0.1384367</v>
      </c>
      <c r="U597">
        <v>-9.2468259999999997E-3</v>
      </c>
      <c r="V597">
        <v>-2.1510749999999999E-2</v>
      </c>
      <c r="W597">
        <v>6.3709779999999994E-2</v>
      </c>
      <c r="X597">
        <v>0.99773659999999997</v>
      </c>
      <c r="Y597">
        <v>7.1629759999999997E-3</v>
      </c>
      <c r="Z597">
        <v>-3.5306200000000002E-4</v>
      </c>
      <c r="AA597">
        <v>0.99997429999999998</v>
      </c>
      <c r="AB597">
        <v>29</v>
      </c>
      <c r="AC597">
        <v>25.0901</v>
      </c>
      <c r="AD597">
        <v>-1.1597189999999999</v>
      </c>
      <c r="AE597">
        <v>-7.7899999999942696E-2</v>
      </c>
      <c r="AF597">
        <v>0.18051837026578099</v>
      </c>
      <c r="AG597">
        <v>-1.1597189999999999</v>
      </c>
      <c r="AH597">
        <v>25.036079945733</v>
      </c>
      <c r="AI597">
        <v>92.652085164049396</v>
      </c>
      <c r="AJ597">
        <v>89.586885745306503</v>
      </c>
      <c r="AK597">
        <v>25.0635758440431</v>
      </c>
      <c r="AL597">
        <v>86.347224528615399</v>
      </c>
      <c r="AM597">
        <v>91.2350797646545</v>
      </c>
      <c r="AN597">
        <v>0.99999998570638504</v>
      </c>
    </row>
    <row r="598" spans="1:40" x14ac:dyDescent="0.25">
      <c r="A598" t="str">
        <f>"20190312160613899"</f>
        <v>20190312160613899</v>
      </c>
      <c r="B598" t="str">
        <f>"1552377973885247"</f>
        <v>1552377973885247</v>
      </c>
      <c r="C598" t="s">
        <v>40</v>
      </c>
      <c r="D598">
        <v>6.5745529999999999</v>
      </c>
      <c r="E598">
        <v>0.50943939999999999</v>
      </c>
      <c r="F598" t="s">
        <v>45</v>
      </c>
      <c r="G598">
        <v>-301.57619999999997</v>
      </c>
      <c r="H598">
        <v>-0.05</v>
      </c>
      <c r="I598">
        <v>368.30950000000001</v>
      </c>
      <c r="J598">
        <v>-325.50880000000001</v>
      </c>
      <c r="K598">
        <v>1.1097360000000001</v>
      </c>
      <c r="L598">
        <v>368.37240000000003</v>
      </c>
      <c r="M598">
        <v>0.99991359999999996</v>
      </c>
      <c r="N598">
        <v>0</v>
      </c>
      <c r="O598">
        <v>3.8643879999999999E-3</v>
      </c>
      <c r="P598">
        <v>0.99838970000000005</v>
      </c>
      <c r="Q598">
        <v>5.0566859999999998E-2</v>
      </c>
      <c r="R598">
        <v>2.571534E-2</v>
      </c>
      <c r="S598">
        <v>3.0125730000000002</v>
      </c>
      <c r="T598">
        <v>-0.1450678</v>
      </c>
      <c r="U598">
        <v>-7.8125E-3</v>
      </c>
      <c r="V598">
        <v>-2.1801750000000002E-2</v>
      </c>
      <c r="W598">
        <v>6.314206E-2</v>
      </c>
      <c r="X598">
        <v>0.99776640000000005</v>
      </c>
      <c r="Y598">
        <v>6.4460029999999996E-3</v>
      </c>
      <c r="Z598">
        <v>-3.4110340000000002E-4</v>
      </c>
      <c r="AA598">
        <v>0.99997910000000001</v>
      </c>
      <c r="AB598">
        <v>29</v>
      </c>
      <c r="AC598">
        <v>23.932600000000001</v>
      </c>
      <c r="AD598">
        <v>-1.1597360000000001</v>
      </c>
      <c r="AE598">
        <v>-6.2900000000013195E-2</v>
      </c>
      <c r="AF598">
        <v>0.15502764688387399</v>
      </c>
      <c r="AG598">
        <v>-1.1597360000000001</v>
      </c>
      <c r="AH598">
        <v>23.8761122411027</v>
      </c>
      <c r="AI598">
        <v>92.780787597476106</v>
      </c>
      <c r="AJ598">
        <v>89.627983611287206</v>
      </c>
      <c r="AK598">
        <v>23.904764314059499</v>
      </c>
      <c r="AL598">
        <v>86.379818212200007</v>
      </c>
      <c r="AM598">
        <v>91.251745415889502</v>
      </c>
      <c r="AN598">
        <v>1.00000001250653</v>
      </c>
    </row>
    <row r="599" spans="1:40" x14ac:dyDescent="0.25">
      <c r="A599" t="str">
        <f>"20190312160613911"</f>
        <v>20190312160613911</v>
      </c>
      <c r="B599" t="str">
        <f>"1552377973905742"</f>
        <v>1552377973905742</v>
      </c>
      <c r="C599" t="s">
        <v>40</v>
      </c>
      <c r="D599">
        <v>6.27806</v>
      </c>
      <c r="E599">
        <v>0.50912639999999998</v>
      </c>
      <c r="F599" t="s">
        <v>45</v>
      </c>
      <c r="G599">
        <v>-301.98820000000001</v>
      </c>
      <c r="H599">
        <v>-0.05</v>
      </c>
      <c r="I599">
        <v>368.33159999999998</v>
      </c>
      <c r="J599">
        <v>-325.33940000000001</v>
      </c>
      <c r="K599">
        <v>1.109748</v>
      </c>
      <c r="L599">
        <v>368.37279999999998</v>
      </c>
      <c r="M599">
        <v>0.99991319999999995</v>
      </c>
      <c r="N599">
        <v>0</v>
      </c>
      <c r="O599">
        <v>3.5966790000000002E-3</v>
      </c>
      <c r="P599">
        <v>0.99841760000000002</v>
      </c>
      <c r="Q599">
        <v>5.0088380000000002E-2</v>
      </c>
      <c r="R599">
        <v>2.5568380000000002E-2</v>
      </c>
      <c r="S599">
        <v>3.012451</v>
      </c>
      <c r="T599">
        <v>-0.14853569999999999</v>
      </c>
      <c r="U599">
        <v>-5.2185060000000004E-3</v>
      </c>
      <c r="V599">
        <v>-2.192216E-2</v>
      </c>
      <c r="W599">
        <v>6.2767069999999994E-2</v>
      </c>
      <c r="X599">
        <v>0.99778739999999999</v>
      </c>
      <c r="Y599">
        <v>5.3184310000000002E-3</v>
      </c>
      <c r="Z599">
        <v>-3.0828769999999999E-4</v>
      </c>
      <c r="AA599">
        <v>0.99998580000000004</v>
      </c>
      <c r="AB599">
        <v>29</v>
      </c>
      <c r="AC599">
        <v>23.351199999999999</v>
      </c>
      <c r="AD599">
        <v>-1.159748</v>
      </c>
      <c r="AE599">
        <v>-4.1200000000003401E-2</v>
      </c>
      <c r="AF599">
        <v>0.124885203386027</v>
      </c>
      <c r="AG599">
        <v>-1.159748</v>
      </c>
      <c r="AH599">
        <v>23.293443973179802</v>
      </c>
      <c r="AI599">
        <v>92.850282166166707</v>
      </c>
      <c r="AJ599">
        <v>89.6928180080332</v>
      </c>
      <c r="AK599">
        <v>23.3226315811315</v>
      </c>
      <c r="AL599">
        <v>86.401346181677695</v>
      </c>
      <c r="AM599">
        <v>91.258630044945505</v>
      </c>
      <c r="AN599">
        <v>0.99999999088710501</v>
      </c>
    </row>
    <row r="600" spans="1:40" x14ac:dyDescent="0.25">
      <c r="A600" t="str">
        <f>"20190312160613930"</f>
        <v>20190312160613930</v>
      </c>
      <c r="B600" t="str">
        <f>"1552377973925263"</f>
        <v>1552377973925263</v>
      </c>
      <c r="C600" t="s">
        <v>40</v>
      </c>
      <c r="D600">
        <v>6.3069800000000003</v>
      </c>
      <c r="E600">
        <v>0.50828930000000005</v>
      </c>
      <c r="F600" t="s">
        <v>45</v>
      </c>
      <c r="G600">
        <v>-303.10129999999998</v>
      </c>
      <c r="H600">
        <v>-0.05</v>
      </c>
      <c r="I600">
        <v>368.34570000000002</v>
      </c>
      <c r="J600">
        <v>-325.1071</v>
      </c>
      <c r="K600">
        <v>1.1097600000000001</v>
      </c>
      <c r="L600">
        <v>368.3732</v>
      </c>
      <c r="M600">
        <v>0.99991269999999999</v>
      </c>
      <c r="N600">
        <v>0</v>
      </c>
      <c r="O600">
        <v>3.2347750000000001E-3</v>
      </c>
      <c r="P600">
        <v>0.99843930000000003</v>
      </c>
      <c r="Q600">
        <v>4.9802550000000001E-2</v>
      </c>
      <c r="R600">
        <v>2.5281399999999999E-2</v>
      </c>
      <c r="S600">
        <v>3.0126949999999999</v>
      </c>
      <c r="T600">
        <v>-0.15711559999999999</v>
      </c>
      <c r="U600">
        <v>-3.6621090000000002E-3</v>
      </c>
      <c r="V600">
        <v>-2.1997059999999999E-2</v>
      </c>
      <c r="W600">
        <v>6.2617149999999996E-2</v>
      </c>
      <c r="X600">
        <v>0.99779519999999999</v>
      </c>
      <c r="Y600">
        <v>4.4401600000000003E-3</v>
      </c>
      <c r="Z600">
        <v>-2.8429740000000001E-4</v>
      </c>
      <c r="AA600">
        <v>0.99999009999999999</v>
      </c>
      <c r="AB600">
        <v>29</v>
      </c>
      <c r="AC600">
        <v>22.005800000000001</v>
      </c>
      <c r="AD600">
        <v>-1.1597599999999999</v>
      </c>
      <c r="AE600">
        <v>-2.7499999999974899E-2</v>
      </c>
      <c r="AF600">
        <v>9.8416154772442893E-2</v>
      </c>
      <c r="AG600">
        <v>-1.1597599999999999</v>
      </c>
      <c r="AH600">
        <v>21.944643629607299</v>
      </c>
      <c r="AI600">
        <v>93.025199494705703</v>
      </c>
      <c r="AJ600">
        <v>89.743044699403697</v>
      </c>
      <c r="AK600">
        <v>21.975488914415202</v>
      </c>
      <c r="AL600">
        <v>86.409952998500501</v>
      </c>
      <c r="AM600">
        <v>91.262919063507297</v>
      </c>
      <c r="AN600">
        <v>1.0000000196329</v>
      </c>
    </row>
    <row r="601" spans="1:40" x14ac:dyDescent="0.25">
      <c r="A601" t="str">
        <f>"20190312160613940"</f>
        <v>20190312160613940</v>
      </c>
      <c r="B601" t="str">
        <f>"1552377973935999"</f>
        <v>1552377973935999</v>
      </c>
      <c r="C601" t="s">
        <v>40</v>
      </c>
      <c r="D601">
        <v>6.3008030000000002</v>
      </c>
      <c r="E601">
        <v>0.50790900000000005</v>
      </c>
      <c r="F601" t="s">
        <v>45</v>
      </c>
      <c r="G601">
        <v>-301.60239999999999</v>
      </c>
      <c r="H601">
        <v>-0.05</v>
      </c>
      <c r="I601">
        <v>368.39249999999998</v>
      </c>
      <c r="J601">
        <v>-324.96080000000001</v>
      </c>
      <c r="K601">
        <v>1.1097649999999999</v>
      </c>
      <c r="L601">
        <v>368.37349999999998</v>
      </c>
      <c r="M601">
        <v>0.99991229999999998</v>
      </c>
      <c r="N601">
        <v>0</v>
      </c>
      <c r="O601">
        <v>3.0094840000000002E-3</v>
      </c>
      <c r="P601">
        <v>0.9984499</v>
      </c>
      <c r="Q601">
        <v>4.9784920000000003E-2</v>
      </c>
      <c r="R601">
        <v>2.4884380000000001E-2</v>
      </c>
      <c r="S601">
        <v>3.012054</v>
      </c>
      <c r="T601">
        <v>-0.1486201</v>
      </c>
      <c r="U601">
        <v>2.4719239999999999E-3</v>
      </c>
      <c r="V601">
        <v>-2.182427E-2</v>
      </c>
      <c r="W601">
        <v>6.2680449999999999E-2</v>
      </c>
      <c r="X601">
        <v>0.99779499999999999</v>
      </c>
      <c r="Y601">
        <v>2.1827439999999999E-3</v>
      </c>
      <c r="Z601">
        <v>-2.0223260000000001E-4</v>
      </c>
      <c r="AA601">
        <v>0.99999760000000004</v>
      </c>
      <c r="AB601">
        <v>29</v>
      </c>
      <c r="AC601">
        <v>23.3584</v>
      </c>
      <c r="AD601">
        <v>-1.1597649999999999</v>
      </c>
      <c r="AE601">
        <v>1.9000000000005401E-2</v>
      </c>
      <c r="AF601">
        <v>5.1176503551594602E-2</v>
      </c>
      <c r="AG601">
        <v>-1.1597649999999999</v>
      </c>
      <c r="AH601">
        <v>23.300909804931798</v>
      </c>
      <c r="AI601">
        <v>92.849446135643802</v>
      </c>
      <c r="AJ601">
        <v>89.874159722797998</v>
      </c>
      <c r="AK601">
        <v>23.3298107927885</v>
      </c>
      <c r="AL601">
        <v>86.406318965930495</v>
      </c>
      <c r="AM601">
        <v>91.253002082909106</v>
      </c>
      <c r="AN601">
        <v>0.99999999979911702</v>
      </c>
    </row>
    <row r="602" spans="1:40" x14ac:dyDescent="0.25">
      <c r="A602" t="str">
        <f>"20190312160613952"</f>
        <v>20190312160613952</v>
      </c>
      <c r="B602" t="str">
        <f>"1552377973945759"</f>
        <v>1552377973945759</v>
      </c>
      <c r="C602" t="s">
        <v>40</v>
      </c>
      <c r="D602">
        <v>6.2766989999999998</v>
      </c>
      <c r="E602">
        <v>0.50759319999999997</v>
      </c>
      <c r="F602" t="s">
        <v>45</v>
      </c>
      <c r="G602">
        <v>-300.74549999999999</v>
      </c>
      <c r="H602">
        <v>-0.05</v>
      </c>
      <c r="I602">
        <v>368.411</v>
      </c>
      <c r="J602">
        <v>-324.81619999999998</v>
      </c>
      <c r="K602">
        <v>1.1097779999999999</v>
      </c>
      <c r="L602">
        <v>368.37369999999999</v>
      </c>
      <c r="M602">
        <v>0.99991180000000002</v>
      </c>
      <c r="N602">
        <v>0</v>
      </c>
      <c r="O602">
        <v>2.7873640000000001E-3</v>
      </c>
      <c r="P602">
        <v>0.99848119999999996</v>
      </c>
      <c r="Q602">
        <v>4.9504069999999997E-2</v>
      </c>
      <c r="R602">
        <v>2.418843E-2</v>
      </c>
      <c r="S602">
        <v>3.011749</v>
      </c>
      <c r="T602">
        <v>-0.14424400000000001</v>
      </c>
      <c r="U602">
        <v>4.6691889999999998E-3</v>
      </c>
      <c r="V602">
        <v>-2.135018E-2</v>
      </c>
      <c r="W602">
        <v>6.2478190000000003E-2</v>
      </c>
      <c r="X602">
        <v>0.99781790000000004</v>
      </c>
      <c r="Y602">
        <v>1.2326710000000001E-3</v>
      </c>
      <c r="Z602">
        <v>-1.6293349999999999E-4</v>
      </c>
      <c r="AA602">
        <v>0.99999919999999998</v>
      </c>
      <c r="AB602">
        <v>29</v>
      </c>
      <c r="AC602">
        <v>24.070699999999899</v>
      </c>
      <c r="AD602">
        <v>-1.159778</v>
      </c>
      <c r="AE602">
        <v>3.7300000000016098E-2</v>
      </c>
      <c r="AF602">
        <v>2.97305850871218E-2</v>
      </c>
      <c r="AG602">
        <v>-1.159778</v>
      </c>
      <c r="AH602">
        <v>24.014959397019702</v>
      </c>
      <c r="AI602">
        <v>92.764890996005505</v>
      </c>
      <c r="AJ602">
        <v>89.929067705277802</v>
      </c>
      <c r="AK602">
        <v>24.042966617235098</v>
      </c>
      <c r="AL602">
        <v>86.417930218769001</v>
      </c>
      <c r="AM602">
        <v>91.225763312814806</v>
      </c>
      <c r="AN602">
        <v>0.99999995798605801</v>
      </c>
    </row>
    <row r="603" spans="1:40" x14ac:dyDescent="0.25">
      <c r="A603" t="str">
        <f>"20190312160613964"</f>
        <v>20190312160613964</v>
      </c>
      <c r="B603" t="str">
        <f>"1552377973955518"</f>
        <v>1552377973955518</v>
      </c>
      <c r="C603" t="s">
        <v>40</v>
      </c>
      <c r="D603">
        <v>6.2874689999999998</v>
      </c>
      <c r="E603">
        <v>0.50727</v>
      </c>
      <c r="F603" t="s">
        <v>45</v>
      </c>
      <c r="G603">
        <v>-300.03519999999997</v>
      </c>
      <c r="H603">
        <v>-0.05</v>
      </c>
      <c r="I603">
        <v>368.4169</v>
      </c>
      <c r="J603">
        <v>-324.66989999999998</v>
      </c>
      <c r="K603">
        <v>1.109783</v>
      </c>
      <c r="L603">
        <v>368.37380000000002</v>
      </c>
      <c r="M603">
        <v>0.99991169999999996</v>
      </c>
      <c r="N603">
        <v>0</v>
      </c>
      <c r="O603">
        <v>2.5617700000000001E-3</v>
      </c>
      <c r="P603">
        <v>0.99851029999999996</v>
      </c>
      <c r="Q603">
        <v>4.9098450000000002E-2</v>
      </c>
      <c r="R603">
        <v>2.38154E-2</v>
      </c>
      <c r="S603">
        <v>3.011444</v>
      </c>
      <c r="T603">
        <v>-0.14093939999999999</v>
      </c>
      <c r="U603">
        <v>5.2490230000000002E-3</v>
      </c>
      <c r="V603">
        <v>-2.120265E-2</v>
      </c>
      <c r="W603">
        <v>6.2146949999999999E-2</v>
      </c>
      <c r="X603">
        <v>0.9978418</v>
      </c>
      <c r="Y603">
        <v>8.1527059999999998E-4</v>
      </c>
      <c r="Z603">
        <v>-1.3890579999999999E-4</v>
      </c>
      <c r="AA603">
        <v>0.99999959999999999</v>
      </c>
      <c r="AB603">
        <v>29</v>
      </c>
      <c r="AC603">
        <v>24.634699999999999</v>
      </c>
      <c r="AD603">
        <v>-1.159783</v>
      </c>
      <c r="AE603">
        <v>4.3099999999981202E-2</v>
      </c>
      <c r="AF603">
        <v>1.9969680938058499E-2</v>
      </c>
      <c r="AG603">
        <v>-1.159783</v>
      </c>
      <c r="AH603">
        <v>24.5802487243269</v>
      </c>
      <c r="AI603">
        <v>92.701412949489693</v>
      </c>
      <c r="AJ603">
        <v>89.953451317882397</v>
      </c>
      <c r="AK603">
        <v>24.6076029459397</v>
      </c>
      <c r="AL603">
        <v>86.436946072491295</v>
      </c>
      <c r="AM603">
        <v>91.217266683555494</v>
      </c>
      <c r="AN603">
        <v>1.0000000267942799</v>
      </c>
    </row>
    <row r="604" spans="1:40" x14ac:dyDescent="0.25">
      <c r="A604" t="str">
        <f>"20190312160613976"</f>
        <v>20190312160613976</v>
      </c>
      <c r="B604" t="str">
        <f>"1552377973965278"</f>
        <v>1552377973965278</v>
      </c>
      <c r="C604" t="s">
        <v>40</v>
      </c>
      <c r="D604">
        <v>6.661314</v>
      </c>
      <c r="E604">
        <v>0.50695709999999905</v>
      </c>
      <c r="F604" t="s">
        <v>45</v>
      </c>
      <c r="G604">
        <v>-299.4717</v>
      </c>
      <c r="H604">
        <v>-0.05</v>
      </c>
      <c r="I604">
        <v>368.43329999999997</v>
      </c>
      <c r="J604">
        <v>-324.5197</v>
      </c>
      <c r="K604">
        <v>1.1097859999999999</v>
      </c>
      <c r="L604">
        <v>368.37400000000002</v>
      </c>
      <c r="M604">
        <v>0.99991110000000005</v>
      </c>
      <c r="N604">
        <v>0</v>
      </c>
      <c r="O604">
        <v>2.3300370000000001E-3</v>
      </c>
      <c r="P604">
        <v>0.99854690000000002</v>
      </c>
      <c r="Q604">
        <v>4.8697310000000001E-2</v>
      </c>
      <c r="R604">
        <v>2.308002E-2</v>
      </c>
      <c r="S604">
        <v>3.011139</v>
      </c>
      <c r="T604">
        <v>-0.13859199999999999</v>
      </c>
      <c r="U604">
        <v>7.1105959999999899E-3</v>
      </c>
      <c r="V604">
        <v>-2.0698709999999999E-2</v>
      </c>
      <c r="W604">
        <v>6.1819989999999998E-2</v>
      </c>
      <c r="X604">
        <v>0.99787269999999995</v>
      </c>
      <c r="Y604" s="1">
        <v>-3.3617269999999999E-5</v>
      </c>
      <c r="Z604">
        <v>-1.064223E-4</v>
      </c>
      <c r="AA604">
        <v>1</v>
      </c>
      <c r="AB604">
        <v>29</v>
      </c>
      <c r="AC604">
        <v>25.047999999999998</v>
      </c>
      <c r="AD604">
        <v>-1.159786</v>
      </c>
      <c r="AE604">
        <v>5.9299999999950601E-2</v>
      </c>
      <c r="AF604">
        <v>-9.3004784042147095E-4</v>
      </c>
      <c r="AG604">
        <v>-1.159786</v>
      </c>
      <c r="AH604">
        <v>24.994484175207599</v>
      </c>
      <c r="AI604">
        <v>92.656714650588299</v>
      </c>
      <c r="AJ604">
        <v>90.002131983024796</v>
      </c>
      <c r="AK604">
        <v>25.021377732161099</v>
      </c>
      <c r="AL604">
        <v>86.455715625355595</v>
      </c>
      <c r="AM604">
        <v>91.188306561968005</v>
      </c>
      <c r="AN604">
        <v>1.0000000365822701</v>
      </c>
    </row>
    <row r="605" spans="1:40" x14ac:dyDescent="0.25">
      <c r="A605" t="str">
        <f>"20190312160613987"</f>
        <v>20190312160613987</v>
      </c>
      <c r="B605" t="str">
        <f>"1552377973976015"</f>
        <v>1552377973976015</v>
      </c>
      <c r="C605" t="s">
        <v>40</v>
      </c>
      <c r="D605">
        <v>6.6598220000000001</v>
      </c>
      <c r="E605">
        <v>0.50666679999999997</v>
      </c>
      <c r="F605" t="s">
        <v>45</v>
      </c>
      <c r="G605">
        <v>-298.83980000000003</v>
      </c>
      <c r="H605">
        <v>-0.05</v>
      </c>
      <c r="I605">
        <v>368.43880000000001</v>
      </c>
      <c r="J605">
        <v>-324.3605</v>
      </c>
      <c r="K605">
        <v>1.1097919999999999</v>
      </c>
      <c r="L605">
        <v>368.3741</v>
      </c>
      <c r="M605">
        <v>0.99991090000000005</v>
      </c>
      <c r="N605">
        <v>0</v>
      </c>
      <c r="O605">
        <v>2.0826529999999998E-3</v>
      </c>
      <c r="P605">
        <v>0.99857850000000004</v>
      </c>
      <c r="Q605">
        <v>4.8307389999999999E-2</v>
      </c>
      <c r="R605">
        <v>2.2530439999999999E-2</v>
      </c>
      <c r="S605">
        <v>3.010834</v>
      </c>
      <c r="T605">
        <v>-0.13597879999999901</v>
      </c>
      <c r="U605">
        <v>7.59887699999999E-3</v>
      </c>
      <c r="V605">
        <v>-2.0396009999999999E-2</v>
      </c>
      <c r="W605">
        <v>6.1502069999999999E-2</v>
      </c>
      <c r="X605">
        <v>0.99789850000000002</v>
      </c>
      <c r="Y605">
        <v>-4.4267539999999999E-4</v>
      </c>
      <c r="Z605" s="1">
        <v>-8.4028040000000005E-5</v>
      </c>
      <c r="AA605">
        <v>0.99999990000000005</v>
      </c>
      <c r="AB605">
        <v>29</v>
      </c>
      <c r="AC605">
        <v>25.520699999999898</v>
      </c>
      <c r="AD605">
        <v>-1.1597919999999999</v>
      </c>
      <c r="AE605">
        <v>6.4700000000016106E-2</v>
      </c>
      <c r="AF605">
        <v>-1.1520683315817499E-2</v>
      </c>
      <c r="AG605">
        <v>-1.1597919999999999</v>
      </c>
      <c r="AH605">
        <v>25.468181285712799</v>
      </c>
      <c r="AI605">
        <v>92.607382954861194</v>
      </c>
      <c r="AJ605">
        <v>90.025918084949694</v>
      </c>
      <c r="AK605">
        <v>25.4945780159496</v>
      </c>
      <c r="AL605">
        <v>86.473965552758401</v>
      </c>
      <c r="AM605">
        <v>91.170903257128003</v>
      </c>
      <c r="AN605">
        <v>0.99999995907022599</v>
      </c>
    </row>
    <row r="606" spans="1:40" x14ac:dyDescent="0.25">
      <c r="A606" t="str">
        <f>"20190312160614008"</f>
        <v>20190312160614008</v>
      </c>
      <c r="B606" t="str">
        <f>"1552377973995535"</f>
        <v>1552377973995535</v>
      </c>
      <c r="C606" t="s">
        <v>40</v>
      </c>
      <c r="D606">
        <v>6.2347000000000001</v>
      </c>
      <c r="E606">
        <v>0.50599340000000004</v>
      </c>
      <c r="F606" t="s">
        <v>45</v>
      </c>
      <c r="G606">
        <v>-298.23899999999998</v>
      </c>
      <c r="H606">
        <v>-0.05</v>
      </c>
      <c r="I606">
        <v>368.44450000000001</v>
      </c>
      <c r="J606">
        <v>-324.10919999999999</v>
      </c>
      <c r="K606">
        <v>1.109796</v>
      </c>
      <c r="L606">
        <v>368.3741</v>
      </c>
      <c r="M606">
        <v>0.99991010000000002</v>
      </c>
      <c r="N606">
        <v>0</v>
      </c>
      <c r="O606">
        <v>1.6900330000000001E-3</v>
      </c>
      <c r="P606">
        <v>0.99862580000000001</v>
      </c>
      <c r="Q606">
        <v>4.7714960000000001E-2</v>
      </c>
      <c r="R606">
        <v>2.1671869999999999E-2</v>
      </c>
      <c r="S606">
        <v>3.0105900000000001</v>
      </c>
      <c r="T606">
        <v>-0.13366989999999901</v>
      </c>
      <c r="U606">
        <v>8.1176759999999903E-3</v>
      </c>
      <c r="V606">
        <v>-1.9929809999999999E-2</v>
      </c>
      <c r="W606">
        <v>6.1015180000000002E-2</v>
      </c>
      <c r="X606">
        <v>0.99793790000000004</v>
      </c>
      <c r="Y606">
        <v>-1.0068570000000001E-3</v>
      </c>
      <c r="Z606" s="1">
        <v>-5.2665659999999997E-5</v>
      </c>
      <c r="AA606">
        <v>0.99999950000000004</v>
      </c>
      <c r="AB606">
        <v>29</v>
      </c>
      <c r="AC606">
        <v>25.870199999999901</v>
      </c>
      <c r="AD606">
        <v>-1.1597959999999901</v>
      </c>
      <c r="AE606">
        <v>7.0400000000006402E-2</v>
      </c>
      <c r="AF606">
        <v>-2.6621035375960701E-2</v>
      </c>
      <c r="AG606">
        <v>-1.1597959999999901</v>
      </c>
      <c r="AH606">
        <v>25.818391328012499</v>
      </c>
      <c r="AI606">
        <v>92.572071042936102</v>
      </c>
      <c r="AJ606">
        <v>90.059076973983593</v>
      </c>
      <c r="AK606">
        <v>25.8444416888339</v>
      </c>
      <c r="AL606">
        <v>86.501915108559302</v>
      </c>
      <c r="AM606">
        <v>91.144101476268304</v>
      </c>
      <c r="AN606">
        <v>1.0000000508867299</v>
      </c>
    </row>
    <row r="607" spans="1:40" x14ac:dyDescent="0.25">
      <c r="A607" t="str">
        <f>"20190312160614019"</f>
        <v>20190312160614019</v>
      </c>
      <c r="B607" t="str">
        <f>"1552377974016031"</f>
        <v>1552377974016031</v>
      </c>
      <c r="C607" t="s">
        <v>40</v>
      </c>
      <c r="D607">
        <v>6.2133099999999999</v>
      </c>
      <c r="E607">
        <v>0.50585789999999997</v>
      </c>
      <c r="F607" t="s">
        <v>45</v>
      </c>
      <c r="G607">
        <v>-297.07740000000001</v>
      </c>
      <c r="H607">
        <v>-0.05</v>
      </c>
      <c r="I607">
        <v>368.47329999999999</v>
      </c>
      <c r="J607">
        <v>-323.95760000000001</v>
      </c>
      <c r="K607">
        <v>1.1097999999999999</v>
      </c>
      <c r="L607">
        <v>368.3741</v>
      </c>
      <c r="M607">
        <v>0.99990970000000001</v>
      </c>
      <c r="N607">
        <v>0</v>
      </c>
      <c r="O607">
        <v>1.4521149999999999E-3</v>
      </c>
      <c r="P607">
        <v>0.99865939999999997</v>
      </c>
      <c r="Q607">
        <v>4.7257159999999999E-2</v>
      </c>
      <c r="R607">
        <v>2.1129189999999999E-2</v>
      </c>
      <c r="S607">
        <v>3.0100709999999999</v>
      </c>
      <c r="T607">
        <v>-0.12914680000000001</v>
      </c>
      <c r="U607">
        <v>1.1047360000000001E-2</v>
      </c>
      <c r="V607">
        <v>-1.9625259999999999E-2</v>
      </c>
      <c r="W607">
        <v>6.0615860000000001E-2</v>
      </c>
      <c r="X607">
        <v>0.99796819999999997</v>
      </c>
      <c r="Y607">
        <v>-2.2171669999999999E-3</v>
      </c>
      <c r="Z607" s="1">
        <v>-1.473785E-5</v>
      </c>
      <c r="AA607">
        <v>0.99999760000000004</v>
      </c>
      <c r="AB607">
        <v>29</v>
      </c>
      <c r="AC607">
        <v>26.880199999999999</v>
      </c>
      <c r="AD607">
        <v>-1.1597999999999999</v>
      </c>
      <c r="AE607">
        <v>9.9199999999996097E-2</v>
      </c>
      <c r="AF607">
        <v>-6.0051475796666899E-2</v>
      </c>
      <c r="AG607">
        <v>-1.1597999999999999</v>
      </c>
      <c r="AH607">
        <v>26.830367278262901</v>
      </c>
      <c r="AI607">
        <v>92.475185464528295</v>
      </c>
      <c r="AJ607">
        <v>90.128238660903406</v>
      </c>
      <c r="AK607">
        <v>26.8554901371437</v>
      </c>
      <c r="AL607">
        <v>86.524836641905395</v>
      </c>
      <c r="AM607">
        <v>91.126588657636802</v>
      </c>
      <c r="AN607">
        <v>0.99999998076242302</v>
      </c>
    </row>
    <row r="608" spans="1:40" x14ac:dyDescent="0.25">
      <c r="A608" t="str">
        <f>"20190312160614031"</f>
        <v>20190312160614031</v>
      </c>
      <c r="B608" t="str">
        <f>"1552377974025790"</f>
        <v>1552377974025790</v>
      </c>
      <c r="C608" t="s">
        <v>40</v>
      </c>
      <c r="D608">
        <v>6.5148529999999996</v>
      </c>
      <c r="E608">
        <v>0.50579589999999996</v>
      </c>
      <c r="F608" t="s">
        <v>45</v>
      </c>
      <c r="G608">
        <v>-298.62830000000002</v>
      </c>
      <c r="H608">
        <v>-0.05</v>
      </c>
      <c r="I608">
        <v>368.46249999999998</v>
      </c>
      <c r="J608">
        <v>-323.79480000000001</v>
      </c>
      <c r="K608">
        <v>1.109802</v>
      </c>
      <c r="L608">
        <v>368.3741</v>
      </c>
      <c r="M608">
        <v>0.9999093</v>
      </c>
      <c r="N608">
        <v>0</v>
      </c>
      <c r="O608">
        <v>1.1959539999999999E-3</v>
      </c>
      <c r="P608">
        <v>0.99868500000000004</v>
      </c>
      <c r="Q608">
        <v>4.6962499999999997E-2</v>
      </c>
      <c r="R608">
        <v>2.0568340000000001E-2</v>
      </c>
      <c r="S608">
        <v>3.0103149999999999</v>
      </c>
      <c r="T608">
        <v>-0.1378385</v>
      </c>
      <c r="U608">
        <v>1.049805E-2</v>
      </c>
      <c r="V608">
        <v>-1.9320509999999999E-2</v>
      </c>
      <c r="W608">
        <v>6.0380259999999998E-2</v>
      </c>
      <c r="X608">
        <v>0.99798849999999995</v>
      </c>
      <c r="Y608">
        <v>-2.290135E-3</v>
      </c>
      <c r="Z608" s="1">
        <v>-2.3336719999999999E-6</v>
      </c>
      <c r="AA608">
        <v>0.99999740000000004</v>
      </c>
      <c r="AB608">
        <v>29</v>
      </c>
      <c r="AC608">
        <v>25.1664999999999</v>
      </c>
      <c r="AD608">
        <v>-1.159802</v>
      </c>
      <c r="AE608">
        <v>8.8399999999978704E-2</v>
      </c>
      <c r="AF608">
        <v>-5.8175697399200699E-2</v>
      </c>
      <c r="AG608">
        <v>-1.159802</v>
      </c>
      <c r="AH608">
        <v>25.1132518269713</v>
      </c>
      <c r="AI608">
        <v>92.644197515074197</v>
      </c>
      <c r="AJ608">
        <v>90.132727374049395</v>
      </c>
      <c r="AK608">
        <v>25.1400863645265</v>
      </c>
      <c r="AL608">
        <v>86.5383605458956</v>
      </c>
      <c r="AM608">
        <v>91.109076324289504</v>
      </c>
      <c r="AN608">
        <v>1.0000000520182799</v>
      </c>
    </row>
    <row r="609" spans="1:40" x14ac:dyDescent="0.25">
      <c r="A609" t="str">
        <f>"20190312160614054"</f>
        <v>20190312160614054</v>
      </c>
      <c r="B609" t="str">
        <f>"1552377974045312"</f>
        <v>1552377974045312</v>
      </c>
      <c r="C609" t="s">
        <v>40</v>
      </c>
      <c r="D609">
        <v>6.6552550000000004</v>
      </c>
      <c r="E609">
        <v>0.50576980000000005</v>
      </c>
      <c r="F609" t="s">
        <v>45</v>
      </c>
      <c r="G609">
        <v>-298.93520000000001</v>
      </c>
      <c r="H609">
        <v>-0.05</v>
      </c>
      <c r="I609">
        <v>368.4502</v>
      </c>
      <c r="J609">
        <v>-323.51749999999998</v>
      </c>
      <c r="K609">
        <v>1.1098030000000001</v>
      </c>
      <c r="L609">
        <v>368.37400000000002</v>
      </c>
      <c r="M609">
        <v>0.99990840000000003</v>
      </c>
      <c r="N609">
        <v>0</v>
      </c>
      <c r="O609">
        <v>7.601032E-4</v>
      </c>
      <c r="P609">
        <v>0.99870479999999995</v>
      </c>
      <c r="Q609">
        <v>4.6845570000000003E-2</v>
      </c>
      <c r="R609">
        <v>1.9855979999999999E-2</v>
      </c>
      <c r="S609">
        <v>3.010345</v>
      </c>
      <c r="T609">
        <v>-0.14044499999999999</v>
      </c>
      <c r="U609">
        <v>9.2163090000000007E-3</v>
      </c>
      <c r="V609">
        <v>-1.9043569999999999E-2</v>
      </c>
      <c r="W609">
        <v>6.0354070000000003E-2</v>
      </c>
      <c r="X609">
        <v>0.99799539999999998</v>
      </c>
      <c r="Y609">
        <v>-2.299686E-3</v>
      </c>
      <c r="Z609" s="1">
        <v>1.8169810000000001E-5</v>
      </c>
      <c r="AA609">
        <v>0.99999740000000004</v>
      </c>
      <c r="AB609">
        <v>29</v>
      </c>
      <c r="AC609">
        <v>24.582299999999901</v>
      </c>
      <c r="AD609">
        <v>-1.1598029999999999</v>
      </c>
      <c r="AE609">
        <v>7.6199999999971596E-2</v>
      </c>
      <c r="AF609">
        <v>-5.7385448507536997E-2</v>
      </c>
      <c r="AG609">
        <v>-1.1598029999999999</v>
      </c>
      <c r="AH609">
        <v>24.527752787383999</v>
      </c>
      <c r="AI609">
        <v>92.707226210661602</v>
      </c>
      <c r="AJ609">
        <v>90.134049704198205</v>
      </c>
      <c r="AK609">
        <v>24.555225368290401</v>
      </c>
      <c r="AL609">
        <v>86.539863839219294</v>
      </c>
      <c r="AM609">
        <v>91.093175164801096</v>
      </c>
      <c r="AN609">
        <v>1.0000000448725299</v>
      </c>
    </row>
    <row r="610" spans="1:40" x14ac:dyDescent="0.25">
      <c r="A610" t="str">
        <f>"20190312160614076"</f>
        <v>20190312160614076</v>
      </c>
      <c r="B610" t="str">
        <f>"1552377974065807"</f>
        <v>1552377974065807</v>
      </c>
      <c r="C610" t="s">
        <v>40</v>
      </c>
      <c r="D610">
        <v>6.4715210000000001</v>
      </c>
      <c r="E610">
        <v>0.50558359999999902</v>
      </c>
      <c r="F610" t="s">
        <v>45</v>
      </c>
      <c r="G610">
        <v>-298.74059999999997</v>
      </c>
      <c r="H610">
        <v>-0.05</v>
      </c>
      <c r="I610">
        <v>368.4348</v>
      </c>
      <c r="J610">
        <v>-323.23860000000002</v>
      </c>
      <c r="K610">
        <v>1.109807</v>
      </c>
      <c r="L610">
        <v>368.37369999999999</v>
      </c>
      <c r="M610">
        <v>0.99990760000000001</v>
      </c>
      <c r="N610">
        <v>0</v>
      </c>
      <c r="O610">
        <v>3.2171000000000001E-4</v>
      </c>
      <c r="P610">
        <v>0.99872450000000002</v>
      </c>
      <c r="Q610">
        <v>4.670274E-2</v>
      </c>
      <c r="R610">
        <v>1.918359E-2</v>
      </c>
      <c r="S610">
        <v>3.0103759999999999</v>
      </c>
      <c r="T610">
        <v>-0.14091489999999901</v>
      </c>
      <c r="U610">
        <v>7.385254E-3</v>
      </c>
      <c r="V610">
        <v>-1.8809039999999999E-2</v>
      </c>
      <c r="W610">
        <v>6.029031E-2</v>
      </c>
      <c r="X610">
        <v>0.99800370000000005</v>
      </c>
      <c r="Y610">
        <v>-2.129541E-3</v>
      </c>
      <c r="Z610" s="1">
        <v>3.4761990000000003E-5</v>
      </c>
      <c r="AA610">
        <v>0.99999769999999999</v>
      </c>
      <c r="AB610">
        <v>29</v>
      </c>
      <c r="AC610">
        <v>24.498000000000001</v>
      </c>
      <c r="AD610">
        <v>-1.159807</v>
      </c>
      <c r="AE610">
        <v>6.1100000000010299E-2</v>
      </c>
      <c r="AF610">
        <v>-5.3099004517073001E-2</v>
      </c>
      <c r="AG610">
        <v>-1.159807</v>
      </c>
      <c r="AH610">
        <v>24.443232826741099</v>
      </c>
      <c r="AI610">
        <v>92.716583653991293</v>
      </c>
      <c r="AJ610">
        <v>90.124465699405505</v>
      </c>
      <c r="AK610">
        <v>24.4707908087133</v>
      </c>
      <c r="AL610">
        <v>86.543523677378801</v>
      </c>
      <c r="AM610">
        <v>91.0797064579086</v>
      </c>
      <c r="AN610">
        <v>1.0000000433396501</v>
      </c>
    </row>
    <row r="611" spans="1:40" x14ac:dyDescent="0.25">
      <c r="A611" t="str">
        <f>"20190312160614086"</f>
        <v>20190312160614086</v>
      </c>
      <c r="B611" t="str">
        <f>"1552377974075567"</f>
        <v>1552377974075567</v>
      </c>
      <c r="C611" t="s">
        <v>40</v>
      </c>
      <c r="D611">
        <v>6.4160219999999999</v>
      </c>
      <c r="E611">
        <v>0.50548959999999998</v>
      </c>
      <c r="F611" t="s">
        <v>45</v>
      </c>
      <c r="G611">
        <v>-298.99709999999999</v>
      </c>
      <c r="H611">
        <v>-0.05</v>
      </c>
      <c r="I611">
        <v>368.42750000000001</v>
      </c>
      <c r="J611">
        <v>-323.09559999999999</v>
      </c>
      <c r="K611">
        <v>1.10981</v>
      </c>
      <c r="L611">
        <v>368.37349999999998</v>
      </c>
      <c r="M611">
        <v>0.99990730000000005</v>
      </c>
      <c r="N611">
        <v>0</v>
      </c>
      <c r="O611" s="1">
        <v>9.7467969999999899E-5</v>
      </c>
      <c r="P611">
        <v>0.99873749999999994</v>
      </c>
      <c r="Q611">
        <v>4.6552160000000002E-2</v>
      </c>
      <c r="R611">
        <v>1.888867E-2</v>
      </c>
      <c r="S611">
        <v>3.0104679999999999</v>
      </c>
      <c r="T611">
        <v>-0.14403239999999901</v>
      </c>
      <c r="U611">
        <v>6.6833500000000002E-3</v>
      </c>
      <c r="V611">
        <v>-1.8738729999999999E-2</v>
      </c>
      <c r="W611">
        <v>6.0176540000000001E-2</v>
      </c>
      <c r="X611">
        <v>0.9980118</v>
      </c>
      <c r="Y611">
        <v>-2.1202410000000001E-3</v>
      </c>
      <c r="Z611" s="1">
        <v>4.6030199999999998E-5</v>
      </c>
      <c r="AA611">
        <v>0.99999769999999999</v>
      </c>
      <c r="AB611">
        <v>28</v>
      </c>
      <c r="AC611">
        <v>24.098500000000001</v>
      </c>
      <c r="AD611">
        <v>-1.15981</v>
      </c>
      <c r="AE611">
        <v>5.4000000000030399E-2</v>
      </c>
      <c r="AF611">
        <v>-5.1531588414683797E-2</v>
      </c>
      <c r="AG611">
        <v>-1.15981</v>
      </c>
      <c r="AH611">
        <v>24.042815201100701</v>
      </c>
      <c r="AI611">
        <v>92.761764439293401</v>
      </c>
      <c r="AJ611">
        <v>90.122803339871297</v>
      </c>
      <c r="AK611">
        <v>24.070828351658101</v>
      </c>
      <c r="AL611">
        <v>86.550053768031106</v>
      </c>
      <c r="AM611">
        <v>91.075662633195194</v>
      </c>
      <c r="AN611">
        <v>0.99999995445381096</v>
      </c>
    </row>
    <row r="612" spans="1:40" x14ac:dyDescent="0.25">
      <c r="A612" t="str">
        <f>"20190312160614108"</f>
        <v>20190312160614108</v>
      </c>
      <c r="B612" t="str">
        <f>"1552377974105823"</f>
        <v>1552377974105823</v>
      </c>
      <c r="C612" t="s">
        <v>40</v>
      </c>
      <c r="D612">
        <v>6.2970090000000001</v>
      </c>
      <c r="E612">
        <v>0.50489589999999995</v>
      </c>
      <c r="F612" t="s">
        <v>45</v>
      </c>
      <c r="G612">
        <v>-298.8381</v>
      </c>
      <c r="H612">
        <v>-0.05</v>
      </c>
      <c r="I612">
        <v>368.42809999999997</v>
      </c>
      <c r="J612">
        <v>-322.82299999999998</v>
      </c>
      <c r="K612">
        <v>1.109818</v>
      </c>
      <c r="L612">
        <v>368.37299999999999</v>
      </c>
      <c r="M612">
        <v>0.99990619999999997</v>
      </c>
      <c r="N612">
        <v>0</v>
      </c>
      <c r="O612">
        <v>-3.2985190000000002E-4</v>
      </c>
      <c r="P612">
        <v>0.99874689999999999</v>
      </c>
      <c r="Q612">
        <v>4.6519980000000002E-2</v>
      </c>
      <c r="R612">
        <v>1.846066E-2</v>
      </c>
      <c r="S612">
        <v>3.0103759999999999</v>
      </c>
      <c r="T612">
        <v>-0.14393329999999999</v>
      </c>
      <c r="U612">
        <v>6.7749019999999898E-3</v>
      </c>
      <c r="V612">
        <v>-1.8737750000000001E-2</v>
      </c>
      <c r="W612">
        <v>6.0207490000000002E-2</v>
      </c>
      <c r="X612">
        <v>0.99800999999999995</v>
      </c>
      <c r="Y612">
        <v>-2.5770720000000001E-3</v>
      </c>
      <c r="Z612" s="1">
        <v>7.7336229999999995E-5</v>
      </c>
      <c r="AA612">
        <v>0.99999669999999896</v>
      </c>
      <c r="AB612">
        <v>28</v>
      </c>
      <c r="AC612">
        <v>23.9848999999999</v>
      </c>
      <c r="AD612">
        <v>-1.159818</v>
      </c>
      <c r="AE612">
        <v>5.5099999999924799E-2</v>
      </c>
      <c r="AF612">
        <v>-6.2865205408193806E-2</v>
      </c>
      <c r="AG612">
        <v>-1.159818</v>
      </c>
      <c r="AH612">
        <v>23.928927334553201</v>
      </c>
      <c r="AI612">
        <v>92.774904259300399</v>
      </c>
      <c r="AJ612">
        <v>90.150525036538696</v>
      </c>
      <c r="AK612">
        <v>23.957101101959299</v>
      </c>
      <c r="AL612">
        <v>86.548277408843305</v>
      </c>
      <c r="AM612">
        <v>91.075608330794495</v>
      </c>
      <c r="AN612">
        <v>1.00000000261358</v>
      </c>
    </row>
    <row r="613" spans="1:40" x14ac:dyDescent="0.25">
      <c r="A613" t="str">
        <f>"20190312160614120"</f>
        <v>20190312160614120</v>
      </c>
      <c r="B613" t="str">
        <f>"1552377974115584"</f>
        <v>1552377974115584</v>
      </c>
      <c r="C613" t="s">
        <v>40</v>
      </c>
      <c r="D613">
        <v>6.2443179999999998</v>
      </c>
      <c r="E613">
        <v>0.50466860000000002</v>
      </c>
      <c r="F613" t="s">
        <v>45</v>
      </c>
      <c r="G613">
        <v>-297.71409999999997</v>
      </c>
      <c r="H613">
        <v>-0.05</v>
      </c>
      <c r="I613">
        <v>368.45960000000002</v>
      </c>
      <c r="J613">
        <v>-322.6737</v>
      </c>
      <c r="K613">
        <v>1.1098209999999999</v>
      </c>
      <c r="L613">
        <v>368.37270000000001</v>
      </c>
      <c r="M613">
        <v>0.99990579999999996</v>
      </c>
      <c r="N613">
        <v>0</v>
      </c>
      <c r="O613">
        <v>-5.640698E-4</v>
      </c>
      <c r="P613">
        <v>0.9987646</v>
      </c>
      <c r="Q613">
        <v>4.6283629999999999E-2</v>
      </c>
      <c r="R613">
        <v>1.810059E-2</v>
      </c>
      <c r="S613">
        <v>3.0100099999999999</v>
      </c>
      <c r="T613">
        <v>-0.1390364</v>
      </c>
      <c r="U613">
        <v>1.037598E-2</v>
      </c>
      <c r="V613">
        <v>-1.8611869999999999E-2</v>
      </c>
      <c r="W613">
        <v>6.0002809999999997E-2</v>
      </c>
      <c r="X613">
        <v>0.99802469999999999</v>
      </c>
      <c r="Y613">
        <v>-4.0063829999999996E-3</v>
      </c>
      <c r="Z613">
        <v>1.1852420000000001E-4</v>
      </c>
      <c r="AA613">
        <v>0.99999199999999999</v>
      </c>
      <c r="AB613">
        <v>28</v>
      </c>
      <c r="AC613">
        <v>24.959599999999998</v>
      </c>
      <c r="AD613">
        <v>-1.159821</v>
      </c>
      <c r="AE613">
        <v>8.6900000000014105E-2</v>
      </c>
      <c r="AF613">
        <v>-0.100762695775148</v>
      </c>
      <c r="AG613">
        <v>-1.159821</v>
      </c>
      <c r="AH613">
        <v>24.905769409240701</v>
      </c>
      <c r="AI613">
        <v>92.666222837908606</v>
      </c>
      <c r="AJ613">
        <v>90.231803547460402</v>
      </c>
      <c r="AK613">
        <v>24.9329638779503</v>
      </c>
      <c r="AL613">
        <v>86.560026010870899</v>
      </c>
      <c r="AM613">
        <v>91.068368353617998</v>
      </c>
      <c r="AN613">
        <v>1.0000000203614401</v>
      </c>
    </row>
    <row r="614" spans="1:40" x14ac:dyDescent="0.25">
      <c r="A614" t="str">
        <f>"20190312160614130"</f>
        <v>20190312160614130</v>
      </c>
      <c r="B614" t="str">
        <f>"1552377974125345"</f>
        <v>1552377974125345</v>
      </c>
      <c r="C614" t="s">
        <v>40</v>
      </c>
      <c r="D614">
        <v>6.1750800000000003</v>
      </c>
      <c r="E614">
        <v>0.50440850000000004</v>
      </c>
      <c r="F614" t="s">
        <v>45</v>
      </c>
      <c r="G614">
        <v>-297.57249999999999</v>
      </c>
      <c r="H614">
        <v>-0.05</v>
      </c>
      <c r="I614">
        <v>368.4676</v>
      </c>
      <c r="J614">
        <v>-322.53809999999999</v>
      </c>
      <c r="K614">
        <v>1.109823</v>
      </c>
      <c r="L614">
        <v>368.37240000000003</v>
      </c>
      <c r="M614">
        <v>0.9999053</v>
      </c>
      <c r="N614">
        <v>0</v>
      </c>
      <c r="O614">
        <v>-7.7679780000000003E-4</v>
      </c>
      <c r="P614">
        <v>0.9987741</v>
      </c>
      <c r="Q614">
        <v>4.6239170000000003E-2</v>
      </c>
      <c r="R614">
        <v>1.7682650000000001E-2</v>
      </c>
      <c r="S614">
        <v>3.009979</v>
      </c>
      <c r="T614">
        <v>-0.13907839999999999</v>
      </c>
      <c r="U614">
        <v>1.138306E-2</v>
      </c>
      <c r="V614">
        <v>-1.8405830000000001E-2</v>
      </c>
      <c r="W614">
        <v>5.9984719999999998E-2</v>
      </c>
      <c r="X614">
        <v>0.99802959999999996</v>
      </c>
      <c r="Y614">
        <v>-4.5529239999999999E-3</v>
      </c>
      <c r="Z614">
        <v>1.4100589999999999E-4</v>
      </c>
      <c r="AA614">
        <v>0.99998960000000003</v>
      </c>
      <c r="AB614">
        <v>28</v>
      </c>
      <c r="AC614">
        <v>24.965599999999899</v>
      </c>
      <c r="AD614">
        <v>-1.159823</v>
      </c>
      <c r="AE614">
        <v>9.5199999999976997E-2</v>
      </c>
      <c r="AF614">
        <v>-0.114348238115777</v>
      </c>
      <c r="AG614">
        <v>-1.159823</v>
      </c>
      <c r="AH614">
        <v>24.911753785994598</v>
      </c>
      <c r="AI614">
        <v>92.665581607096001</v>
      </c>
      <c r="AJ614">
        <v>90.2629933437278</v>
      </c>
      <c r="AK614">
        <v>24.9390004131061</v>
      </c>
      <c r="AL614">
        <v>86.561064332502099</v>
      </c>
      <c r="AM614">
        <v>91.056538646996103</v>
      </c>
      <c r="AN614">
        <v>1.0000000118438099</v>
      </c>
    </row>
    <row r="615" spans="1:40" x14ac:dyDescent="0.25">
      <c r="A615" t="str">
        <f>"20190312160614142"</f>
        <v>20190312160614142</v>
      </c>
      <c r="B615" t="str">
        <f>"1552377974136079"</f>
        <v>1552377974136079</v>
      </c>
      <c r="C615" t="s">
        <v>40</v>
      </c>
      <c r="D615">
        <v>6.1740529999999998</v>
      </c>
      <c r="E615">
        <v>0.50419049999999999</v>
      </c>
      <c r="F615" t="s">
        <v>45</v>
      </c>
      <c r="G615">
        <v>-297.10550000000001</v>
      </c>
      <c r="H615">
        <v>-0.05</v>
      </c>
      <c r="I615">
        <v>368.47399999999999</v>
      </c>
      <c r="J615">
        <v>-322.38869999999997</v>
      </c>
      <c r="K615">
        <v>1.1098209999999999</v>
      </c>
      <c r="L615">
        <v>368.37209999999999</v>
      </c>
      <c r="M615">
        <v>0.99990460000000003</v>
      </c>
      <c r="N615">
        <v>0</v>
      </c>
      <c r="O615">
        <v>-1.0108630000000001E-3</v>
      </c>
      <c r="P615">
        <v>0.99879150000000005</v>
      </c>
      <c r="Q615">
        <v>4.5941240000000001E-2</v>
      </c>
      <c r="R615">
        <v>1.746139E-2</v>
      </c>
      <c r="S615">
        <v>3.009827</v>
      </c>
      <c r="T615">
        <v>-0.13725970000000001</v>
      </c>
      <c r="U615">
        <v>1.202393E-2</v>
      </c>
      <c r="V615">
        <v>-1.8418980000000001E-2</v>
      </c>
      <c r="W615">
        <v>5.9713410000000001E-2</v>
      </c>
      <c r="X615">
        <v>0.99804559999999998</v>
      </c>
      <c r="Y615">
        <v>-4.9995609999999996E-3</v>
      </c>
      <c r="Z615">
        <v>1.6001949999999999E-4</v>
      </c>
      <c r="AA615">
        <v>0.99998750000000003</v>
      </c>
      <c r="AB615">
        <v>28</v>
      </c>
      <c r="AC615">
        <v>25.283199999999901</v>
      </c>
      <c r="AD615">
        <v>-1.159821</v>
      </c>
      <c r="AE615">
        <v>0.1019</v>
      </c>
      <c r="AF615">
        <v>-0.127192571451678</v>
      </c>
      <c r="AG615">
        <v>-1.159821</v>
      </c>
      <c r="AH615">
        <v>25.229992205901599</v>
      </c>
      <c r="AI615">
        <v>92.631996641494098</v>
      </c>
      <c r="AJ615">
        <v>90.288844155522895</v>
      </c>
      <c r="AK615">
        <v>25.2569568517691</v>
      </c>
      <c r="AL615">
        <v>86.576637073288893</v>
      </c>
      <c r="AM615">
        <v>91.057276371175604</v>
      </c>
      <c r="AN615">
        <v>0.999999984918714</v>
      </c>
    </row>
    <row r="616" spans="1:40" x14ac:dyDescent="0.25">
      <c r="A616" t="str">
        <f>"20190312160614153"</f>
        <v>20190312160614153</v>
      </c>
      <c r="B616" t="str">
        <f>"1552377974145839"</f>
        <v>1552377974145839</v>
      </c>
      <c r="C616" t="s">
        <v>40</v>
      </c>
      <c r="D616">
        <v>6.0896610000000004</v>
      </c>
      <c r="E616">
        <v>0.50401490000000004</v>
      </c>
      <c r="F616" t="s">
        <v>45</v>
      </c>
      <c r="G616">
        <v>-296.745</v>
      </c>
      <c r="H616">
        <v>-0.05</v>
      </c>
      <c r="I616">
        <v>368.4862</v>
      </c>
      <c r="J616">
        <v>-322.24860000000001</v>
      </c>
      <c r="K616">
        <v>1.109823</v>
      </c>
      <c r="L616">
        <v>368.37169999999998</v>
      </c>
      <c r="M616">
        <v>0.99990409999999996</v>
      </c>
      <c r="N616">
        <v>0</v>
      </c>
      <c r="O616">
        <v>-1.2306039999999999E-3</v>
      </c>
      <c r="P616">
        <v>0.99879830000000003</v>
      </c>
      <c r="Q616">
        <v>4.5949759999999999E-2</v>
      </c>
      <c r="R616">
        <v>1.7046140000000001E-2</v>
      </c>
      <c r="S616">
        <v>3.0096129999999999</v>
      </c>
      <c r="T616">
        <v>-0.1361195</v>
      </c>
      <c r="U616">
        <v>1.339722E-2</v>
      </c>
      <c r="V616">
        <v>-1.8223340000000001E-2</v>
      </c>
      <c r="W616">
        <v>5.9746250000000001E-2</v>
      </c>
      <c r="X616">
        <v>0.99804720000000002</v>
      </c>
      <c r="Y616">
        <v>-5.6750780000000001E-3</v>
      </c>
      <c r="Z616">
        <v>1.839054E-4</v>
      </c>
      <c r="AA616">
        <v>0.99998390000000004</v>
      </c>
      <c r="AB616">
        <v>28</v>
      </c>
      <c r="AC616">
        <v>25.503599999999999</v>
      </c>
      <c r="AD616">
        <v>-1.159823</v>
      </c>
      <c r="AE616">
        <v>0.11450000000002</v>
      </c>
      <c r="AF616">
        <v>-0.145586643926782</v>
      </c>
      <c r="AG616">
        <v>-1.159823</v>
      </c>
      <c r="AH616">
        <v>25.450804937444801</v>
      </c>
      <c r="AI616">
        <v>92.609187947688696</v>
      </c>
      <c r="AJ616">
        <v>90.327746383236402</v>
      </c>
      <c r="AK616">
        <v>25.477634443293201</v>
      </c>
      <c r="AL616">
        <v>86.574752025426704</v>
      </c>
      <c r="AM616">
        <v>91.0460471813373</v>
      </c>
      <c r="AN616">
        <v>0.99999995896882798</v>
      </c>
    </row>
    <row r="617" spans="1:40" x14ac:dyDescent="0.25">
      <c r="A617" t="str">
        <f>"20190312160614164"</f>
        <v>20190312160614164</v>
      </c>
      <c r="B617" t="str">
        <f>"1552377974155600"</f>
        <v>1552377974155600</v>
      </c>
      <c r="C617" t="s">
        <v>40</v>
      </c>
      <c r="D617">
        <v>6.1713190000000004</v>
      </c>
      <c r="E617">
        <v>0.50377890000000003</v>
      </c>
      <c r="F617" t="s">
        <v>45</v>
      </c>
      <c r="G617">
        <v>-296.27760000000001</v>
      </c>
      <c r="H617">
        <v>-0.05</v>
      </c>
      <c r="I617">
        <v>368.48809999999997</v>
      </c>
      <c r="J617">
        <v>-322.11279999999999</v>
      </c>
      <c r="K617">
        <v>1.109826</v>
      </c>
      <c r="L617">
        <v>368.37130000000002</v>
      </c>
      <c r="M617">
        <v>0.9999036</v>
      </c>
      <c r="N617">
        <v>0</v>
      </c>
      <c r="O617">
        <v>-1.444002E-3</v>
      </c>
      <c r="P617">
        <v>0.99882629999999994</v>
      </c>
      <c r="Q617">
        <v>4.5532030000000001E-2</v>
      </c>
      <c r="R617">
        <v>1.6530980000000001E-2</v>
      </c>
      <c r="S617">
        <v>3.0095209999999999</v>
      </c>
      <c r="T617">
        <v>-0.13440060000000001</v>
      </c>
      <c r="U617">
        <v>1.3488770000000001E-2</v>
      </c>
      <c r="V617">
        <v>-1.792204E-2</v>
      </c>
      <c r="W617">
        <v>5.93488E-2</v>
      </c>
      <c r="X617">
        <v>0.99807639999999997</v>
      </c>
      <c r="Y617">
        <v>-5.9187700000000003E-3</v>
      </c>
      <c r="Z617">
        <v>1.965557E-4</v>
      </c>
      <c r="AA617">
        <v>0.9999825</v>
      </c>
      <c r="AB617">
        <v>28</v>
      </c>
      <c r="AC617">
        <v>25.835199999999901</v>
      </c>
      <c r="AD617">
        <v>-1.159826</v>
      </c>
      <c r="AE617">
        <v>0.116799999999955</v>
      </c>
      <c r="AF617">
        <v>-0.153799554585522</v>
      </c>
      <c r="AG617">
        <v>-1.159826</v>
      </c>
      <c r="AH617">
        <v>25.783042210931601</v>
      </c>
      <c r="AI617">
        <v>92.575614801018105</v>
      </c>
      <c r="AJ617">
        <v>90.341773510633402</v>
      </c>
      <c r="AK617">
        <v>25.809574120933299</v>
      </c>
      <c r="AL617">
        <v>86.597564821242301</v>
      </c>
      <c r="AM617">
        <v>91.028725764281106</v>
      </c>
      <c r="AN617">
        <v>0.99999998990808003</v>
      </c>
    </row>
    <row r="618" spans="1:40" x14ac:dyDescent="0.25">
      <c r="A618" t="str">
        <f>"20190312160614176"</f>
        <v>20190312160614176</v>
      </c>
      <c r="B618" t="str">
        <f>"1552377974165360"</f>
        <v>1552377974165360</v>
      </c>
      <c r="C618" t="s">
        <v>40</v>
      </c>
      <c r="D618">
        <v>6.1697810000000004</v>
      </c>
      <c r="E618">
        <v>0.50352149999999996</v>
      </c>
      <c r="F618" t="s">
        <v>45</v>
      </c>
      <c r="G618">
        <v>-296.05399999999997</v>
      </c>
      <c r="H618">
        <v>-0.05</v>
      </c>
      <c r="I618">
        <v>368.4907</v>
      </c>
      <c r="J618">
        <v>-321.9692</v>
      </c>
      <c r="K618">
        <v>1.109826</v>
      </c>
      <c r="L618">
        <v>368.37079999999997</v>
      </c>
      <c r="M618">
        <v>0.99990279999999998</v>
      </c>
      <c r="N618">
        <v>0</v>
      </c>
      <c r="O618">
        <v>-1.6692059999999999E-3</v>
      </c>
      <c r="P618">
        <v>0.99883160000000004</v>
      </c>
      <c r="Q618">
        <v>4.5541680000000001E-2</v>
      </c>
      <c r="R618">
        <v>1.6176429999999999E-2</v>
      </c>
      <c r="S618">
        <v>3.0093990000000002</v>
      </c>
      <c r="T618">
        <v>-0.13394249999999999</v>
      </c>
      <c r="U618">
        <v>1.3793949999999999E-2</v>
      </c>
      <c r="V618">
        <v>-1.7792079999999998E-2</v>
      </c>
      <c r="W618">
        <v>5.9379750000000002E-2</v>
      </c>
      <c r="X618">
        <v>0.99807690000000004</v>
      </c>
      <c r="Y618">
        <v>-6.2450800000000001E-3</v>
      </c>
      <c r="Z618">
        <v>2.1317180000000001E-4</v>
      </c>
      <c r="AA618">
        <v>0.99998039999999999</v>
      </c>
      <c r="AB618">
        <v>28</v>
      </c>
      <c r="AC618">
        <v>25.915199999999899</v>
      </c>
      <c r="AD618">
        <v>-1.159826</v>
      </c>
      <c r="AE618">
        <v>0.119900000000029</v>
      </c>
      <c r="AF618">
        <v>-0.16283563555699601</v>
      </c>
      <c r="AG618">
        <v>-1.159826</v>
      </c>
      <c r="AH618">
        <v>25.863161454136499</v>
      </c>
      <c r="AI618">
        <v>92.5676415205468</v>
      </c>
      <c r="AJ618">
        <v>90.360732055628802</v>
      </c>
      <c r="AK618">
        <v>25.889666513827802</v>
      </c>
      <c r="AL618">
        <v>86.595788437268794</v>
      </c>
      <c r="AM618">
        <v>91.021267129620497</v>
      </c>
      <c r="AN618">
        <v>1.00000000556719</v>
      </c>
    </row>
    <row r="619" spans="1:40" x14ac:dyDescent="0.25">
      <c r="A619" t="str">
        <f>"20190312160614185"</f>
        <v>20190312160614185</v>
      </c>
      <c r="B619" t="str">
        <f>"1552377974176095"</f>
        <v>1552377974176095</v>
      </c>
      <c r="C619" t="s">
        <v>40</v>
      </c>
      <c r="D619">
        <v>6.0681440000000002</v>
      </c>
      <c r="E619">
        <v>0.50329140000000006</v>
      </c>
      <c r="F619" t="s">
        <v>45</v>
      </c>
      <c r="G619">
        <v>-295.55529999999999</v>
      </c>
      <c r="H619">
        <v>-0.05</v>
      </c>
      <c r="I619">
        <v>368.50069999999999</v>
      </c>
      <c r="J619">
        <v>-321.8338</v>
      </c>
      <c r="K619">
        <v>1.1098330000000001</v>
      </c>
      <c r="L619">
        <v>368.37040000000002</v>
      </c>
      <c r="M619">
        <v>0.99990219999999996</v>
      </c>
      <c r="N619">
        <v>0</v>
      </c>
      <c r="O619">
        <v>-1.8817490000000001E-3</v>
      </c>
      <c r="P619">
        <v>0.99884980000000001</v>
      </c>
      <c r="Q619">
        <v>4.5275210000000003E-2</v>
      </c>
      <c r="R619">
        <v>1.5797309999999998E-2</v>
      </c>
      <c r="S619">
        <v>3.0093380000000001</v>
      </c>
      <c r="T619">
        <v>-0.13213900000000001</v>
      </c>
      <c r="U619">
        <v>1.480103E-2</v>
      </c>
      <c r="V619">
        <v>-1.762625E-2</v>
      </c>
      <c r="W619">
        <v>5.9130790000000003E-2</v>
      </c>
      <c r="X619">
        <v>0.99809460000000005</v>
      </c>
      <c r="Y619">
        <v>-6.7918469999999898E-3</v>
      </c>
      <c r="Z619">
        <v>2.316357E-4</v>
      </c>
      <c r="AA619">
        <v>0.99997689999999995</v>
      </c>
      <c r="AB619">
        <v>28</v>
      </c>
      <c r="AC619">
        <v>26.278500000000001</v>
      </c>
      <c r="AD619">
        <v>-1.1598329999999999</v>
      </c>
      <c r="AE619">
        <v>0.13029999999997699</v>
      </c>
      <c r="AF619">
        <v>-0.179404587210933</v>
      </c>
      <c r="AG619">
        <v>-1.1598329999999999</v>
      </c>
      <c r="AH619">
        <v>26.227118980821199</v>
      </c>
      <c r="AI619">
        <v>92.532062907725205</v>
      </c>
      <c r="AJ619">
        <v>90.391921253708503</v>
      </c>
      <c r="AK619">
        <v>26.2533649010551</v>
      </c>
      <c r="AL619">
        <v>86.610077825717198</v>
      </c>
      <c r="AM619">
        <v>91.011732520893105</v>
      </c>
      <c r="AN619">
        <v>0.99999998278212299</v>
      </c>
    </row>
    <row r="620" spans="1:40" x14ac:dyDescent="0.25">
      <c r="A620" t="str">
        <f>"20190312160614197"</f>
        <v>20190312160614197</v>
      </c>
      <c r="B620" t="str">
        <f>"1552377974185856"</f>
        <v>1552377974185856</v>
      </c>
      <c r="C620" t="s">
        <v>40</v>
      </c>
      <c r="D620">
        <v>6.1248209999999998</v>
      </c>
      <c r="E620">
        <v>0.50307299999999999</v>
      </c>
      <c r="F620" t="s">
        <v>45</v>
      </c>
      <c r="G620">
        <v>-295.24990000000003</v>
      </c>
      <c r="H620">
        <v>-0.05</v>
      </c>
      <c r="I620">
        <v>368.50540000000001</v>
      </c>
      <c r="J620">
        <v>-321.69240000000002</v>
      </c>
      <c r="K620">
        <v>1.1098410000000001</v>
      </c>
      <c r="L620">
        <v>368.3698</v>
      </c>
      <c r="M620">
        <v>0.99990159999999995</v>
      </c>
      <c r="N620">
        <v>0</v>
      </c>
      <c r="O620">
        <v>-2.1039460000000002E-3</v>
      </c>
      <c r="P620">
        <v>0.99886050000000004</v>
      </c>
      <c r="Q620">
        <v>4.5194070000000003E-2</v>
      </c>
      <c r="R620">
        <v>1.5346230000000001E-2</v>
      </c>
      <c r="S620">
        <v>3.009125</v>
      </c>
      <c r="T620">
        <v>-0.13128570000000001</v>
      </c>
      <c r="U620">
        <v>1.528931E-2</v>
      </c>
      <c r="V620">
        <v>-1.739692E-2</v>
      </c>
      <c r="W620">
        <v>5.9067010000000003E-2</v>
      </c>
      <c r="X620">
        <v>0.99810239999999995</v>
      </c>
      <c r="Y620">
        <v>-7.176198E-3</v>
      </c>
      <c r="Z620">
        <v>2.4822849999999998E-4</v>
      </c>
      <c r="AA620">
        <v>0.99997420000000004</v>
      </c>
      <c r="AB620">
        <v>28</v>
      </c>
      <c r="AC620">
        <v>26.4424999999999</v>
      </c>
      <c r="AD620">
        <v>-1.1598409999999999</v>
      </c>
      <c r="AE620">
        <v>0.13560000000000999</v>
      </c>
      <c r="AF620">
        <v>-0.19087142781348199</v>
      </c>
      <c r="AG620">
        <v>-1.1598409999999999</v>
      </c>
      <c r="AH620">
        <v>26.3913819983512</v>
      </c>
      <c r="AI620">
        <v>92.516333779741203</v>
      </c>
      <c r="AJ620">
        <v>90.414375290097595</v>
      </c>
      <c r="AK620">
        <v>26.417545435375601</v>
      </c>
      <c r="AL620">
        <v>86.613738548748103</v>
      </c>
      <c r="AM620">
        <v>90.998564044897407</v>
      </c>
      <c r="AN620">
        <v>0.99999998269079304</v>
      </c>
    </row>
    <row r="621" spans="1:40" x14ac:dyDescent="0.25">
      <c r="A621" t="str">
        <f>"20190312160614209"</f>
        <v>20190312160614209</v>
      </c>
      <c r="B621" t="str">
        <f>"1552377974205375"</f>
        <v>1552377974205375</v>
      </c>
      <c r="C621" t="s">
        <v>40</v>
      </c>
      <c r="D621">
        <v>6.3610769999999999</v>
      </c>
      <c r="E621">
        <v>0.50265689999999996</v>
      </c>
      <c r="F621" t="s">
        <v>45</v>
      </c>
      <c r="G621">
        <v>-294.81810000000002</v>
      </c>
      <c r="H621">
        <v>-0.05</v>
      </c>
      <c r="I621">
        <v>368.51400000000001</v>
      </c>
      <c r="J621">
        <v>-321.53879999999998</v>
      </c>
      <c r="K621">
        <v>1.109853</v>
      </c>
      <c r="L621">
        <v>368.36930000000001</v>
      </c>
      <c r="M621">
        <v>0.99990069999999998</v>
      </c>
      <c r="N621">
        <v>0</v>
      </c>
      <c r="O621">
        <v>-2.3452109999999998E-3</v>
      </c>
      <c r="P621">
        <v>0.99885230000000003</v>
      </c>
      <c r="Q621">
        <v>4.5522559999999997E-2</v>
      </c>
      <c r="R621">
        <v>1.489274E-2</v>
      </c>
      <c r="S621">
        <v>3.009064</v>
      </c>
      <c r="T621">
        <v>-0.12986539999999999</v>
      </c>
      <c r="U621">
        <v>1.61438E-2</v>
      </c>
      <c r="V621">
        <v>-1.7183819999999999E-2</v>
      </c>
      <c r="W621">
        <v>5.941258E-2</v>
      </c>
      <c r="X621">
        <v>0.99808560000000002</v>
      </c>
      <c r="Y621">
        <v>-7.7010169999999897E-3</v>
      </c>
      <c r="Z621">
        <v>2.6727890000000001E-4</v>
      </c>
      <c r="AA621">
        <v>0.99997029999999998</v>
      </c>
      <c r="AB621">
        <v>28</v>
      </c>
      <c r="AC621">
        <v>26.720699999999901</v>
      </c>
      <c r="AD621">
        <v>-1.159853</v>
      </c>
      <c r="AE621">
        <v>0.1447</v>
      </c>
      <c r="AF621">
        <v>-0.206981364702396</v>
      </c>
      <c r="AG621">
        <v>-1.159853</v>
      </c>
      <c r="AH621">
        <v>26.6700388445458</v>
      </c>
      <c r="AI621">
        <v>92.490091488934993</v>
      </c>
      <c r="AJ621">
        <v>90.444653291259797</v>
      </c>
      <c r="AK621">
        <v>26.6960497496638</v>
      </c>
      <c r="AL621">
        <v>86.5939040765752</v>
      </c>
      <c r="AM621">
        <v>90.986351369963501</v>
      </c>
      <c r="AN621">
        <v>1.0000000016296999</v>
      </c>
    </row>
    <row r="622" spans="1:40" x14ac:dyDescent="0.25">
      <c r="A622" t="str">
        <f>"20190312160614220"</f>
        <v>20190312160614220</v>
      </c>
      <c r="B622" t="str">
        <f>"1552377974216113"</f>
        <v>1552377974216113</v>
      </c>
      <c r="C622" t="s">
        <v>40</v>
      </c>
      <c r="D622">
        <v>6.148307</v>
      </c>
      <c r="E622">
        <v>0.50248139999999997</v>
      </c>
      <c r="F622" t="s">
        <v>45</v>
      </c>
      <c r="G622">
        <v>-293.84289999999999</v>
      </c>
      <c r="H622">
        <v>-0.05</v>
      </c>
      <c r="I622">
        <v>368.53609999999998</v>
      </c>
      <c r="J622">
        <v>-321.40839999999997</v>
      </c>
      <c r="K622">
        <v>1.1098600000000001</v>
      </c>
      <c r="L622">
        <v>368.36869999999999</v>
      </c>
      <c r="M622">
        <v>0.99990000000000001</v>
      </c>
      <c r="N622">
        <v>0</v>
      </c>
      <c r="O622">
        <v>-2.5500940000000001E-3</v>
      </c>
      <c r="P622">
        <v>0.99885420000000003</v>
      </c>
      <c r="Q622">
        <v>4.5596030000000003E-2</v>
      </c>
      <c r="R622">
        <v>1.4539150000000001E-2</v>
      </c>
      <c r="S622">
        <v>3.0089109999999999</v>
      </c>
      <c r="T622">
        <v>-0.12600790000000001</v>
      </c>
      <c r="U622">
        <v>1.8127440000000002E-2</v>
      </c>
      <c r="V622">
        <v>-1.703524E-2</v>
      </c>
      <c r="W622">
        <v>5.9499209999999997E-2</v>
      </c>
      <c r="X622">
        <v>0.99808300000000005</v>
      </c>
      <c r="Y622">
        <v>-8.5650090000000002E-3</v>
      </c>
      <c r="Z622">
        <v>2.8601979999999999E-4</v>
      </c>
      <c r="AA622">
        <v>0.9999633</v>
      </c>
      <c r="AB622">
        <v>28</v>
      </c>
      <c r="AC622">
        <v>27.565499999999901</v>
      </c>
      <c r="AD622">
        <v>-1.1598599999999999</v>
      </c>
      <c r="AE622">
        <v>0.167399999999986</v>
      </c>
      <c r="AF622">
        <v>-0.23728079912025199</v>
      </c>
      <c r="AG622">
        <v>-1.1598599999999999</v>
      </c>
      <c r="AH622">
        <v>27.5162695229333</v>
      </c>
      <c r="AI622">
        <v>92.413601153952698</v>
      </c>
      <c r="AJ622">
        <v>90.494065933181204</v>
      </c>
      <c r="AK622">
        <v>27.541725905540801</v>
      </c>
      <c r="AL622">
        <v>86.588931792962001</v>
      </c>
      <c r="AM622">
        <v>90.977827086926496</v>
      </c>
      <c r="AN622">
        <v>1.00000001514074</v>
      </c>
    </row>
    <row r="623" spans="1:40" x14ac:dyDescent="0.25">
      <c r="A623" t="str">
        <f>"20190312160614235"</f>
        <v>20190312160614235</v>
      </c>
      <c r="B623" t="str">
        <f>"1552377974225870"</f>
        <v>1552377974225870</v>
      </c>
      <c r="C623" t="s">
        <v>40</v>
      </c>
      <c r="D623">
        <v>6.3007929999999996</v>
      </c>
      <c r="E623">
        <v>0.50230280000000005</v>
      </c>
      <c r="F623" t="s">
        <v>45</v>
      </c>
      <c r="G623">
        <v>-293.32780000000002</v>
      </c>
      <c r="H623">
        <v>-0.05</v>
      </c>
      <c r="I623">
        <v>368.54129999999998</v>
      </c>
      <c r="J623">
        <v>-321.22430000000003</v>
      </c>
      <c r="K623">
        <v>1.1098650000000001</v>
      </c>
      <c r="L623">
        <v>368.36799999999999</v>
      </c>
      <c r="M623">
        <v>0.99989939999999999</v>
      </c>
      <c r="N623">
        <v>0</v>
      </c>
      <c r="O623">
        <v>-2.8398289999999999E-3</v>
      </c>
      <c r="P623">
        <v>0.99886799999999998</v>
      </c>
      <c r="Q623">
        <v>4.5456620000000003E-2</v>
      </c>
      <c r="R623">
        <v>1.4022730000000001E-2</v>
      </c>
      <c r="S623">
        <v>3.0088200000000001</v>
      </c>
      <c r="T623">
        <v>-0.1242785</v>
      </c>
      <c r="U623">
        <v>1.849365E-2</v>
      </c>
      <c r="V623">
        <v>-1.680885E-2</v>
      </c>
      <c r="W623">
        <v>5.935547E-2</v>
      </c>
      <c r="X623">
        <v>0.99809539999999997</v>
      </c>
      <c r="Y623">
        <v>-8.9763140000000009E-3</v>
      </c>
      <c r="Z623">
        <v>3.025603E-4</v>
      </c>
      <c r="AA623">
        <v>0.99995959999999995</v>
      </c>
      <c r="AB623">
        <v>28</v>
      </c>
      <c r="AC623">
        <v>27.8965</v>
      </c>
      <c r="AD623">
        <v>-1.1598649999999999</v>
      </c>
      <c r="AE623">
        <v>0.17329999999992601</v>
      </c>
      <c r="AF623">
        <v>-0.25209247044607602</v>
      </c>
      <c r="AG623">
        <v>-1.1598649999999999</v>
      </c>
      <c r="AH623">
        <v>27.847757204137999</v>
      </c>
      <c r="AI623">
        <v>92.384905294164994</v>
      </c>
      <c r="AJ623">
        <v>90.518657210649494</v>
      </c>
      <c r="AK623">
        <v>27.8730410743518</v>
      </c>
      <c r="AL623">
        <v>86.597182080483606</v>
      </c>
      <c r="AM623">
        <v>90.964822732153493</v>
      </c>
      <c r="AN623">
        <v>1.0000000183791999</v>
      </c>
    </row>
    <row r="624" spans="1:40" x14ac:dyDescent="0.25">
      <c r="A624" t="str">
        <f>"20190312160614256"</f>
        <v>20190312160614256</v>
      </c>
      <c r="B624" t="str">
        <f>"1552377974245391"</f>
        <v>1552377974245391</v>
      </c>
      <c r="C624" t="s">
        <v>40</v>
      </c>
      <c r="D624">
        <v>6.01539</v>
      </c>
      <c r="E624">
        <v>0.50194929999999904</v>
      </c>
      <c r="F624" t="s">
        <v>45</v>
      </c>
      <c r="G624">
        <v>-292.93619999999999</v>
      </c>
      <c r="H624">
        <v>-0.05</v>
      </c>
      <c r="I624">
        <v>368.54469999999998</v>
      </c>
      <c r="J624">
        <v>-320.95960000000002</v>
      </c>
      <c r="K624">
        <v>1.1096629999999901</v>
      </c>
      <c r="L624">
        <v>368.36680000000001</v>
      </c>
      <c r="M624">
        <v>0.99990809999999997</v>
      </c>
      <c r="N624">
        <v>0</v>
      </c>
      <c r="O624">
        <v>-3.2787519999999998E-3</v>
      </c>
      <c r="P624">
        <v>0.99881909999999896</v>
      </c>
      <c r="Q624">
        <v>4.6743109999999997E-2</v>
      </c>
      <c r="R624">
        <v>1.3258580000000001E-2</v>
      </c>
      <c r="S624">
        <v>3.0087890000000002</v>
      </c>
      <c r="T624">
        <v>-0.1233659</v>
      </c>
      <c r="U624">
        <v>1.8798829999999999E-2</v>
      </c>
      <c r="V624">
        <v>-1.648231E-2</v>
      </c>
      <c r="W624">
        <v>5.988715E-2</v>
      </c>
      <c r="X624">
        <v>0.99806899999999998</v>
      </c>
      <c r="Y624">
        <v>-9.5160369999999998E-3</v>
      </c>
      <c r="Z624">
        <v>3.2939260000000001E-4</v>
      </c>
      <c r="AA624">
        <v>0.99995460000000003</v>
      </c>
      <c r="AB624">
        <v>28</v>
      </c>
      <c r="AC624">
        <v>28.023399999999999</v>
      </c>
      <c r="AD624">
        <v>-1.1596630000000001</v>
      </c>
      <c r="AE624">
        <v>0.177899999999965</v>
      </c>
      <c r="AF624">
        <v>-0.269327577377384</v>
      </c>
      <c r="AG624">
        <v>-1.1596630000000001</v>
      </c>
      <c r="AH624">
        <v>27.974762106711999</v>
      </c>
      <c r="AI624">
        <v>92.373664558997504</v>
      </c>
      <c r="AJ624">
        <v>90.551599212373006</v>
      </c>
      <c r="AK624">
        <v>28.0000834024585</v>
      </c>
      <c r="AL624">
        <v>86.566664478976094</v>
      </c>
      <c r="AM624">
        <v>90.946107899175004</v>
      </c>
      <c r="AN624">
        <v>0.99999993301952705</v>
      </c>
    </row>
    <row r="625" spans="1:40" x14ac:dyDescent="0.25">
      <c r="A625" t="str">
        <f>"20190312160614276"</f>
        <v>20190312160614276</v>
      </c>
      <c r="B625" t="str">
        <f>"1552377974265888"</f>
        <v>1552377974265888</v>
      </c>
      <c r="C625" t="s">
        <v>40</v>
      </c>
      <c r="D625">
        <v>6.1504029999999998</v>
      </c>
      <c r="E625">
        <v>0.50158130000000001</v>
      </c>
      <c r="F625" t="s">
        <v>45</v>
      </c>
      <c r="G625">
        <v>-291.2355</v>
      </c>
      <c r="H625">
        <v>-0.05</v>
      </c>
      <c r="I625">
        <v>368.5573</v>
      </c>
      <c r="J625">
        <v>-320.69560000000001</v>
      </c>
      <c r="K625">
        <v>1.109429</v>
      </c>
      <c r="L625">
        <v>368.3655</v>
      </c>
      <c r="M625">
        <v>0.99991269999999999</v>
      </c>
      <c r="N625">
        <v>0</v>
      </c>
      <c r="O625">
        <v>-3.7154599999999999E-3</v>
      </c>
      <c r="P625">
        <v>0.99876399999999999</v>
      </c>
      <c r="Q625">
        <v>4.7966040000000001E-2</v>
      </c>
      <c r="R625">
        <v>1.304046E-2</v>
      </c>
      <c r="S625">
        <v>3.008759</v>
      </c>
      <c r="T625">
        <v>-0.11738419999999899</v>
      </c>
      <c r="U625">
        <v>1.928711E-2</v>
      </c>
      <c r="V625">
        <v>-1.669998E-2</v>
      </c>
      <c r="W625">
        <v>6.0650599999999999E-2</v>
      </c>
      <c r="X625">
        <v>0.99801930000000005</v>
      </c>
      <c r="Y625">
        <v>-1.0115310000000001E-2</v>
      </c>
      <c r="Z625">
        <v>3.4215379999999999E-4</v>
      </c>
      <c r="AA625">
        <v>0.99994879999999997</v>
      </c>
      <c r="AB625">
        <v>29</v>
      </c>
      <c r="AC625">
        <v>29.460100000000001</v>
      </c>
      <c r="AD625">
        <v>-1.159429</v>
      </c>
      <c r="AE625">
        <v>0.1918</v>
      </c>
      <c r="AF625">
        <v>-0.300799415145316</v>
      </c>
      <c r="AG625">
        <v>-1.159429</v>
      </c>
      <c r="AH625">
        <v>29.413627471059499</v>
      </c>
      <c r="AI625">
        <v>92.257203610933601</v>
      </c>
      <c r="AJ625">
        <v>90.585916722282306</v>
      </c>
      <c r="AK625">
        <v>29.438006673354401</v>
      </c>
      <c r="AL625">
        <v>86.522842423977195</v>
      </c>
      <c r="AM625">
        <v>90.958647876711893</v>
      </c>
      <c r="AN625">
        <v>0.99999995389242402</v>
      </c>
    </row>
    <row r="626" spans="1:40" x14ac:dyDescent="0.25">
      <c r="A626" t="str">
        <f>"20190312160614288"</f>
        <v>20190312160614288</v>
      </c>
      <c r="B626" t="str">
        <f>"1552377974285407"</f>
        <v>1552377974285407</v>
      </c>
      <c r="C626" t="s">
        <v>40</v>
      </c>
      <c r="D626">
        <v>5.9765600000000001</v>
      </c>
      <c r="E626">
        <v>0.50144809999999995</v>
      </c>
      <c r="F626" t="s">
        <v>45</v>
      </c>
      <c r="G626">
        <v>-289.44499999999999</v>
      </c>
      <c r="H626">
        <v>-0.05</v>
      </c>
      <c r="I626">
        <v>368.59210000000002</v>
      </c>
      <c r="J626">
        <v>-320.53230000000002</v>
      </c>
      <c r="K626">
        <v>1.1092869999999999</v>
      </c>
      <c r="L626">
        <v>368.3646</v>
      </c>
      <c r="M626">
        <v>0.99991050000000004</v>
      </c>
      <c r="N626">
        <v>0</v>
      </c>
      <c r="O626">
        <v>-3.9824429999999996E-3</v>
      </c>
      <c r="P626">
        <v>0.99876310000000001</v>
      </c>
      <c r="Q626">
        <v>4.8060749999999999E-2</v>
      </c>
      <c r="R626">
        <v>1.274862E-2</v>
      </c>
      <c r="S626">
        <v>3.0087890000000002</v>
      </c>
      <c r="T626">
        <v>-0.11162900000000001</v>
      </c>
      <c r="U626">
        <v>2.182007E-2</v>
      </c>
      <c r="V626">
        <v>-1.6674580000000001E-2</v>
      </c>
      <c r="W626">
        <v>6.0829080000000001E-2</v>
      </c>
      <c r="X626">
        <v>0.99800889999999998</v>
      </c>
      <c r="Y626">
        <v>-1.1224059999999999E-2</v>
      </c>
      <c r="Z626">
        <v>3.558495E-4</v>
      </c>
      <c r="AA626">
        <v>0.99993690000000002</v>
      </c>
      <c r="AB626">
        <v>29</v>
      </c>
      <c r="AC626">
        <v>31.087299999999999</v>
      </c>
      <c r="AD626">
        <v>-1.159287</v>
      </c>
      <c r="AE626">
        <v>0.22750000000001999</v>
      </c>
      <c r="AF626">
        <v>-0.35082385039886399</v>
      </c>
      <c r="AG626">
        <v>-1.159287</v>
      </c>
      <c r="AH626">
        <v>31.042979941432598</v>
      </c>
      <c r="AI626">
        <v>92.138556448606806</v>
      </c>
      <c r="AJ626">
        <v>90.647485207404003</v>
      </c>
      <c r="AK626">
        <v>31.0665998681311</v>
      </c>
      <c r="AL626">
        <v>86.512597488030707</v>
      </c>
      <c r="AM626">
        <v>90.9572000559928</v>
      </c>
      <c r="AN626">
        <v>0.999999991535516</v>
      </c>
    </row>
    <row r="627" spans="1:40" x14ac:dyDescent="0.25">
      <c r="A627" t="str">
        <f>"20190312160614300"</f>
        <v>20190312160614300</v>
      </c>
      <c r="B627" t="str">
        <f>"1552377974296144"</f>
        <v>1552377974296144</v>
      </c>
      <c r="C627" t="s">
        <v>40</v>
      </c>
      <c r="D627">
        <v>6.1012139999999997</v>
      </c>
      <c r="E627">
        <v>0.50131119999999996</v>
      </c>
      <c r="F627" t="s">
        <v>45</v>
      </c>
      <c r="G627">
        <v>-289.79599999999999</v>
      </c>
      <c r="H627">
        <v>-0.05</v>
      </c>
      <c r="I627">
        <v>368.58780000000002</v>
      </c>
      <c r="J627">
        <v>-320.39210000000003</v>
      </c>
      <c r="K627">
        <v>1.109119</v>
      </c>
      <c r="L627">
        <v>368.3639</v>
      </c>
      <c r="M627">
        <v>0.99990730000000005</v>
      </c>
      <c r="N627">
        <v>0</v>
      </c>
      <c r="O627">
        <v>-4.2090030000000002E-3</v>
      </c>
      <c r="P627">
        <v>0.998753</v>
      </c>
      <c r="Q627">
        <v>4.8286820000000001E-2</v>
      </c>
      <c r="R627">
        <v>1.268994E-2</v>
      </c>
      <c r="S627">
        <v>3.0089109999999999</v>
      </c>
      <c r="T627">
        <v>-0.1134874</v>
      </c>
      <c r="U627">
        <v>2.185059E-2</v>
      </c>
      <c r="V627">
        <v>-1.6841200000000001E-2</v>
      </c>
      <c r="W627">
        <v>6.1235070000000003E-2</v>
      </c>
      <c r="X627">
        <v>0.99798129999999996</v>
      </c>
      <c r="Y627">
        <v>-1.1459810000000001E-2</v>
      </c>
      <c r="Z627">
        <v>3.7474200000000001E-4</v>
      </c>
      <c r="AA627">
        <v>0.99993430000000005</v>
      </c>
      <c r="AB627">
        <v>29</v>
      </c>
      <c r="AC627">
        <v>30.5961</v>
      </c>
      <c r="AD627">
        <v>-1.159119</v>
      </c>
      <c r="AE627">
        <v>0.223900000000014</v>
      </c>
      <c r="AF627">
        <v>-0.35218245244242002</v>
      </c>
      <c r="AG627">
        <v>-1.159119</v>
      </c>
      <c r="AH627">
        <v>30.551040797982701</v>
      </c>
      <c r="AI627">
        <v>92.172638969654798</v>
      </c>
      <c r="AJ627">
        <v>90.660457839168203</v>
      </c>
      <c r="AK627">
        <v>30.575050011013499</v>
      </c>
      <c r="AL627">
        <v>86.489292620372098</v>
      </c>
      <c r="AM627">
        <v>90.966789760248702</v>
      </c>
      <c r="AN627">
        <v>1.0000000174825101</v>
      </c>
    </row>
    <row r="628" spans="1:40" x14ac:dyDescent="0.25">
      <c r="A628" t="str">
        <f>"20190312160614312"</f>
        <v>20190312160614312</v>
      </c>
      <c r="B628" t="str">
        <f>"1552377974305903"</f>
        <v>1552377974305903</v>
      </c>
      <c r="C628" t="s">
        <v>40</v>
      </c>
      <c r="D628">
        <v>6.3094390000000002</v>
      </c>
      <c r="E628">
        <v>0.50116720000000003</v>
      </c>
      <c r="F628" t="s">
        <v>45</v>
      </c>
      <c r="G628">
        <v>-289.20569999999998</v>
      </c>
      <c r="H628">
        <v>-0.05</v>
      </c>
      <c r="I628">
        <v>368.60210000000001</v>
      </c>
      <c r="J628">
        <v>-320.22620000000001</v>
      </c>
      <c r="K628">
        <v>1.10887</v>
      </c>
      <c r="L628">
        <v>368.36290000000002</v>
      </c>
      <c r="M628">
        <v>0.99990179999999995</v>
      </c>
      <c r="N628">
        <v>0</v>
      </c>
      <c r="O628">
        <v>-4.4745380000000001E-3</v>
      </c>
      <c r="P628">
        <v>0.99875749999999996</v>
      </c>
      <c r="Q628">
        <v>4.8262510000000002E-2</v>
      </c>
      <c r="R628">
        <v>1.242036E-2</v>
      </c>
      <c r="S628">
        <v>3.0088499999999998</v>
      </c>
      <c r="T628">
        <v>-0.11183129999999999</v>
      </c>
      <c r="U628">
        <v>2.2979739999999999E-2</v>
      </c>
      <c r="V628">
        <v>-1.6836130000000001E-2</v>
      </c>
      <c r="W628">
        <v>6.1533959999999999E-2</v>
      </c>
      <c r="X628">
        <v>0.99796300000000004</v>
      </c>
      <c r="Y628">
        <v>-1.2100440000000001E-2</v>
      </c>
      <c r="Z628">
        <v>3.9105269999999999E-4</v>
      </c>
      <c r="AA628">
        <v>0.99992669999999995</v>
      </c>
      <c r="AB628">
        <v>28</v>
      </c>
      <c r="AC628">
        <v>31.020499999999998</v>
      </c>
      <c r="AD628">
        <v>-1.1588700000000001</v>
      </c>
      <c r="AE628">
        <v>0.23919999999998201</v>
      </c>
      <c r="AF628">
        <v>-0.37748545226826802</v>
      </c>
      <c r="AG628">
        <v>-1.1588700000000001</v>
      </c>
      <c r="AH628">
        <v>30.9758905347304</v>
      </c>
      <c r="AI628">
        <v>92.142391504621003</v>
      </c>
      <c r="AJ628">
        <v>90.698196316475901</v>
      </c>
      <c r="AK628">
        <v>30.999859182957199</v>
      </c>
      <c r="AL628">
        <v>86.472135125654205</v>
      </c>
      <c r="AM628">
        <v>90.966516485559197</v>
      </c>
      <c r="AN628">
        <v>1.00000001643782</v>
      </c>
    </row>
    <row r="629" spans="1:40" x14ac:dyDescent="0.25">
      <c r="A629" t="str">
        <f>"20190312160614324"</f>
        <v>20190312160614324</v>
      </c>
      <c r="B629" t="str">
        <f>"1552377974315663"</f>
        <v>1552377974315663</v>
      </c>
      <c r="C629" t="s">
        <v>40</v>
      </c>
      <c r="D629">
        <v>6.2665600000000001</v>
      </c>
      <c r="E629">
        <v>0.50101309999999999</v>
      </c>
      <c r="F629" t="s">
        <v>45</v>
      </c>
      <c r="G629">
        <v>-288.86579999999998</v>
      </c>
      <c r="H629">
        <v>-0.05</v>
      </c>
      <c r="I629">
        <v>368.60489999999999</v>
      </c>
      <c r="J629">
        <v>-320.07909999999998</v>
      </c>
      <c r="K629">
        <v>1.1085259999999999</v>
      </c>
      <c r="L629">
        <v>368.36200000000002</v>
      </c>
      <c r="M629">
        <v>0.9998958</v>
      </c>
      <c r="N629">
        <v>0</v>
      </c>
      <c r="O629">
        <v>-4.7135199999999997E-3</v>
      </c>
      <c r="P629">
        <v>0.99877550000000004</v>
      </c>
      <c r="Q629">
        <v>4.7956249999999999E-2</v>
      </c>
      <c r="R629">
        <v>1.215951E-2</v>
      </c>
      <c r="S629">
        <v>3.0088200000000001</v>
      </c>
      <c r="T629">
        <v>-0.1111858</v>
      </c>
      <c r="U629">
        <v>2.3223879999999999E-2</v>
      </c>
      <c r="V629">
        <v>-1.6813229999999998E-2</v>
      </c>
      <c r="W629">
        <v>6.1592969999999997E-2</v>
      </c>
      <c r="X629">
        <v>0.99795970000000001</v>
      </c>
      <c r="Y629">
        <v>-1.242041E-2</v>
      </c>
      <c r="Z629">
        <v>4.035404E-4</v>
      </c>
      <c r="AA629">
        <v>0.9999228</v>
      </c>
      <c r="AB629">
        <v>28</v>
      </c>
      <c r="AC629">
        <v>31.2133</v>
      </c>
      <c r="AD629">
        <v>-1.1585259999999999</v>
      </c>
      <c r="AE629">
        <v>0.24290000000001999</v>
      </c>
      <c r="AF629">
        <v>-0.38949895967577602</v>
      </c>
      <c r="AG629">
        <v>-1.1585259999999999</v>
      </c>
      <c r="AH629">
        <v>31.168871642334999</v>
      </c>
      <c r="AI629">
        <v>92.128499631407706</v>
      </c>
      <c r="AJ629">
        <v>90.715954212956404</v>
      </c>
      <c r="AK629">
        <v>31.1928269220444</v>
      </c>
      <c r="AL629">
        <v>86.468747514773796</v>
      </c>
      <c r="AM629">
        <v>90.965205298715901</v>
      </c>
      <c r="AN629">
        <v>0.99999997074027103</v>
      </c>
    </row>
    <row r="630" spans="1:40" x14ac:dyDescent="0.25">
      <c r="A630" t="str">
        <f>"20190312160614337"</f>
        <v>20190312160614337</v>
      </c>
      <c r="B630" t="str">
        <f>"1552377974325423"</f>
        <v>1552377974325423</v>
      </c>
      <c r="C630" t="s">
        <v>40</v>
      </c>
      <c r="D630">
        <v>6.1360999999999999</v>
      </c>
      <c r="E630">
        <v>0.50083</v>
      </c>
      <c r="F630" t="s">
        <v>45</v>
      </c>
      <c r="G630">
        <v>-288.8338</v>
      </c>
      <c r="H630">
        <v>-0.05</v>
      </c>
      <c r="I630">
        <v>368.61079999999998</v>
      </c>
      <c r="J630">
        <v>-319.92970000000003</v>
      </c>
      <c r="K630">
        <v>1.108139</v>
      </c>
      <c r="L630">
        <v>368.36110000000002</v>
      </c>
      <c r="M630">
        <v>0.99988889999999997</v>
      </c>
      <c r="N630">
        <v>0</v>
      </c>
      <c r="O630">
        <v>-4.9505560000000001E-3</v>
      </c>
      <c r="P630">
        <v>0.99878489999999998</v>
      </c>
      <c r="Q630">
        <v>4.7839220000000002E-2</v>
      </c>
      <c r="R630">
        <v>1.1845110000000001E-2</v>
      </c>
      <c r="S630">
        <v>3.0086979999999999</v>
      </c>
      <c r="T630">
        <v>-0.11155760000000001</v>
      </c>
      <c r="U630">
        <v>2.39563E-2</v>
      </c>
      <c r="V630">
        <v>-1.67344E-2</v>
      </c>
      <c r="W630">
        <v>6.188805E-2</v>
      </c>
      <c r="X630">
        <v>0.99794280000000002</v>
      </c>
      <c r="Y630">
        <v>-1.290062E-2</v>
      </c>
      <c r="Z630">
        <v>4.2259209999999999E-4</v>
      </c>
      <c r="AA630">
        <v>0.99991669999999999</v>
      </c>
      <c r="AB630">
        <v>28</v>
      </c>
      <c r="AC630">
        <v>31.0959</v>
      </c>
      <c r="AD630">
        <v>-1.158139</v>
      </c>
      <c r="AE630">
        <v>0.24969999999996101</v>
      </c>
      <c r="AF630">
        <v>-0.40309504519358003</v>
      </c>
      <c r="AG630">
        <v>-1.158139</v>
      </c>
      <c r="AH630">
        <v>31.051213508035399</v>
      </c>
      <c r="AI630">
        <v>92.135831171617596</v>
      </c>
      <c r="AJ630">
        <v>90.743750242778702</v>
      </c>
      <c r="AK630">
        <v>31.075418450607899</v>
      </c>
      <c r="AL630">
        <v>86.451808468856498</v>
      </c>
      <c r="AM630">
        <v>90.960696982480897</v>
      </c>
      <c r="AN630">
        <v>1.000000001474</v>
      </c>
    </row>
    <row r="631" spans="1:40" x14ac:dyDescent="0.25">
      <c r="A631" t="str">
        <f>"20190312160614348"</f>
        <v>20190312160614348</v>
      </c>
      <c r="B631" t="str">
        <f>"1552377974345919"</f>
        <v>1552377974345919</v>
      </c>
      <c r="C631" t="s">
        <v>40</v>
      </c>
      <c r="D631">
        <v>6.1303150000000004</v>
      </c>
      <c r="E631">
        <v>0.50046869999999999</v>
      </c>
      <c r="F631" t="s">
        <v>45</v>
      </c>
      <c r="G631">
        <v>-288.56259999999997</v>
      </c>
      <c r="H631">
        <v>-0.05</v>
      </c>
      <c r="I631">
        <v>368.61540000000002</v>
      </c>
      <c r="J631">
        <v>-319.76519999999999</v>
      </c>
      <c r="K631">
        <v>1.107602</v>
      </c>
      <c r="L631">
        <v>368.36009999999999</v>
      </c>
      <c r="M631">
        <v>0.99987910000000002</v>
      </c>
      <c r="N631">
        <v>0</v>
      </c>
      <c r="O631">
        <v>-5.1839970000000001E-3</v>
      </c>
      <c r="P631">
        <v>0.99882040000000005</v>
      </c>
      <c r="Q631">
        <v>4.7190849999999999E-2</v>
      </c>
      <c r="R631">
        <v>1.144162E-2</v>
      </c>
      <c r="S631">
        <v>3.008667</v>
      </c>
      <c r="T631">
        <v>-0.1110862</v>
      </c>
      <c r="U631">
        <v>2.4383539999999999E-2</v>
      </c>
      <c r="V631">
        <v>-1.656266E-2</v>
      </c>
      <c r="W631">
        <v>6.1846640000000001E-2</v>
      </c>
      <c r="X631">
        <v>0.99794819999999995</v>
      </c>
      <c r="Y631">
        <v>-1.327587E-2</v>
      </c>
      <c r="Z631">
        <v>4.3635540000000001E-4</v>
      </c>
      <c r="AA631">
        <v>0.99991180000000002</v>
      </c>
      <c r="AB631">
        <v>28</v>
      </c>
      <c r="AC631">
        <v>31.2026</v>
      </c>
      <c r="AD631">
        <v>-1.157602</v>
      </c>
      <c r="AE631">
        <v>0.255300000000033</v>
      </c>
      <c r="AF631">
        <v>-0.416494922731041</v>
      </c>
      <c r="AG631">
        <v>-1.157602</v>
      </c>
      <c r="AH631">
        <v>31.157974817814701</v>
      </c>
      <c r="AI631">
        <v>92.127522761741901</v>
      </c>
      <c r="AJ631">
        <v>90.765838608970597</v>
      </c>
      <c r="AK631">
        <v>31.182253048146499</v>
      </c>
      <c r="AL631">
        <v>86.454185526376804</v>
      </c>
      <c r="AM631">
        <v>90.950834320175602</v>
      </c>
      <c r="AN631">
        <v>0.99999996923440204</v>
      </c>
    </row>
    <row r="632" spans="1:40" x14ac:dyDescent="0.25">
      <c r="A632" t="str">
        <f>"20190312160614365"</f>
        <v>20190312160614365</v>
      </c>
      <c r="B632" t="str">
        <f>"1552377974355679"</f>
        <v>1552377974355679</v>
      </c>
      <c r="C632" t="s">
        <v>40</v>
      </c>
      <c r="D632">
        <v>6.109953</v>
      </c>
      <c r="E632">
        <v>0.50033099999999997</v>
      </c>
      <c r="F632" t="s">
        <v>45</v>
      </c>
      <c r="G632">
        <v>-288.89299999999997</v>
      </c>
      <c r="H632">
        <v>-0.05</v>
      </c>
      <c r="I632">
        <v>368.62810000000002</v>
      </c>
      <c r="J632">
        <v>-319.56479999999999</v>
      </c>
      <c r="K632">
        <v>1.106865</v>
      </c>
      <c r="L632">
        <v>368.3587</v>
      </c>
      <c r="M632">
        <v>0.99986269999999999</v>
      </c>
      <c r="N632">
        <v>0</v>
      </c>
      <c r="O632">
        <v>-5.4566759999999997E-3</v>
      </c>
      <c r="P632">
        <v>0.99887619999999999</v>
      </c>
      <c r="Q632">
        <v>4.6148260000000003E-2</v>
      </c>
      <c r="R632">
        <v>1.08161E-2</v>
      </c>
      <c r="S632">
        <v>3.0085449999999998</v>
      </c>
      <c r="T632">
        <v>-0.1128103</v>
      </c>
      <c r="U632">
        <v>2.6123049999999998E-2</v>
      </c>
      <c r="V632">
        <v>-1.620868E-2</v>
      </c>
      <c r="W632">
        <v>6.1787149999999999E-2</v>
      </c>
      <c r="X632">
        <v>0.99795769999999995</v>
      </c>
      <c r="Y632">
        <v>-1.412587E-2</v>
      </c>
      <c r="Z632">
        <v>4.6929479999999998E-4</v>
      </c>
      <c r="AA632">
        <v>0.99990009999999996</v>
      </c>
      <c r="AB632">
        <v>28</v>
      </c>
      <c r="AC632">
        <v>30.671800000000001</v>
      </c>
      <c r="AD632">
        <v>-1.156865</v>
      </c>
      <c r="AE632">
        <v>0.26940000000001801</v>
      </c>
      <c r="AF632">
        <v>-0.43616211093299301</v>
      </c>
      <c r="AG632">
        <v>-1.156865</v>
      </c>
      <c r="AH632">
        <v>30.6263070171489</v>
      </c>
      <c r="AI632">
        <v>92.163018622419202</v>
      </c>
      <c r="AJ632">
        <v>90.815918120340001</v>
      </c>
      <c r="AK632">
        <v>30.651252103689</v>
      </c>
      <c r="AL632">
        <v>86.457600593846394</v>
      </c>
      <c r="AM632">
        <v>90.930507682232204</v>
      </c>
      <c r="AN632">
        <v>0.99999997210087699</v>
      </c>
    </row>
    <row r="633" spans="1:40" x14ac:dyDescent="0.25">
      <c r="A633" t="str">
        <f>"20190312160614376"</f>
        <v>20190312160614376</v>
      </c>
      <c r="B633" t="str">
        <f>"1552377974365440"</f>
        <v>1552377974365440</v>
      </c>
      <c r="C633" t="s">
        <v>40</v>
      </c>
      <c r="D633">
        <v>5.9870469999999996</v>
      </c>
      <c r="E633">
        <v>0.50018050000000003</v>
      </c>
      <c r="F633" t="s">
        <v>45</v>
      </c>
      <c r="G633">
        <v>-289.68290000000002</v>
      </c>
      <c r="H633">
        <v>-0.05</v>
      </c>
      <c r="I633">
        <v>368.61090000000002</v>
      </c>
      <c r="J633">
        <v>-319.42360000000002</v>
      </c>
      <c r="K633">
        <v>1.106304</v>
      </c>
      <c r="L633">
        <v>368.35770000000002</v>
      </c>
      <c r="M633">
        <v>0.99984899999999999</v>
      </c>
      <c r="N633">
        <v>0</v>
      </c>
      <c r="O633">
        <v>-5.6473840000000001E-3</v>
      </c>
      <c r="P633">
        <v>0.99893980000000004</v>
      </c>
      <c r="Q633">
        <v>4.4777530000000003E-2</v>
      </c>
      <c r="R633">
        <v>1.0699520000000001E-2</v>
      </c>
      <c r="S633">
        <v>3.0084840000000002</v>
      </c>
      <c r="T633">
        <v>-0.11647250000000001</v>
      </c>
      <c r="U633">
        <v>2.5390630000000001E-2</v>
      </c>
      <c r="V633">
        <v>-1.628255E-2</v>
      </c>
      <c r="W633">
        <v>6.1207940000000002E-2</v>
      </c>
      <c r="X633">
        <v>0.9979922</v>
      </c>
      <c r="Y633">
        <v>-1.407241E-2</v>
      </c>
      <c r="Z633">
        <v>4.9087849999999999E-4</v>
      </c>
      <c r="AA633">
        <v>0.99990089999999998</v>
      </c>
      <c r="AB633">
        <v>28</v>
      </c>
      <c r="AC633">
        <v>29.7407</v>
      </c>
      <c r="AD633">
        <v>-1.156304</v>
      </c>
      <c r="AE633">
        <v>0.25319999999999199</v>
      </c>
      <c r="AF633">
        <v>-0.420540150999272</v>
      </c>
      <c r="AG633">
        <v>-1.156304</v>
      </c>
      <c r="AH633">
        <v>29.693912936268401</v>
      </c>
      <c r="AI633">
        <v>92.229791976103598</v>
      </c>
      <c r="AJ633">
        <v>90.811397441562804</v>
      </c>
      <c r="AK633">
        <v>29.7193936416224</v>
      </c>
      <c r="AL633">
        <v>86.490849852534097</v>
      </c>
      <c r="AM633">
        <v>90.934715351523096</v>
      </c>
      <c r="AN633">
        <v>0.999999982307192</v>
      </c>
    </row>
    <row r="634" spans="1:40" x14ac:dyDescent="0.25">
      <c r="A634" t="str">
        <f>"20190312160614387"</f>
        <v>20190312160614387</v>
      </c>
      <c r="B634" t="str">
        <f>"1552377974376175"</f>
        <v>1552377974376175</v>
      </c>
      <c r="C634" t="s">
        <v>40</v>
      </c>
      <c r="D634">
        <v>5.54148</v>
      </c>
      <c r="E634">
        <v>0.49996360000000001</v>
      </c>
      <c r="F634" t="s">
        <v>45</v>
      </c>
      <c r="G634">
        <v>-290.92329999999998</v>
      </c>
      <c r="H634">
        <v>-0.05</v>
      </c>
      <c r="I634">
        <v>368.60550000000001</v>
      </c>
      <c r="J634">
        <v>-319.27999999999997</v>
      </c>
      <c r="K634">
        <v>1.1056629999999901</v>
      </c>
      <c r="L634">
        <v>368.35669999999999</v>
      </c>
      <c r="M634">
        <v>0.99983239999999995</v>
      </c>
      <c r="N634">
        <v>0</v>
      </c>
      <c r="O634">
        <v>-5.8503590000000003E-3</v>
      </c>
      <c r="P634">
        <v>0.99898489999999995</v>
      </c>
      <c r="Q634">
        <v>4.3790099999999998E-2</v>
      </c>
      <c r="R634">
        <v>1.057335E-2</v>
      </c>
      <c r="S634">
        <v>3.008362</v>
      </c>
      <c r="T634">
        <v>-0.12205390000000001</v>
      </c>
      <c r="U634">
        <v>2.6153559999999999E-2</v>
      </c>
      <c r="V634">
        <v>-1.6359720000000001E-2</v>
      </c>
      <c r="W634">
        <v>6.1131310000000001E-2</v>
      </c>
      <c r="X634">
        <v>0.99799570000000004</v>
      </c>
      <c r="Y634">
        <v>-1.4527399999999999E-2</v>
      </c>
      <c r="Z634">
        <v>5.3186489999999895E-4</v>
      </c>
      <c r="AA634">
        <v>0.99989430000000001</v>
      </c>
      <c r="AB634">
        <v>28</v>
      </c>
      <c r="AC634">
        <v>28.356699999999901</v>
      </c>
      <c r="AD634">
        <v>-1.1556630000000001</v>
      </c>
      <c r="AE634">
        <v>0.24880000000001601</v>
      </c>
      <c r="AF634">
        <v>-0.41402996311117402</v>
      </c>
      <c r="AG634">
        <v>-1.1556630000000001</v>
      </c>
      <c r="AH634">
        <v>28.3077452503552</v>
      </c>
      <c r="AI634">
        <v>92.337550836842397</v>
      </c>
      <c r="AJ634">
        <v>90.837950106250901</v>
      </c>
      <c r="AK634">
        <v>28.334350512036298</v>
      </c>
      <c r="AL634">
        <v>86.495248893757093</v>
      </c>
      <c r="AM634">
        <v>90.939141284580003</v>
      </c>
      <c r="AN634">
        <v>1.00000004735964</v>
      </c>
    </row>
    <row r="635" spans="1:40" x14ac:dyDescent="0.25">
      <c r="A635" t="str">
        <f>"20190312160614399"</f>
        <v>20190312160614399</v>
      </c>
      <c r="B635" t="str">
        <f>"1552377974385936"</f>
        <v>1552377974385936</v>
      </c>
      <c r="C635" t="s">
        <v>40</v>
      </c>
      <c r="D635">
        <v>5.9980500000000001</v>
      </c>
      <c r="E635">
        <v>0.49975589999999998</v>
      </c>
      <c r="F635" t="s">
        <v>45</v>
      </c>
      <c r="G635">
        <v>-291.30549999999999</v>
      </c>
      <c r="H635">
        <v>-0.05</v>
      </c>
      <c r="I635">
        <v>368.61239999999998</v>
      </c>
      <c r="J635">
        <v>-319.13549999999998</v>
      </c>
      <c r="K635">
        <v>1.1049789999999999</v>
      </c>
      <c r="L635">
        <v>368.35570000000001</v>
      </c>
      <c r="M635">
        <v>0.99981500000000001</v>
      </c>
      <c r="N635">
        <v>0</v>
      </c>
      <c r="O635">
        <v>-6.0635649999999999E-3</v>
      </c>
      <c r="P635">
        <v>0.9990329</v>
      </c>
      <c r="Q635">
        <v>4.2737169999999998E-2</v>
      </c>
      <c r="R635">
        <v>1.0343369999999999E-2</v>
      </c>
      <c r="S635">
        <v>3.0082089999999999</v>
      </c>
      <c r="T635">
        <v>-0.1242728</v>
      </c>
      <c r="U635">
        <v>2.7496340000000001E-2</v>
      </c>
      <c r="V635">
        <v>-1.6343690000000001E-2</v>
      </c>
      <c r="W635">
        <v>6.098282E-2</v>
      </c>
      <c r="X635">
        <v>0.99800500000000003</v>
      </c>
      <c r="Y635">
        <v>-1.5186079999999999E-2</v>
      </c>
      <c r="Z635">
        <v>5.6396120000000004E-4</v>
      </c>
      <c r="AA635">
        <v>0.99988449999999995</v>
      </c>
      <c r="AB635">
        <v>28</v>
      </c>
      <c r="AC635">
        <v>27.829999999999899</v>
      </c>
      <c r="AD635">
        <v>-1.154979</v>
      </c>
      <c r="AE635">
        <v>0.25669999999996601</v>
      </c>
      <c r="AF635">
        <v>-0.424740922947699</v>
      </c>
      <c r="AG635">
        <v>-1.154979</v>
      </c>
      <c r="AH635">
        <v>27.780088434123201</v>
      </c>
      <c r="AI635">
        <v>92.380468032592205</v>
      </c>
      <c r="AJ635">
        <v>90.875949919944603</v>
      </c>
      <c r="AK635">
        <v>27.807331672596199</v>
      </c>
      <c r="AL635">
        <v>86.503772481822196</v>
      </c>
      <c r="AM635">
        <v>90.9382124943387</v>
      </c>
      <c r="AN635">
        <v>1.00000000028148</v>
      </c>
    </row>
    <row r="636" spans="1:40" x14ac:dyDescent="0.25">
      <c r="A636" t="str">
        <f>"20190312160614409"</f>
        <v>20190312160614409</v>
      </c>
      <c r="B636" t="str">
        <f>"1552377974405455"</f>
        <v>1552377974405455</v>
      </c>
      <c r="C636" t="s">
        <v>40</v>
      </c>
      <c r="D636">
        <v>6.1495569999999997</v>
      </c>
      <c r="E636">
        <v>0.49952560000000001</v>
      </c>
      <c r="F636" t="s">
        <v>45</v>
      </c>
      <c r="G636">
        <v>-291.65940000000001</v>
      </c>
      <c r="H636">
        <v>-0.05</v>
      </c>
      <c r="I636">
        <v>368.61430000000001</v>
      </c>
      <c r="J636">
        <v>-319.00049999999999</v>
      </c>
      <c r="K636">
        <v>1.1042909999999999</v>
      </c>
      <c r="L636">
        <v>368.3546</v>
      </c>
      <c r="M636">
        <v>0.99979810000000002</v>
      </c>
      <c r="N636">
        <v>0</v>
      </c>
      <c r="O636">
        <v>-6.2732079999999997E-3</v>
      </c>
      <c r="P636">
        <v>0.99906209999999995</v>
      </c>
      <c r="Q636">
        <v>4.2063589999999998E-2</v>
      </c>
      <c r="R636">
        <v>1.028451E-2</v>
      </c>
      <c r="S636">
        <v>3.008057</v>
      </c>
      <c r="T636">
        <v>-0.1264458</v>
      </c>
      <c r="U636">
        <v>2.8320310000000001E-2</v>
      </c>
      <c r="V636">
        <v>-1.6494379999999999E-2</v>
      </c>
      <c r="W636">
        <v>6.1140359999999998E-2</v>
      </c>
      <c r="X636">
        <v>0.99799289999999996</v>
      </c>
      <c r="Y636">
        <v>-1.5668919999999999E-2</v>
      </c>
      <c r="Z636">
        <v>5.9279959999999996E-4</v>
      </c>
      <c r="AA636">
        <v>0.99987700000000002</v>
      </c>
      <c r="AB636">
        <v>28</v>
      </c>
      <c r="AC636">
        <v>27.341099999999901</v>
      </c>
      <c r="AD636">
        <v>-1.154291</v>
      </c>
      <c r="AE636">
        <v>0.25970000000000898</v>
      </c>
      <c r="AF636">
        <v>-0.43047535615092197</v>
      </c>
      <c r="AG636">
        <v>-1.154291</v>
      </c>
      <c r="AH636">
        <v>27.2902952667379</v>
      </c>
      <c r="AI636">
        <v>92.421681156530795</v>
      </c>
      <c r="AJ636">
        <v>90.903704980593901</v>
      </c>
      <c r="AK636">
        <v>27.318087643366798</v>
      </c>
      <c r="AL636">
        <v>86.494729293318201</v>
      </c>
      <c r="AM636">
        <v>90.946872791454595</v>
      </c>
      <c r="AN636">
        <v>1.0000000183214599</v>
      </c>
    </row>
    <row r="637" spans="1:40" x14ac:dyDescent="0.25">
      <c r="A637" t="str">
        <f>"20190312160614433"</f>
        <v>20190312160614433</v>
      </c>
      <c r="B637" t="str">
        <f>"1552377974425951"</f>
        <v>1552377974425951</v>
      </c>
      <c r="C637" t="s">
        <v>40</v>
      </c>
      <c r="D637">
        <v>6.2051379999999998</v>
      </c>
      <c r="E637">
        <v>0.49932579999999999</v>
      </c>
      <c r="F637" t="s">
        <v>45</v>
      </c>
      <c r="G637">
        <v>-292.39550000000003</v>
      </c>
      <c r="H637">
        <v>-0.05</v>
      </c>
      <c r="I637">
        <v>368.62049999999999</v>
      </c>
      <c r="J637">
        <v>-318.70580000000001</v>
      </c>
      <c r="K637">
        <v>1.1026739999999999</v>
      </c>
      <c r="L637">
        <v>368.35230000000001</v>
      </c>
      <c r="M637">
        <v>0.99976180000000003</v>
      </c>
      <c r="N637">
        <v>0</v>
      </c>
      <c r="O637">
        <v>-6.7461810000000004E-3</v>
      </c>
      <c r="P637">
        <v>0.99914159999999996</v>
      </c>
      <c r="Q637">
        <v>4.0217210000000003E-2</v>
      </c>
      <c r="R637">
        <v>9.9275449999999994E-3</v>
      </c>
      <c r="S637">
        <v>3.0079959999999999</v>
      </c>
      <c r="T637">
        <v>-0.13050590000000001</v>
      </c>
      <c r="U637">
        <v>3.0059809999999999E-2</v>
      </c>
      <c r="V637">
        <v>-1.6611150000000002E-2</v>
      </c>
      <c r="W637">
        <v>6.0966159999999998E-2</v>
      </c>
      <c r="X637">
        <v>0.99800160000000004</v>
      </c>
      <c r="Y637">
        <v>-1.6717800000000001E-2</v>
      </c>
      <c r="Z637">
        <v>6.5509379999999999E-4</v>
      </c>
      <c r="AA637">
        <v>0.99985999999999997</v>
      </c>
      <c r="AB637">
        <v>28</v>
      </c>
      <c r="AC637">
        <v>26.310299999999899</v>
      </c>
      <c r="AD637">
        <v>-1.152674</v>
      </c>
      <c r="AE637">
        <v>0.26819999999997801</v>
      </c>
      <c r="AF637">
        <v>-0.44487239638355702</v>
      </c>
      <c r="AG637">
        <v>-1.152674</v>
      </c>
      <c r="AH637">
        <v>26.257498385408901</v>
      </c>
      <c r="AI637">
        <v>92.513244802283893</v>
      </c>
      <c r="AJ637">
        <v>90.970651196120897</v>
      </c>
      <c r="AK637">
        <v>26.286551509452298</v>
      </c>
      <c r="AL637">
        <v>86.504728801939507</v>
      </c>
      <c r="AM637">
        <v>90.953566520094597</v>
      </c>
      <c r="AN637">
        <v>0.99999999828601405</v>
      </c>
    </row>
    <row r="638" spans="1:40" x14ac:dyDescent="0.25">
      <c r="A638" t="str">
        <f>"20190312160614456"</f>
        <v>20190312160614456</v>
      </c>
      <c r="B638" t="str">
        <f>"1552377974445471"</f>
        <v>1552377974445471</v>
      </c>
      <c r="C638" t="s">
        <v>40</v>
      </c>
      <c r="D638">
        <v>6.0288539999999999</v>
      </c>
      <c r="E638">
        <v>0.49910860000000001</v>
      </c>
      <c r="F638" t="s">
        <v>45</v>
      </c>
      <c r="G638">
        <v>-293.75599999999997</v>
      </c>
      <c r="H638">
        <v>-0.05</v>
      </c>
      <c r="I638">
        <v>368.60340000000002</v>
      </c>
      <c r="J638">
        <v>-318.4212</v>
      </c>
      <c r="K638">
        <v>1.1009389999999999</v>
      </c>
      <c r="L638">
        <v>368.34989999999999</v>
      </c>
      <c r="M638">
        <v>0.99973610000000002</v>
      </c>
      <c r="N638">
        <v>0</v>
      </c>
      <c r="O638">
        <v>-7.2365419999999899E-3</v>
      </c>
      <c r="P638">
        <v>0.99918010000000002</v>
      </c>
      <c r="Q638">
        <v>3.9289240000000003E-2</v>
      </c>
      <c r="R638">
        <v>9.7714069999999993E-3</v>
      </c>
      <c r="S638">
        <v>3.0078740000000002</v>
      </c>
      <c r="T638">
        <v>-0.13896310000000001</v>
      </c>
      <c r="U638">
        <v>3.0273439999999999E-2</v>
      </c>
      <c r="V638">
        <v>-1.6944620000000001E-2</v>
      </c>
      <c r="W638">
        <v>6.1078479999999997E-2</v>
      </c>
      <c r="X638">
        <v>0.99798909999999996</v>
      </c>
      <c r="Y638">
        <v>-1.727571E-2</v>
      </c>
      <c r="Z638">
        <v>7.3306459999999995E-4</v>
      </c>
      <c r="AA638">
        <v>0.99985049999999998</v>
      </c>
      <c r="AB638">
        <v>28</v>
      </c>
      <c r="AC638">
        <v>24.665199999999999</v>
      </c>
      <c r="AD638">
        <v>-1.1509389999999999</v>
      </c>
      <c r="AE638">
        <v>0.25350000000002998</v>
      </c>
      <c r="AF638">
        <v>-0.43108800832555499</v>
      </c>
      <c r="AG638">
        <v>-1.1509389999999999</v>
      </c>
      <c r="AH638">
        <v>24.6091410289878</v>
      </c>
      <c r="AI638">
        <v>92.677291200477796</v>
      </c>
      <c r="AJ638">
        <v>91.0035700753387</v>
      </c>
      <c r="AK638">
        <v>24.639811680231102</v>
      </c>
      <c r="AL638">
        <v>86.498281233326495</v>
      </c>
      <c r="AM638">
        <v>90.972717973971001</v>
      </c>
      <c r="AN638">
        <v>0.99999997229243198</v>
      </c>
    </row>
    <row r="639" spans="1:40" x14ac:dyDescent="0.25">
      <c r="A639" t="str">
        <f>"20190312160614477"</f>
        <v>20190312160614477</v>
      </c>
      <c r="B639" t="str">
        <f>"1552377974465967"</f>
        <v>1552377974465967</v>
      </c>
      <c r="C639" t="s">
        <v>40</v>
      </c>
      <c r="D639">
        <v>6.1622250000000003</v>
      </c>
      <c r="E639">
        <v>0.49892170000000002</v>
      </c>
      <c r="F639" t="s">
        <v>45</v>
      </c>
      <c r="G639">
        <v>-294.28550000000001</v>
      </c>
      <c r="H639">
        <v>-0.05</v>
      </c>
      <c r="I639">
        <v>368.60210000000001</v>
      </c>
      <c r="J639">
        <v>-318.1422</v>
      </c>
      <c r="K639">
        <v>1.099119</v>
      </c>
      <c r="L639">
        <v>368.34739999999999</v>
      </c>
      <c r="M639">
        <v>0.99971650000000001</v>
      </c>
      <c r="N639">
        <v>0</v>
      </c>
      <c r="O639">
        <v>-7.7039309999999998E-3</v>
      </c>
      <c r="P639">
        <v>0.99920759999999997</v>
      </c>
      <c r="Q639">
        <v>3.862347E-2</v>
      </c>
      <c r="R639">
        <v>9.6238199999999999E-3</v>
      </c>
      <c r="S639">
        <v>3.0077820000000002</v>
      </c>
      <c r="T639">
        <v>-0.14342959999999999</v>
      </c>
      <c r="U639">
        <v>3.143311E-2</v>
      </c>
      <c r="V639">
        <v>-1.7263879999999999E-2</v>
      </c>
      <c r="W639">
        <v>6.1139880000000001E-2</v>
      </c>
      <c r="X639">
        <v>0.99797990000000003</v>
      </c>
      <c r="Y639">
        <v>-1.8125829999999999E-2</v>
      </c>
      <c r="Z639">
        <v>7.9916519999999997E-4</v>
      </c>
      <c r="AA639">
        <v>0.99983540000000004</v>
      </c>
      <c r="AB639">
        <v>28</v>
      </c>
      <c r="AC639">
        <v>23.856699999999901</v>
      </c>
      <c r="AD639">
        <v>-1.149119</v>
      </c>
      <c r="AE639">
        <v>0.25470000000001303</v>
      </c>
      <c r="AF639">
        <v>-0.437514501651948</v>
      </c>
      <c r="AG639">
        <v>-1.149119</v>
      </c>
      <c r="AH639">
        <v>23.798819312110599</v>
      </c>
      <c r="AI639">
        <v>92.763896638820995</v>
      </c>
      <c r="AJ639">
        <v>91.053199767740296</v>
      </c>
      <c r="AK639">
        <v>23.830562185265499</v>
      </c>
      <c r="AL639">
        <v>86.494756795318196</v>
      </c>
      <c r="AM639">
        <v>90.991050834274603</v>
      </c>
      <c r="AN639">
        <v>1.00000000364153</v>
      </c>
    </row>
    <row r="640" spans="1:40" x14ac:dyDescent="0.25">
      <c r="A640" t="str">
        <f>"20190312160614490"</f>
        <v>20190312160614490</v>
      </c>
      <c r="B640" t="str">
        <f>"1552377974485488"</f>
        <v>1552377974485488</v>
      </c>
      <c r="C640" t="s">
        <v>40</v>
      </c>
      <c r="D640">
        <v>6.0168419999999996</v>
      </c>
      <c r="E640">
        <v>0.49871359999999898</v>
      </c>
      <c r="F640" t="s">
        <v>45</v>
      </c>
      <c r="G640">
        <v>-294.63589999999999</v>
      </c>
      <c r="H640">
        <v>-0.05</v>
      </c>
      <c r="I640">
        <v>368.59949999999998</v>
      </c>
      <c r="J640">
        <v>-317.97300000000001</v>
      </c>
      <c r="K640">
        <v>1.0979719999999999</v>
      </c>
      <c r="L640">
        <v>368.3458</v>
      </c>
      <c r="M640">
        <v>0.99970539999999997</v>
      </c>
      <c r="N640">
        <v>0</v>
      </c>
      <c r="O640">
        <v>-7.9727300000000008E-3</v>
      </c>
      <c r="P640">
        <v>0.99922560000000005</v>
      </c>
      <c r="Q640">
        <v>3.8124829999999998E-2</v>
      </c>
      <c r="R640">
        <v>9.7479590000000005E-3</v>
      </c>
      <c r="S640">
        <v>3.0077820000000002</v>
      </c>
      <c r="T640">
        <v>-0.14703729999999901</v>
      </c>
      <c r="U640">
        <v>3.225708E-2</v>
      </c>
      <c r="V640">
        <v>-1.76560999999999E-2</v>
      </c>
      <c r="W640">
        <v>6.1044220000000003E-2</v>
      </c>
      <c r="X640">
        <v>0.9979789</v>
      </c>
      <c r="Y640">
        <v>-1.8666140000000001E-2</v>
      </c>
      <c r="Z640">
        <v>8.4557899999999995E-4</v>
      </c>
      <c r="AA640">
        <v>0.99982539999999998</v>
      </c>
      <c r="AB640">
        <v>28</v>
      </c>
      <c r="AC640">
        <v>23.3371</v>
      </c>
      <c r="AD640">
        <v>-1.147972</v>
      </c>
      <c r="AE640">
        <v>0.25369999999998</v>
      </c>
      <c r="AF640">
        <v>-0.43873973005599898</v>
      </c>
      <c r="AG640">
        <v>-1.147972</v>
      </c>
      <c r="AH640">
        <v>23.278014578565699</v>
      </c>
      <c r="AI640">
        <v>92.822794662861497</v>
      </c>
      <c r="AJ640">
        <v>91.079772448736705</v>
      </c>
      <c r="AK640">
        <v>23.3104331788028</v>
      </c>
      <c r="AL640">
        <v>86.500247987746107</v>
      </c>
      <c r="AM640">
        <v>91.013562998357699</v>
      </c>
      <c r="AN640">
        <v>1.0000000097539099</v>
      </c>
    </row>
    <row r="641" spans="1:40" x14ac:dyDescent="0.25">
      <c r="A641" t="str">
        <f>"20190312160614504"</f>
        <v>20190312160614504</v>
      </c>
      <c r="B641" t="str">
        <f>"1552377974496224"</f>
        <v>1552377974496224</v>
      </c>
      <c r="C641" t="s">
        <v>40</v>
      </c>
      <c r="D641">
        <v>6.1430509999999998</v>
      </c>
      <c r="E641">
        <v>0.49861290000000003</v>
      </c>
      <c r="F641" t="s">
        <v>45</v>
      </c>
      <c r="G641">
        <v>-295.15839999999997</v>
      </c>
      <c r="H641">
        <v>-0.05</v>
      </c>
      <c r="I641">
        <v>368.6046</v>
      </c>
      <c r="J641">
        <v>-317.81270000000001</v>
      </c>
      <c r="K641">
        <v>1.096832</v>
      </c>
      <c r="L641">
        <v>368.34429999999998</v>
      </c>
      <c r="M641">
        <v>0.99969580000000002</v>
      </c>
      <c r="N641">
        <v>0</v>
      </c>
      <c r="O641">
        <v>-8.2181110000000002E-3</v>
      </c>
      <c r="P641">
        <v>0.99924559999999996</v>
      </c>
      <c r="Q641">
        <v>3.7621349999999998E-2</v>
      </c>
      <c r="R641">
        <v>9.6480709999999994E-3</v>
      </c>
      <c r="S641">
        <v>3.0077509999999998</v>
      </c>
      <c r="T641">
        <v>-0.15134220000000001</v>
      </c>
      <c r="U641">
        <v>3.411865E-2</v>
      </c>
      <c r="V641">
        <v>-1.780048E-2</v>
      </c>
      <c r="W641">
        <v>6.086859E-2</v>
      </c>
      <c r="X641">
        <v>0.99798699999999996</v>
      </c>
      <c r="Y641">
        <v>-1.952717E-2</v>
      </c>
      <c r="Z641">
        <v>9.0430380000000002E-4</v>
      </c>
      <c r="AA641">
        <v>0.9998089</v>
      </c>
      <c r="AB641">
        <v>28</v>
      </c>
      <c r="AC641">
        <v>22.654299999999999</v>
      </c>
      <c r="AD641">
        <v>-1.1468320000000001</v>
      </c>
      <c r="AE641">
        <v>0.26030000000002901</v>
      </c>
      <c r="AF641">
        <v>-0.44537590107091801</v>
      </c>
      <c r="AG641">
        <v>-1.1468320000000001</v>
      </c>
      <c r="AH641">
        <v>22.593502017875199</v>
      </c>
      <c r="AI641">
        <v>92.905240505772696</v>
      </c>
      <c r="AJ641">
        <v>91.129300577288205</v>
      </c>
      <c r="AK641">
        <v>22.626973212544598</v>
      </c>
      <c r="AL641">
        <v>86.510329374495697</v>
      </c>
      <c r="AM641">
        <v>91.021841209264494</v>
      </c>
      <c r="AN641">
        <v>0.99999994725290697</v>
      </c>
    </row>
    <row r="642" spans="1:40" x14ac:dyDescent="0.25">
      <c r="A642" t="str">
        <f>"20190312160614515"</f>
        <v>20190312160614515</v>
      </c>
      <c r="B642" t="str">
        <f>"1552377974505985"</f>
        <v>1552377974505985</v>
      </c>
      <c r="C642" t="s">
        <v>40</v>
      </c>
      <c r="D642">
        <v>6.1948850000000002</v>
      </c>
      <c r="E642">
        <v>0.49854670000000001</v>
      </c>
      <c r="F642" t="s">
        <v>45</v>
      </c>
      <c r="G642">
        <v>-295.35570000000001</v>
      </c>
      <c r="H642">
        <v>-0.05</v>
      </c>
      <c r="I642">
        <v>368.60469999999998</v>
      </c>
      <c r="J642">
        <v>-317.66039999999998</v>
      </c>
      <c r="K642">
        <v>1.0957239999999999</v>
      </c>
      <c r="L642">
        <v>368.34280000000001</v>
      </c>
      <c r="M642">
        <v>0.9996874</v>
      </c>
      <c r="N642">
        <v>0</v>
      </c>
      <c r="O642">
        <v>-8.4475639999999994E-3</v>
      </c>
      <c r="P642">
        <v>0.99926459999999995</v>
      </c>
      <c r="Q642">
        <v>3.7171500000000003E-2</v>
      </c>
      <c r="R642">
        <v>9.4113489999999994E-3</v>
      </c>
      <c r="S642">
        <v>3.0077820000000002</v>
      </c>
      <c r="T642">
        <v>-0.15360119999999999</v>
      </c>
      <c r="U642">
        <v>3.4881589999999997E-2</v>
      </c>
      <c r="V642">
        <v>-1.7792579999999999E-2</v>
      </c>
      <c r="W642">
        <v>6.0695350000000002E-2</v>
      </c>
      <c r="X642">
        <v>0.99799780000000005</v>
      </c>
      <c r="Y642">
        <v>-2.000818E-2</v>
      </c>
      <c r="Z642">
        <v>9.417634E-4</v>
      </c>
      <c r="AA642">
        <v>0.9997994</v>
      </c>
      <c r="AB642">
        <v>28</v>
      </c>
      <c r="AC642">
        <v>22.304699999999901</v>
      </c>
      <c r="AD642">
        <v>-1.145724</v>
      </c>
      <c r="AE642">
        <v>0.26189999999996799</v>
      </c>
      <c r="AF642">
        <v>-0.44917819935893299</v>
      </c>
      <c r="AG642">
        <v>-1.145724</v>
      </c>
      <c r="AH642">
        <v>22.243009207568601</v>
      </c>
      <c r="AI642">
        <v>92.948065107233006</v>
      </c>
      <c r="AJ642">
        <v>91.156881125274197</v>
      </c>
      <c r="AK642">
        <v>22.2770263533295</v>
      </c>
      <c r="AL642">
        <v>86.520274058012006</v>
      </c>
      <c r="AM642">
        <v>91.021376753014394</v>
      </c>
      <c r="AN642">
        <v>1.0000000551097501</v>
      </c>
    </row>
    <row r="643" spans="1:40" x14ac:dyDescent="0.25">
      <c r="A643" t="str">
        <f>"20190312160614528"</f>
        <v>20190312160614528</v>
      </c>
      <c r="B643" t="str">
        <f>"1552377974515743"</f>
        <v>1552377974515743</v>
      </c>
      <c r="C643" t="s">
        <v>40</v>
      </c>
      <c r="D643">
        <v>6.1608049999999999</v>
      </c>
      <c r="E643">
        <v>0.49839860000000002</v>
      </c>
      <c r="F643" t="s">
        <v>45</v>
      </c>
      <c r="G643">
        <v>-295.54809999999998</v>
      </c>
      <c r="H643">
        <v>-0.05</v>
      </c>
      <c r="I643">
        <v>368.59679999999997</v>
      </c>
      <c r="J643">
        <v>-317.49799999999999</v>
      </c>
      <c r="K643">
        <v>1.0944640000000001</v>
      </c>
      <c r="L643">
        <v>368.34120000000001</v>
      </c>
      <c r="M643">
        <v>0.99968129999999999</v>
      </c>
      <c r="N643">
        <v>0</v>
      </c>
      <c r="O643">
        <v>-8.6891209999999993E-3</v>
      </c>
      <c r="P643">
        <v>0.99927319999999997</v>
      </c>
      <c r="Q643">
        <v>3.7018570000000001E-2</v>
      </c>
      <c r="R643">
        <v>9.1160949999999994E-3</v>
      </c>
      <c r="S643">
        <v>3.0076900000000002</v>
      </c>
      <c r="T643">
        <v>-0.15584000000000001</v>
      </c>
      <c r="U643">
        <v>3.4545899999999997E-2</v>
      </c>
      <c r="V643">
        <v>-1.773831E-2</v>
      </c>
      <c r="W643">
        <v>6.0709630000000001E-2</v>
      </c>
      <c r="X643">
        <v>0.99799780000000005</v>
      </c>
      <c r="Y643">
        <v>-2.013699E-2</v>
      </c>
      <c r="Z643">
        <v>9.7134890000000001E-4</v>
      </c>
      <c r="AA643">
        <v>0.99979669999999998</v>
      </c>
      <c r="AB643">
        <v>28</v>
      </c>
      <c r="AC643">
        <v>21.9499</v>
      </c>
      <c r="AD643">
        <v>-1.1444639999999999</v>
      </c>
      <c r="AE643">
        <v>0.25559999999995803</v>
      </c>
      <c r="AF643">
        <v>-0.44515925075720397</v>
      </c>
      <c r="AG643">
        <v>-1.1444639999999999</v>
      </c>
      <c r="AH643">
        <v>21.887355280799799</v>
      </c>
      <c r="AI643">
        <v>92.992585044629806</v>
      </c>
      <c r="AJ643">
        <v>91.165158143458399</v>
      </c>
      <c r="AK643">
        <v>21.921776520022</v>
      </c>
      <c r="AL643">
        <v>86.519454023657303</v>
      </c>
      <c r="AM643">
        <v>91.018262059826</v>
      </c>
      <c r="AN643">
        <v>0.99999995781061501</v>
      </c>
    </row>
    <row r="644" spans="1:40" x14ac:dyDescent="0.25">
      <c r="A644" t="str">
        <f>"20190312160614546"</f>
        <v>20190312160614546</v>
      </c>
      <c r="B644" t="str">
        <f>"1552377974535264"</f>
        <v>1552377974535264</v>
      </c>
      <c r="C644" t="s">
        <v>40</v>
      </c>
      <c r="D644">
        <v>6.2480820000000001</v>
      </c>
      <c r="E644">
        <v>0.49825609999999998</v>
      </c>
      <c r="F644" t="s">
        <v>45</v>
      </c>
      <c r="G644">
        <v>-295.55180000000001</v>
      </c>
      <c r="H644">
        <v>-0.05</v>
      </c>
      <c r="I644">
        <v>368.59589999999997</v>
      </c>
      <c r="J644">
        <v>-317.2826</v>
      </c>
      <c r="K644">
        <v>1.0927169999999999</v>
      </c>
      <c r="L644">
        <v>368.33890000000002</v>
      </c>
      <c r="M644">
        <v>0.99967660000000003</v>
      </c>
      <c r="N644">
        <v>0</v>
      </c>
      <c r="O644">
        <v>-9.0039249999999994E-3</v>
      </c>
      <c r="P644">
        <v>0.99925609999999998</v>
      </c>
      <c r="Q644">
        <v>3.7469219999999998E-2</v>
      </c>
      <c r="R644">
        <v>9.1316509999999993E-3</v>
      </c>
      <c r="S644">
        <v>3.00766</v>
      </c>
      <c r="T644">
        <v>-0.1568455</v>
      </c>
      <c r="U644">
        <v>3.4912110000000003E-2</v>
      </c>
      <c r="V644">
        <v>-1.8067030000000001E-2</v>
      </c>
      <c r="W644">
        <v>6.1238880000000002E-2</v>
      </c>
      <c r="X644">
        <v>0.99795959999999995</v>
      </c>
      <c r="Y644">
        <v>-2.0572159999999999E-2</v>
      </c>
      <c r="Z644">
        <v>1.005365E-3</v>
      </c>
      <c r="AA644">
        <v>0.99978789999999995</v>
      </c>
      <c r="AB644">
        <v>28</v>
      </c>
      <c r="AC644">
        <v>21.730799999999899</v>
      </c>
      <c r="AD644">
        <v>-1.142717</v>
      </c>
      <c r="AE644">
        <v>0.25699999999994799</v>
      </c>
      <c r="AF644">
        <v>-0.451459230207994</v>
      </c>
      <c r="AG644">
        <v>-1.142717</v>
      </c>
      <c r="AH644">
        <v>21.667696901426499</v>
      </c>
      <c r="AI644">
        <v>93.018230070388498</v>
      </c>
      <c r="AJ644">
        <v>91.193618615998204</v>
      </c>
      <c r="AK644">
        <v>21.7025046156133</v>
      </c>
      <c r="AL644">
        <v>86.489073818547894</v>
      </c>
      <c r="AM644">
        <v>91.037167733606907</v>
      </c>
      <c r="AN644">
        <v>0.99999999061441702</v>
      </c>
    </row>
    <row r="645" spans="1:40" x14ac:dyDescent="0.25">
      <c r="A645" t="str">
        <f>"20190312160614557"</f>
        <v>20190312160614557</v>
      </c>
      <c r="B645" t="str">
        <f>"1552377974546000"</f>
        <v>1552377974546000</v>
      </c>
      <c r="C645" t="s">
        <v>40</v>
      </c>
      <c r="D645">
        <v>6.0295860000000001</v>
      </c>
      <c r="E645">
        <v>0.49818180000000001</v>
      </c>
      <c r="F645" t="s">
        <v>45</v>
      </c>
      <c r="G645">
        <v>-295.4203</v>
      </c>
      <c r="H645">
        <v>-0.05</v>
      </c>
      <c r="I645">
        <v>368.60359999999997</v>
      </c>
      <c r="J645">
        <v>-317.12540000000001</v>
      </c>
      <c r="K645">
        <v>1.0913900000000001</v>
      </c>
      <c r="L645">
        <v>368.33730000000003</v>
      </c>
      <c r="M645">
        <v>0.99967550000000005</v>
      </c>
      <c r="N645">
        <v>0</v>
      </c>
      <c r="O645">
        <v>-9.2284740000000004E-3</v>
      </c>
      <c r="P645">
        <v>0.99924299999999999</v>
      </c>
      <c r="Q645">
        <v>3.7863199999999902E-2</v>
      </c>
      <c r="R645">
        <v>8.9384619999999994E-3</v>
      </c>
      <c r="S645">
        <v>3.0077509999999998</v>
      </c>
      <c r="T645">
        <v>-0.15721189999999999</v>
      </c>
      <c r="U645">
        <v>3.6407469999999997E-2</v>
      </c>
      <c r="V645">
        <v>-1.809757E-2</v>
      </c>
      <c r="W645">
        <v>6.1593460000000003E-2</v>
      </c>
      <c r="X645">
        <v>0.99793730000000003</v>
      </c>
      <c r="Y645">
        <v>-2.1291879999999999E-2</v>
      </c>
      <c r="Z645">
        <v>1.0382049999999999E-3</v>
      </c>
      <c r="AA645">
        <v>0.99977280000000002</v>
      </c>
      <c r="AB645">
        <v>28</v>
      </c>
      <c r="AC645">
        <v>21.705100000000002</v>
      </c>
      <c r="AD645">
        <v>-1.1413899999999999</v>
      </c>
      <c r="AE645">
        <v>0.26629999999994403</v>
      </c>
      <c r="AF645">
        <v>-0.46536340499977902</v>
      </c>
      <c r="AG645">
        <v>-1.1413899999999999</v>
      </c>
      <c r="AH645">
        <v>21.6418793714119</v>
      </c>
      <c r="AI645">
        <v>93.018278783851699</v>
      </c>
      <c r="AJ645">
        <v>91.231836211481294</v>
      </c>
      <c r="AK645">
        <v>21.6769526676966</v>
      </c>
      <c r="AL645">
        <v>86.468719721634201</v>
      </c>
      <c r="AM645">
        <v>91.038943759595298</v>
      </c>
      <c r="AN645">
        <v>1.0000000655429799</v>
      </c>
    </row>
    <row r="646" spans="1:40" x14ac:dyDescent="0.25">
      <c r="A646" t="str">
        <f>"20190312160614569"</f>
        <v>20190312160614569</v>
      </c>
      <c r="B646" t="str">
        <f>"1552377974555759"</f>
        <v>1552377974555759</v>
      </c>
      <c r="C646" t="s">
        <v>40</v>
      </c>
      <c r="D646">
        <v>6.0849970000000004</v>
      </c>
      <c r="E646">
        <v>0.49811800000000001</v>
      </c>
      <c r="F646" t="s">
        <v>45</v>
      </c>
      <c r="G646">
        <v>-295.37819999999999</v>
      </c>
      <c r="H646">
        <v>-0.05</v>
      </c>
      <c r="I646">
        <v>368.59960000000001</v>
      </c>
      <c r="J646">
        <v>-316.96769999999998</v>
      </c>
      <c r="K646">
        <v>1.0900080000000001</v>
      </c>
      <c r="L646">
        <v>368.33550000000002</v>
      </c>
      <c r="M646">
        <v>0.99967709999999999</v>
      </c>
      <c r="N646">
        <v>0</v>
      </c>
      <c r="O646">
        <v>-9.4463719999999998E-3</v>
      </c>
      <c r="P646">
        <v>0.9992434</v>
      </c>
      <c r="Q646">
        <v>3.7897090000000001E-2</v>
      </c>
      <c r="R646">
        <v>8.7535579999999998E-3</v>
      </c>
      <c r="S646">
        <v>3.007965</v>
      </c>
      <c r="T646">
        <v>-0.15787119999999999</v>
      </c>
      <c r="U646">
        <v>3.6285400000000002E-2</v>
      </c>
      <c r="V646">
        <v>-1.8131009999999999E-2</v>
      </c>
      <c r="W646">
        <v>6.1481130000000002E-2</v>
      </c>
      <c r="X646">
        <v>0.99794360000000004</v>
      </c>
      <c r="Y646">
        <v>-2.1467460000000001E-2</v>
      </c>
      <c r="Z646">
        <v>1.0585130000000001E-3</v>
      </c>
      <c r="AA646">
        <v>0.99976900000000002</v>
      </c>
      <c r="AB646">
        <v>28</v>
      </c>
      <c r="AC646">
        <v>21.589499999999902</v>
      </c>
      <c r="AD646">
        <v>-1.1400079999999999</v>
      </c>
      <c r="AE646">
        <v>0.26409999999998401</v>
      </c>
      <c r="AF646">
        <v>-0.46678610652187003</v>
      </c>
      <c r="AG646">
        <v>-1.1400079999999999</v>
      </c>
      <c r="AH646">
        <v>21.526029879581898</v>
      </c>
      <c r="AI646">
        <v>93.030813183812796</v>
      </c>
      <c r="AJ646">
        <v>91.2422487153068</v>
      </c>
      <c r="AK646">
        <v>21.561249265428899</v>
      </c>
      <c r="AL646">
        <v>86.475167907369496</v>
      </c>
      <c r="AM646">
        <v>91.040856488818903</v>
      </c>
      <c r="AN646">
        <v>1.00000004582532</v>
      </c>
    </row>
    <row r="647" spans="1:40" x14ac:dyDescent="0.25">
      <c r="A647" t="str">
        <f>"20190312160614588"</f>
        <v>20190312160614588</v>
      </c>
      <c r="B647" t="str">
        <f>"1552377974576254"</f>
        <v>1552377974576254</v>
      </c>
      <c r="C647" t="s">
        <v>40</v>
      </c>
      <c r="D647">
        <v>6.2408080000000004</v>
      </c>
      <c r="E647">
        <v>0.49803960000000003</v>
      </c>
      <c r="F647" t="s">
        <v>45</v>
      </c>
      <c r="G647">
        <v>-295.38810000000001</v>
      </c>
      <c r="H647">
        <v>-0.05</v>
      </c>
      <c r="I647">
        <v>368.5976</v>
      </c>
      <c r="J647">
        <v>-316.7364</v>
      </c>
      <c r="K647">
        <v>1.0879219999999901</v>
      </c>
      <c r="L647">
        <v>368.33300000000003</v>
      </c>
      <c r="M647">
        <v>0.99968089999999998</v>
      </c>
      <c r="N647">
        <v>0</v>
      </c>
      <c r="O647">
        <v>-9.7257860000000002E-3</v>
      </c>
      <c r="P647">
        <v>0.99920059999999999</v>
      </c>
      <c r="Q647">
        <v>3.9016429999999998E-2</v>
      </c>
      <c r="R647">
        <v>8.7383019999999999E-3</v>
      </c>
      <c r="S647">
        <v>3.0079349999999998</v>
      </c>
      <c r="T647">
        <v>-0.15890370000000001</v>
      </c>
      <c r="U647">
        <v>3.6529539999999999E-2</v>
      </c>
      <c r="V647">
        <v>-1.839557E-2</v>
      </c>
      <c r="W647">
        <v>6.2320670000000002E-2</v>
      </c>
      <c r="X647">
        <v>0.99788670000000002</v>
      </c>
      <c r="Y647">
        <v>-2.1826640000000001E-2</v>
      </c>
      <c r="Z647">
        <v>1.089668E-3</v>
      </c>
      <c r="AA647">
        <v>0.99976120000000002</v>
      </c>
      <c r="AB647">
        <v>28</v>
      </c>
      <c r="AC647">
        <v>21.348299999999899</v>
      </c>
      <c r="AD647">
        <v>-1.1379220000000001</v>
      </c>
      <c r="AE647">
        <v>0.26459999999997302</v>
      </c>
      <c r="AF647">
        <v>-0.47093511790128201</v>
      </c>
      <c r="AG647">
        <v>-1.1379220000000001</v>
      </c>
      <c r="AH647">
        <v>21.2842525520891</v>
      </c>
      <c r="AI647">
        <v>93.059548727584499</v>
      </c>
      <c r="AJ647">
        <v>91.267518918661594</v>
      </c>
      <c r="AK647">
        <v>21.319851150148001</v>
      </c>
      <c r="AL647">
        <v>86.426973453515203</v>
      </c>
      <c r="AM647">
        <v>91.056101012402294</v>
      </c>
      <c r="AN647">
        <v>1.00000006447087</v>
      </c>
    </row>
    <row r="648" spans="1:40" x14ac:dyDescent="0.25">
      <c r="A648" t="str">
        <f>"20190312160614599"</f>
        <v>20190312160614599</v>
      </c>
      <c r="B648" t="str">
        <f>"1552377974595776"</f>
        <v>1552377974595776</v>
      </c>
      <c r="C648" t="s">
        <v>40</v>
      </c>
      <c r="D648">
        <v>6.0683720000000001</v>
      </c>
      <c r="E648">
        <v>0.49789319999999998</v>
      </c>
      <c r="F648" t="s">
        <v>45</v>
      </c>
      <c r="G648">
        <v>-294.8202</v>
      </c>
      <c r="H648">
        <v>-0.05</v>
      </c>
      <c r="I648">
        <v>368.60109999999997</v>
      </c>
      <c r="J648">
        <v>-316.59589999999997</v>
      </c>
      <c r="K648">
        <v>1.0866389999999999</v>
      </c>
      <c r="L648">
        <v>368.33150000000001</v>
      </c>
      <c r="M648">
        <v>0.99968389999999996</v>
      </c>
      <c r="N648">
        <v>0</v>
      </c>
      <c r="O648">
        <v>-9.8825890000000007E-3</v>
      </c>
      <c r="P648">
        <v>0.99917129999999998</v>
      </c>
      <c r="Q648">
        <v>3.9733879999999999E-2</v>
      </c>
      <c r="R648">
        <v>8.8404650000000005E-3</v>
      </c>
      <c r="S648">
        <v>3.0081790000000002</v>
      </c>
      <c r="T648">
        <v>-0.15618940000000001</v>
      </c>
      <c r="U648">
        <v>3.6804200000000002E-2</v>
      </c>
      <c r="V648">
        <v>-1.865524E-2</v>
      </c>
      <c r="W648">
        <v>6.2840820000000006E-2</v>
      </c>
      <c r="X648">
        <v>0.99784919999999999</v>
      </c>
      <c r="Y648">
        <v>-2.2074650000000001E-2</v>
      </c>
      <c r="Z648">
        <v>1.085562E-3</v>
      </c>
      <c r="AA648">
        <v>0.99975570000000002</v>
      </c>
      <c r="AB648">
        <v>28</v>
      </c>
      <c r="AC648">
        <v>21.775699999999901</v>
      </c>
      <c r="AD648">
        <v>-1.136639</v>
      </c>
      <c r="AE648">
        <v>0.26959999999996798</v>
      </c>
      <c r="AF648">
        <v>-0.48352743769805701</v>
      </c>
      <c r="AG648">
        <v>-1.136639</v>
      </c>
      <c r="AH648">
        <v>21.712821550309702</v>
      </c>
      <c r="AI648">
        <v>92.995885537125403</v>
      </c>
      <c r="AJ648">
        <v>91.275721034578496</v>
      </c>
      <c r="AK648">
        <v>21.7479278708322</v>
      </c>
      <c r="AL648">
        <v>86.397112315209696</v>
      </c>
      <c r="AM648">
        <v>91.071045618805201</v>
      </c>
      <c r="AN648">
        <v>1.0000000062891801</v>
      </c>
    </row>
    <row r="649" spans="1:40" x14ac:dyDescent="0.25">
      <c r="A649" t="str">
        <f>"20190312160614611"</f>
        <v>20190312160614611</v>
      </c>
      <c r="B649" t="str">
        <f>"1552377974605535"</f>
        <v>1552377974605535</v>
      </c>
      <c r="C649" t="s">
        <v>40</v>
      </c>
      <c r="D649">
        <v>6.0977360000000003</v>
      </c>
      <c r="E649">
        <v>0.49778889999999998</v>
      </c>
      <c r="F649" t="s">
        <v>45</v>
      </c>
      <c r="G649">
        <v>-294.5795</v>
      </c>
      <c r="H649">
        <v>-0.05</v>
      </c>
      <c r="I649">
        <v>368.6146</v>
      </c>
      <c r="J649">
        <v>-316.4504</v>
      </c>
      <c r="K649">
        <v>1.0852930000000001</v>
      </c>
      <c r="L649">
        <v>368.32979999999998</v>
      </c>
      <c r="M649">
        <v>0.9996874</v>
      </c>
      <c r="N649">
        <v>0</v>
      </c>
      <c r="O649">
        <v>-1.003922E-2</v>
      </c>
      <c r="P649">
        <v>0.99914700000000001</v>
      </c>
      <c r="Q649">
        <v>4.027915E-2</v>
      </c>
      <c r="R649">
        <v>9.1222100000000004E-3</v>
      </c>
      <c r="S649">
        <v>3.0083009999999999</v>
      </c>
      <c r="T649">
        <v>-0.15530920000000001</v>
      </c>
      <c r="U649">
        <v>3.8696290000000001E-2</v>
      </c>
      <c r="V649">
        <v>-1.9094980000000001E-2</v>
      </c>
      <c r="W649">
        <v>6.3163469999999999E-2</v>
      </c>
      <c r="X649">
        <v>0.9978205</v>
      </c>
      <c r="Y649">
        <v>-2.2858670000000001E-2</v>
      </c>
      <c r="Z649">
        <v>1.1077089999999999E-3</v>
      </c>
      <c r="AA649">
        <v>0.99973809999999996</v>
      </c>
      <c r="AB649">
        <v>28</v>
      </c>
      <c r="AC649">
        <v>21.870899999999999</v>
      </c>
      <c r="AD649">
        <v>-1.1352930000000001</v>
      </c>
      <c r="AE649">
        <v>0.28480000000001798</v>
      </c>
      <c r="AF649">
        <v>-0.50305473578162396</v>
      </c>
      <c r="AG649">
        <v>-1.1352930000000001</v>
      </c>
      <c r="AH649">
        <v>21.808184545742201</v>
      </c>
      <c r="AI649">
        <v>92.979229191005004</v>
      </c>
      <c r="AJ649">
        <v>91.321421441229106</v>
      </c>
      <c r="AK649">
        <v>21.843508588232599</v>
      </c>
      <c r="AL649">
        <v>86.378588996934596</v>
      </c>
      <c r="AM649">
        <v>91.096317664417498</v>
      </c>
      <c r="AN649">
        <v>0.99999999621194502</v>
      </c>
    </row>
    <row r="650" spans="1:40" x14ac:dyDescent="0.25">
      <c r="A650" t="str">
        <f>"20190312160614623"</f>
        <v>20190312160614623</v>
      </c>
      <c r="B650" t="str">
        <f>"1552377974615296"</f>
        <v>1552377974615296</v>
      </c>
      <c r="C650" t="s">
        <v>40</v>
      </c>
      <c r="D650">
        <v>6.3172779999999999</v>
      </c>
      <c r="E650">
        <v>0.49770599999999998</v>
      </c>
      <c r="F650" t="s">
        <v>45</v>
      </c>
      <c r="G650">
        <v>-294.38170000000002</v>
      </c>
      <c r="H650">
        <v>-0.05</v>
      </c>
      <c r="I650">
        <v>368.62569999999999</v>
      </c>
      <c r="J650">
        <v>-316.29950000000002</v>
      </c>
      <c r="K650">
        <v>1.083906</v>
      </c>
      <c r="L650">
        <v>368.32799999999997</v>
      </c>
      <c r="M650">
        <v>0.99969209999999997</v>
      </c>
      <c r="N650">
        <v>0</v>
      </c>
      <c r="O650">
        <v>-1.0202599999999999E-2</v>
      </c>
      <c r="P650">
        <v>0.99912069999999997</v>
      </c>
      <c r="Q650">
        <v>4.0936840000000002E-2</v>
      </c>
      <c r="R650">
        <v>9.0716949999999994E-3</v>
      </c>
      <c r="S650">
        <v>3.0083920000000002</v>
      </c>
      <c r="T650">
        <v>-0.1547626</v>
      </c>
      <c r="U650">
        <v>4.0344240000000003E-2</v>
      </c>
      <c r="V650">
        <v>-1.9210129999999999E-2</v>
      </c>
      <c r="W650">
        <v>6.3546080000000005E-2</v>
      </c>
      <c r="X650">
        <v>0.99779399999999996</v>
      </c>
      <c r="Y650">
        <v>-2.35683E-2</v>
      </c>
      <c r="Z650">
        <v>1.130416E-3</v>
      </c>
      <c r="AA650">
        <v>0.99972159999999999</v>
      </c>
      <c r="AB650">
        <v>28</v>
      </c>
      <c r="AC650">
        <v>21.9178</v>
      </c>
      <c r="AD650">
        <v>-1.1339059999999901</v>
      </c>
      <c r="AE650">
        <v>0.29769999999996299</v>
      </c>
      <c r="AF650">
        <v>-0.51996885132801396</v>
      </c>
      <c r="AG650">
        <v>-1.1339059999999901</v>
      </c>
      <c r="AH650">
        <v>21.855137015927902</v>
      </c>
      <c r="AI650">
        <v>92.969164536900706</v>
      </c>
      <c r="AJ650">
        <v>91.3629016089657</v>
      </c>
      <c r="AK650">
        <v>21.890708631932601</v>
      </c>
      <c r="AL650">
        <v>86.356622943669507</v>
      </c>
      <c r="AM650">
        <v>91.102956534139693</v>
      </c>
      <c r="AN650">
        <v>0.99999999990699096</v>
      </c>
    </row>
    <row r="651" spans="1:40" x14ac:dyDescent="0.25">
      <c r="A651" t="str">
        <f>"20190312160614634"</f>
        <v>20190312160614634</v>
      </c>
      <c r="B651" t="str">
        <f>"1552377974626031"</f>
        <v>1552377974626031</v>
      </c>
      <c r="C651" t="s">
        <v>40</v>
      </c>
      <c r="D651">
        <v>6.307194</v>
      </c>
      <c r="E651">
        <v>0.49762499999999998</v>
      </c>
      <c r="F651" t="s">
        <v>45</v>
      </c>
      <c r="G651">
        <v>-294.14690000000002</v>
      </c>
      <c r="H651">
        <v>-0.05</v>
      </c>
      <c r="I651">
        <v>368.62729999999999</v>
      </c>
      <c r="J651">
        <v>-316.16090000000003</v>
      </c>
      <c r="K651">
        <v>1.082633</v>
      </c>
      <c r="L651">
        <v>368.32650000000001</v>
      </c>
      <c r="M651">
        <v>0.99969640000000004</v>
      </c>
      <c r="N651">
        <v>0</v>
      </c>
      <c r="O651">
        <v>-1.0352780000000001E-2</v>
      </c>
      <c r="P651">
        <v>0.99909979999999998</v>
      </c>
      <c r="Q651">
        <v>4.1387439999999998E-2</v>
      </c>
      <c r="R651">
        <v>9.3171139999999996E-3</v>
      </c>
      <c r="S651">
        <v>3.008575</v>
      </c>
      <c r="T651">
        <v>-0.1539971</v>
      </c>
      <c r="U651">
        <v>4.0649409999999997E-2</v>
      </c>
      <c r="V651">
        <v>-1.96086E-2</v>
      </c>
      <c r="W651">
        <v>6.3730720000000005E-2</v>
      </c>
      <c r="X651">
        <v>0.99777450000000001</v>
      </c>
      <c r="Y651">
        <v>-2.381892E-2</v>
      </c>
      <c r="Z651">
        <v>1.138853E-3</v>
      </c>
      <c r="AA651">
        <v>0.99971560000000004</v>
      </c>
      <c r="AB651">
        <v>28</v>
      </c>
      <c r="AC651">
        <v>22.013999999999999</v>
      </c>
      <c r="AD651">
        <v>-1.132633</v>
      </c>
      <c r="AE651">
        <v>0.30079999999998103</v>
      </c>
      <c r="AF651">
        <v>-0.52735123671481798</v>
      </c>
      <c r="AG651">
        <v>-1.132633</v>
      </c>
      <c r="AH651">
        <v>21.951606145202401</v>
      </c>
      <c r="AI651">
        <v>92.952810151790899</v>
      </c>
      <c r="AJ651">
        <v>91.376172177123095</v>
      </c>
      <c r="AK651">
        <v>21.987131900128301</v>
      </c>
      <c r="AL651">
        <v>86.3460224642307</v>
      </c>
      <c r="AM651">
        <v>91.125851001091405</v>
      </c>
      <c r="AN651">
        <v>1.0000000273579599</v>
      </c>
    </row>
    <row r="652" spans="1:40" x14ac:dyDescent="0.25">
      <c r="A652" t="str">
        <f>"20190312160614657"</f>
        <v>20190312160614657</v>
      </c>
      <c r="B652" t="str">
        <f>"1552377974645551"</f>
        <v>1552377974645551</v>
      </c>
      <c r="C652" t="s">
        <v>40</v>
      </c>
      <c r="D652">
        <v>6.1098379999999999</v>
      </c>
      <c r="E652">
        <v>0.49744650000000001</v>
      </c>
      <c r="F652" t="s">
        <v>45</v>
      </c>
      <c r="G652">
        <v>-293.81970000000001</v>
      </c>
      <c r="H652">
        <v>-0.05</v>
      </c>
      <c r="I652">
        <v>368.63900000000001</v>
      </c>
      <c r="J652">
        <v>-315.88069999999999</v>
      </c>
      <c r="K652">
        <v>1.0801069999999999</v>
      </c>
      <c r="L652">
        <v>368.32330000000002</v>
      </c>
      <c r="M652">
        <v>0.99970820000000005</v>
      </c>
      <c r="N652">
        <v>0</v>
      </c>
      <c r="O652">
        <v>-1.0649550000000001E-2</v>
      </c>
      <c r="P652">
        <v>0.99906680000000003</v>
      </c>
      <c r="Q652">
        <v>4.2108420000000001E-2</v>
      </c>
      <c r="R652">
        <v>9.6112420000000007E-3</v>
      </c>
      <c r="S652">
        <v>3.0086360000000001</v>
      </c>
      <c r="T652">
        <v>-0.15252879999999999</v>
      </c>
      <c r="U652">
        <v>4.2083740000000001E-2</v>
      </c>
      <c r="V652">
        <v>-2.020659E-2</v>
      </c>
      <c r="W652">
        <v>6.3772120000000002E-2</v>
      </c>
      <c r="X652">
        <v>0.99775990000000003</v>
      </c>
      <c r="Y652">
        <v>-2.459124E-2</v>
      </c>
      <c r="Z652">
        <v>1.1625769999999999E-3</v>
      </c>
      <c r="AA652">
        <v>0.9996969</v>
      </c>
      <c r="AB652">
        <v>28</v>
      </c>
      <c r="AC652">
        <v>22.0609999999999</v>
      </c>
      <c r="AD652">
        <v>-1.130107</v>
      </c>
      <c r="AE652">
        <v>0.31569999999999199</v>
      </c>
      <c r="AF652">
        <v>-0.54923607065769897</v>
      </c>
      <c r="AG652">
        <v>-1.130107</v>
      </c>
      <c r="AH652">
        <v>21.9986695210264</v>
      </c>
      <c r="AI652">
        <v>92.939876594145503</v>
      </c>
      <c r="AJ652">
        <v>91.430194339949907</v>
      </c>
      <c r="AK652">
        <v>22.034524337686399</v>
      </c>
      <c r="AL652">
        <v>86.343645497773295</v>
      </c>
      <c r="AM652">
        <v>91.160193031850596</v>
      </c>
      <c r="AN652">
        <v>1.0000000038083601</v>
      </c>
    </row>
    <row r="653" spans="1:40" x14ac:dyDescent="0.25">
      <c r="A653" t="str">
        <f>"20190312160614668"</f>
        <v>20190312160614668</v>
      </c>
      <c r="B653" t="str">
        <f>"1552377974666047"</f>
        <v>1552377974666047</v>
      </c>
      <c r="C653" t="s">
        <v>40</v>
      </c>
      <c r="D653">
        <v>6.1179880000000004</v>
      </c>
      <c r="E653">
        <v>0.49717830000000002</v>
      </c>
      <c r="F653" t="s">
        <v>45</v>
      </c>
      <c r="G653">
        <v>-293.62670000000003</v>
      </c>
      <c r="H653">
        <v>-0.05</v>
      </c>
      <c r="I653">
        <v>368.65170000000001</v>
      </c>
      <c r="J653">
        <v>-315.7183</v>
      </c>
      <c r="K653">
        <v>1.078692</v>
      </c>
      <c r="L653">
        <v>368.32139999999998</v>
      </c>
      <c r="M653">
        <v>0.99971600000000005</v>
      </c>
      <c r="N653">
        <v>0</v>
      </c>
      <c r="O653">
        <v>-1.080832E-2</v>
      </c>
      <c r="P653">
        <v>0.99905010000000005</v>
      </c>
      <c r="Q653">
        <v>4.2442819999999999E-2</v>
      </c>
      <c r="R653">
        <v>9.8897829999999992E-3</v>
      </c>
      <c r="S653">
        <v>3.0088499999999998</v>
      </c>
      <c r="T653">
        <v>-0.1527963</v>
      </c>
      <c r="U653">
        <v>4.4403079999999998E-2</v>
      </c>
      <c r="V653">
        <v>-2.06473E-2</v>
      </c>
      <c r="W653">
        <v>6.3662670000000005E-2</v>
      </c>
      <c r="X653">
        <v>0.99775789999999998</v>
      </c>
      <c r="Y653">
        <v>-2.55178E-2</v>
      </c>
      <c r="Z653">
        <v>1.1960880000000001E-3</v>
      </c>
      <c r="AA653">
        <v>0.9996737</v>
      </c>
      <c r="AB653">
        <v>28</v>
      </c>
      <c r="AC653">
        <v>22.0915999999999</v>
      </c>
      <c r="AD653">
        <v>-1.128692</v>
      </c>
      <c r="AE653">
        <v>0.33030000000002202</v>
      </c>
      <c r="AF653">
        <v>-0.56762628883910504</v>
      </c>
      <c r="AG653">
        <v>-1.128692</v>
      </c>
      <c r="AH653">
        <v>22.0292473144886</v>
      </c>
      <c r="AI653">
        <v>92.932074174988699</v>
      </c>
      <c r="AJ653">
        <v>91.476010299494206</v>
      </c>
      <c r="AK653">
        <v>22.065445440270398</v>
      </c>
      <c r="AL653">
        <v>86.349929410110903</v>
      </c>
      <c r="AM653">
        <v>91.185492318580899</v>
      </c>
      <c r="AN653">
        <v>1.0000000367806099</v>
      </c>
    </row>
    <row r="654" spans="1:40" x14ac:dyDescent="0.25">
      <c r="A654" t="str">
        <f>"20190312160614682"</f>
        <v>20190312160614682</v>
      </c>
      <c r="B654" t="str">
        <f>"1552377974675807"</f>
        <v>1552377974675807</v>
      </c>
      <c r="C654" t="s">
        <v>40</v>
      </c>
      <c r="D654">
        <v>6.1081469999999998</v>
      </c>
      <c r="E654">
        <v>0.49707119999999999</v>
      </c>
      <c r="F654" t="s">
        <v>45</v>
      </c>
      <c r="G654">
        <v>-293.30119999999999</v>
      </c>
      <c r="H654">
        <v>-0.05</v>
      </c>
      <c r="I654">
        <v>368.67469999999997</v>
      </c>
      <c r="J654">
        <v>-315.55489999999998</v>
      </c>
      <c r="K654">
        <v>1.0773200000000001</v>
      </c>
      <c r="L654">
        <v>368.31950000000001</v>
      </c>
      <c r="M654">
        <v>0.99972439999999996</v>
      </c>
      <c r="N654">
        <v>0</v>
      </c>
      <c r="O654">
        <v>-1.095398E-2</v>
      </c>
      <c r="P654">
        <v>0.99902769999999996</v>
      </c>
      <c r="Q654">
        <v>4.2895200000000001E-2</v>
      </c>
      <c r="R654">
        <v>1.019455E-2</v>
      </c>
      <c r="S654">
        <v>3.0088499999999998</v>
      </c>
      <c r="T654">
        <v>-0.1514943</v>
      </c>
      <c r="U654">
        <v>4.7424319999999999E-2</v>
      </c>
      <c r="V654">
        <v>-2.1100250000000001E-2</v>
      </c>
      <c r="W654">
        <v>6.3650780000000004E-2</v>
      </c>
      <c r="X654">
        <v>0.99774910000000006</v>
      </c>
      <c r="Y654">
        <v>-2.6666039999999998E-2</v>
      </c>
      <c r="Z654">
        <v>1.2221129999999999E-3</v>
      </c>
      <c r="AA654">
        <v>0.99964359999999997</v>
      </c>
      <c r="AB654">
        <v>28</v>
      </c>
      <c r="AC654">
        <v>22.253699999999899</v>
      </c>
      <c r="AD654">
        <v>-1.1273200000000001</v>
      </c>
      <c r="AE654">
        <v>0.35519999999996799</v>
      </c>
      <c r="AF654">
        <v>-0.59746500749839504</v>
      </c>
      <c r="AG654">
        <v>-1.1273200000000001</v>
      </c>
      <c r="AH654">
        <v>22.191539231038998</v>
      </c>
      <c r="AI654">
        <v>92.907047868005193</v>
      </c>
      <c r="AJ654">
        <v>91.542207390959106</v>
      </c>
      <c r="AK654">
        <v>22.2281854468674</v>
      </c>
      <c r="AL654">
        <v>86.350611740508498</v>
      </c>
      <c r="AM654">
        <v>91.211502062330098</v>
      </c>
      <c r="AN654">
        <v>0.99999995444773904</v>
      </c>
    </row>
    <row r="655" spans="1:40" x14ac:dyDescent="0.25">
      <c r="A655" t="str">
        <f>"20190312160614701"</f>
        <v>20190312160614701</v>
      </c>
      <c r="B655" t="str">
        <f>"1552377974695328"</f>
        <v>1552377974695328</v>
      </c>
      <c r="C655" t="s">
        <v>40</v>
      </c>
      <c r="D655">
        <v>6.1704150000000002</v>
      </c>
      <c r="E655">
        <v>0.49683909999999998</v>
      </c>
      <c r="F655" t="s">
        <v>45</v>
      </c>
      <c r="G655">
        <v>-293.07709999999997</v>
      </c>
      <c r="H655">
        <v>-0.05</v>
      </c>
      <c r="I655">
        <v>368.68720000000002</v>
      </c>
      <c r="J655">
        <v>-315.31939999999997</v>
      </c>
      <c r="K655">
        <v>1.075434</v>
      </c>
      <c r="L655">
        <v>368.31670000000003</v>
      </c>
      <c r="M655">
        <v>0.99973619999999996</v>
      </c>
      <c r="N655">
        <v>0</v>
      </c>
      <c r="O655">
        <v>-1.114032E-2</v>
      </c>
      <c r="P655">
        <v>0.99898609999999999</v>
      </c>
      <c r="Q655">
        <v>4.3708480000000001E-2</v>
      </c>
      <c r="R655">
        <v>1.0801730000000001E-2</v>
      </c>
      <c r="S655">
        <v>3.0089419999999998</v>
      </c>
      <c r="T655">
        <v>-0.1509057</v>
      </c>
      <c r="U655">
        <v>4.9224850000000001E-2</v>
      </c>
      <c r="V655">
        <v>-2.1896019999999999E-2</v>
      </c>
      <c r="W655">
        <v>6.3775460000000006E-2</v>
      </c>
      <c r="X655">
        <v>0.9977241</v>
      </c>
      <c r="Y655">
        <v>-2.744891E-2</v>
      </c>
      <c r="Z655">
        <v>1.2462790000000001E-3</v>
      </c>
      <c r="AA655">
        <v>0.99962240000000002</v>
      </c>
      <c r="AB655">
        <v>28</v>
      </c>
      <c r="AC655">
        <v>22.2423</v>
      </c>
      <c r="AD655">
        <v>-1.125434</v>
      </c>
      <c r="AE655">
        <v>0.370499999999992</v>
      </c>
      <c r="AF655">
        <v>-0.61673478429056905</v>
      </c>
      <c r="AG655">
        <v>-1.125434</v>
      </c>
      <c r="AH655">
        <v>22.180020446298499</v>
      </c>
      <c r="AI655">
        <v>92.903627366263294</v>
      </c>
      <c r="AJ655">
        <v>91.592748644184297</v>
      </c>
      <c r="AK655">
        <v>22.2171166104139</v>
      </c>
      <c r="AL655">
        <v>86.343453953894695</v>
      </c>
      <c r="AM655">
        <v>91.257209467677896</v>
      </c>
      <c r="AN655">
        <v>1.0000000623554199</v>
      </c>
    </row>
    <row r="656" spans="1:40" x14ac:dyDescent="0.25">
      <c r="A656" t="str">
        <f>"20190312160614711"</f>
        <v>20190312160614711</v>
      </c>
      <c r="B656" t="str">
        <f>"1552377974706063"</f>
        <v>1552377974706063</v>
      </c>
      <c r="C656" t="s">
        <v>40</v>
      </c>
      <c r="D656">
        <v>6.1207570000000002</v>
      </c>
      <c r="E656">
        <v>0.49667329999999998</v>
      </c>
      <c r="F656" t="s">
        <v>45</v>
      </c>
      <c r="G656">
        <v>-292.50670000000002</v>
      </c>
      <c r="H656">
        <v>-0.05</v>
      </c>
      <c r="I656">
        <v>368.71440000000001</v>
      </c>
      <c r="J656">
        <v>-315.17610000000002</v>
      </c>
      <c r="K656">
        <v>1.0743290000000001</v>
      </c>
      <c r="L656">
        <v>368.315</v>
      </c>
      <c r="M656">
        <v>0.99974350000000001</v>
      </c>
      <c r="N656">
        <v>0</v>
      </c>
      <c r="O656">
        <v>-1.124197E-2</v>
      </c>
      <c r="P656">
        <v>0.99896249999999998</v>
      </c>
      <c r="Q656">
        <v>4.4224960000000001E-2</v>
      </c>
      <c r="R656">
        <v>1.0871850000000001E-2</v>
      </c>
      <c r="S656">
        <v>3.008972</v>
      </c>
      <c r="T656">
        <v>-0.14844379999999999</v>
      </c>
      <c r="U656">
        <v>5.2459720000000001E-2</v>
      </c>
      <c r="V656">
        <v>-2.2068580000000001E-2</v>
      </c>
      <c r="W656">
        <v>6.3867759999999996E-2</v>
      </c>
      <c r="X656">
        <v>0.99771430000000005</v>
      </c>
      <c r="Y656">
        <v>-2.862464E-2</v>
      </c>
      <c r="Z656">
        <v>1.2599390000000001E-3</v>
      </c>
      <c r="AA656">
        <v>0.99958939999999996</v>
      </c>
      <c r="AB656">
        <v>28</v>
      </c>
      <c r="AC656">
        <v>22.6694</v>
      </c>
      <c r="AD656">
        <v>-1.1243289999999999</v>
      </c>
      <c r="AE656">
        <v>0.39940000000001402</v>
      </c>
      <c r="AF656">
        <v>-0.65266777637085105</v>
      </c>
      <c r="AG656">
        <v>-1.1243289999999999</v>
      </c>
      <c r="AH656">
        <v>22.607881485903899</v>
      </c>
      <c r="AI656">
        <v>92.8458887523078</v>
      </c>
      <c r="AJ656">
        <v>91.653614718312696</v>
      </c>
      <c r="AK656">
        <v>22.645228994364999</v>
      </c>
      <c r="AL656">
        <v>86.338154407018607</v>
      </c>
      <c r="AM656">
        <v>91.267126614508697</v>
      </c>
      <c r="AN656">
        <v>0.99999996870756103</v>
      </c>
    </row>
    <row r="657" spans="1:40" x14ac:dyDescent="0.25">
      <c r="A657" t="str">
        <f>"20190312160614723"</f>
        <v>20190312160614723</v>
      </c>
      <c r="B657" t="str">
        <f>"1552377974715824"</f>
        <v>1552377974715824</v>
      </c>
      <c r="C657" t="s">
        <v>40</v>
      </c>
      <c r="D657">
        <v>6.1821539999999997</v>
      </c>
      <c r="E657">
        <v>0.49663950000000001</v>
      </c>
      <c r="F657" t="s">
        <v>45</v>
      </c>
      <c r="G657">
        <v>-291.99130000000002</v>
      </c>
      <c r="H657">
        <v>-0.05</v>
      </c>
      <c r="I657">
        <v>368.73140000000001</v>
      </c>
      <c r="J657">
        <v>-315.03620000000001</v>
      </c>
      <c r="K657">
        <v>1.0733349999999999</v>
      </c>
      <c r="L657">
        <v>368.31330000000003</v>
      </c>
      <c r="M657">
        <v>0.99975040000000004</v>
      </c>
      <c r="N657">
        <v>0</v>
      </c>
      <c r="O657">
        <v>-1.1330689999999999E-2</v>
      </c>
      <c r="P657">
        <v>0.99893980000000004</v>
      </c>
      <c r="Q657">
        <v>4.4689769999999997E-2</v>
      </c>
      <c r="R657">
        <v>1.106713E-2</v>
      </c>
      <c r="S657">
        <v>3.008972</v>
      </c>
      <c r="T657">
        <v>-0.14591779999999999</v>
      </c>
      <c r="U657">
        <v>5.4046629999999998E-2</v>
      </c>
      <c r="V657">
        <v>-2.2353950000000001E-2</v>
      </c>
      <c r="W657">
        <v>6.3924400000000006E-2</v>
      </c>
      <c r="X657">
        <v>0.99770429999999999</v>
      </c>
      <c r="Y657">
        <v>-2.9241079999999999E-2</v>
      </c>
      <c r="Z657">
        <v>1.257752E-3</v>
      </c>
      <c r="AA657">
        <v>0.9995716</v>
      </c>
      <c r="AB657">
        <v>28</v>
      </c>
      <c r="AC657">
        <v>23.044899999999899</v>
      </c>
      <c r="AD657">
        <v>-1.123335</v>
      </c>
      <c r="AE657">
        <v>0.41809999999998099</v>
      </c>
      <c r="AF657">
        <v>-0.67762659203812503</v>
      </c>
      <c r="AG657">
        <v>-1.123335</v>
      </c>
      <c r="AH657">
        <v>22.984086811958001</v>
      </c>
      <c r="AI657">
        <v>92.796860849313006</v>
      </c>
      <c r="AJ657">
        <v>91.688729288202495</v>
      </c>
      <c r="AK657">
        <v>23.021496604262801</v>
      </c>
      <c r="AL657">
        <v>86.334902457040599</v>
      </c>
      <c r="AM657">
        <v>91.283519311337798</v>
      </c>
      <c r="AN657">
        <v>0.99999994911722501</v>
      </c>
    </row>
    <row r="658" spans="1:40" x14ac:dyDescent="0.25">
      <c r="A658" t="str">
        <f>"20190312160614736"</f>
        <v>20190312160614736</v>
      </c>
      <c r="B658" t="str">
        <f>"1552377974725583"</f>
        <v>1552377974725583</v>
      </c>
      <c r="C658" t="s">
        <v>40</v>
      </c>
      <c r="D658">
        <v>6.1231770000000001</v>
      </c>
      <c r="E658">
        <v>0.49663950000000001</v>
      </c>
      <c r="F658" t="s">
        <v>45</v>
      </c>
      <c r="G658">
        <v>-291.91370000000001</v>
      </c>
      <c r="H658">
        <v>-0.05</v>
      </c>
      <c r="I658">
        <v>368.73590000000002</v>
      </c>
      <c r="J658">
        <v>-314.88389999999998</v>
      </c>
      <c r="K658">
        <v>1.072279</v>
      </c>
      <c r="L658">
        <v>368.31150000000002</v>
      </c>
      <c r="M658">
        <v>0.99975780000000003</v>
      </c>
      <c r="N658">
        <v>0</v>
      </c>
      <c r="O658">
        <v>-1.142515E-2</v>
      </c>
      <c r="P658">
        <v>0.99890420000000002</v>
      </c>
      <c r="Q658">
        <v>4.545428E-2</v>
      </c>
      <c r="R658">
        <v>1.115826E-2</v>
      </c>
      <c r="S658">
        <v>3.0090940000000002</v>
      </c>
      <c r="T658">
        <v>-0.14618709999999999</v>
      </c>
      <c r="U658">
        <v>5.4992680000000002E-2</v>
      </c>
      <c r="V658">
        <v>-2.2539969999999999E-2</v>
      </c>
      <c r="W658">
        <v>6.4247029999999997E-2</v>
      </c>
      <c r="X658">
        <v>0.99767950000000005</v>
      </c>
      <c r="Y658">
        <v>-2.9648069999999999E-2</v>
      </c>
      <c r="Z658">
        <v>1.274477E-3</v>
      </c>
      <c r="AA658">
        <v>0.99955959999999999</v>
      </c>
      <c r="AB658">
        <v>28</v>
      </c>
      <c r="AC658">
        <v>22.970199999999899</v>
      </c>
      <c r="AD658">
        <v>-1.122279</v>
      </c>
      <c r="AE658">
        <v>0.42439999999999101</v>
      </c>
      <c r="AF658">
        <v>-0.68522156915225596</v>
      </c>
      <c r="AG658">
        <v>-1.122279</v>
      </c>
      <c r="AH658">
        <v>22.909182494658701</v>
      </c>
      <c r="AI658">
        <v>92.803321809609201</v>
      </c>
      <c r="AJ658">
        <v>91.713225796427494</v>
      </c>
      <c r="AK658">
        <v>22.946888271097901</v>
      </c>
      <c r="AL658">
        <v>86.316379443223596</v>
      </c>
      <c r="AM658">
        <v>91.294228751532501</v>
      </c>
      <c r="AN658">
        <v>1.0000000579158299</v>
      </c>
    </row>
    <row r="659" spans="1:40" x14ac:dyDescent="0.25">
      <c r="A659" t="str">
        <f>"20190312160614747"</f>
        <v>20190312160614747</v>
      </c>
      <c r="B659" t="str">
        <f>"1552377974735344"</f>
        <v>1552377974735344</v>
      </c>
      <c r="C659" t="s">
        <v>40</v>
      </c>
      <c r="D659">
        <v>6.1374930000000001</v>
      </c>
      <c r="E659">
        <v>0.49653710000000001</v>
      </c>
      <c r="F659" t="s">
        <v>45</v>
      </c>
      <c r="G659">
        <v>-291.41320000000002</v>
      </c>
      <c r="H659">
        <v>-0.05</v>
      </c>
      <c r="I659">
        <v>368.74090000000001</v>
      </c>
      <c r="J659">
        <v>-314.74250000000001</v>
      </c>
      <c r="K659">
        <v>1.0713839999999999</v>
      </c>
      <c r="L659">
        <v>368.3098</v>
      </c>
      <c r="M659">
        <v>0.99976419999999999</v>
      </c>
      <c r="N659">
        <v>0</v>
      </c>
      <c r="O659">
        <v>-1.1508350000000001E-2</v>
      </c>
      <c r="P659">
        <v>0.99888160000000004</v>
      </c>
      <c r="Q659">
        <v>4.5864679999999998E-2</v>
      </c>
      <c r="R659">
        <v>1.147665E-2</v>
      </c>
      <c r="S659">
        <v>3.0092469999999998</v>
      </c>
      <c r="T659">
        <v>-0.143890299999999</v>
      </c>
      <c r="U659">
        <v>5.5053709999999999E-2</v>
      </c>
      <c r="V659">
        <v>-2.2941940000000001E-2</v>
      </c>
      <c r="W659">
        <v>6.4259399999999994E-2</v>
      </c>
      <c r="X659">
        <v>0.99766949999999999</v>
      </c>
      <c r="Y659">
        <v>-2.9751819999999998E-2</v>
      </c>
      <c r="Z659">
        <v>1.260864E-3</v>
      </c>
      <c r="AA659">
        <v>0.99955649999999996</v>
      </c>
      <c r="AB659">
        <v>28</v>
      </c>
      <c r="AC659">
        <v>23.3292999999999</v>
      </c>
      <c r="AD659">
        <v>-1.1213839999999999</v>
      </c>
      <c r="AE659">
        <v>0.43110000000001403</v>
      </c>
      <c r="AF659">
        <v>-0.69798657911973305</v>
      </c>
      <c r="AG659">
        <v>-1.1213839999999999</v>
      </c>
      <c r="AH659">
        <v>23.269047744042801</v>
      </c>
      <c r="AI659">
        <v>92.757830093339706</v>
      </c>
      <c r="AJ659">
        <v>91.718149253996799</v>
      </c>
      <c r="AK659">
        <v>23.3065070367619</v>
      </c>
      <c r="AL659">
        <v>86.315669076552993</v>
      </c>
      <c r="AM659">
        <v>91.317314715340103</v>
      </c>
      <c r="AN659">
        <v>1.00000001716478</v>
      </c>
    </row>
    <row r="660" spans="1:40" x14ac:dyDescent="0.25">
      <c r="A660" t="str">
        <f>"20190312160614758"</f>
        <v>20190312160614758</v>
      </c>
      <c r="B660" t="str">
        <f>"1552377974755840"</f>
        <v>1552377974755840</v>
      </c>
      <c r="C660" t="s">
        <v>40</v>
      </c>
      <c r="D660">
        <v>6.1556949999999997</v>
      </c>
      <c r="E660">
        <v>0.4963977</v>
      </c>
      <c r="F660" t="s">
        <v>45</v>
      </c>
      <c r="G660">
        <v>-291.22500000000002</v>
      </c>
      <c r="H660">
        <v>-0.05</v>
      </c>
      <c r="I660">
        <v>368.7534</v>
      </c>
      <c r="J660">
        <v>-314.59750000000003</v>
      </c>
      <c r="K660">
        <v>1.0704990000000001</v>
      </c>
      <c r="L660">
        <v>368.30799999999999</v>
      </c>
      <c r="M660">
        <v>0.99977050000000001</v>
      </c>
      <c r="N660">
        <v>0</v>
      </c>
      <c r="O660">
        <v>-1.159366E-2</v>
      </c>
      <c r="P660">
        <v>0.99884729999999999</v>
      </c>
      <c r="Q660">
        <v>4.6507850000000003E-2</v>
      </c>
      <c r="R660">
        <v>1.1867030000000001E-2</v>
      </c>
      <c r="S660">
        <v>3.0093079999999999</v>
      </c>
      <c r="T660">
        <v>-0.14349319999999999</v>
      </c>
      <c r="U660">
        <v>5.6762699999999902E-2</v>
      </c>
      <c r="V660">
        <v>-2.3418250000000002E-2</v>
      </c>
      <c r="W660">
        <v>6.4503030000000003E-2</v>
      </c>
      <c r="X660">
        <v>0.99764269999999999</v>
      </c>
      <c r="Y660">
        <v>-3.0403530000000002E-2</v>
      </c>
      <c r="Z660">
        <v>1.2769459999999999E-3</v>
      </c>
      <c r="AA660">
        <v>0.99953689999999995</v>
      </c>
      <c r="AB660">
        <v>28</v>
      </c>
      <c r="AC660">
        <v>23.372499999999999</v>
      </c>
      <c r="AD660">
        <v>-1.1204989999999999</v>
      </c>
      <c r="AE660">
        <v>0.445399999999949</v>
      </c>
      <c r="AF660">
        <v>-0.71474473080328105</v>
      </c>
      <c r="AG660">
        <v>-1.1204989999999999</v>
      </c>
      <c r="AH660">
        <v>23.3122042839092</v>
      </c>
      <c r="AI660">
        <v>92.750508215488395</v>
      </c>
      <c r="AJ660">
        <v>91.756120160839004</v>
      </c>
      <c r="AK660">
        <v>23.350058813928701</v>
      </c>
      <c r="AL660">
        <v>86.301681045173495</v>
      </c>
      <c r="AM660">
        <v>91.344690366678293</v>
      </c>
      <c r="AN660">
        <v>1.0000000060877601</v>
      </c>
    </row>
    <row r="661" spans="1:40" x14ac:dyDescent="0.25">
      <c r="A661" t="str">
        <f>"20190312160614771"</f>
        <v>20190312160614771</v>
      </c>
      <c r="B661" t="str">
        <f>"1552377974765599"</f>
        <v>1552377974765599</v>
      </c>
      <c r="C661" t="s">
        <v>40</v>
      </c>
      <c r="D661">
        <v>6.2139610000000003</v>
      </c>
      <c r="E661">
        <v>0.49638149999999998</v>
      </c>
      <c r="F661" t="s">
        <v>45</v>
      </c>
      <c r="G661">
        <v>-290.89440000000002</v>
      </c>
      <c r="H661">
        <v>-0.05</v>
      </c>
      <c r="I661">
        <v>368.7688</v>
      </c>
      <c r="J661">
        <v>-314.42860000000002</v>
      </c>
      <c r="K661">
        <v>1.069537</v>
      </c>
      <c r="L661">
        <v>368.30590000000001</v>
      </c>
      <c r="M661">
        <v>0.99977740000000004</v>
      </c>
      <c r="N661">
        <v>0</v>
      </c>
      <c r="O661">
        <v>-1.169337E-2</v>
      </c>
      <c r="P661">
        <v>0.9988148</v>
      </c>
      <c r="Q661">
        <v>4.7112139999999997E-2</v>
      </c>
      <c r="R661">
        <v>1.2233900000000001E-2</v>
      </c>
      <c r="S661">
        <v>3.0093990000000002</v>
      </c>
      <c r="T661">
        <v>-0.14226140000000001</v>
      </c>
      <c r="U661">
        <v>5.85021999999999E-2</v>
      </c>
      <c r="V661">
        <v>-2.3885159999999999E-2</v>
      </c>
      <c r="W661">
        <v>6.4658149999999998E-2</v>
      </c>
      <c r="X661">
        <v>0.9976216</v>
      </c>
      <c r="Y661">
        <v>-3.108004E-2</v>
      </c>
      <c r="Z661">
        <v>1.2866380000000001E-3</v>
      </c>
      <c r="AA661">
        <v>0.99951610000000002</v>
      </c>
      <c r="AB661">
        <v>28</v>
      </c>
      <c r="AC661">
        <v>23.534199999999998</v>
      </c>
      <c r="AD661">
        <v>-1.119537</v>
      </c>
      <c r="AE661">
        <v>0.46289999999998999</v>
      </c>
      <c r="AF661">
        <v>-0.73643900509709004</v>
      </c>
      <c r="AG661">
        <v>-1.119537</v>
      </c>
      <c r="AH661">
        <v>23.474076287144602</v>
      </c>
      <c r="AI661">
        <v>92.729168333053394</v>
      </c>
      <c r="AJ661">
        <v>91.796918923290207</v>
      </c>
      <c r="AK661">
        <v>23.512293870171</v>
      </c>
      <c r="AL661">
        <v>86.2927747724668</v>
      </c>
      <c r="AM661">
        <v>91.371519483392504</v>
      </c>
      <c r="AN661">
        <v>1.0000000170081</v>
      </c>
    </row>
    <row r="662" spans="1:40" x14ac:dyDescent="0.25">
      <c r="A662" t="str">
        <f>"20190312160614784"</f>
        <v>20190312160614784</v>
      </c>
      <c r="B662" t="str">
        <f>"1552377974775359"</f>
        <v>1552377974775359</v>
      </c>
      <c r="C662" t="s">
        <v>40</v>
      </c>
      <c r="D662">
        <v>6.3233180000000004</v>
      </c>
      <c r="E662">
        <v>0.49641639999999998</v>
      </c>
      <c r="F662" t="s">
        <v>45</v>
      </c>
      <c r="G662">
        <v>-290.46120000000002</v>
      </c>
      <c r="H662">
        <v>-0.05</v>
      </c>
      <c r="I662">
        <v>368.78370000000001</v>
      </c>
      <c r="J662">
        <v>-314.27289999999999</v>
      </c>
      <c r="K662">
        <v>1.0687310000000001</v>
      </c>
      <c r="L662">
        <v>368.30399999999997</v>
      </c>
      <c r="M662">
        <v>0.99978319999999998</v>
      </c>
      <c r="N662">
        <v>0</v>
      </c>
      <c r="O662">
        <v>-1.1785830000000001E-2</v>
      </c>
      <c r="P662">
        <v>0.9987779</v>
      </c>
      <c r="Q662">
        <v>4.7803100000000001E-2</v>
      </c>
      <c r="R662">
        <v>1.2574129999999999E-2</v>
      </c>
      <c r="S662">
        <v>3.0094599999999998</v>
      </c>
      <c r="T662">
        <v>-0.14057420000000001</v>
      </c>
      <c r="U662">
        <v>5.9997559999999998E-2</v>
      </c>
      <c r="V662">
        <v>-2.4318530000000001E-2</v>
      </c>
      <c r="W662">
        <v>6.4954120000000004E-2</v>
      </c>
      <c r="X662">
        <v>0.99759189999999998</v>
      </c>
      <c r="Y662">
        <v>-3.1668839999999997E-2</v>
      </c>
      <c r="Z662">
        <v>1.2894200000000001E-3</v>
      </c>
      <c r="AA662">
        <v>0.99949759999999999</v>
      </c>
      <c r="AB662">
        <v>28</v>
      </c>
      <c r="AC662">
        <v>23.811699999999899</v>
      </c>
      <c r="AD662">
        <v>-1.1187309999999999</v>
      </c>
      <c r="AE662">
        <v>0.47969999999997898</v>
      </c>
      <c r="AF662">
        <v>-0.75867469614047101</v>
      </c>
      <c r="AG662">
        <v>-1.1187309999999999</v>
      </c>
      <c r="AH662">
        <v>23.751983575925799</v>
      </c>
      <c r="AI662">
        <v>92.695295999668701</v>
      </c>
      <c r="AJ662">
        <v>91.829492842898503</v>
      </c>
      <c r="AK662">
        <v>23.790415509948001</v>
      </c>
      <c r="AL662">
        <v>86.275781206166997</v>
      </c>
      <c r="AM662">
        <v>91.396435989835894</v>
      </c>
      <c r="AN662">
        <v>1.0000000137759699</v>
      </c>
    </row>
    <row r="663" spans="1:40" x14ac:dyDescent="0.25">
      <c r="A663" t="str">
        <f>"20190312160614801"</f>
        <v>20190312160614801</v>
      </c>
      <c r="B663" t="str">
        <f>"1552377974795856"</f>
        <v>1552377974795856</v>
      </c>
      <c r="C663" t="s">
        <v>40</v>
      </c>
      <c r="D663">
        <v>6.2834669999999999</v>
      </c>
      <c r="E663">
        <v>0.496639</v>
      </c>
      <c r="F663" t="s">
        <v>45</v>
      </c>
      <c r="G663">
        <v>-289.70490000000001</v>
      </c>
      <c r="H663">
        <v>-0.05</v>
      </c>
      <c r="I663">
        <v>368.8005</v>
      </c>
      <c r="J663">
        <v>-314.05650000000003</v>
      </c>
      <c r="K663">
        <v>1.06769</v>
      </c>
      <c r="L663">
        <v>368.30130000000003</v>
      </c>
      <c r="M663">
        <v>0.99979059999999997</v>
      </c>
      <c r="N663">
        <v>0</v>
      </c>
      <c r="O663">
        <v>-1.1915469999999999E-2</v>
      </c>
      <c r="P663">
        <v>0.99872729999999998</v>
      </c>
      <c r="Q663">
        <v>4.8874140000000003E-2</v>
      </c>
      <c r="R663">
        <v>1.246717E-2</v>
      </c>
      <c r="S663">
        <v>3.0094599999999998</v>
      </c>
      <c r="T663">
        <v>-0.13703889999999999</v>
      </c>
      <c r="U663">
        <v>6.0821529999999999E-2</v>
      </c>
      <c r="V663">
        <v>-2.4341450000000001E-2</v>
      </c>
      <c r="W663">
        <v>6.5493709999999997E-2</v>
      </c>
      <c r="X663">
        <v>0.997556</v>
      </c>
      <c r="Y663">
        <v>-3.2073669999999999E-2</v>
      </c>
      <c r="Z663">
        <v>1.2721309999999999E-3</v>
      </c>
      <c r="AA663">
        <v>0.9994847</v>
      </c>
      <c r="AB663">
        <v>28</v>
      </c>
      <c r="AC663">
        <v>24.351600000000001</v>
      </c>
      <c r="AD663">
        <v>-1.1176900000000001</v>
      </c>
      <c r="AE663">
        <v>0.499199999999973</v>
      </c>
      <c r="AF663">
        <v>-0.78770676611874202</v>
      </c>
      <c r="AG663">
        <v>-1.1176900000000001</v>
      </c>
      <c r="AH663">
        <v>24.292767420683798</v>
      </c>
      <c r="AI663">
        <v>92.632891549155502</v>
      </c>
      <c r="AJ663">
        <v>91.857197443292094</v>
      </c>
      <c r="AK663">
        <v>24.331219900385701</v>
      </c>
      <c r="AL663">
        <v>86.244798774969297</v>
      </c>
      <c r="AM663">
        <v>91.397801878828105</v>
      </c>
      <c r="AN663">
        <v>0.99999995268683195</v>
      </c>
    </row>
    <row r="664" spans="1:40" x14ac:dyDescent="0.25">
      <c r="A664" t="str">
        <f>"20190312160614814"</f>
        <v>20190312160614814</v>
      </c>
      <c r="B664" t="str">
        <f>"1552377974805615"</f>
        <v>1552377974805615</v>
      </c>
      <c r="C664" t="s">
        <v>40</v>
      </c>
      <c r="D664">
        <v>6.1923339999999998</v>
      </c>
      <c r="E664">
        <v>0.49669089999999999</v>
      </c>
      <c r="F664" t="s">
        <v>45</v>
      </c>
      <c r="G664">
        <v>-288.27229999999997</v>
      </c>
      <c r="H664">
        <v>-0.05</v>
      </c>
      <c r="I664">
        <v>368.80799999999999</v>
      </c>
      <c r="J664">
        <v>-313.89109999999999</v>
      </c>
      <c r="K664">
        <v>1.066948</v>
      </c>
      <c r="L664">
        <v>368.29919999999998</v>
      </c>
      <c r="M664">
        <v>0.99979589999999996</v>
      </c>
      <c r="N664">
        <v>0</v>
      </c>
      <c r="O664">
        <v>-1.201556E-2</v>
      </c>
      <c r="P664">
        <v>0.99869940000000001</v>
      </c>
      <c r="Q664">
        <v>4.9466690000000001E-2</v>
      </c>
      <c r="R664">
        <v>1.237423E-2</v>
      </c>
      <c r="S664">
        <v>3.00943</v>
      </c>
      <c r="T664">
        <v>-0.13045219999999999</v>
      </c>
      <c r="U664">
        <v>5.9143069999999999E-2</v>
      </c>
      <c r="V664">
        <v>-2.4348749999999999E-2</v>
      </c>
      <c r="W664">
        <v>6.5693080000000001E-2</v>
      </c>
      <c r="X664">
        <v>0.9975427</v>
      </c>
      <c r="Y664">
        <v>-3.162123E-2</v>
      </c>
      <c r="Z664">
        <v>1.205596E-3</v>
      </c>
      <c r="AA664">
        <v>0.99949920000000003</v>
      </c>
      <c r="AB664">
        <v>28</v>
      </c>
      <c r="AC664">
        <v>25.6188</v>
      </c>
      <c r="AD664">
        <v>-1.1169480000000001</v>
      </c>
      <c r="AE664">
        <v>0.50880000000006398</v>
      </c>
      <c r="AF664">
        <v>-0.81507936203683495</v>
      </c>
      <c r="AG664">
        <v>-1.1169480000000001</v>
      </c>
      <c r="AH664">
        <v>25.5622648530898</v>
      </c>
      <c r="AI664">
        <v>92.500689121590995</v>
      </c>
      <c r="AJ664">
        <v>91.826316650367403</v>
      </c>
      <c r="AK664">
        <v>25.599634989988299</v>
      </c>
      <c r="AL664">
        <v>86.233351014925802</v>
      </c>
      <c r="AM664">
        <v>91.398239547922103</v>
      </c>
      <c r="AN664">
        <v>0.99999994035486695</v>
      </c>
    </row>
    <row r="665" spans="1:40" x14ac:dyDescent="0.25">
      <c r="A665" t="str">
        <f>"20190312160614826"</f>
        <v>20190312160614826</v>
      </c>
      <c r="B665" t="str">
        <f>"1552377974815375"</f>
        <v>1552377974815375</v>
      </c>
      <c r="C665" t="s">
        <v>40</v>
      </c>
      <c r="D665">
        <v>6.1158049999999999</v>
      </c>
      <c r="E665">
        <v>0.49675659999999999</v>
      </c>
      <c r="F665" t="s">
        <v>45</v>
      </c>
      <c r="G665">
        <v>-287.41449999999998</v>
      </c>
      <c r="H665">
        <v>-0.05</v>
      </c>
      <c r="I665">
        <v>368.8125</v>
      </c>
      <c r="J665">
        <v>-313.74220000000003</v>
      </c>
      <c r="K665">
        <v>1.0663549999999999</v>
      </c>
      <c r="L665">
        <v>368.29730000000001</v>
      </c>
      <c r="M665">
        <v>0.99980009999999997</v>
      </c>
      <c r="N665">
        <v>0</v>
      </c>
      <c r="O665">
        <v>-1.2105889999999999E-2</v>
      </c>
      <c r="P665">
        <v>0.99868029999999997</v>
      </c>
      <c r="Q665">
        <v>4.9903790000000003E-2</v>
      </c>
      <c r="R665">
        <v>1.2140939999999999E-2</v>
      </c>
      <c r="S665">
        <v>3.0094910000000001</v>
      </c>
      <c r="T665">
        <v>-0.12695909999999999</v>
      </c>
      <c r="U665">
        <v>5.8349610000000003E-2</v>
      </c>
      <c r="V665">
        <v>-2.4205399999999998E-2</v>
      </c>
      <c r="W665">
        <v>6.5797759999999997E-2</v>
      </c>
      <c r="X665">
        <v>0.99753930000000002</v>
      </c>
      <c r="Y665">
        <v>-3.1449890000000001E-2</v>
      </c>
      <c r="Z665">
        <v>1.1735160000000001E-3</v>
      </c>
      <c r="AA665">
        <v>0.99950459999999997</v>
      </c>
      <c r="AB665">
        <v>28</v>
      </c>
      <c r="AC665">
        <v>26.3277</v>
      </c>
      <c r="AD665">
        <v>-1.116355</v>
      </c>
      <c r="AE665">
        <v>0.515199999999993</v>
      </c>
      <c r="AF665">
        <v>-0.83242674323666799</v>
      </c>
      <c r="AG665">
        <v>-1.116355</v>
      </c>
      <c r="AH665">
        <v>26.2723141449613</v>
      </c>
      <c r="AI665">
        <v>92.431911830157503</v>
      </c>
      <c r="AJ665">
        <v>91.814784495987993</v>
      </c>
      <c r="AK665">
        <v>26.309193702970401</v>
      </c>
      <c r="AL665">
        <v>86.227340327297696</v>
      </c>
      <c r="AM665">
        <v>91.390015575126597</v>
      </c>
      <c r="AN665">
        <v>0.99999995082733195</v>
      </c>
    </row>
    <row r="666" spans="1:40" x14ac:dyDescent="0.25">
      <c r="A666" t="str">
        <f>"20190312160614838"</f>
        <v>20190312160614838</v>
      </c>
      <c r="B666" t="str">
        <f>"1552377974835872"</f>
        <v>1552377974835872</v>
      </c>
      <c r="C666" t="s">
        <v>40</v>
      </c>
      <c r="D666">
        <v>6.1205740000000004</v>
      </c>
      <c r="E666">
        <v>0.49692259999999999</v>
      </c>
      <c r="F666" t="s">
        <v>45</v>
      </c>
      <c r="G666">
        <v>-286.63850000000002</v>
      </c>
      <c r="H666">
        <v>-0.05</v>
      </c>
      <c r="I666">
        <v>368.81229999999999</v>
      </c>
      <c r="J666">
        <v>-313.59339999999997</v>
      </c>
      <c r="K666">
        <v>1.0657890000000001</v>
      </c>
      <c r="L666">
        <v>368.29539999999997</v>
      </c>
      <c r="M666">
        <v>0.99980420000000003</v>
      </c>
      <c r="N666">
        <v>0</v>
      </c>
      <c r="O666">
        <v>-1.2196820000000001E-2</v>
      </c>
      <c r="P666">
        <v>0.99867019999999995</v>
      </c>
      <c r="Q666">
        <v>5.0109620000000001E-2</v>
      </c>
      <c r="R666">
        <v>1.211977E-2</v>
      </c>
      <c r="S666">
        <v>3.0094910000000001</v>
      </c>
      <c r="T666">
        <v>-0.1239557</v>
      </c>
      <c r="U666">
        <v>5.7189940000000002E-2</v>
      </c>
      <c r="V666">
        <v>-2.4275040000000001E-2</v>
      </c>
      <c r="W666">
        <v>6.5677849999999996E-2</v>
      </c>
      <c r="X666">
        <v>0.99754549999999997</v>
      </c>
      <c r="Y666">
        <v>-3.11577E-2</v>
      </c>
      <c r="Z666">
        <v>1.1435099999999999E-3</v>
      </c>
      <c r="AA666">
        <v>0.99951380000000001</v>
      </c>
      <c r="AB666">
        <v>28</v>
      </c>
      <c r="AC666">
        <v>26.954899999999899</v>
      </c>
      <c r="AD666">
        <v>-1.1157889999999999</v>
      </c>
      <c r="AE666">
        <v>0.51690000000002101</v>
      </c>
      <c r="AF666">
        <v>-0.84421947051355894</v>
      </c>
      <c r="AG666">
        <v>-1.1157889999999999</v>
      </c>
      <c r="AH666">
        <v>26.900511628993701</v>
      </c>
      <c r="AI666">
        <v>92.374005796754403</v>
      </c>
      <c r="AJ666">
        <v>91.797525000181395</v>
      </c>
      <c r="AK666">
        <v>26.936874679675501</v>
      </c>
      <c r="AL666">
        <v>86.234225520952094</v>
      </c>
      <c r="AM666">
        <v>91.394004474564099</v>
      </c>
      <c r="AN666">
        <v>0.99999994105893497</v>
      </c>
    </row>
    <row r="667" spans="1:40" x14ac:dyDescent="0.25">
      <c r="A667" t="str">
        <f>"20190312160614852"</f>
        <v>20190312160614852</v>
      </c>
      <c r="B667" t="str">
        <f>"1552377974845632"</f>
        <v>1552377974845632</v>
      </c>
      <c r="C667" t="s">
        <v>40</v>
      </c>
      <c r="D667">
        <v>6.1424370000000001</v>
      </c>
      <c r="E667">
        <v>0.49698639999999999</v>
      </c>
      <c r="F667" t="s">
        <v>45</v>
      </c>
      <c r="G667">
        <v>-285.6463</v>
      </c>
      <c r="H667">
        <v>-0.05</v>
      </c>
      <c r="I667">
        <v>368.81209999999999</v>
      </c>
      <c r="J667">
        <v>-313.40679999999998</v>
      </c>
      <c r="K667">
        <v>1.0651349999999999</v>
      </c>
      <c r="L667">
        <v>368.29300000000001</v>
      </c>
      <c r="M667">
        <v>0.99980869999999999</v>
      </c>
      <c r="N667">
        <v>0</v>
      </c>
      <c r="O667">
        <v>-1.23109E-2</v>
      </c>
      <c r="P667">
        <v>0.99864540000000002</v>
      </c>
      <c r="Q667">
        <v>5.0561559999999998E-2</v>
      </c>
      <c r="R667">
        <v>1.2298119999999999E-2</v>
      </c>
      <c r="S667">
        <v>3.0093380000000001</v>
      </c>
      <c r="T667">
        <v>-0.1201479</v>
      </c>
      <c r="U667">
        <v>5.5633540000000002E-2</v>
      </c>
      <c r="V667">
        <v>-2.4567950000000002E-2</v>
      </c>
      <c r="W667">
        <v>6.5739220000000001E-2</v>
      </c>
      <c r="X667">
        <v>0.99753429999999998</v>
      </c>
      <c r="Y667">
        <v>-3.0758319999999999E-2</v>
      </c>
      <c r="Z667">
        <v>1.1050529999999999E-3</v>
      </c>
      <c r="AA667">
        <v>0.99952629999999998</v>
      </c>
      <c r="AB667">
        <v>28</v>
      </c>
      <c r="AC667">
        <v>27.760499999999901</v>
      </c>
      <c r="AD667">
        <v>-1.115135</v>
      </c>
      <c r="AE667">
        <v>0.51909999999998002</v>
      </c>
      <c r="AF667">
        <v>-0.85947050152495896</v>
      </c>
      <c r="AG667">
        <v>-1.115135</v>
      </c>
      <c r="AH667">
        <v>27.7073110944152</v>
      </c>
      <c r="AI667">
        <v>92.303630144545195</v>
      </c>
      <c r="AJ667">
        <v>91.776724085940799</v>
      </c>
      <c r="AK667">
        <v>27.7430586578683</v>
      </c>
      <c r="AL667">
        <v>86.2307017137298</v>
      </c>
      <c r="AM667">
        <v>91.410834031787104</v>
      </c>
      <c r="AN667">
        <v>0.99999995444494905</v>
      </c>
    </row>
    <row r="668" spans="1:40" x14ac:dyDescent="0.25">
      <c r="A668" t="str">
        <f>"20190312160614869"</f>
        <v>20190312160614869</v>
      </c>
      <c r="B668" t="str">
        <f>"1552377974855391"</f>
        <v>1552377974855391</v>
      </c>
      <c r="C668" t="s">
        <v>40</v>
      </c>
      <c r="D668">
        <v>6.2437170000000002</v>
      </c>
      <c r="E668">
        <v>0.49706630000000002</v>
      </c>
      <c r="F668" t="s">
        <v>45</v>
      </c>
      <c r="G668">
        <v>-284.77839999999998</v>
      </c>
      <c r="H668">
        <v>-0.05</v>
      </c>
      <c r="I668">
        <v>368.82260000000002</v>
      </c>
      <c r="J668">
        <v>-313.21420000000001</v>
      </c>
      <c r="K668">
        <v>1.064538</v>
      </c>
      <c r="L668">
        <v>368.29050000000001</v>
      </c>
      <c r="M668">
        <v>0.99981299999999995</v>
      </c>
      <c r="N668">
        <v>0</v>
      </c>
      <c r="O668">
        <v>-1.242946E-2</v>
      </c>
      <c r="P668">
        <v>0.9986216</v>
      </c>
      <c r="Q668">
        <v>5.0870800000000001E-2</v>
      </c>
      <c r="R668">
        <v>1.293102E-2</v>
      </c>
      <c r="S668">
        <v>3.0093079999999999</v>
      </c>
      <c r="T668">
        <v>-0.1172189</v>
      </c>
      <c r="U668">
        <v>5.5664060000000001E-2</v>
      </c>
      <c r="V668">
        <v>-2.5318650000000002E-2</v>
      </c>
      <c r="W668">
        <v>6.5669279999999997E-2</v>
      </c>
      <c r="X668">
        <v>0.99752019999999997</v>
      </c>
      <c r="Y668">
        <v>-3.0888559999999999E-2</v>
      </c>
      <c r="Z668">
        <v>1.0852940000000001E-3</v>
      </c>
      <c r="AA668">
        <v>0.99952229999999997</v>
      </c>
      <c r="AB668">
        <v>28</v>
      </c>
      <c r="AC668">
        <v>28.4358</v>
      </c>
      <c r="AD668">
        <v>-1.114538</v>
      </c>
      <c r="AE668">
        <v>0.53210000000001401</v>
      </c>
      <c r="AF668">
        <v>-0.88418147868366903</v>
      </c>
      <c r="AG668">
        <v>-1.114538</v>
      </c>
      <c r="AH668">
        <v>28.3834000162439</v>
      </c>
      <c r="AI668">
        <v>92.247603116073904</v>
      </c>
      <c r="AJ668">
        <v>91.784264381949001</v>
      </c>
      <c r="AK668">
        <v>28.419031797772501</v>
      </c>
      <c r="AL668">
        <v>86.234717901630106</v>
      </c>
      <c r="AM668">
        <v>91.453945887870404</v>
      </c>
      <c r="AN668">
        <v>1.00000001889079</v>
      </c>
    </row>
    <row r="669" spans="1:40" x14ac:dyDescent="0.25">
      <c r="A669" t="str">
        <f>"20190312160614882"</f>
        <v>20190312160614882</v>
      </c>
      <c r="B669" t="str">
        <f>"1552377974875888"</f>
        <v>1552377974875888</v>
      </c>
      <c r="C669" t="s">
        <v>40</v>
      </c>
      <c r="D669">
        <v>6.1864589999999904</v>
      </c>
      <c r="E669">
        <v>0.49725170000000002</v>
      </c>
      <c r="F669" t="s">
        <v>45</v>
      </c>
      <c r="G669">
        <v>-284.01440000000002</v>
      </c>
      <c r="H669">
        <v>-0.05</v>
      </c>
      <c r="I669">
        <v>368.8374</v>
      </c>
      <c r="J669">
        <v>-313.04309999999998</v>
      </c>
      <c r="K669">
        <v>1.064052</v>
      </c>
      <c r="L669">
        <v>368.28829999999999</v>
      </c>
      <c r="M669">
        <v>0.9998165</v>
      </c>
      <c r="N669">
        <v>0</v>
      </c>
      <c r="O669">
        <v>-1.2535289999999999E-2</v>
      </c>
      <c r="P669">
        <v>0.99860720000000003</v>
      </c>
      <c r="Q669">
        <v>5.1048299999999998E-2</v>
      </c>
      <c r="R669">
        <v>1.3347059999999999E-2</v>
      </c>
      <c r="S669">
        <v>3.0092469999999998</v>
      </c>
      <c r="T669">
        <v>-0.11486109999999999</v>
      </c>
      <c r="U669">
        <v>5.6365970000000001E-2</v>
      </c>
      <c r="V669">
        <v>-2.5840209999999999E-2</v>
      </c>
      <c r="W669">
        <v>6.5526070000000006E-2</v>
      </c>
      <c r="X669">
        <v>0.99751619999999996</v>
      </c>
      <c r="Y669">
        <v>-3.122871E-2</v>
      </c>
      <c r="Z669">
        <v>1.0740249999999999E-3</v>
      </c>
      <c r="AA669">
        <v>0.9995117</v>
      </c>
      <c r="AB669">
        <v>28</v>
      </c>
      <c r="AC669">
        <v>29.028699999999901</v>
      </c>
      <c r="AD669">
        <v>-1.114052</v>
      </c>
      <c r="AE669">
        <v>0.54910000000000903</v>
      </c>
      <c r="AF669">
        <v>-0.91163599014195995</v>
      </c>
      <c r="AG669">
        <v>-1.114052</v>
      </c>
      <c r="AH669">
        <v>28.9768718425704</v>
      </c>
      <c r="AI669">
        <v>92.2006356391107</v>
      </c>
      <c r="AJ669">
        <v>91.801977526199806</v>
      </c>
      <c r="AK669">
        <v>29.012605774352199</v>
      </c>
      <c r="AL669">
        <v>86.242940779041803</v>
      </c>
      <c r="AM669">
        <v>91.483889624128395</v>
      </c>
      <c r="AN669">
        <v>0.99999997578246402</v>
      </c>
    </row>
    <row r="670" spans="1:40" x14ac:dyDescent="0.25">
      <c r="A670" t="str">
        <f>"20190312160614895"</f>
        <v>20190312160614895</v>
      </c>
      <c r="B670" t="str">
        <f>"1552377974885647"</f>
        <v>1552377974885647</v>
      </c>
      <c r="C670" t="s">
        <v>40</v>
      </c>
      <c r="D670">
        <v>6.9422800000000002</v>
      </c>
      <c r="E670">
        <v>0.49732120000000002</v>
      </c>
      <c r="F670" t="s">
        <v>45</v>
      </c>
      <c r="G670">
        <v>-282.96949999999998</v>
      </c>
      <c r="H670">
        <v>-0.05</v>
      </c>
      <c r="I670">
        <v>368.85129999999998</v>
      </c>
      <c r="J670">
        <v>-312.8741</v>
      </c>
      <c r="K670">
        <v>1.0636080000000001</v>
      </c>
      <c r="L670">
        <v>368.286</v>
      </c>
      <c r="M670">
        <v>0.99981929999999997</v>
      </c>
      <c r="N670">
        <v>0</v>
      </c>
      <c r="O670">
        <v>-1.26401E-2</v>
      </c>
      <c r="P670">
        <v>0.99859819999999999</v>
      </c>
      <c r="Q670">
        <v>5.1197029999999998E-2</v>
      </c>
      <c r="R670">
        <v>1.3432960000000001E-2</v>
      </c>
      <c r="S670">
        <v>3.009125</v>
      </c>
      <c r="T670">
        <v>-0.11147070000000001</v>
      </c>
      <c r="U670">
        <v>5.6335450000000002E-2</v>
      </c>
      <c r="V670">
        <v>-2.603074E-2</v>
      </c>
      <c r="W670">
        <v>6.5369990000000003E-2</v>
      </c>
      <c r="X670">
        <v>0.99752149999999995</v>
      </c>
      <c r="Y670">
        <v>-3.1325779999999998E-2</v>
      </c>
      <c r="Z670">
        <v>1.0480629999999999E-3</v>
      </c>
      <c r="AA670">
        <v>0.99950870000000003</v>
      </c>
      <c r="AB670">
        <v>28</v>
      </c>
      <c r="AC670">
        <v>29.904599999999999</v>
      </c>
      <c r="AD670">
        <v>-1.1136079999999999</v>
      </c>
      <c r="AE670">
        <v>0.56529999999997904</v>
      </c>
      <c r="AF670">
        <v>-0.94198426938791302</v>
      </c>
      <c r="AG670">
        <v>-1.1136079999999999</v>
      </c>
      <c r="AH670">
        <v>29.853680394223101</v>
      </c>
      <c r="AI670">
        <v>92.135206563668604</v>
      </c>
      <c r="AJ670">
        <v>91.807275394296198</v>
      </c>
      <c r="AK670">
        <v>29.889290560698502</v>
      </c>
      <c r="AL670">
        <v>86.251902768693697</v>
      </c>
      <c r="AM670">
        <v>91.494818039379496</v>
      </c>
      <c r="AN670">
        <v>0.99999998898989795</v>
      </c>
    </row>
    <row r="671" spans="1:40" x14ac:dyDescent="0.25">
      <c r="A671" t="str">
        <f>"20190312160614912"</f>
        <v>20190312160614912</v>
      </c>
      <c r="B671" t="str">
        <f>"1552377974906147"</f>
        <v>1552377974906147</v>
      </c>
      <c r="C671" t="s">
        <v>40</v>
      </c>
      <c r="D671">
        <v>6.29305</v>
      </c>
      <c r="E671">
        <v>0.4974731</v>
      </c>
      <c r="F671" t="s">
        <v>45</v>
      </c>
      <c r="G671">
        <v>-282.29660000000001</v>
      </c>
      <c r="H671">
        <v>-0.05</v>
      </c>
      <c r="I671">
        <v>368.85509999999999</v>
      </c>
      <c r="J671">
        <v>-312.64929999999998</v>
      </c>
      <c r="K671">
        <v>1.0630949999999999</v>
      </c>
      <c r="L671">
        <v>368.28300000000002</v>
      </c>
      <c r="M671">
        <v>0.99982289999999996</v>
      </c>
      <c r="N671">
        <v>0</v>
      </c>
      <c r="O671">
        <v>-1.2780359999999999E-2</v>
      </c>
      <c r="P671">
        <v>0.99857180000000001</v>
      </c>
      <c r="Q671">
        <v>5.1662930000000003E-2</v>
      </c>
      <c r="R671">
        <v>1.360985E-2</v>
      </c>
      <c r="S671">
        <v>3.009064</v>
      </c>
      <c r="T671">
        <v>-0.1095878</v>
      </c>
      <c r="U671">
        <v>5.5999760000000003E-2</v>
      </c>
      <c r="V671">
        <v>-2.634736E-2</v>
      </c>
      <c r="W671">
        <v>6.5462279999999998E-2</v>
      </c>
      <c r="X671">
        <v>0.99750720000000004</v>
      </c>
      <c r="Y671">
        <v>-3.1355729999999998E-2</v>
      </c>
      <c r="Z671">
        <v>1.036042E-3</v>
      </c>
      <c r="AA671">
        <v>0.9995077</v>
      </c>
      <c r="AB671">
        <v>28</v>
      </c>
      <c r="AC671">
        <v>30.352699999999899</v>
      </c>
      <c r="AD671">
        <v>-1.1130949999999999</v>
      </c>
      <c r="AE671">
        <v>0.57209999999997696</v>
      </c>
      <c r="AF671">
        <v>-0.95871985365136903</v>
      </c>
      <c r="AG671">
        <v>-1.1130949999999999</v>
      </c>
      <c r="AH671">
        <v>30.302171192000099</v>
      </c>
      <c r="AI671">
        <v>92.102658942517706</v>
      </c>
      <c r="AJ671">
        <v>91.812156739939795</v>
      </c>
      <c r="AK671">
        <v>30.337760352176499</v>
      </c>
      <c r="AL671">
        <v>86.246603834159302</v>
      </c>
      <c r="AM671">
        <v>91.513013256227296</v>
      </c>
      <c r="AN671">
        <v>1.0000000537667999</v>
      </c>
    </row>
    <row r="672" spans="1:40" x14ac:dyDescent="0.25">
      <c r="A672" t="str">
        <f>"20190312160614935"</f>
        <v>20190312160614935</v>
      </c>
      <c r="B672" t="str">
        <f>"1552377974925664"</f>
        <v>1552377974925664</v>
      </c>
      <c r="C672" t="s">
        <v>40</v>
      </c>
      <c r="D672">
        <v>6.2896999999999998</v>
      </c>
      <c r="E672">
        <v>0.49763489999999999</v>
      </c>
      <c r="F672" t="s">
        <v>45</v>
      </c>
      <c r="G672">
        <v>-280.8646</v>
      </c>
      <c r="H672">
        <v>-0.05</v>
      </c>
      <c r="I672">
        <v>368.87130000000002</v>
      </c>
      <c r="J672">
        <v>-312.37569999999999</v>
      </c>
      <c r="K672">
        <v>1.0625549999999999</v>
      </c>
      <c r="L672">
        <v>368.27940000000001</v>
      </c>
      <c r="M672">
        <v>0.99982629999999995</v>
      </c>
      <c r="N672">
        <v>0</v>
      </c>
      <c r="O672">
        <v>-1.2951290000000001E-2</v>
      </c>
      <c r="P672">
        <v>0.99853519999999896</v>
      </c>
      <c r="Q672">
        <v>5.2250680000000001E-2</v>
      </c>
      <c r="R672">
        <v>1.405145E-2</v>
      </c>
      <c r="S672">
        <v>3.008972</v>
      </c>
      <c r="T672">
        <v>-0.10537390000000001</v>
      </c>
      <c r="U672">
        <v>5.569458E-2</v>
      </c>
      <c r="V672">
        <v>-2.695968E-2</v>
      </c>
      <c r="W672">
        <v>6.5635970000000002E-2</v>
      </c>
      <c r="X672">
        <v>0.99747940000000002</v>
      </c>
      <c r="Y672">
        <v>-3.1427829999999997E-2</v>
      </c>
      <c r="Z672">
        <v>1.0035039999999999E-3</v>
      </c>
      <c r="AA672">
        <v>0.99950550000000005</v>
      </c>
      <c r="AB672">
        <v>28</v>
      </c>
      <c r="AC672">
        <v>31.511099999999999</v>
      </c>
      <c r="AD672">
        <v>-1.112555</v>
      </c>
      <c r="AE672">
        <v>0.59190000000000897</v>
      </c>
      <c r="AF672">
        <v>-0.99875182936437501</v>
      </c>
      <c r="AG672">
        <v>-1.112555</v>
      </c>
      <c r="AH672">
        <v>31.4615849245187</v>
      </c>
      <c r="AI672">
        <v>92.024249576610501</v>
      </c>
      <c r="AJ672">
        <v>91.818250851609093</v>
      </c>
      <c r="AK672">
        <v>31.497088910046699</v>
      </c>
      <c r="AL672">
        <v>86.236630589192004</v>
      </c>
      <c r="AM672">
        <v>91.548202314782202</v>
      </c>
      <c r="AN672">
        <v>1.0000000291639499</v>
      </c>
    </row>
    <row r="673" spans="1:40" x14ac:dyDescent="0.25">
      <c r="A673" t="str">
        <f>"20190312160614946"</f>
        <v>20190312160614946</v>
      </c>
      <c r="B673" t="str">
        <f>"1552377974935424"</f>
        <v>1552377974935424</v>
      </c>
      <c r="C673" t="s">
        <v>40</v>
      </c>
      <c r="D673">
        <v>6.2894880000000004</v>
      </c>
      <c r="E673">
        <v>0.49770110000000001</v>
      </c>
      <c r="F673" t="s">
        <v>45</v>
      </c>
      <c r="G673">
        <v>-279.14240000000001</v>
      </c>
      <c r="H673">
        <v>-0.05</v>
      </c>
      <c r="I673">
        <v>368.9006</v>
      </c>
      <c r="J673">
        <v>-312.22710000000001</v>
      </c>
      <c r="K673">
        <v>1.0623069999999999</v>
      </c>
      <c r="L673">
        <v>368.27730000000003</v>
      </c>
      <c r="M673">
        <v>0.99982789999999999</v>
      </c>
      <c r="N673">
        <v>0</v>
      </c>
      <c r="O673">
        <v>-1.3044699999999999E-2</v>
      </c>
      <c r="P673">
        <v>0.99851520000000005</v>
      </c>
      <c r="Q673">
        <v>5.2634E-2</v>
      </c>
      <c r="R673">
        <v>1.405209E-2</v>
      </c>
      <c r="S673">
        <v>3.0088810000000001</v>
      </c>
      <c r="T673">
        <v>-0.1007286</v>
      </c>
      <c r="U673">
        <v>5.6243899999999999E-2</v>
      </c>
      <c r="V673">
        <v>-2.705258E-2</v>
      </c>
      <c r="W673">
        <v>6.581774E-2</v>
      </c>
      <c r="X673">
        <v>0.99746489999999999</v>
      </c>
      <c r="Y673">
        <v>-3.1706270000000002E-2</v>
      </c>
      <c r="Z673">
        <v>9.6710269999999998E-4</v>
      </c>
      <c r="AA673">
        <v>0.99949679999999996</v>
      </c>
      <c r="AB673">
        <v>28</v>
      </c>
      <c r="AC673">
        <v>33.084699999999998</v>
      </c>
      <c r="AD673">
        <v>-1.1123069999999999</v>
      </c>
      <c r="AE673">
        <v>0.62329999999997199</v>
      </c>
      <c r="AF673">
        <v>-1.0536739481989199</v>
      </c>
      <c r="AG673">
        <v>-1.1123069999999999</v>
      </c>
      <c r="AH673">
        <v>33.036425078886602</v>
      </c>
      <c r="AI673">
        <v>91.927390071963998</v>
      </c>
      <c r="AJ673">
        <v>91.826790029295694</v>
      </c>
      <c r="AK673">
        <v>33.0719342894281</v>
      </c>
      <c r="AL673">
        <v>86.226193339125004</v>
      </c>
      <c r="AM673">
        <v>91.553557206922704</v>
      </c>
      <c r="AN673">
        <v>1.0000000218576801</v>
      </c>
    </row>
    <row r="674" spans="1:40" x14ac:dyDescent="0.25">
      <c r="A674" t="str">
        <f>"20190312160614956"</f>
        <v>20190312160614956</v>
      </c>
      <c r="B674" t="str">
        <f>"1552377974946160"</f>
        <v>1552377974946160</v>
      </c>
      <c r="C674" t="s">
        <v>40</v>
      </c>
      <c r="D674">
        <v>6.2844670000000002</v>
      </c>
      <c r="E674">
        <v>0.4977646</v>
      </c>
      <c r="F674" t="s">
        <v>47</v>
      </c>
      <c r="G674">
        <v>-279.66860000000003</v>
      </c>
      <c r="H674" s="1">
        <v>-2.9563989999999997E-7</v>
      </c>
      <c r="I674">
        <v>368.8766</v>
      </c>
      <c r="J674">
        <v>-312.09300000000002</v>
      </c>
      <c r="K674">
        <v>1.0620879999999999</v>
      </c>
      <c r="L674">
        <v>368.27550000000002</v>
      </c>
      <c r="M674">
        <v>0.99982910000000003</v>
      </c>
      <c r="N674">
        <v>0</v>
      </c>
      <c r="O674">
        <v>-1.3128859999999999E-2</v>
      </c>
      <c r="P674">
        <v>0.9984866</v>
      </c>
      <c r="Q674">
        <v>5.3116490000000002E-2</v>
      </c>
      <c r="R674">
        <v>1.425503E-2</v>
      </c>
      <c r="S674">
        <v>3.0088499999999998</v>
      </c>
      <c r="T674">
        <v>-9.8171350000000004E-2</v>
      </c>
      <c r="U674">
        <v>5.5389399999999998E-2</v>
      </c>
      <c r="V674">
        <v>-2.733884E-2</v>
      </c>
      <c r="W674">
        <v>6.6122230000000004E-2</v>
      </c>
      <c r="X674">
        <v>0.99743689999999996</v>
      </c>
      <c r="Y674">
        <v>-3.1508130000000002E-2</v>
      </c>
      <c r="Z674">
        <v>9.4208819999999996E-4</v>
      </c>
      <c r="AA674">
        <v>0.99950309999999998</v>
      </c>
      <c r="AB674">
        <v>28</v>
      </c>
      <c r="AC674">
        <v>32.424399999999899</v>
      </c>
      <c r="AD674">
        <v>-1.06208829563989</v>
      </c>
      <c r="AE674">
        <v>0.60109999999997399</v>
      </c>
      <c r="AF674">
        <v>-1.0256795347182099</v>
      </c>
      <c r="AG674">
        <v>-1.06208829563989</v>
      </c>
      <c r="AH674">
        <v>32.378983607916901</v>
      </c>
      <c r="AI674">
        <v>91.8777887095994</v>
      </c>
      <c r="AJ674">
        <v>91.814370220400207</v>
      </c>
      <c r="AK674">
        <v>32.412630709916598</v>
      </c>
      <c r="AL674">
        <v>86.208709046288007</v>
      </c>
      <c r="AM674">
        <v>91.570032218021097</v>
      </c>
      <c r="AN674">
        <v>0.99999996547716297</v>
      </c>
    </row>
    <row r="675" spans="1:40" x14ac:dyDescent="0.25">
      <c r="A675" t="str">
        <f>"20190312160614967"</f>
        <v>20190312160614967</v>
      </c>
      <c r="B675" t="str">
        <f>"1552377974955920"</f>
        <v>1552377974955920</v>
      </c>
      <c r="C675" t="s">
        <v>40</v>
      </c>
      <c r="D675">
        <v>6.2846380000000002</v>
      </c>
      <c r="E675">
        <v>0.49785089999999999</v>
      </c>
      <c r="F675" t="s">
        <v>47</v>
      </c>
      <c r="G675">
        <v>-278.60160000000002</v>
      </c>
      <c r="H675" s="1">
        <v>-7.1048749999999999E-7</v>
      </c>
      <c r="I675">
        <v>368.89330000000001</v>
      </c>
      <c r="J675">
        <v>-311.9554</v>
      </c>
      <c r="K675">
        <v>1.0618890000000001</v>
      </c>
      <c r="L675">
        <v>368.27370000000002</v>
      </c>
      <c r="M675">
        <v>0.99983010000000005</v>
      </c>
      <c r="N675">
        <v>0</v>
      </c>
      <c r="O675">
        <v>-1.321513E-2</v>
      </c>
      <c r="P675">
        <v>0.99847819999999998</v>
      </c>
      <c r="Q675">
        <v>5.3288219999999997E-2</v>
      </c>
      <c r="R675">
        <v>1.4215210000000001E-2</v>
      </c>
      <c r="S675">
        <v>3.0088499999999998</v>
      </c>
      <c r="T675">
        <v>-9.5417139999999998E-2</v>
      </c>
      <c r="U675">
        <v>5.551147E-2</v>
      </c>
      <c r="V675">
        <v>-2.738496E-2</v>
      </c>
      <c r="W675">
        <v>6.612606E-2</v>
      </c>
      <c r="X675">
        <v>0.99743539999999997</v>
      </c>
      <c r="Y675">
        <v>-3.1636089999999999E-2</v>
      </c>
      <c r="Z675">
        <v>9.2043340000000004E-4</v>
      </c>
      <c r="AA675">
        <v>0.99949900000000003</v>
      </c>
      <c r="AB675">
        <v>28</v>
      </c>
      <c r="AC675">
        <v>33.3537999999999</v>
      </c>
      <c r="AD675">
        <v>-1.06188971048749</v>
      </c>
      <c r="AE675">
        <v>0.61959999999999105</v>
      </c>
      <c r="AF675">
        <v>-1.0592837621909801</v>
      </c>
      <c r="AG675">
        <v>-1.06188971048749</v>
      </c>
      <c r="AH675">
        <v>33.308947747371597</v>
      </c>
      <c r="AI675">
        <v>91.825049776293199</v>
      </c>
      <c r="AJ675">
        <v>91.8214937690379</v>
      </c>
      <c r="AK675">
        <v>33.342700728693401</v>
      </c>
      <c r="AL675">
        <v>86.208489194385507</v>
      </c>
      <c r="AM675">
        <v>91.572681861469803</v>
      </c>
      <c r="AN675">
        <v>0.99999998450924199</v>
      </c>
    </row>
    <row r="676" spans="1:40" x14ac:dyDescent="0.25">
      <c r="A676" t="str">
        <f>"20190312160614979"</f>
        <v>20190312160614979</v>
      </c>
      <c r="B676" t="str">
        <f>"1552377974965680"</f>
        <v>1552377974965680</v>
      </c>
      <c r="C676" t="s">
        <v>40</v>
      </c>
      <c r="D676">
        <v>5.6783519999999896</v>
      </c>
      <c r="E676">
        <v>0.49797459999999999</v>
      </c>
      <c r="F676" t="s">
        <v>47</v>
      </c>
      <c r="G676">
        <v>-277.83370000000002</v>
      </c>
      <c r="H676" s="1">
        <v>-1.0400059999999999E-6</v>
      </c>
      <c r="I676">
        <v>368.89269999999999</v>
      </c>
      <c r="J676">
        <v>-311.80770000000001</v>
      </c>
      <c r="K676">
        <v>1.0616890000000001</v>
      </c>
      <c r="L676">
        <v>368.2715</v>
      </c>
      <c r="M676">
        <v>0.99983109999999997</v>
      </c>
      <c r="N676">
        <v>0</v>
      </c>
      <c r="O676">
        <v>-1.33077E-2</v>
      </c>
      <c r="P676">
        <v>0.99848199999999998</v>
      </c>
      <c r="Q676">
        <v>5.3231929999999997E-2</v>
      </c>
      <c r="R676">
        <v>1.4159959999999999E-2</v>
      </c>
      <c r="S676">
        <v>3.0087890000000002</v>
      </c>
      <c r="T676">
        <v>-9.3635319999999994E-2</v>
      </c>
      <c r="U676">
        <v>5.4595949999999997E-2</v>
      </c>
      <c r="V676">
        <v>-2.742296E-2</v>
      </c>
      <c r="W676">
        <v>6.5896239999999995E-2</v>
      </c>
      <c r="X676">
        <v>0.99744960000000005</v>
      </c>
      <c r="Y676">
        <v>-3.1425830000000002E-2</v>
      </c>
      <c r="Z676">
        <v>9.0288269999999995E-4</v>
      </c>
      <c r="AA676">
        <v>0.99950570000000005</v>
      </c>
      <c r="AB676">
        <v>28</v>
      </c>
      <c r="AC676">
        <v>33.973999999999897</v>
      </c>
      <c r="AD676">
        <v>-1.0616900400060001</v>
      </c>
      <c r="AE676">
        <v>0.62119999999998698</v>
      </c>
      <c r="AF676">
        <v>-1.07225033493102</v>
      </c>
      <c r="AG676">
        <v>-1.0616900400060001</v>
      </c>
      <c r="AH676">
        <v>33.929600205417003</v>
      </c>
      <c r="AI676">
        <v>91.791361908440294</v>
      </c>
      <c r="AJ676">
        <v>91.810070817337902</v>
      </c>
      <c r="AK676">
        <v>33.963137025622999</v>
      </c>
      <c r="AL676">
        <v>86.221685823724002</v>
      </c>
      <c r="AM676">
        <v>91.574840643792598</v>
      </c>
      <c r="AN676">
        <v>1.0000000188607201</v>
      </c>
    </row>
    <row r="677" spans="1:40" x14ac:dyDescent="0.25">
      <c r="A677" t="str">
        <f>"20190312160614992"</f>
        <v>20190312160614992</v>
      </c>
      <c r="B677" t="str">
        <f>"1552377974986176"</f>
        <v>1552377974986176</v>
      </c>
      <c r="C677" t="s">
        <v>40</v>
      </c>
      <c r="D677">
        <v>6.409573</v>
      </c>
      <c r="E677">
        <v>0.49820229999999999</v>
      </c>
      <c r="F677" t="s">
        <v>47</v>
      </c>
      <c r="G677">
        <v>-277.25290000000001</v>
      </c>
      <c r="H677" s="1">
        <v>-1.2902120000000001E-6</v>
      </c>
      <c r="I677">
        <v>368.887</v>
      </c>
      <c r="J677">
        <v>-311.64600000000002</v>
      </c>
      <c r="K677">
        <v>1.061483</v>
      </c>
      <c r="L677">
        <v>368.26929999999999</v>
      </c>
      <c r="M677">
        <v>0.9998319</v>
      </c>
      <c r="N677">
        <v>0</v>
      </c>
      <c r="O677">
        <v>-1.3408939999999999E-2</v>
      </c>
      <c r="P677">
        <v>0.99846760000000001</v>
      </c>
      <c r="Q677">
        <v>5.3567950000000003E-2</v>
      </c>
      <c r="R677">
        <v>1.3886819999999999E-2</v>
      </c>
      <c r="S677">
        <v>3.0087280000000001</v>
      </c>
      <c r="T677">
        <v>-9.2442150000000001E-2</v>
      </c>
      <c r="U677">
        <v>5.3588869999999997E-2</v>
      </c>
      <c r="V677">
        <v>-2.72505E-2</v>
      </c>
      <c r="W677">
        <v>6.6051349999999995E-2</v>
      </c>
      <c r="X677">
        <v>0.997444</v>
      </c>
      <c r="Y677">
        <v>-3.1193530000000001E-2</v>
      </c>
      <c r="Z677">
        <v>8.9094509999999903E-4</v>
      </c>
      <c r="AA677">
        <v>0.99951299999999998</v>
      </c>
      <c r="AB677">
        <v>28</v>
      </c>
      <c r="AC677">
        <v>34.393099999999897</v>
      </c>
      <c r="AD677">
        <v>-1.0614842902120001</v>
      </c>
      <c r="AE677">
        <v>0.61769999999995595</v>
      </c>
      <c r="AF677">
        <v>-1.0778291863109899</v>
      </c>
      <c r="AG677">
        <v>-1.0614842902120001</v>
      </c>
      <c r="AH677">
        <v>34.349015736377403</v>
      </c>
      <c r="AI677">
        <v>91.769172365542801</v>
      </c>
      <c r="AJ677">
        <v>91.797280227906199</v>
      </c>
      <c r="AK677">
        <v>34.382311538218801</v>
      </c>
      <c r="AL677">
        <v>86.212779017204596</v>
      </c>
      <c r="AM677">
        <v>91.5649503653311</v>
      </c>
      <c r="AN677">
        <v>0.99999995186153501</v>
      </c>
    </row>
    <row r="678" spans="1:40" x14ac:dyDescent="0.25">
      <c r="A678" t="str">
        <f>"20190312160615004"</f>
        <v>20190312160615004</v>
      </c>
      <c r="B678" t="str">
        <f>"1552377974995936"</f>
        <v>1552377974995936</v>
      </c>
      <c r="C678" t="s">
        <v>40</v>
      </c>
      <c r="D678">
        <v>6.1872429999999996</v>
      </c>
      <c r="E678">
        <v>0.49825760000000002</v>
      </c>
      <c r="F678" t="s">
        <v>47</v>
      </c>
      <c r="G678">
        <v>-276.22410000000002</v>
      </c>
      <c r="H678" s="1">
        <v>-1.734805E-6</v>
      </c>
      <c r="I678">
        <v>368.86849999999998</v>
      </c>
      <c r="J678">
        <v>-311.48950000000002</v>
      </c>
      <c r="K678">
        <v>1.0613109999999999</v>
      </c>
      <c r="L678">
        <v>368.26710000000003</v>
      </c>
      <c r="M678">
        <v>0.99983279999999997</v>
      </c>
      <c r="N678">
        <v>0</v>
      </c>
      <c r="O678">
        <v>-1.350722E-2</v>
      </c>
      <c r="P678">
        <v>0.99847839999999999</v>
      </c>
      <c r="Q678">
        <v>5.3470120000000003E-2</v>
      </c>
      <c r="R678">
        <v>1.34912E-2</v>
      </c>
      <c r="S678">
        <v>3.0087890000000002</v>
      </c>
      <c r="T678">
        <v>-9.0164069999999999E-2</v>
      </c>
      <c r="U678">
        <v>5.0903320000000002E-2</v>
      </c>
      <c r="V678">
        <v>-2.6952739999999999E-2</v>
      </c>
      <c r="W678">
        <v>6.5792970000000006E-2</v>
      </c>
      <c r="X678">
        <v>0.99746919999999994</v>
      </c>
      <c r="Y678">
        <v>-3.040085E-2</v>
      </c>
      <c r="Z678">
        <v>8.6005770000000003E-4</v>
      </c>
      <c r="AA678">
        <v>0.99953740000000002</v>
      </c>
      <c r="AB678">
        <v>28</v>
      </c>
      <c r="AC678">
        <v>35.2654</v>
      </c>
      <c r="AD678">
        <v>-1.061312734805</v>
      </c>
      <c r="AE678">
        <v>0.60139999999995497</v>
      </c>
      <c r="AF678">
        <v>-1.0767438984483999</v>
      </c>
      <c r="AG678">
        <v>-1.061312734805</v>
      </c>
      <c r="AH678">
        <v>35.222166716558398</v>
      </c>
      <c r="AI678">
        <v>91.725106220300901</v>
      </c>
      <c r="AJ678">
        <v>91.7509903447244</v>
      </c>
      <c r="AK678">
        <v>35.254599563077399</v>
      </c>
      <c r="AL678">
        <v>86.227615499256302</v>
      </c>
      <c r="AM678">
        <v>91.547819788142604</v>
      </c>
      <c r="AN678">
        <v>0.999999985021784</v>
      </c>
    </row>
    <row r="679" spans="1:40" x14ac:dyDescent="0.25">
      <c r="A679" t="str">
        <f>"20190312160615015"</f>
        <v>20190312160615015</v>
      </c>
      <c r="B679" t="str">
        <f>"1552377975005695"</f>
        <v>1552377975005695</v>
      </c>
      <c r="C679" t="s">
        <v>40</v>
      </c>
      <c r="D679">
        <v>6.2894819999999996</v>
      </c>
      <c r="E679">
        <v>0.49831500000000001</v>
      </c>
      <c r="F679" t="s">
        <v>47</v>
      </c>
      <c r="G679">
        <v>-275.73779999999999</v>
      </c>
      <c r="H679" s="1">
        <v>-1.9463100000000002E-6</v>
      </c>
      <c r="I679">
        <v>368.85239999999999</v>
      </c>
      <c r="J679">
        <v>-311.34719999999999</v>
      </c>
      <c r="K679">
        <v>1.061156</v>
      </c>
      <c r="L679">
        <v>368.26510000000002</v>
      </c>
      <c r="M679">
        <v>0.99983330000000004</v>
      </c>
      <c r="N679">
        <v>0</v>
      </c>
      <c r="O679">
        <v>-1.3596209999999999E-2</v>
      </c>
      <c r="P679">
        <v>0.99848870000000001</v>
      </c>
      <c r="Q679">
        <v>5.3300170000000001E-2</v>
      </c>
      <c r="R679">
        <v>1.3407870000000001E-2</v>
      </c>
      <c r="S679">
        <v>3.008667</v>
      </c>
      <c r="T679">
        <v>-8.9313980000000001E-2</v>
      </c>
      <c r="U679">
        <v>4.925537E-2</v>
      </c>
      <c r="V679">
        <v>-2.6958530000000001E-2</v>
      </c>
      <c r="W679">
        <v>6.5480380000000005E-2</v>
      </c>
      <c r="X679">
        <v>0.99748959999999998</v>
      </c>
      <c r="Y679">
        <v>-2.994368E-2</v>
      </c>
      <c r="Z679">
        <v>8.4784729999999998E-4</v>
      </c>
      <c r="AA679">
        <v>0.99955119999999997</v>
      </c>
      <c r="AB679">
        <v>28</v>
      </c>
      <c r="AC679">
        <v>35.609399999999901</v>
      </c>
      <c r="AD679">
        <v>-1.06115794631</v>
      </c>
      <c r="AE679">
        <v>0.58729999999996996</v>
      </c>
      <c r="AF679">
        <v>-1.07048417226526</v>
      </c>
      <c r="AG679">
        <v>-1.06115794631</v>
      </c>
      <c r="AH679">
        <v>35.566546592091399</v>
      </c>
      <c r="AI679">
        <v>91.708187899487299</v>
      </c>
      <c r="AJ679">
        <v>91.723971548681504</v>
      </c>
      <c r="AK679">
        <v>35.5984722851626</v>
      </c>
      <c r="AL679">
        <v>86.245564244496194</v>
      </c>
      <c r="AM679">
        <v>91.548120483322805</v>
      </c>
      <c r="AN679">
        <v>0.99999997230643201</v>
      </c>
    </row>
    <row r="680" spans="1:40" x14ac:dyDescent="0.25">
      <c r="A680" t="str">
        <f>"20190312160615027"</f>
        <v>20190312160615027</v>
      </c>
      <c r="B680" t="str">
        <f>"1552377975015457"</f>
        <v>1552377975015457</v>
      </c>
      <c r="C680" t="s">
        <v>40</v>
      </c>
      <c r="D680">
        <v>6.2878790000000002</v>
      </c>
      <c r="E680">
        <v>0.49837939999999997</v>
      </c>
      <c r="F680" t="s">
        <v>47</v>
      </c>
      <c r="G680">
        <v>-275.30079999999998</v>
      </c>
      <c r="H680" s="1">
        <v>-2.1341649999999999E-6</v>
      </c>
      <c r="I680">
        <v>368.8501</v>
      </c>
      <c r="J680">
        <v>-311.19889999999998</v>
      </c>
      <c r="K680">
        <v>1.061021</v>
      </c>
      <c r="L680">
        <v>368.26299999999998</v>
      </c>
      <c r="M680">
        <v>0.99983359999999999</v>
      </c>
      <c r="N680">
        <v>0</v>
      </c>
      <c r="O680">
        <v>-1.36886E-2</v>
      </c>
      <c r="P680">
        <v>0.9984883</v>
      </c>
      <c r="Q680">
        <v>5.338685E-2</v>
      </c>
      <c r="R680">
        <v>1.3087039999999999E-2</v>
      </c>
      <c r="S680">
        <v>3.008575</v>
      </c>
      <c r="T680">
        <v>-8.8568330000000001E-2</v>
      </c>
      <c r="U680">
        <v>4.8828129999999997E-2</v>
      </c>
      <c r="V680">
        <v>-2.673031E-2</v>
      </c>
      <c r="W680">
        <v>6.5432340000000005E-2</v>
      </c>
      <c r="X680">
        <v>0.99749889999999997</v>
      </c>
      <c r="Y680">
        <v>-2.989491E-2</v>
      </c>
      <c r="Z680">
        <v>8.4279919999999896E-4</v>
      </c>
      <c r="AA680">
        <v>0.99955269999999996</v>
      </c>
      <c r="AB680">
        <v>29</v>
      </c>
      <c r="AC680">
        <v>35.898099999999999</v>
      </c>
      <c r="AD680">
        <v>-1.061023134165</v>
      </c>
      <c r="AE680">
        <v>0.58709999999996398</v>
      </c>
      <c r="AF680">
        <v>-1.0775343736426699</v>
      </c>
      <c r="AG680">
        <v>-1.061023134165</v>
      </c>
      <c r="AH680">
        <v>35.855384472485902</v>
      </c>
      <c r="AI680">
        <v>91.6942226080197</v>
      </c>
      <c r="AJ680">
        <v>91.721348044642895</v>
      </c>
      <c r="AK680">
        <v>35.887260219852401</v>
      </c>
      <c r="AL680">
        <v>86.248322670968705</v>
      </c>
      <c r="AM680">
        <v>91.535006714572503</v>
      </c>
      <c r="AN680">
        <v>0.99999997804589003</v>
      </c>
    </row>
    <row r="681" spans="1:40" x14ac:dyDescent="0.25">
      <c r="A681" t="str">
        <f>"20190312160615037"</f>
        <v>20190312160615037</v>
      </c>
      <c r="B681" t="str">
        <f>"1552377975026192"</f>
        <v>1552377975026192</v>
      </c>
      <c r="C681" t="s">
        <v>40</v>
      </c>
      <c r="D681">
        <v>6.3377879999999998</v>
      </c>
      <c r="E681">
        <v>0.49845250000000002</v>
      </c>
      <c r="F681" t="s">
        <v>47</v>
      </c>
      <c r="G681">
        <v>-274.59269999999998</v>
      </c>
      <c r="H681" s="1">
        <v>-2.4391020000000001E-6</v>
      </c>
      <c r="I681">
        <v>368.84370000000001</v>
      </c>
      <c r="J681">
        <v>-311.06169999999997</v>
      </c>
      <c r="K681">
        <v>1.060902</v>
      </c>
      <c r="L681">
        <v>368.26100000000002</v>
      </c>
      <c r="M681">
        <v>0.99983390000000005</v>
      </c>
      <c r="N681">
        <v>0</v>
      </c>
      <c r="O681">
        <v>-1.3774059999999999E-2</v>
      </c>
      <c r="P681">
        <v>0.9984809</v>
      </c>
      <c r="Q681">
        <v>5.3469099999999999E-2</v>
      </c>
      <c r="R681">
        <v>1.329725E-2</v>
      </c>
      <c r="S681">
        <v>3.0086059999999999</v>
      </c>
      <c r="T681">
        <v>-8.7203500000000003E-2</v>
      </c>
      <c r="U681">
        <v>4.7729489999999999E-2</v>
      </c>
      <c r="V681">
        <v>-2.7025279999999999E-2</v>
      </c>
      <c r="W681">
        <v>6.5394729999999998E-2</v>
      </c>
      <c r="X681">
        <v>0.99749339999999997</v>
      </c>
      <c r="Y681">
        <v>-2.9615909999999999E-2</v>
      </c>
      <c r="Z681">
        <v>8.2824440000000004E-4</v>
      </c>
      <c r="AA681">
        <v>0.99956100000000003</v>
      </c>
      <c r="AB681">
        <v>29</v>
      </c>
      <c r="AC681">
        <v>36.469000000000001</v>
      </c>
      <c r="AD681">
        <v>-1.0609044391019999</v>
      </c>
      <c r="AE681">
        <v>0.58270000000004496</v>
      </c>
      <c r="AF681">
        <v>-1.0840894992072501</v>
      </c>
      <c r="AG681">
        <v>-1.0609044391019999</v>
      </c>
      <c r="AH681">
        <v>36.426694432671901</v>
      </c>
      <c r="AI681">
        <v>91.667493894247002</v>
      </c>
      <c r="AJ681">
        <v>91.7046681122645</v>
      </c>
      <c r="AK681">
        <v>36.458261554309601</v>
      </c>
      <c r="AL681">
        <v>86.250482121781999</v>
      </c>
      <c r="AM681">
        <v>91.551945887009296</v>
      </c>
      <c r="AN681">
        <v>0.99999995975720402</v>
      </c>
    </row>
    <row r="682" spans="1:40" x14ac:dyDescent="0.25">
      <c r="A682" t="str">
        <f>"20190312160615049"</f>
        <v>20190312160615049</v>
      </c>
      <c r="B682" t="str">
        <f>"1552377975045712"</f>
        <v>1552377975045712</v>
      </c>
      <c r="C682" t="s">
        <v>40</v>
      </c>
      <c r="D682">
        <v>6.2895570000000003</v>
      </c>
      <c r="E682">
        <v>0.49858160000000001</v>
      </c>
      <c r="F682" t="s">
        <v>47</v>
      </c>
      <c r="G682">
        <v>-273.85090000000002</v>
      </c>
      <c r="H682" s="1">
        <v>-2.7564220000000002E-6</v>
      </c>
      <c r="I682">
        <v>368.84870000000001</v>
      </c>
      <c r="J682">
        <v>-310.91019999999997</v>
      </c>
      <c r="K682">
        <v>1.060781</v>
      </c>
      <c r="L682">
        <v>368.25889999999998</v>
      </c>
      <c r="M682">
        <v>0.999834</v>
      </c>
      <c r="N682">
        <v>0</v>
      </c>
      <c r="O682">
        <v>-1.386891E-2</v>
      </c>
      <c r="P682">
        <v>0.99847830000000004</v>
      </c>
      <c r="Q682">
        <v>5.3518690000000001E-2</v>
      </c>
      <c r="R682">
        <v>1.329951E-2</v>
      </c>
      <c r="S682">
        <v>3.0085449999999998</v>
      </c>
      <c r="T682">
        <v>-8.5775489999999996E-2</v>
      </c>
      <c r="U682">
        <v>4.7515870000000002E-2</v>
      </c>
      <c r="V682">
        <v>-2.7121960000000001E-2</v>
      </c>
      <c r="W682">
        <v>6.5321470000000006E-2</v>
      </c>
      <c r="X682">
        <v>0.99749560000000004</v>
      </c>
      <c r="Y682">
        <v>-2.9640619999999999E-2</v>
      </c>
      <c r="Z682">
        <v>8.1775939999999996E-4</v>
      </c>
      <c r="AA682">
        <v>0.99956029999999996</v>
      </c>
      <c r="AB682">
        <v>29</v>
      </c>
      <c r="AC682">
        <v>37.059299999999901</v>
      </c>
      <c r="AD682">
        <v>-1.060783756422</v>
      </c>
      <c r="AE682">
        <v>0.58980000000002497</v>
      </c>
      <c r="AF682">
        <v>-1.10284787985868</v>
      </c>
      <c r="AG682">
        <v>-1.060783756422</v>
      </c>
      <c r="AH682">
        <v>37.017233079969103</v>
      </c>
      <c r="AI682">
        <v>91.640718784311403</v>
      </c>
      <c r="AJ682">
        <v>91.706498244641296</v>
      </c>
      <c r="AK682">
        <v>37.048847222562202</v>
      </c>
      <c r="AL682">
        <v>86.254688694134202</v>
      </c>
      <c r="AM682">
        <v>91.557491641492803</v>
      </c>
      <c r="AN682">
        <v>0.99999998358828102</v>
      </c>
    </row>
    <row r="683" spans="1:40" x14ac:dyDescent="0.25">
      <c r="A683" t="str">
        <f>"20190312160615070"</f>
        <v>20190312160615070</v>
      </c>
      <c r="B683" t="str">
        <f>"1552377975066208"</f>
        <v>1552377975066208</v>
      </c>
      <c r="C683" t="s">
        <v>40</v>
      </c>
      <c r="D683">
        <v>6.291696</v>
      </c>
      <c r="E683">
        <v>0.49870300000000001</v>
      </c>
      <c r="F683" t="s">
        <v>47</v>
      </c>
      <c r="G683">
        <v>-272.56830000000002</v>
      </c>
      <c r="H683" s="1">
        <v>-3.3064350000000001E-6</v>
      </c>
      <c r="I683">
        <v>368.85</v>
      </c>
      <c r="J683">
        <v>-310.65879999999999</v>
      </c>
      <c r="K683">
        <v>1.0606089999999999</v>
      </c>
      <c r="L683">
        <v>368.2552</v>
      </c>
      <c r="M683">
        <v>0.99983390000000005</v>
      </c>
      <c r="N683">
        <v>0</v>
      </c>
      <c r="O683">
        <v>-1.4025620000000001E-2</v>
      </c>
      <c r="P683">
        <v>0.99847739999999996</v>
      </c>
      <c r="Q683">
        <v>5.3525110000000001E-2</v>
      </c>
      <c r="R683">
        <v>1.334079E-2</v>
      </c>
      <c r="S683">
        <v>3.0084529999999998</v>
      </c>
      <c r="T683">
        <v>-8.3233119999999994E-2</v>
      </c>
      <c r="U683">
        <v>4.6386719999999999E-2</v>
      </c>
      <c r="V683">
        <v>-2.7320150000000001E-2</v>
      </c>
      <c r="W683">
        <v>6.5141119999999997E-2</v>
      </c>
      <c r="X683">
        <v>0.997502</v>
      </c>
      <c r="Y683">
        <v>-2.9423729999999999E-2</v>
      </c>
      <c r="Z683">
        <v>7.9489130000000004E-4</v>
      </c>
      <c r="AA683">
        <v>0.99956670000000003</v>
      </c>
      <c r="AB683">
        <v>29</v>
      </c>
      <c r="AC683">
        <v>38.090499999999899</v>
      </c>
      <c r="AD683">
        <v>-1.0606123064349999</v>
      </c>
      <c r="AE683">
        <v>0.59480000000001998</v>
      </c>
      <c r="AF683">
        <v>-1.12814609135379</v>
      </c>
      <c r="AG683">
        <v>-1.0606123064349999</v>
      </c>
      <c r="AH683">
        <v>38.048916934407998</v>
      </c>
      <c r="AI683">
        <v>91.596003479957005</v>
      </c>
      <c r="AJ683">
        <v>91.698315838343703</v>
      </c>
      <c r="AK683">
        <v>38.080410868968798</v>
      </c>
      <c r="AL683">
        <v>86.265044097395304</v>
      </c>
      <c r="AM683">
        <v>91.568857069669406</v>
      </c>
      <c r="AN683">
        <v>0.999999998057438</v>
      </c>
    </row>
    <row r="684" spans="1:40" x14ac:dyDescent="0.25">
      <c r="A684" t="str">
        <f>"20190312160615092"</f>
        <v>20190312160615092</v>
      </c>
      <c r="B684" t="str">
        <f>"1552377975085727"</f>
        <v>1552377975085727</v>
      </c>
      <c r="C684" t="s">
        <v>40</v>
      </c>
      <c r="D684">
        <v>6.1595579999999996</v>
      </c>
      <c r="E684">
        <v>0.49881639999999999</v>
      </c>
      <c r="F684" t="s">
        <v>47</v>
      </c>
      <c r="G684">
        <v>-271.12970000000001</v>
      </c>
      <c r="H684" s="1">
        <v>-3.92303099999999E-6</v>
      </c>
      <c r="I684">
        <v>368.85300000000001</v>
      </c>
      <c r="J684">
        <v>-310.36759999999998</v>
      </c>
      <c r="K684">
        <v>1.0604359999999999</v>
      </c>
      <c r="L684">
        <v>368.2509</v>
      </c>
      <c r="M684">
        <v>0.99983370000000005</v>
      </c>
      <c r="N684">
        <v>0</v>
      </c>
      <c r="O684">
        <v>-1.420771E-2</v>
      </c>
      <c r="P684">
        <v>0.99849120000000002</v>
      </c>
      <c r="Q684">
        <v>5.3234190000000001E-2</v>
      </c>
      <c r="R684">
        <v>1.3474959999999999E-2</v>
      </c>
      <c r="S684">
        <v>3.0083009999999999</v>
      </c>
      <c r="T684">
        <v>-8.0716250000000003E-2</v>
      </c>
      <c r="U684">
        <v>4.5501710000000001E-2</v>
      </c>
      <c r="V684">
        <v>-2.763637E-2</v>
      </c>
      <c r="W684">
        <v>6.4658629999999995E-2</v>
      </c>
      <c r="X684">
        <v>0.99752470000000004</v>
      </c>
      <c r="Y684">
        <v>-2.9313479999999999E-2</v>
      </c>
      <c r="Z684">
        <v>7.7430929999999895E-4</v>
      </c>
      <c r="AA684">
        <v>0.99956999999999996</v>
      </c>
      <c r="AB684">
        <v>29</v>
      </c>
      <c r="AC684">
        <v>39.237899999999897</v>
      </c>
      <c r="AD684">
        <v>-1.060439923031</v>
      </c>
      <c r="AE684">
        <v>0.60210000000000696</v>
      </c>
      <c r="AF684">
        <v>-1.15871023972797</v>
      </c>
      <c r="AG684">
        <v>-1.060439923031</v>
      </c>
      <c r="AH684">
        <v>39.196761433041303</v>
      </c>
      <c r="AI684">
        <v>91.549041337319906</v>
      </c>
      <c r="AJ684">
        <v>91.693249021071395</v>
      </c>
      <c r="AK684">
        <v>39.228220060165398</v>
      </c>
      <c r="AL684">
        <v>86.292747213703393</v>
      </c>
      <c r="AM684">
        <v>91.586970644500596</v>
      </c>
      <c r="AN684">
        <v>1.00000001724517</v>
      </c>
    </row>
    <row r="685" spans="1:40" x14ac:dyDescent="0.25">
      <c r="A685" t="str">
        <f>"20190312160615104"</f>
        <v>20190312160615104</v>
      </c>
      <c r="B685" t="str">
        <f>"1552377975095489"</f>
        <v>1552377975095489</v>
      </c>
      <c r="C685" t="s">
        <v>40</v>
      </c>
      <c r="D685">
        <v>6.2946439999999999</v>
      </c>
      <c r="E685">
        <v>0.49886819999999998</v>
      </c>
      <c r="F685" t="s">
        <v>47</v>
      </c>
      <c r="G685">
        <v>-270.06509999999997</v>
      </c>
      <c r="H685" s="1">
        <v>-4.3792980000000001E-6</v>
      </c>
      <c r="I685">
        <v>368.85559999999998</v>
      </c>
      <c r="J685">
        <v>-310.2174</v>
      </c>
      <c r="K685">
        <v>1.0603590000000001</v>
      </c>
      <c r="L685">
        <v>368.24869999999999</v>
      </c>
      <c r="M685">
        <v>0.99983350000000004</v>
      </c>
      <c r="N685">
        <v>0</v>
      </c>
      <c r="O685">
        <v>-1.4301599999999999E-2</v>
      </c>
      <c r="P685">
        <v>0.99849129999999997</v>
      </c>
      <c r="Q685">
        <v>5.3200890000000001E-2</v>
      </c>
      <c r="R685">
        <v>1.3614899999999999E-2</v>
      </c>
      <c r="S685">
        <v>3.0081180000000001</v>
      </c>
      <c r="T685">
        <v>-7.9149479999999994E-2</v>
      </c>
      <c r="U685">
        <v>4.5135500000000002E-2</v>
      </c>
      <c r="V685">
        <v>-2.7870140000000002E-2</v>
      </c>
      <c r="W685">
        <v>6.4535389999999998E-2</v>
      </c>
      <c r="X685">
        <v>0.99752620000000003</v>
      </c>
      <c r="Y685">
        <v>-2.9287170000000001E-2</v>
      </c>
      <c r="Z685">
        <v>7.6145460000000005E-4</v>
      </c>
      <c r="AA685">
        <v>0.99957070000000003</v>
      </c>
      <c r="AB685">
        <v>29</v>
      </c>
      <c r="AC685">
        <v>40.152299999999997</v>
      </c>
      <c r="AD685">
        <v>-1.0603633792980001</v>
      </c>
      <c r="AE685">
        <v>0.606899999999996</v>
      </c>
      <c r="AF685">
        <v>-1.1802939749436301</v>
      </c>
      <c r="AG685">
        <v>-1.0603633792980001</v>
      </c>
      <c r="AH685">
        <v>40.111544943599696</v>
      </c>
      <c r="AI685">
        <v>91.5136273986368</v>
      </c>
      <c r="AJ685">
        <v>91.685458779358697</v>
      </c>
      <c r="AK685">
        <v>40.142913473312703</v>
      </c>
      <c r="AL685">
        <v>86.299823210050803</v>
      </c>
      <c r="AM685">
        <v>91.600385124441203</v>
      </c>
      <c r="AN685">
        <v>1.0000000404762499</v>
      </c>
    </row>
    <row r="686" spans="1:40" x14ac:dyDescent="0.25">
      <c r="A686" t="str">
        <f>"20190312160615115"</f>
        <v>20190312160615115</v>
      </c>
      <c r="B686" t="str">
        <f>"1552377975106224"</f>
        <v>1552377975106224</v>
      </c>
      <c r="C686" t="s">
        <v>40</v>
      </c>
      <c r="D686">
        <v>6.2979969999999996</v>
      </c>
      <c r="E686">
        <v>0.49891950000000002</v>
      </c>
      <c r="F686" t="s">
        <v>47</v>
      </c>
      <c r="G686">
        <v>-269.39190000000002</v>
      </c>
      <c r="H686" s="1">
        <v>-3.9381509999999998E-7</v>
      </c>
      <c r="I686">
        <v>368.86160000000001</v>
      </c>
      <c r="J686">
        <v>-310.07319999999999</v>
      </c>
      <c r="K686">
        <v>1.060287</v>
      </c>
      <c r="L686">
        <v>368.24650000000003</v>
      </c>
      <c r="M686">
        <v>0.99983310000000003</v>
      </c>
      <c r="N686">
        <v>0</v>
      </c>
      <c r="O686">
        <v>-1.4391589999999999E-2</v>
      </c>
      <c r="P686">
        <v>0.99849279999999996</v>
      </c>
      <c r="Q686">
        <v>5.3142500000000002E-2</v>
      </c>
      <c r="R686">
        <v>1.373635E-2</v>
      </c>
      <c r="S686">
        <v>3.008057</v>
      </c>
      <c r="T686">
        <v>-7.812798E-2</v>
      </c>
      <c r="U686">
        <v>4.5166020000000001E-2</v>
      </c>
      <c r="V686">
        <v>-2.808159E-2</v>
      </c>
      <c r="W686">
        <v>6.4392630000000006E-2</v>
      </c>
      <c r="X686">
        <v>0.99752940000000001</v>
      </c>
      <c r="Y686">
        <v>-2.9387880000000002E-2</v>
      </c>
      <c r="Z686">
        <v>7.5529000000000004E-4</v>
      </c>
      <c r="AA686">
        <v>0.99956780000000001</v>
      </c>
      <c r="AB686">
        <v>29</v>
      </c>
      <c r="AC686">
        <v>40.681299999999901</v>
      </c>
      <c r="AD686">
        <v>-1.0602873938151001</v>
      </c>
      <c r="AE686">
        <v>0.61509999999998399</v>
      </c>
      <c r="AF686">
        <v>-1.19972717859793</v>
      </c>
      <c r="AG686">
        <v>-1.0602873938151001</v>
      </c>
      <c r="AH686">
        <v>40.640632894811397</v>
      </c>
      <c r="AI686">
        <v>91.493819748523507</v>
      </c>
      <c r="AJ686">
        <v>91.690902472341605</v>
      </c>
      <c r="AK686">
        <v>40.672159971550201</v>
      </c>
      <c r="AL686">
        <v>86.308019451536396</v>
      </c>
      <c r="AM686">
        <v>91.612515646592001</v>
      </c>
      <c r="AN686">
        <v>0.99999994517980095</v>
      </c>
    </row>
    <row r="687" spans="1:40" x14ac:dyDescent="0.25">
      <c r="A687" t="str">
        <f>"20190312160615125"</f>
        <v>20190312160615125</v>
      </c>
      <c r="B687" t="str">
        <f>"1552377975115984"</f>
        <v>1552377975115984</v>
      </c>
      <c r="C687" t="s">
        <v>40</v>
      </c>
      <c r="D687">
        <v>6.2442469999999997</v>
      </c>
      <c r="E687">
        <v>0.4989846</v>
      </c>
      <c r="F687" t="s">
        <v>47</v>
      </c>
      <c r="G687">
        <v>-268.7346</v>
      </c>
      <c r="H687" s="1">
        <v>-6.5723879999999996E-7</v>
      </c>
      <c r="I687">
        <v>368.87180000000001</v>
      </c>
      <c r="J687">
        <v>-309.92649999999998</v>
      </c>
      <c r="K687">
        <v>1.0602240000000001</v>
      </c>
      <c r="L687">
        <v>368.24430000000001</v>
      </c>
      <c r="M687">
        <v>0.99983270000000002</v>
      </c>
      <c r="N687">
        <v>0</v>
      </c>
      <c r="O687">
        <v>-1.448292E-2</v>
      </c>
      <c r="P687">
        <v>0.99849120000000002</v>
      </c>
      <c r="Q687">
        <v>5.3126439999999997E-2</v>
      </c>
      <c r="R687">
        <v>1.389202E-2</v>
      </c>
      <c r="S687">
        <v>3.007965</v>
      </c>
      <c r="T687">
        <v>-7.7150819999999995E-2</v>
      </c>
      <c r="U687">
        <v>4.5501710000000001E-2</v>
      </c>
      <c r="V687">
        <v>-2.8328160000000002E-2</v>
      </c>
      <c r="W687">
        <v>6.4297469999999995E-2</v>
      </c>
      <c r="X687">
        <v>0.99752859999999999</v>
      </c>
      <c r="Y687">
        <v>-2.959144E-2</v>
      </c>
      <c r="Z687">
        <v>7.5082060000000001E-4</v>
      </c>
      <c r="AA687">
        <v>0.99956179999999994</v>
      </c>
      <c r="AB687">
        <v>29</v>
      </c>
      <c r="AC687">
        <v>41.191899999999897</v>
      </c>
      <c r="AD687">
        <v>-1.0602246572388001</v>
      </c>
      <c r="AE687">
        <v>0.62749999999999695</v>
      </c>
      <c r="AF687">
        <v>-1.22324022214289</v>
      </c>
      <c r="AG687">
        <v>-1.0602246572388001</v>
      </c>
      <c r="AH687">
        <v>41.151235025370198</v>
      </c>
      <c r="AI687">
        <v>91.475196558464205</v>
      </c>
      <c r="AJ687">
        <v>91.702643190291994</v>
      </c>
      <c r="AK687">
        <v>41.183061288327501</v>
      </c>
      <c r="AL687">
        <v>86.313483163575299</v>
      </c>
      <c r="AM687">
        <v>91.6266680471402</v>
      </c>
      <c r="AN687">
        <v>0.99999997855767297</v>
      </c>
    </row>
    <row r="688" spans="1:40" x14ac:dyDescent="0.25">
      <c r="A688" t="str">
        <f>"20190312160615136"</f>
        <v>20190312160615136</v>
      </c>
      <c r="B688" t="str">
        <f>"1552377975125743"</f>
        <v>1552377975125743</v>
      </c>
      <c r="C688" t="s">
        <v>40</v>
      </c>
      <c r="D688">
        <v>6.2963120000000004</v>
      </c>
      <c r="E688">
        <v>0.49904690000000002</v>
      </c>
      <c r="F688" t="s">
        <v>47</v>
      </c>
      <c r="G688">
        <v>-267.9821</v>
      </c>
      <c r="H688" s="1">
        <v>-9.7963850000000001E-7</v>
      </c>
      <c r="I688">
        <v>368.8741</v>
      </c>
      <c r="J688">
        <v>-309.7971</v>
      </c>
      <c r="K688">
        <v>1.0601689999999999</v>
      </c>
      <c r="L688">
        <v>368.2423</v>
      </c>
      <c r="M688">
        <v>0.9998321</v>
      </c>
      <c r="N688">
        <v>0</v>
      </c>
      <c r="O688">
        <v>-1.456359E-2</v>
      </c>
      <c r="P688">
        <v>0.99849580000000004</v>
      </c>
      <c r="Q688">
        <v>5.2960569999999998E-2</v>
      </c>
      <c r="R688">
        <v>1.418648E-2</v>
      </c>
      <c r="S688">
        <v>3.0079349999999998</v>
      </c>
      <c r="T688">
        <v>-7.6031329999999994E-2</v>
      </c>
      <c r="U688">
        <v>4.5166020000000001E-2</v>
      </c>
      <c r="V688">
        <v>-2.87034E-2</v>
      </c>
      <c r="W688">
        <v>6.4063330000000002E-2</v>
      </c>
      <c r="X688">
        <v>0.997533</v>
      </c>
      <c r="Y688">
        <v>-2.95611E-2</v>
      </c>
      <c r="Z688">
        <v>7.4159249999999996E-4</v>
      </c>
      <c r="AA688">
        <v>0.99956270000000003</v>
      </c>
      <c r="AB688">
        <v>29</v>
      </c>
      <c r="AC688">
        <v>41.814999999999998</v>
      </c>
      <c r="AD688">
        <v>-1.0601699796385</v>
      </c>
      <c r="AE688">
        <v>0.63179999999999803</v>
      </c>
      <c r="AF688">
        <v>-1.2399502846833601</v>
      </c>
      <c r="AG688">
        <v>-1.0601699796385</v>
      </c>
      <c r="AH688">
        <v>41.774515723222002</v>
      </c>
      <c r="AI688">
        <v>91.453122924872801</v>
      </c>
      <c r="AJ688">
        <v>91.700152933189003</v>
      </c>
      <c r="AK688">
        <v>41.806358380082997</v>
      </c>
      <c r="AL688">
        <v>86.326926341637403</v>
      </c>
      <c r="AM688">
        <v>91.6481961167637</v>
      </c>
      <c r="AN688">
        <v>1.00000004075562</v>
      </c>
    </row>
    <row r="689" spans="1:40" x14ac:dyDescent="0.25">
      <c r="A689" t="str">
        <f>"20190312160615147"</f>
        <v>20190312160615147</v>
      </c>
      <c r="B689" t="str">
        <f>"1552377975135504"</f>
        <v>1552377975135504</v>
      </c>
      <c r="C689" t="s">
        <v>40</v>
      </c>
      <c r="D689">
        <v>6.2969689999999998</v>
      </c>
      <c r="E689">
        <v>0.49911030000000001</v>
      </c>
      <c r="F689" t="s">
        <v>47</v>
      </c>
      <c r="G689">
        <v>-267.44560000000001</v>
      </c>
      <c r="H689" s="1">
        <v>-1.2078290000000001E-6</v>
      </c>
      <c r="I689">
        <v>368.88510000000002</v>
      </c>
      <c r="J689">
        <v>-309.65179999999998</v>
      </c>
      <c r="K689">
        <v>1.060111</v>
      </c>
      <c r="L689">
        <v>368.24009999999998</v>
      </c>
      <c r="M689">
        <v>0.99983180000000005</v>
      </c>
      <c r="N689">
        <v>0</v>
      </c>
      <c r="O689">
        <v>-1.4654489999999999E-2</v>
      </c>
      <c r="P689">
        <v>0.99849690000000002</v>
      </c>
      <c r="Q689">
        <v>5.2828569999999998E-2</v>
      </c>
      <c r="R689">
        <v>1.460558E-2</v>
      </c>
      <c r="S689">
        <v>3.0078429999999998</v>
      </c>
      <c r="T689">
        <v>-7.5294260000000002E-2</v>
      </c>
      <c r="U689">
        <v>4.5654300000000002E-2</v>
      </c>
      <c r="V689">
        <v>-2.9213220000000002E-2</v>
      </c>
      <c r="W689">
        <v>6.3858730000000002E-2</v>
      </c>
      <c r="X689">
        <v>0.99753130000000001</v>
      </c>
      <c r="Y689">
        <v>-2.9814810000000001E-2</v>
      </c>
      <c r="Z689">
        <v>7.3987649999999897E-4</v>
      </c>
      <c r="AA689">
        <v>0.99955519999999998</v>
      </c>
      <c r="AB689">
        <v>29</v>
      </c>
      <c r="AC689">
        <v>42.206199999999903</v>
      </c>
      <c r="AD689">
        <v>-1.060112207829</v>
      </c>
      <c r="AE689">
        <v>0.64500000000003799</v>
      </c>
      <c r="AF689">
        <v>-1.2626822567507201</v>
      </c>
      <c r="AG689">
        <v>-1.060112207829</v>
      </c>
      <c r="AH689">
        <v>42.165619003289997</v>
      </c>
      <c r="AI689">
        <v>91.439560592060204</v>
      </c>
      <c r="AJ689">
        <v>91.715254085937602</v>
      </c>
      <c r="AK689">
        <v>42.197839166304597</v>
      </c>
      <c r="AL689">
        <v>86.338673041804697</v>
      </c>
      <c r="AM689">
        <v>91.677457091254496</v>
      </c>
      <c r="AN689">
        <v>1.00000002204983</v>
      </c>
    </row>
    <row r="690" spans="1:40" x14ac:dyDescent="0.25">
      <c r="A690" t="str">
        <f>"20190312160615159"</f>
        <v>20190312160615159</v>
      </c>
      <c r="B690" t="str">
        <f>"1552377975156000"</f>
        <v>1552377975156000</v>
      </c>
      <c r="C690" t="s">
        <v>40</v>
      </c>
      <c r="D690">
        <v>6.2966839999999999</v>
      </c>
      <c r="E690">
        <v>0.49921579999999899</v>
      </c>
      <c r="F690" t="s">
        <v>47</v>
      </c>
      <c r="G690">
        <v>-266.80180000000001</v>
      </c>
      <c r="H690" s="1">
        <v>-1.481724E-6</v>
      </c>
      <c r="I690">
        <v>368.89830000000001</v>
      </c>
      <c r="J690">
        <v>-309.50349999999997</v>
      </c>
      <c r="K690">
        <v>1.0600609999999999</v>
      </c>
      <c r="L690">
        <v>368.23779999999999</v>
      </c>
      <c r="M690">
        <v>0.99983100000000003</v>
      </c>
      <c r="N690">
        <v>0</v>
      </c>
      <c r="O690">
        <v>-1.474695E-2</v>
      </c>
      <c r="P690">
        <v>0.99851979999999996</v>
      </c>
      <c r="Q690">
        <v>5.23753E-2</v>
      </c>
      <c r="R690">
        <v>1.46667E-2</v>
      </c>
      <c r="S690">
        <v>3.0078130000000001</v>
      </c>
      <c r="T690">
        <v>-7.4413300000000002E-2</v>
      </c>
      <c r="U690">
        <v>4.6203609999999999E-2</v>
      </c>
      <c r="V690">
        <v>-2.9367359999999999E-2</v>
      </c>
      <c r="W690">
        <v>6.3334310000000005E-2</v>
      </c>
      <c r="X690">
        <v>0.99756020000000001</v>
      </c>
      <c r="Y690">
        <v>-3.0090100000000002E-2</v>
      </c>
      <c r="Z690">
        <v>7.3692050000000002E-4</v>
      </c>
      <c r="AA690">
        <v>0.99954690000000002</v>
      </c>
      <c r="AB690">
        <v>29</v>
      </c>
      <c r="AC690">
        <v>42.701699999999903</v>
      </c>
      <c r="AD690">
        <v>-1.0600624817240001</v>
      </c>
      <c r="AE690">
        <v>0.66050000000001297</v>
      </c>
      <c r="AF690">
        <v>-1.2893915195352099</v>
      </c>
      <c r="AG690">
        <v>-1.0600624817240001</v>
      </c>
      <c r="AH690">
        <v>42.661030497309902</v>
      </c>
      <c r="AI690">
        <v>91.4227716489995</v>
      </c>
      <c r="AJ690">
        <v>91.731186713048501</v>
      </c>
      <c r="AK690">
        <v>42.693673841076397</v>
      </c>
      <c r="AL690">
        <v>86.368781015093205</v>
      </c>
      <c r="AM690">
        <v>91.686254067399503</v>
      </c>
      <c r="AN690">
        <v>1.0000000146402901</v>
      </c>
    </row>
    <row r="691" spans="1:40" x14ac:dyDescent="0.25">
      <c r="A691" t="str">
        <f>"20190312160615171"</f>
        <v>20190312160615171</v>
      </c>
      <c r="B691" t="str">
        <f>"1552377975165760"</f>
        <v>1552377975165760</v>
      </c>
      <c r="C691" t="s">
        <v>40</v>
      </c>
      <c r="D691">
        <v>6.198277</v>
      </c>
      <c r="E691">
        <v>0.4992721</v>
      </c>
      <c r="F691" t="s">
        <v>47</v>
      </c>
      <c r="G691">
        <v>-266.02109999999999</v>
      </c>
      <c r="H691" s="1">
        <v>-1.816628E-6</v>
      </c>
      <c r="I691">
        <v>368.89830000000001</v>
      </c>
      <c r="J691">
        <v>-309.34820000000002</v>
      </c>
      <c r="K691">
        <v>1.060009</v>
      </c>
      <c r="L691">
        <v>368.2355</v>
      </c>
      <c r="M691">
        <v>0.99983049999999996</v>
      </c>
      <c r="N691">
        <v>0</v>
      </c>
      <c r="O691">
        <v>-1.484395E-2</v>
      </c>
      <c r="P691">
        <v>0.99851970000000001</v>
      </c>
      <c r="Q691">
        <v>5.2309899999999999E-2</v>
      </c>
      <c r="R691">
        <v>1.490901E-2</v>
      </c>
      <c r="S691">
        <v>3.00766</v>
      </c>
      <c r="T691">
        <v>-7.3323970000000002E-2</v>
      </c>
      <c r="U691">
        <v>4.5684809999999999E-2</v>
      </c>
      <c r="V691">
        <v>-2.9706779999999999E-2</v>
      </c>
      <c r="W691">
        <v>6.3197260000000005E-2</v>
      </c>
      <c r="X691">
        <v>0.99755879999999997</v>
      </c>
      <c r="Y691">
        <v>-3.001585E-2</v>
      </c>
      <c r="Z691">
        <v>7.2763280000000003E-4</v>
      </c>
      <c r="AA691">
        <v>0.99954920000000003</v>
      </c>
      <c r="AB691">
        <v>29</v>
      </c>
      <c r="AC691">
        <v>43.327100000000002</v>
      </c>
      <c r="AD691">
        <v>-1.060010816628</v>
      </c>
      <c r="AE691">
        <v>0.66280000000000405</v>
      </c>
      <c r="AF691">
        <v>-1.30512941869299</v>
      </c>
      <c r="AG691">
        <v>-1.060010816628</v>
      </c>
      <c r="AH691">
        <v>43.2865834311879</v>
      </c>
      <c r="AI691">
        <v>91.402153617256104</v>
      </c>
      <c r="AJ691">
        <v>91.726996082052906</v>
      </c>
      <c r="AK691">
        <v>43.319225418699403</v>
      </c>
      <c r="AL691">
        <v>86.376649012473294</v>
      </c>
      <c r="AM691">
        <v>91.705734280373903</v>
      </c>
      <c r="AN691">
        <v>0.99999997295345699</v>
      </c>
    </row>
    <row r="692" spans="1:40" x14ac:dyDescent="0.25">
      <c r="A692" t="str">
        <f>"20190312160615182"</f>
        <v>20190312160615182</v>
      </c>
      <c r="B692" t="str">
        <f>"1552377975175520"</f>
        <v>1552377975175520</v>
      </c>
      <c r="C692" t="s">
        <v>40</v>
      </c>
      <c r="D692">
        <v>5.689508</v>
      </c>
      <c r="E692">
        <v>0.49930330000000001</v>
      </c>
      <c r="F692" t="s">
        <v>47</v>
      </c>
      <c r="G692">
        <v>-265.23390000000001</v>
      </c>
      <c r="H692" s="1">
        <v>-2.1520849999999999E-6</v>
      </c>
      <c r="I692">
        <v>368.91090000000003</v>
      </c>
      <c r="J692">
        <v>-309.20699999999999</v>
      </c>
      <c r="K692">
        <v>1.0599609999999999</v>
      </c>
      <c r="L692">
        <v>368.23329999999999</v>
      </c>
      <c r="M692">
        <v>0.99982990000000005</v>
      </c>
      <c r="N692">
        <v>0</v>
      </c>
      <c r="O692">
        <v>-1.493217E-2</v>
      </c>
      <c r="P692">
        <v>0.99854419999999999</v>
      </c>
      <c r="Q692">
        <v>5.1771730000000002E-2</v>
      </c>
      <c r="R692">
        <v>1.515184E-2</v>
      </c>
      <c r="S692">
        <v>3.0075379999999998</v>
      </c>
      <c r="T692">
        <v>-7.2267289999999998E-2</v>
      </c>
      <c r="U692">
        <v>4.605103E-2</v>
      </c>
      <c r="V692">
        <v>-3.0037560000000001E-2</v>
      </c>
      <c r="W692">
        <v>6.2597639999999996E-2</v>
      </c>
      <c r="X692">
        <v>0.99758670000000005</v>
      </c>
      <c r="Y692">
        <v>-3.0226630000000001E-2</v>
      </c>
      <c r="Z692">
        <v>7.2182949999999996E-4</v>
      </c>
      <c r="AA692">
        <v>0.99954279999999995</v>
      </c>
      <c r="AB692">
        <v>29</v>
      </c>
      <c r="AC692">
        <v>43.973099999999903</v>
      </c>
      <c r="AD692">
        <v>-1.0599631520849999</v>
      </c>
      <c r="AE692">
        <v>0.67760000000003995</v>
      </c>
      <c r="AF692">
        <v>-1.33340215237546</v>
      </c>
      <c r="AG692">
        <v>-1.0599631520849999</v>
      </c>
      <c r="AH692">
        <v>43.932557594130898</v>
      </c>
      <c r="AI692">
        <v>91.381474269837497</v>
      </c>
      <c r="AJ692">
        <v>91.738457165647802</v>
      </c>
      <c r="AK692">
        <v>43.965567208275303</v>
      </c>
      <c r="AL692">
        <v>86.411072864426998</v>
      </c>
      <c r="AM692">
        <v>91.724667729651003</v>
      </c>
      <c r="AN692">
        <v>0.99999997178060596</v>
      </c>
    </row>
    <row r="693" spans="1:40" x14ac:dyDescent="0.25">
      <c r="A693" t="str">
        <f>"20190312160615203"</f>
        <v>20190312160615203</v>
      </c>
      <c r="B693" t="str">
        <f>"1552377975196017"</f>
        <v>1552377975196017</v>
      </c>
      <c r="C693" t="s">
        <v>40</v>
      </c>
      <c r="D693">
        <v>6.300122</v>
      </c>
      <c r="E693">
        <v>0.49943460000000001</v>
      </c>
      <c r="F693" t="s">
        <v>47</v>
      </c>
      <c r="G693">
        <v>-265.1909</v>
      </c>
      <c r="H693" s="1">
        <v>-2.1696899999999999E-6</v>
      </c>
      <c r="I693">
        <v>368.91570000000002</v>
      </c>
      <c r="J693">
        <v>-308.93369999999999</v>
      </c>
      <c r="K693">
        <v>1.059887</v>
      </c>
      <c r="L693">
        <v>368.22899999999998</v>
      </c>
      <c r="M693">
        <v>0.99982859999999996</v>
      </c>
      <c r="N693">
        <v>0</v>
      </c>
      <c r="O693">
        <v>-1.5102829999999999E-2</v>
      </c>
      <c r="P693">
        <v>0.99858800000000003</v>
      </c>
      <c r="Q693">
        <v>5.0748590000000003E-2</v>
      </c>
      <c r="R693">
        <v>1.5709500000000001E-2</v>
      </c>
      <c r="S693">
        <v>3.0074770000000002</v>
      </c>
      <c r="T693">
        <v>-7.2423699999999994E-2</v>
      </c>
      <c r="U693">
        <v>4.6630860000000003E-2</v>
      </c>
      <c r="V693">
        <v>-3.0766580000000002E-2</v>
      </c>
      <c r="W693">
        <v>6.1459239999999998E-2</v>
      </c>
      <c r="X693">
        <v>0.9976353</v>
      </c>
      <c r="Y693">
        <v>-3.0589979999999999E-2</v>
      </c>
      <c r="Z693">
        <v>7.3188759999999996E-4</v>
      </c>
      <c r="AA693">
        <v>0.99953170000000002</v>
      </c>
      <c r="AB693">
        <v>29</v>
      </c>
      <c r="AC693">
        <v>43.742799999999903</v>
      </c>
      <c r="AD693">
        <v>-1.0598891696899999</v>
      </c>
      <c r="AE693">
        <v>0.686699999999973</v>
      </c>
      <c r="AF693">
        <v>-1.3465092919004999</v>
      </c>
      <c r="AG693">
        <v>-1.0598891696899999</v>
      </c>
      <c r="AH693">
        <v>43.701787925455797</v>
      </c>
      <c r="AI693">
        <v>91.388649959462995</v>
      </c>
      <c r="AJ693">
        <v>91.764799645583807</v>
      </c>
      <c r="AK693">
        <v>43.735371499585099</v>
      </c>
      <c r="AL693">
        <v>86.476424348478204</v>
      </c>
      <c r="AM693">
        <v>91.766413690968903</v>
      </c>
      <c r="AN693">
        <v>1.00000000621618</v>
      </c>
    </row>
    <row r="694" spans="1:40" x14ac:dyDescent="0.25">
      <c r="A694" t="str">
        <f>"20190312160615214"</f>
        <v>20190312160615214</v>
      </c>
      <c r="B694" t="str">
        <f>"1552377975205776"</f>
        <v>1552377975205776</v>
      </c>
      <c r="C694" t="s">
        <v>40</v>
      </c>
      <c r="D694">
        <v>6.3516589999999997</v>
      </c>
      <c r="E694">
        <v>0.49949979999999999</v>
      </c>
      <c r="F694" t="s">
        <v>47</v>
      </c>
      <c r="G694">
        <v>-265.38240000000002</v>
      </c>
      <c r="H694" s="1">
        <v>-2.0876760000000001E-6</v>
      </c>
      <c r="I694">
        <v>368.91489999999999</v>
      </c>
      <c r="J694">
        <v>-308.79340000000002</v>
      </c>
      <c r="K694">
        <v>1.059847</v>
      </c>
      <c r="L694">
        <v>368.22680000000003</v>
      </c>
      <c r="M694">
        <v>0.99982789999999999</v>
      </c>
      <c r="N694">
        <v>0</v>
      </c>
      <c r="O694">
        <v>-1.519013E-2</v>
      </c>
      <c r="P694">
        <v>0.99859699999999996</v>
      </c>
      <c r="Q694">
        <v>5.0513009999999997E-2</v>
      </c>
      <c r="R694">
        <v>1.5894999999999999E-2</v>
      </c>
      <c r="S694">
        <v>3.0071720000000002</v>
      </c>
      <c r="T694">
        <v>-7.3184009999999994E-2</v>
      </c>
      <c r="U694">
        <v>4.7363280000000001E-2</v>
      </c>
      <c r="V694">
        <v>-3.103972E-2</v>
      </c>
      <c r="W694">
        <v>6.1165099999999903E-2</v>
      </c>
      <c r="X694">
        <v>0.99764489999999995</v>
      </c>
      <c r="Y694">
        <v>-3.0921799999999999E-2</v>
      </c>
      <c r="Z694">
        <v>7.4580320000000003E-4</v>
      </c>
      <c r="AA694">
        <v>0.99952160000000001</v>
      </c>
      <c r="AB694">
        <v>29</v>
      </c>
      <c r="AC694">
        <v>43.411000000000001</v>
      </c>
      <c r="AD694">
        <v>-1.0598490876760001</v>
      </c>
      <c r="AE694">
        <v>0.68809999999996296</v>
      </c>
      <c r="AF694">
        <v>-1.3466742417002999</v>
      </c>
      <c r="AG694">
        <v>-1.0598490876760001</v>
      </c>
      <c r="AH694">
        <v>43.369693536392603</v>
      </c>
      <c r="AI694">
        <v>91.399215788302598</v>
      </c>
      <c r="AJ694">
        <v>91.778522292715493</v>
      </c>
      <c r="AK694">
        <v>43.403538208797201</v>
      </c>
      <c r="AL694">
        <v>86.493309038687599</v>
      </c>
      <c r="AM694">
        <v>91.782068379762507</v>
      </c>
      <c r="AN694">
        <v>0.99999999008584906</v>
      </c>
    </row>
    <row r="695" spans="1:40" x14ac:dyDescent="0.25">
      <c r="A695" t="str">
        <f>"20190312160615225"</f>
        <v>20190312160615225</v>
      </c>
      <c r="B695" t="str">
        <f>"1552377975215536"</f>
        <v>1552377975215536</v>
      </c>
      <c r="C695" t="s">
        <v>40</v>
      </c>
      <c r="D695">
        <v>6.3427309999999997</v>
      </c>
      <c r="E695">
        <v>0.49956519999999999</v>
      </c>
      <c r="F695" t="s">
        <v>47</v>
      </c>
      <c r="G695">
        <v>-264.9468</v>
      </c>
      <c r="H695" s="1">
        <v>-2.2736320000000002E-6</v>
      </c>
      <c r="I695">
        <v>368.92</v>
      </c>
      <c r="J695">
        <v>-308.654</v>
      </c>
      <c r="K695">
        <v>1.059814</v>
      </c>
      <c r="L695">
        <v>368.22460000000001</v>
      </c>
      <c r="M695">
        <v>0.99982709999999997</v>
      </c>
      <c r="N695">
        <v>0</v>
      </c>
      <c r="O695">
        <v>-1.5276970000000001E-2</v>
      </c>
      <c r="P695">
        <v>0.99861339999999998</v>
      </c>
      <c r="Q695">
        <v>5.0142150000000003E-2</v>
      </c>
      <c r="R695">
        <v>1.6037010000000001E-2</v>
      </c>
      <c r="S695">
        <v>3.0071409999999998</v>
      </c>
      <c r="T695">
        <v>-7.2687749999999995E-2</v>
      </c>
      <c r="U695">
        <v>4.7546390000000001E-2</v>
      </c>
      <c r="V695">
        <v>-3.1268879999999999E-2</v>
      </c>
      <c r="W695">
        <v>6.0739120000000001E-2</v>
      </c>
      <c r="X695">
        <v>0.99766379999999999</v>
      </c>
      <c r="Y695">
        <v>-3.106973E-2</v>
      </c>
      <c r="Z695">
        <v>7.4464069999999999E-4</v>
      </c>
      <c r="AA695">
        <v>0.99951699999999999</v>
      </c>
      <c r="AB695">
        <v>29</v>
      </c>
      <c r="AC695">
        <v>43.7072</v>
      </c>
      <c r="AD695">
        <v>-1.059816273632</v>
      </c>
      <c r="AE695">
        <v>0.69540000000000601</v>
      </c>
      <c r="AF695">
        <v>-1.36226917375009</v>
      </c>
      <c r="AG695">
        <v>-1.059816273632</v>
      </c>
      <c r="AH695">
        <v>43.665806918231397</v>
      </c>
      <c r="AI695">
        <v>91.389681599907505</v>
      </c>
      <c r="AJ695">
        <v>91.786912276805296</v>
      </c>
      <c r="AK695">
        <v>43.699904824334297</v>
      </c>
      <c r="AL695">
        <v>86.517761466391406</v>
      </c>
      <c r="AM695">
        <v>91.7951824672583</v>
      </c>
      <c r="AN695">
        <v>1.0000000206926301</v>
      </c>
    </row>
    <row r="696" spans="1:40" x14ac:dyDescent="0.25">
      <c r="A696" t="str">
        <f>"20190312160615237"</f>
        <v>20190312160615237</v>
      </c>
      <c r="B696" t="str">
        <f>"1552377975226272"</f>
        <v>1552377975226272</v>
      </c>
      <c r="C696" t="s">
        <v>40</v>
      </c>
      <c r="D696">
        <v>6.3431899999999999</v>
      </c>
      <c r="E696">
        <v>0.49956519999999999</v>
      </c>
      <c r="F696" t="s">
        <v>47</v>
      </c>
      <c r="G696">
        <v>-264.75659999999999</v>
      </c>
      <c r="H696" s="1">
        <v>-2.3558739999999999E-6</v>
      </c>
      <c r="I696">
        <v>368.91640000000001</v>
      </c>
      <c r="J696">
        <v>-308.51029999999997</v>
      </c>
      <c r="K696">
        <v>1.059782</v>
      </c>
      <c r="L696">
        <v>368.22230000000002</v>
      </c>
      <c r="M696">
        <v>0.99982629999999995</v>
      </c>
      <c r="N696">
        <v>0</v>
      </c>
      <c r="O696">
        <v>-1.536655E-2</v>
      </c>
      <c r="P696">
        <v>0.9986197</v>
      </c>
      <c r="Q696">
        <v>4.9921260000000002E-2</v>
      </c>
      <c r="R696">
        <v>1.6330939999999999E-2</v>
      </c>
      <c r="S696">
        <v>3.00705</v>
      </c>
      <c r="T696">
        <v>-7.2599170000000005E-2</v>
      </c>
      <c r="U696">
        <v>4.73938E-2</v>
      </c>
      <c r="V696">
        <v>-3.1652359999999997E-2</v>
      </c>
      <c r="W696">
        <v>6.0462599999999998E-2</v>
      </c>
      <c r="X696">
        <v>0.99766849999999996</v>
      </c>
      <c r="Y696">
        <v>-3.1109040000000001E-2</v>
      </c>
      <c r="Z696">
        <v>7.4639309999999996E-4</v>
      </c>
      <c r="AA696">
        <v>0.99951570000000001</v>
      </c>
      <c r="AB696">
        <v>29</v>
      </c>
      <c r="AC696">
        <v>43.753699999999903</v>
      </c>
      <c r="AD696">
        <v>-1.0597843558740001</v>
      </c>
      <c r="AE696">
        <v>0.69409999999999095</v>
      </c>
      <c r="AF696">
        <v>-1.3655978790218799</v>
      </c>
      <c r="AG696">
        <v>-1.0597843558740001</v>
      </c>
      <c r="AH696">
        <v>43.712227922223498</v>
      </c>
      <c r="AI696">
        <v>91.388162726683703</v>
      </c>
      <c r="AJ696">
        <v>91.789374715659406</v>
      </c>
      <c r="AK696">
        <v>43.7463926555386</v>
      </c>
      <c r="AL696">
        <v>86.533634054463704</v>
      </c>
      <c r="AM696">
        <v>91.817175269814598</v>
      </c>
      <c r="AN696">
        <v>1.00000001689228</v>
      </c>
    </row>
    <row r="697" spans="1:40" x14ac:dyDescent="0.25">
      <c r="A697" t="str">
        <f>"20190312160615247"</f>
        <v>20190312160615247</v>
      </c>
      <c r="B697" t="str">
        <f>"1552377975236033"</f>
        <v>1552377975236033</v>
      </c>
      <c r="C697" t="s">
        <v>40</v>
      </c>
      <c r="D697">
        <v>6.3430200000000001</v>
      </c>
      <c r="E697">
        <v>0.51020969999999999</v>
      </c>
      <c r="F697" t="s">
        <v>47</v>
      </c>
      <c r="G697">
        <v>-265.01119999999997</v>
      </c>
      <c r="H697" s="1">
        <v>-2.2457290000000001E-6</v>
      </c>
      <c r="I697">
        <v>368.92160000000001</v>
      </c>
      <c r="J697">
        <v>-308.3614</v>
      </c>
      <c r="K697">
        <v>1.0597540000000001</v>
      </c>
      <c r="L697">
        <v>368.2199</v>
      </c>
      <c r="M697">
        <v>0.99982539999999998</v>
      </c>
      <c r="N697">
        <v>0</v>
      </c>
      <c r="O697">
        <v>-1.5459489999999999E-2</v>
      </c>
      <c r="P697">
        <v>0.99862689999999998</v>
      </c>
      <c r="Q697">
        <v>4.9719359999999997E-2</v>
      </c>
      <c r="R697">
        <v>1.6507359999999999E-2</v>
      </c>
      <c r="S697">
        <v>3.0069889999999999</v>
      </c>
      <c r="T697">
        <v>-7.3260190000000003E-2</v>
      </c>
      <c r="U697">
        <v>4.8339840000000002E-2</v>
      </c>
      <c r="V697">
        <v>-3.1921640000000001E-2</v>
      </c>
      <c r="W697">
        <v>6.0207480000000001E-2</v>
      </c>
      <c r="X697">
        <v>0.99767539999999999</v>
      </c>
      <c r="Y697">
        <v>-3.1516240000000001E-2</v>
      </c>
      <c r="Z697">
        <v>7.6042340000000001E-4</v>
      </c>
      <c r="AA697">
        <v>0.99950300000000003</v>
      </c>
      <c r="AB697">
        <v>29</v>
      </c>
      <c r="AC697">
        <v>43.350200000000001</v>
      </c>
      <c r="AD697">
        <v>-1.059756245729</v>
      </c>
      <c r="AE697">
        <v>0.70170000000001598</v>
      </c>
      <c r="AF697">
        <v>-1.3710059034981199</v>
      </c>
      <c r="AG697">
        <v>-1.059756245729</v>
      </c>
      <c r="AH697">
        <v>43.308294939475502</v>
      </c>
      <c r="AI697">
        <v>91.401049407692497</v>
      </c>
      <c r="AJ697">
        <v>91.813200612683403</v>
      </c>
      <c r="AK697">
        <v>43.342948112148399</v>
      </c>
      <c r="AL697">
        <v>86.548278207970796</v>
      </c>
      <c r="AM697">
        <v>91.832611584262693</v>
      </c>
      <c r="AN697">
        <v>1.00000006775669</v>
      </c>
    </row>
    <row r="698" spans="1:40" x14ac:dyDescent="0.25">
      <c r="A698" t="str">
        <f>"20190312160615260"</f>
        <v>20190312160615260</v>
      </c>
      <c r="B698" t="str">
        <f>"1552377975255553"</f>
        <v>1552377975255553</v>
      </c>
      <c r="C698" t="s">
        <v>40</v>
      </c>
      <c r="D698">
        <v>6.2977540000000003</v>
      </c>
      <c r="E698">
        <v>0.51032690000000003</v>
      </c>
      <c r="F698" t="s">
        <v>42</v>
      </c>
      <c r="G698">
        <v>-158.19499999999999</v>
      </c>
      <c r="H698">
        <v>6.1136699999999999</v>
      </c>
      <c r="I698">
        <v>366.58069999999998</v>
      </c>
      <c r="J698">
        <v>-308.2045</v>
      </c>
      <c r="K698">
        <v>1.0597259999999999</v>
      </c>
      <c r="L698">
        <v>368.2174</v>
      </c>
      <c r="M698">
        <v>0.99982459999999995</v>
      </c>
      <c r="N698">
        <v>0</v>
      </c>
      <c r="O698">
        <v>-1.5557420000000001E-2</v>
      </c>
      <c r="P698">
        <v>0.99864010000000003</v>
      </c>
      <c r="Q698">
        <v>4.9509049999999999E-2</v>
      </c>
      <c r="R698">
        <v>1.634538E-2</v>
      </c>
      <c r="S698">
        <v>2.999603</v>
      </c>
      <c r="T698">
        <v>0.10095469999999999</v>
      </c>
      <c r="U698">
        <v>-3.2745360000000001E-2</v>
      </c>
      <c r="V698">
        <v>-3.185793E-2</v>
      </c>
      <c r="W698">
        <v>5.9942849999999999E-2</v>
      </c>
      <c r="X698">
        <v>0.99769330000000001</v>
      </c>
      <c r="Y698">
        <v>-4.6313190000000001E-3</v>
      </c>
      <c r="Z698">
        <v>-6.0134990000000003E-4</v>
      </c>
      <c r="AA698">
        <v>0.99998909999999996</v>
      </c>
      <c r="AB698">
        <v>29</v>
      </c>
      <c r="AC698">
        <v>150.0095</v>
      </c>
      <c r="AD698">
        <v>5.0539440000000004</v>
      </c>
      <c r="AE698">
        <v>-1.63670000000001</v>
      </c>
      <c r="AF698">
        <v>-0.69659519771001899</v>
      </c>
      <c r="AG698">
        <v>5.0539440000000004</v>
      </c>
      <c r="AH698">
        <v>149.84674093150201</v>
      </c>
      <c r="AI698">
        <v>88.068314265747304</v>
      </c>
      <c r="AJ698">
        <v>90.266349986036602</v>
      </c>
      <c r="AK698">
        <v>149.93356316254699</v>
      </c>
      <c r="AL698">
        <v>86.563467580013807</v>
      </c>
      <c r="AM698">
        <v>91.828923707543197</v>
      </c>
      <c r="AN698">
        <v>0.99999999691744801</v>
      </c>
    </row>
    <row r="699" spans="1:40" x14ac:dyDescent="0.25">
      <c r="A699" t="str">
        <f>"20190312160615281"</f>
        <v>20190312160615281</v>
      </c>
      <c r="B699" t="str">
        <f>"1552377975276048"</f>
        <v>1552377975276048</v>
      </c>
      <c r="C699" t="s">
        <v>40</v>
      </c>
      <c r="D699">
        <v>6.397157</v>
      </c>
      <c r="E699">
        <v>0.51074849999999905</v>
      </c>
      <c r="F699" t="s">
        <v>42</v>
      </c>
      <c r="G699">
        <v>-158.19499999999999</v>
      </c>
      <c r="H699">
        <v>6.3588110000000002</v>
      </c>
      <c r="I699">
        <v>366.5034</v>
      </c>
      <c r="J699">
        <v>-307.9237</v>
      </c>
      <c r="K699">
        <v>1.0596749999999999</v>
      </c>
      <c r="L699">
        <v>368.21289999999999</v>
      </c>
      <c r="M699">
        <v>0.99982269999999895</v>
      </c>
      <c r="N699">
        <v>0</v>
      </c>
      <c r="O699">
        <v>-1.5732280000000001E-2</v>
      </c>
      <c r="P699">
        <v>0.99866500000000002</v>
      </c>
      <c r="Q699">
        <v>4.9068529999999999E-2</v>
      </c>
      <c r="R699">
        <v>1.6146420000000002E-2</v>
      </c>
      <c r="S699">
        <v>2.99939</v>
      </c>
      <c r="T699">
        <v>0.1059551</v>
      </c>
      <c r="U699">
        <v>-3.4271240000000001E-2</v>
      </c>
      <c r="V699">
        <v>-3.1833729999999998E-2</v>
      </c>
      <c r="W699">
        <v>5.9409249999999997E-2</v>
      </c>
      <c r="X699">
        <v>0.997726</v>
      </c>
      <c r="Y699">
        <v>-4.2956959999999999E-3</v>
      </c>
      <c r="Z699">
        <v>-6.314081E-4</v>
      </c>
      <c r="AA699">
        <v>0.99999059999999995</v>
      </c>
      <c r="AB699">
        <v>29</v>
      </c>
      <c r="AC699">
        <v>149.7287</v>
      </c>
      <c r="AD699">
        <v>5.2991359999999998</v>
      </c>
      <c r="AE699">
        <v>-1.70949999999999</v>
      </c>
      <c r="AF699">
        <v>-0.64560297756061902</v>
      </c>
      <c r="AG699">
        <v>5.2991359999999998</v>
      </c>
      <c r="AH699">
        <v>149.549767086294</v>
      </c>
      <c r="AI699">
        <v>87.970653293245803</v>
      </c>
      <c r="AJ699">
        <v>90.247343053693896</v>
      </c>
      <c r="AK699">
        <v>149.64501488895601</v>
      </c>
      <c r="AL699">
        <v>86.594095231585698</v>
      </c>
      <c r="AM699">
        <v>91.827475502437295</v>
      </c>
      <c r="AN699">
        <v>1.00000000821363</v>
      </c>
    </row>
    <row r="700" spans="1:40" x14ac:dyDescent="0.25">
      <c r="A700" t="str">
        <f>"20190312160615295"</f>
        <v>20190312160615295</v>
      </c>
      <c r="B700" t="str">
        <f>"1552377975285809"</f>
        <v>1552377975285809</v>
      </c>
      <c r="C700" t="s">
        <v>40</v>
      </c>
      <c r="D700">
        <v>6.3984249999999996</v>
      </c>
      <c r="E700">
        <v>0.51098390000000005</v>
      </c>
      <c r="F700" t="s">
        <v>42</v>
      </c>
      <c r="G700">
        <v>-158.19499999999999</v>
      </c>
      <c r="H700">
        <v>6.3111090000000001</v>
      </c>
      <c r="I700">
        <v>366.3193</v>
      </c>
      <c r="J700">
        <v>-307.74529999999999</v>
      </c>
      <c r="K700">
        <v>1.0596490000000001</v>
      </c>
      <c r="L700">
        <v>368.21</v>
      </c>
      <c r="M700">
        <v>0.99982159999999998</v>
      </c>
      <c r="N700">
        <v>0</v>
      </c>
      <c r="O700">
        <v>-1.584321E-2</v>
      </c>
      <c r="P700">
        <v>0.99867919999999999</v>
      </c>
      <c r="Q700">
        <v>4.8845380000000001E-2</v>
      </c>
      <c r="R700">
        <v>1.5947030000000001E-2</v>
      </c>
      <c r="S700">
        <v>2.9994510000000001</v>
      </c>
      <c r="T700">
        <v>0.1052014</v>
      </c>
      <c r="U700">
        <v>-3.7933349999999998E-2</v>
      </c>
      <c r="V700">
        <v>-3.174577E-2</v>
      </c>
      <c r="W700">
        <v>5.9129849999999998E-2</v>
      </c>
      <c r="X700">
        <v>0.9977454</v>
      </c>
      <c r="Y700">
        <v>-3.1869110000000002E-3</v>
      </c>
      <c r="Z700">
        <v>-6.1135119999999995E-4</v>
      </c>
      <c r="AA700">
        <v>0.99999479999999996</v>
      </c>
      <c r="AB700">
        <v>29</v>
      </c>
      <c r="AC700">
        <v>149.55029999999999</v>
      </c>
      <c r="AD700">
        <v>5.2514599999999998</v>
      </c>
      <c r="AE700">
        <v>-1.8906999999999801</v>
      </c>
      <c r="AF700">
        <v>-0.47842960082646802</v>
      </c>
      <c r="AG700">
        <v>5.2514599999999998</v>
      </c>
      <c r="AH700">
        <v>149.37732173726701</v>
      </c>
      <c r="AI700">
        <v>87.986567947894599</v>
      </c>
      <c r="AJ700">
        <v>90.183507796709904</v>
      </c>
      <c r="AK700">
        <v>149.470368221977</v>
      </c>
      <c r="AL700">
        <v>86.610131864238795</v>
      </c>
      <c r="AM700">
        <v>91.8223939908668</v>
      </c>
      <c r="AN700">
        <v>1.00000000814753</v>
      </c>
    </row>
    <row r="701" spans="1:40" x14ac:dyDescent="0.25">
      <c r="A701" t="str">
        <f>"20190312160615308"</f>
        <v>20190312160615308</v>
      </c>
      <c r="B701" t="str">
        <f>"1552377975295569"</f>
        <v>1552377975295569</v>
      </c>
      <c r="C701" t="s">
        <v>40</v>
      </c>
      <c r="D701">
        <v>6.3995300000000004</v>
      </c>
      <c r="E701">
        <v>0.51073119999999905</v>
      </c>
      <c r="F701" t="s">
        <v>42</v>
      </c>
      <c r="G701">
        <v>-158.19499999999999</v>
      </c>
      <c r="H701">
        <v>6.1607909999999997</v>
      </c>
      <c r="I701">
        <v>366.18329999999997</v>
      </c>
      <c r="J701">
        <v>-307.5772</v>
      </c>
      <c r="K701">
        <v>1.0596239999999999</v>
      </c>
      <c r="L701">
        <v>368.2072</v>
      </c>
      <c r="M701">
        <v>0.9998205</v>
      </c>
      <c r="N701">
        <v>0</v>
      </c>
      <c r="O701">
        <v>-1.5947840000000001E-2</v>
      </c>
      <c r="P701">
        <v>0.99868729999999994</v>
      </c>
      <c r="Q701">
        <v>4.8794410000000003E-2</v>
      </c>
      <c r="R701">
        <v>1.559819E-2</v>
      </c>
      <c r="S701">
        <v>2.999603</v>
      </c>
      <c r="T701">
        <v>0.1023178</v>
      </c>
      <c r="U701">
        <v>-4.0649409999999997E-2</v>
      </c>
      <c r="V701">
        <v>-3.1501410000000001E-2</v>
      </c>
      <c r="W701">
        <v>5.9026549999999997E-2</v>
      </c>
      <c r="X701">
        <v>0.99775930000000002</v>
      </c>
      <c r="Y701">
        <v>-2.3879180000000002E-3</v>
      </c>
      <c r="Z701">
        <v>-5.8451409999999999E-4</v>
      </c>
      <c r="AA701">
        <v>0.99999700000000002</v>
      </c>
      <c r="AB701">
        <v>29</v>
      </c>
      <c r="AC701">
        <v>149.38220000000001</v>
      </c>
      <c r="AD701">
        <v>5.1011670000000002</v>
      </c>
      <c r="AE701">
        <v>-2.0239000000000198</v>
      </c>
      <c r="AF701">
        <v>-0.35838764214345997</v>
      </c>
      <c r="AG701">
        <v>5.1011670000000002</v>
      </c>
      <c r="AH701">
        <v>149.22150137441301</v>
      </c>
      <c r="AI701">
        <v>88.042100360304602</v>
      </c>
      <c r="AJ701">
        <v>90.137607916108607</v>
      </c>
      <c r="AK701">
        <v>149.30909824554601</v>
      </c>
      <c r="AL701">
        <v>86.616061004303006</v>
      </c>
      <c r="AM701">
        <v>91.808350463086796</v>
      </c>
      <c r="AN701">
        <v>1.0000000465866801</v>
      </c>
    </row>
    <row r="702" spans="1:40" x14ac:dyDescent="0.25">
      <c r="A702" t="str">
        <f>"20190312160615320"</f>
        <v>20190312160615320</v>
      </c>
      <c r="B702" t="str">
        <f>"1552377975316064"</f>
        <v>1552377975316064</v>
      </c>
      <c r="C702" t="s">
        <v>40</v>
      </c>
      <c r="D702">
        <v>6.2419219999999997</v>
      </c>
      <c r="E702">
        <v>0.51093189999999999</v>
      </c>
      <c r="F702" t="s">
        <v>42</v>
      </c>
      <c r="G702">
        <v>-158.19499999999999</v>
      </c>
      <c r="H702">
        <v>6.1289480000000003</v>
      </c>
      <c r="I702">
        <v>366.2269</v>
      </c>
      <c r="J702">
        <v>-307.42039999999997</v>
      </c>
      <c r="K702">
        <v>1.0596049999999999</v>
      </c>
      <c r="L702">
        <v>368.20460000000003</v>
      </c>
      <c r="M702">
        <v>0.99981949999999997</v>
      </c>
      <c r="N702">
        <v>0</v>
      </c>
      <c r="O702">
        <v>-1.6045460000000001E-2</v>
      </c>
      <c r="P702">
        <v>0.99870570000000003</v>
      </c>
      <c r="Q702">
        <v>4.8503209999999998E-2</v>
      </c>
      <c r="R702">
        <v>1.531602E-2</v>
      </c>
      <c r="S702">
        <v>2.9996339999999999</v>
      </c>
      <c r="T702">
        <v>0.1017951</v>
      </c>
      <c r="U702">
        <v>-3.9764399999999998E-2</v>
      </c>
      <c r="V702">
        <v>-3.131697E-2</v>
      </c>
      <c r="W702">
        <v>5.8687629999999998E-2</v>
      </c>
      <c r="X702">
        <v>0.99778500000000003</v>
      </c>
      <c r="Y702">
        <v>-2.7804959999999999E-3</v>
      </c>
      <c r="Z702">
        <v>-5.914952E-4</v>
      </c>
      <c r="AA702">
        <v>0.99999590000000005</v>
      </c>
      <c r="AB702">
        <v>29</v>
      </c>
      <c r="AC702">
        <v>149.22539999999901</v>
      </c>
      <c r="AD702">
        <v>5.0693429999999999</v>
      </c>
      <c r="AE702">
        <v>-1.97770000000002</v>
      </c>
      <c r="AF702">
        <v>-0.41658807607482601</v>
      </c>
      <c r="AG702">
        <v>5.0693429999999999</v>
      </c>
      <c r="AH702">
        <v>149.06592533980401</v>
      </c>
      <c r="AI702">
        <v>88.0522783232732</v>
      </c>
      <c r="AJ702">
        <v>90.160121613046798</v>
      </c>
      <c r="AK702">
        <v>149.152679766369</v>
      </c>
      <c r="AL702">
        <v>86.635513080596496</v>
      </c>
      <c r="AM702">
        <v>91.797723307979595</v>
      </c>
      <c r="AN702">
        <v>0.99999994837499695</v>
      </c>
    </row>
    <row r="703" spans="1:40" x14ac:dyDescent="0.25">
      <c r="A703" t="str">
        <f>"20190312160615331"</f>
        <v>20190312160615331</v>
      </c>
      <c r="B703" t="str">
        <f>"1552377975325824"</f>
        <v>1552377975325824</v>
      </c>
      <c r="C703" t="s">
        <v>40</v>
      </c>
      <c r="D703">
        <v>6.1859539999999997</v>
      </c>
      <c r="E703">
        <v>0.51087919999999998</v>
      </c>
      <c r="F703" t="s">
        <v>42</v>
      </c>
      <c r="G703">
        <v>-158.19499999999999</v>
      </c>
      <c r="H703">
        <v>5.9031440000000002</v>
      </c>
      <c r="I703">
        <v>366.1035</v>
      </c>
      <c r="J703">
        <v>-307.26799999999997</v>
      </c>
      <c r="K703">
        <v>1.0595829999999999</v>
      </c>
      <c r="L703">
        <v>368.20209999999997</v>
      </c>
      <c r="M703">
        <v>0.99981830000000005</v>
      </c>
      <c r="N703">
        <v>0</v>
      </c>
      <c r="O703">
        <v>-1.613999E-2</v>
      </c>
      <c r="P703">
        <v>0.99870749999999997</v>
      </c>
      <c r="Q703">
        <v>4.8560609999999997E-2</v>
      </c>
      <c r="R703">
        <v>1.50121E-2</v>
      </c>
      <c r="S703">
        <v>2.9997859999999998</v>
      </c>
      <c r="T703">
        <v>9.7368360000000001E-2</v>
      </c>
      <c r="U703">
        <v>-4.2236330000000002E-2</v>
      </c>
      <c r="V703">
        <v>-3.110713E-2</v>
      </c>
      <c r="W703">
        <v>5.8698100000000003E-2</v>
      </c>
      <c r="X703">
        <v>0.99779099999999998</v>
      </c>
      <c r="Y703">
        <v>-2.0530890000000001E-3</v>
      </c>
      <c r="Z703">
        <v>-5.5701950000000002E-4</v>
      </c>
      <c r="AA703">
        <v>0.99999769999999999</v>
      </c>
      <c r="AB703">
        <v>29</v>
      </c>
      <c r="AC703">
        <v>149.07299999999901</v>
      </c>
      <c r="AD703">
        <v>4.8435610000000002</v>
      </c>
      <c r="AE703">
        <v>-2.09859999999997</v>
      </c>
      <c r="AF703">
        <v>-0.3075093118178</v>
      </c>
      <c r="AG703">
        <v>4.8435610000000002</v>
      </c>
      <c r="AH703">
        <v>148.93026187593699</v>
      </c>
      <c r="AI703">
        <v>88.137267552521806</v>
      </c>
      <c r="AJ703">
        <v>90.118303429186597</v>
      </c>
      <c r="AK703">
        <v>149.00932033793299</v>
      </c>
      <c r="AL703">
        <v>86.634912332010501</v>
      </c>
      <c r="AM703">
        <v>91.785674720134907</v>
      </c>
      <c r="AN703">
        <v>1.0000000000807201</v>
      </c>
    </row>
    <row r="704" spans="1:40" x14ac:dyDescent="0.25">
      <c r="A704" t="str">
        <f>"20190312160615348"</f>
        <v>20190312160615348</v>
      </c>
      <c r="B704" t="str">
        <f>"1552377975335584"</f>
        <v>1552377975335584</v>
      </c>
      <c r="C704" t="s">
        <v>40</v>
      </c>
      <c r="D704">
        <v>6.3479279999999996</v>
      </c>
      <c r="E704">
        <v>0.51091709999999901</v>
      </c>
      <c r="F704" t="s">
        <v>42</v>
      </c>
      <c r="G704">
        <v>-158.19499999999999</v>
      </c>
      <c r="H704">
        <v>5.8696419999999998</v>
      </c>
      <c r="I704">
        <v>366.08199999999999</v>
      </c>
      <c r="J704">
        <v>-307.0659</v>
      </c>
      <c r="K704">
        <v>1.059555</v>
      </c>
      <c r="L704">
        <v>368.19869999999997</v>
      </c>
      <c r="M704">
        <v>0.99981699999999996</v>
      </c>
      <c r="N704">
        <v>0</v>
      </c>
      <c r="O704">
        <v>-1.6265310000000002E-2</v>
      </c>
      <c r="P704">
        <v>0.9987144</v>
      </c>
      <c r="Q704">
        <v>4.8377360000000001E-2</v>
      </c>
      <c r="R704">
        <v>1.5143139999999999E-2</v>
      </c>
      <c r="S704">
        <v>2.9998469999999999</v>
      </c>
      <c r="T704">
        <v>9.6796149999999997E-2</v>
      </c>
      <c r="U704">
        <v>-4.2663569999999998E-2</v>
      </c>
      <c r="V704">
        <v>-3.1364030000000001E-2</v>
      </c>
      <c r="W704">
        <v>5.845152E-2</v>
      </c>
      <c r="X704">
        <v>0.99779739999999995</v>
      </c>
      <c r="Y704">
        <v>-2.0363680000000002E-3</v>
      </c>
      <c r="Z704">
        <v>-5.5750769999999997E-4</v>
      </c>
      <c r="AA704">
        <v>0.99999780000000005</v>
      </c>
      <c r="AB704">
        <v>29</v>
      </c>
      <c r="AC704">
        <v>148.87090000000001</v>
      </c>
      <c r="AD704">
        <v>4.8100869999999896</v>
      </c>
      <c r="AE704">
        <v>-2.1166999999999798</v>
      </c>
      <c r="AF704">
        <v>-0.30481601307171002</v>
      </c>
      <c r="AG704">
        <v>4.8100869999999896</v>
      </c>
      <c r="AH704">
        <v>148.73039651050101</v>
      </c>
      <c r="AI704">
        <v>88.147647780173799</v>
      </c>
      <c r="AJ704">
        <v>90.117424864283095</v>
      </c>
      <c r="AK704">
        <v>148.80846983932199</v>
      </c>
      <c r="AL704">
        <v>86.649064513582601</v>
      </c>
      <c r="AM704">
        <v>91.800400609745196</v>
      </c>
      <c r="AN704">
        <v>0.99999996700745497</v>
      </c>
    </row>
    <row r="705" spans="1:40" x14ac:dyDescent="0.25">
      <c r="A705" t="str">
        <f>"20190312160615359"</f>
        <v>20190312160615359</v>
      </c>
      <c r="B705" t="str">
        <f>"1552377975356080"</f>
        <v>1552377975356080</v>
      </c>
      <c r="C705" t="s">
        <v>40</v>
      </c>
      <c r="D705">
        <v>5.6924229999999998</v>
      </c>
      <c r="E705">
        <v>0.5104725</v>
      </c>
      <c r="F705" t="s">
        <v>42</v>
      </c>
      <c r="G705">
        <v>-158.19499999999999</v>
      </c>
      <c r="H705">
        <v>5.8281650000000003</v>
      </c>
      <c r="I705">
        <v>366.09660000000002</v>
      </c>
      <c r="J705">
        <v>-306.91879999999998</v>
      </c>
      <c r="K705">
        <v>1.059536</v>
      </c>
      <c r="L705">
        <v>368.19619999999998</v>
      </c>
      <c r="M705">
        <v>0.99981600000000004</v>
      </c>
      <c r="N705">
        <v>0</v>
      </c>
      <c r="O705">
        <v>-1.635675E-2</v>
      </c>
      <c r="P705">
        <v>0.99871359999999998</v>
      </c>
      <c r="Q705">
        <v>4.8448280000000003E-2</v>
      </c>
      <c r="R705">
        <v>1.4976120000000001E-2</v>
      </c>
      <c r="S705">
        <v>2.9998469999999999</v>
      </c>
      <c r="T705">
        <v>9.6092339999999998E-2</v>
      </c>
      <c r="U705">
        <v>-4.2358399999999997E-2</v>
      </c>
      <c r="V705">
        <v>-3.1288339999999998E-2</v>
      </c>
      <c r="W705">
        <v>5.8476750000000001E-2</v>
      </c>
      <c r="X705">
        <v>0.99779830000000003</v>
      </c>
      <c r="Y705">
        <v>-2.2295209999999999E-3</v>
      </c>
      <c r="Z705">
        <v>-5.594768E-4</v>
      </c>
      <c r="AA705">
        <v>0.99999740000000004</v>
      </c>
      <c r="AB705">
        <v>29</v>
      </c>
      <c r="AC705">
        <v>148.72379999999899</v>
      </c>
      <c r="AD705">
        <v>4.7686289999999998</v>
      </c>
      <c r="AE705">
        <v>-2.09959999999995</v>
      </c>
      <c r="AF705">
        <v>-0.33309870177079898</v>
      </c>
      <c r="AG705">
        <v>4.7686289999999998</v>
      </c>
      <c r="AH705">
        <v>148.58551891677101</v>
      </c>
      <c r="AI705">
        <v>88.161813586019505</v>
      </c>
      <c r="AJ705">
        <v>90.128445342050597</v>
      </c>
      <c r="AK705">
        <v>148.66239339204401</v>
      </c>
      <c r="AL705">
        <v>86.647616470819301</v>
      </c>
      <c r="AM705">
        <v>91.796056979875104</v>
      </c>
      <c r="AN705">
        <v>0.99999996899670296</v>
      </c>
    </row>
    <row r="706" spans="1:40" x14ac:dyDescent="0.25">
      <c r="A706" t="str">
        <f>"20190312160615369"</f>
        <v>20190312160615369</v>
      </c>
      <c r="B706" t="str">
        <f>"1552377975365840"</f>
        <v>1552377975365840</v>
      </c>
      <c r="C706" t="s">
        <v>40</v>
      </c>
      <c r="D706">
        <v>6.3986720000000004</v>
      </c>
      <c r="E706">
        <v>0.51061129999999999</v>
      </c>
      <c r="F706" t="s">
        <v>42</v>
      </c>
      <c r="G706">
        <v>-158.19499999999999</v>
      </c>
      <c r="H706">
        <v>5.8576389999999998</v>
      </c>
      <c r="I706">
        <v>366.22469999999998</v>
      </c>
      <c r="J706">
        <v>-306.77229999999997</v>
      </c>
      <c r="K706">
        <v>1.05952</v>
      </c>
      <c r="L706">
        <v>368.19369999999998</v>
      </c>
      <c r="M706">
        <v>0.9998148</v>
      </c>
      <c r="N706">
        <v>0</v>
      </c>
      <c r="O706">
        <v>-1.6448069999999999E-2</v>
      </c>
      <c r="P706">
        <v>0.99872870000000002</v>
      </c>
      <c r="Q706">
        <v>4.8152550000000002E-2</v>
      </c>
      <c r="R706">
        <v>1.4923830000000001E-2</v>
      </c>
      <c r="S706">
        <v>2.9997560000000001</v>
      </c>
      <c r="T706">
        <v>9.677935E-2</v>
      </c>
      <c r="U706">
        <v>-3.9764399999999998E-2</v>
      </c>
      <c r="V706">
        <v>-3.1327019999999997E-2</v>
      </c>
      <c r="W706">
        <v>5.813782E-2</v>
      </c>
      <c r="X706">
        <v>0.99781690000000001</v>
      </c>
      <c r="Y706">
        <v>-3.1843150000000001E-3</v>
      </c>
      <c r="Z706">
        <v>-5.8183849999999995E-4</v>
      </c>
      <c r="AA706">
        <v>0.99999479999999996</v>
      </c>
      <c r="AB706">
        <v>29</v>
      </c>
      <c r="AC706">
        <v>148.57729999999901</v>
      </c>
      <c r="AD706">
        <v>4.7981189999999998</v>
      </c>
      <c r="AE706">
        <v>-1.9689999999999901</v>
      </c>
      <c r="AF706">
        <v>-0.47470323420295002</v>
      </c>
      <c r="AG706">
        <v>4.7981189999999998</v>
      </c>
      <c r="AH706">
        <v>148.434813020581</v>
      </c>
      <c r="AI706">
        <v>88.148582078380599</v>
      </c>
      <c r="AJ706">
        <v>90.183234637233795</v>
      </c>
      <c r="AK706">
        <v>148.513100450949</v>
      </c>
      <c r="AL706">
        <v>86.667068851762906</v>
      </c>
      <c r="AM706">
        <v>91.798242387183606</v>
      </c>
      <c r="AN706">
        <v>0.99999997711102095</v>
      </c>
    </row>
    <row r="707" spans="1:40" x14ac:dyDescent="0.25">
      <c r="A707" t="str">
        <f>"20190312160615381"</f>
        <v>20190312160615381</v>
      </c>
      <c r="B707" t="str">
        <f>"1552377975375600"</f>
        <v>1552377975375600</v>
      </c>
      <c r="C707" t="s">
        <v>40</v>
      </c>
      <c r="D707">
        <v>6.3533480000000004</v>
      </c>
      <c r="E707">
        <v>0.51057109999999895</v>
      </c>
      <c r="F707" t="s">
        <v>42</v>
      </c>
      <c r="G707">
        <v>-158.19499999999999</v>
      </c>
      <c r="H707">
        <v>5.7611039999999996</v>
      </c>
      <c r="I707">
        <v>366.185</v>
      </c>
      <c r="J707">
        <v>-306.62689999999998</v>
      </c>
      <c r="K707">
        <v>1.0595060000000001</v>
      </c>
      <c r="L707">
        <v>368.19119999999998</v>
      </c>
      <c r="M707">
        <v>0.99981379999999997</v>
      </c>
      <c r="N707">
        <v>0</v>
      </c>
      <c r="O707">
        <v>-1.6538580000000001E-2</v>
      </c>
      <c r="P707">
        <v>0.99874160000000001</v>
      </c>
      <c r="Q707">
        <v>4.7950909999999999E-2</v>
      </c>
      <c r="R707">
        <v>1.4702420000000001E-2</v>
      </c>
      <c r="S707">
        <v>2.9998779999999998</v>
      </c>
      <c r="T707">
        <v>9.4929929999999996E-2</v>
      </c>
      <c r="U707">
        <v>-4.0557860000000001E-2</v>
      </c>
      <c r="V707">
        <v>-3.119709E-2</v>
      </c>
      <c r="W707">
        <v>5.7894569999999999E-2</v>
      </c>
      <c r="X707">
        <v>0.99783520000000003</v>
      </c>
      <c r="Y707">
        <v>-3.0113509999999998E-3</v>
      </c>
      <c r="Z707">
        <v>-5.7082770000000001E-4</v>
      </c>
      <c r="AA707">
        <v>0.99999530000000003</v>
      </c>
      <c r="AB707">
        <v>29</v>
      </c>
      <c r="AC707">
        <v>148.43189999999899</v>
      </c>
      <c r="AD707">
        <v>4.7015979999999997</v>
      </c>
      <c r="AE707">
        <v>-2.00619999999997</v>
      </c>
      <c r="AF707">
        <v>-0.44859859717730199</v>
      </c>
      <c r="AG707">
        <v>4.7015979999999997</v>
      </c>
      <c r="AH707">
        <v>148.29601788856999</v>
      </c>
      <c r="AI707">
        <v>88.184103034339799</v>
      </c>
      <c r="AJ707">
        <v>90.173320418714695</v>
      </c>
      <c r="AK707">
        <v>148.37120740245399</v>
      </c>
      <c r="AL707">
        <v>86.681029850737403</v>
      </c>
      <c r="AM707">
        <v>91.790756154143395</v>
      </c>
      <c r="AN707">
        <v>1.0000000630094901</v>
      </c>
    </row>
    <row r="708" spans="1:40" x14ac:dyDescent="0.25">
      <c r="A708" t="str">
        <f>"20190312160615392"</f>
        <v>20190312160615392</v>
      </c>
      <c r="B708" t="str">
        <f>"1552377975386337"</f>
        <v>1552377975386337</v>
      </c>
      <c r="C708" t="s">
        <v>40</v>
      </c>
      <c r="D708">
        <v>6.4826249999999996</v>
      </c>
      <c r="E708">
        <v>0.51080820000000005</v>
      </c>
      <c r="F708" t="s">
        <v>42</v>
      </c>
      <c r="G708">
        <v>-158.19499999999999</v>
      </c>
      <c r="H708">
        <v>5.7368139999999999</v>
      </c>
      <c r="I708">
        <v>366.15879999999999</v>
      </c>
      <c r="J708">
        <v>-306.4778</v>
      </c>
      <c r="K708">
        <v>1.0594950000000001</v>
      </c>
      <c r="L708">
        <v>368.18869999999998</v>
      </c>
      <c r="M708">
        <v>0.99981260000000005</v>
      </c>
      <c r="N708">
        <v>0</v>
      </c>
      <c r="O708">
        <v>-1.663135E-2</v>
      </c>
      <c r="P708">
        <v>0.99876759999999998</v>
      </c>
      <c r="Q708">
        <v>4.745622E-2</v>
      </c>
      <c r="R708">
        <v>1.4546190000000001E-2</v>
      </c>
      <c r="S708">
        <v>2.9998469999999999</v>
      </c>
      <c r="T708">
        <v>9.4531299999999999E-2</v>
      </c>
      <c r="U708">
        <v>-4.1076660000000001E-2</v>
      </c>
      <c r="V708">
        <v>-3.1133350000000001E-2</v>
      </c>
      <c r="W708">
        <v>5.735854E-2</v>
      </c>
      <c r="X708">
        <v>0.99786810000000004</v>
      </c>
      <c r="Y708">
        <v>-2.931164E-3</v>
      </c>
      <c r="Z708">
        <v>-5.7009580000000001E-4</v>
      </c>
      <c r="AA708">
        <v>0.99999550000000004</v>
      </c>
      <c r="AB708">
        <v>29</v>
      </c>
      <c r="AC708">
        <v>148.28280000000001</v>
      </c>
      <c r="AD708">
        <v>4.6773189999999998</v>
      </c>
      <c r="AE708">
        <v>-2.0298999999999898</v>
      </c>
      <c r="AF708">
        <v>-0.43621104275535</v>
      </c>
      <c r="AG708">
        <v>4.6773189999999998</v>
      </c>
      <c r="AH708">
        <v>148.14867386234101</v>
      </c>
      <c r="AI708">
        <v>88.1916781199686</v>
      </c>
      <c r="AJ708">
        <v>90.168702012979907</v>
      </c>
      <c r="AK708">
        <v>148.22313301327799</v>
      </c>
      <c r="AL708">
        <v>86.711793074380594</v>
      </c>
      <c r="AM708">
        <v>91.787040881865394</v>
      </c>
      <c r="AN708">
        <v>1.0000000162953799</v>
      </c>
    </row>
    <row r="709" spans="1:40" x14ac:dyDescent="0.25">
      <c r="A709" t="str">
        <f>"20190312160615404"</f>
        <v>20190312160615404</v>
      </c>
      <c r="B709" t="str">
        <f>"1552377975396095"</f>
        <v>1552377975396095</v>
      </c>
      <c r="C709" t="s">
        <v>40</v>
      </c>
      <c r="D709">
        <v>6.26187</v>
      </c>
      <c r="E709">
        <v>0.51078299999999999</v>
      </c>
      <c r="F709" t="s">
        <v>42</v>
      </c>
      <c r="G709">
        <v>-158.19499999999999</v>
      </c>
      <c r="H709">
        <v>5.6407429999999996</v>
      </c>
      <c r="I709">
        <v>366.0301</v>
      </c>
      <c r="J709">
        <v>-306.32639999999998</v>
      </c>
      <c r="K709">
        <v>1.059483</v>
      </c>
      <c r="L709">
        <v>368.18610000000001</v>
      </c>
      <c r="M709">
        <v>0.99981149999999996</v>
      </c>
      <c r="N709">
        <v>0</v>
      </c>
      <c r="O709">
        <v>-1.6725340000000002E-2</v>
      </c>
      <c r="P709">
        <v>0.99876109999999896</v>
      </c>
      <c r="Q709">
        <v>4.7607179999999999E-2</v>
      </c>
      <c r="R709">
        <v>1.44951E-2</v>
      </c>
      <c r="S709">
        <v>2.9999389999999999</v>
      </c>
      <c r="T709">
        <v>9.2685820000000002E-2</v>
      </c>
      <c r="U709">
        <v>-4.3670649999999998E-2</v>
      </c>
      <c r="V709">
        <v>-3.1176450000000001E-2</v>
      </c>
      <c r="W709">
        <v>5.7471359999999999E-2</v>
      </c>
      <c r="X709">
        <v>0.99786030000000003</v>
      </c>
      <c r="Y709">
        <v>-2.161765E-3</v>
      </c>
      <c r="Z709">
        <v>-5.4997010000000003E-4</v>
      </c>
      <c r="AA709">
        <v>0.99999749999999998</v>
      </c>
      <c r="AB709">
        <v>29</v>
      </c>
      <c r="AC709">
        <v>148.13140000000001</v>
      </c>
      <c r="AD709">
        <v>4.5812599999999897</v>
      </c>
      <c r="AE709">
        <v>-2.1560000000000001</v>
      </c>
      <c r="AF709">
        <v>-0.32166248983763202</v>
      </c>
      <c r="AG709">
        <v>4.5812599999999897</v>
      </c>
      <c r="AH709">
        <v>148.005205256435</v>
      </c>
      <c r="AI709">
        <v>88.227072752500902</v>
      </c>
      <c r="AJ709">
        <v>90.124521796694694</v>
      </c>
      <c r="AK709">
        <v>148.07644037099399</v>
      </c>
      <c r="AL709">
        <v>86.705318405836294</v>
      </c>
      <c r="AM709">
        <v>91.789527174902901</v>
      </c>
      <c r="AN709">
        <v>1.00000005328546</v>
      </c>
    </row>
    <row r="710" spans="1:40" x14ac:dyDescent="0.25">
      <c r="A710" t="str">
        <f>"20190312160615415"</f>
        <v>20190312160615415</v>
      </c>
      <c r="B710" t="str">
        <f>"1552377975405856"</f>
        <v>1552377975405856</v>
      </c>
      <c r="C710" t="s">
        <v>40</v>
      </c>
      <c r="D710">
        <v>6.3465400000000001</v>
      </c>
      <c r="E710">
        <v>0.5109629</v>
      </c>
      <c r="F710" t="s">
        <v>42</v>
      </c>
      <c r="G710">
        <v>-158.19499999999999</v>
      </c>
      <c r="H710">
        <v>5.6378170000000001</v>
      </c>
      <c r="I710">
        <v>366.04480000000001</v>
      </c>
      <c r="J710">
        <v>-306.18380000000002</v>
      </c>
      <c r="K710">
        <v>1.059474</v>
      </c>
      <c r="L710">
        <v>368.18360000000001</v>
      </c>
      <c r="M710">
        <v>0.99981030000000004</v>
      </c>
      <c r="N710">
        <v>0</v>
      </c>
      <c r="O710">
        <v>-1.681421E-2</v>
      </c>
      <c r="P710">
        <v>0.99878199999999995</v>
      </c>
      <c r="Q710">
        <v>4.7165039999999998E-2</v>
      </c>
      <c r="R710">
        <v>1.4503540000000001E-2</v>
      </c>
      <c r="S710">
        <v>2.9999389999999999</v>
      </c>
      <c r="T710">
        <v>9.2721579999999998E-2</v>
      </c>
      <c r="U710">
        <v>-4.3365479999999998E-2</v>
      </c>
      <c r="V710">
        <v>-3.1273889999999999E-2</v>
      </c>
      <c r="W710">
        <v>5.6993889999999998E-2</v>
      </c>
      <c r="X710">
        <v>0.99788460000000001</v>
      </c>
      <c r="Y710">
        <v>-2.3522130000000001E-3</v>
      </c>
      <c r="Z710">
        <v>-5.5587059999999996E-4</v>
      </c>
      <c r="AA710">
        <v>0.99999709999999997</v>
      </c>
      <c r="AB710">
        <v>29</v>
      </c>
      <c r="AC710">
        <v>147.9888</v>
      </c>
      <c r="AD710">
        <v>4.5783430000000003</v>
      </c>
      <c r="AE710">
        <v>-2.1387999999999998</v>
      </c>
      <c r="AF710">
        <v>-0.34960286541468699</v>
      </c>
      <c r="AG710">
        <v>4.5783430000000003</v>
      </c>
      <c r="AH710">
        <v>147.862350909235</v>
      </c>
      <c r="AI710">
        <v>88.226490970344798</v>
      </c>
      <c r="AJ710">
        <v>90.135468773794798</v>
      </c>
      <c r="AK710">
        <v>147.93362789844201</v>
      </c>
      <c r="AL710">
        <v>86.732720218122694</v>
      </c>
      <c r="AM710">
        <v>91.795072888673602</v>
      </c>
      <c r="AN710">
        <v>1.00000001730511</v>
      </c>
    </row>
    <row r="711" spans="1:40" x14ac:dyDescent="0.25">
      <c r="A711" t="str">
        <f>"20190312160615428"</f>
        <v>20190312160615428</v>
      </c>
      <c r="B711" t="str">
        <f>"1552377975415616"</f>
        <v>1552377975415616</v>
      </c>
      <c r="C711" t="s">
        <v>40</v>
      </c>
      <c r="D711">
        <v>6.2608680000000003</v>
      </c>
      <c r="E711">
        <v>0.51097320000000002</v>
      </c>
      <c r="F711" t="s">
        <v>42</v>
      </c>
      <c r="G711">
        <v>-158.19499999999999</v>
      </c>
      <c r="H711">
        <v>5.5125710000000003</v>
      </c>
      <c r="I711">
        <v>365.96620000000001</v>
      </c>
      <c r="J711">
        <v>-306.00619999999998</v>
      </c>
      <c r="K711">
        <v>1.0594619999999999</v>
      </c>
      <c r="L711">
        <v>368.18049999999999</v>
      </c>
      <c r="M711">
        <v>0.99980880000000005</v>
      </c>
      <c r="N711">
        <v>0</v>
      </c>
      <c r="O711">
        <v>-1.692463E-2</v>
      </c>
      <c r="P711">
        <v>0.99878990000000001</v>
      </c>
      <c r="Q711">
        <v>4.6987710000000002E-2</v>
      </c>
      <c r="R711">
        <v>1.4528889999999999E-2</v>
      </c>
      <c r="S711">
        <v>3.0000610000000001</v>
      </c>
      <c r="T711">
        <v>9.0275880000000003E-2</v>
      </c>
      <c r="U711">
        <v>-4.4952390000000002E-2</v>
      </c>
      <c r="V711">
        <v>-3.1409890000000003E-2</v>
      </c>
      <c r="W711">
        <v>5.6776800000000002E-2</v>
      </c>
      <c r="X711">
        <v>0.99789269999999997</v>
      </c>
      <c r="Y711">
        <v>-1.9350109999999999E-3</v>
      </c>
      <c r="Z711">
        <v>-5.3823659999999998E-4</v>
      </c>
      <c r="AA711">
        <v>0.99999800000000005</v>
      </c>
      <c r="AB711">
        <v>29</v>
      </c>
      <c r="AC711">
        <v>147.81120000000001</v>
      </c>
      <c r="AD711">
        <v>4.4531089999999898</v>
      </c>
      <c r="AE711">
        <v>-2.2142999999999802</v>
      </c>
      <c r="AF711">
        <v>-0.28752613599245802</v>
      </c>
      <c r="AG711">
        <v>4.4531089999999898</v>
      </c>
      <c r="AH711">
        <v>147.69348278630801</v>
      </c>
      <c r="AI711">
        <v>88.273000339510006</v>
      </c>
      <c r="AJ711">
        <v>90.1115419107836</v>
      </c>
      <c r="AK711">
        <v>147.760880169936</v>
      </c>
      <c r="AL711">
        <v>86.745178720031106</v>
      </c>
      <c r="AM711">
        <v>91.802859313229703</v>
      </c>
      <c r="AN711">
        <v>1.0000000134606699</v>
      </c>
    </row>
    <row r="712" spans="1:40" x14ac:dyDescent="0.25">
      <c r="A712" t="str">
        <f>"20190312160615439"</f>
        <v>20190312160615439</v>
      </c>
      <c r="B712" t="str">
        <f>"1552377975435570"</f>
        <v>1552377975435570</v>
      </c>
      <c r="C712" t="s">
        <v>40</v>
      </c>
      <c r="D712">
        <v>6.4039869999999999</v>
      </c>
      <c r="E712">
        <v>0.51092389999999999</v>
      </c>
      <c r="F712" t="s">
        <v>42</v>
      </c>
      <c r="G712">
        <v>-158.19499999999999</v>
      </c>
      <c r="H712">
        <v>5.4353099999999896</v>
      </c>
      <c r="I712">
        <v>365.96730000000002</v>
      </c>
      <c r="J712">
        <v>-305.86849999999998</v>
      </c>
      <c r="K712">
        <v>1.059453</v>
      </c>
      <c r="L712">
        <v>368.17809999999997</v>
      </c>
      <c r="M712">
        <v>0.99980769999999997</v>
      </c>
      <c r="N712">
        <v>0</v>
      </c>
      <c r="O712">
        <v>-1.701043E-2</v>
      </c>
      <c r="P712">
        <v>0.99880159999999996</v>
      </c>
      <c r="Q712">
        <v>4.67278E-2</v>
      </c>
      <c r="R712">
        <v>1.456142E-2</v>
      </c>
      <c r="S712">
        <v>3.0001220000000002</v>
      </c>
      <c r="T712">
        <v>8.8818309999999998E-2</v>
      </c>
      <c r="U712">
        <v>-4.4921879999999997E-2</v>
      </c>
      <c r="V712">
        <v>-3.1528420000000001E-2</v>
      </c>
      <c r="W712">
        <v>5.6487339999999997E-2</v>
      </c>
      <c r="X712">
        <v>0.99790540000000005</v>
      </c>
      <c r="Y712">
        <v>-2.0314899999999999E-3</v>
      </c>
      <c r="Z712">
        <v>-5.3350619999999996E-4</v>
      </c>
      <c r="AA712">
        <v>0.99999780000000005</v>
      </c>
      <c r="AB712">
        <v>29</v>
      </c>
      <c r="AC712">
        <v>147.67349999999999</v>
      </c>
      <c r="AD712">
        <v>4.3758569999999999</v>
      </c>
      <c r="AE712">
        <v>-2.2107999999999399</v>
      </c>
      <c r="AF712">
        <v>-0.30136467549687301</v>
      </c>
      <c r="AG712">
        <v>4.3758569999999999</v>
      </c>
      <c r="AH712">
        <v>147.560203097715</v>
      </c>
      <c r="AI712">
        <v>88.301410848832006</v>
      </c>
      <c r="AJ712">
        <v>90.117015967928793</v>
      </c>
      <c r="AK712">
        <v>147.625378859433</v>
      </c>
      <c r="AL712">
        <v>86.761790250203504</v>
      </c>
      <c r="AM712">
        <v>91.809635146424995</v>
      </c>
      <c r="AN712">
        <v>1.00000002409856</v>
      </c>
    </row>
    <row r="713" spans="1:40" x14ac:dyDescent="0.25">
      <c r="A713" t="str">
        <f>"20190312160615451"</f>
        <v>20190312160615451</v>
      </c>
      <c r="B713" t="str">
        <f>"1552377975446305"</f>
        <v>1552377975446305</v>
      </c>
      <c r="C713" t="s">
        <v>40</v>
      </c>
      <c r="D713">
        <v>6.350581</v>
      </c>
      <c r="E713">
        <v>0.51064900000000002</v>
      </c>
      <c r="F713" t="s">
        <v>42</v>
      </c>
      <c r="G713">
        <v>-158.19499999999999</v>
      </c>
      <c r="H713">
        <v>5.4159980000000001</v>
      </c>
      <c r="I713">
        <v>365.99549999999999</v>
      </c>
      <c r="J713">
        <v>-305.71640000000002</v>
      </c>
      <c r="K713">
        <v>1.059442</v>
      </c>
      <c r="L713">
        <v>368.17540000000002</v>
      </c>
      <c r="M713">
        <v>0.99980650000000004</v>
      </c>
      <c r="N713">
        <v>0</v>
      </c>
      <c r="O713">
        <v>-1.7104580000000001E-2</v>
      </c>
      <c r="P713">
        <v>0.99880500000000005</v>
      </c>
      <c r="Q713">
        <v>4.6646E-2</v>
      </c>
      <c r="R713">
        <v>1.4594950000000001E-2</v>
      </c>
      <c r="S713">
        <v>3.000092</v>
      </c>
      <c r="T713">
        <v>8.8508009999999998E-2</v>
      </c>
      <c r="U713">
        <v>-4.4342039999999999E-2</v>
      </c>
      <c r="V713">
        <v>-3.1656139999999999E-2</v>
      </c>
      <c r="W713">
        <v>5.6375469999999997E-2</v>
      </c>
      <c r="X713">
        <v>0.99790760000000001</v>
      </c>
      <c r="Y713">
        <v>-2.3186159999999999E-3</v>
      </c>
      <c r="Z713">
        <v>-5.3865979999999998E-4</v>
      </c>
      <c r="AA713">
        <v>0.99999709999999997</v>
      </c>
      <c r="AB713">
        <v>29</v>
      </c>
      <c r="AC713">
        <v>147.5214</v>
      </c>
      <c r="AD713">
        <v>4.3565559999999897</v>
      </c>
      <c r="AE713">
        <v>-2.1799000000000301</v>
      </c>
      <c r="AF713">
        <v>-0.34353009282832597</v>
      </c>
      <c r="AG713">
        <v>4.3565559999999897</v>
      </c>
      <c r="AH713">
        <v>147.40857450513701</v>
      </c>
      <c r="AI713">
        <v>88.307161177333398</v>
      </c>
      <c r="AJ713">
        <v>90.133525399646302</v>
      </c>
      <c r="AK713">
        <v>147.47333803349801</v>
      </c>
      <c r="AL713">
        <v>86.768209891871095</v>
      </c>
      <c r="AM713">
        <v>91.816956977998203</v>
      </c>
      <c r="AN713">
        <v>0.99999994147758797</v>
      </c>
    </row>
    <row r="714" spans="1:40" x14ac:dyDescent="0.25">
      <c r="A714" t="str">
        <f>"20190312160615461"</f>
        <v>20190312160615461</v>
      </c>
      <c r="B714" t="str">
        <f>"1552377975456065"</f>
        <v>1552377975456065</v>
      </c>
      <c r="C714" t="s">
        <v>40</v>
      </c>
      <c r="D714">
        <v>6.3993880000000001</v>
      </c>
      <c r="E714">
        <v>0.51056409999999997</v>
      </c>
      <c r="F714" t="s">
        <v>42</v>
      </c>
      <c r="G714">
        <v>-158.19499999999999</v>
      </c>
      <c r="H714">
        <v>5.4601100000000002</v>
      </c>
      <c r="I714">
        <v>366.10309999999998</v>
      </c>
      <c r="J714">
        <v>-305.57170000000002</v>
      </c>
      <c r="K714">
        <v>1.059434</v>
      </c>
      <c r="L714">
        <v>368.17290000000003</v>
      </c>
      <c r="M714">
        <v>0.99980519999999995</v>
      </c>
      <c r="N714">
        <v>0</v>
      </c>
      <c r="O714">
        <v>-1.7194210000000001E-2</v>
      </c>
      <c r="P714">
        <v>0.99879989999999996</v>
      </c>
      <c r="Q714">
        <v>4.6651230000000002E-2</v>
      </c>
      <c r="R714">
        <v>1.492778E-2</v>
      </c>
      <c r="S714">
        <v>3.0000610000000001</v>
      </c>
      <c r="T714">
        <v>8.9495660000000005E-2</v>
      </c>
      <c r="U714">
        <v>-4.214478E-2</v>
      </c>
      <c r="V714">
        <v>-3.2078250000000003E-2</v>
      </c>
      <c r="W714">
        <v>5.6353569999999999E-2</v>
      </c>
      <c r="X714">
        <v>0.99789539999999999</v>
      </c>
      <c r="Y714">
        <v>-3.1397679999999998E-3</v>
      </c>
      <c r="Z714">
        <v>-5.5959450000000002E-4</v>
      </c>
      <c r="AA714">
        <v>0.99999490000000002</v>
      </c>
      <c r="AB714">
        <v>29</v>
      </c>
      <c r="AC714">
        <v>147.3767</v>
      </c>
      <c r="AD714">
        <v>4.4006759999999998</v>
      </c>
      <c r="AE714">
        <v>-2.0698000000000398</v>
      </c>
      <c r="AF714">
        <v>-0.464237104015984</v>
      </c>
      <c r="AG714">
        <v>4.4006759999999998</v>
      </c>
      <c r="AH714">
        <v>147.259227520667</v>
      </c>
      <c r="AI714">
        <v>88.288298146990599</v>
      </c>
      <c r="AJ714">
        <v>90.180625276158395</v>
      </c>
      <c r="AK714">
        <v>147.325698896456</v>
      </c>
      <c r="AL714">
        <v>86.769466805493394</v>
      </c>
      <c r="AM714">
        <v>91.841190614248305</v>
      </c>
      <c r="AN714">
        <v>0.99999998415798297</v>
      </c>
    </row>
    <row r="715" spans="1:40" x14ac:dyDescent="0.25">
      <c r="A715" t="str">
        <f>"20190312160615484"</f>
        <v>20190312160615484</v>
      </c>
      <c r="B715" t="str">
        <f>"1552377975475585"</f>
        <v>1552377975475585</v>
      </c>
      <c r="C715" t="s">
        <v>40</v>
      </c>
      <c r="D715">
        <v>6.4523760000000001</v>
      </c>
      <c r="E715">
        <v>0.51048870000000002</v>
      </c>
      <c r="F715" t="s">
        <v>42</v>
      </c>
      <c r="G715">
        <v>-158.19499999999999</v>
      </c>
      <c r="H715">
        <v>5.4918089999999999</v>
      </c>
      <c r="I715">
        <v>366.18639999999999</v>
      </c>
      <c r="J715">
        <v>-305.29000000000002</v>
      </c>
      <c r="K715">
        <v>1.059423</v>
      </c>
      <c r="L715">
        <v>368.1678</v>
      </c>
      <c r="M715">
        <v>0.99980250000000004</v>
      </c>
      <c r="N715">
        <v>0</v>
      </c>
      <c r="O715">
        <v>-1.7368850000000002E-2</v>
      </c>
      <c r="P715">
        <v>0.99877760000000004</v>
      </c>
      <c r="Q715">
        <v>4.7019749999999999E-2</v>
      </c>
      <c r="R715">
        <v>1.525934E-2</v>
      </c>
      <c r="S715">
        <v>3</v>
      </c>
      <c r="T715">
        <v>9.0227130000000003E-2</v>
      </c>
      <c r="U715">
        <v>-4.0435789999999999E-2</v>
      </c>
      <c r="V715">
        <v>-3.2582989999999999E-2</v>
      </c>
      <c r="W715">
        <v>5.667349E-2</v>
      </c>
      <c r="X715">
        <v>0.997861</v>
      </c>
      <c r="Y715">
        <v>-3.8831349999999998E-3</v>
      </c>
      <c r="Z715">
        <v>-5.806063E-4</v>
      </c>
      <c r="AA715">
        <v>0.99999229999999995</v>
      </c>
      <c r="AB715">
        <v>29</v>
      </c>
      <c r="AC715">
        <v>147.095</v>
      </c>
      <c r="AD715">
        <v>4.4323860000000002</v>
      </c>
      <c r="AE715">
        <v>-1.9814000000000001</v>
      </c>
      <c r="AF715">
        <v>-0.57336856882367704</v>
      </c>
      <c r="AG715">
        <v>4.4323860000000002</v>
      </c>
      <c r="AH715">
        <v>146.97379891927599</v>
      </c>
      <c r="AI715">
        <v>88.272629991743202</v>
      </c>
      <c r="AJ715">
        <v>90.223518971988696</v>
      </c>
      <c r="AK715">
        <v>147.04173681622601</v>
      </c>
      <c r="AL715">
        <v>86.751107630024407</v>
      </c>
      <c r="AM715">
        <v>91.870205114237393</v>
      </c>
      <c r="AN715">
        <v>1.00000005551355</v>
      </c>
    </row>
    <row r="716" spans="1:40" x14ac:dyDescent="0.25">
      <c r="A716" t="str">
        <f>"20190312160615506"</f>
        <v>20190312160615506</v>
      </c>
      <c r="B716" t="str">
        <f>"1552377975496081"</f>
        <v>1552377975496081</v>
      </c>
      <c r="C716" t="s">
        <v>40</v>
      </c>
      <c r="D716">
        <v>6.2704459999999997</v>
      </c>
      <c r="E716">
        <v>0.52755790000000002</v>
      </c>
      <c r="F716" t="s">
        <v>42</v>
      </c>
      <c r="G716">
        <v>-158.19499999999999</v>
      </c>
      <c r="H716">
        <v>5.5441469999999997</v>
      </c>
      <c r="I716">
        <v>366.26609999999999</v>
      </c>
      <c r="J716">
        <v>-304.99369999999999</v>
      </c>
      <c r="K716">
        <v>1.059415</v>
      </c>
      <c r="L716">
        <v>368.16250000000002</v>
      </c>
      <c r="M716">
        <v>0.99979980000000002</v>
      </c>
      <c r="N716">
        <v>0</v>
      </c>
      <c r="O716">
        <v>-1.755257E-2</v>
      </c>
      <c r="P716">
        <v>0.99876399999999999</v>
      </c>
      <c r="Q716">
        <v>4.7321240000000001E-2</v>
      </c>
      <c r="R716">
        <v>1.5208879999999999E-2</v>
      </c>
      <c r="S716">
        <v>3</v>
      </c>
      <c r="T716">
        <v>9.1467619999999999E-2</v>
      </c>
      <c r="U716">
        <v>-3.8787839999999997E-2</v>
      </c>
      <c r="V716">
        <v>-3.2716210000000003E-2</v>
      </c>
      <c r="W716">
        <v>5.693057E-2</v>
      </c>
      <c r="X716">
        <v>0.99784200000000001</v>
      </c>
      <c r="Y716">
        <v>-4.615409E-3</v>
      </c>
      <c r="Z716">
        <v>-6.0534710000000004E-4</v>
      </c>
      <c r="AA716">
        <v>0.99998920000000002</v>
      </c>
      <c r="AB716">
        <v>29</v>
      </c>
      <c r="AC716">
        <v>146.7987</v>
      </c>
      <c r="AD716">
        <v>4.4847319999999904</v>
      </c>
      <c r="AE716">
        <v>-1.8964000000000201</v>
      </c>
      <c r="AF716">
        <v>-0.68007090611501497</v>
      </c>
      <c r="AG716">
        <v>4.4847319999999904</v>
      </c>
      <c r="AH716">
        <v>146.67250168812501</v>
      </c>
      <c r="AI716">
        <v>88.248659972012007</v>
      </c>
      <c r="AJ716">
        <v>90.265659295452593</v>
      </c>
      <c r="AK716">
        <v>146.74262526274501</v>
      </c>
      <c r="AL716">
        <v>86.736354189191104</v>
      </c>
      <c r="AM716">
        <v>91.877881970107197</v>
      </c>
      <c r="AN716">
        <v>1.00000004858064</v>
      </c>
    </row>
    <row r="717" spans="1:40" x14ac:dyDescent="0.25">
      <c r="A717" t="str">
        <f>"20190312160615520"</f>
        <v>20190312160615520</v>
      </c>
      <c r="B717" t="str">
        <f>"1552377975515602"</f>
        <v>1552377975515602</v>
      </c>
      <c r="C717" t="s">
        <v>40</v>
      </c>
      <c r="D717">
        <v>6.2498670000000001</v>
      </c>
      <c r="E717">
        <v>0.52577839999999998</v>
      </c>
      <c r="F717" t="s">
        <v>47</v>
      </c>
      <c r="G717">
        <v>-277.7362</v>
      </c>
      <c r="H717" s="1">
        <v>-1.5751209999999999E-6</v>
      </c>
      <c r="I717">
        <v>366.5394</v>
      </c>
      <c r="J717">
        <v>-304.80279999999999</v>
      </c>
      <c r="K717">
        <v>1.059407</v>
      </c>
      <c r="L717">
        <v>368.15910000000002</v>
      </c>
      <c r="M717">
        <v>0.99979790000000002</v>
      </c>
      <c r="N717">
        <v>0</v>
      </c>
      <c r="O717">
        <v>-1.767082E-2</v>
      </c>
      <c r="P717">
        <v>0.99876169999999997</v>
      </c>
      <c r="Q717">
        <v>4.735926E-2</v>
      </c>
      <c r="R717">
        <v>1.523804E-2</v>
      </c>
      <c r="S717">
        <v>3.0120239999999998</v>
      </c>
      <c r="T717">
        <v>-0.1170679</v>
      </c>
      <c r="U717">
        <v>-0.17935179999999901</v>
      </c>
      <c r="V717">
        <v>-3.2862740000000001E-2</v>
      </c>
      <c r="W717">
        <v>5.6943420000000002E-2</v>
      </c>
      <c r="X717">
        <v>0.99783639999999996</v>
      </c>
      <c r="Y717">
        <v>4.1772190000000001E-2</v>
      </c>
      <c r="Z717">
        <v>-1.248954E-4</v>
      </c>
      <c r="AA717">
        <v>0.99912710000000005</v>
      </c>
      <c r="AB717">
        <v>29</v>
      </c>
      <c r="AC717">
        <v>27.066599999999902</v>
      </c>
      <c r="AD717">
        <v>-1.0594085751210001</v>
      </c>
      <c r="AE717">
        <v>-1.6197000000000199</v>
      </c>
      <c r="AF717">
        <v>1.1393967486538299</v>
      </c>
      <c r="AG717">
        <v>-1.0594085751210001</v>
      </c>
      <c r="AH717">
        <v>27.049703789644099</v>
      </c>
      <c r="AI717">
        <v>92.240872487377999</v>
      </c>
      <c r="AJ717">
        <v>87.587993705354904</v>
      </c>
      <c r="AK717">
        <v>27.094409877082999</v>
      </c>
      <c r="AL717">
        <v>86.735616573472697</v>
      </c>
      <c r="AM717">
        <v>91.886297180541902</v>
      </c>
      <c r="AN717">
        <v>0.99999999696328101</v>
      </c>
    </row>
    <row r="718" spans="1:40" x14ac:dyDescent="0.25">
      <c r="A718" t="str">
        <f>"20190312160615533"</f>
        <v>20190312160615533</v>
      </c>
      <c r="B718" t="str">
        <f>"1552377975525870"</f>
        <v>1552377975525870</v>
      </c>
      <c r="C718" t="s">
        <v>40</v>
      </c>
      <c r="D718">
        <v>6.4511029999999998</v>
      </c>
      <c r="E718">
        <v>0.52256610000000003</v>
      </c>
      <c r="F718" t="s">
        <v>47</v>
      </c>
      <c r="G718">
        <v>-274.96879999999999</v>
      </c>
      <c r="H718" s="1">
        <v>-2.688701E-6</v>
      </c>
      <c r="I718">
        <v>366.52690000000001</v>
      </c>
      <c r="J718">
        <v>-304.62650000000002</v>
      </c>
      <c r="K718">
        <v>1.059404</v>
      </c>
      <c r="L718">
        <v>368.1558</v>
      </c>
      <c r="M718">
        <v>0.99979620000000002</v>
      </c>
      <c r="N718">
        <v>0</v>
      </c>
      <c r="O718">
        <v>-1.7780270000000001E-2</v>
      </c>
      <c r="P718">
        <v>0.99876750000000003</v>
      </c>
      <c r="Q718">
        <v>4.7232969999999999E-2</v>
      </c>
      <c r="R718">
        <v>1.526334E-2</v>
      </c>
      <c r="S718">
        <v>3.0112920000000001</v>
      </c>
      <c r="T718">
        <v>-0.106931</v>
      </c>
      <c r="U718">
        <v>-0.16473389999999999</v>
      </c>
      <c r="V718">
        <v>-3.2998149999999997E-2</v>
      </c>
      <c r="W718">
        <v>5.6795850000000002E-2</v>
      </c>
      <c r="X718">
        <v>0.99784030000000001</v>
      </c>
      <c r="Y718">
        <v>3.6848569999999997E-2</v>
      </c>
      <c r="Z718" s="1">
        <v>-2.2917580000000001E-5</v>
      </c>
      <c r="AA718">
        <v>0.99932089999999996</v>
      </c>
      <c r="AB718">
        <v>30</v>
      </c>
      <c r="AC718">
        <v>29.657699999999998</v>
      </c>
      <c r="AD718">
        <v>-1.0594066887010001</v>
      </c>
      <c r="AE718">
        <v>-1.62889999999998</v>
      </c>
      <c r="AF718">
        <v>1.0998972109696299</v>
      </c>
      <c r="AG718">
        <v>-1.0594066887010001</v>
      </c>
      <c r="AH718">
        <v>29.644262542881201</v>
      </c>
      <c r="AI718">
        <v>92.045320782009497</v>
      </c>
      <c r="AJ718">
        <v>87.875117543653701</v>
      </c>
      <c r="AK718">
        <v>29.683571518906401</v>
      </c>
      <c r="AL718">
        <v>86.744085282061306</v>
      </c>
      <c r="AM718">
        <v>91.894056568130395</v>
      </c>
      <c r="AN718">
        <v>0.99999995539236597</v>
      </c>
    </row>
    <row r="719" spans="1:40" x14ac:dyDescent="0.25">
      <c r="A719" t="str">
        <f>"20190312160615550"</f>
        <v>20190312160615550</v>
      </c>
      <c r="B719" t="str">
        <f>"1552377975545390"</f>
        <v>1552377975545390</v>
      </c>
      <c r="C719" t="s">
        <v>40</v>
      </c>
      <c r="D719">
        <v>6.3545230000000004</v>
      </c>
      <c r="E719">
        <v>0.51760790000000001</v>
      </c>
      <c r="F719" t="s">
        <v>47</v>
      </c>
      <c r="G719">
        <v>-254.7841</v>
      </c>
      <c r="H719" s="1">
        <v>-2.8853050000000001E-6</v>
      </c>
      <c r="I719">
        <v>365.86520000000002</v>
      </c>
      <c r="J719">
        <v>-304.4144</v>
      </c>
      <c r="K719">
        <v>1.059399</v>
      </c>
      <c r="L719">
        <v>368.15190000000001</v>
      </c>
      <c r="M719">
        <v>0.99979410000000002</v>
      </c>
      <c r="N719">
        <v>0</v>
      </c>
      <c r="O719">
        <v>-1.7912239999999999E-2</v>
      </c>
      <c r="P719">
        <v>0.99876279999999995</v>
      </c>
      <c r="Q719">
        <v>4.7184230000000001E-2</v>
      </c>
      <c r="R719">
        <v>1.5695790000000001E-2</v>
      </c>
      <c r="S719">
        <v>3.0088200000000001</v>
      </c>
      <c r="T719">
        <v>-6.3952800000000004E-2</v>
      </c>
      <c r="U719">
        <v>-0.13827509999999901</v>
      </c>
      <c r="V719">
        <v>-3.3562109999999999E-2</v>
      </c>
      <c r="W719">
        <v>5.6724429999999999E-2</v>
      </c>
      <c r="X719">
        <v>0.99782559999999998</v>
      </c>
      <c r="Y719">
        <v>2.8004350000000001E-2</v>
      </c>
      <c r="Z719" s="1">
        <v>8.3018589999999998E-5</v>
      </c>
      <c r="AA719">
        <v>0.99960780000000005</v>
      </c>
      <c r="AB719">
        <v>30</v>
      </c>
      <c r="AC719">
        <v>49.630299999999998</v>
      </c>
      <c r="AD719">
        <v>-1.059401885305</v>
      </c>
      <c r="AE719">
        <v>-2.28669999999999</v>
      </c>
      <c r="AF719">
        <v>1.39666780076186</v>
      </c>
      <c r="AG719">
        <v>-1.059401885305</v>
      </c>
      <c r="AH719">
        <v>49.640727828133201</v>
      </c>
      <c r="AI719">
        <v>91.222102232132698</v>
      </c>
      <c r="AJ719">
        <v>88.388378490022305</v>
      </c>
      <c r="AK719">
        <v>49.671670724942103</v>
      </c>
      <c r="AL719">
        <v>86.748184106569596</v>
      </c>
      <c r="AM719">
        <v>91.926431408798706</v>
      </c>
      <c r="AN719">
        <v>1.0000000021009099</v>
      </c>
    </row>
    <row r="720" spans="1:40" x14ac:dyDescent="0.25">
      <c r="A720" t="str">
        <f>"20190312160615563"</f>
        <v>20190312160615563</v>
      </c>
      <c r="B720" t="str">
        <f>"1552377975556125"</f>
        <v>1552377975556125</v>
      </c>
      <c r="C720" t="s">
        <v>40</v>
      </c>
      <c r="D720">
        <v>6.4853059999999996</v>
      </c>
      <c r="E720">
        <v>0.51471670000000003</v>
      </c>
      <c r="F720" t="s">
        <v>42</v>
      </c>
      <c r="G720">
        <v>-158.19499999999999</v>
      </c>
      <c r="H720">
        <v>0.28853849999999998</v>
      </c>
      <c r="I720">
        <v>363.45960000000002</v>
      </c>
      <c r="J720">
        <v>-304.23500000000001</v>
      </c>
      <c r="K720">
        <v>1.0593950000000001</v>
      </c>
      <c r="L720">
        <v>368.14859999999999</v>
      </c>
      <c r="M720">
        <v>0.99979229999999997</v>
      </c>
      <c r="N720">
        <v>0</v>
      </c>
      <c r="O720">
        <v>-1.8023379999999999E-2</v>
      </c>
      <c r="P720">
        <v>0.99876200000000004</v>
      </c>
      <c r="Q720">
        <v>4.7243510000000002E-2</v>
      </c>
      <c r="R720">
        <v>1.558323E-2</v>
      </c>
      <c r="S720">
        <v>3.0059809999999998</v>
      </c>
      <c r="T720">
        <v>-1.5845540000000002E-2</v>
      </c>
      <c r="U720">
        <v>-9.6466060000000006E-2</v>
      </c>
      <c r="V720">
        <v>-3.3560119999999999E-2</v>
      </c>
      <c r="W720">
        <v>5.6766329999999997E-2</v>
      </c>
      <c r="X720">
        <v>0.99782329999999997</v>
      </c>
      <c r="Y720">
        <v>1.4054789999999999E-2</v>
      </c>
      <c r="Z720" s="1">
        <v>5.7941769999999999E-5</v>
      </c>
      <c r="AA720">
        <v>0.99990120000000005</v>
      </c>
      <c r="AB720">
        <v>30</v>
      </c>
      <c r="AC720">
        <v>146.04</v>
      </c>
      <c r="AD720">
        <v>-0.77085649999999994</v>
      </c>
      <c r="AE720">
        <v>-4.6889999999999601</v>
      </c>
      <c r="AF720">
        <v>2.0559275078648902</v>
      </c>
      <c r="AG720">
        <v>-0.77085649999999994</v>
      </c>
      <c r="AH720">
        <v>146.09672512828499</v>
      </c>
      <c r="AI720">
        <v>90.302279477650501</v>
      </c>
      <c r="AJ720">
        <v>89.193765676618199</v>
      </c>
      <c r="AK720">
        <v>146.113223737178</v>
      </c>
      <c r="AL720">
        <v>86.745779590521707</v>
      </c>
      <c r="AM720">
        <v>91.926321707704602</v>
      </c>
      <c r="AN720">
        <v>1.0000000179494799</v>
      </c>
    </row>
    <row r="721" spans="1:40" x14ac:dyDescent="0.25">
      <c r="A721" t="str">
        <f>"20190312160615583"</f>
        <v>20190312160615583</v>
      </c>
      <c r="B721" t="str">
        <f>"1552377975575644"</f>
        <v>1552377975575644</v>
      </c>
      <c r="C721" t="s">
        <v>40</v>
      </c>
      <c r="D721">
        <v>6.7535590000000001</v>
      </c>
      <c r="E721">
        <v>0.51170629999999995</v>
      </c>
      <c r="F721" t="s">
        <v>42</v>
      </c>
      <c r="G721">
        <v>-158.19499999999999</v>
      </c>
      <c r="H721">
        <v>0.7466602</v>
      </c>
      <c r="I721">
        <v>364.56119999999999</v>
      </c>
      <c r="J721">
        <v>-303.96949999999998</v>
      </c>
      <c r="K721">
        <v>1.0593889999999999</v>
      </c>
      <c r="L721">
        <v>368.14359999999999</v>
      </c>
      <c r="M721">
        <v>0.9997895</v>
      </c>
      <c r="N721">
        <v>0</v>
      </c>
      <c r="O721">
        <v>-1.8188010000000001E-2</v>
      </c>
      <c r="P721">
        <v>0.99875780000000003</v>
      </c>
      <c r="Q721">
        <v>4.7244540000000002E-2</v>
      </c>
      <c r="R721">
        <v>1.584936E-2</v>
      </c>
      <c r="S721">
        <v>3.005188</v>
      </c>
      <c r="T721">
        <v>-6.4336059999999997E-3</v>
      </c>
      <c r="U721">
        <v>-7.3822020000000002E-2</v>
      </c>
      <c r="V721">
        <v>-3.3990760000000002E-2</v>
      </c>
      <c r="W721">
        <v>5.6744900000000001E-2</v>
      </c>
      <c r="X721">
        <v>0.99780990000000003</v>
      </c>
      <c r="Y721">
        <v>6.3700689999999999E-3</v>
      </c>
      <c r="Z721" s="1">
        <v>3.2111969999999998E-5</v>
      </c>
      <c r="AA721">
        <v>0.99997970000000003</v>
      </c>
      <c r="AB721">
        <v>30</v>
      </c>
      <c r="AC721">
        <v>145.77449999999999</v>
      </c>
      <c r="AD721">
        <v>-0.31272879999999897</v>
      </c>
      <c r="AE721">
        <v>-3.5823999999999998</v>
      </c>
      <c r="AF721">
        <v>0.93033549891140899</v>
      </c>
      <c r="AG721">
        <v>-0.31272879999999897</v>
      </c>
      <c r="AH721">
        <v>145.81487344785501</v>
      </c>
      <c r="AI721">
        <v>90.122879427787197</v>
      </c>
      <c r="AJ721">
        <v>89.634443503057199</v>
      </c>
      <c r="AK721">
        <v>145.818176651805</v>
      </c>
      <c r="AL721">
        <v>86.747009284776198</v>
      </c>
      <c r="AM721">
        <v>91.951047267736001</v>
      </c>
      <c r="AN721">
        <v>0.99999997598969803</v>
      </c>
    </row>
    <row r="722" spans="1:40" x14ac:dyDescent="0.25">
      <c r="A722" t="str">
        <f>"20190312160615594"</f>
        <v>20190312160615594</v>
      </c>
      <c r="B722" t="str">
        <f>"1552377975585404"</f>
        <v>1552377975585404</v>
      </c>
      <c r="C722" t="s">
        <v>40</v>
      </c>
      <c r="D722">
        <v>6.2753030000000001</v>
      </c>
      <c r="E722">
        <v>0.50966610000000001</v>
      </c>
      <c r="F722" t="s">
        <v>42</v>
      </c>
      <c r="G722">
        <v>-158.19499999999999</v>
      </c>
      <c r="H722">
        <v>1.0078480000000001</v>
      </c>
      <c r="I722">
        <v>365.77609999999999</v>
      </c>
      <c r="J722">
        <v>-303.8211</v>
      </c>
      <c r="K722">
        <v>1.059382</v>
      </c>
      <c r="L722">
        <v>368.14080000000001</v>
      </c>
      <c r="M722">
        <v>0.99978789999999995</v>
      </c>
      <c r="N722">
        <v>0</v>
      </c>
      <c r="O722">
        <v>-1.8279989999999999E-2</v>
      </c>
      <c r="P722">
        <v>0.99873900000000004</v>
      </c>
      <c r="Q722">
        <v>4.759509E-2</v>
      </c>
      <c r="R722">
        <v>1.5977410000000001E-2</v>
      </c>
      <c r="S722">
        <v>3.0045470000000001</v>
      </c>
      <c r="T722">
        <v>-1.060486E-3</v>
      </c>
      <c r="U722">
        <v>-4.8797609999999998E-2</v>
      </c>
      <c r="V722">
        <v>-3.4209910000000003E-2</v>
      </c>
      <c r="W722">
        <v>5.708386E-2</v>
      </c>
      <c r="X722">
        <v>0.99778310000000003</v>
      </c>
      <c r="Y722">
        <v>-2.0420019999999998E-3</v>
      </c>
      <c r="Z722" s="1">
        <v>6.8118139999999997E-6</v>
      </c>
      <c r="AA722">
        <v>0.9999979</v>
      </c>
      <c r="AB722">
        <v>30</v>
      </c>
      <c r="AC722">
        <v>145.62610000000001</v>
      </c>
      <c r="AD722">
        <v>-5.1534000000000101E-2</v>
      </c>
      <c r="AE722">
        <v>-2.36470000000002</v>
      </c>
      <c r="AF722">
        <v>-0.29785857080695299</v>
      </c>
      <c r="AG722">
        <v>-5.1534000000000101E-2</v>
      </c>
      <c r="AH722">
        <v>145.64497511437301</v>
      </c>
      <c r="AI722">
        <v>90.020273094909101</v>
      </c>
      <c r="AJ722">
        <v>90.117175447990306</v>
      </c>
      <c r="AK722">
        <v>145.64528880656499</v>
      </c>
      <c r="AL722">
        <v>86.727556853598998</v>
      </c>
      <c r="AM722">
        <v>91.963669218218897</v>
      </c>
      <c r="AN722">
        <v>0.99999999983015897</v>
      </c>
    </row>
    <row r="723" spans="1:40" x14ac:dyDescent="0.25">
      <c r="A723" t="str">
        <f>"20190312160615615"</f>
        <v>20190312160615615</v>
      </c>
      <c r="B723" t="str">
        <f>"1552377975605900"</f>
        <v>1552377975605900</v>
      </c>
      <c r="C723" t="s">
        <v>40</v>
      </c>
      <c r="D723">
        <v>6.5719070000000004</v>
      </c>
      <c r="E723">
        <v>0.50616289999999997</v>
      </c>
      <c r="F723" t="s">
        <v>42</v>
      </c>
      <c r="G723">
        <v>-158.19499999999999</v>
      </c>
      <c r="H723">
        <v>1.422885</v>
      </c>
      <c r="I723">
        <v>366.58300000000003</v>
      </c>
      <c r="J723">
        <v>-303.5378</v>
      </c>
      <c r="K723">
        <v>1.059377</v>
      </c>
      <c r="L723">
        <v>368.13549999999998</v>
      </c>
      <c r="M723">
        <v>0.99978489999999998</v>
      </c>
      <c r="N723">
        <v>0</v>
      </c>
      <c r="O723">
        <v>-1.845573E-2</v>
      </c>
      <c r="P723">
        <v>0.99872530000000004</v>
      </c>
      <c r="Q723">
        <v>4.7710519999999999E-2</v>
      </c>
      <c r="R723">
        <v>1.6488920000000001E-2</v>
      </c>
      <c r="S723">
        <v>3.0039370000000001</v>
      </c>
      <c r="T723">
        <v>7.5000519999999897E-3</v>
      </c>
      <c r="U723">
        <v>-3.2135009999999999E-2</v>
      </c>
      <c r="V723">
        <v>-3.4896740000000002E-2</v>
      </c>
      <c r="W723">
        <v>5.7180500000000002E-2</v>
      </c>
      <c r="X723">
        <v>0.99775380000000002</v>
      </c>
      <c r="Y723">
        <v>-7.7602169999999998E-3</v>
      </c>
      <c r="Z723" s="1">
        <v>-5.5764090000000003E-5</v>
      </c>
      <c r="AA723">
        <v>0.99996989999999997</v>
      </c>
      <c r="AB723">
        <v>30</v>
      </c>
      <c r="AC723">
        <v>145.34280000000001</v>
      </c>
      <c r="AD723">
        <v>0.363508</v>
      </c>
      <c r="AE723">
        <v>-1.55249999999995</v>
      </c>
      <c r="AF723">
        <v>-1.1302849518192399</v>
      </c>
      <c r="AG723">
        <v>0.363508</v>
      </c>
      <c r="AH723">
        <v>145.345787521912</v>
      </c>
      <c r="AI723">
        <v>89.856708602165398</v>
      </c>
      <c r="AJ723">
        <v>90.445553002172602</v>
      </c>
      <c r="AK723">
        <v>145.35063684932101</v>
      </c>
      <c r="AL723">
        <v>86.722010792570899</v>
      </c>
      <c r="AM723">
        <v>92.003120643751302</v>
      </c>
      <c r="AN723">
        <v>1.00000001872865</v>
      </c>
    </row>
    <row r="724" spans="1:40" x14ac:dyDescent="0.25">
      <c r="A724" t="str">
        <f>"20190312160615626"</f>
        <v>20190312160615626</v>
      </c>
      <c r="B724" t="str">
        <f>"1552377975615661"</f>
        <v>1552377975615661</v>
      </c>
      <c r="C724" t="s">
        <v>40</v>
      </c>
      <c r="D724">
        <v>6.9678420000000001</v>
      </c>
      <c r="E724">
        <v>0.50481999999999905</v>
      </c>
      <c r="F724" t="s">
        <v>42</v>
      </c>
      <c r="G724">
        <v>-158.78319999999999</v>
      </c>
      <c r="H724">
        <v>1.72648</v>
      </c>
      <c r="I724">
        <v>368.00020000000001</v>
      </c>
      <c r="J724">
        <v>-303.39179999999999</v>
      </c>
      <c r="K724">
        <v>1.0593729999999999</v>
      </c>
      <c r="L724">
        <v>368.13279999999997</v>
      </c>
      <c r="M724">
        <v>0.99978330000000004</v>
      </c>
      <c r="N724">
        <v>0</v>
      </c>
      <c r="O724">
        <v>-1.854606E-2</v>
      </c>
      <c r="P724">
        <v>0.99870780000000003</v>
      </c>
      <c r="Q724">
        <v>4.8033159999999998E-2</v>
      </c>
      <c r="R724">
        <v>1.6595140000000001E-2</v>
      </c>
      <c r="S724">
        <v>3.0032040000000002</v>
      </c>
      <c r="T724">
        <v>1.3842109999999999E-2</v>
      </c>
      <c r="U724">
        <v>-2.8076170000000001E-3</v>
      </c>
      <c r="V724">
        <v>-3.509259E-2</v>
      </c>
      <c r="W724">
        <v>5.7497550000000001E-2</v>
      </c>
      <c r="X724">
        <v>0.99772870000000002</v>
      </c>
      <c r="Y724">
        <v>-1.761178E-2</v>
      </c>
      <c r="Z724">
        <v>-1.2606750000000001E-4</v>
      </c>
      <c r="AA724">
        <v>0.99984490000000004</v>
      </c>
      <c r="AB724">
        <v>30</v>
      </c>
      <c r="AC724">
        <v>144.6086</v>
      </c>
      <c r="AD724">
        <v>0.66710700000000001</v>
      </c>
      <c r="AE724">
        <v>-0.13259999999996799</v>
      </c>
      <c r="AF724">
        <v>-2.5494082105982701</v>
      </c>
      <c r="AG724">
        <v>0.66710700000000001</v>
      </c>
      <c r="AH724">
        <v>144.58310848577301</v>
      </c>
      <c r="AI724">
        <v>89.735680023264706</v>
      </c>
      <c r="AJ724">
        <v>91.010181593978004</v>
      </c>
      <c r="AK724">
        <v>144.607122139203</v>
      </c>
      <c r="AL724">
        <v>86.703815196094794</v>
      </c>
      <c r="AM724">
        <v>92.014404099940293</v>
      </c>
      <c r="AN724">
        <v>1.0000000084663001</v>
      </c>
    </row>
    <row r="725" spans="1:40" x14ac:dyDescent="0.25">
      <c r="A725" t="str">
        <f>"20190312160615639"</f>
        <v>20190312160615639</v>
      </c>
      <c r="B725" t="str">
        <f>"1552377975636157"</f>
        <v>1552377975636157</v>
      </c>
      <c r="C725" t="s">
        <v>40</v>
      </c>
      <c r="D725">
        <v>6.3271829999999998</v>
      </c>
      <c r="E725">
        <v>0.50263459999999904</v>
      </c>
      <c r="F725" t="s">
        <v>42</v>
      </c>
      <c r="G725">
        <v>-158.78319999999999</v>
      </c>
      <c r="H725">
        <v>1.728977</v>
      </c>
      <c r="I725">
        <v>368.52659999999997</v>
      </c>
      <c r="J725">
        <v>-303.22949999999997</v>
      </c>
      <c r="K725">
        <v>1.0593709999999901</v>
      </c>
      <c r="L725">
        <v>368.12959999999998</v>
      </c>
      <c r="M725">
        <v>0.99978140000000004</v>
      </c>
      <c r="N725">
        <v>0</v>
      </c>
      <c r="O725">
        <v>-1.8646409999999999E-2</v>
      </c>
      <c r="P725">
        <v>0.99869430000000003</v>
      </c>
      <c r="Q725">
        <v>4.8211080000000003E-2</v>
      </c>
      <c r="R725">
        <v>1.6892549999999999E-2</v>
      </c>
      <c r="S725">
        <v>3.0030519999999998</v>
      </c>
      <c r="T725">
        <v>1.3907310000000001E-2</v>
      </c>
      <c r="U725">
        <v>8.178711E-3</v>
      </c>
      <c r="V725">
        <v>-3.5489970000000003E-2</v>
      </c>
      <c r="W725">
        <v>5.7670350000000002E-2</v>
      </c>
      <c r="X725">
        <v>0.9977047</v>
      </c>
      <c r="Y725">
        <v>-2.136973E-2</v>
      </c>
      <c r="Z725">
        <v>-1.358346E-4</v>
      </c>
      <c r="AA725">
        <v>0.99977169999999904</v>
      </c>
      <c r="AB725">
        <v>30</v>
      </c>
      <c r="AC725">
        <v>144.44629999999901</v>
      </c>
      <c r="AD725">
        <v>0.66960600000000003</v>
      </c>
      <c r="AE725">
        <v>0.39699999999999103</v>
      </c>
      <c r="AF725">
        <v>-3.0903899830046599</v>
      </c>
      <c r="AG725">
        <v>0.66960600000000003</v>
      </c>
      <c r="AH725">
        <v>144.410678161129</v>
      </c>
      <c r="AI725">
        <v>89.734392625834801</v>
      </c>
      <c r="AJ725">
        <v>91.225943143316201</v>
      </c>
      <c r="AK725">
        <v>144.44529362149299</v>
      </c>
      <c r="AL725">
        <v>86.693898126748607</v>
      </c>
      <c r="AM725">
        <v>92.037244575882397</v>
      </c>
      <c r="AN725">
        <v>1.0000000378209</v>
      </c>
    </row>
    <row r="726" spans="1:40" x14ac:dyDescent="0.25">
      <c r="A726" t="str">
        <f>"20190312160615648"</f>
        <v>20190312160615648</v>
      </c>
      <c r="B726" t="str">
        <f>"1552377975645916"</f>
        <v>1552377975645916</v>
      </c>
      <c r="C726" t="s">
        <v>40</v>
      </c>
      <c r="D726">
        <v>6.8290639999999998</v>
      </c>
      <c r="E726">
        <v>0.50196390000000002</v>
      </c>
      <c r="F726" t="s">
        <v>42</v>
      </c>
      <c r="G726">
        <v>-158.78319999999999</v>
      </c>
      <c r="H726">
        <v>1.925432</v>
      </c>
      <c r="I726">
        <v>369.42450000000002</v>
      </c>
      <c r="J726">
        <v>-303.08749999999998</v>
      </c>
      <c r="K726">
        <v>1.0593709999999901</v>
      </c>
      <c r="L726">
        <v>368.12689999999998</v>
      </c>
      <c r="M726">
        <v>0.99977969999999905</v>
      </c>
      <c r="N726">
        <v>0</v>
      </c>
      <c r="O726">
        <v>-1.8734379999999998E-2</v>
      </c>
      <c r="P726">
        <v>0.99869560000000002</v>
      </c>
      <c r="Q726">
        <v>4.8125759999999997E-2</v>
      </c>
      <c r="R726">
        <v>1.70457E-2</v>
      </c>
      <c r="S726">
        <v>3.0025940000000002</v>
      </c>
      <c r="T726">
        <v>1.8004539999999999E-2</v>
      </c>
      <c r="U726">
        <v>2.6916499999999999E-2</v>
      </c>
      <c r="V726">
        <v>-3.5730869999999998E-2</v>
      </c>
      <c r="W726">
        <v>5.758228E-2</v>
      </c>
      <c r="X726">
        <v>0.99770119999999896</v>
      </c>
      <c r="Y726">
        <v>-2.7696109999999999E-2</v>
      </c>
      <c r="Z726">
        <v>-1.9537170000000001E-4</v>
      </c>
      <c r="AA726">
        <v>0.99961639999999996</v>
      </c>
      <c r="AB726">
        <v>30</v>
      </c>
      <c r="AC726">
        <v>144.30429999999899</v>
      </c>
      <c r="AD726">
        <v>0.86606099999999997</v>
      </c>
      <c r="AE726">
        <v>1.2976000000000401</v>
      </c>
      <c r="AF726">
        <v>-4.00080083039584</v>
      </c>
      <c r="AG726">
        <v>0.86606099999999997</v>
      </c>
      <c r="AH726">
        <v>144.24946556120801</v>
      </c>
      <c r="AI726">
        <v>89.656137582600806</v>
      </c>
      <c r="AJ726">
        <v>91.588707802968401</v>
      </c>
      <c r="AK726">
        <v>144.30753543607599</v>
      </c>
      <c r="AL726">
        <v>86.698952603016096</v>
      </c>
      <c r="AM726">
        <v>92.051068470393403</v>
      </c>
      <c r="AN726">
        <v>1.00000004926119</v>
      </c>
    </row>
    <row r="727" spans="1:40" x14ac:dyDescent="0.25">
      <c r="A727" t="str">
        <f>"20190312160615661"</f>
        <v>20190312160615661</v>
      </c>
      <c r="B727" t="str">
        <f>"1552377975655677"</f>
        <v>1552377975655677</v>
      </c>
      <c r="C727" t="s">
        <v>40</v>
      </c>
      <c r="D727">
        <v>6.635516</v>
      </c>
      <c r="E727">
        <v>0.50127540000000004</v>
      </c>
      <c r="F727" t="s">
        <v>42</v>
      </c>
      <c r="G727">
        <v>-158.78319999999999</v>
      </c>
      <c r="H727">
        <v>2.0642369999999999</v>
      </c>
      <c r="I727">
        <v>369.70069999999998</v>
      </c>
      <c r="J727">
        <v>-302.93040000000002</v>
      </c>
      <c r="K727">
        <v>1.059369</v>
      </c>
      <c r="L727">
        <v>368.12380000000002</v>
      </c>
      <c r="M727">
        <v>0.99977800000000006</v>
      </c>
      <c r="N727">
        <v>0</v>
      </c>
      <c r="O727">
        <v>-1.8831879999999999E-2</v>
      </c>
      <c r="P727">
        <v>0.99869540000000001</v>
      </c>
      <c r="Q727">
        <v>4.8101640000000001E-2</v>
      </c>
      <c r="R727">
        <v>1.7141239999999999E-2</v>
      </c>
      <c r="S727">
        <v>3.00238</v>
      </c>
      <c r="T727">
        <v>2.0908949999999999E-2</v>
      </c>
      <c r="U727">
        <v>3.2745360000000001E-2</v>
      </c>
      <c r="V727">
        <v>-3.5923589999999998E-2</v>
      </c>
      <c r="W727">
        <v>5.7556580000000003E-2</v>
      </c>
      <c r="X727">
        <v>0.99769569999999996</v>
      </c>
      <c r="Y727">
        <v>-2.973431E-2</v>
      </c>
      <c r="Z727">
        <v>-2.346778E-4</v>
      </c>
      <c r="AA727">
        <v>0.99955780000000005</v>
      </c>
      <c r="AB727">
        <v>30</v>
      </c>
      <c r="AC727">
        <v>144.1472</v>
      </c>
      <c r="AD727">
        <v>1.0048680000000001</v>
      </c>
      <c r="AE727">
        <v>1.57689999999996</v>
      </c>
      <c r="AF727">
        <v>-4.2910958279975704</v>
      </c>
      <c r="AG727">
        <v>1.0048680000000001</v>
      </c>
      <c r="AH727">
        <v>144.08493677631699</v>
      </c>
      <c r="AI727">
        <v>89.600594978911005</v>
      </c>
      <c r="AJ727">
        <v>91.705862080803399</v>
      </c>
      <c r="AK727">
        <v>144.15232314790401</v>
      </c>
      <c r="AL727">
        <v>86.700427345037497</v>
      </c>
      <c r="AM727">
        <v>92.062133059693295</v>
      </c>
      <c r="AN727">
        <v>0.99999998700913695</v>
      </c>
    </row>
    <row r="728" spans="1:40" x14ac:dyDescent="0.25">
      <c r="A728" t="str">
        <f>"20190312160615675"</f>
        <v>20190312160615675</v>
      </c>
      <c r="B728" t="str">
        <f>"1552377975665436"</f>
        <v>1552377975665436</v>
      </c>
      <c r="C728" t="s">
        <v>40</v>
      </c>
      <c r="D728">
        <v>6.3626110000000002</v>
      </c>
      <c r="E728">
        <v>0.50058179999999997</v>
      </c>
      <c r="F728" t="s">
        <v>42</v>
      </c>
      <c r="G728">
        <v>-158.78319999999999</v>
      </c>
      <c r="H728">
        <v>2.1751520000000002</v>
      </c>
      <c r="I728">
        <v>369.96429999999998</v>
      </c>
      <c r="J728">
        <v>-302.75420000000003</v>
      </c>
      <c r="K728">
        <v>1.0593669999999999</v>
      </c>
      <c r="L728">
        <v>368.12040000000002</v>
      </c>
      <c r="M728">
        <v>0.999776</v>
      </c>
      <c r="N728">
        <v>0</v>
      </c>
      <c r="O728">
        <v>-1.8941300000000001E-2</v>
      </c>
      <c r="P728">
        <v>0.99870490000000001</v>
      </c>
      <c r="Q728">
        <v>4.7974280000000001E-2</v>
      </c>
      <c r="R728">
        <v>1.694936E-2</v>
      </c>
      <c r="S728">
        <v>3.0021360000000001</v>
      </c>
      <c r="T728">
        <v>2.3240090000000001E-2</v>
      </c>
      <c r="U728">
        <v>3.8330080000000002E-2</v>
      </c>
      <c r="V728">
        <v>-3.5841079999999997E-2</v>
      </c>
      <c r="W728">
        <v>5.7427560000000002E-2</v>
      </c>
      <c r="X728">
        <v>0.99770610000000004</v>
      </c>
      <c r="Y728">
        <v>-3.170336E-2</v>
      </c>
      <c r="Z728">
        <v>-2.6932820000000001E-4</v>
      </c>
      <c r="AA728">
        <v>0.99949730000000003</v>
      </c>
      <c r="AB728">
        <v>30</v>
      </c>
      <c r="AC728">
        <v>143.971</v>
      </c>
      <c r="AD728">
        <v>1.115785</v>
      </c>
      <c r="AE728">
        <v>1.8438999999999599</v>
      </c>
      <c r="AF728">
        <v>-4.5704142030669601</v>
      </c>
      <c r="AG728">
        <v>1.115785</v>
      </c>
      <c r="AH728">
        <v>143.90159969287399</v>
      </c>
      <c r="AI728">
        <v>89.5559724676705</v>
      </c>
      <c r="AJ728">
        <v>91.819142016237706</v>
      </c>
      <c r="AK728">
        <v>143.978484699353</v>
      </c>
      <c r="AL728">
        <v>86.707831886795205</v>
      </c>
      <c r="AM728">
        <v>92.057379359691794</v>
      </c>
      <c r="AN728">
        <v>0.99999998482016395</v>
      </c>
    </row>
    <row r="729" spans="1:40" x14ac:dyDescent="0.25">
      <c r="A729" t="str">
        <f>"20190312160615686"</f>
        <v>20190312160615686</v>
      </c>
      <c r="B729" t="str">
        <f>"1552377975676173"</f>
        <v>1552377975676173</v>
      </c>
      <c r="C729" t="s">
        <v>40</v>
      </c>
      <c r="D729">
        <v>6.6248639999999996</v>
      </c>
      <c r="E729">
        <v>0.50006859999999997</v>
      </c>
      <c r="F729" t="s">
        <v>42</v>
      </c>
      <c r="G729">
        <v>-158.78319999999999</v>
      </c>
      <c r="H729">
        <v>2.2809439999999999</v>
      </c>
      <c r="I729">
        <v>370.22660000000002</v>
      </c>
      <c r="J729">
        <v>-302.58359999999999</v>
      </c>
      <c r="K729">
        <v>1.0593629999999901</v>
      </c>
      <c r="L729">
        <v>368.11709999999999</v>
      </c>
      <c r="M729">
        <v>0.99977400000000005</v>
      </c>
      <c r="N729">
        <v>0</v>
      </c>
      <c r="O729">
        <v>-1.904668E-2</v>
      </c>
      <c r="P729">
        <v>0.99870990000000004</v>
      </c>
      <c r="Q729">
        <v>4.7822169999999997E-2</v>
      </c>
      <c r="R729">
        <v>1.7079830000000001E-2</v>
      </c>
      <c r="S729">
        <v>3.0019230000000001</v>
      </c>
      <c r="T729">
        <v>2.5472760000000001E-2</v>
      </c>
      <c r="U729">
        <v>4.3914790000000002E-2</v>
      </c>
      <c r="V729">
        <v>-3.607689E-2</v>
      </c>
      <c r="W729">
        <v>5.7275230000000003E-2</v>
      </c>
      <c r="X729">
        <v>0.99770639999999999</v>
      </c>
      <c r="Y729">
        <v>-3.366827E-2</v>
      </c>
      <c r="Z729">
        <v>-3.0444990000000002E-4</v>
      </c>
      <c r="AA729">
        <v>0.99943300000000002</v>
      </c>
      <c r="AB729">
        <v>30</v>
      </c>
      <c r="AC729">
        <v>143.8004</v>
      </c>
      <c r="AD729">
        <v>1.221581</v>
      </c>
      <c r="AE729">
        <v>2.1095000000000201</v>
      </c>
      <c r="AF729">
        <v>-4.8478098576254203</v>
      </c>
      <c r="AG729">
        <v>1.221581</v>
      </c>
      <c r="AH729">
        <v>143.72376133639</v>
      </c>
      <c r="AI729">
        <v>89.513302663126296</v>
      </c>
      <c r="AJ729">
        <v>91.931857175084502</v>
      </c>
      <c r="AK729">
        <v>143.81068490635499</v>
      </c>
      <c r="AL729">
        <v>86.716574281882899</v>
      </c>
      <c r="AM729">
        <v>92.070903150959893</v>
      </c>
      <c r="AN729">
        <v>1.00000002728229</v>
      </c>
    </row>
    <row r="730" spans="1:40" x14ac:dyDescent="0.25">
      <c r="A730" t="str">
        <f>"20190312160615706"</f>
        <v>20190312160615706</v>
      </c>
      <c r="B730" t="str">
        <f>"1552377975695693"</f>
        <v>1552377975695693</v>
      </c>
      <c r="C730" t="s">
        <v>40</v>
      </c>
      <c r="D730">
        <v>6.7751469999999996</v>
      </c>
      <c r="E730">
        <v>0.49900410000000001</v>
      </c>
      <c r="F730" t="s">
        <v>42</v>
      </c>
      <c r="G730">
        <v>-158.19499999999999</v>
      </c>
      <c r="H730">
        <v>2.3619219999999999</v>
      </c>
      <c r="I730">
        <v>370.42910000000001</v>
      </c>
      <c r="J730">
        <v>-302.32819999999998</v>
      </c>
      <c r="K730">
        <v>1.0593589999999999</v>
      </c>
      <c r="L730">
        <v>368.1121</v>
      </c>
      <c r="M730">
        <v>0.99977090000000002</v>
      </c>
      <c r="N730">
        <v>0</v>
      </c>
      <c r="O730">
        <v>-1.9204639999999999E-2</v>
      </c>
      <c r="P730">
        <v>0.99871860000000001</v>
      </c>
      <c r="Q730">
        <v>4.7666170000000001E-2</v>
      </c>
      <c r="R730">
        <v>1.7001720000000001E-2</v>
      </c>
      <c r="S730">
        <v>3.00177</v>
      </c>
      <c r="T730">
        <v>2.708137E-2</v>
      </c>
      <c r="U730">
        <v>4.8065190000000001E-2</v>
      </c>
      <c r="V730">
        <v>-3.6156670000000002E-2</v>
      </c>
      <c r="W730">
        <v>5.7119080000000003E-2</v>
      </c>
      <c r="X730">
        <v>0.99771240000000005</v>
      </c>
      <c r="Y730">
        <v>-3.5208110000000001E-2</v>
      </c>
      <c r="Z730">
        <v>-3.32059E-4</v>
      </c>
      <c r="AA730">
        <v>0.99937989999999999</v>
      </c>
      <c r="AB730">
        <v>30</v>
      </c>
      <c r="AC730">
        <v>144.13319999999999</v>
      </c>
      <c r="AD730">
        <v>1.3025629999999999</v>
      </c>
      <c r="AE730">
        <v>2.3170000000000002</v>
      </c>
      <c r="AF730">
        <v>-5.0843073711455302</v>
      </c>
      <c r="AG730">
        <v>1.3025629999999999</v>
      </c>
      <c r="AH730">
        <v>144.050354822933</v>
      </c>
      <c r="AI730">
        <v>89.482244321450295</v>
      </c>
      <c r="AJ730">
        <v>92.021435334026506</v>
      </c>
      <c r="AK730">
        <v>144.145938466632</v>
      </c>
      <c r="AL730">
        <v>86.725535479558701</v>
      </c>
      <c r="AM730">
        <v>92.075466250070704</v>
      </c>
      <c r="AN730">
        <v>0.99999996359964705</v>
      </c>
    </row>
    <row r="731" spans="1:40" x14ac:dyDescent="0.25">
      <c r="A731" t="str">
        <f>"20190312160615739"</f>
        <v>20190312160615739</v>
      </c>
      <c r="B731" t="str">
        <f>"1552377975736216"</f>
        <v>1552377975736216</v>
      </c>
      <c r="C731" t="s">
        <v>40</v>
      </c>
      <c r="D731">
        <v>6.5754979999999996</v>
      </c>
      <c r="E731">
        <v>0.49765910000000002</v>
      </c>
      <c r="F731" t="s">
        <v>42</v>
      </c>
      <c r="G731">
        <v>-158.19499999999999</v>
      </c>
      <c r="H731">
        <v>2.3336670000000002</v>
      </c>
      <c r="I731">
        <v>370.8304</v>
      </c>
      <c r="J731">
        <v>-301.89069999999998</v>
      </c>
      <c r="K731">
        <v>1.0593490000000001</v>
      </c>
      <c r="L731">
        <v>368.10329999999999</v>
      </c>
      <c r="M731">
        <v>0.99976560000000003</v>
      </c>
      <c r="N731">
        <v>0</v>
      </c>
      <c r="O731">
        <v>-1.9475369999999999E-2</v>
      </c>
      <c r="P731">
        <v>0.99870780000000003</v>
      </c>
      <c r="Q731">
        <v>4.7869080000000001E-2</v>
      </c>
      <c r="R731">
        <v>1.7068750000000001E-2</v>
      </c>
      <c r="S731">
        <v>3.001617</v>
      </c>
      <c r="T731">
        <v>2.653968E-2</v>
      </c>
      <c r="U731">
        <v>5.6610109999999998E-2</v>
      </c>
      <c r="V731">
        <v>-3.649401E-2</v>
      </c>
      <c r="W731">
        <v>5.7324739999999999E-2</v>
      </c>
      <c r="X731">
        <v>0.99768840000000003</v>
      </c>
      <c r="Y731">
        <v>-3.8323459999999997E-2</v>
      </c>
      <c r="Z731">
        <v>-3.415917E-4</v>
      </c>
      <c r="AA731">
        <v>0.99926530000000002</v>
      </c>
      <c r="AB731">
        <v>30</v>
      </c>
      <c r="AC731">
        <v>143.69569999999999</v>
      </c>
      <c r="AD731">
        <v>1.2743179999999901</v>
      </c>
      <c r="AE731">
        <v>2.7271000000000001</v>
      </c>
      <c r="AF731">
        <v>-5.5248004897233303</v>
      </c>
      <c r="AG731">
        <v>1.2743179999999901</v>
      </c>
      <c r="AH731">
        <v>143.60404055133401</v>
      </c>
      <c r="AI731">
        <v>89.491956101955793</v>
      </c>
      <c r="AJ731">
        <v>92.203222909109599</v>
      </c>
      <c r="AK731">
        <v>143.71592733404901</v>
      </c>
      <c r="AL731">
        <v>86.713732944798195</v>
      </c>
      <c r="AM731">
        <v>92.094863425796603</v>
      </c>
      <c r="AN731">
        <v>1.0000000410382499</v>
      </c>
    </row>
    <row r="732" spans="1:40" x14ac:dyDescent="0.25">
      <c r="A732" t="str">
        <f>"20190312160615762"</f>
        <v>20190312160615762</v>
      </c>
      <c r="B732" t="str">
        <f>"1552377975755735"</f>
        <v>1552377975755735</v>
      </c>
      <c r="C732" t="s">
        <v>40</v>
      </c>
      <c r="D732">
        <v>6.797542</v>
      </c>
      <c r="E732">
        <v>0.4974655</v>
      </c>
      <c r="F732" t="s">
        <v>42</v>
      </c>
      <c r="G732">
        <v>-158.19499999999999</v>
      </c>
      <c r="H732">
        <v>2.3752979999999999</v>
      </c>
      <c r="I732">
        <v>371.3338</v>
      </c>
      <c r="J732">
        <v>-301.5813</v>
      </c>
      <c r="K732">
        <v>1.0593410000000001</v>
      </c>
      <c r="L732">
        <v>368.09710000000001</v>
      </c>
      <c r="M732">
        <v>0.99976180000000003</v>
      </c>
      <c r="N732">
        <v>0</v>
      </c>
      <c r="O732">
        <v>-1.9667069999999998E-2</v>
      </c>
      <c r="P732">
        <v>0.99871750000000004</v>
      </c>
      <c r="Q732">
        <v>4.777083E-2</v>
      </c>
      <c r="R732">
        <v>1.6767919999999999E-2</v>
      </c>
      <c r="S732">
        <v>3.001404</v>
      </c>
      <c r="T732">
        <v>2.7488350000000002E-2</v>
      </c>
      <c r="U732">
        <v>6.7474370000000006E-2</v>
      </c>
      <c r="V732">
        <v>-3.6384310000000003E-2</v>
      </c>
      <c r="W732">
        <v>5.7229530000000001E-2</v>
      </c>
      <c r="X732">
        <v>0.99769779999999997</v>
      </c>
      <c r="Y732">
        <v>-4.2131299999999997E-2</v>
      </c>
      <c r="Z732">
        <v>-3.7300499999999998E-4</v>
      </c>
      <c r="AA732">
        <v>0.999112</v>
      </c>
      <c r="AB732">
        <v>30</v>
      </c>
      <c r="AC732">
        <v>143.38630000000001</v>
      </c>
      <c r="AD732">
        <v>1.3159569999999901</v>
      </c>
      <c r="AE732">
        <v>3.2366999999999799</v>
      </c>
      <c r="AF732">
        <v>-6.0556787764097004</v>
      </c>
      <c r="AG732">
        <v>1.3159569999999901</v>
      </c>
      <c r="AH732">
        <v>143.282842520689</v>
      </c>
      <c r="AI732">
        <v>89.474260721871502</v>
      </c>
      <c r="AJ732">
        <v>92.4200976523923</v>
      </c>
      <c r="AK732">
        <v>143.416791029075</v>
      </c>
      <c r="AL732">
        <v>86.719196808218399</v>
      </c>
      <c r="AM732">
        <v>92.088552248177905</v>
      </c>
      <c r="AN732">
        <v>0.99999996862151797</v>
      </c>
    </row>
    <row r="733" spans="1:40" x14ac:dyDescent="0.25">
      <c r="A733" t="str">
        <f>"20190312160615773"</f>
        <v>20190312160615773</v>
      </c>
      <c r="B733" t="str">
        <f>"1552377975765495"</f>
        <v>1552377975765495</v>
      </c>
      <c r="C733" t="s">
        <v>40</v>
      </c>
      <c r="D733">
        <v>6.3952869999999997</v>
      </c>
      <c r="E733">
        <v>0.49723420000000002</v>
      </c>
      <c r="F733" t="s">
        <v>42</v>
      </c>
      <c r="G733">
        <v>-158.19499999999999</v>
      </c>
      <c r="H733">
        <v>2.1230380000000002</v>
      </c>
      <c r="I733">
        <v>371.34800000000001</v>
      </c>
      <c r="J733">
        <v>-301.42720000000003</v>
      </c>
      <c r="K733">
        <v>1.0593379999999999</v>
      </c>
      <c r="L733">
        <v>368.09399999999999</v>
      </c>
      <c r="M733">
        <v>0.99975999999999998</v>
      </c>
      <c r="N733">
        <v>0</v>
      </c>
      <c r="O733">
        <v>-1.976257E-2</v>
      </c>
      <c r="P733">
        <v>0.9987395</v>
      </c>
      <c r="Q733">
        <v>4.7421680000000001E-2</v>
      </c>
      <c r="R733">
        <v>1.6463180000000001E-2</v>
      </c>
      <c r="S733">
        <v>3.0016479999999999</v>
      </c>
      <c r="T733">
        <v>2.2269250000000001E-2</v>
      </c>
      <c r="U733">
        <v>6.8054199999999995E-2</v>
      </c>
      <c r="V733">
        <v>-3.617571E-2</v>
      </c>
      <c r="W733">
        <v>5.6882009999999997E-2</v>
      </c>
      <c r="X733">
        <v>0.99772530000000004</v>
      </c>
      <c r="Y733">
        <v>-4.2418699999999997E-2</v>
      </c>
      <c r="Z733">
        <v>-3.0393530000000002E-4</v>
      </c>
      <c r="AA733">
        <v>0.99909990000000004</v>
      </c>
      <c r="AB733">
        <v>30</v>
      </c>
      <c r="AC733">
        <v>143.23220000000001</v>
      </c>
      <c r="AD733">
        <v>1.0637000000000001</v>
      </c>
      <c r="AE733">
        <v>3.2540000000000102</v>
      </c>
      <c r="AF733">
        <v>-6.08379197738922</v>
      </c>
      <c r="AG733">
        <v>1.0637000000000001</v>
      </c>
      <c r="AH733">
        <v>143.13202429830301</v>
      </c>
      <c r="AI733">
        <v>89.574592598718297</v>
      </c>
      <c r="AJ733">
        <v>92.433878191512605</v>
      </c>
      <c r="AK733">
        <v>143.26520988099</v>
      </c>
      <c r="AL733">
        <v>86.739140860990403</v>
      </c>
      <c r="AM733">
        <v>92.076531402977494</v>
      </c>
      <c r="AN733">
        <v>1.0000000096578601</v>
      </c>
    </row>
    <row r="734" spans="1:40" x14ac:dyDescent="0.25">
      <c r="A734" t="str">
        <f>"20190312160615784"</f>
        <v>20190312160615784</v>
      </c>
      <c r="B734" t="str">
        <f>"1552377975776231"</f>
        <v>1552377975776231</v>
      </c>
      <c r="C734" t="s">
        <v>40</v>
      </c>
      <c r="D734">
        <v>6.3779839999999997</v>
      </c>
      <c r="E734">
        <v>0.49694899999999997</v>
      </c>
      <c r="F734" t="s">
        <v>42</v>
      </c>
      <c r="G734">
        <v>-158.19499999999999</v>
      </c>
      <c r="H734">
        <v>2.106738</v>
      </c>
      <c r="I734">
        <v>371.3895</v>
      </c>
      <c r="J734">
        <v>-301.27949999999998</v>
      </c>
      <c r="K734">
        <v>1.0593250000000001</v>
      </c>
      <c r="L734">
        <v>368.09100000000001</v>
      </c>
      <c r="M734">
        <v>0.99975809999999998</v>
      </c>
      <c r="N734">
        <v>0</v>
      </c>
      <c r="O734">
        <v>-1.9854009999999998E-2</v>
      </c>
      <c r="P734">
        <v>0.99875720000000001</v>
      </c>
      <c r="Q734">
        <v>4.7135129999999997E-2</v>
      </c>
      <c r="R734">
        <v>1.6209379999999999E-2</v>
      </c>
      <c r="S734">
        <v>3.001617</v>
      </c>
      <c r="T734">
        <v>2.1951439999999999E-2</v>
      </c>
      <c r="U734">
        <v>6.9061280000000003E-2</v>
      </c>
      <c r="V734">
        <v>-3.6014070000000002E-2</v>
      </c>
      <c r="W734">
        <v>5.6597799999999997E-2</v>
      </c>
      <c r="X734">
        <v>0.9977473</v>
      </c>
      <c r="Y734">
        <v>-4.2845370000000001E-2</v>
      </c>
      <c r="Z734">
        <v>-3.0182849999999998E-4</v>
      </c>
      <c r="AA734">
        <v>0.99908169999999996</v>
      </c>
      <c r="AB734">
        <v>30</v>
      </c>
      <c r="AC734">
        <v>143.08449999999999</v>
      </c>
      <c r="AD734">
        <v>1.0474129999999999</v>
      </c>
      <c r="AE734">
        <v>3.29849999999999</v>
      </c>
      <c r="AF734">
        <v>-6.13844932685359</v>
      </c>
      <c r="AG734">
        <v>1.0474129999999999</v>
      </c>
      <c r="AH734">
        <v>142.983144848032</v>
      </c>
      <c r="AI734">
        <v>89.580677526573297</v>
      </c>
      <c r="AJ734">
        <v>92.4582715788287</v>
      </c>
      <c r="AK734">
        <v>143.118682724389</v>
      </c>
      <c r="AL734">
        <v>86.755451137170994</v>
      </c>
      <c r="AM734">
        <v>92.067215588456307</v>
      </c>
      <c r="AN734">
        <v>0.99999999943004703</v>
      </c>
    </row>
    <row r="735" spans="1:40" x14ac:dyDescent="0.25">
      <c r="A735" t="str">
        <f>"20190312160615796"</f>
        <v>20190312160615796</v>
      </c>
      <c r="B735" t="str">
        <f>"1552377975785991"</f>
        <v>1552377975785991</v>
      </c>
      <c r="C735" t="s">
        <v>40</v>
      </c>
      <c r="D735">
        <v>6.7278840000000004</v>
      </c>
      <c r="E735">
        <v>0.49660749999999998</v>
      </c>
      <c r="F735" t="s">
        <v>42</v>
      </c>
      <c r="G735">
        <v>-158.19499999999999</v>
      </c>
      <c r="H735">
        <v>2.154407</v>
      </c>
      <c r="I735">
        <v>371.4545</v>
      </c>
      <c r="J735">
        <v>-301.12110000000001</v>
      </c>
      <c r="K735">
        <v>1.0593220000000001</v>
      </c>
      <c r="L735">
        <v>368.08769999999998</v>
      </c>
      <c r="M735">
        <v>0.99975619999999998</v>
      </c>
      <c r="N735">
        <v>0</v>
      </c>
      <c r="O735">
        <v>-1.9952129999999998E-2</v>
      </c>
      <c r="P735">
        <v>0.99877260000000001</v>
      </c>
      <c r="Q735">
        <v>4.6975179999999998E-2</v>
      </c>
      <c r="R735">
        <v>1.573128E-2</v>
      </c>
      <c r="S735">
        <v>3.0014949999999998</v>
      </c>
      <c r="T735">
        <v>2.2973420000000001E-2</v>
      </c>
      <c r="U735">
        <v>7.0556640000000004E-2</v>
      </c>
      <c r="V735">
        <v>-3.5634249999999999E-2</v>
      </c>
      <c r="W735">
        <v>5.643973E-2</v>
      </c>
      <c r="X735">
        <v>0.99776989999999999</v>
      </c>
      <c r="Y735">
        <v>-4.3441649999999998E-2</v>
      </c>
      <c r="Z735">
        <v>-3.1892390000000002E-4</v>
      </c>
      <c r="AA735">
        <v>0.9990559</v>
      </c>
      <c r="AB735">
        <v>30</v>
      </c>
      <c r="AC735">
        <v>142.92609999999999</v>
      </c>
      <c r="AD735">
        <v>1.0950850000000001</v>
      </c>
      <c r="AE735">
        <v>3.3668000000000098</v>
      </c>
      <c r="AF735">
        <v>-6.2175726167094298</v>
      </c>
      <c r="AG735">
        <v>1.0950850000000001</v>
      </c>
      <c r="AH735">
        <v>142.82208856810499</v>
      </c>
      <c r="AI735">
        <v>89.561110243857399</v>
      </c>
      <c r="AJ735">
        <v>92.492722812596597</v>
      </c>
      <c r="AK735">
        <v>142.96155568318699</v>
      </c>
      <c r="AL735">
        <v>86.764522409249196</v>
      </c>
      <c r="AM735">
        <v>92.045386163082895</v>
      </c>
      <c r="AN735">
        <v>1.0000000081207701</v>
      </c>
    </row>
    <row r="736" spans="1:40" x14ac:dyDescent="0.25">
      <c r="A736" t="str">
        <f>"20190312160615807"</f>
        <v>20190312160615807</v>
      </c>
      <c r="B736" t="str">
        <f>"1552377975795750"</f>
        <v>1552377975795750</v>
      </c>
      <c r="C736" t="s">
        <v>40</v>
      </c>
      <c r="D736">
        <v>6.332497</v>
      </c>
      <c r="E736">
        <v>0.49660749999999998</v>
      </c>
      <c r="F736" t="s">
        <v>42</v>
      </c>
      <c r="G736">
        <v>-158.19499999999999</v>
      </c>
      <c r="H736">
        <v>2.0974240000000002</v>
      </c>
      <c r="I736">
        <v>371.5027</v>
      </c>
      <c r="J736">
        <v>-300.96120000000002</v>
      </c>
      <c r="K736">
        <v>1.05932</v>
      </c>
      <c r="L736">
        <v>368.08440000000002</v>
      </c>
      <c r="M736">
        <v>0.99975409999999998</v>
      </c>
      <c r="N736">
        <v>0</v>
      </c>
      <c r="O736">
        <v>-2.0050849999999999E-2</v>
      </c>
      <c r="P736">
        <v>0.99878639999999996</v>
      </c>
      <c r="Q736">
        <v>4.6762110000000003E-2</v>
      </c>
      <c r="R736">
        <v>1.546663E-2</v>
      </c>
      <c r="S736">
        <v>3.0014949999999998</v>
      </c>
      <c r="T736">
        <v>2.1802309999999998E-2</v>
      </c>
      <c r="U736">
        <v>7.1716310000000005E-2</v>
      </c>
      <c r="V736">
        <v>-3.5468149999999997E-2</v>
      </c>
      <c r="W736">
        <v>5.6228359999999998E-2</v>
      </c>
      <c r="X736">
        <v>0.9977878</v>
      </c>
      <c r="Y736">
        <v>-4.392625E-2</v>
      </c>
      <c r="Z736">
        <v>-3.0514209999999998E-4</v>
      </c>
      <c r="AA736">
        <v>0.99903470000000005</v>
      </c>
      <c r="AB736">
        <v>30</v>
      </c>
      <c r="AC736">
        <v>142.7662</v>
      </c>
      <c r="AD736">
        <v>1.0381039999999999</v>
      </c>
      <c r="AE736">
        <v>3.4182999999999799</v>
      </c>
      <c r="AF736">
        <v>-6.2799929399287899</v>
      </c>
      <c r="AG736">
        <v>1.0381039999999999</v>
      </c>
      <c r="AH736">
        <v>142.66141446446099</v>
      </c>
      <c r="AI736">
        <v>89.583486632930004</v>
      </c>
      <c r="AJ736">
        <v>92.520548013295297</v>
      </c>
      <c r="AK736">
        <v>142.803344317426</v>
      </c>
      <c r="AL736">
        <v>86.776652435038798</v>
      </c>
      <c r="AM736">
        <v>92.035823664934796</v>
      </c>
      <c r="AN736">
        <v>1.00000005598077</v>
      </c>
    </row>
    <row r="737" spans="1:40" x14ac:dyDescent="0.25">
      <c r="A737" t="str">
        <f>"20190312160615820"</f>
        <v>20190312160615820</v>
      </c>
      <c r="B737" t="str">
        <f>"1552377975816247"</f>
        <v>1552377975816247</v>
      </c>
      <c r="C737" t="s">
        <v>40</v>
      </c>
      <c r="D737">
        <v>6.3701280000000002</v>
      </c>
      <c r="E737">
        <v>0.49694759999999999</v>
      </c>
      <c r="F737" t="s">
        <v>42</v>
      </c>
      <c r="G737">
        <v>-158.19499999999999</v>
      </c>
      <c r="H737">
        <v>2.0663469999999999</v>
      </c>
      <c r="I737">
        <v>371.44909999999999</v>
      </c>
      <c r="J737">
        <v>-300.8066</v>
      </c>
      <c r="K737">
        <v>1.0593170000000001</v>
      </c>
      <c r="L737">
        <v>368.08120000000002</v>
      </c>
      <c r="M737">
        <v>0.99975230000000004</v>
      </c>
      <c r="N737">
        <v>0</v>
      </c>
      <c r="O737">
        <v>-2.0146580000000001E-2</v>
      </c>
      <c r="P737">
        <v>0.99878080000000002</v>
      </c>
      <c r="Q737">
        <v>4.6945059999999997E-2</v>
      </c>
      <c r="R737">
        <v>1.5274289999999999E-2</v>
      </c>
      <c r="S737">
        <v>3.0015869999999998</v>
      </c>
      <c r="T737">
        <v>2.117407E-2</v>
      </c>
      <c r="U737">
        <v>7.0739750000000004E-2</v>
      </c>
      <c r="V737">
        <v>-3.5371659999999999E-2</v>
      </c>
      <c r="W737">
        <v>5.641355E-2</v>
      </c>
      <c r="X737">
        <v>0.99778069999999996</v>
      </c>
      <c r="Y737">
        <v>-4.3696430000000001E-2</v>
      </c>
      <c r="Z737">
        <v>-2.962064E-4</v>
      </c>
      <c r="AA737">
        <v>0.99904479999999996</v>
      </c>
      <c r="AB737">
        <v>30</v>
      </c>
      <c r="AC737">
        <v>142.61160000000001</v>
      </c>
      <c r="AD737">
        <v>1.0070300000000001</v>
      </c>
      <c r="AE737">
        <v>3.3678999999999601</v>
      </c>
      <c r="AF737">
        <v>-6.2401699258026602</v>
      </c>
      <c r="AG737">
        <v>1.0070300000000001</v>
      </c>
      <c r="AH737">
        <v>142.507695992283</v>
      </c>
      <c r="AI737">
        <v>89.595513953213498</v>
      </c>
      <c r="AJ737">
        <v>92.507283172470295</v>
      </c>
      <c r="AK737">
        <v>142.64780842043399</v>
      </c>
      <c r="AL737">
        <v>86.766024728753393</v>
      </c>
      <c r="AM737">
        <v>92.030304346305797</v>
      </c>
      <c r="AN737">
        <v>0.99999998412362301</v>
      </c>
    </row>
    <row r="738" spans="1:40" x14ac:dyDescent="0.25">
      <c r="A738" t="str">
        <f>"20190312160615830"</f>
        <v>20190312160615830</v>
      </c>
      <c r="B738" t="str">
        <f>"1552377975826006"</f>
        <v>1552377975826006</v>
      </c>
      <c r="C738" t="s">
        <v>40</v>
      </c>
      <c r="D738">
        <v>6.6174239999999998</v>
      </c>
      <c r="E738">
        <v>0.50981009999999904</v>
      </c>
      <c r="F738" t="s">
        <v>42</v>
      </c>
      <c r="G738">
        <v>-158.19499999999999</v>
      </c>
      <c r="H738">
        <v>1.996054</v>
      </c>
      <c r="I738">
        <v>371.3073</v>
      </c>
      <c r="J738">
        <v>-300.64420000000001</v>
      </c>
      <c r="K738">
        <v>1.0593159999999999</v>
      </c>
      <c r="L738">
        <v>368.0779</v>
      </c>
      <c r="M738">
        <v>0.99975009999999997</v>
      </c>
      <c r="N738">
        <v>0</v>
      </c>
      <c r="O738">
        <v>-2.024685E-2</v>
      </c>
      <c r="P738">
        <v>0.99878599999999995</v>
      </c>
      <c r="Q738">
        <v>4.6921360000000002E-2</v>
      </c>
      <c r="R738">
        <v>1.499846E-2</v>
      </c>
      <c r="S738">
        <v>3.001709</v>
      </c>
      <c r="T738">
        <v>1.9718409999999999E-2</v>
      </c>
      <c r="U738">
        <v>6.7901610000000001E-2</v>
      </c>
      <c r="V738">
        <v>-3.5195669999999998E-2</v>
      </c>
      <c r="W738">
        <v>5.6392600000000001E-2</v>
      </c>
      <c r="X738">
        <v>0.99778809999999996</v>
      </c>
      <c r="Y738">
        <v>-4.2851779999999999E-2</v>
      </c>
      <c r="Z738">
        <v>-2.7371950000000002E-4</v>
      </c>
      <c r="AA738">
        <v>0.99908140000000001</v>
      </c>
      <c r="AB738">
        <v>30</v>
      </c>
      <c r="AC738">
        <v>142.44919999999999</v>
      </c>
      <c r="AD738">
        <v>0.93673799999999996</v>
      </c>
      <c r="AE738">
        <v>3.2293999999999898</v>
      </c>
      <c r="AF738">
        <v>-6.1127508483288997</v>
      </c>
      <c r="AG738">
        <v>0.93673799999999996</v>
      </c>
      <c r="AH738">
        <v>142.348456400743</v>
      </c>
      <c r="AI738">
        <v>89.6233120790275</v>
      </c>
      <c r="AJ738">
        <v>92.458894114031295</v>
      </c>
      <c r="AK738">
        <v>142.482722604141</v>
      </c>
      <c r="AL738">
        <v>86.767226964622296</v>
      </c>
      <c r="AM738">
        <v>92.020196085227596</v>
      </c>
      <c r="AN738">
        <v>0.99999997651155903</v>
      </c>
    </row>
    <row r="739" spans="1:40" x14ac:dyDescent="0.25">
      <c r="A739" t="str">
        <f>"20190312160615851"</f>
        <v>20190312160615851</v>
      </c>
      <c r="B739" t="str">
        <f>"1552377975845532"</f>
        <v>1552377975845532</v>
      </c>
      <c r="C739" t="s">
        <v>40</v>
      </c>
      <c r="D739">
        <v>6.3951449999999896</v>
      </c>
      <c r="E739">
        <v>0.48890479999999997</v>
      </c>
      <c r="F739" t="s">
        <v>45</v>
      </c>
      <c r="G739">
        <v>-287.44639999999998</v>
      </c>
      <c r="H739">
        <v>-0.05</v>
      </c>
      <c r="I739">
        <v>367.8972</v>
      </c>
      <c r="J739">
        <v>-300.38189999999997</v>
      </c>
      <c r="K739">
        <v>1.0593140000000001</v>
      </c>
      <c r="L739">
        <v>368.07240000000002</v>
      </c>
      <c r="M739">
        <v>0.99974689999999999</v>
      </c>
      <c r="N739">
        <v>0</v>
      </c>
      <c r="O739">
        <v>-2.0409E-2</v>
      </c>
      <c r="P739">
        <v>0.99880329999999995</v>
      </c>
      <c r="Q739">
        <v>4.6755999999999999E-2</v>
      </c>
      <c r="R739">
        <v>1.436599E-2</v>
      </c>
      <c r="S739">
        <v>3.0161739999999999</v>
      </c>
      <c r="T739">
        <v>-0.25351849999999998</v>
      </c>
      <c r="U739">
        <v>-4.1290279999999999E-2</v>
      </c>
      <c r="V739">
        <v>-3.4725909999999999E-2</v>
      </c>
      <c r="W739">
        <v>5.6230740000000001E-2</v>
      </c>
      <c r="X739">
        <v>0.99781370000000003</v>
      </c>
      <c r="Y739">
        <v>-6.6272040000000003E-3</v>
      </c>
      <c r="Z739">
        <v>1.990281E-3</v>
      </c>
      <c r="AA739">
        <v>0.99997599999999998</v>
      </c>
      <c r="AB739">
        <v>30</v>
      </c>
      <c r="AC739">
        <v>12.9354999999999</v>
      </c>
      <c r="AD739">
        <v>-1.1093139999999999</v>
      </c>
      <c r="AE739">
        <v>-0.17520000000001701</v>
      </c>
      <c r="AF739">
        <v>-8.8200408431584401E-2</v>
      </c>
      <c r="AG739">
        <v>-1.1093139999999999</v>
      </c>
      <c r="AH739">
        <v>12.8419547723881</v>
      </c>
      <c r="AI739">
        <v>94.936953777074805</v>
      </c>
      <c r="AJ739">
        <v>90.393509538528093</v>
      </c>
      <c r="AK739">
        <v>12.8900798771267</v>
      </c>
      <c r="AL739">
        <v>86.776515617653502</v>
      </c>
      <c r="AM739">
        <v>91.993203132650294</v>
      </c>
      <c r="AN739">
        <v>0.99999998242698196</v>
      </c>
    </row>
    <row r="740" spans="1:40" x14ac:dyDescent="0.25">
      <c r="A740" t="str">
        <f>"20190312160615862"</f>
        <v>20190312160615862</v>
      </c>
      <c r="B740" t="str">
        <f>"1552377975856263"</f>
        <v>1552377975856263</v>
      </c>
      <c r="C740" t="s">
        <v>40</v>
      </c>
      <c r="D740">
        <v>6.3845769999999904</v>
      </c>
      <c r="E740">
        <v>0.48996129999999999</v>
      </c>
      <c r="F740" t="s">
        <v>42</v>
      </c>
      <c r="G740">
        <v>-158.19499999999999</v>
      </c>
      <c r="H740">
        <v>3.497725</v>
      </c>
      <c r="I740">
        <v>374.20940000000002</v>
      </c>
      <c r="J740">
        <v>-300.23180000000002</v>
      </c>
      <c r="K740">
        <v>1.0593090000000001</v>
      </c>
      <c r="L740">
        <v>368.06920000000002</v>
      </c>
      <c r="M740">
        <v>0.99974499999999999</v>
      </c>
      <c r="N740">
        <v>0</v>
      </c>
      <c r="O740">
        <v>-2.050163E-2</v>
      </c>
      <c r="P740">
        <v>0.99880729999999995</v>
      </c>
      <c r="Q740">
        <v>4.6787259999999997E-2</v>
      </c>
      <c r="R740">
        <v>1.397585E-2</v>
      </c>
      <c r="S740">
        <v>2.9993289999999999</v>
      </c>
      <c r="T740">
        <v>5.1438329999999997E-2</v>
      </c>
      <c r="U740">
        <v>0.1294556</v>
      </c>
      <c r="V740">
        <v>-3.4428479999999997E-2</v>
      </c>
      <c r="W740">
        <v>5.6264069999999999E-2</v>
      </c>
      <c r="X740">
        <v>0.99782219999999999</v>
      </c>
      <c r="Y740">
        <v>-6.358345E-2</v>
      </c>
      <c r="Z740">
        <v>-8.9638139999999897E-4</v>
      </c>
      <c r="AA740">
        <v>0.99797610000000003</v>
      </c>
      <c r="AB740">
        <v>30</v>
      </c>
      <c r="AC740">
        <v>142.0368</v>
      </c>
      <c r="AD740">
        <v>2.4384160000000001</v>
      </c>
      <c r="AE740">
        <v>6.1401999999999903</v>
      </c>
      <c r="AF740">
        <v>-9.0483639606681603</v>
      </c>
      <c r="AG740">
        <v>2.4384160000000001</v>
      </c>
      <c r="AH740">
        <v>141.83932889021801</v>
      </c>
      <c r="AI740">
        <v>89.017100171341397</v>
      </c>
      <c r="AJ740">
        <v>93.650126653595393</v>
      </c>
      <c r="AK740">
        <v>142.148563070406</v>
      </c>
      <c r="AL740">
        <v>86.774603153323298</v>
      </c>
      <c r="AM740">
        <v>91.9761279732205</v>
      </c>
      <c r="AN740">
        <v>1.0000000543104499</v>
      </c>
    </row>
    <row r="741" spans="1:40" x14ac:dyDescent="0.25">
      <c r="A741" t="str">
        <f>"20190312160615874"</f>
        <v>20190312160615874</v>
      </c>
      <c r="B741" t="str">
        <f>"1552377975866023"</f>
        <v>1552377975866023</v>
      </c>
      <c r="C741" t="s">
        <v>40</v>
      </c>
      <c r="D741">
        <v>5.9166800000000004</v>
      </c>
      <c r="E741">
        <v>0.48988169999999998</v>
      </c>
      <c r="F741" t="s">
        <v>42</v>
      </c>
      <c r="G741">
        <v>-158.19499999999999</v>
      </c>
      <c r="H741">
        <v>3.4270309999999999</v>
      </c>
      <c r="I741">
        <v>373.75279999999998</v>
      </c>
      <c r="J741">
        <v>-300.06060000000002</v>
      </c>
      <c r="K741">
        <v>1.0593060000000001</v>
      </c>
      <c r="L741">
        <v>368.06560000000002</v>
      </c>
      <c r="M741">
        <v>0.99974260000000004</v>
      </c>
      <c r="N741">
        <v>0</v>
      </c>
      <c r="O741">
        <v>-2.060727E-2</v>
      </c>
      <c r="P741">
        <v>0.99883080000000002</v>
      </c>
      <c r="Q741">
        <v>4.644496E-2</v>
      </c>
      <c r="R741">
        <v>1.34083E-2</v>
      </c>
      <c r="S741">
        <v>2.9995729999999998</v>
      </c>
      <c r="T741">
        <v>5.0004010000000002E-2</v>
      </c>
      <c r="U741">
        <v>0.1200256</v>
      </c>
      <c r="V741">
        <v>-3.3967110000000002E-2</v>
      </c>
      <c r="W741">
        <v>5.5925089999999997E-2</v>
      </c>
      <c r="X741">
        <v>0.99785699999999999</v>
      </c>
      <c r="Y741">
        <v>-6.0554209999999997E-2</v>
      </c>
      <c r="Z741">
        <v>-8.478963E-4</v>
      </c>
      <c r="AA741">
        <v>0.99816450000000001</v>
      </c>
      <c r="AB741">
        <v>30</v>
      </c>
      <c r="AC741">
        <v>141.8656</v>
      </c>
      <c r="AD741">
        <v>2.3677250000000001</v>
      </c>
      <c r="AE741">
        <v>5.6871999999999598</v>
      </c>
      <c r="AF741">
        <v>-8.6071928819250108</v>
      </c>
      <c r="AG741">
        <v>2.3677250000000001</v>
      </c>
      <c r="AH741">
        <v>141.678867055403</v>
      </c>
      <c r="AI741">
        <v>89.044328616947197</v>
      </c>
      <c r="AJ741">
        <v>93.476527397727196</v>
      </c>
      <c r="AK741">
        <v>141.95982270024399</v>
      </c>
      <c r="AL741">
        <v>86.794055686743107</v>
      </c>
      <c r="AM741">
        <v>91.949598864711703</v>
      </c>
      <c r="AN741">
        <v>0.99999998635112997</v>
      </c>
    </row>
    <row r="742" spans="1:40" x14ac:dyDescent="0.25">
      <c r="A742" t="str">
        <f>"20190312160615888"</f>
        <v>20190312160615888</v>
      </c>
      <c r="B742" t="str">
        <f>"1552377975875783"</f>
        <v>1552377975875783</v>
      </c>
      <c r="C742" t="s">
        <v>40</v>
      </c>
      <c r="D742">
        <v>7.2246369999999898</v>
      </c>
      <c r="E742">
        <v>0.48901349999999999</v>
      </c>
      <c r="F742" t="s">
        <v>42</v>
      </c>
      <c r="G742">
        <v>-158.19499999999999</v>
      </c>
      <c r="H742">
        <v>3.1922769999999998</v>
      </c>
      <c r="I742">
        <v>373.69569999999999</v>
      </c>
      <c r="J742">
        <v>-299.87470000000002</v>
      </c>
      <c r="K742">
        <v>1.059301</v>
      </c>
      <c r="L742">
        <v>368.06169999999997</v>
      </c>
      <c r="M742">
        <v>0.99974019999999997</v>
      </c>
      <c r="N742">
        <v>0</v>
      </c>
      <c r="O742">
        <v>-2.072208E-2</v>
      </c>
      <c r="P742">
        <v>0.99884059999999997</v>
      </c>
      <c r="Q742">
        <v>4.635835E-2</v>
      </c>
      <c r="R742">
        <v>1.2967350000000001E-2</v>
      </c>
      <c r="S742">
        <v>2.9998170000000002</v>
      </c>
      <c r="T742">
        <v>4.5104499999999999E-2</v>
      </c>
      <c r="U742">
        <v>0.1190491</v>
      </c>
      <c r="V742">
        <v>-3.3640870000000003E-2</v>
      </c>
      <c r="W742">
        <v>5.5841300000000003E-2</v>
      </c>
      <c r="X742">
        <v>0.9978728</v>
      </c>
      <c r="Y742">
        <v>-6.0343279999999999E-2</v>
      </c>
      <c r="Z742">
        <v>-7.6491030000000004E-4</v>
      </c>
      <c r="AA742">
        <v>0.99817739999999999</v>
      </c>
      <c r="AB742">
        <v>30</v>
      </c>
      <c r="AC742">
        <v>141.6797</v>
      </c>
      <c r="AD742">
        <v>2.13297599999999</v>
      </c>
      <c r="AE742">
        <v>5.6340000000000101</v>
      </c>
      <c r="AF742">
        <v>-8.5668818957076098</v>
      </c>
      <c r="AG742">
        <v>2.13297599999999</v>
      </c>
      <c r="AH742">
        <v>141.50050104902201</v>
      </c>
      <c r="AI742">
        <v>89.137968052526304</v>
      </c>
      <c r="AJ742">
        <v>93.464636244262493</v>
      </c>
      <c r="AK742">
        <v>141.77564265118301</v>
      </c>
      <c r="AL742">
        <v>86.798864192249795</v>
      </c>
      <c r="AM742">
        <v>91.930857469487194</v>
      </c>
      <c r="AN742">
        <v>1.00000004194994</v>
      </c>
    </row>
    <row r="743" spans="1:40" x14ac:dyDescent="0.25">
      <c r="A743" t="str">
        <f>"20190312160615902"</f>
        <v>20190312160615902</v>
      </c>
      <c r="B743" t="str">
        <f>"1552377975896279"</f>
        <v>1552377975896279</v>
      </c>
      <c r="C743" t="s">
        <v>40</v>
      </c>
      <c r="D743">
        <v>6.8468559999999998</v>
      </c>
      <c r="E743">
        <v>0.48879299999999998</v>
      </c>
      <c r="F743" t="s">
        <v>42</v>
      </c>
      <c r="G743">
        <v>-158.19499999999999</v>
      </c>
      <c r="H743">
        <v>2.7725870000000001</v>
      </c>
      <c r="I743">
        <v>373.94740000000002</v>
      </c>
      <c r="J743">
        <v>-299.69799999999998</v>
      </c>
      <c r="K743">
        <v>1.059299</v>
      </c>
      <c r="L743">
        <v>368.05799999999999</v>
      </c>
      <c r="M743">
        <v>0.99973800000000002</v>
      </c>
      <c r="N743">
        <v>0</v>
      </c>
      <c r="O743">
        <v>-2.0830930000000001E-2</v>
      </c>
      <c r="P743">
        <v>0.99884779999999995</v>
      </c>
      <c r="Q743">
        <v>4.628202E-2</v>
      </c>
      <c r="R743">
        <v>1.2683689999999999E-2</v>
      </c>
      <c r="S743">
        <v>3.0001829999999998</v>
      </c>
      <c r="T743">
        <v>3.6282059999999998E-2</v>
      </c>
      <c r="U743">
        <v>0.1246338</v>
      </c>
      <c r="V743">
        <v>-3.34659E-2</v>
      </c>
      <c r="W743">
        <v>5.5767499999999998E-2</v>
      </c>
      <c r="X743">
        <v>0.99788279999999996</v>
      </c>
      <c r="Y743">
        <v>-6.2305109999999997E-2</v>
      </c>
      <c r="Z743">
        <v>-6.2838199999999905E-4</v>
      </c>
      <c r="AA743">
        <v>0.99805690000000002</v>
      </c>
      <c r="AB743">
        <v>30</v>
      </c>
      <c r="AC743">
        <v>141.50299999999999</v>
      </c>
      <c r="AD743">
        <v>1.7132879999999899</v>
      </c>
      <c r="AE743">
        <v>5.8893999999999602</v>
      </c>
      <c r="AF743">
        <v>-8.8346008061751995</v>
      </c>
      <c r="AG743">
        <v>1.7132879999999899</v>
      </c>
      <c r="AH743">
        <v>141.32892289579499</v>
      </c>
      <c r="AI743">
        <v>89.306807441831793</v>
      </c>
      <c r="AJ743">
        <v>93.576957534597796</v>
      </c>
      <c r="AK743">
        <v>141.61514740331</v>
      </c>
      <c r="AL743">
        <v>86.803099186604101</v>
      </c>
      <c r="AM743">
        <v>91.920803167677605</v>
      </c>
      <c r="AN743">
        <v>1.00000003152744</v>
      </c>
    </row>
    <row r="744" spans="1:40" x14ac:dyDescent="0.25">
      <c r="A744" t="str">
        <f>"20190312160615916"</f>
        <v>20190312160615916</v>
      </c>
      <c r="B744" t="str">
        <f>"1552377975906039"</f>
        <v>1552377975906039</v>
      </c>
      <c r="C744" t="s">
        <v>40</v>
      </c>
      <c r="D744">
        <v>6.4294010000000004</v>
      </c>
      <c r="E744">
        <v>0.48902590000000001</v>
      </c>
      <c r="F744" t="s">
        <v>42</v>
      </c>
      <c r="G744">
        <v>-158.19499999999999</v>
      </c>
      <c r="H744">
        <v>2.775773</v>
      </c>
      <c r="I744">
        <v>373.97239999999999</v>
      </c>
      <c r="J744">
        <v>-299.5034</v>
      </c>
      <c r="K744">
        <v>1.0592980000000001</v>
      </c>
      <c r="L744">
        <v>368.05380000000002</v>
      </c>
      <c r="M744">
        <v>0.9997355</v>
      </c>
      <c r="N744">
        <v>0</v>
      </c>
      <c r="O744">
        <v>-2.0951230000000001E-2</v>
      </c>
      <c r="P744">
        <v>0.99884490000000004</v>
      </c>
      <c r="Q744">
        <v>4.6421579999999997E-2</v>
      </c>
      <c r="R744">
        <v>1.2415519999999999E-2</v>
      </c>
      <c r="S744">
        <v>3.0001530000000001</v>
      </c>
      <c r="T744">
        <v>3.6394599999999999E-2</v>
      </c>
      <c r="U744">
        <v>0.1253967</v>
      </c>
      <c r="V744">
        <v>-3.331812E-2</v>
      </c>
      <c r="W744">
        <v>5.5909849999999997E-2</v>
      </c>
      <c r="X744">
        <v>0.99787969999999904</v>
      </c>
      <c r="Y744">
        <v>-6.2678899999999996E-2</v>
      </c>
      <c r="Z744">
        <v>-6.3405899999999997E-4</v>
      </c>
      <c r="AA744">
        <v>0.99803350000000002</v>
      </c>
      <c r="AB744">
        <v>30</v>
      </c>
      <c r="AC744">
        <v>141.30840000000001</v>
      </c>
      <c r="AD744">
        <v>1.716475</v>
      </c>
      <c r="AE744">
        <v>5.9185999999999597</v>
      </c>
      <c r="AF744">
        <v>-8.8767112684806193</v>
      </c>
      <c r="AG744">
        <v>1.716475</v>
      </c>
      <c r="AH744">
        <v>141.13258469382001</v>
      </c>
      <c r="AI744">
        <v>89.304568809065998</v>
      </c>
      <c r="AJ744">
        <v>93.598949307763306</v>
      </c>
      <c r="AK744">
        <v>141.42188215310901</v>
      </c>
      <c r="AL744">
        <v>86.794930132749101</v>
      </c>
      <c r="AM744">
        <v>91.912333459780797</v>
      </c>
      <c r="AN744">
        <v>0.99999995205972203</v>
      </c>
    </row>
    <row r="745" spans="1:40" x14ac:dyDescent="0.25">
      <c r="A745" t="str">
        <f>"20190312160615929"</f>
        <v>20190312160615929</v>
      </c>
      <c r="B745" t="str">
        <f>"1552377975915799"</f>
        <v>1552377975915799</v>
      </c>
      <c r="C745" t="s">
        <v>40</v>
      </c>
      <c r="D745">
        <v>6.4319579999999998</v>
      </c>
      <c r="E745">
        <v>0.48895319999999998</v>
      </c>
      <c r="F745" t="s">
        <v>42</v>
      </c>
      <c r="G745">
        <v>-158.19499999999999</v>
      </c>
      <c r="H745">
        <v>2.7841719999999999</v>
      </c>
      <c r="I745">
        <v>373.83909999999997</v>
      </c>
      <c r="J745">
        <v>-299.3116</v>
      </c>
      <c r="K745">
        <v>1.059296</v>
      </c>
      <c r="L745">
        <v>368.04969999999997</v>
      </c>
      <c r="M745">
        <v>0.99973290000000004</v>
      </c>
      <c r="N745">
        <v>0</v>
      </c>
      <c r="O745">
        <v>-2.1069500000000001E-2</v>
      </c>
      <c r="P745">
        <v>0.99883520000000003</v>
      </c>
      <c r="Q745">
        <v>4.6654500000000002E-2</v>
      </c>
      <c r="R745">
        <v>1.231789E-2</v>
      </c>
      <c r="S745">
        <v>3.0002749999999998</v>
      </c>
      <c r="T745">
        <v>3.6624549999999999E-2</v>
      </c>
      <c r="U745">
        <v>0.12283330000000001</v>
      </c>
      <c r="V745">
        <v>-3.3338140000000002E-2</v>
      </c>
      <c r="W745">
        <v>5.614599E-2</v>
      </c>
      <c r="X745">
        <v>0.99786580000000002</v>
      </c>
      <c r="Y745">
        <v>-6.1943959999999999E-2</v>
      </c>
      <c r="Z745">
        <v>-6.3500929999999996E-4</v>
      </c>
      <c r="AA745">
        <v>0.99807939999999995</v>
      </c>
      <c r="AB745">
        <v>30</v>
      </c>
      <c r="AC745">
        <v>141.11660000000001</v>
      </c>
      <c r="AD745">
        <v>1.7248760000000001</v>
      </c>
      <c r="AE745">
        <v>5.7893999999999997</v>
      </c>
      <c r="AF745">
        <v>-8.7601984274163307</v>
      </c>
      <c r="AG745">
        <v>1.7248760000000001</v>
      </c>
      <c r="AH745">
        <v>140.942264094227</v>
      </c>
      <c r="AI745">
        <v>89.300189575424795</v>
      </c>
      <c r="AJ745">
        <v>93.556616287606502</v>
      </c>
      <c r="AK745">
        <v>141.22477856845799</v>
      </c>
      <c r="AL745">
        <v>86.781379108376299</v>
      </c>
      <c r="AM745">
        <v>91.9135083122097</v>
      </c>
      <c r="AN745">
        <v>0.99999997929068896</v>
      </c>
    </row>
    <row r="746" spans="1:40" x14ac:dyDescent="0.25">
      <c r="A746" t="str">
        <f>"20190312160615942"</f>
        <v>20190312160615942</v>
      </c>
      <c r="B746" t="str">
        <f>"1552377975936295"</f>
        <v>1552377975936295</v>
      </c>
      <c r="C746" t="s">
        <v>40</v>
      </c>
      <c r="D746">
        <v>6.633235</v>
      </c>
      <c r="E746">
        <v>0.48904839999999999</v>
      </c>
      <c r="F746" t="s">
        <v>42</v>
      </c>
      <c r="G746">
        <v>-158.19499999999999</v>
      </c>
      <c r="H746">
        <v>2.833529</v>
      </c>
      <c r="I746">
        <v>373.84160000000003</v>
      </c>
      <c r="J746">
        <v>-299.1456</v>
      </c>
      <c r="K746">
        <v>1.0592950000000001</v>
      </c>
      <c r="L746">
        <v>368.04599999999999</v>
      </c>
      <c r="M746">
        <v>0.99973080000000003</v>
      </c>
      <c r="N746">
        <v>0</v>
      </c>
      <c r="O746">
        <v>-2.1172030000000001E-2</v>
      </c>
      <c r="P746">
        <v>0.99883489999999997</v>
      </c>
      <c r="Q746">
        <v>4.6610480000000003E-2</v>
      </c>
      <c r="R746">
        <v>1.2502040000000001E-2</v>
      </c>
      <c r="S746">
        <v>3.0002140000000002</v>
      </c>
      <c r="T746">
        <v>3.7722949999999998E-2</v>
      </c>
      <c r="U746">
        <v>0.1231384</v>
      </c>
      <c r="V746">
        <v>-3.3624189999999998E-2</v>
      </c>
      <c r="W746">
        <v>5.6104580000000001E-2</v>
      </c>
      <c r="X746">
        <v>0.99785849999999998</v>
      </c>
      <c r="Y746">
        <v>-6.2148109999999999E-2</v>
      </c>
      <c r="Z746">
        <v>-6.5663570000000005E-4</v>
      </c>
      <c r="AA746">
        <v>0.99806669999999997</v>
      </c>
      <c r="AB746">
        <v>30</v>
      </c>
      <c r="AC746">
        <v>140.95060000000001</v>
      </c>
      <c r="AD746">
        <v>1.7742340000000001</v>
      </c>
      <c r="AE746">
        <v>5.7956000000000296</v>
      </c>
      <c r="AF746">
        <v>-8.7772571278917901</v>
      </c>
      <c r="AG746">
        <v>1.7742340000000001</v>
      </c>
      <c r="AH746">
        <v>140.774024798466</v>
      </c>
      <c r="AI746">
        <v>89.279314855322696</v>
      </c>
      <c r="AJ746">
        <v>93.567772023970605</v>
      </c>
      <c r="AK746">
        <v>141.05854886158099</v>
      </c>
      <c r="AL746">
        <v>86.783755371809704</v>
      </c>
      <c r="AM746">
        <v>91.929928461217898</v>
      </c>
      <c r="AN746">
        <v>0.99999994803618897</v>
      </c>
    </row>
    <row r="747" spans="1:40" x14ac:dyDescent="0.25">
      <c r="A747" t="str">
        <f>"20190312160615954"</f>
        <v>20190312160615954</v>
      </c>
      <c r="B747" t="str">
        <f>"1552377975946055"</f>
        <v>1552377975946055</v>
      </c>
      <c r="C747" t="s">
        <v>40</v>
      </c>
      <c r="D747">
        <v>6.425478</v>
      </c>
      <c r="E747">
        <v>0.48895319999999998</v>
      </c>
      <c r="F747" t="s">
        <v>42</v>
      </c>
      <c r="G747">
        <v>-158.19499999999999</v>
      </c>
      <c r="H747">
        <v>2.7983859999999998</v>
      </c>
      <c r="I747">
        <v>373.80520000000001</v>
      </c>
      <c r="J747">
        <v>-298.97570000000002</v>
      </c>
      <c r="K747">
        <v>1.0592919999999999</v>
      </c>
      <c r="L747">
        <v>368.04230000000001</v>
      </c>
      <c r="M747">
        <v>0.99972850000000002</v>
      </c>
      <c r="N747">
        <v>0</v>
      </c>
      <c r="O747">
        <v>-2.1276949999999999E-2</v>
      </c>
      <c r="P747">
        <v>0.9988435</v>
      </c>
      <c r="Q747">
        <v>4.640938E-2</v>
      </c>
      <c r="R747">
        <v>1.2562200000000001E-2</v>
      </c>
      <c r="S747">
        <v>3.0002439999999999</v>
      </c>
      <c r="T747">
        <v>3.7019730000000001E-2</v>
      </c>
      <c r="U747">
        <v>0.12258910000000001</v>
      </c>
      <c r="V747">
        <v>-3.3789199999999998E-2</v>
      </c>
      <c r="W747">
        <v>5.5906520000000001E-2</v>
      </c>
      <c r="X747">
        <v>0.99786410000000003</v>
      </c>
      <c r="Y747">
        <v>-6.2070239999999999E-2</v>
      </c>
      <c r="Z747">
        <v>-6.4520549999999999E-4</v>
      </c>
      <c r="AA747">
        <v>0.99807159999999995</v>
      </c>
      <c r="AB747">
        <v>30</v>
      </c>
      <c r="AC747">
        <v>140.7807</v>
      </c>
      <c r="AD747">
        <v>1.7390939999999999</v>
      </c>
      <c r="AE747">
        <v>5.7629000000000001</v>
      </c>
      <c r="AF747">
        <v>-8.7557804064419003</v>
      </c>
      <c r="AG747">
        <v>1.7390939999999999</v>
      </c>
      <c r="AH747">
        <v>140.60478407402999</v>
      </c>
      <c r="AI747">
        <v>89.292733482774693</v>
      </c>
      <c r="AJ747">
        <v>93.563337532969001</v>
      </c>
      <c r="AK747">
        <v>140.88787542926201</v>
      </c>
      <c r="AL747">
        <v>86.795121398174302</v>
      </c>
      <c r="AM747">
        <v>91.939381453748297</v>
      </c>
      <c r="AN747">
        <v>1.00000000554198</v>
      </c>
    </row>
    <row r="748" spans="1:40" x14ac:dyDescent="0.25">
      <c r="A748" t="str">
        <f>"20190312160615965"</f>
        <v>20190312160615965</v>
      </c>
      <c r="B748" t="str">
        <f>"1552377975955815"</f>
        <v>1552377975955815</v>
      </c>
      <c r="C748" t="s">
        <v>40</v>
      </c>
      <c r="D748">
        <v>6.5713889999999999</v>
      </c>
      <c r="E748">
        <v>0.4888709</v>
      </c>
      <c r="F748" t="s">
        <v>42</v>
      </c>
      <c r="G748">
        <v>-158.19499999999999</v>
      </c>
      <c r="H748">
        <v>2.8091469999999998</v>
      </c>
      <c r="I748">
        <v>373.85489999999999</v>
      </c>
      <c r="J748">
        <v>-298.81349999999998</v>
      </c>
      <c r="K748">
        <v>1.0592889999999999</v>
      </c>
      <c r="L748">
        <v>368.03870000000001</v>
      </c>
      <c r="M748">
        <v>0.99972649999999996</v>
      </c>
      <c r="N748">
        <v>0</v>
      </c>
      <c r="O748">
        <v>-2.1377340000000002E-2</v>
      </c>
      <c r="P748">
        <v>0.99884640000000002</v>
      </c>
      <c r="Q748">
        <v>4.6322479999999999E-2</v>
      </c>
      <c r="R748">
        <v>1.2673510000000001E-2</v>
      </c>
      <c r="S748">
        <v>3.0001829999999998</v>
      </c>
      <c r="T748">
        <v>3.7293079999999999E-2</v>
      </c>
      <c r="U748">
        <v>0.1238708</v>
      </c>
      <c r="V748">
        <v>-3.4001570000000002E-2</v>
      </c>
      <c r="W748">
        <v>5.5822259999999999E-2</v>
      </c>
      <c r="X748">
        <v>0.99786160000000002</v>
      </c>
      <c r="Y748">
        <v>-6.2596819999999997E-2</v>
      </c>
      <c r="Z748">
        <v>-6.5449559999999896E-4</v>
      </c>
      <c r="AA748">
        <v>0.99803869999999895</v>
      </c>
      <c r="AB748">
        <v>30</v>
      </c>
      <c r="AC748">
        <v>140.61849999999899</v>
      </c>
      <c r="AD748">
        <v>1.7498579999999999</v>
      </c>
      <c r="AE748">
        <v>5.8161999999999798</v>
      </c>
      <c r="AF748">
        <v>-8.8196919951486308</v>
      </c>
      <c r="AG748">
        <v>1.7498579999999999</v>
      </c>
      <c r="AH748">
        <v>140.44031177522601</v>
      </c>
      <c r="AI748">
        <v>89.2875464531039</v>
      </c>
      <c r="AJ748">
        <v>93.593472330034402</v>
      </c>
      <c r="AK748">
        <v>140.72785844115</v>
      </c>
      <c r="AL748">
        <v>86.799956680510803</v>
      </c>
      <c r="AM748">
        <v>91.9515662356159</v>
      </c>
      <c r="AN748">
        <v>1.0000000021142601</v>
      </c>
    </row>
    <row r="749" spans="1:40" x14ac:dyDescent="0.25">
      <c r="A749" t="str">
        <f>"20190312160615978"</f>
        <v>20190312160615978</v>
      </c>
      <c r="B749" t="str">
        <f>"1552377975965576"</f>
        <v>1552377975965576</v>
      </c>
      <c r="C749" t="s">
        <v>40</v>
      </c>
      <c r="D749">
        <v>6.397799</v>
      </c>
      <c r="E749">
        <v>0.48877150000000003</v>
      </c>
      <c r="F749" t="s">
        <v>42</v>
      </c>
      <c r="G749">
        <v>-158.19499999999999</v>
      </c>
      <c r="H749">
        <v>2.7777440000000002</v>
      </c>
      <c r="I749">
        <v>373.8861</v>
      </c>
      <c r="J749">
        <v>-298.65559999999999</v>
      </c>
      <c r="K749">
        <v>1.0592859999999999</v>
      </c>
      <c r="L749">
        <v>368.03530000000001</v>
      </c>
      <c r="M749">
        <v>0.99972430000000001</v>
      </c>
      <c r="N749">
        <v>0</v>
      </c>
      <c r="O749">
        <v>-2.147462E-2</v>
      </c>
      <c r="P749">
        <v>0.99884269999999997</v>
      </c>
      <c r="Q749">
        <v>4.637732E-2</v>
      </c>
      <c r="R749">
        <v>1.27656E-2</v>
      </c>
      <c r="S749">
        <v>3.0001829999999998</v>
      </c>
      <c r="T749">
        <v>3.6666150000000002E-2</v>
      </c>
      <c r="U749">
        <v>0.1247559</v>
      </c>
      <c r="V749">
        <v>-3.4190360000000003E-2</v>
      </c>
      <c r="W749">
        <v>5.5879860000000003E-2</v>
      </c>
      <c r="X749">
        <v>0.99785190000000001</v>
      </c>
      <c r="Y749">
        <v>-6.2988009999999997E-2</v>
      </c>
      <c r="Z749">
        <v>-6.4706799999999999E-4</v>
      </c>
      <c r="AA749">
        <v>0.99801410000000002</v>
      </c>
      <c r="AB749">
        <v>30</v>
      </c>
      <c r="AC749">
        <v>140.4606</v>
      </c>
      <c r="AD749">
        <v>1.71845799999999</v>
      </c>
      <c r="AE749">
        <v>5.8507999999999898</v>
      </c>
      <c r="AF749">
        <v>-8.8646000796093105</v>
      </c>
      <c r="AG749">
        <v>1.71845799999999</v>
      </c>
      <c r="AH749">
        <v>140.28159539350401</v>
      </c>
      <c r="AI749">
        <v>89.299555314243094</v>
      </c>
      <c r="AJ749">
        <v>93.615796765847193</v>
      </c>
      <c r="AK749">
        <v>140.57190415803601</v>
      </c>
      <c r="AL749">
        <v>86.7966512034142</v>
      </c>
      <c r="AM749">
        <v>91.962412706196105</v>
      </c>
      <c r="AN749">
        <v>0.99999997690207898</v>
      </c>
    </row>
    <row r="750" spans="1:40" x14ac:dyDescent="0.25">
      <c r="A750" t="str">
        <f>"20190312160616007"</f>
        <v>20190312160616007</v>
      </c>
      <c r="B750" t="str">
        <f>"1552377975995831"</f>
        <v>1552377975995831</v>
      </c>
      <c r="C750" t="s">
        <v>40</v>
      </c>
      <c r="D750">
        <v>6.6452499999999999</v>
      </c>
      <c r="E750">
        <v>0.48882419999999999</v>
      </c>
      <c r="F750" t="s">
        <v>42</v>
      </c>
      <c r="G750">
        <v>-158.19499999999999</v>
      </c>
      <c r="H750">
        <v>2.807064</v>
      </c>
      <c r="I750">
        <v>373.93619999999999</v>
      </c>
      <c r="J750">
        <v>-298.25720000000001</v>
      </c>
      <c r="K750">
        <v>1.05928</v>
      </c>
      <c r="L750">
        <v>368.02640000000002</v>
      </c>
      <c r="M750">
        <v>0.99971889999999997</v>
      </c>
      <c r="N750">
        <v>0</v>
      </c>
      <c r="O750">
        <v>-2.172023E-2</v>
      </c>
      <c r="P750">
        <v>0.99882110000000002</v>
      </c>
      <c r="Q750">
        <v>4.6453099999999997E-2</v>
      </c>
      <c r="R750">
        <v>1.4096320000000001E-2</v>
      </c>
      <c r="S750">
        <v>3.0001220000000002</v>
      </c>
      <c r="T750">
        <v>3.7332890000000001E-2</v>
      </c>
      <c r="U750">
        <v>0.1260376</v>
      </c>
      <c r="V750">
        <v>-3.5765579999999998E-2</v>
      </c>
      <c r="W750">
        <v>5.5961749999999998E-2</v>
      </c>
      <c r="X750">
        <v>0.99779209999999996</v>
      </c>
      <c r="Y750">
        <v>-6.3659370000000007E-2</v>
      </c>
      <c r="Z750">
        <v>-6.6607139999999999E-4</v>
      </c>
      <c r="AA750">
        <v>0.99797150000000001</v>
      </c>
      <c r="AB750">
        <v>31</v>
      </c>
      <c r="AC750">
        <v>140.06219999999999</v>
      </c>
      <c r="AD750">
        <v>1.747784</v>
      </c>
      <c r="AE750">
        <v>5.9097999999999598</v>
      </c>
      <c r="AF750">
        <v>-8.9493352439730192</v>
      </c>
      <c r="AG750">
        <v>1.747784</v>
      </c>
      <c r="AH750">
        <v>139.87904392702799</v>
      </c>
      <c r="AI750">
        <v>89.285588908033105</v>
      </c>
      <c r="AJ750">
        <v>93.660742938123903</v>
      </c>
      <c r="AK750">
        <v>140.17593331295899</v>
      </c>
      <c r="AL750">
        <v>86.791951922879804</v>
      </c>
      <c r="AM750">
        <v>92.052872357333399</v>
      </c>
      <c r="AN750">
        <v>0.99999998449910399</v>
      </c>
    </row>
    <row r="751" spans="1:40" x14ac:dyDescent="0.25">
      <c r="A751" t="str">
        <f>"20190312160616019"</f>
        <v>20190312160616019</v>
      </c>
      <c r="B751" t="str">
        <f>"1552377976005591"</f>
        <v>1552377976005591</v>
      </c>
      <c r="C751" t="s">
        <v>40</v>
      </c>
      <c r="D751">
        <v>8.2408819999999992</v>
      </c>
      <c r="E751">
        <v>0.48883300000000002</v>
      </c>
      <c r="F751" t="s">
        <v>42</v>
      </c>
      <c r="G751">
        <v>-158.19499999999999</v>
      </c>
      <c r="H751">
        <v>2.8326150000000001</v>
      </c>
      <c r="I751">
        <v>374.07619999999997</v>
      </c>
      <c r="J751">
        <v>-298.10239999999999</v>
      </c>
      <c r="K751">
        <v>1.0592779999999999</v>
      </c>
      <c r="L751">
        <v>368.02300000000002</v>
      </c>
      <c r="M751">
        <v>0.99971670000000001</v>
      </c>
      <c r="N751">
        <v>0</v>
      </c>
      <c r="O751">
        <v>-2.1815609999999999E-2</v>
      </c>
      <c r="P751">
        <v>0.99881719999999896</v>
      </c>
      <c r="Q751">
        <v>4.6470350000000001E-2</v>
      </c>
      <c r="R751">
        <v>1.43134E-2</v>
      </c>
      <c r="S751">
        <v>2.9999690000000001</v>
      </c>
      <c r="T751">
        <v>3.7984610000000002E-2</v>
      </c>
      <c r="U751">
        <v>0.12957759999999999</v>
      </c>
      <c r="V751">
        <v>-3.6077640000000001E-2</v>
      </c>
      <c r="W751">
        <v>5.598127E-2</v>
      </c>
      <c r="X751">
        <v>0.99777979999999999</v>
      </c>
      <c r="Y751">
        <v>-6.4931820000000001E-2</v>
      </c>
      <c r="Z751">
        <v>-6.8697530000000004E-4</v>
      </c>
      <c r="AA751">
        <v>0.99788949999999998</v>
      </c>
      <c r="AB751">
        <v>31</v>
      </c>
      <c r="AC751">
        <v>139.9074</v>
      </c>
      <c r="AD751">
        <v>1.7733369999999999</v>
      </c>
      <c r="AE751">
        <v>6.05319999999994</v>
      </c>
      <c r="AF751">
        <v>-9.1026031516796095</v>
      </c>
      <c r="AG751">
        <v>1.7733369999999999</v>
      </c>
      <c r="AH751">
        <v>139.71963528848599</v>
      </c>
      <c r="AI751">
        <v>89.274372830882399</v>
      </c>
      <c r="AJ751">
        <v>93.727498569814301</v>
      </c>
      <c r="AK751">
        <v>140.02706378911199</v>
      </c>
      <c r="AL751">
        <v>86.790831847981906</v>
      </c>
      <c r="AM751">
        <v>92.070793952289506</v>
      </c>
      <c r="AN751">
        <v>1.00000001399341</v>
      </c>
    </row>
    <row r="752" spans="1:40" x14ac:dyDescent="0.25">
      <c r="A752" t="str">
        <f>"20190312160616029"</f>
        <v>20190312160616029</v>
      </c>
      <c r="B752" t="str">
        <f>"1552377976016327"</f>
        <v>1552377976016327</v>
      </c>
      <c r="C752" t="s">
        <v>40</v>
      </c>
      <c r="D752">
        <v>6.4306179999999999</v>
      </c>
      <c r="E752">
        <v>0.48889090000000002</v>
      </c>
      <c r="F752" t="s">
        <v>42</v>
      </c>
      <c r="G752">
        <v>-158.19499999999999</v>
      </c>
      <c r="H752">
        <v>2.8218079999999999</v>
      </c>
      <c r="I752">
        <v>374.096</v>
      </c>
      <c r="J752">
        <v>-297.94659999999999</v>
      </c>
      <c r="K752">
        <v>1.0592760000000001</v>
      </c>
      <c r="L752">
        <v>368.01949999999999</v>
      </c>
      <c r="M752">
        <v>0.99971460000000001</v>
      </c>
      <c r="N752">
        <v>0</v>
      </c>
      <c r="O752">
        <v>-2.191158E-2</v>
      </c>
      <c r="P752">
        <v>0.99881889999999995</v>
      </c>
      <c r="Q752">
        <v>4.632414E-2</v>
      </c>
      <c r="R752">
        <v>1.465871E-2</v>
      </c>
      <c r="S752">
        <v>2.9999389999999999</v>
      </c>
      <c r="T752">
        <v>3.7794590000000003E-2</v>
      </c>
      <c r="U752">
        <v>0.13021849999999999</v>
      </c>
      <c r="V752">
        <v>-3.6518979999999999E-2</v>
      </c>
      <c r="W752">
        <v>5.5837489999999997E-2</v>
      </c>
      <c r="X752">
        <v>0.99777179999999999</v>
      </c>
      <c r="Y752">
        <v>-6.5240880000000001E-2</v>
      </c>
      <c r="Z752">
        <v>-6.8669740000000003E-4</v>
      </c>
      <c r="AA752">
        <v>0.99786929999999996</v>
      </c>
      <c r="AB752">
        <v>31</v>
      </c>
      <c r="AC752">
        <v>139.7516</v>
      </c>
      <c r="AD752">
        <v>1.762532</v>
      </c>
      <c r="AE752">
        <v>6.0765000000000002</v>
      </c>
      <c r="AF752">
        <v>-9.1359076540759396</v>
      </c>
      <c r="AG752">
        <v>1.762532</v>
      </c>
      <c r="AH752">
        <v>139.562735668589</v>
      </c>
      <c r="AI752">
        <v>89.277997562728899</v>
      </c>
      <c r="AJ752">
        <v>93.745291904304693</v>
      </c>
      <c r="AK752">
        <v>139.87254382120699</v>
      </c>
      <c r="AL752">
        <v>86.799082737628694</v>
      </c>
      <c r="AM752">
        <v>92.096120433646902</v>
      </c>
      <c r="AN752">
        <v>1.00000001303249</v>
      </c>
    </row>
    <row r="753" spans="1:40" x14ac:dyDescent="0.25">
      <c r="A753" t="str">
        <f>"20190312160616041"</f>
        <v>20190312160616041</v>
      </c>
      <c r="B753" t="str">
        <f>"1552377976035847"</f>
        <v>1552377976035847</v>
      </c>
      <c r="C753" t="s">
        <v>40</v>
      </c>
      <c r="D753">
        <v>7.4732409999999998</v>
      </c>
      <c r="E753">
        <v>0.49202620000000002</v>
      </c>
      <c r="F753" t="s">
        <v>42</v>
      </c>
      <c r="G753">
        <v>-158.19499999999999</v>
      </c>
      <c r="H753">
        <v>2.8281830000000001</v>
      </c>
      <c r="I753">
        <v>374.10149999999999</v>
      </c>
      <c r="J753">
        <v>-297.79340000000002</v>
      </c>
      <c r="K753">
        <v>1.0592729999999999</v>
      </c>
      <c r="L753">
        <v>368.01600000000002</v>
      </c>
      <c r="M753">
        <v>0.9997125</v>
      </c>
      <c r="N753">
        <v>0</v>
      </c>
      <c r="O753">
        <v>-2.2006009999999999E-2</v>
      </c>
      <c r="P753">
        <v>0.99882320000000002</v>
      </c>
      <c r="Q753">
        <v>4.6180110000000003E-2</v>
      </c>
      <c r="R753">
        <v>1.4822449999999999E-2</v>
      </c>
      <c r="S753">
        <v>2.9998779999999998</v>
      </c>
      <c r="T753">
        <v>3.7972810000000003E-2</v>
      </c>
      <c r="U753">
        <v>0.13055419999999901</v>
      </c>
      <c r="V753">
        <v>-3.6776669999999997E-2</v>
      </c>
      <c r="W753">
        <v>5.5696089999999997E-2</v>
      </c>
      <c r="X753">
        <v>0.99777020000000005</v>
      </c>
      <c r="Y753">
        <v>-6.5447379999999999E-2</v>
      </c>
      <c r="Z753">
        <v>-6.9244869999999896E-4</v>
      </c>
      <c r="AA753">
        <v>0.99785579999999996</v>
      </c>
      <c r="AB753">
        <v>31</v>
      </c>
      <c r="AC753">
        <v>139.5984</v>
      </c>
      <c r="AD753">
        <v>1.76891</v>
      </c>
      <c r="AE753">
        <v>6.0855000000000201</v>
      </c>
      <c r="AF753">
        <v>-9.1547020953398395</v>
      </c>
      <c r="AG753">
        <v>1.76891</v>
      </c>
      <c r="AH753">
        <v>139.408326298117</v>
      </c>
      <c r="AI753">
        <v>89.274592476966902</v>
      </c>
      <c r="AJ753">
        <v>93.757119657836299</v>
      </c>
      <c r="AK753">
        <v>139.719787626108</v>
      </c>
      <c r="AL753">
        <v>86.807196866265997</v>
      </c>
      <c r="AM753">
        <v>92.110901400774495</v>
      </c>
      <c r="AN753">
        <v>0.99999997495280801</v>
      </c>
    </row>
    <row r="754" spans="1:40" x14ac:dyDescent="0.25">
      <c r="A754" t="str">
        <f>"20190312160616053"</f>
        <v>20190312160616053</v>
      </c>
      <c r="B754" t="str">
        <f>"1552377976045607"</f>
        <v>1552377976045607</v>
      </c>
      <c r="C754" t="s">
        <v>40</v>
      </c>
      <c r="D754">
        <v>6.5512389999999998</v>
      </c>
      <c r="E754">
        <v>0.49357499999999999</v>
      </c>
      <c r="F754" t="s">
        <v>42</v>
      </c>
      <c r="G754">
        <v>-158.19499999999999</v>
      </c>
      <c r="H754">
        <v>1.9849859999999999</v>
      </c>
      <c r="I754">
        <v>372.93920000000003</v>
      </c>
      <c r="J754">
        <v>-297.61669999999998</v>
      </c>
      <c r="K754">
        <v>1.0592699999999999</v>
      </c>
      <c r="L754">
        <v>368.01209999999998</v>
      </c>
      <c r="M754">
        <v>0.99971010000000005</v>
      </c>
      <c r="N754">
        <v>0</v>
      </c>
      <c r="O754">
        <v>-2.2114979999999999E-2</v>
      </c>
      <c r="P754">
        <v>0.99883480000000002</v>
      </c>
      <c r="Q754">
        <v>4.5926349999999998E-2</v>
      </c>
      <c r="R754">
        <v>1.4830970000000001E-2</v>
      </c>
      <c r="S754">
        <v>3.001007</v>
      </c>
      <c r="T754">
        <v>1.9902349999999999E-2</v>
      </c>
      <c r="U754">
        <v>0.105834999999999</v>
      </c>
      <c r="V754">
        <v>-3.6894700000000002E-2</v>
      </c>
      <c r="W754">
        <v>5.5445660000000001E-2</v>
      </c>
      <c r="X754">
        <v>0.99777979999999999</v>
      </c>
      <c r="Y754">
        <v>-5.7336449999999997E-2</v>
      </c>
      <c r="Z754">
        <v>-3.3669219999999999E-4</v>
      </c>
      <c r="AA754">
        <v>0.99835490000000005</v>
      </c>
      <c r="AB754">
        <v>31</v>
      </c>
      <c r="AC754">
        <v>139.42169999999999</v>
      </c>
      <c r="AD754">
        <v>0.92571599999999998</v>
      </c>
      <c r="AE754">
        <v>4.92710000000005</v>
      </c>
      <c r="AF754">
        <v>-8.0089901077700691</v>
      </c>
      <c r="AG754">
        <v>0.92571599999999998</v>
      </c>
      <c r="AH754">
        <v>139.27249920826799</v>
      </c>
      <c r="AI754">
        <v>89.619800314372497</v>
      </c>
      <c r="AJ754">
        <v>93.291220492237798</v>
      </c>
      <c r="AK754">
        <v>139.50566263910599</v>
      </c>
      <c r="AL754">
        <v>86.821567686256301</v>
      </c>
      <c r="AM754">
        <v>92.117649553231303</v>
      </c>
      <c r="AN754">
        <v>0.99999998469448204</v>
      </c>
    </row>
    <row r="755" spans="1:40" x14ac:dyDescent="0.25">
      <c r="A755" t="str">
        <f>"20190312160616065"</f>
        <v>20190312160616065</v>
      </c>
      <c r="B755" t="str">
        <f>"1552377976056343"</f>
        <v>1552377976056343</v>
      </c>
      <c r="C755" t="s">
        <v>40</v>
      </c>
      <c r="D755">
        <v>6.4592910000000003</v>
      </c>
      <c r="E755">
        <v>0.4949675</v>
      </c>
      <c r="F755" t="s">
        <v>42</v>
      </c>
      <c r="G755">
        <v>-158.19499999999999</v>
      </c>
      <c r="H755">
        <v>2.0817030000000001</v>
      </c>
      <c r="I755">
        <v>372.36180000000002</v>
      </c>
      <c r="J755">
        <v>-297.46749999999997</v>
      </c>
      <c r="K755">
        <v>1.059272</v>
      </c>
      <c r="L755">
        <v>368.0086</v>
      </c>
      <c r="M755">
        <v>0.99970809999999999</v>
      </c>
      <c r="N755">
        <v>0</v>
      </c>
      <c r="O755">
        <v>-2.2207379999999999E-2</v>
      </c>
      <c r="P755">
        <v>0.99885170000000001</v>
      </c>
      <c r="Q755">
        <v>4.5656559999999999E-2</v>
      </c>
      <c r="R755">
        <v>1.452956E-2</v>
      </c>
      <c r="S755">
        <v>3.0010680000000001</v>
      </c>
      <c r="T755">
        <v>2.2009850000000001E-2</v>
      </c>
      <c r="U755">
        <v>9.3627929999999998E-2</v>
      </c>
      <c r="V755">
        <v>-3.66859E-2</v>
      </c>
      <c r="W755">
        <v>5.5178089999999999E-2</v>
      </c>
      <c r="X755">
        <v>0.99780239999999998</v>
      </c>
      <c r="Y755">
        <v>-5.3370889999999997E-2</v>
      </c>
      <c r="Z755">
        <v>-3.5849960000000001E-4</v>
      </c>
      <c r="AA755">
        <v>0.99857470000000004</v>
      </c>
      <c r="AB755">
        <v>31</v>
      </c>
      <c r="AC755">
        <v>139.27249999999901</v>
      </c>
      <c r="AD755">
        <v>1.0224309999999901</v>
      </c>
      <c r="AE755">
        <v>4.35320000000001</v>
      </c>
      <c r="AF755">
        <v>-7.4447428751045104</v>
      </c>
      <c r="AG755">
        <v>1.0224309999999901</v>
      </c>
      <c r="AH755">
        <v>139.13398164557901</v>
      </c>
      <c r="AI755">
        <v>89.579568921642704</v>
      </c>
      <c r="AJ755">
        <v>93.062846007282104</v>
      </c>
      <c r="AK755">
        <v>139.33676618243501</v>
      </c>
      <c r="AL755">
        <v>86.836922040287803</v>
      </c>
      <c r="AM755">
        <v>92.105628203128504</v>
      </c>
      <c r="AN755">
        <v>1.0000000531602999</v>
      </c>
    </row>
    <row r="756" spans="1:40" x14ac:dyDescent="0.25">
      <c r="A756" t="str">
        <f>"20190312160616076"</f>
        <v>20190312160616076</v>
      </c>
      <c r="B756" t="str">
        <f>"1552377976066103"</f>
        <v>1552377976066103</v>
      </c>
      <c r="C756" t="s">
        <v>40</v>
      </c>
      <c r="D756">
        <v>6.4570270000000001</v>
      </c>
      <c r="E756">
        <v>0.4960774</v>
      </c>
      <c r="F756" t="s">
        <v>42</v>
      </c>
      <c r="G756">
        <v>-158.19499999999999</v>
      </c>
      <c r="H756">
        <v>2.1541000000000001</v>
      </c>
      <c r="I756">
        <v>371.79840000000002</v>
      </c>
      <c r="J756">
        <v>-297.30919999999998</v>
      </c>
      <c r="K756">
        <v>1.0592680000000001</v>
      </c>
      <c r="L756">
        <v>368.005</v>
      </c>
      <c r="M756">
        <v>0.99970590000000004</v>
      </c>
      <c r="N756">
        <v>0</v>
      </c>
      <c r="O756">
        <v>-2.230526E-2</v>
      </c>
      <c r="P756">
        <v>0.99885069999999998</v>
      </c>
      <c r="Q756">
        <v>4.5753269999999999E-2</v>
      </c>
      <c r="R756">
        <v>1.42883E-2</v>
      </c>
      <c r="S756">
        <v>3.0011899999999998</v>
      </c>
      <c r="T756">
        <v>2.3594380000000002E-2</v>
      </c>
      <c r="U756">
        <v>8.1665039999999994E-2</v>
      </c>
      <c r="V756">
        <v>-3.6542480000000002E-2</v>
      </c>
      <c r="W756">
        <v>5.5277600000000003E-2</v>
      </c>
      <c r="X756">
        <v>0.99780210000000003</v>
      </c>
      <c r="Y756">
        <v>-4.9489859999999997E-2</v>
      </c>
      <c r="Z756">
        <v>-3.6982950000000002E-4</v>
      </c>
      <c r="AA756">
        <v>0.99877450000000001</v>
      </c>
      <c r="AB756">
        <v>31</v>
      </c>
      <c r="AC756">
        <v>139.11419999999899</v>
      </c>
      <c r="AD756">
        <v>1.094832</v>
      </c>
      <c r="AE756">
        <v>3.7934000000000201</v>
      </c>
      <c r="AF756">
        <v>-6.8951483507099303</v>
      </c>
      <c r="AG756">
        <v>1.094832</v>
      </c>
      <c r="AH756">
        <v>138.98636754281301</v>
      </c>
      <c r="AI756">
        <v>89.549229829964105</v>
      </c>
      <c r="AJ756">
        <v>92.840129415627203</v>
      </c>
      <c r="AK756">
        <v>139.16160422556399</v>
      </c>
      <c r="AL756">
        <v>86.831211648603499</v>
      </c>
      <c r="AM756">
        <v>92.097404448465298</v>
      </c>
      <c r="AN756">
        <v>0.99999999833536002</v>
      </c>
    </row>
    <row r="757" spans="1:40" x14ac:dyDescent="0.25">
      <c r="A757" t="str">
        <f>"20190312160616089"</f>
        <v>20190312160616089</v>
      </c>
      <c r="B757" t="str">
        <f>"1552377976085623"</f>
        <v>1552377976085623</v>
      </c>
      <c r="C757" t="s">
        <v>40</v>
      </c>
      <c r="D757">
        <v>6.5610030000000004</v>
      </c>
      <c r="E757">
        <v>0.49820130000000001</v>
      </c>
      <c r="F757" t="s">
        <v>42</v>
      </c>
      <c r="G757">
        <v>-158.19499999999999</v>
      </c>
      <c r="H757">
        <v>2.3223880000000001</v>
      </c>
      <c r="I757">
        <v>371.35059999999999</v>
      </c>
      <c r="J757">
        <v>-297.1234</v>
      </c>
      <c r="K757">
        <v>1.0592680000000001</v>
      </c>
      <c r="L757">
        <v>368.00080000000003</v>
      </c>
      <c r="M757">
        <v>0.99970340000000002</v>
      </c>
      <c r="N757">
        <v>0</v>
      </c>
      <c r="O757">
        <v>-2.2419720000000001E-2</v>
      </c>
      <c r="P757">
        <v>0.99885080000000004</v>
      </c>
      <c r="Q757">
        <v>4.5893549999999998E-2</v>
      </c>
      <c r="R757">
        <v>1.3827509999999999E-2</v>
      </c>
      <c r="S757">
        <v>3.00116</v>
      </c>
      <c r="T757">
        <v>2.7251600000000001E-2</v>
      </c>
      <c r="U757">
        <v>7.2174070000000007E-2</v>
      </c>
      <c r="V757">
        <v>-3.6196300000000001E-2</v>
      </c>
      <c r="W757">
        <v>5.5420909999999997E-2</v>
      </c>
      <c r="X757">
        <v>0.99780679999999999</v>
      </c>
      <c r="Y757">
        <v>-4.644715E-2</v>
      </c>
      <c r="Z757">
        <v>-4.1439919999999999E-4</v>
      </c>
      <c r="AA757">
        <v>0.99892069999999999</v>
      </c>
      <c r="AB757">
        <v>31</v>
      </c>
      <c r="AC757">
        <v>138.92840000000001</v>
      </c>
      <c r="AD757">
        <v>1.26312</v>
      </c>
      <c r="AE757">
        <v>3.3497999999999601</v>
      </c>
      <c r="AF757">
        <v>-6.463300709206</v>
      </c>
      <c r="AG757">
        <v>1.26312</v>
      </c>
      <c r="AH757">
        <v>138.806904301104</v>
      </c>
      <c r="AI757">
        <v>89.479196470042396</v>
      </c>
      <c r="AJ757">
        <v>92.665952152777805</v>
      </c>
      <c r="AK757">
        <v>138.963039725849</v>
      </c>
      <c r="AL757">
        <v>86.822988083942406</v>
      </c>
      <c r="AM757">
        <v>92.077542702371403</v>
      </c>
      <c r="AN757">
        <v>1.00000002976257</v>
      </c>
    </row>
    <row r="758" spans="1:40" x14ac:dyDescent="0.25">
      <c r="A758" t="str">
        <f>"20190312160616103"</f>
        <v>20190312160616103</v>
      </c>
      <c r="B758" t="str">
        <f>"1552377976095383"</f>
        <v>1552377976095383</v>
      </c>
      <c r="C758" t="s">
        <v>40</v>
      </c>
      <c r="D758">
        <v>6.5590869999999999</v>
      </c>
      <c r="E758">
        <v>0.49913580000000002</v>
      </c>
      <c r="F758" t="s">
        <v>42</v>
      </c>
      <c r="G758">
        <v>-158.19499999999999</v>
      </c>
      <c r="H758">
        <v>2.5876769999999998</v>
      </c>
      <c r="I758">
        <v>370.50130000000001</v>
      </c>
      <c r="J758">
        <v>-296.9425</v>
      </c>
      <c r="K758">
        <v>1.059269</v>
      </c>
      <c r="L758">
        <v>367.9966</v>
      </c>
      <c r="M758">
        <v>0.9997007</v>
      </c>
      <c r="N758">
        <v>0</v>
      </c>
      <c r="O758">
        <v>-2.2531309999999999E-2</v>
      </c>
      <c r="P758">
        <v>0.99884680000000003</v>
      </c>
      <c r="Q758">
        <v>4.6072549999999997E-2</v>
      </c>
      <c r="R758">
        <v>1.3499499999999999E-2</v>
      </c>
      <c r="S758">
        <v>3.0012210000000001</v>
      </c>
      <c r="T758">
        <v>3.301954E-2</v>
      </c>
      <c r="U758">
        <v>5.4016109999999999E-2</v>
      </c>
      <c r="V758">
        <v>-3.5978969999999999E-2</v>
      </c>
      <c r="W758">
        <v>5.5602770000000003E-2</v>
      </c>
      <c r="X758">
        <v>0.99780449999999998</v>
      </c>
      <c r="Y758">
        <v>-4.0515429999999998E-2</v>
      </c>
      <c r="Z758">
        <v>-4.7072230000000002E-4</v>
      </c>
      <c r="AA758">
        <v>0.99917880000000003</v>
      </c>
      <c r="AB758">
        <v>31</v>
      </c>
      <c r="AC758">
        <v>138.7475</v>
      </c>
      <c r="AD758">
        <v>1.528408</v>
      </c>
      <c r="AE758">
        <v>2.5047000000000099</v>
      </c>
      <c r="AF758">
        <v>-5.6296861224611696</v>
      </c>
      <c r="AG758">
        <v>1.528408</v>
      </c>
      <c r="AH758">
        <v>138.639019400992</v>
      </c>
      <c r="AI758">
        <v>89.368895712590401</v>
      </c>
      <c r="AJ758">
        <v>92.325320403356002</v>
      </c>
      <c r="AK758">
        <v>138.76169174999399</v>
      </c>
      <c r="AL758">
        <v>86.812552046326104</v>
      </c>
      <c r="AM758">
        <v>92.065084299135506</v>
      </c>
      <c r="AN758">
        <v>0.99999998726709105</v>
      </c>
    </row>
    <row r="759" spans="1:40" x14ac:dyDescent="0.25">
      <c r="A759" t="str">
        <f>"20190312160616119"</f>
        <v>20190312160616119</v>
      </c>
      <c r="B759" t="str">
        <f>"1552377976115879"</f>
        <v>1552377976115879</v>
      </c>
      <c r="C759" t="s">
        <v>40</v>
      </c>
      <c r="D759">
        <v>6.5561020000000001</v>
      </c>
      <c r="E759">
        <v>0.50049350000000004</v>
      </c>
      <c r="F759" t="s">
        <v>42</v>
      </c>
      <c r="G759">
        <v>-158.78319999999999</v>
      </c>
      <c r="H759">
        <v>2.6959050000000002</v>
      </c>
      <c r="I759">
        <v>370.09129999999999</v>
      </c>
      <c r="J759">
        <v>-296.71440000000001</v>
      </c>
      <c r="K759">
        <v>1.0592760000000001</v>
      </c>
      <c r="L759">
        <v>367.9914</v>
      </c>
      <c r="M759">
        <v>0.99969750000000002</v>
      </c>
      <c r="N759">
        <v>0</v>
      </c>
      <c r="O759">
        <v>-2.2672000000000001E-2</v>
      </c>
      <c r="P759">
        <v>0.99882740000000003</v>
      </c>
      <c r="Q759">
        <v>4.6922970000000001E-2</v>
      </c>
      <c r="R759">
        <v>1.192675E-2</v>
      </c>
      <c r="S759">
        <v>3.0012210000000001</v>
      </c>
      <c r="T759">
        <v>3.5554290000000002E-2</v>
      </c>
      <c r="U759">
        <v>4.5501710000000001E-2</v>
      </c>
      <c r="V759">
        <v>-3.4546569999999999E-2</v>
      </c>
      <c r="W759">
        <v>5.6456399999999997E-2</v>
      </c>
      <c r="X759">
        <v>0.99780720000000001</v>
      </c>
      <c r="Y759">
        <v>-3.7821609999999999E-2</v>
      </c>
      <c r="Z759">
        <v>-4.9257599999999999E-4</v>
      </c>
      <c r="AA759">
        <v>0.99928439999999996</v>
      </c>
      <c r="AB759">
        <v>31</v>
      </c>
      <c r="AC759">
        <v>137.93119999999999</v>
      </c>
      <c r="AD759">
        <v>1.6366289999999899</v>
      </c>
      <c r="AE759">
        <v>2.0998999999999901</v>
      </c>
      <c r="AF759">
        <v>-5.2259428794206002</v>
      </c>
      <c r="AG759">
        <v>1.6366289999999899</v>
      </c>
      <c r="AH759">
        <v>137.828730881409</v>
      </c>
      <c r="AI759">
        <v>89.320169286974803</v>
      </c>
      <c r="AJ759">
        <v>92.171398551028304</v>
      </c>
      <c r="AK759">
        <v>137.93747891650901</v>
      </c>
      <c r="AL759">
        <v>86.763565735299395</v>
      </c>
      <c r="AM759">
        <v>91.982930493556296</v>
      </c>
      <c r="AN759">
        <v>0.999999999485782</v>
      </c>
    </row>
    <row r="760" spans="1:40" x14ac:dyDescent="0.25">
      <c r="A760" t="str">
        <f>"20190312160616132"</f>
        <v>20190312160616132</v>
      </c>
      <c r="B760" t="str">
        <f>"1552377976125639"</f>
        <v>1552377976125639</v>
      </c>
      <c r="C760" t="s">
        <v>40</v>
      </c>
      <c r="D760">
        <v>6.7363399999999896</v>
      </c>
      <c r="E760">
        <v>0.50133439999999996</v>
      </c>
      <c r="F760" t="s">
        <v>42</v>
      </c>
      <c r="G760">
        <v>-158.78319999999999</v>
      </c>
      <c r="H760">
        <v>2.9095810000000002</v>
      </c>
      <c r="I760">
        <v>369.36869999999999</v>
      </c>
      <c r="J760">
        <v>-296.5292</v>
      </c>
      <c r="K760">
        <v>1.059277</v>
      </c>
      <c r="L760">
        <v>367.98700000000002</v>
      </c>
      <c r="M760">
        <v>0.99969490000000005</v>
      </c>
      <c r="N760">
        <v>0</v>
      </c>
      <c r="O760">
        <v>-2.2785980000000001E-2</v>
      </c>
      <c r="P760">
        <v>0.99883469999999996</v>
      </c>
      <c r="Q760">
        <v>4.7008800000000003E-2</v>
      </c>
      <c r="R760">
        <v>1.094737E-2</v>
      </c>
      <c r="S760">
        <v>3.0012819999999998</v>
      </c>
      <c r="T760">
        <v>4.0263180000000003E-2</v>
      </c>
      <c r="U760">
        <v>2.996826E-2</v>
      </c>
      <c r="V760">
        <v>-3.36814E-2</v>
      </c>
      <c r="W760">
        <v>5.6544959999999998E-2</v>
      </c>
      <c r="X760">
        <v>0.99783180000000005</v>
      </c>
      <c r="Y760">
        <v>-3.2762949999999999E-2</v>
      </c>
      <c r="Z760">
        <v>-5.2541019999999999E-4</v>
      </c>
      <c r="AA760">
        <v>0.99946299999999999</v>
      </c>
      <c r="AB760">
        <v>31</v>
      </c>
      <c r="AC760">
        <v>137.74600000000001</v>
      </c>
      <c r="AD760">
        <v>1.8503039999999999</v>
      </c>
      <c r="AE760">
        <v>1.3817000000000199</v>
      </c>
      <c r="AF760">
        <v>-4.5193461239770798</v>
      </c>
      <c r="AG760">
        <v>1.8503039999999999</v>
      </c>
      <c r="AH760">
        <v>137.65391285518001</v>
      </c>
      <c r="AI760">
        <v>89.230307776379803</v>
      </c>
      <c r="AJ760">
        <v>91.880415004621796</v>
      </c>
      <c r="AK760">
        <v>137.740509069127</v>
      </c>
      <c r="AL760">
        <v>86.758483618230201</v>
      </c>
      <c r="AM760">
        <v>91.933261345081604</v>
      </c>
      <c r="AN760">
        <v>1.0000000351492999</v>
      </c>
    </row>
    <row r="761" spans="1:40" x14ac:dyDescent="0.25">
      <c r="A761" t="str">
        <f>"20190312160616144"</f>
        <v>20190312160616144</v>
      </c>
      <c r="B761" t="str">
        <f>"1552377976135401"</f>
        <v>1552377976135401</v>
      </c>
      <c r="C761" t="s">
        <v>40</v>
      </c>
      <c r="D761">
        <v>6.6655009999999999</v>
      </c>
      <c r="E761">
        <v>0.50206629999999997</v>
      </c>
      <c r="F761" t="s">
        <v>42</v>
      </c>
      <c r="G761">
        <v>-158.78319999999999</v>
      </c>
      <c r="H761">
        <v>2.9710359999999998</v>
      </c>
      <c r="I761">
        <v>368.91989999999998</v>
      </c>
      <c r="J761">
        <v>-296.36970000000002</v>
      </c>
      <c r="K761">
        <v>1.0592820000000001</v>
      </c>
      <c r="L761">
        <v>367.98320000000001</v>
      </c>
      <c r="M761">
        <v>0.99969260000000004</v>
      </c>
      <c r="N761">
        <v>0</v>
      </c>
      <c r="O761">
        <v>-2.288422E-2</v>
      </c>
      <c r="P761">
        <v>0.99883339999999998</v>
      </c>
      <c r="Q761">
        <v>4.7236220000000002E-2</v>
      </c>
      <c r="R761">
        <v>1.0048059999999999E-2</v>
      </c>
      <c r="S761">
        <v>3.0013429999999999</v>
      </c>
      <c r="T761">
        <v>4.1657090000000001E-2</v>
      </c>
      <c r="U761">
        <v>2.0324709999999999E-2</v>
      </c>
      <c r="V761">
        <v>-3.2880659999999999E-2</v>
      </c>
      <c r="W761">
        <v>5.6774900000000003E-2</v>
      </c>
      <c r="X761">
        <v>0.99784539999999999</v>
      </c>
      <c r="Y761">
        <v>-2.9649620000000002E-2</v>
      </c>
      <c r="Z761">
        <v>-5.2335040000000004E-4</v>
      </c>
      <c r="AA761">
        <v>0.99956020000000001</v>
      </c>
      <c r="AB761">
        <v>31</v>
      </c>
      <c r="AC761">
        <v>137.5865</v>
      </c>
      <c r="AD761">
        <v>1.911754</v>
      </c>
      <c r="AE761">
        <v>0.936699999999973</v>
      </c>
      <c r="AF761">
        <v>-4.0843691808804001</v>
      </c>
      <c r="AG761">
        <v>1.911754</v>
      </c>
      <c r="AH761">
        <v>137.50248298509001</v>
      </c>
      <c r="AI761">
        <v>89.203795491419996</v>
      </c>
      <c r="AJ761">
        <v>91.701411646818599</v>
      </c>
      <c r="AK761">
        <v>137.57641404698501</v>
      </c>
      <c r="AL761">
        <v>86.745287664141998</v>
      </c>
      <c r="AM761">
        <v>91.887308021426605</v>
      </c>
      <c r="AN761">
        <v>0.99999998468660201</v>
      </c>
    </row>
    <row r="762" spans="1:40" x14ac:dyDescent="0.25">
      <c r="A762" t="str">
        <f>"20190312160616155"</f>
        <v>20190312160616155</v>
      </c>
      <c r="B762" t="str">
        <f>"1552377976146135"</f>
        <v>1552377976146135</v>
      </c>
      <c r="C762" t="s">
        <v>40</v>
      </c>
      <c r="D762">
        <v>6.6027630000000004</v>
      </c>
      <c r="E762">
        <v>0.50265609999999905</v>
      </c>
      <c r="F762" t="s">
        <v>42</v>
      </c>
      <c r="G762">
        <v>-158.78319999999999</v>
      </c>
      <c r="H762">
        <v>3.0824240000000001</v>
      </c>
      <c r="I762">
        <v>368.53730000000002</v>
      </c>
      <c r="J762">
        <v>-296.21429999999998</v>
      </c>
      <c r="K762">
        <v>1.059283</v>
      </c>
      <c r="L762">
        <v>367.9796</v>
      </c>
      <c r="M762">
        <v>0.99969039999999998</v>
      </c>
      <c r="N762">
        <v>0</v>
      </c>
      <c r="O762">
        <v>-2.2979960000000001E-2</v>
      </c>
      <c r="P762">
        <v>0.99884649999999997</v>
      </c>
      <c r="Q762">
        <v>4.717557E-2</v>
      </c>
      <c r="R762">
        <v>8.9630749999999992E-3</v>
      </c>
      <c r="S762">
        <v>3.0012819999999998</v>
      </c>
      <c r="T762">
        <v>4.4134260000000002E-2</v>
      </c>
      <c r="U762">
        <v>1.208496E-2</v>
      </c>
      <c r="V762">
        <v>-3.1891540000000003E-2</v>
      </c>
      <c r="W762">
        <v>5.6716330000000002E-2</v>
      </c>
      <c r="X762">
        <v>0.99788089999999996</v>
      </c>
      <c r="Y762">
        <v>-2.7000920000000001E-2</v>
      </c>
      <c r="Z762">
        <v>-5.3641530000000004E-4</v>
      </c>
      <c r="AA762">
        <v>0.9996353</v>
      </c>
      <c r="AB762">
        <v>31</v>
      </c>
      <c r="AC762">
        <v>137.43109999999999</v>
      </c>
      <c r="AD762">
        <v>2.0231409999999999</v>
      </c>
      <c r="AE762">
        <v>0.55770000000001096</v>
      </c>
      <c r="AF762">
        <v>-3.7150525578351998</v>
      </c>
      <c r="AG762">
        <v>2.0231409999999999</v>
      </c>
      <c r="AH762">
        <v>137.35222285145301</v>
      </c>
      <c r="AI762">
        <v>89.156426539798602</v>
      </c>
      <c r="AJ762">
        <v>91.549337489508005</v>
      </c>
      <c r="AK762">
        <v>137.417349113016</v>
      </c>
      <c r="AL762">
        <v>86.748649111515306</v>
      </c>
      <c r="AM762">
        <v>91.830507939870799</v>
      </c>
      <c r="AN762">
        <v>1.0000000514985199</v>
      </c>
    </row>
    <row r="763" spans="1:40" x14ac:dyDescent="0.25">
      <c r="A763" t="str">
        <f>"20190312160616166"</f>
        <v>20190312160616166</v>
      </c>
      <c r="B763" t="str">
        <f>"1552377976155895"</f>
        <v>1552377976155895</v>
      </c>
      <c r="C763" t="s">
        <v>40</v>
      </c>
      <c r="D763">
        <v>6.4375939999999998</v>
      </c>
      <c r="E763">
        <v>0.50265609999999905</v>
      </c>
      <c r="F763" t="s">
        <v>42</v>
      </c>
      <c r="G763">
        <v>-158.78319999999999</v>
      </c>
      <c r="H763">
        <v>3.1325820000000002</v>
      </c>
      <c r="I763">
        <v>368.16410000000002</v>
      </c>
      <c r="J763">
        <v>-296.06020000000001</v>
      </c>
      <c r="K763">
        <v>1.059293</v>
      </c>
      <c r="L763">
        <v>367.976</v>
      </c>
      <c r="M763">
        <v>0.99968820000000003</v>
      </c>
      <c r="N763">
        <v>0</v>
      </c>
      <c r="O763">
        <v>-2.3075100000000001E-2</v>
      </c>
      <c r="P763">
        <v>0.99887610000000004</v>
      </c>
      <c r="Q763">
        <v>4.6688430000000003E-2</v>
      </c>
      <c r="R763">
        <v>8.1748110000000006E-3</v>
      </c>
      <c r="S763">
        <v>3.001312</v>
      </c>
      <c r="T763">
        <v>4.5279979999999997E-2</v>
      </c>
      <c r="U763">
        <v>4.0283200000000002E-3</v>
      </c>
      <c r="V763">
        <v>-3.1199109999999999E-2</v>
      </c>
      <c r="W763">
        <v>5.6231690000000001E-2</v>
      </c>
      <c r="X763">
        <v>0.99793019999999999</v>
      </c>
      <c r="Y763">
        <v>-2.4412550000000002E-2</v>
      </c>
      <c r="Z763">
        <v>-5.3224399999999997E-4</v>
      </c>
      <c r="AA763">
        <v>0.99970179999999997</v>
      </c>
      <c r="AB763">
        <v>31</v>
      </c>
      <c r="AC763">
        <v>137.27699999999999</v>
      </c>
      <c r="AD763">
        <v>2.0732889999999999</v>
      </c>
      <c r="AE763">
        <v>0.188100000000019</v>
      </c>
      <c r="AF763">
        <v>-3.35510932331329</v>
      </c>
      <c r="AG763">
        <v>2.0732889999999999</v>
      </c>
      <c r="AH763">
        <v>137.204807634638</v>
      </c>
      <c r="AI763">
        <v>89.134533410846103</v>
      </c>
      <c r="AJ763">
        <v>91.400791305039206</v>
      </c>
      <c r="AK763">
        <v>137.2614823026</v>
      </c>
      <c r="AL763">
        <v>86.776461272469106</v>
      </c>
      <c r="AM763">
        <v>91.790701654724899</v>
      </c>
      <c r="AN763">
        <v>1.0000000357485399</v>
      </c>
    </row>
    <row r="764" spans="1:40" x14ac:dyDescent="0.25">
      <c r="A764" t="str">
        <f>"20190312160616179"</f>
        <v>20190312160616179</v>
      </c>
      <c r="B764" t="str">
        <f>"1552377976175415"</f>
        <v>1552377976175415</v>
      </c>
      <c r="C764" t="s">
        <v>40</v>
      </c>
      <c r="D764">
        <v>6.6014299999999997</v>
      </c>
      <c r="E764">
        <v>0.50383259999999996</v>
      </c>
      <c r="F764" t="s">
        <v>42</v>
      </c>
      <c r="G764">
        <v>-158.78319999999999</v>
      </c>
      <c r="H764">
        <v>3.063679</v>
      </c>
      <c r="I764">
        <v>368.04579999999999</v>
      </c>
      <c r="J764">
        <v>-295.89780000000002</v>
      </c>
      <c r="K764">
        <v>1.0592900000000001</v>
      </c>
      <c r="L764">
        <v>367.97210000000001</v>
      </c>
      <c r="M764">
        <v>0.99968590000000002</v>
      </c>
      <c r="N764">
        <v>0</v>
      </c>
      <c r="O764">
        <v>-2.3175009999999999E-2</v>
      </c>
      <c r="P764">
        <v>0.99887959999999998</v>
      </c>
      <c r="Q764">
        <v>4.6752370000000001E-2</v>
      </c>
      <c r="R764">
        <v>7.3543499999999999E-3</v>
      </c>
      <c r="S764">
        <v>3.0012509999999999</v>
      </c>
      <c r="T764">
        <v>4.3823239999999999E-2</v>
      </c>
      <c r="U764">
        <v>1.525879E-3</v>
      </c>
      <c r="V764">
        <v>-3.0479019999999999E-2</v>
      </c>
      <c r="W764">
        <v>5.6298340000000002E-2</v>
      </c>
      <c r="X764">
        <v>0.99794859999999996</v>
      </c>
      <c r="Y764">
        <v>-2.3679349999999998E-2</v>
      </c>
      <c r="Z764">
        <v>-5.1123830000000001E-4</v>
      </c>
      <c r="AA764">
        <v>0.99971949999999998</v>
      </c>
      <c r="AB764">
        <v>31</v>
      </c>
      <c r="AC764">
        <v>137.1146</v>
      </c>
      <c r="AD764">
        <v>2.0043890000000002</v>
      </c>
      <c r="AE764">
        <v>7.3699999999973898E-2</v>
      </c>
      <c r="AF764">
        <v>-3.2507623794860101</v>
      </c>
      <c r="AG764">
        <v>2.0043890000000002</v>
      </c>
      <c r="AH764">
        <v>137.046776442066</v>
      </c>
      <c r="AI764">
        <v>89.162311158579698</v>
      </c>
      <c r="AJ764">
        <v>91.358806456395996</v>
      </c>
      <c r="AK764">
        <v>137.099977988593</v>
      </c>
      <c r="AL764">
        <v>86.772636143752095</v>
      </c>
      <c r="AM764">
        <v>91.749365175865606</v>
      </c>
      <c r="AN764">
        <v>0.99999994099443601</v>
      </c>
    </row>
    <row r="765" spans="1:40" x14ac:dyDescent="0.25">
      <c r="A765" t="str">
        <f>"20190312160616190"</f>
        <v>20190312160616190</v>
      </c>
      <c r="B765" t="str">
        <f>"1552377976186152"</f>
        <v>1552377976186152</v>
      </c>
      <c r="C765" t="s">
        <v>40</v>
      </c>
      <c r="D765">
        <v>6.6052229999999996</v>
      </c>
      <c r="E765">
        <v>0.50434950000000001</v>
      </c>
      <c r="F765" t="s">
        <v>42</v>
      </c>
      <c r="G765">
        <v>-158.78319999999999</v>
      </c>
      <c r="H765">
        <v>3.1662849999999998</v>
      </c>
      <c r="I765">
        <v>367.49950000000001</v>
      </c>
      <c r="J765">
        <v>-295.73610000000002</v>
      </c>
      <c r="K765">
        <v>1.0592889999999999</v>
      </c>
      <c r="L765">
        <v>367.9683</v>
      </c>
      <c r="M765">
        <v>0.99968360000000001</v>
      </c>
      <c r="N765">
        <v>0</v>
      </c>
      <c r="O765">
        <v>-2.327444E-2</v>
      </c>
      <c r="P765">
        <v>0.99887729999999997</v>
      </c>
      <c r="Q765">
        <v>4.6849979999999999E-2</v>
      </c>
      <c r="R765">
        <v>7.0391480000000003E-3</v>
      </c>
      <c r="S765">
        <v>3.0012819999999998</v>
      </c>
      <c r="T765">
        <v>4.6121599999999999E-2</v>
      </c>
      <c r="U765">
        <v>-1.0345460000000001E-2</v>
      </c>
      <c r="V765">
        <v>-3.0262810000000001E-2</v>
      </c>
      <c r="W765">
        <v>5.6398789999999997E-2</v>
      </c>
      <c r="X765">
        <v>0.99794950000000004</v>
      </c>
      <c r="Y765">
        <v>-1.982422E-2</v>
      </c>
      <c r="Z765">
        <v>-5.0994460000000001E-4</v>
      </c>
      <c r="AA765">
        <v>0.99980340000000001</v>
      </c>
      <c r="AB765">
        <v>31</v>
      </c>
      <c r="AC765">
        <v>136.9529</v>
      </c>
      <c r="AD765">
        <v>2.1069960000000001</v>
      </c>
      <c r="AE765">
        <v>-0.468799999999987</v>
      </c>
      <c r="AF765">
        <v>-2.7183306971554502</v>
      </c>
      <c r="AG765">
        <v>2.1069960000000001</v>
      </c>
      <c r="AH765">
        <v>136.89430797916901</v>
      </c>
      <c r="AI765">
        <v>89.118380738340505</v>
      </c>
      <c r="AJ765">
        <v>91.137581339089607</v>
      </c>
      <c r="AK765">
        <v>136.93750512923299</v>
      </c>
      <c r="AL765">
        <v>86.766871597134596</v>
      </c>
      <c r="AM765">
        <v>91.736961711584001</v>
      </c>
      <c r="AN765">
        <v>0.99999993286640199</v>
      </c>
    </row>
    <row r="766" spans="1:40" x14ac:dyDescent="0.25">
      <c r="A766" t="str">
        <f>"20190312160616200"</f>
        <v>20190312160616200</v>
      </c>
      <c r="B766" t="str">
        <f>"1552377976195911"</f>
        <v>1552377976195911</v>
      </c>
      <c r="C766" t="s">
        <v>40</v>
      </c>
      <c r="D766">
        <v>6.8148470000000003</v>
      </c>
      <c r="E766">
        <v>0.50434950000000001</v>
      </c>
      <c r="F766" t="s">
        <v>42</v>
      </c>
      <c r="G766">
        <v>-158.19499999999999</v>
      </c>
      <c r="H766">
        <v>3.2213349999999998</v>
      </c>
      <c r="I766">
        <v>367.26209999999998</v>
      </c>
      <c r="J766">
        <v>-295.5915</v>
      </c>
      <c r="K766">
        <v>1.0592900000000001</v>
      </c>
      <c r="L766">
        <v>367.9649</v>
      </c>
      <c r="M766">
        <v>0.99968140000000005</v>
      </c>
      <c r="N766">
        <v>0</v>
      </c>
      <c r="O766">
        <v>-2.3363149999999999E-2</v>
      </c>
      <c r="P766">
        <v>0.9988747</v>
      </c>
      <c r="Q766">
        <v>4.6903939999999998E-2</v>
      </c>
      <c r="R766">
        <v>7.0297249999999997E-3</v>
      </c>
      <c r="S766">
        <v>3.0012819999999998</v>
      </c>
      <c r="T766">
        <v>4.7179819999999997E-2</v>
      </c>
      <c r="U766">
        <v>-1.5411380000000001E-2</v>
      </c>
      <c r="V766">
        <v>-3.034218E-2</v>
      </c>
      <c r="W766">
        <v>5.6454490000000003E-2</v>
      </c>
      <c r="X766">
        <v>0.99794400000000005</v>
      </c>
      <c r="Y766">
        <v>-1.8225310000000002E-2</v>
      </c>
      <c r="Z766">
        <v>-5.1046730000000001E-4</v>
      </c>
      <c r="AA766">
        <v>0.99983379999999999</v>
      </c>
      <c r="AB766">
        <v>31</v>
      </c>
      <c r="AC766">
        <v>137.3965</v>
      </c>
      <c r="AD766">
        <v>2.162045</v>
      </c>
      <c r="AE766">
        <v>-0.70280000000002396</v>
      </c>
      <c r="AF766">
        <v>-2.5069326359242199</v>
      </c>
      <c r="AG766">
        <v>2.162045</v>
      </c>
      <c r="AH766">
        <v>137.34140680377701</v>
      </c>
      <c r="AI766">
        <v>89.098267602922206</v>
      </c>
      <c r="AJ766">
        <v>91.045720396198206</v>
      </c>
      <c r="AK766">
        <v>137.38129848222999</v>
      </c>
      <c r="AL766">
        <v>86.763675321552597</v>
      </c>
      <c r="AM766">
        <v>91.741524016012804</v>
      </c>
      <c r="AN766">
        <v>0.99999999223215597</v>
      </c>
    </row>
    <row r="767" spans="1:40" x14ac:dyDescent="0.25">
      <c r="A767" t="str">
        <f>"20190312160616211"</f>
        <v>20190312160616211</v>
      </c>
      <c r="B767" t="str">
        <f>"1552377976205671"</f>
        <v>1552377976205671</v>
      </c>
      <c r="C767" t="s">
        <v>40</v>
      </c>
      <c r="D767">
        <v>6.6061889999999996</v>
      </c>
      <c r="E767">
        <v>0.5048724</v>
      </c>
      <c r="F767" t="s">
        <v>42</v>
      </c>
      <c r="G767">
        <v>-158.19499999999999</v>
      </c>
      <c r="H767">
        <v>3.2278419999999999</v>
      </c>
      <c r="I767">
        <v>367.26499999999999</v>
      </c>
      <c r="J767">
        <v>-295.43090000000001</v>
      </c>
      <c r="K767">
        <v>1.0592889999999999</v>
      </c>
      <c r="L767">
        <v>367.96100000000001</v>
      </c>
      <c r="M767">
        <v>0.99967910000000004</v>
      </c>
      <c r="N767">
        <v>0</v>
      </c>
      <c r="O767">
        <v>-2.34621E-2</v>
      </c>
      <c r="P767">
        <v>0.99886410000000003</v>
      </c>
      <c r="Q767">
        <v>4.7123900000000003E-2</v>
      </c>
      <c r="R767">
        <v>7.0679430000000001E-3</v>
      </c>
      <c r="S767">
        <v>3.0012509999999999</v>
      </c>
      <c r="T767">
        <v>4.7371150000000001E-2</v>
      </c>
      <c r="U767">
        <v>-1.528931E-2</v>
      </c>
      <c r="V767">
        <v>-3.0478370000000001E-2</v>
      </c>
      <c r="W767">
        <v>5.66773E-2</v>
      </c>
      <c r="X767">
        <v>0.99792720000000001</v>
      </c>
      <c r="Y767">
        <v>-1.836482E-2</v>
      </c>
      <c r="Z767">
        <v>-5.1520489999999999E-4</v>
      </c>
      <c r="AA767">
        <v>0.99983120000000003</v>
      </c>
      <c r="AB767">
        <v>31</v>
      </c>
      <c r="AC767">
        <v>137.23589999999999</v>
      </c>
      <c r="AD767">
        <v>2.16855299999999</v>
      </c>
      <c r="AE767">
        <v>-0.69600000000002604</v>
      </c>
      <c r="AF767">
        <v>-2.5235508007812002</v>
      </c>
      <c r="AG767">
        <v>2.16855299999999</v>
      </c>
      <c r="AH767">
        <v>137.18019767188099</v>
      </c>
      <c r="AI767">
        <v>89.094493406293495</v>
      </c>
      <c r="AJ767">
        <v>91.053887558181799</v>
      </c>
      <c r="AK767">
        <v>137.220543520474</v>
      </c>
      <c r="AL767">
        <v>86.750888709831301</v>
      </c>
      <c r="AM767">
        <v>91.749365381896297</v>
      </c>
      <c r="AN767">
        <v>0.99999997193649304</v>
      </c>
    </row>
    <row r="768" spans="1:40" x14ac:dyDescent="0.25">
      <c r="A768" t="str">
        <f>"20190312160616224"</f>
        <v>20190312160616224</v>
      </c>
      <c r="B768" t="str">
        <f>"1552377976215431"</f>
        <v>1552377976215431</v>
      </c>
      <c r="C768" t="s">
        <v>40</v>
      </c>
      <c r="D768">
        <v>6.5527790000000001</v>
      </c>
      <c r="E768">
        <v>0.50532699999999997</v>
      </c>
      <c r="F768" t="s">
        <v>42</v>
      </c>
      <c r="G768">
        <v>-158.19499999999999</v>
      </c>
      <c r="H768">
        <v>3.2968739999999999</v>
      </c>
      <c r="I768">
        <v>367.0652</v>
      </c>
      <c r="J768">
        <v>-295.2629</v>
      </c>
      <c r="K768">
        <v>1.059288</v>
      </c>
      <c r="L768">
        <v>367.95699999999999</v>
      </c>
      <c r="M768">
        <v>0.99967669999999997</v>
      </c>
      <c r="N768">
        <v>0</v>
      </c>
      <c r="O768">
        <v>-2.3565470000000002E-2</v>
      </c>
      <c r="P768">
        <v>0.99887150000000002</v>
      </c>
      <c r="Q768">
        <v>4.6991779999999997E-2</v>
      </c>
      <c r="R768">
        <v>6.9055280000000002E-3</v>
      </c>
      <c r="S768">
        <v>3.0012509999999999</v>
      </c>
      <c r="T768">
        <v>4.8936250000000001E-2</v>
      </c>
      <c r="U768">
        <v>-1.9592289999999998E-2</v>
      </c>
      <c r="V768">
        <v>-3.041959E-2</v>
      </c>
      <c r="W768">
        <v>5.6547800000000002E-2</v>
      </c>
      <c r="X768">
        <v>0.99793639999999995</v>
      </c>
      <c r="Y768">
        <v>-1.7034560000000001E-2</v>
      </c>
      <c r="Z768">
        <v>-5.2306149999999997E-4</v>
      </c>
      <c r="AA768">
        <v>0.99985469999999999</v>
      </c>
      <c r="AB768">
        <v>31</v>
      </c>
      <c r="AC768">
        <v>137.06790000000001</v>
      </c>
      <c r="AD768">
        <v>2.2375859999999999</v>
      </c>
      <c r="AE768">
        <v>-0.89179999999998905</v>
      </c>
      <c r="AF768">
        <v>-2.33804135953805</v>
      </c>
      <c r="AG768">
        <v>2.2375859999999999</v>
      </c>
      <c r="AH768">
        <v>137.01433683848299</v>
      </c>
      <c r="AI768">
        <v>89.064519927349906</v>
      </c>
      <c r="AJ768">
        <v>90.9776123077243</v>
      </c>
      <c r="AK768">
        <v>137.05255097149899</v>
      </c>
      <c r="AL768">
        <v>86.758320626556198</v>
      </c>
      <c r="AM768">
        <v>91.745977593252107</v>
      </c>
      <c r="AN768">
        <v>1.00000003179278</v>
      </c>
    </row>
    <row r="769" spans="1:40" x14ac:dyDescent="0.25">
      <c r="A769" t="str">
        <f>"20190312160616234"</f>
        <v>20190312160616234</v>
      </c>
      <c r="B769" t="str">
        <f>"1552377976226168"</f>
        <v>1552377976226168</v>
      </c>
      <c r="C769" t="s">
        <v>40</v>
      </c>
      <c r="D769">
        <v>6.5529039999999998</v>
      </c>
      <c r="E769">
        <v>0.50574419999999998</v>
      </c>
      <c r="F769" t="s">
        <v>42</v>
      </c>
      <c r="G769">
        <v>-158.19499999999999</v>
      </c>
      <c r="H769">
        <v>3.3054679999999999</v>
      </c>
      <c r="I769">
        <v>366.8922</v>
      </c>
      <c r="J769">
        <v>-295.11070000000001</v>
      </c>
      <c r="K769">
        <v>1.0592889999999999</v>
      </c>
      <c r="L769">
        <v>367.95330000000001</v>
      </c>
      <c r="M769">
        <v>0.99967439999999996</v>
      </c>
      <c r="N769">
        <v>0</v>
      </c>
      <c r="O769">
        <v>-2.3658709999999999E-2</v>
      </c>
      <c r="P769">
        <v>0.99890429999999997</v>
      </c>
      <c r="Q769">
        <v>4.626591E-2</v>
      </c>
      <c r="R769">
        <v>7.0737660000000004E-3</v>
      </c>
      <c r="S769">
        <v>3.0012509999999999</v>
      </c>
      <c r="T769">
        <v>4.9184440000000003E-2</v>
      </c>
      <c r="U769">
        <v>-2.3315430000000002E-2</v>
      </c>
      <c r="V769">
        <v>-3.068208E-2</v>
      </c>
      <c r="W769">
        <v>5.5825109999999997E-2</v>
      </c>
      <c r="X769">
        <v>0.99796899999999999</v>
      </c>
      <c r="Y769">
        <v>-1.588761E-2</v>
      </c>
      <c r="Z769">
        <v>-5.1784040000000002E-4</v>
      </c>
      <c r="AA769">
        <v>0.99987360000000003</v>
      </c>
      <c r="AB769">
        <v>31</v>
      </c>
      <c r="AC769">
        <v>136.91569999999999</v>
      </c>
      <c r="AD769">
        <v>2.2461790000000001</v>
      </c>
      <c r="AE769">
        <v>-1.0611000000000099</v>
      </c>
      <c r="AF769">
        <v>-2.1780076955719498</v>
      </c>
      <c r="AG769">
        <v>2.2461790000000001</v>
      </c>
      <c r="AH769">
        <v>136.86564416975301</v>
      </c>
      <c r="AI769">
        <v>89.059890178895898</v>
      </c>
      <c r="AJ769">
        <v>90.911697870736702</v>
      </c>
      <c r="AK769">
        <v>136.901400984882</v>
      </c>
      <c r="AL769">
        <v>86.799793058303095</v>
      </c>
      <c r="AM769">
        <v>91.760976660563202</v>
      </c>
      <c r="AN769">
        <v>0.999999978950319</v>
      </c>
    </row>
    <row r="770" spans="1:40" x14ac:dyDescent="0.25">
      <c r="A770" t="str">
        <f>"20190312160616245"</f>
        <v>20190312160616245</v>
      </c>
      <c r="B770" t="str">
        <f>"1552377976235927"</f>
        <v>1552377976235927</v>
      </c>
      <c r="C770" t="s">
        <v>40</v>
      </c>
      <c r="D770">
        <v>6.6020979999999998</v>
      </c>
      <c r="E770">
        <v>0.50622199999999995</v>
      </c>
      <c r="F770" t="s">
        <v>42</v>
      </c>
      <c r="G770">
        <v>-158.19499999999999</v>
      </c>
      <c r="H770">
        <v>3.2316579999999999</v>
      </c>
      <c r="I770">
        <v>366.76299999999998</v>
      </c>
      <c r="J770">
        <v>-294.96350000000001</v>
      </c>
      <c r="K770">
        <v>1.059288</v>
      </c>
      <c r="L770">
        <v>367.94970000000001</v>
      </c>
      <c r="M770">
        <v>0.99967220000000001</v>
      </c>
      <c r="N770">
        <v>0</v>
      </c>
      <c r="O770">
        <v>-2.374944E-2</v>
      </c>
      <c r="P770">
        <v>0.99893010000000004</v>
      </c>
      <c r="Q770">
        <v>4.5693989999999997E-2</v>
      </c>
      <c r="R770">
        <v>7.1168560000000004E-3</v>
      </c>
      <c r="S770">
        <v>3.0012819999999998</v>
      </c>
      <c r="T770">
        <v>4.7621610000000002E-2</v>
      </c>
      <c r="U770">
        <v>-2.6092529999999999E-2</v>
      </c>
      <c r="V770">
        <v>-3.0816779999999998E-2</v>
      </c>
      <c r="W770">
        <v>5.5255220000000001E-2</v>
      </c>
      <c r="X770">
        <v>0.99799660000000001</v>
      </c>
      <c r="Y770">
        <v>-1.505373E-2</v>
      </c>
      <c r="Z770">
        <v>-4.9620419999999897E-4</v>
      </c>
      <c r="AA770">
        <v>0.99988659999999996</v>
      </c>
      <c r="AB770">
        <v>31</v>
      </c>
      <c r="AC770">
        <v>136.76849999999999</v>
      </c>
      <c r="AD770">
        <v>2.1723699999999999</v>
      </c>
      <c r="AE770">
        <v>-1.1866999999999699</v>
      </c>
      <c r="AF770">
        <v>-2.06143854130808</v>
      </c>
      <c r="AG770">
        <v>2.1723699999999999</v>
      </c>
      <c r="AH770">
        <v>136.72361357041899</v>
      </c>
      <c r="AI770">
        <v>89.089820585720403</v>
      </c>
      <c r="AJ770">
        <v>90.863806742875298</v>
      </c>
      <c r="AK770">
        <v>136.756408361838</v>
      </c>
      <c r="AL770">
        <v>86.832495938820799</v>
      </c>
      <c r="AM770">
        <v>91.768653890544797</v>
      </c>
      <c r="AN770">
        <v>1.00000001343918</v>
      </c>
    </row>
    <row r="771" spans="1:40" x14ac:dyDescent="0.25">
      <c r="A771" t="str">
        <f>"20190312160616258"</f>
        <v>20190312160616258</v>
      </c>
      <c r="B771" t="str">
        <f>"1552377976245687"</f>
        <v>1552377976245687</v>
      </c>
      <c r="C771" t="s">
        <v>40</v>
      </c>
      <c r="D771">
        <v>6.5530119999999998</v>
      </c>
      <c r="E771">
        <v>0.50661929999999999</v>
      </c>
      <c r="F771" t="s">
        <v>42</v>
      </c>
      <c r="G771">
        <v>-158.19499999999999</v>
      </c>
      <c r="H771">
        <v>3.1615289999999998</v>
      </c>
      <c r="I771">
        <v>366.5924</v>
      </c>
      <c r="J771">
        <v>-294.79750000000001</v>
      </c>
      <c r="K771">
        <v>1.0592859999999999</v>
      </c>
      <c r="L771">
        <v>367.94569999999999</v>
      </c>
      <c r="M771">
        <v>0.99966980000000005</v>
      </c>
      <c r="N771">
        <v>0</v>
      </c>
      <c r="O771">
        <v>-2.3851730000000002E-2</v>
      </c>
      <c r="P771">
        <v>0.99894079999999996</v>
      </c>
      <c r="Q771">
        <v>4.5462049999999997E-2</v>
      </c>
      <c r="R771">
        <v>7.1225450000000001E-3</v>
      </c>
      <c r="S771">
        <v>3.001312</v>
      </c>
      <c r="T771">
        <v>4.6134469999999997E-2</v>
      </c>
      <c r="U771">
        <v>-2.9785160000000001E-2</v>
      </c>
      <c r="V771">
        <v>-3.0925190000000002E-2</v>
      </c>
      <c r="W771">
        <v>5.5026209999999999E-2</v>
      </c>
      <c r="X771">
        <v>0.9980059</v>
      </c>
      <c r="Y771">
        <v>-1.392645E-2</v>
      </c>
      <c r="Z771">
        <v>-4.7361019999999997E-4</v>
      </c>
      <c r="AA771">
        <v>0.99990290000000004</v>
      </c>
      <c r="AB771">
        <v>31</v>
      </c>
      <c r="AC771">
        <v>136.60249999999999</v>
      </c>
      <c r="AD771">
        <v>2.1022430000000001</v>
      </c>
      <c r="AE771">
        <v>-1.35329999999999</v>
      </c>
      <c r="AF771">
        <v>-1.9049887476968399</v>
      </c>
      <c r="AG771">
        <v>2.1022430000000001</v>
      </c>
      <c r="AH771">
        <v>136.56357395913801</v>
      </c>
      <c r="AI771">
        <v>89.118151199633104</v>
      </c>
      <c r="AJ771">
        <v>90.799193616004402</v>
      </c>
      <c r="AK771">
        <v>136.593038403327</v>
      </c>
      <c r="AL771">
        <v>86.845637239535293</v>
      </c>
      <c r="AM771">
        <v>91.774855316618996</v>
      </c>
      <c r="AN771">
        <v>1.00000001379915</v>
      </c>
    </row>
    <row r="772" spans="1:40" x14ac:dyDescent="0.25">
      <c r="A772" t="str">
        <f>"20190312160616269"</f>
        <v>20190312160616269</v>
      </c>
      <c r="B772" t="str">
        <f>"1552377976266184"</f>
        <v>1552377976266184</v>
      </c>
      <c r="C772" t="s">
        <v>40</v>
      </c>
      <c r="D772">
        <v>6.0435119999999998</v>
      </c>
      <c r="E772">
        <v>0.50737270000000001</v>
      </c>
      <c r="F772" t="s">
        <v>42</v>
      </c>
      <c r="G772">
        <v>-158.19499999999999</v>
      </c>
      <c r="H772">
        <v>3.1601110000000001</v>
      </c>
      <c r="I772">
        <v>366.45389999999998</v>
      </c>
      <c r="J772">
        <v>-294.6352</v>
      </c>
      <c r="K772">
        <v>1.059277</v>
      </c>
      <c r="L772">
        <v>367.94170000000003</v>
      </c>
      <c r="M772">
        <v>0.99966739999999998</v>
      </c>
      <c r="N772">
        <v>0</v>
      </c>
      <c r="O772">
        <v>-2.395164E-2</v>
      </c>
      <c r="P772">
        <v>0.99894240000000001</v>
      </c>
      <c r="Q772">
        <v>4.5407200000000002E-2</v>
      </c>
      <c r="R772">
        <v>7.2348539999999998E-3</v>
      </c>
      <c r="S772">
        <v>3.001312</v>
      </c>
      <c r="T772">
        <v>4.6159390000000002E-2</v>
      </c>
      <c r="U772">
        <v>-3.277588E-2</v>
      </c>
      <c r="V772">
        <v>-3.1136580000000001E-2</v>
      </c>
      <c r="W772">
        <v>5.4973830000000001E-2</v>
      </c>
      <c r="X772">
        <v>0.99800219999999995</v>
      </c>
      <c r="Y772">
        <v>-1.30302E-2</v>
      </c>
      <c r="Z772">
        <v>-4.6850709999999999E-4</v>
      </c>
      <c r="AA772">
        <v>0.999915</v>
      </c>
      <c r="AB772">
        <v>31</v>
      </c>
      <c r="AC772">
        <v>136.4402</v>
      </c>
      <c r="AD772">
        <v>2.1008339999999999</v>
      </c>
      <c r="AE772">
        <v>-1.48780000000004</v>
      </c>
      <c r="AF772">
        <v>-1.78032075140514</v>
      </c>
      <c r="AG772">
        <v>2.1008339999999999</v>
      </c>
      <c r="AH772">
        <v>136.40435591884199</v>
      </c>
      <c r="AI772">
        <v>89.117702978549303</v>
      </c>
      <c r="AJ772">
        <v>90.747769915350403</v>
      </c>
      <c r="AK772">
        <v>136.43214928713601</v>
      </c>
      <c r="AL772">
        <v>86.848642898157095</v>
      </c>
      <c r="AM772">
        <v>91.786986171160805</v>
      </c>
      <c r="AN772">
        <v>0.99999999990190203</v>
      </c>
    </row>
    <row r="773" spans="1:40" x14ac:dyDescent="0.25">
      <c r="A773" t="str">
        <f>"20190312160616280"</f>
        <v>20190312160616280</v>
      </c>
      <c r="B773" t="str">
        <f>"1552377976275943"</f>
        <v>1552377976275943</v>
      </c>
      <c r="C773" t="s">
        <v>40</v>
      </c>
      <c r="D773">
        <v>6.6030189999999997</v>
      </c>
      <c r="E773">
        <v>0.50776019999999999</v>
      </c>
      <c r="F773" t="s">
        <v>42</v>
      </c>
      <c r="G773">
        <v>-158.19499999999999</v>
      </c>
      <c r="H773">
        <v>3.168329</v>
      </c>
      <c r="I773">
        <v>366.18819999999999</v>
      </c>
      <c r="J773">
        <v>-294.47899999999998</v>
      </c>
      <c r="K773">
        <v>1.059272</v>
      </c>
      <c r="L773">
        <v>367.93790000000001</v>
      </c>
      <c r="M773">
        <v>0.99966500000000003</v>
      </c>
      <c r="N773">
        <v>0</v>
      </c>
      <c r="O773">
        <v>-2.404773E-2</v>
      </c>
      <c r="P773">
        <v>0.99894760000000005</v>
      </c>
      <c r="Q773">
        <v>4.5230220000000002E-2</v>
      </c>
      <c r="R773">
        <v>7.6108089999999996E-3</v>
      </c>
      <c r="S773">
        <v>3.0013429999999999</v>
      </c>
      <c r="T773">
        <v>4.6395779999999998E-2</v>
      </c>
      <c r="U773">
        <v>-3.8574219999999999E-2</v>
      </c>
      <c r="V773">
        <v>-3.1608949999999997E-2</v>
      </c>
      <c r="W773">
        <v>5.4799569999999999E-2</v>
      </c>
      <c r="X773">
        <v>0.99799689999999996</v>
      </c>
      <c r="Y773">
        <v>-1.1195099999999999E-2</v>
      </c>
      <c r="Z773">
        <v>-4.5819639999999999E-4</v>
      </c>
      <c r="AA773">
        <v>0.99993719999999997</v>
      </c>
      <c r="AB773">
        <v>31</v>
      </c>
      <c r="AC773">
        <v>136.28399999999999</v>
      </c>
      <c r="AD773">
        <v>2.109057</v>
      </c>
      <c r="AE773">
        <v>-1.74970000000001</v>
      </c>
      <c r="AF773">
        <v>-1.52791111855892</v>
      </c>
      <c r="AG773">
        <v>2.109057</v>
      </c>
      <c r="AH773">
        <v>136.254036803086</v>
      </c>
      <c r="AI773">
        <v>89.113253279816206</v>
      </c>
      <c r="AJ773">
        <v>90.642470428618097</v>
      </c>
      <c r="AK773">
        <v>136.27892419208601</v>
      </c>
      <c r="AL773">
        <v>86.858642225794895</v>
      </c>
      <c r="AM773">
        <v>91.814088011425397</v>
      </c>
      <c r="AN773">
        <v>0.99999996550094805</v>
      </c>
    </row>
    <row r="774" spans="1:40" x14ac:dyDescent="0.25">
      <c r="A774" t="str">
        <f>"20190312160616294"</f>
        <v>20190312160616294</v>
      </c>
      <c r="B774" t="str">
        <f>"1552377976285703"</f>
        <v>1552377976285703</v>
      </c>
      <c r="C774" t="s">
        <v>40</v>
      </c>
      <c r="D774">
        <v>6.4711280000000002</v>
      </c>
      <c r="E774">
        <v>0.50814239999999999</v>
      </c>
      <c r="F774" t="s">
        <v>42</v>
      </c>
      <c r="G774">
        <v>-158.19499999999999</v>
      </c>
      <c r="H774">
        <v>3.1636160000000002</v>
      </c>
      <c r="I774">
        <v>366.10730000000001</v>
      </c>
      <c r="J774">
        <v>-294.29059999999998</v>
      </c>
      <c r="K774">
        <v>1.0592699999999999</v>
      </c>
      <c r="L774">
        <v>367.9332</v>
      </c>
      <c r="M774">
        <v>0.99966219999999995</v>
      </c>
      <c r="N774">
        <v>0</v>
      </c>
      <c r="O774">
        <v>-2.416362E-2</v>
      </c>
      <c r="P774">
        <v>0.99895889999999998</v>
      </c>
      <c r="Q774">
        <v>4.4974670000000001E-2</v>
      </c>
      <c r="R774">
        <v>7.6516709999999996E-3</v>
      </c>
      <c r="S774">
        <v>3.0013429999999999</v>
      </c>
      <c r="T774">
        <v>4.6345230000000001E-2</v>
      </c>
      <c r="U774">
        <v>-4.0313719999999997E-2</v>
      </c>
      <c r="V774">
        <v>-3.1765479999999999E-2</v>
      </c>
      <c r="W774">
        <v>5.4547699999999998E-2</v>
      </c>
      <c r="X774">
        <v>0.9980057</v>
      </c>
      <c r="Y774">
        <v>-1.0731630000000001E-2</v>
      </c>
      <c r="Z774">
        <v>-4.5590579999999999E-4</v>
      </c>
      <c r="AA774">
        <v>0.99994229999999995</v>
      </c>
      <c r="AB774">
        <v>31</v>
      </c>
      <c r="AC774">
        <v>136.09559999999999</v>
      </c>
      <c r="AD774">
        <v>2.104346</v>
      </c>
      <c r="AE774">
        <v>-1.8258999999999801</v>
      </c>
      <c r="AF774">
        <v>-1.4629964652354399</v>
      </c>
      <c r="AG774">
        <v>2.104346</v>
      </c>
      <c r="AH774">
        <v>136.067455778039</v>
      </c>
      <c r="AI774">
        <v>89.114016166161804</v>
      </c>
      <c r="AJ774">
        <v>90.616020138653795</v>
      </c>
      <c r="AK774">
        <v>136.09159104314199</v>
      </c>
      <c r="AL774">
        <v>86.873094843162505</v>
      </c>
      <c r="AM774">
        <v>91.823049406159498</v>
      </c>
      <c r="AN774">
        <v>0.99999993726370295</v>
      </c>
    </row>
    <row r="775" spans="1:40" x14ac:dyDescent="0.25">
      <c r="A775" t="str">
        <f>"20190312160616310"</f>
        <v>20190312160616310</v>
      </c>
      <c r="B775" t="str">
        <f>"1552377976306199"</f>
        <v>1552377976306199</v>
      </c>
      <c r="C775" t="s">
        <v>40</v>
      </c>
      <c r="D775">
        <v>6.548559</v>
      </c>
      <c r="E775">
        <v>0.50867529999999905</v>
      </c>
      <c r="F775" t="s">
        <v>42</v>
      </c>
      <c r="G775">
        <v>-158.19499999999999</v>
      </c>
      <c r="H775">
        <v>3.1407259999999999</v>
      </c>
      <c r="I775">
        <v>365.97660000000002</v>
      </c>
      <c r="J775">
        <v>-294.07319999999999</v>
      </c>
      <c r="K775">
        <v>1.0592619999999999</v>
      </c>
      <c r="L775">
        <v>367.92790000000002</v>
      </c>
      <c r="M775">
        <v>0.99965890000000002</v>
      </c>
      <c r="N775">
        <v>0</v>
      </c>
      <c r="O775">
        <v>-2.42968E-2</v>
      </c>
      <c r="P775">
        <v>0.99893750000000003</v>
      </c>
      <c r="Q775">
        <v>4.5458470000000001E-2</v>
      </c>
      <c r="R775">
        <v>7.5737819999999898E-3</v>
      </c>
      <c r="S775">
        <v>3.001404</v>
      </c>
      <c r="T775">
        <v>4.5905590000000003E-2</v>
      </c>
      <c r="U775">
        <v>-4.315186E-2</v>
      </c>
      <c r="V775">
        <v>-3.1820309999999997E-2</v>
      </c>
      <c r="W775">
        <v>5.5034779999999998E-2</v>
      </c>
      <c r="X775">
        <v>0.99797729999999996</v>
      </c>
      <c r="Y775">
        <v>-9.9199059999999992E-3</v>
      </c>
      <c r="Z775">
        <v>-4.4739759999999997E-4</v>
      </c>
      <c r="AA775">
        <v>0.99995069999999997</v>
      </c>
      <c r="AB775">
        <v>31</v>
      </c>
      <c r="AC775">
        <v>135.87819999999999</v>
      </c>
      <c r="AD775">
        <v>2.0814639999999902</v>
      </c>
      <c r="AE775">
        <v>-1.9513</v>
      </c>
      <c r="AF775">
        <v>-1.3505161623334101</v>
      </c>
      <c r="AG775">
        <v>2.0814639999999902</v>
      </c>
      <c r="AH775">
        <v>135.85362334755101</v>
      </c>
      <c r="AI775">
        <v>89.122262049105302</v>
      </c>
      <c r="AJ775">
        <v>90.569556597595295</v>
      </c>
      <c r="AK775">
        <v>135.87627961843199</v>
      </c>
      <c r="AL775">
        <v>86.845145505608599</v>
      </c>
      <c r="AM775">
        <v>91.826245953999702</v>
      </c>
      <c r="AN775">
        <v>1.0000000252267101</v>
      </c>
    </row>
    <row r="776" spans="1:40" x14ac:dyDescent="0.25">
      <c r="A776" t="str">
        <f>"20190312160616331"</f>
        <v>20190312160616331</v>
      </c>
      <c r="B776" t="str">
        <f>"1552377976325719"</f>
        <v>1552377976325719</v>
      </c>
      <c r="C776" t="s">
        <v>40</v>
      </c>
      <c r="D776">
        <v>6.6506669999999897</v>
      </c>
      <c r="E776">
        <v>0.50923819999999997</v>
      </c>
      <c r="F776" t="s">
        <v>42</v>
      </c>
      <c r="G776">
        <v>-158.19499999999999</v>
      </c>
      <c r="H776">
        <v>3.260545</v>
      </c>
      <c r="I776">
        <v>365.76150000000001</v>
      </c>
      <c r="J776">
        <v>-293.77280000000002</v>
      </c>
      <c r="K776">
        <v>1.0592549999999901</v>
      </c>
      <c r="L776">
        <v>367.92039999999997</v>
      </c>
      <c r="M776">
        <v>0.9996545</v>
      </c>
      <c r="N776">
        <v>0</v>
      </c>
      <c r="O776">
        <v>-2.4480999999999999E-2</v>
      </c>
      <c r="P776">
        <v>0.99894689999999997</v>
      </c>
      <c r="Q776">
        <v>4.5321260000000002E-2</v>
      </c>
      <c r="R776">
        <v>7.162809E-3</v>
      </c>
      <c r="S776">
        <v>3.0013429999999999</v>
      </c>
      <c r="T776">
        <v>4.8624870000000001E-2</v>
      </c>
      <c r="U776">
        <v>-4.7851560000000001E-2</v>
      </c>
      <c r="V776">
        <v>-3.1593549999999998E-2</v>
      </c>
      <c r="W776">
        <v>5.490242E-2</v>
      </c>
      <c r="X776">
        <v>0.99799170000000004</v>
      </c>
      <c r="Y776">
        <v>-8.538103E-3</v>
      </c>
      <c r="Z776">
        <v>-4.6568979999999998E-4</v>
      </c>
      <c r="AA776">
        <v>0.99996350000000001</v>
      </c>
      <c r="AB776">
        <v>31</v>
      </c>
      <c r="AC776">
        <v>135.5778</v>
      </c>
      <c r="AD776">
        <v>2.2012900000000002</v>
      </c>
      <c r="AE776">
        <v>-2.1588999999999601</v>
      </c>
      <c r="AF776">
        <v>-1.1606732749098401</v>
      </c>
      <c r="AG776">
        <v>2.2012900000000002</v>
      </c>
      <c r="AH776">
        <v>135.554291758679</v>
      </c>
      <c r="AI776">
        <v>89.069679625446497</v>
      </c>
      <c r="AJ776">
        <v>90.490578749387097</v>
      </c>
      <c r="AK776">
        <v>135.577132490373</v>
      </c>
      <c r="AL776">
        <v>86.852740360222796</v>
      </c>
      <c r="AM776">
        <v>91.813214212342601</v>
      </c>
      <c r="AN776">
        <v>0.99999993069617199</v>
      </c>
    </row>
    <row r="777" spans="1:40" x14ac:dyDescent="0.25">
      <c r="A777" t="str">
        <f>"20190312160616343"</f>
        <v>20190312160616343</v>
      </c>
      <c r="B777" t="str">
        <f>"1552377976335480"</f>
        <v>1552377976335480</v>
      </c>
      <c r="C777" t="s">
        <v>40</v>
      </c>
      <c r="D777">
        <v>6.8854509999999998</v>
      </c>
      <c r="E777">
        <v>0.50950569999999995</v>
      </c>
      <c r="F777" t="s">
        <v>42</v>
      </c>
      <c r="G777">
        <v>-158.19499999999999</v>
      </c>
      <c r="H777">
        <v>3.2683840000000002</v>
      </c>
      <c r="I777">
        <v>365.5052</v>
      </c>
      <c r="J777">
        <v>-293.60430000000002</v>
      </c>
      <c r="K777">
        <v>1.0592509999999999</v>
      </c>
      <c r="L777">
        <v>367.91609999999997</v>
      </c>
      <c r="M777">
        <v>0.99965199999999999</v>
      </c>
      <c r="N777">
        <v>0</v>
      </c>
      <c r="O777">
        <v>-2.4584249999999998E-2</v>
      </c>
      <c r="P777">
        <v>0.99895199999999995</v>
      </c>
      <c r="Q777">
        <v>4.5274990000000001E-2</v>
      </c>
      <c r="R777">
        <v>6.7311250000000001E-3</v>
      </c>
      <c r="S777">
        <v>3.0013429999999999</v>
      </c>
      <c r="T777">
        <v>4.8906329999999998E-2</v>
      </c>
      <c r="U777">
        <v>-5.3466800000000002E-2</v>
      </c>
      <c r="V777">
        <v>-3.1264790000000001E-2</v>
      </c>
      <c r="W777">
        <v>5.4858619999999997E-2</v>
      </c>
      <c r="X777">
        <v>0.99800460000000002</v>
      </c>
      <c r="Y777">
        <v>-6.7712349999999996E-3</v>
      </c>
      <c r="Z777">
        <v>-4.5566360000000002E-4</v>
      </c>
      <c r="AA777">
        <v>0.999977</v>
      </c>
      <c r="AB777">
        <v>31</v>
      </c>
      <c r="AC777">
        <v>135.4093</v>
      </c>
      <c r="AD777">
        <v>2.209133</v>
      </c>
      <c r="AE777">
        <v>-2.4108999999999599</v>
      </c>
      <c r="AF777">
        <v>-0.91867267652270201</v>
      </c>
      <c r="AG777">
        <v>2.209133</v>
      </c>
      <c r="AH777">
        <v>135.391618510179</v>
      </c>
      <c r="AI777">
        <v>89.065231253503498</v>
      </c>
      <c r="AJ777">
        <v>90.388763055844905</v>
      </c>
      <c r="AK777">
        <v>135.41275638175301</v>
      </c>
      <c r="AL777">
        <v>86.855254136968895</v>
      </c>
      <c r="AM777">
        <v>91.794335268732496</v>
      </c>
      <c r="AN777">
        <v>1.0000000684515999</v>
      </c>
    </row>
    <row r="778" spans="1:40" x14ac:dyDescent="0.25">
      <c r="A778" t="str">
        <f>"20190312160616364"</f>
        <v>20190312160616364</v>
      </c>
      <c r="B778" t="str">
        <f>"1552377976355975"</f>
        <v>1552377976355975</v>
      </c>
      <c r="C778" t="s">
        <v>40</v>
      </c>
      <c r="D778">
        <v>6.5523160000000003</v>
      </c>
      <c r="E778">
        <v>0.50997870000000001</v>
      </c>
      <c r="F778" t="s">
        <v>42</v>
      </c>
      <c r="G778">
        <v>-158.19499999999999</v>
      </c>
      <c r="H778">
        <v>3.272729</v>
      </c>
      <c r="I778">
        <v>365.34559999999999</v>
      </c>
      <c r="J778">
        <v>-293.31470000000002</v>
      </c>
      <c r="K778">
        <v>1.0592469999999901</v>
      </c>
      <c r="L778">
        <v>367.90879999999999</v>
      </c>
      <c r="M778">
        <v>0.99964730000000002</v>
      </c>
      <c r="N778">
        <v>0</v>
      </c>
      <c r="O778">
        <v>-2.47619E-2</v>
      </c>
      <c r="P778">
        <v>0.99898759999999998</v>
      </c>
      <c r="Q778">
        <v>4.4519999999999997E-2</v>
      </c>
      <c r="R778">
        <v>6.4770330000000001E-3</v>
      </c>
      <c r="S778">
        <v>3.001312</v>
      </c>
      <c r="T778">
        <v>4.9063089999999997E-2</v>
      </c>
      <c r="U778">
        <v>-5.6976319999999997E-2</v>
      </c>
      <c r="V778">
        <v>-3.11904E-2</v>
      </c>
      <c r="W778">
        <v>5.4108719999999999E-2</v>
      </c>
      <c r="X778">
        <v>0.99804780000000004</v>
      </c>
      <c r="Y778">
        <v>-5.7799390000000004E-3</v>
      </c>
      <c r="Z778">
        <v>-4.5192380000000002E-4</v>
      </c>
      <c r="AA778">
        <v>0.99998319999999996</v>
      </c>
      <c r="AB778">
        <v>31</v>
      </c>
      <c r="AC778">
        <v>135.11969999999999</v>
      </c>
      <c r="AD778">
        <v>2.2134819999999999</v>
      </c>
      <c r="AE778">
        <v>-2.5631999999999899</v>
      </c>
      <c r="AF778">
        <v>-0.78335049043888505</v>
      </c>
      <c r="AG778">
        <v>2.2134819999999999</v>
      </c>
      <c r="AH778">
        <v>135.10549441397501</v>
      </c>
      <c r="AI778">
        <v>89.061402344676196</v>
      </c>
      <c r="AJ778">
        <v>90.332200953319798</v>
      </c>
      <c r="AK778">
        <v>135.125895968907</v>
      </c>
      <c r="AL778">
        <v>86.898283950575703</v>
      </c>
      <c r="AM778">
        <v>91.789991259272398</v>
      </c>
      <c r="AN778">
        <v>1.0000000028585101</v>
      </c>
    </row>
    <row r="779" spans="1:40" x14ac:dyDescent="0.25">
      <c r="A779" t="str">
        <f>"20190312160616375"</f>
        <v>20190312160616375</v>
      </c>
      <c r="B779" t="str">
        <f>"1552377976365735"</f>
        <v>1552377976365735</v>
      </c>
      <c r="C779" t="s">
        <v>40</v>
      </c>
      <c r="D779">
        <v>6.608161</v>
      </c>
      <c r="E779">
        <v>0.51019529999999902</v>
      </c>
      <c r="F779" t="s">
        <v>42</v>
      </c>
      <c r="G779">
        <v>-158.19499999999999</v>
      </c>
      <c r="H779">
        <v>3.1863239999999999</v>
      </c>
      <c r="I779">
        <v>365.13630000000001</v>
      </c>
      <c r="J779">
        <v>-293.15769999999998</v>
      </c>
      <c r="K779">
        <v>1.05924</v>
      </c>
      <c r="L779">
        <v>367.90480000000002</v>
      </c>
      <c r="M779">
        <v>0.99964509999999995</v>
      </c>
      <c r="N779">
        <v>0</v>
      </c>
      <c r="O779">
        <v>-2.4858470000000001E-2</v>
      </c>
      <c r="P779">
        <v>0.99899979999999999</v>
      </c>
      <c r="Q779">
        <v>4.428025E-2</v>
      </c>
      <c r="R779">
        <v>6.2655509999999899E-3</v>
      </c>
      <c r="S779">
        <v>3.0013429999999999</v>
      </c>
      <c r="T779">
        <v>4.7249560000000003E-2</v>
      </c>
      <c r="U779">
        <v>-6.1584470000000002E-2</v>
      </c>
      <c r="V779">
        <v>-3.107563E-2</v>
      </c>
      <c r="W779">
        <v>5.3871589999999997E-2</v>
      </c>
      <c r="X779">
        <v>0.99806419999999996</v>
      </c>
      <c r="Y779">
        <v>-4.3424459999999998E-3</v>
      </c>
      <c r="Z779">
        <v>-4.2541490000000003E-4</v>
      </c>
      <c r="AA779">
        <v>0.9999905</v>
      </c>
      <c r="AB779">
        <v>31</v>
      </c>
      <c r="AC779">
        <v>134.96269999999899</v>
      </c>
      <c r="AD779">
        <v>2.127084</v>
      </c>
      <c r="AE779">
        <v>-2.7685000000000102</v>
      </c>
      <c r="AF779">
        <v>-0.58732988698120503</v>
      </c>
      <c r="AG779">
        <v>2.127084</v>
      </c>
      <c r="AH779">
        <v>134.956305608501</v>
      </c>
      <c r="AI779">
        <v>89.097028544244495</v>
      </c>
      <c r="AJ779">
        <v>90.2493496773223</v>
      </c>
      <c r="AK779">
        <v>134.97434521506</v>
      </c>
      <c r="AL779">
        <v>86.911890320314996</v>
      </c>
      <c r="AM779">
        <v>91.783379679463295</v>
      </c>
      <c r="AN779">
        <v>0.999999995155332</v>
      </c>
    </row>
    <row r="780" spans="1:40" x14ac:dyDescent="0.25">
      <c r="A780" t="str">
        <f>"20190312160616386"</f>
        <v>20190312160616386</v>
      </c>
      <c r="B780" t="str">
        <f>"1552377976375496"</f>
        <v>1552377976375496</v>
      </c>
      <c r="C780" t="s">
        <v>40</v>
      </c>
      <c r="D780">
        <v>6.6663360000000003</v>
      </c>
      <c r="E780">
        <v>0.51039559999999995</v>
      </c>
      <c r="F780" t="s">
        <v>42</v>
      </c>
      <c r="G780">
        <v>-158.19499999999999</v>
      </c>
      <c r="H780">
        <v>3.1382270000000001</v>
      </c>
      <c r="I780">
        <v>365.0258</v>
      </c>
      <c r="J780">
        <v>-292.99849999999998</v>
      </c>
      <c r="K780">
        <v>1.0592379999999999</v>
      </c>
      <c r="L780">
        <v>367.9008</v>
      </c>
      <c r="M780">
        <v>0.99964260000000005</v>
      </c>
      <c r="N780">
        <v>0</v>
      </c>
      <c r="O780">
        <v>-2.4956470000000001E-2</v>
      </c>
      <c r="P780">
        <v>0.99900169999999999</v>
      </c>
      <c r="Q780">
        <v>4.4262099999999999E-2</v>
      </c>
      <c r="R780">
        <v>6.0729299999999998E-3</v>
      </c>
      <c r="S780">
        <v>3.0013730000000001</v>
      </c>
      <c r="T780">
        <v>4.6235560000000002E-2</v>
      </c>
      <c r="U780">
        <v>-6.4025879999999993E-2</v>
      </c>
      <c r="V780">
        <v>-3.0980480000000001E-2</v>
      </c>
      <c r="W780">
        <v>5.3856359999999999E-2</v>
      </c>
      <c r="X780">
        <v>0.99806799999999996</v>
      </c>
      <c r="Y780">
        <v>-3.6278529999999999E-3</v>
      </c>
      <c r="Z780">
        <v>-4.122835E-4</v>
      </c>
      <c r="AA780">
        <v>0.99999329999999997</v>
      </c>
      <c r="AB780">
        <v>31</v>
      </c>
      <c r="AC780">
        <v>134.80350000000001</v>
      </c>
      <c r="AD780">
        <v>2.078989</v>
      </c>
      <c r="AE780">
        <v>-2.875</v>
      </c>
      <c r="AF780">
        <v>-0.49015301443105103</v>
      </c>
      <c r="AG780">
        <v>2.078989</v>
      </c>
      <c r="AH780">
        <v>134.801215419089</v>
      </c>
      <c r="AI780">
        <v>89.116424397445797</v>
      </c>
      <c r="AJ780">
        <v>90.208333249726707</v>
      </c>
      <c r="AK780">
        <v>134.81813722086201</v>
      </c>
      <c r="AL780">
        <v>86.912764265426404</v>
      </c>
      <c r="AM780">
        <v>91.777915921415996</v>
      </c>
      <c r="AN780">
        <v>1.00000001513873</v>
      </c>
    </row>
    <row r="781" spans="1:40" x14ac:dyDescent="0.25">
      <c r="A781" t="str">
        <f>"20190312160616397"</f>
        <v>20190312160616397</v>
      </c>
      <c r="B781" t="str">
        <f>"1552377976386233"</f>
        <v>1552377976386233</v>
      </c>
      <c r="C781" t="s">
        <v>40</v>
      </c>
      <c r="D781">
        <v>6.669575</v>
      </c>
      <c r="E781">
        <v>0.51039559999999995</v>
      </c>
      <c r="F781" t="s">
        <v>42</v>
      </c>
      <c r="G781">
        <v>-158.19499999999999</v>
      </c>
      <c r="H781">
        <v>3.1137350000000001</v>
      </c>
      <c r="I781">
        <v>364.9237</v>
      </c>
      <c r="J781">
        <v>-292.84899999999999</v>
      </c>
      <c r="K781">
        <v>1.0592379999999999</v>
      </c>
      <c r="L781">
        <v>367.89699999999999</v>
      </c>
      <c r="M781">
        <v>0.99964030000000004</v>
      </c>
      <c r="N781">
        <v>0</v>
      </c>
      <c r="O781">
        <v>-2.5048270000000001E-2</v>
      </c>
      <c r="P781">
        <v>0.99900829999999996</v>
      </c>
      <c r="Q781">
        <v>4.4129349999999998E-2</v>
      </c>
      <c r="R781">
        <v>5.9706330000000004E-3</v>
      </c>
      <c r="S781">
        <v>3.0013730000000001</v>
      </c>
      <c r="T781">
        <v>4.5744899999999998E-2</v>
      </c>
      <c r="U781">
        <v>-6.6284179999999998E-2</v>
      </c>
      <c r="V781">
        <v>-3.097022E-2</v>
      </c>
      <c r="W781">
        <v>5.3725889999999998E-2</v>
      </c>
      <c r="X781">
        <v>0.9980753</v>
      </c>
      <c r="Y781">
        <v>-2.9677610000000002E-3</v>
      </c>
      <c r="Z781">
        <v>-4.0427349999999998E-4</v>
      </c>
      <c r="AA781">
        <v>0.99999550000000004</v>
      </c>
      <c r="AB781">
        <v>31</v>
      </c>
      <c r="AC781">
        <v>134.654</v>
      </c>
      <c r="AD781">
        <v>2.054497</v>
      </c>
      <c r="AE781">
        <v>-2.9732999999999898</v>
      </c>
      <c r="AF781">
        <v>-0.40054444619752899</v>
      </c>
      <c r="AG781">
        <v>2.054497</v>
      </c>
      <c r="AH781">
        <v>134.65489527932499</v>
      </c>
      <c r="AI781">
        <v>89.125881363377303</v>
      </c>
      <c r="AJ781">
        <v>90.170431520812201</v>
      </c>
      <c r="AK781">
        <v>134.671163269879</v>
      </c>
      <c r="AL781">
        <v>86.920250329975204</v>
      </c>
      <c r="AM781">
        <v>91.777314504377301</v>
      </c>
      <c r="AN781">
        <v>0.99999996512661404</v>
      </c>
    </row>
    <row r="782" spans="1:40" x14ac:dyDescent="0.25">
      <c r="A782" t="str">
        <f>"20190312160616408"</f>
        <v>20190312160616408</v>
      </c>
      <c r="B782" t="str">
        <f>"1552377976405751"</f>
        <v>1552377976405751</v>
      </c>
      <c r="C782" t="s">
        <v>40</v>
      </c>
      <c r="D782">
        <v>6.3206499999999997</v>
      </c>
      <c r="E782">
        <v>0.53482790000000002</v>
      </c>
      <c r="F782" t="s">
        <v>42</v>
      </c>
      <c r="G782">
        <v>-158.19499999999999</v>
      </c>
      <c r="H782">
        <v>3.0942769999999999</v>
      </c>
      <c r="I782">
        <v>364.90949999999998</v>
      </c>
      <c r="J782">
        <v>-292.6927</v>
      </c>
      <c r="K782">
        <v>1.0592440000000001</v>
      </c>
      <c r="L782">
        <v>367.8929</v>
      </c>
      <c r="M782">
        <v>0.99963780000000002</v>
      </c>
      <c r="N782">
        <v>0</v>
      </c>
      <c r="O782">
        <v>-2.51446E-2</v>
      </c>
      <c r="P782">
        <v>0.99900679999999997</v>
      </c>
      <c r="Q782">
        <v>4.4132289999999998E-2</v>
      </c>
      <c r="R782">
        <v>6.1657650000000001E-3</v>
      </c>
      <c r="S782">
        <v>3.0013429999999999</v>
      </c>
      <c r="T782">
        <v>4.5361520000000002E-2</v>
      </c>
      <c r="U782">
        <v>-6.658936E-2</v>
      </c>
      <c r="V782">
        <v>-3.1261480000000001E-2</v>
      </c>
      <c r="W782">
        <v>5.3731130000000002E-2</v>
      </c>
      <c r="X782">
        <v>0.99806589999999995</v>
      </c>
      <c r="Y782">
        <v>-2.9623150000000001E-3</v>
      </c>
      <c r="Z782">
        <v>-4.0230330000000001E-4</v>
      </c>
      <c r="AA782">
        <v>0.99999550000000004</v>
      </c>
      <c r="AB782">
        <v>31</v>
      </c>
      <c r="AC782">
        <v>134.49770000000001</v>
      </c>
      <c r="AD782">
        <v>2.0350329999999999</v>
      </c>
      <c r="AE782">
        <v>-2.9834000000000098</v>
      </c>
      <c r="AF782">
        <v>-0.39949842562772497</v>
      </c>
      <c r="AG782">
        <v>2.0350329999999999</v>
      </c>
      <c r="AH782">
        <v>134.499414516505</v>
      </c>
      <c r="AI782">
        <v>89.133160602626504</v>
      </c>
      <c r="AJ782">
        <v>90.170182944506905</v>
      </c>
      <c r="AK782">
        <v>134.51540232845301</v>
      </c>
      <c r="AL782">
        <v>86.9199495501082</v>
      </c>
      <c r="AM782">
        <v>91.794035304583005</v>
      </c>
      <c r="AN782">
        <v>0.99999992760283596</v>
      </c>
    </row>
    <row r="783" spans="1:40" x14ac:dyDescent="0.25">
      <c r="A783" t="str">
        <f>"20190312160616420"</f>
        <v>20190312160616420</v>
      </c>
      <c r="B783" t="str">
        <f>"1552377976415512"</f>
        <v>1552377976415512</v>
      </c>
      <c r="C783" t="s">
        <v>40</v>
      </c>
      <c r="D783">
        <v>6.5400429999999998</v>
      </c>
      <c r="E783">
        <v>0.53681789999999996</v>
      </c>
      <c r="F783" t="s">
        <v>44</v>
      </c>
      <c r="G783">
        <v>-291.89120000000003</v>
      </c>
      <c r="H783">
        <v>0.981294</v>
      </c>
      <c r="I783">
        <v>367.82220000000001</v>
      </c>
      <c r="J783">
        <v>-292.52960000000002</v>
      </c>
      <c r="K783">
        <v>1.0592429999999999</v>
      </c>
      <c r="L783">
        <v>367.88869999999997</v>
      </c>
      <c r="M783">
        <v>0.99963519999999995</v>
      </c>
      <c r="N783">
        <v>0</v>
      </c>
      <c r="O783">
        <v>-2.5244630000000001E-2</v>
      </c>
      <c r="P783">
        <v>0.9990156</v>
      </c>
      <c r="Q783">
        <v>4.3933710000000001E-2</v>
      </c>
      <c r="R783">
        <v>6.1679200000000003E-3</v>
      </c>
      <c r="S783">
        <v>3.0175779999999999</v>
      </c>
      <c r="T783">
        <v>-0.29348000000000002</v>
      </c>
      <c r="U783">
        <v>-0.2662659</v>
      </c>
      <c r="V783">
        <v>-3.1364120000000002E-2</v>
      </c>
      <c r="W783">
        <v>5.3535439999999997E-2</v>
      </c>
      <c r="X783">
        <v>0.99807330000000005</v>
      </c>
      <c r="Y783">
        <v>6.2546099999999993E-2</v>
      </c>
      <c r="Z783">
        <v>-5.8455810000000003E-4</v>
      </c>
      <c r="AA783">
        <v>0.99804190000000004</v>
      </c>
      <c r="AB783">
        <v>31</v>
      </c>
      <c r="AC783">
        <v>0.63839999999998998</v>
      </c>
      <c r="AD783">
        <v>-7.7948999999999893E-2</v>
      </c>
      <c r="AE783">
        <v>-6.64999999999622E-2</v>
      </c>
      <c r="AF783">
        <v>4.9629922421421099E-2</v>
      </c>
      <c r="AG783">
        <v>-7.7948999999999893E-2</v>
      </c>
      <c r="AH783">
        <v>0.63057532045104903</v>
      </c>
      <c r="AI783">
        <v>97.025399834781794</v>
      </c>
      <c r="AJ783">
        <v>85.4997680630524</v>
      </c>
      <c r="AK783">
        <v>0.63731029378356996</v>
      </c>
      <c r="AL783">
        <v>86.931178242999806</v>
      </c>
      <c r="AM783">
        <v>91.7999084092083</v>
      </c>
      <c r="AN783">
        <v>1.00000003176612</v>
      </c>
    </row>
    <row r="784" spans="1:40" x14ac:dyDescent="0.25">
      <c r="A784" t="str">
        <f>"20190312160616431"</f>
        <v>20190312160616431</v>
      </c>
      <c r="B784" t="str">
        <f>"1552377976426248"</f>
        <v>1552377976426248</v>
      </c>
      <c r="C784" t="s">
        <v>40</v>
      </c>
      <c r="D784">
        <v>6.3371620000000002</v>
      </c>
      <c r="E784">
        <v>0.53935769999999905</v>
      </c>
      <c r="F784" t="s">
        <v>44</v>
      </c>
      <c r="G784">
        <v>-291.62049999999999</v>
      </c>
      <c r="H784">
        <v>0.9604338</v>
      </c>
      <c r="I784">
        <v>367.80360000000002</v>
      </c>
      <c r="J784">
        <v>-292.36790000000002</v>
      </c>
      <c r="K784">
        <v>1.0592440000000001</v>
      </c>
      <c r="L784">
        <v>367.88459999999998</v>
      </c>
      <c r="M784">
        <v>0.99963270000000004</v>
      </c>
      <c r="N784">
        <v>0</v>
      </c>
      <c r="O784">
        <v>-2.534407E-2</v>
      </c>
      <c r="P784">
        <v>0.9990175</v>
      </c>
      <c r="Q784">
        <v>4.3865729999999999E-2</v>
      </c>
      <c r="R784">
        <v>6.3326119999999996E-3</v>
      </c>
      <c r="S784">
        <v>3.0191349999999999</v>
      </c>
      <c r="T784">
        <v>-0.32812560000000002</v>
      </c>
      <c r="U784">
        <v>-0.28259279999999998</v>
      </c>
      <c r="V784">
        <v>-3.1627889999999999E-2</v>
      </c>
      <c r="W784">
        <v>5.3470200000000002E-2</v>
      </c>
      <c r="X784">
        <v>0.99806850000000003</v>
      </c>
      <c r="Y784">
        <v>6.7681359999999996E-2</v>
      </c>
      <c r="Z784">
        <v>-9.1963099999999996E-4</v>
      </c>
      <c r="AA784">
        <v>0.9977066</v>
      </c>
      <c r="AB784">
        <v>31</v>
      </c>
      <c r="AC784">
        <v>0.74740000000002704</v>
      </c>
      <c r="AD784">
        <v>-9.8810200000000001E-2</v>
      </c>
      <c r="AE784">
        <v>-8.0999999999960395E-2</v>
      </c>
      <c r="AF784">
        <v>6.0977541977400199E-2</v>
      </c>
      <c r="AG784">
        <v>-9.8810200000000001E-2</v>
      </c>
      <c r="AH784">
        <v>0.73648976920679798</v>
      </c>
      <c r="AI784">
        <v>97.615633765301396</v>
      </c>
      <c r="AJ784">
        <v>85.267001106178</v>
      </c>
      <c r="AK784">
        <v>0.74558627696325497</v>
      </c>
      <c r="AL784">
        <v>86.9349216622348</v>
      </c>
      <c r="AM784">
        <v>91.815044150355504</v>
      </c>
      <c r="AN784">
        <v>1.0000000582030599</v>
      </c>
    </row>
    <row r="785" spans="1:40" x14ac:dyDescent="0.25">
      <c r="A785" t="str">
        <f>"20190312160616442"</f>
        <v>20190312160616442</v>
      </c>
      <c r="B785" t="str">
        <f>"1552377976436008"</f>
        <v>1552377976436008</v>
      </c>
      <c r="C785" t="s">
        <v>40</v>
      </c>
      <c r="D785">
        <v>6.3402589999999996</v>
      </c>
      <c r="E785">
        <v>0.5408075</v>
      </c>
      <c r="F785" t="s">
        <v>44</v>
      </c>
      <c r="G785">
        <v>-291.6155</v>
      </c>
      <c r="H785">
        <v>0.97013689999999997</v>
      </c>
      <c r="I785">
        <v>367.8091</v>
      </c>
      <c r="J785">
        <v>-292.21089999999998</v>
      </c>
      <c r="K785">
        <v>1.059242</v>
      </c>
      <c r="L785">
        <v>367.88049999999998</v>
      </c>
      <c r="M785">
        <v>0.99963020000000002</v>
      </c>
      <c r="N785">
        <v>0</v>
      </c>
      <c r="O785">
        <v>-2.5440520000000001E-2</v>
      </c>
      <c r="P785">
        <v>0.99900480000000003</v>
      </c>
      <c r="Q785">
        <v>4.408633E-2</v>
      </c>
      <c r="R785">
        <v>6.7839619999999897E-3</v>
      </c>
      <c r="S785">
        <v>3.020508</v>
      </c>
      <c r="T785">
        <v>-0.35778500000000002</v>
      </c>
      <c r="U785">
        <v>-0.30331419999999998</v>
      </c>
      <c r="V785">
        <v>-3.2174809999999998E-2</v>
      </c>
      <c r="W785">
        <v>5.3693039999999997E-2</v>
      </c>
      <c r="X785">
        <v>0.99803900000000001</v>
      </c>
      <c r="Y785">
        <v>7.4231539999999999E-2</v>
      </c>
      <c r="Z785">
        <v>-1.3757729999999901E-3</v>
      </c>
      <c r="AA785">
        <v>0.99724009999999996</v>
      </c>
      <c r="AB785">
        <v>31</v>
      </c>
      <c r="AC785">
        <v>0.59539999999998305</v>
      </c>
      <c r="AD785">
        <v>-8.9105099999999895E-2</v>
      </c>
      <c r="AE785">
        <v>-7.1399999999982797E-2</v>
      </c>
      <c r="AF785">
        <v>5.5014225152050997E-2</v>
      </c>
      <c r="AG785">
        <v>-8.9105099999999895E-2</v>
      </c>
      <c r="AH785">
        <v>0.58412666688762405</v>
      </c>
      <c r="AI785">
        <v>98.635637298716503</v>
      </c>
      <c r="AJ785">
        <v>84.619639095904304</v>
      </c>
      <c r="AK785">
        <v>0.5934393370719</v>
      </c>
      <c r="AL785">
        <v>86.922135334430806</v>
      </c>
      <c r="AM785">
        <v>91.846463495124496</v>
      </c>
      <c r="AN785">
        <v>1.00000000323198</v>
      </c>
    </row>
    <row r="786" spans="1:40" x14ac:dyDescent="0.25">
      <c r="A786" t="str">
        <f>"20190312160616453"</f>
        <v>20190312160616453</v>
      </c>
      <c r="B786" t="str">
        <f>"1552377976445768"</f>
        <v>1552377976445768</v>
      </c>
      <c r="C786" t="s">
        <v>40</v>
      </c>
      <c r="D786">
        <v>6.0061749999999998</v>
      </c>
      <c r="E786">
        <v>0.54020789999999996</v>
      </c>
      <c r="F786" t="s">
        <v>44</v>
      </c>
      <c r="G786">
        <v>-291.34309999999999</v>
      </c>
      <c r="H786">
        <v>0.95214399999999999</v>
      </c>
      <c r="I786">
        <v>367.79020000000003</v>
      </c>
      <c r="J786">
        <v>-292.05040000000002</v>
      </c>
      <c r="K786">
        <v>1.0592429999999999</v>
      </c>
      <c r="L786">
        <v>367.87630000000001</v>
      </c>
      <c r="M786">
        <v>0.99962759999999995</v>
      </c>
      <c r="N786">
        <v>0</v>
      </c>
      <c r="O786">
        <v>-2.553888E-2</v>
      </c>
      <c r="P786">
        <v>0.99900750000000005</v>
      </c>
      <c r="Q786">
        <v>4.3957410000000002E-2</v>
      </c>
      <c r="R786">
        <v>7.1864299999999997E-3</v>
      </c>
      <c r="S786">
        <v>3.0215450000000001</v>
      </c>
      <c r="T786">
        <v>-0.37306689999999998</v>
      </c>
      <c r="U786">
        <v>-0.31369019999999997</v>
      </c>
      <c r="V786">
        <v>-3.2675200000000001E-2</v>
      </c>
      <c r="W786">
        <v>5.3566849999999999E-2</v>
      </c>
      <c r="X786">
        <v>0.99802950000000001</v>
      </c>
      <c r="Y786">
        <v>7.743593E-2</v>
      </c>
      <c r="Z786">
        <v>-1.6179E-3</v>
      </c>
      <c r="AA786">
        <v>0.99699599999999999</v>
      </c>
      <c r="AB786">
        <v>31</v>
      </c>
      <c r="AC786">
        <v>0.70730000000003201</v>
      </c>
      <c r="AD786">
        <v>-0.107098999999999</v>
      </c>
      <c r="AE786">
        <v>-8.6099999999987603E-2</v>
      </c>
      <c r="AF786">
        <v>6.6504880163511304E-2</v>
      </c>
      <c r="AG786">
        <v>-0.107098999999999</v>
      </c>
      <c r="AH786">
        <v>0.69359777558929503</v>
      </c>
      <c r="AI786">
        <v>98.738310252980298</v>
      </c>
      <c r="AJ786">
        <v>84.522999252396104</v>
      </c>
      <c r="AK786">
        <v>0.70496167923439701</v>
      </c>
      <c r="AL786">
        <v>86.929375835925896</v>
      </c>
      <c r="AM786">
        <v>91.875177609484396</v>
      </c>
      <c r="AN786">
        <v>0.99999997949210595</v>
      </c>
    </row>
    <row r="787" spans="1:40" x14ac:dyDescent="0.25">
      <c r="A787" t="str">
        <f>"20190312160616465"</f>
        <v>20190312160616465</v>
      </c>
      <c r="B787" t="str">
        <f>"1552377976455528"</f>
        <v>1552377976455528</v>
      </c>
      <c r="C787" t="s">
        <v>40</v>
      </c>
      <c r="D787">
        <v>6.6364899999999896</v>
      </c>
      <c r="E787">
        <v>0.54020789999999996</v>
      </c>
      <c r="F787" t="s">
        <v>44</v>
      </c>
      <c r="G787">
        <v>-291.3349</v>
      </c>
      <c r="H787">
        <v>0.96805359999999996</v>
      </c>
      <c r="I787">
        <v>367.80309999999997</v>
      </c>
      <c r="J787">
        <v>-291.89729999999997</v>
      </c>
      <c r="K787">
        <v>1.059245</v>
      </c>
      <c r="L787">
        <v>367.8723</v>
      </c>
      <c r="M787">
        <v>0.99962519999999999</v>
      </c>
      <c r="N787">
        <v>0</v>
      </c>
      <c r="O787">
        <v>-2.563271E-2</v>
      </c>
      <c r="P787">
        <v>0.99900199999999995</v>
      </c>
      <c r="Q787">
        <v>4.4052229999999998E-2</v>
      </c>
      <c r="R787">
        <v>7.3747429999999996E-3</v>
      </c>
      <c r="S787">
        <v>3.0221559999999998</v>
      </c>
      <c r="T787">
        <v>-0.38535360000000002</v>
      </c>
      <c r="U787">
        <v>-0.30856319999999998</v>
      </c>
      <c r="V787">
        <v>-3.2957239999999999E-2</v>
      </c>
      <c r="W787">
        <v>5.3663519999999999E-2</v>
      </c>
      <c r="X787">
        <v>0.99801499999999999</v>
      </c>
      <c r="Y787">
        <v>7.563715E-2</v>
      </c>
      <c r="Z787">
        <v>-1.5447579999999901E-3</v>
      </c>
      <c r="AA787">
        <v>0.99713419999999997</v>
      </c>
      <c r="AB787">
        <v>31</v>
      </c>
      <c r="AC787">
        <v>0.56239999999996804</v>
      </c>
      <c r="AD787">
        <v>-9.1191400000000006E-2</v>
      </c>
      <c r="AE787">
        <v>-6.9200000000023396E-2</v>
      </c>
      <c r="AF787">
        <v>5.3378287789156799E-2</v>
      </c>
      <c r="AG787">
        <v>-9.1191400000000006E-2</v>
      </c>
      <c r="AH787">
        <v>0.54975079267873395</v>
      </c>
      <c r="AI787">
        <v>99.375034291478897</v>
      </c>
      <c r="AJ787">
        <v>84.454225878054004</v>
      </c>
      <c r="AK787">
        <v>0.55981340381609201</v>
      </c>
      <c r="AL787">
        <v>86.923828973572</v>
      </c>
      <c r="AM787">
        <v>91.891379188953593</v>
      </c>
      <c r="AN787">
        <v>0.99999994663610203</v>
      </c>
    </row>
    <row r="788" spans="1:40" x14ac:dyDescent="0.25">
      <c r="A788" t="str">
        <f>"20190312160616476"</f>
        <v>20190312160616476</v>
      </c>
      <c r="B788" t="str">
        <f>"1552377976466264"</f>
        <v>1552377976466264</v>
      </c>
      <c r="C788" t="s">
        <v>40</v>
      </c>
      <c r="D788">
        <v>6.6052350000000004</v>
      </c>
      <c r="E788">
        <v>0.54008029999999996</v>
      </c>
      <c r="F788" t="s">
        <v>44</v>
      </c>
      <c r="G788">
        <v>-291.0607</v>
      </c>
      <c r="H788">
        <v>0.95269170000000003</v>
      </c>
      <c r="I788">
        <v>367.78710000000001</v>
      </c>
      <c r="J788">
        <v>-291.73649999999998</v>
      </c>
      <c r="K788">
        <v>1.0592490000000001</v>
      </c>
      <c r="L788">
        <v>367.86810000000003</v>
      </c>
      <c r="M788">
        <v>0.99962260000000003</v>
      </c>
      <c r="N788">
        <v>0</v>
      </c>
      <c r="O788">
        <v>-2.573143E-2</v>
      </c>
      <c r="P788">
        <v>0.99898569999999998</v>
      </c>
      <c r="Q788">
        <v>4.4354480000000002E-2</v>
      </c>
      <c r="R788">
        <v>7.7763240000000003E-3</v>
      </c>
      <c r="S788">
        <v>3.0222470000000001</v>
      </c>
      <c r="T788">
        <v>-0.38499460000000002</v>
      </c>
      <c r="U788">
        <v>-0.30789179999999999</v>
      </c>
      <c r="V788">
        <v>-3.3457319999999999E-2</v>
      </c>
      <c r="W788">
        <v>5.3968250000000002E-2</v>
      </c>
      <c r="X788">
        <v>0.99798200000000004</v>
      </c>
      <c r="Y788">
        <v>7.5320490000000004E-2</v>
      </c>
      <c r="Z788">
        <v>-1.5107779999999999E-3</v>
      </c>
      <c r="AA788">
        <v>0.99715819999999999</v>
      </c>
      <c r="AB788">
        <v>31</v>
      </c>
      <c r="AC788">
        <v>0.67579999999998097</v>
      </c>
      <c r="AD788">
        <v>-0.10655729999999899</v>
      </c>
      <c r="AE788">
        <v>-8.1000000000017197E-2</v>
      </c>
      <c r="AF788">
        <v>6.20619616869591E-2</v>
      </c>
      <c r="AG788">
        <v>-0.10655729999999899</v>
      </c>
      <c r="AH788">
        <v>0.66144874577082302</v>
      </c>
      <c r="AI788">
        <v>99.112195599057898</v>
      </c>
      <c r="AJ788">
        <v>84.639783600482303</v>
      </c>
      <c r="AK788">
        <v>0.67284514455669397</v>
      </c>
      <c r="AL788">
        <v>86.906344113523005</v>
      </c>
      <c r="AM788">
        <v>91.920120343026895</v>
      </c>
      <c r="AN788">
        <v>1.0000000182968201</v>
      </c>
    </row>
    <row r="789" spans="1:40" x14ac:dyDescent="0.25">
      <c r="A789" t="str">
        <f>"20190312160616491"</f>
        <v>20190312160616491</v>
      </c>
      <c r="B789" t="str">
        <f>"1552377976485784"</f>
        <v>1552377976485784</v>
      </c>
      <c r="C789" t="s">
        <v>40</v>
      </c>
      <c r="D789">
        <v>6.5789859999999996</v>
      </c>
      <c r="E789">
        <v>0.54017649999999995</v>
      </c>
      <c r="F789" t="s">
        <v>44</v>
      </c>
      <c r="G789">
        <v>-290.78579999999999</v>
      </c>
      <c r="H789">
        <v>0.93799160000000004</v>
      </c>
      <c r="I789">
        <v>367.77190000000002</v>
      </c>
      <c r="J789">
        <v>-291.53050000000002</v>
      </c>
      <c r="K789">
        <v>1.05925</v>
      </c>
      <c r="L789">
        <v>367.86270000000002</v>
      </c>
      <c r="M789">
        <v>0.99961940000000005</v>
      </c>
      <c r="N789">
        <v>0</v>
      </c>
      <c r="O789">
        <v>-2.5857330000000001E-2</v>
      </c>
      <c r="P789">
        <v>0.99898089999999995</v>
      </c>
      <c r="Q789">
        <v>4.4413809999999998E-2</v>
      </c>
      <c r="R789">
        <v>8.0351139999999995E-3</v>
      </c>
      <c r="S789">
        <v>3.0225520000000001</v>
      </c>
      <c r="T789">
        <v>-0.3857468</v>
      </c>
      <c r="U789">
        <v>-0.30502319999999999</v>
      </c>
      <c r="V789">
        <v>-3.384123E-2</v>
      </c>
      <c r="W789">
        <v>5.4031099999999999E-2</v>
      </c>
      <c r="X789">
        <v>0.99796560000000001</v>
      </c>
      <c r="Y789">
        <v>7.4255979999999999E-2</v>
      </c>
      <c r="Z789">
        <v>-1.4301839999999999E-3</v>
      </c>
      <c r="AA789">
        <v>0.99723819999999996</v>
      </c>
      <c r="AB789">
        <v>32</v>
      </c>
      <c r="AC789">
        <v>0.74470000000002201</v>
      </c>
      <c r="AD789">
        <v>-0.1212584</v>
      </c>
      <c r="AE789">
        <v>-9.0800000000001505E-2</v>
      </c>
      <c r="AF789">
        <v>6.9692105363431997E-2</v>
      </c>
      <c r="AG789">
        <v>-0.1212584</v>
      </c>
      <c r="AH789">
        <v>0.72778572026633903</v>
      </c>
      <c r="AI789">
        <v>99.417017201808903</v>
      </c>
      <c r="AJ789">
        <v>84.530086395014294</v>
      </c>
      <c r="AK789">
        <v>0.74110231665009796</v>
      </c>
      <c r="AL789">
        <v>86.902737642815396</v>
      </c>
      <c r="AM789">
        <v>91.942168106621807</v>
      </c>
      <c r="AN789">
        <v>0.99999996369924005</v>
      </c>
    </row>
    <row r="790" spans="1:40" x14ac:dyDescent="0.25">
      <c r="A790" t="str">
        <f>"20190312160616506"</f>
        <v>20190312160616506</v>
      </c>
      <c r="B790" t="str">
        <f>"1552377976495544"</f>
        <v>1552377976495544</v>
      </c>
      <c r="C790" t="s">
        <v>40</v>
      </c>
      <c r="D790">
        <v>6.5798860000000001</v>
      </c>
      <c r="E790">
        <v>0.54004490000000005</v>
      </c>
      <c r="F790" t="s">
        <v>44</v>
      </c>
      <c r="G790">
        <v>-290.77379999999999</v>
      </c>
      <c r="H790">
        <v>0.96160109999999999</v>
      </c>
      <c r="I790">
        <v>367.786</v>
      </c>
      <c r="J790">
        <v>-291.32209999999998</v>
      </c>
      <c r="K790">
        <v>1.05925</v>
      </c>
      <c r="L790">
        <v>367.85719999999998</v>
      </c>
      <c r="M790">
        <v>0.99961610000000001</v>
      </c>
      <c r="N790">
        <v>0</v>
      </c>
      <c r="O790">
        <v>-2.5984670000000001E-2</v>
      </c>
      <c r="P790">
        <v>0.9989671</v>
      </c>
      <c r="Q790">
        <v>4.4747380000000003E-2</v>
      </c>
      <c r="R790">
        <v>7.9021679999999993E-3</v>
      </c>
      <c r="S790">
        <v>3.0228579999999998</v>
      </c>
      <c r="T790">
        <v>-0.39029770000000003</v>
      </c>
      <c r="U790">
        <v>-0.30529790000000001</v>
      </c>
      <c r="V790">
        <v>-3.3834900000000001E-2</v>
      </c>
      <c r="W790">
        <v>5.4367730000000003E-2</v>
      </c>
      <c r="X790">
        <v>0.99794760000000005</v>
      </c>
      <c r="Y790">
        <v>7.4201000000000003E-2</v>
      </c>
      <c r="Z790">
        <v>-1.4269249999999999E-3</v>
      </c>
      <c r="AA790">
        <v>0.99724230000000003</v>
      </c>
      <c r="AB790">
        <v>32</v>
      </c>
      <c r="AC790">
        <v>0.54829999999998302</v>
      </c>
      <c r="AD790">
        <v>-9.76488999999999E-2</v>
      </c>
      <c r="AE790">
        <v>-7.1199999999976102E-2</v>
      </c>
      <c r="AF790">
        <v>5.5205948151189198E-2</v>
      </c>
      <c r="AG790">
        <v>-9.76488999999999E-2</v>
      </c>
      <c r="AH790">
        <v>0.53332969692481202</v>
      </c>
      <c r="AI790">
        <v>100.32157708676201</v>
      </c>
      <c r="AJ790">
        <v>84.090254462896496</v>
      </c>
      <c r="AK790">
        <v>0.54499868807584595</v>
      </c>
      <c r="AL790">
        <v>86.883421983283398</v>
      </c>
      <c r="AM790">
        <v>91.941840099896297</v>
      </c>
      <c r="AN790">
        <v>1.0000000314345601</v>
      </c>
    </row>
    <row r="791" spans="1:40" x14ac:dyDescent="0.25">
      <c r="A791" t="str">
        <f>"20190312160616521"</f>
        <v>20190312160616521</v>
      </c>
      <c r="B791" t="str">
        <f>"1552377976516040"</f>
        <v>1552377976516040</v>
      </c>
      <c r="C791" t="s">
        <v>40</v>
      </c>
      <c r="D791">
        <v>6.3259059999999998</v>
      </c>
      <c r="E791">
        <v>0.54038129999999995</v>
      </c>
      <c r="F791" t="s">
        <v>44</v>
      </c>
      <c r="G791">
        <v>-290.49599999999998</v>
      </c>
      <c r="H791">
        <v>0.95195419999999997</v>
      </c>
      <c r="I791">
        <v>367.77409999999998</v>
      </c>
      <c r="J791">
        <v>-291.10039999999998</v>
      </c>
      <c r="K791">
        <v>1.059245</v>
      </c>
      <c r="L791">
        <v>367.85129999999998</v>
      </c>
      <c r="M791">
        <v>0.99961239999999996</v>
      </c>
      <c r="N791">
        <v>0</v>
      </c>
      <c r="O791">
        <v>-2.6120109999999998E-2</v>
      </c>
      <c r="P791">
        <v>0.99895959999999995</v>
      </c>
      <c r="Q791">
        <v>4.4941660000000001E-2</v>
      </c>
      <c r="R791">
        <v>7.7468629999999997E-3</v>
      </c>
      <c r="S791">
        <v>3.0231020000000002</v>
      </c>
      <c r="T791">
        <v>-0.39259290000000002</v>
      </c>
      <c r="U791">
        <v>-0.30410769999999998</v>
      </c>
      <c r="V791">
        <v>-3.3815020000000001E-2</v>
      </c>
      <c r="W791">
        <v>5.4564849999999998E-2</v>
      </c>
      <c r="X791">
        <v>0.99793750000000003</v>
      </c>
      <c r="Y791">
        <v>7.3670070000000004E-2</v>
      </c>
      <c r="Z791">
        <v>-1.383455E-3</v>
      </c>
      <c r="AA791">
        <v>0.99728170000000005</v>
      </c>
      <c r="AB791">
        <v>32</v>
      </c>
      <c r="AC791">
        <v>0.60439999999999805</v>
      </c>
      <c r="AD791">
        <v>-0.10729080000000001</v>
      </c>
      <c r="AE791">
        <v>-7.7200000000004806E-2</v>
      </c>
      <c r="AF791">
        <v>5.9539830368980799E-2</v>
      </c>
      <c r="AG791">
        <v>-0.10729080000000001</v>
      </c>
      <c r="AH791">
        <v>0.58797936070619505</v>
      </c>
      <c r="AI791">
        <v>100.289713731539</v>
      </c>
      <c r="AJ791">
        <v>84.217837568604594</v>
      </c>
      <c r="AK791">
        <v>0.600646348346074</v>
      </c>
      <c r="AL791">
        <v>86.872111001931401</v>
      </c>
      <c r="AM791">
        <v>91.940719653547106</v>
      </c>
      <c r="AN791">
        <v>1.00000001616968</v>
      </c>
    </row>
    <row r="792" spans="1:40" x14ac:dyDescent="0.25">
      <c r="A792" t="str">
        <f>"20190312160616545"</f>
        <v>20190312160616545</v>
      </c>
      <c r="B792" t="str">
        <f>"1552377976535559"</f>
        <v>1552377976535559</v>
      </c>
      <c r="C792" t="s">
        <v>40</v>
      </c>
      <c r="D792">
        <v>6.4818889999999998</v>
      </c>
      <c r="E792">
        <v>0.54527559999999997</v>
      </c>
      <c r="F792" t="s">
        <v>44</v>
      </c>
      <c r="G792">
        <v>-290.21730000000002</v>
      </c>
      <c r="H792">
        <v>0.94327430000000001</v>
      </c>
      <c r="I792">
        <v>367.76139999999998</v>
      </c>
      <c r="J792">
        <v>-290.76819999999998</v>
      </c>
      <c r="K792">
        <v>1.0592429999999999</v>
      </c>
      <c r="L792">
        <v>367.8424</v>
      </c>
      <c r="M792">
        <v>0.99960709999999997</v>
      </c>
      <c r="N792">
        <v>0</v>
      </c>
      <c r="O792">
        <v>-2.63235E-2</v>
      </c>
      <c r="P792">
        <v>0.99896910000000005</v>
      </c>
      <c r="Q792">
        <v>4.4803809999999999E-2</v>
      </c>
      <c r="R792">
        <v>7.3110919999999999E-3</v>
      </c>
      <c r="S792">
        <v>3.0233460000000001</v>
      </c>
      <c r="T792">
        <v>-0.39711479999999999</v>
      </c>
      <c r="U792">
        <v>-0.30773929999999999</v>
      </c>
      <c r="V792">
        <v>-3.3582099999999997E-2</v>
      </c>
      <c r="W792">
        <v>5.443249E-2</v>
      </c>
      <c r="X792">
        <v>0.99795259999999997</v>
      </c>
      <c r="Y792">
        <v>7.4629490000000007E-2</v>
      </c>
      <c r="Z792">
        <v>-1.4351429999999901E-3</v>
      </c>
      <c r="AA792">
        <v>0.99721029999999999</v>
      </c>
      <c r="AB792">
        <v>32</v>
      </c>
      <c r="AC792">
        <v>0.55089999999995598</v>
      </c>
      <c r="AD792">
        <v>-0.11596869999999899</v>
      </c>
      <c r="AE792">
        <v>-8.1000000000017197E-2</v>
      </c>
      <c r="AF792">
        <v>6.3706328761394204E-2</v>
      </c>
      <c r="AG792">
        <v>-0.11596869999999899</v>
      </c>
      <c r="AH792">
        <v>0.52985836459475899</v>
      </c>
      <c r="AI792">
        <v>102.259906428389</v>
      </c>
      <c r="AJ792">
        <v>83.144080612689706</v>
      </c>
      <c r="AK792">
        <v>0.54612921752546495</v>
      </c>
      <c r="AL792">
        <v>86.879705978656901</v>
      </c>
      <c r="AM792">
        <v>91.927332829783793</v>
      </c>
      <c r="AN792">
        <v>1.00000002262738</v>
      </c>
    </row>
    <row r="793" spans="1:40" x14ac:dyDescent="0.25">
      <c r="A793" t="str">
        <f>"20190312160616558"</f>
        <v>20190312160616558</v>
      </c>
      <c r="B793" t="str">
        <f>"1552377976556056"</f>
        <v>1552377976556056</v>
      </c>
      <c r="C793" t="s">
        <v>40</v>
      </c>
      <c r="D793">
        <v>5.9585929999999996</v>
      </c>
      <c r="E793">
        <v>0.54561630000000005</v>
      </c>
      <c r="F793" t="s">
        <v>44</v>
      </c>
      <c r="G793">
        <v>-289.93299999999999</v>
      </c>
      <c r="H793">
        <v>0.94559979999999999</v>
      </c>
      <c r="I793">
        <v>367.74630000000002</v>
      </c>
      <c r="J793">
        <v>-290.5795</v>
      </c>
      <c r="K793">
        <v>1.05924</v>
      </c>
      <c r="L793">
        <v>367.8374</v>
      </c>
      <c r="M793">
        <v>0.9996041</v>
      </c>
      <c r="N793">
        <v>0</v>
      </c>
      <c r="O793">
        <v>-2.6439150000000002E-2</v>
      </c>
      <c r="P793">
        <v>0.99897659999999999</v>
      </c>
      <c r="Q793">
        <v>4.4673230000000001E-2</v>
      </c>
      <c r="R793">
        <v>7.0801919999999999E-3</v>
      </c>
      <c r="S793">
        <v>3.0240779999999998</v>
      </c>
      <c r="T793">
        <v>-0.41133560000000002</v>
      </c>
      <c r="U793">
        <v>-0.34832760000000001</v>
      </c>
      <c r="V793">
        <v>-3.3467179999999999E-2</v>
      </c>
      <c r="W793">
        <v>5.430488E-2</v>
      </c>
      <c r="X793">
        <v>0.99796339999999994</v>
      </c>
      <c r="Y793">
        <v>8.7566279999999996E-2</v>
      </c>
      <c r="Z793">
        <v>-2.3421819999999999E-3</v>
      </c>
      <c r="AA793">
        <v>0.99615589999999998</v>
      </c>
      <c r="AB793">
        <v>32</v>
      </c>
      <c r="AC793">
        <v>0.64650000000000296</v>
      </c>
      <c r="AD793">
        <v>-0.113640199999999</v>
      </c>
      <c r="AE793">
        <v>-9.1099999999983E-2</v>
      </c>
      <c r="AF793">
        <v>7.1799206787498904E-2</v>
      </c>
      <c r="AG793">
        <v>-0.113640199999999</v>
      </c>
      <c r="AH793">
        <v>0.62960797833788296</v>
      </c>
      <c r="AI793">
        <v>100.16685695512101</v>
      </c>
      <c r="AJ793">
        <v>83.494211136524896</v>
      </c>
      <c r="AK793">
        <v>0.643797660401209</v>
      </c>
      <c r="AL793">
        <v>86.887028283633299</v>
      </c>
      <c r="AM793">
        <v>91.920721556905704</v>
      </c>
      <c r="AN793">
        <v>1.0000000099342601</v>
      </c>
    </row>
    <row r="794" spans="1:40" x14ac:dyDescent="0.25">
      <c r="A794" t="str">
        <f>"20190312160616571"</f>
        <v>20190312160616571</v>
      </c>
      <c r="B794" t="str">
        <f>"1552377976565816"</f>
        <v>1552377976565816</v>
      </c>
      <c r="C794" t="s">
        <v>40</v>
      </c>
      <c r="D794">
        <v>6.4906560000000004</v>
      </c>
      <c r="E794">
        <v>0.54815139999999996</v>
      </c>
      <c r="F794" t="s">
        <v>44</v>
      </c>
      <c r="G794">
        <v>-289.65589999999997</v>
      </c>
      <c r="H794">
        <v>0.93223180000000005</v>
      </c>
      <c r="I794">
        <v>367.72980000000001</v>
      </c>
      <c r="J794">
        <v>-290.38470000000001</v>
      </c>
      <c r="K794">
        <v>1.0592410000000001</v>
      </c>
      <c r="L794">
        <v>367.83210000000003</v>
      </c>
      <c r="M794">
        <v>0.99960070000000001</v>
      </c>
      <c r="N794">
        <v>0</v>
      </c>
      <c r="O794">
        <v>-2.6558490000000001E-2</v>
      </c>
      <c r="P794">
        <v>0.99898739999999997</v>
      </c>
      <c r="Q794">
        <v>4.4493600000000001E-2</v>
      </c>
      <c r="R794">
        <v>6.6624469999999898E-3</v>
      </c>
      <c r="S794">
        <v>3.0241389999999999</v>
      </c>
      <c r="T794">
        <v>-0.41595320000000002</v>
      </c>
      <c r="U794">
        <v>-0.35198970000000002</v>
      </c>
      <c r="V794">
        <v>-3.3169120000000003E-2</v>
      </c>
      <c r="W794">
        <v>5.4128229999999999E-2</v>
      </c>
      <c r="X794">
        <v>0.99798290000000001</v>
      </c>
      <c r="Y794">
        <v>8.8614399999999996E-2</v>
      </c>
      <c r="Z794">
        <v>-2.4232759999999998E-3</v>
      </c>
      <c r="AA794">
        <v>0.99606309999999998</v>
      </c>
      <c r="AB794">
        <v>32</v>
      </c>
      <c r="AC794">
        <v>0.72880000000003498</v>
      </c>
      <c r="AD794">
        <v>-0.12700919999999899</v>
      </c>
      <c r="AE794">
        <v>-0.10230000000001301</v>
      </c>
      <c r="AF794">
        <v>8.0509310945828805E-2</v>
      </c>
      <c r="AG794">
        <v>-0.12700919999999899</v>
      </c>
      <c r="AH794">
        <v>0.71011019042095902</v>
      </c>
      <c r="AI794">
        <v>100.077381945844</v>
      </c>
      <c r="AJ794">
        <v>83.531665606484196</v>
      </c>
      <c r="AK794">
        <v>0.72585781567281005</v>
      </c>
      <c r="AL794">
        <v>86.897164343215294</v>
      </c>
      <c r="AM794">
        <v>91.903591010273303</v>
      </c>
      <c r="AN794">
        <v>0.999999962248458</v>
      </c>
    </row>
    <row r="795" spans="1:40" x14ac:dyDescent="0.25">
      <c r="A795" t="str">
        <f>"20190312160616587"</f>
        <v>20190312160616587</v>
      </c>
      <c r="B795" t="str">
        <f>"1552377976575575"</f>
        <v>1552377976575575</v>
      </c>
      <c r="C795" t="s">
        <v>40</v>
      </c>
      <c r="D795">
        <v>6.4578989999999896</v>
      </c>
      <c r="E795">
        <v>0.55028100000000002</v>
      </c>
      <c r="F795" t="s">
        <v>44</v>
      </c>
      <c r="G795">
        <v>-289.64179999999999</v>
      </c>
      <c r="H795">
        <v>0.96049609999999996</v>
      </c>
      <c r="I795">
        <v>367.74029999999999</v>
      </c>
      <c r="J795">
        <v>-290.16800000000001</v>
      </c>
      <c r="K795">
        <v>1.0592410000000001</v>
      </c>
      <c r="L795">
        <v>367.82619999999997</v>
      </c>
      <c r="M795">
        <v>0.99959730000000002</v>
      </c>
      <c r="N795">
        <v>0</v>
      </c>
      <c r="O795">
        <v>-2.6691309999999999E-2</v>
      </c>
      <c r="P795">
        <v>0.9989865</v>
      </c>
      <c r="Q795">
        <v>4.4580210000000002E-2</v>
      </c>
      <c r="R795">
        <v>6.2126209999999998E-3</v>
      </c>
      <c r="S795">
        <v>3.0234380000000001</v>
      </c>
      <c r="T795">
        <v>-0.40203749999999999</v>
      </c>
      <c r="U795">
        <v>-0.37316890000000003</v>
      </c>
      <c r="V795">
        <v>-3.28525E-2</v>
      </c>
      <c r="W795">
        <v>5.4218219999999998E-2</v>
      </c>
      <c r="X795">
        <v>0.99798849999999995</v>
      </c>
      <c r="Y795">
        <v>9.5365710000000006E-2</v>
      </c>
      <c r="Z795">
        <v>-2.770312E-3</v>
      </c>
      <c r="AA795">
        <v>0.9954385</v>
      </c>
      <c r="AB795">
        <v>32</v>
      </c>
      <c r="AC795">
        <v>0.52620000000001699</v>
      </c>
      <c r="AD795">
        <v>-9.8744899999999899E-2</v>
      </c>
      <c r="AE795">
        <v>-8.5899999999980894E-2</v>
      </c>
      <c r="AF795">
        <v>6.9441855401573202E-2</v>
      </c>
      <c r="AG795">
        <v>-9.8744899999999899E-2</v>
      </c>
      <c r="AH795">
        <v>0.51078501178763402</v>
      </c>
      <c r="AI795">
        <v>100.84408432601001</v>
      </c>
      <c r="AJ795">
        <v>82.258032514701199</v>
      </c>
      <c r="AK795">
        <v>0.52485622300256296</v>
      </c>
      <c r="AL795">
        <v>86.892000750278598</v>
      </c>
      <c r="AM795">
        <v>91.885422649349806</v>
      </c>
      <c r="AN795">
        <v>0.99999997413423303</v>
      </c>
    </row>
    <row r="796" spans="1:40" x14ac:dyDescent="0.25">
      <c r="A796" t="str">
        <f>"20190312160616599"</f>
        <v>20190312160616599</v>
      </c>
      <c r="B796" t="str">
        <f>"1552377976596072"</f>
        <v>1552377976596072</v>
      </c>
      <c r="C796" t="s">
        <v>40</v>
      </c>
      <c r="D796">
        <v>6.5015589999999897</v>
      </c>
      <c r="E796">
        <v>0.55051430000000001</v>
      </c>
      <c r="F796" t="s">
        <v>44</v>
      </c>
      <c r="G796">
        <v>-289.36059999999998</v>
      </c>
      <c r="H796">
        <v>0.95498340000000004</v>
      </c>
      <c r="I796">
        <v>367.72179999999997</v>
      </c>
      <c r="J796">
        <v>-289.99759999999998</v>
      </c>
      <c r="K796">
        <v>1.05924</v>
      </c>
      <c r="L796">
        <v>367.82159999999999</v>
      </c>
      <c r="M796">
        <v>0.9995946</v>
      </c>
      <c r="N796">
        <v>0</v>
      </c>
      <c r="O796">
        <v>-2.6795869999999999E-2</v>
      </c>
      <c r="P796">
        <v>0.9989825</v>
      </c>
      <c r="Q796">
        <v>4.4731439999999997E-2</v>
      </c>
      <c r="R796">
        <v>5.7798919999999896E-3</v>
      </c>
      <c r="S796">
        <v>3.022888</v>
      </c>
      <c r="T796">
        <v>-0.39023010000000002</v>
      </c>
      <c r="U796">
        <v>-0.3912659</v>
      </c>
      <c r="V796">
        <v>-3.2523870000000003E-2</v>
      </c>
      <c r="W796">
        <v>5.437202E-2</v>
      </c>
      <c r="X796">
        <v>0.99799090000000001</v>
      </c>
      <c r="Y796">
        <v>0.1011359</v>
      </c>
      <c r="Z796">
        <v>-3.045187E-3</v>
      </c>
      <c r="AA796">
        <v>0.99486799999999997</v>
      </c>
      <c r="AB796">
        <v>32</v>
      </c>
      <c r="AC796">
        <v>0.63700000000000001</v>
      </c>
      <c r="AD796">
        <v>-0.10425659999999901</v>
      </c>
      <c r="AE796">
        <v>-9.9800000000016098E-2</v>
      </c>
      <c r="AF796">
        <v>8.0587404414097702E-2</v>
      </c>
      <c r="AG796">
        <v>-0.10425659999999901</v>
      </c>
      <c r="AH796">
        <v>0.62315296215907101</v>
      </c>
      <c r="AI796">
        <v>99.420875290338003</v>
      </c>
      <c r="AJ796">
        <v>82.631290578653804</v>
      </c>
      <c r="AK796">
        <v>0.636932792876443</v>
      </c>
      <c r="AL796">
        <v>86.883175652269898</v>
      </c>
      <c r="AM796">
        <v>91.866571320217403</v>
      </c>
      <c r="AN796">
        <v>0.999999977580733</v>
      </c>
    </row>
    <row r="797" spans="1:40" x14ac:dyDescent="0.25">
      <c r="A797" t="str">
        <f>"20190312160616610"</f>
        <v>20190312160616610</v>
      </c>
      <c r="B797" t="str">
        <f>"1552377976605833"</f>
        <v>1552377976605833</v>
      </c>
      <c r="C797" t="s">
        <v>40</v>
      </c>
      <c r="D797">
        <v>6.4771199999999904</v>
      </c>
      <c r="E797">
        <v>0.57325289999999995</v>
      </c>
      <c r="F797" t="s">
        <v>44</v>
      </c>
      <c r="G797">
        <v>-289.08300000000003</v>
      </c>
      <c r="H797">
        <v>0.94146450000000004</v>
      </c>
      <c r="I797">
        <v>367.70209999999997</v>
      </c>
      <c r="J797">
        <v>-289.83659999999998</v>
      </c>
      <c r="K797">
        <v>1.059245</v>
      </c>
      <c r="L797">
        <v>367.81709999999998</v>
      </c>
      <c r="M797">
        <v>0.99959189999999998</v>
      </c>
      <c r="N797">
        <v>0</v>
      </c>
      <c r="O797">
        <v>-2.6894939999999999E-2</v>
      </c>
      <c r="P797">
        <v>0.99898299999999995</v>
      </c>
      <c r="Q797">
        <v>4.4761490000000001E-2</v>
      </c>
      <c r="R797">
        <v>5.443949E-3</v>
      </c>
      <c r="S797">
        <v>3.0227659999999998</v>
      </c>
      <c r="T797">
        <v>-0.38935510000000001</v>
      </c>
      <c r="U797">
        <v>-0.39416499999999999</v>
      </c>
      <c r="V797">
        <v>-3.2286830000000002E-2</v>
      </c>
      <c r="W797">
        <v>5.4404389999999997E-2</v>
      </c>
      <c r="X797">
        <v>0.99799689999999996</v>
      </c>
      <c r="Y797">
        <v>0.1019775</v>
      </c>
      <c r="Z797">
        <v>-3.07947E-3</v>
      </c>
      <c r="AA797">
        <v>0.99478200000000006</v>
      </c>
      <c r="AB797">
        <v>32</v>
      </c>
      <c r="AC797">
        <v>0.75360000000000504</v>
      </c>
      <c r="AD797">
        <v>-0.117780499999999</v>
      </c>
      <c r="AE797">
        <v>-0.115000000000009</v>
      </c>
      <c r="AF797">
        <v>9.2481812721368101E-2</v>
      </c>
      <c r="AG797">
        <v>-0.117780499999999</v>
      </c>
      <c r="AH797">
        <v>0.73878502063409301</v>
      </c>
      <c r="AI797">
        <v>98.989129983985606</v>
      </c>
      <c r="AJ797">
        <v>82.864775557725693</v>
      </c>
      <c r="AK797">
        <v>0.75380928528228996</v>
      </c>
      <c r="AL797">
        <v>86.881318448236797</v>
      </c>
      <c r="AM797">
        <v>91.852965788095503</v>
      </c>
      <c r="AN797">
        <v>1.0000000447261601</v>
      </c>
    </row>
    <row r="798" spans="1:40" x14ac:dyDescent="0.25">
      <c r="A798" t="str">
        <f>"20190312160616621"</f>
        <v>20190312160616621</v>
      </c>
      <c r="B798" t="str">
        <f>"1552377976615592"</f>
        <v>1552377976615592</v>
      </c>
      <c r="C798" t="s">
        <v>40</v>
      </c>
      <c r="D798">
        <v>5.9785589999999997</v>
      </c>
      <c r="E798">
        <v>0.56758359999999997</v>
      </c>
      <c r="F798" t="s">
        <v>44</v>
      </c>
      <c r="G798">
        <v>-289.11810000000003</v>
      </c>
      <c r="H798">
        <v>0.86760959999999998</v>
      </c>
      <c r="I798">
        <v>367.67919999999998</v>
      </c>
      <c r="J798">
        <v>-289.68209999999999</v>
      </c>
      <c r="K798">
        <v>1.0592440000000001</v>
      </c>
      <c r="L798">
        <v>367.81290000000001</v>
      </c>
      <c r="M798">
        <v>0.99958930000000001</v>
      </c>
      <c r="N798">
        <v>0</v>
      </c>
      <c r="O798">
        <v>-2.6989840000000001E-2</v>
      </c>
      <c r="P798">
        <v>0.99898609999999999</v>
      </c>
      <c r="Q798">
        <v>4.4676529999999999E-2</v>
      </c>
      <c r="R798">
        <v>5.5843169999999897E-3</v>
      </c>
      <c r="S798">
        <v>3.0425719999999998</v>
      </c>
      <c r="T798">
        <v>-0.81154380000000004</v>
      </c>
      <c r="U798">
        <v>-0.58343509999999998</v>
      </c>
      <c r="V798">
        <v>-3.2522059999999998E-2</v>
      </c>
      <c r="W798">
        <v>5.4322019999999999E-2</v>
      </c>
      <c r="X798">
        <v>0.99799369999999998</v>
      </c>
      <c r="Y798">
        <v>0.1573561</v>
      </c>
      <c r="Z798">
        <v>-1.343838E-2</v>
      </c>
      <c r="AA798">
        <v>0.98745050000000001</v>
      </c>
      <c r="AB798">
        <v>32</v>
      </c>
      <c r="AC798">
        <v>0.56399999999996397</v>
      </c>
      <c r="AD798">
        <v>-0.19163440000000001</v>
      </c>
      <c r="AE798">
        <v>-0.13370000000003299</v>
      </c>
      <c r="AF798">
        <v>0.106758916618321</v>
      </c>
      <c r="AG798">
        <v>-0.19163440000000001</v>
      </c>
      <c r="AH798">
        <v>0.511493849446229</v>
      </c>
      <c r="AI798">
        <v>110.14065686656799</v>
      </c>
      <c r="AJ798">
        <v>78.210488451133102</v>
      </c>
      <c r="AK798">
        <v>0.55654933973745702</v>
      </c>
      <c r="AL798">
        <v>86.8860447380316</v>
      </c>
      <c r="AM798">
        <v>91.866462283411707</v>
      </c>
      <c r="AN798">
        <v>0.99999999574160603</v>
      </c>
    </row>
    <row r="799" spans="1:40" x14ac:dyDescent="0.25">
      <c r="A799" t="str">
        <f>"20190312160616632"</f>
        <v>20190312160616632</v>
      </c>
      <c r="B799" t="str">
        <f>"1552377976626328"</f>
        <v>1552377976626328</v>
      </c>
      <c r="C799" t="s">
        <v>40</v>
      </c>
      <c r="D799">
        <v>6.2321589999999896</v>
      </c>
      <c r="E799">
        <v>0.5650811</v>
      </c>
      <c r="F799" t="s">
        <v>44</v>
      </c>
      <c r="G799">
        <v>-288.8322</v>
      </c>
      <c r="H799">
        <v>0.86966160000000003</v>
      </c>
      <c r="I799">
        <v>367.66300000000001</v>
      </c>
      <c r="J799">
        <v>-289.5197</v>
      </c>
      <c r="K799">
        <v>1.0592440000000001</v>
      </c>
      <c r="L799">
        <v>367.80840000000001</v>
      </c>
      <c r="M799">
        <v>0.99958639999999999</v>
      </c>
      <c r="N799">
        <v>0</v>
      </c>
      <c r="O799">
        <v>-2.7089390000000001E-2</v>
      </c>
      <c r="P799">
        <v>0.99897910000000001</v>
      </c>
      <c r="Q799">
        <v>4.4821939999999998E-2</v>
      </c>
      <c r="R799">
        <v>5.6467339999999996E-3</v>
      </c>
      <c r="S799">
        <v>3.0362849999999999</v>
      </c>
      <c r="T799">
        <v>-0.67722230000000005</v>
      </c>
      <c r="U799">
        <v>-0.53527829999999998</v>
      </c>
      <c r="V799">
        <v>-3.2684070000000003E-2</v>
      </c>
      <c r="W799">
        <v>5.44701E-2</v>
      </c>
      <c r="X799">
        <v>0.99798039999999999</v>
      </c>
      <c r="Y799">
        <v>0.14408760000000001</v>
      </c>
      <c r="Z799">
        <v>-9.8356869999999992E-3</v>
      </c>
      <c r="AA799">
        <v>0.98951610000000001</v>
      </c>
      <c r="AB799">
        <v>32</v>
      </c>
      <c r="AC799">
        <v>0.6875</v>
      </c>
      <c r="AD799">
        <v>-0.18958240000000001</v>
      </c>
      <c r="AE799">
        <v>-0.14539999999999501</v>
      </c>
      <c r="AF799">
        <v>0.118124047419988</v>
      </c>
      <c r="AG799">
        <v>-0.18958240000000001</v>
      </c>
      <c r="AH799">
        <v>0.64429133392062499</v>
      </c>
      <c r="AI799">
        <v>106.141787061266</v>
      </c>
      <c r="AJ799">
        <v>79.610800659700303</v>
      </c>
      <c r="AK799">
        <v>0.68191355752313498</v>
      </c>
      <c r="AL799">
        <v>86.877547998009604</v>
      </c>
      <c r="AM799">
        <v>91.875778497719693</v>
      </c>
      <c r="AN799">
        <v>1.0000000595049601</v>
      </c>
    </row>
    <row r="800" spans="1:40" x14ac:dyDescent="0.25">
      <c r="A800" t="str">
        <f>"20190312160616644"</f>
        <v>20190312160616644</v>
      </c>
      <c r="B800" t="str">
        <f>"1552377976636089"</f>
        <v>1552377976636089</v>
      </c>
      <c r="C800" t="s">
        <v>40</v>
      </c>
      <c r="D800">
        <v>5.9768210000000002</v>
      </c>
      <c r="E800">
        <v>0.56285369999999901</v>
      </c>
      <c r="F800" t="s">
        <v>44</v>
      </c>
      <c r="G800">
        <v>-288.81029999999998</v>
      </c>
      <c r="H800">
        <v>0.91664710000000005</v>
      </c>
      <c r="I800">
        <v>367.68819999999999</v>
      </c>
      <c r="J800">
        <v>-289.34870000000001</v>
      </c>
      <c r="K800">
        <v>1.0592440000000001</v>
      </c>
      <c r="L800">
        <v>367.80369999999999</v>
      </c>
      <c r="M800">
        <v>0.99958349999999996</v>
      </c>
      <c r="N800">
        <v>0</v>
      </c>
      <c r="O800">
        <v>-2.7194070000000001E-2</v>
      </c>
      <c r="P800">
        <v>0.99897650000000004</v>
      </c>
      <c r="Q800">
        <v>4.4876230000000003E-2</v>
      </c>
      <c r="R800">
        <v>5.6724920000000003E-3</v>
      </c>
      <c r="S800">
        <v>3.0332949999999999</v>
      </c>
      <c r="T800">
        <v>-0.6097302</v>
      </c>
      <c r="U800">
        <v>-0.51403809999999905</v>
      </c>
      <c r="V800">
        <v>-3.2813879999999997E-2</v>
      </c>
      <c r="W800">
        <v>5.4526749999999999E-2</v>
      </c>
      <c r="X800">
        <v>0.997973</v>
      </c>
      <c r="Y800">
        <v>0.13805439999999999</v>
      </c>
      <c r="Z800">
        <v>-8.2717759999999998E-3</v>
      </c>
      <c r="AA800">
        <v>0.99039010000000005</v>
      </c>
      <c r="AB800">
        <v>32</v>
      </c>
      <c r="AC800">
        <v>0.53840000000002397</v>
      </c>
      <c r="AD800">
        <v>-0.1425969</v>
      </c>
      <c r="AE800">
        <v>-0.11549999999999699</v>
      </c>
      <c r="AF800">
        <v>9.44794294363204E-2</v>
      </c>
      <c r="AG800">
        <v>-0.1425969</v>
      </c>
      <c r="AH800">
        <v>0.50732052715001497</v>
      </c>
      <c r="AI800">
        <v>105.44693979765501</v>
      </c>
      <c r="AJ800">
        <v>79.450532129360695</v>
      </c>
      <c r="AK800">
        <v>0.53538243877063396</v>
      </c>
      <c r="AL800">
        <v>86.874297215743397</v>
      </c>
      <c r="AM800">
        <v>91.883237051606201</v>
      </c>
      <c r="AN800">
        <v>1.0000000129576001</v>
      </c>
    </row>
    <row r="801" spans="1:40" x14ac:dyDescent="0.25">
      <c r="A801" t="str">
        <f>"20190312160616655"</f>
        <v>20190312160616655</v>
      </c>
      <c r="B801" t="str">
        <f>"1552377976645848"</f>
        <v>1552377976645848</v>
      </c>
      <c r="C801" t="s">
        <v>40</v>
      </c>
      <c r="D801">
        <v>6.5228190000000001</v>
      </c>
      <c r="E801">
        <v>0.56285369999999901</v>
      </c>
      <c r="F801" t="s">
        <v>44</v>
      </c>
      <c r="G801">
        <v>-288.53039999999999</v>
      </c>
      <c r="H801">
        <v>0.90560879999999999</v>
      </c>
      <c r="I801">
        <v>367.66980000000001</v>
      </c>
      <c r="J801">
        <v>-289.18959999999998</v>
      </c>
      <c r="K801">
        <v>1.0592440000000001</v>
      </c>
      <c r="L801">
        <v>367.79919999999998</v>
      </c>
      <c r="M801">
        <v>0.99958100000000005</v>
      </c>
      <c r="N801">
        <v>0</v>
      </c>
      <c r="O801">
        <v>-2.7291599999999999E-2</v>
      </c>
      <c r="P801">
        <v>0.99897219999999998</v>
      </c>
      <c r="Q801">
        <v>4.4928660000000002E-2</v>
      </c>
      <c r="R801">
        <v>6.0099949999999997E-3</v>
      </c>
      <c r="S801">
        <v>3.0314640000000002</v>
      </c>
      <c r="T801">
        <v>-0.56917680000000004</v>
      </c>
      <c r="U801">
        <v>-0.49557499999999999</v>
      </c>
      <c r="V801">
        <v>-3.3248729999999997E-2</v>
      </c>
      <c r="W801">
        <v>5.4581520000000001E-2</v>
      </c>
      <c r="X801">
        <v>0.99795560000000005</v>
      </c>
      <c r="Y801">
        <v>0.13255029999999901</v>
      </c>
      <c r="Z801">
        <v>-7.2123939999999996E-3</v>
      </c>
      <c r="AA801">
        <v>0.99114999999999998</v>
      </c>
      <c r="AB801">
        <v>32</v>
      </c>
      <c r="AC801">
        <v>0.65919999999999801</v>
      </c>
      <c r="AD801">
        <v>-0.1536352</v>
      </c>
      <c r="AE801">
        <v>-0.12939999999997501</v>
      </c>
      <c r="AF801">
        <v>0.105825351855381</v>
      </c>
      <c r="AG801">
        <v>-0.1536352</v>
      </c>
      <c r="AH801">
        <v>0.629558334167025</v>
      </c>
      <c r="AI801">
        <v>103.53149134925199</v>
      </c>
      <c r="AJ801">
        <v>80.458093320866297</v>
      </c>
      <c r="AK801">
        <v>0.65661745018961704</v>
      </c>
      <c r="AL801">
        <v>86.871154405100597</v>
      </c>
      <c r="AM801">
        <v>91.908208651969701</v>
      </c>
      <c r="AN801">
        <v>0.99999999997174105</v>
      </c>
    </row>
    <row r="802" spans="1:40" x14ac:dyDescent="0.25">
      <c r="A802" t="str">
        <f>"20190312160616667"</f>
        <v>20190312160616667</v>
      </c>
      <c r="B802" t="str">
        <f>"1552377976655608"</f>
        <v>1552377976655608</v>
      </c>
      <c r="C802" t="s">
        <v>40</v>
      </c>
      <c r="D802">
        <v>6.2361339999999998</v>
      </c>
      <c r="E802">
        <v>0.56126980000000004</v>
      </c>
      <c r="F802" t="s">
        <v>44</v>
      </c>
      <c r="G802">
        <v>-288.25490000000002</v>
      </c>
      <c r="H802">
        <v>0.8838298</v>
      </c>
      <c r="I802">
        <v>367.64659999999998</v>
      </c>
      <c r="J802">
        <v>-289.02800000000002</v>
      </c>
      <c r="K802">
        <v>1.0592429999999999</v>
      </c>
      <c r="L802">
        <v>367.79480000000001</v>
      </c>
      <c r="M802">
        <v>0.99957819999999997</v>
      </c>
      <c r="N802">
        <v>0</v>
      </c>
      <c r="O802">
        <v>-2.7390560000000001E-2</v>
      </c>
      <c r="P802">
        <v>0.99896229999999997</v>
      </c>
      <c r="Q802">
        <v>4.5125510000000001E-2</v>
      </c>
      <c r="R802">
        <v>6.1716030000000003E-3</v>
      </c>
      <c r="S802">
        <v>3.031647</v>
      </c>
      <c r="T802">
        <v>-0.56903930000000003</v>
      </c>
      <c r="U802">
        <v>-0.49472050000000001</v>
      </c>
      <c r="V802">
        <v>-3.3508179999999999E-2</v>
      </c>
      <c r="W802">
        <v>5.4781009999999998E-2</v>
      </c>
      <c r="X802">
        <v>0.99793600000000005</v>
      </c>
      <c r="Y802">
        <v>0.13217950000000001</v>
      </c>
      <c r="Z802">
        <v>-7.1578659999999997E-3</v>
      </c>
      <c r="AA802">
        <v>0.99119999999999997</v>
      </c>
      <c r="AB802">
        <v>32</v>
      </c>
      <c r="AC802">
        <v>0.77309999999999901</v>
      </c>
      <c r="AD802">
        <v>-0.17541319999999899</v>
      </c>
      <c r="AE802">
        <v>-0.148200000000031</v>
      </c>
      <c r="AF802">
        <v>0.120961195269902</v>
      </c>
      <c r="AG802">
        <v>-0.17541319999999899</v>
      </c>
      <c r="AH802">
        <v>0.74011738857000797</v>
      </c>
      <c r="AI802">
        <v>103.165023927527</v>
      </c>
      <c r="AJ802">
        <v>80.717919887612496</v>
      </c>
      <c r="AK802">
        <v>0.77017864834014504</v>
      </c>
      <c r="AL802">
        <v>86.859707370871604</v>
      </c>
      <c r="AM802">
        <v>91.923125591841099</v>
      </c>
      <c r="AN802">
        <v>1.00000000863976</v>
      </c>
    </row>
    <row r="803" spans="1:40" x14ac:dyDescent="0.25">
      <c r="A803" t="str">
        <f>"20190312160616679"</f>
        <v>20190312160616679</v>
      </c>
      <c r="B803" t="str">
        <f>"1552377976676103"</f>
        <v>1552377976676103</v>
      </c>
      <c r="C803" t="s">
        <v>40</v>
      </c>
      <c r="D803">
        <v>6.6027079999999998</v>
      </c>
      <c r="E803">
        <v>0.52971919999999995</v>
      </c>
      <c r="F803" t="s">
        <v>44</v>
      </c>
      <c r="G803">
        <v>-288.2414</v>
      </c>
      <c r="H803">
        <v>0.91270030000000002</v>
      </c>
      <c r="I803">
        <v>367.66980000000001</v>
      </c>
      <c r="J803">
        <v>-288.86720000000003</v>
      </c>
      <c r="K803">
        <v>1.0592379999999999</v>
      </c>
      <c r="L803">
        <v>367.79020000000003</v>
      </c>
      <c r="M803">
        <v>0.9995754</v>
      </c>
      <c r="N803">
        <v>0</v>
      </c>
      <c r="O803">
        <v>-2.7489039999999999E-2</v>
      </c>
      <c r="P803">
        <v>0.9989692</v>
      </c>
      <c r="Q803">
        <v>4.4956940000000001E-2</v>
      </c>
      <c r="R803">
        <v>6.2521199999999999E-3</v>
      </c>
      <c r="S803">
        <v>3.031647</v>
      </c>
      <c r="T803">
        <v>-0.56482399999999999</v>
      </c>
      <c r="U803">
        <v>-0.48129270000000002</v>
      </c>
      <c r="V803">
        <v>-3.3687880000000003E-2</v>
      </c>
      <c r="W803">
        <v>5.4614830000000003E-2</v>
      </c>
      <c r="X803">
        <v>0.99793909999999997</v>
      </c>
      <c r="Y803">
        <v>0.12789919999999999</v>
      </c>
      <c r="Z803">
        <v>-6.6970859999999997E-3</v>
      </c>
      <c r="AA803">
        <v>0.99176450000000005</v>
      </c>
      <c r="AB803">
        <v>32</v>
      </c>
      <c r="AC803">
        <v>0.625800000000026</v>
      </c>
      <c r="AD803">
        <v>-0.14653769999999899</v>
      </c>
      <c r="AE803">
        <v>-0.12040000000001699</v>
      </c>
      <c r="AF803">
        <v>9.7970934339593294E-2</v>
      </c>
      <c r="AG803">
        <v>-0.14653769999999899</v>
      </c>
      <c r="AH803">
        <v>0.59729208463483296</v>
      </c>
      <c r="AI803">
        <v>103.609532873688</v>
      </c>
      <c r="AJ803">
        <v>80.684996862441295</v>
      </c>
      <c r="AK803">
        <v>0.62275953293714204</v>
      </c>
      <c r="AL803">
        <v>86.8692431888269</v>
      </c>
      <c r="AM803">
        <v>91.9334252554481</v>
      </c>
      <c r="AN803">
        <v>1.00000005011181</v>
      </c>
    </row>
    <row r="804" spans="1:40" x14ac:dyDescent="0.25">
      <c r="A804" t="str">
        <f>"20190312160616690"</f>
        <v>20190312160616690</v>
      </c>
      <c r="B804" t="str">
        <f>"1552377976685863"</f>
        <v>1552377976685863</v>
      </c>
      <c r="C804" t="s">
        <v>40</v>
      </c>
      <c r="D804">
        <v>6.7176970000000003</v>
      </c>
      <c r="E804">
        <v>0.52336759999999904</v>
      </c>
      <c r="F804" t="s">
        <v>42</v>
      </c>
      <c r="G804">
        <v>-158.19499999999999</v>
      </c>
      <c r="H804">
        <v>3.1203409999999998</v>
      </c>
      <c r="I804">
        <v>358.23230000000001</v>
      </c>
      <c r="J804">
        <v>-288.69389999999999</v>
      </c>
      <c r="K804">
        <v>1.0592349999999999</v>
      </c>
      <c r="L804">
        <v>367.78539999999998</v>
      </c>
      <c r="M804">
        <v>0.99957249999999997</v>
      </c>
      <c r="N804">
        <v>0</v>
      </c>
      <c r="O804">
        <v>-2.7595149999999999E-2</v>
      </c>
      <c r="P804">
        <v>0.99897199999999997</v>
      </c>
      <c r="Q804">
        <v>4.4910279999999997E-2</v>
      </c>
      <c r="R804">
        <v>6.1746300000000004E-3</v>
      </c>
      <c r="S804">
        <v>3.0023499999999999</v>
      </c>
      <c r="T804">
        <v>4.7358270000000001E-2</v>
      </c>
      <c r="U804">
        <v>-0.21960450000000001</v>
      </c>
      <c r="V804">
        <v>-3.3716509999999998E-2</v>
      </c>
      <c r="W804">
        <v>5.4571040000000001E-2</v>
      </c>
      <c r="X804">
        <v>0.99794050000000001</v>
      </c>
      <c r="Y804">
        <v>4.5396449999999998E-2</v>
      </c>
      <c r="Z804" s="1">
        <v>-7.700443E-5</v>
      </c>
      <c r="AA804">
        <v>0.998969</v>
      </c>
      <c r="AB804">
        <v>32</v>
      </c>
      <c r="AC804">
        <v>130.49889999999999</v>
      </c>
      <c r="AD804">
        <v>2.0611060000000001</v>
      </c>
      <c r="AE804">
        <v>-9.5530999999999704</v>
      </c>
      <c r="AF804">
        <v>5.9466813872128199</v>
      </c>
      <c r="AG804">
        <v>2.0611060000000001</v>
      </c>
      <c r="AH804">
        <v>130.68040574835601</v>
      </c>
      <c r="AI804">
        <v>89.097333429757498</v>
      </c>
      <c r="AJ804">
        <v>87.394522512980799</v>
      </c>
      <c r="AK804">
        <v>130.831875412757</v>
      </c>
      <c r="AL804">
        <v>86.871755828530894</v>
      </c>
      <c r="AM804">
        <v>91.935064435996097</v>
      </c>
      <c r="AN804">
        <v>1.0000000214967499</v>
      </c>
    </row>
    <row r="805" spans="1:40" x14ac:dyDescent="0.25">
      <c r="A805" t="str">
        <f>"20190312160616704"</f>
        <v>20190312160616704</v>
      </c>
      <c r="B805" t="str">
        <f>"1552377976695624"</f>
        <v>1552377976695624</v>
      </c>
      <c r="C805" t="s">
        <v>40</v>
      </c>
      <c r="D805">
        <v>7.1339860000000002</v>
      </c>
      <c r="E805">
        <v>0.51575599999999999</v>
      </c>
      <c r="F805" t="s">
        <v>42</v>
      </c>
      <c r="G805">
        <v>-158.19499999999999</v>
      </c>
      <c r="H805">
        <v>0.55082509999999996</v>
      </c>
      <c r="I805">
        <v>360.38290000000001</v>
      </c>
      <c r="J805">
        <v>-288.49599999999998</v>
      </c>
      <c r="K805">
        <v>1.0592330000000001</v>
      </c>
      <c r="L805">
        <v>367.77980000000002</v>
      </c>
      <c r="M805">
        <v>0.99956920000000005</v>
      </c>
      <c r="N805">
        <v>0</v>
      </c>
      <c r="O805">
        <v>-2.771616E-2</v>
      </c>
      <c r="P805">
        <v>0.99897230000000004</v>
      </c>
      <c r="Q805">
        <v>4.4914530000000001E-2</v>
      </c>
      <c r="R805">
        <v>6.0982349999999996E-3</v>
      </c>
      <c r="S805">
        <v>3.0047000000000001</v>
      </c>
      <c r="T805">
        <v>-1.1703969999999999E-2</v>
      </c>
      <c r="U805">
        <v>-0.1704407</v>
      </c>
      <c r="V805">
        <v>-3.3760760000000001E-2</v>
      </c>
      <c r="W805">
        <v>5.4578189999999999E-2</v>
      </c>
      <c r="X805">
        <v>0.99793860000000001</v>
      </c>
      <c r="Y805">
        <v>2.893892E-2</v>
      </c>
      <c r="Z805" s="1">
        <v>5.1530670000000002E-5</v>
      </c>
      <c r="AA805">
        <v>0.99958119999999995</v>
      </c>
      <c r="AB805">
        <v>32</v>
      </c>
      <c r="AC805">
        <v>130.30099999999999</v>
      </c>
      <c r="AD805">
        <v>-0.50840790000000002</v>
      </c>
      <c r="AE805">
        <v>-7.3969000000000102</v>
      </c>
      <c r="AF805">
        <v>3.7823889739005998</v>
      </c>
      <c r="AG805">
        <v>-0.50840790000000002</v>
      </c>
      <c r="AH805">
        <v>130.45398161360001</v>
      </c>
      <c r="AI805">
        <v>90.223199346046698</v>
      </c>
      <c r="AJ805">
        <v>88.339228706301895</v>
      </c>
      <c r="AK805">
        <v>130.509793746616</v>
      </c>
      <c r="AL805">
        <v>86.871345511748103</v>
      </c>
      <c r="AM805">
        <v>91.937605792227401</v>
      </c>
      <c r="AN805">
        <v>1.0000000085547001</v>
      </c>
    </row>
    <row r="806" spans="1:40" x14ac:dyDescent="0.25">
      <c r="A806" t="str">
        <f>"20190312160616719"</f>
        <v>20190312160616719</v>
      </c>
      <c r="B806" t="str">
        <f>"1552377976705385"</f>
        <v>1552377976705385</v>
      </c>
      <c r="C806" t="s">
        <v>40</v>
      </c>
      <c r="D806">
        <v>6.7176530000000003</v>
      </c>
      <c r="E806">
        <v>0.51575599999999999</v>
      </c>
      <c r="F806" t="s">
        <v>42</v>
      </c>
      <c r="G806">
        <v>-158.19499999999999</v>
      </c>
      <c r="H806">
        <v>2.9791810000000001</v>
      </c>
      <c r="I806">
        <v>363.05990000000003</v>
      </c>
      <c r="J806">
        <v>-288.29739999999998</v>
      </c>
      <c r="K806">
        <v>1.059231</v>
      </c>
      <c r="L806">
        <v>367.77420000000001</v>
      </c>
      <c r="M806">
        <v>0.99956579999999995</v>
      </c>
      <c r="N806">
        <v>0</v>
      </c>
      <c r="O806">
        <v>-2.7837649999999999E-2</v>
      </c>
      <c r="P806">
        <v>0.99897780000000003</v>
      </c>
      <c r="Q806">
        <v>4.4812400000000002E-2</v>
      </c>
      <c r="R806">
        <v>5.9296389999999996E-3</v>
      </c>
      <c r="S806">
        <v>3.00177</v>
      </c>
      <c r="T806">
        <v>4.4232250000000001E-2</v>
      </c>
      <c r="U806">
        <v>-0.1087341</v>
      </c>
      <c r="V806">
        <v>-3.3713350000000003E-2</v>
      </c>
      <c r="W806">
        <v>5.4479619999999999E-2</v>
      </c>
      <c r="X806">
        <v>0.99794559999999999</v>
      </c>
      <c r="Y806">
        <v>8.3669709999999904E-3</v>
      </c>
      <c r="Z806">
        <v>-3.4834790000000003E-4</v>
      </c>
      <c r="AA806">
        <v>0.99996499999999999</v>
      </c>
      <c r="AB806">
        <v>32</v>
      </c>
      <c r="AC806">
        <v>130.10239999999999</v>
      </c>
      <c r="AD806">
        <v>1.91995</v>
      </c>
      <c r="AE806">
        <v>-4.7142999999999802</v>
      </c>
      <c r="AF806">
        <v>1.0903217045295599</v>
      </c>
      <c r="AG806">
        <v>1.91995</v>
      </c>
      <c r="AH806">
        <v>130.154908848144</v>
      </c>
      <c r="AI806">
        <v>89.154905519490597</v>
      </c>
      <c r="AJ806">
        <v>89.520038304516703</v>
      </c>
      <c r="AK806">
        <v>130.17363522115599</v>
      </c>
      <c r="AL806">
        <v>86.877001606850698</v>
      </c>
      <c r="AM806">
        <v>91.934873333823404</v>
      </c>
      <c r="AN806">
        <v>1.00000001976146</v>
      </c>
    </row>
    <row r="807" spans="1:40" x14ac:dyDescent="0.25">
      <c r="A807" t="str">
        <f>"20190312160616734"</f>
        <v>20190312160616734</v>
      </c>
      <c r="B807" t="str">
        <f>"1552377976725880"</f>
        <v>1552377976725880</v>
      </c>
      <c r="C807" t="s">
        <v>40</v>
      </c>
      <c r="D807">
        <v>6.4610469999999998</v>
      </c>
      <c r="E807">
        <v>0.51211370000000001</v>
      </c>
      <c r="F807" t="s">
        <v>42</v>
      </c>
      <c r="G807">
        <v>-158.19499999999999</v>
      </c>
      <c r="H807">
        <v>2.9631029999999998</v>
      </c>
      <c r="I807">
        <v>363.03370000000001</v>
      </c>
      <c r="J807">
        <v>-288.07139999999998</v>
      </c>
      <c r="K807">
        <v>1.0592299999999999</v>
      </c>
      <c r="L807">
        <v>367.76769999999999</v>
      </c>
      <c r="M807">
        <v>0.99956179999999994</v>
      </c>
      <c r="N807">
        <v>0</v>
      </c>
      <c r="O807">
        <v>-2.797583E-2</v>
      </c>
      <c r="P807">
        <v>0.99897919999999996</v>
      </c>
      <c r="Q807">
        <v>4.4829540000000001E-2</v>
      </c>
      <c r="R807">
        <v>5.5644090000000002E-3</v>
      </c>
      <c r="S807">
        <v>3.0017399999999999</v>
      </c>
      <c r="T807">
        <v>4.3928380000000003E-2</v>
      </c>
      <c r="U807">
        <v>-0.109375</v>
      </c>
      <c r="V807">
        <v>-3.3486330000000002E-2</v>
      </c>
      <c r="W807">
        <v>5.4500090000000001E-2</v>
      </c>
      <c r="X807">
        <v>0.99795210000000001</v>
      </c>
      <c r="Y807">
        <v>8.442293E-3</v>
      </c>
      <c r="Z807">
        <v>-3.4742650000000003E-4</v>
      </c>
      <c r="AA807">
        <v>0.99996430000000003</v>
      </c>
      <c r="AB807">
        <v>32</v>
      </c>
      <c r="AC807">
        <v>129.87639999999999</v>
      </c>
      <c r="AD807">
        <v>1.9038729999999999</v>
      </c>
      <c r="AE807">
        <v>-4.7339999999999796</v>
      </c>
      <c r="AF807">
        <v>1.09834115795443</v>
      </c>
      <c r="AG807">
        <v>1.9038729999999999</v>
      </c>
      <c r="AH807">
        <v>129.93012178800001</v>
      </c>
      <c r="AI807">
        <v>89.160531957642405</v>
      </c>
      <c r="AJ807">
        <v>89.515671862361103</v>
      </c>
      <c r="AK807">
        <v>129.948711550149</v>
      </c>
      <c r="AL807">
        <v>86.875826936646803</v>
      </c>
      <c r="AM807">
        <v>91.9218415192462</v>
      </c>
      <c r="AN807">
        <v>0.99999999400064299</v>
      </c>
    </row>
    <row r="808" spans="1:40" x14ac:dyDescent="0.25">
      <c r="A808" t="str">
        <f>"20190312160616755"</f>
        <v>20190312160616755</v>
      </c>
      <c r="B808" t="str">
        <f>"1552377976745400"</f>
        <v>1552377976745400</v>
      </c>
      <c r="C808" t="s">
        <v>40</v>
      </c>
      <c r="D808">
        <v>7.6205080000000001</v>
      </c>
      <c r="E808">
        <v>0.50989059999999997</v>
      </c>
      <c r="F808" t="s">
        <v>42</v>
      </c>
      <c r="G808">
        <v>-158.19499999999999</v>
      </c>
      <c r="H808">
        <v>1.8517349999999999</v>
      </c>
      <c r="I808">
        <v>364.22620000000001</v>
      </c>
      <c r="J808">
        <v>-287.76909999999998</v>
      </c>
      <c r="K808">
        <v>1.059231</v>
      </c>
      <c r="L808">
        <v>367.75909999999999</v>
      </c>
      <c r="M808">
        <v>0.99955660000000002</v>
      </c>
      <c r="N808">
        <v>0</v>
      </c>
      <c r="O808">
        <v>-2.8161100000000001E-2</v>
      </c>
      <c r="P808">
        <v>0.99897130000000001</v>
      </c>
      <c r="Q808">
        <v>4.5112279999999998E-2</v>
      </c>
      <c r="R808">
        <v>4.5869209999999999E-3</v>
      </c>
      <c r="S808">
        <v>3.0026860000000002</v>
      </c>
      <c r="T808">
        <v>1.8324380000000001E-2</v>
      </c>
      <c r="U808">
        <v>-8.1878660000000006E-2</v>
      </c>
      <c r="V808">
        <v>-3.2693970000000003E-2</v>
      </c>
      <c r="W808">
        <v>5.4787200000000001E-2</v>
      </c>
      <c r="X808">
        <v>0.99796269999999998</v>
      </c>
      <c r="Y808">
        <v>-9.0387989999999999E-4</v>
      </c>
      <c r="Z808">
        <v>-1.7455610000000001E-4</v>
      </c>
      <c r="AA808">
        <v>0.99999959999999999</v>
      </c>
      <c r="AB808">
        <v>32</v>
      </c>
      <c r="AC808">
        <v>129.57409999999999</v>
      </c>
      <c r="AD808">
        <v>0.79250399999999899</v>
      </c>
      <c r="AE808">
        <v>-3.5328999999999802</v>
      </c>
      <c r="AF808">
        <v>-0.117616781012211</v>
      </c>
      <c r="AG808">
        <v>0.79250399999999899</v>
      </c>
      <c r="AH808">
        <v>129.617355646383</v>
      </c>
      <c r="AI808">
        <v>89.649687731102702</v>
      </c>
      <c r="AJ808">
        <v>90.0519910568201</v>
      </c>
      <c r="AK808">
        <v>129.619831742901</v>
      </c>
      <c r="AL808">
        <v>86.859352280746606</v>
      </c>
      <c r="AM808">
        <v>91.876379520010602</v>
      </c>
      <c r="AN808">
        <v>1.0000000417747399</v>
      </c>
    </row>
    <row r="809" spans="1:40" x14ac:dyDescent="0.25">
      <c r="A809" t="str">
        <f>"20190312160616766"</f>
        <v>20190312160616766</v>
      </c>
      <c r="B809" t="str">
        <f>"1552377976756136"</f>
        <v>1552377976756136</v>
      </c>
      <c r="C809" t="s">
        <v>40</v>
      </c>
      <c r="D809">
        <v>6.4469190000000003</v>
      </c>
      <c r="E809">
        <v>0.51063029999999998</v>
      </c>
      <c r="F809" t="s">
        <v>42</v>
      </c>
      <c r="G809">
        <v>-158.19499999999999</v>
      </c>
      <c r="H809">
        <v>1.490904</v>
      </c>
      <c r="I809">
        <v>364.84899999999999</v>
      </c>
      <c r="J809">
        <v>-287.59769999999997</v>
      </c>
      <c r="K809">
        <v>1.059232</v>
      </c>
      <c r="L809">
        <v>367.75409999999999</v>
      </c>
      <c r="M809">
        <v>0.99955360000000004</v>
      </c>
      <c r="N809">
        <v>0</v>
      </c>
      <c r="O809">
        <v>-2.82659E-2</v>
      </c>
      <c r="P809">
        <v>0.99896379999999996</v>
      </c>
      <c r="Q809">
        <v>4.532837E-2</v>
      </c>
      <c r="R809">
        <v>4.0943589999999997E-3</v>
      </c>
      <c r="S809">
        <v>3.0029599999999999</v>
      </c>
      <c r="T809">
        <v>1.0006309999999999E-2</v>
      </c>
      <c r="U809">
        <v>-6.744385E-2</v>
      </c>
      <c r="V809">
        <v>-3.2306219999999997E-2</v>
      </c>
      <c r="W809">
        <v>5.5005739999999997E-2</v>
      </c>
      <c r="X809">
        <v>0.99796320000000005</v>
      </c>
      <c r="Y809">
        <v>-5.8154219999999998E-3</v>
      </c>
      <c r="Z809">
        <v>-1.038492E-4</v>
      </c>
      <c r="AA809">
        <v>0.99998310000000001</v>
      </c>
      <c r="AB809">
        <v>32</v>
      </c>
      <c r="AC809">
        <v>129.40269999999899</v>
      </c>
      <c r="AD809">
        <v>0.431672</v>
      </c>
      <c r="AE809">
        <v>-2.9051</v>
      </c>
      <c r="AF809">
        <v>-0.75390752826445595</v>
      </c>
      <c r="AG809">
        <v>0.431672</v>
      </c>
      <c r="AH809">
        <v>129.431670473363</v>
      </c>
      <c r="AI809">
        <v>89.808914832130398</v>
      </c>
      <c r="AJ809">
        <v>90.333729997097905</v>
      </c>
      <c r="AK809">
        <v>129.434585945187</v>
      </c>
      <c r="AL809">
        <v>86.846811617303999</v>
      </c>
      <c r="AM809">
        <v>91.854140384764804</v>
      </c>
      <c r="AN809">
        <v>0.99999993591893599</v>
      </c>
    </row>
    <row r="810" spans="1:40" x14ac:dyDescent="0.25">
      <c r="A810" t="str">
        <f>"20190312160616779"</f>
        <v>20190312160616779</v>
      </c>
      <c r="B810" t="str">
        <f>"1552377976775656"</f>
        <v>1552377976775656</v>
      </c>
      <c r="C810" t="s">
        <v>40</v>
      </c>
      <c r="D810">
        <v>6.9325999999999999</v>
      </c>
      <c r="E810">
        <v>0.51211949999999995</v>
      </c>
      <c r="F810" t="s">
        <v>42</v>
      </c>
      <c r="G810">
        <v>-158.19499999999999</v>
      </c>
      <c r="H810">
        <v>0.73062919999999998</v>
      </c>
      <c r="I810">
        <v>364.53440000000001</v>
      </c>
      <c r="J810">
        <v>-287.43090000000001</v>
      </c>
      <c r="K810">
        <v>1.0592379999999999</v>
      </c>
      <c r="L810">
        <v>367.74930000000001</v>
      </c>
      <c r="M810">
        <v>0.99955079999999996</v>
      </c>
      <c r="N810">
        <v>0</v>
      </c>
      <c r="O810">
        <v>-2.8367960000000001E-2</v>
      </c>
      <c r="P810">
        <v>0.99896130000000005</v>
      </c>
      <c r="Q810">
        <v>4.5430119999999997E-2</v>
      </c>
      <c r="R810">
        <v>3.5709169999999998E-3</v>
      </c>
      <c r="S810">
        <v>3.003784</v>
      </c>
      <c r="T810">
        <v>-7.6256989999999997E-3</v>
      </c>
      <c r="U810">
        <v>-7.473755E-2</v>
      </c>
      <c r="V810">
        <v>-3.1884900000000001E-2</v>
      </c>
      <c r="W810">
        <v>5.5109520000000002E-2</v>
      </c>
      <c r="X810">
        <v>0.9979711</v>
      </c>
      <c r="Y810">
        <v>-3.4969789999999999E-3</v>
      </c>
      <c r="Z810" s="1">
        <v>7.6434359999999897E-5</v>
      </c>
      <c r="AA810">
        <v>0.99999389999999999</v>
      </c>
      <c r="AB810">
        <v>32</v>
      </c>
      <c r="AC810">
        <v>129.23589999999999</v>
      </c>
      <c r="AD810">
        <v>-0.32860879999999898</v>
      </c>
      <c r="AE810">
        <v>-3.2149000000000001</v>
      </c>
      <c r="AF810">
        <v>-0.45272120528166598</v>
      </c>
      <c r="AG810">
        <v>-0.32860879999999898</v>
      </c>
      <c r="AH810">
        <v>129.27425307823799</v>
      </c>
      <c r="AI810">
        <v>90.145641849773895</v>
      </c>
      <c r="AJ810">
        <v>90.200650227727607</v>
      </c>
      <c r="AK810">
        <v>129.27546344596701</v>
      </c>
      <c r="AL810">
        <v>86.840856666148994</v>
      </c>
      <c r="AM810">
        <v>91.829961776318498</v>
      </c>
      <c r="AN810">
        <v>1.00000001123892</v>
      </c>
    </row>
    <row r="811" spans="1:40" x14ac:dyDescent="0.25">
      <c r="A811" t="str">
        <f>"20190312160616812"</f>
        <v>20190312160616812</v>
      </c>
      <c r="B811" t="str">
        <f>"1552377976805912"</f>
        <v>1552377976805912</v>
      </c>
      <c r="C811" t="s">
        <v>40</v>
      </c>
      <c r="D811">
        <v>6.579853</v>
      </c>
      <c r="E811">
        <v>0.51147759999999998</v>
      </c>
      <c r="F811" t="s">
        <v>48</v>
      </c>
      <c r="G811">
        <v>-202.9288</v>
      </c>
      <c r="H811" s="1">
        <v>-2.880115E-6</v>
      </c>
      <c r="I811">
        <v>365.25299999999999</v>
      </c>
      <c r="J811">
        <v>-286.93509999999998</v>
      </c>
      <c r="K811">
        <v>1.0592360000000001</v>
      </c>
      <c r="L811">
        <v>367.73489999999998</v>
      </c>
      <c r="M811">
        <v>0.99954189999999998</v>
      </c>
      <c r="N811">
        <v>0</v>
      </c>
      <c r="O811">
        <v>-2.8671140000000001E-2</v>
      </c>
      <c r="P811">
        <v>0.9989498</v>
      </c>
      <c r="Q811">
        <v>4.5727480000000001E-2</v>
      </c>
      <c r="R811">
        <v>2.8471410000000001E-3</v>
      </c>
      <c r="S811">
        <v>3.0051570000000001</v>
      </c>
      <c r="T811">
        <v>-3.7669899999999999E-2</v>
      </c>
      <c r="U811">
        <v>-8.8775629999999994E-2</v>
      </c>
      <c r="V811">
        <v>-3.146322E-2</v>
      </c>
      <c r="W811">
        <v>5.5414709999999999E-2</v>
      </c>
      <c r="X811">
        <v>0.99796759999999995</v>
      </c>
      <c r="Y811">
        <v>8.5826920000000001E-4</v>
      </c>
      <c r="Z811">
        <v>3.5386679999999999E-4</v>
      </c>
      <c r="AA811">
        <v>0.99999959999999999</v>
      </c>
      <c r="AB811">
        <v>32</v>
      </c>
      <c r="AC811">
        <v>84.006299999999896</v>
      </c>
      <c r="AD811">
        <v>-1.0592388801149999</v>
      </c>
      <c r="AE811">
        <v>-2.4818999999999298</v>
      </c>
      <c r="AF811">
        <v>7.2198577096010297E-2</v>
      </c>
      <c r="AG811">
        <v>-1.0592388801149999</v>
      </c>
      <c r="AH811">
        <v>84.029575836263504</v>
      </c>
      <c r="AI811">
        <v>90.722206200514705</v>
      </c>
      <c r="AJ811">
        <v>89.950771229113698</v>
      </c>
      <c r="AK811">
        <v>84.036282728724004</v>
      </c>
      <c r="AL811">
        <v>86.823343857230498</v>
      </c>
      <c r="AM811">
        <v>91.805782864909503</v>
      </c>
      <c r="AN811">
        <v>1.00000002747345</v>
      </c>
    </row>
    <row r="812" spans="1:40" x14ac:dyDescent="0.25">
      <c r="A812" t="str">
        <f>"20190312160616823"</f>
        <v>20190312160616823</v>
      </c>
      <c r="B812" t="str">
        <f>"1552377976815673"</f>
        <v>1552377976815673</v>
      </c>
      <c r="C812" t="s">
        <v>40</v>
      </c>
      <c r="D812">
        <v>6.7818050000000003</v>
      </c>
      <c r="E812">
        <v>0.51230279999999995</v>
      </c>
      <c r="F812" t="s">
        <v>48</v>
      </c>
      <c r="G812">
        <v>-198.61619999999999</v>
      </c>
      <c r="H812" s="1">
        <v>-9.0507350000000003E-6</v>
      </c>
      <c r="I812">
        <v>365.21269999999998</v>
      </c>
      <c r="J812">
        <v>-286.77949999999998</v>
      </c>
      <c r="K812">
        <v>1.0592349999999999</v>
      </c>
      <c r="L812">
        <v>367.7303</v>
      </c>
      <c r="M812">
        <v>0.99953930000000002</v>
      </c>
      <c r="N812">
        <v>0</v>
      </c>
      <c r="O812">
        <v>-2.876629E-2</v>
      </c>
      <c r="P812">
        <v>0.998946</v>
      </c>
      <c r="Q812">
        <v>4.5805600000000002E-2</v>
      </c>
      <c r="R812">
        <v>3.0204030000000001E-3</v>
      </c>
      <c r="S812">
        <v>3.0050659999999998</v>
      </c>
      <c r="T812">
        <v>-3.604102E-2</v>
      </c>
      <c r="U812">
        <v>-8.5815429999999998E-2</v>
      </c>
      <c r="V812">
        <v>-3.1731460000000003E-2</v>
      </c>
      <c r="W812">
        <v>5.5495170000000003E-2</v>
      </c>
      <c r="X812">
        <v>0.99795460000000002</v>
      </c>
      <c r="Y812">
        <v>-2.2035969999999999E-4</v>
      </c>
      <c r="Z812">
        <v>3.4618970000000002E-4</v>
      </c>
      <c r="AA812">
        <v>0.99999990000000005</v>
      </c>
      <c r="AB812">
        <v>32</v>
      </c>
      <c r="AC812">
        <v>88.163299999999893</v>
      </c>
      <c r="AD812">
        <v>-1.0592440507349901</v>
      </c>
      <c r="AE812">
        <v>-2.5176000000000101</v>
      </c>
      <c r="AF812">
        <v>-1.9688996157764201E-2</v>
      </c>
      <c r="AG812">
        <v>-1.0592440507349901</v>
      </c>
      <c r="AH812">
        <v>88.186517554935307</v>
      </c>
      <c r="AI812">
        <v>90.688169749000593</v>
      </c>
      <c r="AJ812">
        <v>90.012792163646097</v>
      </c>
      <c r="AK812">
        <v>88.192881028360304</v>
      </c>
      <c r="AL812">
        <v>86.8187266196785</v>
      </c>
      <c r="AM812">
        <v>91.821191469269706</v>
      </c>
      <c r="AN812">
        <v>0.99999999155411001</v>
      </c>
    </row>
    <row r="813" spans="1:40" x14ac:dyDescent="0.25">
      <c r="A813" t="str">
        <f>"20190312160616834"</f>
        <v>20190312160616834</v>
      </c>
      <c r="B813" t="str">
        <f>"1552377976825432"</f>
        <v>1552377976825432</v>
      </c>
      <c r="C813" t="s">
        <v>40</v>
      </c>
      <c r="D813">
        <v>6.4693449999999997</v>
      </c>
      <c r="E813">
        <v>0.51263619999999999</v>
      </c>
      <c r="F813" t="s">
        <v>47</v>
      </c>
      <c r="G813">
        <v>-213.87190000000001</v>
      </c>
      <c r="H813" s="1">
        <v>-3.3417729999999998E-6</v>
      </c>
      <c r="I813">
        <v>365.49829999999997</v>
      </c>
      <c r="J813">
        <v>-286.62549999999999</v>
      </c>
      <c r="K813">
        <v>1.0592330000000001</v>
      </c>
      <c r="L813">
        <v>367.72579999999999</v>
      </c>
      <c r="M813">
        <v>0.99953650000000005</v>
      </c>
      <c r="N813">
        <v>0</v>
      </c>
      <c r="O813">
        <v>-2.886012E-2</v>
      </c>
      <c r="P813">
        <v>0.99893430000000005</v>
      </c>
      <c r="Q813">
        <v>4.6046450000000003E-2</v>
      </c>
      <c r="R813">
        <v>3.1161600000000002E-3</v>
      </c>
      <c r="S813">
        <v>3.0054319999999999</v>
      </c>
      <c r="T813">
        <v>-4.3664340000000003E-2</v>
      </c>
      <c r="U813">
        <v>-9.2010499999999995E-2</v>
      </c>
      <c r="V813">
        <v>-3.1920410000000003E-2</v>
      </c>
      <c r="W813">
        <v>5.5738459999999997E-2</v>
      </c>
      <c r="X813">
        <v>0.99793500000000002</v>
      </c>
      <c r="Y813">
        <v>1.7425489999999999E-3</v>
      </c>
      <c r="Z813">
        <v>4.0644820000000002E-4</v>
      </c>
      <c r="AA813">
        <v>0.99999839999999995</v>
      </c>
      <c r="AB813">
        <v>32</v>
      </c>
      <c r="AC813">
        <v>72.753599999999906</v>
      </c>
      <c r="AD813">
        <v>-1.059236341773</v>
      </c>
      <c r="AE813">
        <v>-2.22750000000002</v>
      </c>
      <c r="AF813">
        <v>0.12676903295733299</v>
      </c>
      <c r="AG813">
        <v>-1.059236341773</v>
      </c>
      <c r="AH813">
        <v>72.772170148901196</v>
      </c>
      <c r="AI813">
        <v>90.833909367760299</v>
      </c>
      <c r="AJ813">
        <v>89.900190921892801</v>
      </c>
      <c r="AK813">
        <v>72.7799890093154</v>
      </c>
      <c r="AL813">
        <v>86.804765471562902</v>
      </c>
      <c r="AM813">
        <v>91.832064631342902</v>
      </c>
      <c r="AN813">
        <v>0.99999997636136895</v>
      </c>
    </row>
    <row r="814" spans="1:40" x14ac:dyDescent="0.25">
      <c r="A814" t="str">
        <f>"20190312160616846"</f>
        <v>20190312160616846</v>
      </c>
      <c r="B814" t="str">
        <f>"1552377976836169"</f>
        <v>1552377976836169</v>
      </c>
      <c r="C814" t="s">
        <v>40</v>
      </c>
      <c r="D814">
        <v>6.6082390000000002</v>
      </c>
      <c r="E814">
        <v>0.51202479999999995</v>
      </c>
      <c r="F814" t="s">
        <v>47</v>
      </c>
      <c r="G814">
        <v>-223.22059999999999</v>
      </c>
      <c r="H814" s="1">
        <v>-3.58046E-6</v>
      </c>
      <c r="I814">
        <v>365.7276</v>
      </c>
      <c r="J814">
        <v>-286.44720000000001</v>
      </c>
      <c r="K814">
        <v>1.0592330000000001</v>
      </c>
      <c r="L814">
        <v>367.72050000000002</v>
      </c>
      <c r="M814">
        <v>0.99953329999999996</v>
      </c>
      <c r="N814">
        <v>0</v>
      </c>
      <c r="O814">
        <v>-2.8969089999999999E-2</v>
      </c>
      <c r="P814">
        <v>0.99892049999999999</v>
      </c>
      <c r="Q814">
        <v>4.6313140000000003E-2</v>
      </c>
      <c r="R814">
        <v>3.6428319999999999E-3</v>
      </c>
      <c r="S814">
        <v>3.0057680000000002</v>
      </c>
      <c r="T814">
        <v>-5.0214050000000003E-2</v>
      </c>
      <c r="U814">
        <v>-9.4726560000000001E-2</v>
      </c>
      <c r="V814">
        <v>-3.2555189999999998E-2</v>
      </c>
      <c r="W814">
        <v>5.6007929999999997E-2</v>
      </c>
      <c r="X814">
        <v>0.99789939999999999</v>
      </c>
      <c r="Y814">
        <v>2.5336759999999999E-3</v>
      </c>
      <c r="Z814">
        <v>4.6256070000000001E-4</v>
      </c>
      <c r="AA814">
        <v>0.99999669999999896</v>
      </c>
      <c r="AB814">
        <v>32</v>
      </c>
      <c r="AC814">
        <v>63.226599999999998</v>
      </c>
      <c r="AD814">
        <v>-1.0592365804599999</v>
      </c>
      <c r="AE814">
        <v>-1.9929000000000101</v>
      </c>
      <c r="AF814">
        <v>0.16031543273937299</v>
      </c>
      <c r="AG814">
        <v>-1.0592365804599999</v>
      </c>
      <c r="AH814">
        <v>63.240065433821101</v>
      </c>
      <c r="AI814">
        <v>90.9595802243973</v>
      </c>
      <c r="AJ814">
        <v>89.854753818681601</v>
      </c>
      <c r="AK814">
        <v>63.249138802400601</v>
      </c>
      <c r="AL814">
        <v>86.789301802642001</v>
      </c>
      <c r="AM814">
        <v>91.868538721157293</v>
      </c>
      <c r="AN814">
        <v>0.99999997056959</v>
      </c>
    </row>
    <row r="815" spans="1:40" x14ac:dyDescent="0.25">
      <c r="A815" t="str">
        <f>"20190312160616879"</f>
        <v>20190312160616879</v>
      </c>
      <c r="B815" t="str">
        <f>"1552377976876184"</f>
        <v>1552377976876184</v>
      </c>
      <c r="C815" t="s">
        <v>40</v>
      </c>
      <c r="D815">
        <v>6.4199989999999998</v>
      </c>
      <c r="E815">
        <v>0.51082720000000004</v>
      </c>
      <c r="F815" t="s">
        <v>47</v>
      </c>
      <c r="G815">
        <v>-210.83510000000001</v>
      </c>
      <c r="H815" s="1">
        <v>-4.642698E-6</v>
      </c>
      <c r="I815">
        <v>365.50869999999998</v>
      </c>
      <c r="J815">
        <v>-285.97699999999998</v>
      </c>
      <c r="K815">
        <v>1.0592440000000001</v>
      </c>
      <c r="L815">
        <v>367.70659999999998</v>
      </c>
      <c r="M815">
        <v>0.999525</v>
      </c>
      <c r="N815">
        <v>0</v>
      </c>
      <c r="O815">
        <v>-2.925606E-2</v>
      </c>
      <c r="P815">
        <v>0.99896510000000005</v>
      </c>
      <c r="Q815">
        <v>4.5237680000000002E-2</v>
      </c>
      <c r="R815">
        <v>4.7531439999999999E-3</v>
      </c>
      <c r="S815">
        <v>3.005585</v>
      </c>
      <c r="T815">
        <v>-4.2104719999999998E-2</v>
      </c>
      <c r="U815">
        <v>-8.7921139999999995E-2</v>
      </c>
      <c r="V815">
        <v>-3.3953280000000002E-2</v>
      </c>
      <c r="W815">
        <v>5.4940509999999998E-2</v>
      </c>
      <c r="X815">
        <v>0.99791220000000003</v>
      </c>
      <c r="Y815" s="1">
        <v>-1.4489379999999999E-5</v>
      </c>
      <c r="Z815">
        <v>4.0976849999999998E-4</v>
      </c>
      <c r="AA815">
        <v>0.99999990000000005</v>
      </c>
      <c r="AB815">
        <v>32</v>
      </c>
      <c r="AC815">
        <v>75.141900000000007</v>
      </c>
      <c r="AD815">
        <v>-1.0592486426979999</v>
      </c>
      <c r="AE815">
        <v>-2.1979000000000002</v>
      </c>
      <c r="AF815">
        <v>-1.4997100483071699E-3</v>
      </c>
      <c r="AG815">
        <v>-1.0592486426979999</v>
      </c>
      <c r="AH815">
        <v>75.159114886543605</v>
      </c>
      <c r="AI815">
        <v>90.807439776764895</v>
      </c>
      <c r="AJ815">
        <v>90.001143268602604</v>
      </c>
      <c r="AK815">
        <v>75.166578746573606</v>
      </c>
      <c r="AL815">
        <v>86.850554952394603</v>
      </c>
      <c r="AM815">
        <v>91.948697965006005</v>
      </c>
      <c r="AN815">
        <v>1.00000002188532</v>
      </c>
    </row>
    <row r="816" spans="1:40" x14ac:dyDescent="0.25">
      <c r="A816" t="str">
        <f>"20190312160616890"</f>
        <v>20190312160616890</v>
      </c>
      <c r="B816" t="str">
        <f>"1552377976885945"</f>
        <v>1552377976885945</v>
      </c>
      <c r="C816" t="s">
        <v>40</v>
      </c>
      <c r="D816">
        <v>6.4201319999999997</v>
      </c>
      <c r="E816">
        <v>0.51113770000000003</v>
      </c>
      <c r="F816" t="s">
        <v>48</v>
      </c>
      <c r="G816">
        <v>-180</v>
      </c>
      <c r="H816">
        <v>3.4783599999999998E-2</v>
      </c>
      <c r="I816">
        <v>365.07389999999998</v>
      </c>
      <c r="J816">
        <v>-285.80439999999999</v>
      </c>
      <c r="K816">
        <v>1.0592410000000001</v>
      </c>
      <c r="L816">
        <v>367.70139999999998</v>
      </c>
      <c r="M816">
        <v>0.99952189999999996</v>
      </c>
      <c r="N816">
        <v>0</v>
      </c>
      <c r="O816">
        <v>-2.9361459999999999E-2</v>
      </c>
      <c r="P816">
        <v>0.99897009999999997</v>
      </c>
      <c r="Q816">
        <v>4.5099460000000001E-2</v>
      </c>
      <c r="R816">
        <v>5.0140899999999997E-3</v>
      </c>
      <c r="S816">
        <v>3.004791</v>
      </c>
      <c r="T816">
        <v>-2.904677E-2</v>
      </c>
      <c r="U816">
        <v>-7.4646000000000004E-2</v>
      </c>
      <c r="V816">
        <v>-3.4319929999999998E-2</v>
      </c>
      <c r="W816">
        <v>5.4804819999999997E-2</v>
      </c>
      <c r="X816">
        <v>0.99790710000000005</v>
      </c>
      <c r="Y816">
        <v>-4.5282430000000004E-3</v>
      </c>
      <c r="Z816">
        <v>3.056213E-4</v>
      </c>
      <c r="AA816">
        <v>0.99998969999999998</v>
      </c>
      <c r="AB816">
        <v>32</v>
      </c>
      <c r="AC816">
        <v>105.8044</v>
      </c>
      <c r="AD816">
        <v>-1.0244574</v>
      </c>
      <c r="AE816">
        <v>-2.6274999999999902</v>
      </c>
      <c r="AF816">
        <v>-0.48030541159152601</v>
      </c>
      <c r="AG816">
        <v>-1.0244574</v>
      </c>
      <c r="AH816">
        <v>105.826014719234</v>
      </c>
      <c r="AI816">
        <v>90.554633447235304</v>
      </c>
      <c r="AJ816">
        <v>90.260042713289707</v>
      </c>
      <c r="AK816">
        <v>105.832063183179</v>
      </c>
      <c r="AL816">
        <v>86.858341088341803</v>
      </c>
      <c r="AM816">
        <v>91.969734866899699</v>
      </c>
      <c r="AN816">
        <v>1.0000000030604199</v>
      </c>
    </row>
    <row r="817" spans="1:40" x14ac:dyDescent="0.25">
      <c r="A817" t="str">
        <f>"20190312160616905"</f>
        <v>20190312160616905</v>
      </c>
      <c r="B817" t="str">
        <f>"1552377976895705"</f>
        <v>1552377976895705</v>
      </c>
      <c r="C817" t="s">
        <v>40</v>
      </c>
      <c r="D817">
        <v>6.5721489999999996</v>
      </c>
      <c r="E817">
        <v>0.51167600000000002</v>
      </c>
      <c r="F817" t="s">
        <v>48</v>
      </c>
      <c r="G817">
        <v>-205.5</v>
      </c>
      <c r="H817" s="1">
        <v>-4.0653459999999999E-6</v>
      </c>
      <c r="I817">
        <v>365.65870000000001</v>
      </c>
      <c r="J817">
        <v>-285.61270000000002</v>
      </c>
      <c r="K817">
        <v>1.0592330000000001</v>
      </c>
      <c r="L817">
        <v>367.69569999999999</v>
      </c>
      <c r="M817">
        <v>0.99951829999999997</v>
      </c>
      <c r="N817">
        <v>0</v>
      </c>
      <c r="O817">
        <v>-2.9478420000000002E-2</v>
      </c>
      <c r="P817">
        <v>0.99896099999999999</v>
      </c>
      <c r="Q817">
        <v>4.5294399999999999E-2</v>
      </c>
      <c r="R817">
        <v>5.0741040000000003E-3</v>
      </c>
      <c r="S817">
        <v>3.00528</v>
      </c>
      <c r="T817">
        <v>-3.964078E-2</v>
      </c>
      <c r="U817">
        <v>-7.6446529999999999E-2</v>
      </c>
      <c r="V817">
        <v>-3.4496560000000002E-2</v>
      </c>
      <c r="W817">
        <v>5.5002879999999997E-2</v>
      </c>
      <c r="X817">
        <v>0.9978901</v>
      </c>
      <c r="Y817">
        <v>-4.0492210000000004E-3</v>
      </c>
      <c r="Z817">
        <v>4.1539129999999997E-4</v>
      </c>
      <c r="AA817">
        <v>0.99999170000000004</v>
      </c>
      <c r="AB817">
        <v>32</v>
      </c>
      <c r="AC817">
        <v>80.112700000000004</v>
      </c>
      <c r="AD817">
        <v>-1.0592370653459999</v>
      </c>
      <c r="AE817">
        <v>-2.0369999999999702</v>
      </c>
      <c r="AF817">
        <v>-0.32553550272217002</v>
      </c>
      <c r="AG817">
        <v>-1.0592370653459999</v>
      </c>
      <c r="AH817">
        <v>80.123933493764795</v>
      </c>
      <c r="AI817">
        <v>90.757398878380201</v>
      </c>
      <c r="AJ817">
        <v>90.232785722641594</v>
      </c>
      <c r="AK817">
        <v>80.131595984588799</v>
      </c>
      <c r="AL817">
        <v>86.846975904181306</v>
      </c>
      <c r="AM817">
        <v>91.979897904558797</v>
      </c>
      <c r="AN817">
        <v>0.99999999056906896</v>
      </c>
    </row>
    <row r="818" spans="1:40" x14ac:dyDescent="0.25">
      <c r="A818" t="str">
        <f>"20190312160616924"</f>
        <v>20190312160616924</v>
      </c>
      <c r="B818" t="str">
        <f>"1552377976916201"</f>
        <v>1552377976916201</v>
      </c>
      <c r="C818" t="s">
        <v>40</v>
      </c>
      <c r="D818">
        <v>8.4855579999999993</v>
      </c>
      <c r="E818">
        <v>0.51138459999999997</v>
      </c>
      <c r="F818" t="s">
        <v>47</v>
      </c>
      <c r="G818">
        <v>-219.2149</v>
      </c>
      <c r="H818" s="1">
        <v>-1.238574E-6</v>
      </c>
      <c r="I818">
        <v>365.91320000000002</v>
      </c>
      <c r="J818">
        <v>-285.31939999999997</v>
      </c>
      <c r="K818">
        <v>1.0592299999999999</v>
      </c>
      <c r="L818">
        <v>367.68680000000001</v>
      </c>
      <c r="M818">
        <v>0.99951290000000004</v>
      </c>
      <c r="N818">
        <v>0</v>
      </c>
      <c r="O818">
        <v>-2.9657369999999999E-2</v>
      </c>
      <c r="P818">
        <v>0.9989538</v>
      </c>
      <c r="Q818">
        <v>4.5519209999999997E-2</v>
      </c>
      <c r="R818">
        <v>4.4147850000000001E-3</v>
      </c>
      <c r="S818">
        <v>3.0057070000000001</v>
      </c>
      <c r="T818">
        <v>-4.7949550000000001E-2</v>
      </c>
      <c r="U818">
        <v>-8.0688480000000007E-2</v>
      </c>
      <c r="V818">
        <v>-3.4015539999999997E-2</v>
      </c>
      <c r="W818">
        <v>5.52319E-2</v>
      </c>
      <c r="X818">
        <v>0.99789399999999995</v>
      </c>
      <c r="Y818">
        <v>-2.820342E-3</v>
      </c>
      <c r="Z818">
        <v>4.9541790000000004E-4</v>
      </c>
      <c r="AA818">
        <v>0.99999590000000005</v>
      </c>
      <c r="AB818">
        <v>32</v>
      </c>
      <c r="AC818">
        <v>66.104499999999902</v>
      </c>
      <c r="AD818">
        <v>-1.0592312385739999</v>
      </c>
      <c r="AE818">
        <v>-1.7735999999999801</v>
      </c>
      <c r="AF818">
        <v>-0.187710237485642</v>
      </c>
      <c r="AG818">
        <v>-1.0592312385739999</v>
      </c>
      <c r="AH818">
        <v>66.111060071233396</v>
      </c>
      <c r="AI818">
        <v>90.917910597424395</v>
      </c>
      <c r="AJ818">
        <v>90.162680426945201</v>
      </c>
      <c r="AK818">
        <v>66.119811476533002</v>
      </c>
      <c r="AL818">
        <v>86.833834164430797</v>
      </c>
      <c r="AM818">
        <v>91.952304101159598</v>
      </c>
      <c r="AN818">
        <v>1.00000002748755</v>
      </c>
    </row>
    <row r="819" spans="1:40" x14ac:dyDescent="0.25">
      <c r="A819" t="str">
        <f>"20190312160616945"</f>
        <v>20190312160616945</v>
      </c>
      <c r="B819" t="str">
        <f>"1552377976935720"</f>
        <v>1552377976935720</v>
      </c>
      <c r="C819" t="s">
        <v>40</v>
      </c>
      <c r="D819">
        <v>6.3835490000000004</v>
      </c>
      <c r="E819">
        <v>0.51076639999999995</v>
      </c>
      <c r="F819" t="s">
        <v>47</v>
      </c>
      <c r="G819">
        <v>-210.5068</v>
      </c>
      <c r="H819" s="1">
        <v>-4.7510230000000003E-6</v>
      </c>
      <c r="I819">
        <v>365.69189999999998</v>
      </c>
      <c r="J819">
        <v>-285.01819999999998</v>
      </c>
      <c r="K819">
        <v>1.0592360000000001</v>
      </c>
      <c r="L819">
        <v>367.67770000000002</v>
      </c>
      <c r="M819">
        <v>0.99950749999999999</v>
      </c>
      <c r="N819">
        <v>0</v>
      </c>
      <c r="O819">
        <v>-2.9841570000000001E-2</v>
      </c>
      <c r="P819">
        <v>0.99895469999999997</v>
      </c>
      <c r="Q819">
        <v>4.5604079999999998E-2</v>
      </c>
      <c r="R819">
        <v>3.190404E-3</v>
      </c>
      <c r="S819">
        <v>3.0054319999999999</v>
      </c>
      <c r="T819">
        <v>-4.2552350000000003E-2</v>
      </c>
      <c r="U819">
        <v>-8.0139160000000001E-2</v>
      </c>
      <c r="V819">
        <v>-3.2975659999999997E-2</v>
      </c>
      <c r="W819">
        <v>5.5321870000000002E-2</v>
      </c>
      <c r="X819">
        <v>0.99792389999999997</v>
      </c>
      <c r="Y819">
        <v>-3.1856440000000001E-3</v>
      </c>
      <c r="Z819">
        <v>4.4489280000000001E-4</v>
      </c>
      <c r="AA819">
        <v>0.99999479999999996</v>
      </c>
      <c r="AB819">
        <v>32</v>
      </c>
      <c r="AC819">
        <v>74.511399999999895</v>
      </c>
      <c r="AD819">
        <v>-1.059240751023</v>
      </c>
      <c r="AE819">
        <v>-1.98580000000004</v>
      </c>
      <c r="AF819">
        <v>-0.23867821408607701</v>
      </c>
      <c r="AG819">
        <v>-1.059240751023</v>
      </c>
      <c r="AH819">
        <v>74.522425228484806</v>
      </c>
      <c r="AI819">
        <v>90.814327050697301</v>
      </c>
      <c r="AJ819">
        <v>90.183504596477505</v>
      </c>
      <c r="AK819">
        <v>74.530334899245005</v>
      </c>
      <c r="AL819">
        <v>86.828671304102102</v>
      </c>
      <c r="AM819">
        <v>91.892608157649505</v>
      </c>
      <c r="AN819">
        <v>1.0000000068219701</v>
      </c>
    </row>
    <row r="820" spans="1:40" x14ac:dyDescent="0.25">
      <c r="A820" t="str">
        <f>"20190312160616958"</f>
        <v>20190312160616958</v>
      </c>
      <c r="B820" t="str">
        <f>"1552377976945481"</f>
        <v>1552377976945481</v>
      </c>
      <c r="C820" t="s">
        <v>40</v>
      </c>
      <c r="D820">
        <v>6.5619399999999901</v>
      </c>
      <c r="E820">
        <v>0.51054250000000001</v>
      </c>
      <c r="F820" t="s">
        <v>48</v>
      </c>
      <c r="G820">
        <v>-192.1396</v>
      </c>
      <c r="H820" s="1">
        <v>-6.7191219999999999E-6</v>
      </c>
      <c r="I820">
        <v>365.245</v>
      </c>
      <c r="J820">
        <v>-284.85390000000001</v>
      </c>
      <c r="K820">
        <v>1.0592360000000001</v>
      </c>
      <c r="L820">
        <v>367.67270000000002</v>
      </c>
      <c r="M820">
        <v>0.99950439999999996</v>
      </c>
      <c r="N820">
        <v>0</v>
      </c>
      <c r="O820">
        <v>-2.9941840000000001E-2</v>
      </c>
      <c r="P820">
        <v>0.99895080000000003</v>
      </c>
      <c r="Q820">
        <v>4.5739250000000002E-2</v>
      </c>
      <c r="R820">
        <v>2.3341109999999998E-3</v>
      </c>
      <c r="S820">
        <v>3.0049130000000002</v>
      </c>
      <c r="T820">
        <v>-3.4269809999999998E-2</v>
      </c>
      <c r="U820">
        <v>-7.8704830000000003E-2</v>
      </c>
      <c r="V820">
        <v>-3.221976E-2</v>
      </c>
      <c r="W820">
        <v>5.545899E-2</v>
      </c>
      <c r="X820">
        <v>0.99794099999999997</v>
      </c>
      <c r="Y820">
        <v>-3.7594680000000002E-3</v>
      </c>
      <c r="Z820">
        <v>3.627824E-4</v>
      </c>
      <c r="AA820">
        <v>0.99999280000000002</v>
      </c>
      <c r="AB820">
        <v>32</v>
      </c>
      <c r="AC820">
        <v>92.714299999999994</v>
      </c>
      <c r="AD820">
        <v>-1.059242719122</v>
      </c>
      <c r="AE820">
        <v>-2.42770000000001</v>
      </c>
      <c r="AF820">
        <v>-0.34951082193577199</v>
      </c>
      <c r="AG820">
        <v>-1.059242719122</v>
      </c>
      <c r="AH820">
        <v>92.733324337376501</v>
      </c>
      <c r="AI820">
        <v>90.654425660463005</v>
      </c>
      <c r="AJ820">
        <v>90.215946104730094</v>
      </c>
      <c r="AK820">
        <v>92.740032324847306</v>
      </c>
      <c r="AL820">
        <v>86.820802887966906</v>
      </c>
      <c r="AM820">
        <v>91.849222771790096</v>
      </c>
      <c r="AN820">
        <v>1.0000000259936299</v>
      </c>
    </row>
    <row r="821" spans="1:40" x14ac:dyDescent="0.25">
      <c r="A821" t="str">
        <f>"20190312160616969"</f>
        <v>20190312160616969</v>
      </c>
      <c r="B821" t="str">
        <f>"1552377976965976"</f>
        <v>1552377976965976</v>
      </c>
      <c r="C821" t="s">
        <v>40</v>
      </c>
      <c r="D821">
        <v>6.629397</v>
      </c>
      <c r="E821">
        <v>0.51061429999999997</v>
      </c>
      <c r="F821" t="s">
        <v>48</v>
      </c>
      <c r="G821">
        <v>-180</v>
      </c>
      <c r="H821">
        <v>1.766235E-2</v>
      </c>
      <c r="I821">
        <v>364.89420000000001</v>
      </c>
      <c r="J821">
        <v>-284.66210000000001</v>
      </c>
      <c r="K821">
        <v>1.059234</v>
      </c>
      <c r="L821">
        <v>367.66680000000002</v>
      </c>
      <c r="M821">
        <v>0.99950090000000003</v>
      </c>
      <c r="N821">
        <v>0</v>
      </c>
      <c r="O821">
        <v>-3.00588E-2</v>
      </c>
      <c r="P821">
        <v>0.99895029999999996</v>
      </c>
      <c r="Q821">
        <v>4.5775370000000003E-2</v>
      </c>
      <c r="R821">
        <v>1.7987439999999999E-3</v>
      </c>
      <c r="S821">
        <v>3.0047000000000001</v>
      </c>
      <c r="T821">
        <v>-2.984738E-2</v>
      </c>
      <c r="U821">
        <v>-7.9620360000000001E-2</v>
      </c>
      <c r="V821">
        <v>-3.1801400000000001E-2</v>
      </c>
      <c r="W821">
        <v>5.5498510000000001E-2</v>
      </c>
      <c r="X821">
        <v>0.99795219999999996</v>
      </c>
      <c r="Y821">
        <v>-3.5706760000000001E-3</v>
      </c>
      <c r="Z821">
        <v>3.1621319999999999E-4</v>
      </c>
      <c r="AA821">
        <v>0.99999360000000004</v>
      </c>
      <c r="AB821">
        <v>33</v>
      </c>
      <c r="AC821">
        <v>104.6621</v>
      </c>
      <c r="AD821">
        <v>-1.0415716500000001</v>
      </c>
      <c r="AE821">
        <v>-2.7726000000000099</v>
      </c>
      <c r="AF821">
        <v>-0.374781540265479</v>
      </c>
      <c r="AG821">
        <v>-1.0415716500000001</v>
      </c>
      <c r="AH821">
        <v>104.68778632210601</v>
      </c>
      <c r="AI821">
        <v>90.570031235683402</v>
      </c>
      <c r="AJ821">
        <v>90.205117612234005</v>
      </c>
      <c r="AK821">
        <v>104.693638477837</v>
      </c>
      <c r="AL821">
        <v>86.8185349946597</v>
      </c>
      <c r="AM821">
        <v>91.825207271302801</v>
      </c>
      <c r="AN821">
        <v>1.00000000356951</v>
      </c>
    </row>
    <row r="822" spans="1:40" x14ac:dyDescent="0.25">
      <c r="A822" t="str">
        <f>"20190312160616981"</f>
        <v>20190312160616981</v>
      </c>
      <c r="B822" t="str">
        <f>"1552377976975735"</f>
        <v>1552377976975735</v>
      </c>
      <c r="C822" t="s">
        <v>40</v>
      </c>
      <c r="D822">
        <v>6.4713190000000003</v>
      </c>
      <c r="E822">
        <v>0.51068340000000001</v>
      </c>
      <c r="F822" t="s">
        <v>48</v>
      </c>
      <c r="G822">
        <v>-181.8912</v>
      </c>
      <c r="H822" s="1">
        <v>-7.7714869999999995E-6</v>
      </c>
      <c r="I822">
        <v>364.86219999999997</v>
      </c>
      <c r="J822">
        <v>-284.49619999999999</v>
      </c>
      <c r="K822">
        <v>1.059231</v>
      </c>
      <c r="L822">
        <v>367.6617</v>
      </c>
      <c r="M822">
        <v>0.99949779999999999</v>
      </c>
      <c r="N822">
        <v>0</v>
      </c>
      <c r="O822">
        <v>-3.0160139999999998E-2</v>
      </c>
      <c r="P822">
        <v>0.99895009999999995</v>
      </c>
      <c r="Q822">
        <v>4.5789980000000001E-2</v>
      </c>
      <c r="R822">
        <v>1.3433449999999999E-3</v>
      </c>
      <c r="S822">
        <v>3.0047000000000001</v>
      </c>
      <c r="T822">
        <v>-3.0968900000000001E-2</v>
      </c>
      <c r="U822">
        <v>-8.2000729999999994E-2</v>
      </c>
      <c r="V822">
        <v>-3.1447330000000003E-2</v>
      </c>
      <c r="W822">
        <v>5.5515639999999998E-2</v>
      </c>
      <c r="X822">
        <v>0.99796249999999997</v>
      </c>
      <c r="Y822">
        <v>-2.880329E-3</v>
      </c>
      <c r="Z822">
        <v>3.255768E-4</v>
      </c>
      <c r="AA822">
        <v>0.99999579999999999</v>
      </c>
      <c r="AB822">
        <v>33</v>
      </c>
      <c r="AC822">
        <v>102.605</v>
      </c>
      <c r="AD822">
        <v>-1.059238771487</v>
      </c>
      <c r="AE822">
        <v>-2.7995000000000201</v>
      </c>
      <c r="AF822">
        <v>-0.29646951324943399</v>
      </c>
      <c r="AG822">
        <v>-1.059238771487</v>
      </c>
      <c r="AH822">
        <v>102.63182603819</v>
      </c>
      <c r="AI822">
        <v>90.5913127101187</v>
      </c>
      <c r="AJ822">
        <v>90.165508159331196</v>
      </c>
      <c r="AK822">
        <v>102.63772014654501</v>
      </c>
      <c r="AL822">
        <v>86.817552106195905</v>
      </c>
      <c r="AM822">
        <v>91.804880703809999</v>
      </c>
      <c r="AN822">
        <v>1.0000000361274901</v>
      </c>
    </row>
    <row r="823" spans="1:40" x14ac:dyDescent="0.25">
      <c r="A823" t="str">
        <f>"20190312160617001"</f>
        <v>20190312160617001</v>
      </c>
      <c r="B823" t="str">
        <f>"1552377976996232"</f>
        <v>1552377976996232</v>
      </c>
      <c r="C823" t="s">
        <v>40</v>
      </c>
      <c r="D823">
        <v>6.609686</v>
      </c>
      <c r="E823">
        <v>0.51039840000000003</v>
      </c>
      <c r="F823" t="s">
        <v>48</v>
      </c>
      <c r="G823">
        <v>-192.52250000000001</v>
      </c>
      <c r="H823" s="1">
        <v>-6.877699E-6</v>
      </c>
      <c r="I823">
        <v>365.09019999999998</v>
      </c>
      <c r="J823">
        <v>-284.20729999999998</v>
      </c>
      <c r="K823">
        <v>1.0592299999999999</v>
      </c>
      <c r="L823">
        <v>367.65280000000001</v>
      </c>
      <c r="M823">
        <v>0.99949239999999995</v>
      </c>
      <c r="N823">
        <v>0</v>
      </c>
      <c r="O823">
        <v>-3.0336350000000002E-2</v>
      </c>
      <c r="P823">
        <v>0.99894130000000003</v>
      </c>
      <c r="Q823">
        <v>4.5995719999999997E-2</v>
      </c>
      <c r="R823">
        <v>8.7008769999999999E-4</v>
      </c>
      <c r="S823">
        <v>3.004883</v>
      </c>
      <c r="T823">
        <v>-3.4606459999999999E-2</v>
      </c>
      <c r="U823">
        <v>-8.4014889999999995E-2</v>
      </c>
      <c r="V823">
        <v>-3.1150029999999999E-2</v>
      </c>
      <c r="W823">
        <v>5.5725610000000002E-2</v>
      </c>
      <c r="X823">
        <v>0.99796010000000002</v>
      </c>
      <c r="Y823">
        <v>-2.3881000000000002E-3</v>
      </c>
      <c r="Z823">
        <v>3.6298379999999999E-4</v>
      </c>
      <c r="AA823">
        <v>0.99999709999999997</v>
      </c>
      <c r="AB823">
        <v>33</v>
      </c>
      <c r="AC823">
        <v>91.684799999999896</v>
      </c>
      <c r="AD823">
        <v>-1.059236877699</v>
      </c>
      <c r="AE823">
        <v>-2.56260000000003</v>
      </c>
      <c r="AF823">
        <v>-0.22006402466096001</v>
      </c>
      <c r="AG823">
        <v>-1.059236877699</v>
      </c>
      <c r="AH823">
        <v>91.708110464285596</v>
      </c>
      <c r="AI823">
        <v>90.661740047130493</v>
      </c>
      <c r="AJ823">
        <v>90.137487465077996</v>
      </c>
      <c r="AK823">
        <v>91.714491416938202</v>
      </c>
      <c r="AL823">
        <v>86.805502990670405</v>
      </c>
      <c r="AM823">
        <v>91.787832960331997</v>
      </c>
      <c r="AN823">
        <v>1.00000001458544</v>
      </c>
    </row>
    <row r="824" spans="1:40" x14ac:dyDescent="0.25">
      <c r="A824" t="str">
        <f>"20190312160617012"</f>
        <v>20190312160617012</v>
      </c>
      <c r="B824" t="str">
        <f>"1552377977005992"</f>
        <v>1552377977005992</v>
      </c>
      <c r="C824" t="s">
        <v>40</v>
      </c>
      <c r="D824">
        <v>6.8323879999999999</v>
      </c>
      <c r="E824">
        <v>0.51017840000000003</v>
      </c>
      <c r="F824" t="s">
        <v>48</v>
      </c>
      <c r="G824">
        <v>-180.74279999999999</v>
      </c>
      <c r="H824" s="1">
        <v>-7.8432989999999904E-6</v>
      </c>
      <c r="I824">
        <v>364.78820000000002</v>
      </c>
      <c r="J824">
        <v>-284.03100000000001</v>
      </c>
      <c r="K824">
        <v>1.059226</v>
      </c>
      <c r="L824">
        <v>367.6474</v>
      </c>
      <c r="M824">
        <v>0.99948910000000002</v>
      </c>
      <c r="N824">
        <v>0</v>
      </c>
      <c r="O824">
        <v>-3.0444010000000001E-2</v>
      </c>
      <c r="P824">
        <v>0.99895409999999996</v>
      </c>
      <c r="Q824">
        <v>4.5724630000000002E-2</v>
      </c>
      <c r="R824">
        <v>6.1538239999999996E-4</v>
      </c>
      <c r="S824">
        <v>3.0047299999999999</v>
      </c>
      <c r="T824">
        <v>-3.0761480000000001E-2</v>
      </c>
      <c r="U824">
        <v>-8.3190920000000002E-2</v>
      </c>
      <c r="V824">
        <v>-3.1003449999999998E-2</v>
      </c>
      <c r="W824">
        <v>5.5457090000000001E-2</v>
      </c>
      <c r="X824">
        <v>0.99797959999999997</v>
      </c>
      <c r="Y824">
        <v>-2.7688360000000002E-3</v>
      </c>
      <c r="Z824">
        <v>3.2572439999999997E-4</v>
      </c>
      <c r="AA824">
        <v>0.99999610000000005</v>
      </c>
      <c r="AB824">
        <v>33</v>
      </c>
      <c r="AC824">
        <v>103.2882</v>
      </c>
      <c r="AD824">
        <v>-1.0592338432990001</v>
      </c>
      <c r="AE824">
        <v>-2.85919999999998</v>
      </c>
      <c r="AF824">
        <v>-0.28675120469026599</v>
      </c>
      <c r="AG824">
        <v>-1.0592338432990001</v>
      </c>
      <c r="AH824">
        <v>103.31651106489799</v>
      </c>
      <c r="AI824">
        <v>90.587391774631101</v>
      </c>
      <c r="AJ824">
        <v>90.159021936019599</v>
      </c>
      <c r="AK824">
        <v>103.322338635996</v>
      </c>
      <c r="AL824">
        <v>86.820911810768393</v>
      </c>
      <c r="AM824">
        <v>91.7793907841654</v>
      </c>
      <c r="AN824">
        <v>0.99999999237966497</v>
      </c>
    </row>
    <row r="825" spans="1:40" x14ac:dyDescent="0.25">
      <c r="A825" t="str">
        <f>"20190312160617024"</f>
        <v>20190312160617024</v>
      </c>
      <c r="B825" t="str">
        <f>"1552377977015751"</f>
        <v>1552377977015751</v>
      </c>
      <c r="C825" t="s">
        <v>40</v>
      </c>
      <c r="D825">
        <v>6.4972570000000003</v>
      </c>
      <c r="E825">
        <v>0.51037639999999995</v>
      </c>
      <c r="F825" t="s">
        <v>48</v>
      </c>
      <c r="G825">
        <v>-179.98390000000001</v>
      </c>
      <c r="H825">
        <v>6.6110429999999998E-2</v>
      </c>
      <c r="I825">
        <v>364.80770000000001</v>
      </c>
      <c r="J825">
        <v>-283.86529999999999</v>
      </c>
      <c r="K825">
        <v>1.0592269999999999</v>
      </c>
      <c r="L825">
        <v>367.6422</v>
      </c>
      <c r="M825">
        <v>0.99948599999999999</v>
      </c>
      <c r="N825">
        <v>0</v>
      </c>
      <c r="O825">
        <v>-3.0544999999999999E-2</v>
      </c>
      <c r="P825">
        <v>0.99895780000000001</v>
      </c>
      <c r="Q825">
        <v>4.5643459999999997E-2</v>
      </c>
      <c r="R825">
        <v>4.755855E-4</v>
      </c>
      <c r="S825">
        <v>3.0045169999999999</v>
      </c>
      <c r="T825">
        <v>-2.86777E-2</v>
      </c>
      <c r="U825">
        <v>-8.2000729999999994E-2</v>
      </c>
      <c r="V825">
        <v>-3.0964559999999999E-2</v>
      </c>
      <c r="W825">
        <v>5.5378999999999998E-2</v>
      </c>
      <c r="X825">
        <v>0.99798509999999996</v>
      </c>
      <c r="Y825">
        <v>-3.263939E-3</v>
      </c>
      <c r="Z825">
        <v>3.0701010000000001E-4</v>
      </c>
      <c r="AA825">
        <v>0.99999459999999996</v>
      </c>
      <c r="AB825">
        <v>33</v>
      </c>
      <c r="AC825">
        <v>103.8814</v>
      </c>
      <c r="AD825">
        <v>-0.99311656999999998</v>
      </c>
      <c r="AE825">
        <v>-2.83449999999999</v>
      </c>
      <c r="AF825">
        <v>-0.339999352117764</v>
      </c>
      <c r="AG825">
        <v>-0.99311656999999998</v>
      </c>
      <c r="AH825">
        <v>103.91001763929199</v>
      </c>
      <c r="AI825">
        <v>90.5475829211139</v>
      </c>
      <c r="AJ825">
        <v>90.187474305507607</v>
      </c>
      <c r="AK825">
        <v>103.915319591863</v>
      </c>
      <c r="AL825">
        <v>86.8253927858796</v>
      </c>
      <c r="AM825">
        <v>91.777150402498293</v>
      </c>
      <c r="AN825">
        <v>0.99999994871950004</v>
      </c>
    </row>
    <row r="826" spans="1:40" x14ac:dyDescent="0.25">
      <c r="A826" t="str">
        <f>"20190312160617036"</f>
        <v>20190312160617036</v>
      </c>
      <c r="B826" t="str">
        <f>"1552377977025512"</f>
        <v>1552377977025512</v>
      </c>
      <c r="C826" t="s">
        <v>40</v>
      </c>
      <c r="D826">
        <v>6.5262320000000003</v>
      </c>
      <c r="E826">
        <v>0.51053700000000002</v>
      </c>
      <c r="F826" t="s">
        <v>48</v>
      </c>
      <c r="G826">
        <v>-194.6671</v>
      </c>
      <c r="H826" s="1">
        <v>-7.6232189999999996E-6</v>
      </c>
      <c r="I826">
        <v>365.15460000000002</v>
      </c>
      <c r="J826">
        <v>-283.70269999999999</v>
      </c>
      <c r="K826">
        <v>1.059226</v>
      </c>
      <c r="L826">
        <v>367.63720000000001</v>
      </c>
      <c r="M826">
        <v>0.99948300000000001</v>
      </c>
      <c r="N826">
        <v>0</v>
      </c>
      <c r="O826">
        <v>-3.0644190000000002E-2</v>
      </c>
      <c r="P826">
        <v>0.99895820000000002</v>
      </c>
      <c r="Q826">
        <v>4.563391E-2</v>
      </c>
      <c r="R826">
        <v>5.0089980000000002E-4</v>
      </c>
      <c r="S826">
        <v>3.0048219999999999</v>
      </c>
      <c r="T826">
        <v>-3.5682440000000003E-2</v>
      </c>
      <c r="U826">
        <v>-8.3801269999999997E-2</v>
      </c>
      <c r="V826">
        <v>-3.1089260000000001E-2</v>
      </c>
      <c r="W826">
        <v>5.5371860000000002E-2</v>
      </c>
      <c r="X826">
        <v>0.99798169999999997</v>
      </c>
      <c r="Y826">
        <v>-2.766381E-3</v>
      </c>
      <c r="Z826">
        <v>3.8017550000000002E-4</v>
      </c>
      <c r="AA826">
        <v>0.99999610000000005</v>
      </c>
      <c r="AB826">
        <v>33</v>
      </c>
      <c r="AC826">
        <v>89.035599999999903</v>
      </c>
      <c r="AD826">
        <v>-1.0592336232190001</v>
      </c>
      <c r="AE826">
        <v>-2.4825999999999899</v>
      </c>
      <c r="AF826">
        <v>-0.24708410130763001</v>
      </c>
      <c r="AG826">
        <v>-1.0592336232190001</v>
      </c>
      <c r="AH826">
        <v>89.057267214742296</v>
      </c>
      <c r="AI826">
        <v>90.681432553829396</v>
      </c>
      <c r="AJ826">
        <v>90.158963331217606</v>
      </c>
      <c r="AK826">
        <v>89.063908909163004</v>
      </c>
      <c r="AL826">
        <v>86.825802762324898</v>
      </c>
      <c r="AM826">
        <v>91.784308773128004</v>
      </c>
      <c r="AN826">
        <v>1.00000002925104</v>
      </c>
    </row>
    <row r="827" spans="1:40" x14ac:dyDescent="0.25">
      <c r="A827" t="str">
        <f>"20190312160617047"</f>
        <v>20190312160617047</v>
      </c>
      <c r="B827" t="str">
        <f>"1552377977036224"</f>
        <v>1552377977036224</v>
      </c>
      <c r="C827" t="s">
        <v>40</v>
      </c>
      <c r="D827">
        <v>6.6221439999999996</v>
      </c>
      <c r="E827">
        <v>0.51048389999999999</v>
      </c>
      <c r="F827" t="s">
        <v>48</v>
      </c>
      <c r="G827">
        <v>-201.14269999999999</v>
      </c>
      <c r="H827" s="1">
        <v>-1.8200060000000001E-6</v>
      </c>
      <c r="I827">
        <v>365.29790000000003</v>
      </c>
      <c r="J827">
        <v>-283.52050000000003</v>
      </c>
      <c r="K827">
        <v>1.0592239999999999</v>
      </c>
      <c r="L827">
        <v>367.63150000000002</v>
      </c>
      <c r="M827">
        <v>0.99947949999999997</v>
      </c>
      <c r="N827">
        <v>0</v>
      </c>
      <c r="O827">
        <v>-3.0755069999999999E-2</v>
      </c>
      <c r="P827">
        <v>0.9989557</v>
      </c>
      <c r="Q827">
        <v>4.568701E-2</v>
      </c>
      <c r="R827">
        <v>5.1929319999999995E-4</v>
      </c>
      <c r="S827">
        <v>3.0049130000000002</v>
      </c>
      <c r="T827">
        <v>-3.8552400000000001E-2</v>
      </c>
      <c r="U827">
        <v>-8.5144040000000004E-2</v>
      </c>
      <c r="V827">
        <v>-3.1218119999999999E-2</v>
      </c>
      <c r="W827">
        <v>5.5427570000000002E-2</v>
      </c>
      <c r="X827">
        <v>0.99797460000000004</v>
      </c>
      <c r="Y827">
        <v>-2.431286E-3</v>
      </c>
      <c r="Z827">
        <v>4.100075E-4</v>
      </c>
      <c r="AA827">
        <v>0.99999700000000002</v>
      </c>
      <c r="AB827">
        <v>33</v>
      </c>
      <c r="AC827">
        <v>82.377799999999993</v>
      </c>
      <c r="AD827">
        <v>-1.0592258200060001</v>
      </c>
      <c r="AE827">
        <v>-2.3335999999999899</v>
      </c>
      <c r="AF827">
        <v>-0.20112595904403899</v>
      </c>
      <c r="AG827">
        <v>-1.0592258200060001</v>
      </c>
      <c r="AH827">
        <v>82.396989067510901</v>
      </c>
      <c r="AI827">
        <v>90.736503192974894</v>
      </c>
      <c r="AJ827">
        <v>90.1398551797528</v>
      </c>
      <c r="AK827">
        <v>82.4040424881006</v>
      </c>
      <c r="AL827">
        <v>86.822605953136701</v>
      </c>
      <c r="AM827">
        <v>91.791712375094704</v>
      </c>
      <c r="AN827">
        <v>1.00000004438879</v>
      </c>
    </row>
    <row r="828" spans="1:40" x14ac:dyDescent="0.25">
      <c r="A828" t="str">
        <f>"20190312160617060"</f>
        <v>20190312160617060</v>
      </c>
      <c r="B828" t="str">
        <f>"1552377977055743"</f>
        <v>1552377977055743</v>
      </c>
      <c r="C828" t="s">
        <v>40</v>
      </c>
      <c r="D828">
        <v>6.0329030000000001</v>
      </c>
      <c r="E828">
        <v>0.51012800000000003</v>
      </c>
      <c r="F828" t="s">
        <v>48</v>
      </c>
      <c r="G828">
        <v>-199.28370000000001</v>
      </c>
      <c r="H828" s="1">
        <v>-9.2866429999999994E-6</v>
      </c>
      <c r="I828">
        <v>365.26</v>
      </c>
      <c r="J828">
        <v>-283.3494</v>
      </c>
      <c r="K828">
        <v>1.0592220000000001</v>
      </c>
      <c r="L828">
        <v>367.62610000000001</v>
      </c>
      <c r="M828">
        <v>0.99947629999999998</v>
      </c>
      <c r="N828">
        <v>0</v>
      </c>
      <c r="O828">
        <v>-3.0859270000000001E-2</v>
      </c>
      <c r="P828">
        <v>0.99896669999999999</v>
      </c>
      <c r="Q828">
        <v>4.5444409999999998E-2</v>
      </c>
      <c r="R828">
        <v>8.1217979999999995E-4</v>
      </c>
      <c r="S828">
        <v>3.004883</v>
      </c>
      <c r="T828">
        <v>-3.7784810000000002E-2</v>
      </c>
      <c r="U828">
        <v>-8.4594730000000007E-2</v>
      </c>
      <c r="V828">
        <v>-3.1615419999999998E-2</v>
      </c>
      <c r="W828">
        <v>5.5188090000000002E-2</v>
      </c>
      <c r="X828">
        <v>0.99797530000000001</v>
      </c>
      <c r="Y828">
        <v>-2.7179940000000001E-3</v>
      </c>
      <c r="Z828">
        <v>4.049616E-4</v>
      </c>
      <c r="AA828">
        <v>0.9999962</v>
      </c>
      <c r="AB828">
        <v>33</v>
      </c>
      <c r="AC828">
        <v>84.065699999999893</v>
      </c>
      <c r="AD828">
        <v>-1.05923128664299</v>
      </c>
      <c r="AE828">
        <v>-2.3661000000000101</v>
      </c>
      <c r="AF828">
        <v>-0.22931975770023</v>
      </c>
      <c r="AG828">
        <v>-1.05923128664299</v>
      </c>
      <c r="AH828">
        <v>84.085339686246201</v>
      </c>
      <c r="AI828">
        <v>90.721719706629898</v>
      </c>
      <c r="AJ828">
        <v>90.156258174722197</v>
      </c>
      <c r="AK828">
        <v>84.092323719952503</v>
      </c>
      <c r="AL828">
        <v>86.836347975618907</v>
      </c>
      <c r="AM828">
        <v>91.814498332426595</v>
      </c>
      <c r="AN828">
        <v>0.99999997973485699</v>
      </c>
    </row>
    <row r="829" spans="1:40" x14ac:dyDescent="0.25">
      <c r="A829" t="str">
        <f>"20190312160617072"</f>
        <v>20190312160617072</v>
      </c>
      <c r="B829" t="str">
        <f>"1552377977065504"</f>
        <v>1552377977065504</v>
      </c>
      <c r="C829" t="s">
        <v>40</v>
      </c>
      <c r="D829">
        <v>6.5279230000000004</v>
      </c>
      <c r="E829">
        <v>0.50997079999999995</v>
      </c>
      <c r="F829" t="s">
        <v>48</v>
      </c>
      <c r="G829">
        <v>-187.80199999999999</v>
      </c>
      <c r="H829" s="1">
        <v>-7.3964619999999996E-6</v>
      </c>
      <c r="I829">
        <v>365.05059999999997</v>
      </c>
      <c r="J829">
        <v>-283.1712</v>
      </c>
      <c r="K829">
        <v>1.0592200000000001</v>
      </c>
      <c r="L829">
        <v>367.62049999999999</v>
      </c>
      <c r="M829">
        <v>0.99947280000000005</v>
      </c>
      <c r="N829">
        <v>0</v>
      </c>
      <c r="O829">
        <v>-3.0967890000000001E-2</v>
      </c>
      <c r="P829">
        <v>0.99897970000000003</v>
      </c>
      <c r="Q829">
        <v>4.5150210000000003E-2</v>
      </c>
      <c r="R829">
        <v>9.9328109999999997E-4</v>
      </c>
      <c r="S829">
        <v>3.0047000000000001</v>
      </c>
      <c r="T829">
        <v>-3.3309819999999997E-2</v>
      </c>
      <c r="U829">
        <v>-8.099365E-2</v>
      </c>
      <c r="V829">
        <v>-3.1905259999999998E-2</v>
      </c>
      <c r="W829">
        <v>5.48967E-2</v>
      </c>
      <c r="X829">
        <v>0.99798209999999998</v>
      </c>
      <c r="Y829">
        <v>-4.0230229999999997E-3</v>
      </c>
      <c r="Z829">
        <v>3.6546830000000003E-4</v>
      </c>
      <c r="AA829">
        <v>0.99999179999999999</v>
      </c>
      <c r="AB829">
        <v>33</v>
      </c>
      <c r="AC829">
        <v>95.369199999999907</v>
      </c>
      <c r="AD829">
        <v>-1.059227396462</v>
      </c>
      <c r="AE829">
        <v>-2.5699000000000098</v>
      </c>
      <c r="AF829">
        <v>-0.38480861467798899</v>
      </c>
      <c r="AG829">
        <v>-1.059227396462</v>
      </c>
      <c r="AH829">
        <v>95.391284226914706</v>
      </c>
      <c r="AI829">
        <v>90.636182560965196</v>
      </c>
      <c r="AJ829">
        <v>90.231130025396993</v>
      </c>
      <c r="AK829">
        <v>95.397940998783497</v>
      </c>
      <c r="AL829">
        <v>86.853068593117499</v>
      </c>
      <c r="AM829">
        <v>91.831109327833502</v>
      </c>
      <c r="AN829">
        <v>0.99999993260348097</v>
      </c>
    </row>
    <row r="830" spans="1:40" x14ac:dyDescent="0.25">
      <c r="A830" t="str">
        <f>"20190312160617084"</f>
        <v>20190312160617084</v>
      </c>
      <c r="B830" t="str">
        <f>"1552377977076241"</f>
        <v>1552377977076241</v>
      </c>
      <c r="C830" t="s">
        <v>40</v>
      </c>
      <c r="D830">
        <v>6.5226699999999997</v>
      </c>
      <c r="E830">
        <v>0.50986589999999998</v>
      </c>
      <c r="F830" t="s">
        <v>48</v>
      </c>
      <c r="G830">
        <v>-181.47630000000001</v>
      </c>
      <c r="H830" s="1">
        <v>-7.8402149999999993E-6</v>
      </c>
      <c r="I830">
        <v>364.94420000000002</v>
      </c>
      <c r="J830">
        <v>-282.99430000000001</v>
      </c>
      <c r="K830">
        <v>1.0592200000000001</v>
      </c>
      <c r="L830">
        <v>367.61489999999998</v>
      </c>
      <c r="M830">
        <v>0.99946959999999996</v>
      </c>
      <c r="N830">
        <v>0</v>
      </c>
      <c r="O830">
        <v>-3.107567E-2</v>
      </c>
      <c r="P830">
        <v>0.99898830000000005</v>
      </c>
      <c r="Q830">
        <v>4.4957299999999999E-2</v>
      </c>
      <c r="R830">
        <v>1.171912E-3</v>
      </c>
      <c r="S830">
        <v>3.0045470000000001</v>
      </c>
      <c r="T830">
        <v>-3.1294580000000002E-2</v>
      </c>
      <c r="U830">
        <v>-7.9071039999999995E-2</v>
      </c>
      <c r="V830">
        <v>-3.2191589999999999E-2</v>
      </c>
      <c r="W830">
        <v>5.4706730000000002E-2</v>
      </c>
      <c r="X830">
        <v>0.99798339999999996</v>
      </c>
      <c r="Y830">
        <v>-4.7691340000000004E-3</v>
      </c>
      <c r="Z830">
        <v>3.483866E-4</v>
      </c>
      <c r="AA830">
        <v>0.99998860000000001</v>
      </c>
      <c r="AB830">
        <v>33</v>
      </c>
      <c r="AC830">
        <v>101.51799999999901</v>
      </c>
      <c r="AD830">
        <v>-1.0592278402149999</v>
      </c>
      <c r="AE830">
        <v>-2.6706999999999499</v>
      </c>
      <c r="AF830">
        <v>-0.48542661385417901</v>
      </c>
      <c r="AG830">
        <v>-1.0592278402149999</v>
      </c>
      <c r="AH830">
        <v>101.540916690674</v>
      </c>
      <c r="AI830">
        <v>90.597654543151407</v>
      </c>
      <c r="AJ830">
        <v>90.273906177593403</v>
      </c>
      <c r="AK830">
        <v>101.54760147338401</v>
      </c>
      <c r="AL830">
        <v>86.863969652446102</v>
      </c>
      <c r="AM830">
        <v>91.847528659820995</v>
      </c>
      <c r="AN830">
        <v>0.99999999572479004</v>
      </c>
    </row>
    <row r="831" spans="1:40" x14ac:dyDescent="0.25">
      <c r="A831" t="str">
        <f>"20190312160617096"</f>
        <v>20190312160617096</v>
      </c>
      <c r="B831" t="str">
        <f>"1552377977086001"</f>
        <v>1552377977086001</v>
      </c>
      <c r="C831" t="s">
        <v>40</v>
      </c>
      <c r="D831">
        <v>6.6671679999999904</v>
      </c>
      <c r="E831">
        <v>0.50970789999999999</v>
      </c>
      <c r="F831" t="s">
        <v>48</v>
      </c>
      <c r="G831">
        <v>-179.99010000000001</v>
      </c>
      <c r="H831">
        <v>5.9847770000000002E-2</v>
      </c>
      <c r="I831">
        <v>364.9522</v>
      </c>
      <c r="J831">
        <v>-282.82029999999997</v>
      </c>
      <c r="K831">
        <v>1.0592170000000001</v>
      </c>
      <c r="L831">
        <v>367.60939999999999</v>
      </c>
      <c r="M831">
        <v>0.99946619999999997</v>
      </c>
      <c r="N831">
        <v>0</v>
      </c>
      <c r="O831">
        <v>-3.118166E-2</v>
      </c>
      <c r="P831">
        <v>0.99898770000000003</v>
      </c>
      <c r="Q831">
        <v>4.4961800000000003E-2</v>
      </c>
      <c r="R831">
        <v>1.4111099999999999E-3</v>
      </c>
      <c r="S831">
        <v>3.0044559999999998</v>
      </c>
      <c r="T831">
        <v>-2.9150010000000001E-2</v>
      </c>
      <c r="U831">
        <v>-7.7667239999999999E-2</v>
      </c>
      <c r="V831">
        <v>-3.2536580000000002E-2</v>
      </c>
      <c r="W831">
        <v>5.4713869999999998E-2</v>
      </c>
      <c r="X831">
        <v>0.99797179999999996</v>
      </c>
      <c r="Y831">
        <v>-5.3415210000000001E-3</v>
      </c>
      <c r="Z831">
        <v>3.2832949999999999E-4</v>
      </c>
      <c r="AA831">
        <v>0.99998569999999998</v>
      </c>
      <c r="AB831">
        <v>33</v>
      </c>
      <c r="AC831">
        <v>102.830199999999</v>
      </c>
      <c r="AD831">
        <v>-0.99936923</v>
      </c>
      <c r="AE831">
        <v>-2.65719999999998</v>
      </c>
      <c r="AF831">
        <v>-0.55060893843215797</v>
      </c>
      <c r="AG831">
        <v>-0.99936923</v>
      </c>
      <c r="AH831">
        <v>102.853344032826</v>
      </c>
      <c r="AI831">
        <v>90.556686001416494</v>
      </c>
      <c r="AJ831">
        <v>90.306720868146101</v>
      </c>
      <c r="AK831">
        <v>102.85967279646501</v>
      </c>
      <c r="AL831">
        <v>86.863559882203106</v>
      </c>
      <c r="AM831">
        <v>91.867335953758797</v>
      </c>
      <c r="AN831">
        <v>0.99999997510185601</v>
      </c>
    </row>
    <row r="832" spans="1:40" x14ac:dyDescent="0.25">
      <c r="A832" t="str">
        <f>"20190312160617109"</f>
        <v>20190312160617109</v>
      </c>
      <c r="B832" t="str">
        <f>"1552377977105520"</f>
        <v>1552377977105520</v>
      </c>
      <c r="C832" t="s">
        <v>40</v>
      </c>
      <c r="D832">
        <v>6.655894</v>
      </c>
      <c r="E832">
        <v>0.50987570000000004</v>
      </c>
      <c r="F832" t="s">
        <v>45</v>
      </c>
      <c r="G832">
        <v>-157.91390000000001</v>
      </c>
      <c r="H832">
        <v>-0.05</v>
      </c>
      <c r="I832">
        <v>364.46280000000002</v>
      </c>
      <c r="J832">
        <v>-282.6302</v>
      </c>
      <c r="K832">
        <v>1.0592159999999999</v>
      </c>
      <c r="L832">
        <v>367.60340000000002</v>
      </c>
      <c r="M832">
        <v>0.99946250000000003</v>
      </c>
      <c r="N832">
        <v>0</v>
      </c>
      <c r="O832">
        <v>-3.1297430000000001E-2</v>
      </c>
      <c r="P832">
        <v>0.99899979999999999</v>
      </c>
      <c r="Q832">
        <v>4.4683979999999998E-2</v>
      </c>
      <c r="R832">
        <v>1.630177E-3</v>
      </c>
      <c r="S832">
        <v>3.0043329999999999</v>
      </c>
      <c r="T832">
        <v>-2.6679640000000001E-2</v>
      </c>
      <c r="U832">
        <v>-7.5683589999999995E-2</v>
      </c>
      <c r="V832">
        <v>-3.2871619999999997E-2</v>
      </c>
      <c r="W832">
        <v>5.4439149999999999E-2</v>
      </c>
      <c r="X832">
        <v>0.99797590000000003</v>
      </c>
      <c r="Y832">
        <v>-6.116369E-3</v>
      </c>
      <c r="Z832">
        <v>3.0498850000000002E-4</v>
      </c>
      <c r="AA832">
        <v>0.99998120000000001</v>
      </c>
      <c r="AB832">
        <v>33</v>
      </c>
      <c r="AC832">
        <v>124.7163</v>
      </c>
      <c r="AD832">
        <v>-1.109216</v>
      </c>
      <c r="AE832">
        <v>-3.1406000000000001</v>
      </c>
      <c r="AF832">
        <v>-0.76436369802050397</v>
      </c>
      <c r="AG832">
        <v>-1.109216</v>
      </c>
      <c r="AH832">
        <v>124.74363380017699</v>
      </c>
      <c r="AI832">
        <v>90.509449064131999</v>
      </c>
      <c r="AJ832">
        <v>90.351074154900999</v>
      </c>
      <c r="AK832">
        <v>124.750906953297</v>
      </c>
      <c r="AL832">
        <v>86.8793238474112</v>
      </c>
      <c r="AM832">
        <v>91.886542964904706</v>
      </c>
      <c r="AN832">
        <v>1.0000000307174699</v>
      </c>
    </row>
    <row r="833" spans="1:40" x14ac:dyDescent="0.25">
      <c r="A833" t="str">
        <f>"20190312160617125"</f>
        <v>20190312160617125</v>
      </c>
      <c r="B833" t="str">
        <f>"1552377977116256"</f>
        <v>1552377977116256</v>
      </c>
      <c r="C833" t="s">
        <v>40</v>
      </c>
      <c r="D833">
        <v>6.6413000000000002</v>
      </c>
      <c r="E833">
        <v>0.50973310000000005</v>
      </c>
      <c r="F833" t="s">
        <v>48</v>
      </c>
      <c r="G833">
        <v>-180</v>
      </c>
      <c r="H833">
        <v>1.1239539999999999E-2</v>
      </c>
      <c r="I833">
        <v>364.99939999999998</v>
      </c>
      <c r="J833">
        <v>-282.39819999999997</v>
      </c>
      <c r="K833">
        <v>1.0592109999999999</v>
      </c>
      <c r="L833">
        <v>367.596</v>
      </c>
      <c r="M833">
        <v>0.99945810000000002</v>
      </c>
      <c r="N833">
        <v>0</v>
      </c>
      <c r="O833">
        <v>-3.1438710000000002E-2</v>
      </c>
      <c r="P833">
        <v>0.99900359999999999</v>
      </c>
      <c r="Q833">
        <v>4.4600840000000003E-2</v>
      </c>
      <c r="R833">
        <v>1.6394020000000001E-3</v>
      </c>
      <c r="S833">
        <v>3.0045169999999999</v>
      </c>
      <c r="T833">
        <v>-3.0679700000000001E-2</v>
      </c>
      <c r="U833">
        <v>-7.6232910000000001E-2</v>
      </c>
      <c r="V833">
        <v>-3.3022139999999998E-2</v>
      </c>
      <c r="W833">
        <v>5.4359640000000001E-2</v>
      </c>
      <c r="X833">
        <v>0.99797519999999995</v>
      </c>
      <c r="Y833">
        <v>-6.0760659999999998E-3</v>
      </c>
      <c r="Z833">
        <v>3.5192650000000003E-4</v>
      </c>
      <c r="AA833">
        <v>0.99998149999999997</v>
      </c>
      <c r="AB833">
        <v>33</v>
      </c>
      <c r="AC833">
        <v>102.39819999999899</v>
      </c>
      <c r="AD833">
        <v>-1.0479714600000001</v>
      </c>
      <c r="AE833">
        <v>-2.59660000000002</v>
      </c>
      <c r="AF833">
        <v>-0.62403877296761501</v>
      </c>
      <c r="AG833">
        <v>-1.0479714600000001</v>
      </c>
      <c r="AH833">
        <v>102.418495042983</v>
      </c>
      <c r="AI833">
        <v>90.5862332956941</v>
      </c>
      <c r="AJ833">
        <v>90.349100477145299</v>
      </c>
      <c r="AK833">
        <v>102.425757480434</v>
      </c>
      <c r="AL833">
        <v>86.883885988503806</v>
      </c>
      <c r="AM833">
        <v>91.895176537211697</v>
      </c>
      <c r="AN833">
        <v>0.99999996600307395</v>
      </c>
    </row>
    <row r="834" spans="1:40" x14ac:dyDescent="0.25">
      <c r="A834" t="str">
        <f>"20190312160617138"</f>
        <v>20190312160617138</v>
      </c>
      <c r="B834" t="str">
        <f>"1552377977126016"</f>
        <v>1552377977126016</v>
      </c>
      <c r="C834" t="s">
        <v>40</v>
      </c>
      <c r="D834">
        <v>6.5254149999999997</v>
      </c>
      <c r="E834">
        <v>0.50957750000000002</v>
      </c>
      <c r="F834" t="s">
        <v>48</v>
      </c>
      <c r="G834">
        <v>-179.22030000000001</v>
      </c>
      <c r="H834">
        <v>7.9987920000000004E-2</v>
      </c>
      <c r="I834">
        <v>365.01990000000001</v>
      </c>
      <c r="J834">
        <v>-282.1968</v>
      </c>
      <c r="K834">
        <v>1.05921</v>
      </c>
      <c r="L834">
        <v>367.58949999999999</v>
      </c>
      <c r="M834">
        <v>0.99945419999999996</v>
      </c>
      <c r="N834">
        <v>0</v>
      </c>
      <c r="O834">
        <v>-3.1561270000000002E-2</v>
      </c>
      <c r="P834">
        <v>0.9990076</v>
      </c>
      <c r="Q834">
        <v>4.451944E-2</v>
      </c>
      <c r="R834">
        <v>1.4913490000000001E-3</v>
      </c>
      <c r="S834">
        <v>3.0043639999999998</v>
      </c>
      <c r="T834">
        <v>-2.851331E-2</v>
      </c>
      <c r="U834">
        <v>-7.5012209999999996E-2</v>
      </c>
      <c r="V834">
        <v>-3.2997060000000002E-2</v>
      </c>
      <c r="W834">
        <v>5.428156E-2</v>
      </c>
      <c r="X834">
        <v>0.99798030000000004</v>
      </c>
      <c r="Y834">
        <v>-6.6036860000000001E-3</v>
      </c>
      <c r="Z834">
        <v>3.3076139999999997E-4</v>
      </c>
      <c r="AA834">
        <v>0.99997809999999998</v>
      </c>
      <c r="AB834">
        <v>33</v>
      </c>
      <c r="AC834">
        <v>102.9765</v>
      </c>
      <c r="AD834">
        <v>-0.97922207999999999</v>
      </c>
      <c r="AE834">
        <v>-2.5695999999999799</v>
      </c>
      <c r="AF834">
        <v>-0.68184244636552005</v>
      </c>
      <c r="AG834">
        <v>-0.97922207999999999</v>
      </c>
      <c r="AH834">
        <v>102.996990225194</v>
      </c>
      <c r="AI834">
        <v>90.544699147874297</v>
      </c>
      <c r="AJ834">
        <v>90.379293838623397</v>
      </c>
      <c r="AK834">
        <v>103.00390177295399</v>
      </c>
      <c r="AL834">
        <v>86.888366321738502</v>
      </c>
      <c r="AM834">
        <v>91.893728546608699</v>
      </c>
      <c r="AN834">
        <v>0.99999998645638299</v>
      </c>
    </row>
    <row r="835" spans="1:40" x14ac:dyDescent="0.25">
      <c r="A835" t="str">
        <f>"20190312160617152"</f>
        <v>20190312160617152</v>
      </c>
      <c r="B835" t="str">
        <f>"1552377977146250"</f>
        <v>1552377977146250</v>
      </c>
      <c r="C835" t="s">
        <v>40</v>
      </c>
      <c r="D835">
        <v>6.6374420000000001</v>
      </c>
      <c r="E835">
        <v>0.50971540000000004</v>
      </c>
      <c r="F835" t="s">
        <v>45</v>
      </c>
      <c r="G835">
        <v>-157.3802</v>
      </c>
      <c r="H835">
        <v>-0.05</v>
      </c>
      <c r="I835">
        <v>364.50979999999998</v>
      </c>
      <c r="J835">
        <v>-281.9932</v>
      </c>
      <c r="K835">
        <v>1.0592029999999999</v>
      </c>
      <c r="L835">
        <v>367.58300000000003</v>
      </c>
      <c r="M835">
        <v>0.99945030000000001</v>
      </c>
      <c r="N835">
        <v>0</v>
      </c>
      <c r="O835">
        <v>-3.168526E-2</v>
      </c>
      <c r="P835">
        <v>0.9990135</v>
      </c>
      <c r="Q835">
        <v>4.4378819999999999E-2</v>
      </c>
      <c r="R835">
        <v>1.5220570000000001E-3</v>
      </c>
      <c r="S835">
        <v>3.0042719999999998</v>
      </c>
      <c r="T835">
        <v>-2.6698110000000001E-2</v>
      </c>
      <c r="U835">
        <v>-7.4127199999999893E-2</v>
      </c>
      <c r="V835">
        <v>-3.3151489999999999E-2</v>
      </c>
      <c r="W835">
        <v>5.4144419999999999E-2</v>
      </c>
      <c r="X835">
        <v>0.99798260000000005</v>
      </c>
      <c r="Y835">
        <v>-7.0215709999999999E-3</v>
      </c>
      <c r="Z835">
        <v>3.1267410000000002E-4</v>
      </c>
      <c r="AA835">
        <v>0.99997530000000001</v>
      </c>
      <c r="AB835">
        <v>33</v>
      </c>
      <c r="AC835">
        <v>124.613</v>
      </c>
      <c r="AD835">
        <v>-1.1092029999999999</v>
      </c>
      <c r="AE835">
        <v>-3.0732000000000399</v>
      </c>
      <c r="AF835">
        <v>-0.87685692767380397</v>
      </c>
      <c r="AG835">
        <v>-1.1092029999999999</v>
      </c>
      <c r="AH835">
        <v>124.637935953748</v>
      </c>
      <c r="AI835">
        <v>90.509872052758993</v>
      </c>
      <c r="AJ835">
        <v>90.403082512249597</v>
      </c>
      <c r="AK835">
        <v>124.645955763424</v>
      </c>
      <c r="AL835">
        <v>86.896235338771803</v>
      </c>
      <c r="AM835">
        <v>91.902580531802599</v>
      </c>
      <c r="AN835">
        <v>0.99999995470455705</v>
      </c>
    </row>
    <row r="836" spans="1:40" x14ac:dyDescent="0.25">
      <c r="A836" t="str">
        <f>"20190312160617168"</f>
        <v>20190312160617168</v>
      </c>
      <c r="B836" t="str">
        <f>"1552377977156011"</f>
        <v>1552377977156011</v>
      </c>
      <c r="C836" t="s">
        <v>40</v>
      </c>
      <c r="D836">
        <v>6.5263210000000003</v>
      </c>
      <c r="E836">
        <v>0.5098916</v>
      </c>
      <c r="F836" t="s">
        <v>48</v>
      </c>
      <c r="G836">
        <v>-179.1173</v>
      </c>
      <c r="H836">
        <v>7.9987909999999995E-2</v>
      </c>
      <c r="I836">
        <v>365.0197</v>
      </c>
      <c r="J836">
        <v>-281.76069999999999</v>
      </c>
      <c r="K836">
        <v>1.0591999999999999</v>
      </c>
      <c r="L836">
        <v>367.57549999999998</v>
      </c>
      <c r="M836">
        <v>0.99944569999999999</v>
      </c>
      <c r="N836">
        <v>0</v>
      </c>
      <c r="O836">
        <v>-3.182654E-2</v>
      </c>
      <c r="P836">
        <v>0.99899879999999996</v>
      </c>
      <c r="Q836">
        <v>4.4712229999999999E-2</v>
      </c>
      <c r="R836">
        <v>1.4611089999999999E-3</v>
      </c>
      <c r="S836">
        <v>3.0043639999999998</v>
      </c>
      <c r="T836">
        <v>-2.8596759999999999E-2</v>
      </c>
      <c r="U836">
        <v>-7.4859620000000002E-2</v>
      </c>
      <c r="V836">
        <v>-3.3231299999999998E-2</v>
      </c>
      <c r="W836">
        <v>5.4481050000000003E-2</v>
      </c>
      <c r="X836">
        <v>0.99796169999999995</v>
      </c>
      <c r="Y836">
        <v>-6.9198250000000001E-3</v>
      </c>
      <c r="Z836">
        <v>3.3575720000000002E-4</v>
      </c>
      <c r="AA836">
        <v>0.99997599999999998</v>
      </c>
      <c r="AB836">
        <v>33</v>
      </c>
      <c r="AC836">
        <v>102.6434</v>
      </c>
      <c r="AD836">
        <v>-0.97921208999999998</v>
      </c>
      <c r="AE836">
        <v>-2.5557999999999699</v>
      </c>
      <c r="AF836">
        <v>-0.71237013395820903</v>
      </c>
      <c r="AG836">
        <v>-0.97921208999999998</v>
      </c>
      <c r="AH836">
        <v>102.663405140107</v>
      </c>
      <c r="AI836">
        <v>90.546462180425706</v>
      </c>
      <c r="AJ836">
        <v>90.397562763684107</v>
      </c>
      <c r="AK836">
        <v>102.67054632408799</v>
      </c>
      <c r="AL836">
        <v>86.876919582117097</v>
      </c>
      <c r="AM836">
        <v>91.9071974005398</v>
      </c>
      <c r="AN836">
        <v>1.0000000293878399</v>
      </c>
    </row>
    <row r="837" spans="1:40" x14ac:dyDescent="0.25">
      <c r="A837" t="str">
        <f>"20190312160617182"</f>
        <v>20190312160617182</v>
      </c>
      <c r="B837" t="str">
        <f>"1552377977175531"</f>
        <v>1552377977175531</v>
      </c>
      <c r="C837" t="s">
        <v>40</v>
      </c>
      <c r="D837">
        <v>6.6658850000000003</v>
      </c>
      <c r="E837">
        <v>0.50938739999999905</v>
      </c>
      <c r="F837" t="s">
        <v>48</v>
      </c>
      <c r="G837">
        <v>-180</v>
      </c>
      <c r="H837">
        <v>8.2027999999999997E-3</v>
      </c>
      <c r="I837">
        <v>364.97910000000002</v>
      </c>
      <c r="J837">
        <v>-281.5607</v>
      </c>
      <c r="K837">
        <v>1.059204</v>
      </c>
      <c r="L837">
        <v>367.56900000000002</v>
      </c>
      <c r="M837">
        <v>0.99944189999999999</v>
      </c>
      <c r="N837">
        <v>0</v>
      </c>
      <c r="O837">
        <v>-3.194839E-2</v>
      </c>
      <c r="P837">
        <v>0.99899789999999999</v>
      </c>
      <c r="Q837">
        <v>4.4738680000000003E-2</v>
      </c>
      <c r="R837">
        <v>1.336421E-3</v>
      </c>
      <c r="S837">
        <v>3.0045169999999999</v>
      </c>
      <c r="T837">
        <v>-3.1031010000000001E-2</v>
      </c>
      <c r="U837">
        <v>-7.6660160000000005E-2</v>
      </c>
      <c r="V837">
        <v>-3.3227920000000001E-2</v>
      </c>
      <c r="W837">
        <v>5.4511049999999998E-2</v>
      </c>
      <c r="X837">
        <v>0.99796019999999996</v>
      </c>
      <c r="Y837">
        <v>-6.4438219999999897E-3</v>
      </c>
      <c r="Z837">
        <v>3.631145E-4</v>
      </c>
      <c r="AA837">
        <v>0.99997919999999996</v>
      </c>
      <c r="AB837">
        <v>33</v>
      </c>
      <c r="AC837">
        <v>101.5607</v>
      </c>
      <c r="AD837">
        <v>-1.0510012</v>
      </c>
      <c r="AE837">
        <v>-2.5899000000000001</v>
      </c>
      <c r="AF837">
        <v>-0.65620728281304797</v>
      </c>
      <c r="AG837">
        <v>-1.0510012</v>
      </c>
      <c r="AH837">
        <v>101.58072605596401</v>
      </c>
      <c r="AI837">
        <v>90.592775130000803</v>
      </c>
      <c r="AJ837">
        <v>90.370123213955694</v>
      </c>
      <c r="AK837">
        <v>101.588282383242</v>
      </c>
      <c r="AL837">
        <v>86.875198230860804</v>
      </c>
      <c r="AM837">
        <v>91.907006424412998</v>
      </c>
      <c r="AN837">
        <v>1.00000005501183</v>
      </c>
    </row>
    <row r="838" spans="1:40" x14ac:dyDescent="0.25">
      <c r="A838" t="str">
        <f>"20190312160617193"</f>
        <v>20190312160617193</v>
      </c>
      <c r="B838" t="str">
        <f>"1552377977186267"</f>
        <v>1552377977186267</v>
      </c>
      <c r="C838" t="s">
        <v>40</v>
      </c>
      <c r="D838">
        <v>6.665483</v>
      </c>
      <c r="E838">
        <v>0.50921930000000004</v>
      </c>
      <c r="F838" t="s">
        <v>45</v>
      </c>
      <c r="G838">
        <v>-151.98779999999999</v>
      </c>
      <c r="H838">
        <v>-0.05</v>
      </c>
      <c r="I838">
        <v>364.41140000000001</v>
      </c>
      <c r="J838">
        <v>-281.38729999999998</v>
      </c>
      <c r="K838">
        <v>1.0592060000000001</v>
      </c>
      <c r="L838">
        <v>367.5634</v>
      </c>
      <c r="M838">
        <v>0.99943839999999995</v>
      </c>
      <c r="N838">
        <v>0</v>
      </c>
      <c r="O838">
        <v>-3.2053909999999998E-2</v>
      </c>
      <c r="P838">
        <v>0.99901320000000005</v>
      </c>
      <c r="Q838">
        <v>4.4407849999999999E-2</v>
      </c>
      <c r="R838">
        <v>9.7656619999999996E-4</v>
      </c>
      <c r="S838">
        <v>3.0042719999999998</v>
      </c>
      <c r="T838">
        <v>-2.571797E-2</v>
      </c>
      <c r="U838">
        <v>-7.3211670000000006E-2</v>
      </c>
      <c r="V838">
        <v>-3.2974389999999999E-2</v>
      </c>
      <c r="W838">
        <v>5.4182510000000003E-2</v>
      </c>
      <c r="X838">
        <v>0.99798640000000005</v>
      </c>
      <c r="Y838">
        <v>-7.6950369999999896E-3</v>
      </c>
      <c r="Z838">
        <v>3.072328E-4</v>
      </c>
      <c r="AA838">
        <v>0.99997029999999998</v>
      </c>
      <c r="AB838">
        <v>33</v>
      </c>
      <c r="AC838">
        <v>129.39949999999999</v>
      </c>
      <c r="AD838">
        <v>-1.1092059999999999</v>
      </c>
      <c r="AE838">
        <v>-3.1519999999999802</v>
      </c>
      <c r="AF838">
        <v>-0.99750444004004701</v>
      </c>
      <c r="AG838">
        <v>-1.1092059999999999</v>
      </c>
      <c r="AH838">
        <v>129.42453509386601</v>
      </c>
      <c r="AI838">
        <v>90.491014930907099</v>
      </c>
      <c r="AJ838">
        <v>90.441582910128503</v>
      </c>
      <c r="AK838">
        <v>129.43313191498399</v>
      </c>
      <c r="AL838">
        <v>86.894049734083097</v>
      </c>
      <c r="AM838">
        <v>91.892416884224502</v>
      </c>
      <c r="AN838">
        <v>0.99999995468536496</v>
      </c>
    </row>
    <row r="839" spans="1:40" x14ac:dyDescent="0.25">
      <c r="A839" t="str">
        <f>"20190312160617204"</f>
        <v>20190312160617204</v>
      </c>
      <c r="B839" t="str">
        <f>"1552377977196027"</f>
        <v>1552377977196027</v>
      </c>
      <c r="C839" t="s">
        <v>40</v>
      </c>
      <c r="D839">
        <v>7.0757399999999997</v>
      </c>
      <c r="E839">
        <v>0.50908629999999999</v>
      </c>
      <c r="F839" t="s">
        <v>45</v>
      </c>
      <c r="G839">
        <v>-147.2037</v>
      </c>
      <c r="H839">
        <v>-0.05</v>
      </c>
      <c r="I839">
        <v>364.30149999999998</v>
      </c>
      <c r="J839">
        <v>-281.22340000000003</v>
      </c>
      <c r="K839">
        <v>1.0592459999999999</v>
      </c>
      <c r="L839">
        <v>367.55790000000002</v>
      </c>
      <c r="M839">
        <v>0.99945459999999997</v>
      </c>
      <c r="N839">
        <v>0</v>
      </c>
      <c r="O839">
        <v>-3.145046E-2</v>
      </c>
      <c r="P839">
        <v>0.99903370000000002</v>
      </c>
      <c r="Q839">
        <v>4.3935700000000001E-2</v>
      </c>
      <c r="R839">
        <v>1.1935940000000001E-3</v>
      </c>
      <c r="S839">
        <v>3.0041500000000001</v>
      </c>
      <c r="T839">
        <v>-2.4833319999999999E-2</v>
      </c>
      <c r="U839">
        <v>-7.3028560000000006E-2</v>
      </c>
      <c r="V839">
        <v>-3.2583999999999898E-2</v>
      </c>
      <c r="W839">
        <v>5.4006819999999997E-2</v>
      </c>
      <c r="X839">
        <v>0.99800880000000003</v>
      </c>
      <c r="Y839">
        <v>-7.151424E-3</v>
      </c>
      <c r="Z839">
        <v>2.8944669999999997E-4</v>
      </c>
      <c r="AA839">
        <v>0.99997440000000004</v>
      </c>
      <c r="AB839">
        <v>33</v>
      </c>
      <c r="AC839">
        <v>134.0197</v>
      </c>
      <c r="AD839">
        <v>-1.109246</v>
      </c>
      <c r="AE839">
        <v>-3.2564000000000402</v>
      </c>
      <c r="AF839">
        <v>-0.96034018585108205</v>
      </c>
      <c r="AG839">
        <v>-1.109246</v>
      </c>
      <c r="AH839">
        <v>134.04663843266201</v>
      </c>
      <c r="AI839">
        <v>90.4741038903732</v>
      </c>
      <c r="AJ839">
        <v>90.410472793937302</v>
      </c>
      <c r="AK839">
        <v>134.05466778541501</v>
      </c>
      <c r="AL839">
        <v>86.904130959773099</v>
      </c>
      <c r="AM839">
        <v>91.8699862655224</v>
      </c>
      <c r="AN839">
        <v>1.0000000092699699</v>
      </c>
    </row>
    <row r="840" spans="1:40" x14ac:dyDescent="0.25">
      <c r="A840" t="str">
        <f>"20190312160617226"</f>
        <v>20190312160617226</v>
      </c>
      <c r="B840" t="str">
        <f>"1552377977215546"</f>
        <v>1552377977215546</v>
      </c>
      <c r="C840" t="s">
        <v>40</v>
      </c>
      <c r="D840">
        <v>6.6039859999999999</v>
      </c>
      <c r="E840">
        <v>0.50933300000000004</v>
      </c>
      <c r="F840" t="s">
        <v>42</v>
      </c>
      <c r="G840">
        <v>-158.19499999999999</v>
      </c>
      <c r="H840">
        <v>6.219769E-2</v>
      </c>
      <c r="I840">
        <v>364.63209999999998</v>
      </c>
      <c r="J840">
        <v>-280.90410000000003</v>
      </c>
      <c r="K840">
        <v>1.059742</v>
      </c>
      <c r="L840">
        <v>367.54700000000003</v>
      </c>
      <c r="M840">
        <v>0.9994767</v>
      </c>
      <c r="N840">
        <v>0</v>
      </c>
      <c r="O840">
        <v>-3.0384669999999999E-2</v>
      </c>
      <c r="P840">
        <v>0.9990888</v>
      </c>
      <c r="Q840">
        <v>4.2671639999999997E-2</v>
      </c>
      <c r="R840">
        <v>7.8821789999999903E-4</v>
      </c>
      <c r="S840">
        <v>3.0040589999999998</v>
      </c>
      <c r="T840">
        <v>-2.434337E-2</v>
      </c>
      <c r="U840">
        <v>-7.1441649999999995E-2</v>
      </c>
      <c r="V840">
        <v>-3.113341E-2</v>
      </c>
      <c r="W840">
        <v>5.3757319999999997E-2</v>
      </c>
      <c r="X840">
        <v>0.99806859999999997</v>
      </c>
      <c r="Y840">
        <v>-6.6127340000000003E-3</v>
      </c>
      <c r="Z840">
        <v>2.7293659999999998E-4</v>
      </c>
      <c r="AA840">
        <v>0.99997809999999998</v>
      </c>
      <c r="AB840">
        <v>33</v>
      </c>
      <c r="AC840">
        <v>122.70910000000001</v>
      </c>
      <c r="AD840">
        <v>-0.99754430999999999</v>
      </c>
      <c r="AE840">
        <v>-2.9148999999999798</v>
      </c>
      <c r="AF840">
        <v>-0.81509721363001697</v>
      </c>
      <c r="AG840">
        <v>-0.99754430999999999</v>
      </c>
      <c r="AH840">
        <v>122.73290304237401</v>
      </c>
      <c r="AI840">
        <v>90.465666162814401</v>
      </c>
      <c r="AJ840">
        <v>90.380508751022703</v>
      </c>
      <c r="AK840">
        <v>122.739663382816</v>
      </c>
      <c r="AL840">
        <v>86.918447131356601</v>
      </c>
      <c r="AM840">
        <v>91.786685560561494</v>
      </c>
      <c r="AN840">
        <v>1.00000003448888</v>
      </c>
    </row>
    <row r="841" spans="1:40" x14ac:dyDescent="0.25">
      <c r="A841" t="str">
        <f>"20190312160617238"</f>
        <v>20190312160617238</v>
      </c>
      <c r="B841" t="str">
        <f>"1552377977235540"</f>
        <v>1552377977235540</v>
      </c>
      <c r="C841" t="s">
        <v>40</v>
      </c>
      <c r="D841">
        <v>6.6368199999999904</v>
      </c>
      <c r="E841">
        <v>0.50929349999999995</v>
      </c>
      <c r="F841" t="s">
        <v>48</v>
      </c>
      <c r="G841">
        <v>-181.84649999999999</v>
      </c>
      <c r="H841" s="1">
        <v>-7.8637549999999994E-6</v>
      </c>
      <c r="I841">
        <v>365.08670000000001</v>
      </c>
      <c r="J841">
        <v>-280.7389</v>
      </c>
      <c r="K841">
        <v>1.060257</v>
      </c>
      <c r="L841">
        <v>367.54140000000001</v>
      </c>
      <c r="M841">
        <v>0.99947269999999999</v>
      </c>
      <c r="N841">
        <v>0</v>
      </c>
      <c r="O841">
        <v>-3.0308120000000001E-2</v>
      </c>
      <c r="P841">
        <v>0.99912319999999999</v>
      </c>
      <c r="Q841">
        <v>4.1865100000000002E-2</v>
      </c>
      <c r="R841">
        <v>2.5970529999999999E-4</v>
      </c>
      <c r="S841">
        <v>3.004181</v>
      </c>
      <c r="T841">
        <v>-3.213966E-2</v>
      </c>
      <c r="U841">
        <v>-7.4615479999999998E-2</v>
      </c>
      <c r="V841">
        <v>-3.055751E-2</v>
      </c>
      <c r="W841">
        <v>5.3491150000000001E-2</v>
      </c>
      <c r="X841">
        <v>0.9981006</v>
      </c>
      <c r="Y841">
        <v>-5.4806380000000003E-3</v>
      </c>
      <c r="Z841">
        <v>3.5345210000000001E-4</v>
      </c>
      <c r="AA841">
        <v>0.99998489999999995</v>
      </c>
      <c r="AB841">
        <v>33</v>
      </c>
      <c r="AC841">
        <v>98.892399999999995</v>
      </c>
      <c r="AD841">
        <v>-1.0602648637549901</v>
      </c>
      <c r="AE841">
        <v>-2.4546999999999999</v>
      </c>
      <c r="AF841">
        <v>-0.54381153175827102</v>
      </c>
      <c r="AG841">
        <v>-1.0602648637549901</v>
      </c>
      <c r="AH841">
        <v>98.910002846370205</v>
      </c>
      <c r="AI841">
        <v>90.614148775658094</v>
      </c>
      <c r="AJ841">
        <v>90.315011533467001</v>
      </c>
      <c r="AK841">
        <v>98.917180285491099</v>
      </c>
      <c r="AL841">
        <v>86.933719220769106</v>
      </c>
      <c r="AM841">
        <v>91.7536004271997</v>
      </c>
      <c r="AN841">
        <v>0.99999993613303895</v>
      </c>
    </row>
    <row r="842" spans="1:40" x14ac:dyDescent="0.25">
      <c r="A842" t="str">
        <f>"20190312160617250"</f>
        <v>20190312160617250</v>
      </c>
      <c r="B842" t="str">
        <f>"1552377977246277"</f>
        <v>1552377977246277</v>
      </c>
      <c r="C842" t="s">
        <v>40</v>
      </c>
      <c r="D842">
        <v>6.7238569999999998</v>
      </c>
      <c r="E842">
        <v>0.50942339999999997</v>
      </c>
      <c r="F842" t="s">
        <v>48</v>
      </c>
      <c r="G842">
        <v>-206.0454</v>
      </c>
      <c r="H842" s="1">
        <v>-4.3193089999999999E-6</v>
      </c>
      <c r="I842">
        <v>365.65910000000002</v>
      </c>
      <c r="J842">
        <v>-280.56459999999998</v>
      </c>
      <c r="K842">
        <v>1.060983</v>
      </c>
      <c r="L842">
        <v>367.53570000000002</v>
      </c>
      <c r="M842">
        <v>0.99944750000000004</v>
      </c>
      <c r="N842">
        <v>0</v>
      </c>
      <c r="O842">
        <v>-3.1002450000000001E-2</v>
      </c>
      <c r="P842">
        <v>0.99911609999999995</v>
      </c>
      <c r="Q842">
        <v>4.2031060000000002E-2</v>
      </c>
      <c r="R842">
        <v>-8.3317259999999996E-4</v>
      </c>
      <c r="S842">
        <v>3.0044559999999998</v>
      </c>
      <c r="T842">
        <v>-4.264772E-2</v>
      </c>
      <c r="U842">
        <v>-7.5714110000000001E-2</v>
      </c>
      <c r="V842">
        <v>-3.0205989999999999E-2</v>
      </c>
      <c r="W842">
        <v>5.3955389999999999E-2</v>
      </c>
      <c r="X842">
        <v>0.99808640000000004</v>
      </c>
      <c r="Y842">
        <v>-5.8106319999999996E-3</v>
      </c>
      <c r="Z842">
        <v>4.8114989999999998E-4</v>
      </c>
      <c r="AA842">
        <v>0.99998299999999996</v>
      </c>
      <c r="AB842">
        <v>32</v>
      </c>
      <c r="AC842">
        <v>74.519199999999898</v>
      </c>
      <c r="AD842">
        <v>-1.060987319309</v>
      </c>
      <c r="AE842">
        <v>-1.8765999999999901</v>
      </c>
      <c r="AF842">
        <v>-0.43465774155944997</v>
      </c>
      <c r="AG842">
        <v>-1.060987319309</v>
      </c>
      <c r="AH842">
        <v>74.526459493443696</v>
      </c>
      <c r="AI842">
        <v>90.815615767820603</v>
      </c>
      <c r="AJ842">
        <v>90.334160134889103</v>
      </c>
      <c r="AK842">
        <v>74.535278801866198</v>
      </c>
      <c r="AL842">
        <v>86.907082029710693</v>
      </c>
      <c r="AM842">
        <v>91.733464813947293</v>
      </c>
      <c r="AN842">
        <v>1.0000000239034399</v>
      </c>
    </row>
    <row r="843" spans="1:40" x14ac:dyDescent="0.25">
      <c r="A843" t="str">
        <f>"20190312160617264"</f>
        <v>20190312160617264</v>
      </c>
      <c r="B843" t="str">
        <f>"1552377977256036"</f>
        <v>1552377977256036</v>
      </c>
      <c r="C843" t="s">
        <v>40</v>
      </c>
      <c r="D843">
        <v>6.5799050000000001</v>
      </c>
      <c r="E843">
        <v>0.50942339999999997</v>
      </c>
      <c r="F843" t="s">
        <v>47</v>
      </c>
      <c r="G843">
        <v>-211.5342</v>
      </c>
      <c r="H843" s="1">
        <v>-4.309178E-6</v>
      </c>
      <c r="I843">
        <v>365.69799999999998</v>
      </c>
      <c r="J843">
        <v>-280.35520000000002</v>
      </c>
      <c r="K843">
        <v>1.061636</v>
      </c>
      <c r="L843">
        <v>367.52890000000002</v>
      </c>
      <c r="M843">
        <v>0.99942209999999998</v>
      </c>
      <c r="N843">
        <v>0</v>
      </c>
      <c r="O843">
        <v>-3.1974929999999999E-2</v>
      </c>
      <c r="P843">
        <v>0.99906989999999996</v>
      </c>
      <c r="Q843">
        <v>4.3068710000000003E-2</v>
      </c>
      <c r="R843">
        <v>-2.1518150000000001E-3</v>
      </c>
      <c r="S843">
        <v>3.0045169999999999</v>
      </c>
      <c r="T843">
        <v>-4.6178940000000002E-2</v>
      </c>
      <c r="U843">
        <v>-7.9986570000000007E-2</v>
      </c>
      <c r="V843">
        <v>-2.9891399999999999E-2</v>
      </c>
      <c r="W843">
        <v>5.4541520000000003E-2</v>
      </c>
      <c r="X843">
        <v>0.99806399999999995</v>
      </c>
      <c r="Y843">
        <v>-5.3622599999999998E-3</v>
      </c>
      <c r="Z843">
        <v>5.3244999999999996E-4</v>
      </c>
      <c r="AA843">
        <v>0.99998549999999997</v>
      </c>
      <c r="AB843">
        <v>32</v>
      </c>
      <c r="AC843">
        <v>68.820999999999998</v>
      </c>
      <c r="AD843">
        <v>-1.061640309178</v>
      </c>
      <c r="AE843">
        <v>-1.83089999999998</v>
      </c>
      <c r="AF843">
        <v>-0.37064126470084002</v>
      </c>
      <c r="AG843">
        <v>-1.061640309178</v>
      </c>
      <c r="AH843">
        <v>68.827984892507601</v>
      </c>
      <c r="AI843">
        <v>90.883678407478499</v>
      </c>
      <c r="AJ843">
        <v>90.308536926428005</v>
      </c>
      <c r="AK843">
        <v>68.837169897203196</v>
      </c>
      <c r="AL843">
        <v>86.873449688670803</v>
      </c>
      <c r="AM843">
        <v>91.715460407528994</v>
      </c>
      <c r="AN843">
        <v>1.00000001064693</v>
      </c>
    </row>
    <row r="844" spans="1:40" x14ac:dyDescent="0.25">
      <c r="A844" t="str">
        <f>"20190312160617277"</f>
        <v>20190312160617277</v>
      </c>
      <c r="B844" t="str">
        <f>"1552377977265796"</f>
        <v>1552377977265796</v>
      </c>
      <c r="C844" t="s">
        <v>40</v>
      </c>
      <c r="D844">
        <v>6.501163</v>
      </c>
      <c r="E844">
        <v>0.50567790000000001</v>
      </c>
      <c r="F844" t="s">
        <v>48</v>
      </c>
      <c r="G844">
        <v>-206.34209999999999</v>
      </c>
      <c r="H844" s="1">
        <v>-4.5011699999999998E-6</v>
      </c>
      <c r="I844">
        <v>365.46230000000003</v>
      </c>
      <c r="J844">
        <v>-280.17489999999998</v>
      </c>
      <c r="K844">
        <v>1.0620780000000001</v>
      </c>
      <c r="L844">
        <v>367.5231</v>
      </c>
      <c r="M844">
        <v>0.99940660000000003</v>
      </c>
      <c r="N844">
        <v>0</v>
      </c>
      <c r="O844">
        <v>-3.2705089999999999E-2</v>
      </c>
      <c r="P844">
        <v>0.99901870000000004</v>
      </c>
      <c r="Q844">
        <v>4.417712E-2</v>
      </c>
      <c r="R844">
        <v>-3.176318E-3</v>
      </c>
      <c r="S844">
        <v>3.0044559999999998</v>
      </c>
      <c r="T844">
        <v>-4.3095830000000002E-2</v>
      </c>
      <c r="U844">
        <v>-8.3892820000000007E-2</v>
      </c>
      <c r="V844">
        <v>-2.960525E-2</v>
      </c>
      <c r="W844">
        <v>5.4909560000000003E-2</v>
      </c>
      <c r="X844">
        <v>0.99805239999999995</v>
      </c>
      <c r="Y844">
        <v>-4.793416E-3</v>
      </c>
      <c r="Z844">
        <v>5.0328649999999999E-4</v>
      </c>
      <c r="AA844">
        <v>0.9999884</v>
      </c>
      <c r="AB844">
        <v>32</v>
      </c>
      <c r="AC844">
        <v>73.832799999999907</v>
      </c>
      <c r="AD844">
        <v>-1.0620825011699999</v>
      </c>
      <c r="AE844">
        <v>-2.0607999999999702</v>
      </c>
      <c r="AF844">
        <v>-0.35507857532760401</v>
      </c>
      <c r="AG844">
        <v>-1.0620825011699999</v>
      </c>
      <c r="AH844">
        <v>73.845432036942995</v>
      </c>
      <c r="AI844">
        <v>90.823990657164401</v>
      </c>
      <c r="AJ844">
        <v>90.275499058093104</v>
      </c>
      <c r="AK844">
        <v>73.853922934105</v>
      </c>
      <c r="AL844">
        <v>86.852331063620497</v>
      </c>
      <c r="AM844">
        <v>91.699067734297003</v>
      </c>
      <c r="AN844">
        <v>1.00000006187635</v>
      </c>
    </row>
    <row r="845" spans="1:40" x14ac:dyDescent="0.25">
      <c r="A845" t="str">
        <f>"20190312160617292"</f>
        <v>20190312160617292</v>
      </c>
      <c r="B845" t="str">
        <f>"1552377977286292"</f>
        <v>1552377977286292</v>
      </c>
      <c r="C845" t="s">
        <v>40</v>
      </c>
      <c r="D845">
        <v>6.5574960000000004</v>
      </c>
      <c r="E845">
        <v>0.50526380000000004</v>
      </c>
      <c r="F845" t="s">
        <v>44</v>
      </c>
      <c r="G845">
        <v>-279.20940000000002</v>
      </c>
      <c r="H845">
        <v>0.96106840000000004</v>
      </c>
      <c r="I845">
        <v>367.50349999999997</v>
      </c>
      <c r="J845">
        <v>-279.95139999999998</v>
      </c>
      <c r="K845">
        <v>1.0623910000000001</v>
      </c>
      <c r="L845">
        <v>367.51549999999997</v>
      </c>
      <c r="M845">
        <v>0.99941100000000005</v>
      </c>
      <c r="N845">
        <v>0</v>
      </c>
      <c r="O845">
        <v>-3.2989169999999998E-2</v>
      </c>
      <c r="P845">
        <v>0.99890710000000005</v>
      </c>
      <c r="Q845">
        <v>4.6611359999999998E-2</v>
      </c>
      <c r="R845">
        <v>-3.478419E-3</v>
      </c>
      <c r="S845">
        <v>3.0167540000000002</v>
      </c>
      <c r="T845">
        <v>-0.315859</v>
      </c>
      <c r="U845">
        <v>-6.011963E-2</v>
      </c>
      <c r="V845">
        <v>-2.955203E-2</v>
      </c>
      <c r="W845">
        <v>5.6021260000000003E-2</v>
      </c>
      <c r="X845">
        <v>0.9979922</v>
      </c>
      <c r="Y845">
        <v>-1.2820089999999999E-2</v>
      </c>
      <c r="Z845">
        <v>4.1129130000000002E-3</v>
      </c>
      <c r="AA845">
        <v>0.9999093</v>
      </c>
      <c r="AB845">
        <v>33</v>
      </c>
      <c r="AC845">
        <v>0.74199999999996102</v>
      </c>
      <c r="AD845">
        <v>-0.101322599999999</v>
      </c>
      <c r="AE845">
        <v>-1.2000000000000399E-2</v>
      </c>
      <c r="AF845">
        <v>-1.2257093962660901E-2</v>
      </c>
      <c r="AG845">
        <v>-0.101322599999999</v>
      </c>
      <c r="AH845">
        <v>0.72841295230668202</v>
      </c>
      <c r="AI845">
        <v>97.917950182031603</v>
      </c>
      <c r="AJ845">
        <v>90.964032116956005</v>
      </c>
      <c r="AK845">
        <v>0.73552833712325805</v>
      </c>
      <c r="AL845">
        <v>86.788537160975906</v>
      </c>
      <c r="AM845">
        <v>91.696117429406698</v>
      </c>
      <c r="AN845">
        <v>1.0000000676549701</v>
      </c>
    </row>
    <row r="846" spans="1:40" x14ac:dyDescent="0.25">
      <c r="A846" t="str">
        <f>"20190312160617305"</f>
        <v>20190312160617305</v>
      </c>
      <c r="B846" t="str">
        <f>"1552377977296053"</f>
        <v>1552377977296053</v>
      </c>
      <c r="C846" t="s">
        <v>40</v>
      </c>
      <c r="D846">
        <v>6.5748229999999896</v>
      </c>
      <c r="E846">
        <v>0.50478840000000003</v>
      </c>
      <c r="F846" t="s">
        <v>44</v>
      </c>
      <c r="G846">
        <v>-279.18880000000001</v>
      </c>
      <c r="H846">
        <v>0.99226829999999999</v>
      </c>
      <c r="I846">
        <v>367.50060000000002</v>
      </c>
      <c r="J846">
        <v>-279.7577</v>
      </c>
      <c r="K846">
        <v>1.0628770000000001</v>
      </c>
      <c r="L846">
        <v>367.50880000000001</v>
      </c>
      <c r="M846">
        <v>0.99942200000000003</v>
      </c>
      <c r="N846">
        <v>0</v>
      </c>
      <c r="O846">
        <v>-3.2972969999999997E-2</v>
      </c>
      <c r="P846">
        <v>0.99884770000000001</v>
      </c>
      <c r="Q846">
        <v>4.7866300000000001E-2</v>
      </c>
      <c r="R846">
        <v>-3.4591689999999998E-3</v>
      </c>
      <c r="S846">
        <v>3.0160520000000002</v>
      </c>
      <c r="T846">
        <v>-0.27770630000000002</v>
      </c>
      <c r="U846">
        <v>-5.7617189999999999E-2</v>
      </c>
      <c r="V846">
        <v>-2.953045E-2</v>
      </c>
      <c r="W846">
        <v>5.6114099999999903E-2</v>
      </c>
      <c r="X846">
        <v>0.99798759999999997</v>
      </c>
      <c r="Y846">
        <v>-1.3681240000000001E-2</v>
      </c>
      <c r="Z846">
        <v>3.6572639999999999E-3</v>
      </c>
      <c r="AA846">
        <v>0.99989969999999995</v>
      </c>
      <c r="AB846">
        <v>33</v>
      </c>
      <c r="AC846">
        <v>0.56889999999998497</v>
      </c>
      <c r="AD846">
        <v>-7.0608699999999899E-2</v>
      </c>
      <c r="AE846">
        <v>-8.1999999999879895E-3</v>
      </c>
      <c r="AF846">
        <v>-1.0403202051957199E-2</v>
      </c>
      <c r="AG846">
        <v>-7.0608699999999899E-2</v>
      </c>
      <c r="AH846">
        <v>0.56023277084548095</v>
      </c>
      <c r="AI846">
        <v>97.182148564112097</v>
      </c>
      <c r="AJ846">
        <v>91.063827580913994</v>
      </c>
      <c r="AK846">
        <v>0.56476063306309598</v>
      </c>
      <c r="AL846">
        <v>86.783209366664195</v>
      </c>
      <c r="AM846">
        <v>91.694887391171306</v>
      </c>
      <c r="AN846">
        <v>1.00000004472488</v>
      </c>
    </row>
    <row r="847" spans="1:40" x14ac:dyDescent="0.25">
      <c r="A847" t="str">
        <f>"20190312160617319"</f>
        <v>20190312160617319</v>
      </c>
      <c r="B847" t="str">
        <f>"1552377977315571"</f>
        <v>1552377977315571</v>
      </c>
      <c r="C847" t="s">
        <v>40</v>
      </c>
      <c r="D847">
        <v>7.3324020000000001</v>
      </c>
      <c r="E847">
        <v>0.50465059999999995</v>
      </c>
      <c r="F847" t="s">
        <v>44</v>
      </c>
      <c r="G847">
        <v>-278.9008</v>
      </c>
      <c r="H847">
        <v>0.98786410000000002</v>
      </c>
      <c r="I847">
        <v>367.49329999999998</v>
      </c>
      <c r="J847">
        <v>-279.55290000000002</v>
      </c>
      <c r="K847">
        <v>1.06352</v>
      </c>
      <c r="L847">
        <v>367.5016</v>
      </c>
      <c r="M847">
        <v>0.99943490000000001</v>
      </c>
      <c r="N847">
        <v>0</v>
      </c>
      <c r="O847">
        <v>-3.2859060000000002E-2</v>
      </c>
      <c r="P847">
        <v>0.99878619999999996</v>
      </c>
      <c r="Q847">
        <v>4.9147639999999999E-2</v>
      </c>
      <c r="R847">
        <v>-3.301581E-3</v>
      </c>
      <c r="S847">
        <v>3.01593</v>
      </c>
      <c r="T847">
        <v>-0.26413700000000001</v>
      </c>
      <c r="U847">
        <v>-5.4107669999999997E-2</v>
      </c>
      <c r="V847">
        <v>-2.9553639999999999E-2</v>
      </c>
      <c r="W847">
        <v>5.6196459999999997E-2</v>
      </c>
      <c r="X847">
        <v>0.99798229999999999</v>
      </c>
      <c r="Y847">
        <v>-1.4744439999999999E-2</v>
      </c>
      <c r="Z847">
        <v>3.5159409999999999E-3</v>
      </c>
      <c r="AA847">
        <v>0.99988509999999997</v>
      </c>
      <c r="AB847">
        <v>33</v>
      </c>
      <c r="AC847">
        <v>0.652100000000018</v>
      </c>
      <c r="AD847">
        <v>-7.5655900000000095E-2</v>
      </c>
      <c r="AE847">
        <v>-8.3000000000197308E-3</v>
      </c>
      <c r="AF847">
        <v>-1.2958021150210899E-2</v>
      </c>
      <c r="AG847">
        <v>-7.5655900000000095E-2</v>
      </c>
      <c r="AH847">
        <v>0.64336208914839599</v>
      </c>
      <c r="AI847">
        <v>96.705523923226707</v>
      </c>
      <c r="AJ847">
        <v>91.153844104259505</v>
      </c>
      <c r="AK847">
        <v>0.64792476667459398</v>
      </c>
      <c r="AL847">
        <v>86.778483095319501</v>
      </c>
      <c r="AM847">
        <v>91.696226596812707</v>
      </c>
      <c r="AN847">
        <v>1.0000000654335299</v>
      </c>
    </row>
    <row r="848" spans="1:40" x14ac:dyDescent="0.25">
      <c r="A848" t="str">
        <f>"20190312160617333"</f>
        <v>20190312160617333</v>
      </c>
      <c r="B848" t="str">
        <f>"1552377977326309"</f>
        <v>1552377977326309</v>
      </c>
      <c r="C848" t="s">
        <v>40</v>
      </c>
      <c r="D848">
        <v>6.6393760000000004</v>
      </c>
      <c r="E848">
        <v>0.491427</v>
      </c>
      <c r="F848" t="s">
        <v>44</v>
      </c>
      <c r="G848">
        <v>-278.6112</v>
      </c>
      <c r="H848">
        <v>0.98292349999999995</v>
      </c>
      <c r="I848">
        <v>367.48509999999999</v>
      </c>
      <c r="J848">
        <v>-279.3399</v>
      </c>
      <c r="K848">
        <v>1.0643590000000001</v>
      </c>
      <c r="L848">
        <v>367.49419999999998</v>
      </c>
      <c r="M848">
        <v>0.99944940000000004</v>
      </c>
      <c r="N848">
        <v>0</v>
      </c>
      <c r="O848">
        <v>-3.2653990000000001E-2</v>
      </c>
      <c r="P848">
        <v>0.99873000000000001</v>
      </c>
      <c r="Q848">
        <v>5.0302239999999998E-2</v>
      </c>
      <c r="R848">
        <v>-2.8429219999999999E-3</v>
      </c>
      <c r="S848">
        <v>3.0161739999999999</v>
      </c>
      <c r="T848">
        <v>-0.25831100000000001</v>
      </c>
      <c r="U848">
        <v>-5.2520749999999998E-2</v>
      </c>
      <c r="V848">
        <v>-2.9794480000000002E-2</v>
      </c>
      <c r="W848">
        <v>5.616314E-2</v>
      </c>
      <c r="X848">
        <v>0.997977</v>
      </c>
      <c r="Y848">
        <v>-1.507389E-2</v>
      </c>
      <c r="Z848">
        <v>3.4349599999999999E-3</v>
      </c>
      <c r="AA848">
        <v>0.99988049999999995</v>
      </c>
      <c r="AB848">
        <v>33</v>
      </c>
      <c r="AC848">
        <v>0.72870000000000301</v>
      </c>
      <c r="AD848">
        <v>-8.1435499999999994E-2</v>
      </c>
      <c r="AE848">
        <v>-9.0999999999894499E-3</v>
      </c>
      <c r="AF848">
        <v>-1.45189278020195E-2</v>
      </c>
      <c r="AG848">
        <v>-8.1435499999999994E-2</v>
      </c>
      <c r="AH848">
        <v>0.71962252656591597</v>
      </c>
      <c r="AI848">
        <v>96.455061015560602</v>
      </c>
      <c r="AJ848">
        <v>91.155828797111795</v>
      </c>
      <c r="AK848">
        <v>0.72436118108708902</v>
      </c>
      <c r="AL848">
        <v>86.780395163690997</v>
      </c>
      <c r="AM848">
        <v>91.710050473391604</v>
      </c>
      <c r="AN848">
        <v>1.00000005093106</v>
      </c>
    </row>
    <row r="849" spans="1:40" x14ac:dyDescent="0.25">
      <c r="A849" t="str">
        <f>"20190312160617362"</f>
        <v>20190312160617362</v>
      </c>
      <c r="B849" t="str">
        <f>"1552377977356095"</f>
        <v>1552377977356095</v>
      </c>
      <c r="C849" t="s">
        <v>40</v>
      </c>
      <c r="D849">
        <v>7.2971820000000003</v>
      </c>
      <c r="E849">
        <v>0.49132029999999899</v>
      </c>
      <c r="F849" t="s">
        <v>42</v>
      </c>
      <c r="G849">
        <v>-158.78319999999999</v>
      </c>
      <c r="H849">
        <v>0.23469390000000001</v>
      </c>
      <c r="I849">
        <v>369.8057</v>
      </c>
      <c r="J849">
        <v>-278.92</v>
      </c>
      <c r="K849">
        <v>1.066419</v>
      </c>
      <c r="L849">
        <v>367.47969999999998</v>
      </c>
      <c r="M849">
        <v>0.99946619999999997</v>
      </c>
      <c r="N849">
        <v>0</v>
      </c>
      <c r="O849">
        <v>-3.246487E-2</v>
      </c>
      <c r="P849">
        <v>0.99865170000000003</v>
      </c>
      <c r="Q849">
        <v>5.1883230000000002E-2</v>
      </c>
      <c r="R849">
        <v>-1.8116390000000001E-3</v>
      </c>
      <c r="S849">
        <v>3.0050349999999999</v>
      </c>
      <c r="T849">
        <v>-2.067828E-2</v>
      </c>
      <c r="U849">
        <v>5.7617189999999999E-2</v>
      </c>
      <c r="V849">
        <v>-3.0640199999999999E-2</v>
      </c>
      <c r="W849">
        <v>5.5548970000000003E-2</v>
      </c>
      <c r="X849">
        <v>0.99798569999999998</v>
      </c>
      <c r="Y849">
        <v>-5.1617049999999998E-2</v>
      </c>
      <c r="Z849">
        <v>4.009393E-4</v>
      </c>
      <c r="AA849">
        <v>0.99866690000000002</v>
      </c>
      <c r="AB849">
        <v>33</v>
      </c>
      <c r="AC849">
        <v>120.13679999999999</v>
      </c>
      <c r="AD849">
        <v>-0.83172509999999999</v>
      </c>
      <c r="AE849">
        <v>2.3260000000000201</v>
      </c>
      <c r="AF849">
        <v>-6.2247272796863404</v>
      </c>
      <c r="AG849">
        <v>-0.83172509999999999</v>
      </c>
      <c r="AH849">
        <v>119.992209441592</v>
      </c>
      <c r="AI849">
        <v>90.396605623021102</v>
      </c>
      <c r="AJ849">
        <v>92.969619344812898</v>
      </c>
      <c r="AK849">
        <v>120.15643687719501</v>
      </c>
      <c r="AL849">
        <v>86.815639319319203</v>
      </c>
      <c r="AM849">
        <v>91.758545088414607</v>
      </c>
      <c r="AN849">
        <v>0.99999998366429499</v>
      </c>
    </row>
    <row r="850" spans="1:40" x14ac:dyDescent="0.25">
      <c r="A850" t="str">
        <f>"20190312160617377"</f>
        <v>20190312160617377</v>
      </c>
      <c r="B850" t="str">
        <f>"1552377977365855"</f>
        <v>1552377977365855</v>
      </c>
      <c r="C850" t="s">
        <v>40</v>
      </c>
      <c r="D850">
        <v>6.6105280000000004</v>
      </c>
      <c r="E850">
        <v>0.49151679999999998</v>
      </c>
      <c r="F850" t="s">
        <v>42</v>
      </c>
      <c r="G850">
        <v>-158.78319999999999</v>
      </c>
      <c r="H850">
        <v>0.6265404</v>
      </c>
      <c r="I850">
        <v>369.94439999999997</v>
      </c>
      <c r="J850">
        <v>-278.69830000000002</v>
      </c>
      <c r="K850">
        <v>1.067599</v>
      </c>
      <c r="L850">
        <v>367.47219999999999</v>
      </c>
      <c r="M850">
        <v>0.9994693</v>
      </c>
      <c r="N850">
        <v>0</v>
      </c>
      <c r="O850">
        <v>-3.2465929999999997E-2</v>
      </c>
      <c r="P850">
        <v>0.99858420000000003</v>
      </c>
      <c r="Q850">
        <v>5.3174319999999997E-2</v>
      </c>
      <c r="R850">
        <v>-1.511257E-3</v>
      </c>
      <c r="S850">
        <v>3.0047609999999998</v>
      </c>
      <c r="T850">
        <v>-1.099968E-2</v>
      </c>
      <c r="U850">
        <v>6.1645510000000001E-2</v>
      </c>
      <c r="V850">
        <v>-3.0947599999999999E-2</v>
      </c>
      <c r="W850">
        <v>5.5834160000000001E-2</v>
      </c>
      <c r="X850">
        <v>0.99796030000000002</v>
      </c>
      <c r="Y850">
        <v>-5.2959470000000002E-2</v>
      </c>
      <c r="Z850">
        <v>2.1575659999999999E-4</v>
      </c>
      <c r="AA850">
        <v>0.9985967</v>
      </c>
      <c r="AB850">
        <v>33</v>
      </c>
      <c r="AC850">
        <v>119.9151</v>
      </c>
      <c r="AD850">
        <v>-0.44105859999999902</v>
      </c>
      <c r="AE850">
        <v>2.47219999999998</v>
      </c>
      <c r="AF850">
        <v>-6.36397972282378</v>
      </c>
      <c r="AG850">
        <v>-0.44105859999999902</v>
      </c>
      <c r="AH850">
        <v>119.77000327899999</v>
      </c>
      <c r="AI850">
        <v>90.2106961955038</v>
      </c>
      <c r="AJ850">
        <v>93.0415512496578</v>
      </c>
      <c r="AK850">
        <v>119.939770118393</v>
      </c>
      <c r="AL850">
        <v>86.799273737253401</v>
      </c>
      <c r="AM850">
        <v>91.776221751080399</v>
      </c>
      <c r="AN850">
        <v>0.99999998387237699</v>
      </c>
    </row>
    <row r="851" spans="1:40" x14ac:dyDescent="0.25">
      <c r="A851" t="str">
        <f>"20190312160617392"</f>
        <v>20190312160617392</v>
      </c>
      <c r="B851" t="str">
        <f>"1552377977386350"</f>
        <v>1552377977386350</v>
      </c>
      <c r="C851" t="s">
        <v>40</v>
      </c>
      <c r="D851">
        <v>6.746613</v>
      </c>
      <c r="E851">
        <v>0.49155159999999998</v>
      </c>
      <c r="F851" t="s">
        <v>42</v>
      </c>
      <c r="G851">
        <v>-158.78319999999999</v>
      </c>
      <c r="H851">
        <v>0.7976084</v>
      </c>
      <c r="I851">
        <v>369.91289999999998</v>
      </c>
      <c r="J851">
        <v>-278.4753</v>
      </c>
      <c r="K851">
        <v>1.0688799999999901</v>
      </c>
      <c r="L851">
        <v>367.46469999999999</v>
      </c>
      <c r="M851">
        <v>0.99947039999999998</v>
      </c>
      <c r="N851">
        <v>0</v>
      </c>
      <c r="O851">
        <v>-3.247365E-2</v>
      </c>
      <c r="P851">
        <v>0.99853939999999997</v>
      </c>
      <c r="Q851">
        <v>5.4018900000000002E-2</v>
      </c>
      <c r="R851">
        <v>-1.0303070000000001E-3</v>
      </c>
      <c r="S851">
        <v>3.0047299999999999</v>
      </c>
      <c r="T851">
        <v>-6.7629810000000004E-3</v>
      </c>
      <c r="U851">
        <v>6.115723E-2</v>
      </c>
      <c r="V851">
        <v>-3.1439590000000003E-2</v>
      </c>
      <c r="W851">
        <v>5.6131720000000003E-2</v>
      </c>
      <c r="X851">
        <v>0.99792829999999999</v>
      </c>
      <c r="Y851">
        <v>-5.2805489999999997E-2</v>
      </c>
      <c r="Z851">
        <v>1.325004E-4</v>
      </c>
      <c r="AA851">
        <v>0.99860479999999996</v>
      </c>
      <c r="AB851">
        <v>33</v>
      </c>
      <c r="AC851">
        <v>119.6921</v>
      </c>
      <c r="AD851">
        <v>-0.271271599999999</v>
      </c>
      <c r="AE851">
        <v>2.4481999999999799</v>
      </c>
      <c r="AF851">
        <v>-6.3337241520424596</v>
      </c>
      <c r="AG851">
        <v>-0.271271599999999</v>
      </c>
      <c r="AH851">
        <v>119.54885716136</v>
      </c>
      <c r="AI851">
        <v>90.129829125498901</v>
      </c>
      <c r="AJ851">
        <v>93.032707331074803</v>
      </c>
      <c r="AK851">
        <v>119.716827967093</v>
      </c>
      <c r="AL851">
        <v>86.782198254071503</v>
      </c>
      <c r="AM851">
        <v>91.804498568738097</v>
      </c>
      <c r="AN851">
        <v>1.0000000548751999</v>
      </c>
    </row>
    <row r="852" spans="1:40" x14ac:dyDescent="0.25">
      <c r="A852" t="str">
        <f>"20190312160617403"</f>
        <v>20190312160617403</v>
      </c>
      <c r="B852" t="str">
        <f>"1552377977396112"</f>
        <v>1552377977396112</v>
      </c>
      <c r="C852" t="s">
        <v>40</v>
      </c>
      <c r="D852">
        <v>6.5580059999999998</v>
      </c>
      <c r="E852">
        <v>0.50197829999999999</v>
      </c>
      <c r="F852" t="s">
        <v>42</v>
      </c>
      <c r="G852">
        <v>-158.78319999999999</v>
      </c>
      <c r="H852">
        <v>0.92308489999999999</v>
      </c>
      <c r="I852">
        <v>369.9556</v>
      </c>
      <c r="J852">
        <v>-278.30520000000001</v>
      </c>
      <c r="K852">
        <v>1.0700730000000001</v>
      </c>
      <c r="L852">
        <v>367.459</v>
      </c>
      <c r="M852">
        <v>0.99947010000000003</v>
      </c>
      <c r="N852">
        <v>0</v>
      </c>
      <c r="O852">
        <v>-3.2483020000000001E-2</v>
      </c>
      <c r="P852">
        <v>0.99852580000000002</v>
      </c>
      <c r="Q852">
        <v>5.4278680000000003E-2</v>
      </c>
      <c r="R852">
        <v>-6.128253E-4</v>
      </c>
      <c r="S852">
        <v>3.0046390000000001</v>
      </c>
      <c r="T852">
        <v>-3.6576989999999999E-3</v>
      </c>
      <c r="U852">
        <v>6.2530520000000006E-2</v>
      </c>
      <c r="V852">
        <v>-3.1868390000000003E-2</v>
      </c>
      <c r="W852">
        <v>5.6361660000000001E-2</v>
      </c>
      <c r="X852">
        <v>0.9979017</v>
      </c>
      <c r="Y852">
        <v>-5.3271840000000001E-2</v>
      </c>
      <c r="Z852" s="1">
        <v>7.1958879999999998E-5</v>
      </c>
      <c r="AA852">
        <v>0.99858000000000002</v>
      </c>
      <c r="AB852">
        <v>33</v>
      </c>
      <c r="AC852">
        <v>119.52200000000001</v>
      </c>
      <c r="AD852">
        <v>-0.14698810000000001</v>
      </c>
      <c r="AE852">
        <v>2.4965999999999999</v>
      </c>
      <c r="AF852">
        <v>-6.3777168702988298</v>
      </c>
      <c r="AG852">
        <v>-0.14698810000000001</v>
      </c>
      <c r="AH852">
        <v>119.377648712718</v>
      </c>
      <c r="AI852">
        <v>90.070447027060894</v>
      </c>
      <c r="AJ852">
        <v>93.058103427577606</v>
      </c>
      <c r="AK852">
        <v>119.547981539449</v>
      </c>
      <c r="AL852">
        <v>86.769002650757301</v>
      </c>
      <c r="AM852">
        <v>91.829141980073999</v>
      </c>
      <c r="AN852">
        <v>1.0000000169310099</v>
      </c>
    </row>
    <row r="853" spans="1:40" x14ac:dyDescent="0.25">
      <c r="A853" t="str">
        <f>"20190312160617415"</f>
        <v>20190312160617415</v>
      </c>
      <c r="B853" t="str">
        <f>"1552377977405871"</f>
        <v>1552377977405871</v>
      </c>
      <c r="C853" t="s">
        <v>40</v>
      </c>
      <c r="D853">
        <v>6.6288770000000001</v>
      </c>
      <c r="E853">
        <v>0.50363559999999996</v>
      </c>
      <c r="F853" t="s">
        <v>47</v>
      </c>
      <c r="G853">
        <v>-258.17509999999999</v>
      </c>
      <c r="H853" s="1">
        <v>-1.2187530000000001E-6</v>
      </c>
      <c r="I853">
        <v>367.3175</v>
      </c>
      <c r="J853">
        <v>-278.13780000000003</v>
      </c>
      <c r="K853">
        <v>1.0713010000000001</v>
      </c>
      <c r="L853">
        <v>367.45350000000002</v>
      </c>
      <c r="M853">
        <v>0.99946959999999996</v>
      </c>
      <c r="N853">
        <v>0</v>
      </c>
      <c r="O853">
        <v>-3.2492449999999999E-2</v>
      </c>
      <c r="P853">
        <v>0.99852289999999999</v>
      </c>
      <c r="Q853">
        <v>5.432501E-2</v>
      </c>
      <c r="R853">
        <v>-6.6938640000000003E-4</v>
      </c>
      <c r="S853">
        <v>3.0131230000000002</v>
      </c>
      <c r="T853">
        <v>-0.1601706</v>
      </c>
      <c r="U853">
        <v>-2.1179199999999999E-2</v>
      </c>
      <c r="V853">
        <v>-3.1823009999999999E-2</v>
      </c>
      <c r="W853">
        <v>5.6457350000000003E-2</v>
      </c>
      <c r="X853">
        <v>0.9978977</v>
      </c>
      <c r="Y853">
        <v>-2.538493E-2</v>
      </c>
      <c r="Z853">
        <v>2.399927E-3</v>
      </c>
      <c r="AA853">
        <v>0.99967490000000003</v>
      </c>
      <c r="AB853">
        <v>33</v>
      </c>
      <c r="AC853">
        <v>19.962700000000002</v>
      </c>
      <c r="AD853">
        <v>-1.0713022187529999</v>
      </c>
      <c r="AE853">
        <v>-0.13600000000002399</v>
      </c>
      <c r="AF853">
        <v>-0.51123811253915996</v>
      </c>
      <c r="AG853">
        <v>-1.0713022187529999</v>
      </c>
      <c r="AH853">
        <v>19.899271933050802</v>
      </c>
      <c r="AI853">
        <v>93.080600593917694</v>
      </c>
      <c r="AJ853">
        <v>91.471679175691307</v>
      </c>
      <c r="AK853">
        <v>19.9346451264406</v>
      </c>
      <c r="AL853">
        <v>86.763511147741895</v>
      </c>
      <c r="AM853">
        <v>91.826546397803298</v>
      </c>
      <c r="AN853">
        <v>0.99999997799988605</v>
      </c>
    </row>
    <row r="854" spans="1:40" x14ac:dyDescent="0.25">
      <c r="A854" t="str">
        <f>"20190312160617428"</f>
        <v>20190312160617428</v>
      </c>
      <c r="B854" t="str">
        <f>"1552377977415631"</f>
        <v>1552377977415631</v>
      </c>
      <c r="C854" t="s">
        <v>40</v>
      </c>
      <c r="D854">
        <v>6.5591869999999997</v>
      </c>
      <c r="E854">
        <v>0.50394799999999995</v>
      </c>
      <c r="F854" t="s">
        <v>47</v>
      </c>
      <c r="G854">
        <v>-259.0274</v>
      </c>
      <c r="H854" s="1">
        <v>-9.5096149999999998E-7</v>
      </c>
      <c r="I854">
        <v>367.23390000000001</v>
      </c>
      <c r="J854">
        <v>-277.95069999999998</v>
      </c>
      <c r="K854">
        <v>1.072824</v>
      </c>
      <c r="L854">
        <v>367.44740000000002</v>
      </c>
      <c r="M854">
        <v>0.99946919999999995</v>
      </c>
      <c r="N854">
        <v>0</v>
      </c>
      <c r="O854">
        <v>-3.2499899999999998E-2</v>
      </c>
      <c r="P854">
        <v>0.99852059999999998</v>
      </c>
      <c r="Q854">
        <v>5.437434E-2</v>
      </c>
      <c r="R854">
        <v>-4.3443600000000001E-4</v>
      </c>
      <c r="S854">
        <v>3.013611</v>
      </c>
      <c r="T854">
        <v>-0.16893859999999999</v>
      </c>
      <c r="U854">
        <v>-3.463745E-2</v>
      </c>
      <c r="V854">
        <v>-3.2065879999999998E-2</v>
      </c>
      <c r="W854">
        <v>5.6613499999999997E-2</v>
      </c>
      <c r="X854">
        <v>0.99788109999999997</v>
      </c>
      <c r="Y854">
        <v>-2.0927149999999999E-2</v>
      </c>
      <c r="Z854">
        <v>2.40618E-3</v>
      </c>
      <c r="AA854">
        <v>0.9997781</v>
      </c>
      <c r="AB854">
        <v>33</v>
      </c>
      <c r="AC854">
        <v>18.923299999999902</v>
      </c>
      <c r="AD854">
        <v>-1.0728249509615</v>
      </c>
      <c r="AE854">
        <v>-0.21350000000000999</v>
      </c>
      <c r="AF854">
        <v>-0.400333141928852</v>
      </c>
      <c r="AG854">
        <v>-1.0728249509615</v>
      </c>
      <c r="AH854">
        <v>18.859632577262001</v>
      </c>
      <c r="AI854">
        <v>93.2550141032835</v>
      </c>
      <c r="AJ854">
        <v>91.216034044507893</v>
      </c>
      <c r="AK854">
        <v>18.894363205709102</v>
      </c>
      <c r="AL854">
        <v>86.754550148670006</v>
      </c>
      <c r="AM854">
        <v>91.840507460199206</v>
      </c>
      <c r="AN854">
        <v>0.99999999938981698</v>
      </c>
    </row>
    <row r="855" spans="1:40" x14ac:dyDescent="0.25">
      <c r="A855" t="str">
        <f>"20190312160617440"</f>
        <v>20190312160617440</v>
      </c>
      <c r="B855" t="str">
        <f>"1552377977435657"</f>
        <v>1552377977435657</v>
      </c>
      <c r="C855" t="s">
        <v>40</v>
      </c>
      <c r="D855">
        <v>6.8696659999999996</v>
      </c>
      <c r="E855">
        <v>0.50734990000000002</v>
      </c>
      <c r="F855" t="s">
        <v>47</v>
      </c>
      <c r="G855">
        <v>-262.52980000000002</v>
      </c>
      <c r="H855" s="1">
        <v>-3.6051099999999999E-6</v>
      </c>
      <c r="I855">
        <v>367.2593</v>
      </c>
      <c r="J855">
        <v>-277.77210000000002</v>
      </c>
      <c r="K855">
        <v>1.0743020000000001</v>
      </c>
      <c r="L855">
        <v>367.44159999999999</v>
      </c>
      <c r="M855">
        <v>0.99946939999999995</v>
      </c>
      <c r="N855">
        <v>0</v>
      </c>
      <c r="O855">
        <v>-3.2495980000000001E-2</v>
      </c>
      <c r="P855">
        <v>0.99849779999999999</v>
      </c>
      <c r="Q855">
        <v>5.4792830000000001E-2</v>
      </c>
      <c r="R855">
        <v>-4.8953199999999999E-4</v>
      </c>
      <c r="S855">
        <v>3.0158689999999999</v>
      </c>
      <c r="T855">
        <v>-0.2098122</v>
      </c>
      <c r="U855">
        <v>-3.6773680000000003E-2</v>
      </c>
      <c r="V855">
        <v>-3.2007050000000002E-2</v>
      </c>
      <c r="W855">
        <v>5.704244E-2</v>
      </c>
      <c r="X855">
        <v>0.99785860000000004</v>
      </c>
      <c r="Y855">
        <v>-2.018033E-2</v>
      </c>
      <c r="Z855">
        <v>2.9586009999999999E-3</v>
      </c>
      <c r="AA855">
        <v>0.99979200000000001</v>
      </c>
      <c r="AB855">
        <v>33</v>
      </c>
      <c r="AC855">
        <v>15.2423</v>
      </c>
      <c r="AD855">
        <v>-1.07430560511</v>
      </c>
      <c r="AE855">
        <v>-0.18229999999999699</v>
      </c>
      <c r="AF855">
        <v>-0.311563446200325</v>
      </c>
      <c r="AG855">
        <v>-1.07430560511</v>
      </c>
      <c r="AH855">
        <v>15.164850484158499</v>
      </c>
      <c r="AI855">
        <v>94.0513155531699</v>
      </c>
      <c r="AJ855">
        <v>91.176982225485801</v>
      </c>
      <c r="AK855">
        <v>15.2060479586598</v>
      </c>
      <c r="AL855">
        <v>86.729934044315897</v>
      </c>
      <c r="AM855">
        <v>91.837174465917599</v>
      </c>
      <c r="AN855">
        <v>1.0000000384023999</v>
      </c>
    </row>
    <row r="856" spans="1:40" x14ac:dyDescent="0.25">
      <c r="A856" t="str">
        <f>"20190312160617453"</f>
        <v>20190312160617453</v>
      </c>
      <c r="B856" t="str">
        <f>"1552377977446393"</f>
        <v>1552377977446393</v>
      </c>
      <c r="C856" t="s">
        <v>40</v>
      </c>
      <c r="D856">
        <v>6.6206779999999998</v>
      </c>
      <c r="E856">
        <v>0.50715940000000004</v>
      </c>
      <c r="F856" t="s">
        <v>44</v>
      </c>
      <c r="G856">
        <v>-276.84050000000002</v>
      </c>
      <c r="H856">
        <v>1.003417</v>
      </c>
      <c r="I856">
        <v>367.42160000000001</v>
      </c>
      <c r="J856">
        <v>-277.5874</v>
      </c>
      <c r="K856">
        <v>1.0758559999999999</v>
      </c>
      <c r="L856">
        <v>367.4357</v>
      </c>
      <c r="M856">
        <v>0.99947010000000003</v>
      </c>
      <c r="N856">
        <v>0</v>
      </c>
      <c r="O856">
        <v>-3.2480080000000001E-2</v>
      </c>
      <c r="P856">
        <v>0.99849900000000003</v>
      </c>
      <c r="Q856">
        <v>5.4769100000000001E-2</v>
      </c>
      <c r="R856">
        <v>-5.016911E-4</v>
      </c>
      <c r="S856">
        <v>3.0170590000000002</v>
      </c>
      <c r="T856">
        <v>-0.22981799999999999</v>
      </c>
      <c r="U856">
        <v>-6.3903810000000005E-2</v>
      </c>
      <c r="V856">
        <v>-3.1977270000000002E-2</v>
      </c>
      <c r="W856">
        <v>5.6935800000000002E-2</v>
      </c>
      <c r="X856">
        <v>0.99786560000000002</v>
      </c>
      <c r="Y856">
        <v>-1.118158E-2</v>
      </c>
      <c r="Z856">
        <v>2.894916E-3</v>
      </c>
      <c r="AA856">
        <v>0.99993330000000002</v>
      </c>
      <c r="AB856">
        <v>33</v>
      </c>
      <c r="AC856">
        <v>0.74689999999998202</v>
      </c>
      <c r="AD856">
        <v>-7.2438999999999906E-2</v>
      </c>
      <c r="AE856">
        <v>-1.4099999999984901E-2</v>
      </c>
      <c r="AF856">
        <v>-1.00721582998997E-2</v>
      </c>
      <c r="AG856">
        <v>-7.2438999999999906E-2</v>
      </c>
      <c r="AH856">
        <v>0.74000563759835003</v>
      </c>
      <c r="AI856">
        <v>95.590345008976001</v>
      </c>
      <c r="AJ856">
        <v>90.779800178529499</v>
      </c>
      <c r="AK856">
        <v>0.74361092028772602</v>
      </c>
      <c r="AL856">
        <v>86.736053865111202</v>
      </c>
      <c r="AM856">
        <v>91.835453424846094</v>
      </c>
      <c r="AN856">
        <v>0.99999999339082601</v>
      </c>
    </row>
    <row r="857" spans="1:40" x14ac:dyDescent="0.25">
      <c r="A857" t="str">
        <f>"20190312160617464"</f>
        <v>20190312160617464</v>
      </c>
      <c r="B857" t="str">
        <f>"1552377977456154"</f>
        <v>1552377977456154</v>
      </c>
      <c r="C857" t="s">
        <v>40</v>
      </c>
      <c r="D857">
        <v>6.6083429999999996</v>
      </c>
      <c r="E857">
        <v>0.50702020000000003</v>
      </c>
      <c r="F857" t="s">
        <v>47</v>
      </c>
      <c r="G857">
        <v>-263.23430000000002</v>
      </c>
      <c r="H857" s="1">
        <v>-3.3243870000000002E-6</v>
      </c>
      <c r="I857">
        <v>367.13810000000001</v>
      </c>
      <c r="J857">
        <v>-277.40309999999999</v>
      </c>
      <c r="K857">
        <v>1.077464</v>
      </c>
      <c r="L857">
        <v>367.4298</v>
      </c>
      <c r="M857">
        <v>0.99947169999999996</v>
      </c>
      <c r="N857">
        <v>0</v>
      </c>
      <c r="O857">
        <v>-3.2439870000000003E-2</v>
      </c>
      <c r="P857">
        <v>0.99848619999999999</v>
      </c>
      <c r="Q857">
        <v>5.5002759999999998E-2</v>
      </c>
      <c r="R857">
        <v>-5.1092059999999998E-4</v>
      </c>
      <c r="S857">
        <v>3.0168759999999999</v>
      </c>
      <c r="T857">
        <v>-0.22613320000000001</v>
      </c>
      <c r="U857">
        <v>-6.2530520000000006E-2</v>
      </c>
      <c r="V857">
        <v>-3.1926089999999997E-2</v>
      </c>
      <c r="W857">
        <v>5.7080529999999997E-2</v>
      </c>
      <c r="X857">
        <v>0.99785900000000005</v>
      </c>
      <c r="Y857">
        <v>-1.1597980000000001E-2</v>
      </c>
      <c r="Z857">
        <v>2.861396E-3</v>
      </c>
      <c r="AA857">
        <v>0.9999287</v>
      </c>
      <c r="AB857">
        <v>33</v>
      </c>
      <c r="AC857">
        <v>14.1687999999999</v>
      </c>
      <c r="AD857">
        <v>-1.0774673243870001</v>
      </c>
      <c r="AE857">
        <v>-0.29169999999999102</v>
      </c>
      <c r="AF857">
        <v>-0.16712243444982799</v>
      </c>
      <c r="AG857">
        <v>-1.0774673243870001</v>
      </c>
      <c r="AH857">
        <v>14.089363318862199</v>
      </c>
      <c r="AI857">
        <v>94.372808504347404</v>
      </c>
      <c r="AJ857">
        <v>90.6795879201905</v>
      </c>
      <c r="AK857">
        <v>14.1314905255645</v>
      </c>
      <c r="AL857">
        <v>86.727748036061996</v>
      </c>
      <c r="AM857">
        <v>91.832529876736103</v>
      </c>
      <c r="AN857">
        <v>1.00000002300438</v>
      </c>
    </row>
    <row r="858" spans="1:40" x14ac:dyDescent="0.25">
      <c r="A858" t="str">
        <f>"20190312160617482"</f>
        <v>20190312160617482</v>
      </c>
      <c r="B858" t="str">
        <f>"1552377977475673"</f>
        <v>1552377977475673</v>
      </c>
      <c r="C858" t="s">
        <v>40</v>
      </c>
      <c r="D858">
        <v>6.919416</v>
      </c>
      <c r="E858">
        <v>0.50426419999999905</v>
      </c>
      <c r="F858" t="s">
        <v>44</v>
      </c>
      <c r="G858">
        <v>-276.53769999999997</v>
      </c>
      <c r="H858">
        <v>1.0132890000000001</v>
      </c>
      <c r="I858">
        <v>367.41219999999998</v>
      </c>
      <c r="J858">
        <v>-277.14890000000003</v>
      </c>
      <c r="K858">
        <v>1.079725</v>
      </c>
      <c r="L858">
        <v>367.42160000000001</v>
      </c>
      <c r="M858">
        <v>0.99947419999999998</v>
      </c>
      <c r="N858">
        <v>0</v>
      </c>
      <c r="O858">
        <v>-3.2359400000000003E-2</v>
      </c>
      <c r="P858">
        <v>0.9984788</v>
      </c>
      <c r="Q858">
        <v>5.5129980000000002E-2</v>
      </c>
      <c r="R858">
        <v>-9.652129E-4</v>
      </c>
      <c r="S858">
        <v>3.0168759999999999</v>
      </c>
      <c r="T858">
        <v>-0.22375919999999999</v>
      </c>
      <c r="U858">
        <v>-6.1370849999999998E-2</v>
      </c>
      <c r="V858">
        <v>-3.1389229999999997E-2</v>
      </c>
      <c r="W858">
        <v>5.715717E-2</v>
      </c>
      <c r="X858">
        <v>0.99787159999999997</v>
      </c>
      <c r="Y858">
        <v>-1.190363E-2</v>
      </c>
      <c r="Z858">
        <v>2.8368159999999998E-3</v>
      </c>
      <c r="AA858">
        <v>0.99992510000000001</v>
      </c>
      <c r="AB858">
        <v>33</v>
      </c>
      <c r="AC858">
        <v>0.61120000000005303</v>
      </c>
      <c r="AD858">
        <v>-6.6436000000000106E-2</v>
      </c>
      <c r="AE858">
        <v>-9.4000000000278305E-3</v>
      </c>
      <c r="AF858">
        <v>-1.0261813092019701E-2</v>
      </c>
      <c r="AG858">
        <v>-6.6436000000000106E-2</v>
      </c>
      <c r="AH858">
        <v>0.60404883401268605</v>
      </c>
      <c r="AI858">
        <v>96.275521896332407</v>
      </c>
      <c r="AJ858">
        <v>90.973269037842698</v>
      </c>
      <c r="AK858">
        <v>0.60777795351264696</v>
      </c>
      <c r="AL858">
        <v>86.723349559104307</v>
      </c>
      <c r="AM858">
        <v>91.801712327309801</v>
      </c>
      <c r="AN858">
        <v>0.99999997796448004</v>
      </c>
    </row>
    <row r="859" spans="1:40" x14ac:dyDescent="0.25">
      <c r="A859" t="str">
        <f>"20190312160617495"</f>
        <v>20190312160617495</v>
      </c>
      <c r="B859" t="str">
        <f>"1552377977475673"</f>
        <v>1552377977475673</v>
      </c>
      <c r="C859" t="s">
        <v>40</v>
      </c>
      <c r="D859">
        <v>6.919416</v>
      </c>
      <c r="E859">
        <v>0.50426419999999905</v>
      </c>
      <c r="F859" t="s">
        <v>47</v>
      </c>
      <c r="G859">
        <v>-259.12479999999999</v>
      </c>
      <c r="H859" s="1">
        <v>-9.3201500000000002E-7</v>
      </c>
      <c r="I859">
        <v>367.18060000000003</v>
      </c>
      <c r="J859">
        <v>-276.9538</v>
      </c>
      <c r="K859">
        <v>1.0814979999999901</v>
      </c>
      <c r="L859">
        <v>367.41539999999998</v>
      </c>
      <c r="M859">
        <v>0.9994769</v>
      </c>
      <c r="N859">
        <v>0</v>
      </c>
      <c r="O859">
        <v>-3.2277420000000001E-2</v>
      </c>
      <c r="P859">
        <v>0.99847410000000003</v>
      </c>
      <c r="Q859">
        <v>5.5219959999999998E-2</v>
      </c>
      <c r="R859">
        <v>-7.5029860000000003E-4</v>
      </c>
      <c r="S859">
        <v>3.014465</v>
      </c>
      <c r="T859">
        <v>-0.1805793</v>
      </c>
      <c r="U859">
        <v>-4.0313719999999997E-2</v>
      </c>
      <c r="V859">
        <v>-3.1519859999999997E-2</v>
      </c>
      <c r="W859">
        <v>5.7279999999999998E-2</v>
      </c>
      <c r="X859">
        <v>0.99786050000000004</v>
      </c>
      <c r="Y859">
        <v>-1.8817790000000001E-2</v>
      </c>
      <c r="Z859">
        <v>2.4944889999999999E-3</v>
      </c>
      <c r="AA859">
        <v>0.99981980000000004</v>
      </c>
      <c r="AB859">
        <v>33</v>
      </c>
      <c r="AC859">
        <v>17.829000000000001</v>
      </c>
      <c r="AD859">
        <v>-1.0814989320149999</v>
      </c>
      <c r="AE859">
        <v>-0.23479999999994999</v>
      </c>
      <c r="AF859">
        <v>-0.33954846376633702</v>
      </c>
      <c r="AG859">
        <v>-1.0814989320149999</v>
      </c>
      <c r="AH859">
        <v>17.7619437303373</v>
      </c>
      <c r="AI859">
        <v>93.483720056612</v>
      </c>
      <c r="AJ859">
        <v>91.095168684932503</v>
      </c>
      <c r="AK859">
        <v>17.798077934958702</v>
      </c>
      <c r="AL859">
        <v>86.716300569193905</v>
      </c>
      <c r="AM859">
        <v>91.809225505716597</v>
      </c>
      <c r="AN859">
        <v>1.00000003871733</v>
      </c>
    </row>
    <row r="860" spans="1:40" x14ac:dyDescent="0.25">
      <c r="A860" t="str">
        <f>"20190312160617507"</f>
        <v>20190312160617507</v>
      </c>
      <c r="B860" t="str">
        <f>"1552377977496170"</f>
        <v>1552377977496170</v>
      </c>
      <c r="C860" t="s">
        <v>40</v>
      </c>
      <c r="D860">
        <v>7.2484299999999999</v>
      </c>
      <c r="E860">
        <v>0.50323390000000001</v>
      </c>
      <c r="F860" t="s">
        <v>47</v>
      </c>
      <c r="G860">
        <v>-258.87060000000002</v>
      </c>
      <c r="H860" s="1">
        <v>-1.01925E-6</v>
      </c>
      <c r="I860">
        <v>367.17779999999999</v>
      </c>
      <c r="J860">
        <v>-276.76499999999999</v>
      </c>
      <c r="K860">
        <v>1.0832219999999999</v>
      </c>
      <c r="L860">
        <v>367.40949999999998</v>
      </c>
      <c r="M860">
        <v>0.99948009999999998</v>
      </c>
      <c r="N860">
        <v>0</v>
      </c>
      <c r="O860">
        <v>-3.2170959999999998E-2</v>
      </c>
      <c r="P860">
        <v>0.99848369999999997</v>
      </c>
      <c r="Q860">
        <v>5.5044280000000001E-2</v>
      </c>
      <c r="R860">
        <v>-8.2047809999999995E-4</v>
      </c>
      <c r="S860">
        <v>3.014526</v>
      </c>
      <c r="T860">
        <v>-0.1802888</v>
      </c>
      <c r="U860">
        <v>-3.9611819999999999E-2</v>
      </c>
      <c r="V860">
        <v>-3.1342429999999998E-2</v>
      </c>
      <c r="W860">
        <v>5.7246190000000002E-2</v>
      </c>
      <c r="X860">
        <v>0.99786799999999998</v>
      </c>
      <c r="Y860">
        <v>-1.8944590000000001E-2</v>
      </c>
      <c r="Z860">
        <v>2.4878690000000002E-3</v>
      </c>
      <c r="AA860">
        <v>0.99981739999999997</v>
      </c>
      <c r="AB860">
        <v>33</v>
      </c>
      <c r="AC860">
        <v>17.894399999999901</v>
      </c>
      <c r="AD860">
        <v>-1.0832230192500001</v>
      </c>
      <c r="AE860">
        <v>-0.231699999999989</v>
      </c>
      <c r="AF860">
        <v>-0.34284516464910297</v>
      </c>
      <c r="AG860">
        <v>-1.0832230192500001</v>
      </c>
      <c r="AH860">
        <v>17.827276388171001</v>
      </c>
      <c r="AI860">
        <v>93.476496459764306</v>
      </c>
      <c r="AJ860">
        <v>91.101747644557193</v>
      </c>
      <c r="AK860">
        <v>17.863445869613098</v>
      </c>
      <c r="AL860">
        <v>86.718240828322806</v>
      </c>
      <c r="AM860">
        <v>91.799034303886302</v>
      </c>
      <c r="AN860">
        <v>1.0000000098059101</v>
      </c>
    </row>
    <row r="861" spans="1:40" x14ac:dyDescent="0.25">
      <c r="A861" t="str">
        <f>"20190312160617523"</f>
        <v>20190312160617523</v>
      </c>
      <c r="B861" t="str">
        <f>"1552377977515692"</f>
        <v>1552377977515692</v>
      </c>
      <c r="C861" t="s">
        <v>40</v>
      </c>
      <c r="D861">
        <v>6.5668249999999997</v>
      </c>
      <c r="E861">
        <v>0.50147459999999999</v>
      </c>
      <c r="F861" t="s">
        <v>47</v>
      </c>
      <c r="G861">
        <v>-256.7448</v>
      </c>
      <c r="H861" s="1">
        <v>-1.8074339999999999E-6</v>
      </c>
      <c r="I861">
        <v>367.19990000000001</v>
      </c>
      <c r="J861">
        <v>-276.54349999999999</v>
      </c>
      <c r="K861">
        <v>1.085218</v>
      </c>
      <c r="L861">
        <v>367.40260000000001</v>
      </c>
      <c r="M861">
        <v>0.99948419999999905</v>
      </c>
      <c r="N861">
        <v>0</v>
      </c>
      <c r="O861">
        <v>-3.2027269999999997E-2</v>
      </c>
      <c r="P861">
        <v>0.99849580000000004</v>
      </c>
      <c r="Q861">
        <v>5.483027E-2</v>
      </c>
      <c r="R861">
        <v>-5.6537989999999995E-4</v>
      </c>
      <c r="S861">
        <v>3.0134889999999999</v>
      </c>
      <c r="T861">
        <v>-0.16304839999999901</v>
      </c>
      <c r="U861">
        <v>-3.1555180000000002E-2</v>
      </c>
      <c r="V861">
        <v>-3.145328E-2</v>
      </c>
      <c r="W861">
        <v>5.7256189999999998E-2</v>
      </c>
      <c r="X861">
        <v>0.99786390000000003</v>
      </c>
      <c r="Y861">
        <v>-2.1482000000000001E-2</v>
      </c>
      <c r="Z861">
        <v>2.311984E-3</v>
      </c>
      <c r="AA861">
        <v>0.99976659999999995</v>
      </c>
      <c r="AB861">
        <v>33</v>
      </c>
      <c r="AC861">
        <v>19.7987</v>
      </c>
      <c r="AD861">
        <v>-1.08521980743399</v>
      </c>
      <c r="AE861">
        <v>-0.202699999999993</v>
      </c>
      <c r="AF861">
        <v>-0.43021166350390999</v>
      </c>
      <c r="AG861">
        <v>-1.08521980743399</v>
      </c>
      <c r="AH861">
        <v>19.735746612330601</v>
      </c>
      <c r="AI861">
        <v>93.146637320529706</v>
      </c>
      <c r="AJ861">
        <v>91.248770058431006</v>
      </c>
      <c r="AK861">
        <v>19.770242245657499</v>
      </c>
      <c r="AL861">
        <v>86.717666803421196</v>
      </c>
      <c r="AM861">
        <v>91.8054002286582</v>
      </c>
      <c r="AN861">
        <v>0.99999997151964104</v>
      </c>
    </row>
    <row r="862" spans="1:40" x14ac:dyDescent="0.25">
      <c r="A862" t="str">
        <f>"20190312160617539"</f>
        <v>20190312160617539</v>
      </c>
      <c r="B862" t="str">
        <f>"1552377977515692"</f>
        <v>1552377977515692</v>
      </c>
      <c r="C862" t="s">
        <v>40</v>
      </c>
      <c r="D862">
        <v>6.5668249999999997</v>
      </c>
      <c r="E862">
        <v>0.50147459999999999</v>
      </c>
      <c r="F862" t="s">
        <v>47</v>
      </c>
      <c r="G862">
        <v>-253.24250000000001</v>
      </c>
      <c r="H862" s="1">
        <v>-3.2967659999999998E-6</v>
      </c>
      <c r="I862">
        <v>367.27390000000003</v>
      </c>
      <c r="J862">
        <v>-276.31810000000002</v>
      </c>
      <c r="K862">
        <v>1.0872029999999999</v>
      </c>
      <c r="L862">
        <v>367.39550000000003</v>
      </c>
      <c r="M862">
        <v>0.99948870000000001</v>
      </c>
      <c r="N862">
        <v>0</v>
      </c>
      <c r="O862">
        <v>-3.1858730000000002E-2</v>
      </c>
      <c r="P862">
        <v>0.99851160000000005</v>
      </c>
      <c r="Q862">
        <v>5.45374E-2</v>
      </c>
      <c r="R862">
        <v>-5.5694739999999896E-4</v>
      </c>
      <c r="S862">
        <v>3.0122070000000001</v>
      </c>
      <c r="T862">
        <v>-0.14029049999999901</v>
      </c>
      <c r="U862">
        <v>-1.663208E-2</v>
      </c>
      <c r="V862">
        <v>-3.129295E-2</v>
      </c>
      <c r="W862">
        <v>5.7245249999999998E-2</v>
      </c>
      <c r="X862">
        <v>0.99786960000000002</v>
      </c>
      <c r="Y862">
        <v>-2.6276689999999998E-2</v>
      </c>
      <c r="Z862">
        <v>2.094327E-3</v>
      </c>
      <c r="AA862">
        <v>0.99965250000000005</v>
      </c>
      <c r="AB862">
        <v>33</v>
      </c>
      <c r="AC862">
        <v>23.075600000000001</v>
      </c>
      <c r="AD862">
        <v>-1.0872062967659999</v>
      </c>
      <c r="AE862">
        <v>-0.1216</v>
      </c>
      <c r="AF862">
        <v>-0.61226466209216102</v>
      </c>
      <c r="AG862">
        <v>-1.0872062967659999</v>
      </c>
      <c r="AH862">
        <v>23.016668894314002</v>
      </c>
      <c r="AI862">
        <v>92.703435798505396</v>
      </c>
      <c r="AJ862">
        <v>91.523761340211095</v>
      </c>
      <c r="AK862">
        <v>23.0504649093821</v>
      </c>
      <c r="AL862">
        <v>86.718294752414394</v>
      </c>
      <c r="AM862">
        <v>91.796193169093996</v>
      </c>
      <c r="AN862">
        <v>1.0000000029857099</v>
      </c>
    </row>
    <row r="863" spans="1:40" x14ac:dyDescent="0.25">
      <c r="A863" t="str">
        <f>"20190312160617585"</f>
        <v>20190312160617585</v>
      </c>
      <c r="B863" t="str">
        <f>"1552377977576202"</f>
        <v>1552377977576202</v>
      </c>
      <c r="C863" t="s">
        <v>40</v>
      </c>
      <c r="D863">
        <v>6.7741979999999904</v>
      </c>
      <c r="E863">
        <v>0.50072309999999998</v>
      </c>
      <c r="F863" t="s">
        <v>47</v>
      </c>
      <c r="G863">
        <v>-253.12209999999999</v>
      </c>
      <c r="H863" s="1">
        <v>-3.3494090000000001E-6</v>
      </c>
      <c r="I863">
        <v>367.26839999999999</v>
      </c>
      <c r="J863">
        <v>-275.6069</v>
      </c>
      <c r="K863">
        <v>1.092894</v>
      </c>
      <c r="L863">
        <v>367.37380000000002</v>
      </c>
      <c r="M863">
        <v>0.99950729999999999</v>
      </c>
      <c r="N863">
        <v>0</v>
      </c>
      <c r="O863">
        <v>-3.115571E-2</v>
      </c>
      <c r="P863">
        <v>0.99859690000000001</v>
      </c>
      <c r="Q863">
        <v>5.2954170000000002E-2</v>
      </c>
      <c r="R863">
        <v>3.6429490000000001E-4</v>
      </c>
      <c r="S863">
        <v>3.0121769999999999</v>
      </c>
      <c r="T863">
        <v>-0.14118169999999999</v>
      </c>
      <c r="U863">
        <v>-1.6510009999999999E-2</v>
      </c>
      <c r="V863">
        <v>-3.151843E-2</v>
      </c>
      <c r="W863">
        <v>5.6754430000000002E-2</v>
      </c>
      <c r="X863">
        <v>0.99789050000000001</v>
      </c>
      <c r="Y863">
        <v>-2.5614809999999998E-2</v>
      </c>
      <c r="Z863">
        <v>2.0592219999999999E-3</v>
      </c>
      <c r="AA863">
        <v>0.99966980000000005</v>
      </c>
      <c r="AB863">
        <v>34</v>
      </c>
      <c r="AC863">
        <v>22.4848</v>
      </c>
      <c r="AD863">
        <v>-1.092897349409</v>
      </c>
      <c r="AE863">
        <v>-0.105400000000031</v>
      </c>
      <c r="AF863">
        <v>-0.59378333668775196</v>
      </c>
      <c r="AG863">
        <v>-1.092897349409</v>
      </c>
      <c r="AH863">
        <v>22.4241912050372</v>
      </c>
      <c r="AI863">
        <v>92.789264776003407</v>
      </c>
      <c r="AJ863">
        <v>91.516814168211795</v>
      </c>
      <c r="AK863">
        <v>22.458658786030401</v>
      </c>
      <c r="AL863">
        <v>86.746462333509797</v>
      </c>
      <c r="AM863">
        <v>91.809089126024503</v>
      </c>
      <c r="AN863">
        <v>0.99999996337226904</v>
      </c>
    </row>
    <row r="864" spans="1:40" x14ac:dyDescent="0.25">
      <c r="A864" t="str">
        <f>"20190312160617596"</f>
        <v>20190312160617596</v>
      </c>
      <c r="B864" t="str">
        <f>"1552377977585963"</f>
        <v>1552377977585963</v>
      </c>
      <c r="C864" t="s">
        <v>40</v>
      </c>
      <c r="D864">
        <v>6.5865239999999998</v>
      </c>
      <c r="E864">
        <v>0.50126110000000001</v>
      </c>
      <c r="F864" t="s">
        <v>47</v>
      </c>
      <c r="G864">
        <v>-250.4657</v>
      </c>
      <c r="H864" s="1">
        <v>-4.4819960000000003E-6</v>
      </c>
      <c r="I864">
        <v>367.30779999999999</v>
      </c>
      <c r="J864">
        <v>-275.42959999999999</v>
      </c>
      <c r="K864">
        <v>1.0941700000000001</v>
      </c>
      <c r="L864">
        <v>367.36849999999998</v>
      </c>
      <c r="M864">
        <v>0.99951270000000003</v>
      </c>
      <c r="N864">
        <v>0</v>
      </c>
      <c r="O864">
        <v>-3.0944989999999999E-2</v>
      </c>
      <c r="P864">
        <v>0.99860400000000005</v>
      </c>
      <c r="Q864">
        <v>5.2819489999999997E-2</v>
      </c>
      <c r="R864">
        <v>7.3376889999999997E-4</v>
      </c>
      <c r="S864">
        <v>3.011139</v>
      </c>
      <c r="T864">
        <v>-0.13089529999999999</v>
      </c>
      <c r="U864">
        <v>-7.9040529999999994E-3</v>
      </c>
      <c r="V864">
        <v>-3.167946E-2</v>
      </c>
      <c r="W864">
        <v>5.6906760000000001E-2</v>
      </c>
      <c r="X864">
        <v>0.99787680000000001</v>
      </c>
      <c r="Y864">
        <v>-2.826557E-2</v>
      </c>
      <c r="Z864">
        <v>1.958455E-3</v>
      </c>
      <c r="AA864">
        <v>0.99959849999999995</v>
      </c>
      <c r="AB864">
        <v>34</v>
      </c>
      <c r="AC864">
        <v>24.963899999999899</v>
      </c>
      <c r="AD864">
        <v>-1.094174481996</v>
      </c>
      <c r="AE864">
        <v>-6.0699999999996999E-2</v>
      </c>
      <c r="AF864">
        <v>-0.71047829732911705</v>
      </c>
      <c r="AG864">
        <v>-1.094174481996</v>
      </c>
      <c r="AH864">
        <v>24.9059762892681</v>
      </c>
      <c r="AI864">
        <v>92.514490907454899</v>
      </c>
      <c r="AJ864">
        <v>91.634000242149199</v>
      </c>
      <c r="AK864">
        <v>24.940121333498201</v>
      </c>
      <c r="AL864">
        <v>86.737720581487494</v>
      </c>
      <c r="AM864">
        <v>91.818350655094306</v>
      </c>
      <c r="AN864">
        <v>1.00000003774891</v>
      </c>
    </row>
    <row r="865" spans="1:40" x14ac:dyDescent="0.25">
      <c r="A865" t="str">
        <f>"20190312160617615"</f>
        <v>20190312160617615</v>
      </c>
      <c r="B865" t="str">
        <f>"1552377977606457"</f>
        <v>1552377977606457</v>
      </c>
      <c r="C865" t="s">
        <v>40</v>
      </c>
      <c r="D865">
        <v>6.5969660000000001</v>
      </c>
      <c r="E865">
        <v>0.50234309999999904</v>
      </c>
      <c r="F865" t="s">
        <v>47</v>
      </c>
      <c r="G865">
        <v>-251.57730000000001</v>
      </c>
      <c r="H865" s="1">
        <v>-4.0104900000000001E-6</v>
      </c>
      <c r="I865">
        <v>367.27760000000001</v>
      </c>
      <c r="J865">
        <v>-275.15859999999998</v>
      </c>
      <c r="K865">
        <v>1.0959760000000001</v>
      </c>
      <c r="L865">
        <v>367.36040000000003</v>
      </c>
      <c r="M865">
        <v>0.99952169999999896</v>
      </c>
      <c r="N865">
        <v>0</v>
      </c>
      <c r="O865">
        <v>-3.059315E-2</v>
      </c>
      <c r="P865">
        <v>0.99864940000000002</v>
      </c>
      <c r="Q865">
        <v>5.1940680000000003E-2</v>
      </c>
      <c r="R865">
        <v>1.466644E-3</v>
      </c>
      <c r="S865">
        <v>3.0115050000000001</v>
      </c>
      <c r="T865">
        <v>-0.13814589999999999</v>
      </c>
      <c r="U865">
        <v>-1.147461E-2</v>
      </c>
      <c r="V865">
        <v>-3.2064719999999998E-2</v>
      </c>
      <c r="W865">
        <v>5.6463069999999997E-2</v>
      </c>
      <c r="X865">
        <v>0.99788960000000004</v>
      </c>
      <c r="Y865">
        <v>-2.672453E-2</v>
      </c>
      <c r="Z865">
        <v>2.0151169999999999E-3</v>
      </c>
      <c r="AA865">
        <v>0.9996408</v>
      </c>
      <c r="AB865">
        <v>34</v>
      </c>
      <c r="AC865">
        <v>23.581299999999899</v>
      </c>
      <c r="AD865">
        <v>-1.0959800104899999</v>
      </c>
      <c r="AE865">
        <v>-8.2800000000020094E-2</v>
      </c>
      <c r="AF865">
        <v>-0.63729578281092603</v>
      </c>
      <c r="AG865">
        <v>-1.0959800104899999</v>
      </c>
      <c r="AH865">
        <v>23.521986240068902</v>
      </c>
      <c r="AI865">
        <v>92.666724648938597</v>
      </c>
      <c r="AJ865">
        <v>91.551970466607997</v>
      </c>
      <c r="AK865">
        <v>23.5561277542845</v>
      </c>
      <c r="AL865">
        <v>86.763182766424805</v>
      </c>
      <c r="AM865">
        <v>91.840425258617799</v>
      </c>
      <c r="AN865">
        <v>0.99999993916532903</v>
      </c>
    </row>
    <row r="866" spans="1:40" x14ac:dyDescent="0.25">
      <c r="A866" t="str">
        <f>"20190312160617626"</f>
        <v>20190312160617626</v>
      </c>
      <c r="B866" t="str">
        <f>"1552377977616218"</f>
        <v>1552377977616218</v>
      </c>
      <c r="C866" t="s">
        <v>40</v>
      </c>
      <c r="D866">
        <v>6.5757029999999999</v>
      </c>
      <c r="E866">
        <v>0.50265000000000004</v>
      </c>
      <c r="F866" t="s">
        <v>47</v>
      </c>
      <c r="G866">
        <v>-254.12899999999999</v>
      </c>
      <c r="H866" s="1">
        <v>-2.923707E-6</v>
      </c>
      <c r="I866">
        <v>367.23320000000001</v>
      </c>
      <c r="J866">
        <v>-274.97890000000001</v>
      </c>
      <c r="K866">
        <v>1.097059</v>
      </c>
      <c r="L866">
        <v>367.35520000000002</v>
      </c>
      <c r="M866">
        <v>0.99952799999999997</v>
      </c>
      <c r="N866">
        <v>0</v>
      </c>
      <c r="O866">
        <v>-3.0339809999999998E-2</v>
      </c>
      <c r="P866">
        <v>0.99868349999999995</v>
      </c>
      <c r="Q866">
        <v>5.1266100000000002E-2</v>
      </c>
      <c r="R866">
        <v>1.8039429999999999E-3</v>
      </c>
      <c r="S866">
        <v>3.012238</v>
      </c>
      <c r="T866">
        <v>-0.15698489999999901</v>
      </c>
      <c r="U866">
        <v>-1.8218990000000001E-2</v>
      </c>
      <c r="V866">
        <v>-3.2151569999999997E-2</v>
      </c>
      <c r="W866">
        <v>5.606792E-2</v>
      </c>
      <c r="X866">
        <v>0.99790909999999999</v>
      </c>
      <c r="Y866">
        <v>-2.4220149999999999E-2</v>
      </c>
      <c r="Z866">
        <v>2.2105860000000001E-3</v>
      </c>
      <c r="AA866">
        <v>0.99970420000000004</v>
      </c>
      <c r="AB866">
        <v>34</v>
      </c>
      <c r="AC866">
        <v>20.849899999999899</v>
      </c>
      <c r="AD866">
        <v>-1.0970619237070001</v>
      </c>
      <c r="AE866">
        <v>-0.122000000000014</v>
      </c>
      <c r="AF866">
        <v>-0.50923572804863504</v>
      </c>
      <c r="AG866">
        <v>-1.0970619237070001</v>
      </c>
      <c r="AH866">
        <v>20.786456225366098</v>
      </c>
      <c r="AI866">
        <v>93.020233489662402</v>
      </c>
      <c r="AJ866">
        <v>91.403376442821795</v>
      </c>
      <c r="AK866">
        <v>20.8216144498987</v>
      </c>
      <c r="AL866">
        <v>86.785859164221307</v>
      </c>
      <c r="AM866">
        <v>91.845370727676496</v>
      </c>
      <c r="AN866">
        <v>0.99999995348469894</v>
      </c>
    </row>
    <row r="867" spans="1:40" x14ac:dyDescent="0.25">
      <c r="A867" t="str">
        <f>"20190312160617638"</f>
        <v>20190312160617638</v>
      </c>
      <c r="B867" t="str">
        <f>"1552377977625978"</f>
        <v>1552377977625978</v>
      </c>
      <c r="C867" t="s">
        <v>40</v>
      </c>
      <c r="D867">
        <v>6.2169749999999997</v>
      </c>
      <c r="E867">
        <v>0.50229429999999997</v>
      </c>
      <c r="F867" t="s">
        <v>47</v>
      </c>
      <c r="G867">
        <v>-254.57509999999999</v>
      </c>
      <c r="H867" s="1">
        <v>-2.7342329999999999E-6</v>
      </c>
      <c r="I867">
        <v>367.22230000000002</v>
      </c>
      <c r="J867">
        <v>-274.80360000000002</v>
      </c>
      <c r="K867">
        <v>1.0980700000000001</v>
      </c>
      <c r="L867">
        <v>367.3501</v>
      </c>
      <c r="M867">
        <v>0.99953420000000004</v>
      </c>
      <c r="N867">
        <v>0</v>
      </c>
      <c r="O867">
        <v>-3.0087559999999999E-2</v>
      </c>
      <c r="P867">
        <v>0.99872179999999999</v>
      </c>
      <c r="Q867">
        <v>5.0509070000000003E-2</v>
      </c>
      <c r="R867">
        <v>1.9845930000000002E-3</v>
      </c>
      <c r="S867">
        <v>3.0122990000000001</v>
      </c>
      <c r="T867">
        <v>-0.16196379999999999</v>
      </c>
      <c r="U867">
        <v>-1.9622799999999999E-2</v>
      </c>
      <c r="V867">
        <v>-3.2082970000000002E-2</v>
      </c>
      <c r="W867">
        <v>5.5578969999999998E-2</v>
      </c>
      <c r="X867">
        <v>0.99793869999999896</v>
      </c>
      <c r="Y867">
        <v>-2.3498789999999999E-2</v>
      </c>
      <c r="Z867">
        <v>2.2476200000000001E-3</v>
      </c>
      <c r="AA867">
        <v>0.99972130000000003</v>
      </c>
      <c r="AB867">
        <v>34</v>
      </c>
      <c r="AC867">
        <v>20.2285</v>
      </c>
      <c r="AD867">
        <v>-1.0980727342329999</v>
      </c>
      <c r="AE867">
        <v>-0.12779999999997901</v>
      </c>
      <c r="AF867">
        <v>-0.479479196131122</v>
      </c>
      <c r="AG867">
        <v>-1.0980727342329999</v>
      </c>
      <c r="AH867">
        <v>20.1637728173555</v>
      </c>
      <c r="AI867">
        <v>93.116238330039394</v>
      </c>
      <c r="AJ867">
        <v>91.362193387484197</v>
      </c>
      <c r="AK867">
        <v>20.199341530335001</v>
      </c>
      <c r="AL867">
        <v>86.813917819049806</v>
      </c>
      <c r="AM867">
        <v>91.841381495921794</v>
      </c>
      <c r="AN867">
        <v>0.99999999391398497</v>
      </c>
    </row>
    <row r="868" spans="1:40" x14ac:dyDescent="0.25">
      <c r="A868" t="str">
        <f>"20190312160617649"</f>
        <v>20190312160617649</v>
      </c>
      <c r="B868" t="str">
        <f>"1552377977635737"</f>
        <v>1552377977635737</v>
      </c>
      <c r="C868" t="s">
        <v>40</v>
      </c>
      <c r="D868">
        <v>6.7932940000000004</v>
      </c>
      <c r="E868">
        <v>0.50208599999999903</v>
      </c>
      <c r="F868" t="s">
        <v>47</v>
      </c>
      <c r="G868">
        <v>-253.79239999999999</v>
      </c>
      <c r="H868" s="1">
        <v>-3.0674130000000002E-6</v>
      </c>
      <c r="I868">
        <v>367.23700000000002</v>
      </c>
      <c r="J868">
        <v>-274.64109999999999</v>
      </c>
      <c r="K868">
        <v>1.0989409999999999</v>
      </c>
      <c r="L868">
        <v>367.34539999999998</v>
      </c>
      <c r="M868">
        <v>0.99954030000000005</v>
      </c>
      <c r="N868">
        <v>0</v>
      </c>
      <c r="O868">
        <v>-2.984589E-2</v>
      </c>
      <c r="P868">
        <v>0.99876699999999996</v>
      </c>
      <c r="Q868">
        <v>4.9598419999999997E-2</v>
      </c>
      <c r="R868">
        <v>2.2433399999999999E-3</v>
      </c>
      <c r="S868">
        <v>3.0118710000000002</v>
      </c>
      <c r="T868">
        <v>-0.15740390000000001</v>
      </c>
      <c r="U868">
        <v>-1.620483E-2</v>
      </c>
      <c r="V868">
        <v>-3.2102249999999999E-2</v>
      </c>
      <c r="W868">
        <v>5.4907659999999997E-2</v>
      </c>
      <c r="X868">
        <v>0.99797519999999995</v>
      </c>
      <c r="Y868">
        <v>-2.4394030000000001E-2</v>
      </c>
      <c r="Z868">
        <v>2.1955149999999999E-3</v>
      </c>
      <c r="AA868">
        <v>0.99970000000000003</v>
      </c>
      <c r="AB868">
        <v>34</v>
      </c>
      <c r="AC868">
        <v>20.848700000000001</v>
      </c>
      <c r="AD868">
        <v>-1.098944067413</v>
      </c>
      <c r="AE868">
        <v>-0.108400000000017</v>
      </c>
      <c r="AF868">
        <v>-0.51248130431600103</v>
      </c>
      <c r="AG868">
        <v>-1.098944067413</v>
      </c>
      <c r="AH868">
        <v>20.784900235672001</v>
      </c>
      <c r="AI868">
        <v>93.025619797715294</v>
      </c>
      <c r="AJ868">
        <v>91.412422833096599</v>
      </c>
      <c r="AK868">
        <v>20.820239983185001</v>
      </c>
      <c r="AL868">
        <v>86.852439746083505</v>
      </c>
      <c r="AM868">
        <v>91.842419955894599</v>
      </c>
      <c r="AN868">
        <v>0.99999995269838704</v>
      </c>
    </row>
    <row r="869" spans="1:40" x14ac:dyDescent="0.25">
      <c r="A869" t="str">
        <f>"20190312160617661"</f>
        <v>20190312160617661</v>
      </c>
      <c r="B869" t="str">
        <f>"1552377977645500"</f>
        <v>1552377977645500</v>
      </c>
      <c r="C869" t="s">
        <v>40</v>
      </c>
      <c r="D869">
        <v>6.8073819999999996</v>
      </c>
      <c r="E869">
        <v>0.50230940000000002</v>
      </c>
      <c r="F869" t="s">
        <v>47</v>
      </c>
      <c r="G869">
        <v>-253.2098</v>
      </c>
      <c r="H869" s="1">
        <v>-3.315338E-6</v>
      </c>
      <c r="I869">
        <v>367.24829999999997</v>
      </c>
      <c r="J869">
        <v>-274.46809999999999</v>
      </c>
      <c r="K869">
        <v>1.099809</v>
      </c>
      <c r="L869">
        <v>367.34050000000002</v>
      </c>
      <c r="M869">
        <v>0.99954679999999996</v>
      </c>
      <c r="N869">
        <v>0</v>
      </c>
      <c r="O869">
        <v>-2.958233E-2</v>
      </c>
      <c r="P869">
        <v>0.99879070000000003</v>
      </c>
      <c r="Q869">
        <v>4.9079690000000002E-2</v>
      </c>
      <c r="R869">
        <v>2.8748100000000002E-3</v>
      </c>
      <c r="S869">
        <v>3.0114749999999999</v>
      </c>
      <c r="T869">
        <v>-0.1544201</v>
      </c>
      <c r="U869">
        <v>-1.364136E-2</v>
      </c>
      <c r="V869">
        <v>-3.2472010000000003E-2</v>
      </c>
      <c r="W869">
        <v>5.4634839999999997E-2</v>
      </c>
      <c r="X869">
        <v>0.99797829999999998</v>
      </c>
      <c r="Y869">
        <v>-2.498305E-2</v>
      </c>
      <c r="Z869">
        <v>2.1558369999999999E-3</v>
      </c>
      <c r="AA869">
        <v>0.9996855</v>
      </c>
      <c r="AB869">
        <v>34</v>
      </c>
      <c r="AC869">
        <v>21.258299999999899</v>
      </c>
      <c r="AD869">
        <v>-1.0998123153379999</v>
      </c>
      <c r="AE869">
        <v>-9.2200000000047994E-2</v>
      </c>
      <c r="AF869">
        <v>-0.53528745935908495</v>
      </c>
      <c r="AG869">
        <v>-1.0998123153379999</v>
      </c>
      <c r="AH869">
        <v>21.1949944738599</v>
      </c>
      <c r="AI869">
        <v>92.969479646298097</v>
      </c>
      <c r="AJ869">
        <v>91.446718660552506</v>
      </c>
      <c r="AK869">
        <v>21.2302593140091</v>
      </c>
      <c r="AL869">
        <v>86.868094961279795</v>
      </c>
      <c r="AM869">
        <v>91.863620645364307</v>
      </c>
      <c r="AN869">
        <v>1.0000000422230699</v>
      </c>
    </row>
    <row r="870" spans="1:40" x14ac:dyDescent="0.25">
      <c r="A870" t="str">
        <f>"20190312160617670"</f>
        <v>20190312160617670</v>
      </c>
      <c r="B870" t="str">
        <f>"1552377977665994"</f>
        <v>1552377977665994</v>
      </c>
      <c r="C870" t="s">
        <v>40</v>
      </c>
      <c r="D870">
        <v>6.7609810000000001</v>
      </c>
      <c r="E870">
        <v>0.50228030000000001</v>
      </c>
      <c r="F870" t="s">
        <v>47</v>
      </c>
      <c r="G870">
        <v>-253.34469999999999</v>
      </c>
      <c r="H870" s="1">
        <v>-3.2579819999999999E-6</v>
      </c>
      <c r="I870">
        <v>367.24540000000002</v>
      </c>
      <c r="J870">
        <v>-274.31040000000002</v>
      </c>
      <c r="K870">
        <v>1.1005590000000001</v>
      </c>
      <c r="L870">
        <v>367.33600000000001</v>
      </c>
      <c r="M870">
        <v>0.99955269999999996</v>
      </c>
      <c r="N870">
        <v>0</v>
      </c>
      <c r="O870">
        <v>-2.933877E-2</v>
      </c>
      <c r="P870">
        <v>0.99880029999999997</v>
      </c>
      <c r="Q870">
        <v>4.8846979999999998E-2</v>
      </c>
      <c r="R870">
        <v>3.5111790000000001E-3</v>
      </c>
      <c r="S870">
        <v>3.0114139999999998</v>
      </c>
      <c r="T870">
        <v>-0.15679199999999999</v>
      </c>
      <c r="U870">
        <v>-1.3549800000000001E-2</v>
      </c>
      <c r="V870">
        <v>-3.286654E-2</v>
      </c>
      <c r="W870">
        <v>5.4620080000000001E-2</v>
      </c>
      <c r="X870">
        <v>0.99796620000000003</v>
      </c>
      <c r="Y870">
        <v>-2.4768189999999999E-2</v>
      </c>
      <c r="Z870">
        <v>2.1706939999999999E-3</v>
      </c>
      <c r="AA870">
        <v>0.99969090000000005</v>
      </c>
      <c r="AB870">
        <v>34</v>
      </c>
      <c r="AC870">
        <v>20.965699999999998</v>
      </c>
      <c r="AD870">
        <v>-1.100562257982</v>
      </c>
      <c r="AE870">
        <v>-9.0599999999994907E-2</v>
      </c>
      <c r="AF870">
        <v>-0.52311574579727105</v>
      </c>
      <c r="AG870">
        <v>-1.100562257982</v>
      </c>
      <c r="AH870">
        <v>20.9017376377391</v>
      </c>
      <c r="AI870">
        <v>93.013132721847796</v>
      </c>
      <c r="AJ870">
        <v>91.433664003524996</v>
      </c>
      <c r="AK870">
        <v>20.9372281748104</v>
      </c>
      <c r="AL870">
        <v>86.868941934313696</v>
      </c>
      <c r="AM870">
        <v>91.886269948725698</v>
      </c>
      <c r="AN870">
        <v>1.0000000494665999</v>
      </c>
    </row>
    <row r="871" spans="1:40" x14ac:dyDescent="0.25">
      <c r="A871" t="str">
        <f>"20190312160617684"</f>
        <v>20190312160617684</v>
      </c>
      <c r="B871" t="str">
        <f>"1552377977675753"</f>
        <v>1552377977675753</v>
      </c>
      <c r="C871" t="s">
        <v>40</v>
      </c>
      <c r="D871">
        <v>6.6021199999999904</v>
      </c>
      <c r="E871">
        <v>0.5024248</v>
      </c>
      <c r="F871" t="s">
        <v>47</v>
      </c>
      <c r="G871">
        <v>-253.10310000000001</v>
      </c>
      <c r="H871" s="1">
        <v>-3.359662E-6</v>
      </c>
      <c r="I871">
        <v>367.25650000000002</v>
      </c>
      <c r="J871">
        <v>-274.11419999999998</v>
      </c>
      <c r="K871">
        <v>1.1014029999999999</v>
      </c>
      <c r="L871">
        <v>367.3306</v>
      </c>
      <c r="M871">
        <v>0.99956009999999995</v>
      </c>
      <c r="N871">
        <v>0</v>
      </c>
      <c r="O871">
        <v>-2.9030460000000001E-2</v>
      </c>
      <c r="P871">
        <v>0.99880150000000001</v>
      </c>
      <c r="Q871">
        <v>4.8754180000000001E-2</v>
      </c>
      <c r="R871">
        <v>4.3321159999999996E-3</v>
      </c>
      <c r="S871">
        <v>3.0112299999999999</v>
      </c>
      <c r="T871">
        <v>-0.15626880000000001</v>
      </c>
      <c r="U871">
        <v>-1.1291499999999999E-2</v>
      </c>
      <c r="V871">
        <v>-3.3380170000000001E-2</v>
      </c>
      <c r="W871">
        <v>5.4781969999999999E-2</v>
      </c>
      <c r="X871">
        <v>0.99794020000000005</v>
      </c>
      <c r="Y871">
        <v>-2.5209619999999999E-2</v>
      </c>
      <c r="Z871">
        <v>2.1590649999999999E-3</v>
      </c>
      <c r="AA871">
        <v>0.99967989999999995</v>
      </c>
      <c r="AB871">
        <v>34</v>
      </c>
      <c r="AC871">
        <v>21.0110999999999</v>
      </c>
      <c r="AD871">
        <v>-1.1014063596619901</v>
      </c>
      <c r="AE871">
        <v>-7.4099999999987107E-2</v>
      </c>
      <c r="AF871">
        <v>-0.53443581923038297</v>
      </c>
      <c r="AG871">
        <v>-1.1014063596619901</v>
      </c>
      <c r="AH871">
        <v>20.9468366137122</v>
      </c>
      <c r="AI871">
        <v>93.008922185990997</v>
      </c>
      <c r="AJ871">
        <v>91.461522600834698</v>
      </c>
      <c r="AK871">
        <v>20.9825804355788</v>
      </c>
      <c r="AL871">
        <v>86.859652167081506</v>
      </c>
      <c r="AM871">
        <v>91.915776178046897</v>
      </c>
      <c r="AN871">
        <v>0.99999997138117402</v>
      </c>
    </row>
    <row r="872" spans="1:40" x14ac:dyDescent="0.25">
      <c r="A872" t="str">
        <f>"20190312160617696"</f>
        <v>20190312160617696</v>
      </c>
      <c r="B872" t="str">
        <f>"1552377977685514"</f>
        <v>1552377977685514</v>
      </c>
      <c r="C872" t="s">
        <v>40</v>
      </c>
      <c r="D872">
        <v>6.5418789999999998</v>
      </c>
      <c r="E872">
        <v>0.50222959999999905</v>
      </c>
      <c r="F872" t="s">
        <v>47</v>
      </c>
      <c r="G872">
        <v>-253.3271</v>
      </c>
      <c r="H872" s="1">
        <v>-3.2626490000000002E-6</v>
      </c>
      <c r="I872">
        <v>367.26170000000002</v>
      </c>
      <c r="J872">
        <v>-273.93709999999999</v>
      </c>
      <c r="K872">
        <v>1.102131</v>
      </c>
      <c r="L872">
        <v>367.32569999999998</v>
      </c>
      <c r="M872">
        <v>0.99956670000000003</v>
      </c>
      <c r="N872">
        <v>0</v>
      </c>
      <c r="O872">
        <v>-2.8750479999999998E-2</v>
      </c>
      <c r="P872">
        <v>0.99879770000000001</v>
      </c>
      <c r="Q872">
        <v>4.8744639999999999E-2</v>
      </c>
      <c r="R872">
        <v>5.2302429999999999E-3</v>
      </c>
      <c r="S872">
        <v>3.011444</v>
      </c>
      <c r="T872">
        <v>-0.1595608</v>
      </c>
      <c r="U872">
        <v>-9.9792479999999996E-3</v>
      </c>
      <c r="V872">
        <v>-3.399932E-2</v>
      </c>
      <c r="W872">
        <v>5.4996209999999997E-2</v>
      </c>
      <c r="X872">
        <v>0.99790749999999995</v>
      </c>
      <c r="Y872">
        <v>-2.5362619999999999E-2</v>
      </c>
      <c r="Z872">
        <v>2.1935660000000001E-3</v>
      </c>
      <c r="AA872">
        <v>0.99967589999999995</v>
      </c>
      <c r="AB872">
        <v>34</v>
      </c>
      <c r="AC872">
        <v>20.6099999999999</v>
      </c>
      <c r="AD872">
        <v>-1.1021342626490001</v>
      </c>
      <c r="AE872">
        <v>-6.3999999999964502E-2</v>
      </c>
      <c r="AF872">
        <v>-0.527078403099427</v>
      </c>
      <c r="AG872">
        <v>-1.1021342626490001</v>
      </c>
      <c r="AH872">
        <v>20.5445702231284</v>
      </c>
      <c r="AI872">
        <v>93.069738427971302</v>
      </c>
      <c r="AJ872">
        <v>91.469621634328504</v>
      </c>
      <c r="AK872">
        <v>20.580861916571202</v>
      </c>
      <c r="AL872">
        <v>86.847358542680595</v>
      </c>
      <c r="AM872">
        <v>91.9513475042708</v>
      </c>
      <c r="AN872">
        <v>0.99999995771553696</v>
      </c>
    </row>
    <row r="873" spans="1:40" x14ac:dyDescent="0.25">
      <c r="A873" t="str">
        <f>"20190312160617706"</f>
        <v>20190312160617706</v>
      </c>
      <c r="B873" t="str">
        <f>"1552377977696250"</f>
        <v>1552377977696250</v>
      </c>
      <c r="C873" t="s">
        <v>40</v>
      </c>
      <c r="D873">
        <v>6.6497960000000003</v>
      </c>
      <c r="E873">
        <v>0.50305679999999997</v>
      </c>
      <c r="F873" t="s">
        <v>47</v>
      </c>
      <c r="G873">
        <v>-252.39940000000001</v>
      </c>
      <c r="H873" s="1">
        <v>-3.6565780000000001E-6</v>
      </c>
      <c r="I873">
        <v>367.28440000000001</v>
      </c>
      <c r="J873">
        <v>-273.76049999999998</v>
      </c>
      <c r="K873">
        <v>1.1027769999999999</v>
      </c>
      <c r="L873">
        <v>367.32080000000002</v>
      </c>
      <c r="M873">
        <v>0.99957359999999995</v>
      </c>
      <c r="N873">
        <v>0</v>
      </c>
      <c r="O873">
        <v>-2.8467989999999999E-2</v>
      </c>
      <c r="P873">
        <v>0.99879739999999995</v>
      </c>
      <c r="Q873">
        <v>4.8645010000000002E-2</v>
      </c>
      <c r="R873">
        <v>6.1671139999999996E-3</v>
      </c>
      <c r="S873">
        <v>3.0111690000000002</v>
      </c>
      <c r="T873">
        <v>-0.154088</v>
      </c>
      <c r="U873">
        <v>-5.7678219999999997E-3</v>
      </c>
      <c r="V873">
        <v>-3.46553E-2</v>
      </c>
      <c r="W873">
        <v>5.5104300000000002E-2</v>
      </c>
      <c r="X873">
        <v>0.99787899999999996</v>
      </c>
      <c r="Y873">
        <v>-2.6481950000000001E-2</v>
      </c>
      <c r="Z873">
        <v>2.1328129999999999E-3</v>
      </c>
      <c r="AA873">
        <v>0.99964699999999995</v>
      </c>
      <c r="AB873">
        <v>34</v>
      </c>
      <c r="AC873">
        <v>21.361099999999901</v>
      </c>
      <c r="AD873">
        <v>-1.1027806565780001</v>
      </c>
      <c r="AE873">
        <v>-3.6400000000014601E-2</v>
      </c>
      <c r="AF873">
        <v>-0.57021542541547698</v>
      </c>
      <c r="AG873">
        <v>-1.1027806565780001</v>
      </c>
      <c r="AH873">
        <v>21.296718324580901</v>
      </c>
      <c r="AI873">
        <v>92.9631663519489</v>
      </c>
      <c r="AJ873">
        <v>91.533716744128697</v>
      </c>
      <c r="AK873">
        <v>21.3328732758727</v>
      </c>
      <c r="AL873">
        <v>86.841156126003497</v>
      </c>
      <c r="AM873">
        <v>91.989023444864799</v>
      </c>
      <c r="AN873">
        <v>0.99999998616878905</v>
      </c>
    </row>
    <row r="874" spans="1:40" x14ac:dyDescent="0.25">
      <c r="A874" t="str">
        <f>"20190312160617721"</f>
        <v>20190312160617721</v>
      </c>
      <c r="B874" t="str">
        <f>"1552377977715771"</f>
        <v>1552377977715771</v>
      </c>
      <c r="C874" t="s">
        <v>40</v>
      </c>
      <c r="D874">
        <v>6.7420710000000001</v>
      </c>
      <c r="E874">
        <v>0.50409150000000003</v>
      </c>
      <c r="F874" t="s">
        <v>47</v>
      </c>
      <c r="G874">
        <v>-253.06049999999999</v>
      </c>
      <c r="H874" s="1">
        <v>-3.378573E-6</v>
      </c>
      <c r="I874">
        <v>367.25290000000001</v>
      </c>
      <c r="J874">
        <v>-273.55399999999997</v>
      </c>
      <c r="K874">
        <v>1.103485</v>
      </c>
      <c r="L874">
        <v>367.3152</v>
      </c>
      <c r="M874">
        <v>0.99958150000000001</v>
      </c>
      <c r="N874">
        <v>0</v>
      </c>
      <c r="O874">
        <v>-2.8137180000000001E-2</v>
      </c>
      <c r="P874">
        <v>0.99880650000000004</v>
      </c>
      <c r="Q874">
        <v>4.8347920000000003E-2</v>
      </c>
      <c r="R874">
        <v>6.9436649999999999E-3</v>
      </c>
      <c r="S874">
        <v>3.011444</v>
      </c>
      <c r="T874">
        <v>-0.16043279999999999</v>
      </c>
      <c r="U874">
        <v>-9.8876950000000002E-3</v>
      </c>
      <c r="V874">
        <v>-3.5101739999999999E-2</v>
      </c>
      <c r="W874">
        <v>5.5040489999999997E-2</v>
      </c>
      <c r="X874">
        <v>0.9978669</v>
      </c>
      <c r="Y874">
        <v>-2.4780569999999998E-2</v>
      </c>
      <c r="Z874">
        <v>2.157408E-3</v>
      </c>
      <c r="AA874">
        <v>0.99969059999999998</v>
      </c>
      <c r="AB874">
        <v>34</v>
      </c>
      <c r="AC874">
        <v>20.493500000000001</v>
      </c>
      <c r="AD874">
        <v>-1.1034883785730001</v>
      </c>
      <c r="AE874">
        <v>-6.2299999999993298E-2</v>
      </c>
      <c r="AF874">
        <v>-0.51287996243420797</v>
      </c>
      <c r="AG874">
        <v>-1.1034883785730001</v>
      </c>
      <c r="AH874">
        <v>20.427911179293002</v>
      </c>
      <c r="AI874">
        <v>93.091063818667607</v>
      </c>
      <c r="AJ874">
        <v>91.438212886129406</v>
      </c>
      <c r="AK874">
        <v>20.4641219603138</v>
      </c>
      <c r="AL874">
        <v>86.8448176721907</v>
      </c>
      <c r="AM874">
        <v>92.014650071916805</v>
      </c>
      <c r="AN874">
        <v>0.99999996890303799</v>
      </c>
    </row>
    <row r="875" spans="1:40" x14ac:dyDescent="0.25">
      <c r="A875" t="str">
        <f>"20190312160617735"</f>
        <v>20190312160617735</v>
      </c>
      <c r="B875" t="str">
        <f>"1552377977725530"</f>
        <v>1552377977725530</v>
      </c>
      <c r="C875" t="s">
        <v>40</v>
      </c>
      <c r="D875">
        <v>7.524832</v>
      </c>
      <c r="E875">
        <v>0.50490360000000001</v>
      </c>
      <c r="F875" t="s">
        <v>47</v>
      </c>
      <c r="G875">
        <v>-251.39689999999999</v>
      </c>
      <c r="H875" s="1">
        <v>-4.1017890000000002E-6</v>
      </c>
      <c r="I875">
        <v>367.19909999999999</v>
      </c>
      <c r="J875">
        <v>-273.34879999999998</v>
      </c>
      <c r="K875">
        <v>1.1041350000000001</v>
      </c>
      <c r="L875">
        <v>367.3098</v>
      </c>
      <c r="M875">
        <v>0.99958910000000001</v>
      </c>
      <c r="N875">
        <v>0</v>
      </c>
      <c r="O875">
        <v>-2.780767E-2</v>
      </c>
      <c r="P875">
        <v>0.99881920000000002</v>
      </c>
      <c r="Q875">
        <v>4.7985960000000001E-2</v>
      </c>
      <c r="R875">
        <v>7.5707329999999996E-3</v>
      </c>
      <c r="S875">
        <v>3.0109560000000002</v>
      </c>
      <c r="T875">
        <v>-0.14995410000000001</v>
      </c>
      <c r="U875">
        <v>-1.5777590000000001E-2</v>
      </c>
      <c r="V875">
        <v>-3.540082E-2</v>
      </c>
      <c r="W875">
        <v>5.489956E-2</v>
      </c>
      <c r="X875">
        <v>0.99786410000000003</v>
      </c>
      <c r="Y875">
        <v>-2.2507650000000001E-2</v>
      </c>
      <c r="Z875">
        <v>1.944028E-3</v>
      </c>
      <c r="AA875">
        <v>0.99974479999999999</v>
      </c>
      <c r="AB875">
        <v>34</v>
      </c>
      <c r="AC875">
        <v>21.951899999999899</v>
      </c>
      <c r="AD875">
        <v>-1.1041391017890001</v>
      </c>
      <c r="AE875">
        <v>-0.110700000000008</v>
      </c>
      <c r="AF875">
        <v>-0.49852757109123302</v>
      </c>
      <c r="AG875">
        <v>-1.1041391017890001</v>
      </c>
      <c r="AH875">
        <v>21.891108091660598</v>
      </c>
      <c r="AI875">
        <v>92.886678446190899</v>
      </c>
      <c r="AJ875">
        <v>91.304574871746098</v>
      </c>
      <c r="AK875">
        <v>21.924604132709099</v>
      </c>
      <c r="AL875">
        <v>86.852904600353199</v>
      </c>
      <c r="AM875">
        <v>92.031807016690607</v>
      </c>
      <c r="AN875">
        <v>0.99999997090683701</v>
      </c>
    </row>
    <row r="876" spans="1:40" x14ac:dyDescent="0.25">
      <c r="A876" t="str">
        <f>"20190312160617748"</f>
        <v>20190312160617748</v>
      </c>
      <c r="B876" t="str">
        <f>"1552377977746026"</f>
        <v>1552377977746026</v>
      </c>
      <c r="C876" t="s">
        <v>40</v>
      </c>
      <c r="D876">
        <v>6.6706890000000003</v>
      </c>
      <c r="E876">
        <v>0.50631059999999894</v>
      </c>
      <c r="F876" t="s">
        <v>47</v>
      </c>
      <c r="G876">
        <v>-250.19229999999999</v>
      </c>
      <c r="H876" s="1">
        <v>-4.6260899999999998E-6</v>
      </c>
      <c r="I876">
        <v>367.1567</v>
      </c>
      <c r="J876">
        <v>-273.12520000000001</v>
      </c>
      <c r="K876">
        <v>1.104751</v>
      </c>
      <c r="L876">
        <v>367.3039</v>
      </c>
      <c r="M876">
        <v>0.99959750000000003</v>
      </c>
      <c r="N876">
        <v>0</v>
      </c>
      <c r="O876">
        <v>-2.7448739999999999E-2</v>
      </c>
      <c r="P876">
        <v>0.99882009999999999</v>
      </c>
      <c r="Q876">
        <v>4.7828179999999998E-2</v>
      </c>
      <c r="R876">
        <v>8.4395970000000001E-3</v>
      </c>
      <c r="S876">
        <v>3.0105590000000002</v>
      </c>
      <c r="T876">
        <v>-0.14354790000000001</v>
      </c>
      <c r="U876">
        <v>-1.9897459999999999E-2</v>
      </c>
      <c r="V876">
        <v>-3.5911730000000003E-2</v>
      </c>
      <c r="W876">
        <v>5.4961929999999999E-2</v>
      </c>
      <c r="X876">
        <v>0.99784240000000002</v>
      </c>
      <c r="Y876">
        <v>-2.0787460000000001E-2</v>
      </c>
      <c r="Z876">
        <v>1.8032219999999999E-3</v>
      </c>
      <c r="AA876">
        <v>0.99978230000000001</v>
      </c>
      <c r="AB876">
        <v>34</v>
      </c>
      <c r="AC876">
        <v>22.9329</v>
      </c>
      <c r="AD876">
        <v>-1.10475562609</v>
      </c>
      <c r="AE876">
        <v>-0.147199999999998</v>
      </c>
      <c r="AF876">
        <v>-0.48123411285697498</v>
      </c>
      <c r="AG876">
        <v>-1.10475562609</v>
      </c>
      <c r="AH876">
        <v>22.875215506709999</v>
      </c>
      <c r="AI876">
        <v>92.764333389795993</v>
      </c>
      <c r="AJ876">
        <v>91.205174092358007</v>
      </c>
      <c r="AK876">
        <v>22.906932482180601</v>
      </c>
      <c r="AL876">
        <v>86.849325626587898</v>
      </c>
      <c r="AM876">
        <v>92.061150036274398</v>
      </c>
      <c r="AN876">
        <v>0.99999996066933805</v>
      </c>
    </row>
    <row r="877" spans="1:40" x14ac:dyDescent="0.25">
      <c r="A877" t="str">
        <f>"20190312160617764"</f>
        <v>20190312160617764</v>
      </c>
      <c r="B877" t="str">
        <f>"1552377977755786"</f>
        <v>1552377977755786</v>
      </c>
      <c r="C877" t="s">
        <v>40</v>
      </c>
      <c r="D877">
        <v>7.1682269999999999</v>
      </c>
      <c r="E877">
        <v>0.50704879999999997</v>
      </c>
      <c r="F877" t="s">
        <v>47</v>
      </c>
      <c r="G877">
        <v>-247.30439999999999</v>
      </c>
      <c r="H877" s="1">
        <v>-1.7079829999999999E-6</v>
      </c>
      <c r="I877">
        <v>367.0609</v>
      </c>
      <c r="J877">
        <v>-272.89600000000002</v>
      </c>
      <c r="K877">
        <v>1.1053269999999999</v>
      </c>
      <c r="L877">
        <v>367.29790000000003</v>
      </c>
      <c r="M877">
        <v>0.99960579999999999</v>
      </c>
      <c r="N877">
        <v>0</v>
      </c>
      <c r="O877">
        <v>-2.7080859999999998E-2</v>
      </c>
      <c r="P877">
        <v>0.99881540000000002</v>
      </c>
      <c r="Q877">
        <v>4.7820689999999999E-2</v>
      </c>
      <c r="R877">
        <v>8.9919089999999993E-3</v>
      </c>
      <c r="S877">
        <v>3.009979</v>
      </c>
      <c r="T877">
        <v>-0.12878329999999999</v>
      </c>
      <c r="U877">
        <v>-2.8320310000000001E-2</v>
      </c>
      <c r="V877">
        <v>-3.6097360000000002E-2</v>
      </c>
      <c r="W877">
        <v>5.5166180000000002E-2</v>
      </c>
      <c r="X877">
        <v>0.9978245</v>
      </c>
      <c r="Y877">
        <v>-1.7634569999999999E-2</v>
      </c>
      <c r="Z877">
        <v>1.535072E-3</v>
      </c>
      <c r="AA877">
        <v>0.99984329999999999</v>
      </c>
      <c r="AB877">
        <v>34</v>
      </c>
      <c r="AC877">
        <v>25.5915999999999</v>
      </c>
      <c r="AD877">
        <v>-1.1053287079830001</v>
      </c>
      <c r="AE877">
        <v>-0.237000000000023</v>
      </c>
      <c r="AF877">
        <v>-0.45529920346831798</v>
      </c>
      <c r="AG877">
        <v>-1.1053287079830001</v>
      </c>
      <c r="AH877">
        <v>25.540990171841599</v>
      </c>
      <c r="AI877">
        <v>92.477630506102798</v>
      </c>
      <c r="AJ877">
        <v>91.021258764772796</v>
      </c>
      <c r="AK877">
        <v>25.568950464879901</v>
      </c>
      <c r="AL877">
        <v>86.837605400026206</v>
      </c>
      <c r="AM877">
        <v>92.071832123761396</v>
      </c>
      <c r="AN877">
        <v>1.0000000298075</v>
      </c>
    </row>
    <row r="878" spans="1:40" x14ac:dyDescent="0.25">
      <c r="A878" t="str">
        <f>"20190312160617778"</f>
        <v>20190312160617778</v>
      </c>
      <c r="B878" t="str">
        <f>"1552377977765545"</f>
        <v>1552377977765545</v>
      </c>
      <c r="C878" t="s">
        <v>40</v>
      </c>
      <c r="D878">
        <v>6.4128970000000001</v>
      </c>
      <c r="E878">
        <v>0.50765499999999997</v>
      </c>
      <c r="F878" t="s">
        <v>47</v>
      </c>
      <c r="G878">
        <v>-245.858</v>
      </c>
      <c r="H878" s="1">
        <v>-2.4013619999999998E-6</v>
      </c>
      <c r="I878">
        <v>367.00650000000002</v>
      </c>
      <c r="J878">
        <v>-272.68939999999998</v>
      </c>
      <c r="K878">
        <v>1.105801</v>
      </c>
      <c r="L878">
        <v>367.29259999999999</v>
      </c>
      <c r="M878">
        <v>0.99961359999999999</v>
      </c>
      <c r="N878">
        <v>0</v>
      </c>
      <c r="O878">
        <v>-2.6750110000000001E-2</v>
      </c>
      <c r="P878">
        <v>0.99880150000000001</v>
      </c>
      <c r="Q878">
        <v>4.8005220000000001E-2</v>
      </c>
      <c r="R878">
        <v>9.5613369999999996E-3</v>
      </c>
      <c r="S878">
        <v>3.009735</v>
      </c>
      <c r="T878">
        <v>-0.1230401</v>
      </c>
      <c r="U878">
        <v>-3.2440190000000001E-2</v>
      </c>
      <c r="V878">
        <v>-3.6337380000000002E-2</v>
      </c>
      <c r="W878">
        <v>5.5530879999999998E-2</v>
      </c>
      <c r="X878">
        <v>0.99779549999999995</v>
      </c>
      <c r="Y878">
        <v>-1.5939740000000001E-2</v>
      </c>
      <c r="Z878">
        <v>1.4186369999999999E-3</v>
      </c>
      <c r="AA878">
        <v>0.99987199999999998</v>
      </c>
      <c r="AB878">
        <v>34</v>
      </c>
      <c r="AC878">
        <v>26.831399999999899</v>
      </c>
      <c r="AD878">
        <v>-1.1058034013619999</v>
      </c>
      <c r="AE878">
        <v>-0.28609999999997598</v>
      </c>
      <c r="AF878">
        <v>-0.43103374007671302</v>
      </c>
      <c r="AG878">
        <v>-1.1058034013619999</v>
      </c>
      <c r="AH878">
        <v>26.783963538079501</v>
      </c>
      <c r="AI878">
        <v>92.363866616620101</v>
      </c>
      <c r="AJ878">
        <v>90.921980140790694</v>
      </c>
      <c r="AK878">
        <v>26.810246064829801</v>
      </c>
      <c r="AL878">
        <v>86.816677364558302</v>
      </c>
      <c r="AM878">
        <v>92.085656669071994</v>
      </c>
      <c r="AN878">
        <v>0.99999997181954303</v>
      </c>
    </row>
    <row r="879" spans="1:40" x14ac:dyDescent="0.25">
      <c r="A879" t="str">
        <f>"20190312160617794"</f>
        <v>20190312160617794</v>
      </c>
      <c r="B879" t="str">
        <f>"1552377977786042"</f>
        <v>1552377977786042</v>
      </c>
      <c r="C879" t="s">
        <v>40</v>
      </c>
      <c r="D879">
        <v>6.6800449999999998</v>
      </c>
      <c r="E879">
        <v>0.50828379999999995</v>
      </c>
      <c r="F879" t="s">
        <v>47</v>
      </c>
      <c r="G879">
        <v>-244.3869</v>
      </c>
      <c r="H879" s="1">
        <v>-3.1054960000000001E-6</v>
      </c>
      <c r="I879">
        <v>366.95740000000001</v>
      </c>
      <c r="J879">
        <v>-272.4391</v>
      </c>
      <c r="K879">
        <v>1.1063190000000001</v>
      </c>
      <c r="L879">
        <v>367.28629999999998</v>
      </c>
      <c r="M879">
        <v>0.99962260000000003</v>
      </c>
      <c r="N879">
        <v>0</v>
      </c>
      <c r="O879">
        <v>-2.6349580000000001E-2</v>
      </c>
      <c r="P879">
        <v>0.99878440000000002</v>
      </c>
      <c r="Q879">
        <v>4.8118670000000002E-2</v>
      </c>
      <c r="R879">
        <v>1.0688110000000001E-2</v>
      </c>
      <c r="S879">
        <v>3.0096129999999999</v>
      </c>
      <c r="T879">
        <v>-0.11758830000000001</v>
      </c>
      <c r="U879">
        <v>-3.5644530000000001E-2</v>
      </c>
      <c r="V879">
        <v>-3.7064670000000001E-2</v>
      </c>
      <c r="W879">
        <v>5.584654E-2</v>
      </c>
      <c r="X879">
        <v>0.99775119999999895</v>
      </c>
      <c r="Y879">
        <v>-1.447877E-2</v>
      </c>
      <c r="Z879">
        <v>1.3117059999999999E-3</v>
      </c>
      <c r="AA879">
        <v>0.99989430000000001</v>
      </c>
      <c r="AB879">
        <v>34</v>
      </c>
      <c r="AC879">
        <v>28.052199999999999</v>
      </c>
      <c r="AD879">
        <v>-1.106322105496</v>
      </c>
      <c r="AE879">
        <v>-0.32889999999997599</v>
      </c>
      <c r="AF879">
        <v>-0.40976296145171498</v>
      </c>
      <c r="AG879">
        <v>-1.106322105496</v>
      </c>
      <c r="AH879">
        <v>28.007570326288398</v>
      </c>
      <c r="AI879">
        <v>92.261812678685004</v>
      </c>
      <c r="AJ879">
        <v>90.838202425387905</v>
      </c>
      <c r="AK879">
        <v>28.032407136521002</v>
      </c>
      <c r="AL879">
        <v>86.798563491527602</v>
      </c>
      <c r="AM879">
        <v>92.127457322992797</v>
      </c>
      <c r="AN879">
        <v>1.0000000414468</v>
      </c>
    </row>
    <row r="880" spans="1:40" x14ac:dyDescent="0.25">
      <c r="A880" t="str">
        <f>"20190312160617806"</f>
        <v>20190312160617806</v>
      </c>
      <c r="B880" t="str">
        <f>"1552377977795802"</f>
        <v>1552377977795802</v>
      </c>
      <c r="C880" t="s">
        <v>40</v>
      </c>
      <c r="D880">
        <v>6.5770770000000001</v>
      </c>
      <c r="E880">
        <v>0.50828379999999995</v>
      </c>
      <c r="F880" t="s">
        <v>47</v>
      </c>
      <c r="G880">
        <v>-242.6046</v>
      </c>
      <c r="H880" s="1">
        <v>-3.9557199999999998E-6</v>
      </c>
      <c r="I880">
        <v>366.91379999999998</v>
      </c>
      <c r="J880">
        <v>-272.24549999999999</v>
      </c>
      <c r="K880">
        <v>1.106662</v>
      </c>
      <c r="L880">
        <v>367.28149999999999</v>
      </c>
      <c r="M880">
        <v>0.99962960000000001</v>
      </c>
      <c r="N880">
        <v>0</v>
      </c>
      <c r="O880">
        <v>-2.6040319999999999E-2</v>
      </c>
      <c r="P880">
        <v>0.99877570000000004</v>
      </c>
      <c r="Q880">
        <v>4.8133469999999998E-2</v>
      </c>
      <c r="R880">
        <v>1.1420609999999999E-2</v>
      </c>
      <c r="S880">
        <v>3.0094910000000001</v>
      </c>
      <c r="T880">
        <v>-0.11159810000000001</v>
      </c>
      <c r="U880">
        <v>-3.7567139999999999E-2</v>
      </c>
      <c r="V880">
        <v>-3.7488729999999998E-2</v>
      </c>
      <c r="W880">
        <v>5.6003650000000002E-2</v>
      </c>
      <c r="X880">
        <v>0.99772649999999996</v>
      </c>
      <c r="Y880">
        <v>-1.3534239999999999E-2</v>
      </c>
      <c r="Z880">
        <v>1.2160109999999999E-3</v>
      </c>
      <c r="AA880">
        <v>0.99990769999999995</v>
      </c>
      <c r="AB880">
        <v>34</v>
      </c>
      <c r="AC880">
        <v>29.640899999999899</v>
      </c>
      <c r="AD880">
        <v>-1.10666595572</v>
      </c>
      <c r="AE880">
        <v>-0.36770000000001302</v>
      </c>
      <c r="AF880">
        <v>-0.403744647703352</v>
      </c>
      <c r="AG880">
        <v>-1.10666595572</v>
      </c>
      <c r="AH880">
        <v>29.599169559047699</v>
      </c>
      <c r="AI880">
        <v>92.141001893167598</v>
      </c>
      <c r="AJ880">
        <v>90.781489146958705</v>
      </c>
      <c r="AK880">
        <v>29.622602145378</v>
      </c>
      <c r="AL880">
        <v>86.789547480537607</v>
      </c>
      <c r="AM880">
        <v>92.151828209502796</v>
      </c>
      <c r="AN880">
        <v>0.99999999124629202</v>
      </c>
    </row>
    <row r="881" spans="1:40" x14ac:dyDescent="0.25">
      <c r="A881" t="str">
        <f>"20190312160617819"</f>
        <v>20190312160617819</v>
      </c>
      <c r="B881" t="str">
        <f>"1552377977816298"</f>
        <v>1552377977816298</v>
      </c>
      <c r="C881" t="s">
        <v>40</v>
      </c>
      <c r="D881">
        <v>6.6680999999999999</v>
      </c>
      <c r="E881">
        <v>0.54246309999999998</v>
      </c>
      <c r="F881" t="s">
        <v>47</v>
      </c>
      <c r="G881">
        <v>-242.38409999999999</v>
      </c>
      <c r="H881" s="1">
        <v>-4.0571609999999999E-6</v>
      </c>
      <c r="I881">
        <v>366.92959999999999</v>
      </c>
      <c r="J881">
        <v>-272.07100000000003</v>
      </c>
      <c r="K881">
        <v>1.106954</v>
      </c>
      <c r="L881">
        <v>367.27719999999999</v>
      </c>
      <c r="M881">
        <v>0.99963579999999996</v>
      </c>
      <c r="N881">
        <v>0</v>
      </c>
      <c r="O881">
        <v>-2.5761530000000001E-2</v>
      </c>
      <c r="P881">
        <v>0.99878659999999997</v>
      </c>
      <c r="Q881">
        <v>4.7857650000000002E-2</v>
      </c>
      <c r="R881">
        <v>1.162724E-2</v>
      </c>
      <c r="S881">
        <v>3.0094599999999998</v>
      </c>
      <c r="T881">
        <v>-0.1115307</v>
      </c>
      <c r="U881">
        <v>-3.5461430000000002E-2</v>
      </c>
      <c r="V881">
        <v>-3.7417199999999998E-2</v>
      </c>
      <c r="W881">
        <v>5.5852249999999999E-2</v>
      </c>
      <c r="X881">
        <v>0.99773769999999995</v>
      </c>
      <c r="Y881">
        <v>-1.395473E-2</v>
      </c>
      <c r="Z881">
        <v>1.2127609999999999E-3</v>
      </c>
      <c r="AA881">
        <v>0.99990190000000001</v>
      </c>
      <c r="AB881">
        <v>34</v>
      </c>
      <c r="AC881">
        <v>29.686899999999898</v>
      </c>
      <c r="AD881">
        <v>-1.106958057161</v>
      </c>
      <c r="AE881">
        <v>-0.34759999999999902</v>
      </c>
      <c r="AF881">
        <v>-0.41674069548557402</v>
      </c>
      <c r="AG881">
        <v>-1.106958057161</v>
      </c>
      <c r="AH881">
        <v>29.644789984868801</v>
      </c>
      <c r="AI881">
        <v>92.138261532628306</v>
      </c>
      <c r="AJ881">
        <v>90.805399879601794</v>
      </c>
      <c r="AK881">
        <v>29.668377141235101</v>
      </c>
      <c r="AL881">
        <v>86.798235750370793</v>
      </c>
      <c r="AM881">
        <v>92.147702197152</v>
      </c>
      <c r="AN881">
        <v>1.0000000193435901</v>
      </c>
    </row>
    <row r="882" spans="1:40" x14ac:dyDescent="0.25">
      <c r="A882" t="str">
        <f>"20190312160617830"</f>
        <v>20190312160617830</v>
      </c>
      <c r="B882" t="str">
        <f>"1552377977826058"</f>
        <v>1552377977826058</v>
      </c>
      <c r="C882" t="s">
        <v>40</v>
      </c>
      <c r="D882">
        <v>6.612158</v>
      </c>
      <c r="E882">
        <v>0.53464080000000003</v>
      </c>
      <c r="F882" t="s">
        <v>44</v>
      </c>
      <c r="G882">
        <v>-271.12150000000003</v>
      </c>
      <c r="H882">
        <v>1.0205070000000001</v>
      </c>
      <c r="I882">
        <v>367.17959999999999</v>
      </c>
      <c r="J882">
        <v>-271.89080000000001</v>
      </c>
      <c r="K882">
        <v>1.107229</v>
      </c>
      <c r="L882">
        <v>367.27280000000002</v>
      </c>
      <c r="M882">
        <v>0.99964209999999998</v>
      </c>
      <c r="N882">
        <v>0</v>
      </c>
      <c r="O882">
        <v>-2.547379E-2</v>
      </c>
      <c r="P882">
        <v>0.99878659999999997</v>
      </c>
      <c r="Q882">
        <v>4.7800500000000003E-2</v>
      </c>
      <c r="R882">
        <v>1.184938E-2</v>
      </c>
      <c r="S882">
        <v>3.020416</v>
      </c>
      <c r="T882">
        <v>-0.2751287</v>
      </c>
      <c r="U882">
        <v>-0.3097839</v>
      </c>
      <c r="V882">
        <v>-3.7352360000000001E-2</v>
      </c>
      <c r="W882">
        <v>5.5915569999999998E-2</v>
      </c>
      <c r="X882">
        <v>0.99773659999999997</v>
      </c>
      <c r="Y882">
        <v>7.6444579999999998E-2</v>
      </c>
      <c r="Z882">
        <v>-1.156706E-3</v>
      </c>
      <c r="AA882">
        <v>0.99707319999999999</v>
      </c>
      <c r="AB882">
        <v>34</v>
      </c>
      <c r="AC882">
        <v>0.76929999999998699</v>
      </c>
      <c r="AD882">
        <v>-8.6721999999999896E-2</v>
      </c>
      <c r="AE882">
        <v>-9.3200000000024305E-2</v>
      </c>
      <c r="AF882">
        <v>7.2662100717798106E-2</v>
      </c>
      <c r="AG882">
        <v>-8.6721999999999896E-2</v>
      </c>
      <c r="AH882">
        <v>0.76188283768292897</v>
      </c>
      <c r="AI882">
        <v>96.464710472496293</v>
      </c>
      <c r="AJ882">
        <v>84.552078956732601</v>
      </c>
      <c r="AK882">
        <v>0.77023758965692901</v>
      </c>
      <c r="AL882">
        <v>86.794602157926604</v>
      </c>
      <c r="AM882">
        <v>92.143986297019495</v>
      </c>
      <c r="AN882">
        <v>1.0000000363727699</v>
      </c>
    </row>
    <row r="883" spans="1:40" x14ac:dyDescent="0.25">
      <c r="A883" t="str">
        <f>"20190312160617842"</f>
        <v>20190312160617842</v>
      </c>
      <c r="B883" t="str">
        <f>"1552377977835818"</f>
        <v>1552377977835818</v>
      </c>
      <c r="C883" t="s">
        <v>40</v>
      </c>
      <c r="D883">
        <v>6.6633659999999999</v>
      </c>
      <c r="E883">
        <v>0.53416249999999998</v>
      </c>
      <c r="F883" t="s">
        <v>42</v>
      </c>
      <c r="G883">
        <v>-158.19499999999999</v>
      </c>
      <c r="H883">
        <v>5.0337120000000004</v>
      </c>
      <c r="I883">
        <v>358.13380000000001</v>
      </c>
      <c r="J883">
        <v>-271.70429999999999</v>
      </c>
      <c r="K883">
        <v>1.1074820000000001</v>
      </c>
      <c r="L883">
        <v>367.26830000000001</v>
      </c>
      <c r="M883">
        <v>0.99964869999999995</v>
      </c>
      <c r="N883">
        <v>0</v>
      </c>
      <c r="O883">
        <v>-2.5176150000000001E-2</v>
      </c>
      <c r="P883">
        <v>0.99878469999999997</v>
      </c>
      <c r="Q883">
        <v>4.7725240000000002E-2</v>
      </c>
      <c r="R883">
        <v>1.2299330000000001E-2</v>
      </c>
      <c r="S883">
        <v>3.0015869999999998</v>
      </c>
      <c r="T883">
        <v>0.103662</v>
      </c>
      <c r="U883">
        <v>-0.24127199999999999</v>
      </c>
      <c r="V883">
        <v>-3.7505480000000001E-2</v>
      </c>
      <c r="W883">
        <v>5.5955570000000003E-2</v>
      </c>
      <c r="X883">
        <v>0.99772859999999997</v>
      </c>
      <c r="Y883">
        <v>5.498393E-2</v>
      </c>
      <c r="Z883" s="1">
        <v>8.0083959999999998E-5</v>
      </c>
      <c r="AA883">
        <v>0.99848720000000002</v>
      </c>
      <c r="AB883">
        <v>34</v>
      </c>
      <c r="AC883">
        <v>113.5093</v>
      </c>
      <c r="AD883">
        <v>3.9262299999999999</v>
      </c>
      <c r="AE883">
        <v>-9.1344999999999992</v>
      </c>
      <c r="AF883">
        <v>6.2663301927338999</v>
      </c>
      <c r="AG883">
        <v>3.9262299999999999</v>
      </c>
      <c r="AH883">
        <v>113.568295336753</v>
      </c>
      <c r="AI883">
        <v>88.022990482119198</v>
      </c>
      <c r="AJ883">
        <v>86.841807132494793</v>
      </c>
      <c r="AK883">
        <v>113.808786487658</v>
      </c>
      <c r="AL883">
        <v>86.792306690290602</v>
      </c>
      <c r="AM883">
        <v>92.152784217079201</v>
      </c>
      <c r="AN883">
        <v>1.000000023051</v>
      </c>
    </row>
    <row r="884" spans="1:40" x14ac:dyDescent="0.25">
      <c r="A884" t="str">
        <f>"20190312160617854"</f>
        <v>20190312160617854</v>
      </c>
      <c r="B884" t="str">
        <f>"1552377977845578"</f>
        <v>1552377977845578</v>
      </c>
      <c r="C884" t="s">
        <v>40</v>
      </c>
      <c r="D884">
        <v>6.4083300000000003</v>
      </c>
      <c r="E884">
        <v>0.53200219999999998</v>
      </c>
      <c r="F884" t="s">
        <v>42</v>
      </c>
      <c r="G884">
        <v>-158.19499999999999</v>
      </c>
      <c r="H884">
        <v>5.0330700000000004</v>
      </c>
      <c r="I884">
        <v>358.33120000000002</v>
      </c>
      <c r="J884">
        <v>-271.53160000000003</v>
      </c>
      <c r="K884">
        <v>1.107702</v>
      </c>
      <c r="L884">
        <v>367.26420000000002</v>
      </c>
      <c r="M884">
        <v>0.99965470000000001</v>
      </c>
      <c r="N884">
        <v>0</v>
      </c>
      <c r="O884">
        <v>-2.4900410000000001E-2</v>
      </c>
      <c r="P884">
        <v>0.9987916</v>
      </c>
      <c r="Q884">
        <v>4.7523999999999997E-2</v>
      </c>
      <c r="R884">
        <v>1.2528330000000001E-2</v>
      </c>
      <c r="S884">
        <v>3.0015869999999998</v>
      </c>
      <c r="T884">
        <v>0.1038086</v>
      </c>
      <c r="U884">
        <v>-0.23632810000000001</v>
      </c>
      <c r="V884">
        <v>-3.7459050000000001E-2</v>
      </c>
      <c r="W884">
        <v>5.5858919999999999E-2</v>
      </c>
      <c r="X884">
        <v>0.9977357</v>
      </c>
      <c r="Y884">
        <v>5.3625619999999999E-2</v>
      </c>
      <c r="Z884" s="1">
        <v>6.6264299999999995E-5</v>
      </c>
      <c r="AA884">
        <v>0.99856109999999998</v>
      </c>
      <c r="AB884">
        <v>34</v>
      </c>
      <c r="AC884">
        <v>113.3366</v>
      </c>
      <c r="AD884">
        <v>3.9253680000000002</v>
      </c>
      <c r="AE884">
        <v>-8.9329999999999892</v>
      </c>
      <c r="AF884">
        <v>6.1007298036797302</v>
      </c>
      <c r="AG884">
        <v>3.9253680000000002</v>
      </c>
      <c r="AH884">
        <v>113.38872288216299</v>
      </c>
      <c r="AI884">
        <v>88.0201488260752</v>
      </c>
      <c r="AJ884">
        <v>86.920246099462801</v>
      </c>
      <c r="AK884">
        <v>113.62055225583499</v>
      </c>
      <c r="AL884">
        <v>86.797852810058203</v>
      </c>
      <c r="AM884">
        <v>92.150106389365902</v>
      </c>
      <c r="AN884">
        <v>0.99999996321247797</v>
      </c>
    </row>
    <row r="885" spans="1:40" x14ac:dyDescent="0.25">
      <c r="A885" t="str">
        <f>"20190312160617865"</f>
        <v>20190312160617865</v>
      </c>
      <c r="B885" t="str">
        <f>"1552377977856315"</f>
        <v>1552377977856315</v>
      </c>
      <c r="C885" t="s">
        <v>40</v>
      </c>
      <c r="D885">
        <v>6.6594369999999996</v>
      </c>
      <c r="E885">
        <v>0.53126439999999997</v>
      </c>
      <c r="F885" t="s">
        <v>42</v>
      </c>
      <c r="G885">
        <v>-158.19499999999999</v>
      </c>
      <c r="H885">
        <v>5.0494029999999999</v>
      </c>
      <c r="I885">
        <v>359.03039999999999</v>
      </c>
      <c r="J885">
        <v>-271.35520000000002</v>
      </c>
      <c r="K885">
        <v>1.107898</v>
      </c>
      <c r="L885">
        <v>367.26</v>
      </c>
      <c r="M885">
        <v>0.99966089999999996</v>
      </c>
      <c r="N885">
        <v>0</v>
      </c>
      <c r="O885">
        <v>-2.4618810000000001E-2</v>
      </c>
      <c r="P885">
        <v>0.99879309999999999</v>
      </c>
      <c r="Q885">
        <v>4.7435190000000002E-2</v>
      </c>
      <c r="R885">
        <v>1.2738319999999999E-2</v>
      </c>
      <c r="S885">
        <v>3.001404</v>
      </c>
      <c r="T885">
        <v>0.1043872</v>
      </c>
      <c r="U885">
        <v>-0.21804809999999999</v>
      </c>
      <c r="V885">
        <v>-3.7388619999999997E-2</v>
      </c>
      <c r="W885">
        <v>5.5866060000000002E-2</v>
      </c>
      <c r="X885">
        <v>0.99773800000000001</v>
      </c>
      <c r="Y885">
        <v>4.7866829999999999E-2</v>
      </c>
      <c r="Z885" s="1">
        <v>-2.3574449999999999E-5</v>
      </c>
      <c r="AA885">
        <v>0.99885369999999996</v>
      </c>
      <c r="AB885">
        <v>34</v>
      </c>
      <c r="AC885">
        <v>113.1602</v>
      </c>
      <c r="AD885">
        <v>3.9415049999999998</v>
      </c>
      <c r="AE885">
        <v>-8.2295999999999996</v>
      </c>
      <c r="AF885">
        <v>5.4345771546864396</v>
      </c>
      <c r="AG885">
        <v>3.9415049999999998</v>
      </c>
      <c r="AH885">
        <v>113.191906882075</v>
      </c>
      <c r="AI885">
        <v>88.007977137293196</v>
      </c>
      <c r="AJ885">
        <v>87.251222153983704</v>
      </c>
      <c r="AK885">
        <v>113.390819179137</v>
      </c>
      <c r="AL885">
        <v>86.797443263966301</v>
      </c>
      <c r="AM885">
        <v>92.146062629378306</v>
      </c>
      <c r="AN885">
        <v>1.00000002110471</v>
      </c>
    </row>
    <row r="886" spans="1:40" x14ac:dyDescent="0.25">
      <c r="A886" t="str">
        <f>"20190312160617876"</f>
        <v>20190312160617876</v>
      </c>
      <c r="B886" t="str">
        <f>"1552377977866074"</f>
        <v>1552377977866074</v>
      </c>
      <c r="C886" t="s">
        <v>40</v>
      </c>
      <c r="D886">
        <v>6.9324409999999999</v>
      </c>
      <c r="E886">
        <v>0.53126439999999997</v>
      </c>
      <c r="F886" t="s">
        <v>42</v>
      </c>
      <c r="G886">
        <v>-158.19499999999999</v>
      </c>
      <c r="H886">
        <v>5.1519009999999996</v>
      </c>
      <c r="I886">
        <v>359.286</v>
      </c>
      <c r="J886">
        <v>-271.18709999999999</v>
      </c>
      <c r="K886">
        <v>1.108079</v>
      </c>
      <c r="L886">
        <v>367.2561</v>
      </c>
      <c r="M886">
        <v>0.99966679999999997</v>
      </c>
      <c r="N886">
        <v>0</v>
      </c>
      <c r="O886">
        <v>-2.435054E-2</v>
      </c>
      <c r="P886">
        <v>0.99880089999999999</v>
      </c>
      <c r="Q886">
        <v>4.72548E-2</v>
      </c>
      <c r="R886">
        <v>1.2809289999999999E-2</v>
      </c>
      <c r="S886">
        <v>3.0012210000000001</v>
      </c>
      <c r="T886">
        <v>0.1072568</v>
      </c>
      <c r="U886">
        <v>-0.2114868</v>
      </c>
      <c r="V886">
        <v>-3.7192330000000003E-2</v>
      </c>
      <c r="W886">
        <v>5.577559E-2</v>
      </c>
      <c r="X886">
        <v>0.99775040000000004</v>
      </c>
      <c r="Y886">
        <v>4.596687E-2</v>
      </c>
      <c r="Z886" s="1">
        <v>-4.8562590000000001E-5</v>
      </c>
      <c r="AA886">
        <v>0.99894300000000003</v>
      </c>
      <c r="AB886">
        <v>34</v>
      </c>
      <c r="AC886">
        <v>112.99209999999999</v>
      </c>
      <c r="AD886">
        <v>4.0438219999999996</v>
      </c>
      <c r="AE886">
        <v>-7.9701000000000004</v>
      </c>
      <c r="AF886">
        <v>5.2095775010040404</v>
      </c>
      <c r="AG886">
        <v>4.0438219999999996</v>
      </c>
      <c r="AH886">
        <v>113.00864959186001</v>
      </c>
      <c r="AI886">
        <v>87.952814779589602</v>
      </c>
      <c r="AJ886">
        <v>87.360594654331393</v>
      </c>
      <c r="AK886">
        <v>113.200914645963</v>
      </c>
      <c r="AL886">
        <v>86.802634914778395</v>
      </c>
      <c r="AM886">
        <v>92.134779760581594</v>
      </c>
      <c r="AN886">
        <v>1.00000002327541</v>
      </c>
    </row>
    <row r="887" spans="1:40" x14ac:dyDescent="0.25">
      <c r="A887" t="str">
        <f>"20190312160617888"</f>
        <v>20190312160617888</v>
      </c>
      <c r="B887" t="str">
        <f>"1552377977875834"</f>
        <v>1552377977875834</v>
      </c>
      <c r="C887" t="s">
        <v>40</v>
      </c>
      <c r="D887">
        <v>6.6630369999999903</v>
      </c>
      <c r="E887">
        <v>0.53091929999999998</v>
      </c>
      <c r="F887" t="s">
        <v>42</v>
      </c>
      <c r="G887">
        <v>-158.19499999999999</v>
      </c>
      <c r="H887">
        <v>5.1284799999999997</v>
      </c>
      <c r="I887">
        <v>359.29739999999998</v>
      </c>
      <c r="J887">
        <v>-271.00510000000003</v>
      </c>
      <c r="K887">
        <v>1.1082459999999901</v>
      </c>
      <c r="L887">
        <v>367.25189999999998</v>
      </c>
      <c r="M887">
        <v>0.99967289999999998</v>
      </c>
      <c r="N887">
        <v>0</v>
      </c>
      <c r="O887">
        <v>-2.4059859999999999E-2</v>
      </c>
      <c r="P887">
        <v>0.99879320000000005</v>
      </c>
      <c r="Q887">
        <v>4.7323240000000003E-2</v>
      </c>
      <c r="R887">
        <v>1.315234E-2</v>
      </c>
      <c r="S887">
        <v>3.0012210000000001</v>
      </c>
      <c r="T887">
        <v>0.1067895</v>
      </c>
      <c r="U887">
        <v>-0.21139530000000001</v>
      </c>
      <c r="V887">
        <v>-3.7244800000000002E-2</v>
      </c>
      <c r="W887">
        <v>5.5933660000000003E-2</v>
      </c>
      <c r="X887">
        <v>0.99773959999999995</v>
      </c>
      <c r="Y887">
        <v>4.6226749999999997E-2</v>
      </c>
      <c r="Z887" s="1">
        <v>-3.3415270000000003E-5</v>
      </c>
      <c r="AA887">
        <v>0.99893100000000001</v>
      </c>
      <c r="AB887">
        <v>34</v>
      </c>
      <c r="AC887">
        <v>112.81010000000001</v>
      </c>
      <c r="AD887">
        <v>4.0202339999999896</v>
      </c>
      <c r="AE887">
        <v>-7.9544999999999897</v>
      </c>
      <c r="AF887">
        <v>5.2312889483642397</v>
      </c>
      <c r="AG887">
        <v>4.0202339999999896</v>
      </c>
      <c r="AH887">
        <v>112.82625118449801</v>
      </c>
      <c r="AI887">
        <v>87.961483738773694</v>
      </c>
      <c r="AJ887">
        <v>87.345331737677697</v>
      </c>
      <c r="AK887">
        <v>113.018987881787</v>
      </c>
      <c r="AL887">
        <v>86.793564030381205</v>
      </c>
      <c r="AM887">
        <v>92.137811780516799</v>
      </c>
      <c r="AN887">
        <v>1.00000002942809</v>
      </c>
    </row>
    <row r="888" spans="1:40" x14ac:dyDescent="0.25">
      <c r="A888" t="str">
        <f>"20190312160617901"</f>
        <v>20190312160617901</v>
      </c>
      <c r="B888" t="str">
        <f>"1552377977896330"</f>
        <v>1552377977896330</v>
      </c>
      <c r="C888" t="s">
        <v>40</v>
      </c>
      <c r="D888">
        <v>6.5343830000000001</v>
      </c>
      <c r="E888">
        <v>0.54381709999999905</v>
      </c>
      <c r="F888" t="s">
        <v>42</v>
      </c>
      <c r="G888">
        <v>-158.19499999999999</v>
      </c>
      <c r="H888">
        <v>5.1068110000000004</v>
      </c>
      <c r="I888">
        <v>359.44959999999998</v>
      </c>
      <c r="J888">
        <v>-270.82119999999998</v>
      </c>
      <c r="K888">
        <v>1.1084039999999999</v>
      </c>
      <c r="L888">
        <v>367.24779999999998</v>
      </c>
      <c r="M888">
        <v>0.99967930000000005</v>
      </c>
      <c r="N888">
        <v>0</v>
      </c>
      <c r="O888">
        <v>-2.3766200000000001E-2</v>
      </c>
      <c r="P888">
        <v>0.99878480000000003</v>
      </c>
      <c r="Q888">
        <v>4.7415829999999999E-2</v>
      </c>
      <c r="R888">
        <v>1.3449310000000001E-2</v>
      </c>
      <c r="S888">
        <v>3.001312</v>
      </c>
      <c r="T888">
        <v>0.10638400000000001</v>
      </c>
      <c r="U888">
        <v>-0.2075806</v>
      </c>
      <c r="V888">
        <v>-3.7248719999999999E-2</v>
      </c>
      <c r="W888">
        <v>5.611124E-2</v>
      </c>
      <c r="X888">
        <v>0.99772950000000005</v>
      </c>
      <c r="Y888">
        <v>4.5255049999999998E-2</v>
      </c>
      <c r="Z888" s="1">
        <v>-4.0100710000000001E-5</v>
      </c>
      <c r="AA888">
        <v>0.99897550000000002</v>
      </c>
      <c r="AB888">
        <v>34</v>
      </c>
      <c r="AC888">
        <v>112.626199999999</v>
      </c>
      <c r="AD888">
        <v>3.9984069999999998</v>
      </c>
      <c r="AE888">
        <v>-7.7981999999999996</v>
      </c>
      <c r="AF888">
        <v>5.1127848345212898</v>
      </c>
      <c r="AG888">
        <v>3.9984069999999998</v>
      </c>
      <c r="AH888">
        <v>112.638438484113</v>
      </c>
      <c r="AI888">
        <v>87.969073865313007</v>
      </c>
      <c r="AJ888">
        <v>87.401064347974398</v>
      </c>
      <c r="AK888">
        <v>112.82528817353401</v>
      </c>
      <c r="AL888">
        <v>86.783373497801307</v>
      </c>
      <c r="AM888">
        <v>92.138058198753896</v>
      </c>
      <c r="AN888">
        <v>1.0000000467831101</v>
      </c>
    </row>
    <row r="889" spans="1:40" x14ac:dyDescent="0.25">
      <c r="A889" t="str">
        <f>"20190312160617911"</f>
        <v>20190312160617911</v>
      </c>
      <c r="B889" t="str">
        <f>"1552377977906090"</f>
        <v>1552377977906090</v>
      </c>
      <c r="C889" t="s">
        <v>40</v>
      </c>
      <c r="D889">
        <v>6.6637589999999998</v>
      </c>
      <c r="E889">
        <v>0.54381709999999905</v>
      </c>
      <c r="F889" t="s">
        <v>44</v>
      </c>
      <c r="G889">
        <v>-269.88869999999997</v>
      </c>
      <c r="H889">
        <v>1.043903</v>
      </c>
      <c r="I889">
        <v>367.1506</v>
      </c>
      <c r="J889">
        <v>-270.63940000000002</v>
      </c>
      <c r="K889">
        <v>1.1085480000000001</v>
      </c>
      <c r="L889">
        <v>367.24369999999999</v>
      </c>
      <c r="M889">
        <v>0.99968539999999995</v>
      </c>
      <c r="N889">
        <v>0</v>
      </c>
      <c r="O889">
        <v>-2.3475860000000001E-2</v>
      </c>
      <c r="P889">
        <v>0.99879799999999996</v>
      </c>
      <c r="Q889">
        <v>4.7164650000000002E-2</v>
      </c>
      <c r="R889">
        <v>1.3351409999999999E-2</v>
      </c>
      <c r="S889">
        <v>3.017792</v>
      </c>
      <c r="T889">
        <v>-0.2088515</v>
      </c>
      <c r="U889">
        <v>-0.31384279999999998</v>
      </c>
      <c r="V889">
        <v>-3.6861329999999998E-2</v>
      </c>
      <c r="W889">
        <v>5.5940799999999999E-2</v>
      </c>
      <c r="X889">
        <v>0.99775340000000001</v>
      </c>
      <c r="Y889">
        <v>7.9926780000000003E-2</v>
      </c>
      <c r="Z889">
        <v>-1.137171E-3</v>
      </c>
      <c r="AA889">
        <v>0.99680009999999997</v>
      </c>
      <c r="AB889">
        <v>34</v>
      </c>
      <c r="AC889">
        <v>0.75070000000005099</v>
      </c>
      <c r="AD889">
        <v>-6.46449999999998E-2</v>
      </c>
      <c r="AE889">
        <v>-9.3099999999992605E-2</v>
      </c>
      <c r="AF889">
        <v>7.4903297112432807E-2</v>
      </c>
      <c r="AG889">
        <v>-6.46449999999998E-2</v>
      </c>
      <c r="AH889">
        <v>0.74722173362886402</v>
      </c>
      <c r="AI889">
        <v>94.920028864637203</v>
      </c>
      <c r="AJ889">
        <v>84.275656418160807</v>
      </c>
      <c r="AK889">
        <v>0.75374385513292197</v>
      </c>
      <c r="AL889">
        <v>86.793154167165397</v>
      </c>
      <c r="AM889">
        <v>92.115791883076696</v>
      </c>
      <c r="AN889">
        <v>0.99999998898278397</v>
      </c>
    </row>
    <row r="890" spans="1:40" x14ac:dyDescent="0.25">
      <c r="A890" t="str">
        <f>"20190312160617928"</f>
        <v>20190312160617928</v>
      </c>
      <c r="B890" t="str">
        <f>"1552377977915850"</f>
        <v>1552377977915850</v>
      </c>
      <c r="C890" t="s">
        <v>40</v>
      </c>
      <c r="D890">
        <v>6.6611149999999997</v>
      </c>
      <c r="E890">
        <v>0.52996299999999996</v>
      </c>
      <c r="F890" t="s">
        <v>44</v>
      </c>
      <c r="G890">
        <v>-269.87880000000001</v>
      </c>
      <c r="H890">
        <v>1.055749</v>
      </c>
      <c r="I890">
        <v>367.1644</v>
      </c>
      <c r="J890">
        <v>-270.40199999999999</v>
      </c>
      <c r="K890">
        <v>1.1087070000000001</v>
      </c>
      <c r="L890">
        <v>367.23849999999999</v>
      </c>
      <c r="M890">
        <v>0.99969350000000001</v>
      </c>
      <c r="N890">
        <v>0</v>
      </c>
      <c r="O890">
        <v>-2.309688E-2</v>
      </c>
      <c r="P890">
        <v>0.99883100000000002</v>
      </c>
      <c r="Q890">
        <v>4.644794E-2</v>
      </c>
      <c r="R890">
        <v>1.339567E-2</v>
      </c>
      <c r="S890">
        <v>3.0177</v>
      </c>
      <c r="T890">
        <v>-0.2096211</v>
      </c>
      <c r="U890">
        <v>-0.3140869</v>
      </c>
      <c r="V890">
        <v>-3.652764E-2</v>
      </c>
      <c r="W890">
        <v>5.5320439999999999E-2</v>
      </c>
      <c r="X890">
        <v>0.99780029999999997</v>
      </c>
      <c r="Y890">
        <v>8.0384549999999999E-2</v>
      </c>
      <c r="Z890">
        <v>-1.1834199999999999E-3</v>
      </c>
      <c r="AA890">
        <v>0.99676319999999996</v>
      </c>
      <c r="AB890">
        <v>34</v>
      </c>
      <c r="AC890">
        <v>0.52319999999997402</v>
      </c>
      <c r="AD890">
        <v>-5.2957999999999797E-2</v>
      </c>
      <c r="AE890">
        <v>-7.4099999999987107E-2</v>
      </c>
      <c r="AF890">
        <v>6.1378978680961899E-2</v>
      </c>
      <c r="AG890">
        <v>-5.2957999999999797E-2</v>
      </c>
      <c r="AH890">
        <v>0.51955361579011095</v>
      </c>
      <c r="AI890">
        <v>95.780126551362898</v>
      </c>
      <c r="AJ890">
        <v>83.262424973697193</v>
      </c>
      <c r="AK890">
        <v>0.52584017388223203</v>
      </c>
      <c r="AL890">
        <v>86.828753433524</v>
      </c>
      <c r="AM890">
        <v>92.096557225849807</v>
      </c>
      <c r="AN890">
        <v>1.0000000291229201</v>
      </c>
    </row>
    <row r="891" spans="1:40" x14ac:dyDescent="0.25">
      <c r="A891" t="str">
        <f>"20190312160617942"</f>
        <v>20190312160617942</v>
      </c>
      <c r="B891" t="str">
        <f>"1552377977936347"</f>
        <v>1552377977936347</v>
      </c>
      <c r="C891" t="s">
        <v>40</v>
      </c>
      <c r="D891">
        <v>6.5877480000000004</v>
      </c>
      <c r="E891">
        <v>0.52867369999999902</v>
      </c>
      <c r="F891" t="s">
        <v>42</v>
      </c>
      <c r="G891">
        <v>-158.19499999999999</v>
      </c>
      <c r="H891">
        <v>5.2037589999999998</v>
      </c>
      <c r="I891">
        <v>359.78879999999998</v>
      </c>
      <c r="J891">
        <v>-270.19439999999997</v>
      </c>
      <c r="K891">
        <v>1.1088340000000001</v>
      </c>
      <c r="L891">
        <v>367.23399999999998</v>
      </c>
      <c r="M891">
        <v>0.99970020000000004</v>
      </c>
      <c r="N891">
        <v>0</v>
      </c>
      <c r="O891">
        <v>-2.276541E-2</v>
      </c>
      <c r="P891">
        <v>0.99883869999999997</v>
      </c>
      <c r="Q891">
        <v>4.621832E-2</v>
      </c>
      <c r="R891">
        <v>1.361445E-2</v>
      </c>
      <c r="S891">
        <v>3.001099</v>
      </c>
      <c r="T891">
        <v>0.1095289</v>
      </c>
      <c r="U891">
        <v>-0.19924929999999999</v>
      </c>
      <c r="V891">
        <v>-3.641519E-2</v>
      </c>
      <c r="W891">
        <v>5.5168559999999998E-2</v>
      </c>
      <c r="X891">
        <v>0.99781280000000006</v>
      </c>
      <c r="Y891">
        <v>4.3499030000000001E-2</v>
      </c>
      <c r="Z891" s="1">
        <v>-3.6846849999999998E-5</v>
      </c>
      <c r="AA891">
        <v>0.99905350000000004</v>
      </c>
      <c r="AB891">
        <v>34</v>
      </c>
      <c r="AC891">
        <v>111.999399999999</v>
      </c>
      <c r="AD891">
        <v>4.0949249999999999</v>
      </c>
      <c r="AE891">
        <v>-7.4452000000000496</v>
      </c>
      <c r="AF891">
        <v>4.8869504146953799</v>
      </c>
      <c r="AG891">
        <v>4.0949249999999999</v>
      </c>
      <c r="AH891">
        <v>111.990822526599</v>
      </c>
      <c r="AI891">
        <v>87.907911830054204</v>
      </c>
      <c r="AJ891">
        <v>87.501365699549893</v>
      </c>
      <c r="AK891">
        <v>112.172166892218</v>
      </c>
      <c r="AL891">
        <v>86.837468765258805</v>
      </c>
      <c r="AM891">
        <v>92.090082566753395</v>
      </c>
      <c r="AN891">
        <v>1.0000000099595201</v>
      </c>
    </row>
    <row r="892" spans="1:40" x14ac:dyDescent="0.25">
      <c r="A892" t="str">
        <f>"20190312160617955"</f>
        <v>20190312160617955</v>
      </c>
      <c r="B892" t="str">
        <f>"1552377977946106"</f>
        <v>1552377977946106</v>
      </c>
      <c r="C892" t="s">
        <v>40</v>
      </c>
      <c r="D892">
        <v>6.61094299999999</v>
      </c>
      <c r="E892">
        <v>0.52898599999999996</v>
      </c>
      <c r="F892" t="s">
        <v>42</v>
      </c>
      <c r="G892">
        <v>-158.19499999999999</v>
      </c>
      <c r="H892">
        <v>5.0980220000000003</v>
      </c>
      <c r="I892">
        <v>360.20359999999999</v>
      </c>
      <c r="J892">
        <v>-269.98779999999999</v>
      </c>
      <c r="K892">
        <v>1.108943</v>
      </c>
      <c r="L892">
        <v>367.2296</v>
      </c>
      <c r="M892">
        <v>0.99970700000000001</v>
      </c>
      <c r="N892">
        <v>0</v>
      </c>
      <c r="O892">
        <v>-2.24356E-2</v>
      </c>
      <c r="P892">
        <v>0.99883040000000001</v>
      </c>
      <c r="Q892">
        <v>4.6254660000000003E-2</v>
      </c>
      <c r="R892">
        <v>1.4086069999999999E-2</v>
      </c>
      <c r="S892">
        <v>3.001099</v>
      </c>
      <c r="T892">
        <v>0.1068952</v>
      </c>
      <c r="U892">
        <v>-0.188385</v>
      </c>
      <c r="V892">
        <v>-3.6557699999999999E-2</v>
      </c>
      <c r="W892">
        <v>5.5278069999999999E-2</v>
      </c>
      <c r="X892">
        <v>0.99780150000000001</v>
      </c>
      <c r="Y892">
        <v>4.0229250000000001E-2</v>
      </c>
      <c r="Z892" s="1">
        <v>-8.2404989999999994E-5</v>
      </c>
      <c r="AA892">
        <v>0.99919040000000003</v>
      </c>
      <c r="AB892">
        <v>34</v>
      </c>
      <c r="AC892">
        <v>111.7928</v>
      </c>
      <c r="AD892">
        <v>3.9890789999999998</v>
      </c>
      <c r="AE892">
        <v>-7.0260000000000096</v>
      </c>
      <c r="AF892">
        <v>4.5102690998866999</v>
      </c>
      <c r="AG892">
        <v>3.9890789999999998</v>
      </c>
      <c r="AH892">
        <v>111.780531488572</v>
      </c>
      <c r="AI892">
        <v>87.957829993479194</v>
      </c>
      <c r="AJ892">
        <v>87.689407307027494</v>
      </c>
      <c r="AK892">
        <v>111.942585723617</v>
      </c>
      <c r="AL892">
        <v>86.831184626302402</v>
      </c>
      <c r="AM892">
        <v>92.098278500611897</v>
      </c>
      <c r="AN892">
        <v>0.99999998192723205</v>
      </c>
    </row>
    <row r="893" spans="1:40" x14ac:dyDescent="0.25">
      <c r="A893" t="str">
        <f>"20190312160617985"</f>
        <v>20190312160617985</v>
      </c>
      <c r="B893" t="str">
        <f>"1552377977976365"</f>
        <v>1552377977976365</v>
      </c>
      <c r="C893" t="s">
        <v>40</v>
      </c>
      <c r="D893">
        <v>6.5612740000000001</v>
      </c>
      <c r="E893">
        <v>0.52909189999999995</v>
      </c>
      <c r="F893" t="s">
        <v>42</v>
      </c>
      <c r="G893">
        <v>-158.19499999999999</v>
      </c>
      <c r="H893">
        <v>5.2531889999999999</v>
      </c>
      <c r="I893">
        <v>360.17899999999997</v>
      </c>
      <c r="J893">
        <v>-269.53059999999999</v>
      </c>
      <c r="K893">
        <v>1.1091489999999999</v>
      </c>
      <c r="L893">
        <v>367.2201</v>
      </c>
      <c r="M893">
        <v>0.99972190000000005</v>
      </c>
      <c r="N893">
        <v>0</v>
      </c>
      <c r="O893">
        <v>-2.1705390000000001E-2</v>
      </c>
      <c r="P893">
        <v>0.99880360000000001</v>
      </c>
      <c r="Q893">
        <v>4.6376580000000001E-2</v>
      </c>
      <c r="R893">
        <v>1.5518819999999999E-2</v>
      </c>
      <c r="S893">
        <v>3.0010379999999999</v>
      </c>
      <c r="T893">
        <v>0.111253</v>
      </c>
      <c r="U893">
        <v>-0.18926999999999999</v>
      </c>
      <c r="V893">
        <v>-3.7261320000000001E-2</v>
      </c>
      <c r="W893">
        <v>5.5540399999999997E-2</v>
      </c>
      <c r="X893">
        <v>0.99776100000000001</v>
      </c>
      <c r="Y893">
        <v>4.1251669999999997E-2</v>
      </c>
      <c r="Z893" s="1">
        <v>-3.9816720000000003E-5</v>
      </c>
      <c r="AA893">
        <v>0.99914879999999995</v>
      </c>
      <c r="AB893">
        <v>34</v>
      </c>
      <c r="AC893">
        <v>111.3356</v>
      </c>
      <c r="AD893">
        <v>4.1440400000000004</v>
      </c>
      <c r="AE893">
        <v>-7.0410999999999699</v>
      </c>
      <c r="AF893">
        <v>4.6163855891309797</v>
      </c>
      <c r="AG893">
        <v>4.1440400000000004</v>
      </c>
      <c r="AH893">
        <v>111.308610296643</v>
      </c>
      <c r="AI893">
        <v>87.869682031330896</v>
      </c>
      <c r="AJ893">
        <v>87.625090154311593</v>
      </c>
      <c r="AK893">
        <v>111.481347361785</v>
      </c>
      <c r="AL893">
        <v>86.816131402634497</v>
      </c>
      <c r="AM893">
        <v>92.138713300928501</v>
      </c>
      <c r="AN893">
        <v>1.0000000775606399</v>
      </c>
    </row>
    <row r="894" spans="1:40" x14ac:dyDescent="0.25">
      <c r="A894" t="str">
        <f>"20190312160618006"</f>
        <v>20190312160618006</v>
      </c>
      <c r="B894" t="str">
        <f>"1552377977995882"</f>
        <v>1552377977995882</v>
      </c>
      <c r="C894" t="s">
        <v>40</v>
      </c>
      <c r="D894">
        <v>6.4120460000000001</v>
      </c>
      <c r="E894">
        <v>0.52812910000000002</v>
      </c>
      <c r="F894" t="s">
        <v>42</v>
      </c>
      <c r="G894">
        <v>-158.19499999999999</v>
      </c>
      <c r="H894">
        <v>5.2724029999999997</v>
      </c>
      <c r="I894">
        <v>360.32909999999998</v>
      </c>
      <c r="J894">
        <v>-269.2056</v>
      </c>
      <c r="K894">
        <v>1.109272</v>
      </c>
      <c r="L894">
        <v>367.21350000000001</v>
      </c>
      <c r="M894">
        <v>0.99973230000000002</v>
      </c>
      <c r="N894">
        <v>0</v>
      </c>
      <c r="O894">
        <v>-2.1186219999999999E-2</v>
      </c>
      <c r="P894">
        <v>0.9988032</v>
      </c>
      <c r="Q894">
        <v>4.6035600000000003E-2</v>
      </c>
      <c r="R894">
        <v>1.6526909999999999E-2</v>
      </c>
      <c r="S894">
        <v>3.0012819999999998</v>
      </c>
      <c r="T894">
        <v>0.112231399999999</v>
      </c>
      <c r="U894">
        <v>-0.1857605</v>
      </c>
      <c r="V894">
        <v>-3.775046E-2</v>
      </c>
      <c r="W894">
        <v>5.5287120000000002E-2</v>
      </c>
      <c r="X894">
        <v>0.99775659999999999</v>
      </c>
      <c r="Y894">
        <v>4.0601459999999999E-2</v>
      </c>
      <c r="Z894" s="1">
        <v>-3.2929650000000001E-5</v>
      </c>
      <c r="AA894">
        <v>0.99917540000000005</v>
      </c>
      <c r="AB894">
        <v>34</v>
      </c>
      <c r="AC894">
        <v>111.0106</v>
      </c>
      <c r="AD894">
        <v>4.1631309999999999</v>
      </c>
      <c r="AE894">
        <v>-6.8844000000000198</v>
      </c>
      <c r="AF894">
        <v>4.5245190141212603</v>
      </c>
      <c r="AG894">
        <v>4.1631309999999999</v>
      </c>
      <c r="AH894">
        <v>110.97606225715801</v>
      </c>
      <c r="AI894">
        <v>87.853408079994693</v>
      </c>
      <c r="AJ894">
        <v>87.665331182812196</v>
      </c>
      <c r="AK894">
        <v>111.146251966213</v>
      </c>
      <c r="AL894">
        <v>86.8306653558504</v>
      </c>
      <c r="AM894">
        <v>92.166771760845194</v>
      </c>
      <c r="AN894">
        <v>0.99999999785583205</v>
      </c>
    </row>
    <row r="895" spans="1:40" x14ac:dyDescent="0.25">
      <c r="A895" t="str">
        <f>"20190312160618018"</f>
        <v>20190312160618018</v>
      </c>
      <c r="B895" t="str">
        <f>"1552377978005642"</f>
        <v>1552377978005642</v>
      </c>
      <c r="C895" t="s">
        <v>40</v>
      </c>
      <c r="D895">
        <v>6.4022129999999997</v>
      </c>
      <c r="E895">
        <v>0.52784790000000004</v>
      </c>
      <c r="F895" t="s">
        <v>42</v>
      </c>
      <c r="G895">
        <v>-158.19499999999999</v>
      </c>
      <c r="H895">
        <v>5.3657899999999996</v>
      </c>
      <c r="I895">
        <v>360.74200000000002</v>
      </c>
      <c r="J895">
        <v>-269.01690000000002</v>
      </c>
      <c r="K895">
        <v>1.1093309999999901</v>
      </c>
      <c r="L895">
        <v>367.2097</v>
      </c>
      <c r="M895">
        <v>0.99973820000000002</v>
      </c>
      <c r="N895">
        <v>0</v>
      </c>
      <c r="O895">
        <v>-2.0884449999999999E-2</v>
      </c>
      <c r="P895">
        <v>0.99880310000000005</v>
      </c>
      <c r="Q895">
        <v>4.5895409999999998E-2</v>
      </c>
      <c r="R895">
        <v>1.6925590000000001E-2</v>
      </c>
      <c r="S895">
        <v>3.0011899999999998</v>
      </c>
      <c r="T895">
        <v>0.115078</v>
      </c>
      <c r="U895">
        <v>-0.17495729999999901</v>
      </c>
      <c r="V895">
        <v>-3.7848199999999999E-2</v>
      </c>
      <c r="W895">
        <v>5.5194279999999998E-2</v>
      </c>
      <c r="X895">
        <v>0.99775800000000003</v>
      </c>
      <c r="Y895">
        <v>3.7322479999999998E-2</v>
      </c>
      <c r="Z895" s="1">
        <v>-8.5013340000000004E-5</v>
      </c>
      <c r="AA895">
        <v>0.99930330000000001</v>
      </c>
      <c r="AB895">
        <v>34</v>
      </c>
      <c r="AC895">
        <v>110.8219</v>
      </c>
      <c r="AD895">
        <v>4.2564589999999898</v>
      </c>
      <c r="AE895">
        <v>-6.46770000000003</v>
      </c>
      <c r="AF895">
        <v>4.1456388872000201</v>
      </c>
      <c r="AG895">
        <v>4.2564589999999898</v>
      </c>
      <c r="AH895">
        <v>110.769956241587</v>
      </c>
      <c r="AI895">
        <v>87.800966517028598</v>
      </c>
      <c r="AJ895">
        <v>87.856667884359496</v>
      </c>
      <c r="AK895">
        <v>110.929198008301</v>
      </c>
      <c r="AL895">
        <v>86.835992712975198</v>
      </c>
      <c r="AM895">
        <v>92.172373352681703</v>
      </c>
      <c r="AN895">
        <v>0.99999996067597796</v>
      </c>
    </row>
    <row r="896" spans="1:40" x14ac:dyDescent="0.25">
      <c r="A896" t="str">
        <f>"20190312160618031"</f>
        <v>20190312160618031</v>
      </c>
      <c r="B896" t="str">
        <f>"1552377978016378"</f>
        <v>1552377978016378</v>
      </c>
      <c r="C896" t="s">
        <v>40</v>
      </c>
      <c r="D896">
        <v>6.4994769999999997</v>
      </c>
      <c r="E896">
        <v>0.52784790000000004</v>
      </c>
      <c r="F896" t="s">
        <v>42</v>
      </c>
      <c r="G896">
        <v>-158.19499999999999</v>
      </c>
      <c r="H896">
        <v>5.2386140000000001</v>
      </c>
      <c r="I896">
        <v>360.87029999999999</v>
      </c>
      <c r="J896">
        <v>-268.82089999999999</v>
      </c>
      <c r="K896">
        <v>1.1093900000000001</v>
      </c>
      <c r="L896">
        <v>367.20589999999999</v>
      </c>
      <c r="M896">
        <v>0.99974439999999998</v>
      </c>
      <c r="N896">
        <v>0</v>
      </c>
      <c r="O896">
        <v>-2.0571590000000001E-2</v>
      </c>
      <c r="P896">
        <v>0.99880119999999895</v>
      </c>
      <c r="Q896">
        <v>4.575427E-2</v>
      </c>
      <c r="R896">
        <v>1.7415050000000001E-2</v>
      </c>
      <c r="S896">
        <v>3.001404</v>
      </c>
      <c r="T896">
        <v>0.1118362</v>
      </c>
      <c r="U896">
        <v>-0.17169189999999901</v>
      </c>
      <c r="V896">
        <v>-3.80249E-2</v>
      </c>
      <c r="W896">
        <v>5.5099049999999997E-2</v>
      </c>
      <c r="X896">
        <v>0.99775659999999999</v>
      </c>
      <c r="Y896">
        <v>3.6548450000000003E-2</v>
      </c>
      <c r="Z896" s="1">
        <v>-8.538389E-5</v>
      </c>
      <c r="AA896">
        <v>0.99933190000000005</v>
      </c>
      <c r="AB896">
        <v>34</v>
      </c>
      <c r="AC896">
        <v>110.6259</v>
      </c>
      <c r="AD896">
        <v>4.1292239999999998</v>
      </c>
      <c r="AE896">
        <v>-6.3356000000000003</v>
      </c>
      <c r="AF896">
        <v>4.0527804218550703</v>
      </c>
      <c r="AG896">
        <v>4.1292239999999998</v>
      </c>
      <c r="AH896">
        <v>110.579267807756</v>
      </c>
      <c r="AI896">
        <v>87.862902146752603</v>
      </c>
      <c r="AJ896">
        <v>87.901023125285306</v>
      </c>
      <c r="AK896">
        <v>110.73052871222799</v>
      </c>
      <c r="AL896">
        <v>86.841457479554293</v>
      </c>
      <c r="AM896">
        <v>92.182508677912395</v>
      </c>
      <c r="AN896">
        <v>1.00000001558723</v>
      </c>
    </row>
    <row r="897" spans="1:40" x14ac:dyDescent="0.25">
      <c r="A897" t="str">
        <f>"20190312160618043"</f>
        <v>20190312160618043</v>
      </c>
      <c r="B897" t="str">
        <f>"1552377978035899"</f>
        <v>1552377978035899</v>
      </c>
      <c r="C897" t="s">
        <v>40</v>
      </c>
      <c r="D897">
        <v>6.4841480000000002</v>
      </c>
      <c r="E897">
        <v>0.52755859999999899</v>
      </c>
      <c r="F897" t="s">
        <v>42</v>
      </c>
      <c r="G897">
        <v>-158.19499999999999</v>
      </c>
      <c r="H897">
        <v>5.211811</v>
      </c>
      <c r="I897">
        <v>360.92970000000003</v>
      </c>
      <c r="J897">
        <v>-268.62540000000001</v>
      </c>
      <c r="K897">
        <v>1.1094310000000001</v>
      </c>
      <c r="L897">
        <v>367.2022</v>
      </c>
      <c r="M897">
        <v>0.99975029999999998</v>
      </c>
      <c r="N897">
        <v>0</v>
      </c>
      <c r="O897">
        <v>-2.0259309999999999E-2</v>
      </c>
      <c r="P897">
        <v>0.99880080000000004</v>
      </c>
      <c r="Q897">
        <v>4.5575640000000001E-2</v>
      </c>
      <c r="R897">
        <v>1.789601E-2</v>
      </c>
      <c r="S897">
        <v>3.0014949999999998</v>
      </c>
      <c r="T897">
        <v>0.1113089</v>
      </c>
      <c r="U897">
        <v>-0.1702881</v>
      </c>
      <c r="V897">
        <v>-3.8193610000000003E-2</v>
      </c>
      <c r="W897">
        <v>5.4961929999999999E-2</v>
      </c>
      <c r="X897">
        <v>0.99775769999999997</v>
      </c>
      <c r="Y897">
        <v>3.6392969999999997E-2</v>
      </c>
      <c r="Z897" s="1">
        <v>-7.6298189999999993E-5</v>
      </c>
      <c r="AA897">
        <v>0.99933760000000005</v>
      </c>
      <c r="AB897">
        <v>34</v>
      </c>
      <c r="AC897">
        <v>110.43040000000001</v>
      </c>
      <c r="AD897">
        <v>4.1023800000000001</v>
      </c>
      <c r="AE897">
        <v>-6.2724999999999804</v>
      </c>
      <c r="AF897">
        <v>4.0283279437805399</v>
      </c>
      <c r="AG897">
        <v>4.1023800000000001</v>
      </c>
      <c r="AH897">
        <v>110.38297131580499</v>
      </c>
      <c r="AI897">
        <v>87.872998184177405</v>
      </c>
      <c r="AJ897">
        <v>87.909969222274498</v>
      </c>
      <c r="AK897">
        <v>110.532607425107</v>
      </c>
      <c r="AL897">
        <v>86.849325740386504</v>
      </c>
      <c r="AM897">
        <v>92.192180255746194</v>
      </c>
      <c r="AN897">
        <v>0.99999999675172302</v>
      </c>
    </row>
    <row r="898" spans="1:40" x14ac:dyDescent="0.25">
      <c r="A898" t="str">
        <f>"20190312160618055"</f>
        <v>20190312160618055</v>
      </c>
      <c r="B898" t="str">
        <f>"1552377978045659"</f>
        <v>1552377978045659</v>
      </c>
      <c r="C898" t="s">
        <v>40</v>
      </c>
      <c r="D898">
        <v>6.416639</v>
      </c>
      <c r="E898">
        <v>0.51261809999999997</v>
      </c>
      <c r="F898" t="s">
        <v>42</v>
      </c>
      <c r="G898">
        <v>-158.19499999999999</v>
      </c>
      <c r="H898">
        <v>5.0910070000000003</v>
      </c>
      <c r="I898">
        <v>361.07769999999999</v>
      </c>
      <c r="J898">
        <v>-268.44529999999997</v>
      </c>
      <c r="K898">
        <v>1.1094729999999999</v>
      </c>
      <c r="L898">
        <v>367.19880000000001</v>
      </c>
      <c r="M898">
        <v>0.99975559999999997</v>
      </c>
      <c r="N898">
        <v>0</v>
      </c>
      <c r="O898">
        <v>-1.9971570000000001E-2</v>
      </c>
      <c r="P898">
        <v>0.99878310000000003</v>
      </c>
      <c r="Q898">
        <v>4.5811900000000003E-2</v>
      </c>
      <c r="R898">
        <v>1.827148E-2</v>
      </c>
      <c r="S898">
        <v>3.0016479999999999</v>
      </c>
      <c r="T898">
        <v>0.1082269</v>
      </c>
      <c r="U898">
        <v>-0.16647339999999999</v>
      </c>
      <c r="V898">
        <v>-3.8281519999999999E-2</v>
      </c>
      <c r="W898">
        <v>5.5235220000000002E-2</v>
      </c>
      <c r="X898">
        <v>0.9977393</v>
      </c>
      <c r="Y898">
        <v>3.5412699999999998E-2</v>
      </c>
      <c r="Z898" s="1">
        <v>-8.1482109999999998E-5</v>
      </c>
      <c r="AA898">
        <v>0.99937279999999995</v>
      </c>
      <c r="AB898">
        <v>34</v>
      </c>
      <c r="AC898">
        <v>110.250299999999</v>
      </c>
      <c r="AD898">
        <v>3.9815339999999999</v>
      </c>
      <c r="AE898">
        <v>-6.12110000000001</v>
      </c>
      <c r="AF898">
        <v>3.9128211019169501</v>
      </c>
      <c r="AG898">
        <v>3.9815339999999999</v>
      </c>
      <c r="AH898">
        <v>110.207272206675</v>
      </c>
      <c r="AI898">
        <v>87.932237515068394</v>
      </c>
      <c r="AJ898">
        <v>87.966613256669504</v>
      </c>
      <c r="AK898">
        <v>110.348564237171</v>
      </c>
      <c r="AL898">
        <v>86.833643746855202</v>
      </c>
      <c r="AM898">
        <v>92.1972615246776</v>
      </c>
      <c r="AN898">
        <v>1.00000005753322</v>
      </c>
    </row>
    <row r="899" spans="1:40" x14ac:dyDescent="0.25">
      <c r="A899" t="str">
        <f>"20190312160618066"</f>
        <v>20190312160618066</v>
      </c>
      <c r="B899" t="str">
        <f>"1552377978056395"</f>
        <v>1552377978056395</v>
      </c>
      <c r="C899" t="s">
        <v>40</v>
      </c>
      <c r="D899">
        <v>6.4561039999999998</v>
      </c>
      <c r="E899">
        <v>0.51345320000000005</v>
      </c>
      <c r="F899" t="s">
        <v>44</v>
      </c>
      <c r="G899">
        <v>-267.44450000000001</v>
      </c>
      <c r="H899">
        <v>1.00902</v>
      </c>
      <c r="I899">
        <v>367.18180000000001</v>
      </c>
      <c r="J899">
        <v>-268.26850000000002</v>
      </c>
      <c r="K899">
        <v>1.10951</v>
      </c>
      <c r="L899">
        <v>367.19549999999998</v>
      </c>
      <c r="M899">
        <v>0.99976089999999995</v>
      </c>
      <c r="N899">
        <v>0</v>
      </c>
      <c r="O899">
        <v>-1.9689410000000001E-2</v>
      </c>
      <c r="P899">
        <v>0.99876699999999996</v>
      </c>
      <c r="Q899">
        <v>4.5974139999999997E-2</v>
      </c>
      <c r="R899">
        <v>1.8731999999999999E-2</v>
      </c>
      <c r="S899">
        <v>3.0185240000000002</v>
      </c>
      <c r="T899">
        <v>-0.30296899999999999</v>
      </c>
      <c r="U899">
        <v>-5.1330569999999999E-2</v>
      </c>
      <c r="V899">
        <v>-3.8460469999999997E-2</v>
      </c>
      <c r="W899">
        <v>5.5430430000000003E-2</v>
      </c>
      <c r="X899">
        <v>0.99772159999999999</v>
      </c>
      <c r="Y899">
        <v>-2.5762020000000001E-3</v>
      </c>
      <c r="Z899">
        <v>2.0999959999999998E-3</v>
      </c>
      <c r="AA899">
        <v>0.99999450000000001</v>
      </c>
      <c r="AB899">
        <v>34</v>
      </c>
      <c r="AC899">
        <v>0.82400000000001195</v>
      </c>
      <c r="AD899">
        <v>-0.100489999999999</v>
      </c>
      <c r="AE899">
        <v>-1.3699999999971599E-2</v>
      </c>
      <c r="AF899">
        <v>-2.4904344699483E-3</v>
      </c>
      <c r="AG899">
        <v>-0.100489999999999</v>
      </c>
      <c r="AH899">
        <v>0.81203613339534297</v>
      </c>
      <c r="AI899">
        <v>97.054491535983203</v>
      </c>
      <c r="AJ899">
        <v>90.175719935402796</v>
      </c>
      <c r="AK899">
        <v>0.81823415004722699</v>
      </c>
      <c r="AL899">
        <v>86.822441902737793</v>
      </c>
      <c r="AM899">
        <v>92.207561783332906</v>
      </c>
      <c r="AN899">
        <v>1.00000006571458</v>
      </c>
    </row>
    <row r="900" spans="1:40" x14ac:dyDescent="0.25">
      <c r="A900" t="str">
        <f>"20190312160618078"</f>
        <v>20190312160618078</v>
      </c>
      <c r="B900" t="str">
        <f>"1552377978066154"</f>
        <v>1552377978066154</v>
      </c>
      <c r="C900" t="s">
        <v>40</v>
      </c>
      <c r="D900">
        <v>6.6718419999999998</v>
      </c>
      <c r="E900">
        <v>0.51182740000000004</v>
      </c>
      <c r="F900" t="s">
        <v>44</v>
      </c>
      <c r="G900">
        <v>-267.4323</v>
      </c>
      <c r="H900">
        <v>1.0338609999999999</v>
      </c>
      <c r="I900">
        <v>367.17989999999998</v>
      </c>
      <c r="J900">
        <v>-268.09539999999998</v>
      </c>
      <c r="K900">
        <v>1.1095459999999999</v>
      </c>
      <c r="L900">
        <v>367.19240000000002</v>
      </c>
      <c r="M900">
        <v>0.99976600000000004</v>
      </c>
      <c r="N900">
        <v>0</v>
      </c>
      <c r="O900">
        <v>-1.9413090000000001E-2</v>
      </c>
      <c r="P900">
        <v>0.99874750000000001</v>
      </c>
      <c r="Q900">
        <v>4.6170679999999999E-2</v>
      </c>
      <c r="R900">
        <v>1.9284160000000002E-2</v>
      </c>
      <c r="S900">
        <v>3.017334</v>
      </c>
      <c r="T900">
        <v>-0.27296409999999999</v>
      </c>
      <c r="U900">
        <v>-5.6335450000000002E-2</v>
      </c>
      <c r="V900">
        <v>-3.8736859999999998E-2</v>
      </c>
      <c r="W900">
        <v>5.5658010000000001E-2</v>
      </c>
      <c r="X900">
        <v>0.99769819999999998</v>
      </c>
      <c r="Y900">
        <v>-6.648111E-4</v>
      </c>
      <c r="Z900">
        <v>1.782407E-3</v>
      </c>
      <c r="AA900">
        <v>0.99999819999999995</v>
      </c>
      <c r="AB900">
        <v>34</v>
      </c>
      <c r="AC900">
        <v>0.66309999999998503</v>
      </c>
      <c r="AD900">
        <v>-7.5684999999999697E-2</v>
      </c>
      <c r="AE900">
        <v>-1.25000000000454E-2</v>
      </c>
      <c r="AF900">
        <v>-3.7093149209817001E-4</v>
      </c>
      <c r="AG900">
        <v>-7.5684999999999697E-2</v>
      </c>
      <c r="AH900">
        <v>0.65469172453637503</v>
      </c>
      <c r="AI900">
        <v>96.594349501606899</v>
      </c>
      <c r="AJ900">
        <v>90.032462311520206</v>
      </c>
      <c r="AK900">
        <v>0.65905205484209295</v>
      </c>
      <c r="AL900">
        <v>86.809382249761001</v>
      </c>
      <c r="AM900">
        <v>92.223462302470296</v>
      </c>
      <c r="AN900">
        <v>1.00000002834152</v>
      </c>
    </row>
    <row r="901" spans="1:40" x14ac:dyDescent="0.25">
      <c r="A901" t="str">
        <f>"20190312160618090"</f>
        <v>20190312160618090</v>
      </c>
      <c r="B901" t="str">
        <f>"1552377978085674"</f>
        <v>1552377978085674</v>
      </c>
      <c r="C901" t="s">
        <v>40</v>
      </c>
      <c r="D901">
        <v>6.3670689999999999</v>
      </c>
      <c r="E901">
        <v>0.51098529999999998</v>
      </c>
      <c r="F901" t="s">
        <v>44</v>
      </c>
      <c r="G901">
        <v>-267.1223</v>
      </c>
      <c r="H901">
        <v>1.0344709999999999</v>
      </c>
      <c r="I901">
        <v>367.17860000000002</v>
      </c>
      <c r="J901">
        <v>-267.90969999999999</v>
      </c>
      <c r="K901">
        <v>1.10958</v>
      </c>
      <c r="L901">
        <v>367.18900000000002</v>
      </c>
      <c r="M901">
        <v>0.99977150000000004</v>
      </c>
      <c r="N901">
        <v>0</v>
      </c>
      <c r="O901">
        <v>-1.9116870000000001E-2</v>
      </c>
      <c r="P901">
        <v>0.99874949999999996</v>
      </c>
      <c r="Q901">
        <v>4.6010410000000002E-2</v>
      </c>
      <c r="R901">
        <v>1.9567069999999999E-2</v>
      </c>
      <c r="S901">
        <v>3.0153500000000002</v>
      </c>
      <c r="T901">
        <v>-0.2329714</v>
      </c>
      <c r="U901">
        <v>-4.1656489999999997E-2</v>
      </c>
      <c r="V901">
        <v>-3.8723819999999999E-2</v>
      </c>
      <c r="W901">
        <v>5.5529460000000003E-2</v>
      </c>
      <c r="X901">
        <v>0.99770579999999998</v>
      </c>
      <c r="Y901">
        <v>-5.2324019999999997E-3</v>
      </c>
      <c r="Z901">
        <v>1.67651E-3</v>
      </c>
      <c r="AA901">
        <v>0.99998489999999995</v>
      </c>
      <c r="AB901">
        <v>35</v>
      </c>
      <c r="AC901">
        <v>0.78739999999999</v>
      </c>
      <c r="AD901">
        <v>-7.5108999999999995E-2</v>
      </c>
      <c r="AE901">
        <v>-1.04000000000041E-2</v>
      </c>
      <c r="AF901">
        <v>-4.6132442655087997E-3</v>
      </c>
      <c r="AG901">
        <v>-7.5108999999999995E-2</v>
      </c>
      <c r="AH901">
        <v>0.78035570918320596</v>
      </c>
      <c r="AI901">
        <v>95.497670527402093</v>
      </c>
      <c r="AJ901">
        <v>90.338712646101797</v>
      </c>
      <c r="AK901">
        <v>0.78397555877621405</v>
      </c>
      <c r="AL901">
        <v>86.8167588102731</v>
      </c>
      <c r="AM901">
        <v>92.222697654096606</v>
      </c>
      <c r="AN901">
        <v>0.99999995925846097</v>
      </c>
    </row>
    <row r="902" spans="1:40" x14ac:dyDescent="0.25">
      <c r="A902" t="str">
        <f>"20190312160618103"</f>
        <v>20190312160618103</v>
      </c>
      <c r="B902" t="str">
        <f>"1552377978096410"</f>
        <v>1552377978096410</v>
      </c>
      <c r="C902" t="s">
        <v>40</v>
      </c>
      <c r="D902">
        <v>6.4022030000000001</v>
      </c>
      <c r="E902">
        <v>0.511521</v>
      </c>
      <c r="F902" t="s">
        <v>47</v>
      </c>
      <c r="G902">
        <v>-253.82339999999999</v>
      </c>
      <c r="H902" s="1">
        <v>-3.0906690000000001E-6</v>
      </c>
      <c r="I902">
        <v>367.03089999999997</v>
      </c>
      <c r="J902">
        <v>-267.71890000000002</v>
      </c>
      <c r="K902">
        <v>1.1096079999999999</v>
      </c>
      <c r="L902">
        <v>367.1857</v>
      </c>
      <c r="M902">
        <v>0.99977680000000002</v>
      </c>
      <c r="N902">
        <v>0</v>
      </c>
      <c r="O902">
        <v>-1.881205E-2</v>
      </c>
      <c r="P902">
        <v>0.99873400000000001</v>
      </c>
      <c r="Q902">
        <v>4.6261759999999999E-2</v>
      </c>
      <c r="R902">
        <v>1.9761870000000001E-2</v>
      </c>
      <c r="S902">
        <v>3.0153500000000002</v>
      </c>
      <c r="T902">
        <v>-0.23751900000000001</v>
      </c>
      <c r="U902">
        <v>-3.3843989999999997E-2</v>
      </c>
      <c r="V902">
        <v>-3.8614750000000003E-2</v>
      </c>
      <c r="W902">
        <v>5.581084E-2</v>
      </c>
      <c r="X902">
        <v>0.99769439999999998</v>
      </c>
      <c r="Y902">
        <v>-7.5090169999999998E-3</v>
      </c>
      <c r="Z902">
        <v>1.774727E-3</v>
      </c>
      <c r="AA902">
        <v>0.99997029999999998</v>
      </c>
      <c r="AB902">
        <v>35</v>
      </c>
      <c r="AC902">
        <v>13.8955</v>
      </c>
      <c r="AD902">
        <v>-1.109611090669</v>
      </c>
      <c r="AE902">
        <v>-0.154800000000022</v>
      </c>
      <c r="AF902">
        <v>-0.10596669250475101</v>
      </c>
      <c r="AG902">
        <v>-1.109611090669</v>
      </c>
      <c r="AH902">
        <v>13.8079155845813</v>
      </c>
      <c r="AI902">
        <v>94.594310108655705</v>
      </c>
      <c r="AJ902">
        <v>90.439698883065503</v>
      </c>
      <c r="AK902">
        <v>13.852833591124201</v>
      </c>
      <c r="AL902">
        <v>86.800612116587601</v>
      </c>
      <c r="AM902">
        <v>92.216468729107604</v>
      </c>
      <c r="AN902">
        <v>1.0000000322852101</v>
      </c>
    </row>
    <row r="903" spans="1:40" x14ac:dyDescent="0.25">
      <c r="A903" t="str">
        <f>"20190312160618117"</f>
        <v>20190312160618117</v>
      </c>
      <c r="B903" t="str">
        <f>"1552377978106171"</f>
        <v>1552377978106171</v>
      </c>
      <c r="C903" t="s">
        <v>40</v>
      </c>
      <c r="D903">
        <v>6.38429</v>
      </c>
      <c r="E903">
        <v>0.51126899999999997</v>
      </c>
      <c r="F903" t="s">
        <v>44</v>
      </c>
      <c r="G903">
        <v>-266.80739999999997</v>
      </c>
      <c r="H903">
        <v>1.04095</v>
      </c>
      <c r="I903">
        <v>367.17430000000002</v>
      </c>
      <c r="J903">
        <v>-267.4821</v>
      </c>
      <c r="K903">
        <v>1.1096459999999999</v>
      </c>
      <c r="L903">
        <v>367.18150000000003</v>
      </c>
      <c r="M903">
        <v>0.99978359999999999</v>
      </c>
      <c r="N903">
        <v>0</v>
      </c>
      <c r="O903">
        <v>-1.8433829999999998E-2</v>
      </c>
      <c r="P903">
        <v>0.99873040000000002</v>
      </c>
      <c r="Q903">
        <v>4.6354630000000001E-2</v>
      </c>
      <c r="R903">
        <v>1.9729389999999999E-2</v>
      </c>
      <c r="S903">
        <v>3.0150760000000001</v>
      </c>
      <c r="T903">
        <v>-0.22720360000000001</v>
      </c>
      <c r="U903">
        <v>-3.7567139999999999E-2</v>
      </c>
      <c r="V903">
        <v>-3.820486E-2</v>
      </c>
      <c r="W903">
        <v>5.5939370000000002E-2</v>
      </c>
      <c r="X903">
        <v>0.99770300000000001</v>
      </c>
      <c r="Y903">
        <v>-5.9075760000000003E-3</v>
      </c>
      <c r="Z903">
        <v>1.609304E-3</v>
      </c>
      <c r="AA903">
        <v>0.99998129999999996</v>
      </c>
      <c r="AB903">
        <v>35</v>
      </c>
      <c r="AC903">
        <v>0.67470000000002905</v>
      </c>
      <c r="AD903">
        <v>-6.8695999999999799E-2</v>
      </c>
      <c r="AE903">
        <v>-7.2000000000116398E-3</v>
      </c>
      <c r="AF903">
        <v>-5.1853576230734503E-3</v>
      </c>
      <c r="AG903">
        <v>-6.8695999999999799E-2</v>
      </c>
      <c r="AH903">
        <v>0.667796008041464</v>
      </c>
      <c r="AI903">
        <v>95.873166524988093</v>
      </c>
      <c r="AJ903">
        <v>90.444886062012799</v>
      </c>
      <c r="AK903">
        <v>0.67134010509263797</v>
      </c>
      <c r="AL903">
        <v>86.793236425548599</v>
      </c>
      <c r="AM903">
        <v>92.192945442650995</v>
      </c>
      <c r="AN903">
        <v>1.0000000503263</v>
      </c>
    </row>
    <row r="904" spans="1:40" x14ac:dyDescent="0.25">
      <c r="A904" t="str">
        <f>"20190312160618131"</f>
        <v>20190312160618131</v>
      </c>
      <c r="B904" t="str">
        <f>"1552377978125690"</f>
        <v>1552377978125690</v>
      </c>
      <c r="C904" t="s">
        <v>40</v>
      </c>
      <c r="D904">
        <v>6.6871669999999996</v>
      </c>
      <c r="E904">
        <v>0.50959719999999997</v>
      </c>
      <c r="F904" t="s">
        <v>44</v>
      </c>
      <c r="G904">
        <v>-266.49939999999998</v>
      </c>
      <c r="H904">
        <v>1.039245</v>
      </c>
      <c r="I904">
        <v>367.16980000000001</v>
      </c>
      <c r="J904">
        <v>-267.26400000000001</v>
      </c>
      <c r="K904">
        <v>1.109672</v>
      </c>
      <c r="L904">
        <v>367.17779999999999</v>
      </c>
      <c r="M904">
        <v>0.9997897</v>
      </c>
      <c r="N904">
        <v>0</v>
      </c>
      <c r="O904">
        <v>-1.808562E-2</v>
      </c>
      <c r="P904">
        <v>0.99871500000000002</v>
      </c>
      <c r="Q904">
        <v>4.6712730000000001E-2</v>
      </c>
      <c r="R904">
        <v>1.9661120000000001E-2</v>
      </c>
      <c r="S904">
        <v>3.014526</v>
      </c>
      <c r="T904">
        <v>-0.21617049999999999</v>
      </c>
      <c r="U904">
        <v>-3.5064699999999997E-2</v>
      </c>
      <c r="V904">
        <v>-3.7788710000000003E-2</v>
      </c>
      <c r="W904">
        <v>5.6327389999999998E-2</v>
      </c>
      <c r="X904">
        <v>0.99769699999999994</v>
      </c>
      <c r="Y904">
        <v>-6.39318E-3</v>
      </c>
      <c r="Z904">
        <v>1.524105E-3</v>
      </c>
      <c r="AA904">
        <v>0.99997840000000005</v>
      </c>
      <c r="AB904">
        <v>35</v>
      </c>
      <c r="AC904">
        <v>0.76460000000002903</v>
      </c>
      <c r="AD904">
        <v>-7.0427000000000003E-2</v>
      </c>
      <c r="AE904">
        <v>-7.9999999999813502E-3</v>
      </c>
      <c r="AF904">
        <v>-5.7811767565570599E-3</v>
      </c>
      <c r="AG904">
        <v>-7.0427000000000003E-2</v>
      </c>
      <c r="AH904">
        <v>0.75818772763502995</v>
      </c>
      <c r="AI904">
        <v>95.306743427159105</v>
      </c>
      <c r="AJ904">
        <v>90.436871499614796</v>
      </c>
      <c r="AK904">
        <v>0.76147358107163599</v>
      </c>
      <c r="AL904">
        <v>86.770969352110995</v>
      </c>
      <c r="AM904">
        <v>92.169094553987605</v>
      </c>
      <c r="AN904">
        <v>1.00000003263833</v>
      </c>
    </row>
    <row r="905" spans="1:40" x14ac:dyDescent="0.25">
      <c r="A905" t="str">
        <f>"20190312160618145"</f>
        <v>20190312160618145</v>
      </c>
      <c r="B905" t="str">
        <f>"1552377978136426"</f>
        <v>1552377978136426</v>
      </c>
      <c r="C905" t="s">
        <v>40</v>
      </c>
      <c r="D905">
        <v>6.3701720000000002</v>
      </c>
      <c r="E905">
        <v>0.50947949999999997</v>
      </c>
      <c r="F905" t="s">
        <v>47</v>
      </c>
      <c r="G905">
        <v>-246.90600000000001</v>
      </c>
      <c r="H905" s="1">
        <v>-1.900881E-6</v>
      </c>
      <c r="I905">
        <v>367.03519999999997</v>
      </c>
      <c r="J905">
        <v>-267.06470000000002</v>
      </c>
      <c r="K905">
        <v>1.109693</v>
      </c>
      <c r="L905">
        <v>367.17450000000002</v>
      </c>
      <c r="M905">
        <v>0.99979510000000005</v>
      </c>
      <c r="N905">
        <v>0</v>
      </c>
      <c r="O905">
        <v>-1.776732E-2</v>
      </c>
      <c r="P905">
        <v>0.99870559999999997</v>
      </c>
      <c r="Q905">
        <v>4.6858579999999997E-2</v>
      </c>
      <c r="R905">
        <v>1.9789540000000001E-2</v>
      </c>
      <c r="S905">
        <v>3.0119929999999999</v>
      </c>
      <c r="T905">
        <v>-0.1641774</v>
      </c>
      <c r="U905">
        <v>-2.1087649999999999E-2</v>
      </c>
      <c r="V905">
        <v>-3.759995E-2</v>
      </c>
      <c r="W905">
        <v>5.6498769999999997E-2</v>
      </c>
      <c r="X905">
        <v>0.99769439999999998</v>
      </c>
      <c r="Y905">
        <v>-1.0725480000000001E-2</v>
      </c>
      <c r="Z905">
        <v>1.259813E-3</v>
      </c>
      <c r="AA905">
        <v>0.99994170000000004</v>
      </c>
      <c r="AB905">
        <v>35</v>
      </c>
      <c r="AC905">
        <v>20.1587</v>
      </c>
      <c r="AD905">
        <v>-1.109694900881</v>
      </c>
      <c r="AE905">
        <v>-0.139300000000048</v>
      </c>
      <c r="AF905">
        <v>-0.218243607109599</v>
      </c>
      <c r="AG905">
        <v>-1.109694900881</v>
      </c>
      <c r="AH905">
        <v>20.097095895258299</v>
      </c>
      <c r="AI905">
        <v>93.160287366027603</v>
      </c>
      <c r="AJ905">
        <v>90.622176763870499</v>
      </c>
      <c r="AK905">
        <v>20.1288925792825</v>
      </c>
      <c r="AL905">
        <v>86.761134206295495</v>
      </c>
      <c r="AM905">
        <v>92.158275508489396</v>
      </c>
      <c r="AN905">
        <v>0.99999999152143704</v>
      </c>
    </row>
    <row r="906" spans="1:40" x14ac:dyDescent="0.25">
      <c r="A906" t="str">
        <f>"20190312160618159"</f>
        <v>20190312160618159</v>
      </c>
      <c r="B906" t="str">
        <f>"1552377978155946"</f>
        <v>1552377978155946</v>
      </c>
      <c r="C906" t="s">
        <v>40</v>
      </c>
      <c r="D906">
        <v>6.3666809999999998</v>
      </c>
      <c r="E906">
        <v>0.50973619999999997</v>
      </c>
      <c r="F906" t="s">
        <v>47</v>
      </c>
      <c r="G906">
        <v>-245.96449999999999</v>
      </c>
      <c r="H906" s="1">
        <v>-2.3455019999999999E-6</v>
      </c>
      <c r="I906">
        <v>367.0376</v>
      </c>
      <c r="J906">
        <v>-266.84699999999998</v>
      </c>
      <c r="K906">
        <v>1.109715</v>
      </c>
      <c r="L906">
        <v>367.17090000000002</v>
      </c>
      <c r="M906">
        <v>0.99980100000000005</v>
      </c>
      <c r="N906">
        <v>0</v>
      </c>
      <c r="O906">
        <v>-1.7419810000000001E-2</v>
      </c>
      <c r="P906">
        <v>0.99869609999999998</v>
      </c>
      <c r="Q906">
        <v>4.7060530000000003E-2</v>
      </c>
      <c r="R906">
        <v>1.979262E-2</v>
      </c>
      <c r="S906">
        <v>3.0117189999999998</v>
      </c>
      <c r="T906">
        <v>-0.15839139999999999</v>
      </c>
      <c r="U906">
        <v>-1.953125E-2</v>
      </c>
      <c r="V906">
        <v>-3.7255980000000001E-2</v>
      </c>
      <c r="W906">
        <v>5.6726810000000003E-2</v>
      </c>
      <c r="X906">
        <v>0.99769439999999998</v>
      </c>
      <c r="Y906">
        <v>-1.0897179999999999E-2</v>
      </c>
      <c r="Z906">
        <v>1.20184E-3</v>
      </c>
      <c r="AA906">
        <v>0.99993989999999999</v>
      </c>
      <c r="AB906">
        <v>35</v>
      </c>
      <c r="AC906">
        <v>20.8825</v>
      </c>
      <c r="AD906">
        <v>-1.109717345502</v>
      </c>
      <c r="AE906">
        <v>-0.13330000000001899</v>
      </c>
      <c r="AF906">
        <v>-0.229857518119508</v>
      </c>
      <c r="AG906">
        <v>-1.109717345502</v>
      </c>
      <c r="AH906">
        <v>20.8228525624695</v>
      </c>
      <c r="AI906">
        <v>93.050406534749101</v>
      </c>
      <c r="AJ906">
        <v>90.6324460468159</v>
      </c>
      <c r="AK906">
        <v>20.853668643763498</v>
      </c>
      <c r="AL906">
        <v>86.748047605064002</v>
      </c>
      <c r="AM906">
        <v>92.138549696384004</v>
      </c>
      <c r="AN906">
        <v>1.0000000274049401</v>
      </c>
    </row>
    <row r="907" spans="1:40" x14ac:dyDescent="0.25">
      <c r="A907" t="str">
        <f>"20190312160618175"</f>
        <v>20190312160618175</v>
      </c>
      <c r="B907" t="str">
        <f>"1552377978165706"</f>
        <v>1552377978165706</v>
      </c>
      <c r="C907" t="s">
        <v>40</v>
      </c>
      <c r="D907">
        <v>6.9092269999999996</v>
      </c>
      <c r="E907">
        <v>0.51071909999999998</v>
      </c>
      <c r="F907" t="s">
        <v>47</v>
      </c>
      <c r="G907">
        <v>-245.99809999999999</v>
      </c>
      <c r="H907" s="1">
        <v>-2.3328700000000002E-6</v>
      </c>
      <c r="I907">
        <v>367.01929999999999</v>
      </c>
      <c r="J907">
        <v>-266.60320000000002</v>
      </c>
      <c r="K907">
        <v>1.1097349999999999</v>
      </c>
      <c r="L907">
        <v>367.16699999999997</v>
      </c>
      <c r="M907">
        <v>0.99980720000000001</v>
      </c>
      <c r="N907">
        <v>0</v>
      </c>
      <c r="O907">
        <v>-1.703083E-2</v>
      </c>
      <c r="P907">
        <v>0.99866580000000005</v>
      </c>
      <c r="Q907">
        <v>4.7559049999999999E-2</v>
      </c>
      <c r="R907">
        <v>2.0121670000000001E-2</v>
      </c>
      <c r="S907">
        <v>3.0119020000000001</v>
      </c>
      <c r="T907">
        <v>-0.16031419999999999</v>
      </c>
      <c r="U907">
        <v>-2.191162E-2</v>
      </c>
      <c r="V907">
        <v>-3.7196819999999998E-2</v>
      </c>
      <c r="W907">
        <v>5.7252379999999999E-2</v>
      </c>
      <c r="X907">
        <v>0.99766650000000001</v>
      </c>
      <c r="Y907">
        <v>-9.7195660000000007E-3</v>
      </c>
      <c r="Z907">
        <v>1.164326E-3</v>
      </c>
      <c r="AA907">
        <v>0.99995210000000001</v>
      </c>
      <c r="AB907">
        <v>35</v>
      </c>
      <c r="AC907">
        <v>20.6051</v>
      </c>
      <c r="AD907">
        <v>-1.10973733287</v>
      </c>
      <c r="AE907">
        <v>-0.14769999999998601</v>
      </c>
      <c r="AF907">
        <v>-0.20267229384129101</v>
      </c>
      <c r="AG907">
        <v>-1.10973733287</v>
      </c>
      <c r="AH907">
        <v>20.545036529375999</v>
      </c>
      <c r="AI907">
        <v>93.091668976677099</v>
      </c>
      <c r="AJ907">
        <v>90.565192005784496</v>
      </c>
      <c r="AK907">
        <v>20.5759840347928</v>
      </c>
      <c r="AL907">
        <v>86.717885361465804</v>
      </c>
      <c r="AM907">
        <v>92.135216623265194</v>
      </c>
      <c r="AN907">
        <v>0.999999941828011</v>
      </c>
    </row>
    <row r="908" spans="1:40" x14ac:dyDescent="0.25">
      <c r="A908" t="str">
        <f>"20190312160618195"</f>
        <v>20190312160618195</v>
      </c>
      <c r="B908" t="str">
        <f>"1552377978186203"</f>
        <v>1552377978186203</v>
      </c>
      <c r="C908" t="s">
        <v>40</v>
      </c>
      <c r="D908">
        <v>6.5155459999999996</v>
      </c>
      <c r="E908">
        <v>0.51049670000000003</v>
      </c>
      <c r="F908" t="s">
        <v>47</v>
      </c>
      <c r="G908">
        <v>-245.5625</v>
      </c>
      <c r="H908" s="1">
        <v>-2.5482539999999998E-6</v>
      </c>
      <c r="I908">
        <v>366.96600000000001</v>
      </c>
      <c r="J908">
        <v>-266.27519999999998</v>
      </c>
      <c r="K908">
        <v>1.109758</v>
      </c>
      <c r="L908">
        <v>367.16199999999998</v>
      </c>
      <c r="M908">
        <v>0.99981580000000003</v>
      </c>
      <c r="N908">
        <v>0</v>
      </c>
      <c r="O908">
        <v>-1.6507640000000001E-2</v>
      </c>
      <c r="P908">
        <v>0.99869180000000002</v>
      </c>
      <c r="Q908">
        <v>4.6979769999999997E-2</v>
      </c>
      <c r="R908">
        <v>2.019408E-2</v>
      </c>
      <c r="S908">
        <v>3.012146</v>
      </c>
      <c r="T908">
        <v>-0.1588677</v>
      </c>
      <c r="U908">
        <v>-2.8778080000000001E-2</v>
      </c>
      <c r="V908">
        <v>-3.6746979999999999E-2</v>
      </c>
      <c r="W908">
        <v>5.6706340000000001E-2</v>
      </c>
      <c r="X908">
        <v>0.9977144</v>
      </c>
      <c r="Y908">
        <v>-6.9228419999999898E-3</v>
      </c>
      <c r="Z908">
        <v>1.0524550000000001E-3</v>
      </c>
      <c r="AA908">
        <v>0.99997550000000002</v>
      </c>
      <c r="AB908">
        <v>35</v>
      </c>
      <c r="AC908">
        <v>20.712699999999899</v>
      </c>
      <c r="AD908">
        <v>-1.1097605482540001</v>
      </c>
      <c r="AE908">
        <v>-0.195999999999969</v>
      </c>
      <c r="AF908">
        <v>-0.14554312392291399</v>
      </c>
      <c r="AG908">
        <v>-1.1097605482540001</v>
      </c>
      <c r="AH908">
        <v>20.653827792249398</v>
      </c>
      <c r="AI908">
        <v>93.075552721274903</v>
      </c>
      <c r="AJ908">
        <v>90.4037444678696</v>
      </c>
      <c r="AK908">
        <v>20.684132898124499</v>
      </c>
      <c r="AL908">
        <v>86.749222208289396</v>
      </c>
      <c r="AM908">
        <v>92.109316655068199</v>
      </c>
      <c r="AN908">
        <v>0.99999998675133694</v>
      </c>
    </row>
    <row r="909" spans="1:40" x14ac:dyDescent="0.25">
      <c r="A909" t="str">
        <f>"20190312160618207"</f>
        <v>20190312160618207</v>
      </c>
      <c r="B909" t="str">
        <f>"1552377978195963"</f>
        <v>1552377978195963</v>
      </c>
      <c r="C909" t="s">
        <v>40</v>
      </c>
      <c r="D909">
        <v>6.439368</v>
      </c>
      <c r="E909">
        <v>0.50972379999999995</v>
      </c>
      <c r="F909" t="s">
        <v>47</v>
      </c>
      <c r="G909">
        <v>-244.63499999999999</v>
      </c>
      <c r="H909" s="1">
        <v>-2.9863499999999998E-6</v>
      </c>
      <c r="I909">
        <v>366.96789999999999</v>
      </c>
      <c r="J909">
        <v>-266.08909999999997</v>
      </c>
      <c r="K909">
        <v>1.1097680000000001</v>
      </c>
      <c r="L909">
        <v>367.1592</v>
      </c>
      <c r="M909">
        <v>0.9998205</v>
      </c>
      <c r="N909">
        <v>0</v>
      </c>
      <c r="O909">
        <v>-1.6210639999999998E-2</v>
      </c>
      <c r="P909">
        <v>0.9987009</v>
      </c>
      <c r="Q909">
        <v>4.6715739999999999E-2</v>
      </c>
      <c r="R909">
        <v>2.0350960000000001E-2</v>
      </c>
      <c r="S909">
        <v>3.011749</v>
      </c>
      <c r="T909">
        <v>-0.15444929999999901</v>
      </c>
      <c r="U909">
        <v>-2.700806E-2</v>
      </c>
      <c r="V909">
        <v>-3.6607140000000003E-2</v>
      </c>
      <c r="W909">
        <v>5.6459259999999997E-2</v>
      </c>
      <c r="X909">
        <v>0.9977336</v>
      </c>
      <c r="Y909">
        <v>-7.2139600000000002E-3</v>
      </c>
      <c r="Z909">
        <v>1.015602E-3</v>
      </c>
      <c r="AA909">
        <v>0.99997349999999996</v>
      </c>
      <c r="AB909">
        <v>35</v>
      </c>
      <c r="AC909">
        <v>21.454099999999901</v>
      </c>
      <c r="AD909">
        <v>-1.10977098635</v>
      </c>
      <c r="AE909">
        <v>-0.19130000000001199</v>
      </c>
      <c r="AF909">
        <v>-0.156108882038927</v>
      </c>
      <c r="AG909">
        <v>-1.10977098635</v>
      </c>
      <c r="AH909">
        <v>21.397132976321199</v>
      </c>
      <c r="AI909">
        <v>92.968929661843006</v>
      </c>
      <c r="AJ909">
        <v>90.418010272765002</v>
      </c>
      <c r="AK909">
        <v>21.426461705834001</v>
      </c>
      <c r="AL909">
        <v>86.7634017182897</v>
      </c>
      <c r="AM909">
        <v>92.101256495963099</v>
      </c>
      <c r="AN909">
        <v>1.0000000336538399</v>
      </c>
    </row>
    <row r="910" spans="1:40" x14ac:dyDescent="0.25">
      <c r="A910" t="str">
        <f>"20190312160618218"</f>
        <v>20190312160618218</v>
      </c>
      <c r="B910" t="str">
        <f>"1552377978205723"</f>
        <v>1552377978205723</v>
      </c>
      <c r="C910" t="s">
        <v>40</v>
      </c>
      <c r="D910">
        <v>7.5608069999999996</v>
      </c>
      <c r="E910">
        <v>0.50892809999999999</v>
      </c>
      <c r="F910" t="s">
        <v>47</v>
      </c>
      <c r="G910">
        <v>-242.70779999999999</v>
      </c>
      <c r="H910" s="1">
        <v>-3.8910760000000001E-6</v>
      </c>
      <c r="I910">
        <v>367.00319999999999</v>
      </c>
      <c r="J910">
        <v>-265.92380000000003</v>
      </c>
      <c r="K910">
        <v>1.1097760000000001</v>
      </c>
      <c r="L910">
        <v>367.1567</v>
      </c>
      <c r="M910">
        <v>0.99982459999999995</v>
      </c>
      <c r="N910">
        <v>0</v>
      </c>
      <c r="O910">
        <v>-1.5947369999999999E-2</v>
      </c>
      <c r="P910">
        <v>0.99872030000000001</v>
      </c>
      <c r="Q910">
        <v>4.6306800000000002E-2</v>
      </c>
      <c r="R910">
        <v>2.0333879999999999E-2</v>
      </c>
      <c r="S910">
        <v>3.0109560000000002</v>
      </c>
      <c r="T910">
        <v>-0.14291239999999999</v>
      </c>
      <c r="U910">
        <v>-2.0080569999999999E-2</v>
      </c>
      <c r="V910">
        <v>-3.6327249999999998E-2</v>
      </c>
      <c r="W910">
        <v>5.6066009999999999E-2</v>
      </c>
      <c r="X910">
        <v>0.99776600000000004</v>
      </c>
      <c r="Y910">
        <v>-9.2512459999999994E-3</v>
      </c>
      <c r="Z910">
        <v>9.759212E-4</v>
      </c>
      <c r="AA910">
        <v>0.99995670000000003</v>
      </c>
      <c r="AB910">
        <v>35</v>
      </c>
      <c r="AC910">
        <v>23.216000000000001</v>
      </c>
      <c r="AD910">
        <v>-1.1097798910759999</v>
      </c>
      <c r="AE910">
        <v>-0.15350000000000799</v>
      </c>
      <c r="AF910">
        <v>-0.21627733338269201</v>
      </c>
      <c r="AG910">
        <v>-1.1097798910759999</v>
      </c>
      <c r="AH910">
        <v>23.162569729584799</v>
      </c>
      <c r="AI910">
        <v>92.742974980480994</v>
      </c>
      <c r="AJ910">
        <v>90.5349759737082</v>
      </c>
      <c r="AK910">
        <v>23.190149283035101</v>
      </c>
      <c r="AL910">
        <v>86.7859690134554</v>
      </c>
      <c r="AM910">
        <v>92.085137343758106</v>
      </c>
      <c r="AN910">
        <v>1.00000002866294</v>
      </c>
    </row>
    <row r="911" spans="1:40" x14ac:dyDescent="0.25">
      <c r="A911" t="str">
        <f>"20190312160618229"</f>
        <v>20190312160618229</v>
      </c>
      <c r="B911" t="str">
        <f>"1552377978215483"</f>
        <v>1552377978215483</v>
      </c>
      <c r="C911" t="s">
        <v>40</v>
      </c>
      <c r="D911">
        <v>6.6593419999999997</v>
      </c>
      <c r="E911">
        <v>0.50825989999999999</v>
      </c>
      <c r="F911" t="s">
        <v>47</v>
      </c>
      <c r="G911">
        <v>-240.76009999999999</v>
      </c>
      <c r="H911" s="1">
        <v>-4.8046809999999996E-6</v>
      </c>
      <c r="I911">
        <v>367.04320000000001</v>
      </c>
      <c r="J911">
        <v>-265.75659999999999</v>
      </c>
      <c r="K911">
        <v>1.109783</v>
      </c>
      <c r="L911">
        <v>367.15429999999998</v>
      </c>
      <c r="M911">
        <v>0.99982859999999996</v>
      </c>
      <c r="N911">
        <v>0</v>
      </c>
      <c r="O911">
        <v>-1.5681110000000002E-2</v>
      </c>
      <c r="P911">
        <v>0.99872050000000001</v>
      </c>
      <c r="Q911">
        <v>4.616605E-2</v>
      </c>
      <c r="R911">
        <v>2.0649420000000002E-2</v>
      </c>
      <c r="S911">
        <v>3.010284</v>
      </c>
      <c r="T911">
        <v>-0.13276099999999999</v>
      </c>
      <c r="U911">
        <v>-1.358032E-2</v>
      </c>
      <c r="V911">
        <v>-3.6376989999999998E-2</v>
      </c>
      <c r="W911">
        <v>5.5938889999999998E-2</v>
      </c>
      <c r="X911">
        <v>0.99777130000000003</v>
      </c>
      <c r="Y911">
        <v>-1.1144930000000001E-2</v>
      </c>
      <c r="Z911">
        <v>9.3688150000000004E-4</v>
      </c>
      <c r="AA911">
        <v>0.99993750000000003</v>
      </c>
      <c r="AB911">
        <v>35</v>
      </c>
      <c r="AC911">
        <v>24.996500000000001</v>
      </c>
      <c r="AD911">
        <v>-1.1097878046809999</v>
      </c>
      <c r="AE911">
        <v>-0.11109999999996401</v>
      </c>
      <c r="AF911">
        <v>-0.28035290609796798</v>
      </c>
      <c r="AG911">
        <v>-1.1097878046809999</v>
      </c>
      <c r="AH911">
        <v>24.945996948089999</v>
      </c>
      <c r="AI911">
        <v>92.5471121175039</v>
      </c>
      <c r="AJ911">
        <v>90.643885354293104</v>
      </c>
      <c r="AK911">
        <v>24.972244401685099</v>
      </c>
      <c r="AL911">
        <v>86.793263828231602</v>
      </c>
      <c r="AM911">
        <v>92.087978749103399</v>
      </c>
      <c r="AN911">
        <v>1.00000000595979</v>
      </c>
    </row>
    <row r="912" spans="1:40" x14ac:dyDescent="0.25">
      <c r="A912" t="str">
        <f>"20190312160618241"</f>
        <v>20190312160618241</v>
      </c>
      <c r="B912" t="str">
        <f>"1552377978235979"</f>
        <v>1552377978235979</v>
      </c>
      <c r="C912" t="s">
        <v>40</v>
      </c>
      <c r="D912">
        <v>6.6876910000000001</v>
      </c>
      <c r="E912">
        <v>0.50912860000000004</v>
      </c>
      <c r="F912" t="s">
        <v>47</v>
      </c>
      <c r="G912">
        <v>-238.7063</v>
      </c>
      <c r="H912" s="1">
        <v>-1.0980149999999999E-6</v>
      </c>
      <c r="I912">
        <v>367.09190000000001</v>
      </c>
      <c r="J912">
        <v>-265.57330000000002</v>
      </c>
      <c r="K912">
        <v>1.1097870000000001</v>
      </c>
      <c r="L912">
        <v>367.15159999999997</v>
      </c>
      <c r="M912">
        <v>0.99983319999999998</v>
      </c>
      <c r="N912">
        <v>0</v>
      </c>
      <c r="O912">
        <v>-1.5389949999999999E-2</v>
      </c>
      <c r="P912">
        <v>0.9987163</v>
      </c>
      <c r="Q912">
        <v>4.6151369999999997E-2</v>
      </c>
      <c r="R912">
        <v>2.0881239999999999E-2</v>
      </c>
      <c r="S912">
        <v>3.009735</v>
      </c>
      <c r="T912">
        <v>-0.12347900000000001</v>
      </c>
      <c r="U912">
        <v>-6.9274899999999997E-3</v>
      </c>
      <c r="V912">
        <v>-3.6317519999999999E-2</v>
      </c>
      <c r="W912">
        <v>5.5938420000000003E-2</v>
      </c>
      <c r="X912">
        <v>0.99777349999999998</v>
      </c>
      <c r="Y912">
        <v>-1.30652999999999E-2</v>
      </c>
      <c r="Z912">
        <v>8.9903819999999997E-4</v>
      </c>
      <c r="AA912">
        <v>0.99991419999999998</v>
      </c>
      <c r="AB912">
        <v>35</v>
      </c>
      <c r="AC912">
        <v>26.867000000000001</v>
      </c>
      <c r="AD912">
        <v>-1.1097880980149999</v>
      </c>
      <c r="AE912">
        <v>-5.9699999999963803E-2</v>
      </c>
      <c r="AF912">
        <v>-0.35320620163413402</v>
      </c>
      <c r="AG912">
        <v>-1.1097880980149999</v>
      </c>
      <c r="AH912">
        <v>26.8189770362785</v>
      </c>
      <c r="AI912">
        <v>92.369382426174894</v>
      </c>
      <c r="AJ912">
        <v>90.754542378801105</v>
      </c>
      <c r="AK912">
        <v>26.844252895467299</v>
      </c>
      <c r="AL912">
        <v>86.793290822710006</v>
      </c>
      <c r="AM912">
        <v>92.084563691672102</v>
      </c>
      <c r="AN912">
        <v>1.00000001319664</v>
      </c>
    </row>
    <row r="913" spans="1:40" x14ac:dyDescent="0.25">
      <c r="A913" t="str">
        <f>"20190312160618252"</f>
        <v>20190312160618252</v>
      </c>
      <c r="B913" t="str">
        <f>"1552377978245738"</f>
        <v>1552377978245738</v>
      </c>
      <c r="C913" t="s">
        <v>40</v>
      </c>
      <c r="D913">
        <v>6.4139549999999996</v>
      </c>
      <c r="E913">
        <v>0.50944369999999894</v>
      </c>
      <c r="F913" t="s">
        <v>47</v>
      </c>
      <c r="G913">
        <v>-238.63630000000001</v>
      </c>
      <c r="H913" s="1">
        <v>-1.1373619999999999E-6</v>
      </c>
      <c r="I913">
        <v>367.03359999999998</v>
      </c>
      <c r="J913">
        <v>-265.38720000000001</v>
      </c>
      <c r="K913">
        <v>1.109793</v>
      </c>
      <c r="L913">
        <v>367.149</v>
      </c>
      <c r="M913">
        <v>0.99983759999999999</v>
      </c>
      <c r="N913">
        <v>0</v>
      </c>
      <c r="O913">
        <v>-1.509461E-2</v>
      </c>
      <c r="P913">
        <v>0.99869300000000005</v>
      </c>
      <c r="Q913">
        <v>4.6519959999999999E-2</v>
      </c>
      <c r="R913">
        <v>2.117749E-2</v>
      </c>
      <c r="S913">
        <v>3.0098569999999998</v>
      </c>
      <c r="T913">
        <v>-0.12400360000000001</v>
      </c>
      <c r="U913">
        <v>-1.318359E-2</v>
      </c>
      <c r="V913">
        <v>-3.6319589999999999E-2</v>
      </c>
      <c r="W913">
        <v>5.6320240000000001E-2</v>
      </c>
      <c r="X913">
        <v>0.99775199999999997</v>
      </c>
      <c r="Y913">
        <v>-1.069373E-2</v>
      </c>
      <c r="Z913">
        <v>8.4181830000000003E-4</v>
      </c>
      <c r="AA913">
        <v>0.99994249999999996</v>
      </c>
      <c r="AB913">
        <v>35</v>
      </c>
      <c r="AC913">
        <v>26.750900000000001</v>
      </c>
      <c r="AD913">
        <v>-1.1097941373619999</v>
      </c>
      <c r="AE913">
        <v>-0.115400000000022</v>
      </c>
      <c r="AF913">
        <v>-0.28793157001471498</v>
      </c>
      <c r="AG913">
        <v>-1.1097941373619999</v>
      </c>
      <c r="AH913">
        <v>26.703634996332401</v>
      </c>
      <c r="AI913">
        <v>92.3796857410792</v>
      </c>
      <c r="AJ913">
        <v>90.617766999222994</v>
      </c>
      <c r="AK913">
        <v>26.7282373087655</v>
      </c>
      <c r="AL913">
        <v>86.771379781847799</v>
      </c>
      <c r="AM913">
        <v>92.084727283329599</v>
      </c>
      <c r="AN913">
        <v>1.0000000677777101</v>
      </c>
    </row>
    <row r="914" spans="1:40" x14ac:dyDescent="0.25">
      <c r="A914" t="str">
        <f>"20190312160618264"</f>
        <v>20190312160618264</v>
      </c>
      <c r="B914" t="str">
        <f>"1552377978255498"</f>
        <v>1552377978255498</v>
      </c>
      <c r="C914" t="s">
        <v>40</v>
      </c>
      <c r="D914">
        <v>6.6210880000000003</v>
      </c>
      <c r="E914">
        <v>0.50958590000000004</v>
      </c>
      <c r="F914" t="s">
        <v>47</v>
      </c>
      <c r="G914">
        <v>-239.0394</v>
      </c>
      <c r="H914" s="1">
        <v>-1.0038100000000001E-6</v>
      </c>
      <c r="I914">
        <v>367.02</v>
      </c>
      <c r="J914">
        <v>-265.2079</v>
      </c>
      <c r="K914">
        <v>1.109799</v>
      </c>
      <c r="L914">
        <v>367.1465</v>
      </c>
      <c r="M914">
        <v>0.99984170000000006</v>
      </c>
      <c r="N914">
        <v>0</v>
      </c>
      <c r="O914">
        <v>-1.481071E-2</v>
      </c>
      <c r="P914">
        <v>0.99867589999999995</v>
      </c>
      <c r="Q914">
        <v>4.6742640000000002E-2</v>
      </c>
      <c r="R914">
        <v>2.1492799999999999E-2</v>
      </c>
      <c r="S914">
        <v>3.0101010000000001</v>
      </c>
      <c r="T914">
        <v>-0.12678800000000001</v>
      </c>
      <c r="U914">
        <v>-1.473999E-2</v>
      </c>
      <c r="V914">
        <v>-3.6351460000000002E-2</v>
      </c>
      <c r="W914">
        <v>5.655495E-2</v>
      </c>
      <c r="X914">
        <v>0.99773750000000005</v>
      </c>
      <c r="Y914">
        <v>-9.8931060000000005E-3</v>
      </c>
      <c r="Z914">
        <v>8.3182660000000002E-4</v>
      </c>
      <c r="AA914">
        <v>0.99995069999999997</v>
      </c>
      <c r="AB914">
        <v>35</v>
      </c>
      <c r="AC914">
        <v>26.168499999999899</v>
      </c>
      <c r="AD914">
        <v>-1.10980000381</v>
      </c>
      <c r="AE914">
        <v>-0.12650000000002101</v>
      </c>
      <c r="AF914">
        <v>-0.26063801245957202</v>
      </c>
      <c r="AG914">
        <v>-1.10980000381</v>
      </c>
      <c r="AH914">
        <v>26.120524112282201</v>
      </c>
      <c r="AI914">
        <v>92.432779505768494</v>
      </c>
      <c r="AJ914">
        <v>90.571694596849994</v>
      </c>
      <c r="AK914">
        <v>26.1453890413264</v>
      </c>
      <c r="AL914">
        <v>86.757910218017003</v>
      </c>
      <c r="AM914">
        <v>92.086585286854003</v>
      </c>
      <c r="AN914">
        <v>1.00000000495994</v>
      </c>
    </row>
    <row r="915" spans="1:40" x14ac:dyDescent="0.25">
      <c r="A915" t="str">
        <f>"20190312160618277"</f>
        <v>20190312160618277</v>
      </c>
      <c r="B915" t="str">
        <f>"1552377978266234"</f>
        <v>1552377978266234</v>
      </c>
      <c r="C915" t="s">
        <v>40</v>
      </c>
      <c r="D915">
        <v>6.6485779999999997</v>
      </c>
      <c r="E915">
        <v>0.50973219999999997</v>
      </c>
      <c r="F915" t="s">
        <v>47</v>
      </c>
      <c r="G915">
        <v>-238.34960000000001</v>
      </c>
      <c r="H915" s="1">
        <v>-1.2400829999999999E-6</v>
      </c>
      <c r="I915">
        <v>367.01420000000002</v>
      </c>
      <c r="J915">
        <v>-265.00349999999997</v>
      </c>
      <c r="K915">
        <v>1.109807</v>
      </c>
      <c r="L915">
        <v>367.1438</v>
      </c>
      <c r="M915">
        <v>0.99984620000000002</v>
      </c>
      <c r="N915">
        <v>0</v>
      </c>
      <c r="O915">
        <v>-1.448748E-2</v>
      </c>
      <c r="P915">
        <v>0.99867689999999998</v>
      </c>
      <c r="Q915">
        <v>4.6532990000000003E-2</v>
      </c>
      <c r="R915">
        <v>2.1897119999999999E-2</v>
      </c>
      <c r="S915">
        <v>3.010132</v>
      </c>
      <c r="T915">
        <v>-0.1243804</v>
      </c>
      <c r="U915">
        <v>-1.4831540000000001E-2</v>
      </c>
      <c r="V915">
        <v>-3.643275E-2</v>
      </c>
      <c r="W915">
        <v>5.6358810000000002E-2</v>
      </c>
      <c r="X915">
        <v>0.99774560000000001</v>
      </c>
      <c r="Y915">
        <v>-9.5408799999999998E-3</v>
      </c>
      <c r="Z915">
        <v>7.9541219999999997E-4</v>
      </c>
      <c r="AA915">
        <v>0.99995420000000002</v>
      </c>
      <c r="AB915">
        <v>35</v>
      </c>
      <c r="AC915">
        <v>26.653899999999901</v>
      </c>
      <c r="AD915">
        <v>-1.1098082400830001</v>
      </c>
      <c r="AE915">
        <v>-0.12959999999998201</v>
      </c>
      <c r="AF915">
        <v>-0.25613625518012001</v>
      </c>
      <c r="AG915">
        <v>-1.1098082400830001</v>
      </c>
      <c r="AH915">
        <v>26.6068528403813</v>
      </c>
      <c r="AI915">
        <v>92.388390266520602</v>
      </c>
      <c r="AJ915">
        <v>90.551552382828106</v>
      </c>
      <c r="AK915">
        <v>26.631220365966701</v>
      </c>
      <c r="AL915">
        <v>86.7691660568494</v>
      </c>
      <c r="AM915">
        <v>92.091230257893002</v>
      </c>
      <c r="AN915">
        <v>0.99999997152826803</v>
      </c>
    </row>
    <row r="916" spans="1:40" x14ac:dyDescent="0.25">
      <c r="A916" t="str">
        <f>"20190312160618290"</f>
        <v>20190312160618290</v>
      </c>
      <c r="B916" t="str">
        <f>"1552377978285754"</f>
        <v>1552377978285754</v>
      </c>
      <c r="C916" t="s">
        <v>40</v>
      </c>
      <c r="D916">
        <v>6.6936249999999999</v>
      </c>
      <c r="E916">
        <v>0.5096714</v>
      </c>
      <c r="F916" t="s">
        <v>47</v>
      </c>
      <c r="G916">
        <v>-237.45339999999999</v>
      </c>
      <c r="H916" s="1">
        <v>-1.546856E-6</v>
      </c>
      <c r="I916">
        <v>367.00740000000002</v>
      </c>
      <c r="J916">
        <v>-264.803</v>
      </c>
      <c r="K916">
        <v>1.109809</v>
      </c>
      <c r="L916">
        <v>367.14120000000003</v>
      </c>
      <c r="M916">
        <v>0.99985060000000003</v>
      </c>
      <c r="N916">
        <v>0</v>
      </c>
      <c r="O916">
        <v>-1.417068E-2</v>
      </c>
      <c r="P916">
        <v>0.99868979999999996</v>
      </c>
      <c r="Q916">
        <v>4.6233650000000001E-2</v>
      </c>
      <c r="R916">
        <v>2.1940020000000001E-2</v>
      </c>
      <c r="S916">
        <v>3.0099179999999999</v>
      </c>
      <c r="T916">
        <v>-0.1212491</v>
      </c>
      <c r="U916">
        <v>-1.4892580000000001E-2</v>
      </c>
      <c r="V916">
        <v>-3.615881E-2</v>
      </c>
      <c r="W916">
        <v>5.6072200000000003E-2</v>
      </c>
      <c r="X916">
        <v>0.99777170000000004</v>
      </c>
      <c r="Y916">
        <v>-9.2049679999999991E-3</v>
      </c>
      <c r="Z916">
        <v>7.5594029999999997E-4</v>
      </c>
      <c r="AA916">
        <v>0.99995730000000005</v>
      </c>
      <c r="AB916">
        <v>35</v>
      </c>
      <c r="AC916">
        <v>27.349599999999999</v>
      </c>
      <c r="AD916">
        <v>-1.109810546856</v>
      </c>
      <c r="AE916">
        <v>-0.133800000000007</v>
      </c>
      <c r="AF916">
        <v>-0.25337764286298198</v>
      </c>
      <c r="AG916">
        <v>-1.109810546856</v>
      </c>
      <c r="AH916">
        <v>27.303791574641799</v>
      </c>
      <c r="AI916">
        <v>92.327506153651001</v>
      </c>
      <c r="AJ916">
        <v>90.5316863339484</v>
      </c>
      <c r="AK916">
        <v>27.327512035150601</v>
      </c>
      <c r="AL916">
        <v>86.785613567177506</v>
      </c>
      <c r="AM916">
        <v>92.075465733556499</v>
      </c>
      <c r="AN916">
        <v>0.99999995823717203</v>
      </c>
    </row>
    <row r="917" spans="1:40" x14ac:dyDescent="0.25">
      <c r="A917" t="str">
        <f>"20190312160618302"</f>
        <v>20190312160618302</v>
      </c>
      <c r="B917" t="str">
        <f>"1552377978295514"</f>
        <v>1552377978295514</v>
      </c>
      <c r="C917" t="s">
        <v>40</v>
      </c>
      <c r="D917">
        <v>6.6359300000000001</v>
      </c>
      <c r="E917">
        <v>0.50970400000000005</v>
      </c>
      <c r="F917" t="s">
        <v>47</v>
      </c>
      <c r="G917">
        <v>-236.74379999999999</v>
      </c>
      <c r="H917" s="1">
        <v>-1.841705E-6</v>
      </c>
      <c r="I917">
        <v>367.00909999999999</v>
      </c>
      <c r="J917">
        <v>-264.61079999999998</v>
      </c>
      <c r="K917">
        <v>1.109815</v>
      </c>
      <c r="L917">
        <v>367.1388</v>
      </c>
      <c r="M917">
        <v>0.99985489999999999</v>
      </c>
      <c r="N917">
        <v>0</v>
      </c>
      <c r="O917">
        <v>-1.3867229999999999E-2</v>
      </c>
      <c r="P917">
        <v>0.99870060000000005</v>
      </c>
      <c r="Q917">
        <v>4.6068520000000002E-2</v>
      </c>
      <c r="R917">
        <v>2.1802490000000001E-2</v>
      </c>
      <c r="S917">
        <v>3.009735</v>
      </c>
      <c r="T917">
        <v>-0.1190423</v>
      </c>
      <c r="U917">
        <v>-1.416016E-2</v>
      </c>
      <c r="V917">
        <v>-3.5718560000000003E-2</v>
      </c>
      <c r="W917">
        <v>5.5918900000000001E-2</v>
      </c>
      <c r="X917">
        <v>0.99779620000000002</v>
      </c>
      <c r="Y917">
        <v>-9.1454810000000004E-3</v>
      </c>
      <c r="Z917">
        <v>7.2906529999999998E-4</v>
      </c>
      <c r="AA917">
        <v>0.99995789999999996</v>
      </c>
      <c r="AB917">
        <v>35</v>
      </c>
      <c r="AC917">
        <v>27.866999999999901</v>
      </c>
      <c r="AD917">
        <v>-1.1098168417050001</v>
      </c>
      <c r="AE917">
        <v>-0.129700000000013</v>
      </c>
      <c r="AF917">
        <v>-0.25636288382401701</v>
      </c>
      <c r="AG917">
        <v>-1.1098168417050001</v>
      </c>
      <c r="AH917">
        <v>27.8219922089615</v>
      </c>
      <c r="AI917">
        <v>92.284215690005496</v>
      </c>
      <c r="AJ917">
        <v>90.527931122540494</v>
      </c>
      <c r="AK917">
        <v>27.845298810137599</v>
      </c>
      <c r="AL917">
        <v>86.794410940290405</v>
      </c>
      <c r="AM917">
        <v>92.050167391425603</v>
      </c>
      <c r="AN917">
        <v>0.99999999782006099</v>
      </c>
    </row>
    <row r="918" spans="1:40" x14ac:dyDescent="0.25">
      <c r="A918" t="str">
        <f>"20190312160618318"</f>
        <v>20190312160618318</v>
      </c>
      <c r="B918" t="str">
        <f>"1552377978316011"</f>
        <v>1552377978316011</v>
      </c>
      <c r="C918" t="s">
        <v>40</v>
      </c>
      <c r="D918">
        <v>6.4127510000000001</v>
      </c>
      <c r="E918">
        <v>0.51002499999999995</v>
      </c>
      <c r="F918" t="s">
        <v>47</v>
      </c>
      <c r="G918">
        <v>-238.05009999999999</v>
      </c>
      <c r="H918" s="1">
        <v>-1.3443289999999999E-6</v>
      </c>
      <c r="I918">
        <v>367.00540000000001</v>
      </c>
      <c r="J918">
        <v>-264.35840000000002</v>
      </c>
      <c r="K918">
        <v>1.1098110000000001</v>
      </c>
      <c r="L918">
        <v>367.13560000000001</v>
      </c>
      <c r="M918">
        <v>0.99985999999999997</v>
      </c>
      <c r="N918">
        <v>0</v>
      </c>
      <c r="O918">
        <v>-1.3468890000000001E-2</v>
      </c>
      <c r="P918">
        <v>0.99874339999999995</v>
      </c>
      <c r="Q918">
        <v>4.5324719999999999E-2</v>
      </c>
      <c r="R918">
        <v>2.1387219999999998E-2</v>
      </c>
      <c r="S918">
        <v>3.01004</v>
      </c>
      <c r="T918">
        <v>-0.12577160000000001</v>
      </c>
      <c r="U918">
        <v>-1.51062E-2</v>
      </c>
      <c r="V918">
        <v>-3.490542E-2</v>
      </c>
      <c r="W918">
        <v>5.5190469999999998E-2</v>
      </c>
      <c r="X918">
        <v>0.99786560000000002</v>
      </c>
      <c r="Y918">
        <v>-8.4321929999999993E-3</v>
      </c>
      <c r="Z918">
        <v>7.3863360000000003E-4</v>
      </c>
      <c r="AA918">
        <v>0.99996419999999997</v>
      </c>
      <c r="AB918">
        <v>35</v>
      </c>
      <c r="AC918">
        <v>26.308299999999999</v>
      </c>
      <c r="AD918">
        <v>-1.109812344329</v>
      </c>
      <c r="AE918">
        <v>-0.13020000000000201</v>
      </c>
      <c r="AF918">
        <v>-0.223774663843575</v>
      </c>
      <c r="AG918">
        <v>-1.109812344329</v>
      </c>
      <c r="AH918">
        <v>26.260935223255299</v>
      </c>
      <c r="AI918">
        <v>92.419846950048495</v>
      </c>
      <c r="AJ918">
        <v>90.488216942080598</v>
      </c>
      <c r="AK918">
        <v>26.285328176376598</v>
      </c>
      <c r="AL918">
        <v>86.836211676695399</v>
      </c>
      <c r="AM918">
        <v>92.003394180838399</v>
      </c>
      <c r="AN918">
        <v>1.00000006599377</v>
      </c>
    </row>
    <row r="919" spans="1:40" x14ac:dyDescent="0.25">
      <c r="A919" t="str">
        <f>"20190312160618334"</f>
        <v>20190312160618334</v>
      </c>
      <c r="B919" t="str">
        <f>"1552377978325771"</f>
        <v>1552377978325771</v>
      </c>
      <c r="C919" t="s">
        <v>40</v>
      </c>
      <c r="D919">
        <v>6.5050869999999996</v>
      </c>
      <c r="E919">
        <v>0.51045479999999999</v>
      </c>
      <c r="F919" t="s">
        <v>47</v>
      </c>
      <c r="G919">
        <v>-239.47409999999999</v>
      </c>
      <c r="H919" s="1">
        <v>-8.6620309999999998E-7</v>
      </c>
      <c r="I919">
        <v>366.9812</v>
      </c>
      <c r="J919">
        <v>-264.11810000000003</v>
      </c>
      <c r="K919">
        <v>1.1098129999999999</v>
      </c>
      <c r="L919">
        <v>367.1327</v>
      </c>
      <c r="M919">
        <v>0.99986509999999995</v>
      </c>
      <c r="N919">
        <v>0</v>
      </c>
      <c r="O919">
        <v>-1.3090579999999999E-2</v>
      </c>
      <c r="P919">
        <v>0.99875329999999996</v>
      </c>
      <c r="Q919">
        <v>4.5228320000000002E-2</v>
      </c>
      <c r="R919">
        <v>2.1133869999999999E-2</v>
      </c>
      <c r="S919">
        <v>3.0102540000000002</v>
      </c>
      <c r="T919">
        <v>-0.1342535</v>
      </c>
      <c r="U919">
        <v>-1.8676760000000001E-2</v>
      </c>
      <c r="V919">
        <v>-3.4274619999999999E-2</v>
      </c>
      <c r="W919">
        <v>5.5107150000000001E-2</v>
      </c>
      <c r="X919">
        <v>0.997892</v>
      </c>
      <c r="Y919">
        <v>-6.8674089999999997E-3</v>
      </c>
      <c r="Z919">
        <v>7.3659940000000003E-4</v>
      </c>
      <c r="AA919">
        <v>0.99997619999999998</v>
      </c>
      <c r="AB919">
        <v>35</v>
      </c>
      <c r="AC919">
        <v>24.643999999999998</v>
      </c>
      <c r="AD919">
        <v>-1.1098138662031001</v>
      </c>
      <c r="AE919">
        <v>-0.151499999999998</v>
      </c>
      <c r="AF919">
        <v>-0.17078676201749601</v>
      </c>
      <c r="AG919">
        <v>-1.1098138662031001</v>
      </c>
      <c r="AH919">
        <v>24.593995603741099</v>
      </c>
      <c r="AI919">
        <v>92.583679896439506</v>
      </c>
      <c r="AJ919">
        <v>90.397869607314504</v>
      </c>
      <c r="AK919">
        <v>24.6196156487573</v>
      </c>
      <c r="AL919">
        <v>86.840992614389606</v>
      </c>
      <c r="AM919">
        <v>91.967166162933395</v>
      </c>
      <c r="AN919">
        <v>0.99999999561063302</v>
      </c>
    </row>
    <row r="920" spans="1:40" x14ac:dyDescent="0.25">
      <c r="A920" t="str">
        <f>"20190312160618364"</f>
        <v>20190312160618364</v>
      </c>
      <c r="B920" t="str">
        <f>"1552377978356026"</f>
        <v>1552377978356026</v>
      </c>
      <c r="C920" t="s">
        <v>40</v>
      </c>
      <c r="D920">
        <v>6.6328389999999997</v>
      </c>
      <c r="E920">
        <v>0.51069730000000002</v>
      </c>
      <c r="F920" t="s">
        <v>47</v>
      </c>
      <c r="G920">
        <v>-240.18860000000001</v>
      </c>
      <c r="H920" s="1">
        <v>-5.0910839999999998E-6</v>
      </c>
      <c r="I920">
        <v>366.95150000000001</v>
      </c>
      <c r="J920">
        <v>-263.65019999999998</v>
      </c>
      <c r="K920">
        <v>1.1098239999999999</v>
      </c>
      <c r="L920">
        <v>367.12729999999999</v>
      </c>
      <c r="M920">
        <v>0.99987409999999999</v>
      </c>
      <c r="N920">
        <v>0</v>
      </c>
      <c r="O920">
        <v>-1.2353609999999999E-2</v>
      </c>
      <c r="P920">
        <v>0.99875840000000005</v>
      </c>
      <c r="Q920">
        <v>4.5159820000000003E-2</v>
      </c>
      <c r="R920">
        <v>2.10312E-2</v>
      </c>
      <c r="S920">
        <v>3.0105590000000002</v>
      </c>
      <c r="T920">
        <v>-0.13962579999999999</v>
      </c>
      <c r="U920">
        <v>-2.2796629999999998E-2</v>
      </c>
      <c r="V920">
        <v>-3.3435810000000003E-2</v>
      </c>
      <c r="W920">
        <v>5.5060959999999999E-2</v>
      </c>
      <c r="X920">
        <v>0.997923</v>
      </c>
      <c r="Y920">
        <v>-4.7640369999999996E-3</v>
      </c>
      <c r="Z920">
        <v>6.8305289999999995E-4</v>
      </c>
      <c r="AA920">
        <v>0.9999884</v>
      </c>
      <c r="AB920">
        <v>35</v>
      </c>
      <c r="AC920">
        <v>23.461599999999901</v>
      </c>
      <c r="AD920">
        <v>-1.1098290910840001</v>
      </c>
      <c r="AE920">
        <v>-0.175799999999981</v>
      </c>
      <c r="AF920">
        <v>-0.113808593387969</v>
      </c>
      <c r="AG920">
        <v>-1.1098290910840001</v>
      </c>
      <c r="AH920">
        <v>23.4096012372916</v>
      </c>
      <c r="AI920">
        <v>92.714279305477106</v>
      </c>
      <c r="AJ920">
        <v>90.278548132223904</v>
      </c>
      <c r="AK920">
        <v>23.436170828365899</v>
      </c>
      <c r="AL920">
        <v>86.843643107638499</v>
      </c>
      <c r="AM920">
        <v>91.919000169379999</v>
      </c>
      <c r="AN920">
        <v>0.99999998831773795</v>
      </c>
    </row>
    <row r="921" spans="1:40" x14ac:dyDescent="0.25">
      <c r="A921" t="str">
        <f>"20190312160618386"</f>
        <v>20190312160618386</v>
      </c>
      <c r="B921" t="str">
        <f>"1552377978375546"</f>
        <v>1552377978375546</v>
      </c>
      <c r="C921" t="s">
        <v>40</v>
      </c>
      <c r="D921">
        <v>6.0579340000000004</v>
      </c>
      <c r="E921">
        <v>0.51050260000000003</v>
      </c>
      <c r="F921" t="s">
        <v>47</v>
      </c>
      <c r="G921">
        <v>-240.35290000000001</v>
      </c>
      <c r="H921" s="1">
        <v>-5.0167959999999999E-6</v>
      </c>
      <c r="I921">
        <v>366.9325</v>
      </c>
      <c r="J921">
        <v>-263.31220000000002</v>
      </c>
      <c r="K921">
        <v>1.109831</v>
      </c>
      <c r="L921">
        <v>367.12369999999999</v>
      </c>
      <c r="M921">
        <v>0.9998804</v>
      </c>
      <c r="N921">
        <v>0</v>
      </c>
      <c r="O921">
        <v>-1.182152E-2</v>
      </c>
      <c r="P921">
        <v>0.99874629999999998</v>
      </c>
      <c r="Q921">
        <v>4.5299020000000002E-2</v>
      </c>
      <c r="R921">
        <v>2.13116E-2</v>
      </c>
      <c r="S921">
        <v>3.010742</v>
      </c>
      <c r="T921">
        <v>-0.14342489999999999</v>
      </c>
      <c r="U921">
        <v>-2.5177000000000001E-2</v>
      </c>
      <c r="V921">
        <v>-3.3185230000000003E-2</v>
      </c>
      <c r="W921">
        <v>5.5214270000000003E-2</v>
      </c>
      <c r="X921">
        <v>0.99792289999999995</v>
      </c>
      <c r="Y921">
        <v>-3.4428729999999999E-3</v>
      </c>
      <c r="Z921">
        <v>6.4478989999999998E-4</v>
      </c>
      <c r="AA921">
        <v>0.99999389999999999</v>
      </c>
      <c r="AB921">
        <v>35</v>
      </c>
      <c r="AC921">
        <v>22.959299999999999</v>
      </c>
      <c r="AD921">
        <v>-1.109836016796</v>
      </c>
      <c r="AE921">
        <v>-0.19119999999998</v>
      </c>
      <c r="AF921">
        <v>-8.0053633987894696E-2</v>
      </c>
      <c r="AG921">
        <v>-1.109836016796</v>
      </c>
      <c r="AH921">
        <v>22.906434478098902</v>
      </c>
      <c r="AI921">
        <v>92.773842622066198</v>
      </c>
      <c r="AJ921">
        <v>90.200237042262003</v>
      </c>
      <c r="AK921">
        <v>22.933444683865702</v>
      </c>
      <c r="AL921">
        <v>86.834845728949801</v>
      </c>
      <c r="AM921">
        <v>91.904629314249405</v>
      </c>
      <c r="AN921">
        <v>0.99999999472309697</v>
      </c>
    </row>
    <row r="922" spans="1:40" x14ac:dyDescent="0.25">
      <c r="A922" t="str">
        <f>"20190312160618398"</f>
        <v>20190312160618398</v>
      </c>
      <c r="B922" t="str">
        <f>"1552377978396043"</f>
        <v>1552377978396043</v>
      </c>
      <c r="C922" t="s">
        <v>40</v>
      </c>
      <c r="D922">
        <v>6.6175689999999996</v>
      </c>
      <c r="E922">
        <v>0.51034230000000003</v>
      </c>
      <c r="F922" t="s">
        <v>47</v>
      </c>
      <c r="G922">
        <v>-238.49289999999999</v>
      </c>
      <c r="H922" s="1">
        <v>-1.212491E-6</v>
      </c>
      <c r="I922">
        <v>366.93470000000002</v>
      </c>
      <c r="J922">
        <v>-263.10390000000001</v>
      </c>
      <c r="K922">
        <v>1.109834</v>
      </c>
      <c r="L922">
        <v>367.12150000000003</v>
      </c>
      <c r="M922">
        <v>0.99988410000000005</v>
      </c>
      <c r="N922">
        <v>0</v>
      </c>
      <c r="O922">
        <v>-1.149349E-2</v>
      </c>
      <c r="P922">
        <v>0.99873109999999998</v>
      </c>
      <c r="Q922">
        <v>4.5404750000000001E-2</v>
      </c>
      <c r="R922">
        <v>2.1781180000000001E-2</v>
      </c>
      <c r="S922">
        <v>3.0104060000000001</v>
      </c>
      <c r="T922">
        <v>-0.13461419999999999</v>
      </c>
      <c r="U922">
        <v>-2.29187E-2</v>
      </c>
      <c r="V922">
        <v>-3.332682E-2</v>
      </c>
      <c r="W922">
        <v>5.5327590000000003E-2</v>
      </c>
      <c r="X922">
        <v>0.99791189999999996</v>
      </c>
      <c r="Y922">
        <v>-3.8659499999999999E-3</v>
      </c>
      <c r="Z922">
        <v>6.0008499999999998E-4</v>
      </c>
      <c r="AA922">
        <v>0.9999924</v>
      </c>
      <c r="AB922">
        <v>35</v>
      </c>
      <c r="AC922">
        <v>24.611000000000001</v>
      </c>
      <c r="AD922">
        <v>-1.109835212491</v>
      </c>
      <c r="AE922">
        <v>-0.18680000000000499</v>
      </c>
      <c r="AF922">
        <v>-9.5897718991572997E-2</v>
      </c>
      <c r="AG922">
        <v>-1.109835212491</v>
      </c>
      <c r="AH922">
        <v>24.5615765812775</v>
      </c>
      <c r="AI922">
        <v>92.587177779548</v>
      </c>
      <c r="AJ922">
        <v>90.223703337012196</v>
      </c>
      <c r="AK922">
        <v>24.586825226721601</v>
      </c>
      <c r="AL922">
        <v>86.828343015019797</v>
      </c>
      <c r="AM922">
        <v>91.912770759571501</v>
      </c>
      <c r="AN922">
        <v>0.999999989654065</v>
      </c>
    </row>
    <row r="923" spans="1:40" x14ac:dyDescent="0.25">
      <c r="A923" t="str">
        <f>"20190312160618410"</f>
        <v>20190312160618410</v>
      </c>
      <c r="B923" t="str">
        <f>"1552377978405803"</f>
        <v>1552377978405803</v>
      </c>
      <c r="C923" t="s">
        <v>40</v>
      </c>
      <c r="D923">
        <v>6.3729149999999999</v>
      </c>
      <c r="E923">
        <v>0.51039020000000002</v>
      </c>
      <c r="F923" t="s">
        <v>47</v>
      </c>
      <c r="G923">
        <v>-236.90790000000001</v>
      </c>
      <c r="H923" s="1">
        <v>-1.782465E-6</v>
      </c>
      <c r="I923">
        <v>366.9461</v>
      </c>
      <c r="J923">
        <v>-262.92020000000002</v>
      </c>
      <c r="K923">
        <v>1.109839</v>
      </c>
      <c r="L923">
        <v>367.11959999999999</v>
      </c>
      <c r="M923">
        <v>0.99988739999999998</v>
      </c>
      <c r="N923">
        <v>0</v>
      </c>
      <c r="O923">
        <v>-1.1204560000000001E-2</v>
      </c>
      <c r="P923">
        <v>0.99873979999999996</v>
      </c>
      <c r="Q923">
        <v>4.5045849999999998E-2</v>
      </c>
      <c r="R923">
        <v>2.213215E-2</v>
      </c>
      <c r="S923">
        <v>3.0100099999999999</v>
      </c>
      <c r="T923">
        <v>-0.1275239</v>
      </c>
      <c r="U923">
        <v>-2.0141599999999999E-2</v>
      </c>
      <c r="V923">
        <v>-3.3389340000000003E-2</v>
      </c>
      <c r="W923">
        <v>5.497527E-2</v>
      </c>
      <c r="X923">
        <v>0.99792930000000002</v>
      </c>
      <c r="Y923">
        <v>-4.4998109999999899E-3</v>
      </c>
      <c r="Z923">
        <v>5.6976990000000001E-4</v>
      </c>
      <c r="AA923">
        <v>0.99998969999999998</v>
      </c>
      <c r="AB923">
        <v>35</v>
      </c>
      <c r="AC923">
        <v>26.0123</v>
      </c>
      <c r="AD923">
        <v>-1.1098407824650001</v>
      </c>
      <c r="AE923">
        <v>-0.173499999999989</v>
      </c>
      <c r="AF923">
        <v>-0.117767417690361</v>
      </c>
      <c r="AG923">
        <v>-1.1098407824650001</v>
      </c>
      <c r="AH923">
        <v>25.9653461642799</v>
      </c>
      <c r="AI923">
        <v>92.447487376859002</v>
      </c>
      <c r="AJ923">
        <v>90.259866734949497</v>
      </c>
      <c r="AK923">
        <v>25.989321213875101</v>
      </c>
      <c r="AL923">
        <v>86.848560293036996</v>
      </c>
      <c r="AM923">
        <v>91.916322991673297</v>
      </c>
      <c r="AN923">
        <v>1.00000000806784</v>
      </c>
    </row>
    <row r="924" spans="1:40" x14ac:dyDescent="0.25">
      <c r="A924" t="str">
        <f>"20190312160618422"</f>
        <v>20190312160618422</v>
      </c>
      <c r="B924" t="str">
        <f>"1552377978415563"</f>
        <v>1552377978415563</v>
      </c>
      <c r="C924" t="s">
        <v>40</v>
      </c>
      <c r="D924">
        <v>6.6533089999999904</v>
      </c>
      <c r="E924">
        <v>0.51046080000000005</v>
      </c>
      <c r="F924" t="s">
        <v>47</v>
      </c>
      <c r="G924">
        <v>-237.4435</v>
      </c>
      <c r="H924" s="1">
        <v>-1.5638890000000001E-6</v>
      </c>
      <c r="I924">
        <v>366.95609999999999</v>
      </c>
      <c r="J924">
        <v>-262.73399999999998</v>
      </c>
      <c r="K924">
        <v>1.1098399999999999</v>
      </c>
      <c r="L924">
        <v>367.11770000000001</v>
      </c>
      <c r="M924">
        <v>0.99989059999999996</v>
      </c>
      <c r="N924">
        <v>0</v>
      </c>
      <c r="O924">
        <v>-1.091205E-2</v>
      </c>
      <c r="P924">
        <v>0.99873219999999996</v>
      </c>
      <c r="Q924">
        <v>4.5060870000000003E-2</v>
      </c>
      <c r="R924">
        <v>2.244376E-2</v>
      </c>
      <c r="S924">
        <v>3.0101619999999998</v>
      </c>
      <c r="T924">
        <v>-0.13113129999999901</v>
      </c>
      <c r="U924">
        <v>-1.9317629999999999E-2</v>
      </c>
      <c r="V924">
        <v>-3.3408809999999997E-2</v>
      </c>
      <c r="W924">
        <v>5.4996690000000001E-2</v>
      </c>
      <c r="X924">
        <v>0.99792749999999997</v>
      </c>
      <c r="Y924">
        <v>-4.4808180000000001E-3</v>
      </c>
      <c r="Z924">
        <v>5.7269389999999997E-4</v>
      </c>
      <c r="AA924">
        <v>0.99998980000000004</v>
      </c>
      <c r="AB924">
        <v>35</v>
      </c>
      <c r="AC924">
        <v>25.290500000000002</v>
      </c>
      <c r="AD924">
        <v>-1.109841563889</v>
      </c>
      <c r="AE924">
        <v>-0.161600000000021</v>
      </c>
      <c r="AF924">
        <v>-0.11417471650111501</v>
      </c>
      <c r="AG924">
        <v>-1.109841563889</v>
      </c>
      <c r="AH924">
        <v>25.242148681699199</v>
      </c>
      <c r="AI924">
        <v>92.517521799618393</v>
      </c>
      <c r="AJ924">
        <v>90.259157207769704</v>
      </c>
      <c r="AK924">
        <v>25.266793509106702</v>
      </c>
      <c r="AL924">
        <v>86.847331258307094</v>
      </c>
      <c r="AM924">
        <v>91.917443060483805</v>
      </c>
      <c r="AN924">
        <v>1.00000003987641</v>
      </c>
    </row>
    <row r="925" spans="1:40" x14ac:dyDescent="0.25">
      <c r="A925" t="str">
        <f>"20190312160618435"</f>
        <v>20190312160618435</v>
      </c>
      <c r="B925" t="str">
        <f>"1552377978426298"</f>
        <v>1552377978426298</v>
      </c>
      <c r="C925" t="s">
        <v>40</v>
      </c>
      <c r="D925">
        <v>6.5272329999999998</v>
      </c>
      <c r="E925">
        <v>0.51036539999999997</v>
      </c>
      <c r="F925" t="s">
        <v>47</v>
      </c>
      <c r="G925">
        <v>-237.38820000000001</v>
      </c>
      <c r="H925" s="1">
        <v>-1.582321E-6</v>
      </c>
      <c r="I925">
        <v>366.95760000000001</v>
      </c>
      <c r="J925">
        <v>-262.54379999999998</v>
      </c>
      <c r="K925">
        <v>1.1098429999999999</v>
      </c>
      <c r="L925">
        <v>367.11590000000001</v>
      </c>
      <c r="M925">
        <v>0.9998937</v>
      </c>
      <c r="N925">
        <v>0</v>
      </c>
      <c r="O925">
        <v>-1.061323E-2</v>
      </c>
      <c r="P925">
        <v>0.9987296</v>
      </c>
      <c r="Q925">
        <v>4.4863489999999999E-2</v>
      </c>
      <c r="R925">
        <v>2.2945920000000002E-2</v>
      </c>
      <c r="S925">
        <v>3.0101930000000001</v>
      </c>
      <c r="T925">
        <v>-0.1318095</v>
      </c>
      <c r="U925">
        <v>-1.901245E-2</v>
      </c>
      <c r="V925">
        <v>-3.3612349999999999E-2</v>
      </c>
      <c r="W925">
        <v>5.480529E-2</v>
      </c>
      <c r="X925">
        <v>0.99793120000000002</v>
      </c>
      <c r="Y925">
        <v>-4.2837270000000002E-3</v>
      </c>
      <c r="Z925">
        <v>5.582559E-4</v>
      </c>
      <c r="AA925">
        <v>0.99999059999999995</v>
      </c>
      <c r="AB925">
        <v>35</v>
      </c>
      <c r="AC925">
        <v>25.1555999999999</v>
      </c>
      <c r="AD925">
        <v>-1.1098445823209999</v>
      </c>
      <c r="AE925">
        <v>-0.158299999999996</v>
      </c>
      <c r="AF925">
        <v>-0.10849325438009</v>
      </c>
      <c r="AG925">
        <v>-1.1098445823209999</v>
      </c>
      <c r="AH925">
        <v>25.106994312475901</v>
      </c>
      <c r="AI925">
        <v>92.531065517367097</v>
      </c>
      <c r="AJ925">
        <v>90.247587059318107</v>
      </c>
      <c r="AK925">
        <v>25.131746640252601</v>
      </c>
      <c r="AL925">
        <v>86.858314250399204</v>
      </c>
      <c r="AM925">
        <v>91.929108953089894</v>
      </c>
      <c r="AN925">
        <v>1.0000000449089701</v>
      </c>
    </row>
    <row r="926" spans="1:40" x14ac:dyDescent="0.25">
      <c r="A926" t="str">
        <f>"20190312160618447"</f>
        <v>20190312160618447</v>
      </c>
      <c r="B926" t="str">
        <f>"1552377978436059"</f>
        <v>1552377978436059</v>
      </c>
      <c r="C926" t="s">
        <v>40</v>
      </c>
      <c r="D926">
        <v>6.0594749999999999</v>
      </c>
      <c r="E926">
        <v>0.51007809999999998</v>
      </c>
      <c r="F926" t="s">
        <v>47</v>
      </c>
      <c r="G926">
        <v>-237.0299</v>
      </c>
      <c r="H926" s="1">
        <v>-1.724923E-6</v>
      </c>
      <c r="I926">
        <v>366.97570000000002</v>
      </c>
      <c r="J926">
        <v>-262.33479999999997</v>
      </c>
      <c r="K926">
        <v>1.109847</v>
      </c>
      <c r="L926">
        <v>367.11399999999998</v>
      </c>
      <c r="M926">
        <v>0.99989700000000004</v>
      </c>
      <c r="N926">
        <v>0</v>
      </c>
      <c r="O926">
        <v>-1.028567E-2</v>
      </c>
      <c r="P926">
        <v>0.99871310000000002</v>
      </c>
      <c r="Q926">
        <v>4.5004519999999999E-2</v>
      </c>
      <c r="R926">
        <v>2.3383569999999999E-2</v>
      </c>
      <c r="S926">
        <v>3.0100709999999999</v>
      </c>
      <c r="T926">
        <v>-0.13093650000000001</v>
      </c>
      <c r="U926">
        <v>-1.6540530000000001E-2</v>
      </c>
      <c r="V926">
        <v>-3.3723419999999997E-2</v>
      </c>
      <c r="W926">
        <v>5.4952889999999997E-2</v>
      </c>
      <c r="X926">
        <v>0.99791929999999995</v>
      </c>
      <c r="Y926">
        <v>-4.7771009999999997E-3</v>
      </c>
      <c r="Z926">
        <v>5.5107080000000002E-4</v>
      </c>
      <c r="AA926">
        <v>0.9999884</v>
      </c>
      <c r="AB926">
        <v>35</v>
      </c>
      <c r="AC926">
        <v>25.3048999999999</v>
      </c>
      <c r="AD926">
        <v>-1.109848724923</v>
      </c>
      <c r="AE926">
        <v>-0.13830000000001499</v>
      </c>
      <c r="AF926">
        <v>-0.121763987475883</v>
      </c>
      <c r="AG926">
        <v>-1.109848724923</v>
      </c>
      <c r="AH926">
        <v>25.256401682956501</v>
      </c>
      <c r="AI926">
        <v>92.516115623226696</v>
      </c>
      <c r="AJ926">
        <v>90.276227334953603</v>
      </c>
      <c r="AK926">
        <v>25.281068344350199</v>
      </c>
      <c r="AL926">
        <v>86.849844517596594</v>
      </c>
      <c r="AM926">
        <v>91.935501800501996</v>
      </c>
      <c r="AN926">
        <v>1.0000000092441601</v>
      </c>
    </row>
    <row r="927" spans="1:40" x14ac:dyDescent="0.25">
      <c r="A927" t="str">
        <f>"20190312160618459"</f>
        <v>20190312160618459</v>
      </c>
      <c r="B927" t="str">
        <f>"1552377978455580"</f>
        <v>1552377978455580</v>
      </c>
      <c r="C927" t="s">
        <v>40</v>
      </c>
      <c r="D927">
        <v>6.6093599999999997</v>
      </c>
      <c r="E927">
        <v>0.50957779999999997</v>
      </c>
      <c r="F927" t="s">
        <v>47</v>
      </c>
      <c r="G927">
        <v>-235.89830000000001</v>
      </c>
      <c r="H927" s="1">
        <v>-2.206125E-6</v>
      </c>
      <c r="I927">
        <v>366.99950000000001</v>
      </c>
      <c r="J927">
        <v>-262.15269999999998</v>
      </c>
      <c r="K927">
        <v>1.1098490000000001</v>
      </c>
      <c r="L927">
        <v>367.1123</v>
      </c>
      <c r="M927">
        <v>0.99990000000000001</v>
      </c>
      <c r="N927">
        <v>0</v>
      </c>
      <c r="O927">
        <v>-1.0000439999999999E-2</v>
      </c>
      <c r="P927">
        <v>0.9986891</v>
      </c>
      <c r="Q927">
        <v>4.5265699999999999E-2</v>
      </c>
      <c r="R927">
        <v>2.3903689999999998E-2</v>
      </c>
      <c r="S927">
        <v>3.0098569999999998</v>
      </c>
      <c r="T927">
        <v>-0.12635859999999999</v>
      </c>
      <c r="U927">
        <v>-1.3031010000000001E-2</v>
      </c>
      <c r="V927">
        <v>-3.395799E-2</v>
      </c>
      <c r="W927">
        <v>5.5219039999999997E-2</v>
      </c>
      <c r="X927">
        <v>0.99789669999999997</v>
      </c>
      <c r="Y927">
        <v>-5.6578640000000003E-3</v>
      </c>
      <c r="Z927">
        <v>5.3837129999999896E-4</v>
      </c>
      <c r="AA927">
        <v>0.99998379999999998</v>
      </c>
      <c r="AB927">
        <v>35</v>
      </c>
      <c r="AC927">
        <v>26.254399999999901</v>
      </c>
      <c r="AD927">
        <v>-1.1098512061249901</v>
      </c>
      <c r="AE927">
        <v>-0.112799999999992</v>
      </c>
      <c r="AF927">
        <v>-0.149507154604646</v>
      </c>
      <c r="AG927">
        <v>-1.1098512061249901</v>
      </c>
      <c r="AH927">
        <v>26.2073832940264</v>
      </c>
      <c r="AI927">
        <v>92.424919071577506</v>
      </c>
      <c r="AJ927">
        <v>90.3268558308542</v>
      </c>
      <c r="AK927">
        <v>26.2312992665066</v>
      </c>
      <c r="AL927">
        <v>86.834572203604694</v>
      </c>
      <c r="AM927">
        <v>91.948998329313994</v>
      </c>
      <c r="AN927">
        <v>1.00000005566712</v>
      </c>
    </row>
    <row r="928" spans="1:40" x14ac:dyDescent="0.25">
      <c r="A928" t="str">
        <f>"20190312160618476"</f>
        <v>20190312160618476</v>
      </c>
      <c r="B928" t="str">
        <f>"1552377978466318"</f>
        <v>1552377978466318</v>
      </c>
      <c r="C928" t="s">
        <v>40</v>
      </c>
      <c r="D928">
        <v>6.3966940000000001</v>
      </c>
      <c r="E928">
        <v>0.50974229999999998</v>
      </c>
      <c r="F928" t="s">
        <v>47</v>
      </c>
      <c r="G928">
        <v>-233.59469999999999</v>
      </c>
      <c r="H928" s="1">
        <v>-3.1867330000000002E-6</v>
      </c>
      <c r="I928">
        <v>367.04250000000002</v>
      </c>
      <c r="J928">
        <v>-261.904</v>
      </c>
      <c r="K928">
        <v>1.109853</v>
      </c>
      <c r="L928">
        <v>367.11020000000002</v>
      </c>
      <c r="M928">
        <v>0.99990369999999995</v>
      </c>
      <c r="N928">
        <v>0</v>
      </c>
      <c r="O928">
        <v>-9.6111370000000005E-3</v>
      </c>
      <c r="P928">
        <v>0.99866840000000001</v>
      </c>
      <c r="Q928">
        <v>4.5608900000000001E-2</v>
      </c>
      <c r="R928">
        <v>2.4112100000000001E-2</v>
      </c>
      <c r="S928">
        <v>3.0093990000000002</v>
      </c>
      <c r="T928">
        <v>-0.11695419999999999</v>
      </c>
      <c r="U928">
        <v>-7.3547359999999997E-3</v>
      </c>
      <c r="V928">
        <v>-3.3778410000000002E-2</v>
      </c>
      <c r="W928">
        <v>5.5569920000000002E-2</v>
      </c>
      <c r="X928">
        <v>0.99788330000000003</v>
      </c>
      <c r="Y928">
        <v>-7.1551310000000003E-3</v>
      </c>
      <c r="Z928">
        <v>5.1237129999999996E-4</v>
      </c>
      <c r="AA928">
        <v>0.99997429999999998</v>
      </c>
      <c r="AB928">
        <v>35</v>
      </c>
      <c r="AC928">
        <v>28.3093</v>
      </c>
      <c r="AD928">
        <v>-1.1098561867329999</v>
      </c>
      <c r="AE928">
        <v>-6.7700000000001995E-2</v>
      </c>
      <c r="AF928">
        <v>-0.204087640822536</v>
      </c>
      <c r="AG928">
        <v>-1.1098561867329999</v>
      </c>
      <c r="AH928">
        <v>28.265199532508099</v>
      </c>
      <c r="AI928">
        <v>92.248551945327804</v>
      </c>
      <c r="AJ928">
        <v>90.413694488579196</v>
      </c>
      <c r="AK928">
        <v>28.287717071776299</v>
      </c>
      <c r="AL928">
        <v>86.814437291288698</v>
      </c>
      <c r="AM928">
        <v>91.938725343599003</v>
      </c>
      <c r="AN928">
        <v>1.0000000387049099</v>
      </c>
    </row>
    <row r="929" spans="1:40" x14ac:dyDescent="0.25">
      <c r="A929" t="str">
        <f>"20190312160618487"</f>
        <v>20190312160618487</v>
      </c>
      <c r="B929" t="str">
        <f>"1552377978476075"</f>
        <v>1552377978476075</v>
      </c>
      <c r="C929" t="s">
        <v>40</v>
      </c>
      <c r="D929">
        <v>6.4145830000000004</v>
      </c>
      <c r="E929">
        <v>0.50981949999999998</v>
      </c>
      <c r="F929" t="s">
        <v>47</v>
      </c>
      <c r="G929">
        <v>-234.01079999999999</v>
      </c>
      <c r="H929" s="1">
        <v>-3.0091140000000001E-6</v>
      </c>
      <c r="I929">
        <v>367.03750000000002</v>
      </c>
      <c r="J929">
        <v>-261.69659999999999</v>
      </c>
      <c r="K929">
        <v>1.109855</v>
      </c>
      <c r="L929">
        <v>367.10849999999999</v>
      </c>
      <c r="M929">
        <v>0.99990659999999998</v>
      </c>
      <c r="N929">
        <v>0</v>
      </c>
      <c r="O929">
        <v>-9.2871540000000006E-3</v>
      </c>
      <c r="P929">
        <v>0.99864969999999997</v>
      </c>
      <c r="Q929">
        <v>4.5869880000000002E-2</v>
      </c>
      <c r="R929">
        <v>2.4393350000000001E-2</v>
      </c>
      <c r="S929">
        <v>3.009674</v>
      </c>
      <c r="T929">
        <v>-0.1197532</v>
      </c>
      <c r="U929">
        <v>-7.8430180000000002E-3</v>
      </c>
      <c r="V929">
        <v>-3.3736519999999999E-2</v>
      </c>
      <c r="W929">
        <v>5.583606E-2</v>
      </c>
      <c r="X929">
        <v>0.99786980000000003</v>
      </c>
      <c r="Y929">
        <v>-6.6691490000000001E-3</v>
      </c>
      <c r="Z929">
        <v>5.0202549999999997E-4</v>
      </c>
      <c r="AA929">
        <v>0.99997760000000002</v>
      </c>
      <c r="AB929">
        <v>35</v>
      </c>
      <c r="AC929">
        <v>27.6858</v>
      </c>
      <c r="AD929">
        <v>-1.109858009114</v>
      </c>
      <c r="AE929">
        <v>-7.0999999999969504E-2</v>
      </c>
      <c r="AF929">
        <v>-0.18583963139312101</v>
      </c>
      <c r="AG929">
        <v>-1.109858009114</v>
      </c>
      <c r="AH929">
        <v>27.640846268396999</v>
      </c>
      <c r="AI929">
        <v>92.299300205403497</v>
      </c>
      <c r="AJ929">
        <v>90.385214910052397</v>
      </c>
      <c r="AK929">
        <v>27.663743484968599</v>
      </c>
      <c r="AL929">
        <v>86.799164686573206</v>
      </c>
      <c r="AM929">
        <v>91.936349057896706</v>
      </c>
      <c r="AN929">
        <v>0.99999997806503604</v>
      </c>
    </row>
    <row r="930" spans="1:40" x14ac:dyDescent="0.25">
      <c r="A930" t="str">
        <f>"20190312160618509"</f>
        <v>20190312160618509</v>
      </c>
      <c r="B930" t="str">
        <f>"1552377978495595"</f>
        <v>1552377978495595</v>
      </c>
      <c r="C930" t="s">
        <v>40</v>
      </c>
      <c r="D930">
        <v>6.5969990000000003</v>
      </c>
      <c r="E930">
        <v>0.50993750000000004</v>
      </c>
      <c r="F930" t="s">
        <v>47</v>
      </c>
      <c r="G930">
        <v>-234.09139999999999</v>
      </c>
      <c r="H930" s="1">
        <v>-2.9745250000000001E-6</v>
      </c>
      <c r="I930">
        <v>367.03769999999997</v>
      </c>
      <c r="J930">
        <v>-261.37509999999997</v>
      </c>
      <c r="K930">
        <v>1.1098589999999999</v>
      </c>
      <c r="L930">
        <v>367.10599999999999</v>
      </c>
      <c r="M930">
        <v>0.99991110000000005</v>
      </c>
      <c r="N930">
        <v>0</v>
      </c>
      <c r="O930">
        <v>-8.7852090000000004E-3</v>
      </c>
      <c r="P930">
        <v>0.99861069999999996</v>
      </c>
      <c r="Q930">
        <v>4.6561900000000003E-2</v>
      </c>
      <c r="R930">
        <v>2.4679280000000001E-2</v>
      </c>
      <c r="S930">
        <v>3.0097960000000001</v>
      </c>
      <c r="T930">
        <v>-0.1210074</v>
      </c>
      <c r="U930">
        <v>-7.7209469999999997E-3</v>
      </c>
      <c r="V930">
        <v>-3.3521549999999997E-2</v>
      </c>
      <c r="W930">
        <v>5.6536379999999997E-2</v>
      </c>
      <c r="X930">
        <v>0.99783770000000005</v>
      </c>
      <c r="Y930">
        <v>-6.2083440000000002E-3</v>
      </c>
      <c r="Z930">
        <v>4.7782659999999998E-4</v>
      </c>
      <c r="AA930">
        <v>0.9999806</v>
      </c>
      <c r="AB930">
        <v>35</v>
      </c>
      <c r="AC930">
        <v>27.2836999999999</v>
      </c>
      <c r="AD930">
        <v>-1.109861974525</v>
      </c>
      <c r="AE930">
        <v>-6.8300000000021996E-2</v>
      </c>
      <c r="AF930">
        <v>-0.17112453581881501</v>
      </c>
      <c r="AG930">
        <v>-1.109861974525</v>
      </c>
      <c r="AH930">
        <v>27.238175070735998</v>
      </c>
      <c r="AI930">
        <v>92.333269255921707</v>
      </c>
      <c r="AJ930">
        <v>90.359957473412706</v>
      </c>
      <c r="AK930">
        <v>27.261314318890101</v>
      </c>
      <c r="AL930">
        <v>86.758976103959697</v>
      </c>
      <c r="AM930">
        <v>91.924081741953103</v>
      </c>
      <c r="AN930">
        <v>1.00000006605959</v>
      </c>
    </row>
    <row r="931" spans="1:40" x14ac:dyDescent="0.25">
      <c r="A931" t="str">
        <f>"20190312160618522"</f>
        <v>20190312160618522</v>
      </c>
      <c r="B931" t="str">
        <f>"1552377978516091"</f>
        <v>1552377978516091</v>
      </c>
      <c r="C931" t="s">
        <v>40</v>
      </c>
      <c r="D931">
        <v>6.5291300000000003</v>
      </c>
      <c r="E931">
        <v>0.50941840000000005</v>
      </c>
      <c r="F931" t="s">
        <v>47</v>
      </c>
      <c r="G931">
        <v>-233.45820000000001</v>
      </c>
      <c r="H931" s="1">
        <v>-3.2475600000000002E-6</v>
      </c>
      <c r="I931">
        <v>367.02980000000002</v>
      </c>
      <c r="J931">
        <v>-261.16129999999998</v>
      </c>
      <c r="K931">
        <v>1.1098619999999999</v>
      </c>
      <c r="L931">
        <v>367.1044</v>
      </c>
      <c r="M931">
        <v>0.99991390000000002</v>
      </c>
      <c r="N931">
        <v>0</v>
      </c>
      <c r="O931">
        <v>-8.4516890000000001E-3</v>
      </c>
      <c r="P931">
        <v>0.9985754</v>
      </c>
      <c r="Q931">
        <v>4.6984369999999998E-2</v>
      </c>
      <c r="R931">
        <v>2.5290759999999999E-2</v>
      </c>
      <c r="S931">
        <v>3.0100099999999999</v>
      </c>
      <c r="T931">
        <v>-0.11966549999999999</v>
      </c>
      <c r="U931">
        <v>-8.2092290000000002E-3</v>
      </c>
      <c r="V931">
        <v>-3.380002E-2</v>
      </c>
      <c r="W931">
        <v>5.6963409999999999E-2</v>
      </c>
      <c r="X931">
        <v>0.99780389999999997</v>
      </c>
      <c r="Y931">
        <v>-5.7136919999999898E-3</v>
      </c>
      <c r="Z931">
        <v>4.4941499999999999E-4</v>
      </c>
      <c r="AA931">
        <v>0.99998350000000003</v>
      </c>
      <c r="AB931">
        <v>35</v>
      </c>
      <c r="AC931">
        <v>27.7030999999999</v>
      </c>
      <c r="AD931">
        <v>-1.1098652475599999</v>
      </c>
      <c r="AE931">
        <v>-7.4599999999975297E-2</v>
      </c>
      <c r="AF931">
        <v>-0.159296772568393</v>
      </c>
      <c r="AG931">
        <v>-1.1098652475599999</v>
      </c>
      <c r="AH931">
        <v>27.658348759509199</v>
      </c>
      <c r="AI931">
        <v>92.297875524024107</v>
      </c>
      <c r="AJ931">
        <v>90.329988312799003</v>
      </c>
      <c r="AK931">
        <v>27.681066316746801</v>
      </c>
      <c r="AL931">
        <v>86.734469205870397</v>
      </c>
      <c r="AM931">
        <v>91.940118965006604</v>
      </c>
      <c r="AN931">
        <v>0.99999994714301699</v>
      </c>
    </row>
    <row r="932" spans="1:40" x14ac:dyDescent="0.25">
      <c r="A932" t="str">
        <f>"20190312160618535"</f>
        <v>20190312160618535</v>
      </c>
      <c r="B932" t="str">
        <f>"1552377978525851"</f>
        <v>1552377978525851</v>
      </c>
      <c r="C932" t="s">
        <v>40</v>
      </c>
      <c r="D932">
        <v>6.4159179999999996</v>
      </c>
      <c r="E932">
        <v>0.50911689999999998</v>
      </c>
      <c r="F932" t="s">
        <v>47</v>
      </c>
      <c r="G932">
        <v>-231.33580000000001</v>
      </c>
      <c r="H932" s="1">
        <v>-4.1489689999999998E-6</v>
      </c>
      <c r="I932">
        <v>367.08100000000002</v>
      </c>
      <c r="J932">
        <v>-260.9624</v>
      </c>
      <c r="K932">
        <v>1.1098680000000001</v>
      </c>
      <c r="L932">
        <v>367.10289999999998</v>
      </c>
      <c r="M932">
        <v>0.99991640000000004</v>
      </c>
      <c r="N932">
        <v>0</v>
      </c>
      <c r="O932">
        <v>-8.1414130000000001E-3</v>
      </c>
      <c r="P932">
        <v>0.99855419999999995</v>
      </c>
      <c r="Q932">
        <v>4.7483879999999999E-2</v>
      </c>
      <c r="R932">
        <v>2.5196880000000001E-2</v>
      </c>
      <c r="S932">
        <v>3.0096129999999999</v>
      </c>
      <c r="T932">
        <v>-0.1119933</v>
      </c>
      <c r="U932">
        <v>-2.3498540000000002E-3</v>
      </c>
      <c r="V932">
        <v>-3.3397009999999998E-2</v>
      </c>
      <c r="W932">
        <v>5.746851E-2</v>
      </c>
      <c r="X932">
        <v>0.99778849999999997</v>
      </c>
      <c r="Y932">
        <v>-7.3503429999999996E-3</v>
      </c>
      <c r="Z932">
        <v>4.3957749999999998E-4</v>
      </c>
      <c r="AA932">
        <v>0.99997290000000005</v>
      </c>
      <c r="AB932">
        <v>35</v>
      </c>
      <c r="AC932">
        <v>29.6266</v>
      </c>
      <c r="AD932">
        <v>-1.109872148969</v>
      </c>
      <c r="AE932">
        <v>-2.1900000000016399E-2</v>
      </c>
      <c r="AF932">
        <v>-0.21900792697435401</v>
      </c>
      <c r="AG932">
        <v>-1.109872148969</v>
      </c>
      <c r="AH932">
        <v>29.584277696703701</v>
      </c>
      <c r="AI932">
        <v>92.148419600380606</v>
      </c>
      <c r="AJ932">
        <v>90.424144229861597</v>
      </c>
      <c r="AK932">
        <v>29.605899200916301</v>
      </c>
      <c r="AL932">
        <v>86.705481596570806</v>
      </c>
      <c r="AM932">
        <v>91.917033146201902</v>
      </c>
      <c r="AN932">
        <v>0.99999994032540296</v>
      </c>
    </row>
    <row r="933" spans="1:40" x14ac:dyDescent="0.25">
      <c r="A933" t="str">
        <f>"20190312160618566"</f>
        <v>20190312160618566</v>
      </c>
      <c r="B933" t="str">
        <f>"1552377978556106"</f>
        <v>1552377978556106</v>
      </c>
      <c r="C933" t="s">
        <v>40</v>
      </c>
      <c r="D933">
        <v>6.6508260000000003</v>
      </c>
      <c r="E933">
        <v>0.50865269999999996</v>
      </c>
      <c r="F933" t="s">
        <v>47</v>
      </c>
      <c r="G933">
        <v>-229.87729999999999</v>
      </c>
      <c r="H933" s="1">
        <v>-6.9643249999999996E-7</v>
      </c>
      <c r="I933">
        <v>367.1035</v>
      </c>
      <c r="J933">
        <v>-260.46800000000002</v>
      </c>
      <c r="K933">
        <v>1.109883</v>
      </c>
      <c r="L933">
        <v>367.09969999999998</v>
      </c>
      <c r="M933">
        <v>0.99992230000000004</v>
      </c>
      <c r="N933">
        <v>0</v>
      </c>
      <c r="O933">
        <v>-7.3707829999999997E-3</v>
      </c>
      <c r="P933">
        <v>0.99844350000000004</v>
      </c>
      <c r="Q933">
        <v>5.0574010000000003E-2</v>
      </c>
      <c r="R933">
        <v>2.3512330000000001E-2</v>
      </c>
      <c r="S933">
        <v>3.00943</v>
      </c>
      <c r="T933">
        <v>-0.10744910000000001</v>
      </c>
      <c r="U933" s="1">
        <v>6.1035159999999999E-5</v>
      </c>
      <c r="V933">
        <v>-3.0946169999999999E-2</v>
      </c>
      <c r="W933">
        <v>6.0572069999999999E-2</v>
      </c>
      <c r="X933">
        <v>0.99768400000000002</v>
      </c>
      <c r="Y933">
        <v>-7.3820350000000003E-3</v>
      </c>
      <c r="Z933">
        <v>3.9483759999999998E-4</v>
      </c>
      <c r="AA933">
        <v>0.99997270000000005</v>
      </c>
      <c r="AB933">
        <v>35</v>
      </c>
      <c r="AC933">
        <v>30.590699999999998</v>
      </c>
      <c r="AD933">
        <v>-1.1098836964324901</v>
      </c>
      <c r="AE933">
        <v>3.8000000000124601E-3</v>
      </c>
      <c r="AF933">
        <v>-0.228987272463335</v>
      </c>
      <c r="AG933">
        <v>-1.1098836964324901</v>
      </c>
      <c r="AH933">
        <v>30.5496264830449</v>
      </c>
      <c r="AI933">
        <v>92.080611735320502</v>
      </c>
      <c r="AJ933">
        <v>90.429457249812501</v>
      </c>
      <c r="AK933">
        <v>30.570638777168501</v>
      </c>
      <c r="AL933">
        <v>86.527350318393104</v>
      </c>
      <c r="AM933">
        <v>91.776631300951294</v>
      </c>
      <c r="AN933">
        <v>1.00000000247887</v>
      </c>
    </row>
    <row r="934" spans="1:40" x14ac:dyDescent="0.25">
      <c r="A934" t="str">
        <f>"20190312160618582"</f>
        <v>20190312160618582</v>
      </c>
      <c r="B934" t="str">
        <f>"1552377978575627"</f>
        <v>1552377978575627</v>
      </c>
      <c r="C934" t="s">
        <v>40</v>
      </c>
      <c r="D934">
        <v>7.6760890000000002</v>
      </c>
      <c r="E934">
        <v>0.50795389999999996</v>
      </c>
      <c r="F934" t="s">
        <v>47</v>
      </c>
      <c r="G934">
        <v>-224.399</v>
      </c>
      <c r="H934" s="1">
        <v>-2.8340770000000001E-6</v>
      </c>
      <c r="I934">
        <v>367.08539999999999</v>
      </c>
      <c r="J934">
        <v>-260.22519999999997</v>
      </c>
      <c r="K934">
        <v>1.1098889999999999</v>
      </c>
      <c r="L934">
        <v>367.09820000000002</v>
      </c>
      <c r="M934">
        <v>0.99992510000000001</v>
      </c>
      <c r="N934">
        <v>0</v>
      </c>
      <c r="O934">
        <v>-6.9925580000000003E-3</v>
      </c>
      <c r="P934">
        <v>0.99842039999999999</v>
      </c>
      <c r="Q934">
        <v>5.1523340000000001E-2</v>
      </c>
      <c r="R934">
        <v>2.2413829999999999E-2</v>
      </c>
      <c r="S934">
        <v>3.009369</v>
      </c>
      <c r="T934">
        <v>-9.2601779999999995E-2</v>
      </c>
      <c r="U934">
        <v>-1.190186E-3</v>
      </c>
      <c r="V934">
        <v>-2.9471549999999999E-2</v>
      </c>
      <c r="W934">
        <v>6.152825E-2</v>
      </c>
      <c r="X934">
        <v>0.9976701</v>
      </c>
      <c r="Y934">
        <v>-6.5909979999999998E-3</v>
      </c>
      <c r="Z934">
        <v>3.1650999999999999E-4</v>
      </c>
      <c r="AA934">
        <v>0.99997820000000004</v>
      </c>
      <c r="AB934">
        <v>35</v>
      </c>
      <c r="AC934">
        <v>35.826199999999901</v>
      </c>
      <c r="AD934">
        <v>-1.1098918340770001</v>
      </c>
      <c r="AE934">
        <v>-1.2800000000027E-2</v>
      </c>
      <c r="AF934">
        <v>-0.23750179052525899</v>
      </c>
      <c r="AG934">
        <v>-1.1098918340770001</v>
      </c>
      <c r="AH934">
        <v>35.791062930924902</v>
      </c>
      <c r="AI934">
        <v>91.776151402853699</v>
      </c>
      <c r="AJ934">
        <v>90.380196881021504</v>
      </c>
      <c r="AK934">
        <v>35.8090554568154</v>
      </c>
      <c r="AL934">
        <v>86.472462717322301</v>
      </c>
      <c r="AM934">
        <v>91.692046812425303</v>
      </c>
      <c r="AN934">
        <v>0.99999996312073602</v>
      </c>
    </row>
    <row r="935" spans="1:40" x14ac:dyDescent="0.25">
      <c r="A935" t="str">
        <f>"20190312160618598"</f>
        <v>20190312160618598</v>
      </c>
      <c r="B935" t="str">
        <f>"1552377978586362"</f>
        <v>1552377978586362</v>
      </c>
      <c r="C935" t="s">
        <v>40</v>
      </c>
      <c r="D935">
        <v>6.5342250000000002</v>
      </c>
      <c r="E935">
        <v>0.50772240000000002</v>
      </c>
      <c r="F935" t="s">
        <v>47</v>
      </c>
      <c r="G935">
        <v>-220.78309999999999</v>
      </c>
      <c r="H935" s="1">
        <v>-4.3802129999999997E-6</v>
      </c>
      <c r="I935">
        <v>367.11419999999998</v>
      </c>
      <c r="J935">
        <v>-259.96039999999999</v>
      </c>
      <c r="K935">
        <v>1.109896</v>
      </c>
      <c r="L935">
        <v>367.0967</v>
      </c>
      <c r="M935">
        <v>0.99992780000000003</v>
      </c>
      <c r="N935">
        <v>0</v>
      </c>
      <c r="O935">
        <v>-6.5801200000000001E-3</v>
      </c>
      <c r="P935">
        <v>0.99838389999999999</v>
      </c>
      <c r="Q935">
        <v>5.3151900000000002E-2</v>
      </c>
      <c r="R935">
        <v>2.0123189999999999E-2</v>
      </c>
      <c r="S935">
        <v>3.0090940000000002</v>
      </c>
      <c r="T935">
        <v>-8.4675070000000005E-2</v>
      </c>
      <c r="U935">
        <v>1.2207030000000001E-3</v>
      </c>
      <c r="V935">
        <v>-2.6770849999999999E-2</v>
      </c>
      <c r="W935">
        <v>6.3165369999999998E-2</v>
      </c>
      <c r="X935">
        <v>0.99764390000000003</v>
      </c>
      <c r="Y935">
        <v>-6.9807469999999998E-3</v>
      </c>
      <c r="Z935">
        <v>2.8333319999999999E-4</v>
      </c>
      <c r="AA935">
        <v>0.99997559999999996</v>
      </c>
      <c r="AB935">
        <v>35</v>
      </c>
      <c r="AC935">
        <v>39.177300000000002</v>
      </c>
      <c r="AD935">
        <v>-1.1099003802130001</v>
      </c>
      <c r="AE935">
        <v>1.7499999999984001E-2</v>
      </c>
      <c r="AF935">
        <v>-0.27508320664841601</v>
      </c>
      <c r="AG935">
        <v>-1.1099003802130001</v>
      </c>
      <c r="AH935">
        <v>39.144918904076</v>
      </c>
      <c r="AI935">
        <v>91.624067881341006</v>
      </c>
      <c r="AJ935">
        <v>90.402628176562899</v>
      </c>
      <c r="AK935">
        <v>39.161616739241801</v>
      </c>
      <c r="AL935">
        <v>86.378479737921694</v>
      </c>
      <c r="AM935">
        <v>91.537110303410103</v>
      </c>
      <c r="AN935">
        <v>0.99999994679208304</v>
      </c>
    </row>
    <row r="936" spans="1:40" x14ac:dyDescent="0.25">
      <c r="A936" t="str">
        <f>"20190312160618610"</f>
        <v>20190312160618610</v>
      </c>
      <c r="B936" t="str">
        <f>"1552377978605883"</f>
        <v>1552377978605883</v>
      </c>
      <c r="C936" t="s">
        <v>40</v>
      </c>
      <c r="D936">
        <v>6.392957</v>
      </c>
      <c r="E936">
        <v>0.50745790000000002</v>
      </c>
      <c r="F936" t="s">
        <v>47</v>
      </c>
      <c r="G936">
        <v>-216.9486</v>
      </c>
      <c r="H936" s="1">
        <v>-1.7477739999999999E-6</v>
      </c>
      <c r="I936">
        <v>367.04349999999999</v>
      </c>
      <c r="J936">
        <v>-259.75990000000002</v>
      </c>
      <c r="K936">
        <v>1.1098889999999999</v>
      </c>
      <c r="L936">
        <v>367.09570000000002</v>
      </c>
      <c r="M936">
        <v>0.99992970000000003</v>
      </c>
      <c r="N936">
        <v>0</v>
      </c>
      <c r="O936">
        <v>-6.2679299999999997E-3</v>
      </c>
      <c r="P936">
        <v>0.99840209999999996</v>
      </c>
      <c r="Q936">
        <v>5.3149660000000001E-2</v>
      </c>
      <c r="R936">
        <v>1.9197539999999999E-2</v>
      </c>
      <c r="S936">
        <v>3.009064</v>
      </c>
      <c r="T936">
        <v>-7.7647209999999994E-2</v>
      </c>
      <c r="U936">
        <v>-3.7231450000000002E-3</v>
      </c>
      <c r="V936">
        <v>-2.553397E-2</v>
      </c>
      <c r="W936">
        <v>6.3168699999999994E-2</v>
      </c>
      <c r="X936">
        <v>0.99767620000000001</v>
      </c>
      <c r="Y936">
        <v>-5.0271990000000004E-3</v>
      </c>
      <c r="Z936">
        <v>2.26572E-4</v>
      </c>
      <c r="AA936">
        <v>0.99998739999999997</v>
      </c>
      <c r="AB936">
        <v>35</v>
      </c>
      <c r="AC936">
        <v>42.811300000000003</v>
      </c>
      <c r="AD936">
        <v>-1.1098907477740001</v>
      </c>
      <c r="AE936">
        <v>-5.2200000000027502E-2</v>
      </c>
      <c r="AF936">
        <v>-0.21600766877209099</v>
      </c>
      <c r="AG936">
        <v>-1.1098907477740001</v>
      </c>
      <c r="AH936">
        <v>42.782031741085099</v>
      </c>
      <c r="AI936">
        <v>91.486067448738197</v>
      </c>
      <c r="AJ936">
        <v>90.289285526947694</v>
      </c>
      <c r="AK936">
        <v>42.796971349386098</v>
      </c>
      <c r="AL936">
        <v>86.378288878041502</v>
      </c>
      <c r="AM936">
        <v>91.4660762776589</v>
      </c>
      <c r="AN936">
        <v>1.0000000341650399</v>
      </c>
    </row>
    <row r="937" spans="1:40" x14ac:dyDescent="0.25">
      <c r="A937" t="str">
        <f>"20190312160618623"</f>
        <v>20190312160618623</v>
      </c>
      <c r="B937" t="str">
        <f>"1552377978615645"</f>
        <v>1552377978615645</v>
      </c>
      <c r="C937" t="s">
        <v>40</v>
      </c>
      <c r="D937">
        <v>6.6807119999999998</v>
      </c>
      <c r="E937">
        <v>0.50726859999999996</v>
      </c>
      <c r="F937" t="s">
        <v>47</v>
      </c>
      <c r="G937">
        <v>-215.73740000000001</v>
      </c>
      <c r="H937" s="1">
        <v>-2.2694400000000001E-6</v>
      </c>
      <c r="I937">
        <v>367.03179999999998</v>
      </c>
      <c r="J937">
        <v>-259.56790000000001</v>
      </c>
      <c r="K937">
        <v>1.1098889999999999</v>
      </c>
      <c r="L937">
        <v>367.09480000000002</v>
      </c>
      <c r="M937">
        <v>0.99993149999999997</v>
      </c>
      <c r="N937">
        <v>0</v>
      </c>
      <c r="O937">
        <v>-5.9688529999999997E-3</v>
      </c>
      <c r="P937">
        <v>0.99842719999999896</v>
      </c>
      <c r="Q937">
        <v>5.289837E-2</v>
      </c>
      <c r="R937">
        <v>1.857323E-2</v>
      </c>
      <c r="S937">
        <v>3.0089109999999999</v>
      </c>
      <c r="T937">
        <v>-7.5860140000000006E-2</v>
      </c>
      <c r="U937">
        <v>-4.3640140000000003E-3</v>
      </c>
      <c r="V937">
        <v>-2.4610480000000001E-2</v>
      </c>
      <c r="W937">
        <v>6.2922679999999995E-2</v>
      </c>
      <c r="X937">
        <v>0.99771489999999996</v>
      </c>
      <c r="Y937">
        <v>-4.5154820000000003E-3</v>
      </c>
      <c r="Z937">
        <v>2.0738120000000001E-4</v>
      </c>
      <c r="AA937">
        <v>0.99998980000000004</v>
      </c>
      <c r="AB937">
        <v>35</v>
      </c>
      <c r="AC937">
        <v>43.830500000000001</v>
      </c>
      <c r="AD937">
        <v>-1.1098912694399901</v>
      </c>
      <c r="AE937">
        <v>-6.3000000000045006E-2</v>
      </c>
      <c r="AF937">
        <v>-0.198504909319282</v>
      </c>
      <c r="AG937">
        <v>-1.1098912694399901</v>
      </c>
      <c r="AH937">
        <v>43.802008463587299</v>
      </c>
      <c r="AI937">
        <v>91.451482031187297</v>
      </c>
      <c r="AJ937">
        <v>90.259655117521802</v>
      </c>
      <c r="AK937">
        <v>43.816517527904701</v>
      </c>
      <c r="AL937">
        <v>86.392412689238299</v>
      </c>
      <c r="AM937">
        <v>91.413019642742796</v>
      </c>
      <c r="AN937">
        <v>0.99999998053311101</v>
      </c>
    </row>
    <row r="938" spans="1:40" x14ac:dyDescent="0.25">
      <c r="A938" t="str">
        <f>"20190312160618635"</f>
        <v>20190312160618635</v>
      </c>
      <c r="B938" t="str">
        <f>"1552377978626378"</f>
        <v>1552377978626378</v>
      </c>
      <c r="C938" t="s">
        <v>40</v>
      </c>
      <c r="D938">
        <v>7.4548170000000002</v>
      </c>
      <c r="E938">
        <v>0.50708350000000002</v>
      </c>
      <c r="F938" t="s">
        <v>47</v>
      </c>
      <c r="G938">
        <v>-214.9228</v>
      </c>
      <c r="H938" s="1">
        <v>-2.619859E-6</v>
      </c>
      <c r="I938">
        <v>367.02640000000002</v>
      </c>
      <c r="J938">
        <v>-259.37880000000001</v>
      </c>
      <c r="K938">
        <v>1.109885</v>
      </c>
      <c r="L938">
        <v>367.09379999999999</v>
      </c>
      <c r="M938">
        <v>0.99993319999999997</v>
      </c>
      <c r="N938">
        <v>0</v>
      </c>
      <c r="O938">
        <v>-5.6743050000000001E-3</v>
      </c>
      <c r="P938">
        <v>0.99846159999999995</v>
      </c>
      <c r="Q938">
        <v>5.2665780000000002E-2</v>
      </c>
      <c r="R938">
        <v>1.735312E-2</v>
      </c>
      <c r="S938">
        <v>3.0087890000000002</v>
      </c>
      <c r="T938">
        <v>-7.4799299999999999E-2</v>
      </c>
      <c r="U938">
        <v>-4.6081539999999997E-3</v>
      </c>
      <c r="V938">
        <v>-2.3096950000000002E-2</v>
      </c>
      <c r="W938">
        <v>6.2696150000000006E-2</v>
      </c>
      <c r="X938">
        <v>0.99776540000000002</v>
      </c>
      <c r="Y938">
        <v>-4.1400159999999998E-3</v>
      </c>
      <c r="Z938">
        <v>1.9250229999999999E-4</v>
      </c>
      <c r="AA938">
        <v>0.99999139999999997</v>
      </c>
      <c r="AB938">
        <v>35</v>
      </c>
      <c r="AC938">
        <v>44.456000000000003</v>
      </c>
      <c r="AD938">
        <v>-1.109887619859</v>
      </c>
      <c r="AE938">
        <v>-6.7399999999963697E-2</v>
      </c>
      <c r="AF938">
        <v>-0.18475562043751101</v>
      </c>
      <c r="AG938">
        <v>-1.109887619859</v>
      </c>
      <c r="AH938">
        <v>44.427974797227897</v>
      </c>
      <c r="AI938">
        <v>91.431037609330602</v>
      </c>
      <c r="AJ938">
        <v>90.238265559482599</v>
      </c>
      <c r="AK938">
        <v>44.442220126261802</v>
      </c>
      <c r="AL938">
        <v>86.405417775710603</v>
      </c>
      <c r="AM938">
        <v>91.326084720779093</v>
      </c>
      <c r="AN938">
        <v>1.0000000348806399</v>
      </c>
    </row>
    <row r="939" spans="1:40" x14ac:dyDescent="0.25">
      <c r="A939" t="str">
        <f>"20190312160618645"</f>
        <v>20190312160618645</v>
      </c>
      <c r="B939" t="str">
        <f>"1552377978636139"</f>
        <v>1552377978636139</v>
      </c>
      <c r="C939" t="s">
        <v>40</v>
      </c>
      <c r="D939">
        <v>6.3457470000000002</v>
      </c>
      <c r="E939">
        <v>0.50686279999999995</v>
      </c>
      <c r="F939" t="s">
        <v>47</v>
      </c>
      <c r="G939">
        <v>-214.166</v>
      </c>
      <c r="H939" s="1">
        <v>-2.9501949999999998E-6</v>
      </c>
      <c r="I939">
        <v>366.99430000000001</v>
      </c>
      <c r="J939">
        <v>-259.18900000000002</v>
      </c>
      <c r="K939">
        <v>1.109883</v>
      </c>
      <c r="L939">
        <v>367.09300000000002</v>
      </c>
      <c r="M939">
        <v>0.99993480000000001</v>
      </c>
      <c r="N939">
        <v>0</v>
      </c>
      <c r="O939">
        <v>-5.3791630000000002E-3</v>
      </c>
      <c r="P939">
        <v>0.99850450000000002</v>
      </c>
      <c r="Q939">
        <v>5.2038580000000001E-2</v>
      </c>
      <c r="R939">
        <v>1.6765530000000001E-2</v>
      </c>
      <c r="S939">
        <v>3.008667</v>
      </c>
      <c r="T939">
        <v>-7.3856950000000005E-2</v>
      </c>
      <c r="U939">
        <v>-6.6223139999999998E-3</v>
      </c>
      <c r="V939">
        <v>-2.2213819999999999E-2</v>
      </c>
      <c r="W939">
        <v>6.2074129999999998E-2</v>
      </c>
      <c r="X939">
        <v>0.9978243</v>
      </c>
      <c r="Y939">
        <v>-3.175803E-3</v>
      </c>
      <c r="Z939">
        <v>1.71008E-4</v>
      </c>
      <c r="AA939">
        <v>0.99999490000000002</v>
      </c>
      <c r="AB939">
        <v>36</v>
      </c>
      <c r="AC939">
        <v>45.023000000000003</v>
      </c>
      <c r="AD939">
        <v>-1.109885950195</v>
      </c>
      <c r="AE939">
        <v>-9.8700000000008004E-2</v>
      </c>
      <c r="AF939">
        <v>-0.14341261979085401</v>
      </c>
      <c r="AG939">
        <v>-1.109885950195</v>
      </c>
      <c r="AH939">
        <v>44.9955359320155</v>
      </c>
      <c r="AI939">
        <v>91.412997178681707</v>
      </c>
      <c r="AJ939">
        <v>90.182616116211804</v>
      </c>
      <c r="AK939">
        <v>45.009450872136398</v>
      </c>
      <c r="AL939">
        <v>86.441126300088001</v>
      </c>
      <c r="AM939">
        <v>91.275322651804203</v>
      </c>
      <c r="AN939">
        <v>0.99999999254236904</v>
      </c>
    </row>
    <row r="940" spans="1:40" x14ac:dyDescent="0.25">
      <c r="A940" t="str">
        <f>"20190312160618657"</f>
        <v>20190312160618657</v>
      </c>
      <c r="B940" t="str">
        <f>"1552377978645899"</f>
        <v>1552377978645899</v>
      </c>
      <c r="C940" t="s">
        <v>40</v>
      </c>
      <c r="D940">
        <v>6.5221939999999998</v>
      </c>
      <c r="E940">
        <v>0.50666990000000001</v>
      </c>
      <c r="F940" t="s">
        <v>47</v>
      </c>
      <c r="G940">
        <v>-214.23840000000001</v>
      </c>
      <c r="H940" s="1">
        <v>-2.9191050000000001E-6</v>
      </c>
      <c r="I940">
        <v>366.99450000000002</v>
      </c>
      <c r="J940">
        <v>-259.01609999999999</v>
      </c>
      <c r="K940">
        <v>1.1098809999999999</v>
      </c>
      <c r="L940">
        <v>367.09230000000002</v>
      </c>
      <c r="M940">
        <v>0.99993620000000005</v>
      </c>
      <c r="N940">
        <v>0</v>
      </c>
      <c r="O940">
        <v>-5.1106040000000004E-3</v>
      </c>
      <c r="P940">
        <v>0.99853970000000003</v>
      </c>
      <c r="Q940">
        <v>5.1494440000000002E-2</v>
      </c>
      <c r="R940">
        <v>1.6340830000000001E-2</v>
      </c>
      <c r="S940">
        <v>3.0084840000000002</v>
      </c>
      <c r="T940">
        <v>-7.4283119999999994E-2</v>
      </c>
      <c r="U940">
        <v>-6.5917969999999999E-3</v>
      </c>
      <c r="V940">
        <v>-2.152082E-2</v>
      </c>
      <c r="W940">
        <v>6.1534430000000001E-2</v>
      </c>
      <c r="X940">
        <v>0.99787289999999995</v>
      </c>
      <c r="Y940">
        <v>-2.917368E-3</v>
      </c>
      <c r="Z940">
        <v>1.6218459999999999E-4</v>
      </c>
      <c r="AA940">
        <v>0.99999570000000004</v>
      </c>
      <c r="AB940">
        <v>36</v>
      </c>
      <c r="AC940">
        <v>44.777699999999903</v>
      </c>
      <c r="AD940">
        <v>-1.1098839191049901</v>
      </c>
      <c r="AE940">
        <v>-9.7800000000006507E-2</v>
      </c>
      <c r="AF940">
        <v>-0.13097351596214801</v>
      </c>
      <c r="AG940">
        <v>-1.1098839191049901</v>
      </c>
      <c r="AH940">
        <v>44.750121921622799</v>
      </c>
      <c r="AI940">
        <v>91.420741556902797</v>
      </c>
      <c r="AJ940">
        <v>90.167691347942494</v>
      </c>
      <c r="AK940">
        <v>44.764074975094402</v>
      </c>
      <c r="AL940">
        <v>86.472108010305107</v>
      </c>
      <c r="AM940">
        <v>91.235489046387997</v>
      </c>
      <c r="AN940">
        <v>0.99999997816165298</v>
      </c>
    </row>
    <row r="941" spans="1:40" x14ac:dyDescent="0.25">
      <c r="A941" t="str">
        <f>"20190312160618669"</f>
        <v>20190312160618669</v>
      </c>
      <c r="B941" t="str">
        <f>"1552377978666395"</f>
        <v>1552377978666395</v>
      </c>
      <c r="C941" t="s">
        <v>40</v>
      </c>
      <c r="D941">
        <v>6.7119039999999996</v>
      </c>
      <c r="E941">
        <v>0.50628909999999905</v>
      </c>
      <c r="F941" t="s">
        <v>47</v>
      </c>
      <c r="G941">
        <v>-214.1302</v>
      </c>
      <c r="H941" s="1">
        <v>-2.9645810000000001E-6</v>
      </c>
      <c r="I941">
        <v>366.99990000000003</v>
      </c>
      <c r="J941">
        <v>-258.83109999999999</v>
      </c>
      <c r="K941">
        <v>1.1098790000000001</v>
      </c>
      <c r="L941">
        <v>367.09160000000003</v>
      </c>
      <c r="M941">
        <v>0.99993770000000004</v>
      </c>
      <c r="N941">
        <v>0</v>
      </c>
      <c r="O941">
        <v>-4.8238109999999999E-3</v>
      </c>
      <c r="P941">
        <v>0.99857280000000004</v>
      </c>
      <c r="Q941">
        <v>5.1093270000000003E-2</v>
      </c>
      <c r="R941">
        <v>1.556278E-2</v>
      </c>
      <c r="S941">
        <v>3.008362</v>
      </c>
      <c r="T941">
        <v>-7.438707E-2</v>
      </c>
      <c r="U941">
        <v>-6.1950679999999998E-3</v>
      </c>
      <c r="V941">
        <v>-2.0455950000000001E-2</v>
      </c>
      <c r="W941">
        <v>6.1138449999999997E-2</v>
      </c>
      <c r="X941">
        <v>0.99791969999999997</v>
      </c>
      <c r="Y941">
        <v>-2.7624720000000002E-3</v>
      </c>
      <c r="Z941">
        <v>1.5341270000000001E-4</v>
      </c>
      <c r="AA941">
        <v>0.9999962</v>
      </c>
      <c r="AB941">
        <v>36</v>
      </c>
      <c r="AC941">
        <v>44.700899999999898</v>
      </c>
      <c r="AD941">
        <v>-1.1098819645810001</v>
      </c>
      <c r="AE941">
        <v>-9.1700000000003001E-2</v>
      </c>
      <c r="AF941">
        <v>-0.123864325545111</v>
      </c>
      <c r="AG941">
        <v>-1.1098819645810001</v>
      </c>
      <c r="AH941">
        <v>44.673282034329198</v>
      </c>
      <c r="AI941">
        <v>91.423182406293904</v>
      </c>
      <c r="AJ941">
        <v>90.158861954541294</v>
      </c>
      <c r="AK941">
        <v>44.687238760804597</v>
      </c>
      <c r="AL941">
        <v>86.494839015776606</v>
      </c>
      <c r="AM941">
        <v>91.174318416225603</v>
      </c>
      <c r="AN941">
        <v>1.00000004180344</v>
      </c>
    </row>
    <row r="942" spans="1:40" x14ac:dyDescent="0.25">
      <c r="A942" t="str">
        <f>"20190312160618682"</f>
        <v>20190312160618682</v>
      </c>
      <c r="B942" t="str">
        <f>"1552377978676155"</f>
        <v>1552377978676155</v>
      </c>
      <c r="C942" t="s">
        <v>40</v>
      </c>
      <c r="D942">
        <v>6.8068410000000004</v>
      </c>
      <c r="E942">
        <v>0.50651539999999995</v>
      </c>
      <c r="F942" t="s">
        <v>47</v>
      </c>
      <c r="G942">
        <v>-212.99590000000001</v>
      </c>
      <c r="H942" s="1">
        <v>-3.44911E-6</v>
      </c>
      <c r="I942">
        <v>367.01159999999999</v>
      </c>
      <c r="J942">
        <v>-258.63459999999998</v>
      </c>
      <c r="K942">
        <v>1.1098749999999999</v>
      </c>
      <c r="L942">
        <v>367.09089999999998</v>
      </c>
      <c r="M942">
        <v>0.99993880000000002</v>
      </c>
      <c r="N942">
        <v>0</v>
      </c>
      <c r="O942">
        <v>-4.5197329999999997E-3</v>
      </c>
      <c r="P942">
        <v>0.99859039999999999</v>
      </c>
      <c r="Q942">
        <v>5.0690930000000002E-2</v>
      </c>
      <c r="R942">
        <v>1.5738760000000001E-2</v>
      </c>
      <c r="S942">
        <v>3.0081020000000001</v>
      </c>
      <c r="T942">
        <v>-7.2839979999999999E-2</v>
      </c>
      <c r="U942">
        <v>-5.2490230000000002E-3</v>
      </c>
      <c r="V942">
        <v>-2.0327959999999999E-2</v>
      </c>
      <c r="W942">
        <v>6.0739599999999998E-2</v>
      </c>
      <c r="X942">
        <v>0.99794660000000002</v>
      </c>
      <c r="Y942">
        <v>-2.772877E-3</v>
      </c>
      <c r="Z942">
        <v>1.4299970000000001E-4</v>
      </c>
      <c r="AA942">
        <v>0.99999610000000005</v>
      </c>
      <c r="AB942">
        <v>36</v>
      </c>
      <c r="AC942">
        <v>45.638699999999901</v>
      </c>
      <c r="AD942">
        <v>-1.10987844911</v>
      </c>
      <c r="AE942">
        <v>-7.9299999999989199E-2</v>
      </c>
      <c r="AF942">
        <v>-0.12691101060555399</v>
      </c>
      <c r="AG942">
        <v>-1.10987844911</v>
      </c>
      <c r="AH942">
        <v>45.611617415207</v>
      </c>
      <c r="AI942">
        <v>91.393911507682802</v>
      </c>
      <c r="AJ942">
        <v>90.159420931083005</v>
      </c>
      <c r="AK942">
        <v>45.625295394195803</v>
      </c>
      <c r="AL942">
        <v>86.517733739274107</v>
      </c>
      <c r="AM942">
        <v>91.166941461956</v>
      </c>
      <c r="AN942">
        <v>0.99999997070874003</v>
      </c>
    </row>
    <row r="943" spans="1:40" x14ac:dyDescent="0.25">
      <c r="A943" t="str">
        <f>"20190312160618692"</f>
        <v>20190312160618692</v>
      </c>
      <c r="B943" t="str">
        <f>"1552377978685915"</f>
        <v>1552377978685915</v>
      </c>
      <c r="C943" t="s">
        <v>40</v>
      </c>
      <c r="D943">
        <v>6.2596290000000003</v>
      </c>
      <c r="E943">
        <v>0.50651539999999995</v>
      </c>
      <c r="F943" t="s">
        <v>47</v>
      </c>
      <c r="G943">
        <v>-214.8323</v>
      </c>
      <c r="H943" s="1">
        <v>-2.663698E-6</v>
      </c>
      <c r="I943">
        <v>366.99799999999999</v>
      </c>
      <c r="J943">
        <v>-258.44229999999999</v>
      </c>
      <c r="K943">
        <v>1.1098709999999901</v>
      </c>
      <c r="L943">
        <v>367.09030000000001</v>
      </c>
      <c r="M943">
        <v>0.99994019999999995</v>
      </c>
      <c r="N943">
        <v>0</v>
      </c>
      <c r="O943">
        <v>-4.2226870000000001E-3</v>
      </c>
      <c r="P943">
        <v>0.99861529999999998</v>
      </c>
      <c r="Q943">
        <v>5.023946E-2</v>
      </c>
      <c r="R943">
        <v>1.561834E-2</v>
      </c>
      <c r="S943">
        <v>3.0082089999999999</v>
      </c>
      <c r="T943">
        <v>-7.6222899999999996E-2</v>
      </c>
      <c r="U943">
        <v>-6.3781740000000003E-3</v>
      </c>
      <c r="V943">
        <v>-1.99107E-2</v>
      </c>
      <c r="W943">
        <v>6.029267E-2</v>
      </c>
      <c r="X943">
        <v>0.99798209999999998</v>
      </c>
      <c r="Y943">
        <v>-2.1006309999999999E-3</v>
      </c>
      <c r="Z943">
        <v>1.3359240000000001E-4</v>
      </c>
      <c r="AA943">
        <v>0.99999780000000005</v>
      </c>
      <c r="AB943">
        <v>36</v>
      </c>
      <c r="AC943">
        <v>43.6099999999999</v>
      </c>
      <c r="AD943">
        <v>-1.10987366369799</v>
      </c>
      <c r="AE943">
        <v>-9.2299999999966006E-2</v>
      </c>
      <c r="AF943">
        <v>-9.1802113788390802E-2</v>
      </c>
      <c r="AG943">
        <v>-1.10987366369799</v>
      </c>
      <c r="AH943">
        <v>43.581773071333899</v>
      </c>
      <c r="AI943">
        <v>91.458802372327298</v>
      </c>
      <c r="AJ943">
        <v>90.120689580077496</v>
      </c>
      <c r="AK943">
        <v>43.595999715784899</v>
      </c>
      <c r="AL943">
        <v>86.543387914019206</v>
      </c>
      <c r="AM943">
        <v>91.142954118893101</v>
      </c>
      <c r="AN943">
        <v>0.99999995697531296</v>
      </c>
    </row>
    <row r="944" spans="1:40" x14ac:dyDescent="0.25">
      <c r="A944" t="str">
        <f>"20190312160618705"</f>
        <v>20190312160618705</v>
      </c>
      <c r="B944" t="str">
        <f>"1552377978695676"</f>
        <v>1552377978695676</v>
      </c>
      <c r="C944" t="s">
        <v>40</v>
      </c>
      <c r="D944">
        <v>6.027247</v>
      </c>
      <c r="E944">
        <v>0.50635839999999999</v>
      </c>
      <c r="F944" t="s">
        <v>47</v>
      </c>
      <c r="G944">
        <v>-215.42349999999999</v>
      </c>
      <c r="H944" s="1">
        <v>-2.4102050000000002E-6</v>
      </c>
      <c r="I944">
        <v>366.9973</v>
      </c>
      <c r="J944">
        <v>-258.25259999999997</v>
      </c>
      <c r="K944">
        <v>1.109866</v>
      </c>
      <c r="L944">
        <v>367.08980000000003</v>
      </c>
      <c r="M944">
        <v>0.99994119999999997</v>
      </c>
      <c r="N944">
        <v>0</v>
      </c>
      <c r="O944">
        <v>-3.9302909999999998E-3</v>
      </c>
      <c r="P944">
        <v>0.99863259999999998</v>
      </c>
      <c r="Q944">
        <v>4.9831380000000002E-2</v>
      </c>
      <c r="R944">
        <v>1.5800399999999999E-2</v>
      </c>
      <c r="S944">
        <v>3.0081630000000001</v>
      </c>
      <c r="T944">
        <v>-7.7609780000000003E-2</v>
      </c>
      <c r="U944">
        <v>-6.5002439999999996E-3</v>
      </c>
      <c r="V944">
        <v>-1.9799830000000001E-2</v>
      </c>
      <c r="W944">
        <v>5.98881E-2</v>
      </c>
      <c r="X944">
        <v>0.99800869999999997</v>
      </c>
      <c r="Y944">
        <v>-1.7677400000000001E-3</v>
      </c>
      <c r="Z944">
        <v>1.2418809999999999E-4</v>
      </c>
      <c r="AA944">
        <v>0.99999850000000001</v>
      </c>
      <c r="AB944">
        <v>36</v>
      </c>
      <c r="AC944">
        <v>42.829099999999897</v>
      </c>
      <c r="AD944">
        <v>-1.109868410205</v>
      </c>
      <c r="AE944">
        <v>-9.2500000000029503E-2</v>
      </c>
      <c r="AF944">
        <v>-7.5789244403002803E-2</v>
      </c>
      <c r="AG944">
        <v>-1.109868410205</v>
      </c>
      <c r="AH944">
        <v>42.8003911504181</v>
      </c>
      <c r="AI944">
        <v>91.4854169942422</v>
      </c>
      <c r="AJ944">
        <v>90.101457000307605</v>
      </c>
      <c r="AK944">
        <v>42.814845959390397</v>
      </c>
      <c r="AL944">
        <v>86.566610151248597</v>
      </c>
      <c r="AM944">
        <v>91.136561124258293</v>
      </c>
      <c r="AN944">
        <v>0.99999999153266395</v>
      </c>
    </row>
    <row r="945" spans="1:40" x14ac:dyDescent="0.25">
      <c r="A945" t="str">
        <f>"20190312160618717"</f>
        <v>20190312160618717</v>
      </c>
      <c r="B945" t="str">
        <f>"1552377978706411"</f>
        <v>1552377978706411</v>
      </c>
      <c r="C945" t="s">
        <v>40</v>
      </c>
      <c r="D945">
        <v>6.3941270000000001</v>
      </c>
      <c r="E945">
        <v>0.50612250000000003</v>
      </c>
      <c r="F945" t="s">
        <v>47</v>
      </c>
      <c r="G945">
        <v>-214.5881</v>
      </c>
      <c r="H945" s="1">
        <v>-2.764854E-6</v>
      </c>
      <c r="I945">
        <v>367.01850000000002</v>
      </c>
      <c r="J945">
        <v>-258.07139999999998</v>
      </c>
      <c r="K945">
        <v>1.1098709999999901</v>
      </c>
      <c r="L945">
        <v>367.08929999999998</v>
      </c>
      <c r="M945">
        <v>0.99994240000000001</v>
      </c>
      <c r="N945">
        <v>0</v>
      </c>
      <c r="O945">
        <v>-3.651245E-3</v>
      </c>
      <c r="P945">
        <v>0.99865689999999996</v>
      </c>
      <c r="Q945">
        <v>4.928337E-2</v>
      </c>
      <c r="R945">
        <v>1.598807E-2</v>
      </c>
      <c r="S945">
        <v>3.0079959999999999</v>
      </c>
      <c r="T945">
        <v>-7.6457499999999998E-2</v>
      </c>
      <c r="U945">
        <v>-4.9133299999999996E-3</v>
      </c>
      <c r="V945">
        <v>-1.9708150000000001E-2</v>
      </c>
      <c r="W945">
        <v>5.9343569999999998E-2</v>
      </c>
      <c r="X945">
        <v>0.99804309999999996</v>
      </c>
      <c r="Y945">
        <v>-2.0161860000000001E-3</v>
      </c>
      <c r="Z945">
        <v>1.184168E-4</v>
      </c>
      <c r="AA945">
        <v>0.99999800000000005</v>
      </c>
      <c r="AB945">
        <v>36</v>
      </c>
      <c r="AC945">
        <v>43.4832999999999</v>
      </c>
      <c r="AD945">
        <v>-1.10987376485399</v>
      </c>
      <c r="AE945">
        <v>-7.0799999999962795E-2</v>
      </c>
      <c r="AF945">
        <v>-8.7919463018109698E-2</v>
      </c>
      <c r="AG945">
        <v>-1.10987376485399</v>
      </c>
      <c r="AH945">
        <v>43.454958607483903</v>
      </c>
      <c r="AI945">
        <v>91.463058127388194</v>
      </c>
      <c r="AJ945">
        <v>90.115922496670905</v>
      </c>
      <c r="AK945">
        <v>43.469218732156101</v>
      </c>
      <c r="AL945">
        <v>86.597865211831206</v>
      </c>
      <c r="AM945">
        <v>91.1312608446501</v>
      </c>
      <c r="AN945">
        <v>1.0000000499671799</v>
      </c>
    </row>
    <row r="946" spans="1:40" x14ac:dyDescent="0.25">
      <c r="A946" t="str">
        <f>"20190312160618732"</f>
        <v>20190312160618732</v>
      </c>
      <c r="B946" t="str">
        <f>"1552377978725930"</f>
        <v>1552377978725930</v>
      </c>
      <c r="C946" t="s">
        <v>40</v>
      </c>
      <c r="D946">
        <v>6.6389550000000002</v>
      </c>
      <c r="E946">
        <v>0.50596319999999995</v>
      </c>
      <c r="F946" t="s">
        <v>47</v>
      </c>
      <c r="G946">
        <v>-214.28039999999999</v>
      </c>
      <c r="H946" s="1">
        <v>-2.8902849999999999E-6</v>
      </c>
      <c r="I946">
        <v>367.05549999999999</v>
      </c>
      <c r="J946">
        <v>-257.82330000000002</v>
      </c>
      <c r="K946">
        <v>1.1098650000000001</v>
      </c>
      <c r="L946">
        <v>367.08870000000002</v>
      </c>
      <c r="M946">
        <v>0.99994360000000004</v>
      </c>
      <c r="N946">
        <v>0</v>
      </c>
      <c r="O946">
        <v>-3.2698050000000002E-3</v>
      </c>
      <c r="P946">
        <v>0.99867189999999995</v>
      </c>
      <c r="Q946">
        <v>4.8749809999999998E-2</v>
      </c>
      <c r="R946">
        <v>1.6669239999999998E-2</v>
      </c>
      <c r="S946">
        <v>3.0078279999999999</v>
      </c>
      <c r="T946">
        <v>-7.6232670000000002E-2</v>
      </c>
      <c r="U946">
        <v>-2.319336E-3</v>
      </c>
      <c r="V946">
        <v>-2.0008120000000001E-2</v>
      </c>
      <c r="W946">
        <v>5.8813770000000001E-2</v>
      </c>
      <c r="X946">
        <v>0.99806850000000003</v>
      </c>
      <c r="Y946">
        <v>-2.497024E-3</v>
      </c>
      <c r="Z946">
        <v>1.1450139999999999E-4</v>
      </c>
      <c r="AA946">
        <v>0.99999689999999997</v>
      </c>
      <c r="AB946">
        <v>36</v>
      </c>
      <c r="AC946">
        <v>43.542900000000003</v>
      </c>
      <c r="AD946">
        <v>-1.1098678902850001</v>
      </c>
      <c r="AE946">
        <v>-3.3200000000022101E-2</v>
      </c>
      <c r="AF946">
        <v>-0.109113348809254</v>
      </c>
      <c r="AG946">
        <v>-1.1098678902850001</v>
      </c>
      <c r="AH946">
        <v>43.514504734246401</v>
      </c>
      <c r="AI946">
        <v>91.461047585285002</v>
      </c>
      <c r="AJ946">
        <v>90.143669824824002</v>
      </c>
      <c r="AK946">
        <v>43.528793168700702</v>
      </c>
      <c r="AL946">
        <v>86.628273653721607</v>
      </c>
      <c r="AM946">
        <v>91.148445523963005</v>
      </c>
      <c r="AN946">
        <v>1.00000005754989</v>
      </c>
    </row>
    <row r="947" spans="1:40" x14ac:dyDescent="0.25">
      <c r="A947" t="str">
        <f>"20190312160618756"</f>
        <v>20190312160618756</v>
      </c>
      <c r="B947" t="str">
        <f>"1552377978746426"</f>
        <v>1552377978746426</v>
      </c>
      <c r="C947" t="s">
        <v>40</v>
      </c>
      <c r="D947">
        <v>6.52766</v>
      </c>
      <c r="E947">
        <v>0.50603009999999904</v>
      </c>
      <c r="F947" t="s">
        <v>47</v>
      </c>
      <c r="G947">
        <v>-214.97280000000001</v>
      </c>
      <c r="H947" s="1">
        <v>-2.5855660000000002E-6</v>
      </c>
      <c r="I947">
        <v>367.09870000000001</v>
      </c>
      <c r="J947">
        <v>-257.45920000000001</v>
      </c>
      <c r="K947">
        <v>1.1098629999999901</v>
      </c>
      <c r="L947">
        <v>367.0881</v>
      </c>
      <c r="M947">
        <v>0.99994530000000004</v>
      </c>
      <c r="N947">
        <v>0</v>
      </c>
      <c r="O947">
        <v>-2.7113490000000001E-3</v>
      </c>
      <c r="P947">
        <v>0.99870510000000001</v>
      </c>
      <c r="Q947">
        <v>4.7676950000000003E-2</v>
      </c>
      <c r="R947">
        <v>1.7754829999999999E-2</v>
      </c>
      <c r="S947">
        <v>3.0077820000000002</v>
      </c>
      <c r="T947">
        <v>-7.7904340000000002E-2</v>
      </c>
      <c r="U947">
        <v>7.0190429999999896E-4</v>
      </c>
      <c r="V947">
        <v>-2.053433E-2</v>
      </c>
      <c r="W947">
        <v>5.7747479999999997E-2</v>
      </c>
      <c r="X947">
        <v>0.99812000000000001</v>
      </c>
      <c r="Y947">
        <v>-2.9429529999999999E-3</v>
      </c>
      <c r="Z947">
        <v>1.083244E-4</v>
      </c>
      <c r="AA947">
        <v>0.99999559999999998</v>
      </c>
      <c r="AB947">
        <v>36</v>
      </c>
      <c r="AC947">
        <v>42.486400000000003</v>
      </c>
      <c r="AD947">
        <v>-1.10986558556599</v>
      </c>
      <c r="AE947">
        <v>1.06000000000108E-2</v>
      </c>
      <c r="AF947">
        <v>-0.125715508601387</v>
      </c>
      <c r="AG947">
        <v>-1.10986558556599</v>
      </c>
      <c r="AH947">
        <v>42.457242128491998</v>
      </c>
      <c r="AI947">
        <v>91.497409001952406</v>
      </c>
      <c r="AJ947">
        <v>90.1696517873185</v>
      </c>
      <c r="AK947">
        <v>42.471932086549998</v>
      </c>
      <c r="AL947">
        <v>86.689471342215597</v>
      </c>
      <c r="AM947">
        <v>91.1785802288003</v>
      </c>
      <c r="AN947">
        <v>0.99999998227744902</v>
      </c>
    </row>
    <row r="948" spans="1:40" x14ac:dyDescent="0.25">
      <c r="A948" t="str">
        <f>"20190312160618777"</f>
        <v>20190312160618777</v>
      </c>
      <c r="B948" t="str">
        <f>"1552377978765947"</f>
        <v>1552377978765947</v>
      </c>
      <c r="C948" t="s">
        <v>40</v>
      </c>
      <c r="D948">
        <v>6.5519819999999998</v>
      </c>
      <c r="E948">
        <v>0.50609329999999997</v>
      </c>
      <c r="F948" t="s">
        <v>47</v>
      </c>
      <c r="G948">
        <v>-217.16329999999999</v>
      </c>
      <c r="H948" s="1">
        <v>-1.6385160000000001E-6</v>
      </c>
      <c r="I948">
        <v>367.14</v>
      </c>
      <c r="J948">
        <v>-257.11160000000001</v>
      </c>
      <c r="K948">
        <v>1.109861</v>
      </c>
      <c r="L948">
        <v>367.08760000000001</v>
      </c>
      <c r="M948">
        <v>0.99994649999999996</v>
      </c>
      <c r="N948">
        <v>0</v>
      </c>
      <c r="O948">
        <v>-2.1788739999999999E-3</v>
      </c>
      <c r="P948">
        <v>0.99869379999999996</v>
      </c>
      <c r="Q948">
        <v>4.7730809999999999E-2</v>
      </c>
      <c r="R948">
        <v>1.8239689999999999E-2</v>
      </c>
      <c r="S948">
        <v>3.0077820000000002</v>
      </c>
      <c r="T948">
        <v>-8.2842949999999999E-2</v>
      </c>
      <c r="U948">
        <v>3.8757319999999998E-3</v>
      </c>
      <c r="V948">
        <v>-2.0487620000000002E-2</v>
      </c>
      <c r="W948">
        <v>5.7806499999999997E-2</v>
      </c>
      <c r="X948">
        <v>0.99811760000000005</v>
      </c>
      <c r="Y948">
        <v>-3.4654080000000001E-3</v>
      </c>
      <c r="Z948">
        <v>1.077187E-4</v>
      </c>
      <c r="AA948">
        <v>0.99999400000000005</v>
      </c>
      <c r="AB948">
        <v>36</v>
      </c>
      <c r="AC948">
        <v>39.948300000000003</v>
      </c>
      <c r="AD948">
        <v>-1.109862638516</v>
      </c>
      <c r="AE948">
        <v>5.2399999999977298E-2</v>
      </c>
      <c r="AF948">
        <v>-0.13933908727522301</v>
      </c>
      <c r="AG948">
        <v>-1.109862638516</v>
      </c>
      <c r="AH948">
        <v>39.9172802495399</v>
      </c>
      <c r="AI948">
        <v>91.592635534473303</v>
      </c>
      <c r="AJ948">
        <v>90.200001331404096</v>
      </c>
      <c r="AK948">
        <v>39.932949715465902</v>
      </c>
      <c r="AL948">
        <v>86.686084274150502</v>
      </c>
      <c r="AM948">
        <v>91.1759028605439</v>
      </c>
      <c r="AN948">
        <v>1.00000003872263</v>
      </c>
    </row>
    <row r="949" spans="1:40" x14ac:dyDescent="0.25">
      <c r="A949" t="str">
        <f>"20190312160618793"</f>
        <v>20190312160618793</v>
      </c>
      <c r="B949" t="str">
        <f>"1552377978786442"</f>
        <v>1552377978786442</v>
      </c>
      <c r="C949" t="s">
        <v>40</v>
      </c>
      <c r="D949">
        <v>6.5847979999999904</v>
      </c>
      <c r="E949">
        <v>0.50617479999999904</v>
      </c>
      <c r="F949" t="s">
        <v>47</v>
      </c>
      <c r="G949">
        <v>-216.77289999999999</v>
      </c>
      <c r="H949" s="1">
        <v>-1.803395E-6</v>
      </c>
      <c r="I949">
        <v>367.15480000000002</v>
      </c>
      <c r="J949">
        <v>-256.85410000000002</v>
      </c>
      <c r="K949">
        <v>1.109861</v>
      </c>
      <c r="L949">
        <v>367.0874</v>
      </c>
      <c r="M949">
        <v>0.99994720000000004</v>
      </c>
      <c r="N949">
        <v>0</v>
      </c>
      <c r="O949">
        <v>-1.78503E-3</v>
      </c>
      <c r="P949">
        <v>0.99867839999999997</v>
      </c>
      <c r="Q949">
        <v>4.7987250000000002E-2</v>
      </c>
      <c r="R949">
        <v>1.8406829999999999E-2</v>
      </c>
      <c r="S949">
        <v>3.0078130000000001</v>
      </c>
      <c r="T949">
        <v>-8.2755679999999998E-2</v>
      </c>
      <c r="U949">
        <v>5.0048829999999999E-3</v>
      </c>
      <c r="V949">
        <v>-2.0262189999999999E-2</v>
      </c>
      <c r="W949">
        <v>5.806737E-2</v>
      </c>
      <c r="X949">
        <v>0.99810699999999997</v>
      </c>
      <c r="Y949">
        <v>-3.4470949999999998E-3</v>
      </c>
      <c r="Z949" s="1">
        <v>9.6517700000000006E-5</v>
      </c>
      <c r="AA949">
        <v>0.99999400000000005</v>
      </c>
      <c r="AB949">
        <v>36</v>
      </c>
      <c r="AC949">
        <v>40.081200000000003</v>
      </c>
      <c r="AD949">
        <v>-1.109862803395</v>
      </c>
      <c r="AE949">
        <v>6.7400000000020499E-2</v>
      </c>
      <c r="AF949">
        <v>-0.13884324229591499</v>
      </c>
      <c r="AG949">
        <v>-1.109862803395</v>
      </c>
      <c r="AH949">
        <v>40.050307095287799</v>
      </c>
      <c r="AI949">
        <v>91.587348684369303</v>
      </c>
      <c r="AJ949">
        <v>90.198627688674193</v>
      </c>
      <c r="AK949">
        <v>40.0659228187141</v>
      </c>
      <c r="AL949">
        <v>86.671112178616198</v>
      </c>
      <c r="AM949">
        <v>91.162980051316097</v>
      </c>
      <c r="AN949">
        <v>0.99999997962565601</v>
      </c>
    </row>
    <row r="950" spans="1:40" x14ac:dyDescent="0.25">
      <c r="A950" t="str">
        <f>"20190312160618804"</f>
        <v>20190312160618804</v>
      </c>
      <c r="B950" t="str">
        <f>"1552377978796203"</f>
        <v>1552377978796203</v>
      </c>
      <c r="C950" t="s">
        <v>40</v>
      </c>
      <c r="D950">
        <v>6.6494809999999998</v>
      </c>
      <c r="E950">
        <v>0.50618390000000002</v>
      </c>
      <c r="F950" t="s">
        <v>47</v>
      </c>
      <c r="G950">
        <v>-217.85720000000001</v>
      </c>
      <c r="H950" s="1">
        <v>-1.3700819999999999E-6</v>
      </c>
      <c r="I950">
        <v>367.15550000000002</v>
      </c>
      <c r="J950">
        <v>-256.67970000000003</v>
      </c>
      <c r="K950">
        <v>1.1098589999999999</v>
      </c>
      <c r="L950">
        <v>367.08730000000003</v>
      </c>
      <c r="M950">
        <v>0.99994760000000005</v>
      </c>
      <c r="N950">
        <v>0</v>
      </c>
      <c r="O950">
        <v>-1.518255E-3</v>
      </c>
      <c r="P950">
        <v>0.99867110000000003</v>
      </c>
      <c r="Q950">
        <v>4.8368510000000003E-2</v>
      </c>
      <c r="R950">
        <v>1.7792220000000001E-2</v>
      </c>
      <c r="S950">
        <v>3.0079799999999999</v>
      </c>
      <c r="T950">
        <v>-8.560777E-2</v>
      </c>
      <c r="U950">
        <v>5.2490230000000002E-3</v>
      </c>
      <c r="V950">
        <v>-1.9381269999999999E-2</v>
      </c>
      <c r="W950">
        <v>5.8452469999999999E-2</v>
      </c>
      <c r="X950">
        <v>0.99810200000000004</v>
      </c>
      <c r="Y950">
        <v>-3.2614229999999998E-3</v>
      </c>
      <c r="Z950" s="1">
        <v>8.9604279999999997E-5</v>
      </c>
      <c r="AA950">
        <v>0.99999470000000001</v>
      </c>
      <c r="AB950">
        <v>36</v>
      </c>
      <c r="AC950">
        <v>38.822499999999998</v>
      </c>
      <c r="AD950">
        <v>-1.109860370082</v>
      </c>
      <c r="AE950">
        <v>6.8199999999990199E-2</v>
      </c>
      <c r="AF950">
        <v>-0.127041568996386</v>
      </c>
      <c r="AG950">
        <v>-1.109860370082</v>
      </c>
      <c r="AH950">
        <v>38.7906490625573</v>
      </c>
      <c r="AI950">
        <v>91.638864835849006</v>
      </c>
      <c r="AJ950">
        <v>90.187646246650701</v>
      </c>
      <c r="AK950">
        <v>38.806731172514503</v>
      </c>
      <c r="AL950">
        <v>86.649009978068605</v>
      </c>
      <c r="AM950">
        <v>91.112436837314604</v>
      </c>
      <c r="AN950">
        <v>0.99999996363995602</v>
      </c>
    </row>
    <row r="951" spans="1:40" x14ac:dyDescent="0.25">
      <c r="A951" t="str">
        <f>"20190312160618821"</f>
        <v>20190312160618821</v>
      </c>
      <c r="B951" t="str">
        <f>"1552377978815723"</f>
        <v>1552377978815723</v>
      </c>
      <c r="C951" t="s">
        <v>40</v>
      </c>
      <c r="D951">
        <v>7.0843339999999904</v>
      </c>
      <c r="E951">
        <v>0.50595179999999995</v>
      </c>
      <c r="F951" t="s">
        <v>47</v>
      </c>
      <c r="G951">
        <v>-217.10939999999999</v>
      </c>
      <c r="H951" s="1">
        <v>-1.6629420000000001E-6</v>
      </c>
      <c r="I951">
        <v>367.1327</v>
      </c>
      <c r="J951">
        <v>-256.40159999999997</v>
      </c>
      <c r="K951">
        <v>1.1098629999999901</v>
      </c>
      <c r="L951">
        <v>367.08730000000003</v>
      </c>
      <c r="M951">
        <v>0.99994810000000001</v>
      </c>
      <c r="N951">
        <v>0</v>
      </c>
      <c r="O951">
        <v>-1.092822E-3</v>
      </c>
      <c r="P951">
        <v>0.99867879999999998</v>
      </c>
      <c r="Q951">
        <v>4.8762920000000001E-2</v>
      </c>
      <c r="R951">
        <v>1.6212549999999999E-2</v>
      </c>
      <c r="S951">
        <v>3.0080110000000002</v>
      </c>
      <c r="T951">
        <v>-8.4367990000000004E-2</v>
      </c>
      <c r="U951">
        <v>3.4484860000000002E-3</v>
      </c>
      <c r="V951">
        <v>-1.737762E-2</v>
      </c>
      <c r="W951">
        <v>5.8853750000000003E-2</v>
      </c>
      <c r="X951">
        <v>0.99811539999999999</v>
      </c>
      <c r="Y951">
        <v>-2.2380009999999999E-3</v>
      </c>
      <c r="Z951" s="1">
        <v>6.2026039999999995E-5</v>
      </c>
      <c r="AA951">
        <v>0.99999749999999998</v>
      </c>
      <c r="AB951">
        <v>36</v>
      </c>
      <c r="AC951">
        <v>39.292199999999902</v>
      </c>
      <c r="AD951">
        <v>-1.1098646629419999</v>
      </c>
      <c r="AE951">
        <v>4.5399999999972303E-2</v>
      </c>
      <c r="AF951">
        <v>-8.8271128484884706E-2</v>
      </c>
      <c r="AG951">
        <v>-1.1098646629419999</v>
      </c>
      <c r="AH951">
        <v>39.260802288615103</v>
      </c>
      <c r="AI951">
        <v>91.619260576073202</v>
      </c>
      <c r="AJ951">
        <v>90.128819440721898</v>
      </c>
      <c r="AK951">
        <v>39.276585744026903</v>
      </c>
      <c r="AL951">
        <v>86.625978963673404</v>
      </c>
      <c r="AM951">
        <v>90.997443481301303</v>
      </c>
      <c r="AN951">
        <v>1.0000000486415399</v>
      </c>
    </row>
    <row r="952" spans="1:40" x14ac:dyDescent="0.25">
      <c r="A952" t="str">
        <f>"20190312160618833"</f>
        <v>20190312160618833</v>
      </c>
      <c r="B952" t="str">
        <f>"1552377978826459"</f>
        <v>1552377978826459</v>
      </c>
      <c r="C952" t="s">
        <v>40</v>
      </c>
      <c r="D952">
        <v>6.5723949999999904</v>
      </c>
      <c r="E952">
        <v>0.5057239</v>
      </c>
      <c r="F952" t="s">
        <v>47</v>
      </c>
      <c r="G952">
        <v>-215.4649</v>
      </c>
      <c r="H952" s="1">
        <v>-2.3752580000000001E-6</v>
      </c>
      <c r="I952">
        <v>367.09429999999998</v>
      </c>
      <c r="J952">
        <v>-256.21190000000001</v>
      </c>
      <c r="K952">
        <v>1.1098629999999901</v>
      </c>
      <c r="L952">
        <v>367.08730000000003</v>
      </c>
      <c r="M952">
        <v>0.99994839999999996</v>
      </c>
      <c r="N952">
        <v>0</v>
      </c>
      <c r="O952">
        <v>-8.0280369999999996E-4</v>
      </c>
      <c r="P952">
        <v>0.99867810000000001</v>
      </c>
      <c r="Q952">
        <v>4.9094100000000002E-2</v>
      </c>
      <c r="R952">
        <v>1.523272E-2</v>
      </c>
      <c r="S952">
        <v>3.0079189999999998</v>
      </c>
      <c r="T952">
        <v>-8.1549640000000007E-2</v>
      </c>
      <c r="U952">
        <v>5.1879879999999995E-4</v>
      </c>
      <c r="V952">
        <v>-1.610843E-2</v>
      </c>
      <c r="W952">
        <v>5.9189829999999999E-2</v>
      </c>
      <c r="X952">
        <v>0.99811680000000003</v>
      </c>
      <c r="Y952">
        <v>-9.7466939999999998E-4</v>
      </c>
      <c r="Z952" s="1">
        <v>3.4972470000000002E-5</v>
      </c>
      <c r="AA952">
        <v>0.99999950000000004</v>
      </c>
      <c r="AB952">
        <v>36</v>
      </c>
      <c r="AC952">
        <v>40.747</v>
      </c>
      <c r="AD952">
        <v>-1.1098653752580001</v>
      </c>
      <c r="AE952">
        <v>6.9999999999481597E-3</v>
      </c>
      <c r="AF952">
        <v>-3.96840757000642E-2</v>
      </c>
      <c r="AG952">
        <v>-1.1098653752580001</v>
      </c>
      <c r="AH952">
        <v>40.716773199836297</v>
      </c>
      <c r="AI952">
        <v>91.561391638235605</v>
      </c>
      <c r="AJ952">
        <v>90.055842571816299</v>
      </c>
      <c r="AK952">
        <v>40.731916181097702</v>
      </c>
      <c r="AL952">
        <v>86.606689314645195</v>
      </c>
      <c r="AM952">
        <v>90.924606153830496</v>
      </c>
      <c r="AN952">
        <v>1.0000000319673601</v>
      </c>
    </row>
    <row r="953" spans="1:40" x14ac:dyDescent="0.25">
      <c r="A953" t="str">
        <f>"20190312160618845"</f>
        <v>20190312160618845</v>
      </c>
      <c r="B953" t="str">
        <f>"1552377978836221"</f>
        <v>1552377978836221</v>
      </c>
      <c r="C953" t="s">
        <v>40</v>
      </c>
      <c r="D953">
        <v>6.2829490000000003</v>
      </c>
      <c r="E953">
        <v>0.50551270000000004</v>
      </c>
      <c r="F953" t="s">
        <v>47</v>
      </c>
      <c r="G953">
        <v>-213.8399</v>
      </c>
      <c r="H953" s="1">
        <v>-3.0753739999999999E-6</v>
      </c>
      <c r="I953">
        <v>367.07740000000001</v>
      </c>
      <c r="J953">
        <v>-256.01690000000002</v>
      </c>
      <c r="K953">
        <v>1.109866</v>
      </c>
      <c r="L953">
        <v>367.0874</v>
      </c>
      <c r="M953">
        <v>0.99994859999999997</v>
      </c>
      <c r="N953">
        <v>0</v>
      </c>
      <c r="O953">
        <v>-5.0455940000000005E-4</v>
      </c>
      <c r="P953">
        <v>0.99869169999999996</v>
      </c>
      <c r="Q953">
        <v>4.9043299999999998E-2</v>
      </c>
      <c r="R953">
        <v>1.447971E-2</v>
      </c>
      <c r="S953">
        <v>3.0078580000000001</v>
      </c>
      <c r="T953">
        <v>-7.8785899999999895E-2</v>
      </c>
      <c r="U953">
        <v>-7.0190429999999896E-4</v>
      </c>
      <c r="V953">
        <v>-1.505712E-2</v>
      </c>
      <c r="W953">
        <v>5.9143649999999999E-2</v>
      </c>
      <c r="X953">
        <v>0.99813589999999996</v>
      </c>
      <c r="Y953">
        <v>-2.7096249999999998E-4</v>
      </c>
      <c r="Z953" s="1">
        <v>1.6762619999999999E-5</v>
      </c>
      <c r="AA953">
        <v>0.99999990000000005</v>
      </c>
      <c r="AB953">
        <v>36</v>
      </c>
      <c r="AC953">
        <v>42.177</v>
      </c>
      <c r="AD953">
        <v>-1.1098690753739999</v>
      </c>
      <c r="AE953">
        <v>-9.9999999999908998E-3</v>
      </c>
      <c r="AF953">
        <v>-1.12740874589068E-2</v>
      </c>
      <c r="AG953">
        <v>-1.1098690753739999</v>
      </c>
      <c r="AH953">
        <v>42.147814174952998</v>
      </c>
      <c r="AI953">
        <v>91.508408458049303</v>
      </c>
      <c r="AJ953">
        <v>90.015326005072694</v>
      </c>
      <c r="AK953">
        <v>42.162426118475302</v>
      </c>
      <c r="AL953">
        <v>86.609339705937799</v>
      </c>
      <c r="AM953">
        <v>90.864255053727902</v>
      </c>
      <c r="AN953">
        <v>0.99999998153341296</v>
      </c>
    </row>
    <row r="954" spans="1:40" x14ac:dyDescent="0.25">
      <c r="A954" t="str">
        <f>"20190312160618857"</f>
        <v>20190312160618857</v>
      </c>
      <c r="B954" t="str">
        <f>"1552377978845979"</f>
        <v>1552377978845979</v>
      </c>
      <c r="C954" t="s">
        <v>40</v>
      </c>
      <c r="D954">
        <v>6.3226969999999998</v>
      </c>
      <c r="E954">
        <v>0.50558970000000003</v>
      </c>
      <c r="F954" t="s">
        <v>47</v>
      </c>
      <c r="G954">
        <v>-212.8484</v>
      </c>
      <c r="H954" s="1">
        <v>-3.502449E-6</v>
      </c>
      <c r="I954">
        <v>367.0677</v>
      </c>
      <c r="J954">
        <v>-255.83099999999999</v>
      </c>
      <c r="K954">
        <v>1.109866</v>
      </c>
      <c r="L954">
        <v>367.08749999999998</v>
      </c>
      <c r="M954">
        <v>0.99994859999999997</v>
      </c>
      <c r="N954">
        <v>0</v>
      </c>
      <c r="O954">
        <v>-2.2038099999999999E-4</v>
      </c>
      <c r="P954">
        <v>0.99871379999999998</v>
      </c>
      <c r="Q954">
        <v>4.8893350000000002E-2</v>
      </c>
      <c r="R954">
        <v>1.3422419999999999E-2</v>
      </c>
      <c r="S954">
        <v>3.0077509999999998</v>
      </c>
      <c r="T954">
        <v>-7.7329640000000005E-2</v>
      </c>
      <c r="U954">
        <v>-1.373291E-3</v>
      </c>
      <c r="V954">
        <v>-1.3716000000000001E-2</v>
      </c>
      <c r="W954">
        <v>5.8998460000000003E-2</v>
      </c>
      <c r="X954">
        <v>0.99816380000000005</v>
      </c>
      <c r="Y954">
        <v>2.3618639999999999E-4</v>
      </c>
      <c r="Z954" s="1">
        <v>2.6296880000000001E-6</v>
      </c>
      <c r="AA954">
        <v>1</v>
      </c>
      <c r="AB954">
        <v>36</v>
      </c>
      <c r="AC954">
        <v>42.982599999999898</v>
      </c>
      <c r="AD954">
        <v>-1.109869502449</v>
      </c>
      <c r="AE954">
        <v>-1.9799999999975101E-2</v>
      </c>
      <c r="AF954">
        <v>1.03200836224027E-2</v>
      </c>
      <c r="AG954">
        <v>-1.109869502449</v>
      </c>
      <c r="AH954">
        <v>42.9539640706722</v>
      </c>
      <c r="AI954">
        <v>91.480112295626199</v>
      </c>
      <c r="AJ954">
        <v>89.986234164012501</v>
      </c>
      <c r="AK954">
        <v>42.968301644365603</v>
      </c>
      <c r="AL954">
        <v>86.617672956801798</v>
      </c>
      <c r="AM954">
        <v>90.787265030485003</v>
      </c>
      <c r="AN954">
        <v>0.99999995928440499</v>
      </c>
    </row>
    <row r="955" spans="1:40" x14ac:dyDescent="0.25">
      <c r="A955" t="str">
        <f>"20190312160618868"</f>
        <v>20190312160618868</v>
      </c>
      <c r="B955" t="str">
        <f>"1552377978865498"</f>
        <v>1552377978865498</v>
      </c>
      <c r="C955" t="s">
        <v>40</v>
      </c>
      <c r="D955">
        <v>6.4411589999999999</v>
      </c>
      <c r="E955">
        <v>0.50567489999999904</v>
      </c>
      <c r="F955" t="s">
        <v>47</v>
      </c>
      <c r="G955">
        <v>-214.19139999999999</v>
      </c>
      <c r="H955" s="1">
        <v>-2.9351390000000001E-6</v>
      </c>
      <c r="I955">
        <v>367.01780000000002</v>
      </c>
      <c r="J955">
        <v>-255.64109999999999</v>
      </c>
      <c r="K955">
        <v>1.109866</v>
      </c>
      <c r="L955">
        <v>367.08769999999998</v>
      </c>
      <c r="M955">
        <v>0.99994870000000002</v>
      </c>
      <c r="N955">
        <v>0</v>
      </c>
      <c r="O955" s="1">
        <v>6.9638169999999903E-5</v>
      </c>
      <c r="P955">
        <v>0.99873129999999999</v>
      </c>
      <c r="Q955">
        <v>4.8666340000000002E-2</v>
      </c>
      <c r="R955">
        <v>1.2955950000000001E-2</v>
      </c>
      <c r="S955">
        <v>3.007889</v>
      </c>
      <c r="T955">
        <v>-8.0172779999999999E-2</v>
      </c>
      <c r="U955">
        <v>-5.0353999999999998E-3</v>
      </c>
      <c r="V955">
        <v>-1.2960340000000001E-2</v>
      </c>
      <c r="W955">
        <v>5.8775220000000003E-2</v>
      </c>
      <c r="X955">
        <v>0.99818709999999999</v>
      </c>
      <c r="Y955">
        <v>1.7430600000000001E-3</v>
      </c>
      <c r="Z955" s="1">
        <v>-2.5081679999999999E-5</v>
      </c>
      <c r="AA955">
        <v>0.99999850000000001</v>
      </c>
      <c r="AB955">
        <v>36</v>
      </c>
      <c r="AC955">
        <v>41.4497</v>
      </c>
      <c r="AD955">
        <v>-1.1098689351389901</v>
      </c>
      <c r="AE955">
        <v>-6.9899999999961396E-2</v>
      </c>
      <c r="AF955">
        <v>7.2734480915208094E-2</v>
      </c>
      <c r="AG955">
        <v>-1.1098689351389901</v>
      </c>
      <c r="AH955">
        <v>41.419998245520901</v>
      </c>
      <c r="AI955">
        <v>91.534898544437894</v>
      </c>
      <c r="AJ955">
        <v>89.8993873811078</v>
      </c>
      <c r="AK955">
        <v>41.434929154239597</v>
      </c>
      <c r="AL955">
        <v>86.630486011459098</v>
      </c>
      <c r="AM955">
        <v>90.743879638759594</v>
      </c>
      <c r="AN955">
        <v>0.99999999175268695</v>
      </c>
    </row>
    <row r="956" spans="1:40" x14ac:dyDescent="0.25">
      <c r="A956" t="str">
        <f>"20190312160618891"</f>
        <v>20190312160618891</v>
      </c>
      <c r="B956" t="str">
        <f>"1552377978885995"</f>
        <v>1552377978885995</v>
      </c>
      <c r="C956" t="s">
        <v>40</v>
      </c>
      <c r="D956">
        <v>6.7656369999999999</v>
      </c>
      <c r="E956">
        <v>0.50547549999999997</v>
      </c>
      <c r="F956" t="s">
        <v>47</v>
      </c>
      <c r="G956">
        <v>-214.66489999999999</v>
      </c>
      <c r="H956" s="1">
        <v>-2.73667E-6</v>
      </c>
      <c r="I956">
        <v>366.99169999999998</v>
      </c>
      <c r="J956">
        <v>-255.27430000000001</v>
      </c>
      <c r="K956">
        <v>1.109866</v>
      </c>
      <c r="L956">
        <v>367.0883</v>
      </c>
      <c r="M956">
        <v>0.99994850000000002</v>
      </c>
      <c r="N956">
        <v>0</v>
      </c>
      <c r="O956">
        <v>6.28153E-4</v>
      </c>
      <c r="P956">
        <v>0.99878420000000001</v>
      </c>
      <c r="Q956">
        <v>4.7644659999999998E-2</v>
      </c>
      <c r="R956">
        <v>1.2666510000000001E-2</v>
      </c>
      <c r="S956">
        <v>3.0078429999999998</v>
      </c>
      <c r="T956">
        <v>-8.1469299999999994E-2</v>
      </c>
      <c r="U956">
        <v>-7.0495610000000002E-3</v>
      </c>
      <c r="V956">
        <v>-1.2111439999999999E-2</v>
      </c>
      <c r="W956">
        <v>5.7760800000000001E-2</v>
      </c>
      <c r="X956">
        <v>0.99825699999999995</v>
      </c>
      <c r="Y956">
        <v>2.9705840000000001E-3</v>
      </c>
      <c r="Z956" s="1">
        <v>-5.723427E-5</v>
      </c>
      <c r="AA956">
        <v>0.99999559999999998</v>
      </c>
      <c r="AB956">
        <v>36</v>
      </c>
      <c r="AC956">
        <v>40.609400000000001</v>
      </c>
      <c r="AD956">
        <v>-1.10986873667</v>
      </c>
      <c r="AE956">
        <v>-9.66000000000235E-2</v>
      </c>
      <c r="AF956">
        <v>0.122019064799406</v>
      </c>
      <c r="AG956">
        <v>-1.10986873667</v>
      </c>
      <c r="AH956">
        <v>40.579021077024997</v>
      </c>
      <c r="AI956">
        <v>91.566687807419498</v>
      </c>
      <c r="AJ956">
        <v>89.827715006994097</v>
      </c>
      <c r="AK956">
        <v>40.594379522717801</v>
      </c>
      <c r="AL956">
        <v>86.688707003253199</v>
      </c>
      <c r="AM956">
        <v>90.695111929955402</v>
      </c>
      <c r="AN956">
        <v>1.0000000175222501</v>
      </c>
    </row>
    <row r="957" spans="1:40" x14ac:dyDescent="0.25">
      <c r="A957" t="str">
        <f>"20190312160618902"</f>
        <v>20190312160618902</v>
      </c>
      <c r="B957" t="str">
        <f>"1552377978895754"</f>
        <v>1552377978895754</v>
      </c>
      <c r="C957" t="s">
        <v>40</v>
      </c>
      <c r="D957">
        <v>6.5632400000000004</v>
      </c>
      <c r="E957">
        <v>0.50542129999999996</v>
      </c>
      <c r="F957" t="s">
        <v>47</v>
      </c>
      <c r="G957">
        <v>-215.89359999999999</v>
      </c>
      <c r="H957" s="1">
        <v>-2.20624E-6</v>
      </c>
      <c r="I957">
        <v>367.0104</v>
      </c>
      <c r="J957">
        <v>-255.1027</v>
      </c>
      <c r="K957">
        <v>1.1098650000000001</v>
      </c>
      <c r="L957">
        <v>367.08859999999999</v>
      </c>
      <c r="M957">
        <v>0.99994810000000001</v>
      </c>
      <c r="N957">
        <v>0</v>
      </c>
      <c r="O957">
        <v>8.8854289999999996E-4</v>
      </c>
      <c r="P957">
        <v>0.99878730000000004</v>
      </c>
      <c r="Q957">
        <v>4.7477449999999997E-2</v>
      </c>
      <c r="R957">
        <v>1.305342E-2</v>
      </c>
      <c r="S957">
        <v>3.0077820000000002</v>
      </c>
      <c r="T957">
        <v>-8.4768300000000005E-2</v>
      </c>
      <c r="U957">
        <v>-5.9509280000000003E-3</v>
      </c>
      <c r="V957">
        <v>-1.2237700000000001E-2</v>
      </c>
      <c r="W957">
        <v>5.759562E-2</v>
      </c>
      <c r="X957">
        <v>0.99826499999999996</v>
      </c>
      <c r="Y957">
        <v>2.8656020000000001E-3</v>
      </c>
      <c r="Z957" s="1">
        <v>-6.5410660000000004E-5</v>
      </c>
      <c r="AA957">
        <v>0.99999590000000005</v>
      </c>
      <c r="AB957">
        <v>36</v>
      </c>
      <c r="AC957">
        <v>39.209099999999999</v>
      </c>
      <c r="AD957">
        <v>-1.1098672062399999</v>
      </c>
      <c r="AE957">
        <v>-7.8199999999981104E-2</v>
      </c>
      <c r="AF957">
        <v>0.11295022996510699</v>
      </c>
      <c r="AG957">
        <v>-1.1098672062399999</v>
      </c>
      <c r="AH957">
        <v>39.177624068416698</v>
      </c>
      <c r="AI957">
        <v>91.622697676081998</v>
      </c>
      <c r="AJ957">
        <v>89.834815058448598</v>
      </c>
      <c r="AK957">
        <v>39.193504444181997</v>
      </c>
      <c r="AL957">
        <v>86.698186888497602</v>
      </c>
      <c r="AM957">
        <v>90.702352020454796</v>
      </c>
      <c r="AN957">
        <v>1.00000001348473</v>
      </c>
    </row>
    <row r="958" spans="1:40" x14ac:dyDescent="0.25">
      <c r="A958" t="str">
        <f>"20190312160618914"</f>
        <v>20190312160618914</v>
      </c>
      <c r="B958" t="str">
        <f>"1552377978895754"</f>
        <v>1552377978895754</v>
      </c>
      <c r="C958" t="s">
        <v>40</v>
      </c>
      <c r="D958">
        <v>6.5632400000000004</v>
      </c>
      <c r="E958">
        <v>0.50542129999999996</v>
      </c>
      <c r="F958" t="s">
        <v>47</v>
      </c>
      <c r="G958">
        <v>-217.1352</v>
      </c>
      <c r="H958" s="1">
        <v>-1.6694719999999999E-6</v>
      </c>
      <c r="I958">
        <v>367.0335</v>
      </c>
      <c r="J958">
        <v>-254.90719999999999</v>
      </c>
      <c r="K958">
        <v>1.109866</v>
      </c>
      <c r="L958">
        <v>367.089</v>
      </c>
      <c r="M958">
        <v>0.99994780000000005</v>
      </c>
      <c r="N958">
        <v>0</v>
      </c>
      <c r="O958">
        <v>1.1843929999999999E-3</v>
      </c>
      <c r="P958">
        <v>0.99876920000000002</v>
      </c>
      <c r="Q958">
        <v>4.7719200000000003E-2</v>
      </c>
      <c r="R958">
        <v>1.353242E-2</v>
      </c>
      <c r="S958">
        <v>3.007889</v>
      </c>
      <c r="T958">
        <v>-8.7926630000000006E-2</v>
      </c>
      <c r="U958">
        <v>-4.3640140000000003E-3</v>
      </c>
      <c r="V958">
        <v>-1.2421740000000001E-2</v>
      </c>
      <c r="W958">
        <v>5.7840299999999997E-2</v>
      </c>
      <c r="X958">
        <v>0.99824860000000004</v>
      </c>
      <c r="Y958">
        <v>2.6336749999999998E-3</v>
      </c>
      <c r="Z958" s="1">
        <v>-7.3102130000000001E-5</v>
      </c>
      <c r="AA958">
        <v>0.99999649999999995</v>
      </c>
      <c r="AB958">
        <v>36</v>
      </c>
      <c r="AC958">
        <v>37.771999999999899</v>
      </c>
      <c r="AD958">
        <v>-1.109867669472</v>
      </c>
      <c r="AE958">
        <v>-5.5499999999994998E-2</v>
      </c>
      <c r="AF958">
        <v>0.100152687737847</v>
      </c>
      <c r="AG958">
        <v>-1.109867669472</v>
      </c>
      <c r="AH958">
        <v>37.739324425323602</v>
      </c>
      <c r="AI958">
        <v>91.684507799543198</v>
      </c>
      <c r="AJ958">
        <v>89.847948713161301</v>
      </c>
      <c r="AK958">
        <v>37.755773662903898</v>
      </c>
      <c r="AL958">
        <v>86.684144414398105</v>
      </c>
      <c r="AM958">
        <v>90.712925162493605</v>
      </c>
      <c r="AN958">
        <v>1.0000000336653301</v>
      </c>
    </row>
    <row r="959" spans="1:40" x14ac:dyDescent="0.25">
      <c r="A959" t="str">
        <f>"20190312160618925"</f>
        <v>20190312160618925</v>
      </c>
      <c r="B959" t="str">
        <f>"1552377978916251"</f>
        <v>1552377978916251</v>
      </c>
      <c r="C959" t="s">
        <v>40</v>
      </c>
      <c r="D959">
        <v>6.278937</v>
      </c>
      <c r="E959">
        <v>0.50539440000000002</v>
      </c>
      <c r="F959" t="s">
        <v>47</v>
      </c>
      <c r="G959">
        <v>-216.62379999999999</v>
      </c>
      <c r="H959" s="1">
        <v>-1.885485E-6</v>
      </c>
      <c r="I959">
        <v>367.05250000000001</v>
      </c>
      <c r="J959">
        <v>-254.72669999999999</v>
      </c>
      <c r="K959">
        <v>1.1098680000000001</v>
      </c>
      <c r="L959">
        <v>367.08940000000001</v>
      </c>
      <c r="M959">
        <v>0.99994749999999999</v>
      </c>
      <c r="N959">
        <v>0</v>
      </c>
      <c r="O959">
        <v>1.4542450000000001E-3</v>
      </c>
      <c r="P959">
        <v>0.99874249999999998</v>
      </c>
      <c r="Q959">
        <v>4.8179260000000002E-2</v>
      </c>
      <c r="R959">
        <v>1.386862E-2</v>
      </c>
      <c r="S959">
        <v>3.0079189999999998</v>
      </c>
      <c r="T959">
        <v>-8.720195E-2</v>
      </c>
      <c r="U959">
        <v>-2.8686520000000002E-3</v>
      </c>
      <c r="V959">
        <v>-1.2488519999999999E-2</v>
      </c>
      <c r="W959">
        <v>5.8302529999999998E-2</v>
      </c>
      <c r="X959">
        <v>0.99822089999999997</v>
      </c>
      <c r="Y959">
        <v>2.4063959999999999E-3</v>
      </c>
      <c r="Z959" s="1">
        <v>-7.7027360000000004E-5</v>
      </c>
      <c r="AA959">
        <v>0.99999709999999997</v>
      </c>
      <c r="AB959">
        <v>36</v>
      </c>
      <c r="AC959">
        <v>38.102899999999998</v>
      </c>
      <c r="AD959">
        <v>-1.109869885485</v>
      </c>
      <c r="AE959">
        <v>-3.6900000000002799E-2</v>
      </c>
      <c r="AF959">
        <v>9.2235505944639695E-2</v>
      </c>
      <c r="AG959">
        <v>-1.109869885485</v>
      </c>
      <c r="AH959">
        <v>38.070505015872101</v>
      </c>
      <c r="AI959">
        <v>91.669866677087995</v>
      </c>
      <c r="AJ959">
        <v>89.861186635959697</v>
      </c>
      <c r="AK959">
        <v>38.086791289301402</v>
      </c>
      <c r="AL959">
        <v>86.657615895030204</v>
      </c>
      <c r="AM959">
        <v>90.716777378527993</v>
      </c>
      <c r="AN959">
        <v>1.0000000566664899</v>
      </c>
    </row>
    <row r="960" spans="1:40" x14ac:dyDescent="0.25">
      <c r="A960" t="str">
        <f>"20190312160618937"</f>
        <v>20190312160618937</v>
      </c>
      <c r="B960" t="str">
        <f>"1552377978926011"</f>
        <v>1552377978926011</v>
      </c>
      <c r="C960" t="s">
        <v>40</v>
      </c>
      <c r="D960">
        <v>6.5947589999999998</v>
      </c>
      <c r="E960">
        <v>0.50538899999999998</v>
      </c>
      <c r="F960" t="s">
        <v>47</v>
      </c>
      <c r="G960">
        <v>-216.92429999999999</v>
      </c>
      <c r="H960" s="1">
        <v>-1.7536429999999999E-6</v>
      </c>
      <c r="I960">
        <v>367.06909999999999</v>
      </c>
      <c r="J960">
        <v>-254.54230000000001</v>
      </c>
      <c r="K960">
        <v>1.109866</v>
      </c>
      <c r="L960">
        <v>367.0899</v>
      </c>
      <c r="M960">
        <v>0.99994709999999998</v>
      </c>
      <c r="N960">
        <v>0</v>
      </c>
      <c r="O960">
        <v>1.728266E-3</v>
      </c>
      <c r="P960">
        <v>0.99868509999999999</v>
      </c>
      <c r="Q960">
        <v>4.9217990000000003E-2</v>
      </c>
      <c r="R960">
        <v>1.435735E-2</v>
      </c>
      <c r="S960">
        <v>3.008041</v>
      </c>
      <c r="T960">
        <v>-8.8315249999999998E-2</v>
      </c>
      <c r="U960">
        <v>-1.617432E-3</v>
      </c>
      <c r="V960">
        <v>-1.2705259999999999E-2</v>
      </c>
      <c r="W960">
        <v>5.9343569999999998E-2</v>
      </c>
      <c r="X960">
        <v>0.99815679999999996</v>
      </c>
      <c r="Y960">
        <v>2.264336E-3</v>
      </c>
      <c r="Z960" s="1">
        <v>-8.3966049999999897E-5</v>
      </c>
      <c r="AA960">
        <v>0.99999740000000004</v>
      </c>
      <c r="AB960">
        <v>36</v>
      </c>
      <c r="AC960">
        <v>37.618000000000002</v>
      </c>
      <c r="AD960">
        <v>-1.1098677536429999</v>
      </c>
      <c r="AE960">
        <v>-2.0800000000008301E-2</v>
      </c>
      <c r="AF960">
        <v>8.5742585774462796E-2</v>
      </c>
      <c r="AG960">
        <v>-1.1098677536429999</v>
      </c>
      <c r="AH960">
        <v>37.585191299084798</v>
      </c>
      <c r="AI960">
        <v>91.6914134757602</v>
      </c>
      <c r="AJ960">
        <v>89.869292144130995</v>
      </c>
      <c r="AK960">
        <v>37.601672345926197</v>
      </c>
      <c r="AL960">
        <v>86.597865178423604</v>
      </c>
      <c r="AM960">
        <v>90.729262641680293</v>
      </c>
      <c r="AN960">
        <v>1.00000004015912</v>
      </c>
    </row>
    <row r="961" spans="1:40" x14ac:dyDescent="0.25">
      <c r="A961" t="str">
        <f>"20190312160618956"</f>
        <v>20190312160618956</v>
      </c>
      <c r="B961" t="str">
        <f>"1552377978946136"</f>
        <v>1552377978946136</v>
      </c>
      <c r="C961" t="s">
        <v>40</v>
      </c>
      <c r="D961">
        <v>7.1019430000000003</v>
      </c>
      <c r="E961">
        <v>0.50517309999999904</v>
      </c>
      <c r="F961" t="s">
        <v>47</v>
      </c>
      <c r="G961">
        <v>-215.38050000000001</v>
      </c>
      <c r="H961" s="1">
        <v>-2.4121059999999999E-6</v>
      </c>
      <c r="I961">
        <v>367.09070000000003</v>
      </c>
      <c r="J961">
        <v>-254.22970000000001</v>
      </c>
      <c r="K961">
        <v>1.109869</v>
      </c>
      <c r="L961">
        <v>367.09089999999998</v>
      </c>
      <c r="M961">
        <v>0.999946</v>
      </c>
      <c r="N961">
        <v>0</v>
      </c>
      <c r="O961">
        <v>2.1852830000000001E-3</v>
      </c>
      <c r="P961">
        <v>0.99864149999999996</v>
      </c>
      <c r="Q961">
        <v>5.0239100000000002E-2</v>
      </c>
      <c r="R961">
        <v>1.383245E-2</v>
      </c>
      <c r="S961">
        <v>3.0081329999999999</v>
      </c>
      <c r="T961">
        <v>-8.5252049999999996E-2</v>
      </c>
      <c r="U961" s="1">
        <v>6.1035159999999999E-5</v>
      </c>
      <c r="V961">
        <v>-1.172406E-2</v>
      </c>
      <c r="W961">
        <v>6.0369779999999998E-2</v>
      </c>
      <c r="X961">
        <v>0.99810730000000003</v>
      </c>
      <c r="Y961">
        <v>2.16336E-3</v>
      </c>
      <c r="Z961" s="1">
        <v>-9.2572009999999995E-5</v>
      </c>
      <c r="AA961">
        <v>0.99999769999999999</v>
      </c>
      <c r="AB961">
        <v>36</v>
      </c>
      <c r="AC961">
        <v>38.849200000000003</v>
      </c>
      <c r="AD961">
        <v>-1.109871412106</v>
      </c>
      <c r="AE961">
        <v>-1.99999999949795E-4</v>
      </c>
      <c r="AF961">
        <v>8.5031477534488004E-2</v>
      </c>
      <c r="AG961">
        <v>-1.109871412106</v>
      </c>
      <c r="AH961">
        <v>38.817425134340702</v>
      </c>
      <c r="AI961">
        <v>91.637756106889498</v>
      </c>
      <c r="AJ961">
        <v>89.874490979786401</v>
      </c>
      <c r="AK961">
        <v>38.833381760590001</v>
      </c>
      <c r="AL961">
        <v>86.538962176126802</v>
      </c>
      <c r="AM961">
        <v>90.672982017892096</v>
      </c>
      <c r="AN961">
        <v>1.0000000731167</v>
      </c>
    </row>
    <row r="962" spans="1:40" x14ac:dyDescent="0.25">
      <c r="A962" t="str">
        <f>"20190312160618978"</f>
        <v>20190312160618978</v>
      </c>
      <c r="B962" t="str">
        <f>"1552377978965656"</f>
        <v>1552377978965656</v>
      </c>
      <c r="C962" t="s">
        <v>40</v>
      </c>
      <c r="D962">
        <v>6.4199989999999998</v>
      </c>
      <c r="E962">
        <v>0.50488820000000001</v>
      </c>
      <c r="F962" t="s">
        <v>47</v>
      </c>
      <c r="G962">
        <v>-214.24369999999999</v>
      </c>
      <c r="H962" s="1">
        <v>-2.8984029999999999E-6</v>
      </c>
      <c r="I962">
        <v>367.09859999999998</v>
      </c>
      <c r="J962">
        <v>-253.88749999999999</v>
      </c>
      <c r="K962">
        <v>1.109856</v>
      </c>
      <c r="L962">
        <v>367.09210000000002</v>
      </c>
      <c r="M962">
        <v>0.99994490000000003</v>
      </c>
      <c r="N962">
        <v>0</v>
      </c>
      <c r="O962">
        <v>2.66936E-3</v>
      </c>
      <c r="P962">
        <v>0.99862050000000002</v>
      </c>
      <c r="Q962">
        <v>5.1031460000000001E-2</v>
      </c>
      <c r="R962">
        <v>1.2379899999999999E-2</v>
      </c>
      <c r="S962">
        <v>3.0082550000000001</v>
      </c>
      <c r="T962">
        <v>-8.3498359999999994E-2</v>
      </c>
      <c r="U962">
        <v>5.7983399999999999E-4</v>
      </c>
      <c r="V962">
        <v>-9.7874639999999992E-3</v>
      </c>
      <c r="W962">
        <v>6.1169389999999997E-2</v>
      </c>
      <c r="X962">
        <v>0.99807939999999995</v>
      </c>
      <c r="Y962">
        <v>2.4747699999999998E-3</v>
      </c>
      <c r="Z962">
        <v>-1.084201E-4</v>
      </c>
      <c r="AA962">
        <v>0.99999700000000002</v>
      </c>
      <c r="AB962">
        <v>36</v>
      </c>
      <c r="AC962">
        <v>39.643799999999999</v>
      </c>
      <c r="AD962">
        <v>-1.109858898403</v>
      </c>
      <c r="AE962">
        <v>6.4999999999599796E-3</v>
      </c>
      <c r="AF962">
        <v>9.9251261741050603E-2</v>
      </c>
      <c r="AG962">
        <v>-1.109858898403</v>
      </c>
      <c r="AH962">
        <v>39.612629167889402</v>
      </c>
      <c r="AI962">
        <v>91.604877057372505</v>
      </c>
      <c r="AJ962">
        <v>89.856443093307803</v>
      </c>
      <c r="AK962">
        <v>39.628298312948601</v>
      </c>
      <c r="AL962">
        <v>86.493062773861396</v>
      </c>
      <c r="AM962">
        <v>90.561841477584196</v>
      </c>
      <c r="AN962">
        <v>0.99999998871444096</v>
      </c>
    </row>
    <row r="963" spans="1:40" x14ac:dyDescent="0.25">
      <c r="A963" t="str">
        <f>"20190312160619000"</f>
        <v>20190312160619000</v>
      </c>
      <c r="B963" t="str">
        <f>"1552377978995912"</f>
        <v>1552377978995912</v>
      </c>
      <c r="C963" t="s">
        <v>40</v>
      </c>
      <c r="D963">
        <v>6.6112580000000003</v>
      </c>
      <c r="E963">
        <v>0.50431359999999903</v>
      </c>
      <c r="F963" t="s">
        <v>47</v>
      </c>
      <c r="G963">
        <v>-211.96969999999999</v>
      </c>
      <c r="H963" s="1">
        <v>-3.8790069999999996E-6</v>
      </c>
      <c r="I963">
        <v>367.06990000000002</v>
      </c>
      <c r="J963">
        <v>-253.52340000000001</v>
      </c>
      <c r="K963">
        <v>1.1098410000000001</v>
      </c>
      <c r="L963">
        <v>367.09350000000001</v>
      </c>
      <c r="M963">
        <v>0.99994329999999998</v>
      </c>
      <c r="N963">
        <v>0</v>
      </c>
      <c r="O963">
        <v>3.1635729999999998E-3</v>
      </c>
      <c r="P963">
        <v>0.99860669999999996</v>
      </c>
      <c r="Q963">
        <v>5.1736129999999998E-2</v>
      </c>
      <c r="R963">
        <v>1.03955E-2</v>
      </c>
      <c r="S963">
        <v>3.0082399999999998</v>
      </c>
      <c r="T963">
        <v>-7.9649090000000006E-2</v>
      </c>
      <c r="U963">
        <v>-1.586914E-3</v>
      </c>
      <c r="V963">
        <v>-7.3080380000000002E-3</v>
      </c>
      <c r="W963">
        <v>6.1882340000000001E-2</v>
      </c>
      <c r="X963">
        <v>0.99805670000000002</v>
      </c>
      <c r="Y963">
        <v>3.688855E-3</v>
      </c>
      <c r="Z963">
        <v>-1.3257770000000001E-4</v>
      </c>
      <c r="AA963">
        <v>0.99999320000000003</v>
      </c>
      <c r="AB963">
        <v>36</v>
      </c>
      <c r="AC963">
        <v>41.553699999999999</v>
      </c>
      <c r="AD963">
        <v>-1.1098448790069999</v>
      </c>
      <c r="AE963">
        <v>-2.35999999999876E-2</v>
      </c>
      <c r="AF963">
        <v>0.154954304171667</v>
      </c>
      <c r="AG963">
        <v>-1.1098448790069999</v>
      </c>
      <c r="AH963">
        <v>41.5237962141073</v>
      </c>
      <c r="AI963">
        <v>91.531022087244693</v>
      </c>
      <c r="AJ963">
        <v>89.786190395755</v>
      </c>
      <c r="AK963">
        <v>41.538914508236097</v>
      </c>
      <c r="AL963">
        <v>86.452136264721105</v>
      </c>
      <c r="AM963">
        <v>90.419527518685797</v>
      </c>
      <c r="AN963">
        <v>1.0000000039190799</v>
      </c>
    </row>
    <row r="964" spans="1:40" x14ac:dyDescent="0.25">
      <c r="A964" t="str">
        <f>"20190312160619011"</f>
        <v>20190312160619011</v>
      </c>
      <c r="B964" t="str">
        <f>"1552377979005673"</f>
        <v>1552377979005673</v>
      </c>
      <c r="C964" t="s">
        <v>40</v>
      </c>
      <c r="D964">
        <v>6.3405459999999998</v>
      </c>
      <c r="E964">
        <v>0.50420109999999996</v>
      </c>
      <c r="F964" t="s">
        <v>48</v>
      </c>
      <c r="G964">
        <v>-208.0702</v>
      </c>
      <c r="H964" s="1">
        <v>-4.9535479999999997E-6</v>
      </c>
      <c r="I964">
        <v>367.05250000000001</v>
      </c>
      <c r="J964">
        <v>-253.33430000000001</v>
      </c>
      <c r="K964">
        <v>1.109826</v>
      </c>
      <c r="L964">
        <v>367.09429999999998</v>
      </c>
      <c r="M964">
        <v>0.99994240000000001</v>
      </c>
      <c r="N964">
        <v>0</v>
      </c>
      <c r="O964">
        <v>3.4115209999999998E-3</v>
      </c>
      <c r="P964">
        <v>0.9986273</v>
      </c>
      <c r="Q964">
        <v>5.1557249999999999E-2</v>
      </c>
      <c r="R964">
        <v>9.2450899999999992E-3</v>
      </c>
      <c r="S964">
        <v>3.008041</v>
      </c>
      <c r="T964">
        <v>-7.3448299999999994E-2</v>
      </c>
      <c r="U964">
        <v>-2.7160639999999998E-3</v>
      </c>
      <c r="V964">
        <v>-5.9079669999999897E-3</v>
      </c>
      <c r="W964">
        <v>6.1707680000000001E-2</v>
      </c>
      <c r="X964">
        <v>0.99807679999999999</v>
      </c>
      <c r="Y964">
        <v>4.3123220000000004E-3</v>
      </c>
      <c r="Z964">
        <v>-1.359318E-4</v>
      </c>
      <c r="AA964">
        <v>0.99999070000000001</v>
      </c>
      <c r="AB964">
        <v>36</v>
      </c>
      <c r="AC964">
        <v>45.264099999999999</v>
      </c>
      <c r="AD964">
        <v>-1.109830953548</v>
      </c>
      <c r="AE964">
        <v>-4.1799999999966503E-2</v>
      </c>
      <c r="AF964">
        <v>0.19610928349800599</v>
      </c>
      <c r="AG964">
        <v>-1.109830953548</v>
      </c>
      <c r="AH964">
        <v>45.2364986200148</v>
      </c>
      <c r="AI964">
        <v>91.405397867888198</v>
      </c>
      <c r="AJ964">
        <v>89.751612874112297</v>
      </c>
      <c r="AK964">
        <v>45.250535808928603</v>
      </c>
      <c r="AL964">
        <v>86.462162765385003</v>
      </c>
      <c r="AM964">
        <v>90.339149874170005</v>
      </c>
      <c r="AN964">
        <v>1.0000000202716399</v>
      </c>
    </row>
    <row r="965" spans="1:40" x14ac:dyDescent="0.25">
      <c r="A965" t="str">
        <f>"20190312160619024"</f>
        <v>20190312160619024</v>
      </c>
      <c r="B965" t="str">
        <f>"1552377979016409"</f>
        <v>1552377979016409</v>
      </c>
      <c r="C965" t="s">
        <v>40</v>
      </c>
      <c r="D965">
        <v>6.6229060000000004</v>
      </c>
      <c r="E965">
        <v>0.50427259999999996</v>
      </c>
      <c r="F965" t="s">
        <v>48</v>
      </c>
      <c r="G965">
        <v>-207.3083</v>
      </c>
      <c r="H965" s="1">
        <v>-4.6064719999999999E-6</v>
      </c>
      <c r="I965">
        <v>367.0172</v>
      </c>
      <c r="J965">
        <v>-253.1439</v>
      </c>
      <c r="K965">
        <v>1.109815</v>
      </c>
      <c r="L965">
        <v>367.09519999999998</v>
      </c>
      <c r="M965">
        <v>0.99994170000000004</v>
      </c>
      <c r="N965">
        <v>0</v>
      </c>
      <c r="O965">
        <v>3.6481730000000002E-3</v>
      </c>
      <c r="P965">
        <v>0.99865499999999996</v>
      </c>
      <c r="Q965">
        <v>5.1211279999999998E-2</v>
      </c>
      <c r="R965">
        <v>8.1169999999999992E-3</v>
      </c>
      <c r="S965">
        <v>3.007889</v>
      </c>
      <c r="T965">
        <v>-7.2529670000000004E-2</v>
      </c>
      <c r="U965">
        <v>-5.0353999999999998E-3</v>
      </c>
      <c r="V965">
        <v>-4.541214E-3</v>
      </c>
      <c r="W965">
        <v>6.136834E-2</v>
      </c>
      <c r="X965">
        <v>0.99810489999999996</v>
      </c>
      <c r="Y965">
        <v>5.3198009999999999E-3</v>
      </c>
      <c r="Z965">
        <v>-1.520898E-4</v>
      </c>
      <c r="AA965">
        <v>0.99998580000000004</v>
      </c>
      <c r="AB965">
        <v>36</v>
      </c>
      <c r="AC965">
        <v>45.835599999999999</v>
      </c>
      <c r="AD965">
        <v>-1.1098196064720001</v>
      </c>
      <c r="AE965">
        <v>-7.7999999999974506E-2</v>
      </c>
      <c r="AF965">
        <v>0.24508063215381601</v>
      </c>
      <c r="AG965">
        <v>-1.1098196064720001</v>
      </c>
      <c r="AH965">
        <v>45.808154430836197</v>
      </c>
      <c r="AI965">
        <v>91.387845321711794</v>
      </c>
      <c r="AJ965">
        <v>89.693461741501594</v>
      </c>
      <c r="AK965">
        <v>45.822251979082203</v>
      </c>
      <c r="AL965">
        <v>86.481642516078594</v>
      </c>
      <c r="AM965">
        <v>90.260684624103902</v>
      </c>
      <c r="AN965">
        <v>1.00000004359147</v>
      </c>
    </row>
    <row r="966" spans="1:40" x14ac:dyDescent="0.25">
      <c r="A966" t="str">
        <f>"20190312160619035"</f>
        <v>20190312160619035</v>
      </c>
      <c r="B966" t="str">
        <f>"1552377979026169"</f>
        <v>1552377979026169</v>
      </c>
      <c r="C966" t="s">
        <v>40</v>
      </c>
      <c r="D966">
        <v>6.6327819999999997</v>
      </c>
      <c r="E966">
        <v>0.50439789999999995</v>
      </c>
      <c r="F966" t="s">
        <v>48</v>
      </c>
      <c r="G966">
        <v>-207.80539999999999</v>
      </c>
      <c r="H966" s="1">
        <v>-4.8505199999999899E-6</v>
      </c>
      <c r="I966">
        <v>366.96089999999998</v>
      </c>
      <c r="J966">
        <v>-252.95750000000001</v>
      </c>
      <c r="K966">
        <v>1.1098030000000001</v>
      </c>
      <c r="L966">
        <v>367.096</v>
      </c>
      <c r="M966">
        <v>0.99994079999999996</v>
      </c>
      <c r="N966">
        <v>0</v>
      </c>
      <c r="O966">
        <v>3.8753419999999999E-3</v>
      </c>
      <c r="P966">
        <v>0.99867980000000001</v>
      </c>
      <c r="Q966">
        <v>5.0857850000000003E-2</v>
      </c>
      <c r="R966">
        <v>7.225576E-3</v>
      </c>
      <c r="S966">
        <v>3.007889</v>
      </c>
      <c r="T966">
        <v>-7.3628780000000005E-2</v>
      </c>
      <c r="U966">
        <v>-8.9111329999999999E-3</v>
      </c>
      <c r="V966">
        <v>-3.4204610000000001E-3</v>
      </c>
      <c r="W966">
        <v>6.1021369999999998E-2</v>
      </c>
      <c r="X966">
        <v>0.99813059999999998</v>
      </c>
      <c r="Y966">
        <v>6.8348690000000004E-3</v>
      </c>
      <c r="Z966">
        <v>-1.7849439999999999E-4</v>
      </c>
      <c r="AA966">
        <v>0.99997659999999999</v>
      </c>
      <c r="AB966">
        <v>36</v>
      </c>
      <c r="AC966">
        <v>45.152099999999997</v>
      </c>
      <c r="AD966">
        <v>-1.10980785052</v>
      </c>
      <c r="AE966">
        <v>-0.13510000000002201</v>
      </c>
      <c r="AF966">
        <v>0.30990063758361103</v>
      </c>
      <c r="AG966">
        <v>-1.10980785052</v>
      </c>
      <c r="AH966">
        <v>45.123976238672</v>
      </c>
      <c r="AI966">
        <v>91.408851701284803</v>
      </c>
      <c r="AJ966">
        <v>89.606512525505707</v>
      </c>
      <c r="AK966">
        <v>45.138685663834799</v>
      </c>
      <c r="AL966">
        <v>86.501559610528901</v>
      </c>
      <c r="AM966">
        <v>90.196344258100098</v>
      </c>
      <c r="AN966">
        <v>1.0000000009032399</v>
      </c>
    </row>
    <row r="967" spans="1:40" x14ac:dyDescent="0.25">
      <c r="A967" t="str">
        <f>"20190312160619047"</f>
        <v>20190312160619047</v>
      </c>
      <c r="B967" t="str">
        <f>"1552377979035929"</f>
        <v>1552377979035929</v>
      </c>
      <c r="C967" t="s">
        <v>40</v>
      </c>
      <c r="D967">
        <v>6.0143559999999896</v>
      </c>
      <c r="E967">
        <v>0.50441469999999999</v>
      </c>
      <c r="F967" t="s">
        <v>48</v>
      </c>
      <c r="G967">
        <v>-208.2004</v>
      </c>
      <c r="H967" s="1">
        <v>-5.0450239999999998E-6</v>
      </c>
      <c r="I967">
        <v>366.9135</v>
      </c>
      <c r="J967">
        <v>-252.75640000000001</v>
      </c>
      <c r="K967">
        <v>1.109791</v>
      </c>
      <c r="L967">
        <v>367.09699999999998</v>
      </c>
      <c r="M967">
        <v>0.99993969999999999</v>
      </c>
      <c r="N967">
        <v>0</v>
      </c>
      <c r="O967">
        <v>4.1023999999999904E-3</v>
      </c>
      <c r="P967">
        <v>0.9987028</v>
      </c>
      <c r="Q967">
        <v>5.0514829999999997E-2</v>
      </c>
      <c r="R967">
        <v>6.4007140000000001E-3</v>
      </c>
      <c r="S967">
        <v>3.0078740000000002</v>
      </c>
      <c r="T967">
        <v>-7.4584010000000006E-2</v>
      </c>
      <c r="U967">
        <v>-1.2268070000000001E-2</v>
      </c>
      <c r="V967">
        <v>-2.3662879999999998E-3</v>
      </c>
      <c r="W967">
        <v>6.0687249999999998E-2</v>
      </c>
      <c r="X967">
        <v>0.99815399999999999</v>
      </c>
      <c r="Y967">
        <v>8.1773880000000007E-3</v>
      </c>
      <c r="Z967">
        <v>-2.030817E-4</v>
      </c>
      <c r="AA967">
        <v>0.99996660000000004</v>
      </c>
      <c r="AB967">
        <v>36</v>
      </c>
      <c r="AC967">
        <v>44.555999999999997</v>
      </c>
      <c r="AD967">
        <v>-1.1097960450240001</v>
      </c>
      <c r="AE967">
        <v>-0.18349999999998001</v>
      </c>
      <c r="AF967">
        <v>0.36606736894712699</v>
      </c>
      <c r="AG967">
        <v>-1.1097960450240001</v>
      </c>
      <c r="AH967">
        <v>44.527247824540098</v>
      </c>
      <c r="AI967">
        <v>91.427694801181204</v>
      </c>
      <c r="AJ967">
        <v>89.5289706018592</v>
      </c>
      <c r="AK967">
        <v>44.542580206002597</v>
      </c>
      <c r="AL967">
        <v>86.520738730699506</v>
      </c>
      <c r="AM967">
        <v>90.135828801495194</v>
      </c>
      <c r="AN967">
        <v>0.99999997467373003</v>
      </c>
    </row>
    <row r="968" spans="1:40" x14ac:dyDescent="0.25">
      <c r="A968" t="str">
        <f>"20190312160619060"</f>
        <v>20190312160619060</v>
      </c>
      <c r="B968" t="str">
        <f>"1552377979056416"</f>
        <v>1552377979056416</v>
      </c>
      <c r="C968" t="s">
        <v>40</v>
      </c>
      <c r="D968">
        <v>6.5716109999999999</v>
      </c>
      <c r="E968">
        <v>0.50454589999999999</v>
      </c>
      <c r="F968" t="s">
        <v>48</v>
      </c>
      <c r="G968">
        <v>-207.71449999999999</v>
      </c>
      <c r="H968" s="1">
        <v>-4.8269349999999901E-6</v>
      </c>
      <c r="I968">
        <v>366.87630000000001</v>
      </c>
      <c r="J968">
        <v>-252.56469999999999</v>
      </c>
      <c r="K968">
        <v>1.109775</v>
      </c>
      <c r="L968">
        <v>367.09800000000001</v>
      </c>
      <c r="M968">
        <v>0.99993880000000002</v>
      </c>
      <c r="N968">
        <v>0</v>
      </c>
      <c r="O968">
        <v>4.3099610000000002E-3</v>
      </c>
      <c r="P968">
        <v>0.99870800000000004</v>
      </c>
      <c r="Q968">
        <v>5.054293E-2</v>
      </c>
      <c r="R968">
        <v>5.2892130000000001E-3</v>
      </c>
      <c r="S968">
        <v>3.007736</v>
      </c>
      <c r="T968">
        <v>-7.4108240000000006E-2</v>
      </c>
      <c r="U968">
        <v>-1.473999E-2</v>
      </c>
      <c r="V968">
        <v>-1.0455029999999999E-3</v>
      </c>
      <c r="W968">
        <v>6.072437E-2</v>
      </c>
      <c r="X968">
        <v>0.99815399999999999</v>
      </c>
      <c r="Y968">
        <v>9.2066200000000004E-3</v>
      </c>
      <c r="Z968">
        <v>-2.195869E-4</v>
      </c>
      <c r="AA968">
        <v>0.9999576</v>
      </c>
      <c r="AB968">
        <v>36</v>
      </c>
      <c r="AC968">
        <v>44.850200000000001</v>
      </c>
      <c r="AD968">
        <v>-1.1097798269350001</v>
      </c>
      <c r="AE968">
        <v>-0.22169999999999801</v>
      </c>
      <c r="AF968">
        <v>0.41475665069996298</v>
      </c>
      <c r="AG968">
        <v>-1.1097798269350001</v>
      </c>
      <c r="AH968">
        <v>44.821385583975101</v>
      </c>
      <c r="AI968">
        <v>91.418295970781202</v>
      </c>
      <c r="AJ968">
        <v>89.469826132048794</v>
      </c>
      <c r="AK968">
        <v>44.837040937275702</v>
      </c>
      <c r="AL968">
        <v>86.518607982543301</v>
      </c>
      <c r="AM968">
        <v>90.060013672701103</v>
      </c>
      <c r="AN968">
        <v>0.99999997495220905</v>
      </c>
    </row>
    <row r="969" spans="1:40" x14ac:dyDescent="0.25">
      <c r="A969" t="str">
        <f>"20190312160619072"</f>
        <v>20190312160619072</v>
      </c>
      <c r="B969" t="str">
        <f>"1552377979066175"</f>
        <v>1552377979066175</v>
      </c>
      <c r="C969" t="s">
        <v>40</v>
      </c>
      <c r="D969">
        <v>6.4730220000000003</v>
      </c>
      <c r="E969">
        <v>0.51062600000000002</v>
      </c>
      <c r="F969" t="s">
        <v>48</v>
      </c>
      <c r="G969">
        <v>-208.0549</v>
      </c>
      <c r="H969" s="1">
        <v>-4.9981319999999997E-6</v>
      </c>
      <c r="I969">
        <v>366.8193</v>
      </c>
      <c r="J969">
        <v>-252.36150000000001</v>
      </c>
      <c r="K969">
        <v>1.1097589999999999</v>
      </c>
      <c r="L969">
        <v>367.09899999999999</v>
      </c>
      <c r="M969">
        <v>0.99993770000000004</v>
      </c>
      <c r="N969">
        <v>0</v>
      </c>
      <c r="O969">
        <v>4.5189790000000002E-3</v>
      </c>
      <c r="P969">
        <v>0.9987085</v>
      </c>
      <c r="Q969">
        <v>5.0615019999999997E-2</v>
      </c>
      <c r="R969">
        <v>4.4507519999999997E-3</v>
      </c>
      <c r="S969">
        <v>3.0077820000000002</v>
      </c>
      <c r="T969">
        <v>-7.4994329999999998E-2</v>
      </c>
      <c r="U969">
        <v>-1.8829350000000002E-2</v>
      </c>
      <c r="V969" s="1">
        <v>4.5060590000000003E-6</v>
      </c>
      <c r="W969">
        <v>6.0807670000000001E-2</v>
      </c>
      <c r="X969">
        <v>0.99814950000000002</v>
      </c>
      <c r="Y969">
        <v>1.07744E-2</v>
      </c>
      <c r="Z969">
        <v>-2.469603E-4</v>
      </c>
      <c r="AA969">
        <v>0.99994190000000005</v>
      </c>
      <c r="AB969">
        <v>36</v>
      </c>
      <c r="AC969">
        <v>44.306600000000003</v>
      </c>
      <c r="AD969">
        <v>-1.109763998132</v>
      </c>
      <c r="AE969">
        <v>-0.27969999999999101</v>
      </c>
      <c r="AF969">
        <v>0.47962727631284402</v>
      </c>
      <c r="AG969">
        <v>-1.109763998132</v>
      </c>
      <c r="AH969">
        <v>44.2771064659646</v>
      </c>
      <c r="AI969">
        <v>91.435679988066795</v>
      </c>
      <c r="AJ969">
        <v>89.379373539181998</v>
      </c>
      <c r="AK969">
        <v>44.293608742730598</v>
      </c>
      <c r="AL969">
        <v>86.5138264901898</v>
      </c>
      <c r="AM969">
        <v>89.999741343192596</v>
      </c>
      <c r="AN969">
        <v>0.99999999855069099</v>
      </c>
    </row>
    <row r="970" spans="1:40" x14ac:dyDescent="0.25">
      <c r="A970" t="str">
        <f>"20190312160619082"</f>
        <v>20190312160619082</v>
      </c>
      <c r="B970" t="str">
        <f>"1552377979075936"</f>
        <v>1552377979075936</v>
      </c>
      <c r="C970" t="s">
        <v>40</v>
      </c>
      <c r="D970">
        <v>6.4624410000000001</v>
      </c>
      <c r="E970">
        <v>0.51123980000000002</v>
      </c>
      <c r="F970" t="s">
        <v>42</v>
      </c>
      <c r="G970">
        <v>-170.08879999999999</v>
      </c>
      <c r="H970">
        <v>14.05804</v>
      </c>
      <c r="I970">
        <v>365.07209999999998</v>
      </c>
      <c r="J970">
        <v>-252.18889999999999</v>
      </c>
      <c r="K970">
        <v>1.1097429999999999</v>
      </c>
      <c r="L970">
        <v>367.09989999999999</v>
      </c>
      <c r="M970">
        <v>0.99993690000000002</v>
      </c>
      <c r="N970">
        <v>0</v>
      </c>
      <c r="O970">
        <v>4.6839170000000001E-3</v>
      </c>
      <c r="P970">
        <v>0.99870559999999997</v>
      </c>
      <c r="Q970">
        <v>5.0741550000000003E-2</v>
      </c>
      <c r="R970">
        <v>3.5706919999999999E-3</v>
      </c>
      <c r="S970">
        <v>2.980423</v>
      </c>
      <c r="T970">
        <v>0.46906949999999997</v>
      </c>
      <c r="U970">
        <v>-7.3425290000000004E-2</v>
      </c>
      <c r="V970">
        <v>1.0513479999999999E-3</v>
      </c>
      <c r="W970">
        <v>6.094712E-2</v>
      </c>
      <c r="X970">
        <v>0.99814049999999999</v>
      </c>
      <c r="Y970">
        <v>2.8897740000000002E-2</v>
      </c>
      <c r="Z970">
        <v>2.992368E-3</v>
      </c>
      <c r="AA970">
        <v>0.99957790000000002</v>
      </c>
      <c r="AB970">
        <v>36</v>
      </c>
      <c r="AC970">
        <v>82.100099999999998</v>
      </c>
      <c r="AD970">
        <v>12.948297</v>
      </c>
      <c r="AE970">
        <v>-2.0278000000000098</v>
      </c>
      <c r="AF970">
        <v>2.3538352892934302</v>
      </c>
      <c r="AG970">
        <v>12.948297</v>
      </c>
      <c r="AH970">
        <v>80.098578701160605</v>
      </c>
      <c r="AI970">
        <v>80.821211392475206</v>
      </c>
      <c r="AJ970">
        <v>88.316748838110499</v>
      </c>
      <c r="AK970">
        <v>81.17253997329</v>
      </c>
      <c r="AL970">
        <v>86.505821952308196</v>
      </c>
      <c r="AM970">
        <v>89.939649998249195</v>
      </c>
      <c r="AN970">
        <v>1.00000005725457</v>
      </c>
    </row>
    <row r="971" spans="1:40" x14ac:dyDescent="0.25">
      <c r="A971" t="str">
        <f>"20190312160619094"</f>
        <v>20190312160619094</v>
      </c>
      <c r="B971" t="str">
        <f>"1552377979085697"</f>
        <v>1552377979085697</v>
      </c>
      <c r="C971" t="s">
        <v>40</v>
      </c>
      <c r="D971">
        <v>6.4269920000000003</v>
      </c>
      <c r="E971">
        <v>0.51123980000000002</v>
      </c>
      <c r="F971" t="s">
        <v>42</v>
      </c>
      <c r="G971">
        <v>-170.08879999999999</v>
      </c>
      <c r="H971">
        <v>13.4630299999999</v>
      </c>
      <c r="I971">
        <v>364.86450000000002</v>
      </c>
      <c r="J971">
        <v>-251.999</v>
      </c>
      <c r="K971">
        <v>1.109731</v>
      </c>
      <c r="L971">
        <v>367.101</v>
      </c>
      <c r="M971">
        <v>0.99993589999999999</v>
      </c>
      <c r="N971">
        <v>0</v>
      </c>
      <c r="O971">
        <v>4.8621209999999996E-3</v>
      </c>
      <c r="P971">
        <v>0.99868469999999998</v>
      </c>
      <c r="Q971">
        <v>5.120661E-2</v>
      </c>
      <c r="R971">
        <v>2.607229E-3</v>
      </c>
      <c r="S971">
        <v>2.9813839999999998</v>
      </c>
      <c r="T971">
        <v>0.44860030000000001</v>
      </c>
      <c r="U971">
        <v>-8.1176760000000001E-2</v>
      </c>
      <c r="V971">
        <v>2.1946219999999998E-3</v>
      </c>
      <c r="W971">
        <v>6.1425920000000002E-2</v>
      </c>
      <c r="X971">
        <v>0.99810920000000003</v>
      </c>
      <c r="Y971">
        <v>3.1667130000000002E-2</v>
      </c>
      <c r="Z971">
        <v>3.0960750000000002E-3</v>
      </c>
      <c r="AA971">
        <v>0.99949370000000004</v>
      </c>
      <c r="AB971">
        <v>36</v>
      </c>
      <c r="AC971">
        <v>81.910200000000003</v>
      </c>
      <c r="AD971">
        <v>12.3532989999999</v>
      </c>
      <c r="AE971">
        <v>-2.2364999999999702</v>
      </c>
      <c r="AF971">
        <v>2.5761991505700199</v>
      </c>
      <c r="AG971">
        <v>12.3532989999999</v>
      </c>
      <c r="AH971">
        <v>80.078315849678802</v>
      </c>
      <c r="AI971">
        <v>81.234847864553899</v>
      </c>
      <c r="AJ971">
        <v>88.157373241001693</v>
      </c>
      <c r="AK971">
        <v>81.066500279509597</v>
      </c>
      <c r="AL971">
        <v>86.478336921400995</v>
      </c>
      <c r="AM971">
        <v>89.874019420332402</v>
      </c>
      <c r="AN971">
        <v>0.99999996756910403</v>
      </c>
    </row>
    <row r="972" spans="1:40" x14ac:dyDescent="0.25">
      <c r="A972" t="str">
        <f>"20190312160619106"</f>
        <v>20190312160619106</v>
      </c>
      <c r="B972" t="str">
        <f>"1552377979096431"</f>
        <v>1552377979096431</v>
      </c>
      <c r="C972" t="s">
        <v>40</v>
      </c>
      <c r="D972">
        <v>6.3276659999999998</v>
      </c>
      <c r="E972">
        <v>0.51627809999999996</v>
      </c>
      <c r="F972" t="s">
        <v>42</v>
      </c>
      <c r="G972">
        <v>-170.08879999999999</v>
      </c>
      <c r="H972">
        <v>13.47147</v>
      </c>
      <c r="I972">
        <v>364.7833</v>
      </c>
      <c r="J972">
        <v>-251.81010000000001</v>
      </c>
      <c r="K972">
        <v>1.10972</v>
      </c>
      <c r="L972">
        <v>367.10199999999998</v>
      </c>
      <c r="M972">
        <v>0.99993489999999996</v>
      </c>
      <c r="N972">
        <v>0</v>
      </c>
      <c r="O972">
        <v>5.0266870000000002E-3</v>
      </c>
      <c r="P972">
        <v>0.99865380000000004</v>
      </c>
      <c r="Q972">
        <v>5.1845189999999999E-2</v>
      </c>
      <c r="R972">
        <v>1.6925589999999999E-3</v>
      </c>
      <c r="S972">
        <v>2.9811100000000001</v>
      </c>
      <c r="T972">
        <v>0.44990659999999999</v>
      </c>
      <c r="U972">
        <v>-8.4350590000000003E-2</v>
      </c>
      <c r="V972">
        <v>3.275118E-3</v>
      </c>
      <c r="W972">
        <v>6.2080789999999997E-2</v>
      </c>
      <c r="X972">
        <v>0.9980658</v>
      </c>
      <c r="Y972">
        <v>3.2879360000000003E-2</v>
      </c>
      <c r="Z972">
        <v>3.220863E-3</v>
      </c>
      <c r="AA972">
        <v>0.99945410000000001</v>
      </c>
      <c r="AB972">
        <v>36</v>
      </c>
      <c r="AC972">
        <v>81.721299999999999</v>
      </c>
      <c r="AD972">
        <v>12.361750000000001</v>
      </c>
      <c r="AE972">
        <v>-2.31869999999997</v>
      </c>
      <c r="AF972">
        <v>2.6684694961289201</v>
      </c>
      <c r="AG972">
        <v>12.361750000000001</v>
      </c>
      <c r="AH972">
        <v>79.882235802873694</v>
      </c>
      <c r="AI972">
        <v>81.208101010977003</v>
      </c>
      <c r="AJ972">
        <v>88.086743494158</v>
      </c>
      <c r="AK972">
        <v>80.877099288860407</v>
      </c>
      <c r="AL972">
        <v>86.440744163352704</v>
      </c>
      <c r="AM972">
        <v>89.811986579170494</v>
      </c>
      <c r="AN972">
        <v>1.00000004600728</v>
      </c>
    </row>
    <row r="973" spans="1:40" x14ac:dyDescent="0.25">
      <c r="A973" t="str">
        <f>"20190312160619117"</f>
        <v>20190312160619117</v>
      </c>
      <c r="B973" t="str">
        <f>"1552377979106193"</f>
        <v>1552377979106193</v>
      </c>
      <c r="C973" t="s">
        <v>40</v>
      </c>
      <c r="D973">
        <v>6.4243129999999997</v>
      </c>
      <c r="E973">
        <v>0.51583459999999903</v>
      </c>
      <c r="F973" t="s">
        <v>42</v>
      </c>
      <c r="G973">
        <v>-158.19499999999999</v>
      </c>
      <c r="H973">
        <v>4.442571</v>
      </c>
      <c r="I973">
        <v>363.2235</v>
      </c>
      <c r="J973">
        <v>-251.62520000000001</v>
      </c>
      <c r="K973">
        <v>1.10971</v>
      </c>
      <c r="L973">
        <v>367.10300000000001</v>
      </c>
      <c r="M973">
        <v>0.99993379999999998</v>
      </c>
      <c r="N973">
        <v>0</v>
      </c>
      <c r="O973">
        <v>5.184826E-3</v>
      </c>
      <c r="P973">
        <v>0.9986216</v>
      </c>
      <c r="Q973">
        <v>5.2482809999999998E-2</v>
      </c>
      <c r="R973">
        <v>6.7347659999999999E-4</v>
      </c>
      <c r="S973">
        <v>2.9987029999999999</v>
      </c>
      <c r="T973">
        <v>0.1067615</v>
      </c>
      <c r="U973">
        <v>-0.1242371</v>
      </c>
      <c r="V973">
        <v>4.4535019999999998E-3</v>
      </c>
      <c r="W973">
        <v>6.2735180000000001E-2</v>
      </c>
      <c r="X973">
        <v>0.99802029999999997</v>
      </c>
      <c r="Y973">
        <v>4.6542149999999997E-2</v>
      </c>
      <c r="Z973">
        <v>1.0123619999999999E-3</v>
      </c>
      <c r="AA973">
        <v>0.99891580000000002</v>
      </c>
      <c r="AB973">
        <v>36</v>
      </c>
      <c r="AC973">
        <v>93.430199999999999</v>
      </c>
      <c r="AD973">
        <v>3.3328609999999999</v>
      </c>
      <c r="AE973">
        <v>-3.8795000000000002</v>
      </c>
      <c r="AF973">
        <v>4.3583562486684801</v>
      </c>
      <c r="AG973">
        <v>3.3328609999999999</v>
      </c>
      <c r="AH973">
        <v>93.290320282885801</v>
      </c>
      <c r="AI973">
        <v>87.956166281388207</v>
      </c>
      <c r="AJ973">
        <v>87.325188937715197</v>
      </c>
      <c r="AK973">
        <v>93.451522674160003</v>
      </c>
      <c r="AL973">
        <v>86.403177085301607</v>
      </c>
      <c r="AM973">
        <v>89.744328672464803</v>
      </c>
      <c r="AN973">
        <v>1.00000002785089</v>
      </c>
    </row>
    <row r="974" spans="1:40" x14ac:dyDescent="0.25">
      <c r="A974" t="str">
        <f>"20190312160619130"</f>
        <v>20190312160619130</v>
      </c>
      <c r="B974" t="str">
        <f>"1552377979125712"</f>
        <v>1552377979125712</v>
      </c>
      <c r="C974" t="s">
        <v>40</v>
      </c>
      <c r="D974">
        <v>6.3151999999999999</v>
      </c>
      <c r="E974">
        <v>0.51673690000000005</v>
      </c>
      <c r="F974" t="s">
        <v>42</v>
      </c>
      <c r="G974">
        <v>-158.19499999999999</v>
      </c>
      <c r="H974">
        <v>4.5172980000000003</v>
      </c>
      <c r="I974">
        <v>363.24619999999999</v>
      </c>
      <c r="J974">
        <v>-251.416</v>
      </c>
      <c r="K974">
        <v>1.109702</v>
      </c>
      <c r="L974">
        <v>367.10430000000002</v>
      </c>
      <c r="M974">
        <v>0.99993279999999995</v>
      </c>
      <c r="N974">
        <v>0</v>
      </c>
      <c r="O974">
        <v>5.3555900000000004E-3</v>
      </c>
      <c r="P974">
        <v>0.99859050000000005</v>
      </c>
      <c r="Q974">
        <v>5.3077180000000002E-2</v>
      </c>
      <c r="R974" s="1">
        <v>-6.6130999999999994E-5</v>
      </c>
      <c r="S974">
        <v>2.9984739999999999</v>
      </c>
      <c r="T974">
        <v>0.10936319999999999</v>
      </c>
      <c r="U974">
        <v>-0.12377929999999999</v>
      </c>
      <c r="V974">
        <v>5.3648460000000004E-3</v>
      </c>
      <c r="W974">
        <v>6.3350509999999999E-2</v>
      </c>
      <c r="X974">
        <v>0.99797689999999994</v>
      </c>
      <c r="Y974">
        <v>4.6561900000000003E-2</v>
      </c>
      <c r="Z974">
        <v>1.0436829999999999E-3</v>
      </c>
      <c r="AA974">
        <v>0.99891479999999999</v>
      </c>
      <c r="AB974">
        <v>36</v>
      </c>
      <c r="AC974">
        <v>93.221000000000004</v>
      </c>
      <c r="AD974">
        <v>3.4075959999999998</v>
      </c>
      <c r="AE974">
        <v>-3.8581000000000301</v>
      </c>
      <c r="AF974">
        <v>4.35151998890779</v>
      </c>
      <c r="AG974">
        <v>3.4075959999999998</v>
      </c>
      <c r="AH974">
        <v>93.074846299662795</v>
      </c>
      <c r="AI974">
        <v>87.905546280401296</v>
      </c>
      <c r="AJ974">
        <v>87.323204738321607</v>
      </c>
      <c r="AK974">
        <v>93.238803351495903</v>
      </c>
      <c r="AL974">
        <v>86.367850832747905</v>
      </c>
      <c r="AM974">
        <v>89.691996806106999</v>
      </c>
      <c r="AN974">
        <v>0.99999998081173602</v>
      </c>
    </row>
    <row r="975" spans="1:40" x14ac:dyDescent="0.25">
      <c r="A975" t="str">
        <f>"20190312160619145"</f>
        <v>20190312160619145</v>
      </c>
      <c r="B975" t="str">
        <f>"1552377979136447"</f>
        <v>1552377979136447</v>
      </c>
      <c r="C975" t="s">
        <v>40</v>
      </c>
      <c r="D975">
        <v>6.0247339999999996</v>
      </c>
      <c r="E975">
        <v>0.51386209999999999</v>
      </c>
      <c r="F975" t="s">
        <v>42</v>
      </c>
      <c r="G975">
        <v>-158.19499999999999</v>
      </c>
      <c r="H975">
        <v>4.3812419999999896</v>
      </c>
      <c r="I975">
        <v>362.9631</v>
      </c>
      <c r="J975">
        <v>-251.18010000000001</v>
      </c>
      <c r="K975">
        <v>1.109704</v>
      </c>
      <c r="L975">
        <v>367.10570000000001</v>
      </c>
      <c r="M975">
        <v>0.99993160000000003</v>
      </c>
      <c r="N975">
        <v>0</v>
      </c>
      <c r="O975">
        <v>5.5411280000000002E-3</v>
      </c>
      <c r="P975">
        <v>0.99850680000000003</v>
      </c>
      <c r="Q975">
        <v>5.4603859999999997E-2</v>
      </c>
      <c r="R975">
        <v>-1.6833320000000001E-3</v>
      </c>
      <c r="S975">
        <v>2.9986269999999999</v>
      </c>
      <c r="T975">
        <v>0.10523780000000001</v>
      </c>
      <c r="U975">
        <v>-0.1332092</v>
      </c>
      <c r="V975">
        <v>7.1673329999999997E-3</v>
      </c>
      <c r="W975">
        <v>6.4901310000000004E-2</v>
      </c>
      <c r="X975">
        <v>0.99786600000000003</v>
      </c>
      <c r="Y975">
        <v>4.9880870000000001E-2</v>
      </c>
      <c r="Z975">
        <v>1.068921E-3</v>
      </c>
      <c r="AA975">
        <v>0.99875460000000005</v>
      </c>
      <c r="AB975">
        <v>36</v>
      </c>
      <c r="AC975">
        <v>92.985100000000003</v>
      </c>
      <c r="AD975">
        <v>3.2715380000000001</v>
      </c>
      <c r="AE975">
        <v>-4.1426000000000096</v>
      </c>
      <c r="AF975">
        <v>4.65205880443549</v>
      </c>
      <c r="AG975">
        <v>3.2715380000000001</v>
      </c>
      <c r="AH975">
        <v>92.846012228449396</v>
      </c>
      <c r="AI975">
        <v>87.984477342554896</v>
      </c>
      <c r="AJ975">
        <v>87.131587988417095</v>
      </c>
      <c r="AK975">
        <v>93.020033319337998</v>
      </c>
      <c r="AL975">
        <v>86.278813537915198</v>
      </c>
      <c r="AM975">
        <v>89.5884709275077</v>
      </c>
      <c r="AN975">
        <v>1.00000005232902</v>
      </c>
    </row>
    <row r="976" spans="1:40" x14ac:dyDescent="0.25">
      <c r="A976" t="str">
        <f>"20190312160619160"</f>
        <v>20190312160619160</v>
      </c>
      <c r="B976" t="str">
        <f>"1552377979155968"</f>
        <v>1552377979155968</v>
      </c>
      <c r="C976" t="s">
        <v>40</v>
      </c>
      <c r="D976">
        <v>6.4235699999999998</v>
      </c>
      <c r="E976">
        <v>0.51483350000000005</v>
      </c>
      <c r="F976" t="s">
        <v>42</v>
      </c>
      <c r="G976">
        <v>-158.19499999999999</v>
      </c>
      <c r="H976">
        <v>4.5171890000000001</v>
      </c>
      <c r="I976">
        <v>363.54989999999998</v>
      </c>
      <c r="J976">
        <v>-250.93270000000001</v>
      </c>
      <c r="K976">
        <v>1.109701</v>
      </c>
      <c r="L976">
        <v>367.10719999999998</v>
      </c>
      <c r="M976">
        <v>0.99993010000000004</v>
      </c>
      <c r="N976">
        <v>0</v>
      </c>
      <c r="O976">
        <v>5.7313210000000002E-3</v>
      </c>
      <c r="P976">
        <v>0.99848510000000001</v>
      </c>
      <c r="Q976">
        <v>5.4982959999999997E-2</v>
      </c>
      <c r="R976">
        <v>-2.204676E-3</v>
      </c>
      <c r="S976">
        <v>2.9982760000000002</v>
      </c>
      <c r="T976">
        <v>0.109876</v>
      </c>
      <c r="U976">
        <v>-0.11465450000000001</v>
      </c>
      <c r="V976">
        <v>7.8793809999999995E-3</v>
      </c>
      <c r="W976">
        <v>6.5307660000000003E-2</v>
      </c>
      <c r="X976">
        <v>0.99783409999999995</v>
      </c>
      <c r="Y976">
        <v>4.3905779999999998E-2</v>
      </c>
      <c r="Z976">
        <v>1.013833E-3</v>
      </c>
      <c r="AA976">
        <v>0.99903520000000001</v>
      </c>
      <c r="AB976">
        <v>36</v>
      </c>
      <c r="AC976">
        <v>92.737700000000004</v>
      </c>
      <c r="AD976">
        <v>3.4074879999999999</v>
      </c>
      <c r="AE976">
        <v>-3.5572999999999899</v>
      </c>
      <c r="AF976">
        <v>4.0832749153213204</v>
      </c>
      <c r="AG976">
        <v>3.4074879999999999</v>
      </c>
      <c r="AH976">
        <v>92.590967027605799</v>
      </c>
      <c r="AI976">
        <v>87.894424214836604</v>
      </c>
      <c r="AJ976">
        <v>87.474884031764503</v>
      </c>
      <c r="AK976">
        <v>92.743578125989004</v>
      </c>
      <c r="AL976">
        <v>86.255481827728801</v>
      </c>
      <c r="AM976">
        <v>89.547574197544407</v>
      </c>
      <c r="AN976">
        <v>1.00000003311121</v>
      </c>
    </row>
    <row r="977" spans="1:40" x14ac:dyDescent="0.25">
      <c r="A977" t="str">
        <f>"20190312160619180"</f>
        <v>20190312160619180</v>
      </c>
      <c r="B977" t="str">
        <f>"1552377979176463"</f>
        <v>1552377979176463</v>
      </c>
      <c r="C977" t="s">
        <v>40</v>
      </c>
      <c r="D977">
        <v>6.4252379999999896</v>
      </c>
      <c r="E977">
        <v>0.51430180000000003</v>
      </c>
      <c r="F977" t="s">
        <v>42</v>
      </c>
      <c r="G977">
        <v>-158.19499999999999</v>
      </c>
      <c r="H977">
        <v>4.3253700000000004</v>
      </c>
      <c r="I977">
        <v>363.26299999999998</v>
      </c>
      <c r="J977">
        <v>-250.62649999999999</v>
      </c>
      <c r="K977">
        <v>1.1096999999999999</v>
      </c>
      <c r="L977">
        <v>367.10919999999999</v>
      </c>
      <c r="M977">
        <v>0.9999285</v>
      </c>
      <c r="N977">
        <v>0</v>
      </c>
      <c r="O977">
        <v>5.9605079999999998E-3</v>
      </c>
      <c r="P977">
        <v>0.99845919999999999</v>
      </c>
      <c r="Q977">
        <v>5.5377540000000003E-2</v>
      </c>
      <c r="R977">
        <v>-3.5764949999999998E-3</v>
      </c>
      <c r="S977">
        <v>2.9985499999999998</v>
      </c>
      <c r="T977">
        <v>0.10397720000000001</v>
      </c>
      <c r="U977">
        <v>-0.12429809999999999</v>
      </c>
      <c r="V977">
        <v>9.4811989999999992E-3</v>
      </c>
      <c r="W977">
        <v>6.5739710000000007E-2</v>
      </c>
      <c r="X977">
        <v>0.99779180000000001</v>
      </c>
      <c r="Y977">
        <v>4.7340170000000001E-2</v>
      </c>
      <c r="Z977">
        <v>1.0267329999999999E-3</v>
      </c>
      <c r="AA977">
        <v>0.9988783</v>
      </c>
      <c r="AB977">
        <v>36</v>
      </c>
      <c r="AC977">
        <v>92.4315</v>
      </c>
      <c r="AD977">
        <v>3.2156699999999998</v>
      </c>
      <c r="AE977">
        <v>-3.8461999999999499</v>
      </c>
      <c r="AF977">
        <v>4.3917936490736196</v>
      </c>
      <c r="AG977">
        <v>3.2156699999999998</v>
      </c>
      <c r="AH977">
        <v>92.295416729361094</v>
      </c>
      <c r="AI977">
        <v>88.006814994268794</v>
      </c>
      <c r="AJ977">
        <v>87.275687257727796</v>
      </c>
      <c r="AK977">
        <v>92.455785834372506</v>
      </c>
      <c r="AL977">
        <v>86.230673898530497</v>
      </c>
      <c r="AM977">
        <v>89.455581476463905</v>
      </c>
      <c r="AN977">
        <v>1.0000000393763</v>
      </c>
    </row>
    <row r="978" spans="1:40" x14ac:dyDescent="0.25">
      <c r="A978" t="str">
        <f>"20190312160619201"</f>
        <v>20190312160619201</v>
      </c>
      <c r="B978" t="str">
        <f>"1552377979195984"</f>
        <v>1552377979195984</v>
      </c>
      <c r="C978" t="s">
        <v>40</v>
      </c>
      <c r="D978">
        <v>6.2456699999999996</v>
      </c>
      <c r="E978">
        <v>0.51418399999999997</v>
      </c>
      <c r="F978" t="s">
        <v>42</v>
      </c>
      <c r="G978">
        <v>-158.19499999999999</v>
      </c>
      <c r="H978">
        <v>4.2701409999999997</v>
      </c>
      <c r="I978">
        <v>363.29640000000001</v>
      </c>
      <c r="J978">
        <v>-250.26599999999999</v>
      </c>
      <c r="K978">
        <v>1.109704</v>
      </c>
      <c r="L978">
        <v>367.11160000000001</v>
      </c>
      <c r="M978">
        <v>0.99992630000000005</v>
      </c>
      <c r="N978">
        <v>0</v>
      </c>
      <c r="O978">
        <v>6.2265089999999999E-3</v>
      </c>
      <c r="P978">
        <v>0.99842880000000001</v>
      </c>
      <c r="Q978">
        <v>5.5779620000000002E-2</v>
      </c>
      <c r="R978">
        <v>-5.3469499999999996E-3</v>
      </c>
      <c r="S978">
        <v>2.9985050000000002</v>
      </c>
      <c r="T978">
        <v>0.1025283</v>
      </c>
      <c r="U978">
        <v>-0.1236877</v>
      </c>
      <c r="V978">
        <v>1.1517990000000001E-2</v>
      </c>
      <c r="W978">
        <v>6.6198850000000004E-2</v>
      </c>
      <c r="X978">
        <v>0.99773999999999996</v>
      </c>
      <c r="Y978">
        <v>4.7404229999999999E-2</v>
      </c>
      <c r="Z978">
        <v>1.022638E-3</v>
      </c>
      <c r="AA978">
        <v>0.99887530000000002</v>
      </c>
      <c r="AB978">
        <v>36</v>
      </c>
      <c r="AC978">
        <v>92.070999999999998</v>
      </c>
      <c r="AD978">
        <v>3.1604369999999999</v>
      </c>
      <c r="AE978">
        <v>-3.8151999999999999</v>
      </c>
      <c r="AF978">
        <v>4.3832822024473801</v>
      </c>
      <c r="AG978">
        <v>3.1604369999999999</v>
      </c>
      <c r="AH978">
        <v>91.937316127120795</v>
      </c>
      <c r="AI978">
        <v>88.033407764426499</v>
      </c>
      <c r="AJ978">
        <v>87.270384319834093</v>
      </c>
      <c r="AK978">
        <v>92.095991343572607</v>
      </c>
      <c r="AL978">
        <v>86.204309648046802</v>
      </c>
      <c r="AM978">
        <v>89.338602338927402</v>
      </c>
      <c r="AN978">
        <v>1.00000002971748</v>
      </c>
    </row>
    <row r="979" spans="1:40" x14ac:dyDescent="0.25">
      <c r="A979" t="str">
        <f>"20190312160619213"</f>
        <v>20190312160619213</v>
      </c>
      <c r="B979" t="str">
        <f>"1552377979205743"</f>
        <v>1552377979205743</v>
      </c>
      <c r="C979" t="s">
        <v>40</v>
      </c>
      <c r="D979">
        <v>6.2925209999999998</v>
      </c>
      <c r="E979">
        <v>0.52743569999999995</v>
      </c>
      <c r="F979" t="s">
        <v>42</v>
      </c>
      <c r="G979">
        <v>-158.19499999999999</v>
      </c>
      <c r="H979">
        <v>4.2679839999999896</v>
      </c>
      <c r="I979">
        <v>363.1728</v>
      </c>
      <c r="J979">
        <v>-250.0633</v>
      </c>
      <c r="K979">
        <v>1.1097079999999999</v>
      </c>
      <c r="L979">
        <v>367.11290000000002</v>
      </c>
      <c r="M979">
        <v>0.99992490000000001</v>
      </c>
      <c r="N979">
        <v>0</v>
      </c>
      <c r="O979">
        <v>6.3753509999999996E-3</v>
      </c>
      <c r="P979">
        <v>0.99842770000000003</v>
      </c>
      <c r="Q979">
        <v>5.571417E-2</v>
      </c>
      <c r="R979">
        <v>-6.1939079999999997E-3</v>
      </c>
      <c r="S979">
        <v>2.998291</v>
      </c>
      <c r="T979">
        <v>0.1028521</v>
      </c>
      <c r="U979">
        <v>-0.1282654</v>
      </c>
      <c r="V979">
        <v>1.251411E-2</v>
      </c>
      <c r="W979">
        <v>6.6171250000000001E-2</v>
      </c>
      <c r="X979">
        <v>0.9977298</v>
      </c>
      <c r="Y979">
        <v>4.907686E-2</v>
      </c>
      <c r="Z979">
        <v>1.0596749999999999E-3</v>
      </c>
      <c r="AA979">
        <v>0.99879439999999997</v>
      </c>
      <c r="AB979">
        <v>36</v>
      </c>
      <c r="AC979">
        <v>91.868300000000005</v>
      </c>
      <c r="AD979">
        <v>3.1582759999999901</v>
      </c>
      <c r="AE979">
        <v>-3.9401000000000201</v>
      </c>
      <c r="AF979">
        <v>4.5204119406180698</v>
      </c>
      <c r="AG979">
        <v>3.1582759999999901</v>
      </c>
      <c r="AH979">
        <v>91.733094574266602</v>
      </c>
      <c r="AI979">
        <v>88.030532074293902</v>
      </c>
      <c r="AJ979">
        <v>87.178867806120806</v>
      </c>
      <c r="AK979">
        <v>91.898691348551907</v>
      </c>
      <c r="AL979">
        <v>86.2058943566295</v>
      </c>
      <c r="AM979">
        <v>89.281400543524896</v>
      </c>
      <c r="AN979">
        <v>0.99999999554184704</v>
      </c>
    </row>
    <row r="980" spans="1:40" x14ac:dyDescent="0.25">
      <c r="A980" t="str">
        <f>"20190312160619224"</f>
        <v>20190312160619224</v>
      </c>
      <c r="B980" t="str">
        <f>"1552377979215504"</f>
        <v>1552377979215504</v>
      </c>
      <c r="C980" t="s">
        <v>40</v>
      </c>
      <c r="D980">
        <v>6.2821410000000002</v>
      </c>
      <c r="E980">
        <v>0.52686379999999999</v>
      </c>
      <c r="F980" t="s">
        <v>44</v>
      </c>
      <c r="G980">
        <v>-249.32249999999999</v>
      </c>
      <c r="H980">
        <v>1.0476379999999901</v>
      </c>
      <c r="I980">
        <v>367.0564</v>
      </c>
      <c r="J980">
        <v>-249.88560000000001</v>
      </c>
      <c r="K980">
        <v>1.1097140000000001</v>
      </c>
      <c r="L980">
        <v>367.11419999999998</v>
      </c>
      <c r="M980">
        <v>0.99992360000000002</v>
      </c>
      <c r="N980">
        <v>0</v>
      </c>
      <c r="O980">
        <v>6.5065260000000003E-3</v>
      </c>
      <c r="P980">
        <v>0.99840329999999999</v>
      </c>
      <c r="Q980">
        <v>5.6038579999999998E-2</v>
      </c>
      <c r="R980">
        <v>-7.1436859999999998E-3</v>
      </c>
      <c r="S980">
        <v>3.0174259999999999</v>
      </c>
      <c r="T980">
        <v>-0.25301000000000001</v>
      </c>
      <c r="U980">
        <v>-0.22964480000000001</v>
      </c>
      <c r="V980">
        <v>1.3594739999999999E-2</v>
      </c>
      <c r="W980">
        <v>6.6539509999999996E-2</v>
      </c>
      <c r="X980">
        <v>0.9976912</v>
      </c>
      <c r="Y980">
        <v>8.2064199999999907E-2</v>
      </c>
      <c r="Z980">
        <v>-3.9734599999999998E-3</v>
      </c>
      <c r="AA980">
        <v>0.99661909999999998</v>
      </c>
      <c r="AB980">
        <v>36</v>
      </c>
      <c r="AC980">
        <v>0.56310000000001903</v>
      </c>
      <c r="AD980">
        <v>-6.2075999999999999E-2</v>
      </c>
      <c r="AE980">
        <v>-5.7799999999986001E-2</v>
      </c>
      <c r="AF980">
        <v>6.0732429761630201E-2</v>
      </c>
      <c r="AG980">
        <v>-6.2075999999999999E-2</v>
      </c>
      <c r="AH980">
        <v>0.55602517148000796</v>
      </c>
      <c r="AI980">
        <v>96.332904852481704</v>
      </c>
      <c r="AJ980">
        <v>83.766519456002499</v>
      </c>
      <c r="AK980">
        <v>0.56276624731776803</v>
      </c>
      <c r="AL980">
        <v>86.184748127233902</v>
      </c>
      <c r="AM980">
        <v>89.219324553881904</v>
      </c>
      <c r="AN980">
        <v>1.0000000269520699</v>
      </c>
    </row>
    <row r="981" spans="1:40" x14ac:dyDescent="0.25">
      <c r="A981" t="str">
        <f>"20190312160619236"</f>
        <v>20190312160619236</v>
      </c>
      <c r="B981" t="str">
        <f>"1552377979226239"</f>
        <v>1552377979226239</v>
      </c>
      <c r="C981" t="s">
        <v>40</v>
      </c>
      <c r="D981">
        <v>6.28085</v>
      </c>
      <c r="E981">
        <v>0.52665240000000002</v>
      </c>
      <c r="F981" t="s">
        <v>44</v>
      </c>
      <c r="G981">
        <v>-249.0034</v>
      </c>
      <c r="H981">
        <v>1.034953</v>
      </c>
      <c r="I981">
        <v>367.04770000000002</v>
      </c>
      <c r="J981">
        <v>-249.6951</v>
      </c>
      <c r="K981">
        <v>1.1097220000000001</v>
      </c>
      <c r="L981">
        <v>367.1155</v>
      </c>
      <c r="M981">
        <v>0.99992219999999998</v>
      </c>
      <c r="N981">
        <v>0</v>
      </c>
      <c r="O981">
        <v>6.6475569999999897E-3</v>
      </c>
      <c r="P981">
        <v>0.99839690000000003</v>
      </c>
      <c r="Q981">
        <v>5.5968980000000002E-2</v>
      </c>
      <c r="R981">
        <v>-8.4256109999999995E-3</v>
      </c>
      <c r="S981">
        <v>3.0175480000000001</v>
      </c>
      <c r="T981">
        <v>-0.25576839999999901</v>
      </c>
      <c r="U981">
        <v>-0.22763059999999999</v>
      </c>
      <c r="V981">
        <v>1.50181E-2</v>
      </c>
      <c r="W981">
        <v>6.6521910000000004E-2</v>
      </c>
      <c r="X981">
        <v>0.997672</v>
      </c>
      <c r="Y981">
        <v>8.1534899999999993E-2</v>
      </c>
      <c r="Z981">
        <v>-4.0061230000000003E-3</v>
      </c>
      <c r="AA981">
        <v>0.99666239999999995</v>
      </c>
      <c r="AB981">
        <v>36</v>
      </c>
      <c r="AC981">
        <v>0.69169999999999698</v>
      </c>
      <c r="AD981">
        <v>-7.4768999999999794E-2</v>
      </c>
      <c r="AE981">
        <v>-6.7799999999976907E-2</v>
      </c>
      <c r="AF981">
        <v>7.1568592716442697E-2</v>
      </c>
      <c r="AG981">
        <v>-7.4768999999999794E-2</v>
      </c>
      <c r="AH981">
        <v>0.68332569441680502</v>
      </c>
      <c r="AI981">
        <v>96.210717066652904</v>
      </c>
      <c r="AJ981">
        <v>84.020885786036501</v>
      </c>
      <c r="AK981">
        <v>0.69111972296746205</v>
      </c>
      <c r="AL981">
        <v>86.185758912547499</v>
      </c>
      <c r="AM981">
        <v>89.137583532953101</v>
      </c>
      <c r="AN981">
        <v>1.00000006371082</v>
      </c>
    </row>
    <row r="982" spans="1:40" x14ac:dyDescent="0.25">
      <c r="A982" t="str">
        <f>"20190312160619249"</f>
        <v>20190312160619249</v>
      </c>
      <c r="B982" t="str">
        <f>"1552377979246268"</f>
        <v>1552377979246268</v>
      </c>
      <c r="C982" t="s">
        <v>40</v>
      </c>
      <c r="D982">
        <v>6.019304</v>
      </c>
      <c r="E982">
        <v>0.52741070000000001</v>
      </c>
      <c r="F982" t="s">
        <v>44</v>
      </c>
      <c r="G982">
        <v>-248.68279999999999</v>
      </c>
      <c r="H982">
        <v>1.024011</v>
      </c>
      <c r="I982">
        <v>367.03820000000002</v>
      </c>
      <c r="J982">
        <v>-249.48939999999999</v>
      </c>
      <c r="K982">
        <v>1.1097300000000001</v>
      </c>
      <c r="L982">
        <v>367.11709999999999</v>
      </c>
      <c r="M982">
        <v>0.99992040000000004</v>
      </c>
      <c r="N982">
        <v>0</v>
      </c>
      <c r="O982">
        <v>6.8017059999999898E-3</v>
      </c>
      <c r="P982">
        <v>0.99838689999999997</v>
      </c>
      <c r="Q982">
        <v>5.6004779999999997E-2</v>
      </c>
      <c r="R982">
        <v>-9.3440940000000007E-3</v>
      </c>
      <c r="S982">
        <v>3.017242</v>
      </c>
      <c r="T982">
        <v>-0.25574590000000003</v>
      </c>
      <c r="U982">
        <v>-0.22955320000000001</v>
      </c>
      <c r="V982">
        <v>1.6090420000000001E-2</v>
      </c>
      <c r="W982">
        <v>6.6634659999999998E-2</v>
      </c>
      <c r="X982">
        <v>0.99764770000000003</v>
      </c>
      <c r="Y982">
        <v>8.2324179999999997E-2</v>
      </c>
      <c r="Z982">
        <v>-4.0524480000000002E-3</v>
      </c>
      <c r="AA982">
        <v>0.99659730000000002</v>
      </c>
      <c r="AB982">
        <v>36</v>
      </c>
      <c r="AC982">
        <v>0.80660000000000298</v>
      </c>
      <c r="AD982">
        <v>-8.5718999999999795E-2</v>
      </c>
      <c r="AE982">
        <v>-7.8899999999975906E-2</v>
      </c>
      <c r="AF982">
        <v>8.3451196981486106E-2</v>
      </c>
      <c r="AG982">
        <v>-8.5718999999999795E-2</v>
      </c>
      <c r="AH982">
        <v>0.79712742873201803</v>
      </c>
      <c r="AI982">
        <v>96.104600788537297</v>
      </c>
      <c r="AJ982">
        <v>84.023480848416398</v>
      </c>
      <c r="AK982">
        <v>0.80605458058096902</v>
      </c>
      <c r="AL982">
        <v>86.179284229096297</v>
      </c>
      <c r="AM982">
        <v>89.075993227033507</v>
      </c>
      <c r="AN982">
        <v>1.0000000064221899</v>
      </c>
    </row>
    <row r="983" spans="1:40" x14ac:dyDescent="0.25">
      <c r="A983" t="str">
        <f>"20190312160619268"</f>
        <v>20190312160619268</v>
      </c>
      <c r="B983" t="str">
        <f>"1552377979256027"</f>
        <v>1552377979256027</v>
      </c>
      <c r="C983" t="s">
        <v>40</v>
      </c>
      <c r="D983">
        <v>6.3534459999999999</v>
      </c>
      <c r="E983">
        <v>0.51205080000000003</v>
      </c>
      <c r="F983" t="s">
        <v>44</v>
      </c>
      <c r="G983">
        <v>-248.6754</v>
      </c>
      <c r="H983">
        <v>1.039385</v>
      </c>
      <c r="I983">
        <v>367.05259999999998</v>
      </c>
      <c r="J983">
        <v>-249.17689999999999</v>
      </c>
      <c r="K983">
        <v>1.1097539999999999</v>
      </c>
      <c r="L983">
        <v>367.11939999999998</v>
      </c>
      <c r="M983">
        <v>0.99991719999999895</v>
      </c>
      <c r="N983">
        <v>0</v>
      </c>
      <c r="O983">
        <v>7.0377030000000002E-3</v>
      </c>
      <c r="P983">
        <v>0.99836829999999999</v>
      </c>
      <c r="Q983">
        <v>5.5909250000000001E-2</v>
      </c>
      <c r="R983">
        <v>-1.1625430000000001E-2</v>
      </c>
      <c r="S983">
        <v>3.0172880000000002</v>
      </c>
      <c r="T983">
        <v>-0.26111200000000001</v>
      </c>
      <c r="U983">
        <v>-0.2380371</v>
      </c>
      <c r="V983">
        <v>1.8607180000000001E-2</v>
      </c>
      <c r="W983">
        <v>6.6676070000000004E-2</v>
      </c>
      <c r="X983">
        <v>0.99760119999999997</v>
      </c>
      <c r="Y983">
        <v>8.5317980000000002E-2</v>
      </c>
      <c r="Z983">
        <v>-4.2861139999999997E-3</v>
      </c>
      <c r="AA983">
        <v>0.99634460000000002</v>
      </c>
      <c r="AB983">
        <v>36</v>
      </c>
      <c r="AC983">
        <v>0.50149999999999295</v>
      </c>
      <c r="AD983">
        <v>-7.0369000000000098E-2</v>
      </c>
      <c r="AE983">
        <v>-6.6800000000000595E-2</v>
      </c>
      <c r="AF983">
        <v>6.8993240206162196E-2</v>
      </c>
      <c r="AG983">
        <v>-7.0369000000000098E-2</v>
      </c>
      <c r="AH983">
        <v>0.49150888060956399</v>
      </c>
      <c r="AI983">
        <v>98.069575450686997</v>
      </c>
      <c r="AJ983">
        <v>82.0095828974342</v>
      </c>
      <c r="AK983">
        <v>0.50129117593790895</v>
      </c>
      <c r="AL983">
        <v>86.176906450543001</v>
      </c>
      <c r="AM983">
        <v>88.931447479270204</v>
      </c>
      <c r="AN983">
        <v>1.0000000398498099</v>
      </c>
    </row>
    <row r="984" spans="1:40" x14ac:dyDescent="0.25">
      <c r="A984" t="str">
        <f>"20190312160619280"</f>
        <v>20190312160619280</v>
      </c>
      <c r="B984" t="str">
        <f>"1552377979275548"</f>
        <v>1552377979275548</v>
      </c>
      <c r="C984" t="s">
        <v>40</v>
      </c>
      <c r="D984">
        <v>6.2989739999999896</v>
      </c>
      <c r="E984">
        <v>0.51511019999999996</v>
      </c>
      <c r="F984" t="s">
        <v>42</v>
      </c>
      <c r="G984">
        <v>-158.19499999999999</v>
      </c>
      <c r="H984">
        <v>2.9867680000000001</v>
      </c>
      <c r="I984">
        <v>363.2183</v>
      </c>
      <c r="J984">
        <v>-248.98</v>
      </c>
      <c r="K984">
        <v>1.109777</v>
      </c>
      <c r="L984">
        <v>367.12090000000001</v>
      </c>
      <c r="M984">
        <v>0.9999152</v>
      </c>
      <c r="N984">
        <v>0</v>
      </c>
      <c r="O984">
        <v>7.1831909999999898E-3</v>
      </c>
      <c r="P984">
        <v>0.99836550000000002</v>
      </c>
      <c r="Q984">
        <v>5.5734069999999997E-2</v>
      </c>
      <c r="R984">
        <v>-1.266897E-2</v>
      </c>
      <c r="S984">
        <v>2.9999389999999999</v>
      </c>
      <c r="T984">
        <v>6.1893459999999997E-2</v>
      </c>
      <c r="U984">
        <v>-0.12863160000000001</v>
      </c>
      <c r="V984">
        <v>1.979587E-2</v>
      </c>
      <c r="W984">
        <v>6.6597080000000003E-2</v>
      </c>
      <c r="X984">
        <v>0.99758360000000001</v>
      </c>
      <c r="Y984">
        <v>5.000247E-2</v>
      </c>
      <c r="Z984">
        <v>6.6365330000000004E-4</v>
      </c>
      <c r="AA984">
        <v>0.99874890000000005</v>
      </c>
      <c r="AB984">
        <v>36</v>
      </c>
      <c r="AC984">
        <v>90.784999999999997</v>
      </c>
      <c r="AD984">
        <v>1.8769910000000001</v>
      </c>
      <c r="AE984">
        <v>-3.9026000000000001</v>
      </c>
      <c r="AF984">
        <v>4.5527212554077501</v>
      </c>
      <c r="AG984">
        <v>1.8769910000000001</v>
      </c>
      <c r="AH984">
        <v>90.715916781781203</v>
      </c>
      <c r="AI984">
        <v>88.816159261810597</v>
      </c>
      <c r="AJ984">
        <v>87.126931512117196</v>
      </c>
      <c r="AK984">
        <v>90.849479489992603</v>
      </c>
      <c r="AL984">
        <v>86.181442338862695</v>
      </c>
      <c r="AM984">
        <v>88.863182031746106</v>
      </c>
      <c r="AN984">
        <v>1.0000000432612699</v>
      </c>
    </row>
    <row r="985" spans="1:40" x14ac:dyDescent="0.25">
      <c r="A985" t="str">
        <f>"20190312160619292"</f>
        <v>20190312160619292</v>
      </c>
      <c r="B985" t="str">
        <f>"1552377979286283"</f>
        <v>1552377979286283</v>
      </c>
      <c r="C985" t="s">
        <v>40</v>
      </c>
      <c r="D985">
        <v>6.3170979999999997</v>
      </c>
      <c r="E985">
        <v>0.53073950000000003</v>
      </c>
      <c r="F985" t="s">
        <v>42</v>
      </c>
      <c r="G985">
        <v>-158.19499999999999</v>
      </c>
      <c r="H985">
        <v>2.9364460000000001</v>
      </c>
      <c r="I985">
        <v>362.40109999999999</v>
      </c>
      <c r="J985">
        <v>-248.77969999999999</v>
      </c>
      <c r="K985">
        <v>1.1097950000000001</v>
      </c>
      <c r="L985">
        <v>367.1225</v>
      </c>
      <c r="M985">
        <v>0.99991289999999999</v>
      </c>
      <c r="N985">
        <v>0</v>
      </c>
      <c r="O985">
        <v>7.3278040000000003E-3</v>
      </c>
      <c r="P985">
        <v>0.99836190000000002</v>
      </c>
      <c r="Q985">
        <v>5.559766E-2</v>
      </c>
      <c r="R985">
        <v>-1.351539E-2</v>
      </c>
      <c r="S985">
        <v>2.9995569999999998</v>
      </c>
      <c r="T985">
        <v>6.0356380000000001E-2</v>
      </c>
      <c r="U985">
        <v>-0.15594479999999999</v>
      </c>
      <c r="V985">
        <v>2.0786300000000001E-2</v>
      </c>
      <c r="W985">
        <v>6.6563289999999997E-2</v>
      </c>
      <c r="X985">
        <v>0.9975657</v>
      </c>
      <c r="Y985">
        <v>5.9222690000000001E-2</v>
      </c>
      <c r="Z985">
        <v>7.4271899999999997E-4</v>
      </c>
      <c r="AA985">
        <v>0.99824449999999998</v>
      </c>
      <c r="AB985">
        <v>36</v>
      </c>
      <c r="AC985">
        <v>90.584699999999998</v>
      </c>
      <c r="AD985">
        <v>1.82665099999999</v>
      </c>
      <c r="AE985">
        <v>-4.7214000000000098</v>
      </c>
      <c r="AF985">
        <v>5.3829172078823699</v>
      </c>
      <c r="AG985">
        <v>1.82665099999999</v>
      </c>
      <c r="AH985">
        <v>90.510963113756205</v>
      </c>
      <c r="AI985">
        <v>88.845878343886099</v>
      </c>
      <c r="AJ985">
        <v>86.596483199604606</v>
      </c>
      <c r="AK985">
        <v>90.689287654730407</v>
      </c>
      <c r="AL985">
        <v>86.183382632560196</v>
      </c>
      <c r="AM985">
        <v>88.806299232978901</v>
      </c>
      <c r="AN985">
        <v>1.0000000338299</v>
      </c>
    </row>
    <row r="986" spans="1:40" x14ac:dyDescent="0.25">
      <c r="A986" t="str">
        <f>"20190312160619303"</f>
        <v>20190312160619303</v>
      </c>
      <c r="B986" t="str">
        <f>"1552377979296044"</f>
        <v>1552377979296044</v>
      </c>
      <c r="C986" t="s">
        <v>40</v>
      </c>
      <c r="D986">
        <v>6.4539989999999996</v>
      </c>
      <c r="E986">
        <v>0.53073950000000003</v>
      </c>
      <c r="F986" t="s">
        <v>44</v>
      </c>
      <c r="G986">
        <v>-248.0292</v>
      </c>
      <c r="H986">
        <v>1.028816</v>
      </c>
      <c r="I986">
        <v>367.05399999999997</v>
      </c>
      <c r="J986">
        <v>-248.59790000000001</v>
      </c>
      <c r="K986">
        <v>1.109812</v>
      </c>
      <c r="L986">
        <v>367.12400000000002</v>
      </c>
      <c r="M986">
        <v>0.99991099999999999</v>
      </c>
      <c r="N986">
        <v>0</v>
      </c>
      <c r="O986">
        <v>7.4539150000000002E-3</v>
      </c>
      <c r="P986">
        <v>0.99836409999999998</v>
      </c>
      <c r="Q986">
        <v>5.5303970000000001E-2</v>
      </c>
      <c r="R986">
        <v>-1.452021E-2</v>
      </c>
      <c r="S986">
        <v>3.0193789999999998</v>
      </c>
      <c r="T986">
        <v>-0.3262275</v>
      </c>
      <c r="U986">
        <v>-0.27420040000000001</v>
      </c>
      <c r="V986">
        <v>2.191748E-2</v>
      </c>
      <c r="W986">
        <v>6.6371070000000004E-2</v>
      </c>
      <c r="X986">
        <v>0.99755419999999995</v>
      </c>
      <c r="Y986">
        <v>9.7258129999999998E-2</v>
      </c>
      <c r="Z986">
        <v>-6.029693E-3</v>
      </c>
      <c r="AA986">
        <v>0.99524089999999998</v>
      </c>
      <c r="AB986">
        <v>36</v>
      </c>
      <c r="AC986">
        <v>0.56870000000000598</v>
      </c>
      <c r="AD986">
        <v>-8.0995999999999999E-2</v>
      </c>
      <c r="AE986">
        <v>-6.9999999999993096E-2</v>
      </c>
      <c r="AF986">
        <v>7.2783034753342399E-2</v>
      </c>
      <c r="AG986">
        <v>-8.0995999999999999E-2</v>
      </c>
      <c r="AH986">
        <v>0.55703200363174099</v>
      </c>
      <c r="AI986">
        <v>98.204411947629694</v>
      </c>
      <c r="AJ986">
        <v>82.555779543387899</v>
      </c>
      <c r="AK986">
        <v>0.56757587619092698</v>
      </c>
      <c r="AL986">
        <v>86.194420072107405</v>
      </c>
      <c r="AM986">
        <v>88.741344489533702</v>
      </c>
      <c r="AN986">
        <v>0.99999993840006496</v>
      </c>
    </row>
    <row r="987" spans="1:40" x14ac:dyDescent="0.25">
      <c r="A987" t="str">
        <f>"20190312160619315"</f>
        <v>20190312160619315</v>
      </c>
      <c r="B987" t="str">
        <f>"1552377979305803"</f>
        <v>1552377979305803</v>
      </c>
      <c r="C987" t="s">
        <v>40</v>
      </c>
      <c r="D987">
        <v>6.4947480000000004</v>
      </c>
      <c r="E987">
        <v>0.47720000000000001</v>
      </c>
      <c r="F987" t="s">
        <v>44</v>
      </c>
      <c r="G987">
        <v>-247.71100000000001</v>
      </c>
      <c r="H987">
        <v>1.013641</v>
      </c>
      <c r="I987">
        <v>367.04270000000002</v>
      </c>
      <c r="J987">
        <v>-248.39709999999999</v>
      </c>
      <c r="K987">
        <v>1.1098250000000001</v>
      </c>
      <c r="L987">
        <v>367.12560000000002</v>
      </c>
      <c r="M987">
        <v>0.99990860000000004</v>
      </c>
      <c r="N987">
        <v>0</v>
      </c>
      <c r="O987">
        <v>7.5918540000000003E-3</v>
      </c>
      <c r="P987">
        <v>0.9983573</v>
      </c>
      <c r="Q987">
        <v>5.513096E-2</v>
      </c>
      <c r="R987">
        <v>-1.560489E-2</v>
      </c>
      <c r="S987">
        <v>3.0190429999999999</v>
      </c>
      <c r="T987">
        <v>-0.32734999999999997</v>
      </c>
      <c r="U987">
        <v>-0.27667239999999999</v>
      </c>
      <c r="V987">
        <v>2.3140259999999999E-2</v>
      </c>
      <c r="W987">
        <v>6.6312560000000006E-2</v>
      </c>
      <c r="X987">
        <v>0.99753049999999999</v>
      </c>
      <c r="Y987">
        <v>9.8202970000000001E-2</v>
      </c>
      <c r="Z987">
        <v>-6.1166190000000002E-3</v>
      </c>
      <c r="AA987">
        <v>0.99514760000000002</v>
      </c>
      <c r="AB987">
        <v>36</v>
      </c>
      <c r="AC987">
        <v>0.68610000000001004</v>
      </c>
      <c r="AD987">
        <v>-9.6184000000000006E-2</v>
      </c>
      <c r="AE987">
        <v>-8.2899999999995005E-2</v>
      </c>
      <c r="AF987">
        <v>8.6432484908105497E-2</v>
      </c>
      <c r="AG987">
        <v>-9.6184000000000006E-2</v>
      </c>
      <c r="AH987">
        <v>0.672425736023752</v>
      </c>
      <c r="AI987">
        <v>98.074841535191496</v>
      </c>
      <c r="AJ987">
        <v>82.675458602700701</v>
      </c>
      <c r="AK987">
        <v>0.68474689248690601</v>
      </c>
      <c r="AL987">
        <v>86.197779943173202</v>
      </c>
      <c r="AM987">
        <v>88.671116834353001</v>
      </c>
      <c r="AN987">
        <v>0.99999996283843495</v>
      </c>
    </row>
    <row r="988" spans="1:40" x14ac:dyDescent="0.25">
      <c r="A988" t="str">
        <f>"20190312160619327"</f>
        <v>20190312160619327</v>
      </c>
      <c r="B988" t="str">
        <f>"1552377979315563"</f>
        <v>1552377979315563</v>
      </c>
      <c r="C988" t="s">
        <v>40</v>
      </c>
      <c r="D988">
        <v>6.5802050000000003</v>
      </c>
      <c r="E988">
        <v>0.47195579999999998</v>
      </c>
      <c r="F988" t="s">
        <v>42</v>
      </c>
      <c r="G988">
        <v>-158.19499999999999</v>
      </c>
      <c r="H988">
        <v>5.8882770000000004</v>
      </c>
      <c r="I988">
        <v>371.18560000000002</v>
      </c>
      <c r="J988">
        <v>-248.19980000000001</v>
      </c>
      <c r="K988">
        <v>1.109836</v>
      </c>
      <c r="L988">
        <v>367.12729999999999</v>
      </c>
      <c r="M988">
        <v>0.99990630000000003</v>
      </c>
      <c r="N988">
        <v>0</v>
      </c>
      <c r="O988">
        <v>7.7257719999999997E-3</v>
      </c>
      <c r="P988">
        <v>0.99834670000000003</v>
      </c>
      <c r="Q988">
        <v>5.5063550000000003E-2</v>
      </c>
      <c r="R988">
        <v>-1.6498769999999999E-2</v>
      </c>
      <c r="S988">
        <v>2.9982600000000001</v>
      </c>
      <c r="T988">
        <v>0.15883549999999999</v>
      </c>
      <c r="U988">
        <v>0.1349487</v>
      </c>
      <c r="V988">
        <v>2.4168740000000001E-2</v>
      </c>
      <c r="W988">
        <v>6.6365839999999995E-2</v>
      </c>
      <c r="X988">
        <v>0.99750260000000002</v>
      </c>
      <c r="Y988">
        <v>-3.720246E-2</v>
      </c>
      <c r="Z988">
        <v>-5.7543739999999996E-4</v>
      </c>
      <c r="AA988">
        <v>0.99930759999999996</v>
      </c>
      <c r="AB988">
        <v>36</v>
      </c>
      <c r="AC988">
        <v>90.004800000000003</v>
      </c>
      <c r="AD988">
        <v>4.7784409999999902</v>
      </c>
      <c r="AE988">
        <v>4.0583000000000302</v>
      </c>
      <c r="AF988">
        <v>-3.3533451720291798</v>
      </c>
      <c r="AG988">
        <v>4.7784409999999902</v>
      </c>
      <c r="AH988">
        <v>89.780921516236205</v>
      </c>
      <c r="AI988">
        <v>86.955520345569695</v>
      </c>
      <c r="AJ988">
        <v>92.139020768885899</v>
      </c>
      <c r="AK988">
        <v>89.970507893074696</v>
      </c>
      <c r="AL988">
        <v>86.1947206063614</v>
      </c>
      <c r="AM988">
        <v>88.612037788427699</v>
      </c>
      <c r="AN988">
        <v>0.99999999485942603</v>
      </c>
    </row>
    <row r="989" spans="1:40" x14ac:dyDescent="0.25">
      <c r="A989" t="str">
        <f>"20190312160619339"</f>
        <v>20190312160619339</v>
      </c>
      <c r="B989" t="str">
        <f>"1552377979336060"</f>
        <v>1552377979336060</v>
      </c>
      <c r="C989" t="s">
        <v>40</v>
      </c>
      <c r="D989">
        <v>6.3831129999999998</v>
      </c>
      <c r="E989">
        <v>0.47627940000000002</v>
      </c>
      <c r="F989" t="s">
        <v>42</v>
      </c>
      <c r="G989">
        <v>-158.36269999999999</v>
      </c>
      <c r="H989">
        <v>6.6740890000000004</v>
      </c>
      <c r="I989">
        <v>372.33589999999998</v>
      </c>
      <c r="J989">
        <v>-248.0069</v>
      </c>
      <c r="K989">
        <v>1.109847</v>
      </c>
      <c r="L989">
        <v>367.12889999999999</v>
      </c>
      <c r="M989">
        <v>0.99990389999999996</v>
      </c>
      <c r="N989">
        <v>0</v>
      </c>
      <c r="O989">
        <v>7.8573359999999995E-3</v>
      </c>
      <c r="P989">
        <v>0.99834900000000004</v>
      </c>
      <c r="Q989">
        <v>5.4814910000000001E-2</v>
      </c>
      <c r="R989">
        <v>-1.716929E-2</v>
      </c>
      <c r="S989">
        <v>2.9976039999999999</v>
      </c>
      <c r="T989">
        <v>0.185666</v>
      </c>
      <c r="U989">
        <v>0.1737976</v>
      </c>
      <c r="V989">
        <v>2.4972060000000001E-2</v>
      </c>
      <c r="W989">
        <v>6.6237379999999998E-2</v>
      </c>
      <c r="X989">
        <v>0.99749140000000003</v>
      </c>
      <c r="Y989">
        <v>-4.9954770000000003E-2</v>
      </c>
      <c r="Z989">
        <v>-1.0584819999999999E-3</v>
      </c>
      <c r="AA989">
        <v>0.9987509</v>
      </c>
      <c r="AB989">
        <v>36</v>
      </c>
      <c r="AC989">
        <v>89.644199999999998</v>
      </c>
      <c r="AD989">
        <v>5.5642420000000001</v>
      </c>
      <c r="AE989">
        <v>5.2069999999999901</v>
      </c>
      <c r="AF989">
        <v>-4.4852065482055101</v>
      </c>
      <c r="AG989">
        <v>5.5642420000000001</v>
      </c>
      <c r="AH989">
        <v>89.339306109972</v>
      </c>
      <c r="AI989">
        <v>86.440571757774407</v>
      </c>
      <c r="AJ989">
        <v>92.874074549334296</v>
      </c>
      <c r="AK989">
        <v>89.624714688672299</v>
      </c>
      <c r="AL989">
        <v>86.202097238867196</v>
      </c>
      <c r="AM989">
        <v>88.565907593624999</v>
      </c>
      <c r="AN989">
        <v>1.0000000436819301</v>
      </c>
    </row>
    <row r="990" spans="1:40" x14ac:dyDescent="0.25">
      <c r="A990" t="str">
        <f>"20190312160619359"</f>
        <v>20190312160619359</v>
      </c>
      <c r="B990" t="str">
        <f>"1552377979345819"</f>
        <v>1552377979345819</v>
      </c>
      <c r="C990" t="s">
        <v>40</v>
      </c>
      <c r="D990">
        <v>5.7158550000000004</v>
      </c>
      <c r="E990">
        <v>0.47627940000000002</v>
      </c>
      <c r="F990" t="s">
        <v>44</v>
      </c>
      <c r="G990">
        <v>-247.0539</v>
      </c>
      <c r="H990">
        <v>1.019584</v>
      </c>
      <c r="I990">
        <v>367.17590000000001</v>
      </c>
      <c r="J990">
        <v>-247.70750000000001</v>
      </c>
      <c r="K990">
        <v>1.1098629999999901</v>
      </c>
      <c r="L990">
        <v>367.13150000000002</v>
      </c>
      <c r="M990">
        <v>0.99990000000000001</v>
      </c>
      <c r="N990">
        <v>0</v>
      </c>
      <c r="O990">
        <v>8.0622839999999994E-3</v>
      </c>
      <c r="P990">
        <v>0.9983322</v>
      </c>
      <c r="Q990">
        <v>5.4662750000000003E-2</v>
      </c>
      <c r="R990">
        <v>-1.857748E-2</v>
      </c>
      <c r="S990">
        <v>3.0232540000000001</v>
      </c>
      <c r="T990">
        <v>-0.2864372</v>
      </c>
      <c r="U990">
        <v>0.14953610000000001</v>
      </c>
      <c r="V990">
        <v>2.6586869999999999E-2</v>
      </c>
      <c r="W990">
        <v>6.6282110000000005E-2</v>
      </c>
      <c r="X990">
        <v>0.99744670000000002</v>
      </c>
      <c r="Y990">
        <v>-4.1198980000000003E-2</v>
      </c>
      <c r="Z990">
        <v>1.184453E-3</v>
      </c>
      <c r="AA990">
        <v>0.99915030000000005</v>
      </c>
      <c r="AB990">
        <v>36</v>
      </c>
      <c r="AC990">
        <v>0.65360000000001095</v>
      </c>
      <c r="AD990">
        <v>-9.0278999999999707E-2</v>
      </c>
      <c r="AE990">
        <v>4.4399999999995998E-2</v>
      </c>
      <c r="AF990">
        <v>-3.8399444968620598E-2</v>
      </c>
      <c r="AG990">
        <v>-9.0278999999999707E-2</v>
      </c>
      <c r="AH990">
        <v>0.64174922746081098</v>
      </c>
      <c r="AI990">
        <v>97.993507764173003</v>
      </c>
      <c r="AJ990">
        <v>93.424244178186498</v>
      </c>
      <c r="AK990">
        <v>0.64920481064256297</v>
      </c>
      <c r="AL990">
        <v>86.199528776622103</v>
      </c>
      <c r="AM990">
        <v>88.473146654529998</v>
      </c>
      <c r="AN990">
        <v>1.0000000495516601</v>
      </c>
    </row>
    <row r="991" spans="1:40" x14ac:dyDescent="0.25">
      <c r="A991" t="str">
        <f>"20190312160619383"</f>
        <v>20190312160619383</v>
      </c>
      <c r="B991" t="str">
        <f>"1552377979376078"</f>
        <v>1552377979376078</v>
      </c>
      <c r="C991" t="s">
        <v>40</v>
      </c>
      <c r="D991">
        <v>6.3806050000000001</v>
      </c>
      <c r="E991">
        <v>0.46545819999999999</v>
      </c>
      <c r="F991" t="s">
        <v>44</v>
      </c>
      <c r="G991">
        <v>-246.73089999999999</v>
      </c>
      <c r="H991">
        <v>1.0172810000000001</v>
      </c>
      <c r="I991">
        <v>367.17829999999998</v>
      </c>
      <c r="J991">
        <v>-247.3049</v>
      </c>
      <c r="K991">
        <v>1.1098870000000001</v>
      </c>
      <c r="L991">
        <v>367.13499999999999</v>
      </c>
      <c r="M991">
        <v>0.99989430000000001</v>
      </c>
      <c r="N991">
        <v>0</v>
      </c>
      <c r="O991">
        <v>8.3301139999999996E-3</v>
      </c>
      <c r="P991">
        <v>0.99831340000000002</v>
      </c>
      <c r="Q991">
        <v>5.4653880000000002E-2</v>
      </c>
      <c r="R991">
        <v>-1.9585450000000001E-2</v>
      </c>
      <c r="S991">
        <v>3.0234220000000001</v>
      </c>
      <c r="T991">
        <v>-0.28681519999999999</v>
      </c>
      <c r="U991">
        <v>0.14569089999999901</v>
      </c>
      <c r="V991">
        <v>2.7865040000000001E-2</v>
      </c>
      <c r="W991">
        <v>6.6565680000000002E-2</v>
      </c>
      <c r="X991">
        <v>0.99739290000000003</v>
      </c>
      <c r="Y991">
        <v>-3.9668500000000002E-2</v>
      </c>
      <c r="Z991">
        <v>1.0882520000000001E-3</v>
      </c>
      <c r="AA991">
        <v>0.99921230000000005</v>
      </c>
      <c r="AB991">
        <v>36</v>
      </c>
      <c r="AC991">
        <v>0.57400000000001195</v>
      </c>
      <c r="AD991">
        <v>-9.2606000000000202E-2</v>
      </c>
      <c r="AE991">
        <v>4.3299999999987897E-2</v>
      </c>
      <c r="AF991">
        <v>-3.7544951345588599E-2</v>
      </c>
      <c r="AG991">
        <v>-9.2606000000000202E-2</v>
      </c>
      <c r="AH991">
        <v>0.55985099541378203</v>
      </c>
      <c r="AI991">
        <v>99.371680928198799</v>
      </c>
      <c r="AJ991">
        <v>93.836647758259403</v>
      </c>
      <c r="AK991">
        <v>0.56869906952037996</v>
      </c>
      <c r="AL991">
        <v>86.183245352123805</v>
      </c>
      <c r="AM991">
        <v>88.399693841594797</v>
      </c>
      <c r="AN991">
        <v>1.0000000235892299</v>
      </c>
    </row>
    <row r="992" spans="1:40" x14ac:dyDescent="0.25">
      <c r="A992" t="str">
        <f>"20190312160619398"</f>
        <v>20190312160619398</v>
      </c>
      <c r="B992" t="str">
        <f>"1552377979395595"</f>
        <v>1552377979395595</v>
      </c>
      <c r="C992" t="s">
        <v>40</v>
      </c>
      <c r="D992">
        <v>6.3418580000000002</v>
      </c>
      <c r="E992">
        <v>0.46787659999999998</v>
      </c>
      <c r="F992" t="s">
        <v>42</v>
      </c>
      <c r="G992">
        <v>-158.19499999999999</v>
      </c>
      <c r="H992">
        <v>0.28177210000000003</v>
      </c>
      <c r="I992">
        <v>373.7038</v>
      </c>
      <c r="J992">
        <v>-247.05950000000001</v>
      </c>
      <c r="K992">
        <v>1.109904</v>
      </c>
      <c r="L992">
        <v>367.13720000000001</v>
      </c>
      <c r="M992">
        <v>0.99989079999999997</v>
      </c>
      <c r="N992">
        <v>0</v>
      </c>
      <c r="O992">
        <v>8.4860379999999996E-3</v>
      </c>
      <c r="P992">
        <v>0.99831510000000001</v>
      </c>
      <c r="Q992">
        <v>5.4502979999999999E-2</v>
      </c>
      <c r="R992">
        <v>-1.9921970000000001E-2</v>
      </c>
      <c r="S992">
        <v>3.0109710000000001</v>
      </c>
      <c r="T992">
        <v>-2.797854E-2</v>
      </c>
      <c r="U992">
        <v>0.22195429999999999</v>
      </c>
      <c r="V992">
        <v>2.8358950000000001E-2</v>
      </c>
      <c r="W992">
        <v>6.6602309999999998E-2</v>
      </c>
      <c r="X992">
        <v>0.9973765</v>
      </c>
      <c r="Y992">
        <v>-6.5046969999999996E-2</v>
      </c>
      <c r="Z992">
        <v>2.2305440000000001E-4</v>
      </c>
      <c r="AA992">
        <v>0.99788220000000005</v>
      </c>
      <c r="AB992">
        <v>36</v>
      </c>
      <c r="AC992">
        <v>88.864500000000007</v>
      </c>
      <c r="AD992">
        <v>-0.82813189999999903</v>
      </c>
      <c r="AE992">
        <v>6.5665999999999896</v>
      </c>
      <c r="AF992">
        <v>-5.8116988268968699</v>
      </c>
      <c r="AG992">
        <v>-0.82813189999999903</v>
      </c>
      <c r="AH992">
        <v>88.909348919849805</v>
      </c>
      <c r="AI992">
        <v>90.532520539912497</v>
      </c>
      <c r="AJ992">
        <v>93.739907799459402</v>
      </c>
      <c r="AK992">
        <v>89.102940305300507</v>
      </c>
      <c r="AL992">
        <v>86.181141812409905</v>
      </c>
      <c r="AM992">
        <v>88.371316669008806</v>
      </c>
      <c r="AN992">
        <v>0.99999999024734398</v>
      </c>
    </row>
    <row r="993" spans="1:40" x14ac:dyDescent="0.25">
      <c r="A993" t="str">
        <f>"20190312160619413"</f>
        <v>20190312160619413</v>
      </c>
      <c r="B993" t="str">
        <f>"1552377979406331"</f>
        <v>1552377979406331</v>
      </c>
      <c r="C993" t="s">
        <v>40</v>
      </c>
      <c r="D993">
        <v>6.4979889999999996</v>
      </c>
      <c r="E993">
        <v>0.46646549999999998</v>
      </c>
      <c r="F993" t="s">
        <v>48</v>
      </c>
      <c r="G993">
        <v>-179.98689999999999</v>
      </c>
      <c r="H993">
        <v>6.3132060000000004E-2</v>
      </c>
      <c r="I993">
        <v>371.64659999999998</v>
      </c>
      <c r="J993">
        <v>-246.81</v>
      </c>
      <c r="K993">
        <v>1.1099190000000001</v>
      </c>
      <c r="L993">
        <v>367.13940000000002</v>
      </c>
      <c r="M993">
        <v>0.99988699999999997</v>
      </c>
      <c r="N993">
        <v>0</v>
      </c>
      <c r="O993">
        <v>8.6374399999999997E-3</v>
      </c>
      <c r="P993">
        <v>0.99832480000000001</v>
      </c>
      <c r="Q993">
        <v>5.39474E-2</v>
      </c>
      <c r="R993">
        <v>-2.0914869999999999E-2</v>
      </c>
      <c r="S993">
        <v>3.0116879999999999</v>
      </c>
      <c r="T993">
        <v>-4.7002080000000002E-2</v>
      </c>
      <c r="U993">
        <v>0.2024841</v>
      </c>
      <c r="V993">
        <v>2.950504E-2</v>
      </c>
      <c r="W993">
        <v>6.6241199999999903E-2</v>
      </c>
      <c r="X993">
        <v>0.99736729999999996</v>
      </c>
      <c r="Y993">
        <v>-5.8454140000000002E-2</v>
      </c>
      <c r="Z993">
        <v>3.2095220000000001E-4</v>
      </c>
      <c r="AA993">
        <v>0.99829009999999996</v>
      </c>
      <c r="AB993">
        <v>36</v>
      </c>
      <c r="AC993">
        <v>66.823099999999997</v>
      </c>
      <c r="AD993">
        <v>-1.0467869400000001</v>
      </c>
      <c r="AE993">
        <v>4.5071999999999504</v>
      </c>
      <c r="AF993">
        <v>-3.9288478835373302</v>
      </c>
      <c r="AG993">
        <v>-1.0467869400000001</v>
      </c>
      <c r="AH993">
        <v>66.843211897151704</v>
      </c>
      <c r="AI993">
        <v>90.895652094354503</v>
      </c>
      <c r="AJ993">
        <v>93.363807683964495</v>
      </c>
      <c r="AK993">
        <v>66.966757315232599</v>
      </c>
      <c r="AL993">
        <v>86.201877673689907</v>
      </c>
      <c r="AM993">
        <v>88.305517561743201</v>
      </c>
      <c r="AN993">
        <v>0.999999987536065</v>
      </c>
    </row>
    <row r="994" spans="1:40" x14ac:dyDescent="0.25">
      <c r="A994" t="str">
        <f>"20190312160619425"</f>
        <v>20190312160619425</v>
      </c>
      <c r="B994" t="str">
        <f>"1552377979416091"</f>
        <v>1552377979416091</v>
      </c>
      <c r="C994" t="s">
        <v>40</v>
      </c>
      <c r="D994">
        <v>6.6123390000000004</v>
      </c>
      <c r="E994">
        <v>0.46822229999999998</v>
      </c>
      <c r="F994" t="s">
        <v>42</v>
      </c>
      <c r="G994">
        <v>-158.19499999999999</v>
      </c>
      <c r="H994">
        <v>0.51342540000000003</v>
      </c>
      <c r="I994">
        <v>373.32139999999998</v>
      </c>
      <c r="J994">
        <v>-246.6173</v>
      </c>
      <c r="K994">
        <v>1.1099300000000001</v>
      </c>
      <c r="L994">
        <v>367.14120000000003</v>
      </c>
      <c r="M994">
        <v>0.9998842</v>
      </c>
      <c r="N994">
        <v>0</v>
      </c>
      <c r="O994">
        <v>8.7442189999999993E-3</v>
      </c>
      <c r="P994">
        <v>0.99832639999999995</v>
      </c>
      <c r="Q994">
        <v>5.3769020000000001E-2</v>
      </c>
      <c r="R994">
        <v>-2.1285470000000001E-2</v>
      </c>
      <c r="S994">
        <v>3.0105439999999999</v>
      </c>
      <c r="T994">
        <v>-2.0261879999999999E-2</v>
      </c>
      <c r="U994">
        <v>0.21002199999999999</v>
      </c>
      <c r="V994">
        <v>2.9983320000000001E-2</v>
      </c>
      <c r="W994">
        <v>6.6209790000000004E-2</v>
      </c>
      <c r="X994">
        <v>0.9973552</v>
      </c>
      <c r="Y994">
        <v>-6.0865460000000003E-2</v>
      </c>
      <c r="Z994">
        <v>1.45792E-4</v>
      </c>
      <c r="AA994">
        <v>0.99814599999999998</v>
      </c>
      <c r="AB994">
        <v>36</v>
      </c>
      <c r="AC994">
        <v>88.422300000000007</v>
      </c>
      <c r="AD994">
        <v>-0.59650459999999905</v>
      </c>
      <c r="AE994">
        <v>6.1801999999999504</v>
      </c>
      <c r="AF994">
        <v>-5.4064749018168596</v>
      </c>
      <c r="AG994">
        <v>-0.59650459999999905</v>
      </c>
      <c r="AH994">
        <v>88.468957557613194</v>
      </c>
      <c r="AI994">
        <v>90.385593328171893</v>
      </c>
      <c r="AJ994">
        <v>93.497084649354903</v>
      </c>
      <c r="AK994">
        <v>88.636009837608199</v>
      </c>
      <c r="AL994">
        <v>86.203681589576107</v>
      </c>
      <c r="AM994">
        <v>88.278045338369694</v>
      </c>
      <c r="AN994">
        <v>1.0000000653685499</v>
      </c>
    </row>
    <row r="995" spans="1:40" x14ac:dyDescent="0.25">
      <c r="A995" t="str">
        <f>"20190312160619438"</f>
        <v>20190312160619438</v>
      </c>
      <c r="B995" t="str">
        <f>"1552377979425852"</f>
        <v>1552377979425852</v>
      </c>
      <c r="C995" t="s">
        <v>40</v>
      </c>
      <c r="D995">
        <v>6.3437130000000002</v>
      </c>
      <c r="E995">
        <v>0.46869179999999999</v>
      </c>
      <c r="F995" t="s">
        <v>48</v>
      </c>
      <c r="G995">
        <v>-189.9169</v>
      </c>
      <c r="H995" s="1">
        <v>-1.0152929999999999E-5</v>
      </c>
      <c r="I995">
        <v>370.83069999999998</v>
      </c>
      <c r="J995">
        <v>-246.41159999999999</v>
      </c>
      <c r="K995">
        <v>1.1099399999999999</v>
      </c>
      <c r="L995">
        <v>367.1431</v>
      </c>
      <c r="M995">
        <v>0.99988129999999997</v>
      </c>
      <c r="N995">
        <v>0</v>
      </c>
      <c r="O995">
        <v>8.8541550000000007E-3</v>
      </c>
      <c r="P995">
        <v>0.99833660000000002</v>
      </c>
      <c r="Q995">
        <v>5.3466069999999997E-2</v>
      </c>
      <c r="R995">
        <v>-2.157303E-2</v>
      </c>
      <c r="S995">
        <v>3.012375</v>
      </c>
      <c r="T995">
        <v>-5.8968779999999998E-2</v>
      </c>
      <c r="U995">
        <v>0.19601440000000001</v>
      </c>
      <c r="V995">
        <v>3.0382019999999999E-2</v>
      </c>
      <c r="W995">
        <v>6.6061350000000005E-2</v>
      </c>
      <c r="X995">
        <v>0.99735289999999999</v>
      </c>
      <c r="Y995">
        <v>-5.6084679999999998E-2</v>
      </c>
      <c r="Z995">
        <v>3.751863E-4</v>
      </c>
      <c r="AA995">
        <v>0.99842600000000004</v>
      </c>
      <c r="AB995">
        <v>36</v>
      </c>
      <c r="AC995">
        <v>56.494700000000002</v>
      </c>
      <c r="AD995">
        <v>-1.10995015293</v>
      </c>
      <c r="AE995">
        <v>3.68759999999997</v>
      </c>
      <c r="AF995">
        <v>-3.1859782458057202</v>
      </c>
      <c r="AG995">
        <v>-1.10995015293</v>
      </c>
      <c r="AH995">
        <v>56.503420300549003</v>
      </c>
      <c r="AI995">
        <v>91.123586223402498</v>
      </c>
      <c r="AJ995">
        <v>93.227238619771896</v>
      </c>
      <c r="AK995">
        <v>56.604054204493401</v>
      </c>
      <c r="AL995">
        <v>86.212204942784993</v>
      </c>
      <c r="AM995">
        <v>88.255157869902604</v>
      </c>
      <c r="AN995">
        <v>0.99999998812075597</v>
      </c>
    </row>
    <row r="996" spans="1:40" x14ac:dyDescent="0.25">
      <c r="A996" t="str">
        <f>"20190312160619451"</f>
        <v>20190312160619451</v>
      </c>
      <c r="B996" t="str">
        <f>"1552377979446347"</f>
        <v>1552377979446347</v>
      </c>
      <c r="C996" t="s">
        <v>40</v>
      </c>
      <c r="D996">
        <v>6.3736949999999997</v>
      </c>
      <c r="E996">
        <v>0.46938879999999999</v>
      </c>
      <c r="F996" t="s">
        <v>48</v>
      </c>
      <c r="G996">
        <v>-206.09020000000001</v>
      </c>
      <c r="H996" s="1">
        <v>-5.5222579999999997E-6</v>
      </c>
      <c r="I996">
        <v>369.71839999999997</v>
      </c>
      <c r="J996">
        <v>-246.1996</v>
      </c>
      <c r="K996">
        <v>1.109944</v>
      </c>
      <c r="L996">
        <v>367.14510000000001</v>
      </c>
      <c r="M996">
        <v>0.9998785</v>
      </c>
      <c r="N996">
        <v>0</v>
      </c>
      <c r="O996">
        <v>8.9593119999999901E-3</v>
      </c>
      <c r="P996">
        <v>0.99835689999999999</v>
      </c>
      <c r="Q996">
        <v>5.3024179999999997E-2</v>
      </c>
      <c r="R996">
        <v>-2.1724340000000002E-2</v>
      </c>
      <c r="S996">
        <v>3.0136259999999999</v>
      </c>
      <c r="T996">
        <v>-8.2957390000000006E-2</v>
      </c>
      <c r="U996">
        <v>0.19247439999999999</v>
      </c>
      <c r="V996">
        <v>3.063975E-2</v>
      </c>
      <c r="W996">
        <v>6.5771109999999994E-2</v>
      </c>
      <c r="X996">
        <v>0.99736420000000003</v>
      </c>
      <c r="Y996">
        <v>-5.477651E-2</v>
      </c>
      <c r="Z996">
        <v>5.0668960000000004E-4</v>
      </c>
      <c r="AA996">
        <v>0.99849849999999996</v>
      </c>
      <c r="AB996">
        <v>36</v>
      </c>
      <c r="AC996">
        <v>40.109400000000001</v>
      </c>
      <c r="AD996">
        <v>-1.109949522258</v>
      </c>
      <c r="AE996">
        <v>2.5732999999999602</v>
      </c>
      <c r="AF996">
        <v>-2.2121277358605802</v>
      </c>
      <c r="AG996">
        <v>-1.109949522258</v>
      </c>
      <c r="AH996">
        <v>40.100263990918997</v>
      </c>
      <c r="AI996">
        <v>91.583099745848202</v>
      </c>
      <c r="AJ996">
        <v>93.1575165667916</v>
      </c>
      <c r="AK996">
        <v>40.176568658897601</v>
      </c>
      <c r="AL996">
        <v>86.228870723763094</v>
      </c>
      <c r="AM996">
        <v>88.2403856030122</v>
      </c>
      <c r="AN996">
        <v>0.99999999031616704</v>
      </c>
    </row>
    <row r="997" spans="1:40" x14ac:dyDescent="0.25">
      <c r="A997" t="str">
        <f>"20190312160619462"</f>
        <v>20190312160619462</v>
      </c>
      <c r="B997" t="str">
        <f>"1552377979456107"</f>
        <v>1552377979456107</v>
      </c>
      <c r="C997" t="s">
        <v>40</v>
      </c>
      <c r="D997">
        <v>6.5016699999999998</v>
      </c>
      <c r="E997">
        <v>0.46960269999999998</v>
      </c>
      <c r="F997" t="s">
        <v>47</v>
      </c>
      <c r="G997">
        <v>-218.2885</v>
      </c>
      <c r="H997" s="1">
        <v>-8.4762729999999997E-7</v>
      </c>
      <c r="I997">
        <v>368.8775</v>
      </c>
      <c r="J997">
        <v>-246.00829999999999</v>
      </c>
      <c r="K997">
        <v>1.1099460000000001</v>
      </c>
      <c r="L997">
        <v>367.14690000000002</v>
      </c>
      <c r="M997">
        <v>0.99987599999999999</v>
      </c>
      <c r="N997">
        <v>0</v>
      </c>
      <c r="O997">
        <v>9.0475020000000007E-3</v>
      </c>
      <c r="P997">
        <v>0.99836340000000001</v>
      </c>
      <c r="Q997">
        <v>5.2794170000000001E-2</v>
      </c>
      <c r="R997">
        <v>-2.1987929999999999E-2</v>
      </c>
      <c r="S997">
        <v>3.0153810000000001</v>
      </c>
      <c r="T997">
        <v>-0.11991259999999999</v>
      </c>
      <c r="U997">
        <v>0.18716430000000001</v>
      </c>
      <c r="V997">
        <v>3.0992499999999999E-2</v>
      </c>
      <c r="W997">
        <v>6.5669759999999994E-2</v>
      </c>
      <c r="X997">
        <v>0.99736000000000002</v>
      </c>
      <c r="Y997">
        <v>-5.2882739999999998E-2</v>
      </c>
      <c r="Z997">
        <v>6.907638E-4</v>
      </c>
      <c r="AA997">
        <v>0.9986005</v>
      </c>
      <c r="AB997">
        <v>36</v>
      </c>
      <c r="AC997">
        <v>27.7197999999999</v>
      </c>
      <c r="AD997">
        <v>-1.10994684762729</v>
      </c>
      <c r="AE997">
        <v>1.7305999999999799</v>
      </c>
      <c r="AF997">
        <v>-1.4773538792221299</v>
      </c>
      <c r="AG997">
        <v>-1.10994684762729</v>
      </c>
      <c r="AH997">
        <v>27.690100039402601</v>
      </c>
      <c r="AI997">
        <v>92.292193423153606</v>
      </c>
      <c r="AJ997">
        <v>93.054014329616294</v>
      </c>
      <c r="AK997">
        <v>27.7516881771386</v>
      </c>
      <c r="AL997">
        <v>86.234690310474306</v>
      </c>
      <c r="AM997">
        <v>88.220132940701106</v>
      </c>
      <c r="AN997">
        <v>1.0000000110173499</v>
      </c>
    </row>
    <row r="998" spans="1:40" x14ac:dyDescent="0.25">
      <c r="A998" t="str">
        <f>"20190312160619475"</f>
        <v>20190312160619475</v>
      </c>
      <c r="B998" t="str">
        <f>"1552377979465867"</f>
        <v>1552377979465867</v>
      </c>
      <c r="C998" t="s">
        <v>40</v>
      </c>
      <c r="D998">
        <v>6.3700859999999997</v>
      </c>
      <c r="E998">
        <v>0.46977049999999998</v>
      </c>
      <c r="F998" t="s">
        <v>47</v>
      </c>
      <c r="G998">
        <v>-220.3279</v>
      </c>
      <c r="H998" s="1">
        <v>-4.2901889999999999E-6</v>
      </c>
      <c r="I998">
        <v>368.72239999999999</v>
      </c>
      <c r="J998">
        <v>-245.80080000000001</v>
      </c>
      <c r="K998">
        <v>1.10995</v>
      </c>
      <c r="L998">
        <v>367.14879999999999</v>
      </c>
      <c r="M998">
        <v>0.99987349999999997</v>
      </c>
      <c r="N998">
        <v>0</v>
      </c>
      <c r="O998">
        <v>9.1396810000000002E-3</v>
      </c>
      <c r="P998">
        <v>0.99838380000000004</v>
      </c>
      <c r="Q998">
        <v>5.2422129999999997E-2</v>
      </c>
      <c r="R998">
        <v>-2.194991E-2</v>
      </c>
      <c r="S998">
        <v>3.0158999999999998</v>
      </c>
      <c r="T998">
        <v>-0.13035189999999999</v>
      </c>
      <c r="U998">
        <v>0.1850281</v>
      </c>
      <c r="V998">
        <v>3.1048050000000001E-2</v>
      </c>
      <c r="W998">
        <v>6.5432799999999999E-2</v>
      </c>
      <c r="X998">
        <v>0.99737379999999998</v>
      </c>
      <c r="Y998">
        <v>-5.2069959999999998E-2</v>
      </c>
      <c r="Z998">
        <v>7.2921420000000002E-4</v>
      </c>
      <c r="AA998">
        <v>0.99864319999999895</v>
      </c>
      <c r="AB998">
        <v>36</v>
      </c>
      <c r="AC998">
        <v>25.472899999999999</v>
      </c>
      <c r="AD998">
        <v>-1.109954290189</v>
      </c>
      <c r="AE998">
        <v>1.5735999999999899</v>
      </c>
      <c r="AF998">
        <v>-1.3381692497463999</v>
      </c>
      <c r="AG998">
        <v>-1.109954290189</v>
      </c>
      <c r="AH998">
        <v>25.4381039122026</v>
      </c>
      <c r="AI998">
        <v>92.494986980978098</v>
      </c>
      <c r="AJ998">
        <v>93.011263891114794</v>
      </c>
      <c r="AK998">
        <v>25.497447443132302</v>
      </c>
      <c r="AL998">
        <v>86.2482962086372</v>
      </c>
      <c r="AM998">
        <v>88.216969474450806</v>
      </c>
      <c r="AN998">
        <v>0.99999996482553999</v>
      </c>
    </row>
    <row r="999" spans="1:40" x14ac:dyDescent="0.25">
      <c r="A999" t="str">
        <f>"20190312160619492"</f>
        <v>20190312160619492</v>
      </c>
      <c r="B999" t="str">
        <f>"1552377979486364"</f>
        <v>1552377979486364</v>
      </c>
      <c r="C999" t="s">
        <v>40</v>
      </c>
      <c r="D999">
        <v>6.3310279999999999</v>
      </c>
      <c r="E999">
        <v>0.47055530000000001</v>
      </c>
      <c r="F999" t="s">
        <v>47</v>
      </c>
      <c r="G999">
        <v>-222.2517</v>
      </c>
      <c r="H999" s="1">
        <v>-3.488841E-6</v>
      </c>
      <c r="I999">
        <v>368.58730000000003</v>
      </c>
      <c r="J999">
        <v>-245.54560000000001</v>
      </c>
      <c r="K999">
        <v>1.109947</v>
      </c>
      <c r="L999">
        <v>367.15129999999999</v>
      </c>
      <c r="M999">
        <v>0.99987040000000005</v>
      </c>
      <c r="N999">
        <v>0</v>
      </c>
      <c r="O999">
        <v>9.2447429999999997E-3</v>
      </c>
      <c r="P999">
        <v>0.99839840000000002</v>
      </c>
      <c r="Q999">
        <v>5.2011580000000002E-2</v>
      </c>
      <c r="R999">
        <v>-2.2261980000000001E-2</v>
      </c>
      <c r="S999">
        <v>3.0163730000000002</v>
      </c>
      <c r="T999">
        <v>-0.14217189999999999</v>
      </c>
      <c r="U999">
        <v>0.18426509999999999</v>
      </c>
      <c r="V999">
        <v>3.14667E-2</v>
      </c>
      <c r="W999">
        <v>6.5175869999999997E-2</v>
      </c>
      <c r="X999">
        <v>0.99737750000000003</v>
      </c>
      <c r="Y999">
        <v>-5.1696760000000001E-2</v>
      </c>
      <c r="Z999">
        <v>7.8142190000000001E-4</v>
      </c>
      <c r="AA999">
        <v>0.99866250000000001</v>
      </c>
      <c r="AB999">
        <v>36</v>
      </c>
      <c r="AC999">
        <v>23.293900000000001</v>
      </c>
      <c r="AD999">
        <v>-1.1099504888409999</v>
      </c>
      <c r="AE999">
        <v>1.4360000000000299</v>
      </c>
      <c r="AF999">
        <v>-1.2178191995421299</v>
      </c>
      <c r="AG999">
        <v>-1.1099504888409999</v>
      </c>
      <c r="AH999">
        <v>23.253583471048099</v>
      </c>
      <c r="AI999">
        <v>92.729059351533493</v>
      </c>
      <c r="AJ999">
        <v>92.997912671940497</v>
      </c>
      <c r="AK999">
        <v>23.3118900549795</v>
      </c>
      <c r="AL999">
        <v>86.263048695421205</v>
      </c>
      <c r="AM999">
        <v>88.192949733925502</v>
      </c>
      <c r="AN999">
        <v>0.99999996237269695</v>
      </c>
    </row>
    <row r="1000" spans="1:40" x14ac:dyDescent="0.25">
      <c r="A1000" t="str">
        <f>"20190312160619505"</f>
        <v>20190312160619505</v>
      </c>
      <c r="B1000" t="str">
        <f>"1552377979496123"</f>
        <v>1552377979496123</v>
      </c>
      <c r="C1000" t="s">
        <v>40</v>
      </c>
      <c r="D1000">
        <v>6.356884</v>
      </c>
      <c r="E1000">
        <v>0.47081879999999998</v>
      </c>
      <c r="F1000" t="s">
        <v>47</v>
      </c>
      <c r="G1000">
        <v>-225.3212</v>
      </c>
      <c r="H1000" s="1">
        <v>-2.2154250000000001E-6</v>
      </c>
      <c r="I1000">
        <v>368.34269999999998</v>
      </c>
      <c r="J1000">
        <v>-245.3287</v>
      </c>
      <c r="K1000">
        <v>1.1099460000000001</v>
      </c>
      <c r="L1000">
        <v>367.15339999999998</v>
      </c>
      <c r="M1000">
        <v>0.99986799999999998</v>
      </c>
      <c r="N1000">
        <v>0</v>
      </c>
      <c r="O1000">
        <v>9.3282190000000004E-3</v>
      </c>
      <c r="P1000">
        <v>0.99842140000000001</v>
      </c>
      <c r="Q1000">
        <v>5.1601840000000003E-2</v>
      </c>
      <c r="R1000">
        <v>-2.21809E-2</v>
      </c>
      <c r="S1000">
        <v>3.017395</v>
      </c>
      <c r="T1000">
        <v>-0.1655992</v>
      </c>
      <c r="U1000">
        <v>0.177764899999999</v>
      </c>
      <c r="V1000">
        <v>3.1470869999999998E-2</v>
      </c>
      <c r="W1000">
        <v>6.4886089999999993E-2</v>
      </c>
      <c r="X1000">
        <v>0.99739630000000001</v>
      </c>
      <c r="Y1000">
        <v>-4.9435800000000002E-2</v>
      </c>
      <c r="Z1000">
        <v>8.4323999999999998E-4</v>
      </c>
      <c r="AA1000">
        <v>0.99877700000000003</v>
      </c>
      <c r="AB1000">
        <v>36</v>
      </c>
      <c r="AC1000">
        <v>20.0075</v>
      </c>
      <c r="AD1000">
        <v>-1.10994821542499</v>
      </c>
      <c r="AE1000">
        <v>1.1893</v>
      </c>
      <c r="AF1000">
        <v>-0.99953200568815104</v>
      </c>
      <c r="AG1000">
        <v>-1.10994821542499</v>
      </c>
      <c r="AH1000">
        <v>19.956521367102798</v>
      </c>
      <c r="AI1000">
        <v>93.179438039843106</v>
      </c>
      <c r="AJ1000">
        <v>92.867290789253204</v>
      </c>
      <c r="AK1000">
        <v>20.012341051135198</v>
      </c>
      <c r="AL1000">
        <v>86.279687225898599</v>
      </c>
      <c r="AM1000">
        <v>88.192744463686907</v>
      </c>
      <c r="AN1000">
        <v>0.999999999793867</v>
      </c>
    </row>
    <row r="1001" spans="1:40" x14ac:dyDescent="0.25">
      <c r="A1001" t="str">
        <f>"20190312160619525"</f>
        <v>20190312160619525</v>
      </c>
      <c r="B1001" t="str">
        <f>"1552377979515643"</f>
        <v>1552377979515643</v>
      </c>
      <c r="C1001" t="s">
        <v>40</v>
      </c>
      <c r="D1001">
        <v>6.3097180000000002</v>
      </c>
      <c r="E1001">
        <v>0.47153909999999999</v>
      </c>
      <c r="F1001" t="s">
        <v>47</v>
      </c>
      <c r="G1001">
        <v>-226.01240000000001</v>
      </c>
      <c r="H1001" s="1">
        <v>-1.9304000000000002E-6</v>
      </c>
      <c r="I1001">
        <v>368.27789999999999</v>
      </c>
      <c r="J1001">
        <v>-245.0087</v>
      </c>
      <c r="K1001">
        <v>1.109945</v>
      </c>
      <c r="L1001">
        <v>367.15640000000002</v>
      </c>
      <c r="M1001">
        <v>0.99986470000000005</v>
      </c>
      <c r="N1001">
        <v>0</v>
      </c>
      <c r="O1001">
        <v>9.4443549999999998E-3</v>
      </c>
      <c r="P1001">
        <v>0.99845260000000002</v>
      </c>
      <c r="Q1001">
        <v>5.1102460000000002E-2</v>
      </c>
      <c r="R1001">
        <v>-2.1924849999999999E-2</v>
      </c>
      <c r="S1001">
        <v>3.0176240000000001</v>
      </c>
      <c r="T1001">
        <v>-0.17339779999999999</v>
      </c>
      <c r="U1001">
        <v>0.1756897</v>
      </c>
      <c r="V1001">
        <v>3.1333260000000002E-2</v>
      </c>
      <c r="W1001">
        <v>6.4551090000000005E-2</v>
      </c>
      <c r="X1001">
        <v>0.99742240000000004</v>
      </c>
      <c r="Y1001">
        <v>-4.8626549999999998E-2</v>
      </c>
      <c r="Z1001">
        <v>8.5296289999999995E-4</v>
      </c>
      <c r="AA1001">
        <v>0.9988167</v>
      </c>
      <c r="AB1001">
        <v>36</v>
      </c>
      <c r="AC1001">
        <v>18.996299999999898</v>
      </c>
      <c r="AD1001">
        <v>-1.1099469304</v>
      </c>
      <c r="AE1001">
        <v>1.12149999999996</v>
      </c>
      <c r="AF1001">
        <v>-0.93883183880242804</v>
      </c>
      <c r="AG1001">
        <v>-1.1099469304</v>
      </c>
      <c r="AH1001">
        <v>18.941602988186698</v>
      </c>
      <c r="AI1001">
        <v>93.349501540267894</v>
      </c>
      <c r="AJ1001">
        <v>92.837516885977493</v>
      </c>
      <c r="AK1001">
        <v>18.997307998027999</v>
      </c>
      <c r="AL1001">
        <v>86.298921748760193</v>
      </c>
      <c r="AM1001">
        <v>88.200688743865598</v>
      </c>
      <c r="AN1001">
        <v>1.0000000302120799</v>
      </c>
    </row>
    <row r="1002" spans="1:40" x14ac:dyDescent="0.25">
      <c r="A1002" t="str">
        <f>"20190312160619547"</f>
        <v>20190312160619547</v>
      </c>
      <c r="B1002" t="str">
        <f>"1552377979536139"</f>
        <v>1552377979536139</v>
      </c>
      <c r="C1002" t="s">
        <v>40</v>
      </c>
      <c r="D1002">
        <v>6.3373429999999997</v>
      </c>
      <c r="E1002">
        <v>0.47176859999999998</v>
      </c>
      <c r="F1002" t="s">
        <v>47</v>
      </c>
      <c r="G1002">
        <v>-227.59010000000001</v>
      </c>
      <c r="H1002" s="1">
        <v>-1.2770110000000001E-6</v>
      </c>
      <c r="I1002">
        <v>368.14580000000001</v>
      </c>
      <c r="J1002">
        <v>-244.65479999999999</v>
      </c>
      <c r="K1002">
        <v>1.109944</v>
      </c>
      <c r="L1002">
        <v>367.15989999999999</v>
      </c>
      <c r="M1002">
        <v>0.99986140000000001</v>
      </c>
      <c r="N1002">
        <v>0</v>
      </c>
      <c r="O1002">
        <v>9.5632330000000008E-3</v>
      </c>
      <c r="P1002">
        <v>0.99849120000000002</v>
      </c>
      <c r="Q1002">
        <v>5.0557419999999999E-2</v>
      </c>
      <c r="R1002">
        <v>-2.1428409999999998E-2</v>
      </c>
      <c r="S1002">
        <v>3.0182340000000001</v>
      </c>
      <c r="T1002">
        <v>-0.19232669999999999</v>
      </c>
      <c r="U1002">
        <v>0.17144779999999901</v>
      </c>
      <c r="V1002">
        <v>3.095782E-2</v>
      </c>
      <c r="W1002">
        <v>6.4168509999999998E-2</v>
      </c>
      <c r="X1002">
        <v>0.99745879999999998</v>
      </c>
      <c r="Y1002">
        <v>-4.7085399999999999E-2</v>
      </c>
      <c r="Z1002">
        <v>8.8916880000000002E-4</v>
      </c>
      <c r="AA1002">
        <v>0.99889050000000001</v>
      </c>
      <c r="AB1002">
        <v>36</v>
      </c>
      <c r="AC1002">
        <v>17.064699999999899</v>
      </c>
      <c r="AD1002">
        <v>-1.1099452770110001</v>
      </c>
      <c r="AE1002">
        <v>0.98590000000001499</v>
      </c>
      <c r="AF1002">
        <v>-0.81919187440566099</v>
      </c>
      <c r="AG1002">
        <v>-1.1099452770110001</v>
      </c>
      <c r="AH1002">
        <v>17.001660199141501</v>
      </c>
      <c r="AI1002">
        <v>93.730910960497596</v>
      </c>
      <c r="AJ1002">
        <v>92.758552075913201</v>
      </c>
      <c r="AK1002">
        <v>17.057535090748701</v>
      </c>
      <c r="AL1002">
        <v>86.320887473918305</v>
      </c>
      <c r="AM1002">
        <v>88.222299286880698</v>
      </c>
      <c r="AN1002">
        <v>1.0000000209961</v>
      </c>
    </row>
    <row r="1003" spans="1:40" x14ac:dyDescent="0.25">
      <c r="A1003" t="str">
        <f>"20190312160619562"</f>
        <v>20190312160619562</v>
      </c>
      <c r="B1003" t="str">
        <f>"1552377979555659"</f>
        <v>1552377979555659</v>
      </c>
      <c r="C1003" t="s">
        <v>40</v>
      </c>
      <c r="D1003">
        <v>6.3448539999999998</v>
      </c>
      <c r="E1003">
        <v>0.47193859999999899</v>
      </c>
      <c r="F1003" t="s">
        <v>47</v>
      </c>
      <c r="G1003">
        <v>-228.0703</v>
      </c>
      <c r="H1003" s="1">
        <v>-1.0788820000000001E-6</v>
      </c>
      <c r="I1003">
        <v>368.10140000000001</v>
      </c>
      <c r="J1003">
        <v>-244.41309999999999</v>
      </c>
      <c r="K1003">
        <v>1.1099410000000001</v>
      </c>
      <c r="L1003">
        <v>367.16230000000002</v>
      </c>
      <c r="M1003">
        <v>0.99985939999999995</v>
      </c>
      <c r="N1003">
        <v>0</v>
      </c>
      <c r="O1003">
        <v>9.6399280000000007E-3</v>
      </c>
      <c r="P1003">
        <v>0.99852249999999998</v>
      </c>
      <c r="Q1003">
        <v>5.0019439999999998E-2</v>
      </c>
      <c r="R1003">
        <v>-2.124446E-2</v>
      </c>
      <c r="S1003">
        <v>3.0184169999999999</v>
      </c>
      <c r="T1003">
        <v>-0.20201150000000001</v>
      </c>
      <c r="U1003">
        <v>0.17135619999999999</v>
      </c>
      <c r="V1003">
        <v>3.0851739999999999E-2</v>
      </c>
      <c r="W1003">
        <v>6.3729759999999996E-2</v>
      </c>
      <c r="X1003">
        <v>0.99749019999999999</v>
      </c>
      <c r="Y1003">
        <v>-4.6967759999999997E-2</v>
      </c>
      <c r="Z1003">
        <v>9.2473779999999997E-4</v>
      </c>
      <c r="AA1003">
        <v>0.99889600000000001</v>
      </c>
      <c r="AB1003">
        <v>36</v>
      </c>
      <c r="AC1003">
        <v>16.342799999999901</v>
      </c>
      <c r="AD1003">
        <v>-1.109942078882</v>
      </c>
      <c r="AE1003">
        <v>0.93909999999999605</v>
      </c>
      <c r="AF1003">
        <v>-0.77792166203688395</v>
      </c>
      <c r="AG1003">
        <v>-1.109942078882</v>
      </c>
      <c r="AH1003">
        <v>16.2762650470262</v>
      </c>
      <c r="AI1003">
        <v>93.896748585780301</v>
      </c>
      <c r="AJ1003">
        <v>92.7363609099542</v>
      </c>
      <c r="AK1003">
        <v>16.332603509905699</v>
      </c>
      <c r="AL1003">
        <v>86.346077500731596</v>
      </c>
      <c r="AM1003">
        <v>88.228442596908593</v>
      </c>
      <c r="AN1003">
        <v>1.00000000563336</v>
      </c>
    </row>
    <row r="1004" spans="1:40" x14ac:dyDescent="0.25">
      <c r="A1004" t="str">
        <f>"20190312160619577"</f>
        <v>20190312160619577</v>
      </c>
      <c r="B1004" t="str">
        <f>"1552377979566395"</f>
        <v>1552377979566395</v>
      </c>
      <c r="C1004" t="s">
        <v>40</v>
      </c>
      <c r="D1004">
        <v>6.5118660000000004</v>
      </c>
      <c r="E1004">
        <v>0.47189750000000003</v>
      </c>
      <c r="F1004" t="s">
        <v>47</v>
      </c>
      <c r="G1004">
        <v>-228.2337</v>
      </c>
      <c r="H1004" s="1">
        <v>-1.0133629999999999E-6</v>
      </c>
      <c r="I1004">
        <v>368.07560000000001</v>
      </c>
      <c r="J1004">
        <v>-244.1885</v>
      </c>
      <c r="K1004">
        <v>1.109939</v>
      </c>
      <c r="L1004">
        <v>367.16460000000001</v>
      </c>
      <c r="M1004">
        <v>0.99985740000000001</v>
      </c>
      <c r="N1004">
        <v>0</v>
      </c>
      <c r="O1004">
        <v>9.7092210000000005E-3</v>
      </c>
      <c r="P1004">
        <v>0.99855150000000004</v>
      </c>
      <c r="Q1004">
        <v>4.9654799999999999E-2</v>
      </c>
      <c r="R1004">
        <v>-2.07309E-2</v>
      </c>
      <c r="S1004">
        <v>3.0184479999999998</v>
      </c>
      <c r="T1004">
        <v>-0.2070718</v>
      </c>
      <c r="U1004">
        <v>0.17037959999999999</v>
      </c>
      <c r="V1004">
        <v>3.0408669999999999E-2</v>
      </c>
      <c r="W1004">
        <v>6.3451380000000002E-2</v>
      </c>
      <c r="X1004">
        <v>0.99752149999999995</v>
      </c>
      <c r="Y1004">
        <v>-4.6572669999999997E-2</v>
      </c>
      <c r="Z1004">
        <v>9.295776E-4</v>
      </c>
      <c r="AA1004">
        <v>0.99891450000000004</v>
      </c>
      <c r="AB1004">
        <v>36</v>
      </c>
      <c r="AC1004">
        <v>15.954800000000001</v>
      </c>
      <c r="AD1004">
        <v>-1.109940013363</v>
      </c>
      <c r="AE1004">
        <v>0.91100000000000103</v>
      </c>
      <c r="AF1004">
        <v>-0.75240402474218704</v>
      </c>
      <c r="AG1004">
        <v>-1.109940013363</v>
      </c>
      <c r="AH1004">
        <v>15.886259264052899</v>
      </c>
      <c r="AI1004">
        <v>93.992182047499398</v>
      </c>
      <c r="AJ1004">
        <v>92.711612841698695</v>
      </c>
      <c r="AK1004">
        <v>15.942751081743101</v>
      </c>
      <c r="AL1004">
        <v>86.362059658458506</v>
      </c>
      <c r="AM1004">
        <v>88.253923292461195</v>
      </c>
      <c r="AN1004">
        <v>0.99999995389866003</v>
      </c>
    </row>
    <row r="1005" spans="1:40" x14ac:dyDescent="0.25">
      <c r="A1005" t="str">
        <f>"20190312160619592"</f>
        <v>20190312160619592</v>
      </c>
      <c r="B1005" t="str">
        <f>"1552377979585915"</f>
        <v>1552377979585915</v>
      </c>
      <c r="C1005" t="s">
        <v>40</v>
      </c>
      <c r="D1005">
        <v>6.329453</v>
      </c>
      <c r="E1005">
        <v>0.47212179999999998</v>
      </c>
      <c r="F1005" t="s">
        <v>47</v>
      </c>
      <c r="G1005">
        <v>-228.2902</v>
      </c>
      <c r="H1005" s="1">
        <v>-9.8967060000000011E-7</v>
      </c>
      <c r="I1005">
        <v>368.07249999999999</v>
      </c>
      <c r="J1005">
        <v>-243.9171</v>
      </c>
      <c r="K1005">
        <v>1.1099330000000001</v>
      </c>
      <c r="L1005">
        <v>367.16730000000001</v>
      </c>
      <c r="M1005">
        <v>0.9998553</v>
      </c>
      <c r="N1005">
        <v>0</v>
      </c>
      <c r="O1005">
        <v>9.7896719999999993E-3</v>
      </c>
      <c r="P1005">
        <v>0.99858849999999999</v>
      </c>
      <c r="Q1005">
        <v>4.904617E-2</v>
      </c>
      <c r="R1005">
        <v>-2.0392560000000001E-2</v>
      </c>
      <c r="S1005">
        <v>3.0184169999999999</v>
      </c>
      <c r="T1005">
        <v>-0.21072940000000001</v>
      </c>
      <c r="U1005">
        <v>0.17239380000000001</v>
      </c>
      <c r="V1005">
        <v>3.0151959999999998E-2</v>
      </c>
      <c r="W1005">
        <v>6.2936950000000005E-2</v>
      </c>
      <c r="X1005">
        <v>0.9975619</v>
      </c>
      <c r="Y1005">
        <v>-4.7152979999999997E-2</v>
      </c>
      <c r="Z1005">
        <v>9.6056020000000002E-4</v>
      </c>
      <c r="AA1005">
        <v>0.99888719999999998</v>
      </c>
      <c r="AB1005">
        <v>36</v>
      </c>
      <c r="AC1005">
        <v>15.626899999999999</v>
      </c>
      <c r="AD1005">
        <v>-1.1099339896706</v>
      </c>
      <c r="AE1005">
        <v>0.90519999999997902</v>
      </c>
      <c r="AF1005">
        <v>-0.74839665664300503</v>
      </c>
      <c r="AG1005">
        <v>-1.1099339896706</v>
      </c>
      <c r="AH1005">
        <v>15.556794178002001</v>
      </c>
      <c r="AI1005">
        <v>94.076280955741396</v>
      </c>
      <c r="AJ1005">
        <v>92.754226601362205</v>
      </c>
      <c r="AK1005">
        <v>15.614285001684101</v>
      </c>
      <c r="AL1005">
        <v>86.391593425119495</v>
      </c>
      <c r="AM1005">
        <v>88.268724737555701</v>
      </c>
      <c r="AN1005">
        <v>0.99999997234937599</v>
      </c>
    </row>
    <row r="1006" spans="1:40" x14ac:dyDescent="0.25">
      <c r="A1006" t="str">
        <f>"20190312160619615"</f>
        <v>20190312160619615</v>
      </c>
      <c r="B1006" t="str">
        <f>"1552377979606411"</f>
        <v>1552377979606411</v>
      </c>
      <c r="C1006" t="s">
        <v>40</v>
      </c>
      <c r="D1006">
        <v>6.3755350000000002</v>
      </c>
      <c r="E1006">
        <v>0.47189789999999998</v>
      </c>
      <c r="F1006" t="s">
        <v>47</v>
      </c>
      <c r="G1006">
        <v>-228.8237</v>
      </c>
      <c r="H1006" s="1">
        <v>-8.09882E-7</v>
      </c>
      <c r="I1006">
        <v>368.02460000000002</v>
      </c>
      <c r="J1006">
        <v>-243.57429999999999</v>
      </c>
      <c r="K1006">
        <v>1.1099349999999999</v>
      </c>
      <c r="L1006">
        <v>367.17070000000001</v>
      </c>
      <c r="M1006">
        <v>0.99985279999999999</v>
      </c>
      <c r="N1006">
        <v>0</v>
      </c>
      <c r="O1006">
        <v>9.8890000000000002E-3</v>
      </c>
      <c r="P1006">
        <v>0.99860020000000005</v>
      </c>
      <c r="Q1006">
        <v>4.8969619999999998E-2</v>
      </c>
      <c r="R1006">
        <v>-1.9992099999999999E-2</v>
      </c>
      <c r="S1006">
        <v>3.0186459999999999</v>
      </c>
      <c r="T1006">
        <v>-0.22198399999999999</v>
      </c>
      <c r="U1006">
        <v>0.1714783</v>
      </c>
      <c r="V1006">
        <v>2.9851470000000001E-2</v>
      </c>
      <c r="W1006">
        <v>6.296504E-2</v>
      </c>
      <c r="X1006">
        <v>0.99756920000000004</v>
      </c>
      <c r="Y1006">
        <v>-4.6738920000000003E-2</v>
      </c>
      <c r="Z1006">
        <v>9.8917839999999998E-4</v>
      </c>
      <c r="AA1006">
        <v>0.99890670000000004</v>
      </c>
      <c r="AB1006">
        <v>36</v>
      </c>
      <c r="AC1006">
        <v>14.750599999999899</v>
      </c>
      <c r="AD1006">
        <v>-1.109935809882</v>
      </c>
      <c r="AE1006">
        <v>0.85390000000000998</v>
      </c>
      <c r="AF1006">
        <v>-0.70400240726118002</v>
      </c>
      <c r="AG1006">
        <v>-1.109935809882</v>
      </c>
      <c r="AH1006">
        <v>14.675507207480599</v>
      </c>
      <c r="AI1006">
        <v>94.320202446271594</v>
      </c>
      <c r="AJ1006">
        <v>92.746444641088004</v>
      </c>
      <c r="AK1006">
        <v>14.7342488335273</v>
      </c>
      <c r="AL1006">
        <v>86.389980915781607</v>
      </c>
      <c r="AM1006">
        <v>88.285980563850401</v>
      </c>
      <c r="AN1006">
        <v>1.0000000076560001</v>
      </c>
    </row>
    <row r="1007" spans="1:40" x14ac:dyDescent="0.25">
      <c r="A1007" t="str">
        <f>"20190312160619628"</f>
        <v>20190312160619628</v>
      </c>
      <c r="B1007" t="str">
        <f>"1552377979616171"</f>
        <v>1552377979616171</v>
      </c>
      <c r="C1007" t="s">
        <v>40</v>
      </c>
      <c r="D1007">
        <v>6.6648579999999997</v>
      </c>
      <c r="E1007">
        <v>0.47189789999999998</v>
      </c>
      <c r="F1007" t="s">
        <v>47</v>
      </c>
      <c r="G1007">
        <v>-228.364</v>
      </c>
      <c r="H1007" s="1">
        <v>-9.6224649999999999E-7</v>
      </c>
      <c r="I1007">
        <v>368.04880000000003</v>
      </c>
      <c r="J1007">
        <v>-243.3443</v>
      </c>
      <c r="K1007">
        <v>1.109936</v>
      </c>
      <c r="L1007">
        <v>367.17309999999998</v>
      </c>
      <c r="M1007">
        <v>0.99985139999999995</v>
      </c>
      <c r="N1007">
        <v>0</v>
      </c>
      <c r="O1007">
        <v>9.9546249999999999E-3</v>
      </c>
      <c r="P1007">
        <v>0.99862600000000001</v>
      </c>
      <c r="Q1007">
        <v>4.8450229999999997E-2</v>
      </c>
      <c r="R1007">
        <v>-1.9971269999999999E-2</v>
      </c>
      <c r="S1007">
        <v>3.018494</v>
      </c>
      <c r="T1007">
        <v>-0.22026519999999999</v>
      </c>
      <c r="U1007">
        <v>0.17425539999999901</v>
      </c>
      <c r="V1007">
        <v>2.9896949999999999E-2</v>
      </c>
      <c r="W1007">
        <v>6.2507690000000005E-2</v>
      </c>
      <c r="X1007">
        <v>0.99759659999999994</v>
      </c>
      <c r="Y1007">
        <v>-4.7591649999999999E-2</v>
      </c>
      <c r="Z1007">
        <v>1.007831E-3</v>
      </c>
      <c r="AA1007">
        <v>0.99886640000000004</v>
      </c>
      <c r="AB1007">
        <v>36</v>
      </c>
      <c r="AC1007">
        <v>14.9803</v>
      </c>
      <c r="AD1007">
        <v>-1.1099369622464901</v>
      </c>
      <c r="AE1007">
        <v>0.87570000000005099</v>
      </c>
      <c r="AF1007">
        <v>-0.72256533936922696</v>
      </c>
      <c r="AG1007">
        <v>-1.1099369622464901</v>
      </c>
      <c r="AH1007">
        <v>14.906719685789501</v>
      </c>
      <c r="AI1007">
        <v>94.253343485880507</v>
      </c>
      <c r="AJ1007">
        <v>92.775095173503999</v>
      </c>
      <c r="AK1007">
        <v>14.965438601007399</v>
      </c>
      <c r="AL1007">
        <v>86.416236861171697</v>
      </c>
      <c r="AM1007">
        <v>88.283417863454005</v>
      </c>
      <c r="AN1007">
        <v>1.00000000762999</v>
      </c>
    </row>
    <row r="1008" spans="1:40" x14ac:dyDescent="0.25">
      <c r="A1008" t="str">
        <f>"20190312160619641"</f>
        <v>20190312160619641</v>
      </c>
      <c r="B1008" t="str">
        <f>"1552377979635692"</f>
        <v>1552377979635692</v>
      </c>
      <c r="C1008" t="s">
        <v>40</v>
      </c>
      <c r="D1008">
        <v>6.5496619999999997</v>
      </c>
      <c r="E1008">
        <v>0.4820721</v>
      </c>
      <c r="F1008" t="s">
        <v>47</v>
      </c>
      <c r="G1008">
        <v>-228.23869999999999</v>
      </c>
      <c r="H1008" s="1">
        <v>-1.01651E-6</v>
      </c>
      <c r="I1008">
        <v>368.04570000000001</v>
      </c>
      <c r="J1008">
        <v>-243.14850000000001</v>
      </c>
      <c r="K1008">
        <v>1.109936</v>
      </c>
      <c r="L1008">
        <v>367.17509999999999</v>
      </c>
      <c r="M1008">
        <v>0.99985020000000002</v>
      </c>
      <c r="N1008">
        <v>0</v>
      </c>
      <c r="O1008">
        <v>1.0010450000000001E-2</v>
      </c>
      <c r="P1008">
        <v>0.99864299999999995</v>
      </c>
      <c r="Q1008">
        <v>4.8136869999999998E-2</v>
      </c>
      <c r="R1008">
        <v>-1.98768E-2</v>
      </c>
      <c r="S1008">
        <v>3.0183559999999998</v>
      </c>
      <c r="T1008">
        <v>-0.22178410000000001</v>
      </c>
      <c r="U1008">
        <v>0.17437739999999999</v>
      </c>
      <c r="V1008">
        <v>2.9858840000000001E-2</v>
      </c>
      <c r="W1008">
        <v>6.2243090000000001E-2</v>
      </c>
      <c r="X1008">
        <v>0.99761429999999995</v>
      </c>
      <c r="Y1008">
        <v>-4.7577550000000003E-2</v>
      </c>
      <c r="Z1008">
        <v>1.010197E-3</v>
      </c>
      <c r="AA1008">
        <v>0.99886699999999995</v>
      </c>
      <c r="AB1008">
        <v>36</v>
      </c>
      <c r="AC1008">
        <v>14.909800000000001</v>
      </c>
      <c r="AD1008">
        <v>-1.10993701651</v>
      </c>
      <c r="AE1008">
        <v>0.87060000000002402</v>
      </c>
      <c r="AF1008">
        <v>-0.71732589246296097</v>
      </c>
      <c r="AG1008">
        <v>-1.10993701651</v>
      </c>
      <c r="AH1008">
        <v>14.835830501015799</v>
      </c>
      <c r="AI1008">
        <v>94.273617076397301</v>
      </c>
      <c r="AJ1008">
        <v>92.768147237593297</v>
      </c>
      <c r="AK1008">
        <v>14.894575632474</v>
      </c>
      <c r="AL1008">
        <v>86.431426954627497</v>
      </c>
      <c r="AM1008">
        <v>88.285635103805404</v>
      </c>
      <c r="AN1008">
        <v>1.00000002207169</v>
      </c>
    </row>
    <row r="1009" spans="1:40" x14ac:dyDescent="0.25">
      <c r="A1009" t="str">
        <f>"20190312160619652"</f>
        <v>20190312160619652</v>
      </c>
      <c r="B1009" t="str">
        <f>"1552377979646428"</f>
        <v>1552377979646428</v>
      </c>
      <c r="C1009" t="s">
        <v>40</v>
      </c>
      <c r="D1009">
        <v>6.5465099999999996</v>
      </c>
      <c r="E1009">
        <v>0.51531700000000003</v>
      </c>
      <c r="F1009" t="s">
        <v>42</v>
      </c>
      <c r="G1009">
        <v>-159.97399999999999</v>
      </c>
      <c r="H1009">
        <v>6.6740899999999996</v>
      </c>
      <c r="I1009">
        <v>369.45159999999998</v>
      </c>
      <c r="J1009">
        <v>-242.959</v>
      </c>
      <c r="K1009">
        <v>1.109937</v>
      </c>
      <c r="L1009">
        <v>367.1771</v>
      </c>
      <c r="M1009">
        <v>0.99984899999999999</v>
      </c>
      <c r="N1009">
        <v>0</v>
      </c>
      <c r="O1009">
        <v>1.0064470000000001E-2</v>
      </c>
      <c r="P1009">
        <v>0.99866719999999998</v>
      </c>
      <c r="Q1009">
        <v>4.7660359999999999E-2</v>
      </c>
      <c r="R1009">
        <v>-1.9800379999999999E-2</v>
      </c>
      <c r="S1009">
        <v>2.996048</v>
      </c>
      <c r="T1009">
        <v>0.20043059999999999</v>
      </c>
      <c r="U1009">
        <v>8.2000729999999994E-2</v>
      </c>
      <c r="V1009">
        <v>2.9836979999999999E-2</v>
      </c>
      <c r="W1009">
        <v>6.1811900000000003E-2</v>
      </c>
      <c r="X1009">
        <v>0.99764169999999996</v>
      </c>
      <c r="Y1009">
        <v>-1.7280179999999999E-2</v>
      </c>
      <c r="Z1009" s="1">
        <v>9.5200260000000001E-5</v>
      </c>
      <c r="AA1009">
        <v>0.99985069999999998</v>
      </c>
      <c r="AB1009">
        <v>36</v>
      </c>
      <c r="AC1009">
        <v>82.984999999999999</v>
      </c>
      <c r="AD1009">
        <v>5.5641529999999904</v>
      </c>
      <c r="AE1009">
        <v>2.2744999999999802</v>
      </c>
      <c r="AF1009">
        <v>-1.4326648963181901</v>
      </c>
      <c r="AG1009">
        <v>5.5641529999999904</v>
      </c>
      <c r="AH1009">
        <v>82.632476727199204</v>
      </c>
      <c r="AI1009">
        <v>86.148315042110795</v>
      </c>
      <c r="AJ1009">
        <v>90.993282929319903</v>
      </c>
      <c r="AK1009">
        <v>82.831989819052893</v>
      </c>
      <c r="AL1009">
        <v>86.456179760948103</v>
      </c>
      <c r="AM1009">
        <v>88.286936484042599</v>
      </c>
      <c r="AN1009">
        <v>0.99999995896800897</v>
      </c>
    </row>
    <row r="1010" spans="1:40" x14ac:dyDescent="0.25">
      <c r="A1010" t="str">
        <f>"20190312160619663"</f>
        <v>20190312160619663</v>
      </c>
      <c r="B1010" t="str">
        <f>"1552377979656188"</f>
        <v>1552377979656188</v>
      </c>
      <c r="C1010" t="s">
        <v>40</v>
      </c>
      <c r="D1010">
        <v>6.0761180000000001</v>
      </c>
      <c r="E1010">
        <v>0.51531700000000003</v>
      </c>
      <c r="F1010" t="s">
        <v>42</v>
      </c>
      <c r="G1010">
        <v>-168.84350000000001</v>
      </c>
      <c r="H1010">
        <v>12.02064</v>
      </c>
      <c r="I1010">
        <v>362.45800000000003</v>
      </c>
      <c r="J1010">
        <v>-242.78880000000001</v>
      </c>
      <c r="K1010">
        <v>1.109936</v>
      </c>
      <c r="L1010">
        <v>367.17880000000002</v>
      </c>
      <c r="M1010">
        <v>0.99984790000000001</v>
      </c>
      <c r="N1010">
        <v>0</v>
      </c>
      <c r="O1010">
        <v>1.011283E-2</v>
      </c>
      <c r="P1010">
        <v>0.9986872</v>
      </c>
      <c r="Q1010">
        <v>4.7331070000000003E-2</v>
      </c>
      <c r="R1010">
        <v>-1.9588399999999999E-2</v>
      </c>
      <c r="S1010">
        <v>2.9793090000000002</v>
      </c>
      <c r="T1010">
        <v>0.43859359999999997</v>
      </c>
      <c r="U1010">
        <v>-0.18969730000000001</v>
      </c>
      <c r="V1010">
        <v>2.9673720000000001E-2</v>
      </c>
      <c r="W1010">
        <v>6.1518719999999999E-2</v>
      </c>
      <c r="X1010">
        <v>0.99766469999999896</v>
      </c>
      <c r="Y1010">
        <v>7.2743479999999999E-2</v>
      </c>
      <c r="Z1010">
        <v>6.7999360000000003E-3</v>
      </c>
      <c r="AA1010">
        <v>0.99732750000000003</v>
      </c>
      <c r="AB1010">
        <v>36</v>
      </c>
      <c r="AC1010">
        <v>73.945300000000003</v>
      </c>
      <c r="AD1010">
        <v>10.9107039999999</v>
      </c>
      <c r="AE1010">
        <v>-4.7207999999999899</v>
      </c>
      <c r="AF1010">
        <v>5.3523751413043597</v>
      </c>
      <c r="AG1010">
        <v>10.9107039999999</v>
      </c>
      <c r="AH1010">
        <v>72.325543030062803</v>
      </c>
      <c r="AI1010">
        <v>81.444352234288402</v>
      </c>
      <c r="AJ1010">
        <v>85.767601683969502</v>
      </c>
      <c r="AK1010">
        <v>73.339454293186094</v>
      </c>
      <c r="AL1010">
        <v>86.473009800037303</v>
      </c>
      <c r="AM1010">
        <v>88.296343625095204</v>
      </c>
      <c r="AN1010">
        <v>0.99999996809758196</v>
      </c>
    </row>
    <row r="1011" spans="1:40" x14ac:dyDescent="0.25">
      <c r="A1011" t="str">
        <f>"20190312160619675"</f>
        <v>20190312160619675</v>
      </c>
      <c r="B1011" t="str">
        <f>"1552377979665948"</f>
        <v>1552377979665948</v>
      </c>
      <c r="C1011" t="s">
        <v>40</v>
      </c>
      <c r="D1011">
        <v>6.4842199999999997</v>
      </c>
      <c r="E1011">
        <v>0.51577859999999998</v>
      </c>
      <c r="F1011" t="s">
        <v>42</v>
      </c>
      <c r="G1011">
        <v>-168.84350000000001</v>
      </c>
      <c r="H1011">
        <v>11.974159999999999</v>
      </c>
      <c r="I1011">
        <v>362.49290000000002</v>
      </c>
      <c r="J1011">
        <v>-242.5933</v>
      </c>
      <c r="K1011">
        <v>1.1099349999999999</v>
      </c>
      <c r="L1011">
        <v>367.18079999999998</v>
      </c>
      <c r="M1011">
        <v>0.99984689999999998</v>
      </c>
      <c r="N1011">
        <v>0</v>
      </c>
      <c r="O1011">
        <v>1.016855E-2</v>
      </c>
      <c r="P1011">
        <v>0.99869859999999999</v>
      </c>
      <c r="Q1011">
        <v>4.706018E-2</v>
      </c>
      <c r="R1011">
        <v>-1.9671999999999999E-2</v>
      </c>
      <c r="S1011">
        <v>2.979492</v>
      </c>
      <c r="T1011">
        <v>0.43775740000000002</v>
      </c>
      <c r="U1011">
        <v>-0.18881229999999999</v>
      </c>
      <c r="V1011">
        <v>2.9813159999999998E-2</v>
      </c>
      <c r="W1011">
        <v>6.1287420000000002E-2</v>
      </c>
      <c r="X1011">
        <v>0.99767479999999997</v>
      </c>
      <c r="Y1011">
        <v>7.2505529999999999E-2</v>
      </c>
      <c r="Z1011">
        <v>6.7775279999999997E-3</v>
      </c>
      <c r="AA1011">
        <v>0.99734500000000004</v>
      </c>
      <c r="AB1011">
        <v>36</v>
      </c>
      <c r="AC1011">
        <v>73.749799999999993</v>
      </c>
      <c r="AD1011">
        <v>10.864224999999999</v>
      </c>
      <c r="AE1011">
        <v>-4.6878999999999502</v>
      </c>
      <c r="AF1011">
        <v>5.3226218079837597</v>
      </c>
      <c r="AG1011">
        <v>10.864224999999999</v>
      </c>
      <c r="AH1011">
        <v>72.139134986993994</v>
      </c>
      <c r="AI1011">
        <v>81.458435268262704</v>
      </c>
      <c r="AJ1011">
        <v>85.780207653489697</v>
      </c>
      <c r="AK1011">
        <v>73.146541165206102</v>
      </c>
      <c r="AL1011">
        <v>86.4862874435305</v>
      </c>
      <c r="AM1011">
        <v>88.288360029556301</v>
      </c>
      <c r="AN1011">
        <v>0.99999998945724</v>
      </c>
    </row>
    <row r="1012" spans="1:40" x14ac:dyDescent="0.25">
      <c r="A1012" t="str">
        <f>"20190312160619687"</f>
        <v>20190312160619687</v>
      </c>
      <c r="B1012" t="str">
        <f>"1552377979675708"</f>
        <v>1552377979675708</v>
      </c>
      <c r="C1012" t="s">
        <v>40</v>
      </c>
      <c r="D1012">
        <v>6.5201900000000004</v>
      </c>
      <c r="E1012">
        <v>0.51710529999999999</v>
      </c>
      <c r="F1012" t="s">
        <v>42</v>
      </c>
      <c r="G1012">
        <v>-168.84350000000001</v>
      </c>
      <c r="H1012">
        <v>11.78886</v>
      </c>
      <c r="I1012">
        <v>362.42540000000002</v>
      </c>
      <c r="J1012">
        <v>-242.4128</v>
      </c>
      <c r="K1012">
        <v>1.1099300000000001</v>
      </c>
      <c r="L1012">
        <v>367.18270000000001</v>
      </c>
      <c r="M1012">
        <v>0.99984589999999995</v>
      </c>
      <c r="N1012">
        <v>0</v>
      </c>
      <c r="O1012">
        <v>1.022063E-2</v>
      </c>
      <c r="P1012">
        <v>0.99872269999999996</v>
      </c>
      <c r="Q1012">
        <v>4.660193E-2</v>
      </c>
      <c r="R1012">
        <v>-1.952949E-2</v>
      </c>
      <c r="S1012">
        <v>2.979813</v>
      </c>
      <c r="T1012">
        <v>0.43147859999999999</v>
      </c>
      <c r="U1012">
        <v>-0.1921387</v>
      </c>
      <c r="V1012">
        <v>2.9723300000000001E-2</v>
      </c>
      <c r="W1012">
        <v>6.0861930000000002E-2</v>
      </c>
      <c r="X1012">
        <v>0.99770360000000002</v>
      </c>
      <c r="Y1012">
        <v>7.3672139999999997E-2</v>
      </c>
      <c r="Z1012">
        <v>6.7718199999999996E-3</v>
      </c>
      <c r="AA1012">
        <v>0.99725949999999997</v>
      </c>
      <c r="AB1012">
        <v>36</v>
      </c>
      <c r="AC1012">
        <v>73.569299999999998</v>
      </c>
      <c r="AD1012">
        <v>10.678929999999999</v>
      </c>
      <c r="AE1012">
        <v>-4.7572999999999803</v>
      </c>
      <c r="AF1012">
        <v>5.3958364008328097</v>
      </c>
      <c r="AG1012">
        <v>10.678929999999999</v>
      </c>
      <c r="AH1012">
        <v>72.005988379426896</v>
      </c>
      <c r="AI1012">
        <v>81.587421454333906</v>
      </c>
      <c r="AJ1012">
        <v>85.714496544911597</v>
      </c>
      <c r="AK1012">
        <v>72.993266531287702</v>
      </c>
      <c r="AL1012">
        <v>86.510712071522093</v>
      </c>
      <c r="AM1012">
        <v>88.293565268150701</v>
      </c>
      <c r="AN1012">
        <v>1.0000000612695801</v>
      </c>
    </row>
    <row r="1013" spans="1:40" x14ac:dyDescent="0.25">
      <c r="A1013" t="str">
        <f>"20190312160619704"</f>
        <v>20190312160619704</v>
      </c>
      <c r="B1013" t="str">
        <f>"1552377979696207"</f>
        <v>1552377979696207</v>
      </c>
      <c r="C1013" t="s">
        <v>40</v>
      </c>
      <c r="D1013">
        <v>6.2965109999999997</v>
      </c>
      <c r="E1013">
        <v>0.51847209999999999</v>
      </c>
      <c r="F1013" t="s">
        <v>42</v>
      </c>
      <c r="G1013">
        <v>-168.84350000000001</v>
      </c>
      <c r="H1013">
        <v>11.18839</v>
      </c>
      <c r="I1013">
        <v>362.2072</v>
      </c>
      <c r="J1013">
        <v>-242.1414</v>
      </c>
      <c r="K1013">
        <v>1.109931</v>
      </c>
      <c r="L1013">
        <v>367.18560000000002</v>
      </c>
      <c r="M1013">
        <v>0.99984430000000002</v>
      </c>
      <c r="N1013">
        <v>0</v>
      </c>
      <c r="O1013">
        <v>1.0298720000000001E-2</v>
      </c>
      <c r="P1013">
        <v>0.99876830000000005</v>
      </c>
      <c r="Q1013">
        <v>4.5456400000000001E-2</v>
      </c>
      <c r="R1013">
        <v>-1.9884369999999998E-2</v>
      </c>
      <c r="S1013">
        <v>2.9808500000000002</v>
      </c>
      <c r="T1013">
        <v>0.40835830000000001</v>
      </c>
      <c r="U1013">
        <v>-0.2015991</v>
      </c>
      <c r="V1013">
        <v>3.0157199999999999E-2</v>
      </c>
      <c r="W1013">
        <v>5.976244E-2</v>
      </c>
      <c r="X1013">
        <v>0.99775700000000001</v>
      </c>
      <c r="Y1013">
        <v>7.6938759999999995E-2</v>
      </c>
      <c r="Z1013">
        <v>6.6426419999999998E-3</v>
      </c>
      <c r="AA1013">
        <v>0.9970137</v>
      </c>
      <c r="AB1013">
        <v>36</v>
      </c>
      <c r="AC1013">
        <v>73.297899999999998</v>
      </c>
      <c r="AD1013">
        <v>10.078459000000001</v>
      </c>
      <c r="AE1013">
        <v>-4.9784000000000201</v>
      </c>
      <c r="AF1013">
        <v>5.6271875446285398</v>
      </c>
      <c r="AG1013">
        <v>10.078459000000001</v>
      </c>
      <c r="AH1013">
        <v>71.889810670150098</v>
      </c>
      <c r="AI1013">
        <v>82.043560220936797</v>
      </c>
      <c r="AJ1013">
        <v>85.524288816471497</v>
      </c>
      <c r="AK1013">
        <v>72.810613605896293</v>
      </c>
      <c r="AL1013">
        <v>86.573822950401095</v>
      </c>
      <c r="AM1013">
        <v>88.268762432501404</v>
      </c>
      <c r="AN1013">
        <v>1.00000001849779</v>
      </c>
    </row>
    <row r="1014" spans="1:40" x14ac:dyDescent="0.25">
      <c r="A1014" t="str">
        <f>"20190312160619716"</f>
        <v>20190312160619716</v>
      </c>
      <c r="B1014" t="str">
        <f>"1552377979705964"</f>
        <v>1552377979705964</v>
      </c>
      <c r="C1014" t="s">
        <v>40</v>
      </c>
      <c r="D1014">
        <v>6.3640299999999996</v>
      </c>
      <c r="E1014">
        <v>0.51847209999999999</v>
      </c>
      <c r="F1014" t="s">
        <v>42</v>
      </c>
      <c r="G1014">
        <v>-168.84350000000001</v>
      </c>
      <c r="H1014">
        <v>10.82198</v>
      </c>
      <c r="I1014">
        <v>361.94580000000002</v>
      </c>
      <c r="J1014">
        <v>-241.9469</v>
      </c>
      <c r="K1014">
        <v>1.109928</v>
      </c>
      <c r="L1014">
        <v>367.18770000000001</v>
      </c>
      <c r="M1014">
        <v>0.99984340000000005</v>
      </c>
      <c r="N1014">
        <v>0</v>
      </c>
      <c r="O1014">
        <v>1.035487E-2</v>
      </c>
      <c r="P1014">
        <v>0.99879180000000001</v>
      </c>
      <c r="Q1014">
        <v>4.4870050000000002E-2</v>
      </c>
      <c r="R1014">
        <v>-2.0055050000000001E-2</v>
      </c>
      <c r="S1014">
        <v>2.9814609999999999</v>
      </c>
      <c r="T1014">
        <v>0.3950497</v>
      </c>
      <c r="U1014">
        <v>-0.21313480000000001</v>
      </c>
      <c r="V1014">
        <v>3.0384230000000002E-2</v>
      </c>
      <c r="W1014">
        <v>5.9206479999999999E-2</v>
      </c>
      <c r="X1014">
        <v>0.99778319999999998</v>
      </c>
      <c r="Y1014">
        <v>8.0837350000000002E-2</v>
      </c>
      <c r="Z1014">
        <v>6.6901520000000004E-3</v>
      </c>
      <c r="AA1014">
        <v>0.9967049</v>
      </c>
      <c r="AB1014">
        <v>36</v>
      </c>
      <c r="AC1014">
        <v>73.103399999999993</v>
      </c>
      <c r="AD1014">
        <v>9.7120519999999999</v>
      </c>
      <c r="AE1014">
        <v>-5.2418999999999798</v>
      </c>
      <c r="AF1014">
        <v>5.8951553222625304</v>
      </c>
      <c r="AG1014">
        <v>9.7120519999999999</v>
      </c>
      <c r="AH1014">
        <v>71.784670614416598</v>
      </c>
      <c r="AI1014">
        <v>82.320538428542605</v>
      </c>
      <c r="AJ1014">
        <v>85.305247534374402</v>
      </c>
      <c r="AK1014">
        <v>72.678165535080694</v>
      </c>
      <c r="AL1014">
        <v>86.605733424355904</v>
      </c>
      <c r="AM1014">
        <v>88.255783091279099</v>
      </c>
      <c r="AN1014">
        <v>0.99999996145446002</v>
      </c>
    </row>
    <row r="1015" spans="1:40" x14ac:dyDescent="0.25">
      <c r="A1015" t="str">
        <f>"20190312160619728"</f>
        <v>20190312160619728</v>
      </c>
      <c r="B1015" t="str">
        <f>"1552377979715723"</f>
        <v>1552377979715723</v>
      </c>
      <c r="C1015" t="s">
        <v>40</v>
      </c>
      <c r="D1015">
        <v>6.1583310000000004</v>
      </c>
      <c r="E1015">
        <v>0.51767719999999995</v>
      </c>
      <c r="F1015" t="s">
        <v>42</v>
      </c>
      <c r="G1015">
        <v>-168.84350000000001</v>
      </c>
      <c r="H1015">
        <v>10.75461</v>
      </c>
      <c r="I1015">
        <v>361.95240000000001</v>
      </c>
      <c r="J1015">
        <v>-241.7543</v>
      </c>
      <c r="K1015">
        <v>1.1099300000000001</v>
      </c>
      <c r="L1015">
        <v>367.18970000000002</v>
      </c>
      <c r="M1015">
        <v>0.99984249999999997</v>
      </c>
      <c r="N1015">
        <v>0</v>
      </c>
      <c r="O1015">
        <v>1.041099E-2</v>
      </c>
      <c r="P1015">
        <v>0.9988011</v>
      </c>
      <c r="Q1015">
        <v>4.4553570000000001E-2</v>
      </c>
      <c r="R1015">
        <v>-2.0281069999999998E-2</v>
      </c>
      <c r="S1015">
        <v>2.9816590000000001</v>
      </c>
      <c r="T1015">
        <v>0.39337939999999999</v>
      </c>
      <c r="U1015">
        <v>-0.21353150000000001</v>
      </c>
      <c r="V1015">
        <v>3.0666840000000001E-2</v>
      </c>
      <c r="W1015">
        <v>5.8916589999999998E-2</v>
      </c>
      <c r="X1015">
        <v>0.99779180000000001</v>
      </c>
      <c r="Y1015">
        <v>8.1025169999999994E-2</v>
      </c>
      <c r="Z1015">
        <v>6.6813239999999998E-3</v>
      </c>
      <c r="AA1015">
        <v>0.99668970000000001</v>
      </c>
      <c r="AB1015">
        <v>36</v>
      </c>
      <c r="AC1015">
        <v>72.910799999999995</v>
      </c>
      <c r="AD1015">
        <v>9.6446799999999993</v>
      </c>
      <c r="AE1015">
        <v>-5.2373000000000003</v>
      </c>
      <c r="AF1015">
        <v>5.8935709718314397</v>
      </c>
      <c r="AG1015">
        <v>9.6446799999999993</v>
      </c>
      <c r="AH1015">
        <v>71.605780402309506</v>
      </c>
      <c r="AI1015">
        <v>82.354465469760996</v>
      </c>
      <c r="AJ1015">
        <v>85.294830616368998</v>
      </c>
      <c r="AK1015">
        <v>72.492356963518503</v>
      </c>
      <c r="AL1015">
        <v>86.622372236033101</v>
      </c>
      <c r="AM1015">
        <v>88.239585094583404</v>
      </c>
      <c r="AN1015">
        <v>1.00000004790002</v>
      </c>
    </row>
    <row r="1016" spans="1:40" x14ac:dyDescent="0.25">
      <c r="A1016" t="str">
        <f>"20190312160619741"</f>
        <v>20190312160619741</v>
      </c>
      <c r="B1016" t="str">
        <f>"1552377979736220"</f>
        <v>1552377979736220</v>
      </c>
      <c r="C1016" t="s">
        <v>40</v>
      </c>
      <c r="D1016">
        <v>6.0611519999999999</v>
      </c>
      <c r="E1016">
        <v>0.51902959999999998</v>
      </c>
      <c r="F1016" t="s">
        <v>42</v>
      </c>
      <c r="G1016">
        <v>-158.19499999999999</v>
      </c>
      <c r="H1016">
        <v>3.2979829999999999</v>
      </c>
      <c r="I1016">
        <v>361.59440000000001</v>
      </c>
      <c r="J1016">
        <v>-241.565</v>
      </c>
      <c r="K1016">
        <v>1.1099300000000001</v>
      </c>
      <c r="L1016">
        <v>367.19170000000003</v>
      </c>
      <c r="M1016">
        <v>0.99984150000000005</v>
      </c>
      <c r="N1016">
        <v>0</v>
      </c>
      <c r="O1016">
        <v>1.0466E-2</v>
      </c>
      <c r="P1016">
        <v>0.99880340000000001</v>
      </c>
      <c r="Q1016">
        <v>4.436259E-2</v>
      </c>
      <c r="R1016">
        <v>-2.0586509999999999E-2</v>
      </c>
      <c r="S1016">
        <v>2.9960330000000002</v>
      </c>
      <c r="T1016">
        <v>7.8456159999999997E-2</v>
      </c>
      <c r="U1016">
        <v>-0.20062260000000001</v>
      </c>
      <c r="V1016">
        <v>3.1027180000000001E-2</v>
      </c>
      <c r="W1016">
        <v>5.8749500000000003E-2</v>
      </c>
      <c r="X1016">
        <v>0.99779050000000002</v>
      </c>
      <c r="Y1016">
        <v>7.722321E-2</v>
      </c>
      <c r="Z1016">
        <v>1.2835710000000001E-3</v>
      </c>
      <c r="AA1016">
        <v>0.99701300000000004</v>
      </c>
      <c r="AB1016">
        <v>36</v>
      </c>
      <c r="AC1016">
        <v>83.37</v>
      </c>
      <c r="AD1016">
        <v>2.188053</v>
      </c>
      <c r="AE1016">
        <v>-5.5973000000000104</v>
      </c>
      <c r="AF1016">
        <v>6.46520102838711</v>
      </c>
      <c r="AG1016">
        <v>2.188053</v>
      </c>
      <c r="AH1016">
        <v>83.249759944485902</v>
      </c>
      <c r="AI1016">
        <v>88.498959541476793</v>
      </c>
      <c r="AJ1016">
        <v>85.559305925911602</v>
      </c>
      <c r="AK1016">
        <v>83.529090328356801</v>
      </c>
      <c r="AL1016">
        <v>86.631962358213499</v>
      </c>
      <c r="AM1016">
        <v>88.218910880518706</v>
      </c>
      <c r="AN1016">
        <v>1.0000000357696199</v>
      </c>
    </row>
    <row r="1017" spans="1:40" x14ac:dyDescent="0.25">
      <c r="A1017" t="str">
        <f>"20190312160619754"</f>
        <v>20190312160619754</v>
      </c>
      <c r="B1017" t="str">
        <f>"1552377979745979"</f>
        <v>1552377979745979</v>
      </c>
      <c r="C1017" t="s">
        <v>40</v>
      </c>
      <c r="D1017">
        <v>6.2263570000000001</v>
      </c>
      <c r="E1017">
        <v>0.51902959999999998</v>
      </c>
      <c r="F1017" t="s">
        <v>42</v>
      </c>
      <c r="G1017">
        <v>-158.19499999999999</v>
      </c>
      <c r="H1017">
        <v>3.0041120000000001</v>
      </c>
      <c r="I1017">
        <v>361.28840000000002</v>
      </c>
      <c r="J1017">
        <v>-241.35</v>
      </c>
      <c r="K1017">
        <v>1.1099319999999999</v>
      </c>
      <c r="L1017">
        <v>367.19409999999999</v>
      </c>
      <c r="M1017">
        <v>0.99984039999999996</v>
      </c>
      <c r="N1017">
        <v>0</v>
      </c>
      <c r="O1017">
        <v>1.05285E-2</v>
      </c>
      <c r="P1017">
        <v>0.99882320000000002</v>
      </c>
      <c r="Q1017">
        <v>4.3915419999999997E-2</v>
      </c>
      <c r="R1017">
        <v>-2.0591829999999998E-2</v>
      </c>
      <c r="S1017">
        <v>2.9961850000000001</v>
      </c>
      <c r="T1017">
        <v>6.8076970000000001E-2</v>
      </c>
      <c r="U1017">
        <v>-0.21215819999999999</v>
      </c>
      <c r="V1017">
        <v>3.1095330000000001E-2</v>
      </c>
      <c r="W1017">
        <v>5.8328709999999999E-2</v>
      </c>
      <c r="X1017">
        <v>0.99781299999999995</v>
      </c>
      <c r="Y1017">
        <v>8.1108429999999995E-2</v>
      </c>
      <c r="Z1017">
        <v>1.1591049999999999E-3</v>
      </c>
      <c r="AA1017">
        <v>0.99670460000000005</v>
      </c>
      <c r="AB1017">
        <v>36</v>
      </c>
      <c r="AC1017">
        <v>83.155000000000001</v>
      </c>
      <c r="AD1017">
        <v>1.89418</v>
      </c>
      <c r="AE1017">
        <v>-5.9056999999999604</v>
      </c>
      <c r="AF1017">
        <v>6.7774621958404397</v>
      </c>
      <c r="AG1017">
        <v>1.89418</v>
      </c>
      <c r="AH1017">
        <v>83.045331242391498</v>
      </c>
      <c r="AI1017">
        <v>88.697696058910097</v>
      </c>
      <c r="AJ1017">
        <v>85.334340006279604</v>
      </c>
      <c r="AK1017">
        <v>83.342959827732102</v>
      </c>
      <c r="AL1017">
        <v>86.656113045963906</v>
      </c>
      <c r="AM1017">
        <v>88.215041539729299</v>
      </c>
      <c r="AN1017">
        <v>0.99999997046353595</v>
      </c>
    </row>
    <row r="1018" spans="1:40" x14ac:dyDescent="0.25">
      <c r="A1018" t="str">
        <f>"20190312160619768"</f>
        <v>20190312160619768</v>
      </c>
      <c r="B1018" t="str">
        <f>"1552377979755739"</f>
        <v>1552377979755739</v>
      </c>
      <c r="C1018" t="s">
        <v>40</v>
      </c>
      <c r="D1018">
        <v>6.2388669999999999</v>
      </c>
      <c r="E1018">
        <v>0.53773769999999999</v>
      </c>
      <c r="F1018" t="s">
        <v>42</v>
      </c>
      <c r="G1018">
        <v>-158.19499999999999</v>
      </c>
      <c r="H1018">
        <v>2.9657800000000001</v>
      </c>
      <c r="I1018">
        <v>361.30509999999998</v>
      </c>
      <c r="J1018">
        <v>-241.1292</v>
      </c>
      <c r="K1018">
        <v>1.1099319999999999</v>
      </c>
      <c r="L1018">
        <v>367.19639999999998</v>
      </c>
      <c r="M1018">
        <v>0.99983949999999999</v>
      </c>
      <c r="N1018">
        <v>0</v>
      </c>
      <c r="O1018">
        <v>1.059269E-2</v>
      </c>
      <c r="P1018">
        <v>0.99882789999999999</v>
      </c>
      <c r="Q1018">
        <v>4.3747679999999997E-2</v>
      </c>
      <c r="R1018">
        <v>-2.0723709999999999E-2</v>
      </c>
      <c r="S1018">
        <v>2.996216</v>
      </c>
      <c r="T1018">
        <v>6.6872479999999998E-2</v>
      </c>
      <c r="U1018">
        <v>-0.21218870000000001</v>
      </c>
      <c r="V1018">
        <v>3.1291329999999999E-2</v>
      </c>
      <c r="W1018">
        <v>5.8183520000000002E-2</v>
      </c>
      <c r="X1018">
        <v>0.99781540000000002</v>
      </c>
      <c r="Y1018">
        <v>8.1182599999999994E-2</v>
      </c>
      <c r="Z1018">
        <v>1.1408480000000001E-3</v>
      </c>
      <c r="AA1018">
        <v>0.99669859999999999</v>
      </c>
      <c r="AB1018">
        <v>36</v>
      </c>
      <c r="AC1018">
        <v>82.934200000000004</v>
      </c>
      <c r="AD1018">
        <v>1.8558479999999999</v>
      </c>
      <c r="AE1018">
        <v>-5.8913000000000002</v>
      </c>
      <c r="AF1018">
        <v>6.7661862619630098</v>
      </c>
      <c r="AG1018">
        <v>1.8558479999999999</v>
      </c>
      <c r="AH1018">
        <v>82.825868361104497</v>
      </c>
      <c r="AI1018">
        <v>88.720670160788003</v>
      </c>
      <c r="AJ1018">
        <v>85.329780713290205</v>
      </c>
      <c r="AK1018">
        <v>83.122499469768599</v>
      </c>
      <c r="AL1018">
        <v>86.664446140941806</v>
      </c>
      <c r="AM1018">
        <v>88.203802258992297</v>
      </c>
      <c r="AN1018">
        <v>1.00000002090495</v>
      </c>
    </row>
    <row r="1019" spans="1:40" x14ac:dyDescent="0.25">
      <c r="A1019" t="str">
        <f>"20190312160619784"</f>
        <v>20190312160619784</v>
      </c>
      <c r="B1019" t="str">
        <f>"1552377979776236"</f>
        <v>1552377979776236</v>
      </c>
      <c r="C1019" t="s">
        <v>40</v>
      </c>
      <c r="D1019">
        <v>6.4660840000000004</v>
      </c>
      <c r="E1019">
        <v>0.53714640000000002</v>
      </c>
      <c r="F1019" t="s">
        <v>44</v>
      </c>
      <c r="G1019">
        <v>-240.31110000000001</v>
      </c>
      <c r="H1019">
        <v>1.024961</v>
      </c>
      <c r="I1019">
        <v>367.09989999999999</v>
      </c>
      <c r="J1019">
        <v>-240.88910000000001</v>
      </c>
      <c r="K1019">
        <v>1.109936</v>
      </c>
      <c r="L1019">
        <v>367.19909999999999</v>
      </c>
      <c r="M1019">
        <v>0.99983840000000002</v>
      </c>
      <c r="N1019">
        <v>0</v>
      </c>
      <c r="O1019">
        <v>1.066159E-2</v>
      </c>
      <c r="P1019">
        <v>0.99884360000000005</v>
      </c>
      <c r="Q1019">
        <v>4.326443E-2</v>
      </c>
      <c r="R1019">
        <v>-2.09705E-2</v>
      </c>
      <c r="S1019">
        <v>3.0098720000000001</v>
      </c>
      <c r="T1019">
        <v>-0.31283030000000001</v>
      </c>
      <c r="U1019">
        <v>-0.35430909999999999</v>
      </c>
      <c r="V1019">
        <v>3.1607669999999997E-2</v>
      </c>
      <c r="W1019">
        <v>5.7723190000000001E-2</v>
      </c>
      <c r="X1019">
        <v>0.9978321</v>
      </c>
      <c r="Y1019">
        <v>0.12676099999999901</v>
      </c>
      <c r="Z1019">
        <v>-7.6489510000000002E-3</v>
      </c>
      <c r="AA1019">
        <v>0.9919038</v>
      </c>
      <c r="AB1019">
        <v>36</v>
      </c>
      <c r="AC1019">
        <v>0.57800000000000296</v>
      </c>
      <c r="AD1019">
        <v>-8.4974999999999995E-2</v>
      </c>
      <c r="AE1019">
        <v>-9.9199999999996097E-2</v>
      </c>
      <c r="AF1019">
        <v>0.103190896579044</v>
      </c>
      <c r="AG1019">
        <v>-8.4974999999999995E-2</v>
      </c>
      <c r="AH1019">
        <v>0.56504617006101998</v>
      </c>
      <c r="AI1019">
        <v>98.415252831063796</v>
      </c>
      <c r="AJ1019">
        <v>79.650476676372406</v>
      </c>
      <c r="AK1019">
        <v>0.58064299363930505</v>
      </c>
      <c r="AL1019">
        <v>86.690865293805601</v>
      </c>
      <c r="AM1019">
        <v>88.185686001844402</v>
      </c>
      <c r="AN1019">
        <v>0.99999995562850597</v>
      </c>
    </row>
    <row r="1020" spans="1:40" x14ac:dyDescent="0.25">
      <c r="A1020" t="str">
        <f>"20190312160619804"</f>
        <v>20190312160619804</v>
      </c>
      <c r="B1020" t="str">
        <f>"1552377979795756"</f>
        <v>1552377979795756</v>
      </c>
      <c r="C1020" t="s">
        <v>40</v>
      </c>
      <c r="D1020">
        <v>6.0149439999999998</v>
      </c>
      <c r="E1020">
        <v>0.51789189999999996</v>
      </c>
      <c r="F1020" t="s">
        <v>44</v>
      </c>
      <c r="G1020">
        <v>-239.9967</v>
      </c>
      <c r="H1020">
        <v>1.019325</v>
      </c>
      <c r="I1020">
        <v>367.09460000000001</v>
      </c>
      <c r="J1020">
        <v>-240.54900000000001</v>
      </c>
      <c r="K1020">
        <v>1.109937</v>
      </c>
      <c r="L1020">
        <v>367.20280000000002</v>
      </c>
      <c r="M1020">
        <v>0.99983690000000003</v>
      </c>
      <c r="N1020">
        <v>0</v>
      </c>
      <c r="O1020">
        <v>1.0756480000000001E-2</v>
      </c>
      <c r="P1020">
        <v>0.9988532</v>
      </c>
      <c r="Q1020">
        <v>4.310083E-2</v>
      </c>
      <c r="R1020">
        <v>-2.085385E-2</v>
      </c>
      <c r="S1020">
        <v>3.0093380000000001</v>
      </c>
      <c r="T1020">
        <v>-0.30565510000000001</v>
      </c>
      <c r="U1020">
        <v>-0.35177609999999998</v>
      </c>
      <c r="V1020">
        <v>3.1585889999999998E-2</v>
      </c>
      <c r="W1020">
        <v>5.7588E-2</v>
      </c>
      <c r="X1020">
        <v>0.99784059999999997</v>
      </c>
      <c r="Y1020">
        <v>0.12608759999999999</v>
      </c>
      <c r="Z1020">
        <v>-7.4516740000000001E-3</v>
      </c>
      <c r="AA1020">
        <v>0.99199110000000001</v>
      </c>
      <c r="AB1020">
        <v>35</v>
      </c>
      <c r="AC1020">
        <v>0.55230000000000201</v>
      </c>
      <c r="AD1020">
        <v>-9.0612000000000095E-2</v>
      </c>
      <c r="AE1020">
        <v>-0.10820000000001</v>
      </c>
      <c r="AF1020">
        <v>0.111251334078455</v>
      </c>
      <c r="AG1020">
        <v>-9.0612000000000095E-2</v>
      </c>
      <c r="AH1020">
        <v>0.537179413662076</v>
      </c>
      <c r="AI1020">
        <v>99.379198146663001</v>
      </c>
      <c r="AJ1020">
        <v>78.299301935251606</v>
      </c>
      <c r="AK1020">
        <v>0.55601179514518195</v>
      </c>
      <c r="AL1020">
        <v>86.698624013571504</v>
      </c>
      <c r="AM1020">
        <v>88.186950796485903</v>
      </c>
      <c r="AN1020">
        <v>0.99999995459972402</v>
      </c>
    </row>
    <row r="1021" spans="1:40" x14ac:dyDescent="0.25">
      <c r="A1021" t="str">
        <f>"20190312160619826"</f>
        <v>20190312160619826</v>
      </c>
      <c r="B1021" t="str">
        <f>"1552377979816251"</f>
        <v>1552377979816251</v>
      </c>
      <c r="C1021" t="s">
        <v>40</v>
      </c>
      <c r="D1021">
        <v>6.4620749999999996</v>
      </c>
      <c r="E1021">
        <v>0.51826459999999996</v>
      </c>
      <c r="F1021" t="s">
        <v>42</v>
      </c>
      <c r="G1021">
        <v>-158.19499999999999</v>
      </c>
      <c r="H1021">
        <v>3.1515749999999998</v>
      </c>
      <c r="I1021">
        <v>361.57990000000001</v>
      </c>
      <c r="J1021">
        <v>-240.2039</v>
      </c>
      <c r="K1021">
        <v>1.1099349999999999</v>
      </c>
      <c r="L1021">
        <v>367.20659999999998</v>
      </c>
      <c r="M1021">
        <v>0.99983560000000005</v>
      </c>
      <c r="N1021">
        <v>0</v>
      </c>
      <c r="O1021">
        <v>1.0848450000000001E-2</v>
      </c>
      <c r="P1021">
        <v>0.99888929999999998</v>
      </c>
      <c r="Q1021">
        <v>4.2556509999999999E-2</v>
      </c>
      <c r="R1021">
        <v>-2.023194E-2</v>
      </c>
      <c r="S1021">
        <v>2.995987</v>
      </c>
      <c r="T1021">
        <v>7.427657E-2</v>
      </c>
      <c r="U1021">
        <v>-0.2045593</v>
      </c>
      <c r="V1021">
        <v>3.1056819999999999E-2</v>
      </c>
      <c r="W1021">
        <v>5.7068149999999998E-2</v>
      </c>
      <c r="X1021">
        <v>0.99788710000000003</v>
      </c>
      <c r="Y1021">
        <v>7.8912109999999994E-2</v>
      </c>
      <c r="Z1021">
        <v>1.245559E-3</v>
      </c>
      <c r="AA1021">
        <v>0.99688080000000001</v>
      </c>
      <c r="AB1021">
        <v>35</v>
      </c>
      <c r="AC1021">
        <v>82.008899999999997</v>
      </c>
      <c r="AD1021">
        <v>2.0416400000000001</v>
      </c>
      <c r="AE1021">
        <v>-5.6266999999999703</v>
      </c>
      <c r="AF1021">
        <v>6.5121150270385701</v>
      </c>
      <c r="AG1021">
        <v>2.0416400000000001</v>
      </c>
      <c r="AH1021">
        <v>81.892508264167702</v>
      </c>
      <c r="AI1021">
        <v>88.576362447500998</v>
      </c>
      <c r="AJ1021">
        <v>85.453391030853396</v>
      </c>
      <c r="AK1021">
        <v>82.1763886150503</v>
      </c>
      <c r="AL1021">
        <v>86.728458381894399</v>
      </c>
      <c r="AM1021">
        <v>88.217382989528403</v>
      </c>
      <c r="AN1021">
        <v>0.999999982079672</v>
      </c>
    </row>
    <row r="1022" spans="1:40" x14ac:dyDescent="0.25">
      <c r="A1022" t="str">
        <f>"20190312160619840"</f>
        <v>20190312160619840</v>
      </c>
      <c r="B1022" t="str">
        <f>"1552377979835771"</f>
        <v>1552377979835771</v>
      </c>
      <c r="C1022" t="s">
        <v>40</v>
      </c>
      <c r="D1022">
        <v>6.4948750000000004</v>
      </c>
      <c r="E1022">
        <v>0.51485499999999995</v>
      </c>
      <c r="F1022" t="s">
        <v>42</v>
      </c>
      <c r="G1022">
        <v>-158.19499999999999</v>
      </c>
      <c r="H1022">
        <v>3.201743</v>
      </c>
      <c r="I1022">
        <v>361.57530000000003</v>
      </c>
      <c r="J1022">
        <v>-239.97919999999999</v>
      </c>
      <c r="K1022">
        <v>1.1099319999999999</v>
      </c>
      <c r="L1022">
        <v>367.20920000000001</v>
      </c>
      <c r="M1022">
        <v>0.99983480000000002</v>
      </c>
      <c r="N1022">
        <v>0</v>
      </c>
      <c r="O1022">
        <v>1.0904799999999999E-2</v>
      </c>
      <c r="P1022">
        <v>0.99890069999999997</v>
      </c>
      <c r="Q1022">
        <v>4.2517050000000001E-2</v>
      </c>
      <c r="R1022">
        <v>-1.9739159999999999E-2</v>
      </c>
      <c r="S1022">
        <v>2.995895</v>
      </c>
      <c r="T1022">
        <v>7.6419710000000002E-2</v>
      </c>
      <c r="U1022">
        <v>-0.20571900000000001</v>
      </c>
      <c r="V1022">
        <v>3.0621010000000001E-2</v>
      </c>
      <c r="W1022">
        <v>5.7042450000000001E-2</v>
      </c>
      <c r="X1022">
        <v>0.99790199999999996</v>
      </c>
      <c r="Y1022">
        <v>7.935267E-2</v>
      </c>
      <c r="Z1022">
        <v>1.2885559999999999E-3</v>
      </c>
      <c r="AA1022">
        <v>0.9968458</v>
      </c>
      <c r="AB1022">
        <v>35</v>
      </c>
      <c r="AC1022">
        <v>81.784199999999998</v>
      </c>
      <c r="AD1022">
        <v>2.0918109999999999</v>
      </c>
      <c r="AE1022">
        <v>-5.6338999999999801</v>
      </c>
      <c r="AF1022">
        <v>6.5212535842403403</v>
      </c>
      <c r="AG1022">
        <v>2.0918109999999999</v>
      </c>
      <c r="AH1022">
        <v>81.664720924366605</v>
      </c>
      <c r="AI1022">
        <v>88.5373649996735</v>
      </c>
      <c r="AJ1022">
        <v>85.434391548954906</v>
      </c>
      <c r="AK1022">
        <v>81.951382326501104</v>
      </c>
      <c r="AL1022">
        <v>86.7299331629563</v>
      </c>
      <c r="AM1022">
        <v>88.242408285018698</v>
      </c>
      <c r="AN1022">
        <v>0.99999994447970897</v>
      </c>
    </row>
    <row r="1023" spans="1:40" x14ac:dyDescent="0.25">
      <c r="A1023" t="str">
        <f>"20190312160619851"</f>
        <v>20190312160619851</v>
      </c>
      <c r="B1023" t="str">
        <f>"1552377979846507"</f>
        <v>1552377979846507</v>
      </c>
      <c r="C1023" t="s">
        <v>40</v>
      </c>
      <c r="D1023">
        <v>6.3381509999999999</v>
      </c>
      <c r="E1023">
        <v>0.52161629999999903</v>
      </c>
      <c r="F1023" t="s">
        <v>42</v>
      </c>
      <c r="G1023">
        <v>-158.19499999999999</v>
      </c>
      <c r="H1023">
        <v>3.5436580000000002</v>
      </c>
      <c r="I1023">
        <v>362.3741</v>
      </c>
      <c r="J1023">
        <v>-239.80959999999999</v>
      </c>
      <c r="K1023">
        <v>1.1099220000000001</v>
      </c>
      <c r="L1023">
        <v>367.21100000000001</v>
      </c>
      <c r="M1023">
        <v>0.99983429999999995</v>
      </c>
      <c r="N1023">
        <v>0</v>
      </c>
      <c r="O1023">
        <v>1.094521E-2</v>
      </c>
      <c r="P1023">
        <v>0.99893609999999999</v>
      </c>
      <c r="Q1023">
        <v>4.1980860000000002E-2</v>
      </c>
      <c r="R1023">
        <v>-1.9087549999999998E-2</v>
      </c>
      <c r="S1023">
        <v>2.9960019999999998</v>
      </c>
      <c r="T1023">
        <v>8.9157940000000005E-2</v>
      </c>
      <c r="U1023">
        <v>-0.177124</v>
      </c>
      <c r="V1023">
        <v>3.0010660000000002E-2</v>
      </c>
      <c r="W1023">
        <v>5.6515910000000003E-2</v>
      </c>
      <c r="X1023">
        <v>0.99795060000000002</v>
      </c>
      <c r="Y1023">
        <v>6.9905170000000003E-2</v>
      </c>
      <c r="Z1023">
        <v>1.3644340000000001E-3</v>
      </c>
      <c r="AA1023">
        <v>0.99755269999999996</v>
      </c>
      <c r="AB1023">
        <v>35</v>
      </c>
      <c r="AC1023">
        <v>81.614599999999996</v>
      </c>
      <c r="AD1023">
        <v>2.4337360000000001</v>
      </c>
      <c r="AE1023">
        <v>-4.8369000000000097</v>
      </c>
      <c r="AF1023">
        <v>5.7249207357479701</v>
      </c>
      <c r="AG1023">
        <v>2.4337360000000001</v>
      </c>
      <c r="AH1023">
        <v>81.484559288430603</v>
      </c>
      <c r="AI1023">
        <v>88.293434006137304</v>
      </c>
      <c r="AJ1023">
        <v>85.981132087980697</v>
      </c>
      <c r="AK1023">
        <v>81.721669040579798</v>
      </c>
      <c r="AL1023">
        <v>86.760150754920105</v>
      </c>
      <c r="AM1023">
        <v>88.2775038111171</v>
      </c>
      <c r="AN1023">
        <v>1.0000000439185599</v>
      </c>
    </row>
    <row r="1024" spans="1:40" x14ac:dyDescent="0.25">
      <c r="A1024" t="str">
        <f>"20190312160619872"</f>
        <v>20190312160619872</v>
      </c>
      <c r="B1024" t="str">
        <f>"1552377979866027"</f>
        <v>1552377979866027</v>
      </c>
      <c r="C1024" t="s">
        <v>40</v>
      </c>
      <c r="D1024">
        <v>6.3352740000000001</v>
      </c>
      <c r="E1024">
        <v>0.51967259999999904</v>
      </c>
      <c r="F1024" t="s">
        <v>42</v>
      </c>
      <c r="G1024">
        <v>-168.84350000000001</v>
      </c>
      <c r="H1024">
        <v>10.17619</v>
      </c>
      <c r="I1024">
        <v>361.70370000000003</v>
      </c>
      <c r="J1024">
        <v>-239.4813</v>
      </c>
      <c r="K1024">
        <v>1.1099159999999999</v>
      </c>
      <c r="L1024">
        <v>367.21469999999999</v>
      </c>
      <c r="M1024">
        <v>0.99983319999999998</v>
      </c>
      <c r="N1024">
        <v>0</v>
      </c>
      <c r="O1024">
        <v>1.101654E-2</v>
      </c>
      <c r="P1024">
        <v>0.99897320000000001</v>
      </c>
      <c r="Q1024">
        <v>4.1731310000000001E-2</v>
      </c>
      <c r="R1024">
        <v>-1.7644389999999999E-2</v>
      </c>
      <c r="S1024">
        <v>2.982742</v>
      </c>
      <c r="T1024">
        <v>0.38106329999999999</v>
      </c>
      <c r="U1024">
        <v>-0.23147580000000001</v>
      </c>
      <c r="V1024">
        <v>2.8640229999999999E-2</v>
      </c>
      <c r="W1024">
        <v>5.6282159999999998E-2</v>
      </c>
      <c r="X1024">
        <v>0.998004</v>
      </c>
      <c r="Y1024">
        <v>8.7555809999999998E-2</v>
      </c>
      <c r="Z1024">
        <v>6.9619240000000004E-3</v>
      </c>
      <c r="AA1024">
        <v>0.99613529999999995</v>
      </c>
      <c r="AB1024">
        <v>35</v>
      </c>
      <c r="AC1024">
        <v>70.637799999999999</v>
      </c>
      <c r="AD1024">
        <v>9.0662739999999999</v>
      </c>
      <c r="AE1024">
        <v>-5.5109999999999602</v>
      </c>
      <c r="AF1024">
        <v>6.1876177801423298</v>
      </c>
      <c r="AG1024">
        <v>9.0662739999999999</v>
      </c>
      <c r="AH1024">
        <v>69.435868985648199</v>
      </c>
      <c r="AI1024">
        <v>82.589983257019796</v>
      </c>
      <c r="AJ1024">
        <v>84.907669471180597</v>
      </c>
      <c r="AK1024">
        <v>70.298106943418603</v>
      </c>
      <c r="AL1024">
        <v>86.773564736563003</v>
      </c>
      <c r="AM1024">
        <v>88.356204929757297</v>
      </c>
      <c r="AN1024">
        <v>0.99999996416235803</v>
      </c>
    </row>
    <row r="1025" spans="1:40" x14ac:dyDescent="0.25">
      <c r="A1025" t="str">
        <f>"20190312160619883"</f>
        <v>20190312160619883</v>
      </c>
      <c r="B1025" t="str">
        <f>"1552377979875787"</f>
        <v>1552377979875787</v>
      </c>
      <c r="C1025" t="s">
        <v>40</v>
      </c>
      <c r="D1025">
        <v>6.5146579999999998</v>
      </c>
      <c r="E1025">
        <v>0.51967259999999904</v>
      </c>
      <c r="F1025" t="s">
        <v>42</v>
      </c>
      <c r="G1025">
        <v>-168.84350000000001</v>
      </c>
      <c r="H1025">
        <v>10.420780000000001</v>
      </c>
      <c r="I1025">
        <v>362.22390000000001</v>
      </c>
      <c r="J1025">
        <v>-239.30680000000001</v>
      </c>
      <c r="K1025">
        <v>1.10991</v>
      </c>
      <c r="L1025">
        <v>367.2167</v>
      </c>
      <c r="M1025">
        <v>0.99983270000000002</v>
      </c>
      <c r="N1025">
        <v>0</v>
      </c>
      <c r="O1025">
        <v>1.104726E-2</v>
      </c>
      <c r="P1025">
        <v>0.99899499999999997</v>
      </c>
      <c r="Q1025">
        <v>4.1587489999999998E-2</v>
      </c>
      <c r="R1025">
        <v>-1.6712890000000001E-2</v>
      </c>
      <c r="S1025">
        <v>2.9829249999999998</v>
      </c>
      <c r="T1025">
        <v>0.3931868</v>
      </c>
      <c r="U1025">
        <v>-0.21075440000000001</v>
      </c>
      <c r="V1025">
        <v>2.7740799999999999E-2</v>
      </c>
      <c r="W1025">
        <v>5.6145510000000003E-2</v>
      </c>
      <c r="X1025">
        <v>0.99803719999999996</v>
      </c>
      <c r="Y1025">
        <v>8.0704680000000001E-2</v>
      </c>
      <c r="Z1025">
        <v>6.737916E-3</v>
      </c>
      <c r="AA1025">
        <v>0.99671529999999997</v>
      </c>
      <c r="AB1025">
        <v>35</v>
      </c>
      <c r="AC1025">
        <v>70.463300000000004</v>
      </c>
      <c r="AD1025">
        <v>9.3108699999999995</v>
      </c>
      <c r="AE1025">
        <v>-4.9927999999999804</v>
      </c>
      <c r="AF1025">
        <v>5.6724557368851096</v>
      </c>
      <c r="AG1025">
        <v>9.3108699999999995</v>
      </c>
      <c r="AH1025">
        <v>69.201584314944498</v>
      </c>
      <c r="AI1025">
        <v>82.362352742572</v>
      </c>
      <c r="AJ1025">
        <v>85.313940010992795</v>
      </c>
      <c r="AK1025">
        <v>70.055180578899297</v>
      </c>
      <c r="AL1025">
        <v>86.781406918455701</v>
      </c>
      <c r="AM1025">
        <v>88.407853306305597</v>
      </c>
      <c r="AN1025">
        <v>1.00000006143081</v>
      </c>
    </row>
    <row r="1026" spans="1:40" x14ac:dyDescent="0.25">
      <c r="A1026" t="str">
        <f>"20190312160619896"</f>
        <v>20190312160619896</v>
      </c>
      <c r="B1026" t="str">
        <f>"1552377979886524"</f>
        <v>1552377979886524</v>
      </c>
      <c r="C1026" t="s">
        <v>40</v>
      </c>
      <c r="D1026">
        <v>6.053229</v>
      </c>
      <c r="E1026">
        <v>0.53525849999999997</v>
      </c>
      <c r="F1026" t="s">
        <v>42</v>
      </c>
      <c r="G1026">
        <v>-168.84350000000001</v>
      </c>
      <c r="H1026">
        <v>10.394159999999999</v>
      </c>
      <c r="I1026">
        <v>362.31799999999998</v>
      </c>
      <c r="J1026">
        <v>-239.11330000000001</v>
      </c>
      <c r="K1026">
        <v>1.1099060000000001</v>
      </c>
      <c r="L1026">
        <v>367.21890000000002</v>
      </c>
      <c r="M1026">
        <v>0.99983219999999995</v>
      </c>
      <c r="N1026">
        <v>0</v>
      </c>
      <c r="O1026">
        <v>1.1078910000000001E-2</v>
      </c>
      <c r="P1026">
        <v>0.99902519999999995</v>
      </c>
      <c r="Q1026">
        <v>4.1304540000000001E-2</v>
      </c>
      <c r="R1026">
        <v>-1.5576929999999999E-2</v>
      </c>
      <c r="S1026">
        <v>2.9831850000000002</v>
      </c>
      <c r="T1026">
        <v>0.39306780000000002</v>
      </c>
      <c r="U1026">
        <v>-0.20739750000000001</v>
      </c>
      <c r="V1026">
        <v>2.6637620000000001E-2</v>
      </c>
      <c r="W1026">
        <v>5.587081E-2</v>
      </c>
      <c r="X1026">
        <v>0.99808260000000004</v>
      </c>
      <c r="Y1026">
        <v>7.9623570000000005E-2</v>
      </c>
      <c r="Z1026">
        <v>6.6688900000000002E-3</v>
      </c>
      <c r="AA1026">
        <v>0.99680270000000004</v>
      </c>
      <c r="AB1026">
        <v>35</v>
      </c>
      <c r="AC1026">
        <v>70.269800000000004</v>
      </c>
      <c r="AD1026">
        <v>9.28425399999999</v>
      </c>
      <c r="AE1026">
        <v>-4.9008999999999698</v>
      </c>
      <c r="AF1026">
        <v>5.5822206027570802</v>
      </c>
      <c r="AG1026">
        <v>9.28425399999999</v>
      </c>
      <c r="AH1026">
        <v>69.0123039613364</v>
      </c>
      <c r="AI1026">
        <v>82.362625620950595</v>
      </c>
      <c r="AJ1026">
        <v>85.375565692063304</v>
      </c>
      <c r="AK1026">
        <v>69.857402308175196</v>
      </c>
      <c r="AL1026">
        <v>86.797170594191101</v>
      </c>
      <c r="AM1026">
        <v>88.471207708625101</v>
      </c>
      <c r="AN1026">
        <v>0.99999999331603995</v>
      </c>
    </row>
    <row r="1027" spans="1:40" x14ac:dyDescent="0.25">
      <c r="A1027" t="str">
        <f>"20190312160619915"</f>
        <v>20190312160619915</v>
      </c>
      <c r="B1027" t="str">
        <f>"1552377979906044"</f>
        <v>1552377979906044</v>
      </c>
      <c r="C1027" t="s">
        <v>40</v>
      </c>
      <c r="D1027">
        <v>6.506221</v>
      </c>
      <c r="E1027">
        <v>0.53479639999999995</v>
      </c>
      <c r="F1027" t="s">
        <v>44</v>
      </c>
      <c r="G1027">
        <v>-238.09870000000001</v>
      </c>
      <c r="H1027">
        <v>1.0259419999999999</v>
      </c>
      <c r="I1027">
        <v>367.10820000000001</v>
      </c>
      <c r="J1027">
        <v>-238.79820000000001</v>
      </c>
      <c r="K1027">
        <v>1.1098980000000001</v>
      </c>
      <c r="L1027">
        <v>367.22250000000003</v>
      </c>
      <c r="M1027">
        <v>0.99983169999999999</v>
      </c>
      <c r="N1027">
        <v>0</v>
      </c>
      <c r="O1027">
        <v>1.1117159999999999E-2</v>
      </c>
      <c r="P1027">
        <v>0.99904570000000004</v>
      </c>
      <c r="Q1027">
        <v>4.1558129999999999E-2</v>
      </c>
      <c r="R1027">
        <v>-1.345504E-2</v>
      </c>
      <c r="S1027">
        <v>3.0081020000000001</v>
      </c>
      <c r="T1027">
        <v>-0.2489449</v>
      </c>
      <c r="U1027">
        <v>-0.32806400000000002</v>
      </c>
      <c r="V1027">
        <v>2.4556000000000001E-2</v>
      </c>
      <c r="W1027">
        <v>5.6134099999999999E-2</v>
      </c>
      <c r="X1027">
        <v>0.99812120000000004</v>
      </c>
      <c r="Y1027">
        <v>0.11902359999999999</v>
      </c>
      <c r="Z1027">
        <v>-5.8182040000000004E-3</v>
      </c>
      <c r="AA1027">
        <v>0.99287440000000005</v>
      </c>
      <c r="AB1027">
        <v>35</v>
      </c>
      <c r="AC1027">
        <v>0.69950000000000001</v>
      </c>
      <c r="AD1027">
        <v>-8.39560000000001E-2</v>
      </c>
      <c r="AE1027">
        <v>-0.114300000000014</v>
      </c>
      <c r="AF1027">
        <v>0.120381165285214</v>
      </c>
      <c r="AG1027">
        <v>-8.39560000000001E-2</v>
      </c>
      <c r="AH1027">
        <v>0.68852533331058396</v>
      </c>
      <c r="AI1027">
        <v>96.849207742287902</v>
      </c>
      <c r="AJ1027">
        <v>80.082698423169006</v>
      </c>
      <c r="AK1027">
        <v>0.70399387035817096</v>
      </c>
      <c r="AL1027">
        <v>86.782061440360593</v>
      </c>
      <c r="AM1027">
        <v>88.590680768544601</v>
      </c>
      <c r="AN1027">
        <v>0.999999982104124</v>
      </c>
    </row>
    <row r="1028" spans="1:40" x14ac:dyDescent="0.25">
      <c r="A1028" t="str">
        <f>"20190312160619928"</f>
        <v>20190312160619928</v>
      </c>
      <c r="B1028" t="str">
        <f>"1552377979915804"</f>
        <v>1552377979915804</v>
      </c>
      <c r="C1028" t="s">
        <v>40</v>
      </c>
      <c r="D1028">
        <v>6.5062579999999999</v>
      </c>
      <c r="E1028">
        <v>0.53479639999999995</v>
      </c>
      <c r="F1028" t="s">
        <v>44</v>
      </c>
      <c r="G1028">
        <v>-237.7766</v>
      </c>
      <c r="H1028">
        <v>1.0390779999999999</v>
      </c>
      <c r="I1028">
        <v>367.11399999999998</v>
      </c>
      <c r="J1028">
        <v>-238.5874</v>
      </c>
      <c r="K1028">
        <v>1.1098950000000001</v>
      </c>
      <c r="L1028">
        <v>367.22489999999999</v>
      </c>
      <c r="M1028">
        <v>0.99983149999999998</v>
      </c>
      <c r="N1028">
        <v>0</v>
      </c>
      <c r="O1028">
        <v>1.113543E-2</v>
      </c>
      <c r="P1028">
        <v>0.99907360000000001</v>
      </c>
      <c r="Q1028">
        <v>4.1259949999999997E-2</v>
      </c>
      <c r="R1028">
        <v>-1.223577E-2</v>
      </c>
      <c r="S1028">
        <v>3.0072329999999998</v>
      </c>
      <c r="T1028">
        <v>-0.20854990000000001</v>
      </c>
      <c r="U1028">
        <v>-0.31906129999999999</v>
      </c>
      <c r="V1028">
        <v>2.335663E-2</v>
      </c>
      <c r="W1028">
        <v>5.5841780000000001E-2</v>
      </c>
      <c r="X1028">
        <v>0.99816640000000001</v>
      </c>
      <c r="Y1028">
        <v>0.116271</v>
      </c>
      <c r="Z1028">
        <v>-4.7849429999999998E-3</v>
      </c>
      <c r="AA1028">
        <v>0.99320600000000003</v>
      </c>
      <c r="AB1028">
        <v>35</v>
      </c>
      <c r="AC1028">
        <v>0.81079999999999997</v>
      </c>
      <c r="AD1028">
        <v>-7.0816999999999894E-2</v>
      </c>
      <c r="AE1028">
        <v>-0.110899999999958</v>
      </c>
      <c r="AF1028">
        <v>0.11903131895270801</v>
      </c>
      <c r="AG1028">
        <v>-7.0816999999999894E-2</v>
      </c>
      <c r="AH1028">
        <v>0.803497636534936</v>
      </c>
      <c r="AI1028">
        <v>94.982701080657804</v>
      </c>
      <c r="AJ1028">
        <v>81.573405535130803</v>
      </c>
      <c r="AK1028">
        <v>0.81534775053215802</v>
      </c>
      <c r="AL1028">
        <v>86.798836510701193</v>
      </c>
      <c r="AM1028">
        <v>88.659549993204294</v>
      </c>
      <c r="AN1028">
        <v>0.99999999932374195</v>
      </c>
    </row>
    <row r="1029" spans="1:40" x14ac:dyDescent="0.25">
      <c r="A1029" t="str">
        <f>"20190312160619940"</f>
        <v>20190312160619940</v>
      </c>
      <c r="B1029" t="str">
        <f>"1552377979936299"</f>
        <v>1552377979936299</v>
      </c>
      <c r="C1029" t="s">
        <v>40</v>
      </c>
      <c r="D1029">
        <v>6.3748339999999999</v>
      </c>
      <c r="E1029">
        <v>0.52995719999999902</v>
      </c>
      <c r="F1029" t="s">
        <v>47</v>
      </c>
      <c r="G1029">
        <v>-222.6157</v>
      </c>
      <c r="H1029" s="1">
        <v>-3.871786E-6</v>
      </c>
      <c r="I1029">
        <v>365.54820000000001</v>
      </c>
      <c r="J1029">
        <v>-238.41839999999999</v>
      </c>
      <c r="K1029">
        <v>1.1098889999999999</v>
      </c>
      <c r="L1029">
        <v>367.22680000000003</v>
      </c>
      <c r="M1029">
        <v>0.99983129999999998</v>
      </c>
      <c r="N1029">
        <v>0</v>
      </c>
      <c r="O1029">
        <v>1.114685E-2</v>
      </c>
      <c r="P1029">
        <v>0.99908799999999998</v>
      </c>
      <c r="Q1029">
        <v>4.1356179999999999E-2</v>
      </c>
      <c r="R1029">
        <v>-1.064183E-2</v>
      </c>
      <c r="S1029">
        <v>3.007568</v>
      </c>
      <c r="T1029">
        <v>-0.20899980000000001</v>
      </c>
      <c r="U1029">
        <v>-0.31570429999999999</v>
      </c>
      <c r="V1029">
        <v>2.177542E-2</v>
      </c>
      <c r="W1029">
        <v>5.594271E-2</v>
      </c>
      <c r="X1029">
        <v>0.99819650000000004</v>
      </c>
      <c r="Y1029">
        <v>0.1151756</v>
      </c>
      <c r="Z1029">
        <v>-4.7578669999999998E-3</v>
      </c>
      <c r="AA1029">
        <v>0.99333380000000004</v>
      </c>
      <c r="AB1029">
        <v>35</v>
      </c>
      <c r="AC1029">
        <v>15.8026999999999</v>
      </c>
      <c r="AD1029">
        <v>-1.1098928717859999</v>
      </c>
      <c r="AE1029">
        <v>-1.6786000000000101</v>
      </c>
      <c r="AF1029">
        <v>1.84566196255466</v>
      </c>
      <c r="AG1029">
        <v>-1.1098928717859999</v>
      </c>
      <c r="AH1029">
        <v>15.7063917789404</v>
      </c>
      <c r="AI1029">
        <v>94.014558065114002</v>
      </c>
      <c r="AJ1029">
        <v>83.297895095000996</v>
      </c>
      <c r="AK1029">
        <v>15.8533615672018</v>
      </c>
      <c r="AL1029">
        <v>86.793044609325605</v>
      </c>
      <c r="AM1029">
        <v>88.750304364842094</v>
      </c>
      <c r="AN1029">
        <v>1.0000000041652799</v>
      </c>
    </row>
    <row r="1030" spans="1:40" x14ac:dyDescent="0.25">
      <c r="A1030" t="str">
        <f>"20190312160619951"</f>
        <v>20190312160619951</v>
      </c>
      <c r="B1030" t="str">
        <f>"1552377979946061"</f>
        <v>1552377979946061</v>
      </c>
      <c r="C1030" t="s">
        <v>40</v>
      </c>
      <c r="D1030">
        <v>6.4514050000000003</v>
      </c>
      <c r="E1030">
        <v>0.53064100000000003</v>
      </c>
      <c r="F1030" t="s">
        <v>47</v>
      </c>
      <c r="G1030">
        <v>-211.1404</v>
      </c>
      <c r="H1030" s="1">
        <v>-4.6459239999999997E-6</v>
      </c>
      <c r="I1030">
        <v>364.75200000000001</v>
      </c>
      <c r="J1030">
        <v>-238.22620000000001</v>
      </c>
      <c r="K1030">
        <v>1.1098809999999999</v>
      </c>
      <c r="L1030">
        <v>367.22890000000001</v>
      </c>
      <c r="M1030">
        <v>0.99983109999999997</v>
      </c>
      <c r="N1030">
        <v>0</v>
      </c>
      <c r="O1030">
        <v>1.115706E-2</v>
      </c>
      <c r="P1030">
        <v>0.99910200000000005</v>
      </c>
      <c r="Q1030">
        <v>4.135805E-2</v>
      </c>
      <c r="R1030">
        <v>-9.2361509999999997E-3</v>
      </c>
      <c r="S1030">
        <v>3.0049130000000002</v>
      </c>
      <c r="T1030">
        <v>-0.1222645</v>
      </c>
      <c r="U1030">
        <v>-0.27261350000000001</v>
      </c>
      <c r="V1030">
        <v>2.0381090000000001E-2</v>
      </c>
      <c r="W1030">
        <v>5.5948890000000001E-2</v>
      </c>
      <c r="X1030">
        <v>0.99822560000000005</v>
      </c>
      <c r="Y1030">
        <v>0.1013661</v>
      </c>
      <c r="Z1030">
        <v>-2.5100740000000002E-3</v>
      </c>
      <c r="AA1030">
        <v>0.99484600000000001</v>
      </c>
      <c r="AB1030">
        <v>35</v>
      </c>
      <c r="AC1030">
        <v>27.085799999999999</v>
      </c>
      <c r="AD1030">
        <v>-1.1098856459240001</v>
      </c>
      <c r="AE1030">
        <v>-2.4769000000000498</v>
      </c>
      <c r="AF1030">
        <v>2.7743561768491198</v>
      </c>
      <c r="AG1030">
        <v>-1.1098856459240001</v>
      </c>
      <c r="AH1030">
        <v>27.011497381590999</v>
      </c>
      <c r="AI1030">
        <v>92.3406245229653</v>
      </c>
      <c r="AJ1030">
        <v>84.135703164797405</v>
      </c>
      <c r="AK1030">
        <v>27.1762743792953</v>
      </c>
      <c r="AL1030">
        <v>86.792689977667294</v>
      </c>
      <c r="AM1030">
        <v>88.830336334842002</v>
      </c>
      <c r="AN1030">
        <v>1.00000000780859</v>
      </c>
    </row>
    <row r="1031" spans="1:40" x14ac:dyDescent="0.25">
      <c r="A1031" t="str">
        <f>"20190312160619964"</f>
        <v>20190312160619964</v>
      </c>
      <c r="B1031" t="str">
        <f>"1552377979955820"</f>
        <v>1552377979955820</v>
      </c>
      <c r="C1031" t="s">
        <v>40</v>
      </c>
      <c r="D1031">
        <v>6.3519160000000001</v>
      </c>
      <c r="E1031">
        <v>0.53133929999999996</v>
      </c>
      <c r="F1031" t="s">
        <v>48</v>
      </c>
      <c r="G1031">
        <v>-208.73269999999999</v>
      </c>
      <c r="H1031" s="1">
        <v>-5.6542639999999899E-6</v>
      </c>
      <c r="I1031">
        <v>364.5367</v>
      </c>
      <c r="J1031">
        <v>-238.0274</v>
      </c>
      <c r="K1031">
        <v>1.109891</v>
      </c>
      <c r="L1031">
        <v>367.2312</v>
      </c>
      <c r="M1031">
        <v>0.99983100000000003</v>
      </c>
      <c r="N1031">
        <v>0</v>
      </c>
      <c r="O1031">
        <v>1.116348E-2</v>
      </c>
      <c r="P1031">
        <v>0.99914630000000004</v>
      </c>
      <c r="Q1031">
        <v>4.0765259999999998E-2</v>
      </c>
      <c r="R1031">
        <v>-6.7113769999999897E-3</v>
      </c>
      <c r="S1031">
        <v>3.0048370000000002</v>
      </c>
      <c r="T1031">
        <v>-0.11307689999999999</v>
      </c>
      <c r="U1031">
        <v>-0.27429199999999998</v>
      </c>
      <c r="V1031">
        <v>1.7864149999999999E-2</v>
      </c>
      <c r="W1031">
        <v>5.5361390000000003E-2</v>
      </c>
      <c r="X1031">
        <v>0.99830660000000004</v>
      </c>
      <c r="Y1031">
        <v>0.1019389</v>
      </c>
      <c r="Z1031">
        <v>-2.332584E-3</v>
      </c>
      <c r="AA1031">
        <v>0.99478789999999995</v>
      </c>
      <c r="AB1031">
        <v>35</v>
      </c>
      <c r="AC1031">
        <v>29.294699999999999</v>
      </c>
      <c r="AD1031">
        <v>-1.1098966542640001</v>
      </c>
      <c r="AE1031">
        <v>-2.6945000000000001</v>
      </c>
      <c r="AF1031">
        <v>3.0171031918208202</v>
      </c>
      <c r="AG1031">
        <v>-1.1098966542640001</v>
      </c>
      <c r="AH1031">
        <v>29.221197372575599</v>
      </c>
      <c r="AI1031">
        <v>92.163704593474705</v>
      </c>
      <c r="AJ1031">
        <v>84.105070944441394</v>
      </c>
      <c r="AK1031">
        <v>29.3975025833873</v>
      </c>
      <c r="AL1031">
        <v>86.826403603201797</v>
      </c>
      <c r="AM1031">
        <v>88.9748328110866</v>
      </c>
      <c r="AN1031">
        <v>1.00000003948075</v>
      </c>
    </row>
    <row r="1032" spans="1:40" x14ac:dyDescent="0.25">
      <c r="A1032" t="str">
        <f>"20190312160619985"</f>
        <v>20190312160619985</v>
      </c>
      <c r="B1032" t="str">
        <f>"1552377979976316"</f>
        <v>1552377979976316</v>
      </c>
      <c r="C1032" t="s">
        <v>40</v>
      </c>
      <c r="D1032">
        <v>6.5289400000000004</v>
      </c>
      <c r="E1032">
        <v>0.52940540000000003</v>
      </c>
      <c r="F1032" t="s">
        <v>48</v>
      </c>
      <c r="G1032">
        <v>-204.649</v>
      </c>
      <c r="H1032" s="1">
        <v>-3.9781320000000001E-6</v>
      </c>
      <c r="I1032">
        <v>364.20490000000001</v>
      </c>
      <c r="J1032">
        <v>-237.72030000000001</v>
      </c>
      <c r="K1032">
        <v>1.1098950000000001</v>
      </c>
      <c r="L1032">
        <v>367.23469999999998</v>
      </c>
      <c r="M1032">
        <v>0.99983080000000002</v>
      </c>
      <c r="N1032">
        <v>0</v>
      </c>
      <c r="O1032">
        <v>1.116868E-2</v>
      </c>
      <c r="P1032">
        <v>0.99916660000000002</v>
      </c>
      <c r="Q1032">
        <v>4.0661639999999999E-2</v>
      </c>
      <c r="R1032">
        <v>-3.5858690000000002E-3</v>
      </c>
      <c r="S1032">
        <v>3.0048219999999999</v>
      </c>
      <c r="T1032">
        <v>-9.9916099999999994E-2</v>
      </c>
      <c r="U1032">
        <v>-0.27243040000000002</v>
      </c>
      <c r="V1032">
        <v>1.4745279999999999E-2</v>
      </c>
      <c r="W1032">
        <v>5.5263310000000003E-2</v>
      </c>
      <c r="X1032">
        <v>0.998363</v>
      </c>
      <c r="Y1032">
        <v>0.101351</v>
      </c>
      <c r="Z1032">
        <v>-2.0517460000000001E-3</v>
      </c>
      <c r="AA1032">
        <v>0.99484859999999997</v>
      </c>
      <c r="AB1032">
        <v>35</v>
      </c>
      <c r="AC1032">
        <v>33.071300000000001</v>
      </c>
      <c r="AD1032">
        <v>-1.1098989781319999</v>
      </c>
      <c r="AE1032">
        <v>-3.0297999999999599</v>
      </c>
      <c r="AF1032">
        <v>3.3952209145221599</v>
      </c>
      <c r="AG1032">
        <v>-1.1098989781319999</v>
      </c>
      <c r="AH1032">
        <v>32.998536587056499</v>
      </c>
      <c r="AI1032">
        <v>91.916296511761601</v>
      </c>
      <c r="AJ1032">
        <v>84.125506306374504</v>
      </c>
      <c r="AK1032">
        <v>33.191306357047402</v>
      </c>
      <c r="AL1032">
        <v>86.832031880432098</v>
      </c>
      <c r="AM1032">
        <v>89.153833936798307</v>
      </c>
      <c r="AN1032">
        <v>1.0000000682417101</v>
      </c>
    </row>
    <row r="1033" spans="1:40" x14ac:dyDescent="0.25">
      <c r="A1033" t="str">
        <f>"20190312160620006"</f>
        <v>20190312160620006</v>
      </c>
      <c r="B1033" t="str">
        <f>"1552377979995836"</f>
        <v>1552377979995836</v>
      </c>
      <c r="C1033" t="s">
        <v>40</v>
      </c>
      <c r="D1033">
        <v>6.4066710000000002</v>
      </c>
      <c r="E1033">
        <v>0.52877529999999995</v>
      </c>
      <c r="F1033" t="s">
        <v>48</v>
      </c>
      <c r="G1033">
        <v>-198.56180000000001</v>
      </c>
      <c r="H1033" s="1">
        <v>-9.2047970000000005E-6</v>
      </c>
      <c r="I1033">
        <v>364.00200000000001</v>
      </c>
      <c r="J1033">
        <v>-237.38030000000001</v>
      </c>
      <c r="K1033">
        <v>1.1098969999999999</v>
      </c>
      <c r="L1033">
        <v>367.23849999999999</v>
      </c>
      <c r="M1033">
        <v>0.99983069999999996</v>
      </c>
      <c r="N1033">
        <v>0</v>
      </c>
      <c r="O1033">
        <v>1.1167160000000001E-2</v>
      </c>
      <c r="P1033">
        <v>0.99918479999999998</v>
      </c>
      <c r="Q1033">
        <v>4.0368269999999998E-2</v>
      </c>
      <c r="R1033">
        <v>2.0431440000000001E-4</v>
      </c>
      <c r="S1033">
        <v>3.0050659999999998</v>
      </c>
      <c r="T1033">
        <v>-8.5175280000000006E-2</v>
      </c>
      <c r="U1033">
        <v>-0.2480774</v>
      </c>
      <c r="V1033">
        <v>1.0955049999999999E-2</v>
      </c>
      <c r="W1033">
        <v>5.497527E-2</v>
      </c>
      <c r="X1033">
        <v>0.99842759999999997</v>
      </c>
      <c r="Y1033">
        <v>9.3356830000000002E-2</v>
      </c>
      <c r="Z1033">
        <v>-1.636523E-3</v>
      </c>
      <c r="AA1033">
        <v>0.99563140000000006</v>
      </c>
      <c r="AB1033">
        <v>35</v>
      </c>
      <c r="AC1033">
        <v>38.8185</v>
      </c>
      <c r="AD1033">
        <v>-1.1099062047970001</v>
      </c>
      <c r="AE1033">
        <v>-3.2365000000000301</v>
      </c>
      <c r="AF1033">
        <v>3.6668598945805</v>
      </c>
      <c r="AG1033">
        <v>-1.1099062047970001</v>
      </c>
      <c r="AH1033">
        <v>38.748473861692297</v>
      </c>
      <c r="AI1033">
        <v>91.633430535191593</v>
      </c>
      <c r="AJ1033">
        <v>84.594063501912402</v>
      </c>
      <c r="AK1033">
        <v>38.937411057749898</v>
      </c>
      <c r="AL1033">
        <v>86.848560213758404</v>
      </c>
      <c r="AM1033">
        <v>89.371358582082706</v>
      </c>
      <c r="AN1033">
        <v>0.99999998293691705</v>
      </c>
    </row>
    <row r="1034" spans="1:40" x14ac:dyDescent="0.25">
      <c r="A1034" t="str">
        <f>"20190312160620027"</f>
        <v>20190312160620027</v>
      </c>
      <c r="B1034" t="str">
        <f>"1552377980016331"</f>
        <v>1552377980016331</v>
      </c>
      <c r="C1034" t="s">
        <v>40</v>
      </c>
      <c r="D1034">
        <v>6.4435190000000002</v>
      </c>
      <c r="E1034">
        <v>0.52855490000000005</v>
      </c>
      <c r="F1034" t="s">
        <v>48</v>
      </c>
      <c r="G1034">
        <v>-181.08279999999999</v>
      </c>
      <c r="H1034" s="1">
        <v>-7.0670079999999996E-6</v>
      </c>
      <c r="I1034">
        <v>362.89089999999999</v>
      </c>
      <c r="J1034">
        <v>-237.0488</v>
      </c>
      <c r="K1034">
        <v>1.1098889999999999</v>
      </c>
      <c r="L1034">
        <v>367.2423</v>
      </c>
      <c r="M1034">
        <v>0.99983080000000002</v>
      </c>
      <c r="N1034">
        <v>0</v>
      </c>
      <c r="O1034">
        <v>1.1155969999999999E-2</v>
      </c>
      <c r="P1034">
        <v>0.9992048</v>
      </c>
      <c r="Q1034">
        <v>3.9685350000000001E-2</v>
      </c>
      <c r="R1034">
        <v>3.9089099999999998E-3</v>
      </c>
      <c r="S1034">
        <v>3.0048680000000001</v>
      </c>
      <c r="T1034">
        <v>-5.9240939999999999E-2</v>
      </c>
      <c r="U1034">
        <v>-0.2320557</v>
      </c>
      <c r="V1034">
        <v>7.2405359999999997E-3</v>
      </c>
      <c r="W1034">
        <v>5.4296299999999999E-2</v>
      </c>
      <c r="X1034">
        <v>0.99849860000000001</v>
      </c>
      <c r="Y1034">
        <v>8.8097399999999895E-2</v>
      </c>
      <c r="Z1034">
        <v>-1.08668E-3</v>
      </c>
      <c r="AA1034">
        <v>0.99611130000000003</v>
      </c>
      <c r="AB1034">
        <v>35</v>
      </c>
      <c r="AC1034">
        <v>55.966000000000001</v>
      </c>
      <c r="AD1034">
        <v>-1.10989606700799</v>
      </c>
      <c r="AE1034">
        <v>-4.3514000000000097</v>
      </c>
      <c r="AF1034">
        <v>4.9736066325850201</v>
      </c>
      <c r="AG1034">
        <v>-1.10989606700799</v>
      </c>
      <c r="AH1034">
        <v>55.8921173371984</v>
      </c>
      <c r="AI1034">
        <v>91.1331438643425</v>
      </c>
      <c r="AJ1034">
        <v>84.914881228547998</v>
      </c>
      <c r="AK1034">
        <v>56.123946873419499</v>
      </c>
      <c r="AL1034">
        <v>86.887520526597001</v>
      </c>
      <c r="AM1034">
        <v>89.584531332309993</v>
      </c>
      <c r="AN1034">
        <v>0.999999983878608</v>
      </c>
    </row>
    <row r="1035" spans="1:40" x14ac:dyDescent="0.25">
      <c r="A1035" t="str">
        <f>"20190312160620040"</f>
        <v>20190312160620040</v>
      </c>
      <c r="B1035" t="str">
        <f>"1552377980035852"</f>
        <v>1552377980035852</v>
      </c>
      <c r="C1035" t="s">
        <v>40</v>
      </c>
      <c r="D1035">
        <v>6.3997359999999999</v>
      </c>
      <c r="E1035">
        <v>0.5293544</v>
      </c>
      <c r="F1035" t="s">
        <v>45</v>
      </c>
      <c r="G1035">
        <v>-153.40549999999999</v>
      </c>
      <c r="H1035">
        <v>-0.05</v>
      </c>
      <c r="I1035">
        <v>361.14550000000003</v>
      </c>
      <c r="J1035">
        <v>-236.84209999999999</v>
      </c>
      <c r="K1035">
        <v>1.109883</v>
      </c>
      <c r="L1035">
        <v>367.24459999999999</v>
      </c>
      <c r="M1035">
        <v>0.99983100000000003</v>
      </c>
      <c r="N1035">
        <v>0</v>
      </c>
      <c r="O1035">
        <v>1.114207E-2</v>
      </c>
      <c r="P1035">
        <v>0.99920699999999996</v>
      </c>
      <c r="Q1035">
        <v>3.9458029999999998E-2</v>
      </c>
      <c r="R1035">
        <v>5.3750899999999999E-3</v>
      </c>
      <c r="S1035">
        <v>3.004883</v>
      </c>
      <c r="T1035">
        <v>-4.1669009999999999E-2</v>
      </c>
      <c r="U1035">
        <v>-0.21902469999999999</v>
      </c>
      <c r="V1035">
        <v>5.7616269999999897E-3</v>
      </c>
      <c r="W1035">
        <v>5.4071569999999999E-2</v>
      </c>
      <c r="X1035">
        <v>0.99852039999999997</v>
      </c>
      <c r="Y1035">
        <v>8.3796910000000002E-2</v>
      </c>
      <c r="Z1035">
        <v>-7.3453859999999995E-4</v>
      </c>
      <c r="AA1035">
        <v>0.9964826</v>
      </c>
      <c r="AB1035">
        <v>35</v>
      </c>
      <c r="AC1035">
        <v>83.436599999999999</v>
      </c>
      <c r="AD1035">
        <v>-1.159883</v>
      </c>
      <c r="AE1035">
        <v>-6.09909999999996</v>
      </c>
      <c r="AF1035">
        <v>7.0271264036516703</v>
      </c>
      <c r="AG1035">
        <v>-1.159883</v>
      </c>
      <c r="AH1035">
        <v>83.347434593585206</v>
      </c>
      <c r="AI1035">
        <v>90.794472075688901</v>
      </c>
      <c r="AJ1035">
        <v>85.180718743253806</v>
      </c>
      <c r="AK1035">
        <v>83.651184614436602</v>
      </c>
      <c r="AL1035">
        <v>86.900415476812</v>
      </c>
      <c r="AM1035">
        <v>89.6693975941037</v>
      </c>
      <c r="AN1035">
        <v>0.99999996012205505</v>
      </c>
    </row>
    <row r="1036" spans="1:40" x14ac:dyDescent="0.25">
      <c r="A1036" t="str">
        <f>"20190312160620051"</f>
        <v>20190312160620051</v>
      </c>
      <c r="B1036" t="str">
        <f>"1552377980045613"</f>
        <v>1552377980045613</v>
      </c>
      <c r="C1036" t="s">
        <v>40</v>
      </c>
      <c r="D1036">
        <v>6.5401569999999998</v>
      </c>
      <c r="E1036">
        <v>0.5293544</v>
      </c>
      <c r="F1036" t="s">
        <v>42</v>
      </c>
      <c r="G1036">
        <v>-158.19499999999999</v>
      </c>
      <c r="H1036">
        <v>0.16411729999999899</v>
      </c>
      <c r="I1036">
        <v>361.4556</v>
      </c>
      <c r="J1036">
        <v>-236.6669</v>
      </c>
      <c r="K1036">
        <v>1.1098790000000001</v>
      </c>
      <c r="L1036">
        <v>367.2466</v>
      </c>
      <c r="M1036">
        <v>0.99983109999999997</v>
      </c>
      <c r="N1036">
        <v>0</v>
      </c>
      <c r="O1036">
        <v>1.1126199999999999E-2</v>
      </c>
      <c r="P1036">
        <v>0.99919150000000001</v>
      </c>
      <c r="Q1036">
        <v>3.9613139999999998E-2</v>
      </c>
      <c r="R1036">
        <v>6.8817770000000004E-3</v>
      </c>
      <c r="S1036">
        <v>3.0049899999999998</v>
      </c>
      <c r="T1036">
        <v>-3.6132930000000001E-2</v>
      </c>
      <c r="U1036">
        <v>-0.22119140000000001</v>
      </c>
      <c r="V1036">
        <v>4.2397650000000004E-3</v>
      </c>
      <c r="W1036">
        <v>5.4227740000000003E-2</v>
      </c>
      <c r="X1036">
        <v>0.99851959999999995</v>
      </c>
      <c r="Y1036">
        <v>8.4495379999999995E-2</v>
      </c>
      <c r="Z1036">
        <v>-6.4092019999999997E-4</v>
      </c>
      <c r="AA1036">
        <v>0.99642370000000002</v>
      </c>
      <c r="AB1036">
        <v>35</v>
      </c>
      <c r="AC1036">
        <v>78.471900000000005</v>
      </c>
      <c r="AD1036">
        <v>-0.94576170000000004</v>
      </c>
      <c r="AE1036">
        <v>-5.7909999999999897</v>
      </c>
      <c r="AF1036">
        <v>6.6628663708614901</v>
      </c>
      <c r="AG1036">
        <v>-0.94576170000000004</v>
      </c>
      <c r="AH1036">
        <v>78.3912778282251</v>
      </c>
      <c r="AI1036">
        <v>90.688735751724494</v>
      </c>
      <c r="AJ1036">
        <v>85.141821714116006</v>
      </c>
      <c r="AK1036">
        <v>78.679607860049302</v>
      </c>
      <c r="AL1036">
        <v>86.891454594600006</v>
      </c>
      <c r="AM1036">
        <v>89.756720668502396</v>
      </c>
      <c r="AN1036">
        <v>1.0000000074884601</v>
      </c>
    </row>
    <row r="1037" spans="1:40" x14ac:dyDescent="0.25">
      <c r="A1037" t="str">
        <f>"20190312160620062"</f>
        <v>20190312160620062</v>
      </c>
      <c r="B1037" t="str">
        <f>"1552377980056348"</f>
        <v>1552377980056348</v>
      </c>
      <c r="C1037" t="s">
        <v>40</v>
      </c>
      <c r="D1037">
        <v>7.045623</v>
      </c>
      <c r="E1037">
        <v>0.52956049999999999</v>
      </c>
      <c r="F1037" t="s">
        <v>42</v>
      </c>
      <c r="G1037">
        <v>-158.19499999999999</v>
      </c>
      <c r="H1037">
        <v>0.18593219999999999</v>
      </c>
      <c r="I1037">
        <v>361.5874</v>
      </c>
      <c r="J1037">
        <v>-236.501</v>
      </c>
      <c r="K1037">
        <v>1.1098680000000001</v>
      </c>
      <c r="L1037">
        <v>367.2484</v>
      </c>
      <c r="M1037">
        <v>0.99983129999999998</v>
      </c>
      <c r="N1037">
        <v>0</v>
      </c>
      <c r="O1037">
        <v>1.1104589999999999E-2</v>
      </c>
      <c r="P1037">
        <v>0.99918340000000005</v>
      </c>
      <c r="Q1037">
        <v>3.9423890000000003E-2</v>
      </c>
      <c r="R1037">
        <v>8.8601789999999993E-3</v>
      </c>
      <c r="S1037">
        <v>3.005325</v>
      </c>
      <c r="T1037">
        <v>-3.5382030000000002E-2</v>
      </c>
      <c r="U1037">
        <v>-0.21673580000000001</v>
      </c>
      <c r="V1037">
        <v>2.2409610000000001E-3</v>
      </c>
      <c r="W1037">
        <v>5.4039669999999998E-2</v>
      </c>
      <c r="X1037">
        <v>0.99853630000000004</v>
      </c>
      <c r="Y1037">
        <v>8.2996550000000002E-2</v>
      </c>
      <c r="Z1037">
        <v>-6.1849989999999998E-4</v>
      </c>
      <c r="AA1037">
        <v>0.99654969999999998</v>
      </c>
      <c r="AB1037">
        <v>35</v>
      </c>
      <c r="AC1037">
        <v>78.305999999999898</v>
      </c>
      <c r="AD1037">
        <v>-0.92393579999999997</v>
      </c>
      <c r="AE1037">
        <v>-5.6609999999999996</v>
      </c>
      <c r="AF1037">
        <v>6.5293957085983001</v>
      </c>
      <c r="AG1037">
        <v>-0.92393579999999997</v>
      </c>
      <c r="AH1037">
        <v>78.227466970164699</v>
      </c>
      <c r="AI1037">
        <v>90.674337871479096</v>
      </c>
      <c r="AJ1037">
        <v>85.228764514286794</v>
      </c>
      <c r="AK1037">
        <v>78.5049250318106</v>
      </c>
      <c r="AL1037">
        <v>86.90224609002</v>
      </c>
      <c r="AM1037">
        <v>89.871414397463596</v>
      </c>
      <c r="AN1037">
        <v>1.0000000251287999</v>
      </c>
    </row>
    <row r="1038" spans="1:40" x14ac:dyDescent="0.25">
      <c r="A1038" t="str">
        <f>"20190312160620073"</f>
        <v>20190312160620073</v>
      </c>
      <c r="B1038" t="str">
        <f>"1552377980066108"</f>
        <v>1552377980066108</v>
      </c>
      <c r="C1038" t="s">
        <v>40</v>
      </c>
      <c r="D1038">
        <v>6.405481</v>
      </c>
      <c r="E1038">
        <v>0.52963199999999999</v>
      </c>
      <c r="F1038" t="s">
        <v>42</v>
      </c>
      <c r="G1038">
        <v>-158.19499999999999</v>
      </c>
      <c r="H1038">
        <v>0.37396099999999999</v>
      </c>
      <c r="I1038">
        <v>361.7072</v>
      </c>
      <c r="J1038">
        <v>-236.31950000000001</v>
      </c>
      <c r="K1038">
        <v>1.1098589999999999</v>
      </c>
      <c r="L1038">
        <v>367.25040000000001</v>
      </c>
      <c r="M1038">
        <v>0.99983160000000004</v>
      </c>
      <c r="N1038">
        <v>0</v>
      </c>
      <c r="O1038">
        <v>1.1078899999999999E-2</v>
      </c>
      <c r="P1038">
        <v>0.99916360000000004</v>
      </c>
      <c r="Q1038">
        <v>3.9573959999999998E-2</v>
      </c>
      <c r="R1038">
        <v>1.028957E-2</v>
      </c>
      <c r="S1038">
        <v>3.0054319999999999</v>
      </c>
      <c r="T1038">
        <v>-2.8241160000000001E-2</v>
      </c>
      <c r="U1038">
        <v>-0.212677</v>
      </c>
      <c r="V1038">
        <v>7.8717819999999999E-4</v>
      </c>
      <c r="W1038">
        <v>5.419061E-2</v>
      </c>
      <c r="X1038">
        <v>0.99853029999999998</v>
      </c>
      <c r="Y1038">
        <v>8.163173E-2</v>
      </c>
      <c r="Z1038">
        <v>-4.8703990000000002E-4</v>
      </c>
      <c r="AA1038">
        <v>0.99666239999999995</v>
      </c>
      <c r="AB1038">
        <v>35</v>
      </c>
      <c r="AC1038">
        <v>78.124499999999998</v>
      </c>
      <c r="AD1038">
        <v>-0.73589799999999905</v>
      </c>
      <c r="AE1038">
        <v>-5.5432000000000103</v>
      </c>
      <c r="AF1038">
        <v>6.4079201737719202</v>
      </c>
      <c r="AG1038">
        <v>-0.73589799999999905</v>
      </c>
      <c r="AH1038">
        <v>78.051394460417299</v>
      </c>
      <c r="AI1038">
        <v>90.538378986750004</v>
      </c>
      <c r="AJ1038">
        <v>85.306615303361596</v>
      </c>
      <c r="AK1038">
        <v>78.317451210030399</v>
      </c>
      <c r="AL1038">
        <v>86.893585099235395</v>
      </c>
      <c r="AM1038">
        <v>89.954831636815101</v>
      </c>
      <c r="AN1038">
        <v>1.0000000009398899</v>
      </c>
    </row>
    <row r="1039" spans="1:40" x14ac:dyDescent="0.25">
      <c r="A1039" t="str">
        <f>"20190312160620083"</f>
        <v>20190312160620083</v>
      </c>
      <c r="B1039" t="str">
        <f>"1552377980075868"</f>
        <v>1552377980075868</v>
      </c>
      <c r="C1039" t="s">
        <v>40</v>
      </c>
      <c r="D1039">
        <v>6.4811350000000001</v>
      </c>
      <c r="E1039">
        <v>0.52963199999999999</v>
      </c>
      <c r="F1039" t="s">
        <v>42</v>
      </c>
      <c r="G1039">
        <v>-158.19499999999999</v>
      </c>
      <c r="H1039">
        <v>0.60281280000000004</v>
      </c>
      <c r="I1039">
        <v>361.81889999999999</v>
      </c>
      <c r="J1039">
        <v>-236.1619</v>
      </c>
      <c r="K1039">
        <v>1.1098520000000001</v>
      </c>
      <c r="L1039">
        <v>367.25220000000002</v>
      </c>
      <c r="M1039">
        <v>0.9998319</v>
      </c>
      <c r="N1039">
        <v>0</v>
      </c>
      <c r="O1039">
        <v>1.1046169999999999E-2</v>
      </c>
      <c r="P1039">
        <v>0.9991546</v>
      </c>
      <c r="Q1039">
        <v>3.9348519999999998E-2</v>
      </c>
      <c r="R1039">
        <v>1.190036E-2</v>
      </c>
      <c r="S1039">
        <v>3.0054630000000002</v>
      </c>
      <c r="T1039">
        <v>-1.9502760000000001E-2</v>
      </c>
      <c r="U1039">
        <v>-0.2089539</v>
      </c>
      <c r="V1039">
        <v>-8.5545330000000004E-4</v>
      </c>
      <c r="W1039">
        <v>5.3966350000000003E-2</v>
      </c>
      <c r="X1039">
        <v>0.99854240000000005</v>
      </c>
      <c r="Y1039">
        <v>8.0371880000000007E-2</v>
      </c>
      <c r="Z1039">
        <v>-3.3205970000000002E-4</v>
      </c>
      <c r="AA1039">
        <v>0.99676489999999995</v>
      </c>
      <c r="AB1039">
        <v>35</v>
      </c>
      <c r="AC1039">
        <v>77.966899999999995</v>
      </c>
      <c r="AD1039">
        <v>-0.50703920000000002</v>
      </c>
      <c r="AE1039">
        <v>-5.4333000000000302</v>
      </c>
      <c r="AF1039">
        <v>6.2940314007216598</v>
      </c>
      <c r="AG1039">
        <v>-0.50703920000000002</v>
      </c>
      <c r="AH1039">
        <v>77.898839966878199</v>
      </c>
      <c r="AI1039">
        <v>90.371718438493104</v>
      </c>
      <c r="AJ1039">
        <v>85.380678910281404</v>
      </c>
      <c r="AK1039">
        <v>78.154342094402594</v>
      </c>
      <c r="AL1039">
        <v>86.906453113842701</v>
      </c>
      <c r="AM1039">
        <v>90.049085398546396</v>
      </c>
      <c r="AN1039">
        <v>1.0000000116652099</v>
      </c>
    </row>
    <row r="1040" spans="1:40" x14ac:dyDescent="0.25">
      <c r="A1040" t="str">
        <f>"20190312160620096"</f>
        <v>20190312160620096</v>
      </c>
      <c r="B1040" t="str">
        <f>"1552377980085628"</f>
        <v>1552377980085628</v>
      </c>
      <c r="C1040" t="s">
        <v>40</v>
      </c>
      <c r="D1040">
        <v>6.5463170000000002</v>
      </c>
      <c r="E1040">
        <v>0.52821779999999996</v>
      </c>
      <c r="F1040" t="s">
        <v>42</v>
      </c>
      <c r="G1040">
        <v>-158.19499999999999</v>
      </c>
      <c r="H1040">
        <v>0.59597109999999998</v>
      </c>
      <c r="I1040">
        <v>361.9572</v>
      </c>
      <c r="J1040">
        <v>-235.97720000000001</v>
      </c>
      <c r="K1040">
        <v>1.109839</v>
      </c>
      <c r="L1040">
        <v>367.25420000000003</v>
      </c>
      <c r="M1040">
        <v>0.99983250000000001</v>
      </c>
      <c r="N1040">
        <v>0</v>
      </c>
      <c r="O1040">
        <v>1.100542E-2</v>
      </c>
      <c r="P1040">
        <v>0.99913439999999998</v>
      </c>
      <c r="Q1040">
        <v>3.9296249999999998E-2</v>
      </c>
      <c r="R1040">
        <v>1.366906E-2</v>
      </c>
      <c r="S1040">
        <v>3.0057369999999999</v>
      </c>
      <c r="T1040">
        <v>-1.9807459999999999E-2</v>
      </c>
      <c r="U1040">
        <v>-0.20413210000000001</v>
      </c>
      <c r="V1040">
        <v>-2.6628939999999999E-3</v>
      </c>
      <c r="W1040">
        <v>5.3914450000000003E-2</v>
      </c>
      <c r="X1040">
        <v>0.99854200000000004</v>
      </c>
      <c r="Y1040">
        <v>7.8733319999999996E-2</v>
      </c>
      <c r="Z1040">
        <v>-3.3157400000000001E-4</v>
      </c>
      <c r="AA1040">
        <v>0.99689570000000005</v>
      </c>
      <c r="AB1040">
        <v>35</v>
      </c>
      <c r="AC1040">
        <v>77.782200000000003</v>
      </c>
      <c r="AD1040">
        <v>-0.51386790000000004</v>
      </c>
      <c r="AE1040">
        <v>-5.2970000000000201</v>
      </c>
      <c r="AF1040">
        <v>6.1525291706995402</v>
      </c>
      <c r="AG1040">
        <v>-0.51386790000000004</v>
      </c>
      <c r="AH1040">
        <v>77.715810132946302</v>
      </c>
      <c r="AI1040">
        <v>90.377660660372399</v>
      </c>
      <c r="AJ1040">
        <v>85.473504547102095</v>
      </c>
      <c r="AK1040">
        <v>77.9606620035715</v>
      </c>
      <c r="AL1040">
        <v>86.909431040473294</v>
      </c>
      <c r="AM1040">
        <v>90.152795000918701</v>
      </c>
      <c r="AN1040">
        <v>0.99999999234362802</v>
      </c>
    </row>
    <row r="1041" spans="1:40" x14ac:dyDescent="0.25">
      <c r="A1041" t="str">
        <f>"20190312160620107"</f>
        <v>20190312160620107</v>
      </c>
      <c r="B1041" t="str">
        <f>"1552377980096364"</f>
        <v>1552377980096364</v>
      </c>
      <c r="C1041" t="s">
        <v>40</v>
      </c>
      <c r="D1041">
        <v>6.3847579999999997</v>
      </c>
      <c r="E1041">
        <v>0.52821779999999996</v>
      </c>
      <c r="F1041" t="s">
        <v>42</v>
      </c>
      <c r="G1041">
        <v>-168.84350000000001</v>
      </c>
      <c r="H1041">
        <v>11.189539999999999</v>
      </c>
      <c r="I1041">
        <v>363.31700000000001</v>
      </c>
      <c r="J1041">
        <v>-235.79310000000001</v>
      </c>
      <c r="K1041">
        <v>1.109828</v>
      </c>
      <c r="L1041">
        <v>367.25619999999998</v>
      </c>
      <c r="M1041">
        <v>0.99983299999999997</v>
      </c>
      <c r="N1041">
        <v>0</v>
      </c>
      <c r="O1041">
        <v>1.095284E-2</v>
      </c>
      <c r="P1041">
        <v>0.99912670000000003</v>
      </c>
      <c r="Q1041">
        <v>3.8996139999999999E-2</v>
      </c>
      <c r="R1041">
        <v>1.499524E-2</v>
      </c>
      <c r="S1041">
        <v>2.9873660000000002</v>
      </c>
      <c r="T1041">
        <v>0.44853730000000003</v>
      </c>
      <c r="U1041">
        <v>-0.17520139999999901</v>
      </c>
      <c r="V1041">
        <v>-4.0399579999999997E-3</v>
      </c>
      <c r="W1041">
        <v>5.3615429999999999E-2</v>
      </c>
      <c r="X1041">
        <v>0.99855349999999998</v>
      </c>
      <c r="Y1041">
        <v>6.8589869999999997E-2</v>
      </c>
      <c r="Z1041">
        <v>6.7504310000000003E-3</v>
      </c>
      <c r="AA1041">
        <v>0.99762209999999996</v>
      </c>
      <c r="AB1041">
        <v>35</v>
      </c>
      <c r="AC1041">
        <v>66.949600000000004</v>
      </c>
      <c r="AD1041">
        <v>10.079712000000001</v>
      </c>
      <c r="AE1041">
        <v>-3.93920000000002</v>
      </c>
      <c r="AF1041">
        <v>4.5691180255480397</v>
      </c>
      <c r="AG1041">
        <v>10.079712000000001</v>
      </c>
      <c r="AH1041">
        <v>65.424549984662804</v>
      </c>
      <c r="AI1041">
        <v>81.262474201899096</v>
      </c>
      <c r="AJ1041">
        <v>86.005065298421798</v>
      </c>
      <c r="AK1041">
        <v>66.353968790344197</v>
      </c>
      <c r="AL1041">
        <v>86.926588507343496</v>
      </c>
      <c r="AM1041">
        <v>90.231806588093093</v>
      </c>
      <c r="AN1041">
        <v>1.0000000139784799</v>
      </c>
    </row>
    <row r="1042" spans="1:40" x14ac:dyDescent="0.25">
      <c r="A1042" t="str">
        <f>"20190312160620119"</f>
        <v>20190312160620119</v>
      </c>
      <c r="B1042" t="str">
        <f>"1552377980115885"</f>
        <v>1552377980115885</v>
      </c>
      <c r="C1042" t="s">
        <v>40</v>
      </c>
      <c r="D1042">
        <v>6.3628220000000004</v>
      </c>
      <c r="E1042">
        <v>0.53985399999999995</v>
      </c>
      <c r="F1042" t="s">
        <v>42</v>
      </c>
      <c r="G1042">
        <v>-168.84350000000001</v>
      </c>
      <c r="H1042">
        <v>11.147539999999999</v>
      </c>
      <c r="I1042">
        <v>363.4273</v>
      </c>
      <c r="J1042">
        <v>-235.6129</v>
      </c>
      <c r="K1042">
        <v>1.1098129999999999</v>
      </c>
      <c r="L1042">
        <v>367.25810000000001</v>
      </c>
      <c r="M1042">
        <v>0.99983350000000004</v>
      </c>
      <c r="N1042">
        <v>0</v>
      </c>
      <c r="O1042">
        <v>1.089526E-2</v>
      </c>
      <c r="P1042">
        <v>0.99911669999999997</v>
      </c>
      <c r="Q1042">
        <v>3.8802910000000003E-2</v>
      </c>
      <c r="R1042">
        <v>1.612456E-2</v>
      </c>
      <c r="S1042">
        <v>2.987717</v>
      </c>
      <c r="T1042">
        <v>0.44795010000000002</v>
      </c>
      <c r="U1042">
        <v>-0.17086789999999999</v>
      </c>
      <c r="V1042">
        <v>-5.2251399999999996E-3</v>
      </c>
      <c r="W1042">
        <v>5.3422589999999999E-2</v>
      </c>
      <c r="X1042">
        <v>0.99855830000000001</v>
      </c>
      <c r="Y1042">
        <v>6.7102980000000007E-2</v>
      </c>
      <c r="Z1042">
        <v>6.6218469999999897E-3</v>
      </c>
      <c r="AA1042">
        <v>0.9977241</v>
      </c>
      <c r="AB1042">
        <v>35</v>
      </c>
      <c r="AC1042">
        <v>66.769399999999905</v>
      </c>
      <c r="AD1042">
        <v>10.037727</v>
      </c>
      <c r="AE1042">
        <v>-3.8308</v>
      </c>
      <c r="AF1042">
        <v>4.4577051874732598</v>
      </c>
      <c r="AG1042">
        <v>10.037727</v>
      </c>
      <c r="AH1042">
        <v>65.253772303053395</v>
      </c>
      <c r="AI1042">
        <v>81.274986481507796</v>
      </c>
      <c r="AJ1042">
        <v>86.092003753825793</v>
      </c>
      <c r="AK1042">
        <v>66.171609460883602</v>
      </c>
      <c r="AL1042">
        <v>86.937653169228398</v>
      </c>
      <c r="AM1042">
        <v>90.299807970134907</v>
      </c>
      <c r="AN1042">
        <v>0.99999997685460795</v>
      </c>
    </row>
    <row r="1043" spans="1:40" x14ac:dyDescent="0.25">
      <c r="A1043" t="str">
        <f>"20190312160620130"</f>
        <v>20190312160620130</v>
      </c>
      <c r="B1043" t="str">
        <f>"1552377980126619"</f>
        <v>1552377980126619</v>
      </c>
      <c r="C1043" t="s">
        <v>40</v>
      </c>
      <c r="D1043">
        <v>7.0378759999999998</v>
      </c>
      <c r="E1043">
        <v>0.54622289999999996</v>
      </c>
      <c r="F1043" t="s">
        <v>42</v>
      </c>
      <c r="G1043">
        <v>-158.19499999999999</v>
      </c>
      <c r="H1043">
        <v>2.046176</v>
      </c>
      <c r="I1043">
        <v>360.24959999999999</v>
      </c>
      <c r="J1043">
        <v>-235.42859999999999</v>
      </c>
      <c r="K1043">
        <v>1.1097980000000001</v>
      </c>
      <c r="L1043">
        <v>367.26010000000002</v>
      </c>
      <c r="M1043">
        <v>0.99983440000000001</v>
      </c>
      <c r="N1043">
        <v>0</v>
      </c>
      <c r="O1043">
        <v>1.08288E-2</v>
      </c>
      <c r="P1043">
        <v>0.9990985</v>
      </c>
      <c r="Q1043">
        <v>3.8652220000000001E-2</v>
      </c>
      <c r="R1043">
        <v>1.7560940000000001E-2</v>
      </c>
      <c r="S1043">
        <v>3.00563</v>
      </c>
      <c r="T1043">
        <v>3.635621E-2</v>
      </c>
      <c r="U1043">
        <v>-0.27209470000000002</v>
      </c>
      <c r="V1043">
        <v>-6.7264880000000001E-3</v>
      </c>
      <c r="W1043">
        <v>5.3272590000000002E-2</v>
      </c>
      <c r="X1043">
        <v>0.99855729999999998</v>
      </c>
      <c r="Y1043">
        <v>0.1009321</v>
      </c>
      <c r="Z1043">
        <v>7.3991300000000003E-4</v>
      </c>
      <c r="AA1043">
        <v>0.99489300000000003</v>
      </c>
      <c r="AB1043">
        <v>35</v>
      </c>
      <c r="AC1043">
        <v>77.233599999999996</v>
      </c>
      <c r="AD1043">
        <v>0.93637800000000004</v>
      </c>
      <c r="AE1043">
        <v>-7.0105000000000297</v>
      </c>
      <c r="AF1043">
        <v>7.8453817632668299</v>
      </c>
      <c r="AG1043">
        <v>0.93637800000000004</v>
      </c>
      <c r="AH1043">
        <v>77.141900677210799</v>
      </c>
      <c r="AI1043">
        <v>89.308124478814193</v>
      </c>
      <c r="AJ1043">
        <v>84.192947644409202</v>
      </c>
      <c r="AK1043">
        <v>77.545468332217396</v>
      </c>
      <c r="AL1043">
        <v>86.946259703766898</v>
      </c>
      <c r="AM1043">
        <v>90.385950354725694</v>
      </c>
      <c r="AN1043">
        <v>0.99999994793470404</v>
      </c>
    </row>
    <row r="1044" spans="1:40" x14ac:dyDescent="0.25">
      <c r="A1044" t="str">
        <f>"20190312160620142"</f>
        <v>20190312160620142</v>
      </c>
      <c r="B1044" t="str">
        <f>"1552377980136380"</f>
        <v>1552377980136380</v>
      </c>
      <c r="C1044" t="s">
        <v>40</v>
      </c>
      <c r="D1044">
        <v>6.4372850000000001</v>
      </c>
      <c r="E1044">
        <v>0.54368369999999999</v>
      </c>
      <c r="F1044" t="s">
        <v>42</v>
      </c>
      <c r="G1044">
        <v>-158.19499999999999</v>
      </c>
      <c r="H1044">
        <v>2.7533759999999998</v>
      </c>
      <c r="I1044">
        <v>359.1019</v>
      </c>
      <c r="J1044">
        <v>-235.25380000000001</v>
      </c>
      <c r="K1044">
        <v>1.1097859999999999</v>
      </c>
      <c r="L1044">
        <v>367.26190000000003</v>
      </c>
      <c r="M1044">
        <v>0.99983509999999998</v>
      </c>
      <c r="N1044">
        <v>0</v>
      </c>
      <c r="O1044">
        <v>1.075514E-2</v>
      </c>
      <c r="P1044">
        <v>0.99910080000000001</v>
      </c>
      <c r="Q1044">
        <v>3.8319010000000001E-2</v>
      </c>
      <c r="R1044">
        <v>1.8141290000000001E-2</v>
      </c>
      <c r="S1044">
        <v>3.0058289999999999</v>
      </c>
      <c r="T1044">
        <v>6.3969250000000005E-2</v>
      </c>
      <c r="U1044">
        <v>-0.31750489999999998</v>
      </c>
      <c r="V1044">
        <v>-7.3789419999999899E-3</v>
      </c>
      <c r="W1044">
        <v>5.2939750000000001E-2</v>
      </c>
      <c r="X1044">
        <v>0.99857039999999997</v>
      </c>
      <c r="Y1044">
        <v>0.1157077</v>
      </c>
      <c r="Z1044">
        <v>1.4559579999999901E-3</v>
      </c>
      <c r="AA1044">
        <v>0.99328229999999995</v>
      </c>
      <c r="AB1044">
        <v>35</v>
      </c>
      <c r="AC1044">
        <v>77.058800000000005</v>
      </c>
      <c r="AD1044">
        <v>1.6435899999999899</v>
      </c>
      <c r="AE1044">
        <v>-8.1600000000000197</v>
      </c>
      <c r="AF1044">
        <v>8.9843529476544592</v>
      </c>
      <c r="AG1044">
        <v>1.6435899999999899</v>
      </c>
      <c r="AH1044">
        <v>76.931960374844905</v>
      </c>
      <c r="AI1044">
        <v>88.784366538733295</v>
      </c>
      <c r="AJ1044">
        <v>83.338993393343998</v>
      </c>
      <c r="AK1044">
        <v>77.472230593244404</v>
      </c>
      <c r="AL1044">
        <v>86.965357001774095</v>
      </c>
      <c r="AM1044">
        <v>90.423379802576605</v>
      </c>
      <c r="AN1044">
        <v>0.99999995483562898</v>
      </c>
    </row>
    <row r="1045" spans="1:40" x14ac:dyDescent="0.25">
      <c r="A1045" t="str">
        <f>"20190312160620153"</f>
        <v>20190312160620153</v>
      </c>
      <c r="B1045" t="str">
        <f>"1552377980146141"</f>
        <v>1552377980146141</v>
      </c>
      <c r="C1045" t="s">
        <v>40</v>
      </c>
      <c r="D1045">
        <v>6.2622839999999904</v>
      </c>
      <c r="E1045">
        <v>0.54503210000000002</v>
      </c>
      <c r="F1045" t="s">
        <v>42</v>
      </c>
      <c r="G1045">
        <v>-158.19499999999999</v>
      </c>
      <c r="H1045">
        <v>2.9448919999999998</v>
      </c>
      <c r="I1045">
        <v>359.69199999999898</v>
      </c>
      <c r="J1045">
        <v>-235.0719</v>
      </c>
      <c r="K1045">
        <v>1.109777</v>
      </c>
      <c r="L1045">
        <v>367.26389999999998</v>
      </c>
      <c r="M1045">
        <v>0.99983599999999995</v>
      </c>
      <c r="N1045">
        <v>0</v>
      </c>
      <c r="O1045">
        <v>1.067474E-2</v>
      </c>
      <c r="P1045">
        <v>0.99910840000000001</v>
      </c>
      <c r="Q1045">
        <v>3.7805850000000002E-2</v>
      </c>
      <c r="R1045">
        <v>1.880155E-2</v>
      </c>
      <c r="S1045">
        <v>3.0052949999999998</v>
      </c>
      <c r="T1045">
        <v>7.1572540000000004E-2</v>
      </c>
      <c r="U1045">
        <v>-0.29522710000000002</v>
      </c>
      <c r="V1045">
        <v>-8.1176759999999903E-3</v>
      </c>
      <c r="W1045">
        <v>5.242691E-2</v>
      </c>
      <c r="X1045">
        <v>0.99859180000000003</v>
      </c>
      <c r="Y1045">
        <v>0.1083508</v>
      </c>
      <c r="Z1045">
        <v>1.5405690000000001E-3</v>
      </c>
      <c r="AA1045">
        <v>0.99411150000000004</v>
      </c>
      <c r="AB1045">
        <v>35</v>
      </c>
      <c r="AC1045">
        <v>76.876900000000006</v>
      </c>
      <c r="AD1045">
        <v>1.8351150000000001</v>
      </c>
      <c r="AE1045">
        <v>-7.5719000000000198</v>
      </c>
      <c r="AF1045">
        <v>8.3874638431631698</v>
      </c>
      <c r="AG1045">
        <v>1.8351150000000001</v>
      </c>
      <c r="AH1045">
        <v>76.748369862791193</v>
      </c>
      <c r="AI1045">
        <v>88.638376911684702</v>
      </c>
      <c r="AJ1045">
        <v>83.763167905267395</v>
      </c>
      <c r="AK1045">
        <v>77.227129128172194</v>
      </c>
      <c r="AL1045">
        <v>86.994781660583797</v>
      </c>
      <c r="AM1045">
        <v>90.465754204529603</v>
      </c>
      <c r="AN1045">
        <v>1.00000003029151</v>
      </c>
    </row>
    <row r="1046" spans="1:40" x14ac:dyDescent="0.25">
      <c r="A1046" t="str">
        <f>"20190312160620165"</f>
        <v>20190312160620165</v>
      </c>
      <c r="B1046" t="str">
        <f>"1552377980155900"</f>
        <v>1552377980155900</v>
      </c>
      <c r="C1046" t="s">
        <v>40</v>
      </c>
      <c r="D1046">
        <v>6.5321170000000004</v>
      </c>
      <c r="E1046">
        <v>0.54539680000000001</v>
      </c>
      <c r="F1046" t="s">
        <v>42</v>
      </c>
      <c r="G1046">
        <v>-158.19499999999999</v>
      </c>
      <c r="H1046">
        <v>1.7745820000000001</v>
      </c>
      <c r="I1046">
        <v>359.45589999999999</v>
      </c>
      <c r="J1046">
        <v>-234.89670000000001</v>
      </c>
      <c r="K1046">
        <v>1.1097629999999901</v>
      </c>
      <c r="L1046">
        <v>367.26569999999998</v>
      </c>
      <c r="M1046">
        <v>0.99983699999999998</v>
      </c>
      <c r="N1046">
        <v>0</v>
      </c>
      <c r="O1046">
        <v>1.058314E-2</v>
      </c>
      <c r="P1046">
        <v>0.99910840000000001</v>
      </c>
      <c r="Q1046">
        <v>3.7406979999999999E-2</v>
      </c>
      <c r="R1046">
        <v>1.958698E-2</v>
      </c>
      <c r="S1046">
        <v>3.0074459999999998</v>
      </c>
      <c r="T1046">
        <v>2.6010749999999999E-2</v>
      </c>
      <c r="U1046">
        <v>-0.30545040000000001</v>
      </c>
      <c r="V1046">
        <v>-8.9935309999999904E-3</v>
      </c>
      <c r="W1046">
        <v>5.2028350000000001E-2</v>
      </c>
      <c r="X1046">
        <v>0.99860510000000002</v>
      </c>
      <c r="Y1046">
        <v>0.11156480000000001</v>
      </c>
      <c r="Z1046">
        <v>5.725188E-4</v>
      </c>
      <c r="AA1046">
        <v>0.993757</v>
      </c>
      <c r="AB1046">
        <v>35</v>
      </c>
      <c r="AC1046">
        <v>76.701700000000002</v>
      </c>
      <c r="AD1046">
        <v>0.66481899999999905</v>
      </c>
      <c r="AE1046">
        <v>-7.8097999999999903</v>
      </c>
      <c r="AF1046">
        <v>8.6205532301372703</v>
      </c>
      <c r="AG1046">
        <v>0.66481899999999905</v>
      </c>
      <c r="AH1046">
        <v>76.609046142828106</v>
      </c>
      <c r="AI1046">
        <v>89.505913566956906</v>
      </c>
      <c r="AJ1046">
        <v>83.579709924647602</v>
      </c>
      <c r="AK1046">
        <v>77.095407601298504</v>
      </c>
      <c r="AL1046">
        <v>87.017648552252396</v>
      </c>
      <c r="AM1046">
        <v>90.515997202682797</v>
      </c>
      <c r="AN1046">
        <v>0.99999998927478995</v>
      </c>
    </row>
    <row r="1047" spans="1:40" x14ac:dyDescent="0.25">
      <c r="A1047" t="str">
        <f>"20190312160620185"</f>
        <v>20190312160620185</v>
      </c>
      <c r="B1047" t="str">
        <f>"1552377980176396"</f>
        <v>1552377980176396</v>
      </c>
      <c r="C1047" t="s">
        <v>40</v>
      </c>
      <c r="D1047">
        <v>6.3214169999999896</v>
      </c>
      <c r="E1047">
        <v>0.54343280000000005</v>
      </c>
      <c r="F1047" t="s">
        <v>42</v>
      </c>
      <c r="G1047">
        <v>-158.19499999999999</v>
      </c>
      <c r="H1047">
        <v>1.615686</v>
      </c>
      <c r="I1047">
        <v>359.45030000000003</v>
      </c>
      <c r="J1047">
        <v>-234.5984</v>
      </c>
      <c r="K1047">
        <v>1.109742</v>
      </c>
      <c r="L1047">
        <v>367.26870000000002</v>
      </c>
      <c r="M1047">
        <v>0.99983869999999997</v>
      </c>
      <c r="N1047">
        <v>0</v>
      </c>
      <c r="O1047">
        <v>1.041577E-2</v>
      </c>
      <c r="P1047">
        <v>0.99910350000000003</v>
      </c>
      <c r="Q1047">
        <v>3.7203550000000002E-2</v>
      </c>
      <c r="R1047">
        <v>2.0202990000000001E-2</v>
      </c>
      <c r="S1047">
        <v>3.0079500000000001</v>
      </c>
      <c r="T1047">
        <v>1.9843820000000002E-2</v>
      </c>
      <c r="U1047">
        <v>-0.30648799999999998</v>
      </c>
      <c r="V1047">
        <v>-9.7745539999999995E-3</v>
      </c>
      <c r="W1047">
        <v>5.1825009999999998E-2</v>
      </c>
      <c r="X1047">
        <v>0.99860839999999995</v>
      </c>
      <c r="Y1047">
        <v>0.1117229</v>
      </c>
      <c r="Z1047">
        <v>4.3612080000000002E-4</v>
      </c>
      <c r="AA1047">
        <v>0.99373929999999999</v>
      </c>
      <c r="AB1047">
        <v>35</v>
      </c>
      <c r="AC1047">
        <v>76.403400000000005</v>
      </c>
      <c r="AD1047">
        <v>0.50594399999999995</v>
      </c>
      <c r="AE1047">
        <v>-7.8183999999999898</v>
      </c>
      <c r="AF1047">
        <v>8.6134874395399805</v>
      </c>
      <c r="AG1047">
        <v>0.50594399999999995</v>
      </c>
      <c r="AH1047">
        <v>76.314499401559104</v>
      </c>
      <c r="AI1047">
        <v>89.622546967832605</v>
      </c>
      <c r="AJ1047">
        <v>83.560376099129996</v>
      </c>
      <c r="AK1047">
        <v>76.800722419211695</v>
      </c>
      <c r="AL1047">
        <v>87.029315010759802</v>
      </c>
      <c r="AM1047">
        <v>90.560803220082406</v>
      </c>
      <c r="AN1047">
        <v>1.00000005505897</v>
      </c>
    </row>
    <row r="1048" spans="1:40" x14ac:dyDescent="0.25">
      <c r="A1048" t="str">
        <f>"20190312160620207"</f>
        <v>20190312160620207</v>
      </c>
      <c r="B1048" t="str">
        <f>"1552377980195916"</f>
        <v>1552377980195916</v>
      </c>
      <c r="C1048" t="s">
        <v>40</v>
      </c>
      <c r="D1048">
        <v>6.6069679999999904</v>
      </c>
      <c r="E1048">
        <v>0.54495909999999903</v>
      </c>
      <c r="F1048" t="s">
        <v>42</v>
      </c>
      <c r="G1048">
        <v>-158.19499999999999</v>
      </c>
      <c r="H1048">
        <v>2.1823779999999999</v>
      </c>
      <c r="I1048">
        <v>359.94400000000002</v>
      </c>
      <c r="J1048">
        <v>-234.24940000000001</v>
      </c>
      <c r="K1048">
        <v>1.109718</v>
      </c>
      <c r="L1048">
        <v>367.27210000000002</v>
      </c>
      <c r="M1048">
        <v>0.99984099999999998</v>
      </c>
      <c r="N1048">
        <v>0</v>
      </c>
      <c r="O1048">
        <v>1.019687E-2</v>
      </c>
      <c r="P1048">
        <v>0.99907959999999996</v>
      </c>
      <c r="Q1048">
        <v>3.7402890000000001E-2</v>
      </c>
      <c r="R1048">
        <v>2.10066E-2</v>
      </c>
      <c r="S1048">
        <v>3.0069430000000001</v>
      </c>
      <c r="T1048">
        <v>4.2218209999999999E-2</v>
      </c>
      <c r="U1048">
        <v>-0.288269</v>
      </c>
      <c r="V1048">
        <v>-1.079392E-2</v>
      </c>
      <c r="W1048">
        <v>5.202358E-2</v>
      </c>
      <c r="X1048">
        <v>0.99858749999999996</v>
      </c>
      <c r="Y1048">
        <v>0.1055654</v>
      </c>
      <c r="Z1048">
        <v>8.8221399999999998E-4</v>
      </c>
      <c r="AA1048">
        <v>0.99441190000000002</v>
      </c>
      <c r="AB1048">
        <v>35</v>
      </c>
      <c r="AC1048">
        <v>76.054400000000001</v>
      </c>
      <c r="AD1048">
        <v>1.0726599999999999</v>
      </c>
      <c r="AE1048">
        <v>-7.3281000000000001</v>
      </c>
      <c r="AF1048">
        <v>8.1017219982475499</v>
      </c>
      <c r="AG1048">
        <v>1.0726599999999999</v>
      </c>
      <c r="AH1048">
        <v>75.960742431957797</v>
      </c>
      <c r="AI1048">
        <v>89.195528375497105</v>
      </c>
      <c r="AJ1048">
        <v>83.912036558991105</v>
      </c>
      <c r="AK1048">
        <v>76.399102675533598</v>
      </c>
      <c r="AL1048">
        <v>87.017922191201507</v>
      </c>
      <c r="AM1048">
        <v>90.619296732612398</v>
      </c>
      <c r="AN1048">
        <v>0.99999997837061605</v>
      </c>
    </row>
    <row r="1049" spans="1:40" x14ac:dyDescent="0.25">
      <c r="A1049" t="str">
        <f>"20190312160620219"</f>
        <v>20190312160620219</v>
      </c>
      <c r="B1049" t="str">
        <f>"1552377980216412"</f>
        <v>1552377980216412</v>
      </c>
      <c r="C1049" t="s">
        <v>40</v>
      </c>
      <c r="D1049">
        <v>6.537909</v>
      </c>
      <c r="E1049">
        <v>0.54462239999999995</v>
      </c>
      <c r="F1049" t="s">
        <v>42</v>
      </c>
      <c r="G1049">
        <v>-158.19499999999999</v>
      </c>
      <c r="H1049">
        <v>1.9470270000000001</v>
      </c>
      <c r="I1049">
        <v>359.7276</v>
      </c>
      <c r="J1049">
        <v>-234.06530000000001</v>
      </c>
      <c r="K1049">
        <v>1.1097079999999999</v>
      </c>
      <c r="L1049">
        <v>367.27390000000003</v>
      </c>
      <c r="M1049">
        <v>0.99984229999999996</v>
      </c>
      <c r="N1049">
        <v>0</v>
      </c>
      <c r="O1049">
        <v>1.007251E-2</v>
      </c>
      <c r="P1049">
        <v>0.99905840000000001</v>
      </c>
      <c r="Q1049">
        <v>3.7758970000000003E-2</v>
      </c>
      <c r="R1049">
        <v>2.1376329999999999E-2</v>
      </c>
      <c r="S1049">
        <v>3.0077970000000001</v>
      </c>
      <c r="T1049">
        <v>3.3117290000000001E-2</v>
      </c>
      <c r="U1049">
        <v>-0.29837039999999998</v>
      </c>
      <c r="V1049">
        <v>-1.1286060000000001E-2</v>
      </c>
      <c r="W1049">
        <v>5.2379299999999997E-2</v>
      </c>
      <c r="X1049">
        <v>0.99856350000000005</v>
      </c>
      <c r="Y1049">
        <v>0.1087267</v>
      </c>
      <c r="Z1049">
        <v>7.0773590000000001E-4</v>
      </c>
      <c r="AA1049">
        <v>0.99407140000000005</v>
      </c>
      <c r="AB1049">
        <v>35</v>
      </c>
      <c r="AC1049">
        <v>75.8703</v>
      </c>
      <c r="AD1049">
        <v>0.83731900000000004</v>
      </c>
      <c r="AE1049">
        <v>-7.5463000000000298</v>
      </c>
      <c r="AF1049">
        <v>8.3092010836896506</v>
      </c>
      <c r="AG1049">
        <v>0.83731900000000004</v>
      </c>
      <c r="AH1049">
        <v>75.781292483981503</v>
      </c>
      <c r="AI1049">
        <v>89.370727105308603</v>
      </c>
      <c r="AJ1049">
        <v>83.742678633076906</v>
      </c>
      <c r="AK1049">
        <v>76.240069624179199</v>
      </c>
      <c r="AL1049">
        <v>86.997513219423993</v>
      </c>
      <c r="AM1049">
        <v>90.647546273171102</v>
      </c>
      <c r="AN1049">
        <v>1.0000000148755299</v>
      </c>
    </row>
    <row r="1050" spans="1:40" x14ac:dyDescent="0.25">
      <c r="A1050" t="str">
        <f>"20190312160620230"</f>
        <v>20190312160620230</v>
      </c>
      <c r="B1050" t="str">
        <f>"1552377980226172"</f>
        <v>1552377980226172</v>
      </c>
      <c r="C1050" t="s">
        <v>40</v>
      </c>
      <c r="D1050">
        <v>6.7991679999999901</v>
      </c>
      <c r="E1050">
        <v>0.54462239999999995</v>
      </c>
      <c r="F1050" t="s">
        <v>42</v>
      </c>
      <c r="G1050">
        <v>-158.19499999999999</v>
      </c>
      <c r="H1050">
        <v>1.285671</v>
      </c>
      <c r="I1050">
        <v>359.82190000000003</v>
      </c>
      <c r="J1050">
        <v>-233.89150000000001</v>
      </c>
      <c r="K1050">
        <v>1.109694</v>
      </c>
      <c r="L1050">
        <v>367.2756</v>
      </c>
      <c r="M1050">
        <v>0.9998435</v>
      </c>
      <c r="N1050">
        <v>0</v>
      </c>
      <c r="O1050">
        <v>9.9495529999999999E-3</v>
      </c>
      <c r="P1050">
        <v>0.99904780000000004</v>
      </c>
      <c r="Q1050">
        <v>3.8000350000000002E-2</v>
      </c>
      <c r="R1050">
        <v>2.1444049999999999E-2</v>
      </c>
      <c r="S1050">
        <v>3.0088810000000001</v>
      </c>
      <c r="T1050">
        <v>6.9818500000000004E-3</v>
      </c>
      <c r="U1050">
        <v>-0.29553220000000002</v>
      </c>
      <c r="V1050">
        <v>-1.147543E-2</v>
      </c>
      <c r="W1050">
        <v>5.262025E-2</v>
      </c>
      <c r="X1050">
        <v>0.99854869999999996</v>
      </c>
      <c r="Y1050">
        <v>0.10764749999999999</v>
      </c>
      <c r="Z1050">
        <v>1.476301E-4</v>
      </c>
      <c r="AA1050">
        <v>0.99418910000000005</v>
      </c>
      <c r="AB1050">
        <v>35</v>
      </c>
      <c r="AC1050">
        <v>75.6965</v>
      </c>
      <c r="AD1050">
        <v>0.17597699999999999</v>
      </c>
      <c r="AE1050">
        <v>-7.4536999999999596</v>
      </c>
      <c r="AF1050">
        <v>8.2065139823564799</v>
      </c>
      <c r="AG1050">
        <v>0.17597699999999999</v>
      </c>
      <c r="AH1050">
        <v>75.618178693258699</v>
      </c>
      <c r="AI1050">
        <v>89.867441074084695</v>
      </c>
      <c r="AJ1050">
        <v>83.806177455787903</v>
      </c>
      <c r="AK1050">
        <v>76.062387475892095</v>
      </c>
      <c r="AL1050">
        <v>86.983688816264802</v>
      </c>
      <c r="AM1050">
        <v>90.658420330067699</v>
      </c>
      <c r="AN1050">
        <v>1.0000000412377099</v>
      </c>
    </row>
    <row r="1051" spans="1:40" x14ac:dyDescent="0.25">
      <c r="A1051" t="str">
        <f>"20190312160620241"</f>
        <v>20190312160620241</v>
      </c>
      <c r="B1051" t="str">
        <f>"1552377980235933"</f>
        <v>1552377980235933</v>
      </c>
      <c r="C1051" t="s">
        <v>40</v>
      </c>
      <c r="D1051">
        <v>6.0722579999999997</v>
      </c>
      <c r="E1051">
        <v>0.49797409999999998</v>
      </c>
      <c r="F1051" t="s">
        <v>42</v>
      </c>
      <c r="G1051">
        <v>-158.19499999999999</v>
      </c>
      <c r="H1051">
        <v>1.3092969999999999</v>
      </c>
      <c r="I1051">
        <v>359.84910000000002</v>
      </c>
      <c r="J1051">
        <v>-233.72239999999999</v>
      </c>
      <c r="K1051">
        <v>1.1096950000000001</v>
      </c>
      <c r="L1051">
        <v>367.27710000000002</v>
      </c>
      <c r="M1051">
        <v>0.99984479999999998</v>
      </c>
      <c r="N1051">
        <v>0</v>
      </c>
      <c r="O1051">
        <v>9.8240970000000004E-3</v>
      </c>
      <c r="P1051">
        <v>0.99902659999999999</v>
      </c>
      <c r="Q1051">
        <v>3.841224E-2</v>
      </c>
      <c r="R1051">
        <v>2.1688869999999999E-2</v>
      </c>
      <c r="S1051">
        <v>3.0088810000000001</v>
      </c>
      <c r="T1051">
        <v>7.9375509999999993E-3</v>
      </c>
      <c r="U1051">
        <v>-0.29519649999999997</v>
      </c>
      <c r="V1051">
        <v>-1.1844179999999999E-2</v>
      </c>
      <c r="W1051">
        <v>5.3031179999999997E-2</v>
      </c>
      <c r="X1051">
        <v>0.99852260000000004</v>
      </c>
      <c r="Y1051">
        <v>0.1074127</v>
      </c>
      <c r="Z1051">
        <v>1.6719989999999999E-4</v>
      </c>
      <c r="AA1051">
        <v>0.9942145</v>
      </c>
      <c r="AB1051">
        <v>35</v>
      </c>
      <c r="AC1051">
        <v>75.5274</v>
      </c>
      <c r="AD1051">
        <v>0.199601999999999</v>
      </c>
      <c r="AE1051">
        <v>-7.4279999999999902</v>
      </c>
      <c r="AF1051">
        <v>8.1696528118612406</v>
      </c>
      <c r="AG1051">
        <v>0.199601999999999</v>
      </c>
      <c r="AH1051">
        <v>75.4502513355894</v>
      </c>
      <c r="AI1051">
        <v>89.8493064220402</v>
      </c>
      <c r="AJ1051">
        <v>83.820165540073205</v>
      </c>
      <c r="AK1051">
        <v>75.891524524339104</v>
      </c>
      <c r="AL1051">
        <v>86.960111176279696</v>
      </c>
      <c r="AM1051">
        <v>90.679593732903697</v>
      </c>
      <c r="AN1051">
        <v>0.99999998668141199</v>
      </c>
    </row>
    <row r="1052" spans="1:40" x14ac:dyDescent="0.25">
      <c r="A1052" t="str">
        <f>"20190312160620252"</f>
        <v>20190312160620252</v>
      </c>
      <c r="B1052" t="str">
        <f>"1552377980245692"</f>
        <v>1552377980245692</v>
      </c>
      <c r="C1052" t="s">
        <v>40</v>
      </c>
      <c r="D1052">
        <v>5.7273019999999999</v>
      </c>
      <c r="E1052">
        <v>0.49336639999999998</v>
      </c>
      <c r="F1052" t="s">
        <v>42</v>
      </c>
      <c r="G1052">
        <v>-168.85599999999999</v>
      </c>
      <c r="H1052">
        <v>6.6740899999999996</v>
      </c>
      <c r="I1052">
        <v>369.14210000000003</v>
      </c>
      <c r="J1052">
        <v>-233.54900000000001</v>
      </c>
      <c r="K1052">
        <v>1.109688</v>
      </c>
      <c r="L1052">
        <v>367.27870000000001</v>
      </c>
      <c r="M1052">
        <v>0.99984609999999996</v>
      </c>
      <c r="N1052">
        <v>0</v>
      </c>
      <c r="O1052">
        <v>9.6920830000000006E-3</v>
      </c>
      <c r="P1052">
        <v>0.99901169999999995</v>
      </c>
      <c r="Q1052">
        <v>3.8632E-2</v>
      </c>
      <c r="R1052">
        <v>2.198549E-2</v>
      </c>
      <c r="S1052">
        <v>2.991196</v>
      </c>
      <c r="T1052">
        <v>0.25659569999999998</v>
      </c>
      <c r="U1052">
        <v>8.5998539999999998E-2</v>
      </c>
      <c r="V1052">
        <v>-1.2271600000000001E-2</v>
      </c>
      <c r="W1052">
        <v>5.3250220000000001E-2</v>
      </c>
      <c r="X1052">
        <v>0.9985058</v>
      </c>
      <c r="Y1052">
        <v>-1.9014010000000001E-2</v>
      </c>
      <c r="Z1052" s="1">
        <v>1.589447E-5</v>
      </c>
      <c r="AA1052">
        <v>0.99981920000000002</v>
      </c>
      <c r="AB1052">
        <v>35</v>
      </c>
      <c r="AC1052">
        <v>64.692999999999998</v>
      </c>
      <c r="AD1052">
        <v>5.5644019999999896</v>
      </c>
      <c r="AE1052">
        <v>1.8634000000000099</v>
      </c>
      <c r="AF1052">
        <v>-1.22716427807812</v>
      </c>
      <c r="AG1052">
        <v>5.5644019999999896</v>
      </c>
      <c r="AH1052">
        <v>64.233210710261901</v>
      </c>
      <c r="AI1052">
        <v>85.049833697680199</v>
      </c>
      <c r="AJ1052">
        <v>91.094492717790203</v>
      </c>
      <c r="AK1052">
        <v>64.485454638483404</v>
      </c>
      <c r="AL1052">
        <v>86.947543407726698</v>
      </c>
      <c r="AM1052">
        <v>90.704127598497095</v>
      </c>
      <c r="AN1052">
        <v>1.0000000053651199</v>
      </c>
    </row>
    <row r="1053" spans="1:40" x14ac:dyDescent="0.25">
      <c r="A1053" t="str">
        <f>"20190312160620264"</f>
        <v>20190312160620264</v>
      </c>
      <c r="B1053" t="str">
        <f>"1552377980256428"</f>
        <v>1552377980256428</v>
      </c>
      <c r="C1053" t="s">
        <v>40</v>
      </c>
      <c r="D1053">
        <v>6.2076589999999996</v>
      </c>
      <c r="E1053">
        <v>0.48862660000000002</v>
      </c>
      <c r="F1053" t="s">
        <v>42</v>
      </c>
      <c r="G1053">
        <v>-166.36539999999999</v>
      </c>
      <c r="H1053">
        <v>6.6740899999999996</v>
      </c>
      <c r="I1053">
        <v>370.04969999999997</v>
      </c>
      <c r="J1053">
        <v>-233.37450000000001</v>
      </c>
      <c r="K1053">
        <v>1.1096790000000001</v>
      </c>
      <c r="L1053">
        <v>367.28030000000001</v>
      </c>
      <c r="M1053">
        <v>0.99984759999999995</v>
      </c>
      <c r="N1053">
        <v>0</v>
      </c>
      <c r="O1053">
        <v>9.5506480000000001E-3</v>
      </c>
      <c r="P1053">
        <v>0.99900009999999995</v>
      </c>
      <c r="Q1053">
        <v>3.8952010000000002E-2</v>
      </c>
      <c r="R1053">
        <v>2.1954689999999999E-2</v>
      </c>
      <c r="S1053">
        <v>2.9906769999999998</v>
      </c>
      <c r="T1053">
        <v>0.24770310000000001</v>
      </c>
      <c r="U1053">
        <v>0.12335210000000001</v>
      </c>
      <c r="V1053">
        <v>-1.23809E-2</v>
      </c>
      <c r="W1053">
        <v>5.3568770000000002E-2</v>
      </c>
      <c r="X1053">
        <v>0.99848740000000002</v>
      </c>
      <c r="Y1053">
        <v>-3.1589739999999998E-2</v>
      </c>
      <c r="Z1053">
        <v>-5.1603949999999999E-4</v>
      </c>
      <c r="AA1053">
        <v>0.99950079999999997</v>
      </c>
      <c r="AB1053">
        <v>35</v>
      </c>
      <c r="AC1053">
        <v>67.009100000000004</v>
      </c>
      <c r="AD1053">
        <v>5.5644109999999998</v>
      </c>
      <c r="AE1053">
        <v>2.7693999999999601</v>
      </c>
      <c r="AF1053">
        <v>-2.1146679903171601</v>
      </c>
      <c r="AG1053">
        <v>5.5644109999999998</v>
      </c>
      <c r="AH1053">
        <v>66.574210507117897</v>
      </c>
      <c r="AI1053">
        <v>85.2246020772169</v>
      </c>
      <c r="AJ1053">
        <v>91.819335531632106</v>
      </c>
      <c r="AK1053">
        <v>66.839808461217501</v>
      </c>
      <c r="AL1053">
        <v>86.929265714080202</v>
      </c>
      <c r="AM1053">
        <v>90.710411532683096</v>
      </c>
      <c r="AN1053">
        <v>0.99999999388144101</v>
      </c>
    </row>
    <row r="1054" spans="1:40" x14ac:dyDescent="0.25">
      <c r="A1054" t="str">
        <f>"20190312160620275"</f>
        <v>20190312160620275</v>
      </c>
      <c r="B1054" t="str">
        <f>"1552377980266188"</f>
        <v>1552377980266188</v>
      </c>
      <c r="C1054" t="s">
        <v>40</v>
      </c>
      <c r="D1054">
        <v>6.2262199999999996</v>
      </c>
      <c r="E1054">
        <v>0.48939090000000002</v>
      </c>
      <c r="F1054" t="s">
        <v>42</v>
      </c>
      <c r="G1054">
        <v>-162.13990000000001</v>
      </c>
      <c r="H1054">
        <v>6.6740890000000004</v>
      </c>
      <c r="I1054">
        <v>371.1071</v>
      </c>
      <c r="J1054">
        <v>-233.18610000000001</v>
      </c>
      <c r="K1054">
        <v>1.1096729999999999</v>
      </c>
      <c r="L1054">
        <v>367.28199999999998</v>
      </c>
      <c r="M1054">
        <v>0.99984890000000004</v>
      </c>
      <c r="N1054">
        <v>0</v>
      </c>
      <c r="O1054">
        <v>9.3948920000000002E-3</v>
      </c>
      <c r="P1054">
        <v>0.99898730000000002</v>
      </c>
      <c r="Q1054">
        <v>3.9271540000000001E-2</v>
      </c>
      <c r="R1054">
        <v>2.1962389999999998E-2</v>
      </c>
      <c r="S1054">
        <v>2.9903719999999998</v>
      </c>
      <c r="T1054">
        <v>0.2335931</v>
      </c>
      <c r="U1054">
        <v>0.1606445</v>
      </c>
      <c r="V1054">
        <v>-1.2542569999999999E-2</v>
      </c>
      <c r="W1054">
        <v>5.3887299999999999E-2</v>
      </c>
      <c r="X1054">
        <v>0.99846820000000003</v>
      </c>
      <c r="Y1054">
        <v>-4.4152950000000003E-2</v>
      </c>
      <c r="Z1054">
        <v>-9.8838240000000003E-4</v>
      </c>
      <c r="AA1054">
        <v>0.99902429999999998</v>
      </c>
      <c r="AB1054">
        <v>35</v>
      </c>
      <c r="AC1054">
        <v>71.046199999999999</v>
      </c>
      <c r="AD1054">
        <v>5.5644159999999996</v>
      </c>
      <c r="AE1054">
        <v>3.8251000000000199</v>
      </c>
      <c r="AF1054">
        <v>-3.13819372489756</v>
      </c>
      <c r="AG1054">
        <v>5.5644159999999996</v>
      </c>
      <c r="AH1054">
        <v>70.646894925939904</v>
      </c>
      <c r="AI1054">
        <v>85.500884194990107</v>
      </c>
      <c r="AJ1054">
        <v>92.543454050172599</v>
      </c>
      <c r="AK1054">
        <v>70.935144660124905</v>
      </c>
      <c r="AL1054">
        <v>86.910988760151895</v>
      </c>
      <c r="AM1054">
        <v>90.719700966705503</v>
      </c>
      <c r="AN1054">
        <v>0.999999951787366</v>
      </c>
    </row>
    <row r="1055" spans="1:40" x14ac:dyDescent="0.25">
      <c r="A1055" t="str">
        <f>"20190312160620287"</f>
        <v>20190312160620287</v>
      </c>
      <c r="B1055" t="str">
        <f>"1552377980275949"</f>
        <v>1552377980275949</v>
      </c>
      <c r="C1055" t="s">
        <v>40</v>
      </c>
      <c r="D1055">
        <v>6.4538219999999997</v>
      </c>
      <c r="E1055">
        <v>0.49230289999999999</v>
      </c>
      <c r="F1055" t="s">
        <v>42</v>
      </c>
      <c r="G1055">
        <v>-158.19499999999999</v>
      </c>
      <c r="H1055">
        <v>6.2231699999999996</v>
      </c>
      <c r="I1055">
        <v>371.13060000000002</v>
      </c>
      <c r="J1055">
        <v>-233.0052</v>
      </c>
      <c r="K1055">
        <v>1.1096649999999999</v>
      </c>
      <c r="L1055">
        <v>367.2835</v>
      </c>
      <c r="M1055">
        <v>0.99985049999999998</v>
      </c>
      <c r="N1055">
        <v>0</v>
      </c>
      <c r="O1055">
        <v>9.2365169999999996E-3</v>
      </c>
      <c r="P1055">
        <v>0.99897259999999999</v>
      </c>
      <c r="Q1055">
        <v>3.969731E-2</v>
      </c>
      <c r="R1055">
        <v>2.18677E-2</v>
      </c>
      <c r="S1055">
        <v>2.9916529999999999</v>
      </c>
      <c r="T1055">
        <v>0.2039984</v>
      </c>
      <c r="U1055">
        <v>0.1535339</v>
      </c>
      <c r="V1055">
        <v>-1.2605119999999999E-2</v>
      </c>
      <c r="W1055">
        <v>5.43125E-2</v>
      </c>
      <c r="X1055">
        <v>0.99844440000000001</v>
      </c>
      <c r="Y1055">
        <v>-4.1950000000000001E-2</v>
      </c>
      <c r="Z1055">
        <v>-7.9896220000000003E-4</v>
      </c>
      <c r="AA1055">
        <v>0.99911939999999999</v>
      </c>
      <c r="AB1055">
        <v>34</v>
      </c>
      <c r="AC1055">
        <v>74.810199999999995</v>
      </c>
      <c r="AD1055">
        <v>5.113505</v>
      </c>
      <c r="AE1055">
        <v>3.84710000000001</v>
      </c>
      <c r="AF1055">
        <v>-3.1412387474813599</v>
      </c>
      <c r="AG1055">
        <v>5.113505</v>
      </c>
      <c r="AH1055">
        <v>74.495410801872893</v>
      </c>
      <c r="AI1055">
        <v>86.076744900179193</v>
      </c>
      <c r="AJ1055">
        <v>92.414553644105496</v>
      </c>
      <c r="AK1055">
        <v>74.736748288867304</v>
      </c>
      <c r="AL1055">
        <v>86.886590945926798</v>
      </c>
      <c r="AM1055">
        <v>90.723306986028405</v>
      </c>
      <c r="AN1055">
        <v>0.99999997829891196</v>
      </c>
    </row>
    <row r="1056" spans="1:40" x14ac:dyDescent="0.25">
      <c r="A1056" t="str">
        <f>"20190312160620307"</f>
        <v>20190312160620307</v>
      </c>
      <c r="B1056" t="str">
        <f>"1552377980296444"</f>
        <v>1552377980296444</v>
      </c>
      <c r="C1056" t="s">
        <v>40</v>
      </c>
      <c r="D1056">
        <v>6.0670330000000003</v>
      </c>
      <c r="E1056">
        <v>0.49620750000000002</v>
      </c>
      <c r="F1056" t="s">
        <v>42</v>
      </c>
      <c r="G1056">
        <v>-163.29130000000001</v>
      </c>
      <c r="H1056">
        <v>6.6740899999999996</v>
      </c>
      <c r="I1056">
        <v>370.34379999999999</v>
      </c>
      <c r="J1056">
        <v>-232.71510000000001</v>
      </c>
      <c r="K1056">
        <v>1.1096549999999901</v>
      </c>
      <c r="L1056">
        <v>367.286</v>
      </c>
      <c r="M1056">
        <v>0.99985299999999999</v>
      </c>
      <c r="N1056">
        <v>0</v>
      </c>
      <c r="O1056">
        <v>8.9722410000000006E-3</v>
      </c>
      <c r="P1056">
        <v>0.99894260000000001</v>
      </c>
      <c r="Q1056">
        <v>4.0403540000000002E-2</v>
      </c>
      <c r="R1056">
        <v>2.1950529999999999E-2</v>
      </c>
      <c r="S1056">
        <v>2.9907379999999999</v>
      </c>
      <c r="T1056">
        <v>0.2387184</v>
      </c>
      <c r="U1056">
        <v>0.1312866</v>
      </c>
      <c r="V1056">
        <v>-1.294931E-2</v>
      </c>
      <c r="W1056">
        <v>5.501669E-2</v>
      </c>
      <c r="X1056">
        <v>0.99840150000000005</v>
      </c>
      <c r="Y1056">
        <v>-3.4807169999999998E-2</v>
      </c>
      <c r="Z1056">
        <v>-6.715588E-4</v>
      </c>
      <c r="AA1056">
        <v>0.9993938</v>
      </c>
      <c r="AB1056">
        <v>34</v>
      </c>
      <c r="AC1056">
        <v>69.4238</v>
      </c>
      <c r="AD1056">
        <v>5.5644349999999996</v>
      </c>
      <c r="AE1056">
        <v>3.0577999999999799</v>
      </c>
      <c r="AF1056">
        <v>-2.4192116977944602</v>
      </c>
      <c r="AG1056">
        <v>5.5644349999999996</v>
      </c>
      <c r="AH1056">
        <v>69.005986889369794</v>
      </c>
      <c r="AI1056">
        <v>85.392634203459195</v>
      </c>
      <c r="AJ1056">
        <v>92.007852956661097</v>
      </c>
      <c r="AK1056">
        <v>69.2722292746801</v>
      </c>
      <c r="AL1056">
        <v>86.846183599292104</v>
      </c>
      <c r="AM1056">
        <v>90.743087035841597</v>
      </c>
      <c r="AN1056">
        <v>1.0000000380051399</v>
      </c>
    </row>
    <row r="1057" spans="1:40" x14ac:dyDescent="0.25">
      <c r="A1057" t="str">
        <f>"20190312160620319"</f>
        <v>20190312160620319</v>
      </c>
      <c r="B1057" t="str">
        <f>"1552377980315964"</f>
        <v>1552377980315964</v>
      </c>
      <c r="C1057" t="s">
        <v>40</v>
      </c>
      <c r="D1057">
        <v>6.2694330000000003</v>
      </c>
      <c r="E1057">
        <v>0.50123399999999996</v>
      </c>
      <c r="F1057" t="s">
        <v>42</v>
      </c>
      <c r="G1057">
        <v>-158.78319999999999</v>
      </c>
      <c r="H1057">
        <v>5.9998610000000001</v>
      </c>
      <c r="I1057">
        <v>369.7269</v>
      </c>
      <c r="J1057">
        <v>-232.51580000000001</v>
      </c>
      <c r="K1057">
        <v>1.1096469999999901</v>
      </c>
      <c r="L1057">
        <v>367.2876</v>
      </c>
      <c r="M1057">
        <v>0.99985460000000004</v>
      </c>
      <c r="N1057">
        <v>0</v>
      </c>
      <c r="O1057">
        <v>8.782738E-3</v>
      </c>
      <c r="P1057">
        <v>0.99893290000000001</v>
      </c>
      <c r="Q1057">
        <v>4.0599919999999998E-2</v>
      </c>
      <c r="R1057">
        <v>2.2020270000000002E-2</v>
      </c>
      <c r="S1057">
        <v>2.9929960000000002</v>
      </c>
      <c r="T1057">
        <v>0.19797409999999999</v>
      </c>
      <c r="U1057">
        <v>9.8815920000000002E-2</v>
      </c>
      <c r="V1057">
        <v>-1.320673E-2</v>
      </c>
      <c r="W1057">
        <v>5.521189E-2</v>
      </c>
      <c r="X1057">
        <v>0.99838729999999998</v>
      </c>
      <c r="Y1057">
        <v>-2.4183949999999999E-2</v>
      </c>
      <c r="Z1057">
        <v>-2.185585E-4</v>
      </c>
      <c r="AA1057">
        <v>0.99970749999999997</v>
      </c>
      <c r="AB1057">
        <v>34</v>
      </c>
      <c r="AC1057">
        <v>73.732600000000005</v>
      </c>
      <c r="AD1057">
        <v>4.8902140000000003</v>
      </c>
      <c r="AE1057">
        <v>2.4392999999999998</v>
      </c>
      <c r="AF1057">
        <v>-1.78372489058121</v>
      </c>
      <c r="AG1057">
        <v>4.8902140000000003</v>
      </c>
      <c r="AH1057">
        <v>73.42853551604</v>
      </c>
      <c r="AI1057">
        <v>86.190946631090299</v>
      </c>
      <c r="AJ1057">
        <v>91.391554546184395</v>
      </c>
      <c r="AK1057">
        <v>73.612809316595303</v>
      </c>
      <c r="AL1057">
        <v>86.8349822725134</v>
      </c>
      <c r="AM1057">
        <v>90.757867972867103</v>
      </c>
      <c r="AN1057">
        <v>0.99999998565797699</v>
      </c>
    </row>
    <row r="1058" spans="1:40" x14ac:dyDescent="0.25">
      <c r="A1058" t="str">
        <f>"20190312160620330"</f>
        <v>20190312160620330</v>
      </c>
      <c r="B1058" t="str">
        <f>"1552377980325724"</f>
        <v>1552377980325724</v>
      </c>
      <c r="C1058" t="s">
        <v>40</v>
      </c>
      <c r="D1058">
        <v>6.516635</v>
      </c>
      <c r="E1058">
        <v>0.50127120000000003</v>
      </c>
      <c r="F1058" t="s">
        <v>42</v>
      </c>
      <c r="G1058">
        <v>-158.78319999999999</v>
      </c>
      <c r="H1058">
        <v>4.8363329999999998</v>
      </c>
      <c r="I1058">
        <v>368.69589999999999</v>
      </c>
      <c r="J1058">
        <v>-232.33850000000001</v>
      </c>
      <c r="K1058">
        <v>1.1096379999999999</v>
      </c>
      <c r="L1058">
        <v>367.28899999999999</v>
      </c>
      <c r="M1058">
        <v>0.99985619999999997</v>
      </c>
      <c r="N1058">
        <v>0</v>
      </c>
      <c r="O1058">
        <v>8.6081530000000003E-3</v>
      </c>
      <c r="P1058">
        <v>0.99893670000000001</v>
      </c>
      <c r="Q1058">
        <v>4.0648660000000003E-2</v>
      </c>
      <c r="R1058">
        <v>2.1758449999999999E-2</v>
      </c>
      <c r="S1058">
        <v>2.9958040000000001</v>
      </c>
      <c r="T1058">
        <v>0.151421</v>
      </c>
      <c r="U1058">
        <v>5.7220460000000001E-2</v>
      </c>
      <c r="V1058">
        <v>-1.311814E-2</v>
      </c>
      <c r="W1058">
        <v>5.5259500000000003E-2</v>
      </c>
      <c r="X1058">
        <v>0.99838579999999999</v>
      </c>
      <c r="Y1058">
        <v>-1.048612E-2</v>
      </c>
      <c r="Z1058">
        <v>1.6999610000000001E-4</v>
      </c>
      <c r="AA1058">
        <v>0.99994499999999997</v>
      </c>
      <c r="AB1058">
        <v>34</v>
      </c>
      <c r="AC1058">
        <v>73.555300000000003</v>
      </c>
      <c r="AD1058">
        <v>3.7266949999999999</v>
      </c>
      <c r="AE1058">
        <v>1.4069</v>
      </c>
      <c r="AF1058">
        <v>-0.77162498096258303</v>
      </c>
      <c r="AG1058">
        <v>3.7266949999999999</v>
      </c>
      <c r="AH1058">
        <v>73.376400549241097</v>
      </c>
      <c r="AI1058">
        <v>87.092678199599504</v>
      </c>
      <c r="AJ1058">
        <v>90.602499234824705</v>
      </c>
      <c r="AK1058">
        <v>73.475028535529901</v>
      </c>
      <c r="AL1058">
        <v>86.832250142154706</v>
      </c>
      <c r="AM1058">
        <v>90.752785955118796</v>
      </c>
      <c r="AN1058">
        <v>0.99999995178947299</v>
      </c>
    </row>
    <row r="1059" spans="1:40" x14ac:dyDescent="0.25">
      <c r="A1059" t="str">
        <f>"20190312160620342"</f>
        <v>20190312160620342</v>
      </c>
      <c r="B1059" t="str">
        <f>"1552377980336461"</f>
        <v>1552377980336461</v>
      </c>
      <c r="C1059" t="s">
        <v>40</v>
      </c>
      <c r="D1059">
        <v>6.2270580000000004</v>
      </c>
      <c r="E1059">
        <v>0.50134590000000001</v>
      </c>
      <c r="F1059" t="s">
        <v>42</v>
      </c>
      <c r="G1059">
        <v>-158.78319999999999</v>
      </c>
      <c r="H1059">
        <v>5.4504780000000004</v>
      </c>
      <c r="I1059">
        <v>368.69439999999997</v>
      </c>
      <c r="J1059">
        <v>-232.16820000000001</v>
      </c>
      <c r="K1059">
        <v>1.1096299999999999</v>
      </c>
      <c r="L1059">
        <v>367.2903</v>
      </c>
      <c r="M1059">
        <v>0.99985760000000001</v>
      </c>
      <c r="N1059">
        <v>0</v>
      </c>
      <c r="O1059">
        <v>8.432564E-3</v>
      </c>
      <c r="P1059">
        <v>0.99894360000000004</v>
      </c>
      <c r="Q1059">
        <v>4.0537339999999998E-2</v>
      </c>
      <c r="R1059">
        <v>2.1644170000000001E-2</v>
      </c>
      <c r="S1059">
        <v>2.9947659999999998</v>
      </c>
      <c r="T1059">
        <v>0.17673839999999999</v>
      </c>
      <c r="U1059">
        <v>5.7220460000000001E-2</v>
      </c>
      <c r="V1059">
        <v>-1.317773E-2</v>
      </c>
      <c r="W1059">
        <v>5.5147620000000001E-2</v>
      </c>
      <c r="X1059">
        <v>0.99839129999999998</v>
      </c>
      <c r="Y1059">
        <v>-1.066684E-2</v>
      </c>
      <c r="Z1059">
        <v>1.8276140000000001E-4</v>
      </c>
      <c r="AA1059">
        <v>0.99994309999999997</v>
      </c>
      <c r="AB1059">
        <v>34</v>
      </c>
      <c r="AC1059">
        <v>73.385000000000005</v>
      </c>
      <c r="AD1059">
        <v>4.3408479999999896</v>
      </c>
      <c r="AE1059">
        <v>1.4040999999999699</v>
      </c>
      <c r="AF1059">
        <v>-0.78242359554066399</v>
      </c>
      <c r="AG1059">
        <v>4.3408479999999896</v>
      </c>
      <c r="AH1059">
        <v>73.138419536327703</v>
      </c>
      <c r="AI1059">
        <v>86.603608990287896</v>
      </c>
      <c r="AJ1059">
        <v>90.612918081362295</v>
      </c>
      <c r="AK1059">
        <v>73.271301068794003</v>
      </c>
      <c r="AL1059">
        <v>86.838670495611396</v>
      </c>
      <c r="AM1059">
        <v>90.756200972494099</v>
      </c>
      <c r="AN1059">
        <v>1.00000005023765</v>
      </c>
    </row>
    <row r="1060" spans="1:40" x14ac:dyDescent="0.25">
      <c r="A1060" t="str">
        <f>"20190312160620353"</f>
        <v>20190312160620353</v>
      </c>
      <c r="B1060" t="str">
        <f>"1552377980346219"</f>
        <v>1552377980346219</v>
      </c>
      <c r="C1060" t="s">
        <v>40</v>
      </c>
      <c r="D1060">
        <v>6.3715440000000001</v>
      </c>
      <c r="E1060">
        <v>0.501641</v>
      </c>
      <c r="F1060" t="s">
        <v>42</v>
      </c>
      <c r="G1060">
        <v>-158.78319999999999</v>
      </c>
      <c r="H1060">
        <v>5.8673699999999904</v>
      </c>
      <c r="I1060">
        <v>368.68459999999999</v>
      </c>
      <c r="J1060">
        <v>-231.9924</v>
      </c>
      <c r="K1060">
        <v>1.1096239999999999</v>
      </c>
      <c r="L1060">
        <v>367.29160000000002</v>
      </c>
      <c r="M1060">
        <v>0.99985919999999895</v>
      </c>
      <c r="N1060">
        <v>0</v>
      </c>
      <c r="O1060">
        <v>8.2480299999999999E-3</v>
      </c>
      <c r="P1060">
        <v>0.99894419999999995</v>
      </c>
      <c r="Q1060">
        <v>4.0691039999999998E-2</v>
      </c>
      <c r="R1060">
        <v>2.1331780000000002E-2</v>
      </c>
      <c r="S1060">
        <v>2.9940639999999998</v>
      </c>
      <c r="T1060">
        <v>0.19411610000000001</v>
      </c>
      <c r="U1060">
        <v>5.6884770000000001E-2</v>
      </c>
      <c r="V1060">
        <v>-1.3047660000000001E-2</v>
      </c>
      <c r="W1060">
        <v>5.5299969999999997E-2</v>
      </c>
      <c r="X1060">
        <v>0.99838450000000001</v>
      </c>
      <c r="Y1060">
        <v>-1.0742450000000001E-2</v>
      </c>
      <c r="Z1060">
        <v>1.8634350000000001E-4</v>
      </c>
      <c r="AA1060">
        <v>0.99994229999999995</v>
      </c>
      <c r="AB1060">
        <v>34</v>
      </c>
      <c r="AC1060">
        <v>73.209199999999996</v>
      </c>
      <c r="AD1060">
        <v>4.7577459999999903</v>
      </c>
      <c r="AE1060">
        <v>1.39299999999997</v>
      </c>
      <c r="AF1060">
        <v>-0.78573908586958496</v>
      </c>
      <c r="AG1060">
        <v>4.7577459999999903</v>
      </c>
      <c r="AH1060">
        <v>72.910375358247293</v>
      </c>
      <c r="AI1060">
        <v>86.266689560687496</v>
      </c>
      <c r="AJ1060">
        <v>90.617440117102404</v>
      </c>
      <c r="AK1060">
        <v>73.069667905308606</v>
      </c>
      <c r="AL1060">
        <v>86.829927885355005</v>
      </c>
      <c r="AM1060">
        <v>90.748742888824097</v>
      </c>
      <c r="AN1060">
        <v>0.99999996897686205</v>
      </c>
    </row>
    <row r="1061" spans="1:40" x14ac:dyDescent="0.25">
      <c r="A1061" t="str">
        <f>"20190312160620365"</f>
        <v>20190312160620365</v>
      </c>
      <c r="B1061" t="str">
        <f>"1552377980355981"</f>
        <v>1552377980355981</v>
      </c>
      <c r="C1061" t="s">
        <v>40</v>
      </c>
      <c r="D1061">
        <v>6.5281640000000003</v>
      </c>
      <c r="E1061">
        <v>0.50171739999999998</v>
      </c>
      <c r="F1061" t="s">
        <v>42</v>
      </c>
      <c r="G1061">
        <v>-158.78319999999999</v>
      </c>
      <c r="H1061">
        <v>5.581842</v>
      </c>
      <c r="I1061">
        <v>368.59129999999999</v>
      </c>
      <c r="J1061">
        <v>-231.81209999999999</v>
      </c>
      <c r="K1061">
        <v>1.1096189999999999</v>
      </c>
      <c r="L1061">
        <v>367.29289999999997</v>
      </c>
      <c r="M1061">
        <v>0.99986090000000005</v>
      </c>
      <c r="N1061">
        <v>0</v>
      </c>
      <c r="O1061">
        <v>8.0482209999999995E-3</v>
      </c>
      <c r="P1061">
        <v>0.99895829999999997</v>
      </c>
      <c r="Q1061">
        <v>4.05458E-2</v>
      </c>
      <c r="R1061">
        <v>2.0942990000000002E-2</v>
      </c>
      <c r="S1061">
        <v>2.9945979999999999</v>
      </c>
      <c r="T1061">
        <v>0.18293789999999999</v>
      </c>
      <c r="U1061">
        <v>5.316162E-2</v>
      </c>
      <c r="V1061">
        <v>-1.285734E-2</v>
      </c>
      <c r="W1061">
        <v>5.515333E-2</v>
      </c>
      <c r="X1061">
        <v>0.99839509999999998</v>
      </c>
      <c r="Y1061">
        <v>-9.6982479999999996E-3</v>
      </c>
      <c r="Z1061">
        <v>1.9527290000000001E-4</v>
      </c>
      <c r="AA1061">
        <v>0.99995299999999998</v>
      </c>
      <c r="AB1061">
        <v>34</v>
      </c>
      <c r="AC1061">
        <v>73.028899999999993</v>
      </c>
      <c r="AD1061">
        <v>4.4722229999999996</v>
      </c>
      <c r="AE1061">
        <v>1.29840000000001</v>
      </c>
      <c r="AF1061">
        <v>-0.70788858439323199</v>
      </c>
      <c r="AG1061">
        <v>4.4722229999999996</v>
      </c>
      <c r="AH1061">
        <v>72.764189312866904</v>
      </c>
      <c r="AI1061">
        <v>86.483084578935703</v>
      </c>
      <c r="AJ1061">
        <v>90.557386114608093</v>
      </c>
      <c r="AK1061">
        <v>72.9049321456949</v>
      </c>
      <c r="AL1061">
        <v>86.838342642192899</v>
      </c>
      <c r="AM1061">
        <v>90.737814716706595</v>
      </c>
      <c r="AN1061">
        <v>0.99999998835298698</v>
      </c>
    </row>
    <row r="1062" spans="1:40" x14ac:dyDescent="0.25">
      <c r="A1062" t="str">
        <f>"20190312160620386"</f>
        <v>20190312160620386</v>
      </c>
      <c r="B1062" t="str">
        <f>"1552377980376476"</f>
        <v>1552377980376476</v>
      </c>
      <c r="C1062" t="s">
        <v>40</v>
      </c>
      <c r="D1062">
        <v>6.2959290000000001</v>
      </c>
      <c r="E1062">
        <v>0.50236709999999996</v>
      </c>
      <c r="F1062" t="s">
        <v>42</v>
      </c>
      <c r="G1062">
        <v>-158.78319999999999</v>
      </c>
      <c r="H1062">
        <v>5.972499</v>
      </c>
      <c r="I1062">
        <v>368.55829999999997</v>
      </c>
      <c r="J1062">
        <v>-231.50190000000001</v>
      </c>
      <c r="K1062">
        <v>1.1096060000000001</v>
      </c>
      <c r="L1062">
        <v>367.29500000000002</v>
      </c>
      <c r="M1062">
        <v>0.99986379999999997</v>
      </c>
      <c r="N1062">
        <v>0</v>
      </c>
      <c r="O1062">
        <v>7.691926E-3</v>
      </c>
      <c r="P1062">
        <v>0.99896839999999998</v>
      </c>
      <c r="Q1062">
        <v>4.06971E-2</v>
      </c>
      <c r="R1062">
        <v>2.015608E-2</v>
      </c>
      <c r="S1062">
        <v>2.9939580000000001</v>
      </c>
      <c r="T1062">
        <v>0.19936609999999999</v>
      </c>
      <c r="U1062">
        <v>5.1879880000000003E-2</v>
      </c>
      <c r="V1062">
        <v>-1.242353E-2</v>
      </c>
      <c r="W1062">
        <v>5.5302360000000002E-2</v>
      </c>
      <c r="X1062">
        <v>0.99839230000000001</v>
      </c>
      <c r="Y1062">
        <v>-9.6292050000000001E-3</v>
      </c>
      <c r="Z1062">
        <v>1.914156E-4</v>
      </c>
      <c r="AA1062">
        <v>0.9999536</v>
      </c>
      <c r="AB1062">
        <v>34</v>
      </c>
      <c r="AC1062">
        <v>72.718699999999998</v>
      </c>
      <c r="AD1062">
        <v>4.8628929999999997</v>
      </c>
      <c r="AE1062">
        <v>1.2632999999999499</v>
      </c>
      <c r="AF1062">
        <v>-0.70072346307982003</v>
      </c>
      <c r="AG1062">
        <v>4.8628929999999997</v>
      </c>
      <c r="AH1062">
        <v>72.402583278459304</v>
      </c>
      <c r="AI1062">
        <v>86.157700335200005</v>
      </c>
      <c r="AJ1062">
        <v>90.554500154098406</v>
      </c>
      <c r="AK1062">
        <v>72.569089887467896</v>
      </c>
      <c r="AL1062">
        <v>86.829790646320106</v>
      </c>
      <c r="AM1062">
        <v>90.712925269460996</v>
      </c>
      <c r="AN1062">
        <v>0.99999993990925795</v>
      </c>
    </row>
    <row r="1063" spans="1:40" x14ac:dyDescent="0.25">
      <c r="A1063" t="str">
        <f>"20190312160620407"</f>
        <v>20190312160620407</v>
      </c>
      <c r="B1063" t="str">
        <f>"1552377980395996"</f>
        <v>1552377980395996</v>
      </c>
      <c r="C1063" t="s">
        <v>40</v>
      </c>
      <c r="D1063">
        <v>6.468464</v>
      </c>
      <c r="E1063">
        <v>0.50339750000000005</v>
      </c>
      <c r="F1063" t="s">
        <v>42</v>
      </c>
      <c r="G1063">
        <v>-158.78319999999999</v>
      </c>
      <c r="H1063">
        <v>5.5086399999999998</v>
      </c>
      <c r="I1063">
        <v>368.3569</v>
      </c>
      <c r="J1063">
        <v>-231.16470000000001</v>
      </c>
      <c r="K1063">
        <v>1.1095820000000001</v>
      </c>
      <c r="L1063">
        <v>367.29719999999998</v>
      </c>
      <c r="M1063">
        <v>0.9998669</v>
      </c>
      <c r="N1063">
        <v>0</v>
      </c>
      <c r="O1063">
        <v>7.2824409999999997E-3</v>
      </c>
      <c r="P1063">
        <v>0.99895719999999999</v>
      </c>
      <c r="Q1063">
        <v>4.1622319999999997E-2</v>
      </c>
      <c r="R1063">
        <v>1.8780109999999999E-2</v>
      </c>
      <c r="S1063">
        <v>2.9948730000000001</v>
      </c>
      <c r="T1063">
        <v>0.18117459999999999</v>
      </c>
      <c r="U1063">
        <v>4.3731689999999997E-2</v>
      </c>
      <c r="V1063">
        <v>-1.1453649999999999E-2</v>
      </c>
      <c r="W1063">
        <v>5.6223599999999999E-2</v>
      </c>
      <c r="X1063">
        <v>0.99835249999999998</v>
      </c>
      <c r="Y1063">
        <v>-7.31773699999999E-3</v>
      </c>
      <c r="Z1063">
        <v>2.1903410000000001E-4</v>
      </c>
      <c r="AA1063">
        <v>0.99997320000000001</v>
      </c>
      <c r="AB1063">
        <v>34</v>
      </c>
      <c r="AC1063">
        <v>72.381500000000003</v>
      </c>
      <c r="AD1063">
        <v>4.3990580000000001</v>
      </c>
      <c r="AE1063">
        <v>1.0597000000000201</v>
      </c>
      <c r="AF1063">
        <v>-0.53054244822659102</v>
      </c>
      <c r="AG1063">
        <v>4.3990580000000001</v>
      </c>
      <c r="AH1063">
        <v>72.120960554131003</v>
      </c>
      <c r="AI1063">
        <v>86.509630769014194</v>
      </c>
      <c r="AJ1063">
        <v>90.421476566510407</v>
      </c>
      <c r="AK1063">
        <v>72.256945256682798</v>
      </c>
      <c r="AL1063">
        <v>86.776925404030806</v>
      </c>
      <c r="AM1063">
        <v>90.657299917341703</v>
      </c>
      <c r="AN1063">
        <v>0.99999999677576601</v>
      </c>
    </row>
    <row r="1064" spans="1:40" x14ac:dyDescent="0.25">
      <c r="A1064" t="str">
        <f>"20190312160620430"</f>
        <v>20190312160620430</v>
      </c>
      <c r="B1064" t="str">
        <f>"1552377980426252"</f>
        <v>1552377980426252</v>
      </c>
      <c r="C1064" t="s">
        <v>40</v>
      </c>
      <c r="D1064">
        <v>6.5641759999999998</v>
      </c>
      <c r="E1064">
        <v>0.50398189999999998</v>
      </c>
      <c r="F1064" t="s">
        <v>42</v>
      </c>
      <c r="G1064">
        <v>-158.78319999999999</v>
      </c>
      <c r="H1064">
        <v>6.281352</v>
      </c>
      <c r="I1064">
        <v>368.08679999999998</v>
      </c>
      <c r="J1064">
        <v>-230.8323</v>
      </c>
      <c r="K1064">
        <v>1.109567</v>
      </c>
      <c r="L1064">
        <v>367.29919999999998</v>
      </c>
      <c r="M1064">
        <v>0.99986989999999998</v>
      </c>
      <c r="N1064">
        <v>0</v>
      </c>
      <c r="O1064">
        <v>6.8577780000000001E-3</v>
      </c>
      <c r="P1064">
        <v>0.99894890000000003</v>
      </c>
      <c r="Q1064">
        <v>4.2269809999999998E-2</v>
      </c>
      <c r="R1064">
        <v>1.773046E-2</v>
      </c>
      <c r="S1064">
        <v>2.9936069999999999</v>
      </c>
      <c r="T1064">
        <v>0.21390100000000001</v>
      </c>
      <c r="U1064">
        <v>3.2653809999999998E-2</v>
      </c>
      <c r="V1064">
        <v>-1.082439E-2</v>
      </c>
      <c r="W1064">
        <v>5.6868200000000001E-2</v>
      </c>
      <c r="X1064">
        <v>0.99832299999999996</v>
      </c>
      <c r="Y1064">
        <v>-4.0559860000000001E-3</v>
      </c>
      <c r="Z1064">
        <v>3.4469600000000002E-4</v>
      </c>
      <c r="AA1064">
        <v>0.99999170000000004</v>
      </c>
      <c r="AB1064">
        <v>34</v>
      </c>
      <c r="AC1064">
        <v>72.049099999999996</v>
      </c>
      <c r="AD1064">
        <v>5.1717849999999999</v>
      </c>
      <c r="AE1064">
        <v>0.78759999999999697</v>
      </c>
      <c r="AF1064">
        <v>-0.29192807532420501</v>
      </c>
      <c r="AG1064">
        <v>5.1717849999999999</v>
      </c>
      <c r="AH1064">
        <v>71.6834971540532</v>
      </c>
      <c r="AI1064">
        <v>85.873437031322993</v>
      </c>
      <c r="AJ1064">
        <v>90.233333400777198</v>
      </c>
      <c r="AK1064">
        <v>71.870413567215095</v>
      </c>
      <c r="AL1064">
        <v>86.739933321235995</v>
      </c>
      <c r="AM1064">
        <v>90.6212093290235</v>
      </c>
      <c r="AN1064">
        <v>0.99999998595955597</v>
      </c>
    </row>
    <row r="1065" spans="1:40" x14ac:dyDescent="0.25">
      <c r="A1065" t="str">
        <f>"20190312160620442"</f>
        <v>20190312160620442</v>
      </c>
      <c r="B1065" t="str">
        <f>"1552377980436012"</f>
        <v>1552377980436012</v>
      </c>
      <c r="C1065" t="s">
        <v>40</v>
      </c>
      <c r="D1065">
        <v>6.4598579999999997</v>
      </c>
      <c r="E1065">
        <v>0.5042198</v>
      </c>
      <c r="F1065" t="s">
        <v>42</v>
      </c>
      <c r="G1065">
        <v>-158.78319999999999</v>
      </c>
      <c r="H1065">
        <v>6.6544910000000002</v>
      </c>
      <c r="I1065">
        <v>367.90530000000001</v>
      </c>
      <c r="J1065">
        <v>-230.6336</v>
      </c>
      <c r="K1065">
        <v>1.1095569999999999</v>
      </c>
      <c r="L1065">
        <v>367.30029999999999</v>
      </c>
      <c r="M1065">
        <v>0.99987159999999997</v>
      </c>
      <c r="N1065">
        <v>0</v>
      </c>
      <c r="O1065">
        <v>6.5927629999999997E-3</v>
      </c>
      <c r="P1065">
        <v>0.99895109999999998</v>
      </c>
      <c r="Q1065">
        <v>4.2438940000000001E-2</v>
      </c>
      <c r="R1065">
        <v>1.7194790000000001E-2</v>
      </c>
      <c r="S1065">
        <v>2.992966</v>
      </c>
      <c r="T1065">
        <v>0.23034289999999999</v>
      </c>
      <c r="U1065">
        <v>2.5177000000000001E-2</v>
      </c>
      <c r="V1065">
        <v>-1.055152E-2</v>
      </c>
      <c r="W1065">
        <v>5.7035780000000001E-2</v>
      </c>
      <c r="X1065">
        <v>0.99831630000000005</v>
      </c>
      <c r="Y1065">
        <v>-1.832424E-3</v>
      </c>
      <c r="Z1065">
        <v>4.362705E-4</v>
      </c>
      <c r="AA1065">
        <v>0.99999819999999995</v>
      </c>
      <c r="AB1065">
        <v>34</v>
      </c>
      <c r="AC1065">
        <v>71.850399999999993</v>
      </c>
      <c r="AD1065">
        <v>5.5449339999999996</v>
      </c>
      <c r="AE1065">
        <v>0.60500000000001797</v>
      </c>
      <c r="AF1065">
        <v>-0.13046669028782401</v>
      </c>
      <c r="AG1065">
        <v>5.5449339999999996</v>
      </c>
      <c r="AH1065">
        <v>71.427455352277207</v>
      </c>
      <c r="AI1065">
        <v>85.5610222938557</v>
      </c>
      <c r="AJ1065">
        <v>90.104654188931207</v>
      </c>
      <c r="AK1065">
        <v>71.642478270389105</v>
      </c>
      <c r="AL1065">
        <v>86.730315884640603</v>
      </c>
      <c r="AM1065">
        <v>90.605554625484103</v>
      </c>
      <c r="AN1065">
        <v>0.99999992481010103</v>
      </c>
    </row>
    <row r="1066" spans="1:40" x14ac:dyDescent="0.25">
      <c r="A1066" t="str">
        <f>"20190312160620452"</f>
        <v>20190312160620452</v>
      </c>
      <c r="B1066" t="str">
        <f>"1552377980445772"</f>
        <v>1552377980445772</v>
      </c>
      <c r="C1066" t="s">
        <v>40</v>
      </c>
      <c r="D1066">
        <v>5.6957559999999896</v>
      </c>
      <c r="E1066">
        <v>0.50350470000000003</v>
      </c>
      <c r="F1066" t="s">
        <v>42</v>
      </c>
      <c r="G1066">
        <v>-161.75030000000001</v>
      </c>
      <c r="H1066">
        <v>6.6740899999999996</v>
      </c>
      <c r="I1066">
        <v>367.81029999999998</v>
      </c>
      <c r="J1066">
        <v>-230.46709999999999</v>
      </c>
      <c r="K1066">
        <v>1.10955</v>
      </c>
      <c r="L1066">
        <v>367.30119999999999</v>
      </c>
      <c r="M1066">
        <v>0.99987320000000002</v>
      </c>
      <c r="N1066">
        <v>0</v>
      </c>
      <c r="O1066">
        <v>6.3667619999999998E-3</v>
      </c>
      <c r="P1066">
        <v>0.99896189999999996</v>
      </c>
      <c r="Q1066">
        <v>4.2468510000000001E-2</v>
      </c>
      <c r="R1066">
        <v>1.6480499999999999E-2</v>
      </c>
      <c r="S1066">
        <v>2.9924930000000001</v>
      </c>
      <c r="T1066">
        <v>0.24174309999999999</v>
      </c>
      <c r="U1066">
        <v>2.215576E-2</v>
      </c>
      <c r="V1066">
        <v>-1.0062140000000001E-2</v>
      </c>
      <c r="W1066">
        <v>5.7063389999999999E-2</v>
      </c>
      <c r="X1066">
        <v>0.99831990000000004</v>
      </c>
      <c r="Y1066">
        <v>-1.053472E-3</v>
      </c>
      <c r="Z1066">
        <v>4.7105150000000001E-4</v>
      </c>
      <c r="AA1066">
        <v>0.99999930000000004</v>
      </c>
      <c r="AB1066">
        <v>34</v>
      </c>
      <c r="AC1066">
        <v>68.716799999999907</v>
      </c>
      <c r="AD1066">
        <v>5.5645399999999903</v>
      </c>
      <c r="AE1066">
        <v>0.50909999999998901</v>
      </c>
      <c r="AF1066">
        <v>-7.10735231918877E-2</v>
      </c>
      <c r="AG1066">
        <v>5.5645399999999903</v>
      </c>
      <c r="AH1066">
        <v>68.270991943413804</v>
      </c>
      <c r="AI1066">
        <v>85.340315739422493</v>
      </c>
      <c r="AJ1066">
        <v>90.059647755612801</v>
      </c>
      <c r="AK1066">
        <v>68.497426942878505</v>
      </c>
      <c r="AL1066">
        <v>86.728731777190603</v>
      </c>
      <c r="AM1066">
        <v>90.577468839065901</v>
      </c>
      <c r="AN1066">
        <v>1.0000000499378301</v>
      </c>
    </row>
    <row r="1067" spans="1:40" x14ac:dyDescent="0.25">
      <c r="A1067" t="str">
        <f>"20190312160620464"</f>
        <v>20190312160620464</v>
      </c>
      <c r="B1067" t="str">
        <f>"1552377980456508"</f>
        <v>1552377980456508</v>
      </c>
      <c r="C1067" t="s">
        <v>40</v>
      </c>
      <c r="D1067">
        <v>6.4561010000000003</v>
      </c>
      <c r="E1067">
        <v>0.50376489999999996</v>
      </c>
      <c r="F1067" t="s">
        <v>42</v>
      </c>
      <c r="G1067">
        <v>-158.78319999999999</v>
      </c>
      <c r="H1067">
        <v>6.6462209999999997</v>
      </c>
      <c r="I1067">
        <v>367.9058</v>
      </c>
      <c r="J1067">
        <v>-230.298</v>
      </c>
      <c r="K1067">
        <v>1.1095410000000001</v>
      </c>
      <c r="L1067">
        <v>367.3021</v>
      </c>
      <c r="M1067">
        <v>0.99987479999999995</v>
      </c>
      <c r="N1067">
        <v>0</v>
      </c>
      <c r="O1067">
        <v>6.1268E-3</v>
      </c>
      <c r="P1067">
        <v>0.998969</v>
      </c>
      <c r="Q1067">
        <v>4.2606850000000002E-2</v>
      </c>
      <c r="R1067">
        <v>1.5682539999999998E-2</v>
      </c>
      <c r="S1067">
        <v>2.9928590000000002</v>
      </c>
      <c r="T1067">
        <v>0.23116349999999999</v>
      </c>
      <c r="U1067">
        <v>2.523804E-2</v>
      </c>
      <c r="V1067">
        <v>-9.5022449999999994E-3</v>
      </c>
      <c r="W1067">
        <v>5.719954E-2</v>
      </c>
      <c r="X1067">
        <v>0.99831749999999997</v>
      </c>
      <c r="Y1067">
        <v>-2.3164100000000001E-3</v>
      </c>
      <c r="Z1067">
        <v>3.8323369999999999E-4</v>
      </c>
      <c r="AA1067">
        <v>0.99999729999999998</v>
      </c>
      <c r="AB1067">
        <v>34</v>
      </c>
      <c r="AC1067">
        <v>71.514799999999994</v>
      </c>
      <c r="AD1067">
        <v>5.5366799999999996</v>
      </c>
      <c r="AE1067">
        <v>0.60370000000000301</v>
      </c>
      <c r="AF1067">
        <v>-0.16449923650257101</v>
      </c>
      <c r="AG1067">
        <v>5.5366799999999996</v>
      </c>
      <c r="AH1067">
        <v>71.091076608982902</v>
      </c>
      <c r="AI1067">
        <v>85.546719706078093</v>
      </c>
      <c r="AJ1067">
        <v>90.132577752552294</v>
      </c>
      <c r="AK1067">
        <v>71.306542889453596</v>
      </c>
      <c r="AL1067">
        <v>86.720917884722695</v>
      </c>
      <c r="AM1067">
        <v>90.545339627669406</v>
      </c>
      <c r="AN1067">
        <v>0.99999995542124898</v>
      </c>
    </row>
    <row r="1068" spans="1:40" x14ac:dyDescent="0.25">
      <c r="A1068" t="str">
        <f>"20190312160620478"</f>
        <v>20190312160620478</v>
      </c>
      <c r="B1068" t="str">
        <f>"1552377980466269"</f>
        <v>1552377980466269</v>
      </c>
      <c r="C1068" t="s">
        <v>40</v>
      </c>
      <c r="D1068">
        <v>5.704415</v>
      </c>
      <c r="E1068">
        <v>0.50319499999999995</v>
      </c>
      <c r="F1068" t="s">
        <v>42</v>
      </c>
      <c r="G1068">
        <v>-160.9967</v>
      </c>
      <c r="H1068">
        <v>6.6740899999999996</v>
      </c>
      <c r="I1068">
        <v>367.79039999999998</v>
      </c>
      <c r="J1068">
        <v>-230.08539999999999</v>
      </c>
      <c r="K1068">
        <v>1.109521</v>
      </c>
      <c r="L1068">
        <v>367.30309999999997</v>
      </c>
      <c r="M1068">
        <v>0.9998766</v>
      </c>
      <c r="N1068">
        <v>0</v>
      </c>
      <c r="O1068">
        <v>5.8182930000000004E-3</v>
      </c>
      <c r="P1068">
        <v>0.99898310000000001</v>
      </c>
      <c r="Q1068">
        <v>4.2555349999999999E-2</v>
      </c>
      <c r="R1068">
        <v>1.490593E-2</v>
      </c>
      <c r="S1068">
        <v>2.9925229999999998</v>
      </c>
      <c r="T1068">
        <v>0.24028830000000001</v>
      </c>
      <c r="U1068">
        <v>2.1087649999999999E-2</v>
      </c>
      <c r="V1068">
        <v>-9.0319509999999999E-3</v>
      </c>
      <c r="W1068">
        <v>5.714574E-2</v>
      </c>
      <c r="X1068">
        <v>0.99832500000000002</v>
      </c>
      <c r="Y1068">
        <v>-1.242445E-3</v>
      </c>
      <c r="Z1068">
        <v>4.1667469999999998E-4</v>
      </c>
      <c r="AA1068">
        <v>0.99999919999999998</v>
      </c>
      <c r="AB1068">
        <v>34</v>
      </c>
      <c r="AC1068">
        <v>69.088699999999903</v>
      </c>
      <c r="AD1068">
        <v>5.5645689999999997</v>
      </c>
      <c r="AE1068">
        <v>0.48730000000000401</v>
      </c>
      <c r="AF1068">
        <v>-8.4721081707405901E-2</v>
      </c>
      <c r="AG1068">
        <v>5.5645689999999997</v>
      </c>
      <c r="AH1068">
        <v>68.645082133583401</v>
      </c>
      <c r="AI1068">
        <v>85.365575339843602</v>
      </c>
      <c r="AJ1068">
        <v>90.070713848714007</v>
      </c>
      <c r="AK1068">
        <v>68.870304972054996</v>
      </c>
      <c r="AL1068">
        <v>86.724005622777298</v>
      </c>
      <c r="AM1068">
        <v>90.518346785684699</v>
      </c>
      <c r="AN1068">
        <v>1.000000008682</v>
      </c>
    </row>
    <row r="1069" spans="1:40" x14ac:dyDescent="0.25">
      <c r="A1069" t="str">
        <f>"20190312160620492"</f>
        <v>20190312160620492</v>
      </c>
      <c r="B1069" t="str">
        <f>"1552377980485788"</f>
        <v>1552377980485788</v>
      </c>
      <c r="C1069" t="s">
        <v>40</v>
      </c>
      <c r="D1069">
        <v>6.5080450000000001</v>
      </c>
      <c r="E1069">
        <v>0.50352520000000001</v>
      </c>
      <c r="F1069" t="s">
        <v>42</v>
      </c>
      <c r="G1069">
        <v>-158.78319999999999</v>
      </c>
      <c r="H1069">
        <v>6.6568149999999902</v>
      </c>
      <c r="I1069">
        <v>367.85570000000001</v>
      </c>
      <c r="J1069">
        <v>-229.87280000000001</v>
      </c>
      <c r="K1069">
        <v>1.109507</v>
      </c>
      <c r="L1069">
        <v>367.30399999999997</v>
      </c>
      <c r="M1069">
        <v>0.9998785</v>
      </c>
      <c r="N1069">
        <v>0</v>
      </c>
      <c r="O1069">
        <v>5.4961089999999999E-3</v>
      </c>
      <c r="P1069">
        <v>0.99899099999999996</v>
      </c>
      <c r="Q1069">
        <v>4.2716749999999998E-2</v>
      </c>
      <c r="R1069">
        <v>1.3876049999999999E-2</v>
      </c>
      <c r="S1069">
        <v>2.9927980000000001</v>
      </c>
      <c r="T1069">
        <v>0.2328424</v>
      </c>
      <c r="U1069">
        <v>2.319336E-2</v>
      </c>
      <c r="V1069">
        <v>-8.3216209999999995E-3</v>
      </c>
      <c r="W1069">
        <v>5.730474E-2</v>
      </c>
      <c r="X1069">
        <v>0.99832209999999999</v>
      </c>
      <c r="Y1069">
        <v>-2.262619E-3</v>
      </c>
      <c r="Z1069">
        <v>3.3910960000000002E-4</v>
      </c>
      <c r="AA1069">
        <v>0.99999740000000004</v>
      </c>
      <c r="AB1069">
        <v>34</v>
      </c>
      <c r="AC1069">
        <v>71.089600000000004</v>
      </c>
      <c r="AD1069">
        <v>5.5473079999999904</v>
      </c>
      <c r="AE1069">
        <v>0.55169999999998198</v>
      </c>
      <c r="AF1069">
        <v>-0.159959948672002</v>
      </c>
      <c r="AG1069">
        <v>5.5473079999999904</v>
      </c>
      <c r="AH1069">
        <v>70.661321322328604</v>
      </c>
      <c r="AI1069">
        <v>85.511179701873601</v>
      </c>
      <c r="AJ1069">
        <v>90.129703409487703</v>
      </c>
      <c r="AK1069">
        <v>70.878914666136197</v>
      </c>
      <c r="AL1069">
        <v>86.714880773249007</v>
      </c>
      <c r="AM1069">
        <v>90.477584057841497</v>
      </c>
      <c r="AN1069">
        <v>1.0000000489754699</v>
      </c>
    </row>
    <row r="1070" spans="1:40" x14ac:dyDescent="0.25">
      <c r="A1070" t="str">
        <f>"20190312160620508"</f>
        <v>20190312160620508</v>
      </c>
      <c r="B1070" t="str">
        <f>"1552377980496524"</f>
        <v>1552377980496524</v>
      </c>
      <c r="C1070" t="s">
        <v>40</v>
      </c>
      <c r="D1070">
        <v>6.3085139999999997</v>
      </c>
      <c r="E1070">
        <v>0.5036891</v>
      </c>
      <c r="F1070" t="s">
        <v>42</v>
      </c>
      <c r="G1070">
        <v>-158.78319999999999</v>
      </c>
      <c r="H1070">
        <v>6.5346679999999999</v>
      </c>
      <c r="I1070">
        <v>367.71210000000002</v>
      </c>
      <c r="J1070">
        <v>-229.636</v>
      </c>
      <c r="K1070">
        <v>1.10949599999999</v>
      </c>
      <c r="L1070">
        <v>367.30489999999998</v>
      </c>
      <c r="M1070">
        <v>0.99988049999999995</v>
      </c>
      <c r="N1070">
        <v>0</v>
      </c>
      <c r="O1070">
        <v>5.1194880000000002E-3</v>
      </c>
      <c r="P1070">
        <v>0.99900599999999995</v>
      </c>
      <c r="Q1070">
        <v>4.2895750000000003E-2</v>
      </c>
      <c r="R1070">
        <v>1.2131599999999999E-2</v>
      </c>
      <c r="S1070">
        <v>2.9930270000000001</v>
      </c>
      <c r="T1070">
        <v>0.22841429999999999</v>
      </c>
      <c r="U1070">
        <v>1.7181399999999999E-2</v>
      </c>
      <c r="V1070">
        <v>-6.9505579999999999E-3</v>
      </c>
      <c r="W1070">
        <v>5.7480410000000003E-2</v>
      </c>
      <c r="X1070">
        <v>0.99832240000000005</v>
      </c>
      <c r="Y1070">
        <v>-6.3340260000000002E-4</v>
      </c>
      <c r="Z1070">
        <v>3.6603070000000001E-4</v>
      </c>
      <c r="AA1070">
        <v>0.99999979999999999</v>
      </c>
      <c r="AB1070">
        <v>34</v>
      </c>
      <c r="AC1070">
        <v>70.852800000000002</v>
      </c>
      <c r="AD1070">
        <v>5.4251719999999999</v>
      </c>
      <c r="AE1070">
        <v>0.40720000000004503</v>
      </c>
      <c r="AF1070">
        <v>-4.4167068042084499E-2</v>
      </c>
      <c r="AG1070">
        <v>5.4251719999999999</v>
      </c>
      <c r="AH1070">
        <v>70.440980914180798</v>
      </c>
      <c r="AI1070">
        <v>85.595930463769307</v>
      </c>
      <c r="AJ1070">
        <v>90.035924915124795</v>
      </c>
      <c r="AK1070">
        <v>70.649601797260402</v>
      </c>
      <c r="AL1070">
        <v>86.704798716243701</v>
      </c>
      <c r="AM1070">
        <v>90.398900399599697</v>
      </c>
      <c r="AN1070">
        <v>0.99999996106601896</v>
      </c>
    </row>
    <row r="1071" spans="1:40" x14ac:dyDescent="0.25">
      <c r="A1071" t="str">
        <f>"20190312160620522"</f>
        <v>20190312160620522</v>
      </c>
      <c r="B1071" t="str">
        <f>"1552377980516045"</f>
        <v>1552377980516045</v>
      </c>
      <c r="C1071" t="s">
        <v>40</v>
      </c>
      <c r="D1071">
        <v>6.6775019999999996</v>
      </c>
      <c r="E1071">
        <v>0.50387859999999995</v>
      </c>
      <c r="F1071" t="s">
        <v>42</v>
      </c>
      <c r="G1071">
        <v>-158.78319999999999</v>
      </c>
      <c r="H1071">
        <v>6.3593229999999998</v>
      </c>
      <c r="I1071">
        <v>367.55270000000002</v>
      </c>
      <c r="J1071">
        <v>-229.4117</v>
      </c>
      <c r="K1071">
        <v>1.1094759999999999</v>
      </c>
      <c r="L1071">
        <v>367.3057</v>
      </c>
      <c r="M1071">
        <v>0.9998823</v>
      </c>
      <c r="N1071">
        <v>0</v>
      </c>
      <c r="O1071">
        <v>4.7439589999999998E-3</v>
      </c>
      <c r="P1071">
        <v>0.99899519999999997</v>
      </c>
      <c r="Q1071">
        <v>4.3377369999999998E-2</v>
      </c>
      <c r="R1071">
        <v>1.128433E-2</v>
      </c>
      <c r="S1071">
        <v>2.9933320000000001</v>
      </c>
      <c r="T1071">
        <v>0.22179370000000001</v>
      </c>
      <c r="U1071">
        <v>1.0467529999999999E-2</v>
      </c>
      <c r="V1071">
        <v>-6.4748169999999999E-3</v>
      </c>
      <c r="W1071">
        <v>5.795931E-2</v>
      </c>
      <c r="X1071">
        <v>0.99829789999999996</v>
      </c>
      <c r="Y1071">
        <v>1.2311659999999999E-3</v>
      </c>
      <c r="Z1071">
        <v>3.9661090000000002E-4</v>
      </c>
      <c r="AA1071">
        <v>0.99999919999999998</v>
      </c>
      <c r="AB1071">
        <v>34</v>
      </c>
      <c r="AC1071">
        <v>70.628500000000003</v>
      </c>
      <c r="AD1071">
        <v>5.2498469999999999</v>
      </c>
      <c r="AE1071">
        <v>0.24700000000001399</v>
      </c>
      <c r="AF1071">
        <v>8.7613100113103803E-2</v>
      </c>
      <c r="AG1071">
        <v>5.2498469999999999</v>
      </c>
      <c r="AH1071">
        <v>70.240800346878899</v>
      </c>
      <c r="AI1071">
        <v>85.725623627487195</v>
      </c>
      <c r="AJ1071">
        <v>89.928533583922402</v>
      </c>
      <c r="AK1071">
        <v>70.436770247852905</v>
      </c>
      <c r="AL1071">
        <v>86.677313910552499</v>
      </c>
      <c r="AM1071">
        <v>90.371606997702898</v>
      </c>
      <c r="AN1071">
        <v>0.99999995100763295</v>
      </c>
    </row>
    <row r="1072" spans="1:40" x14ac:dyDescent="0.25">
      <c r="A1072" t="str">
        <f>"20190312160620535"</f>
        <v>20190312160620535</v>
      </c>
      <c r="B1072" t="str">
        <f>"1552377980525804"</f>
        <v>1552377980525804</v>
      </c>
      <c r="C1072" t="s">
        <v>40</v>
      </c>
      <c r="D1072">
        <v>6.5086639999999996</v>
      </c>
      <c r="E1072">
        <v>0.50402259999999999</v>
      </c>
      <c r="F1072" t="s">
        <v>42</v>
      </c>
      <c r="G1072">
        <v>-158.78319999999999</v>
      </c>
      <c r="H1072">
        <v>6.3448500000000001</v>
      </c>
      <c r="I1072">
        <v>367.45690000000002</v>
      </c>
      <c r="J1072">
        <v>-229.2166</v>
      </c>
      <c r="K1072">
        <v>1.1094550000000001</v>
      </c>
      <c r="L1072">
        <v>367.30630000000002</v>
      </c>
      <c r="M1072">
        <v>0.99988390000000005</v>
      </c>
      <c r="N1072">
        <v>0</v>
      </c>
      <c r="O1072">
        <v>4.40384E-3</v>
      </c>
      <c r="P1072">
        <v>0.99898149999999997</v>
      </c>
      <c r="Q1072">
        <v>4.3936490000000002E-2</v>
      </c>
      <c r="R1072">
        <v>1.026675E-2</v>
      </c>
      <c r="S1072">
        <v>2.9933320000000001</v>
      </c>
      <c r="T1072">
        <v>0.22188569999999999</v>
      </c>
      <c r="U1072">
        <v>6.4086909999999898E-3</v>
      </c>
      <c r="V1072">
        <v>-5.7934340000000001E-3</v>
      </c>
      <c r="W1072">
        <v>5.8515780000000003E-2</v>
      </c>
      <c r="X1072">
        <v>0.99826970000000004</v>
      </c>
      <c r="Y1072">
        <v>2.2450920000000002E-3</v>
      </c>
      <c r="Z1072">
        <v>4.091244E-4</v>
      </c>
      <c r="AA1072">
        <v>0.99999740000000004</v>
      </c>
      <c r="AB1072">
        <v>34</v>
      </c>
      <c r="AC1072">
        <v>70.433400000000006</v>
      </c>
      <c r="AD1072">
        <v>5.2353949999999996</v>
      </c>
      <c r="AE1072">
        <v>0.15059999999999699</v>
      </c>
      <c r="AF1072">
        <v>0.158734866994692</v>
      </c>
      <c r="AG1072">
        <v>5.2353949999999996</v>
      </c>
      <c r="AH1072">
        <v>70.046367439534905</v>
      </c>
      <c r="AI1072">
        <v>85.725566132555699</v>
      </c>
      <c r="AJ1072">
        <v>89.870159971111207</v>
      </c>
      <c r="AK1072">
        <v>70.241925863677494</v>
      </c>
      <c r="AL1072">
        <v>86.645376575952994</v>
      </c>
      <c r="AM1072">
        <v>90.332510934223706</v>
      </c>
      <c r="AN1072">
        <v>1.0000000271623</v>
      </c>
    </row>
    <row r="1073" spans="1:40" x14ac:dyDescent="0.25">
      <c r="A1073" t="str">
        <f>"20190312160620548"</f>
        <v>20190312160620548</v>
      </c>
      <c r="B1073" t="str">
        <f>"1552377980536540"</f>
        <v>1552377980536540</v>
      </c>
      <c r="C1073" t="s">
        <v>40</v>
      </c>
      <c r="D1073">
        <v>6.8004720000000001</v>
      </c>
      <c r="E1073">
        <v>0.50419060000000004</v>
      </c>
      <c r="F1073" t="s">
        <v>42</v>
      </c>
      <c r="G1073">
        <v>-158.19499999999999</v>
      </c>
      <c r="H1073">
        <v>6.2566439999999997</v>
      </c>
      <c r="I1073">
        <v>367.34980000000002</v>
      </c>
      <c r="J1073">
        <v>-229.01300000000001</v>
      </c>
      <c r="K1073">
        <v>1.109426</v>
      </c>
      <c r="L1073">
        <v>367.30689999999998</v>
      </c>
      <c r="M1073">
        <v>0.99988549999999998</v>
      </c>
      <c r="N1073">
        <v>0</v>
      </c>
      <c r="O1073">
        <v>4.019987E-3</v>
      </c>
      <c r="P1073">
        <v>0.99897530000000001</v>
      </c>
      <c r="Q1073">
        <v>4.421754E-2</v>
      </c>
      <c r="R1073">
        <v>9.6566269999999992E-3</v>
      </c>
      <c r="S1073">
        <v>2.9935</v>
      </c>
      <c r="T1073">
        <v>0.21695329999999999</v>
      </c>
      <c r="U1073">
        <v>1.8310550000000001E-3</v>
      </c>
      <c r="V1073">
        <v>-5.5629529999999998E-3</v>
      </c>
      <c r="W1073">
        <v>5.8794730000000003E-2</v>
      </c>
      <c r="X1073">
        <v>0.99825459999999999</v>
      </c>
      <c r="Y1073">
        <v>3.3893080000000002E-3</v>
      </c>
      <c r="Z1073">
        <v>4.1365530000000002E-4</v>
      </c>
      <c r="AA1073">
        <v>0.99999420000000006</v>
      </c>
      <c r="AB1073">
        <v>34</v>
      </c>
      <c r="AC1073">
        <v>70.817999999999998</v>
      </c>
      <c r="AD1073">
        <v>5.1472179999999996</v>
      </c>
      <c r="AE1073">
        <v>4.2900000000031399E-2</v>
      </c>
      <c r="AF1073">
        <v>0.24054734102643799</v>
      </c>
      <c r="AG1073">
        <v>5.1472179999999996</v>
      </c>
      <c r="AH1073">
        <v>70.445456460463205</v>
      </c>
      <c r="AI1073">
        <v>85.821036249712193</v>
      </c>
      <c r="AJ1073">
        <v>89.804355106208305</v>
      </c>
      <c r="AK1073">
        <v>70.633660899643402</v>
      </c>
      <c r="AL1073">
        <v>86.629366284331695</v>
      </c>
      <c r="AM1073">
        <v>90.319287713967498</v>
      </c>
      <c r="AN1073">
        <v>1.0000000065715</v>
      </c>
    </row>
    <row r="1074" spans="1:40" x14ac:dyDescent="0.25">
      <c r="A1074" t="str">
        <f>"20190312160620564"</f>
        <v>20190312160620564</v>
      </c>
      <c r="B1074" t="str">
        <f>"1552377980556060"</f>
        <v>1552377980556060</v>
      </c>
      <c r="C1074" t="s">
        <v>40</v>
      </c>
      <c r="D1074">
        <v>6.364687</v>
      </c>
      <c r="E1074">
        <v>0.50457559999999901</v>
      </c>
      <c r="F1074" t="s">
        <v>42</v>
      </c>
      <c r="G1074">
        <v>-158.19499999999999</v>
      </c>
      <c r="H1074">
        <v>6.1171530000000001</v>
      </c>
      <c r="I1074">
        <v>367.26209999999998</v>
      </c>
      <c r="J1074">
        <v>-228.76910000000001</v>
      </c>
      <c r="K1074">
        <v>1.1093930000000001</v>
      </c>
      <c r="L1074">
        <v>367.30739999999997</v>
      </c>
      <c r="M1074">
        <v>0.99988739999999998</v>
      </c>
      <c r="N1074">
        <v>0</v>
      </c>
      <c r="O1074">
        <v>3.5315310000000001E-3</v>
      </c>
      <c r="P1074">
        <v>0.99898739999999997</v>
      </c>
      <c r="Q1074">
        <v>4.427611E-2</v>
      </c>
      <c r="R1074">
        <v>8.0056750000000003E-3</v>
      </c>
      <c r="S1074">
        <v>2.993744</v>
      </c>
      <c r="T1074">
        <v>0.211699</v>
      </c>
      <c r="U1074">
        <v>-1.8920899999999999E-3</v>
      </c>
      <c r="V1074">
        <v>-4.3948190000000003E-3</v>
      </c>
      <c r="W1074">
        <v>5.8849470000000001E-2</v>
      </c>
      <c r="X1074">
        <v>0.99825719999999996</v>
      </c>
      <c r="Y1074">
        <v>4.1447469999999998E-3</v>
      </c>
      <c r="Z1074">
        <v>3.9580540000000002E-4</v>
      </c>
      <c r="AA1074">
        <v>0.99999139999999997</v>
      </c>
      <c r="AB1074">
        <v>34</v>
      </c>
      <c r="AC1074">
        <v>70.574100000000001</v>
      </c>
      <c r="AD1074">
        <v>5.0077600000000002</v>
      </c>
      <c r="AE1074">
        <v>-4.5299999999997398E-2</v>
      </c>
      <c r="AF1074">
        <v>0.29308517914089199</v>
      </c>
      <c r="AG1074">
        <v>5.0077600000000002</v>
      </c>
      <c r="AH1074">
        <v>70.219945112763099</v>
      </c>
      <c r="AI1074">
        <v>85.920872832785705</v>
      </c>
      <c r="AJ1074">
        <v>89.760859307654201</v>
      </c>
      <c r="AK1074">
        <v>70.398893817866906</v>
      </c>
      <c r="AL1074">
        <v>86.626224471185907</v>
      </c>
      <c r="AM1074">
        <v>90.252242561960003</v>
      </c>
      <c r="AN1074">
        <v>1.00000000595258</v>
      </c>
    </row>
    <row r="1075" spans="1:40" x14ac:dyDescent="0.25">
      <c r="A1075" t="str">
        <f>"20190312160620578"</f>
        <v>20190312160620578</v>
      </c>
      <c r="B1075" t="str">
        <f>"1552377980565821"</f>
        <v>1552377980565821</v>
      </c>
      <c r="C1075" t="s">
        <v>40</v>
      </c>
      <c r="D1075">
        <v>6.2402899999999999</v>
      </c>
      <c r="E1075">
        <v>0.50465070000000001</v>
      </c>
      <c r="F1075" t="s">
        <v>42</v>
      </c>
      <c r="G1075">
        <v>-158.19499999999999</v>
      </c>
      <c r="H1075">
        <v>5.7505519999999999</v>
      </c>
      <c r="I1075">
        <v>367.0693</v>
      </c>
      <c r="J1075">
        <v>-228.56319999999999</v>
      </c>
      <c r="K1075">
        <v>1.109364</v>
      </c>
      <c r="L1075">
        <v>367.30770000000001</v>
      </c>
      <c r="M1075">
        <v>0.99988900000000003</v>
      </c>
      <c r="N1075">
        <v>0</v>
      </c>
      <c r="O1075">
        <v>3.0914330000000002E-3</v>
      </c>
      <c r="P1075">
        <v>0.99898819999999999</v>
      </c>
      <c r="Q1075">
        <v>4.4410930000000001E-2</v>
      </c>
      <c r="R1075">
        <v>7.0909220000000004E-3</v>
      </c>
      <c r="S1075">
        <v>2.9943849999999999</v>
      </c>
      <c r="T1075">
        <v>0.19692290000000001</v>
      </c>
      <c r="U1075">
        <v>-1.010132E-2</v>
      </c>
      <c r="V1075">
        <v>-3.9144970000000003E-3</v>
      </c>
      <c r="W1075">
        <v>5.8982279999999998E-2</v>
      </c>
      <c r="X1075">
        <v>0.99825140000000001</v>
      </c>
      <c r="Y1075">
        <v>6.4445300000000004E-3</v>
      </c>
      <c r="Z1075">
        <v>4.147868E-4</v>
      </c>
      <c r="AA1075">
        <v>0.99997910000000001</v>
      </c>
      <c r="AB1075">
        <v>34</v>
      </c>
      <c r="AC1075">
        <v>70.368200000000002</v>
      </c>
      <c r="AD1075">
        <v>4.6411879999999996</v>
      </c>
      <c r="AE1075">
        <v>-0.23840000000001199</v>
      </c>
      <c r="AF1075">
        <v>0.45398565729763302</v>
      </c>
      <c r="AG1075">
        <v>4.6411879999999996</v>
      </c>
      <c r="AH1075">
        <v>70.062347530345093</v>
      </c>
      <c r="AI1075">
        <v>86.210133066321305</v>
      </c>
      <c r="AJ1075">
        <v>89.628743554835395</v>
      </c>
      <c r="AK1075">
        <v>70.217371572077695</v>
      </c>
      <c r="AL1075">
        <v>86.6186019103571</v>
      </c>
      <c r="AM1075">
        <v>90.224675875656303</v>
      </c>
      <c r="AN1075">
        <v>1.00000004512135</v>
      </c>
    </row>
    <row r="1076" spans="1:40" x14ac:dyDescent="0.25">
      <c r="A1076" t="str">
        <f>"20190312160620593"</f>
        <v>20190312160620593</v>
      </c>
      <c r="B1076" t="str">
        <f>"1552377980586316"</f>
        <v>1552377980586316</v>
      </c>
      <c r="C1076" t="s">
        <v>40</v>
      </c>
      <c r="D1076">
        <v>6.3660480000000002</v>
      </c>
      <c r="E1076">
        <v>0.50480950000000002</v>
      </c>
      <c r="F1076" t="s">
        <v>42</v>
      </c>
      <c r="G1076">
        <v>-158.19499999999999</v>
      </c>
      <c r="H1076">
        <v>5.6278509999999997</v>
      </c>
      <c r="I1076">
        <v>366.9864</v>
      </c>
      <c r="J1076">
        <v>-228.346</v>
      </c>
      <c r="K1076">
        <v>1.1093230000000001</v>
      </c>
      <c r="L1076">
        <v>367.30790000000002</v>
      </c>
      <c r="M1076">
        <v>0.99989030000000001</v>
      </c>
      <c r="N1076">
        <v>0</v>
      </c>
      <c r="O1076">
        <v>2.5930189999999998E-3</v>
      </c>
      <c r="P1076">
        <v>0.99899680000000002</v>
      </c>
      <c r="Q1076">
        <v>4.4396350000000001E-2</v>
      </c>
      <c r="R1076">
        <v>5.8685009999999999E-3</v>
      </c>
      <c r="S1076">
        <v>2.994583</v>
      </c>
      <c r="T1076">
        <v>0.19229199999999999</v>
      </c>
      <c r="U1076">
        <v>-1.3671880000000001E-2</v>
      </c>
      <c r="V1076">
        <v>-3.183834E-3</v>
      </c>
      <c r="W1076">
        <v>5.8965139999999999E-2</v>
      </c>
      <c r="X1076">
        <v>0.998255</v>
      </c>
      <c r="Y1076">
        <v>7.1386969999999899E-3</v>
      </c>
      <c r="Z1076">
        <v>3.9531439999999999E-4</v>
      </c>
      <c r="AA1076">
        <v>0.99997440000000004</v>
      </c>
      <c r="AB1076">
        <v>34</v>
      </c>
      <c r="AC1076">
        <v>70.150999999999897</v>
      </c>
      <c r="AD1076">
        <v>4.5185279999999999</v>
      </c>
      <c r="AE1076">
        <v>-0.321500000000014</v>
      </c>
      <c r="AF1076">
        <v>0.50134120147253503</v>
      </c>
      <c r="AG1076">
        <v>4.5185279999999999</v>
      </c>
      <c r="AH1076">
        <v>69.860098392577697</v>
      </c>
      <c r="AI1076">
        <v>86.299377859943306</v>
      </c>
      <c r="AJ1076">
        <v>89.588831929709997</v>
      </c>
      <c r="AK1076">
        <v>70.007869455567004</v>
      </c>
      <c r="AL1076">
        <v>86.619585637175206</v>
      </c>
      <c r="AM1076">
        <v>90.182738511033094</v>
      </c>
      <c r="AN1076">
        <v>1.0000000347795699</v>
      </c>
    </row>
    <row r="1077" spans="1:40" x14ac:dyDescent="0.25">
      <c r="A1077" t="str">
        <f>"20190312160620609"</f>
        <v>20190312160620609</v>
      </c>
      <c r="B1077" t="str">
        <f>"1552377980605836"</f>
        <v>1552377980605836</v>
      </c>
      <c r="C1077" t="s">
        <v>40</v>
      </c>
      <c r="D1077">
        <v>6.2327370000000002</v>
      </c>
      <c r="E1077">
        <v>0.50479830000000003</v>
      </c>
      <c r="F1077" t="s">
        <v>42</v>
      </c>
      <c r="G1077">
        <v>-158.19499999999999</v>
      </c>
      <c r="H1077">
        <v>5.3984310000000004</v>
      </c>
      <c r="I1077">
        <v>366.86829999999998</v>
      </c>
      <c r="J1077">
        <v>-228.10740000000001</v>
      </c>
      <c r="K1077">
        <v>1.109272</v>
      </c>
      <c r="L1077">
        <v>367.30790000000002</v>
      </c>
      <c r="M1077">
        <v>0.9998918</v>
      </c>
      <c r="N1077">
        <v>0</v>
      </c>
      <c r="O1077">
        <v>1.9885269999999999E-3</v>
      </c>
      <c r="P1077">
        <v>0.9990194</v>
      </c>
      <c r="Q1077">
        <v>4.4121729999999998E-2</v>
      </c>
      <c r="R1077">
        <v>3.667895E-3</v>
      </c>
      <c r="S1077">
        <v>2.9949650000000001</v>
      </c>
      <c r="T1077">
        <v>0.1831189</v>
      </c>
      <c r="U1077">
        <v>-1.876831E-2</v>
      </c>
      <c r="V1077">
        <v>-1.5801960000000001E-3</v>
      </c>
      <c r="W1077">
        <v>5.8686200000000001E-2</v>
      </c>
      <c r="X1077">
        <v>0.99827520000000003</v>
      </c>
      <c r="Y1077">
        <v>8.2360929999999999E-3</v>
      </c>
      <c r="Z1077">
        <v>3.7303089999999998E-4</v>
      </c>
      <c r="AA1077">
        <v>0.99996600000000002</v>
      </c>
      <c r="AB1077">
        <v>34</v>
      </c>
      <c r="AC1077">
        <v>69.912400000000005</v>
      </c>
      <c r="AD1077">
        <v>4.2891589999999997</v>
      </c>
      <c r="AE1077">
        <v>-0.43960000000004101</v>
      </c>
      <c r="AF1077">
        <v>0.57646692757780005</v>
      </c>
      <c r="AG1077">
        <v>4.2891589999999997</v>
      </c>
      <c r="AH1077">
        <v>69.649246393975204</v>
      </c>
      <c r="AI1077">
        <v>86.476166203067805</v>
      </c>
      <c r="AJ1077">
        <v>89.525790019116201</v>
      </c>
      <c r="AK1077">
        <v>69.783570575705994</v>
      </c>
      <c r="AL1077">
        <v>86.635595231275005</v>
      </c>
      <c r="AM1077">
        <v>90.090694916576197</v>
      </c>
      <c r="AN1077">
        <v>0.99999997101243798</v>
      </c>
    </row>
    <row r="1078" spans="1:40" x14ac:dyDescent="0.25">
      <c r="A1078" t="str">
        <f>"20190312160620632"</f>
        <v>20190312160620632</v>
      </c>
      <c r="B1078" t="str">
        <f>"1552377980626332"</f>
        <v>1552377980626332</v>
      </c>
      <c r="C1078" t="s">
        <v>40</v>
      </c>
      <c r="D1078">
        <v>6.7917959999999997</v>
      </c>
      <c r="E1078">
        <v>0.50500449999999997</v>
      </c>
      <c r="F1078" t="s">
        <v>42</v>
      </c>
      <c r="G1078">
        <v>-158.19499999999999</v>
      </c>
      <c r="H1078">
        <v>5.2638480000000003</v>
      </c>
      <c r="I1078">
        <v>366.70460000000003</v>
      </c>
      <c r="J1078">
        <v>-227.75819999999999</v>
      </c>
      <c r="K1078">
        <v>1.109191</v>
      </c>
      <c r="L1078">
        <v>367.30759999999998</v>
      </c>
      <c r="M1078">
        <v>0.99989320000000004</v>
      </c>
      <c r="N1078">
        <v>0</v>
      </c>
      <c r="O1078">
        <v>1.0131770000000001E-3</v>
      </c>
      <c r="P1078">
        <v>0.99904420000000005</v>
      </c>
      <c r="Q1078">
        <v>4.3710100000000002E-2</v>
      </c>
      <c r="R1078">
        <v>4.0363429999999999E-4</v>
      </c>
      <c r="S1078">
        <v>2.9951780000000001</v>
      </c>
      <c r="T1078">
        <v>0.17799329999999999</v>
      </c>
      <c r="U1078">
        <v>-2.5848389999999999E-2</v>
      </c>
      <c r="V1078">
        <v>7.214516E-4</v>
      </c>
      <c r="W1078">
        <v>5.8268260000000002E-2</v>
      </c>
      <c r="X1078">
        <v>0.99830070000000004</v>
      </c>
      <c r="Y1078">
        <v>9.6241569999999995E-3</v>
      </c>
      <c r="Z1078">
        <v>3.458701E-4</v>
      </c>
      <c r="AA1078">
        <v>0.9999536</v>
      </c>
      <c r="AB1078">
        <v>34</v>
      </c>
      <c r="AC1078">
        <v>69.563199999999995</v>
      </c>
      <c r="AD1078">
        <v>4.1546570000000003</v>
      </c>
      <c r="AE1078">
        <v>-0.60299999999995102</v>
      </c>
      <c r="AF1078">
        <v>0.67109336157532695</v>
      </c>
      <c r="AG1078">
        <v>4.1546570000000003</v>
      </c>
      <c r="AH1078">
        <v>69.315319477642404</v>
      </c>
      <c r="AI1078">
        <v>86.570040473358901</v>
      </c>
      <c r="AJ1078">
        <v>89.445294110689602</v>
      </c>
      <c r="AK1078">
        <v>69.442962605113806</v>
      </c>
      <c r="AL1078">
        <v>86.6595825725841</v>
      </c>
      <c r="AM1078">
        <v>89.958593513350394</v>
      </c>
      <c r="AN1078">
        <v>0.99999999911816395</v>
      </c>
    </row>
    <row r="1079" spans="1:40" x14ac:dyDescent="0.25">
      <c r="A1079" t="str">
        <f>"20190312160620643"</f>
        <v>20190312160620643</v>
      </c>
      <c r="B1079" t="str">
        <f>"1552377980636092"</f>
        <v>1552377980636092</v>
      </c>
      <c r="C1079" t="s">
        <v>40</v>
      </c>
      <c r="D1079">
        <v>6.6464990000000004</v>
      </c>
      <c r="E1079">
        <v>0.50495420000000002</v>
      </c>
      <c r="F1079" t="s">
        <v>42</v>
      </c>
      <c r="G1079">
        <v>-158.19499999999999</v>
      </c>
      <c r="H1079">
        <v>5.25448</v>
      </c>
      <c r="I1079">
        <v>366.4436</v>
      </c>
      <c r="J1079">
        <v>-227.57210000000001</v>
      </c>
      <c r="K1079">
        <v>1.109137</v>
      </c>
      <c r="L1079">
        <v>367.30720000000002</v>
      </c>
      <c r="M1079">
        <v>0.99989380000000005</v>
      </c>
      <c r="N1079">
        <v>0</v>
      </c>
      <c r="O1079">
        <v>4.3058620000000001E-4</v>
      </c>
      <c r="P1079">
        <v>0.99904919999999997</v>
      </c>
      <c r="Q1079">
        <v>4.3577070000000002E-2</v>
      </c>
      <c r="R1079">
        <v>-1.4438529999999999E-3</v>
      </c>
      <c r="S1079">
        <v>2.9950709999999998</v>
      </c>
      <c r="T1079">
        <v>0.17848059999999999</v>
      </c>
      <c r="U1079">
        <v>-3.720093E-2</v>
      </c>
      <c r="V1079">
        <v>1.9938680000000002E-3</v>
      </c>
      <c r="W1079">
        <v>5.8131629999999997E-2</v>
      </c>
      <c r="X1079">
        <v>0.9983069</v>
      </c>
      <c r="Y1079">
        <v>1.2826840000000001E-2</v>
      </c>
      <c r="Z1079">
        <v>4.0746990000000002E-4</v>
      </c>
      <c r="AA1079">
        <v>0.99991759999999996</v>
      </c>
      <c r="AB1079">
        <v>34</v>
      </c>
      <c r="AC1079">
        <v>69.377099999999999</v>
      </c>
      <c r="AD1079">
        <v>4.1453430000000004</v>
      </c>
      <c r="AE1079">
        <v>-0.86360000000001902</v>
      </c>
      <c r="AF1079">
        <v>0.89029789119594205</v>
      </c>
      <c r="AG1079">
        <v>4.1453430000000004</v>
      </c>
      <c r="AH1079">
        <v>69.129954356233</v>
      </c>
      <c r="AI1079">
        <v>86.568680333395093</v>
      </c>
      <c r="AJ1079">
        <v>89.262150651432407</v>
      </c>
      <c r="AK1079">
        <v>69.259851921712794</v>
      </c>
      <c r="AL1079">
        <v>86.667424070581205</v>
      </c>
      <c r="AM1079">
        <v>89.885566182698994</v>
      </c>
      <c r="AN1079">
        <v>0.99999996425183302</v>
      </c>
    </row>
    <row r="1080" spans="1:40" x14ac:dyDescent="0.25">
      <c r="A1080" t="str">
        <f>"20190312160620655"</f>
        <v>20190312160620655</v>
      </c>
      <c r="B1080" t="str">
        <f>"1552377980645852"</f>
        <v>1552377980645852</v>
      </c>
      <c r="C1080" t="s">
        <v>40</v>
      </c>
      <c r="D1080">
        <v>6.3079409999999996</v>
      </c>
      <c r="E1080">
        <v>0.50516890000000003</v>
      </c>
      <c r="F1080" t="s">
        <v>42</v>
      </c>
      <c r="G1080">
        <v>-158.19499999999999</v>
      </c>
      <c r="H1080">
        <v>5.1323999999999996</v>
      </c>
      <c r="I1080">
        <v>366.32819999999998</v>
      </c>
      <c r="J1080">
        <v>-227.3948</v>
      </c>
      <c r="K1080">
        <v>1.109086</v>
      </c>
      <c r="L1080">
        <v>367.30680000000001</v>
      </c>
      <c r="M1080">
        <v>0.99989380000000005</v>
      </c>
      <c r="N1080">
        <v>0</v>
      </c>
      <c r="O1080">
        <v>-1.443029E-4</v>
      </c>
      <c r="P1080">
        <v>0.99905049999999995</v>
      </c>
      <c r="Q1080">
        <v>4.3451660000000003E-2</v>
      </c>
      <c r="R1080">
        <v>-3.2075929999999999E-3</v>
      </c>
      <c r="S1080">
        <v>2.995209</v>
      </c>
      <c r="T1080">
        <v>0.1736994</v>
      </c>
      <c r="U1080">
        <v>-4.2266850000000002E-2</v>
      </c>
      <c r="V1080">
        <v>3.190465E-3</v>
      </c>
      <c r="W1080">
        <v>5.8002629999999999E-2</v>
      </c>
      <c r="X1080">
        <v>0.99831130000000001</v>
      </c>
      <c r="Y1080">
        <v>1.3942599999999999E-2</v>
      </c>
      <c r="Z1080">
        <v>3.955613E-4</v>
      </c>
      <c r="AA1080">
        <v>0.99990270000000003</v>
      </c>
      <c r="AB1080">
        <v>34</v>
      </c>
      <c r="AC1080">
        <v>69.199799999999996</v>
      </c>
      <c r="AD1080">
        <v>4.0233139999999903</v>
      </c>
      <c r="AE1080">
        <v>-0.978600000000028</v>
      </c>
      <c r="AF1080">
        <v>0.96535065311088197</v>
      </c>
      <c r="AG1080">
        <v>4.0233139999999903</v>
      </c>
      <c r="AH1080">
        <v>68.966856882029802</v>
      </c>
      <c r="AI1080">
        <v>86.661650939616905</v>
      </c>
      <c r="AJ1080">
        <v>89.198065435121805</v>
      </c>
      <c r="AK1080">
        <v>69.090855441313195</v>
      </c>
      <c r="AL1080">
        <v>86.674827730974101</v>
      </c>
      <c r="AM1080">
        <v>89.816891227372807</v>
      </c>
      <c r="AN1080">
        <v>0.99999996793076096</v>
      </c>
    </row>
    <row r="1081" spans="1:40" x14ac:dyDescent="0.25">
      <c r="A1081" t="str">
        <f>"20190312160620668"</f>
        <v>20190312160620668</v>
      </c>
      <c r="B1081" t="str">
        <f>"1552377980656588"</f>
        <v>1552377980656588</v>
      </c>
      <c r="C1081" t="s">
        <v>40</v>
      </c>
      <c r="D1081">
        <v>6.4223379999999999</v>
      </c>
      <c r="E1081">
        <v>0.50529970000000002</v>
      </c>
      <c r="F1081" t="s">
        <v>42</v>
      </c>
      <c r="G1081">
        <v>-158.19499999999999</v>
      </c>
      <c r="H1081">
        <v>5.0417100000000001</v>
      </c>
      <c r="I1081">
        <v>366.16469999999998</v>
      </c>
      <c r="J1081">
        <v>-227.20419999999999</v>
      </c>
      <c r="K1081">
        <v>1.109024</v>
      </c>
      <c r="L1081">
        <v>367.30619999999999</v>
      </c>
      <c r="M1081">
        <v>0.99989340000000004</v>
      </c>
      <c r="N1081">
        <v>0</v>
      </c>
      <c r="O1081">
        <v>-8.1937320000000004E-4</v>
      </c>
      <c r="P1081">
        <v>0.99903759999999997</v>
      </c>
      <c r="Q1081">
        <v>4.3479799999999999E-2</v>
      </c>
      <c r="R1081">
        <v>-5.7907419999999998E-3</v>
      </c>
      <c r="S1081">
        <v>2.9952700000000001</v>
      </c>
      <c r="T1081">
        <v>0.17022479999999901</v>
      </c>
      <c r="U1081">
        <v>-4.943848E-2</v>
      </c>
      <c r="V1081">
        <v>5.1074789999999998E-3</v>
      </c>
      <c r="W1081">
        <v>5.8024520000000003E-2</v>
      </c>
      <c r="X1081">
        <v>0.99830209999999997</v>
      </c>
      <c r="Y1081">
        <v>1.565998E-2</v>
      </c>
      <c r="Z1081">
        <v>3.9806869999999998E-4</v>
      </c>
      <c r="AA1081">
        <v>0.99987729999999997</v>
      </c>
      <c r="AB1081">
        <v>34</v>
      </c>
      <c r="AC1081">
        <v>69.009199999999893</v>
      </c>
      <c r="AD1081">
        <v>3.9326859999999999</v>
      </c>
      <c r="AE1081">
        <v>-1.1415</v>
      </c>
      <c r="AF1081">
        <v>1.08143818408702</v>
      </c>
      <c r="AG1081">
        <v>3.9326859999999999</v>
      </c>
      <c r="AH1081">
        <v>68.7867803602132</v>
      </c>
      <c r="AI1081">
        <v>86.728244383371404</v>
      </c>
      <c r="AJ1081">
        <v>89.099292928438103</v>
      </c>
      <c r="AK1081">
        <v>68.907595227556797</v>
      </c>
      <c r="AL1081">
        <v>86.6735715407372</v>
      </c>
      <c r="AM1081">
        <v>89.706867853509195</v>
      </c>
      <c r="AN1081">
        <v>1.0000000070636801</v>
      </c>
    </row>
    <row r="1082" spans="1:40" x14ac:dyDescent="0.25">
      <c r="A1082" t="str">
        <f>"20190312160620680"</f>
        <v>20190312160620680</v>
      </c>
      <c r="B1082" t="str">
        <f>"1552377980676108"</f>
        <v>1552377980676108</v>
      </c>
      <c r="C1082" t="s">
        <v>40</v>
      </c>
      <c r="D1082">
        <v>5.6990720000000001</v>
      </c>
      <c r="E1082">
        <v>0.50549750000000004</v>
      </c>
      <c r="F1082" t="s">
        <v>42</v>
      </c>
      <c r="G1082">
        <v>-158.19499999999999</v>
      </c>
      <c r="H1082">
        <v>4.9652949999999896</v>
      </c>
      <c r="I1082">
        <v>365.9597</v>
      </c>
      <c r="J1082">
        <v>-227.01740000000001</v>
      </c>
      <c r="K1082">
        <v>1.1089690000000001</v>
      </c>
      <c r="L1082">
        <v>367.30529999999999</v>
      </c>
      <c r="M1082">
        <v>0.99989280000000003</v>
      </c>
      <c r="N1082">
        <v>0</v>
      </c>
      <c r="O1082">
        <v>-1.515534E-3</v>
      </c>
      <c r="P1082">
        <v>0.99904099999999996</v>
      </c>
      <c r="Q1082">
        <v>4.3092119999999998E-2</v>
      </c>
      <c r="R1082">
        <v>-7.7830080000000001E-3</v>
      </c>
      <c r="S1082">
        <v>2.9952700000000001</v>
      </c>
      <c r="T1082">
        <v>0.167381</v>
      </c>
      <c r="U1082">
        <v>-5.8441159999999999E-2</v>
      </c>
      <c r="V1082">
        <v>6.4115730000000003E-3</v>
      </c>
      <c r="W1082">
        <v>5.7631790000000002E-2</v>
      </c>
      <c r="X1082">
        <v>0.99831729999999996</v>
      </c>
      <c r="Y1082">
        <v>1.7966360000000001E-2</v>
      </c>
      <c r="Z1082">
        <v>4.169318E-4</v>
      </c>
      <c r="AA1082">
        <v>0.99983849999999996</v>
      </c>
      <c r="AB1082">
        <v>34</v>
      </c>
      <c r="AC1082">
        <v>68.822400000000002</v>
      </c>
      <c r="AD1082">
        <v>3.8563259999999899</v>
      </c>
      <c r="AE1082">
        <v>-1.3455999999999899</v>
      </c>
      <c r="AF1082">
        <v>1.23740112351832</v>
      </c>
      <c r="AG1082">
        <v>3.8563259999999899</v>
      </c>
      <c r="AH1082">
        <v>68.609031152366597</v>
      </c>
      <c r="AI1082">
        <v>86.783467914308503</v>
      </c>
      <c r="AJ1082">
        <v>88.966751533818396</v>
      </c>
      <c r="AK1082">
        <v>68.728462571377094</v>
      </c>
      <c r="AL1082">
        <v>86.696110946267297</v>
      </c>
      <c r="AM1082">
        <v>89.632029794243905</v>
      </c>
      <c r="AN1082">
        <v>0.99999998148311398</v>
      </c>
    </row>
    <row r="1083" spans="1:40" x14ac:dyDescent="0.25">
      <c r="A1083" t="str">
        <f>"20190312160620692"</f>
        <v>20190312160620692</v>
      </c>
      <c r="B1083" t="str">
        <f>"1552377980685868"</f>
        <v>1552377980685868</v>
      </c>
      <c r="C1083" t="s">
        <v>40</v>
      </c>
      <c r="D1083">
        <v>6.2995269999999897</v>
      </c>
      <c r="E1083">
        <v>0.50550260000000002</v>
      </c>
      <c r="F1083" t="s">
        <v>42</v>
      </c>
      <c r="G1083">
        <v>-158.19499999999999</v>
      </c>
      <c r="H1083">
        <v>4.7782999999999998</v>
      </c>
      <c r="I1083">
        <v>365.78519999999997</v>
      </c>
      <c r="J1083">
        <v>-226.8262</v>
      </c>
      <c r="K1083">
        <v>1.1089089999999999</v>
      </c>
      <c r="L1083">
        <v>367.30439999999999</v>
      </c>
      <c r="M1083">
        <v>0.99989130000000004</v>
      </c>
      <c r="N1083">
        <v>0</v>
      </c>
      <c r="O1083">
        <v>-2.2585869999999998E-3</v>
      </c>
      <c r="P1083">
        <v>0.99902639999999998</v>
      </c>
      <c r="Q1083">
        <v>4.2902790000000003E-2</v>
      </c>
      <c r="R1083">
        <v>-1.028329E-2</v>
      </c>
      <c r="S1083">
        <v>2.9954679999999998</v>
      </c>
      <c r="T1083">
        <v>0.15970980000000001</v>
      </c>
      <c r="U1083">
        <v>-6.6162109999999996E-2</v>
      </c>
      <c r="V1083">
        <v>8.1775110000000002E-3</v>
      </c>
      <c r="W1083">
        <v>5.7436130000000002E-2</v>
      </c>
      <c r="X1083">
        <v>0.99831570000000003</v>
      </c>
      <c r="Y1083">
        <v>1.9798779999999998E-2</v>
      </c>
      <c r="Z1083">
        <v>4.0703529999999998E-4</v>
      </c>
      <c r="AA1083">
        <v>0.99980389999999997</v>
      </c>
      <c r="AB1083">
        <v>34</v>
      </c>
      <c r="AC1083">
        <v>68.631200000000007</v>
      </c>
      <c r="AD1083">
        <v>3.6693910000000001</v>
      </c>
      <c r="AE1083">
        <v>-1.5192000000000101</v>
      </c>
      <c r="AF1083">
        <v>1.36028360686463</v>
      </c>
      <c r="AG1083">
        <v>3.6693910000000001</v>
      </c>
      <c r="AH1083">
        <v>68.4389167163297</v>
      </c>
      <c r="AI1083">
        <v>86.931597935894999</v>
      </c>
      <c r="AJ1083">
        <v>88.861345962677106</v>
      </c>
      <c r="AK1083">
        <v>68.550712053972802</v>
      </c>
      <c r="AL1083">
        <v>86.707340129160997</v>
      </c>
      <c r="AM1083">
        <v>89.530683141191702</v>
      </c>
      <c r="AN1083">
        <v>1.0000000087910099</v>
      </c>
    </row>
    <row r="1084" spans="1:40" x14ac:dyDescent="0.25">
      <c r="A1084" t="str">
        <f>"20190312160620705"</f>
        <v>20190312160620705</v>
      </c>
      <c r="B1084" t="str">
        <f>"1552377980696604"</f>
        <v>1552377980696604</v>
      </c>
      <c r="C1084" t="s">
        <v>40</v>
      </c>
      <c r="D1084">
        <v>6.3640019999999904</v>
      </c>
      <c r="E1084">
        <v>0.50551959999999996</v>
      </c>
      <c r="F1084" t="s">
        <v>42</v>
      </c>
      <c r="G1084">
        <v>-158.19499999999999</v>
      </c>
      <c r="H1084">
        <v>4.6948400000000001</v>
      </c>
      <c r="I1084">
        <v>365.60599999999999</v>
      </c>
      <c r="J1084">
        <v>-226.65119999999999</v>
      </c>
      <c r="K1084">
        <v>1.1088519999999999</v>
      </c>
      <c r="L1084">
        <v>367.30329999999998</v>
      </c>
      <c r="M1084">
        <v>0.99988929999999998</v>
      </c>
      <c r="N1084">
        <v>0</v>
      </c>
      <c r="O1084">
        <v>-2.9973830000000002E-3</v>
      </c>
      <c r="P1084">
        <v>0.99899400000000005</v>
      </c>
      <c r="Q1084">
        <v>4.2997220000000003E-2</v>
      </c>
      <c r="R1084">
        <v>-1.2740130000000001E-2</v>
      </c>
      <c r="S1084">
        <v>2.995422</v>
      </c>
      <c r="T1084">
        <v>0.1565124</v>
      </c>
      <c r="U1084">
        <v>-7.4127199999999893E-2</v>
      </c>
      <c r="V1084">
        <v>9.9043329999999995E-3</v>
      </c>
      <c r="W1084">
        <v>5.752326E-2</v>
      </c>
      <c r="X1084">
        <v>0.99829500000000004</v>
      </c>
      <c r="Y1084">
        <v>2.1716840000000001E-2</v>
      </c>
      <c r="Z1084">
        <v>4.1038549999999999E-4</v>
      </c>
      <c r="AA1084">
        <v>0.99976410000000004</v>
      </c>
      <c r="AB1084">
        <v>34</v>
      </c>
      <c r="AC1084">
        <v>68.456199999999995</v>
      </c>
      <c r="AD1084">
        <v>3.585988</v>
      </c>
      <c r="AE1084">
        <v>-1.69729999999998</v>
      </c>
      <c r="AF1084">
        <v>1.4880004889185099</v>
      </c>
      <c r="AG1084">
        <v>3.585988</v>
      </c>
      <c r="AH1084">
        <v>68.273748905680307</v>
      </c>
      <c r="AI1084">
        <v>86.994090576546697</v>
      </c>
      <c r="AJ1084">
        <v>88.751457857609196</v>
      </c>
      <c r="AK1084">
        <v>68.384049638984095</v>
      </c>
      <c r="AL1084">
        <v>86.702339533161094</v>
      </c>
      <c r="AM1084">
        <v>89.431572970148196</v>
      </c>
      <c r="AN1084">
        <v>0.99999996413909997</v>
      </c>
    </row>
    <row r="1085" spans="1:40" x14ac:dyDescent="0.25">
      <c r="A1085" t="str">
        <f>"20190312160620720"</f>
        <v>20190312160620720</v>
      </c>
      <c r="B1085" t="str">
        <f>"1552377980716124"</f>
        <v>1552377980716124</v>
      </c>
      <c r="C1085" t="s">
        <v>40</v>
      </c>
      <c r="D1085">
        <v>6.1655040000000003</v>
      </c>
      <c r="E1085">
        <v>0.50539559999999994</v>
      </c>
      <c r="F1085" t="s">
        <v>42</v>
      </c>
      <c r="G1085">
        <v>-158.19499999999999</v>
      </c>
      <c r="H1085">
        <v>4.6201829999999999</v>
      </c>
      <c r="I1085">
        <v>365.4348</v>
      </c>
      <c r="J1085">
        <v>-226.42519999999999</v>
      </c>
      <c r="K1085">
        <v>1.1087800000000001</v>
      </c>
      <c r="L1085">
        <v>367.30160000000001</v>
      </c>
      <c r="M1085">
        <v>0.99988589999999999</v>
      </c>
      <c r="N1085">
        <v>0</v>
      </c>
      <c r="O1085">
        <v>-3.9900990000000004E-3</v>
      </c>
      <c r="P1085">
        <v>0.99893670000000001</v>
      </c>
      <c r="Q1085">
        <v>4.304914E-2</v>
      </c>
      <c r="R1085">
        <v>-1.650722E-2</v>
      </c>
      <c r="S1085">
        <v>2.9953609999999999</v>
      </c>
      <c r="T1085">
        <v>0.153645</v>
      </c>
      <c r="U1085">
        <v>-8.1756590000000004E-2</v>
      </c>
      <c r="V1085">
        <v>1.269E-2</v>
      </c>
      <c r="W1085">
        <v>5.7563709999999997E-2</v>
      </c>
      <c r="X1085">
        <v>0.99826119999999996</v>
      </c>
      <c r="Y1085">
        <v>2.3269660000000001E-2</v>
      </c>
      <c r="Z1085">
        <v>3.9178230000000002E-4</v>
      </c>
      <c r="AA1085">
        <v>0.99972919999999998</v>
      </c>
      <c r="AB1085">
        <v>34</v>
      </c>
      <c r="AC1085">
        <v>68.230199999999996</v>
      </c>
      <c r="AD1085">
        <v>3.5114030000000001</v>
      </c>
      <c r="AE1085">
        <v>-1.86680000000001</v>
      </c>
      <c r="AF1085">
        <v>1.59030214166251</v>
      </c>
      <c r="AG1085">
        <v>3.5114030000000001</v>
      </c>
      <c r="AH1085">
        <v>68.0569887900932</v>
      </c>
      <c r="AI1085">
        <v>87.047245598854204</v>
      </c>
      <c r="AJ1085">
        <v>88.661400927277995</v>
      </c>
      <c r="AK1085">
        <v>68.166067329024202</v>
      </c>
      <c r="AL1085">
        <v>86.700018257068507</v>
      </c>
      <c r="AM1085">
        <v>89.271689332569196</v>
      </c>
      <c r="AN1085">
        <v>1.0000000201171999</v>
      </c>
    </row>
    <row r="1086" spans="1:40" x14ac:dyDescent="0.25">
      <c r="A1086" t="str">
        <f>"20190312160620732"</f>
        <v>20190312160620732</v>
      </c>
      <c r="B1086" t="str">
        <f>"1552377980725884"</f>
        <v>1552377980725884</v>
      </c>
      <c r="C1086" t="s">
        <v>40</v>
      </c>
      <c r="D1086">
        <v>6.2995080000000003</v>
      </c>
      <c r="E1086">
        <v>0.50531219999999999</v>
      </c>
      <c r="F1086" t="s">
        <v>42</v>
      </c>
      <c r="G1086">
        <v>-158.19499999999999</v>
      </c>
      <c r="H1086">
        <v>4.4849829999999997</v>
      </c>
      <c r="I1086">
        <v>365.20850000000002</v>
      </c>
      <c r="J1086">
        <v>-226.22710000000001</v>
      </c>
      <c r="K1086">
        <v>1.108714</v>
      </c>
      <c r="L1086">
        <v>367.3</v>
      </c>
      <c r="M1086">
        <v>0.99988189999999999</v>
      </c>
      <c r="N1086">
        <v>0</v>
      </c>
      <c r="O1086">
        <v>-4.9051820000000001E-3</v>
      </c>
      <c r="P1086">
        <v>0.99889640000000002</v>
      </c>
      <c r="Q1086">
        <v>4.2947100000000002E-2</v>
      </c>
      <c r="R1086">
        <v>-1.9028570000000002E-2</v>
      </c>
      <c r="S1086">
        <v>2.995285</v>
      </c>
      <c r="T1086">
        <v>0.14821799999999999</v>
      </c>
      <c r="U1086">
        <v>-9.1888429999999993E-2</v>
      </c>
      <c r="V1086">
        <v>1.4306070000000001E-2</v>
      </c>
      <c r="W1086">
        <v>5.745422E-2</v>
      </c>
      <c r="X1086">
        <v>0.99824570000000001</v>
      </c>
      <c r="Y1086">
        <v>2.573404E-2</v>
      </c>
      <c r="Z1086">
        <v>3.9362810000000001E-4</v>
      </c>
      <c r="AA1086">
        <v>0.99966880000000002</v>
      </c>
      <c r="AB1086">
        <v>34</v>
      </c>
      <c r="AC1086">
        <v>68.0321</v>
      </c>
      <c r="AD1086">
        <v>3.3762690000000002</v>
      </c>
      <c r="AE1086">
        <v>-2.0914999999999901</v>
      </c>
      <c r="AF1086">
        <v>1.7534151966309199</v>
      </c>
      <c r="AG1086">
        <v>3.3762690000000002</v>
      </c>
      <c r="AH1086">
        <v>67.8745314788234</v>
      </c>
      <c r="AI1086">
        <v>87.153243068065294</v>
      </c>
      <c r="AJ1086">
        <v>88.5201967647386</v>
      </c>
      <c r="AK1086">
        <v>67.981068546191096</v>
      </c>
      <c r="AL1086">
        <v>86.706302117145</v>
      </c>
      <c r="AM1086">
        <v>89.178938288211</v>
      </c>
      <c r="AN1086">
        <v>1.0000000643015601</v>
      </c>
    </row>
    <row r="1087" spans="1:40" x14ac:dyDescent="0.25">
      <c r="A1087" t="str">
        <f>"20190312160620744"</f>
        <v>20190312160620744</v>
      </c>
      <c r="B1087" t="str">
        <f>"1552377980735646"</f>
        <v>1552377980735646</v>
      </c>
      <c r="C1087" t="s">
        <v>40</v>
      </c>
      <c r="D1087">
        <v>6.4055489999999997</v>
      </c>
      <c r="E1087">
        <v>0.50530280000000005</v>
      </c>
      <c r="F1087" t="s">
        <v>42</v>
      </c>
      <c r="G1087">
        <v>-158.19499999999999</v>
      </c>
      <c r="H1087">
        <v>4.4096869999999999</v>
      </c>
      <c r="I1087">
        <v>365.05410000000001</v>
      </c>
      <c r="J1087">
        <v>-226.05940000000001</v>
      </c>
      <c r="K1087">
        <v>1.1086579999999999</v>
      </c>
      <c r="L1087">
        <v>367.29829999999998</v>
      </c>
      <c r="M1087">
        <v>0.99987760000000003</v>
      </c>
      <c r="N1087">
        <v>0</v>
      </c>
      <c r="O1087">
        <v>-5.7325500000000003E-3</v>
      </c>
      <c r="P1087">
        <v>0.99887800000000004</v>
      </c>
      <c r="Q1087">
        <v>4.2382400000000001E-2</v>
      </c>
      <c r="R1087">
        <v>-2.114301E-2</v>
      </c>
      <c r="S1087">
        <v>2.9951629999999998</v>
      </c>
      <c r="T1087">
        <v>0.1453315</v>
      </c>
      <c r="U1087">
        <v>-9.8876950000000005E-2</v>
      </c>
      <c r="V1087">
        <v>1.559959E-2</v>
      </c>
      <c r="W1087">
        <v>5.6882490000000001E-2</v>
      </c>
      <c r="X1087">
        <v>0.99825900000000001</v>
      </c>
      <c r="Y1087">
        <v>2.723838E-2</v>
      </c>
      <c r="Z1087">
        <v>3.8232540000000001E-4</v>
      </c>
      <c r="AA1087">
        <v>0.99962890000000004</v>
      </c>
      <c r="AB1087">
        <v>34</v>
      </c>
      <c r="AC1087">
        <v>67.864400000000003</v>
      </c>
      <c r="AD1087">
        <v>3.3010290000000002</v>
      </c>
      <c r="AE1087">
        <v>-2.24419999999997</v>
      </c>
      <c r="AF1087">
        <v>1.85071182160334</v>
      </c>
      <c r="AG1087">
        <v>3.3010290000000002</v>
      </c>
      <c r="AH1087">
        <v>67.716109752518094</v>
      </c>
      <c r="AI1087">
        <v>87.210191274665803</v>
      </c>
      <c r="AJ1087">
        <v>88.434470218799007</v>
      </c>
      <c r="AK1087">
        <v>67.821777083179896</v>
      </c>
      <c r="AL1087">
        <v>86.739113276290695</v>
      </c>
      <c r="AM1087">
        <v>89.104723397237706</v>
      </c>
      <c r="AN1087">
        <v>0.99999999797888395</v>
      </c>
    </row>
    <row r="1088" spans="1:40" x14ac:dyDescent="0.25">
      <c r="A1088" t="str">
        <f>"20190312160620756"</f>
        <v>20190312160620756</v>
      </c>
      <c r="B1088" t="str">
        <f>"1552377980746380"</f>
        <v>1552377980746380</v>
      </c>
      <c r="C1088" t="s">
        <v>40</v>
      </c>
      <c r="D1088">
        <v>6.4164659999999998</v>
      </c>
      <c r="E1088">
        <v>0.50530949999999997</v>
      </c>
      <c r="F1088" t="s">
        <v>42</v>
      </c>
      <c r="G1088">
        <v>-158.19499999999999</v>
      </c>
      <c r="H1088">
        <v>4.3084860000000003</v>
      </c>
      <c r="I1088">
        <v>364.91419999999999</v>
      </c>
      <c r="J1088">
        <v>-225.8929</v>
      </c>
      <c r="K1088">
        <v>1.108603</v>
      </c>
      <c r="L1088">
        <v>367.29669999999999</v>
      </c>
      <c r="M1088">
        <v>0.99987239999999999</v>
      </c>
      <c r="N1088">
        <v>0</v>
      </c>
      <c r="O1088">
        <v>-6.5656389999999999E-3</v>
      </c>
      <c r="P1088">
        <v>0.99884859999999998</v>
      </c>
      <c r="Q1088">
        <v>4.1923849999999999E-2</v>
      </c>
      <c r="R1088">
        <v>-2.3330500000000001E-2</v>
      </c>
      <c r="S1088">
        <v>2.9951479999999999</v>
      </c>
      <c r="T1088">
        <v>0.14122579999999901</v>
      </c>
      <c r="U1088">
        <v>-0.1052246</v>
      </c>
      <c r="V1088">
        <v>1.6960949999999999E-2</v>
      </c>
      <c r="W1088">
        <v>5.641736E-2</v>
      </c>
      <c r="X1088">
        <v>0.99826320000000002</v>
      </c>
      <c r="Y1088">
        <v>2.852263E-2</v>
      </c>
      <c r="Z1088">
        <v>3.6252749999999997E-4</v>
      </c>
      <c r="AA1088">
        <v>0.99959310000000001</v>
      </c>
      <c r="AB1088">
        <v>34</v>
      </c>
      <c r="AC1088">
        <v>67.697900000000004</v>
      </c>
      <c r="AD1088">
        <v>3.1998829999999998</v>
      </c>
      <c r="AE1088">
        <v>-2.3824999999999901</v>
      </c>
      <c r="AF1088">
        <v>1.9336068466198999</v>
      </c>
      <c r="AG1088">
        <v>3.1998829999999998</v>
      </c>
      <c r="AH1088">
        <v>67.561327499303502</v>
      </c>
      <c r="AI1088">
        <v>87.289455107138394</v>
      </c>
      <c r="AJ1088">
        <v>88.360640893123303</v>
      </c>
      <c r="AK1088">
        <v>67.664695817827507</v>
      </c>
      <c r="AL1088">
        <v>86.765806149272606</v>
      </c>
      <c r="AM1088">
        <v>89.026612062905997</v>
      </c>
      <c r="AN1088">
        <v>1.0000000044042501</v>
      </c>
    </row>
    <row r="1089" spans="1:40" x14ac:dyDescent="0.25">
      <c r="A1089" t="str">
        <f>"20190312160620767"</f>
        <v>20190312160620767</v>
      </c>
      <c r="B1089" t="str">
        <f>"1552377980756140"</f>
        <v>1552377980756140</v>
      </c>
      <c r="C1089" t="s">
        <v>40</v>
      </c>
      <c r="D1089">
        <v>6.3637489999999897</v>
      </c>
      <c r="E1089">
        <v>0.50529709999999906</v>
      </c>
      <c r="F1089" t="s">
        <v>42</v>
      </c>
      <c r="G1089">
        <v>-158.19499999999999</v>
      </c>
      <c r="H1089">
        <v>4.2129269999999996</v>
      </c>
      <c r="I1089">
        <v>364.76240000000001</v>
      </c>
      <c r="J1089">
        <v>-225.71299999999999</v>
      </c>
      <c r="K1089">
        <v>1.108541</v>
      </c>
      <c r="L1089">
        <v>367.29450000000003</v>
      </c>
      <c r="M1089">
        <v>0.99986569999999997</v>
      </c>
      <c r="N1089">
        <v>0</v>
      </c>
      <c r="O1089">
        <v>-7.5198239999999996E-3</v>
      </c>
      <c r="P1089">
        <v>0.99880740000000001</v>
      </c>
      <c r="Q1089">
        <v>4.1494499999999997E-2</v>
      </c>
      <c r="R1089">
        <v>-2.5733720000000002E-2</v>
      </c>
      <c r="S1089">
        <v>2.9950709999999998</v>
      </c>
      <c r="T1089">
        <v>0.13734440000000001</v>
      </c>
      <c r="U1089">
        <v>-0.1121216</v>
      </c>
      <c r="V1089">
        <v>1.841748E-2</v>
      </c>
      <c r="W1089">
        <v>5.5979840000000003E-2</v>
      </c>
      <c r="X1089">
        <v>0.99826199999999998</v>
      </c>
      <c r="Y1089">
        <v>2.986929E-2</v>
      </c>
      <c r="Z1089">
        <v>3.3970059999999897E-4</v>
      </c>
      <c r="AA1089">
        <v>0.99955369999999999</v>
      </c>
      <c r="AB1089">
        <v>34</v>
      </c>
      <c r="AC1089">
        <v>67.518000000000001</v>
      </c>
      <c r="AD1089">
        <v>3.1043859999999999</v>
      </c>
      <c r="AE1089">
        <v>-2.53210000000001</v>
      </c>
      <c r="AF1089">
        <v>2.01998675241183</v>
      </c>
      <c r="AG1089">
        <v>3.1043859999999999</v>
      </c>
      <c r="AH1089">
        <v>67.392862723734396</v>
      </c>
      <c r="AI1089">
        <v>87.363772850966996</v>
      </c>
      <c r="AJ1089">
        <v>88.2831702003392</v>
      </c>
      <c r="AK1089">
        <v>67.494559077136103</v>
      </c>
      <c r="AL1089">
        <v>86.790913811189398</v>
      </c>
      <c r="AM1089">
        <v>88.943038833762401</v>
      </c>
      <c r="AN1089">
        <v>0.99999998334998697</v>
      </c>
    </row>
    <row r="1090" spans="1:40" x14ac:dyDescent="0.25">
      <c r="A1090" t="str">
        <f>"20190312160620780"</f>
        <v>20190312160620780</v>
      </c>
      <c r="B1090" t="str">
        <f>"1552377980775660"</f>
        <v>1552377980775660</v>
      </c>
      <c r="C1090" t="s">
        <v>40</v>
      </c>
      <c r="D1090">
        <v>6.3618769999999998</v>
      </c>
      <c r="E1090">
        <v>0.50518149999999995</v>
      </c>
      <c r="F1090" t="s">
        <v>42</v>
      </c>
      <c r="G1090">
        <v>-158.19499999999999</v>
      </c>
      <c r="H1090">
        <v>4.1205530000000001</v>
      </c>
      <c r="I1090">
        <v>364.60930000000002</v>
      </c>
      <c r="J1090">
        <v>-225.5257</v>
      </c>
      <c r="K1090">
        <v>1.108482</v>
      </c>
      <c r="L1090">
        <v>367.2921</v>
      </c>
      <c r="M1090">
        <v>0.99985749999999995</v>
      </c>
      <c r="N1090">
        <v>0</v>
      </c>
      <c r="O1090">
        <v>-8.5392439999999997E-3</v>
      </c>
      <c r="P1090">
        <v>0.99876019999999999</v>
      </c>
      <c r="Q1090">
        <v>4.114363E-2</v>
      </c>
      <c r="R1090">
        <v>-2.8027719999999999E-2</v>
      </c>
      <c r="S1090">
        <v>2.9949650000000001</v>
      </c>
      <c r="T1090">
        <v>0.1336107</v>
      </c>
      <c r="U1090">
        <v>-0.1191101</v>
      </c>
      <c r="V1090">
        <v>1.9700229999999999E-2</v>
      </c>
      <c r="W1090">
        <v>5.5621339999999998E-2</v>
      </c>
      <c r="X1090">
        <v>0.99825759999999997</v>
      </c>
      <c r="Y1090">
        <v>3.1181380000000002E-2</v>
      </c>
      <c r="Z1090">
        <v>3.1427659999999999E-4</v>
      </c>
      <c r="AA1090">
        <v>0.99951369999999895</v>
      </c>
      <c r="AB1090">
        <v>34</v>
      </c>
      <c r="AC1090">
        <v>67.330699999999993</v>
      </c>
      <c r="AD1090">
        <v>3.01207099999999</v>
      </c>
      <c r="AE1090">
        <v>-2.6827999999999799</v>
      </c>
      <c r="AF1090">
        <v>2.1034849623458198</v>
      </c>
      <c r="AG1090">
        <v>3.01207099999999</v>
      </c>
      <c r="AH1090">
        <v>67.216850750873505</v>
      </c>
      <c r="AI1090">
        <v>87.435474826660695</v>
      </c>
      <c r="AJ1090">
        <v>88.207570129427694</v>
      </c>
      <c r="AK1090">
        <v>67.317176452678495</v>
      </c>
      <c r="AL1090">
        <v>86.811486564504506</v>
      </c>
      <c r="AM1090">
        <v>88.869436568779406</v>
      </c>
      <c r="AN1090">
        <v>1.0000000342416</v>
      </c>
    </row>
    <row r="1091" spans="1:40" x14ac:dyDescent="0.25">
      <c r="A1091" t="str">
        <f>"20190312160620791"</f>
        <v>20190312160620791</v>
      </c>
      <c r="B1091" t="str">
        <f>"1552377980786396"</f>
        <v>1552377980786396</v>
      </c>
      <c r="C1091" t="s">
        <v>40</v>
      </c>
      <c r="D1091">
        <v>6.049131</v>
      </c>
      <c r="E1091">
        <v>0.50513180000000002</v>
      </c>
      <c r="F1091" t="s">
        <v>42</v>
      </c>
      <c r="G1091">
        <v>-158.19499999999999</v>
      </c>
      <c r="H1091">
        <v>3.9887220000000001</v>
      </c>
      <c r="I1091">
        <v>364.47719999999998</v>
      </c>
      <c r="J1091">
        <v>-225.34909999999999</v>
      </c>
      <c r="K1091">
        <v>1.10843</v>
      </c>
      <c r="L1091">
        <v>367.28969999999998</v>
      </c>
      <c r="M1091">
        <v>0.99984870000000003</v>
      </c>
      <c r="N1091">
        <v>0</v>
      </c>
      <c r="O1091">
        <v>-9.5289989999999998E-3</v>
      </c>
      <c r="P1091">
        <v>0.99871620000000005</v>
      </c>
      <c r="Q1091">
        <v>4.0647080000000002E-2</v>
      </c>
      <c r="R1091">
        <v>-3.0232410000000001E-2</v>
      </c>
      <c r="S1091">
        <v>2.9949490000000001</v>
      </c>
      <c r="T1091">
        <v>0.12812029999999999</v>
      </c>
      <c r="U1091">
        <v>-0.12521360000000001</v>
      </c>
      <c r="V1091">
        <v>2.092188E-2</v>
      </c>
      <c r="W1091">
        <v>5.5117140000000002E-2</v>
      </c>
      <c r="X1091">
        <v>0.9982607</v>
      </c>
      <c r="Y1091">
        <v>3.2227470000000001E-2</v>
      </c>
      <c r="Z1091">
        <v>2.814173E-4</v>
      </c>
      <c r="AA1091">
        <v>0.99948049999999999</v>
      </c>
      <c r="AB1091">
        <v>34</v>
      </c>
      <c r="AC1091">
        <v>67.1541</v>
      </c>
      <c r="AD1091">
        <v>2.8802919999999999</v>
      </c>
      <c r="AE1091">
        <v>-2.8125</v>
      </c>
      <c r="AF1091">
        <v>2.1684110924722</v>
      </c>
      <c r="AG1091">
        <v>2.8802919999999999</v>
      </c>
      <c r="AH1091">
        <v>67.054714416373798</v>
      </c>
      <c r="AI1091">
        <v>87.541692185474304</v>
      </c>
      <c r="AJ1091">
        <v>88.147818179014806</v>
      </c>
      <c r="AK1091">
        <v>67.1515659842171</v>
      </c>
      <c r="AL1091">
        <v>86.840419450221205</v>
      </c>
      <c r="AM1091">
        <v>88.799351758321393</v>
      </c>
      <c r="AN1091">
        <v>1.0000000246745</v>
      </c>
    </row>
    <row r="1092" spans="1:40" x14ac:dyDescent="0.25">
      <c r="A1092" t="str">
        <f>"20190312160620804"</f>
        <v>20190312160620804</v>
      </c>
      <c r="B1092" t="str">
        <f>"1552377980796157"</f>
        <v>1552377980796157</v>
      </c>
      <c r="C1092" t="s">
        <v>40</v>
      </c>
      <c r="D1092">
        <v>6.3819269999999904</v>
      </c>
      <c r="E1092">
        <v>0.50509199999999999</v>
      </c>
      <c r="F1092" t="s">
        <v>42</v>
      </c>
      <c r="G1092">
        <v>-158.19499999999999</v>
      </c>
      <c r="H1092">
        <v>3.8758650000000001</v>
      </c>
      <c r="I1092">
        <v>364.3383</v>
      </c>
      <c r="J1092">
        <v>-225.15360000000001</v>
      </c>
      <c r="K1092">
        <v>1.1083719999999999</v>
      </c>
      <c r="L1092">
        <v>367.28680000000003</v>
      </c>
      <c r="M1092">
        <v>0.99983699999999998</v>
      </c>
      <c r="N1092">
        <v>0</v>
      </c>
      <c r="O1092">
        <v>-1.0672020000000001E-2</v>
      </c>
      <c r="P1092">
        <v>0.99863939999999995</v>
      </c>
      <c r="Q1092">
        <v>4.060337E-2</v>
      </c>
      <c r="R1092">
        <v>-3.2720909999999999E-2</v>
      </c>
      <c r="S1092">
        <v>2.9948429999999999</v>
      </c>
      <c r="T1092">
        <v>0.1234219</v>
      </c>
      <c r="U1092">
        <v>-0.1316223</v>
      </c>
      <c r="V1092">
        <v>2.227647E-2</v>
      </c>
      <c r="W1092">
        <v>5.5063830000000001E-2</v>
      </c>
      <c r="X1092">
        <v>0.99823430000000002</v>
      </c>
      <c r="Y1092">
        <v>3.322282E-2</v>
      </c>
      <c r="Z1092">
        <v>2.445347E-4</v>
      </c>
      <c r="AA1092">
        <v>0.99944789999999994</v>
      </c>
      <c r="AB1092">
        <v>34</v>
      </c>
      <c r="AC1092">
        <v>66.958600000000004</v>
      </c>
      <c r="AD1092">
        <v>2.767493</v>
      </c>
      <c r="AE1092">
        <v>-2.9485000000000201</v>
      </c>
      <c r="AF1092">
        <v>2.2298708659831399</v>
      </c>
      <c r="AG1092">
        <v>2.767493</v>
      </c>
      <c r="AH1092">
        <v>66.872240082445501</v>
      </c>
      <c r="AI1092">
        <v>87.631493945972096</v>
      </c>
      <c r="AJ1092">
        <v>88.090166147423304</v>
      </c>
      <c r="AK1092">
        <v>66.966617319588707</v>
      </c>
      <c r="AL1092">
        <v>86.843478430832107</v>
      </c>
      <c r="AM1092">
        <v>88.721606837410107</v>
      </c>
      <c r="AN1092">
        <v>0.999999992093209</v>
      </c>
    </row>
    <row r="1093" spans="1:40" x14ac:dyDescent="0.25">
      <c r="A1093" t="str">
        <f>"20190312160620818"</f>
        <v>20190312160620818</v>
      </c>
      <c r="B1093" t="str">
        <f>"1552377980805917"</f>
        <v>1552377980805917</v>
      </c>
      <c r="C1093" t="s">
        <v>40</v>
      </c>
      <c r="D1093">
        <v>6.4843159999999997</v>
      </c>
      <c r="E1093">
        <v>0.50504640000000001</v>
      </c>
      <c r="F1093" t="s">
        <v>42</v>
      </c>
      <c r="G1093">
        <v>-158.19499999999999</v>
      </c>
      <c r="H1093">
        <v>3.826057</v>
      </c>
      <c r="I1093">
        <v>364.18200000000002</v>
      </c>
      <c r="J1093">
        <v>-224.9555</v>
      </c>
      <c r="K1093">
        <v>1.1083080000000001</v>
      </c>
      <c r="L1093">
        <v>367.28359999999998</v>
      </c>
      <c r="M1093">
        <v>0.99982369999999998</v>
      </c>
      <c r="N1093">
        <v>0</v>
      </c>
      <c r="O1093">
        <v>-1.185831E-2</v>
      </c>
      <c r="P1093">
        <v>0.99856670000000003</v>
      </c>
      <c r="Q1093">
        <v>4.0507910000000001E-2</v>
      </c>
      <c r="R1093">
        <v>-3.4988789999999999E-2</v>
      </c>
      <c r="S1093">
        <v>2.9945979999999999</v>
      </c>
      <c r="T1093">
        <v>0.12154719999999999</v>
      </c>
      <c r="U1093">
        <v>-0.13885500000000001</v>
      </c>
      <c r="V1093">
        <v>2.3366959999999999E-2</v>
      </c>
      <c r="W1093">
        <v>5.496003E-2</v>
      </c>
      <c r="X1093">
        <v>0.99821510000000002</v>
      </c>
      <c r="Y1093">
        <v>3.4450059999999998E-2</v>
      </c>
      <c r="Z1093">
        <v>2.1761290000000001E-4</v>
      </c>
      <c r="AA1093">
        <v>0.99940640000000003</v>
      </c>
      <c r="AB1093">
        <v>33</v>
      </c>
      <c r="AC1093">
        <v>66.760499999999993</v>
      </c>
      <c r="AD1093">
        <v>2.717749</v>
      </c>
      <c r="AE1093">
        <v>-3.1016000000000101</v>
      </c>
      <c r="AF1093">
        <v>2.3058182461327998</v>
      </c>
      <c r="AG1093">
        <v>2.717749</v>
      </c>
      <c r="AH1093">
        <v>66.682319451850404</v>
      </c>
      <c r="AI1093">
        <v>87.667499328039497</v>
      </c>
      <c r="AJ1093">
        <v>88.019549473237305</v>
      </c>
      <c r="AK1093">
        <v>66.777501337575004</v>
      </c>
      <c r="AL1093">
        <v>86.849434786212996</v>
      </c>
      <c r="AM1093">
        <v>88.659022766858399</v>
      </c>
      <c r="AN1093">
        <v>1.0000000027926199</v>
      </c>
    </row>
    <row r="1094" spans="1:40" x14ac:dyDescent="0.25">
      <c r="A1094" t="str">
        <f>"20190312160620833"</f>
        <v>20190312160620833</v>
      </c>
      <c r="B1094" t="str">
        <f>"1552377980826412"</f>
        <v>1552377980826412</v>
      </c>
      <c r="C1094" t="s">
        <v>40</v>
      </c>
      <c r="D1094">
        <v>6.5411250000000001</v>
      </c>
      <c r="E1094">
        <v>0.50494470000000002</v>
      </c>
      <c r="F1094" t="s">
        <v>42</v>
      </c>
      <c r="G1094">
        <v>-158.19499999999999</v>
      </c>
      <c r="H1094">
        <v>3.7712590000000001</v>
      </c>
      <c r="I1094">
        <v>364.0462</v>
      </c>
      <c r="J1094">
        <v>-224.73410000000001</v>
      </c>
      <c r="K1094">
        <v>1.1082459999999901</v>
      </c>
      <c r="L1094">
        <v>367.27960000000002</v>
      </c>
      <c r="M1094">
        <v>0.99980650000000004</v>
      </c>
      <c r="N1094">
        <v>0</v>
      </c>
      <c r="O1094">
        <v>-1.322915E-2</v>
      </c>
      <c r="P1094">
        <v>0.99845139999999999</v>
      </c>
      <c r="Q1094">
        <v>4.0105349999999998E-2</v>
      </c>
      <c r="R1094">
        <v>-3.8557189999999998E-2</v>
      </c>
      <c r="S1094">
        <v>2.99437</v>
      </c>
      <c r="T1094">
        <v>0.1194437</v>
      </c>
      <c r="U1094">
        <v>-0.14520259999999999</v>
      </c>
      <c r="V1094">
        <v>2.55739E-2</v>
      </c>
      <c r="W1094">
        <v>5.4543889999999998E-2</v>
      </c>
      <c r="X1094">
        <v>0.99818379999999995</v>
      </c>
      <c r="Y1094">
        <v>3.519829E-2</v>
      </c>
      <c r="Z1094">
        <v>1.74143E-4</v>
      </c>
      <c r="AA1094">
        <v>0.99938039999999995</v>
      </c>
      <c r="AB1094">
        <v>33</v>
      </c>
      <c r="AC1094">
        <v>66.539100000000005</v>
      </c>
      <c r="AD1094">
        <v>2.6630129999999999</v>
      </c>
      <c r="AE1094">
        <v>-3.2334000000000098</v>
      </c>
      <c r="AF1094">
        <v>2.3490143001505701</v>
      </c>
      <c r="AG1094">
        <v>2.6630129999999999</v>
      </c>
      <c r="AH1094">
        <v>66.469838905176502</v>
      </c>
      <c r="AI1094">
        <v>87.707188445648796</v>
      </c>
      <c r="AJ1094">
        <v>87.9760351301816</v>
      </c>
      <c r="AK1094">
        <v>66.564622664750303</v>
      </c>
      <c r="AL1094">
        <v>86.873313597568995</v>
      </c>
      <c r="AM1094">
        <v>88.532378449535003</v>
      </c>
      <c r="AN1094">
        <v>0.99999997943998997</v>
      </c>
    </row>
    <row r="1095" spans="1:40" x14ac:dyDescent="0.25">
      <c r="A1095" t="str">
        <f>"20190312160620854"</f>
        <v>20190312160620854</v>
      </c>
      <c r="B1095" t="str">
        <f>"1552377980845932"</f>
        <v>1552377980845932</v>
      </c>
      <c r="C1095" t="s">
        <v>40</v>
      </c>
      <c r="D1095">
        <v>6.2074299999999996</v>
      </c>
      <c r="E1095">
        <v>0.496415</v>
      </c>
      <c r="F1095" t="s">
        <v>42</v>
      </c>
      <c r="G1095">
        <v>-158.19499999999999</v>
      </c>
      <c r="H1095">
        <v>3.8265929999999999</v>
      </c>
      <c r="I1095">
        <v>363.8347</v>
      </c>
      <c r="J1095">
        <v>-224.41480000000001</v>
      </c>
      <c r="K1095">
        <v>1.1081620000000001</v>
      </c>
      <c r="L1095">
        <v>367.27339999999998</v>
      </c>
      <c r="M1095">
        <v>0.99977709999999997</v>
      </c>
      <c r="N1095">
        <v>0</v>
      </c>
      <c r="O1095">
        <v>-1.528478E-2</v>
      </c>
      <c r="P1095">
        <v>0.99831669999999995</v>
      </c>
      <c r="Q1095">
        <v>4.0024520000000001E-2</v>
      </c>
      <c r="R1095">
        <v>-4.1971029999999999E-2</v>
      </c>
      <c r="S1095">
        <v>2.9937740000000002</v>
      </c>
      <c r="T1095">
        <v>0.12230969999999999</v>
      </c>
      <c r="U1095">
        <v>-0.15499879999999999</v>
      </c>
      <c r="V1095">
        <v>2.6946700000000001E-2</v>
      </c>
      <c r="W1095">
        <v>5.4450100000000001E-2</v>
      </c>
      <c r="X1095">
        <v>0.99815290000000001</v>
      </c>
      <c r="Y1095">
        <v>3.6414879999999997E-2</v>
      </c>
      <c r="Z1095">
        <v>1.192882E-4</v>
      </c>
      <c r="AA1095">
        <v>0.99933680000000003</v>
      </c>
      <c r="AB1095">
        <v>33</v>
      </c>
      <c r="AC1095">
        <v>66.219800000000006</v>
      </c>
      <c r="AD1095">
        <v>2.7184309999999998</v>
      </c>
      <c r="AE1095">
        <v>-3.4386999999999799</v>
      </c>
      <c r="AF1095">
        <v>2.4219651574103098</v>
      </c>
      <c r="AG1095">
        <v>2.7184309999999998</v>
      </c>
      <c r="AH1095">
        <v>66.153443580271599</v>
      </c>
      <c r="AI1095">
        <v>87.648452929769107</v>
      </c>
      <c r="AJ1095">
        <v>87.903262131946704</v>
      </c>
      <c r="AK1095">
        <v>66.253557488286205</v>
      </c>
      <c r="AL1095">
        <v>86.878695664772494</v>
      </c>
      <c r="AM1095">
        <v>88.453586353690596</v>
      </c>
      <c r="AN1095">
        <v>1.00000007490465</v>
      </c>
    </row>
    <row r="1096" spans="1:40" x14ac:dyDescent="0.25">
      <c r="A1096" t="str">
        <f>"20190312160620866"</f>
        <v>20190312160620866</v>
      </c>
      <c r="B1096" t="str">
        <f>"1552377980856263"</f>
        <v>1552377980856263</v>
      </c>
      <c r="C1096" t="s">
        <v>40</v>
      </c>
      <c r="D1096">
        <v>6.5752360000000003</v>
      </c>
      <c r="E1096">
        <v>0.49622850000000002</v>
      </c>
      <c r="F1096" t="s">
        <v>42</v>
      </c>
      <c r="G1096">
        <v>-170.08879999999999</v>
      </c>
      <c r="H1096">
        <v>8.4654600000000002</v>
      </c>
      <c r="I1096">
        <v>365.66609999999997</v>
      </c>
      <c r="J1096">
        <v>-224.2209</v>
      </c>
      <c r="K1096">
        <v>1.1081110000000001</v>
      </c>
      <c r="L1096">
        <v>367.26909999999998</v>
      </c>
      <c r="M1096">
        <v>0.99975630000000004</v>
      </c>
      <c r="N1096">
        <v>0</v>
      </c>
      <c r="O1096">
        <v>-1.65878E-2</v>
      </c>
      <c r="P1096">
        <v>0.99824829999999998</v>
      </c>
      <c r="Q1096">
        <v>3.981908E-2</v>
      </c>
      <c r="R1096">
        <v>-4.3761019999999998E-2</v>
      </c>
      <c r="S1096">
        <v>2.9851529999999999</v>
      </c>
      <c r="T1096">
        <v>0.40427960000000002</v>
      </c>
      <c r="U1096">
        <v>-8.8317870000000007E-2</v>
      </c>
      <c r="V1096">
        <v>2.744156E-2</v>
      </c>
      <c r="W1096">
        <v>5.4238689999999999E-2</v>
      </c>
      <c r="X1096">
        <v>0.9981508</v>
      </c>
      <c r="Y1096">
        <v>1.301895E-2</v>
      </c>
      <c r="Z1096">
        <v>-1.3584370000000001E-3</v>
      </c>
      <c r="AA1096">
        <v>0.99991430000000003</v>
      </c>
      <c r="AB1096">
        <v>33</v>
      </c>
      <c r="AC1096">
        <v>54.132100000000001</v>
      </c>
      <c r="AD1096">
        <v>7.3573490000000001</v>
      </c>
      <c r="AE1096">
        <v>-1.603</v>
      </c>
      <c r="AF1096">
        <v>0.69198005700568999</v>
      </c>
      <c r="AG1096">
        <v>7.3573490000000001</v>
      </c>
      <c r="AH1096">
        <v>53.169906574805601</v>
      </c>
      <c r="AI1096">
        <v>82.122423429876306</v>
      </c>
      <c r="AJ1096">
        <v>89.254365841695005</v>
      </c>
      <c r="AK1096">
        <v>53.6809871917484</v>
      </c>
      <c r="AL1096">
        <v>86.890826093260898</v>
      </c>
      <c r="AM1096">
        <v>88.425198253724801</v>
      </c>
      <c r="AN1096">
        <v>0.999999947124393</v>
      </c>
    </row>
    <row r="1097" spans="1:40" x14ac:dyDescent="0.25">
      <c r="A1097" t="str">
        <f>"20190312160620887"</f>
        <v>20190312160620887</v>
      </c>
      <c r="B1097" t="str">
        <f>"1552377980875782"</f>
        <v>1552377980875782</v>
      </c>
      <c r="C1097" t="s">
        <v>40</v>
      </c>
      <c r="D1097">
        <v>6.7161809999999997</v>
      </c>
      <c r="E1097">
        <v>0.4998513</v>
      </c>
      <c r="F1097" t="s">
        <v>42</v>
      </c>
      <c r="G1097">
        <v>-170.08879999999999</v>
      </c>
      <c r="H1097">
        <v>8.2015919999999998</v>
      </c>
      <c r="I1097">
        <v>365.59100000000001</v>
      </c>
      <c r="J1097">
        <v>-223.9145</v>
      </c>
      <c r="K1097">
        <v>1.108033</v>
      </c>
      <c r="L1097">
        <v>367.262</v>
      </c>
      <c r="M1097">
        <v>0.99971909999999997</v>
      </c>
      <c r="N1097">
        <v>0</v>
      </c>
      <c r="O1097">
        <v>-1.869815E-2</v>
      </c>
      <c r="P1097">
        <v>0.99810869999999996</v>
      </c>
      <c r="Q1097">
        <v>3.9403420000000001E-2</v>
      </c>
      <c r="R1097">
        <v>-4.7184400000000001E-2</v>
      </c>
      <c r="S1097">
        <v>2.985611</v>
      </c>
      <c r="T1097">
        <v>0.39123960000000002</v>
      </c>
      <c r="U1097">
        <v>-9.2559810000000006E-2</v>
      </c>
      <c r="V1097">
        <v>2.8766920000000001E-2</v>
      </c>
      <c r="W1097">
        <v>5.3811119999999997E-2</v>
      </c>
      <c r="X1097">
        <v>0.99813669999999999</v>
      </c>
      <c r="Y1097">
        <v>1.234477E-2</v>
      </c>
      <c r="Z1097">
        <v>-1.6339989999999999E-3</v>
      </c>
      <c r="AA1097">
        <v>0.99992250000000005</v>
      </c>
      <c r="AB1097">
        <v>33</v>
      </c>
      <c r="AC1097">
        <v>53.825699999999998</v>
      </c>
      <c r="AD1097">
        <v>7.0935589999999999</v>
      </c>
      <c r="AE1097">
        <v>-1.6709999999999301</v>
      </c>
      <c r="AF1097">
        <v>0.65283258362339203</v>
      </c>
      <c r="AG1097">
        <v>7.0935589999999999</v>
      </c>
      <c r="AH1097">
        <v>52.929149182470098</v>
      </c>
      <c r="AI1097">
        <v>82.367283868954402</v>
      </c>
      <c r="AJ1097">
        <v>89.293344863070402</v>
      </c>
      <c r="AK1097">
        <v>53.406362943463002</v>
      </c>
      <c r="AL1097">
        <v>86.915360112132603</v>
      </c>
      <c r="AM1097">
        <v>88.349157004897805</v>
      </c>
      <c r="AN1097">
        <v>1.0000000221044101</v>
      </c>
    </row>
    <row r="1098" spans="1:40" x14ac:dyDescent="0.25">
      <c r="A1098" t="str">
        <f>"20190312160620900"</f>
        <v>20190312160620900</v>
      </c>
      <c r="B1098" t="str">
        <f>"1552377980896279"</f>
        <v>1552377980896279</v>
      </c>
      <c r="C1098" t="s">
        <v>40</v>
      </c>
      <c r="D1098">
        <v>6.5669890000000004</v>
      </c>
      <c r="E1098">
        <v>0.54192989999999996</v>
      </c>
      <c r="F1098" t="s">
        <v>42</v>
      </c>
      <c r="G1098">
        <v>-170.08879999999999</v>
      </c>
      <c r="H1098">
        <v>7.7620059999999897</v>
      </c>
      <c r="I1098">
        <v>364.86579999999998</v>
      </c>
      <c r="J1098">
        <v>-223.73060000000001</v>
      </c>
      <c r="K1098">
        <v>1.1079859999999999</v>
      </c>
      <c r="L1098">
        <v>367.25729999999999</v>
      </c>
      <c r="M1098">
        <v>0.99969390000000002</v>
      </c>
      <c r="N1098">
        <v>0</v>
      </c>
      <c r="O1098">
        <v>-2.00013E-2</v>
      </c>
      <c r="P1098">
        <v>0.99802919999999995</v>
      </c>
      <c r="Q1098">
        <v>3.8845440000000002E-2</v>
      </c>
      <c r="R1098">
        <v>-4.9286280000000002E-2</v>
      </c>
      <c r="S1098">
        <v>2.9848180000000002</v>
      </c>
      <c r="T1098">
        <v>0.36898969999999998</v>
      </c>
      <c r="U1098">
        <v>-0.13287349999999901</v>
      </c>
      <c r="V1098">
        <v>2.9571259999999999E-2</v>
      </c>
      <c r="W1098">
        <v>5.3245460000000001E-2</v>
      </c>
      <c r="X1098">
        <v>0.99814349999999996</v>
      </c>
      <c r="Y1098">
        <v>2.4446140000000002E-2</v>
      </c>
      <c r="Z1098">
        <v>-9.5731250000000005E-4</v>
      </c>
      <c r="AA1098">
        <v>0.9997007</v>
      </c>
      <c r="AB1098">
        <v>33</v>
      </c>
      <c r="AC1098">
        <v>53.641800000000003</v>
      </c>
      <c r="AD1098">
        <v>6.6540199999999903</v>
      </c>
      <c r="AE1098">
        <v>-2.3915000000000002</v>
      </c>
      <c r="AF1098">
        <v>1.2980678819759699</v>
      </c>
      <c r="AG1098">
        <v>6.6540199999999903</v>
      </c>
      <c r="AH1098">
        <v>52.867039454397997</v>
      </c>
      <c r="AI1098">
        <v>82.828425345536104</v>
      </c>
      <c r="AJ1098">
        <v>88.593473904020698</v>
      </c>
      <c r="AK1098">
        <v>53.299951435807998</v>
      </c>
      <c r="AL1098">
        <v>86.947816483824894</v>
      </c>
      <c r="AM1098">
        <v>88.303036640577005</v>
      </c>
      <c r="AN1098">
        <v>0.99999999251042404</v>
      </c>
    </row>
    <row r="1099" spans="1:40" x14ac:dyDescent="0.25">
      <c r="A1099" t="str">
        <f>"20190312160620910"</f>
        <v>20190312160620910</v>
      </c>
      <c r="B1099" t="str">
        <f>"1552377980906039"</f>
        <v>1552377980906039</v>
      </c>
      <c r="C1099" t="s">
        <v>40</v>
      </c>
      <c r="D1099">
        <v>6.3933519999999904</v>
      </c>
      <c r="E1099">
        <v>0.54621350000000002</v>
      </c>
      <c r="F1099" t="s">
        <v>42</v>
      </c>
      <c r="G1099">
        <v>-158.19499999999999</v>
      </c>
      <c r="H1099">
        <v>4.2699179999999997</v>
      </c>
      <c r="I1099">
        <v>356.66390000000001</v>
      </c>
      <c r="J1099">
        <v>-223.55629999999999</v>
      </c>
      <c r="K1099">
        <v>1.107942</v>
      </c>
      <c r="L1099">
        <v>367.25259999999997</v>
      </c>
      <c r="M1099">
        <v>0.99966790000000005</v>
      </c>
      <c r="N1099">
        <v>0</v>
      </c>
      <c r="O1099">
        <v>-2.1256460000000001E-2</v>
      </c>
      <c r="P1099">
        <v>0.99795469999999997</v>
      </c>
      <c r="Q1099">
        <v>3.8297879999999999E-2</v>
      </c>
      <c r="R1099">
        <v>-5.1182150000000003E-2</v>
      </c>
      <c r="S1099">
        <v>2.9765630000000001</v>
      </c>
      <c r="T1099">
        <v>0.14361579999999999</v>
      </c>
      <c r="U1099">
        <v>-0.48114010000000001</v>
      </c>
      <c r="V1099">
        <v>3.0217339999999999E-2</v>
      </c>
      <c r="W1099">
        <v>5.2691200000000001E-2</v>
      </c>
      <c r="X1099">
        <v>0.99815359999999997</v>
      </c>
      <c r="Y1099">
        <v>0.1384166</v>
      </c>
      <c r="Z1099">
        <v>2.297777E-3</v>
      </c>
      <c r="AA1099">
        <v>0.99037140000000001</v>
      </c>
      <c r="AB1099">
        <v>33</v>
      </c>
      <c r="AC1099">
        <v>65.3613</v>
      </c>
      <c r="AD1099">
        <v>3.1619760000000001</v>
      </c>
      <c r="AE1099">
        <v>-10.5886999999999</v>
      </c>
      <c r="AF1099">
        <v>9.1758843594788608</v>
      </c>
      <c r="AG1099">
        <v>3.1619760000000001</v>
      </c>
      <c r="AH1099">
        <v>65.422436983624294</v>
      </c>
      <c r="AI1099">
        <v>87.259732341449094</v>
      </c>
      <c r="AJ1099">
        <v>82.016008614827498</v>
      </c>
      <c r="AK1099">
        <v>66.138417027317701</v>
      </c>
      <c r="AL1099">
        <v>86.979617998680595</v>
      </c>
      <c r="AM1099">
        <v>88.266000905447299</v>
      </c>
      <c r="AN1099">
        <v>1.0000000296935301</v>
      </c>
    </row>
    <row r="1100" spans="1:40" x14ac:dyDescent="0.25">
      <c r="A1100" t="str">
        <f>"20190312160620922"</f>
        <v>20190312160620922</v>
      </c>
      <c r="B1100" t="str">
        <f>"1552377980915798"</f>
        <v>1552377980915798</v>
      </c>
      <c r="C1100" t="s">
        <v>40</v>
      </c>
      <c r="D1100">
        <v>6.5181149999999999</v>
      </c>
      <c r="E1100">
        <v>0.54709719999999995</v>
      </c>
      <c r="F1100" t="s">
        <v>42</v>
      </c>
      <c r="G1100">
        <v>-158.19499999999999</v>
      </c>
      <c r="H1100">
        <v>2.3096640000000002</v>
      </c>
      <c r="I1100">
        <v>355.755</v>
      </c>
      <c r="J1100">
        <v>-223.3964</v>
      </c>
      <c r="K1100">
        <v>1.1079060000000001</v>
      </c>
      <c r="L1100">
        <v>367.24810000000002</v>
      </c>
      <c r="M1100">
        <v>0.99964219999999904</v>
      </c>
      <c r="N1100">
        <v>0</v>
      </c>
      <c r="O1100">
        <v>-2.243471E-2</v>
      </c>
      <c r="P1100">
        <v>0.99788220000000005</v>
      </c>
      <c r="Q1100">
        <v>3.7780290000000001E-2</v>
      </c>
      <c r="R1100">
        <v>-5.294927E-2</v>
      </c>
      <c r="S1100">
        <v>2.9771730000000001</v>
      </c>
      <c r="T1100">
        <v>5.4741739999999997E-2</v>
      </c>
      <c r="U1100">
        <v>-0.52371219999999996</v>
      </c>
      <c r="V1100">
        <v>3.0810049999999999E-2</v>
      </c>
      <c r="W1100">
        <v>5.2167869999999998E-2</v>
      </c>
      <c r="X1100">
        <v>0.99816289999999996</v>
      </c>
      <c r="Y1100">
        <v>0.15108659999999999</v>
      </c>
      <c r="Z1100">
        <v>9.6917909999999995E-4</v>
      </c>
      <c r="AA1100">
        <v>0.98851999999999995</v>
      </c>
      <c r="AB1100">
        <v>33</v>
      </c>
      <c r="AC1100">
        <v>65.201400000000007</v>
      </c>
      <c r="AD1100">
        <v>1.2017579999999899</v>
      </c>
      <c r="AE1100">
        <v>-11.4931</v>
      </c>
      <c r="AF1100">
        <v>10.023974279571499</v>
      </c>
      <c r="AG1100">
        <v>1.2017579999999899</v>
      </c>
      <c r="AH1100">
        <v>65.421302582106193</v>
      </c>
      <c r="AI1100">
        <v>88.959759605974497</v>
      </c>
      <c r="AJ1100">
        <v>81.288782850543498</v>
      </c>
      <c r="AK1100">
        <v>66.195703139913604</v>
      </c>
      <c r="AL1100">
        <v>87.009643687826696</v>
      </c>
      <c r="AM1100">
        <v>88.232026533322099</v>
      </c>
      <c r="AN1100">
        <v>0.99999996038887395</v>
      </c>
    </row>
    <row r="1101" spans="1:40" x14ac:dyDescent="0.25">
      <c r="A1101" t="str">
        <f>"20190312160620934"</f>
        <v>20190312160620934</v>
      </c>
      <c r="B1101" t="str">
        <f>"1552377980926534"</f>
        <v>1552377980926534</v>
      </c>
      <c r="C1101" t="s">
        <v>40</v>
      </c>
      <c r="D1101">
        <v>6.3706160000000001</v>
      </c>
      <c r="E1101">
        <v>0.54911499999999902</v>
      </c>
      <c r="F1101" t="s">
        <v>42</v>
      </c>
      <c r="G1101">
        <v>-158.19499999999999</v>
      </c>
      <c r="H1101">
        <v>2.24919</v>
      </c>
      <c r="I1101">
        <v>355.51389999999998</v>
      </c>
      <c r="J1101">
        <v>-223.2183</v>
      </c>
      <c r="K1101">
        <v>1.1078629999999901</v>
      </c>
      <c r="L1101">
        <v>367.24290000000002</v>
      </c>
      <c r="M1101">
        <v>0.99961180000000005</v>
      </c>
      <c r="N1101">
        <v>0</v>
      </c>
      <c r="O1101">
        <v>-2.375669E-2</v>
      </c>
      <c r="P1101">
        <v>0.99777769999999999</v>
      </c>
      <c r="Q1101">
        <v>3.7886589999999998E-2</v>
      </c>
      <c r="R1101">
        <v>-5.4813670000000002E-2</v>
      </c>
      <c r="S1101">
        <v>2.9759829999999998</v>
      </c>
      <c r="T1101">
        <v>5.2095530000000001E-2</v>
      </c>
      <c r="U1101">
        <v>-0.53558349999999999</v>
      </c>
      <c r="V1101">
        <v>3.1361439999999997E-2</v>
      </c>
      <c r="W1101">
        <v>5.2267389999999997E-2</v>
      </c>
      <c r="X1101">
        <v>0.99814060000000004</v>
      </c>
      <c r="Y1101">
        <v>0.15367030000000001</v>
      </c>
      <c r="Z1101">
        <v>9.2188619999999998E-4</v>
      </c>
      <c r="AA1101">
        <v>0.98812169999999999</v>
      </c>
      <c r="AB1101">
        <v>33</v>
      </c>
      <c r="AC1101">
        <v>65.023300000000006</v>
      </c>
      <c r="AD1101">
        <v>1.141327</v>
      </c>
      <c r="AE1101">
        <v>-11.728999999999999</v>
      </c>
      <c r="AF1101">
        <v>10.177750091478</v>
      </c>
      <c r="AG1101">
        <v>1.141327</v>
      </c>
      <c r="AH1101">
        <v>65.264142512649698</v>
      </c>
      <c r="AI1101">
        <v>89.010086708416395</v>
      </c>
      <c r="AJ1101">
        <v>81.136286060866198</v>
      </c>
      <c r="AK1101">
        <v>66.062830110107697</v>
      </c>
      <c r="AL1101">
        <v>87.003934056572106</v>
      </c>
      <c r="AM1101">
        <v>88.200366557466893</v>
      </c>
      <c r="AN1101">
        <v>1.00000003867232</v>
      </c>
    </row>
    <row r="1102" spans="1:40" x14ac:dyDescent="0.25">
      <c r="A1102" t="str">
        <f>"20190312160620945"</f>
        <v>20190312160620945</v>
      </c>
      <c r="B1102" t="str">
        <f>"1552377980936295"</f>
        <v>1552377980936295</v>
      </c>
      <c r="C1102" t="s">
        <v>40</v>
      </c>
      <c r="D1102">
        <v>6.3986289999999997</v>
      </c>
      <c r="E1102">
        <v>0.55084730000000004</v>
      </c>
      <c r="F1102" t="s">
        <v>42</v>
      </c>
      <c r="G1102">
        <v>-166.62639999999999</v>
      </c>
      <c r="H1102">
        <v>1.2317940000000001</v>
      </c>
      <c r="I1102">
        <v>356.61509999999998</v>
      </c>
      <c r="J1102">
        <v>-223.0531</v>
      </c>
      <c r="K1102">
        <v>1.1078330000000001</v>
      </c>
      <c r="L1102">
        <v>367.23779999999999</v>
      </c>
      <c r="M1102">
        <v>0.99958100000000005</v>
      </c>
      <c r="N1102">
        <v>0</v>
      </c>
      <c r="O1102">
        <v>-2.5016790000000001E-2</v>
      </c>
      <c r="P1102">
        <v>0.99768780000000001</v>
      </c>
      <c r="Q1102">
        <v>3.7919660000000001E-2</v>
      </c>
      <c r="R1102">
        <v>-5.6405160000000003E-2</v>
      </c>
      <c r="S1102">
        <v>2.9757389999999999</v>
      </c>
      <c r="T1102">
        <v>6.5212250000000003E-3</v>
      </c>
      <c r="U1102">
        <v>-0.5588379</v>
      </c>
      <c r="V1102">
        <v>3.1699850000000002E-2</v>
      </c>
      <c r="W1102">
        <v>5.229549E-2</v>
      </c>
      <c r="X1102">
        <v>0.99812840000000003</v>
      </c>
      <c r="Y1102">
        <v>0.15992390000000001</v>
      </c>
      <c r="Z1102">
        <v>1.19397E-4</v>
      </c>
      <c r="AA1102">
        <v>0.98712929999999999</v>
      </c>
      <c r="AB1102">
        <v>33</v>
      </c>
      <c r="AC1102">
        <v>56.426699999999997</v>
      </c>
      <c r="AD1102">
        <v>0.123961</v>
      </c>
      <c r="AE1102">
        <v>-10.6227</v>
      </c>
      <c r="AF1102">
        <v>9.2075672560444897</v>
      </c>
      <c r="AG1102">
        <v>0.123961</v>
      </c>
      <c r="AH1102">
        <v>56.6745463233826</v>
      </c>
      <c r="AI1102">
        <v>89.876302245746999</v>
      </c>
      <c r="AJ1102">
        <v>80.772129494292898</v>
      </c>
      <c r="AK1102">
        <v>57.417757375792199</v>
      </c>
      <c r="AL1102">
        <v>87.002321726791394</v>
      </c>
      <c r="AM1102">
        <v>88.180938119269896</v>
      </c>
      <c r="AN1102">
        <v>1.0000000008254599</v>
      </c>
    </row>
    <row r="1103" spans="1:40" x14ac:dyDescent="0.25">
      <c r="A1103" t="str">
        <f>"20190312160620956"</f>
        <v>20190312160620956</v>
      </c>
      <c r="B1103" t="str">
        <f>"1552377980946055"</f>
        <v>1552377980946055</v>
      </c>
      <c r="C1103" t="s">
        <v>40</v>
      </c>
      <c r="D1103">
        <v>6.4047879999999999</v>
      </c>
      <c r="E1103">
        <v>0.55178329999999998</v>
      </c>
      <c r="F1103" t="s">
        <v>42</v>
      </c>
      <c r="G1103">
        <v>-168.36850000000001</v>
      </c>
      <c r="H1103">
        <v>0.58981039999999996</v>
      </c>
      <c r="I1103">
        <v>356.61509999999998</v>
      </c>
      <c r="J1103">
        <v>-222.89089999999999</v>
      </c>
      <c r="K1103">
        <v>1.107801</v>
      </c>
      <c r="L1103">
        <v>367.23259999999999</v>
      </c>
      <c r="M1103">
        <v>0.99954909999999997</v>
      </c>
      <c r="N1103">
        <v>0</v>
      </c>
      <c r="O1103">
        <v>-2.6259089999999999E-2</v>
      </c>
      <c r="P1103">
        <v>0.99759640000000005</v>
      </c>
      <c r="Q1103">
        <v>3.780099E-2</v>
      </c>
      <c r="R1103">
        <v>-5.8075370000000001E-2</v>
      </c>
      <c r="S1103">
        <v>2.9753419999999999</v>
      </c>
      <c r="T1103">
        <v>-2.8180360000000002E-2</v>
      </c>
      <c r="U1103">
        <v>-0.57797240000000005</v>
      </c>
      <c r="V1103">
        <v>3.213419E-2</v>
      </c>
      <c r="W1103">
        <v>5.2171679999999998E-2</v>
      </c>
      <c r="X1103">
        <v>0.99812100000000004</v>
      </c>
      <c r="Y1103">
        <v>0.16483789999999901</v>
      </c>
      <c r="Z1103">
        <v>-5.2712080000000001E-4</v>
      </c>
      <c r="AA1103">
        <v>0.98632059999999999</v>
      </c>
      <c r="AB1103">
        <v>33</v>
      </c>
      <c r="AC1103">
        <v>54.522399999999898</v>
      </c>
      <c r="AD1103">
        <v>-0.51799059999999997</v>
      </c>
      <c r="AE1103">
        <v>-10.6175</v>
      </c>
      <c r="AF1103">
        <v>9.1811791502926994</v>
      </c>
      <c r="AG1103">
        <v>-0.51799059999999997</v>
      </c>
      <c r="AH1103">
        <v>54.777666971933698</v>
      </c>
      <c r="AI1103">
        <v>90.534333374058093</v>
      </c>
      <c r="AJ1103">
        <v>80.485205062976206</v>
      </c>
      <c r="AK1103">
        <v>55.544173085388003</v>
      </c>
      <c r="AL1103">
        <v>87.009425243222793</v>
      </c>
      <c r="AM1103">
        <v>88.156017413430206</v>
      </c>
      <c r="AN1103">
        <v>1.0000000105009801</v>
      </c>
    </row>
    <row r="1104" spans="1:40" x14ac:dyDescent="0.25">
      <c r="A1104" t="str">
        <f>"20190312160620976"</f>
        <v>20190312160620976</v>
      </c>
      <c r="B1104" t="str">
        <f>"1552377980966565"</f>
        <v>1552377980966565</v>
      </c>
      <c r="C1104" t="s">
        <v>40</v>
      </c>
      <c r="D1104">
        <v>6.5983710000000002</v>
      </c>
      <c r="E1104">
        <v>0.53780220000000001</v>
      </c>
      <c r="F1104" t="s">
        <v>42</v>
      </c>
      <c r="G1104">
        <v>-169.2955</v>
      </c>
      <c r="H1104">
        <v>0.1509771</v>
      </c>
      <c r="I1104">
        <v>356.57940000000002</v>
      </c>
      <c r="J1104">
        <v>-222.59360000000001</v>
      </c>
      <c r="K1104">
        <v>1.107742</v>
      </c>
      <c r="L1104">
        <v>367.22239999999999</v>
      </c>
      <c r="M1104">
        <v>0.99948539999999997</v>
      </c>
      <c r="N1104">
        <v>0</v>
      </c>
      <c r="O1104">
        <v>-2.8583959999999999E-2</v>
      </c>
      <c r="P1104">
        <v>0.99738439999999995</v>
      </c>
      <c r="Q1104">
        <v>3.84216E-2</v>
      </c>
      <c r="R1104">
        <v>-6.122209E-2</v>
      </c>
      <c r="S1104">
        <v>2.9748380000000001</v>
      </c>
      <c r="T1104">
        <v>-5.3103919999999999E-2</v>
      </c>
      <c r="U1104">
        <v>-0.59130859999999996</v>
      </c>
      <c r="V1104">
        <v>3.2972849999999998E-2</v>
      </c>
      <c r="W1104">
        <v>5.2781660000000001E-2</v>
      </c>
      <c r="X1104">
        <v>0.99806150000000005</v>
      </c>
      <c r="Y1104">
        <v>0.16681670000000001</v>
      </c>
      <c r="Z1104">
        <v>-9.6946949999999999E-4</v>
      </c>
      <c r="AA1104">
        <v>0.98598739999999996</v>
      </c>
      <c r="AB1104">
        <v>33</v>
      </c>
      <c r="AC1104">
        <v>53.298099999999998</v>
      </c>
      <c r="AD1104">
        <v>-0.95676489999999903</v>
      </c>
      <c r="AE1104">
        <v>-10.642999999999899</v>
      </c>
      <c r="AF1104">
        <v>9.1121943405409809</v>
      </c>
      <c r="AG1104">
        <v>-0.95676489999999903</v>
      </c>
      <c r="AH1104">
        <v>53.563969974474702</v>
      </c>
      <c r="AI1104">
        <v>91.008823461882201</v>
      </c>
      <c r="AJ1104">
        <v>80.345384959220894</v>
      </c>
      <c r="AK1104">
        <v>54.3419392752972</v>
      </c>
      <c r="AL1104">
        <v>86.974427513894796</v>
      </c>
      <c r="AM1104">
        <v>88.107813719279804</v>
      </c>
      <c r="AN1104">
        <v>0.99999993512586205</v>
      </c>
    </row>
    <row r="1105" spans="1:40" x14ac:dyDescent="0.25">
      <c r="A1105" t="str">
        <f>"20190312160620990"</f>
        <v>20190312160620990</v>
      </c>
      <c r="B1105" t="str">
        <f>"1552377980986084"</f>
        <v>1552377980986084</v>
      </c>
      <c r="C1105" t="s">
        <v>40</v>
      </c>
      <c r="D1105">
        <v>6.647481</v>
      </c>
      <c r="E1105">
        <v>0.54343809999999904</v>
      </c>
      <c r="F1105" t="s">
        <v>42</v>
      </c>
      <c r="G1105">
        <v>-168.84350000000001</v>
      </c>
      <c r="H1105">
        <v>8.84370399999999</v>
      </c>
      <c r="I1105">
        <v>358.57170000000002</v>
      </c>
      <c r="J1105">
        <v>-222.37540000000001</v>
      </c>
      <c r="K1105">
        <v>1.107707</v>
      </c>
      <c r="L1105">
        <v>367.21460000000002</v>
      </c>
      <c r="M1105">
        <v>0.99943419999999905</v>
      </c>
      <c r="N1105">
        <v>0</v>
      </c>
      <c r="O1105">
        <v>-3.032046E-2</v>
      </c>
      <c r="P1105">
        <v>0.99725379999999997</v>
      </c>
      <c r="Q1105">
        <v>3.8430310000000002E-2</v>
      </c>
      <c r="R1105">
        <v>-6.3311350000000002E-2</v>
      </c>
      <c r="S1105">
        <v>2.962189</v>
      </c>
      <c r="T1105">
        <v>0.42633650000000001</v>
      </c>
      <c r="U1105">
        <v>-0.47674559999999999</v>
      </c>
      <c r="V1105">
        <v>3.3334599999999999E-2</v>
      </c>
      <c r="W1105">
        <v>5.2784999999999999E-2</v>
      </c>
      <c r="X1105">
        <v>0.99804939999999998</v>
      </c>
      <c r="Y1105">
        <v>0.1279083</v>
      </c>
      <c r="Z1105">
        <v>4.788268E-3</v>
      </c>
      <c r="AA1105">
        <v>0.99177439999999994</v>
      </c>
      <c r="AB1105">
        <v>33</v>
      </c>
      <c r="AC1105">
        <v>53.5319</v>
      </c>
      <c r="AD1105">
        <v>7.7359969999999896</v>
      </c>
      <c r="AE1105">
        <v>-8.6428999999999903</v>
      </c>
      <c r="AF1105">
        <v>6.87569944143209</v>
      </c>
      <c r="AG1105">
        <v>7.7359969999999896</v>
      </c>
      <c r="AH1105">
        <v>52.696820924755698</v>
      </c>
      <c r="AI1105">
        <v>81.717735231311906</v>
      </c>
      <c r="AJ1105">
        <v>82.566238924643599</v>
      </c>
      <c r="AK1105">
        <v>53.703592319031102</v>
      </c>
      <c r="AL1105">
        <v>86.974236161056695</v>
      </c>
      <c r="AM1105">
        <v>88.087046429919297</v>
      </c>
      <c r="AN1105">
        <v>1.00000002831125</v>
      </c>
    </row>
    <row r="1106" spans="1:40" x14ac:dyDescent="0.25">
      <c r="A1106" t="str">
        <f>"20190312160621004"</f>
        <v>20190312160621004</v>
      </c>
      <c r="B1106" t="str">
        <f>"1552377980995844"</f>
        <v>1552377980995844</v>
      </c>
      <c r="C1106" t="s">
        <v>40</v>
      </c>
      <c r="D1106">
        <v>6.621861</v>
      </c>
      <c r="E1106">
        <v>0.54505760000000003</v>
      </c>
      <c r="F1106" t="s">
        <v>42</v>
      </c>
      <c r="G1106">
        <v>-158.19499999999999</v>
      </c>
      <c r="H1106">
        <v>1.400865</v>
      </c>
      <c r="I1106">
        <v>355.59589999999997</v>
      </c>
      <c r="J1106">
        <v>-222.18770000000001</v>
      </c>
      <c r="K1106">
        <v>1.107677</v>
      </c>
      <c r="L1106">
        <v>367.20740000000001</v>
      </c>
      <c r="M1106">
        <v>0.99938729999999998</v>
      </c>
      <c r="N1106">
        <v>0</v>
      </c>
      <c r="O1106">
        <v>-3.183337E-2</v>
      </c>
      <c r="P1106">
        <v>0.99711780000000005</v>
      </c>
      <c r="Q1106">
        <v>3.875518E-2</v>
      </c>
      <c r="R1106">
        <v>-6.5226320000000004E-2</v>
      </c>
      <c r="S1106">
        <v>2.9735260000000001</v>
      </c>
      <c r="T1106">
        <v>1.3586279999999999E-2</v>
      </c>
      <c r="U1106">
        <v>-0.53829959999999999</v>
      </c>
      <c r="V1106">
        <v>3.3746440000000003E-2</v>
      </c>
      <c r="W1106">
        <v>5.3104030000000003E-2</v>
      </c>
      <c r="X1106">
        <v>0.99801859999999998</v>
      </c>
      <c r="Y1106">
        <v>0.14671629999999899</v>
      </c>
      <c r="Z1106">
        <v>1.8830560000000001E-4</v>
      </c>
      <c r="AA1106">
        <v>0.98917860000000002</v>
      </c>
      <c r="AB1106">
        <v>33</v>
      </c>
      <c r="AC1106">
        <v>63.992699999999999</v>
      </c>
      <c r="AD1106">
        <v>0.293188</v>
      </c>
      <c r="AE1106">
        <v>-11.611499999999999</v>
      </c>
      <c r="AF1106">
        <v>9.5681005679017392</v>
      </c>
      <c r="AG1106">
        <v>0.293188</v>
      </c>
      <c r="AH1106">
        <v>64.328626006593893</v>
      </c>
      <c r="AI1106">
        <v>89.741708545771701</v>
      </c>
      <c r="AJ1106">
        <v>81.539972851637998</v>
      </c>
      <c r="AK1106">
        <v>65.036963579006795</v>
      </c>
      <c r="AL1106">
        <v>86.955931308395094</v>
      </c>
      <c r="AM1106">
        <v>88.063370570808402</v>
      </c>
      <c r="AN1106">
        <v>0.99999999308043697</v>
      </c>
    </row>
    <row r="1107" spans="1:40" x14ac:dyDescent="0.25">
      <c r="A1107" t="str">
        <f>"20190312160621017"</f>
        <v>20190312160621017</v>
      </c>
      <c r="B1107" t="str">
        <f>"1552377981006580"</f>
        <v>1552377981006580</v>
      </c>
      <c r="C1107" t="s">
        <v>40</v>
      </c>
      <c r="D1107">
        <v>6.5628339999999996</v>
      </c>
      <c r="E1107">
        <v>0.54727389999999998</v>
      </c>
      <c r="F1107" t="s">
        <v>42</v>
      </c>
      <c r="G1107">
        <v>-158.19499999999999</v>
      </c>
      <c r="H1107">
        <v>0.98631190000000002</v>
      </c>
      <c r="I1107">
        <v>355.2079</v>
      </c>
      <c r="J1107">
        <v>-221.98740000000001</v>
      </c>
      <c r="K1107">
        <v>1.1076509999999999</v>
      </c>
      <c r="L1107">
        <v>367.1995</v>
      </c>
      <c r="M1107">
        <v>0.99933399999999994</v>
      </c>
      <c r="N1107">
        <v>0</v>
      </c>
      <c r="O1107">
        <v>-3.3460610000000002E-2</v>
      </c>
      <c r="P1107">
        <v>0.99699890000000002</v>
      </c>
      <c r="Q1107">
        <v>3.8552120000000002E-2</v>
      </c>
      <c r="R1107">
        <v>-6.713616E-2</v>
      </c>
      <c r="S1107">
        <v>2.9724270000000002</v>
      </c>
      <c r="T1107">
        <v>-5.6332350000000003E-3</v>
      </c>
      <c r="U1107">
        <v>-0.55737300000000001</v>
      </c>
      <c r="V1107">
        <v>3.4035540000000003E-2</v>
      </c>
      <c r="W1107">
        <v>5.2896430000000001E-2</v>
      </c>
      <c r="X1107">
        <v>0.99801980000000001</v>
      </c>
      <c r="Y1107">
        <v>0.1513079</v>
      </c>
      <c r="Z1107" s="1">
        <v>-7.9323329999999995E-5</v>
      </c>
      <c r="AA1107">
        <v>0.98848659999999999</v>
      </c>
      <c r="AB1107">
        <v>33</v>
      </c>
      <c r="AC1107">
        <v>63.792400000000001</v>
      </c>
      <c r="AD1107">
        <v>-0.12133909999999901</v>
      </c>
      <c r="AE1107">
        <v>-11.9916</v>
      </c>
      <c r="AF1107">
        <v>9.8500904489643695</v>
      </c>
      <c r="AG1107">
        <v>-0.12133909999999901</v>
      </c>
      <c r="AH1107">
        <v>64.157735622972098</v>
      </c>
      <c r="AI1107">
        <v>90.107106254294393</v>
      </c>
      <c r="AJ1107">
        <v>81.271574777355397</v>
      </c>
      <c r="AK1107">
        <v>64.909583616729194</v>
      </c>
      <c r="AL1107">
        <v>86.967842631445507</v>
      </c>
      <c r="AM1107">
        <v>88.046794939396904</v>
      </c>
      <c r="AN1107">
        <v>0.99999998574093796</v>
      </c>
    </row>
    <row r="1108" spans="1:40" x14ac:dyDescent="0.25">
      <c r="A1108" t="str">
        <f>"20190312160621031"</f>
        <v>20190312160621031</v>
      </c>
      <c r="B1108" t="str">
        <f>"1552377981026100"</f>
        <v>1552377981026100</v>
      </c>
      <c r="C1108" t="s">
        <v>40</v>
      </c>
      <c r="D1108">
        <v>6.8478320000000004</v>
      </c>
      <c r="E1108">
        <v>0.54439069999999901</v>
      </c>
      <c r="F1108" t="s">
        <v>42</v>
      </c>
      <c r="G1108">
        <v>-167.82589999999999</v>
      </c>
      <c r="H1108">
        <v>1.1306400000000001</v>
      </c>
      <c r="I1108">
        <v>356.61509999999998</v>
      </c>
      <c r="J1108">
        <v>-221.77440000000001</v>
      </c>
      <c r="K1108">
        <v>1.1076220000000001</v>
      </c>
      <c r="L1108">
        <v>367.19069999999999</v>
      </c>
      <c r="M1108">
        <v>0.99927379999999999</v>
      </c>
      <c r="N1108">
        <v>0</v>
      </c>
      <c r="O1108">
        <v>-3.521349E-2</v>
      </c>
      <c r="P1108">
        <v>0.99685509999999999</v>
      </c>
      <c r="Q1108">
        <v>3.8690389999999998E-2</v>
      </c>
      <c r="R1108">
        <v>-6.9158490000000003E-2</v>
      </c>
      <c r="S1108">
        <v>2.9698790000000002</v>
      </c>
      <c r="T1108">
        <v>1.2654070000000001E-3</v>
      </c>
      <c r="U1108">
        <v>-0.58038330000000005</v>
      </c>
      <c r="V1108">
        <v>3.431443E-2</v>
      </c>
      <c r="W1108">
        <v>5.3029760000000002E-2</v>
      </c>
      <c r="X1108">
        <v>0.99800319999999998</v>
      </c>
      <c r="Y1108">
        <v>0.1571128</v>
      </c>
      <c r="Z1108" s="1">
        <v>1.8307890000000001E-5</v>
      </c>
      <c r="AA1108">
        <v>0.98758069999999998</v>
      </c>
      <c r="AB1108">
        <v>33</v>
      </c>
      <c r="AC1108">
        <v>53.948500000000003</v>
      </c>
      <c r="AD1108">
        <v>2.30179999999999E-2</v>
      </c>
      <c r="AE1108">
        <v>-10.5756</v>
      </c>
      <c r="AF1108">
        <v>8.6691219817973995</v>
      </c>
      <c r="AG1108">
        <v>2.30179999999999E-2</v>
      </c>
      <c r="AH1108">
        <v>54.287468462052502</v>
      </c>
      <c r="AI1108">
        <v>89.976010420516801</v>
      </c>
      <c r="AJ1108">
        <v>80.927087394537693</v>
      </c>
      <c r="AK1108">
        <v>54.975298432859397</v>
      </c>
      <c r="AL1108">
        <v>86.960192726083804</v>
      </c>
      <c r="AM1108">
        <v>88.030770038352799</v>
      </c>
      <c r="AN1108">
        <v>1.0000000113810601</v>
      </c>
    </row>
    <row r="1109" spans="1:40" x14ac:dyDescent="0.25">
      <c r="A1109" t="str">
        <f>"20190312160621045"</f>
        <v>20190312160621045</v>
      </c>
      <c r="B1109" t="str">
        <f>"1552377981035860"</f>
        <v>1552377981035860</v>
      </c>
      <c r="C1109" t="s">
        <v>40</v>
      </c>
      <c r="D1109">
        <v>6.5542939999999996</v>
      </c>
      <c r="E1109">
        <v>0.54590360000000004</v>
      </c>
      <c r="F1109" t="s">
        <v>42</v>
      </c>
      <c r="G1109">
        <v>-158.19499999999999</v>
      </c>
      <c r="H1109">
        <v>1.19373</v>
      </c>
      <c r="I1109">
        <v>355.1284</v>
      </c>
      <c r="J1109">
        <v>-221.58150000000001</v>
      </c>
      <c r="K1109">
        <v>1.1075950000000001</v>
      </c>
      <c r="L1109">
        <v>367.1823</v>
      </c>
      <c r="M1109">
        <v>0.99921599999999999</v>
      </c>
      <c r="N1109">
        <v>0</v>
      </c>
      <c r="O1109">
        <v>-3.6820020000000002E-2</v>
      </c>
      <c r="P1109">
        <v>0.99672819999999995</v>
      </c>
      <c r="Q1109">
        <v>3.8910960000000001E-2</v>
      </c>
      <c r="R1109">
        <v>-7.0846770000000003E-2</v>
      </c>
      <c r="S1109">
        <v>2.970215</v>
      </c>
      <c r="T1109">
        <v>4.0267710000000002E-3</v>
      </c>
      <c r="U1109">
        <v>-0.56350710000000004</v>
      </c>
      <c r="V1109">
        <v>3.4404829999999997E-2</v>
      </c>
      <c r="W1109">
        <v>5.3247360000000001E-2</v>
      </c>
      <c r="X1109">
        <v>0.99798849999999995</v>
      </c>
      <c r="Y1109">
        <v>0.15008940000000001</v>
      </c>
      <c r="Z1109" s="1">
        <v>5.1409639999999999E-5</v>
      </c>
      <c r="AA1109">
        <v>0.98867240000000001</v>
      </c>
      <c r="AB1109">
        <v>33</v>
      </c>
      <c r="AC1109">
        <v>63.386499999999998</v>
      </c>
      <c r="AD1109">
        <v>8.6134999999999795E-2</v>
      </c>
      <c r="AE1109">
        <v>-12.053900000000001</v>
      </c>
      <c r="AF1109">
        <v>9.71156812464098</v>
      </c>
      <c r="AG1109">
        <v>8.6134999999999795E-2</v>
      </c>
      <c r="AH1109">
        <v>63.787267487984401</v>
      </c>
      <c r="AI1109">
        <v>89.923512222187199</v>
      </c>
      <c r="AJ1109">
        <v>81.343235519001098</v>
      </c>
      <c r="AK1109">
        <v>64.522379592366505</v>
      </c>
      <c r="AL1109">
        <v>86.947707520330695</v>
      </c>
      <c r="AM1109">
        <v>88.025557221705796</v>
      </c>
      <c r="AN1109">
        <v>1.00000000990327</v>
      </c>
    </row>
    <row r="1110" spans="1:40" x14ac:dyDescent="0.25">
      <c r="A1110" t="str">
        <f>"20190312160621058"</f>
        <v>20190312160621058</v>
      </c>
      <c r="B1110" t="str">
        <f>"1552377981055888"</f>
        <v>1552377981055888</v>
      </c>
      <c r="C1110" t="s">
        <v>40</v>
      </c>
      <c r="D1110">
        <v>6.6287380000000002</v>
      </c>
      <c r="E1110">
        <v>0.54734869999999902</v>
      </c>
      <c r="F1110" t="s">
        <v>42</v>
      </c>
      <c r="G1110">
        <v>-167.5538</v>
      </c>
      <c r="H1110">
        <v>0.87759880000000001</v>
      </c>
      <c r="I1110">
        <v>356.61509999999998</v>
      </c>
      <c r="J1110">
        <v>-221.37119999999999</v>
      </c>
      <c r="K1110">
        <v>1.1075680000000001</v>
      </c>
      <c r="L1110">
        <v>367.17290000000003</v>
      </c>
      <c r="M1110">
        <v>0.99914939999999997</v>
      </c>
      <c r="N1110">
        <v>0</v>
      </c>
      <c r="O1110">
        <v>-3.8583680000000002E-2</v>
      </c>
      <c r="P1110">
        <v>0.99661480000000002</v>
      </c>
      <c r="Q1110">
        <v>3.8652230000000003E-2</v>
      </c>
      <c r="R1110">
        <v>-7.2562929999999998E-2</v>
      </c>
      <c r="S1110">
        <v>2.9690699999999999</v>
      </c>
      <c r="T1110">
        <v>-1.263452E-2</v>
      </c>
      <c r="U1110">
        <v>-0.58071899999999999</v>
      </c>
      <c r="V1110">
        <v>3.4363209999999998E-2</v>
      </c>
      <c r="W1110">
        <v>5.2985940000000002E-2</v>
      </c>
      <c r="X1110">
        <v>0.9980038</v>
      </c>
      <c r="Y1110">
        <v>0.1539382</v>
      </c>
      <c r="Z1110">
        <v>-1.6197560000000001E-4</v>
      </c>
      <c r="AA1110">
        <v>0.98808039999999997</v>
      </c>
      <c r="AB1110">
        <v>33</v>
      </c>
      <c r="AC1110">
        <v>53.8173999999999</v>
      </c>
      <c r="AD1110">
        <v>-0.22996920000000001</v>
      </c>
      <c r="AE1110">
        <v>-10.5578</v>
      </c>
      <c r="AF1110">
        <v>8.4730944755548396</v>
      </c>
      <c r="AG1110">
        <v>-0.22996920000000001</v>
      </c>
      <c r="AH1110">
        <v>54.1837668008789</v>
      </c>
      <c r="AI1110">
        <v>90.240256079926198</v>
      </c>
      <c r="AJ1110">
        <v>81.112238278955104</v>
      </c>
      <c r="AK1110">
        <v>54.842746106998099</v>
      </c>
      <c r="AL1110">
        <v>86.962706813060805</v>
      </c>
      <c r="AM1110">
        <v>88.027974054382597</v>
      </c>
      <c r="AN1110">
        <v>0.99999996242681299</v>
      </c>
    </row>
    <row r="1111" spans="1:40" x14ac:dyDescent="0.25">
      <c r="A1111" t="str">
        <f>"20190312160621070"</f>
        <v>20190312160621070</v>
      </c>
      <c r="B1111" t="str">
        <f>"1552377981065648"</f>
        <v>1552377981065648</v>
      </c>
      <c r="C1111" t="s">
        <v>40</v>
      </c>
      <c r="D1111">
        <v>6.7436170000000004</v>
      </c>
      <c r="E1111">
        <v>0.54734869999999902</v>
      </c>
      <c r="F1111" t="s">
        <v>42</v>
      </c>
      <c r="G1111">
        <v>-169.03700000000001</v>
      </c>
      <c r="H1111">
        <v>0.1902218</v>
      </c>
      <c r="I1111">
        <v>356.61509999999998</v>
      </c>
      <c r="J1111">
        <v>-221.19390000000001</v>
      </c>
      <c r="K1111">
        <v>1.1075440000000001</v>
      </c>
      <c r="L1111">
        <v>367.16460000000001</v>
      </c>
      <c r="M1111">
        <v>0.99909040000000005</v>
      </c>
      <c r="N1111">
        <v>0</v>
      </c>
      <c r="O1111">
        <v>-4.008403E-2</v>
      </c>
      <c r="P1111">
        <v>0.99649259999999995</v>
      </c>
      <c r="Q1111">
        <v>3.8649540000000003E-2</v>
      </c>
      <c r="R1111">
        <v>-7.422434E-2</v>
      </c>
      <c r="S1111">
        <v>2.9685969999999999</v>
      </c>
      <c r="T1111">
        <v>-5.2030319999999998E-2</v>
      </c>
      <c r="U1111">
        <v>-0.59887699999999999</v>
      </c>
      <c r="V1111">
        <v>3.453109E-2</v>
      </c>
      <c r="W1111">
        <v>5.2979749999999999E-2</v>
      </c>
      <c r="X1111">
        <v>0.99799839999999995</v>
      </c>
      <c r="Y1111">
        <v>0.15828039999999999</v>
      </c>
      <c r="Z1111">
        <v>-6.7841780000000001E-4</v>
      </c>
      <c r="AA1111">
        <v>0.98739399999999999</v>
      </c>
      <c r="AB1111">
        <v>33</v>
      </c>
      <c r="AC1111">
        <v>52.1569</v>
      </c>
      <c r="AD1111">
        <v>-0.91732219999999998</v>
      </c>
      <c r="AE1111">
        <v>-10.5495</v>
      </c>
      <c r="AF1111">
        <v>8.4476292931517207</v>
      </c>
      <c r="AG1111">
        <v>-0.91732219999999998</v>
      </c>
      <c r="AH1111">
        <v>52.522276388613498</v>
      </c>
      <c r="AI1111">
        <v>90.987897678729396</v>
      </c>
      <c r="AJ1111">
        <v>80.862859158712297</v>
      </c>
      <c r="AK1111">
        <v>53.205201228216701</v>
      </c>
      <c r="AL1111">
        <v>86.963062172870593</v>
      </c>
      <c r="AM1111">
        <v>88.018336754326896</v>
      </c>
      <c r="AN1111">
        <v>1.0000000282446</v>
      </c>
    </row>
    <row r="1112" spans="1:40" x14ac:dyDescent="0.25">
      <c r="A1112" t="str">
        <f>"20190312160621083"</f>
        <v>20190312160621083</v>
      </c>
      <c r="B1112" t="str">
        <f>"1552377981076384"</f>
        <v>1552377981076384</v>
      </c>
      <c r="C1112" t="s">
        <v>40</v>
      </c>
      <c r="D1112">
        <v>6.6769550000000004</v>
      </c>
      <c r="E1112">
        <v>0.53535279999999996</v>
      </c>
      <c r="F1112" t="s">
        <v>42</v>
      </c>
      <c r="G1112">
        <v>-169.2955</v>
      </c>
      <c r="H1112">
        <v>0.1986656</v>
      </c>
      <c r="I1112">
        <v>356.60489999999999</v>
      </c>
      <c r="J1112">
        <v>-221.02260000000001</v>
      </c>
      <c r="K1112">
        <v>1.107529</v>
      </c>
      <c r="L1112">
        <v>367.15640000000002</v>
      </c>
      <c r="M1112">
        <v>0.99903070000000005</v>
      </c>
      <c r="N1112">
        <v>0</v>
      </c>
      <c r="O1112">
        <v>-4.1546670000000001E-2</v>
      </c>
      <c r="P1112">
        <v>0.99639080000000002</v>
      </c>
      <c r="Q1112">
        <v>3.827585E-2</v>
      </c>
      <c r="R1112">
        <v>-7.5767609999999999E-2</v>
      </c>
      <c r="S1112">
        <v>2.9676209999999998</v>
      </c>
      <c r="T1112">
        <v>-5.1965829999999998E-2</v>
      </c>
      <c r="U1112">
        <v>-0.60382080000000005</v>
      </c>
      <c r="V1112">
        <v>3.4615609999999998E-2</v>
      </c>
      <c r="W1112">
        <v>5.2603570000000002E-2</v>
      </c>
      <c r="X1112">
        <v>0.99801530000000005</v>
      </c>
      <c r="Y1112">
        <v>0.15847820000000001</v>
      </c>
      <c r="Z1112">
        <v>-6.541187E-4</v>
      </c>
      <c r="AA1112">
        <v>0.98736230000000003</v>
      </c>
      <c r="AB1112">
        <v>33</v>
      </c>
      <c r="AC1112">
        <v>51.7271</v>
      </c>
      <c r="AD1112">
        <v>-0.90886339999999999</v>
      </c>
      <c r="AE1112">
        <v>-10.551500000000001</v>
      </c>
      <c r="AF1112">
        <v>8.3905845946041104</v>
      </c>
      <c r="AG1112">
        <v>-0.90886339999999999</v>
      </c>
      <c r="AH1112">
        <v>52.105410329846997</v>
      </c>
      <c r="AI1112">
        <v>90.986589366303804</v>
      </c>
      <c r="AJ1112">
        <v>80.852136768251896</v>
      </c>
      <c r="AK1112">
        <v>52.784483782270598</v>
      </c>
      <c r="AL1112">
        <v>86.984645582634101</v>
      </c>
      <c r="AM1112">
        <v>88.0135238308103</v>
      </c>
      <c r="AN1112">
        <v>0.99999995753325199</v>
      </c>
    </row>
    <row r="1113" spans="1:40" x14ac:dyDescent="0.25">
      <c r="A1113" t="str">
        <f>"20190312160621094"</f>
        <v>20190312160621094</v>
      </c>
      <c r="B1113" t="str">
        <f>"1552377981086144"</f>
        <v>1552377981086144</v>
      </c>
      <c r="C1113" t="s">
        <v>40</v>
      </c>
      <c r="D1113">
        <v>6.7067579999999998</v>
      </c>
      <c r="E1113">
        <v>0.53523719999999997</v>
      </c>
      <c r="F1113" t="s">
        <v>42</v>
      </c>
      <c r="G1113">
        <v>-170.08879999999999</v>
      </c>
      <c r="H1113">
        <v>7.348719</v>
      </c>
      <c r="I1113">
        <v>358.51119999999997</v>
      </c>
      <c r="J1113">
        <v>-220.8484</v>
      </c>
      <c r="K1113">
        <v>1.1075090000000001</v>
      </c>
      <c r="L1113">
        <v>367.14780000000002</v>
      </c>
      <c r="M1113">
        <v>0.99896750000000001</v>
      </c>
      <c r="N1113">
        <v>0</v>
      </c>
      <c r="O1113">
        <v>-4.3039220000000003E-2</v>
      </c>
      <c r="P1113">
        <v>0.9962801</v>
      </c>
      <c r="Q1113">
        <v>3.7998579999999997E-2</v>
      </c>
      <c r="R1113">
        <v>-7.7348929999999996E-2</v>
      </c>
      <c r="S1113">
        <v>2.958755</v>
      </c>
      <c r="T1113">
        <v>0.3625565</v>
      </c>
      <c r="U1113">
        <v>-0.50219729999999996</v>
      </c>
      <c r="V1113">
        <v>3.4708669999999997E-2</v>
      </c>
      <c r="W1113">
        <v>5.2323109999999999E-2</v>
      </c>
      <c r="X1113">
        <v>0.99802679999999999</v>
      </c>
      <c r="Y1113">
        <v>0.1241585</v>
      </c>
      <c r="Z1113">
        <v>2.3134549999999999E-3</v>
      </c>
      <c r="AA1113">
        <v>0.99225969999999997</v>
      </c>
      <c r="AB1113">
        <v>33</v>
      </c>
      <c r="AC1113">
        <v>50.759599999999999</v>
      </c>
      <c r="AD1113">
        <v>6.2412099999999997</v>
      </c>
      <c r="AE1113">
        <v>-8.6366000000000405</v>
      </c>
      <c r="AF1113">
        <v>6.3504050327098698</v>
      </c>
      <c r="AG1113">
        <v>6.2412099999999997</v>
      </c>
      <c r="AH1113">
        <v>50.344600065134202</v>
      </c>
      <c r="AI1113">
        <v>82.988112267934397</v>
      </c>
      <c r="AJ1113">
        <v>82.810750764922005</v>
      </c>
      <c r="AK1113">
        <v>51.125914192920497</v>
      </c>
      <c r="AL1113">
        <v>87.000736884940196</v>
      </c>
      <c r="AM1113">
        <v>88.008210651528898</v>
      </c>
      <c r="AN1113">
        <v>0.99999994656573898</v>
      </c>
    </row>
    <row r="1114" spans="1:40" x14ac:dyDescent="0.25">
      <c r="A1114" t="str">
        <f>"20190312160621105"</f>
        <v>20190312160621105</v>
      </c>
      <c r="B1114" t="str">
        <f>"1552377981095904"</f>
        <v>1552377981095904</v>
      </c>
      <c r="C1114" t="s">
        <v>40</v>
      </c>
      <c r="D1114">
        <v>6.724291</v>
      </c>
      <c r="E1114">
        <v>0.5351667</v>
      </c>
      <c r="F1114" t="s">
        <v>42</v>
      </c>
      <c r="G1114">
        <v>-170.08879999999999</v>
      </c>
      <c r="H1114">
        <v>6.8923229999999904</v>
      </c>
      <c r="I1114">
        <v>358.45280000000002</v>
      </c>
      <c r="J1114">
        <v>-220.67259999999999</v>
      </c>
      <c r="K1114">
        <v>1.1074930000000001</v>
      </c>
      <c r="L1114">
        <v>367.13869999999997</v>
      </c>
      <c r="M1114">
        <v>0.99890049999999997</v>
      </c>
      <c r="N1114">
        <v>0</v>
      </c>
      <c r="O1114">
        <v>-4.4563569999999997E-2</v>
      </c>
      <c r="P1114">
        <v>0.9961546</v>
      </c>
      <c r="Q1114">
        <v>3.7963959999999998E-2</v>
      </c>
      <c r="R1114">
        <v>-7.8960260000000004E-2</v>
      </c>
      <c r="S1114">
        <v>2.9589840000000001</v>
      </c>
      <c r="T1114">
        <v>0.33722479999999999</v>
      </c>
      <c r="U1114">
        <v>-0.5068665</v>
      </c>
      <c r="V1114">
        <v>3.4802189999999997E-2</v>
      </c>
      <c r="W1114">
        <v>5.2285970000000001E-2</v>
      </c>
      <c r="X1114">
        <v>0.99802550000000001</v>
      </c>
      <c r="Y1114">
        <v>0.1242418</v>
      </c>
      <c r="Z1114">
        <v>1.9856650000000002E-3</v>
      </c>
      <c r="AA1114">
        <v>0.99224999999999997</v>
      </c>
      <c r="AB1114">
        <v>33</v>
      </c>
      <c r="AC1114">
        <v>50.583799999999997</v>
      </c>
      <c r="AD1114">
        <v>5.7848300000000004</v>
      </c>
      <c r="AE1114">
        <v>-8.6858999999999398</v>
      </c>
      <c r="AF1114">
        <v>6.3422639287785598</v>
      </c>
      <c r="AG1114">
        <v>5.7848300000000004</v>
      </c>
      <c r="AH1114">
        <v>50.281875172166501</v>
      </c>
      <c r="AI1114">
        <v>83.488236138707407</v>
      </c>
      <c r="AJ1114">
        <v>82.811007693832593</v>
      </c>
      <c r="AK1114">
        <v>51.0093671858466</v>
      </c>
      <c r="AL1114">
        <v>87.002867798006406</v>
      </c>
      <c r="AM1114">
        <v>88.002845660087601</v>
      </c>
      <c r="AN1114">
        <v>0.99999995686894205</v>
      </c>
    </row>
    <row r="1115" spans="1:40" x14ac:dyDescent="0.25">
      <c r="A1115" t="str">
        <f>"20190312160621117"</f>
        <v>20190312160621117</v>
      </c>
      <c r="B1115" t="str">
        <f>"1552377981106640"</f>
        <v>1552377981106640</v>
      </c>
      <c r="C1115" t="s">
        <v>40</v>
      </c>
      <c r="D1115">
        <v>6.5424020000000001</v>
      </c>
      <c r="E1115">
        <v>0.5351667</v>
      </c>
      <c r="F1115" t="s">
        <v>42</v>
      </c>
      <c r="G1115">
        <v>-167.3561</v>
      </c>
      <c r="H1115">
        <v>6.6740880000000002</v>
      </c>
      <c r="I1115">
        <v>357.92239999999998</v>
      </c>
      <c r="J1115">
        <v>-220.51400000000001</v>
      </c>
      <c r="K1115">
        <v>1.107472</v>
      </c>
      <c r="L1115">
        <v>367.13029999999998</v>
      </c>
      <c r="M1115">
        <v>0.99883820000000001</v>
      </c>
      <c r="N1115">
        <v>0</v>
      </c>
      <c r="O1115">
        <v>-4.594206E-2</v>
      </c>
      <c r="P1115">
        <v>0.99604760000000003</v>
      </c>
      <c r="Q1115">
        <v>3.7857759999999997E-2</v>
      </c>
      <c r="R1115">
        <v>-8.0351720000000001E-2</v>
      </c>
      <c r="S1115">
        <v>2.9592589999999999</v>
      </c>
      <c r="T1115">
        <v>0.30897069999999999</v>
      </c>
      <c r="U1115">
        <v>-0.51153559999999998</v>
      </c>
      <c r="V1115">
        <v>3.4820209999999997E-2</v>
      </c>
      <c r="W1115">
        <v>5.2177389999999997E-2</v>
      </c>
      <c r="X1115">
        <v>0.99803059999999999</v>
      </c>
      <c r="Y1115">
        <v>0.1244642</v>
      </c>
      <c r="Z1115">
        <v>1.6892299999999999E-3</v>
      </c>
      <c r="AA1115">
        <v>0.99222270000000001</v>
      </c>
      <c r="AB1115">
        <v>33</v>
      </c>
      <c r="AC1115">
        <v>53.157899999999998</v>
      </c>
      <c r="AD1115">
        <v>5.5666159999999998</v>
      </c>
      <c r="AE1115">
        <v>-9.2078999999999898</v>
      </c>
      <c r="AF1115">
        <v>6.6845661608384201</v>
      </c>
      <c r="AG1115">
        <v>5.5666159999999998</v>
      </c>
      <c r="AH1115">
        <v>52.960983338040201</v>
      </c>
      <c r="AI1115">
        <v>84.046683770553599</v>
      </c>
      <c r="AJ1115">
        <v>82.806348695373998</v>
      </c>
      <c r="AK1115">
        <v>53.670628788772802</v>
      </c>
      <c r="AL1115">
        <v>87.0090976150492</v>
      </c>
      <c r="AM1115">
        <v>88.001822607163007</v>
      </c>
      <c r="AN1115">
        <v>1.0000000027939999</v>
      </c>
    </row>
    <row r="1116" spans="1:40" x14ac:dyDescent="0.25">
      <c r="A1116" t="str">
        <f>"20190312160621130"</f>
        <v>20190312160621130</v>
      </c>
      <c r="B1116" t="str">
        <f>"1552377981126160"</f>
        <v>1552377981126160</v>
      </c>
      <c r="C1116" t="s">
        <v>40</v>
      </c>
      <c r="D1116">
        <v>6.5151909999999997</v>
      </c>
      <c r="E1116">
        <v>0.55381130000000001</v>
      </c>
      <c r="F1116" t="s">
        <v>42</v>
      </c>
      <c r="G1116">
        <v>-167.1576</v>
      </c>
      <c r="H1116">
        <v>6.6740880000000002</v>
      </c>
      <c r="I1116">
        <v>357.82679999999999</v>
      </c>
      <c r="J1116">
        <v>-220.3219</v>
      </c>
      <c r="K1116">
        <v>1.1074550000000001</v>
      </c>
      <c r="L1116">
        <v>367.1198</v>
      </c>
      <c r="M1116">
        <v>0.99875959999999997</v>
      </c>
      <c r="N1116">
        <v>0</v>
      </c>
      <c r="O1116">
        <v>-4.7623730000000003E-2</v>
      </c>
      <c r="P1116">
        <v>0.99590579999999995</v>
      </c>
      <c r="Q1116">
        <v>3.7931300000000001E-2</v>
      </c>
      <c r="R1116">
        <v>-8.2055310000000006E-2</v>
      </c>
      <c r="S1116">
        <v>2.9585569999999999</v>
      </c>
      <c r="T1116">
        <v>0.30866739999999998</v>
      </c>
      <c r="U1116">
        <v>-0.51586909999999997</v>
      </c>
      <c r="V1116">
        <v>3.4849600000000001E-2</v>
      </c>
      <c r="W1116">
        <v>5.2248820000000001E-2</v>
      </c>
      <c r="X1116">
        <v>0.99802579999999996</v>
      </c>
      <c r="Y1116">
        <v>0.1242547</v>
      </c>
      <c r="Z1116">
        <v>1.5037869999999999E-3</v>
      </c>
      <c r="AA1116">
        <v>0.99224920000000005</v>
      </c>
      <c r="AB1116">
        <v>33</v>
      </c>
      <c r="AC1116">
        <v>53.164299999999997</v>
      </c>
      <c r="AD1116">
        <v>5.5666330000000004</v>
      </c>
      <c r="AE1116">
        <v>-9.2929999999999993</v>
      </c>
      <c r="AF1116">
        <v>6.6792475566807497</v>
      </c>
      <c r="AG1116">
        <v>5.5666330000000004</v>
      </c>
      <c r="AH1116">
        <v>52.9829275340783</v>
      </c>
      <c r="AI1116">
        <v>84.049001753516094</v>
      </c>
      <c r="AJ1116">
        <v>82.814958429225598</v>
      </c>
      <c r="AK1116">
        <v>53.691622819221202</v>
      </c>
      <c r="AL1116">
        <v>87.004999276023497</v>
      </c>
      <c r="AM1116">
        <v>88.000127803832896</v>
      </c>
      <c r="AN1116">
        <v>0.99999996563859495</v>
      </c>
    </row>
    <row r="1117" spans="1:40" x14ac:dyDescent="0.25">
      <c r="A1117" t="str">
        <f>"20190312160621144"</f>
        <v>20190312160621144</v>
      </c>
      <c r="B1117" t="str">
        <f>"1552377981135920"</f>
        <v>1552377981135920</v>
      </c>
      <c r="C1117" t="s">
        <v>40</v>
      </c>
      <c r="D1117">
        <v>6.4935769999999904</v>
      </c>
      <c r="E1117">
        <v>0.54921730000000002</v>
      </c>
      <c r="F1117" t="s">
        <v>44</v>
      </c>
      <c r="G1117">
        <v>-219.547</v>
      </c>
      <c r="H1117">
        <v>1.029582</v>
      </c>
      <c r="I1117">
        <v>366.94080000000002</v>
      </c>
      <c r="J1117">
        <v>-220.11410000000001</v>
      </c>
      <c r="K1117">
        <v>1.1074409999999999</v>
      </c>
      <c r="L1117">
        <v>367.10820000000001</v>
      </c>
      <c r="M1117">
        <v>0.99867050000000002</v>
      </c>
      <c r="N1117">
        <v>0</v>
      </c>
      <c r="O1117">
        <v>-4.9452839999999998E-2</v>
      </c>
      <c r="P1117">
        <v>0.99576640000000005</v>
      </c>
      <c r="Q1117">
        <v>3.8168889999999997E-2</v>
      </c>
      <c r="R1117">
        <v>-8.362166E-2</v>
      </c>
      <c r="S1117">
        <v>2.967285</v>
      </c>
      <c r="T1117">
        <v>-0.29840060000000002</v>
      </c>
      <c r="U1117">
        <v>-0.68441770000000002</v>
      </c>
      <c r="V1117">
        <v>3.4595380000000002E-2</v>
      </c>
      <c r="W1117">
        <v>5.2485480000000001E-2</v>
      </c>
      <c r="X1117">
        <v>0.99802230000000003</v>
      </c>
      <c r="Y1117">
        <v>0.17568259999999999</v>
      </c>
      <c r="Z1117">
        <v>-3.8090760000000002E-3</v>
      </c>
      <c r="AA1117">
        <v>0.98443950000000002</v>
      </c>
      <c r="AB1117">
        <v>33</v>
      </c>
      <c r="AC1117">
        <v>0.56710000000001004</v>
      </c>
      <c r="AD1117">
        <v>-7.7858999999999901E-2</v>
      </c>
      <c r="AE1117">
        <v>-0.167399999999986</v>
      </c>
      <c r="AF1117">
        <v>0.13677595353122399</v>
      </c>
      <c r="AG1117">
        <v>-7.7858999999999901E-2</v>
      </c>
      <c r="AH1117">
        <v>0.56489082801142698</v>
      </c>
      <c r="AI1117">
        <v>97.629881778739801</v>
      </c>
      <c r="AJ1117">
        <v>76.389031085246899</v>
      </c>
      <c r="AK1117">
        <v>0.58640543390798405</v>
      </c>
      <c r="AL1117">
        <v>86.991421245370503</v>
      </c>
      <c r="AM1117">
        <v>88.014697748384805</v>
      </c>
      <c r="AN1117">
        <v>1.0000000386127299</v>
      </c>
    </row>
    <row r="1118" spans="1:40" x14ac:dyDescent="0.25">
      <c r="A1118" t="str">
        <f>"20190312160621155"</f>
        <v>20190312160621155</v>
      </c>
      <c r="B1118" t="str">
        <f>"1552377981145680"</f>
        <v>1552377981145680</v>
      </c>
      <c r="C1118" t="s">
        <v>40</v>
      </c>
      <c r="D1118">
        <v>6.4940519999999999</v>
      </c>
      <c r="E1118">
        <v>0.55110939999999997</v>
      </c>
      <c r="F1118" t="s">
        <v>48</v>
      </c>
      <c r="G1118">
        <v>-206.4984</v>
      </c>
      <c r="H1118" s="1">
        <v>-4.871589E-6</v>
      </c>
      <c r="I1118">
        <v>364.12</v>
      </c>
      <c r="J1118">
        <v>-219.9392</v>
      </c>
      <c r="K1118">
        <v>1.107429</v>
      </c>
      <c r="L1118">
        <v>367.09809999999999</v>
      </c>
      <c r="M1118">
        <v>0.9985927</v>
      </c>
      <c r="N1118">
        <v>0</v>
      </c>
      <c r="O1118">
        <v>-5.0999339999999997E-2</v>
      </c>
      <c r="P1118">
        <v>0.99561549999999999</v>
      </c>
      <c r="Q1118">
        <v>3.8451449999999998E-2</v>
      </c>
      <c r="R1118">
        <v>-8.5271159999999999E-2</v>
      </c>
      <c r="S1118">
        <v>2.9673159999999998</v>
      </c>
      <c r="T1118">
        <v>-0.24134910000000001</v>
      </c>
      <c r="U1118">
        <v>-0.65121459999999998</v>
      </c>
      <c r="V1118">
        <v>3.4707290000000002E-2</v>
      </c>
      <c r="W1118">
        <v>5.2764529999999997E-2</v>
      </c>
      <c r="X1118">
        <v>0.99800370000000005</v>
      </c>
      <c r="Y1118">
        <v>0.163908</v>
      </c>
      <c r="Z1118">
        <v>-2.4906960000000001E-3</v>
      </c>
      <c r="AA1118">
        <v>0.98647249999999997</v>
      </c>
      <c r="AB1118">
        <v>33</v>
      </c>
      <c r="AC1118">
        <v>13.4407999999999</v>
      </c>
      <c r="AD1118">
        <v>-1.107433871589</v>
      </c>
      <c r="AE1118">
        <v>-2.97809999999998</v>
      </c>
      <c r="AF1118">
        <v>2.2739644359708802</v>
      </c>
      <c r="AG1118">
        <v>-1.107433871589</v>
      </c>
      <c r="AH1118">
        <v>13.4879225581524</v>
      </c>
      <c r="AI1118">
        <v>94.628743652640694</v>
      </c>
      <c r="AJ1118">
        <v>80.430343882622907</v>
      </c>
      <c r="AK1118">
        <v>13.7230236817809</v>
      </c>
      <c r="AL1118">
        <v>86.975410672910201</v>
      </c>
      <c r="AM1118">
        <v>88.008243716925193</v>
      </c>
      <c r="AN1118">
        <v>1.00000003840947</v>
      </c>
    </row>
    <row r="1119" spans="1:40" x14ac:dyDescent="0.25">
      <c r="A1119" t="str">
        <f>"20190312160621167"</f>
        <v>20190312160621167</v>
      </c>
      <c r="B1119" t="str">
        <f>"1552377981155948"</f>
        <v>1552377981155948</v>
      </c>
      <c r="C1119" t="s">
        <v>40</v>
      </c>
      <c r="D1119">
        <v>6.4817239999999998</v>
      </c>
      <c r="E1119">
        <v>0.55238769999999904</v>
      </c>
      <c r="F1119" t="s">
        <v>44</v>
      </c>
      <c r="G1119">
        <v>-218.96430000000001</v>
      </c>
      <c r="H1119">
        <v>1.021002</v>
      </c>
      <c r="I1119">
        <v>366.87709999999998</v>
      </c>
      <c r="J1119">
        <v>-219.7672</v>
      </c>
      <c r="K1119">
        <v>1.107418</v>
      </c>
      <c r="L1119">
        <v>367.08780000000002</v>
      </c>
      <c r="M1119">
        <v>0.99851350000000005</v>
      </c>
      <c r="N1119">
        <v>0</v>
      </c>
      <c r="O1119">
        <v>-5.2529819999999998E-2</v>
      </c>
      <c r="P1119">
        <v>0.99547680000000005</v>
      </c>
      <c r="Q1119">
        <v>3.8557069999999999E-2</v>
      </c>
      <c r="R1119">
        <v>-8.68313E-2</v>
      </c>
      <c r="S1119">
        <v>2.9658359999999999</v>
      </c>
      <c r="T1119">
        <v>-0.2629261</v>
      </c>
      <c r="U1119">
        <v>-0.67166139999999996</v>
      </c>
      <c r="V1119">
        <v>3.4743499999999997E-2</v>
      </c>
      <c r="W1119">
        <v>5.2868329999999998E-2</v>
      </c>
      <c r="X1119">
        <v>0.99799689999999996</v>
      </c>
      <c r="Y1119">
        <v>0.16889709999999999</v>
      </c>
      <c r="Z1119">
        <v>-2.7968139999999999E-3</v>
      </c>
      <c r="AA1119">
        <v>0.98562969999999905</v>
      </c>
      <c r="AB1119">
        <v>33</v>
      </c>
      <c r="AC1119">
        <v>0.80289999999999395</v>
      </c>
      <c r="AD1119">
        <v>-8.6416000000000007E-2</v>
      </c>
      <c r="AE1119">
        <v>-0.210700000000031</v>
      </c>
      <c r="AF1119">
        <v>0.16642470385361899</v>
      </c>
      <c r="AG1119">
        <v>-8.6416000000000007E-2</v>
      </c>
      <c r="AH1119">
        <v>0.80414526537028896</v>
      </c>
      <c r="AI1119">
        <v>96.007304674052406</v>
      </c>
      <c r="AJ1119">
        <v>78.307226783475301</v>
      </c>
      <c r="AK1119">
        <v>0.82572060342843401</v>
      </c>
      <c r="AL1119">
        <v>86.969454917097593</v>
      </c>
      <c r="AM1119">
        <v>88.006153826230104</v>
      </c>
      <c r="AN1119">
        <v>0.999999991759424</v>
      </c>
    </row>
    <row r="1120" spans="1:40" x14ac:dyDescent="0.25">
      <c r="A1120" t="str">
        <f>"20190312160621179"</f>
        <v>20190312160621179</v>
      </c>
      <c r="B1120" t="str">
        <f>"1552377981176444"</f>
        <v>1552377981176444</v>
      </c>
      <c r="C1120" t="s">
        <v>40</v>
      </c>
      <c r="D1120">
        <v>6.5466749999999996</v>
      </c>
      <c r="E1120">
        <v>0.5530602</v>
      </c>
      <c r="F1120" t="s">
        <v>44</v>
      </c>
      <c r="G1120">
        <v>-218.95930000000001</v>
      </c>
      <c r="H1120">
        <v>1.0313289999999999</v>
      </c>
      <c r="I1120">
        <v>366.90050000000002</v>
      </c>
      <c r="J1120">
        <v>-219.6087</v>
      </c>
      <c r="K1120">
        <v>1.1074109999999999</v>
      </c>
      <c r="L1120">
        <v>367.07819999999998</v>
      </c>
      <c r="M1120">
        <v>0.9984381</v>
      </c>
      <c r="N1120">
        <v>0</v>
      </c>
      <c r="O1120">
        <v>-5.3942850000000001E-2</v>
      </c>
      <c r="P1120">
        <v>0.99536139999999995</v>
      </c>
      <c r="Q1120">
        <v>3.8616900000000003E-2</v>
      </c>
      <c r="R1120">
        <v>-8.8116269999999997E-2</v>
      </c>
      <c r="S1120">
        <v>2.9645540000000001</v>
      </c>
      <c r="T1120">
        <v>-0.2792287</v>
      </c>
      <c r="U1120">
        <v>-0.68679809999999997</v>
      </c>
      <c r="V1120">
        <v>3.4621260000000001E-2</v>
      </c>
      <c r="W1120">
        <v>5.2926899999999999E-2</v>
      </c>
      <c r="X1120">
        <v>0.9979981</v>
      </c>
      <c r="Y1120">
        <v>0.1723114</v>
      </c>
      <c r="Z1120">
        <v>-2.997062E-3</v>
      </c>
      <c r="AA1120">
        <v>0.98503799999999997</v>
      </c>
      <c r="AB1120">
        <v>33</v>
      </c>
      <c r="AC1120">
        <v>0.64939999999998499</v>
      </c>
      <c r="AD1120">
        <v>-7.60819999999999E-2</v>
      </c>
      <c r="AE1120">
        <v>-0.177699999999958</v>
      </c>
      <c r="AF1120">
        <v>0.14061146116423001</v>
      </c>
      <c r="AG1120">
        <v>-7.60819999999999E-2</v>
      </c>
      <c r="AH1120">
        <v>0.64974391897866801</v>
      </c>
      <c r="AI1120">
        <v>96.528870815314505</v>
      </c>
      <c r="AJ1120">
        <v>77.788892599969699</v>
      </c>
      <c r="AK1120">
        <v>0.66912421416691903</v>
      </c>
      <c r="AL1120">
        <v>86.966094569114006</v>
      </c>
      <c r="AM1120">
        <v>88.013165641630593</v>
      </c>
      <c r="AN1120">
        <v>1.0000000479955999</v>
      </c>
    </row>
    <row r="1121" spans="1:40" x14ac:dyDescent="0.25">
      <c r="A1121" t="str">
        <f>"20190312160621191"</f>
        <v>20190312160621191</v>
      </c>
      <c r="B1121" t="str">
        <f>"1552377981186204"</f>
        <v>1552377981186204</v>
      </c>
      <c r="C1121" t="s">
        <v>40</v>
      </c>
      <c r="D1121">
        <v>6.6142789999999998</v>
      </c>
      <c r="E1121">
        <v>0.55321089999999995</v>
      </c>
      <c r="F1121" t="s">
        <v>44</v>
      </c>
      <c r="G1121">
        <v>-218.6773</v>
      </c>
      <c r="H1121">
        <v>1.015031</v>
      </c>
      <c r="I1121">
        <v>366.85899999999998</v>
      </c>
      <c r="J1121">
        <v>-219.43600000000001</v>
      </c>
      <c r="K1121">
        <v>1.107402</v>
      </c>
      <c r="L1121">
        <v>367.06740000000002</v>
      </c>
      <c r="M1121">
        <v>0.99835339999999995</v>
      </c>
      <c r="N1121">
        <v>0</v>
      </c>
      <c r="O1121">
        <v>-5.5489150000000001E-2</v>
      </c>
      <c r="P1121">
        <v>0.99525300000000005</v>
      </c>
      <c r="Q1121">
        <v>3.8355529999999999E-2</v>
      </c>
      <c r="R1121">
        <v>-8.9445899999999995E-2</v>
      </c>
      <c r="S1121">
        <v>2.9637150000000001</v>
      </c>
      <c r="T1121">
        <v>-0.2940817</v>
      </c>
      <c r="U1121">
        <v>-0.69662480000000004</v>
      </c>
      <c r="V1121">
        <v>3.4407559999999997E-2</v>
      </c>
      <c r="W1121">
        <v>5.2665959999999998E-2</v>
      </c>
      <c r="X1121">
        <v>0.9980192</v>
      </c>
      <c r="Y1121">
        <v>0.1738905</v>
      </c>
      <c r="Z1121">
        <v>-3.0822919999999999E-3</v>
      </c>
      <c r="AA1121">
        <v>0.98476019999999997</v>
      </c>
      <c r="AB1121">
        <v>33</v>
      </c>
      <c r="AC1121">
        <v>0.75869999999997595</v>
      </c>
      <c r="AD1121">
        <v>-9.2370999999999898E-2</v>
      </c>
      <c r="AE1121">
        <v>-0.20839999999998299</v>
      </c>
      <c r="AF1121">
        <v>0.163718263056394</v>
      </c>
      <c r="AG1121">
        <v>-9.2370999999999898E-2</v>
      </c>
      <c r="AH1121">
        <v>0.75863970866542796</v>
      </c>
      <c r="AI1121">
        <v>96.787346294981603</v>
      </c>
      <c r="AJ1121">
        <v>77.822040372696193</v>
      </c>
      <c r="AK1121">
        <v>0.78158190796817195</v>
      </c>
      <c r="AL1121">
        <v>86.981065924758298</v>
      </c>
      <c r="AM1121">
        <v>88.025461367458107</v>
      </c>
      <c r="AN1121">
        <v>0.99999995354825599</v>
      </c>
    </row>
    <row r="1122" spans="1:40" x14ac:dyDescent="0.25">
      <c r="A1122" t="str">
        <f>"20190312160621201"</f>
        <v>20190312160621201</v>
      </c>
      <c r="B1122" t="str">
        <f>"1552377981195965"</f>
        <v>1552377981195965</v>
      </c>
      <c r="C1122" t="s">
        <v>40</v>
      </c>
      <c r="D1122">
        <v>6.5560280000000004</v>
      </c>
      <c r="E1122">
        <v>0.55383850000000001</v>
      </c>
      <c r="F1122" t="s">
        <v>44</v>
      </c>
      <c r="G1122">
        <v>-218.66630000000001</v>
      </c>
      <c r="H1122">
        <v>1.0329999999999999</v>
      </c>
      <c r="I1122">
        <v>366.88490000000002</v>
      </c>
      <c r="J1122">
        <v>-219.27279999999999</v>
      </c>
      <c r="K1122">
        <v>1.1073930000000001</v>
      </c>
      <c r="L1122">
        <v>367.05689999999998</v>
      </c>
      <c r="M1122">
        <v>0.99827089999999996</v>
      </c>
      <c r="N1122">
        <v>0</v>
      </c>
      <c r="O1122">
        <v>-5.695542E-2</v>
      </c>
      <c r="P1122">
        <v>0.99513189999999996</v>
      </c>
      <c r="Q1122">
        <v>3.8575940000000003E-2</v>
      </c>
      <c r="R1122">
        <v>-9.0691800000000003E-2</v>
      </c>
      <c r="S1122">
        <v>2.9622959999999998</v>
      </c>
      <c r="T1122">
        <v>-0.28650759999999997</v>
      </c>
      <c r="U1122">
        <v>-0.701690699999999</v>
      </c>
      <c r="V1122">
        <v>3.4193889999999998E-2</v>
      </c>
      <c r="W1122">
        <v>5.2885469999999997E-2</v>
      </c>
      <c r="X1122">
        <v>0.99801499999999999</v>
      </c>
      <c r="Y1122">
        <v>0.17417739999999901</v>
      </c>
      <c r="Z1122">
        <v>-2.878841E-3</v>
      </c>
      <c r="AA1122">
        <v>0.98471010000000003</v>
      </c>
      <c r="AB1122">
        <v>33</v>
      </c>
      <c r="AC1122">
        <v>0.60649999999998205</v>
      </c>
      <c r="AD1122">
        <v>-7.4393000000000098E-2</v>
      </c>
      <c r="AE1122">
        <v>-0.17199999999996801</v>
      </c>
      <c r="AF1122">
        <v>0.13528966275551499</v>
      </c>
      <c r="AG1122">
        <v>-7.4393000000000098E-2</v>
      </c>
      <c r="AH1122">
        <v>0.60686184895060202</v>
      </c>
      <c r="AI1122">
        <v>96.822958563307395</v>
      </c>
      <c r="AJ1122">
        <v>77.432378311471695</v>
      </c>
      <c r="AK1122">
        <v>0.62619399151480504</v>
      </c>
      <c r="AL1122">
        <v>86.968471570178096</v>
      </c>
      <c r="AM1122">
        <v>88.037705330440104</v>
      </c>
      <c r="AN1122">
        <v>1.00000001763772</v>
      </c>
    </row>
    <row r="1123" spans="1:40" x14ac:dyDescent="0.25">
      <c r="A1123" t="str">
        <f>"20190312160621215"</f>
        <v>20190312160621215</v>
      </c>
      <c r="B1123" t="str">
        <f>"1552377981205724"</f>
        <v>1552377981205724</v>
      </c>
      <c r="C1123" t="s">
        <v>40</v>
      </c>
      <c r="D1123">
        <v>6.7255279999999997</v>
      </c>
      <c r="E1123">
        <v>0.55383850000000001</v>
      </c>
      <c r="F1123" t="s">
        <v>44</v>
      </c>
      <c r="G1123">
        <v>-218.3828</v>
      </c>
      <c r="H1123">
        <v>1.0189790000000001</v>
      </c>
      <c r="I1123">
        <v>366.84309999999999</v>
      </c>
      <c r="J1123">
        <v>-219.08359999999999</v>
      </c>
      <c r="K1123">
        <v>1.10738799999999</v>
      </c>
      <c r="L1123">
        <v>367.04450000000003</v>
      </c>
      <c r="M1123">
        <v>0.99817210000000001</v>
      </c>
      <c r="N1123">
        <v>0</v>
      </c>
      <c r="O1123">
        <v>-5.8659900000000001E-2</v>
      </c>
      <c r="P1123">
        <v>0.99500929999999999</v>
      </c>
      <c r="Q1123">
        <v>3.840288E-2</v>
      </c>
      <c r="R1123">
        <v>-9.2097879999999993E-2</v>
      </c>
      <c r="S1123">
        <v>2.9612880000000001</v>
      </c>
      <c r="T1123">
        <v>-0.29422280000000001</v>
      </c>
      <c r="U1123">
        <v>-0.71084590000000003</v>
      </c>
      <c r="V1123">
        <v>3.3899449999999998E-2</v>
      </c>
      <c r="W1123">
        <v>5.2712620000000002E-2</v>
      </c>
      <c r="X1123">
        <v>0.99803419999999998</v>
      </c>
      <c r="Y1123">
        <v>0.1754259</v>
      </c>
      <c r="Z1123">
        <v>-2.8512390000000002E-3</v>
      </c>
      <c r="AA1123">
        <v>0.98448849999999999</v>
      </c>
      <c r="AB1123">
        <v>33</v>
      </c>
      <c r="AC1123">
        <v>0.70079999999998599</v>
      </c>
      <c r="AD1123">
        <v>-8.8408999999999696E-2</v>
      </c>
      <c r="AE1123">
        <v>-0.201400000000035</v>
      </c>
      <c r="AF1123">
        <v>0.157622737668417</v>
      </c>
      <c r="AG1123">
        <v>-8.8408999999999696E-2</v>
      </c>
      <c r="AH1123">
        <v>0.70110159462850896</v>
      </c>
      <c r="AI1123">
        <v>97.013809007321399</v>
      </c>
      <c r="AJ1123">
        <v>77.329349383836202</v>
      </c>
      <c r="AK1123">
        <v>0.72401969911165098</v>
      </c>
      <c r="AL1123">
        <v>86.978389012163504</v>
      </c>
      <c r="AM1123">
        <v>88.054626800686506</v>
      </c>
      <c r="AN1123">
        <v>1.0000000286935999</v>
      </c>
    </row>
    <row r="1124" spans="1:40" x14ac:dyDescent="0.25">
      <c r="A1124" t="str">
        <f>"20190312160621235"</f>
        <v>20190312160621235</v>
      </c>
      <c r="B1124" t="str">
        <f>"1552377981226220"</f>
        <v>1552377981226220</v>
      </c>
      <c r="C1124" t="s">
        <v>40</v>
      </c>
      <c r="D1124">
        <v>6.6253330000000004</v>
      </c>
      <c r="E1124">
        <v>0.54152149999999999</v>
      </c>
      <c r="F1124" t="s">
        <v>44</v>
      </c>
      <c r="G1124">
        <v>-218.09630000000001</v>
      </c>
      <c r="H1124">
        <v>1.009142</v>
      </c>
      <c r="I1124">
        <v>366.80579999999998</v>
      </c>
      <c r="J1124">
        <v>-218.7834</v>
      </c>
      <c r="K1124">
        <v>1.107375</v>
      </c>
      <c r="L1124">
        <v>367.024</v>
      </c>
      <c r="M1124">
        <v>0.99800840000000002</v>
      </c>
      <c r="N1124">
        <v>0</v>
      </c>
      <c r="O1124">
        <v>-6.1381749999999999E-2</v>
      </c>
      <c r="P1124">
        <v>0.99481580000000003</v>
      </c>
      <c r="Q1124">
        <v>3.829548E-2</v>
      </c>
      <c r="R1124">
        <v>-9.4208440000000004E-2</v>
      </c>
      <c r="S1124">
        <v>2.9602200000000001</v>
      </c>
      <c r="T1124">
        <v>-0.29460380000000003</v>
      </c>
      <c r="U1124">
        <v>-0.71502690000000002</v>
      </c>
      <c r="V1124">
        <v>3.3295230000000002E-2</v>
      </c>
      <c r="W1124">
        <v>5.2606430000000003E-2</v>
      </c>
      <c r="X1124">
        <v>0.99806010000000001</v>
      </c>
      <c r="Y1124">
        <v>0.17415310000000001</v>
      </c>
      <c r="Z1124">
        <v>-2.5280900000000002E-3</v>
      </c>
      <c r="AA1124">
        <v>0.98471529999999996</v>
      </c>
      <c r="AB1124">
        <v>33</v>
      </c>
      <c r="AC1124">
        <v>0.68709999999998606</v>
      </c>
      <c r="AD1124">
        <v>-9.8233000000000001E-2</v>
      </c>
      <c r="AE1124">
        <v>-0.21820000000002401</v>
      </c>
      <c r="AF1124">
        <v>0.17240747436499501</v>
      </c>
      <c r="AG1124">
        <v>-9.8233000000000001E-2</v>
      </c>
      <c r="AH1124">
        <v>0.68645347239111598</v>
      </c>
      <c r="AI1124">
        <v>97.901697400550503</v>
      </c>
      <c r="AJ1124">
        <v>75.901391256854893</v>
      </c>
      <c r="AK1124">
        <v>0.71455750591798906</v>
      </c>
      <c r="AL1124">
        <v>86.984481575460904</v>
      </c>
      <c r="AM1124">
        <v>88.089324526886898</v>
      </c>
      <c r="AN1124">
        <v>0.99999998601505302</v>
      </c>
    </row>
    <row r="1125" spans="1:40" x14ac:dyDescent="0.25">
      <c r="A1125" t="str">
        <f>"20190312160621249"</f>
        <v>20190312160621249</v>
      </c>
      <c r="B1125" t="str">
        <f>"1552377981245740"</f>
        <v>1552377981245740</v>
      </c>
      <c r="C1125" t="s">
        <v>40</v>
      </c>
      <c r="D1125">
        <v>6.7992100000000004</v>
      </c>
      <c r="E1125">
        <v>0.5501161</v>
      </c>
      <c r="F1125" t="s">
        <v>42</v>
      </c>
      <c r="G1125">
        <v>-168.34360000000001</v>
      </c>
      <c r="H1125">
        <v>5.5587819999999999</v>
      </c>
      <c r="I1125">
        <v>356.61509999999998</v>
      </c>
      <c r="J1125">
        <v>-218.57400000000001</v>
      </c>
      <c r="K1125">
        <v>1.1073729999999999</v>
      </c>
      <c r="L1125">
        <v>367.0093</v>
      </c>
      <c r="M1125">
        <v>0.99788920000000003</v>
      </c>
      <c r="N1125">
        <v>0</v>
      </c>
      <c r="O1125">
        <v>-6.3290659999999999E-2</v>
      </c>
      <c r="P1125">
        <v>0.99467430000000001</v>
      </c>
      <c r="Q1125">
        <v>3.8294639999999998E-2</v>
      </c>
      <c r="R1125">
        <v>-9.5689629999999998E-2</v>
      </c>
      <c r="S1125">
        <v>2.948029</v>
      </c>
      <c r="T1125">
        <v>0.26017390000000001</v>
      </c>
      <c r="U1125">
        <v>-0.60836789999999996</v>
      </c>
      <c r="V1125">
        <v>3.2873109999999997E-2</v>
      </c>
      <c r="W1125">
        <v>5.2606430000000003E-2</v>
      </c>
      <c r="X1125">
        <v>0.99807409999999996</v>
      </c>
      <c r="Y1125">
        <v>0.1394262</v>
      </c>
      <c r="Z1125">
        <v>5.7089749999999996E-4</v>
      </c>
      <c r="AA1125">
        <v>0.99023229999999995</v>
      </c>
      <c r="AB1125">
        <v>33</v>
      </c>
      <c r="AC1125">
        <v>50.230400000000003</v>
      </c>
      <c r="AD1125">
        <v>4.4514089999999999</v>
      </c>
      <c r="AE1125">
        <v>-10.3942</v>
      </c>
      <c r="AF1125">
        <v>7.1401330264688401</v>
      </c>
      <c r="AG1125">
        <v>4.4514089999999999</v>
      </c>
      <c r="AH1125">
        <v>50.407976764535299</v>
      </c>
      <c r="AI1125">
        <v>85.003060026452999</v>
      </c>
      <c r="AJ1125">
        <v>81.937864789610202</v>
      </c>
      <c r="AK1125">
        <v>51.105387810042899</v>
      </c>
      <c r="AL1125">
        <v>86.984481597945901</v>
      </c>
      <c r="AM1125">
        <v>88.113557074225696</v>
      </c>
      <c r="AN1125">
        <v>0.99999999346461299</v>
      </c>
    </row>
    <row r="1126" spans="1:40" x14ac:dyDescent="0.25">
      <c r="A1126" t="str">
        <f>"20190312160621264"</f>
        <v>20190312160621264</v>
      </c>
      <c r="B1126" t="str">
        <f>"1552377981256007"</f>
        <v>1552377981256007</v>
      </c>
      <c r="C1126" t="s">
        <v>40</v>
      </c>
      <c r="D1126">
        <v>6.686477</v>
      </c>
      <c r="E1126">
        <v>0.55548409999999904</v>
      </c>
      <c r="F1126" t="s">
        <v>42</v>
      </c>
      <c r="G1126">
        <v>-169.2955</v>
      </c>
      <c r="H1126">
        <v>5.5692700000000004</v>
      </c>
      <c r="I1126">
        <v>355.5992</v>
      </c>
      <c r="J1126">
        <v>-218.35640000000001</v>
      </c>
      <c r="K1126">
        <v>1.1073660000000001</v>
      </c>
      <c r="L1126">
        <v>366.99349999999998</v>
      </c>
      <c r="M1126">
        <v>0.99776100000000001</v>
      </c>
      <c r="N1126">
        <v>0</v>
      </c>
      <c r="O1126">
        <v>-6.5282660000000006E-2</v>
      </c>
      <c r="P1126">
        <v>0.99449710000000002</v>
      </c>
      <c r="Q1126">
        <v>3.8246229999999999E-2</v>
      </c>
      <c r="R1126">
        <v>-9.7533519999999999E-2</v>
      </c>
      <c r="S1126">
        <v>2.9403380000000001</v>
      </c>
      <c r="T1126">
        <v>0.26623619999999998</v>
      </c>
      <c r="U1126">
        <v>-0.68081669999999905</v>
      </c>
      <c r="V1126">
        <v>3.2731709999999997E-2</v>
      </c>
      <c r="W1126">
        <v>5.2556909999999998E-2</v>
      </c>
      <c r="X1126">
        <v>0.99808140000000001</v>
      </c>
      <c r="Y1126">
        <v>0.1611167</v>
      </c>
      <c r="Z1126">
        <v>1.3757179999999999E-3</v>
      </c>
      <c r="AA1126">
        <v>0.98693439999999999</v>
      </c>
      <c r="AB1126">
        <v>33</v>
      </c>
      <c r="AC1126">
        <v>49.060899999999997</v>
      </c>
      <c r="AD1126">
        <v>4.4619039999999996</v>
      </c>
      <c r="AE1126">
        <v>-11.3942999999999</v>
      </c>
      <c r="AF1126">
        <v>8.1032310045715406</v>
      </c>
      <c r="AG1126">
        <v>4.4619039999999996</v>
      </c>
      <c r="AH1126">
        <v>49.313145501422099</v>
      </c>
      <c r="AI1126">
        <v>84.897952086794703</v>
      </c>
      <c r="AJ1126">
        <v>80.6684401635721</v>
      </c>
      <c r="AK1126">
        <v>50.1732723595252</v>
      </c>
      <c r="AL1126">
        <v>86.987322947694906</v>
      </c>
      <c r="AM1126">
        <v>88.121679300386006</v>
      </c>
      <c r="AN1126">
        <v>1.0000000373271101</v>
      </c>
    </row>
    <row r="1127" spans="1:40" x14ac:dyDescent="0.25">
      <c r="A1127" t="str">
        <f>"20190312160621278"</f>
        <v>20190312160621278</v>
      </c>
      <c r="B1127" t="str">
        <f>"1552377981265767"</f>
        <v>1552377981265767</v>
      </c>
      <c r="C1127" t="s">
        <v>40</v>
      </c>
      <c r="D1127">
        <v>6.654077</v>
      </c>
      <c r="E1127">
        <v>0.55703999999999998</v>
      </c>
      <c r="F1127" t="s">
        <v>42</v>
      </c>
      <c r="G1127">
        <v>-169.2955</v>
      </c>
      <c r="H1127">
        <v>6.2837940000000003</v>
      </c>
      <c r="I1127">
        <v>354.8211</v>
      </c>
      <c r="J1127">
        <v>-218.16210000000001</v>
      </c>
      <c r="K1127">
        <v>1.1073569999999999</v>
      </c>
      <c r="L1127">
        <v>366.97910000000002</v>
      </c>
      <c r="M1127">
        <v>0.99764249999999999</v>
      </c>
      <c r="N1127">
        <v>0</v>
      </c>
      <c r="O1127">
        <v>-6.7068429999999998E-2</v>
      </c>
      <c r="P1127">
        <v>0.99436709999999995</v>
      </c>
      <c r="Q1127">
        <v>3.8375279999999998E-2</v>
      </c>
      <c r="R1127">
        <v>-9.8799150000000002E-2</v>
      </c>
      <c r="S1127">
        <v>2.9333339999999999</v>
      </c>
      <c r="T1127">
        <v>0.3095019</v>
      </c>
      <c r="U1127">
        <v>-0.72778319999999996</v>
      </c>
      <c r="V1127">
        <v>3.2217460000000003E-2</v>
      </c>
      <c r="W1127">
        <v>5.2686900000000002E-2</v>
      </c>
      <c r="X1127">
        <v>0.99809119999999996</v>
      </c>
      <c r="Y1127">
        <v>0.17460229999999999</v>
      </c>
      <c r="Z1127">
        <v>2.1146979999999999E-3</v>
      </c>
      <c r="AA1127">
        <v>0.98463679999999998</v>
      </c>
      <c r="AB1127">
        <v>33</v>
      </c>
      <c r="AC1127">
        <v>48.866599999999998</v>
      </c>
      <c r="AD1127">
        <v>5.176437</v>
      </c>
      <c r="AE1127">
        <v>-12.157999999999999</v>
      </c>
      <c r="AF1127">
        <v>8.7602961648348607</v>
      </c>
      <c r="AG1127">
        <v>5.176437</v>
      </c>
      <c r="AH1127">
        <v>49.053699209126599</v>
      </c>
      <c r="AI1127">
        <v>84.069251470228807</v>
      </c>
      <c r="AJ1127">
        <v>79.874528051194503</v>
      </c>
      <c r="AK1127">
        <v>50.097941025655501</v>
      </c>
      <c r="AL1127">
        <v>86.979864499030796</v>
      </c>
      <c r="AM1127">
        <v>88.151187214368207</v>
      </c>
      <c r="AN1127">
        <v>0.99999995883894899</v>
      </c>
    </row>
    <row r="1128" spans="1:40" x14ac:dyDescent="0.25">
      <c r="A1128" t="str">
        <f>"20190312160621290"</f>
        <v>20190312160621290</v>
      </c>
      <c r="B1128" t="str">
        <f>"1552377981286263"</f>
        <v>1552377981286263</v>
      </c>
      <c r="C1128" t="s">
        <v>40</v>
      </c>
      <c r="D1128">
        <v>6.2164010000000003</v>
      </c>
      <c r="E1128">
        <v>0.56387759999999998</v>
      </c>
      <c r="F1128" t="s">
        <v>42</v>
      </c>
      <c r="G1128">
        <v>-170.08879999999999</v>
      </c>
      <c r="H1128">
        <v>6.762664</v>
      </c>
      <c r="I1128">
        <v>354.79239999999999</v>
      </c>
      <c r="J1128">
        <v>-217.9845</v>
      </c>
      <c r="K1128">
        <v>1.107348</v>
      </c>
      <c r="L1128">
        <v>366.96559999999999</v>
      </c>
      <c r="M1128">
        <v>0.99753080000000005</v>
      </c>
      <c r="N1128">
        <v>0</v>
      </c>
      <c r="O1128">
        <v>-6.8711170000000002E-2</v>
      </c>
      <c r="P1128">
        <v>0.99423280000000003</v>
      </c>
      <c r="Q1128">
        <v>3.8470820000000003E-2</v>
      </c>
      <c r="R1128">
        <v>-0.1001076</v>
      </c>
      <c r="S1128">
        <v>2.9298860000000002</v>
      </c>
      <c r="T1128">
        <v>0.3446747</v>
      </c>
      <c r="U1128">
        <v>-0.74273679999999997</v>
      </c>
      <c r="V1128">
        <v>3.1889050000000002E-2</v>
      </c>
      <c r="W1128">
        <v>5.2782620000000002E-2</v>
      </c>
      <c r="X1128">
        <v>0.99809669999999895</v>
      </c>
      <c r="Y1128">
        <v>0.17783389999999999</v>
      </c>
      <c r="Z1128">
        <v>2.3530869999999998E-3</v>
      </c>
      <c r="AA1128">
        <v>0.98405770000000004</v>
      </c>
      <c r="AB1128">
        <v>33</v>
      </c>
      <c r="AC1128">
        <v>47.895699999999998</v>
      </c>
      <c r="AD1128">
        <v>5.655316</v>
      </c>
      <c r="AE1128">
        <v>-12.1732</v>
      </c>
      <c r="AF1128">
        <v>8.7386660857950993</v>
      </c>
      <c r="AG1128">
        <v>5.655316</v>
      </c>
      <c r="AH1128">
        <v>47.990523327433799</v>
      </c>
      <c r="AI1128">
        <v>83.386882608634707</v>
      </c>
      <c r="AJ1128">
        <v>79.679995739995206</v>
      </c>
      <c r="AK1128">
        <v>49.106386685031602</v>
      </c>
      <c r="AL1128">
        <v>86.974372537316</v>
      </c>
      <c r="AM1128">
        <v>88.170030360626598</v>
      </c>
      <c r="AN1128">
        <v>0.99999996951742698</v>
      </c>
    </row>
    <row r="1129" spans="1:40" x14ac:dyDescent="0.25">
      <c r="A1129" t="str">
        <f>"20190312160621302"</f>
        <v>20190312160621302</v>
      </c>
      <c r="B1129" t="str">
        <f>"1552377981296022"</f>
        <v>1552377981296022</v>
      </c>
      <c r="C1129" t="s">
        <v>40</v>
      </c>
      <c r="D1129">
        <v>6.3771870000000002</v>
      </c>
      <c r="E1129">
        <v>0.56621560000000004</v>
      </c>
      <c r="F1129" t="s">
        <v>42</v>
      </c>
      <c r="G1129">
        <v>-166.49</v>
      </c>
      <c r="H1129">
        <v>6.6740880000000002</v>
      </c>
      <c r="I1129">
        <v>352.85399999999998</v>
      </c>
      <c r="J1129">
        <v>-217.81219999999999</v>
      </c>
      <c r="K1129">
        <v>1.107337</v>
      </c>
      <c r="L1129">
        <v>366.9522</v>
      </c>
      <c r="M1129">
        <v>0.99741880000000005</v>
      </c>
      <c r="N1129">
        <v>0</v>
      </c>
      <c r="O1129">
        <v>-7.0316169999999997E-2</v>
      </c>
      <c r="P1129">
        <v>0.99409840000000005</v>
      </c>
      <c r="Q1129">
        <v>3.8325949999999998E-2</v>
      </c>
      <c r="R1129">
        <v>-0.1014868</v>
      </c>
      <c r="S1129">
        <v>2.9244690000000002</v>
      </c>
      <c r="T1129">
        <v>0.31614999999999999</v>
      </c>
      <c r="U1129">
        <v>-0.80142209999999903</v>
      </c>
      <c r="V1129">
        <v>3.166778E-2</v>
      </c>
      <c r="W1129">
        <v>5.2637389999999999E-2</v>
      </c>
      <c r="X1129">
        <v>0.99811139999999998</v>
      </c>
      <c r="Y1129">
        <v>0.1951446</v>
      </c>
      <c r="Z1129">
        <v>2.9065480000000001E-3</v>
      </c>
      <c r="AA1129">
        <v>0.98077020000000004</v>
      </c>
      <c r="AB1129">
        <v>33</v>
      </c>
      <c r="AC1129">
        <v>51.322199999999903</v>
      </c>
      <c r="AD1129">
        <v>5.566751</v>
      </c>
      <c r="AE1129">
        <v>-14.098199999999901</v>
      </c>
      <c r="AF1129">
        <v>10.341008302783401</v>
      </c>
      <c r="AG1129">
        <v>5.566751</v>
      </c>
      <c r="AH1129">
        <v>51.621855278508598</v>
      </c>
      <c r="AI1129">
        <v>83.964176908889101</v>
      </c>
      <c r="AJ1129">
        <v>78.672312953451197</v>
      </c>
      <c r="AK1129">
        <v>52.940920957323002</v>
      </c>
      <c r="AL1129">
        <v>86.982705143218794</v>
      </c>
      <c r="AM1129">
        <v>88.182746256792996</v>
      </c>
      <c r="AN1129">
        <v>0.99999995496304905</v>
      </c>
    </row>
    <row r="1130" spans="1:40" x14ac:dyDescent="0.25">
      <c r="A1130" t="str">
        <f>"20190312160621312"</f>
        <v>20190312160621312</v>
      </c>
      <c r="B1130" t="str">
        <f>"1552377981305783"</f>
        <v>1552377981305783</v>
      </c>
      <c r="C1130" t="s">
        <v>40</v>
      </c>
      <c r="D1130">
        <v>5.3783570000000003</v>
      </c>
      <c r="E1130">
        <v>0.56720619999999999</v>
      </c>
      <c r="F1130" t="s">
        <v>42</v>
      </c>
      <c r="G1130">
        <v>-159.35079999999999</v>
      </c>
      <c r="H1130">
        <v>7.2425289999999896</v>
      </c>
      <c r="I1130">
        <v>350.4572</v>
      </c>
      <c r="J1130">
        <v>-217.65299999999999</v>
      </c>
      <c r="K1130">
        <v>1.107324</v>
      </c>
      <c r="L1130">
        <v>366.93959999999998</v>
      </c>
      <c r="M1130">
        <v>0.9973128</v>
      </c>
      <c r="N1130">
        <v>0</v>
      </c>
      <c r="O1130">
        <v>-7.1804939999999998E-2</v>
      </c>
      <c r="P1130">
        <v>0.9939711</v>
      </c>
      <c r="Q1130">
        <v>3.8418349999999997E-2</v>
      </c>
      <c r="R1130">
        <v>-0.1026899</v>
      </c>
      <c r="S1130">
        <v>2.9218440000000001</v>
      </c>
      <c r="T1130">
        <v>0.30663479999999999</v>
      </c>
      <c r="U1130">
        <v>-0.82440190000000002</v>
      </c>
      <c r="V1130">
        <v>3.1388239999999998E-2</v>
      </c>
      <c r="W1130">
        <v>5.2730239999999998E-2</v>
      </c>
      <c r="X1130">
        <v>0.99811539999999999</v>
      </c>
      <c r="Y1130">
        <v>0.20107910000000001</v>
      </c>
      <c r="Z1130">
        <v>2.9723599999999998E-3</v>
      </c>
      <c r="AA1130">
        <v>0.97957050000000001</v>
      </c>
      <c r="AB1130">
        <v>33</v>
      </c>
      <c r="AC1130">
        <v>58.302199999999999</v>
      </c>
      <c r="AD1130">
        <v>6.1352049999999902</v>
      </c>
      <c r="AE1130">
        <v>-16.482399999999899</v>
      </c>
      <c r="AF1130">
        <v>12.128648887158199</v>
      </c>
      <c r="AG1130">
        <v>6.1352049999999902</v>
      </c>
      <c r="AH1130">
        <v>58.733063173906899</v>
      </c>
      <c r="AI1130">
        <v>84.1589247099772</v>
      </c>
      <c r="AJ1130">
        <v>78.332166738110601</v>
      </c>
      <c r="AK1130">
        <v>60.285301475650897</v>
      </c>
      <c r="AL1130">
        <v>86.977378045728301</v>
      </c>
      <c r="AM1130">
        <v>88.198784243365395</v>
      </c>
      <c r="AN1130">
        <v>1.0000000257689501</v>
      </c>
    </row>
    <row r="1131" spans="1:40" x14ac:dyDescent="0.25">
      <c r="A1131" t="str">
        <f>"20190312160621324"</f>
        <v>20190312160621324</v>
      </c>
      <c r="B1131" t="str">
        <f>"1552377981316519"</f>
        <v>1552377981316519</v>
      </c>
      <c r="C1131" t="s">
        <v>40</v>
      </c>
      <c r="D1131">
        <v>6.3766309999999997</v>
      </c>
      <c r="E1131">
        <v>0.56897149999999996</v>
      </c>
      <c r="F1131" t="s">
        <v>41</v>
      </c>
      <c r="G1131">
        <v>0</v>
      </c>
      <c r="H1131">
        <v>0</v>
      </c>
      <c r="I1131">
        <v>0</v>
      </c>
      <c r="J1131">
        <v>-217.49930000000001</v>
      </c>
      <c r="K1131">
        <v>1.1073109999999999</v>
      </c>
      <c r="L1131">
        <v>366.9271</v>
      </c>
      <c r="M1131">
        <v>0.99720719999999996</v>
      </c>
      <c r="N1131">
        <v>0</v>
      </c>
      <c r="O1131">
        <v>-7.3258359999999995E-2</v>
      </c>
      <c r="P1131">
        <v>0.99381330000000001</v>
      </c>
      <c r="Q1131">
        <v>3.8209659999999999E-2</v>
      </c>
      <c r="R1131">
        <v>-0.10428610000000001</v>
      </c>
      <c r="S1131">
        <v>2.9193730000000002</v>
      </c>
      <c r="T1131">
        <v>0.32437110000000002</v>
      </c>
      <c r="U1131">
        <v>-0.83508300000000002</v>
      </c>
      <c r="V1131">
        <v>3.1535880000000002E-2</v>
      </c>
      <c r="W1131">
        <v>5.2518809999999999E-2</v>
      </c>
      <c r="X1131">
        <v>0.99812190000000001</v>
      </c>
      <c r="Y1131">
        <v>0.20310300000000001</v>
      </c>
      <c r="Z1131">
        <v>3.0977330000000001E-3</v>
      </c>
      <c r="AA1131">
        <v>0.97915249999999998</v>
      </c>
      <c r="AB1131">
        <v>33</v>
      </c>
      <c r="AC1131">
        <v>2.9193730000000002</v>
      </c>
      <c r="AD1131">
        <v>0.32437110000000002</v>
      </c>
      <c r="AE1131">
        <v>-0.83508300000000002</v>
      </c>
      <c r="AF1131">
        <v>0.61196408647482803</v>
      </c>
      <c r="AG1131">
        <v>0.32437110000000002</v>
      </c>
      <c r="AH1131">
        <v>2.9391694602102398</v>
      </c>
      <c r="AI1131">
        <v>83.833433331826896</v>
      </c>
      <c r="AJ1131">
        <v>78.238490995064197</v>
      </c>
      <c r="AK1131">
        <v>3.01967444759907</v>
      </c>
      <c r="AL1131">
        <v>86.989508920345699</v>
      </c>
      <c r="AM1131">
        <v>88.190329312058694</v>
      </c>
      <c r="AN1131">
        <v>1.0000000321953899</v>
      </c>
    </row>
    <row r="1132" spans="1:40" x14ac:dyDescent="0.25">
      <c r="A1132" t="str">
        <f>"20190312160621336"</f>
        <v>20190312160621336</v>
      </c>
      <c r="B1132" t="str">
        <f>"1552377981326279"</f>
        <v>1552377981326279</v>
      </c>
      <c r="C1132" t="s">
        <v>40</v>
      </c>
      <c r="D1132">
        <v>6.8820289999999904</v>
      </c>
      <c r="E1132">
        <v>0.57057259999999999</v>
      </c>
      <c r="F1132" t="s">
        <v>41</v>
      </c>
      <c r="G1132">
        <v>0</v>
      </c>
      <c r="H1132">
        <v>0</v>
      </c>
      <c r="I1132">
        <v>0</v>
      </c>
      <c r="J1132">
        <v>-217.3184</v>
      </c>
      <c r="K1132">
        <v>1.1072949999999999</v>
      </c>
      <c r="L1132">
        <v>366.91219999999998</v>
      </c>
      <c r="M1132">
        <v>0.99707950000000001</v>
      </c>
      <c r="N1132">
        <v>0</v>
      </c>
      <c r="O1132">
        <v>-7.4975299999999995E-2</v>
      </c>
      <c r="P1132">
        <v>0.99364929999999996</v>
      </c>
      <c r="Q1132">
        <v>3.8032580000000003E-2</v>
      </c>
      <c r="R1132">
        <v>-0.10589999999999999</v>
      </c>
      <c r="S1132">
        <v>2.9169770000000002</v>
      </c>
      <c r="T1132">
        <v>0.31382480000000001</v>
      </c>
      <c r="U1132">
        <v>-0.85400390000000004</v>
      </c>
      <c r="V1132">
        <v>3.1438760000000003E-2</v>
      </c>
      <c r="W1132">
        <v>5.2340240000000003E-2</v>
      </c>
      <c r="X1132">
        <v>0.99813430000000003</v>
      </c>
      <c r="Y1132">
        <v>0.20752109999999999</v>
      </c>
      <c r="Z1132">
        <v>3.0507540000000001E-3</v>
      </c>
      <c r="AA1132">
        <v>0.97822580000000003</v>
      </c>
      <c r="AB1132">
        <v>32</v>
      </c>
      <c r="AC1132">
        <v>2.9169770000000002</v>
      </c>
      <c r="AD1132">
        <v>0.31382480000000001</v>
      </c>
      <c r="AE1132">
        <v>-0.85400390000000004</v>
      </c>
      <c r="AF1132">
        <v>0.62619954705167102</v>
      </c>
      <c r="AG1132">
        <v>0.31382480000000001</v>
      </c>
      <c r="AH1132">
        <v>2.9414427164214301</v>
      </c>
      <c r="AI1132">
        <v>84.042616820404703</v>
      </c>
      <c r="AJ1132">
        <v>77.981800601730697</v>
      </c>
      <c r="AK1132">
        <v>3.02368932461843</v>
      </c>
      <c r="AL1132">
        <v>86.999754187693298</v>
      </c>
      <c r="AM1132">
        <v>88.195921203813995</v>
      </c>
      <c r="AN1132">
        <v>0.99999998859504202</v>
      </c>
    </row>
    <row r="1133" spans="1:40" x14ac:dyDescent="0.25">
      <c r="A1133" t="str">
        <f>"20190312160621357"</f>
        <v>20190312160621357</v>
      </c>
      <c r="B1133" t="str">
        <f>"1552377981345798"</f>
        <v>1552377981345798</v>
      </c>
      <c r="C1133" t="s">
        <v>40</v>
      </c>
      <c r="D1133">
        <v>6.6399619999999997</v>
      </c>
      <c r="E1133">
        <v>0.57226180000000004</v>
      </c>
      <c r="F1133" t="s">
        <v>41</v>
      </c>
      <c r="G1133">
        <v>0</v>
      </c>
      <c r="H1133">
        <v>0</v>
      </c>
      <c r="I1133">
        <v>0</v>
      </c>
      <c r="J1133">
        <v>-217.01859999999999</v>
      </c>
      <c r="K1133">
        <v>1.107262</v>
      </c>
      <c r="L1133">
        <v>366.88670000000002</v>
      </c>
      <c r="M1133">
        <v>0.99685849999999998</v>
      </c>
      <c r="N1133">
        <v>0</v>
      </c>
      <c r="O1133">
        <v>-7.7857960000000004E-2</v>
      </c>
      <c r="P1133">
        <v>0.99328459999999996</v>
      </c>
      <c r="Q1133">
        <v>3.7708930000000002E-2</v>
      </c>
      <c r="R1133">
        <v>-0.1093784</v>
      </c>
      <c r="S1133">
        <v>2.915314</v>
      </c>
      <c r="T1133">
        <v>0.2851708</v>
      </c>
      <c r="U1133">
        <v>-0.87210080000000001</v>
      </c>
      <c r="V1133">
        <v>3.2048519999999997E-2</v>
      </c>
      <c r="W1133">
        <v>5.2008819999999997E-2</v>
      </c>
      <c r="X1133">
        <v>0.99813220000000002</v>
      </c>
      <c r="Y1133">
        <v>0.2105476</v>
      </c>
      <c r="Z1133">
        <v>2.6443600000000001E-3</v>
      </c>
      <c r="AA1133">
        <v>0.97758</v>
      </c>
      <c r="AB1133">
        <v>32</v>
      </c>
      <c r="AC1133">
        <v>2.915314</v>
      </c>
      <c r="AD1133">
        <v>0.2851708</v>
      </c>
      <c r="AE1133">
        <v>-0.87210080000000001</v>
      </c>
      <c r="AF1133">
        <v>0.63685539331834695</v>
      </c>
      <c r="AG1133">
        <v>0.2851708</v>
      </c>
      <c r="AH1133">
        <v>2.9484748227772601</v>
      </c>
      <c r="AI1133">
        <v>84.599426271389007</v>
      </c>
      <c r="AJ1133">
        <v>77.811648416787506</v>
      </c>
      <c r="AK1133">
        <v>3.0299192988795398</v>
      </c>
      <c r="AL1133">
        <v>87.018768959069604</v>
      </c>
      <c r="AM1133">
        <v>88.160950726877005</v>
      </c>
      <c r="AN1133">
        <v>0.99999995683441001</v>
      </c>
    </row>
    <row r="1134" spans="1:40" x14ac:dyDescent="0.25">
      <c r="A1134" t="str">
        <f>"20190312160621368"</f>
        <v>20190312160621368</v>
      </c>
      <c r="B1134" t="str">
        <f>"1552377981356534"</f>
        <v>1552377981356534</v>
      </c>
      <c r="C1134" t="s">
        <v>40</v>
      </c>
      <c r="D1134">
        <v>6.6370719999999999</v>
      </c>
      <c r="E1134">
        <v>0.57296550000000002</v>
      </c>
      <c r="F1134" t="s">
        <v>41</v>
      </c>
      <c r="G1134">
        <v>0</v>
      </c>
      <c r="H1134">
        <v>0</v>
      </c>
      <c r="I1134">
        <v>0</v>
      </c>
      <c r="J1134">
        <v>-216.8494</v>
      </c>
      <c r="K1134">
        <v>1.107243</v>
      </c>
      <c r="L1134">
        <v>366.87189999999998</v>
      </c>
      <c r="M1134">
        <v>0.99672870000000002</v>
      </c>
      <c r="N1134">
        <v>0</v>
      </c>
      <c r="O1134">
        <v>-7.9503439999999995E-2</v>
      </c>
      <c r="P1134">
        <v>0.9930736</v>
      </c>
      <c r="Q1134">
        <v>3.768328E-2</v>
      </c>
      <c r="R1134">
        <v>-0.1112879</v>
      </c>
      <c r="S1134">
        <v>2.9116059999999999</v>
      </c>
      <c r="T1134">
        <v>0.26233579999999901</v>
      </c>
      <c r="U1134">
        <v>-0.896514899999999</v>
      </c>
      <c r="V1134">
        <v>3.2322080000000003E-2</v>
      </c>
      <c r="W1134">
        <v>5.1979299999999999E-2</v>
      </c>
      <c r="X1134">
        <v>0.99812500000000004</v>
      </c>
      <c r="Y1134">
        <v>0.21684819999999999</v>
      </c>
      <c r="Z1134">
        <v>2.5674980000000001E-3</v>
      </c>
      <c r="AA1134">
        <v>0.97620200000000001</v>
      </c>
      <c r="AB1134">
        <v>32</v>
      </c>
      <c r="AC1134">
        <v>2.9116059999999999</v>
      </c>
      <c r="AD1134">
        <v>0.26233579999999901</v>
      </c>
      <c r="AE1134">
        <v>-0.896514899999999</v>
      </c>
      <c r="AF1134">
        <v>0.65729548385696701</v>
      </c>
      <c r="AG1134">
        <v>0.26233579999999901</v>
      </c>
      <c r="AH1134">
        <v>2.9517836769420298</v>
      </c>
      <c r="AI1134">
        <v>85.042063733055699</v>
      </c>
      <c r="AJ1134">
        <v>77.446342772723497</v>
      </c>
      <c r="AK1134">
        <v>3.0354380739066</v>
      </c>
      <c r="AL1134">
        <v>87.020462869592905</v>
      </c>
      <c r="AM1134">
        <v>88.145250504103799</v>
      </c>
      <c r="AN1134">
        <v>1.0000000400544999</v>
      </c>
    </row>
    <row r="1135" spans="1:40" x14ac:dyDescent="0.25">
      <c r="A1135" t="str">
        <f>"20190312160621378"</f>
        <v>20190312160621378</v>
      </c>
      <c r="B1135" t="str">
        <f>"1552377981366294"</f>
        <v>1552377981366294</v>
      </c>
      <c r="C1135" t="s">
        <v>40</v>
      </c>
      <c r="D1135">
        <v>6.1286940000000003</v>
      </c>
      <c r="E1135">
        <v>0.57310430000000001</v>
      </c>
      <c r="F1135" t="s">
        <v>49</v>
      </c>
      <c r="G1135">
        <v>-141.27449999999999</v>
      </c>
      <c r="H1135">
        <v>7.652463</v>
      </c>
      <c r="I1135">
        <v>343.28680000000003</v>
      </c>
      <c r="J1135">
        <v>-216.69730000000001</v>
      </c>
      <c r="K1135">
        <v>1.107227</v>
      </c>
      <c r="L1135">
        <v>366.85829999999999</v>
      </c>
      <c r="M1135">
        <v>0.99660890000000002</v>
      </c>
      <c r="N1135">
        <v>0</v>
      </c>
      <c r="O1135">
        <v>-8.0992229999999998E-2</v>
      </c>
      <c r="P1135">
        <v>0.99288600000000005</v>
      </c>
      <c r="Q1135">
        <v>3.7814390000000003E-2</v>
      </c>
      <c r="R1135">
        <v>-0.1129054</v>
      </c>
      <c r="S1135">
        <v>2.9096220000000002</v>
      </c>
      <c r="T1135">
        <v>0.25199009999999999</v>
      </c>
      <c r="U1135">
        <v>-0.90802000000000005</v>
      </c>
      <c r="V1135">
        <v>3.2460219999999998E-2</v>
      </c>
      <c r="W1135">
        <v>5.2107399999999998E-2</v>
      </c>
      <c r="X1135">
        <v>0.99811380000000005</v>
      </c>
      <c r="Y1135">
        <v>0.21913460000000001</v>
      </c>
      <c r="Z1135">
        <v>2.4389279999999999E-3</v>
      </c>
      <c r="AA1135">
        <v>0.97569159999999999</v>
      </c>
      <c r="AB1135">
        <v>32</v>
      </c>
      <c r="AC1135">
        <v>75.422799999999995</v>
      </c>
      <c r="AD1135">
        <v>6.5452360000000001</v>
      </c>
      <c r="AE1135">
        <v>-23.571499999999901</v>
      </c>
      <c r="AF1135">
        <v>17.266279790537901</v>
      </c>
      <c r="AG1135">
        <v>6.5452360000000001</v>
      </c>
      <c r="AH1135">
        <v>76.559019565052097</v>
      </c>
      <c r="AI1135">
        <v>85.232676656843793</v>
      </c>
      <c r="AJ1135">
        <v>77.290770316113907</v>
      </c>
      <c r="AK1135">
        <v>78.7543523169536</v>
      </c>
      <c r="AL1135">
        <v>87.013113207993698</v>
      </c>
      <c r="AM1135">
        <v>88.137308252563699</v>
      </c>
      <c r="AN1135">
        <v>1.00000000238382</v>
      </c>
    </row>
    <row r="1136" spans="1:40" x14ac:dyDescent="0.25">
      <c r="A1136" t="str">
        <f>"20190312160621391"</f>
        <v>20190312160621391</v>
      </c>
      <c r="B1136" t="str">
        <f>"1552377981385815"</f>
        <v>1552377981385815</v>
      </c>
      <c r="C1136" t="s">
        <v>40</v>
      </c>
      <c r="D1136">
        <v>6.9851119999999902</v>
      </c>
      <c r="E1136">
        <v>0.57365650000000001</v>
      </c>
      <c r="F1136" t="s">
        <v>49</v>
      </c>
      <c r="G1136">
        <v>-141.6919</v>
      </c>
      <c r="H1136">
        <v>7.6514689999999996</v>
      </c>
      <c r="I1136">
        <v>343.28680000000003</v>
      </c>
      <c r="J1136">
        <v>-216.51179999999999</v>
      </c>
      <c r="K1136">
        <v>1.1072109999999999</v>
      </c>
      <c r="L1136">
        <v>366.8415</v>
      </c>
      <c r="M1136">
        <v>0.99645859999999997</v>
      </c>
      <c r="N1136">
        <v>0</v>
      </c>
      <c r="O1136">
        <v>-8.2819749999999998E-2</v>
      </c>
      <c r="P1136">
        <v>0.99266639999999995</v>
      </c>
      <c r="Q1136">
        <v>3.8091369999999999E-2</v>
      </c>
      <c r="R1136">
        <v>-0.1147282</v>
      </c>
      <c r="S1136">
        <v>2.9078979999999999</v>
      </c>
      <c r="T1136">
        <v>0.25371529999999998</v>
      </c>
      <c r="U1136">
        <v>-0.91384889999999996</v>
      </c>
      <c r="V1136">
        <v>3.2467610000000001E-2</v>
      </c>
      <c r="W1136">
        <v>5.2382150000000002E-2</v>
      </c>
      <c r="X1136">
        <v>0.99809910000000002</v>
      </c>
      <c r="Y1136">
        <v>0.21929019999999999</v>
      </c>
      <c r="Z1136">
        <v>2.3089159999999998E-3</v>
      </c>
      <c r="AA1136">
        <v>0.97565690000000005</v>
      </c>
      <c r="AB1136">
        <v>32</v>
      </c>
      <c r="AC1136">
        <v>74.819899999999905</v>
      </c>
      <c r="AD1136">
        <v>6.5442580000000001</v>
      </c>
      <c r="AE1136">
        <v>-23.554699999999901</v>
      </c>
      <c r="AF1136">
        <v>17.157118609225599</v>
      </c>
      <c r="AG1136">
        <v>6.5442580000000001</v>
      </c>
      <c r="AH1136">
        <v>75.984906813729197</v>
      </c>
      <c r="AI1136">
        <v>85.197813274532706</v>
      </c>
      <c r="AJ1136">
        <v>77.276192149453195</v>
      </c>
      <c r="AK1136">
        <v>78.172246323312905</v>
      </c>
      <c r="AL1136">
        <v>86.997349429998394</v>
      </c>
      <c r="AM1136">
        <v>88.136857064278502</v>
      </c>
      <c r="AN1136">
        <v>0.99999992437926899</v>
      </c>
    </row>
    <row r="1137" spans="1:40" x14ac:dyDescent="0.25">
      <c r="A1137" t="str">
        <f>"20190312160621402"</f>
        <v>20190312160621402</v>
      </c>
      <c r="B1137" t="str">
        <f>"1552377981396550"</f>
        <v>1552377981396550</v>
      </c>
      <c r="C1137" t="s">
        <v>40</v>
      </c>
      <c r="D1137">
        <v>5.259144</v>
      </c>
      <c r="E1137">
        <v>0.57405539999999999</v>
      </c>
      <c r="F1137" t="s">
        <v>49</v>
      </c>
      <c r="G1137">
        <v>-142.41239999999999</v>
      </c>
      <c r="H1137">
        <v>7.202108</v>
      </c>
      <c r="I1137">
        <v>343.28680000000003</v>
      </c>
      <c r="J1137">
        <v>-216.36340000000001</v>
      </c>
      <c r="K1137">
        <v>1.1071959999999901</v>
      </c>
      <c r="L1137">
        <v>366.82769999999999</v>
      </c>
      <c r="M1137">
        <v>0.99633470000000002</v>
      </c>
      <c r="N1137">
        <v>0</v>
      </c>
      <c r="O1137">
        <v>-8.4299219999999994E-2</v>
      </c>
      <c r="P1137">
        <v>0.9925081</v>
      </c>
      <c r="Q1137">
        <v>3.8471819999999997E-2</v>
      </c>
      <c r="R1137">
        <v>-0.1159671</v>
      </c>
      <c r="S1137">
        <v>2.9062190000000001</v>
      </c>
      <c r="T1137">
        <v>0.23904549999999999</v>
      </c>
      <c r="U1137">
        <v>-0.92382810000000004</v>
      </c>
      <c r="V1137">
        <v>3.223699E-2</v>
      </c>
      <c r="W1137">
        <v>5.2762150000000001E-2</v>
      </c>
      <c r="X1137">
        <v>0.99808660000000005</v>
      </c>
      <c r="Y1137">
        <v>0.22109989999999999</v>
      </c>
      <c r="Z1137">
        <v>2.1311849999999999E-3</v>
      </c>
      <c r="AA1137">
        <v>0.97524880000000003</v>
      </c>
      <c r="AB1137">
        <v>32</v>
      </c>
      <c r="AC1137">
        <v>73.950999999999993</v>
      </c>
      <c r="AD1137">
        <v>6.0949119999999999</v>
      </c>
      <c r="AE1137">
        <v>-23.540899999999901</v>
      </c>
      <c r="AF1137">
        <v>17.1168467174559</v>
      </c>
      <c r="AG1137">
        <v>6.0949119999999999</v>
      </c>
      <c r="AH1137">
        <v>75.208535268893698</v>
      </c>
      <c r="AI1137">
        <v>85.481905835764707</v>
      </c>
      <c r="AJ1137">
        <v>77.178350947180107</v>
      </c>
      <c r="AK1137">
        <v>77.372205417249504</v>
      </c>
      <c r="AL1137">
        <v>86.975547003476393</v>
      </c>
      <c r="AM1137">
        <v>88.150058735343904</v>
      </c>
      <c r="AN1137">
        <v>0.99999996454822004</v>
      </c>
    </row>
    <row r="1138" spans="1:40" x14ac:dyDescent="0.25">
      <c r="A1138" t="str">
        <f>"20190312160621412"</f>
        <v>20190312160621412</v>
      </c>
      <c r="B1138" t="str">
        <f>"1552377981406310"</f>
        <v>1552377981406310</v>
      </c>
      <c r="C1138" t="s">
        <v>40</v>
      </c>
      <c r="D1138">
        <v>5.1199300000000001</v>
      </c>
      <c r="E1138">
        <v>0.57441769999999903</v>
      </c>
      <c r="F1138" t="s">
        <v>49</v>
      </c>
      <c r="G1138">
        <v>-142.87360000000001</v>
      </c>
      <c r="H1138">
        <v>7.0306610000000003</v>
      </c>
      <c r="I1138">
        <v>343.28680000000003</v>
      </c>
      <c r="J1138">
        <v>-216.20750000000001</v>
      </c>
      <c r="K1138">
        <v>1.1071839999999999</v>
      </c>
      <c r="L1138">
        <v>366.81310000000002</v>
      </c>
      <c r="M1138">
        <v>0.99620149999999996</v>
      </c>
      <c r="N1138">
        <v>0</v>
      </c>
      <c r="O1138">
        <v>-8.5857989999999995E-2</v>
      </c>
      <c r="P1138">
        <v>0.9923033</v>
      </c>
      <c r="Q1138">
        <v>3.8613849999999998E-2</v>
      </c>
      <c r="R1138">
        <v>-0.1176571</v>
      </c>
      <c r="S1138">
        <v>2.9048609999999999</v>
      </c>
      <c r="T1138">
        <v>0.2341396</v>
      </c>
      <c r="U1138">
        <v>-0.93051150000000005</v>
      </c>
      <c r="V1138">
        <v>3.2378549999999999E-2</v>
      </c>
      <c r="W1138">
        <v>5.2900709999999997E-2</v>
      </c>
      <c r="X1138">
        <v>0.99807469999999998</v>
      </c>
      <c r="Y1138">
        <v>0.22176170000000001</v>
      </c>
      <c r="Z1138">
        <v>1.992668E-3</v>
      </c>
      <c r="AA1138">
        <v>0.97509880000000004</v>
      </c>
      <c r="AB1138">
        <v>32</v>
      </c>
      <c r="AC1138">
        <v>73.3339</v>
      </c>
      <c r="AD1138">
        <v>5.9234770000000001</v>
      </c>
      <c r="AE1138">
        <v>-23.5262999999999</v>
      </c>
      <c r="AF1138">
        <v>17.041630765476601</v>
      </c>
      <c r="AG1138">
        <v>5.9234770000000001</v>
      </c>
      <c r="AH1138">
        <v>74.6416315524325</v>
      </c>
      <c r="AI1138">
        <v>85.575951262120995</v>
      </c>
      <c r="AJ1138">
        <v>77.139088475502803</v>
      </c>
      <c r="AK1138">
        <v>76.791131777865203</v>
      </c>
      <c r="AL1138">
        <v>86.967597047896305</v>
      </c>
      <c r="AM1138">
        <v>88.141918763693894</v>
      </c>
      <c r="AN1138">
        <v>0.99999998119934796</v>
      </c>
    </row>
    <row r="1139" spans="1:40" x14ac:dyDescent="0.25">
      <c r="A1139" t="str">
        <f>"20190312160621425"</f>
        <v>20190312160621425</v>
      </c>
      <c r="B1139" t="str">
        <f>"1552377981416071"</f>
        <v>1552377981416071</v>
      </c>
      <c r="C1139" t="s">
        <v>40</v>
      </c>
      <c r="D1139">
        <v>5.4107139999999996</v>
      </c>
      <c r="E1139">
        <v>0.57484780000000002</v>
      </c>
      <c r="F1139" t="s">
        <v>49</v>
      </c>
      <c r="G1139">
        <v>-141.9083</v>
      </c>
      <c r="H1139">
        <v>6.9647629999999996</v>
      </c>
      <c r="I1139">
        <v>342.78879999999998</v>
      </c>
      <c r="J1139">
        <v>-216.023</v>
      </c>
      <c r="K1139">
        <v>1.107167</v>
      </c>
      <c r="L1139">
        <v>366.7953</v>
      </c>
      <c r="M1139">
        <v>0.99603839999999999</v>
      </c>
      <c r="N1139">
        <v>0</v>
      </c>
      <c r="O1139">
        <v>-8.7730499999999906E-2</v>
      </c>
      <c r="P1139">
        <v>0.99209360000000002</v>
      </c>
      <c r="Q1139">
        <v>3.8558679999999998E-2</v>
      </c>
      <c r="R1139">
        <v>-0.11943239999999899</v>
      </c>
      <c r="S1139">
        <v>2.9030610000000001</v>
      </c>
      <c r="T1139">
        <v>0.22887089999999999</v>
      </c>
      <c r="U1139">
        <v>-0.93869020000000003</v>
      </c>
      <c r="V1139">
        <v>3.2290060000000002E-2</v>
      </c>
      <c r="W1139">
        <v>5.2844519999999999E-2</v>
      </c>
      <c r="X1139">
        <v>0.99808059999999998</v>
      </c>
      <c r="Y1139">
        <v>0.22261420000000001</v>
      </c>
      <c r="Z1139">
        <v>1.838826E-3</v>
      </c>
      <c r="AA1139">
        <v>0.97490489999999996</v>
      </c>
      <c r="AB1139">
        <v>32</v>
      </c>
      <c r="AC1139">
        <v>74.114699999999999</v>
      </c>
      <c r="AD1139">
        <v>5.857596</v>
      </c>
      <c r="AE1139">
        <v>-24.006499999999999</v>
      </c>
      <c r="AF1139">
        <v>17.313235462081799</v>
      </c>
      <c r="AG1139">
        <v>5.857596</v>
      </c>
      <c r="AH1139">
        <v>75.508326526243195</v>
      </c>
      <c r="AI1139">
        <v>85.675903698160894</v>
      </c>
      <c r="AJ1139">
        <v>77.085927170459001</v>
      </c>
      <c r="AK1139">
        <v>77.688911228427301</v>
      </c>
      <c r="AL1139">
        <v>86.9708211785304</v>
      </c>
      <c r="AM1139">
        <v>88.147004267672202</v>
      </c>
      <c r="AN1139">
        <v>1.0000000376825899</v>
      </c>
    </row>
    <row r="1140" spans="1:40" x14ac:dyDescent="0.25">
      <c r="A1140" t="str">
        <f>"20190312160621446"</f>
        <v>20190312160621446</v>
      </c>
      <c r="B1140" t="str">
        <f>"1552377981436567"</f>
        <v>1552377981436567</v>
      </c>
      <c r="C1140" t="s">
        <v>40</v>
      </c>
      <c r="D1140">
        <v>6.4341660000000003</v>
      </c>
      <c r="E1140">
        <v>0.57537419999999995</v>
      </c>
      <c r="F1140" t="s">
        <v>49</v>
      </c>
      <c r="G1140">
        <v>-142.0658</v>
      </c>
      <c r="H1140">
        <v>6.8125669999999996</v>
      </c>
      <c r="I1140">
        <v>342.64400000000001</v>
      </c>
      <c r="J1140">
        <v>-215.72790000000001</v>
      </c>
      <c r="K1140">
        <v>1.107135</v>
      </c>
      <c r="L1140">
        <v>366.7663</v>
      </c>
      <c r="M1140">
        <v>0.99576719999999996</v>
      </c>
      <c r="N1140">
        <v>0</v>
      </c>
      <c r="O1140">
        <v>-9.0756199999999995E-2</v>
      </c>
      <c r="P1140">
        <v>0.99179589999999995</v>
      </c>
      <c r="Q1140">
        <v>3.816659E-2</v>
      </c>
      <c r="R1140">
        <v>-0.1220021</v>
      </c>
      <c r="S1140">
        <v>2.901138</v>
      </c>
      <c r="T1140">
        <v>0.22380729999999999</v>
      </c>
      <c r="U1140">
        <v>-0.94738770000000005</v>
      </c>
      <c r="V1140">
        <v>3.1843400000000001E-2</v>
      </c>
      <c r="W1140">
        <v>5.2452150000000003E-2</v>
      </c>
      <c r="X1140">
        <v>0.99811559999999999</v>
      </c>
      <c r="Y1140">
        <v>0.22250990000000001</v>
      </c>
      <c r="Z1140">
        <v>1.5699380000000001E-3</v>
      </c>
      <c r="AA1140">
        <v>0.97492920000000005</v>
      </c>
      <c r="AB1140">
        <v>32</v>
      </c>
      <c r="AC1140">
        <v>73.662099999999995</v>
      </c>
      <c r="AD1140">
        <v>5.7054320000000001</v>
      </c>
      <c r="AE1140">
        <v>-24.122299999999999</v>
      </c>
      <c r="AF1140">
        <v>17.243305799059801</v>
      </c>
      <c r="AG1140">
        <v>5.7054320000000001</v>
      </c>
      <c r="AH1140">
        <v>75.140402872180999</v>
      </c>
      <c r="AI1140">
        <v>85.767448429015104</v>
      </c>
      <c r="AJ1140">
        <v>77.075473195342397</v>
      </c>
      <c r="AK1140">
        <v>77.304357529056404</v>
      </c>
      <c r="AL1140">
        <v>86.993333403102298</v>
      </c>
      <c r="AM1140">
        <v>88.172682810846098</v>
      </c>
      <c r="AN1140">
        <v>0.99999999056327105</v>
      </c>
    </row>
    <row r="1141" spans="1:40" x14ac:dyDescent="0.25">
      <c r="A1141" t="str">
        <f>"20190312160621468"</f>
        <v>20190312160621468</v>
      </c>
      <c r="B1141" t="str">
        <f>"1552377981456086"</f>
        <v>1552377981456086</v>
      </c>
      <c r="C1141" t="s">
        <v>40</v>
      </c>
      <c r="D1141">
        <v>6.2245350000000004</v>
      </c>
      <c r="E1141">
        <v>0.57574029999999998</v>
      </c>
      <c r="F1141" t="s">
        <v>49</v>
      </c>
      <c r="G1141">
        <v>-142.82859999999999</v>
      </c>
      <c r="H1141">
        <v>6.8719720000000004</v>
      </c>
      <c r="I1141">
        <v>342.64400000000001</v>
      </c>
      <c r="J1141">
        <v>-215.40899999999999</v>
      </c>
      <c r="K1141">
        <v>1.1070990000000001</v>
      </c>
      <c r="L1141">
        <v>366.73379999999997</v>
      </c>
      <c r="M1141">
        <v>0.99545910000000004</v>
      </c>
      <c r="N1141">
        <v>0</v>
      </c>
      <c r="O1141">
        <v>-9.4076809999999997E-2</v>
      </c>
      <c r="P1141">
        <v>0.99144019999999999</v>
      </c>
      <c r="Q1141">
        <v>3.8064399999999998E-2</v>
      </c>
      <c r="R1141">
        <v>-0.12489</v>
      </c>
      <c r="S1141">
        <v>2.8980410000000001</v>
      </c>
      <c r="T1141">
        <v>0.22917560000000001</v>
      </c>
      <c r="U1141">
        <v>-0.95895390000000003</v>
      </c>
      <c r="V1141">
        <v>3.1425069999999999E-2</v>
      </c>
      <c r="W1141">
        <v>5.2349300000000001E-2</v>
      </c>
      <c r="X1141">
        <v>0.99813430000000003</v>
      </c>
      <c r="Y1141">
        <v>0.2230676</v>
      </c>
      <c r="Z1141">
        <v>1.377178E-3</v>
      </c>
      <c r="AA1141">
        <v>0.97480199999999995</v>
      </c>
      <c r="AB1141">
        <v>32</v>
      </c>
      <c r="AC1141">
        <v>72.580399999999997</v>
      </c>
      <c r="AD1141">
        <v>5.7648729999999997</v>
      </c>
      <c r="AE1141">
        <v>-24.089799999999901</v>
      </c>
      <c r="AF1141">
        <v>17.0571549805221</v>
      </c>
      <c r="AG1141">
        <v>5.7648729999999997</v>
      </c>
      <c r="AH1141">
        <v>74.103854020992699</v>
      </c>
      <c r="AI1141">
        <v>85.664581175370202</v>
      </c>
      <c r="AJ1141">
        <v>77.037492292122394</v>
      </c>
      <c r="AK1141">
        <v>76.2598287271895</v>
      </c>
      <c r="AL1141">
        <v>86.999234507276498</v>
      </c>
      <c r="AM1141">
        <v>88.196706270666198</v>
      </c>
      <c r="AN1141">
        <v>1.0000000325357401</v>
      </c>
    </row>
    <row r="1142" spans="1:40" x14ac:dyDescent="0.25">
      <c r="A1142" t="str">
        <f>"20190312160621480"</f>
        <v>20190312160621480</v>
      </c>
      <c r="B1142" t="str">
        <f>"1552377981476583"</f>
        <v>1552377981476583</v>
      </c>
      <c r="C1142" t="s">
        <v>40</v>
      </c>
      <c r="D1142">
        <v>6.8533999999999997</v>
      </c>
      <c r="E1142">
        <v>0.57619339999999997</v>
      </c>
      <c r="F1142" t="s">
        <v>49</v>
      </c>
      <c r="G1142">
        <v>-143.52269999999999</v>
      </c>
      <c r="H1142">
        <v>6.6427069999999997</v>
      </c>
      <c r="I1142">
        <v>342.64400000000001</v>
      </c>
      <c r="J1142">
        <v>-215.23840000000001</v>
      </c>
      <c r="K1142">
        <v>1.1070789999999999</v>
      </c>
      <c r="L1142">
        <v>366.71589999999998</v>
      </c>
      <c r="M1142">
        <v>0.99528740000000004</v>
      </c>
      <c r="N1142">
        <v>0</v>
      </c>
      <c r="O1142">
        <v>-9.5874840000000003E-2</v>
      </c>
      <c r="P1142">
        <v>0.99125870000000005</v>
      </c>
      <c r="Q1142">
        <v>3.7948809999999999E-2</v>
      </c>
      <c r="R1142">
        <v>-0.12635779999999999</v>
      </c>
      <c r="S1142">
        <v>2.8951419999999999</v>
      </c>
      <c r="T1142">
        <v>0.22294040000000001</v>
      </c>
      <c r="U1142">
        <v>-0.9701843</v>
      </c>
      <c r="V1142">
        <v>3.110102E-2</v>
      </c>
      <c r="W1142">
        <v>5.2234059999999999E-2</v>
      </c>
      <c r="X1142">
        <v>0.99815050000000005</v>
      </c>
      <c r="Y1142">
        <v>0.22502</v>
      </c>
      <c r="Z1142">
        <v>1.28056E-3</v>
      </c>
      <c r="AA1142">
        <v>0.97435329999999998</v>
      </c>
      <c r="AB1142">
        <v>32</v>
      </c>
      <c r="AC1142">
        <v>71.715699999999998</v>
      </c>
      <c r="AD1142">
        <v>5.535628</v>
      </c>
      <c r="AE1142">
        <v>-24.0718999999999</v>
      </c>
      <c r="AF1142">
        <v>16.993533660580301</v>
      </c>
      <c r="AG1142">
        <v>5.535628</v>
      </c>
      <c r="AH1142">
        <v>73.300888296802896</v>
      </c>
      <c r="AI1142">
        <v>85.792437483226493</v>
      </c>
      <c r="AJ1142">
        <v>76.947552066169095</v>
      </c>
      <c r="AK1142">
        <v>75.448284200026905</v>
      </c>
      <c r="AL1142">
        <v>87.005846357649006</v>
      </c>
      <c r="AM1142">
        <v>88.215318388896605</v>
      </c>
      <c r="AN1142">
        <v>1.00000004555968</v>
      </c>
    </row>
    <row r="1143" spans="1:40" x14ac:dyDescent="0.25">
      <c r="A1143" t="str">
        <f>"20190312160621492"</f>
        <v>20190312160621492</v>
      </c>
      <c r="B1143" t="str">
        <f>"1552377981486344"</f>
        <v>1552377981486344</v>
      </c>
      <c r="C1143" t="s">
        <v>40</v>
      </c>
      <c r="D1143">
        <v>6.3744209999999999</v>
      </c>
      <c r="E1143">
        <v>0.5764899</v>
      </c>
      <c r="F1143" t="s">
        <v>49</v>
      </c>
      <c r="G1143">
        <v>-143.63210000000001</v>
      </c>
      <c r="H1143">
        <v>6.4177850000000003</v>
      </c>
      <c r="I1143">
        <v>342.49869999999999</v>
      </c>
      <c r="J1143">
        <v>-215.05950000000001</v>
      </c>
      <c r="K1143">
        <v>1.107057</v>
      </c>
      <c r="L1143">
        <v>366.69690000000003</v>
      </c>
      <c r="M1143">
        <v>0.99510279999999995</v>
      </c>
      <c r="N1143">
        <v>0</v>
      </c>
      <c r="O1143">
        <v>-9.7771940000000002E-2</v>
      </c>
      <c r="P1143">
        <v>0.99104400000000004</v>
      </c>
      <c r="Q1143">
        <v>3.7810549999999998E-2</v>
      </c>
      <c r="R1143">
        <v>-0.12807089999999999</v>
      </c>
      <c r="S1143">
        <v>2.893494</v>
      </c>
      <c r="T1143">
        <v>0.21459690000000001</v>
      </c>
      <c r="U1143">
        <v>-0.97857669999999997</v>
      </c>
      <c r="V1143">
        <v>3.0924409999999999E-2</v>
      </c>
      <c r="W1143">
        <v>5.2095009999999997E-2</v>
      </c>
      <c r="X1143">
        <v>0.99816320000000003</v>
      </c>
      <c r="Y1143">
        <v>0.2258956</v>
      </c>
      <c r="Z1143">
        <v>1.1294829999999999E-3</v>
      </c>
      <c r="AA1143">
        <v>0.97415079999999998</v>
      </c>
      <c r="AB1143">
        <v>32</v>
      </c>
      <c r="AC1143">
        <v>71.427400000000006</v>
      </c>
      <c r="AD1143">
        <v>5.3107280000000001</v>
      </c>
      <c r="AE1143">
        <v>-24.1982</v>
      </c>
      <c r="AF1143">
        <v>17.0135358104177</v>
      </c>
      <c r="AG1143">
        <v>5.3107280000000001</v>
      </c>
      <c r="AH1143">
        <v>73.088816647537797</v>
      </c>
      <c r="AI1143">
        <v>85.951970409912704</v>
      </c>
      <c r="AJ1143">
        <v>76.896106766167904</v>
      </c>
      <c r="AK1143">
        <v>75.230574579752798</v>
      </c>
      <c r="AL1143">
        <v>87.013824035705298</v>
      </c>
      <c r="AM1143">
        <v>88.225468933032602</v>
      </c>
      <c r="AN1143">
        <v>0.99999999151749397</v>
      </c>
    </row>
    <row r="1144" spans="1:40" x14ac:dyDescent="0.25">
      <c r="A1144" t="str">
        <f>"20190312160621503"</f>
        <v>20190312160621503</v>
      </c>
      <c r="B1144" t="str">
        <f>"1552377981496103"</f>
        <v>1552377981496103</v>
      </c>
      <c r="C1144" t="s">
        <v>40</v>
      </c>
      <c r="D1144">
        <v>6.2060519999999997</v>
      </c>
      <c r="E1144">
        <v>0.57657269999999905</v>
      </c>
      <c r="F1144" t="s">
        <v>49</v>
      </c>
      <c r="G1144">
        <v>-143.63200000000001</v>
      </c>
      <c r="H1144">
        <v>6.3199630000000004</v>
      </c>
      <c r="I1144">
        <v>342.3408</v>
      </c>
      <c r="J1144">
        <v>-214.89920000000001</v>
      </c>
      <c r="K1144">
        <v>1.107038</v>
      </c>
      <c r="L1144">
        <v>366.67939999999999</v>
      </c>
      <c r="M1144">
        <v>0.99493220000000004</v>
      </c>
      <c r="N1144">
        <v>0</v>
      </c>
      <c r="O1144">
        <v>-9.9493639999999994E-2</v>
      </c>
      <c r="P1144">
        <v>0.99088949999999998</v>
      </c>
      <c r="Q1144">
        <v>3.7542260000000001E-2</v>
      </c>
      <c r="R1144">
        <v>-0.12934039999999999</v>
      </c>
      <c r="S1144">
        <v>2.8916469999999999</v>
      </c>
      <c r="T1144">
        <v>0.2110379</v>
      </c>
      <c r="U1144">
        <v>-0.98602290000000004</v>
      </c>
      <c r="V1144">
        <v>3.0475019999999998E-2</v>
      </c>
      <c r="W1144">
        <v>5.1828340000000001E-2</v>
      </c>
      <c r="X1144">
        <v>0.99819089999999999</v>
      </c>
      <c r="Y1144">
        <v>0.22666049999999999</v>
      </c>
      <c r="Z1144">
        <v>1.017719E-3</v>
      </c>
      <c r="AA1144">
        <v>0.97397330000000004</v>
      </c>
      <c r="AB1144">
        <v>32</v>
      </c>
      <c r="AC1144">
        <v>71.267200000000003</v>
      </c>
      <c r="AD1144">
        <v>5.2129249999999896</v>
      </c>
      <c r="AE1144">
        <v>-24.3385999999999</v>
      </c>
      <c r="AF1144">
        <v>17.044759604254299</v>
      </c>
      <c r="AG1144">
        <v>5.2129249999999896</v>
      </c>
      <c r="AH1144">
        <v>72.985590252198605</v>
      </c>
      <c r="AI1144">
        <v>86.021340177201793</v>
      </c>
      <c r="AJ1144">
        <v>76.854968188772204</v>
      </c>
      <c r="AK1144">
        <v>75.130518442802398</v>
      </c>
      <c r="AL1144">
        <v>87.029123760430707</v>
      </c>
      <c r="AM1144">
        <v>88.251288584421502</v>
      </c>
      <c r="AN1144">
        <v>0.999999988256982</v>
      </c>
    </row>
    <row r="1145" spans="1:40" x14ac:dyDescent="0.25">
      <c r="A1145" t="str">
        <f>"20190312160621516"</f>
        <v>20190312160621516</v>
      </c>
      <c r="B1145" t="str">
        <f>"1552377981505863"</f>
        <v>1552377981505863</v>
      </c>
      <c r="C1145" t="s">
        <v>40</v>
      </c>
      <c r="D1145">
        <v>6.8399830000000001</v>
      </c>
      <c r="E1145">
        <v>0.57677590000000001</v>
      </c>
      <c r="F1145" t="s">
        <v>49</v>
      </c>
      <c r="G1145">
        <v>-143.63200000000001</v>
      </c>
      <c r="H1145">
        <v>6.1959669999999996</v>
      </c>
      <c r="I1145">
        <v>342.25580000000002</v>
      </c>
      <c r="J1145">
        <v>-214.72020000000001</v>
      </c>
      <c r="K1145">
        <v>1.1070150000000001</v>
      </c>
      <c r="L1145">
        <v>366.65969999999999</v>
      </c>
      <c r="M1145">
        <v>0.99473719999999999</v>
      </c>
      <c r="N1145">
        <v>0</v>
      </c>
      <c r="O1145">
        <v>-0.10142519999999999</v>
      </c>
      <c r="P1145">
        <v>0.99069759999999996</v>
      </c>
      <c r="Q1145">
        <v>3.7465350000000001E-2</v>
      </c>
      <c r="R1145">
        <v>-0.13082289999999999</v>
      </c>
      <c r="S1145">
        <v>2.8904570000000001</v>
      </c>
      <c r="T1145">
        <v>0.20639689999999999</v>
      </c>
      <c r="U1145">
        <v>-0.99057010000000001</v>
      </c>
      <c r="V1145">
        <v>3.003223E-2</v>
      </c>
      <c r="W1145">
        <v>5.1753109999999998E-2</v>
      </c>
      <c r="X1145">
        <v>0.99820819999999999</v>
      </c>
      <c r="Y1145">
        <v>0.22628210000000001</v>
      </c>
      <c r="Z1145">
        <v>8.5021089999999999E-4</v>
      </c>
      <c r="AA1145">
        <v>0.97406139999999997</v>
      </c>
      <c r="AB1145">
        <v>32</v>
      </c>
      <c r="AC1145">
        <v>71.088200000000001</v>
      </c>
      <c r="AD1145">
        <v>5.0889519999999999</v>
      </c>
      <c r="AE1145">
        <v>-24.403899999999901</v>
      </c>
      <c r="AF1145">
        <v>16.9892466573367</v>
      </c>
      <c r="AG1145">
        <v>5.0889519999999999</v>
      </c>
      <c r="AH1145">
        <v>72.862934009003098</v>
      </c>
      <c r="AI1145">
        <v>86.108831598660998</v>
      </c>
      <c r="AJ1145">
        <v>76.875005018831999</v>
      </c>
      <c r="AK1145">
        <v>74.990259946492202</v>
      </c>
      <c r="AL1145">
        <v>87.033439845046601</v>
      </c>
      <c r="AM1145">
        <v>88.276711085430605</v>
      </c>
      <c r="AN1145">
        <v>0.99999996489034104</v>
      </c>
    </row>
    <row r="1146" spans="1:40" x14ac:dyDescent="0.25">
      <c r="A1146" t="str">
        <f>"20190312160621530"</f>
        <v>20190312160621530</v>
      </c>
      <c r="B1146" t="str">
        <f>"1552377981526359"</f>
        <v>1552377981526359</v>
      </c>
      <c r="C1146" t="s">
        <v>40</v>
      </c>
      <c r="D1146">
        <v>6.3081199999999997</v>
      </c>
      <c r="E1146">
        <v>0.57736449999999995</v>
      </c>
      <c r="F1146" t="s">
        <v>49</v>
      </c>
      <c r="G1146">
        <v>-143.77279999999999</v>
      </c>
      <c r="H1146">
        <v>6.1160180000000004</v>
      </c>
      <c r="I1146">
        <v>342.19009999999997</v>
      </c>
      <c r="J1146">
        <v>-214.52969999999999</v>
      </c>
      <c r="K1146">
        <v>1.106995</v>
      </c>
      <c r="L1146">
        <v>366.63819999999998</v>
      </c>
      <c r="M1146">
        <v>0.99452289999999999</v>
      </c>
      <c r="N1146">
        <v>0</v>
      </c>
      <c r="O1146">
        <v>-0.103504399999999</v>
      </c>
      <c r="P1146">
        <v>0.99045249999999996</v>
      </c>
      <c r="Q1146">
        <v>3.7277589999999999E-2</v>
      </c>
      <c r="R1146">
        <v>-0.1327188</v>
      </c>
      <c r="S1146">
        <v>2.8888850000000001</v>
      </c>
      <c r="T1146">
        <v>0.20396030000000001</v>
      </c>
      <c r="U1146">
        <v>-0.99636840000000004</v>
      </c>
      <c r="V1146">
        <v>2.9856799999999999E-2</v>
      </c>
      <c r="W1146">
        <v>5.1564539999999999E-2</v>
      </c>
      <c r="X1146">
        <v>0.99822319999999998</v>
      </c>
      <c r="Y1146">
        <v>0.22616829999999999</v>
      </c>
      <c r="Z1146">
        <v>6.9588940000000002E-4</v>
      </c>
      <c r="AA1146">
        <v>0.97408799999999995</v>
      </c>
      <c r="AB1146">
        <v>32</v>
      </c>
      <c r="AC1146">
        <v>70.756900000000002</v>
      </c>
      <c r="AD1146">
        <v>5.009023</v>
      </c>
      <c r="AE1146">
        <v>-24.4481</v>
      </c>
      <c r="AF1146">
        <v>16.916602060102399</v>
      </c>
      <c r="AG1146">
        <v>5.009023</v>
      </c>
      <c r="AH1146">
        <v>72.5825835301696</v>
      </c>
      <c r="AI1146">
        <v>86.1549294189129</v>
      </c>
      <c r="AJ1146">
        <v>76.880452607513902</v>
      </c>
      <c r="AK1146">
        <v>74.696005037675505</v>
      </c>
      <c r="AL1146">
        <v>87.044258492998395</v>
      </c>
      <c r="AM1146">
        <v>88.286797201954997</v>
      </c>
      <c r="AN1146">
        <v>0.99999994365494405</v>
      </c>
    </row>
    <row r="1147" spans="1:40" x14ac:dyDescent="0.25">
      <c r="A1147" t="str">
        <f>"20190312160621542"</f>
        <v>20190312160621542</v>
      </c>
      <c r="B1147" t="str">
        <f>"1552377981536120"</f>
        <v>1552377981536120</v>
      </c>
      <c r="C1147" t="s">
        <v>40</v>
      </c>
      <c r="D1147">
        <v>6.6302059999999896</v>
      </c>
      <c r="E1147">
        <v>0.57740440000000004</v>
      </c>
      <c r="F1147" t="s">
        <v>49</v>
      </c>
      <c r="G1147">
        <v>-144.42400000000001</v>
      </c>
      <c r="H1147">
        <v>6.0329709999999999</v>
      </c>
      <c r="I1147">
        <v>342.19009999999997</v>
      </c>
      <c r="J1147">
        <v>-214.35290000000001</v>
      </c>
      <c r="K1147">
        <v>1.106973</v>
      </c>
      <c r="L1147">
        <v>366.61799999999999</v>
      </c>
      <c r="M1147">
        <v>0.99431849999999999</v>
      </c>
      <c r="N1147">
        <v>0</v>
      </c>
      <c r="O1147">
        <v>-0.10545019999999999</v>
      </c>
      <c r="P1147">
        <v>0.99022520000000003</v>
      </c>
      <c r="Q1147">
        <v>3.7285100000000002E-2</v>
      </c>
      <c r="R1147">
        <v>-0.13440250000000001</v>
      </c>
      <c r="S1147">
        <v>2.8864290000000001</v>
      </c>
      <c r="T1147">
        <v>0.2028152</v>
      </c>
      <c r="U1147">
        <v>-1.0065919999999999</v>
      </c>
      <c r="V1147">
        <v>2.960306E-2</v>
      </c>
      <c r="W1147">
        <v>5.1572140000000002E-2</v>
      </c>
      <c r="X1147">
        <v>0.99823039999999996</v>
      </c>
      <c r="Y1147">
        <v>0.2276012</v>
      </c>
      <c r="Z1147">
        <v>6.1035530000000003E-4</v>
      </c>
      <c r="AA1147">
        <v>0.97375420000000001</v>
      </c>
      <c r="AB1147">
        <v>32</v>
      </c>
      <c r="AC1147">
        <v>69.928899999999999</v>
      </c>
      <c r="AD1147">
        <v>4.9259979999999999</v>
      </c>
      <c r="AE1147">
        <v>-24.427900000000001</v>
      </c>
      <c r="AF1147">
        <v>16.842394907509501</v>
      </c>
      <c r="AG1147">
        <v>4.9259979999999999</v>
      </c>
      <c r="AH1147">
        <v>71.797606028621203</v>
      </c>
      <c r="AI1147">
        <v>86.1785327323974</v>
      </c>
      <c r="AJ1147">
        <v>76.798170687120106</v>
      </c>
      <c r="AK1147">
        <v>73.910946103791801</v>
      </c>
      <c r="AL1147">
        <v>87.043822569878202</v>
      </c>
      <c r="AM1147">
        <v>88.301360648095297</v>
      </c>
      <c r="AN1147">
        <v>0.99999997913485095</v>
      </c>
    </row>
    <row r="1148" spans="1:40" x14ac:dyDescent="0.25">
      <c r="A1148" t="str">
        <f>"20190312160621557"</f>
        <v>20190312160621557</v>
      </c>
      <c r="B1148" t="str">
        <f>"1552377981545880"</f>
        <v>1552377981545880</v>
      </c>
      <c r="C1148" t="s">
        <v>40</v>
      </c>
      <c r="D1148">
        <v>6.5459199999999997</v>
      </c>
      <c r="E1148">
        <v>0.57754059999999996</v>
      </c>
      <c r="F1148" t="s">
        <v>49</v>
      </c>
      <c r="G1148">
        <v>-144.72919999999999</v>
      </c>
      <c r="H1148">
        <v>5.8863370000000002</v>
      </c>
      <c r="I1148">
        <v>342.19009999999997</v>
      </c>
      <c r="J1148">
        <v>-214.1311</v>
      </c>
      <c r="K1148">
        <v>1.1069469999999999</v>
      </c>
      <c r="L1148">
        <v>366.59199999999998</v>
      </c>
      <c r="M1148">
        <v>0.99405460000000001</v>
      </c>
      <c r="N1148">
        <v>0</v>
      </c>
      <c r="O1148">
        <v>-0.1079117</v>
      </c>
      <c r="P1148">
        <v>0.99004029999999998</v>
      </c>
      <c r="Q1148">
        <v>3.7087309999999998E-2</v>
      </c>
      <c r="R1148">
        <v>-0.1358116</v>
      </c>
      <c r="S1148">
        <v>2.8847960000000001</v>
      </c>
      <c r="T1148">
        <v>0.19802890000000001</v>
      </c>
      <c r="U1148">
        <v>-1.012146</v>
      </c>
      <c r="V1148">
        <v>2.85528E-2</v>
      </c>
      <c r="W1148">
        <v>5.1380240000000001E-2</v>
      </c>
      <c r="X1148">
        <v>0.99827089999999996</v>
      </c>
      <c r="Y1148">
        <v>0.2270508</v>
      </c>
      <c r="Z1148">
        <v>4.1624020000000003E-4</v>
      </c>
      <c r="AA1148">
        <v>0.9738829</v>
      </c>
      <c r="AB1148">
        <v>32</v>
      </c>
      <c r="AC1148">
        <v>69.401899999999998</v>
      </c>
      <c r="AD1148">
        <v>4.7793900000000002</v>
      </c>
      <c r="AE1148">
        <v>-24.401900000000001</v>
      </c>
      <c r="AF1148">
        <v>16.698828953685801</v>
      </c>
      <c r="AG1148">
        <v>4.7793900000000002</v>
      </c>
      <c r="AH1148">
        <v>71.329012573461299</v>
      </c>
      <c r="AI1148">
        <v>86.2672641543667</v>
      </c>
      <c r="AJ1148">
        <v>76.823787604507203</v>
      </c>
      <c r="AK1148">
        <v>73.413360445504495</v>
      </c>
      <c r="AL1148">
        <v>87.054832260424703</v>
      </c>
      <c r="AM1148">
        <v>88.361658109848605</v>
      </c>
      <c r="AN1148">
        <v>0.99999999061855305</v>
      </c>
    </row>
    <row r="1149" spans="1:40" x14ac:dyDescent="0.25">
      <c r="A1149" t="str">
        <f>"20190312160621571"</f>
        <v>20190312160621571</v>
      </c>
      <c r="B1149" t="str">
        <f>"1552377981566376"</f>
        <v>1552377981566376</v>
      </c>
      <c r="C1149" t="s">
        <v>40</v>
      </c>
      <c r="D1149">
        <v>6.8067330000000004</v>
      </c>
      <c r="E1149">
        <v>0.57821540000000005</v>
      </c>
      <c r="F1149" t="s">
        <v>49</v>
      </c>
      <c r="G1149">
        <v>-144.95949999999999</v>
      </c>
      <c r="H1149">
        <v>5.8115050000000004</v>
      </c>
      <c r="I1149">
        <v>342.19009999999997</v>
      </c>
      <c r="J1149">
        <v>-213.93979999999999</v>
      </c>
      <c r="K1149">
        <v>1.106924</v>
      </c>
      <c r="L1149">
        <v>366.56909999999999</v>
      </c>
      <c r="M1149">
        <v>0.99381929999999996</v>
      </c>
      <c r="N1149">
        <v>0</v>
      </c>
      <c r="O1149">
        <v>-0.11005620000000001</v>
      </c>
      <c r="P1149">
        <v>0.98977890000000002</v>
      </c>
      <c r="Q1149">
        <v>3.6963620000000003E-2</v>
      </c>
      <c r="R1149">
        <v>-0.13773579999999999</v>
      </c>
      <c r="S1149">
        <v>2.8833009999999999</v>
      </c>
      <c r="T1149">
        <v>0.1961019</v>
      </c>
      <c r="U1149">
        <v>-1.0171509999999999</v>
      </c>
      <c r="V1149">
        <v>2.8340529999999999E-2</v>
      </c>
      <c r="W1149">
        <v>5.1256419999999997E-2</v>
      </c>
      <c r="X1149">
        <v>0.99828329999999998</v>
      </c>
      <c r="Y1149">
        <v>0.22662160000000001</v>
      </c>
      <c r="Z1149">
        <v>2.5879130000000002E-4</v>
      </c>
      <c r="AA1149">
        <v>0.97398289999999998</v>
      </c>
      <c r="AB1149">
        <v>32</v>
      </c>
      <c r="AC1149">
        <v>68.9803</v>
      </c>
      <c r="AD1149">
        <v>4.7045810000000001</v>
      </c>
      <c r="AE1149">
        <v>-24.379000000000001</v>
      </c>
      <c r="AF1149">
        <v>16.569848709180999</v>
      </c>
      <c r="AG1149">
        <v>4.7045810000000001</v>
      </c>
      <c r="AH1149">
        <v>70.951141168517296</v>
      </c>
      <c r="AI1149">
        <v>86.305547299415196</v>
      </c>
      <c r="AJ1149">
        <v>76.854810349915297</v>
      </c>
      <c r="AK1149">
        <v>73.012036006028296</v>
      </c>
      <c r="AL1149">
        <v>87.061935943072498</v>
      </c>
      <c r="AM1149">
        <v>88.373851654292906</v>
      </c>
      <c r="AN1149">
        <v>0.99999997664539297</v>
      </c>
    </row>
    <row r="1150" spans="1:40" x14ac:dyDescent="0.25">
      <c r="A1150" t="str">
        <f>"20190312160621591"</f>
        <v>20190312160621591</v>
      </c>
      <c r="B1150" t="str">
        <f>"1552377981585895"</f>
        <v>1552377981585895</v>
      </c>
      <c r="C1150" t="s">
        <v>40</v>
      </c>
      <c r="D1150">
        <v>6.4206250000000002</v>
      </c>
      <c r="E1150">
        <v>0.57860659999999997</v>
      </c>
      <c r="F1150" t="s">
        <v>49</v>
      </c>
      <c r="G1150">
        <v>-145.6386</v>
      </c>
      <c r="H1150">
        <v>5.6752690000000001</v>
      </c>
      <c r="I1150">
        <v>342.19009999999997</v>
      </c>
      <c r="J1150">
        <v>-213.65369999999999</v>
      </c>
      <c r="K1150">
        <v>1.106881</v>
      </c>
      <c r="L1150">
        <v>366.53410000000002</v>
      </c>
      <c r="M1150">
        <v>0.99345490000000003</v>
      </c>
      <c r="N1150">
        <v>0</v>
      </c>
      <c r="O1150">
        <v>-0.1132986</v>
      </c>
      <c r="P1150">
        <v>0.98947019999999997</v>
      </c>
      <c r="Q1150">
        <v>3.6578270000000003E-2</v>
      </c>
      <c r="R1150">
        <v>-0.1400381</v>
      </c>
      <c r="S1150">
        <v>2.880722</v>
      </c>
      <c r="T1150">
        <v>0.19267819999999999</v>
      </c>
      <c r="U1150">
        <v>-1.0282290000000001</v>
      </c>
      <c r="V1150">
        <v>2.740451E-2</v>
      </c>
      <c r="W1150">
        <v>5.0875459999999997E-2</v>
      </c>
      <c r="X1150">
        <v>0.99832889999999996</v>
      </c>
      <c r="Y1150">
        <v>0.22705690000000001</v>
      </c>
      <c r="Z1150" s="1">
        <v>6.1627480000000004E-5</v>
      </c>
      <c r="AA1150">
        <v>0.97388149999999996</v>
      </c>
      <c r="AB1150">
        <v>32</v>
      </c>
      <c r="AC1150">
        <v>68.015099999999904</v>
      </c>
      <c r="AD1150">
        <v>4.5683879999999997</v>
      </c>
      <c r="AE1150">
        <v>-24.344000000000001</v>
      </c>
      <c r="AF1150">
        <v>16.414742905339399</v>
      </c>
      <c r="AG1150">
        <v>4.5683879999999997</v>
      </c>
      <c r="AH1150">
        <v>70.055328850034996</v>
      </c>
      <c r="AI1150">
        <v>86.367079566484904</v>
      </c>
      <c r="AJ1150">
        <v>76.812858543703499</v>
      </c>
      <c r="AK1150">
        <v>72.097593953290001</v>
      </c>
      <c r="AL1150">
        <v>87.083791799645198</v>
      </c>
      <c r="AM1150">
        <v>88.427603812738099</v>
      </c>
      <c r="AN1150">
        <v>0.99999995608687897</v>
      </c>
    </row>
    <row r="1151" spans="1:40" x14ac:dyDescent="0.25">
      <c r="A1151" t="str">
        <f>"20190312160621603"</f>
        <v>20190312160621603</v>
      </c>
      <c r="B1151" t="str">
        <f>"1552377981595655"</f>
        <v>1552377981595655</v>
      </c>
      <c r="C1151" t="s">
        <v>40</v>
      </c>
      <c r="D1151">
        <v>6.3393240000000004</v>
      </c>
      <c r="E1151">
        <v>0.57880969999999998</v>
      </c>
      <c r="F1151" t="s">
        <v>49</v>
      </c>
      <c r="G1151">
        <v>-147.4051</v>
      </c>
      <c r="H1151">
        <v>5.5032129999999997</v>
      </c>
      <c r="I1151">
        <v>342.64400000000001</v>
      </c>
      <c r="J1151">
        <v>-213.4855</v>
      </c>
      <c r="K1151">
        <v>1.10686</v>
      </c>
      <c r="L1151">
        <v>366.51299999999998</v>
      </c>
      <c r="M1151">
        <v>0.99323269999999997</v>
      </c>
      <c r="N1151">
        <v>0</v>
      </c>
      <c r="O1151">
        <v>-0.1152301</v>
      </c>
      <c r="P1151">
        <v>0.98923099999999997</v>
      </c>
      <c r="Q1151">
        <v>3.6299949999999997E-2</v>
      </c>
      <c r="R1151">
        <v>-0.14179040000000001</v>
      </c>
      <c r="S1151">
        <v>2.8779910000000002</v>
      </c>
      <c r="T1151">
        <v>0.1909872</v>
      </c>
      <c r="U1151">
        <v>-1.0378419999999999</v>
      </c>
      <c r="V1151">
        <v>2.723072E-2</v>
      </c>
      <c r="W1151">
        <v>5.0597339999999998E-2</v>
      </c>
      <c r="X1151">
        <v>0.99834780000000001</v>
      </c>
      <c r="Y1151">
        <v>0.22834260000000001</v>
      </c>
      <c r="Z1151" s="1">
        <v>-1.9548930000000001E-5</v>
      </c>
      <c r="AA1151">
        <v>0.97358080000000002</v>
      </c>
      <c r="AB1151">
        <v>32</v>
      </c>
      <c r="AC1151">
        <v>66.080399999999997</v>
      </c>
      <c r="AD1151">
        <v>4.3963530000000004</v>
      </c>
      <c r="AE1151">
        <v>-23.869</v>
      </c>
      <c r="AF1151">
        <v>16.0319449762647</v>
      </c>
      <c r="AG1151">
        <v>4.3963530000000004</v>
      </c>
      <c r="AH1151">
        <v>68.124115978448501</v>
      </c>
      <c r="AI1151">
        <v>86.405494726072305</v>
      </c>
      <c r="AJ1151">
        <v>76.7572955487543</v>
      </c>
      <c r="AK1151">
        <v>70.123080061187295</v>
      </c>
      <c r="AL1151">
        <v>87.099747481988004</v>
      </c>
      <c r="AM1151">
        <v>88.4376000155371</v>
      </c>
      <c r="AN1151">
        <v>0.999999966345816</v>
      </c>
    </row>
    <row r="1152" spans="1:40" x14ac:dyDescent="0.25">
      <c r="A1152" t="str">
        <f>"20190312160621615"</f>
        <v>20190312160621615</v>
      </c>
      <c r="B1152" t="str">
        <f>"1552377981606391"</f>
        <v>1552377981606391</v>
      </c>
      <c r="C1152" t="s">
        <v>40</v>
      </c>
      <c r="D1152">
        <v>6.8188679999999904</v>
      </c>
      <c r="E1152">
        <v>0.57908479999999996</v>
      </c>
      <c r="F1152" t="s">
        <v>49</v>
      </c>
      <c r="G1152">
        <v>-147.77019999999999</v>
      </c>
      <c r="H1152">
        <v>5.4934089999999998</v>
      </c>
      <c r="I1152">
        <v>342.64400000000001</v>
      </c>
      <c r="J1152">
        <v>-213.32</v>
      </c>
      <c r="K1152">
        <v>1.10684</v>
      </c>
      <c r="L1152">
        <v>366.49209999999999</v>
      </c>
      <c r="M1152">
        <v>0.99300940000000004</v>
      </c>
      <c r="N1152">
        <v>0</v>
      </c>
      <c r="O1152">
        <v>-0.1171388</v>
      </c>
      <c r="P1152">
        <v>0.98896119999999998</v>
      </c>
      <c r="Q1152">
        <v>3.602292E-2</v>
      </c>
      <c r="R1152">
        <v>-0.1437302</v>
      </c>
      <c r="S1152">
        <v>2.8759160000000001</v>
      </c>
      <c r="T1152">
        <v>0.1919701</v>
      </c>
      <c r="U1152">
        <v>-1.044586</v>
      </c>
      <c r="V1152">
        <v>2.726924E-2</v>
      </c>
      <c r="W1152">
        <v>5.0317790000000001E-2</v>
      </c>
      <c r="X1152">
        <v>0.9983609</v>
      </c>
      <c r="Y1152">
        <v>0.228715</v>
      </c>
      <c r="Z1152">
        <v>-1.2884990000000001E-4</v>
      </c>
      <c r="AA1152">
        <v>0.97349339999999995</v>
      </c>
      <c r="AB1152">
        <v>32</v>
      </c>
      <c r="AC1152">
        <v>65.549800000000005</v>
      </c>
      <c r="AD1152">
        <v>4.3865689999999997</v>
      </c>
      <c r="AE1152">
        <v>-23.848099999999899</v>
      </c>
      <c r="AF1152">
        <v>15.941604352935</v>
      </c>
      <c r="AG1152">
        <v>4.3865689999999997</v>
      </c>
      <c r="AH1152">
        <v>67.624821806879595</v>
      </c>
      <c r="AI1152">
        <v>86.387385760317201</v>
      </c>
      <c r="AJ1152">
        <v>76.735493126729097</v>
      </c>
      <c r="AK1152">
        <v>69.616759917059497</v>
      </c>
      <c r="AL1152">
        <v>87.1157850116969</v>
      </c>
      <c r="AM1152">
        <v>88.435411495221601</v>
      </c>
      <c r="AN1152">
        <v>0.99999998904473497</v>
      </c>
    </row>
    <row r="1153" spans="1:40" x14ac:dyDescent="0.25">
      <c r="A1153" t="str">
        <f>"20190312160621627"</f>
        <v>20190312160621627</v>
      </c>
      <c r="B1153" t="str">
        <f>"1552377981616150"</f>
        <v>1552377981616150</v>
      </c>
      <c r="C1153" t="s">
        <v>40</v>
      </c>
      <c r="D1153">
        <v>6.5693250000000001</v>
      </c>
      <c r="E1153">
        <v>0.57917050000000003</v>
      </c>
      <c r="F1153" t="s">
        <v>49</v>
      </c>
      <c r="G1153">
        <v>-148.2106</v>
      </c>
      <c r="H1153">
        <v>5.3332379999999997</v>
      </c>
      <c r="I1153">
        <v>342.64400000000001</v>
      </c>
      <c r="J1153">
        <v>-213.13200000000001</v>
      </c>
      <c r="K1153">
        <v>1.1068129999999901</v>
      </c>
      <c r="L1153">
        <v>366.46769999999998</v>
      </c>
      <c r="M1153">
        <v>0.99274709999999999</v>
      </c>
      <c r="N1153">
        <v>0</v>
      </c>
      <c r="O1153">
        <v>-0.11934060000000001</v>
      </c>
      <c r="P1153">
        <v>0.9886471</v>
      </c>
      <c r="Q1153">
        <v>3.5826480000000001E-2</v>
      </c>
      <c r="R1153">
        <v>-0.1459223</v>
      </c>
      <c r="S1153">
        <v>2.8737339999999998</v>
      </c>
      <c r="T1153">
        <v>0.1865407</v>
      </c>
      <c r="U1153">
        <v>-1.0525819999999999</v>
      </c>
      <c r="V1153">
        <v>2.7269499999999999E-2</v>
      </c>
      <c r="W1153">
        <v>5.0120150000000002E-2</v>
      </c>
      <c r="X1153">
        <v>0.9983708</v>
      </c>
      <c r="Y1153">
        <v>0.22919890000000001</v>
      </c>
      <c r="Z1153">
        <v>-2.4590499999999998E-4</v>
      </c>
      <c r="AA1153">
        <v>0.97337960000000001</v>
      </c>
      <c r="AB1153">
        <v>32</v>
      </c>
      <c r="AC1153">
        <v>64.921400000000006</v>
      </c>
      <c r="AD1153">
        <v>4.2264249999999999</v>
      </c>
      <c r="AE1153">
        <v>-23.823699999999899</v>
      </c>
      <c r="AF1153">
        <v>15.845643087305801</v>
      </c>
      <c r="AG1153">
        <v>4.2264249999999999</v>
      </c>
      <c r="AH1153">
        <v>67.050326498752796</v>
      </c>
      <c r="AI1153">
        <v>86.4896529582646</v>
      </c>
      <c r="AJ1153">
        <v>76.703546751519497</v>
      </c>
      <c r="AK1153">
        <v>69.026758266054102</v>
      </c>
      <c r="AL1153">
        <v>87.127123157132303</v>
      </c>
      <c r="AM1153">
        <v>88.435412092124196</v>
      </c>
      <c r="AN1153">
        <v>0.99999995467945502</v>
      </c>
    </row>
    <row r="1154" spans="1:40" x14ac:dyDescent="0.25">
      <c r="A1154" t="str">
        <f>"20190312160621648"</f>
        <v>20190312160621648</v>
      </c>
      <c r="B1154" t="str">
        <f>"1552377981635671"</f>
        <v>1552377981635671</v>
      </c>
      <c r="C1154" t="s">
        <v>40</v>
      </c>
      <c r="D1154">
        <v>6.5605500000000001</v>
      </c>
      <c r="E1154">
        <v>0.57912529999999995</v>
      </c>
      <c r="F1154" t="s">
        <v>49</v>
      </c>
      <c r="G1154">
        <v>-148.5684</v>
      </c>
      <c r="H1154">
        <v>5.2743699999999896</v>
      </c>
      <c r="I1154">
        <v>342.64400000000001</v>
      </c>
      <c r="J1154">
        <v>-212.85599999999999</v>
      </c>
      <c r="K1154">
        <v>1.106773</v>
      </c>
      <c r="L1154">
        <v>366.43110000000001</v>
      </c>
      <c r="M1154">
        <v>0.99234900000000004</v>
      </c>
      <c r="N1154">
        <v>0</v>
      </c>
      <c r="O1154">
        <v>-0.1226066</v>
      </c>
      <c r="P1154">
        <v>0.98822699999999997</v>
      </c>
      <c r="Q1154">
        <v>3.5827499999999998E-2</v>
      </c>
      <c r="R1154">
        <v>-0.1487407</v>
      </c>
      <c r="S1154">
        <v>2.8713380000000002</v>
      </c>
      <c r="T1154">
        <v>0.18534419999999999</v>
      </c>
      <c r="U1154">
        <v>-1.059509</v>
      </c>
      <c r="V1154">
        <v>2.6836019999999999E-2</v>
      </c>
      <c r="W1154">
        <v>5.0121579999999999E-2</v>
      </c>
      <c r="X1154">
        <v>0.99838249999999995</v>
      </c>
      <c r="Y1154">
        <v>0.22833700000000001</v>
      </c>
      <c r="Z1154">
        <v>-4.7167809999999999E-4</v>
      </c>
      <c r="AA1154">
        <v>0.97358199999999995</v>
      </c>
      <c r="AB1154">
        <v>32</v>
      </c>
      <c r="AC1154">
        <v>64.287599999999998</v>
      </c>
      <c r="AD1154">
        <v>4.16759699999999</v>
      </c>
      <c r="AE1154">
        <v>-23.787099999999999</v>
      </c>
      <c r="AF1154">
        <v>15.666768197550301</v>
      </c>
      <c r="AG1154">
        <v>4.16759699999999</v>
      </c>
      <c r="AH1154">
        <v>66.473513164412097</v>
      </c>
      <c r="AI1154">
        <v>86.507932065587497</v>
      </c>
      <c r="AJ1154">
        <v>76.738294987387803</v>
      </c>
      <c r="AK1154">
        <v>68.421812625283906</v>
      </c>
      <c r="AL1154">
        <v>87.127041195383697</v>
      </c>
      <c r="AM1154">
        <v>88.460288978925703</v>
      </c>
      <c r="AN1154">
        <v>0.99999998052869299</v>
      </c>
    </row>
    <row r="1155" spans="1:40" x14ac:dyDescent="0.25">
      <c r="A1155" t="str">
        <f>"20190312160621662"</f>
        <v>20190312160621662</v>
      </c>
      <c r="B1155" t="str">
        <f>"1552377981656167"</f>
        <v>1552377981656167</v>
      </c>
      <c r="C1155" t="s">
        <v>40</v>
      </c>
      <c r="D1155">
        <v>6.5894570000000003</v>
      </c>
      <c r="E1155">
        <v>0.57933089999999998</v>
      </c>
      <c r="F1155" t="s">
        <v>49</v>
      </c>
      <c r="G1155">
        <v>-148.9573</v>
      </c>
      <c r="H1155">
        <v>5.0995569999999999</v>
      </c>
      <c r="I1155">
        <v>342.64400000000001</v>
      </c>
      <c r="J1155">
        <v>-212.65309999999999</v>
      </c>
      <c r="K1155">
        <v>1.1067389999999999</v>
      </c>
      <c r="L1155">
        <v>366.40359999999998</v>
      </c>
      <c r="M1155">
        <v>0.99204499999999995</v>
      </c>
      <c r="N1155">
        <v>0</v>
      </c>
      <c r="O1155">
        <v>-0.12504319999999999</v>
      </c>
      <c r="P1155">
        <v>0.98788989999999999</v>
      </c>
      <c r="Q1155">
        <v>3.6288590000000003E-2</v>
      </c>
      <c r="R1155">
        <v>-0.1508535</v>
      </c>
      <c r="S1155">
        <v>2.8685149999999999</v>
      </c>
      <c r="T1155">
        <v>0.1792426</v>
      </c>
      <c r="U1155">
        <v>-1.067841</v>
      </c>
      <c r="V1155">
        <v>2.652852E-2</v>
      </c>
      <c r="W1155">
        <v>5.0582580000000002E-2</v>
      </c>
      <c r="X1155">
        <v>0.99836749999999996</v>
      </c>
      <c r="Y1155">
        <v>0.22875889999999999</v>
      </c>
      <c r="Z1155">
        <v>-5.8803199999999897E-4</v>
      </c>
      <c r="AA1155">
        <v>0.97348290000000004</v>
      </c>
      <c r="AB1155">
        <v>32</v>
      </c>
      <c r="AC1155">
        <v>63.695799999999899</v>
      </c>
      <c r="AD1155">
        <v>3.9928180000000002</v>
      </c>
      <c r="AE1155">
        <v>-23.759599999999899</v>
      </c>
      <c r="AF1155">
        <v>15.5538582672419</v>
      </c>
      <c r="AG1155">
        <v>3.9928180000000002</v>
      </c>
      <c r="AH1155">
        <v>65.939594019095907</v>
      </c>
      <c r="AI1155">
        <v>86.627158118169405</v>
      </c>
      <c r="AJ1155">
        <v>76.727654547033495</v>
      </c>
      <c r="AK1155">
        <v>67.866745626866205</v>
      </c>
      <c r="AL1155">
        <v>87.1005943856903</v>
      </c>
      <c r="AM1155">
        <v>88.477900521868307</v>
      </c>
      <c r="AN1155">
        <v>1.0000000124145401</v>
      </c>
    </row>
    <row r="1156" spans="1:40" x14ac:dyDescent="0.25">
      <c r="A1156" t="str">
        <f>"20190312160621676"</f>
        <v>20190312160621676</v>
      </c>
      <c r="B1156" t="str">
        <f>"1552377981665928"</f>
        <v>1552377981665928</v>
      </c>
      <c r="C1156" t="s">
        <v>40</v>
      </c>
      <c r="D1156">
        <v>5.2640789999999997</v>
      </c>
      <c r="E1156">
        <v>0.57947559999999998</v>
      </c>
      <c r="F1156" t="s">
        <v>49</v>
      </c>
      <c r="G1156">
        <v>-149.33160000000001</v>
      </c>
      <c r="H1156">
        <v>5.0661659999999999</v>
      </c>
      <c r="I1156">
        <v>342.64400000000001</v>
      </c>
      <c r="J1156">
        <v>-212.45169999999999</v>
      </c>
      <c r="K1156">
        <v>1.1067049999999901</v>
      </c>
      <c r="L1156">
        <v>366.3759</v>
      </c>
      <c r="M1156">
        <v>0.99173370000000005</v>
      </c>
      <c r="N1156">
        <v>0</v>
      </c>
      <c r="O1156">
        <v>-0.12748880000000001</v>
      </c>
      <c r="P1156">
        <v>0.98755599999999999</v>
      </c>
      <c r="Q1156">
        <v>3.6731199999999999E-2</v>
      </c>
      <c r="R1156">
        <v>-0.1529179</v>
      </c>
      <c r="S1156">
        <v>2.8659819999999998</v>
      </c>
      <c r="T1156">
        <v>0.17920710000000001</v>
      </c>
      <c r="U1156">
        <v>-1.0753779999999999</v>
      </c>
      <c r="V1156">
        <v>2.6163240000000001E-2</v>
      </c>
      <c r="W1156">
        <v>5.1025929999999997E-2</v>
      </c>
      <c r="X1156">
        <v>0.99835459999999998</v>
      </c>
      <c r="Y1156">
        <v>0.22889029999999999</v>
      </c>
      <c r="Z1156">
        <v>-7.2907660000000004E-4</v>
      </c>
      <c r="AA1156">
        <v>0.97345199999999998</v>
      </c>
      <c r="AB1156">
        <v>32</v>
      </c>
      <c r="AC1156">
        <v>63.120099999999901</v>
      </c>
      <c r="AD1156">
        <v>3.9594610000000001</v>
      </c>
      <c r="AE1156">
        <v>-23.7319</v>
      </c>
      <c r="AF1156">
        <v>15.437032193980301</v>
      </c>
      <c r="AG1156">
        <v>3.9594610000000001</v>
      </c>
      <c r="AH1156">
        <v>65.405312322681596</v>
      </c>
      <c r="AI1156">
        <v>86.628117647359204</v>
      </c>
      <c r="AJ1156">
        <v>76.720019842582801</v>
      </c>
      <c r="AK1156">
        <v>67.318899087819602</v>
      </c>
      <c r="AL1156">
        <v>87.075159519234603</v>
      </c>
      <c r="AM1156">
        <v>88.4988297704015</v>
      </c>
      <c r="AN1156">
        <v>1.00000003400041</v>
      </c>
    </row>
    <row r="1157" spans="1:40" x14ac:dyDescent="0.25">
      <c r="A1157" t="str">
        <f>"20190312160621691"</f>
        <v>20190312160621691</v>
      </c>
      <c r="B1157" t="str">
        <f>"1552377981686423"</f>
        <v>1552377981686423</v>
      </c>
      <c r="C1157" t="s">
        <v>40</v>
      </c>
      <c r="D1157">
        <v>6.5887010000000004</v>
      </c>
      <c r="E1157">
        <v>0.57947069999999901</v>
      </c>
      <c r="F1157" t="s">
        <v>49</v>
      </c>
      <c r="G1157">
        <v>-149.67859999999999</v>
      </c>
      <c r="H1157">
        <v>5.0268110000000004</v>
      </c>
      <c r="I1157">
        <v>342.64400000000001</v>
      </c>
      <c r="J1157">
        <v>-212.2261</v>
      </c>
      <c r="K1157">
        <v>1.1066640000000001</v>
      </c>
      <c r="L1157">
        <v>366.34410000000003</v>
      </c>
      <c r="M1157">
        <v>0.99137120000000001</v>
      </c>
      <c r="N1157">
        <v>0</v>
      </c>
      <c r="O1157">
        <v>-0.13027849999999999</v>
      </c>
      <c r="P1157">
        <v>0.98719429999999997</v>
      </c>
      <c r="Q1157">
        <v>3.7231819999999999E-2</v>
      </c>
      <c r="R1157">
        <v>-0.15511749999999999</v>
      </c>
      <c r="S1157">
        <v>2.8635250000000001</v>
      </c>
      <c r="T1157">
        <v>0.17882419999999999</v>
      </c>
      <c r="U1157">
        <v>-1.082581</v>
      </c>
      <c r="V1157">
        <v>2.558995E-2</v>
      </c>
      <c r="W1157">
        <v>5.1529279999999997E-2</v>
      </c>
      <c r="X1157">
        <v>0.9983436</v>
      </c>
      <c r="Y1157">
        <v>0.2285761</v>
      </c>
      <c r="Z1157">
        <v>-9.0221599999999996E-4</v>
      </c>
      <c r="AA1157">
        <v>0.97352559999999999</v>
      </c>
      <c r="AB1157">
        <v>32</v>
      </c>
      <c r="AC1157">
        <v>62.547499999999999</v>
      </c>
      <c r="AD1157">
        <v>3.920147</v>
      </c>
      <c r="AE1157">
        <v>-23.700099999999999</v>
      </c>
      <c r="AF1157">
        <v>15.296077621211399</v>
      </c>
      <c r="AG1157">
        <v>3.920147</v>
      </c>
      <c r="AH1157">
        <v>64.879403809171805</v>
      </c>
      <c r="AI1157">
        <v>86.634327217302996</v>
      </c>
      <c r="AJ1157">
        <v>76.734098406366996</v>
      </c>
      <c r="AK1157">
        <v>66.773307404451003</v>
      </c>
      <c r="AL1157">
        <v>87.046281680848395</v>
      </c>
      <c r="AM1157">
        <v>88.531692743266106</v>
      </c>
      <c r="AN1157">
        <v>1.0000000279496399</v>
      </c>
    </row>
    <row r="1158" spans="1:40" x14ac:dyDescent="0.25">
      <c r="A1158" t="str">
        <f>"20190312160621703"</f>
        <v>20190312160621703</v>
      </c>
      <c r="B1158" t="str">
        <f>"1552377981696183"</f>
        <v>1552377981696183</v>
      </c>
      <c r="C1158" t="s">
        <v>40</v>
      </c>
      <c r="D1158">
        <v>4.9601319999999998</v>
      </c>
      <c r="E1158">
        <v>0.57947069999999901</v>
      </c>
      <c r="F1158" t="s">
        <v>49</v>
      </c>
      <c r="G1158">
        <v>-149.96530000000001</v>
      </c>
      <c r="H1158">
        <v>4.90557</v>
      </c>
      <c r="I1158">
        <v>342.64400000000001</v>
      </c>
      <c r="J1158">
        <v>-212.06270000000001</v>
      </c>
      <c r="K1158">
        <v>1.1066309999999999</v>
      </c>
      <c r="L1158">
        <v>366.32049999999998</v>
      </c>
      <c r="M1158">
        <v>0.9910989</v>
      </c>
      <c r="N1158">
        <v>0</v>
      </c>
      <c r="O1158">
        <v>-0.13233399999999901</v>
      </c>
      <c r="P1158">
        <v>0.98688469999999995</v>
      </c>
      <c r="Q1158">
        <v>3.7270490000000003E-2</v>
      </c>
      <c r="R1158">
        <v>-0.1570666</v>
      </c>
      <c r="S1158">
        <v>2.8612060000000001</v>
      </c>
      <c r="T1158">
        <v>0.1745795</v>
      </c>
      <c r="U1158">
        <v>-1.0891420000000001</v>
      </c>
      <c r="V1158">
        <v>2.5495650000000002E-2</v>
      </c>
      <c r="W1158">
        <v>5.1566910000000001E-2</v>
      </c>
      <c r="X1158">
        <v>0.99834409999999896</v>
      </c>
      <c r="Y1158">
        <v>0.2287805</v>
      </c>
      <c r="Z1158">
        <v>-9.9371419999999999E-4</v>
      </c>
      <c r="AA1158">
        <v>0.9734775</v>
      </c>
      <c r="AB1158">
        <v>32</v>
      </c>
      <c r="AC1158">
        <v>62.097399999999901</v>
      </c>
      <c r="AD1158">
        <v>3.7989389999999998</v>
      </c>
      <c r="AE1158">
        <v>-23.676499999999901</v>
      </c>
      <c r="AF1158">
        <v>15.2000943004536</v>
      </c>
      <c r="AG1158">
        <v>3.7989389999999998</v>
      </c>
      <c r="AH1158">
        <v>64.474009160336195</v>
      </c>
      <c r="AI1158">
        <v>86.717693580492906</v>
      </c>
      <c r="AJ1158">
        <v>76.7344408755079</v>
      </c>
      <c r="AK1158">
        <v>66.350378005520994</v>
      </c>
      <c r="AL1158">
        <v>87.044122859949894</v>
      </c>
      <c r="AM1158">
        <v>88.537101891622299</v>
      </c>
      <c r="AN1158">
        <v>1.0000000581903301</v>
      </c>
    </row>
    <row r="1159" spans="1:40" x14ac:dyDescent="0.25">
      <c r="A1159" t="str">
        <f>"20190312160621715"</f>
        <v>20190312160621715</v>
      </c>
      <c r="B1159" t="str">
        <f>"1552377981705943"</f>
        <v>1552377981705943</v>
      </c>
      <c r="C1159" t="s">
        <v>40</v>
      </c>
      <c r="D1159">
        <v>6.9332310000000001</v>
      </c>
      <c r="E1159">
        <v>0.57957150000000002</v>
      </c>
      <c r="F1159" t="s">
        <v>49</v>
      </c>
      <c r="G1159">
        <v>-149.96700000000001</v>
      </c>
      <c r="H1159">
        <v>4.9015899999999997</v>
      </c>
      <c r="I1159">
        <v>342.54180000000002</v>
      </c>
      <c r="J1159">
        <v>-211.89410000000001</v>
      </c>
      <c r="K1159">
        <v>1.1065940000000001</v>
      </c>
      <c r="L1159">
        <v>366.29610000000002</v>
      </c>
      <c r="M1159">
        <v>0.99081140000000001</v>
      </c>
      <c r="N1159">
        <v>0</v>
      </c>
      <c r="O1159">
        <v>-0.134469799999999</v>
      </c>
      <c r="P1159">
        <v>0.98656820000000001</v>
      </c>
      <c r="Q1159">
        <v>3.7119329999999999E-2</v>
      </c>
      <c r="R1159">
        <v>-0.15907760000000001</v>
      </c>
      <c r="S1159">
        <v>2.8590089999999999</v>
      </c>
      <c r="T1159">
        <v>0.17472739999999901</v>
      </c>
      <c r="U1159">
        <v>-1.0948180000000001</v>
      </c>
      <c r="V1159">
        <v>2.5381270000000001E-2</v>
      </c>
      <c r="W1159">
        <v>5.141548E-2</v>
      </c>
      <c r="X1159">
        <v>0.99835479999999999</v>
      </c>
      <c r="Y1159">
        <v>0.2286212</v>
      </c>
      <c r="Z1159">
        <v>-1.1229580000000001E-3</v>
      </c>
      <c r="AA1159">
        <v>0.97351480000000001</v>
      </c>
      <c r="AB1159">
        <v>32</v>
      </c>
      <c r="AC1159">
        <v>61.927100000000003</v>
      </c>
      <c r="AD1159">
        <v>3.7949959999999998</v>
      </c>
      <c r="AE1159">
        <v>-23.754300000000001</v>
      </c>
      <c r="AF1159">
        <v>15.160676251621799</v>
      </c>
      <c r="AG1159">
        <v>3.7949959999999998</v>
      </c>
      <c r="AH1159">
        <v>64.348451574075</v>
      </c>
      <c r="AI1159">
        <v>86.714597404780505</v>
      </c>
      <c r="AJ1159">
        <v>76.742722096303396</v>
      </c>
      <c r="AK1159">
        <v>66.219115963802906</v>
      </c>
      <c r="AL1159">
        <v>87.052810611555103</v>
      </c>
      <c r="AM1159">
        <v>88.543677595339403</v>
      </c>
      <c r="AN1159">
        <v>1.0000000335667401</v>
      </c>
    </row>
    <row r="1160" spans="1:40" x14ac:dyDescent="0.25">
      <c r="A1160" t="str">
        <f>"20190312160621736"</f>
        <v>20190312160621736</v>
      </c>
      <c r="B1160" t="str">
        <f>"1552377981726440"</f>
        <v>1552377981726440</v>
      </c>
      <c r="C1160" t="s">
        <v>40</v>
      </c>
      <c r="D1160">
        <v>6.8987020000000001</v>
      </c>
      <c r="E1160">
        <v>0.57969589999999904</v>
      </c>
      <c r="F1160" t="s">
        <v>49</v>
      </c>
      <c r="G1160">
        <v>-149.96700000000001</v>
      </c>
      <c r="H1160">
        <v>4.8764310000000002</v>
      </c>
      <c r="I1160">
        <v>342.42320000000001</v>
      </c>
      <c r="J1160">
        <v>-211.60390000000001</v>
      </c>
      <c r="K1160">
        <v>1.106522</v>
      </c>
      <c r="L1160">
        <v>366.25279999999998</v>
      </c>
      <c r="M1160">
        <v>0.99029250000000002</v>
      </c>
      <c r="N1160">
        <v>0</v>
      </c>
      <c r="O1160">
        <v>-0.1382388</v>
      </c>
      <c r="P1160">
        <v>0.98601309999999998</v>
      </c>
      <c r="Q1160">
        <v>3.740276E-2</v>
      </c>
      <c r="R1160">
        <v>-0.16241720000000001</v>
      </c>
      <c r="S1160">
        <v>2.8567200000000001</v>
      </c>
      <c r="T1160">
        <v>0.17390420000000001</v>
      </c>
      <c r="U1160">
        <v>-1.1012569999999999</v>
      </c>
      <c r="V1160">
        <v>2.4975979999999998E-2</v>
      </c>
      <c r="W1160">
        <v>5.1699299999999997E-2</v>
      </c>
      <c r="X1160">
        <v>0.99835030000000002</v>
      </c>
      <c r="Y1160">
        <v>0.227099</v>
      </c>
      <c r="Z1160">
        <v>-1.3794790000000001E-3</v>
      </c>
      <c r="AA1160">
        <v>0.97387069999999998</v>
      </c>
      <c r="AB1160">
        <v>32</v>
      </c>
      <c r="AC1160">
        <v>61.636899999999997</v>
      </c>
      <c r="AD1160">
        <v>3.76990899999999</v>
      </c>
      <c r="AE1160">
        <v>-23.8295999999999</v>
      </c>
      <c r="AF1160">
        <v>15.030336430176201</v>
      </c>
      <c r="AG1160">
        <v>3.76990899999999</v>
      </c>
      <c r="AH1160">
        <v>64.130803812356106</v>
      </c>
      <c r="AI1160">
        <v>86.724318981319001</v>
      </c>
      <c r="AJ1160">
        <v>76.809660899912501</v>
      </c>
      <c r="AK1160">
        <v>65.976383840670394</v>
      </c>
      <c r="AL1160">
        <v>87.036527077138302</v>
      </c>
      <c r="AM1160">
        <v>88.566916026491796</v>
      </c>
      <c r="AN1160">
        <v>0.999999969353769</v>
      </c>
    </row>
    <row r="1161" spans="1:40" x14ac:dyDescent="0.25">
      <c r="A1161" t="str">
        <f>"20190312160621747"</f>
        <v>20190312160621747</v>
      </c>
      <c r="B1161" t="str">
        <f>"1552377981736199"</f>
        <v>1552377981736199</v>
      </c>
      <c r="C1161" t="s">
        <v>40</v>
      </c>
      <c r="D1161">
        <v>6.8285109999999998</v>
      </c>
      <c r="E1161">
        <v>0.57981009999999999</v>
      </c>
      <c r="F1161" t="s">
        <v>49</v>
      </c>
      <c r="G1161">
        <v>-149.96690000000001</v>
      </c>
      <c r="H1161">
        <v>4.8276899999999996</v>
      </c>
      <c r="I1161">
        <v>342.22120000000001</v>
      </c>
      <c r="J1161">
        <v>-211.4383</v>
      </c>
      <c r="K1161">
        <v>1.106479</v>
      </c>
      <c r="L1161">
        <v>366.22739999999999</v>
      </c>
      <c r="M1161">
        <v>0.9899831</v>
      </c>
      <c r="N1161">
        <v>0</v>
      </c>
      <c r="O1161">
        <v>-0.14043739999999999</v>
      </c>
      <c r="P1161">
        <v>0.98563500000000004</v>
      </c>
      <c r="Q1161">
        <v>3.7503540000000002E-2</v>
      </c>
      <c r="R1161">
        <v>-0.16467370000000001</v>
      </c>
      <c r="S1161">
        <v>2.8527979999999999</v>
      </c>
      <c r="T1161">
        <v>0.17223050000000001</v>
      </c>
      <c r="U1161">
        <v>-1.112274</v>
      </c>
      <c r="V1161">
        <v>2.5051219999999999E-2</v>
      </c>
      <c r="W1161">
        <v>5.1797870000000003E-2</v>
      </c>
      <c r="X1161">
        <v>0.99834330000000004</v>
      </c>
      <c r="Y1161">
        <v>0.228658</v>
      </c>
      <c r="Z1161">
        <v>-1.44652E-3</v>
      </c>
      <c r="AA1161">
        <v>0.97350570000000003</v>
      </c>
      <c r="AB1161">
        <v>32</v>
      </c>
      <c r="AC1161">
        <v>61.471399999999903</v>
      </c>
      <c r="AD1161">
        <v>3.7212109999999998</v>
      </c>
      <c r="AE1161">
        <v>-24.0061999999999</v>
      </c>
      <c r="AF1161">
        <v>15.086474453189799</v>
      </c>
      <c r="AG1161">
        <v>3.7212109999999998</v>
      </c>
      <c r="AH1161">
        <v>64.030193297825804</v>
      </c>
      <c r="AI1161">
        <v>86.762368344944093</v>
      </c>
      <c r="AJ1161">
        <v>76.742060207363707</v>
      </c>
      <c r="AK1161">
        <v>65.888654383666207</v>
      </c>
      <c r="AL1161">
        <v>87.030871838311896</v>
      </c>
      <c r="AM1161">
        <v>88.562590603237993</v>
      </c>
      <c r="AN1161">
        <v>0.99999996380745704</v>
      </c>
    </row>
    <row r="1162" spans="1:40" x14ac:dyDescent="0.25">
      <c r="A1162" t="str">
        <f>"20190312160621758"</f>
        <v>20190312160621758</v>
      </c>
      <c r="B1162" t="str">
        <f>"1552377981745959"</f>
        <v>1552377981745959</v>
      </c>
      <c r="C1162" t="s">
        <v>40</v>
      </c>
      <c r="D1162">
        <v>6.8538100000000002</v>
      </c>
      <c r="E1162">
        <v>0.57989599999999997</v>
      </c>
      <c r="F1162" t="s">
        <v>49</v>
      </c>
      <c r="G1162">
        <v>-150.25239999999999</v>
      </c>
      <c r="H1162">
        <v>4.7990029999999999</v>
      </c>
      <c r="I1162">
        <v>342.19</v>
      </c>
      <c r="J1162">
        <v>-211.28489999999999</v>
      </c>
      <c r="K1162">
        <v>1.1064350000000001</v>
      </c>
      <c r="L1162">
        <v>366.20370000000003</v>
      </c>
      <c r="M1162">
        <v>0.98968889999999998</v>
      </c>
      <c r="N1162">
        <v>0</v>
      </c>
      <c r="O1162">
        <v>-0.14249510000000001</v>
      </c>
      <c r="P1162">
        <v>0.98524120000000004</v>
      </c>
      <c r="Q1162">
        <v>3.7661779999999999E-2</v>
      </c>
      <c r="R1162">
        <v>-0.16697799999999999</v>
      </c>
      <c r="S1162">
        <v>2.8501129999999999</v>
      </c>
      <c r="T1162">
        <v>0.17200260000000001</v>
      </c>
      <c r="U1162">
        <v>-1.1196900000000001</v>
      </c>
      <c r="V1162">
        <v>2.5317800000000001E-2</v>
      </c>
      <c r="W1162">
        <v>5.195263E-2</v>
      </c>
      <c r="X1162">
        <v>0.99832860000000001</v>
      </c>
      <c r="Y1162">
        <v>0.22914370000000001</v>
      </c>
      <c r="Z1162">
        <v>-1.5478860000000001E-3</v>
      </c>
      <c r="AA1162">
        <v>0.97339140000000002</v>
      </c>
      <c r="AB1162">
        <v>32</v>
      </c>
      <c r="AC1162">
        <v>61.032499999999999</v>
      </c>
      <c r="AD1162">
        <v>3.6925680000000001</v>
      </c>
      <c r="AE1162">
        <v>-24.0137</v>
      </c>
      <c r="AF1162">
        <v>15.023230577357801</v>
      </c>
      <c r="AG1162">
        <v>3.6925680000000001</v>
      </c>
      <c r="AH1162">
        <v>63.630066661289703</v>
      </c>
      <c r="AI1162">
        <v>86.767428044903795</v>
      </c>
      <c r="AJ1162">
        <v>76.715589957493194</v>
      </c>
      <c r="AK1162">
        <v>65.483722395227801</v>
      </c>
      <c r="AL1162">
        <v>87.021992985953304</v>
      </c>
      <c r="AM1162">
        <v>88.547279696629204</v>
      </c>
      <c r="AN1162">
        <v>1.0000000301693499</v>
      </c>
    </row>
    <row r="1163" spans="1:40" x14ac:dyDescent="0.25">
      <c r="A1163" t="str">
        <f>"20190312160621769"</f>
        <v>20190312160621769</v>
      </c>
      <c r="B1163" t="str">
        <f>"1552377981755719"</f>
        <v>1552377981755719</v>
      </c>
      <c r="C1163" t="s">
        <v>40</v>
      </c>
      <c r="D1163">
        <v>5.9745379999999999</v>
      </c>
      <c r="E1163">
        <v>0.57999389999999995</v>
      </c>
      <c r="F1163" t="s">
        <v>49</v>
      </c>
      <c r="G1163">
        <v>-150.61600000000001</v>
      </c>
      <c r="H1163">
        <v>4.7764879999999996</v>
      </c>
      <c r="I1163">
        <v>342.19</v>
      </c>
      <c r="J1163">
        <v>-211.13480000000001</v>
      </c>
      <c r="K1163">
        <v>1.1063940000000001</v>
      </c>
      <c r="L1163">
        <v>366.18009999999998</v>
      </c>
      <c r="M1163">
        <v>0.98939290000000002</v>
      </c>
      <c r="N1163">
        <v>0</v>
      </c>
      <c r="O1163">
        <v>-0.14453529999999901</v>
      </c>
      <c r="P1163">
        <v>0.98484249999999995</v>
      </c>
      <c r="Q1163">
        <v>3.7798289999999998E-2</v>
      </c>
      <c r="R1163">
        <v>-0.16928219999999999</v>
      </c>
      <c r="S1163">
        <v>2.8473359999999999</v>
      </c>
      <c r="T1163">
        <v>0.17224449999999999</v>
      </c>
      <c r="U1163">
        <v>-1.127014</v>
      </c>
      <c r="V1163">
        <v>2.5602239999999998E-2</v>
      </c>
      <c r="W1163">
        <v>5.2085020000000003E-2</v>
      </c>
      <c r="X1163">
        <v>0.99831440000000005</v>
      </c>
      <c r="Y1163">
        <v>0.22962850000000001</v>
      </c>
      <c r="Z1163">
        <v>-1.65258299999999E-3</v>
      </c>
      <c r="AA1163">
        <v>0.97327699999999995</v>
      </c>
      <c r="AB1163">
        <v>32</v>
      </c>
      <c r="AC1163">
        <v>60.518799999999999</v>
      </c>
      <c r="AD1163">
        <v>3.6700940000000002</v>
      </c>
      <c r="AE1163">
        <v>-23.990099999999899</v>
      </c>
      <c r="AF1163">
        <v>14.9426235903668</v>
      </c>
      <c r="AG1163">
        <v>3.6700940000000002</v>
      </c>
      <c r="AH1163">
        <v>63.150271249660598</v>
      </c>
      <c r="AI1163">
        <v>86.763076020321193</v>
      </c>
      <c r="AJ1163">
        <v>76.687513605178907</v>
      </c>
      <c r="AK1163">
        <v>64.997756489266095</v>
      </c>
      <c r="AL1163">
        <v>87.014397172101894</v>
      </c>
      <c r="AM1163">
        <v>88.530944924406299</v>
      </c>
      <c r="AN1163">
        <v>0.99999998262438905</v>
      </c>
    </row>
    <row r="1164" spans="1:40" x14ac:dyDescent="0.25">
      <c r="A1164" t="str">
        <f>"20190312160621782"</f>
        <v>20190312160621782</v>
      </c>
      <c r="B1164" t="str">
        <f>"1552377981776215"</f>
        <v>1552377981776215</v>
      </c>
      <c r="C1164" t="s">
        <v>40</v>
      </c>
      <c r="D1164">
        <v>6.8879070000000002</v>
      </c>
      <c r="E1164">
        <v>0.58016250000000003</v>
      </c>
      <c r="F1164" t="s">
        <v>49</v>
      </c>
      <c r="G1164">
        <v>-150.97479999999999</v>
      </c>
      <c r="H1164">
        <v>4.7354779999999996</v>
      </c>
      <c r="I1164">
        <v>342.19</v>
      </c>
      <c r="J1164">
        <v>-210.96729999999999</v>
      </c>
      <c r="K1164">
        <v>1.1063559999999999</v>
      </c>
      <c r="L1164">
        <v>366.15339999999998</v>
      </c>
      <c r="M1164">
        <v>0.98905160000000003</v>
      </c>
      <c r="N1164">
        <v>0</v>
      </c>
      <c r="O1164">
        <v>-0.14685200000000001</v>
      </c>
      <c r="P1164">
        <v>0.98435209999999995</v>
      </c>
      <c r="Q1164">
        <v>3.7806560000000003E-2</v>
      </c>
      <c r="R1164">
        <v>-0.17210819999999999</v>
      </c>
      <c r="S1164">
        <v>2.844589</v>
      </c>
      <c r="T1164">
        <v>0.1715969</v>
      </c>
      <c r="U1164">
        <v>-1.1343379999999901</v>
      </c>
      <c r="V1164">
        <v>2.613617E-2</v>
      </c>
      <c r="W1164">
        <v>5.2086920000000002E-2</v>
      </c>
      <c r="X1164">
        <v>0.99830050000000004</v>
      </c>
      <c r="Y1164">
        <v>0.22983899999999999</v>
      </c>
      <c r="Z1164">
        <v>-1.772168E-3</v>
      </c>
      <c r="AA1164">
        <v>0.97322710000000001</v>
      </c>
      <c r="AB1164">
        <v>32</v>
      </c>
      <c r="AC1164">
        <v>59.9925</v>
      </c>
      <c r="AD1164">
        <v>3.6291220000000002</v>
      </c>
      <c r="AE1164">
        <v>-23.963399999999901</v>
      </c>
      <c r="AF1164">
        <v>14.8457436865373</v>
      </c>
      <c r="AG1164">
        <v>3.6291220000000002</v>
      </c>
      <c r="AH1164">
        <v>62.6636386426987</v>
      </c>
      <c r="AI1164">
        <v>86.774542081792703</v>
      </c>
      <c r="AJ1164">
        <v>76.671697844404505</v>
      </c>
      <c r="AK1164">
        <v>64.500373952714199</v>
      </c>
      <c r="AL1164">
        <v>87.014288266249096</v>
      </c>
      <c r="AM1164">
        <v>88.500301027942896</v>
      </c>
      <c r="AN1164">
        <v>1.0000000174588</v>
      </c>
    </row>
    <row r="1165" spans="1:40" x14ac:dyDescent="0.25">
      <c r="A1165" t="str">
        <f>"20190312160621792"</f>
        <v>20190312160621792</v>
      </c>
      <c r="B1165" t="str">
        <f>"1552377981785976"</f>
        <v>1552377981785976</v>
      </c>
      <c r="C1165" t="s">
        <v>40</v>
      </c>
      <c r="D1165">
        <v>6.4794780000000003</v>
      </c>
      <c r="E1165">
        <v>0.58027030000000002</v>
      </c>
      <c r="F1165" t="s">
        <v>49</v>
      </c>
      <c r="G1165">
        <v>-151.4366</v>
      </c>
      <c r="H1165">
        <v>4.6845569999999999</v>
      </c>
      <c r="I1165">
        <v>342.19</v>
      </c>
      <c r="J1165">
        <v>-210.8065</v>
      </c>
      <c r="K1165">
        <v>1.106309</v>
      </c>
      <c r="L1165">
        <v>366.12740000000002</v>
      </c>
      <c r="M1165">
        <v>0.98871549999999997</v>
      </c>
      <c r="N1165">
        <v>0</v>
      </c>
      <c r="O1165">
        <v>-0.14909910000000001</v>
      </c>
      <c r="P1165">
        <v>0.98384479999999996</v>
      </c>
      <c r="Q1165">
        <v>3.7803570000000002E-2</v>
      </c>
      <c r="R1165">
        <v>-0.17498710000000001</v>
      </c>
      <c r="S1165">
        <v>2.8411710000000001</v>
      </c>
      <c r="T1165">
        <v>0.17077410000000001</v>
      </c>
      <c r="U1165">
        <v>-1.1436770000000001</v>
      </c>
      <c r="V1165">
        <v>2.6794350000000001E-2</v>
      </c>
      <c r="W1165">
        <v>5.2076440000000002E-2</v>
      </c>
      <c r="X1165">
        <v>0.99828360000000005</v>
      </c>
      <c r="Y1165">
        <v>0.2307892</v>
      </c>
      <c r="Z1165">
        <v>-1.8636390000000001E-3</v>
      </c>
      <c r="AA1165">
        <v>0.97300200000000003</v>
      </c>
      <c r="AB1165">
        <v>32</v>
      </c>
      <c r="AC1165">
        <v>59.369900000000001</v>
      </c>
      <c r="AD1165">
        <v>3.5782479999999999</v>
      </c>
      <c r="AE1165">
        <v>-23.9374</v>
      </c>
      <c r="AF1165">
        <v>14.7706916661396</v>
      </c>
      <c r="AG1165">
        <v>3.5782479999999999</v>
      </c>
      <c r="AH1165">
        <v>62.081580335778</v>
      </c>
      <c r="AI1165">
        <v>86.7906368489096</v>
      </c>
      <c r="AJ1165">
        <v>76.616792933931293</v>
      </c>
      <c r="AK1165">
        <v>63.9147855197319</v>
      </c>
      <c r="AL1165">
        <v>87.014889547877999</v>
      </c>
      <c r="AM1165">
        <v>88.462526408855993</v>
      </c>
      <c r="AN1165">
        <v>1.00000001941197</v>
      </c>
    </row>
    <row r="1166" spans="1:40" x14ac:dyDescent="0.25">
      <c r="A1166" t="str">
        <f>"20190312160621805"</f>
        <v>20190312160621805</v>
      </c>
      <c r="B1166" t="str">
        <f>"1552377981795734"</f>
        <v>1552377981795734</v>
      </c>
      <c r="C1166" t="s">
        <v>40</v>
      </c>
      <c r="D1166">
        <v>6.639456</v>
      </c>
      <c r="E1166">
        <v>0.58034549999999996</v>
      </c>
      <c r="F1166" t="s">
        <v>49</v>
      </c>
      <c r="G1166">
        <v>-151.90020000000001</v>
      </c>
      <c r="H1166">
        <v>4.636482</v>
      </c>
      <c r="I1166">
        <v>342.19</v>
      </c>
      <c r="J1166">
        <v>-210.63210000000001</v>
      </c>
      <c r="K1166">
        <v>1.1062529999999999</v>
      </c>
      <c r="L1166">
        <v>366.0985</v>
      </c>
      <c r="M1166">
        <v>0.98833510000000002</v>
      </c>
      <c r="N1166">
        <v>0</v>
      </c>
      <c r="O1166">
        <v>-0.1516005</v>
      </c>
      <c r="P1166">
        <v>0.98327450000000005</v>
      </c>
      <c r="Q1166">
        <v>3.8000230000000003E-2</v>
      </c>
      <c r="R1166">
        <v>-0.17812210000000001</v>
      </c>
      <c r="S1166">
        <v>2.837631</v>
      </c>
      <c r="T1166">
        <v>0.1700556</v>
      </c>
      <c r="U1166">
        <v>-1.1531070000000001</v>
      </c>
      <c r="V1166">
        <v>2.746055E-2</v>
      </c>
      <c r="W1166">
        <v>5.2265480000000003E-2</v>
      </c>
      <c r="X1166">
        <v>0.99825560000000002</v>
      </c>
      <c r="Y1166">
        <v>0.2315296</v>
      </c>
      <c r="Z1166">
        <v>-1.9757590000000001E-3</v>
      </c>
      <c r="AA1166">
        <v>0.97282579999999996</v>
      </c>
      <c r="AB1166">
        <v>32</v>
      </c>
      <c r="AC1166">
        <v>58.731900000000003</v>
      </c>
      <c r="AD1166">
        <v>3.5302289999999998</v>
      </c>
      <c r="AE1166">
        <v>-23.9085</v>
      </c>
      <c r="AF1166">
        <v>14.6818745037305</v>
      </c>
      <c r="AG1166">
        <v>3.5302289999999998</v>
      </c>
      <c r="AH1166">
        <v>61.487278165550599</v>
      </c>
      <c r="AI1166">
        <v>86.803691219906</v>
      </c>
      <c r="AJ1166">
        <v>76.570429772782404</v>
      </c>
      <c r="AK1166">
        <v>63.314337491152202</v>
      </c>
      <c r="AL1166">
        <v>87.004043533026007</v>
      </c>
      <c r="AM1166">
        <v>88.424274373539802</v>
      </c>
      <c r="AN1166">
        <v>1.00000000256864</v>
      </c>
    </row>
    <row r="1167" spans="1:40" x14ac:dyDescent="0.25">
      <c r="A1167" t="str">
        <f>"20190312160621816"</f>
        <v>20190312160621816</v>
      </c>
      <c r="B1167" t="str">
        <f>"1552377981806472"</f>
        <v>1552377981806472</v>
      </c>
      <c r="C1167" t="s">
        <v>40</v>
      </c>
      <c r="D1167">
        <v>6.2021389999999998</v>
      </c>
      <c r="E1167">
        <v>0.58034519999999901</v>
      </c>
      <c r="F1167" t="s">
        <v>49</v>
      </c>
      <c r="G1167">
        <v>-152.37020000000001</v>
      </c>
      <c r="H1167">
        <v>4.6053569999999997</v>
      </c>
      <c r="I1167">
        <v>342.19</v>
      </c>
      <c r="J1167">
        <v>-210.48259999999999</v>
      </c>
      <c r="K1167">
        <v>1.1062069999999999</v>
      </c>
      <c r="L1167">
        <v>366.0736</v>
      </c>
      <c r="M1167">
        <v>0.98800100000000002</v>
      </c>
      <c r="N1167">
        <v>0</v>
      </c>
      <c r="O1167">
        <v>-0.15376199999999901</v>
      </c>
      <c r="P1167">
        <v>0.98281850000000004</v>
      </c>
      <c r="Q1167">
        <v>3.8153050000000001E-2</v>
      </c>
      <c r="R1167">
        <v>-0.180589</v>
      </c>
      <c r="S1167">
        <v>2.833771</v>
      </c>
      <c r="T1167">
        <v>0.17019139999999999</v>
      </c>
      <c r="U1167">
        <v>-1.1628719999999999</v>
      </c>
      <c r="V1167">
        <v>2.779063E-2</v>
      </c>
      <c r="W1167">
        <v>5.2413099999999997E-2</v>
      </c>
      <c r="X1167">
        <v>0.99823870000000003</v>
      </c>
      <c r="Y1167">
        <v>0.23273759999999999</v>
      </c>
      <c r="Z1167">
        <v>-2.0649129999999998E-3</v>
      </c>
      <c r="AA1167">
        <v>0.97253730000000005</v>
      </c>
      <c r="AB1167">
        <v>32</v>
      </c>
      <c r="AC1167">
        <v>58.112399999999901</v>
      </c>
      <c r="AD1167">
        <v>3.4991500000000002</v>
      </c>
      <c r="AE1167">
        <v>-23.883600000000001</v>
      </c>
      <c r="AF1167">
        <v>14.617750392813701</v>
      </c>
      <c r="AG1167">
        <v>3.4991500000000002</v>
      </c>
      <c r="AH1167">
        <v>60.905041818923998</v>
      </c>
      <c r="AI1167">
        <v>86.802436717021493</v>
      </c>
      <c r="AJ1167">
        <v>76.503786071063203</v>
      </c>
      <c r="AK1167">
        <v>62.732342505552801</v>
      </c>
      <c r="AL1167">
        <v>86.995573844909302</v>
      </c>
      <c r="AM1167">
        <v>88.405316649403204</v>
      </c>
      <c r="AN1167">
        <v>0.99999997717254796</v>
      </c>
    </row>
    <row r="1168" spans="1:40" x14ac:dyDescent="0.25">
      <c r="A1168" t="str">
        <f>"20190312160621827"</f>
        <v>20190312160621827</v>
      </c>
      <c r="B1168" t="str">
        <f>"1552377981816232"</f>
        <v>1552377981816232</v>
      </c>
      <c r="C1168" t="s">
        <v>40</v>
      </c>
      <c r="D1168">
        <v>5.0717980000000003</v>
      </c>
      <c r="E1168">
        <v>0.5803893</v>
      </c>
      <c r="F1168" t="s">
        <v>49</v>
      </c>
      <c r="G1168">
        <v>-153.7955</v>
      </c>
      <c r="H1168">
        <v>4.4909629999999998</v>
      </c>
      <c r="I1168">
        <v>342.64400000000001</v>
      </c>
      <c r="J1168">
        <v>-210.32220000000001</v>
      </c>
      <c r="K1168">
        <v>1.1061559999999999</v>
      </c>
      <c r="L1168">
        <v>366.0462</v>
      </c>
      <c r="M1168">
        <v>0.98762879999999997</v>
      </c>
      <c r="N1168">
        <v>0</v>
      </c>
      <c r="O1168">
        <v>-0.1561352</v>
      </c>
      <c r="P1168">
        <v>0.98230010000000001</v>
      </c>
      <c r="Q1168">
        <v>3.8161199999999999E-2</v>
      </c>
      <c r="R1168">
        <v>-0.18338650000000001</v>
      </c>
      <c r="S1168">
        <v>2.8308870000000002</v>
      </c>
      <c r="T1168">
        <v>0.16903080000000001</v>
      </c>
      <c r="U1168">
        <v>-1.1700440000000001</v>
      </c>
      <c r="V1168">
        <v>2.8241949999999998E-2</v>
      </c>
      <c r="W1168">
        <v>5.2415959999999998E-2</v>
      </c>
      <c r="X1168">
        <v>0.9982259</v>
      </c>
      <c r="Y1168">
        <v>0.23286009999999999</v>
      </c>
      <c r="Z1168">
        <v>-2.1806289999999999E-3</v>
      </c>
      <c r="AA1168">
        <v>0.97250780000000003</v>
      </c>
      <c r="AB1168">
        <v>32</v>
      </c>
      <c r="AC1168">
        <v>56.526699999999998</v>
      </c>
      <c r="AD1168">
        <v>3.3848069999999999</v>
      </c>
      <c r="AE1168">
        <v>-23.402200000000001</v>
      </c>
      <c r="AF1168">
        <v>14.2447851352174</v>
      </c>
      <c r="AG1168">
        <v>3.3848069999999999</v>
      </c>
      <c r="AH1168">
        <v>59.3060521085185</v>
      </c>
      <c r="AI1168">
        <v>86.823617993305305</v>
      </c>
      <c r="AJ1168">
        <v>76.493914963443601</v>
      </c>
      <c r="AK1168">
        <v>61.0866486122301</v>
      </c>
      <c r="AL1168">
        <v>86.995409804074299</v>
      </c>
      <c r="AM1168">
        <v>88.379411912649999</v>
      </c>
      <c r="AN1168">
        <v>0.99999999401666695</v>
      </c>
    </row>
    <row r="1169" spans="1:40" x14ac:dyDescent="0.25">
      <c r="A1169" t="str">
        <f>"20190312160621841"</f>
        <v>20190312160621841</v>
      </c>
      <c r="B1169" t="str">
        <f>"1552377981835750"</f>
        <v>1552377981835750</v>
      </c>
      <c r="C1169" t="s">
        <v>40</v>
      </c>
      <c r="D1169">
        <v>6.2303249999999997</v>
      </c>
      <c r="E1169">
        <v>0.58016749999999995</v>
      </c>
      <c r="F1169" t="s">
        <v>49</v>
      </c>
      <c r="G1169">
        <v>-154.16390000000001</v>
      </c>
      <c r="H1169">
        <v>4.4542849999999996</v>
      </c>
      <c r="I1169">
        <v>342.64400000000001</v>
      </c>
      <c r="J1169">
        <v>-210.13890000000001</v>
      </c>
      <c r="K1169">
        <v>1.1060970000000001</v>
      </c>
      <c r="L1169">
        <v>366.0145</v>
      </c>
      <c r="M1169">
        <v>0.98719069999999998</v>
      </c>
      <c r="N1169">
        <v>0</v>
      </c>
      <c r="O1169">
        <v>-0.15888139999999901</v>
      </c>
      <c r="P1169">
        <v>0.98172610000000005</v>
      </c>
      <c r="Q1169">
        <v>3.8249089999999999E-2</v>
      </c>
      <c r="R1169">
        <v>-0.18641669999999999</v>
      </c>
      <c r="S1169">
        <v>2.8275299999999999</v>
      </c>
      <c r="T1169">
        <v>0.168576</v>
      </c>
      <c r="U1169">
        <v>-1.1782840000000001</v>
      </c>
      <c r="V1169">
        <v>2.8555420000000001E-2</v>
      </c>
      <c r="W1169">
        <v>5.2499289999999997E-2</v>
      </c>
      <c r="X1169">
        <v>0.99821260000000001</v>
      </c>
      <c r="Y1169">
        <v>0.23298459999999999</v>
      </c>
      <c r="Z1169">
        <v>-2.325077E-3</v>
      </c>
      <c r="AA1169">
        <v>0.9724777</v>
      </c>
      <c r="AB1169">
        <v>32</v>
      </c>
      <c r="AC1169">
        <v>55.975000000000001</v>
      </c>
      <c r="AD1169">
        <v>3.3481879999999902</v>
      </c>
      <c r="AE1169">
        <v>-23.3705</v>
      </c>
      <c r="AF1169">
        <v>14.136181243660699</v>
      </c>
      <c r="AG1169">
        <v>3.3481879999999902</v>
      </c>
      <c r="AH1169">
        <v>58.798219378443797</v>
      </c>
      <c r="AI1169">
        <v>86.830993578370794</v>
      </c>
      <c r="AJ1169">
        <v>76.481595100521304</v>
      </c>
      <c r="AK1169">
        <v>60.566266065463999</v>
      </c>
      <c r="AL1169">
        <v>86.990628755272795</v>
      </c>
      <c r="AM1169">
        <v>88.361412214854994</v>
      </c>
      <c r="AN1169">
        <v>0.99999999113032001</v>
      </c>
    </row>
    <row r="1170" spans="1:40" x14ac:dyDescent="0.25">
      <c r="A1170" t="str">
        <f>"20190312160621854"</f>
        <v>20190312160621854</v>
      </c>
      <c r="B1170" t="str">
        <f>"1552377981846487"</f>
        <v>1552377981846487</v>
      </c>
      <c r="C1170" t="s">
        <v>40</v>
      </c>
      <c r="D1170">
        <v>5.2688249999999996</v>
      </c>
      <c r="E1170">
        <v>0.58020229999999995</v>
      </c>
      <c r="F1170" t="s">
        <v>49</v>
      </c>
      <c r="G1170">
        <v>-154.44659999999999</v>
      </c>
      <c r="H1170">
        <v>4.4753470000000002</v>
      </c>
      <c r="I1170">
        <v>342.64400000000001</v>
      </c>
      <c r="J1170">
        <v>-209.95679999999999</v>
      </c>
      <c r="K1170">
        <v>1.106039</v>
      </c>
      <c r="L1170">
        <v>365.98259999999999</v>
      </c>
      <c r="M1170">
        <v>0.98674209999999996</v>
      </c>
      <c r="N1170">
        <v>0</v>
      </c>
      <c r="O1170">
        <v>-0.16164419999999999</v>
      </c>
      <c r="P1170">
        <v>0.98111660000000001</v>
      </c>
      <c r="Q1170">
        <v>3.8686320000000003E-2</v>
      </c>
      <c r="R1170">
        <v>-0.1895104</v>
      </c>
      <c r="S1170">
        <v>2.8241580000000002</v>
      </c>
      <c r="T1170">
        <v>0.1708549</v>
      </c>
      <c r="U1170">
        <v>-1.18512</v>
      </c>
      <c r="V1170">
        <v>2.8922699999999999E-2</v>
      </c>
      <c r="W1170">
        <v>5.2931659999999998E-2</v>
      </c>
      <c r="X1170">
        <v>0.99817920000000004</v>
      </c>
      <c r="Y1170">
        <v>0.23267940000000001</v>
      </c>
      <c r="Z1170">
        <v>-2.5225479999999999E-3</v>
      </c>
      <c r="AA1170">
        <v>0.97255020000000003</v>
      </c>
      <c r="AB1170">
        <v>31</v>
      </c>
      <c r="AC1170">
        <v>55.510199999999998</v>
      </c>
      <c r="AD1170">
        <v>3.3693080000000002</v>
      </c>
      <c r="AE1170">
        <v>-23.3385999999999</v>
      </c>
      <c r="AF1170">
        <v>14.0138881151122</v>
      </c>
      <c r="AG1170">
        <v>3.3693080000000002</v>
      </c>
      <c r="AH1170">
        <v>58.370242418172701</v>
      </c>
      <c r="AI1170">
        <v>86.787469987214294</v>
      </c>
      <c r="AJ1170">
        <v>76.499598367676299</v>
      </c>
      <c r="AK1170">
        <v>60.123427184900201</v>
      </c>
      <c r="AL1170">
        <v>86.965821310373798</v>
      </c>
      <c r="AM1170">
        <v>88.340292897773907</v>
      </c>
      <c r="AN1170">
        <v>0.99999999925914196</v>
      </c>
    </row>
    <row r="1171" spans="1:40" x14ac:dyDescent="0.25">
      <c r="A1171" t="str">
        <f>"20190312160621866"</f>
        <v>20190312160621866</v>
      </c>
      <c r="B1171" t="str">
        <f>"1552377981856247"</f>
        <v>1552377981856247</v>
      </c>
      <c r="C1171" t="s">
        <v>40</v>
      </c>
      <c r="D1171">
        <v>6.6457860000000002</v>
      </c>
      <c r="E1171">
        <v>0.58020490000000002</v>
      </c>
      <c r="F1171" t="s">
        <v>49</v>
      </c>
      <c r="G1171">
        <v>-154.84790000000001</v>
      </c>
      <c r="H1171">
        <v>4.4621009999999997</v>
      </c>
      <c r="I1171">
        <v>342.64400000000001</v>
      </c>
      <c r="J1171">
        <v>-209.78299999999999</v>
      </c>
      <c r="K1171">
        <v>1.1059870000000001</v>
      </c>
      <c r="L1171">
        <v>365.95139999999998</v>
      </c>
      <c r="M1171">
        <v>0.98629579999999994</v>
      </c>
      <c r="N1171">
        <v>0</v>
      </c>
      <c r="O1171">
        <v>-0.16434360000000001</v>
      </c>
      <c r="P1171">
        <v>0.98054240000000004</v>
      </c>
      <c r="Q1171">
        <v>3.8823679999999999E-2</v>
      </c>
      <c r="R1171">
        <v>-0.1924294</v>
      </c>
      <c r="S1171">
        <v>2.8202970000000001</v>
      </c>
      <c r="T1171">
        <v>0.17175279999999901</v>
      </c>
      <c r="U1171">
        <v>-1.1943969999999999</v>
      </c>
      <c r="V1171">
        <v>2.9171840000000001E-2</v>
      </c>
      <c r="W1171">
        <v>5.3065460000000002E-2</v>
      </c>
      <c r="X1171">
        <v>0.99816479999999996</v>
      </c>
      <c r="Y1171">
        <v>0.233211</v>
      </c>
      <c r="Z1171">
        <v>-2.6746460000000001E-3</v>
      </c>
      <c r="AA1171">
        <v>0.97242249999999997</v>
      </c>
      <c r="AB1171">
        <v>31</v>
      </c>
      <c r="AC1171">
        <v>54.935099999999899</v>
      </c>
      <c r="AD1171">
        <v>3.3561139999999998</v>
      </c>
      <c r="AE1171">
        <v>-23.307399999999902</v>
      </c>
      <c r="AF1171">
        <v>13.9172178845049</v>
      </c>
      <c r="AG1171">
        <v>3.3561139999999998</v>
      </c>
      <c r="AH1171">
        <v>57.835893515390097</v>
      </c>
      <c r="AI1171">
        <v>86.770921727366797</v>
      </c>
      <c r="AJ1171">
        <v>76.469984949569906</v>
      </c>
      <c r="AK1171">
        <v>59.581398385312497</v>
      </c>
      <c r="AL1171">
        <v>86.958144206832401</v>
      </c>
      <c r="AM1171">
        <v>88.325980152441502</v>
      </c>
      <c r="AN1171">
        <v>0.99999995362651695</v>
      </c>
    </row>
    <row r="1172" spans="1:40" x14ac:dyDescent="0.25">
      <c r="A1172" t="str">
        <f>"20190312160621879"</f>
        <v>20190312160621879</v>
      </c>
      <c r="B1172" t="str">
        <f>"1552377981875767"</f>
        <v>1552377981875767</v>
      </c>
      <c r="C1172" t="s">
        <v>40</v>
      </c>
      <c r="D1172">
        <v>5.4088949999999896</v>
      </c>
      <c r="E1172">
        <v>0.5801539</v>
      </c>
      <c r="F1172" t="s">
        <v>49</v>
      </c>
      <c r="G1172">
        <v>-155.21199999999999</v>
      </c>
      <c r="H1172">
        <v>4.4359330000000003</v>
      </c>
      <c r="I1172">
        <v>342.64400000000001</v>
      </c>
      <c r="J1172">
        <v>-209.5986</v>
      </c>
      <c r="K1172">
        <v>1.1059300000000001</v>
      </c>
      <c r="L1172">
        <v>365.9178</v>
      </c>
      <c r="M1172">
        <v>0.9858093</v>
      </c>
      <c r="N1172">
        <v>0</v>
      </c>
      <c r="O1172">
        <v>-0.167238</v>
      </c>
      <c r="P1172">
        <v>0.97988960000000003</v>
      </c>
      <c r="Q1172">
        <v>3.9018400000000002E-2</v>
      </c>
      <c r="R1172">
        <v>-0.1956898</v>
      </c>
      <c r="S1172">
        <v>2.8166660000000001</v>
      </c>
      <c r="T1172">
        <v>0.17187450000000001</v>
      </c>
      <c r="U1172">
        <v>-1.203003</v>
      </c>
      <c r="V1172">
        <v>2.9572939999999999E-2</v>
      </c>
      <c r="W1172">
        <v>5.3254500000000003E-2</v>
      </c>
      <c r="X1172">
        <v>0.998143</v>
      </c>
      <c r="Y1172">
        <v>0.23332639999999999</v>
      </c>
      <c r="Z1172">
        <v>-2.8387220000000001E-3</v>
      </c>
      <c r="AA1172">
        <v>0.97239430000000004</v>
      </c>
      <c r="AB1172">
        <v>31</v>
      </c>
      <c r="AC1172">
        <v>54.386599999999902</v>
      </c>
      <c r="AD1172">
        <v>3.330003</v>
      </c>
      <c r="AE1172">
        <v>-23.273799999999898</v>
      </c>
      <c r="AF1172">
        <v>13.805741199661901</v>
      </c>
      <c r="AG1172">
        <v>3.330003</v>
      </c>
      <c r="AH1172">
        <v>57.3314980016048</v>
      </c>
      <c r="AI1172">
        <v>86.7679895474608</v>
      </c>
      <c r="AJ1172">
        <v>76.460635418733901</v>
      </c>
      <c r="AK1172">
        <v>59.064270698621698</v>
      </c>
      <c r="AL1172">
        <v>86.947297891810507</v>
      </c>
      <c r="AM1172">
        <v>88.302939439596599</v>
      </c>
      <c r="AN1172">
        <v>1.00000002449974</v>
      </c>
    </row>
    <row r="1173" spans="1:40" x14ac:dyDescent="0.25">
      <c r="A1173" t="str">
        <f>"20190312160621892"</f>
        <v>20190312160621892</v>
      </c>
      <c r="B1173" t="str">
        <f>"1552377981886503"</f>
        <v>1552377981886503</v>
      </c>
      <c r="C1173" t="s">
        <v>40</v>
      </c>
      <c r="D1173">
        <v>4.7442929999999999</v>
      </c>
      <c r="E1173">
        <v>0.51876739999999999</v>
      </c>
      <c r="F1173" t="s">
        <v>49</v>
      </c>
      <c r="G1173">
        <v>-155.56630000000001</v>
      </c>
      <c r="H1173">
        <v>4.4007740000000002</v>
      </c>
      <c r="I1173">
        <v>342.64400000000001</v>
      </c>
      <c r="J1173">
        <v>-209.41030000000001</v>
      </c>
      <c r="K1173">
        <v>1.1058699999999999</v>
      </c>
      <c r="L1173">
        <v>365.88290000000001</v>
      </c>
      <c r="M1173">
        <v>0.98529619999999996</v>
      </c>
      <c r="N1173">
        <v>0</v>
      </c>
      <c r="O1173">
        <v>-0.17023469999999999</v>
      </c>
      <c r="P1173">
        <v>0.9791436</v>
      </c>
      <c r="Q1173">
        <v>3.8979680000000003E-2</v>
      </c>
      <c r="R1173">
        <v>-0.1993964</v>
      </c>
      <c r="S1173">
        <v>2.8127900000000001</v>
      </c>
      <c r="T1173">
        <v>0.17152210000000001</v>
      </c>
      <c r="U1173">
        <v>-1.211578</v>
      </c>
      <c r="V1173">
        <v>3.0322430000000001E-2</v>
      </c>
      <c r="W1173">
        <v>5.3206879999999998E-2</v>
      </c>
      <c r="X1173">
        <v>0.99812299999999998</v>
      </c>
      <c r="Y1173">
        <v>0.23336180000000001</v>
      </c>
      <c r="Z1173">
        <v>-3.0031739999999999E-3</v>
      </c>
      <c r="AA1173">
        <v>0.97238530000000001</v>
      </c>
      <c r="AB1173">
        <v>31</v>
      </c>
      <c r="AC1173">
        <v>53.844000000000001</v>
      </c>
      <c r="AD1173">
        <v>3.2949039999999998</v>
      </c>
      <c r="AE1173">
        <v>-23.238900000000001</v>
      </c>
      <c r="AF1173">
        <v>13.689322997251599</v>
      </c>
      <c r="AG1173">
        <v>3.2949039999999998</v>
      </c>
      <c r="AH1173">
        <v>56.834979005417601</v>
      </c>
      <c r="AI1173">
        <v>86.774145566036495</v>
      </c>
      <c r="AJ1173">
        <v>76.457637479038894</v>
      </c>
      <c r="AK1173">
        <v>58.553127969721302</v>
      </c>
      <c r="AL1173">
        <v>86.950030031708707</v>
      </c>
      <c r="AM1173">
        <v>88.259920784332394</v>
      </c>
      <c r="AN1173">
        <v>0.99999997248471895</v>
      </c>
    </row>
    <row r="1174" spans="1:40" x14ac:dyDescent="0.25">
      <c r="A1174" t="str">
        <f>"20190312160621906"</f>
        <v>20190312160621906</v>
      </c>
      <c r="B1174" t="str">
        <f>"1552377981896263"</f>
        <v>1552377981896263</v>
      </c>
      <c r="C1174" t="s">
        <v>40</v>
      </c>
      <c r="D1174">
        <v>6.3739270000000001</v>
      </c>
      <c r="E1174">
        <v>0.51876739999999999</v>
      </c>
      <c r="F1174" t="s">
        <v>42</v>
      </c>
      <c r="G1174">
        <v>-169.2955</v>
      </c>
      <c r="H1174">
        <v>3.4908339999999898</v>
      </c>
      <c r="I1174">
        <v>355.63369999999998</v>
      </c>
      <c r="J1174">
        <v>-209.2388</v>
      </c>
      <c r="K1174">
        <v>1.10582</v>
      </c>
      <c r="L1174">
        <v>365.85050000000001</v>
      </c>
      <c r="M1174">
        <v>0.98481079999999999</v>
      </c>
      <c r="N1174">
        <v>0</v>
      </c>
      <c r="O1174">
        <v>-0.17302010000000001</v>
      </c>
      <c r="P1174">
        <v>0.97847470000000003</v>
      </c>
      <c r="Q1174">
        <v>3.9008080000000001E-2</v>
      </c>
      <c r="R1174">
        <v>-0.2026473</v>
      </c>
      <c r="S1174">
        <v>2.9058229999999998</v>
      </c>
      <c r="T1174">
        <v>0.17276720000000001</v>
      </c>
      <c r="U1174">
        <v>-0.74243159999999997</v>
      </c>
      <c r="V1174">
        <v>3.0822579999999999E-2</v>
      </c>
      <c r="W1174">
        <v>5.322926E-2</v>
      </c>
      <c r="X1174">
        <v>0.99810650000000001</v>
      </c>
      <c r="Y1174">
        <v>7.6315300000000003E-2</v>
      </c>
      <c r="Z1174">
        <v>-7.793136E-3</v>
      </c>
      <c r="AA1174">
        <v>0.99705330000000003</v>
      </c>
      <c r="AB1174">
        <v>31</v>
      </c>
      <c r="AC1174">
        <v>39.943300000000001</v>
      </c>
      <c r="AD1174">
        <v>2.3850139999999902</v>
      </c>
      <c r="AE1174">
        <v>-10.216799999999999</v>
      </c>
      <c r="AF1174">
        <v>3.14044579254772</v>
      </c>
      <c r="AG1174">
        <v>2.3850139999999902</v>
      </c>
      <c r="AH1174">
        <v>40.971552144013899</v>
      </c>
      <c r="AI1174">
        <v>86.678210244150506</v>
      </c>
      <c r="AJ1174">
        <v>85.6168820087819</v>
      </c>
      <c r="AK1174">
        <v>41.160888919528702</v>
      </c>
      <c r="AL1174">
        <v>86.948745972047504</v>
      </c>
      <c r="AM1174">
        <v>88.231208100790695</v>
      </c>
      <c r="AN1174">
        <v>0.99999998545012603</v>
      </c>
    </row>
    <row r="1175" spans="1:40" x14ac:dyDescent="0.25">
      <c r="A1175" t="str">
        <f>"20190312160621916"</f>
        <v>20190312160621916</v>
      </c>
      <c r="B1175" t="str">
        <f>"1552377981906023"</f>
        <v>1552377981906023</v>
      </c>
      <c r="C1175" t="s">
        <v>40</v>
      </c>
      <c r="D1175">
        <v>6.4022940000000004</v>
      </c>
      <c r="E1175">
        <v>0.58537099999999997</v>
      </c>
      <c r="F1175" t="s">
        <v>42</v>
      </c>
      <c r="G1175">
        <v>-169.2955</v>
      </c>
      <c r="H1175">
        <v>3.4831919999999998</v>
      </c>
      <c r="I1175">
        <v>355.50760000000002</v>
      </c>
      <c r="J1175">
        <v>-209.08009999999999</v>
      </c>
      <c r="K1175">
        <v>1.105775</v>
      </c>
      <c r="L1175">
        <v>365.82010000000002</v>
      </c>
      <c r="M1175">
        <v>0.98435110000000003</v>
      </c>
      <c r="N1175">
        <v>0</v>
      </c>
      <c r="O1175">
        <v>-0.17561570000000001</v>
      </c>
      <c r="P1175">
        <v>0.97784660000000001</v>
      </c>
      <c r="Q1175">
        <v>3.8995179999999997E-2</v>
      </c>
      <c r="R1175">
        <v>-0.2056579</v>
      </c>
      <c r="S1175">
        <v>2.903397</v>
      </c>
      <c r="T1175">
        <v>0.1728121</v>
      </c>
      <c r="U1175">
        <v>-0.75180049999999998</v>
      </c>
      <c r="V1175">
        <v>3.1269659999999998E-2</v>
      </c>
      <c r="W1175">
        <v>5.3210220000000003E-2</v>
      </c>
      <c r="X1175">
        <v>0.99809360000000003</v>
      </c>
      <c r="Y1175">
        <v>7.6907310000000007E-2</v>
      </c>
      <c r="Z1175">
        <v>-7.9288090000000002E-3</v>
      </c>
      <c r="AA1175">
        <v>0.99700670000000002</v>
      </c>
      <c r="AB1175">
        <v>31</v>
      </c>
      <c r="AC1175">
        <v>39.784599999999898</v>
      </c>
      <c r="AD1175">
        <v>2.3774169999999999</v>
      </c>
      <c r="AE1175">
        <v>-10.3125</v>
      </c>
      <c r="AF1175">
        <v>3.15410191925216</v>
      </c>
      <c r="AG1175">
        <v>2.3774169999999999</v>
      </c>
      <c r="AH1175">
        <v>40.840738936590697</v>
      </c>
      <c r="AI1175">
        <v>86.678332390074303</v>
      </c>
      <c r="AJ1175">
        <v>85.583852637388006</v>
      </c>
      <c r="AK1175">
        <v>41.031285958347297</v>
      </c>
      <c r="AL1175">
        <v>86.9498384053649</v>
      </c>
      <c r="AM1175">
        <v>88.205545338234103</v>
      </c>
      <c r="AN1175">
        <v>0.999999976754961</v>
      </c>
    </row>
    <row r="1176" spans="1:40" x14ac:dyDescent="0.25">
      <c r="A1176" t="str">
        <f>"20190312160621928"</f>
        <v>20190312160621928</v>
      </c>
      <c r="B1176" t="str">
        <f>"1552377981915783"</f>
        <v>1552377981915783</v>
      </c>
      <c r="C1176" t="s">
        <v>40</v>
      </c>
      <c r="D1176">
        <v>6.3856169999999999</v>
      </c>
      <c r="E1176">
        <v>0.58533849999999998</v>
      </c>
      <c r="F1176" t="s">
        <v>49</v>
      </c>
      <c r="G1176">
        <v>-157.50190000000001</v>
      </c>
      <c r="H1176">
        <v>5.5281560000000001</v>
      </c>
      <c r="I1176">
        <v>342.19</v>
      </c>
      <c r="J1176">
        <v>-208.9195</v>
      </c>
      <c r="K1176">
        <v>1.105728</v>
      </c>
      <c r="L1176">
        <v>365.78870000000001</v>
      </c>
      <c r="M1176">
        <v>0.98387069999999999</v>
      </c>
      <c r="N1176">
        <v>0</v>
      </c>
      <c r="O1176">
        <v>-0.17828729999999901</v>
      </c>
      <c r="P1176">
        <v>0.97721190000000002</v>
      </c>
      <c r="Q1176">
        <v>3.9378709999999997E-2</v>
      </c>
      <c r="R1176">
        <v>-0.20858160000000001</v>
      </c>
      <c r="S1176">
        <v>2.7896420000000002</v>
      </c>
      <c r="T1176">
        <v>0.2391875</v>
      </c>
      <c r="U1176">
        <v>-1.278046</v>
      </c>
      <c r="V1176">
        <v>3.1558099999999999E-2</v>
      </c>
      <c r="W1176">
        <v>5.35896999999999E-2</v>
      </c>
      <c r="X1176">
        <v>0.99806419999999996</v>
      </c>
      <c r="Y1176">
        <v>0.24752070000000001</v>
      </c>
      <c r="Z1176">
        <v>-4.2499249999999999E-3</v>
      </c>
      <c r="AA1176">
        <v>0.96887330000000005</v>
      </c>
      <c r="AB1176">
        <v>31</v>
      </c>
      <c r="AC1176">
        <v>51.417599999999901</v>
      </c>
      <c r="AD1176">
        <v>4.422428</v>
      </c>
      <c r="AE1176">
        <v>-23.598700000000001</v>
      </c>
      <c r="AF1176">
        <v>13.9671078186038</v>
      </c>
      <c r="AG1176">
        <v>4.422428</v>
      </c>
      <c r="AH1176">
        <v>54.4685966532072</v>
      </c>
      <c r="AI1176">
        <v>85.503074075171696</v>
      </c>
      <c r="AJ1176">
        <v>75.617814830057199</v>
      </c>
      <c r="AK1176">
        <v>56.4044855627765</v>
      </c>
      <c r="AL1176">
        <v>86.928064679518499</v>
      </c>
      <c r="AM1176">
        <v>88.188950452747505</v>
      </c>
      <c r="AN1176">
        <v>0.999999958471669</v>
      </c>
    </row>
    <row r="1177" spans="1:40" x14ac:dyDescent="0.25">
      <c r="A1177" t="str">
        <f>"20190312160621940"</f>
        <v>20190312160621940</v>
      </c>
      <c r="B1177" t="str">
        <f>"1552377981936280"</f>
        <v>1552377981936280</v>
      </c>
      <c r="C1177" t="s">
        <v>40</v>
      </c>
      <c r="D1177">
        <v>6.1365259999999999</v>
      </c>
      <c r="E1177">
        <v>0.58236259999999995</v>
      </c>
      <c r="F1177" t="s">
        <v>49</v>
      </c>
      <c r="G1177">
        <v>-157.80760000000001</v>
      </c>
      <c r="H1177">
        <v>5.5095799999999997</v>
      </c>
      <c r="I1177">
        <v>342.19</v>
      </c>
      <c r="J1177">
        <v>-208.76779999999999</v>
      </c>
      <c r="K1177">
        <v>1.1056859999999999</v>
      </c>
      <c r="L1177">
        <v>365.75880000000001</v>
      </c>
      <c r="M1177">
        <v>0.98340590000000005</v>
      </c>
      <c r="N1177">
        <v>0</v>
      </c>
      <c r="O1177">
        <v>-0.18083340000000001</v>
      </c>
      <c r="P1177">
        <v>0.97658900000000004</v>
      </c>
      <c r="Q1177">
        <v>3.9610190000000003E-2</v>
      </c>
      <c r="R1177">
        <v>-0.21143529999999999</v>
      </c>
      <c r="S1177">
        <v>2.785736</v>
      </c>
      <c r="T1177">
        <v>0.24002219999999999</v>
      </c>
      <c r="U1177">
        <v>-1.2861940000000001</v>
      </c>
      <c r="V1177">
        <v>3.190047E-2</v>
      </c>
      <c r="W1177">
        <v>5.3816839999999998E-2</v>
      </c>
      <c r="X1177">
        <v>0.99804119999999996</v>
      </c>
      <c r="Y1177">
        <v>0.2478706</v>
      </c>
      <c r="Z1177">
        <v>-4.4542619999999996E-3</v>
      </c>
      <c r="AA1177">
        <v>0.9687829</v>
      </c>
      <c r="AB1177">
        <v>31</v>
      </c>
      <c r="AC1177">
        <v>50.960199999999901</v>
      </c>
      <c r="AD1177">
        <v>4.4038940000000002</v>
      </c>
      <c r="AE1177">
        <v>-23.5688</v>
      </c>
      <c r="AF1177">
        <v>13.8784890107771</v>
      </c>
      <c r="AG1177">
        <v>4.4038940000000002</v>
      </c>
      <c r="AH1177">
        <v>54.049831936761102</v>
      </c>
      <c r="AI1177">
        <v>85.487666153620495</v>
      </c>
      <c r="AJ1177">
        <v>75.599153804074902</v>
      </c>
      <c r="AK1177">
        <v>55.976701153047799</v>
      </c>
      <c r="AL1177">
        <v>86.915032035850302</v>
      </c>
      <c r="AM1177">
        <v>88.169273734046101</v>
      </c>
      <c r="AN1177">
        <v>1.00000006457562</v>
      </c>
    </row>
    <row r="1178" spans="1:40" x14ac:dyDescent="0.25">
      <c r="A1178" t="str">
        <f>"20190312160621950"</f>
        <v>20190312160621950</v>
      </c>
      <c r="B1178" t="str">
        <f>"1552377981946039"</f>
        <v>1552377981946039</v>
      </c>
      <c r="C1178" t="s">
        <v>40</v>
      </c>
      <c r="D1178">
        <v>6.3860849999999996</v>
      </c>
      <c r="E1178">
        <v>0.58263089999999995</v>
      </c>
      <c r="F1178" t="s">
        <v>49</v>
      </c>
      <c r="G1178">
        <v>-157.1199</v>
      </c>
      <c r="H1178">
        <v>5.0961230000000004</v>
      </c>
      <c r="I1178">
        <v>342.19</v>
      </c>
      <c r="J1178">
        <v>-208.61429999999999</v>
      </c>
      <c r="K1178">
        <v>1.1056410000000001</v>
      </c>
      <c r="L1178">
        <v>365.72809999999998</v>
      </c>
      <c r="M1178">
        <v>0.98292400000000002</v>
      </c>
      <c r="N1178">
        <v>0</v>
      </c>
      <c r="O1178">
        <v>-0.18343470000000001</v>
      </c>
      <c r="P1178">
        <v>0.97599069999999999</v>
      </c>
      <c r="Q1178">
        <v>3.9990009999999999E-2</v>
      </c>
      <c r="R1178">
        <v>-0.21410999999999999</v>
      </c>
      <c r="S1178">
        <v>2.787766</v>
      </c>
      <c r="T1178">
        <v>0.21538950000000001</v>
      </c>
      <c r="U1178">
        <v>-1.2721559999999901</v>
      </c>
      <c r="V1178">
        <v>3.2006769999999997E-2</v>
      </c>
      <c r="W1178">
        <v>5.419442E-2</v>
      </c>
      <c r="X1178">
        <v>0.9980173</v>
      </c>
      <c r="Y1178">
        <v>0.24106520000000001</v>
      </c>
      <c r="Z1178">
        <v>-4.4363349999999996E-3</v>
      </c>
      <c r="AA1178">
        <v>0.97049879999999999</v>
      </c>
      <c r="AB1178">
        <v>31</v>
      </c>
      <c r="AC1178">
        <v>51.494399999999899</v>
      </c>
      <c r="AD1178">
        <v>3.9904820000000001</v>
      </c>
      <c r="AE1178">
        <v>-23.538099999999901</v>
      </c>
      <c r="AF1178">
        <v>13.624080092161099</v>
      </c>
      <c r="AG1178">
        <v>3.9904820000000001</v>
      </c>
      <c r="AH1178">
        <v>54.667062015849297</v>
      </c>
      <c r="AI1178">
        <v>85.948528593097606</v>
      </c>
      <c r="AJ1178">
        <v>76.005870596226401</v>
      </c>
      <c r="AK1178">
        <v>56.480325551422297</v>
      </c>
      <c r="AL1178">
        <v>86.893366477488399</v>
      </c>
      <c r="AM1178">
        <v>88.163133530914806</v>
      </c>
      <c r="AN1178">
        <v>0.99999999979212895</v>
      </c>
    </row>
    <row r="1179" spans="1:40" x14ac:dyDescent="0.25">
      <c r="A1179" t="str">
        <f>"20190312160621960"</f>
        <v>20190312160621960</v>
      </c>
      <c r="B1179" t="str">
        <f>"1552377981955800"</f>
        <v>1552377981955800</v>
      </c>
      <c r="C1179" t="s">
        <v>40</v>
      </c>
      <c r="D1179">
        <v>6.3882149999999998</v>
      </c>
      <c r="E1179">
        <v>0.58293839999999997</v>
      </c>
      <c r="F1179" t="s">
        <v>49</v>
      </c>
      <c r="G1179">
        <v>-157.4941</v>
      </c>
      <c r="H1179">
        <v>5.1277410000000003</v>
      </c>
      <c r="I1179">
        <v>342.19</v>
      </c>
      <c r="J1179">
        <v>-208.48060000000001</v>
      </c>
      <c r="K1179">
        <v>1.10561</v>
      </c>
      <c r="L1179">
        <v>365.70080000000002</v>
      </c>
      <c r="M1179">
        <v>0.98249280000000005</v>
      </c>
      <c r="N1179">
        <v>0</v>
      </c>
      <c r="O1179">
        <v>-0.1857308</v>
      </c>
      <c r="P1179">
        <v>0.9755741</v>
      </c>
      <c r="Q1179">
        <v>3.9910510000000003E-2</v>
      </c>
      <c r="R1179">
        <v>-0.2160155</v>
      </c>
      <c r="S1179">
        <v>2.78363</v>
      </c>
      <c r="T1179">
        <v>0.21901399999999999</v>
      </c>
      <c r="U1179">
        <v>-1.2817080000000001</v>
      </c>
      <c r="V1179">
        <v>3.1627229999999999E-2</v>
      </c>
      <c r="W1179">
        <v>5.4118239999999998E-2</v>
      </c>
      <c r="X1179">
        <v>0.99803350000000002</v>
      </c>
      <c r="Y1179">
        <v>0.24209130000000001</v>
      </c>
      <c r="Z1179">
        <v>-4.6404979999999998E-3</v>
      </c>
      <c r="AA1179">
        <v>0.97024239999999995</v>
      </c>
      <c r="AB1179">
        <v>31</v>
      </c>
      <c r="AC1179">
        <v>50.986499999999999</v>
      </c>
      <c r="AD1179">
        <v>4.0221309999999999</v>
      </c>
      <c r="AE1179">
        <v>-23.5108</v>
      </c>
      <c r="AF1179">
        <v>13.561278605610999</v>
      </c>
      <c r="AG1179">
        <v>4.0221309999999999</v>
      </c>
      <c r="AH1179">
        <v>54.188235942343098</v>
      </c>
      <c r="AI1179">
        <v>85.881551314364899</v>
      </c>
      <c r="AJ1179">
        <v>75.949606746814695</v>
      </c>
      <c r="AK1179">
        <v>56.004024228114297</v>
      </c>
      <c r="AL1179">
        <v>86.8977375810083</v>
      </c>
      <c r="AM1179">
        <v>88.184930092217996</v>
      </c>
      <c r="AN1179">
        <v>0.99999996635020905</v>
      </c>
    </row>
    <row r="1180" spans="1:40" x14ac:dyDescent="0.25">
      <c r="A1180" t="str">
        <f>"20190312160621970"</f>
        <v>20190312160621970</v>
      </c>
      <c r="B1180" t="str">
        <f>"1552377981966536"</f>
        <v>1552377981966536</v>
      </c>
      <c r="C1180" t="s">
        <v>40</v>
      </c>
      <c r="D1180">
        <v>6.4021860000000004</v>
      </c>
      <c r="E1180">
        <v>0.58309069999999996</v>
      </c>
      <c r="F1180" t="s">
        <v>49</v>
      </c>
      <c r="G1180">
        <v>-157.79050000000001</v>
      </c>
      <c r="H1180">
        <v>5.1575790000000001</v>
      </c>
      <c r="I1180">
        <v>342.19</v>
      </c>
      <c r="J1180">
        <v>-208.33750000000001</v>
      </c>
      <c r="K1180">
        <v>1.105569</v>
      </c>
      <c r="L1180">
        <v>365.67140000000001</v>
      </c>
      <c r="M1180">
        <v>0.9820219</v>
      </c>
      <c r="N1180">
        <v>0</v>
      </c>
      <c r="O1180">
        <v>-0.1882047</v>
      </c>
      <c r="P1180">
        <v>0.9750645</v>
      </c>
      <c r="Q1180">
        <v>4.0018709999999999E-2</v>
      </c>
      <c r="R1180">
        <v>-0.2182847</v>
      </c>
      <c r="S1180">
        <v>2.7804570000000002</v>
      </c>
      <c r="T1180">
        <v>0.22225890000000001</v>
      </c>
      <c r="U1180">
        <v>-1.289612</v>
      </c>
      <c r="V1180">
        <v>3.144284E-2</v>
      </c>
      <c r="W1180">
        <v>5.4227740000000003E-2</v>
      </c>
      <c r="X1180">
        <v>0.99803339999999996</v>
      </c>
      <c r="Y1180">
        <v>0.242342</v>
      </c>
      <c r="Z1180">
        <v>-4.8824430000000002E-3</v>
      </c>
      <c r="AA1180">
        <v>0.9701786</v>
      </c>
      <c r="AB1180">
        <v>31</v>
      </c>
      <c r="AC1180">
        <v>50.546999999999997</v>
      </c>
      <c r="AD1180">
        <v>4.0520100000000001</v>
      </c>
      <c r="AE1180">
        <v>-23.481400000000001</v>
      </c>
      <c r="AF1180">
        <v>13.476273033188299</v>
      </c>
      <c r="AG1180">
        <v>4.0520100000000001</v>
      </c>
      <c r="AH1180">
        <v>53.779051426988701</v>
      </c>
      <c r="AI1180">
        <v>85.819924591390802</v>
      </c>
      <c r="AJ1180">
        <v>75.932164942555303</v>
      </c>
      <c r="AK1180">
        <v>55.589703113902601</v>
      </c>
      <c r="AL1180">
        <v>86.891454520717303</v>
      </c>
      <c r="AM1180">
        <v>88.195504938931904</v>
      </c>
      <c r="AN1180">
        <v>0.99999998374416599</v>
      </c>
    </row>
    <row r="1181" spans="1:40" x14ac:dyDescent="0.25">
      <c r="A1181" t="str">
        <f>"20190312160621983"</f>
        <v>20190312160621983</v>
      </c>
      <c r="B1181" t="str">
        <f>"1552377981976295"</f>
        <v>1552377981976295</v>
      </c>
      <c r="C1181" t="s">
        <v>40</v>
      </c>
      <c r="D1181">
        <v>6.3792070000000001</v>
      </c>
      <c r="E1181">
        <v>0.58306880000000005</v>
      </c>
      <c r="F1181" t="s">
        <v>49</v>
      </c>
      <c r="G1181">
        <v>-158.06710000000001</v>
      </c>
      <c r="H1181">
        <v>5.1791150000000004</v>
      </c>
      <c r="I1181">
        <v>342.19</v>
      </c>
      <c r="J1181">
        <v>-208.18049999999999</v>
      </c>
      <c r="K1181">
        <v>1.1055170000000001</v>
      </c>
      <c r="L1181">
        <v>365.63850000000002</v>
      </c>
      <c r="M1181">
        <v>0.98149019999999998</v>
      </c>
      <c r="N1181">
        <v>0</v>
      </c>
      <c r="O1181">
        <v>-0.1909574</v>
      </c>
      <c r="P1181">
        <v>0.97447649999999997</v>
      </c>
      <c r="Q1181">
        <v>4.0017379999999998E-2</v>
      </c>
      <c r="R1181">
        <v>-0.22089549999999999</v>
      </c>
      <c r="S1181">
        <v>2.7770839999999999</v>
      </c>
      <c r="T1181">
        <v>0.22503509999999999</v>
      </c>
      <c r="U1181">
        <v>-1.29718</v>
      </c>
      <c r="V1181">
        <v>3.132356E-2</v>
      </c>
      <c r="W1181">
        <v>5.4227749999999998E-2</v>
      </c>
      <c r="X1181">
        <v>0.99803719999999996</v>
      </c>
      <c r="Y1181">
        <v>0.24224780000000001</v>
      </c>
      <c r="Z1181">
        <v>-5.1532160000000004E-3</v>
      </c>
      <c r="AA1181">
        <v>0.97020070000000003</v>
      </c>
      <c r="AB1181">
        <v>31</v>
      </c>
      <c r="AC1181">
        <v>50.113399999999899</v>
      </c>
      <c r="AD1181">
        <v>4.0735979999999996</v>
      </c>
      <c r="AE1181">
        <v>-23.448499999999999</v>
      </c>
      <c r="AF1181">
        <v>13.373877835942199</v>
      </c>
      <c r="AG1181">
        <v>4.0735979999999996</v>
      </c>
      <c r="AH1181">
        <v>53.379808245702698</v>
      </c>
      <c r="AI1181">
        <v>85.766373948819506</v>
      </c>
      <c r="AJ1181">
        <v>75.934538815425995</v>
      </c>
      <c r="AK1181">
        <v>55.1802386492148</v>
      </c>
      <c r="AL1181">
        <v>86.891454101525397</v>
      </c>
      <c r="AM1181">
        <v>88.202352721974805</v>
      </c>
      <c r="AN1181">
        <v>1.0000000334324799</v>
      </c>
    </row>
    <row r="1182" spans="1:40" x14ac:dyDescent="0.25">
      <c r="A1182" t="str">
        <f>"20190312160621997"</f>
        <v>20190312160621997</v>
      </c>
      <c r="B1182" t="str">
        <f>"1552377981986057"</f>
        <v>1552377981986057</v>
      </c>
      <c r="C1182" t="s">
        <v>40</v>
      </c>
      <c r="D1182">
        <v>6.3832579999999997</v>
      </c>
      <c r="E1182">
        <v>0.58296510000000001</v>
      </c>
      <c r="F1182" t="s">
        <v>49</v>
      </c>
      <c r="G1182">
        <v>-158.30670000000001</v>
      </c>
      <c r="H1182">
        <v>5.1582410000000003</v>
      </c>
      <c r="I1182">
        <v>342.19</v>
      </c>
      <c r="J1182">
        <v>-207.97540000000001</v>
      </c>
      <c r="K1182">
        <v>1.105459</v>
      </c>
      <c r="L1182">
        <v>365.59500000000003</v>
      </c>
      <c r="M1182">
        <v>0.98077669999999995</v>
      </c>
      <c r="N1182">
        <v>0</v>
      </c>
      <c r="O1182">
        <v>-0.19458829999999999</v>
      </c>
      <c r="P1182">
        <v>0.9737015</v>
      </c>
      <c r="Q1182">
        <v>3.9566329999999997E-2</v>
      </c>
      <c r="R1182">
        <v>-0.22436510000000001</v>
      </c>
      <c r="S1182">
        <v>2.7737120000000002</v>
      </c>
      <c r="T1182">
        <v>0.22539110000000001</v>
      </c>
      <c r="U1182">
        <v>-1.3040769999999999</v>
      </c>
      <c r="V1182">
        <v>3.1184549999999998E-2</v>
      </c>
      <c r="W1182">
        <v>5.3777789999999999E-2</v>
      </c>
      <c r="X1182">
        <v>0.99806589999999995</v>
      </c>
      <c r="Y1182">
        <v>0.2410989</v>
      </c>
      <c r="Z1182">
        <v>-5.4779429999999999E-3</v>
      </c>
      <c r="AA1182">
        <v>0.97048509999999999</v>
      </c>
      <c r="AB1182">
        <v>31</v>
      </c>
      <c r="AC1182">
        <v>49.668700000000001</v>
      </c>
      <c r="AD1182">
        <v>4.0527819999999997</v>
      </c>
      <c r="AE1182">
        <v>-23.405000000000001</v>
      </c>
      <c r="AF1182">
        <v>13.219520413155101</v>
      </c>
      <c r="AG1182">
        <v>4.0527819999999997</v>
      </c>
      <c r="AH1182">
        <v>52.985229110000397</v>
      </c>
      <c r="AI1182">
        <v>85.755634471936901</v>
      </c>
      <c r="AJ1182">
        <v>75.991021964295101</v>
      </c>
      <c r="AK1182">
        <v>54.759613454922999</v>
      </c>
      <c r="AL1182">
        <v>86.917272585660797</v>
      </c>
      <c r="AM1182">
        <v>88.210376683479595</v>
      </c>
      <c r="AN1182">
        <v>1.00000003379939</v>
      </c>
    </row>
    <row r="1183" spans="1:40" x14ac:dyDescent="0.25">
      <c r="A1183" t="str">
        <f>"20190312160622009"</f>
        <v>20190312160622009</v>
      </c>
      <c r="B1183" t="str">
        <f>"1552377981995815"</f>
        <v>1552377981995815</v>
      </c>
      <c r="C1183" t="s">
        <v>40</v>
      </c>
      <c r="D1183">
        <v>6.3851950000000004</v>
      </c>
      <c r="E1183">
        <v>0.58304489999999998</v>
      </c>
      <c r="F1183" t="s">
        <v>49</v>
      </c>
      <c r="G1183">
        <v>-158.6189</v>
      </c>
      <c r="H1183">
        <v>5.0958069999999998</v>
      </c>
      <c r="I1183">
        <v>342.19</v>
      </c>
      <c r="J1183">
        <v>-207.8115</v>
      </c>
      <c r="K1183">
        <v>1.1054079999999999</v>
      </c>
      <c r="L1183">
        <v>365.55950000000001</v>
      </c>
      <c r="M1183">
        <v>0.98018689999999997</v>
      </c>
      <c r="N1183">
        <v>0</v>
      </c>
      <c r="O1183">
        <v>-0.19753699999999999</v>
      </c>
      <c r="P1183">
        <v>0.97300819999999999</v>
      </c>
      <c r="Q1183">
        <v>3.9510080000000003E-2</v>
      </c>
      <c r="R1183">
        <v>-0.22736329999999999</v>
      </c>
      <c r="S1183">
        <v>2.7693479999999999</v>
      </c>
      <c r="T1183">
        <v>0.22389539999999999</v>
      </c>
      <c r="U1183">
        <v>-1.313232</v>
      </c>
      <c r="V1183">
        <v>3.1262779999999997E-2</v>
      </c>
      <c r="W1183">
        <v>5.3720660000000003E-2</v>
      </c>
      <c r="X1183">
        <v>0.99806649999999997</v>
      </c>
      <c r="Y1183">
        <v>0.2414</v>
      </c>
      <c r="Z1183">
        <v>-5.6508849999999996E-3</v>
      </c>
      <c r="AA1183">
        <v>0.97040919999999997</v>
      </c>
      <c r="AB1183">
        <v>31</v>
      </c>
      <c r="AC1183">
        <v>49.192599999999999</v>
      </c>
      <c r="AD1183">
        <v>3.9903989999999898</v>
      </c>
      <c r="AE1183">
        <v>-23.369499999999999</v>
      </c>
      <c r="AF1183">
        <v>13.1200870189647</v>
      </c>
      <c r="AG1183">
        <v>3.9903989999999898</v>
      </c>
      <c r="AH1183">
        <v>52.557747320193897</v>
      </c>
      <c r="AI1183">
        <v>85.786998235070996</v>
      </c>
      <c r="AJ1183">
        <v>75.983611595831604</v>
      </c>
      <c r="AK1183">
        <v>54.317370802881797</v>
      </c>
      <c r="AL1183">
        <v>86.920550541875201</v>
      </c>
      <c r="AM1183">
        <v>88.205891217557806</v>
      </c>
      <c r="AN1183">
        <v>1.0000000045732</v>
      </c>
    </row>
    <row r="1184" spans="1:40" x14ac:dyDescent="0.25">
      <c r="A1184" t="str">
        <f>"20190312160622020"</f>
        <v>20190312160622020</v>
      </c>
      <c r="B1184" t="str">
        <f>"1552377982006552"</f>
        <v>1552377982006552</v>
      </c>
      <c r="C1184" t="s">
        <v>40</v>
      </c>
      <c r="D1184">
        <v>6.3649129999999996</v>
      </c>
      <c r="E1184">
        <v>0.58303709999999997</v>
      </c>
      <c r="F1184" t="s">
        <v>49</v>
      </c>
      <c r="G1184">
        <v>-158.9434</v>
      </c>
      <c r="H1184">
        <v>5.0763669999999896</v>
      </c>
      <c r="I1184">
        <v>342.19</v>
      </c>
      <c r="J1184">
        <v>-207.66550000000001</v>
      </c>
      <c r="K1184">
        <v>1.105364</v>
      </c>
      <c r="L1184">
        <v>365.52749999999997</v>
      </c>
      <c r="M1184">
        <v>0.97964870000000004</v>
      </c>
      <c r="N1184">
        <v>0</v>
      </c>
      <c r="O1184">
        <v>-0.20018920000000001</v>
      </c>
      <c r="P1184">
        <v>0.97243259999999998</v>
      </c>
      <c r="Q1184">
        <v>3.9714899999999997E-2</v>
      </c>
      <c r="R1184">
        <v>-0.22977710000000001</v>
      </c>
      <c r="S1184">
        <v>2.7651210000000002</v>
      </c>
      <c r="T1184">
        <v>0.22469069999999999</v>
      </c>
      <c r="U1184">
        <v>-1.322327</v>
      </c>
      <c r="V1184">
        <v>3.1048010000000001E-2</v>
      </c>
      <c r="W1184">
        <v>5.3927299999999997E-2</v>
      </c>
      <c r="X1184">
        <v>0.99806209999999995</v>
      </c>
      <c r="Y1184">
        <v>0.241953</v>
      </c>
      <c r="Z1184">
        <v>-5.8489789999999998E-3</v>
      </c>
      <c r="AA1184">
        <v>0.97027030000000003</v>
      </c>
      <c r="AB1184">
        <v>31</v>
      </c>
      <c r="AC1184">
        <v>48.722099999999998</v>
      </c>
      <c r="AD1184">
        <v>3.9710030000000001</v>
      </c>
      <c r="AE1184">
        <v>-23.337499999999899</v>
      </c>
      <c r="AF1184">
        <v>13.039852036007201</v>
      </c>
      <c r="AG1184">
        <v>3.9710030000000001</v>
      </c>
      <c r="AH1184">
        <v>52.126387150389597</v>
      </c>
      <c r="AI1184">
        <v>85.773354973381004</v>
      </c>
      <c r="AJ1184">
        <v>75.955216686283805</v>
      </c>
      <c r="AK1184">
        <v>53.879187478090998</v>
      </c>
      <c r="AL1184">
        <v>86.908693876995102</v>
      </c>
      <c r="AM1184">
        <v>88.218200618432107</v>
      </c>
      <c r="AN1184">
        <v>1.0000000440333201</v>
      </c>
    </row>
    <row r="1185" spans="1:40" x14ac:dyDescent="0.25">
      <c r="A1185" t="str">
        <f>"20190312160622031"</f>
        <v>20190312160622031</v>
      </c>
      <c r="B1185" t="str">
        <f>"1552377982026072"</f>
        <v>1552377982026072</v>
      </c>
      <c r="C1185" t="s">
        <v>40</v>
      </c>
      <c r="D1185">
        <v>6.3490419999999999</v>
      </c>
      <c r="E1185">
        <v>0.58304560000000005</v>
      </c>
      <c r="F1185" t="s">
        <v>49</v>
      </c>
      <c r="G1185">
        <v>-160.11189999999999</v>
      </c>
      <c r="H1185">
        <v>4.998577</v>
      </c>
      <c r="I1185">
        <v>342.64389999999997</v>
      </c>
      <c r="J1185">
        <v>-207.49860000000001</v>
      </c>
      <c r="K1185">
        <v>1.105313</v>
      </c>
      <c r="L1185">
        <v>365.49040000000002</v>
      </c>
      <c r="M1185">
        <v>0.97901839999999996</v>
      </c>
      <c r="N1185">
        <v>0</v>
      </c>
      <c r="O1185">
        <v>-0.20324929999999999</v>
      </c>
      <c r="P1185">
        <v>0.97179190000000004</v>
      </c>
      <c r="Q1185">
        <v>3.960574E-2</v>
      </c>
      <c r="R1185">
        <v>-0.23249069999999999</v>
      </c>
      <c r="S1185">
        <v>2.7617799999999999</v>
      </c>
      <c r="T1185">
        <v>0.22610739999999999</v>
      </c>
      <c r="U1185">
        <v>-1.32901</v>
      </c>
      <c r="V1185">
        <v>3.0719679999999999E-2</v>
      </c>
      <c r="W1185">
        <v>5.382207E-2</v>
      </c>
      <c r="X1185">
        <v>0.99807789999999996</v>
      </c>
      <c r="Y1185">
        <v>0.2412946</v>
      </c>
      <c r="Z1185">
        <v>-6.1419789999999997E-3</v>
      </c>
      <c r="AA1185">
        <v>0.97043250000000003</v>
      </c>
      <c r="AB1185">
        <v>31</v>
      </c>
      <c r="AC1185">
        <v>47.386699999999998</v>
      </c>
      <c r="AD1185">
        <v>3.8932639999999998</v>
      </c>
      <c r="AE1185">
        <v>-22.846499999999999</v>
      </c>
      <c r="AF1185">
        <v>12.667802822081001</v>
      </c>
      <c r="AG1185">
        <v>3.8932639999999998</v>
      </c>
      <c r="AH1185">
        <v>50.763381586584103</v>
      </c>
      <c r="AI1185">
        <v>85.744328031923899</v>
      </c>
      <c r="AJ1185">
        <v>75.988237044898796</v>
      </c>
      <c r="AK1185">
        <v>52.464765729182197</v>
      </c>
      <c r="AL1185">
        <v>86.914731757600805</v>
      </c>
      <c r="AM1185">
        <v>88.237058928409894</v>
      </c>
      <c r="AN1185">
        <v>1.0000000042133901</v>
      </c>
    </row>
    <row r="1186" spans="1:40" x14ac:dyDescent="0.25">
      <c r="A1186" t="str">
        <f>"20190312160622044"</f>
        <v>20190312160622044</v>
      </c>
      <c r="B1186" t="str">
        <f>"1552377982035831"</f>
        <v>1552377982035831</v>
      </c>
      <c r="C1186" t="s">
        <v>40</v>
      </c>
      <c r="D1186">
        <v>6.225651</v>
      </c>
      <c r="E1186">
        <v>0.58285569999999998</v>
      </c>
      <c r="F1186" t="s">
        <v>49</v>
      </c>
      <c r="G1186">
        <v>-160.37469999999999</v>
      </c>
      <c r="H1186">
        <v>4.9859359999999997</v>
      </c>
      <c r="I1186">
        <v>342.64389999999997</v>
      </c>
      <c r="J1186">
        <v>-207.32980000000001</v>
      </c>
      <c r="K1186">
        <v>1.105261</v>
      </c>
      <c r="L1186">
        <v>365.45209999999997</v>
      </c>
      <c r="M1186">
        <v>0.9783596</v>
      </c>
      <c r="N1186">
        <v>0</v>
      </c>
      <c r="O1186">
        <v>-0.20639669999999999</v>
      </c>
      <c r="P1186">
        <v>0.97101400000000004</v>
      </c>
      <c r="Q1186">
        <v>3.9769659999999998E-2</v>
      </c>
      <c r="R1186">
        <v>-0.2356907</v>
      </c>
      <c r="S1186">
        <v>2.7579500000000001</v>
      </c>
      <c r="T1186">
        <v>0.22711580000000001</v>
      </c>
      <c r="U1186">
        <v>-1.337097</v>
      </c>
      <c r="V1186">
        <v>3.0807890000000001E-2</v>
      </c>
      <c r="W1186">
        <v>5.3984919999999999E-2</v>
      </c>
      <c r="X1186">
        <v>0.99806640000000002</v>
      </c>
      <c r="Y1186">
        <v>0.2410148</v>
      </c>
      <c r="Z1186">
        <v>-6.4186290000000003E-3</v>
      </c>
      <c r="AA1186">
        <v>0.97050020000000004</v>
      </c>
      <c r="AB1186">
        <v>31</v>
      </c>
      <c r="AC1186">
        <v>46.955100000000002</v>
      </c>
      <c r="AD1186">
        <v>3.8806750000000001</v>
      </c>
      <c r="AE1186">
        <v>-22.808199999999999</v>
      </c>
      <c r="AF1186">
        <v>12.555201572496101</v>
      </c>
      <c r="AG1186">
        <v>3.8806750000000001</v>
      </c>
      <c r="AH1186">
        <v>50.373513805388797</v>
      </c>
      <c r="AI1186">
        <v>85.725025036229297</v>
      </c>
      <c r="AJ1186">
        <v>76.004632612557202</v>
      </c>
      <c r="AK1186">
        <v>52.0594239123267</v>
      </c>
      <c r="AL1186">
        <v>86.905387598318001</v>
      </c>
      <c r="AM1186">
        <v>88.231979582460198</v>
      </c>
      <c r="AN1186">
        <v>1.0000000182413</v>
      </c>
    </row>
    <row r="1187" spans="1:40" x14ac:dyDescent="0.25">
      <c r="A1187" t="str">
        <f>"20190312160622058"</f>
        <v>20190312160622058</v>
      </c>
      <c r="B1187" t="str">
        <f>"1552377982046568"</f>
        <v>1552377982046568</v>
      </c>
      <c r="C1187" t="s">
        <v>40</v>
      </c>
      <c r="D1187">
        <v>6.6566080000000003</v>
      </c>
      <c r="E1187">
        <v>0.58271379999999995</v>
      </c>
      <c r="F1187" t="s">
        <v>49</v>
      </c>
      <c r="G1187">
        <v>-160.6283</v>
      </c>
      <c r="H1187">
        <v>4.8428190000000004</v>
      </c>
      <c r="I1187">
        <v>342.64389999999997</v>
      </c>
      <c r="J1187">
        <v>-207.15450000000001</v>
      </c>
      <c r="K1187">
        <v>1.1052010000000001</v>
      </c>
      <c r="L1187">
        <v>365.41180000000003</v>
      </c>
      <c r="M1187">
        <v>0.97765829999999998</v>
      </c>
      <c r="N1187">
        <v>0</v>
      </c>
      <c r="O1187">
        <v>-0.20969289999999999</v>
      </c>
      <c r="P1187">
        <v>0.97020949999999995</v>
      </c>
      <c r="Q1187">
        <v>3.9812470000000003E-2</v>
      </c>
      <c r="R1187">
        <v>-0.23897389999999999</v>
      </c>
      <c r="S1187">
        <v>2.7540589999999998</v>
      </c>
      <c r="T1187">
        <v>0.2204102</v>
      </c>
      <c r="U1187">
        <v>-1.345032</v>
      </c>
      <c r="V1187">
        <v>3.0828479999999998E-2</v>
      </c>
      <c r="W1187">
        <v>5.4026820000000003E-2</v>
      </c>
      <c r="X1187">
        <v>0.99806349999999999</v>
      </c>
      <c r="Y1187">
        <v>0.2405571</v>
      </c>
      <c r="Z1187">
        <v>-6.4893850000000003E-3</v>
      </c>
      <c r="AA1187">
        <v>0.97061330000000001</v>
      </c>
      <c r="AB1187">
        <v>31</v>
      </c>
      <c r="AC1187">
        <v>46.526200000000003</v>
      </c>
      <c r="AD1187">
        <v>3.7376179999999999</v>
      </c>
      <c r="AE1187">
        <v>-22.767900000000001</v>
      </c>
      <c r="AF1187">
        <v>12.4395766701416</v>
      </c>
      <c r="AG1187">
        <v>3.7376179999999999</v>
      </c>
      <c r="AH1187">
        <v>50.005985791712703</v>
      </c>
      <c r="AI1187">
        <v>85.851439197932294</v>
      </c>
      <c r="AJ1187">
        <v>76.030548992843904</v>
      </c>
      <c r="AK1187">
        <v>51.665379811313002</v>
      </c>
      <c r="AL1187">
        <v>86.902983405864205</v>
      </c>
      <c r="AM1187">
        <v>88.230793565365204</v>
      </c>
      <c r="AN1187">
        <v>1.0000000212453299</v>
      </c>
    </row>
    <row r="1188" spans="1:40" x14ac:dyDescent="0.25">
      <c r="A1188" t="str">
        <f>"20190312160622071"</f>
        <v>20190312160622071</v>
      </c>
      <c r="B1188" t="str">
        <f>"1552377982066087"</f>
        <v>1552377982066087</v>
      </c>
      <c r="C1188" t="s">
        <v>40</v>
      </c>
      <c r="D1188">
        <v>6.3883380000000001</v>
      </c>
      <c r="E1188">
        <v>0.58270250000000001</v>
      </c>
      <c r="F1188" t="s">
        <v>49</v>
      </c>
      <c r="G1188">
        <v>-160.87639999999999</v>
      </c>
      <c r="H1188">
        <v>4.7182110000000002</v>
      </c>
      <c r="I1188">
        <v>342.64389999999997</v>
      </c>
      <c r="J1188">
        <v>-206.9521</v>
      </c>
      <c r="K1188">
        <v>1.1051329999999999</v>
      </c>
      <c r="L1188">
        <v>365.36450000000002</v>
      </c>
      <c r="M1188">
        <v>0.97682009999999997</v>
      </c>
      <c r="N1188">
        <v>0</v>
      </c>
      <c r="O1188">
        <v>-0.213563</v>
      </c>
      <c r="P1188">
        <v>0.96928970000000003</v>
      </c>
      <c r="Q1188">
        <v>3.9711650000000001E-2</v>
      </c>
      <c r="R1188">
        <v>-0.2426941</v>
      </c>
      <c r="S1188">
        <v>2.7500460000000002</v>
      </c>
      <c r="T1188">
        <v>0.21470130000000001</v>
      </c>
      <c r="U1188">
        <v>-1.3529659999999999</v>
      </c>
      <c r="V1188">
        <v>3.0711459999999999E-2</v>
      </c>
      <c r="W1188">
        <v>5.3927290000000003E-2</v>
      </c>
      <c r="X1188">
        <v>0.99807239999999997</v>
      </c>
      <c r="Y1188">
        <v>0.23954439999999999</v>
      </c>
      <c r="Z1188">
        <v>-6.6360789999999996E-3</v>
      </c>
      <c r="AA1188">
        <v>0.97086269999999997</v>
      </c>
      <c r="AB1188">
        <v>31</v>
      </c>
      <c r="AC1188">
        <v>46.075699999999998</v>
      </c>
      <c r="AD1188">
        <v>3.6130779999999998</v>
      </c>
      <c r="AE1188">
        <v>-22.720600000000001</v>
      </c>
      <c r="AF1188">
        <v>12.294379969502399</v>
      </c>
      <c r="AG1188">
        <v>3.6130779999999998</v>
      </c>
      <c r="AH1188">
        <v>49.619832669430103</v>
      </c>
      <c r="AI1188">
        <v>85.957170391403594</v>
      </c>
      <c r="AJ1188">
        <v>76.083992679618206</v>
      </c>
      <c r="AK1188">
        <v>51.247769762311002</v>
      </c>
      <c r="AL1188">
        <v>86.908694101064697</v>
      </c>
      <c r="AM1188">
        <v>88.237520654050698</v>
      </c>
      <c r="AN1188">
        <v>0.99999993101191498</v>
      </c>
    </row>
    <row r="1189" spans="1:40" x14ac:dyDescent="0.25">
      <c r="A1189" t="str">
        <f>"20190312160622086"</f>
        <v>20190312160622086</v>
      </c>
      <c r="B1189" t="str">
        <f>"1552377982075847"</f>
        <v>1552377982075847</v>
      </c>
      <c r="C1189" t="s">
        <v>40</v>
      </c>
      <c r="D1189">
        <v>6.3451490000000002</v>
      </c>
      <c r="E1189">
        <v>0.58271499999999998</v>
      </c>
      <c r="F1189" t="s">
        <v>49</v>
      </c>
      <c r="G1189">
        <v>-161.2132</v>
      </c>
      <c r="H1189">
        <v>4.679017</v>
      </c>
      <c r="I1189">
        <v>342.64389999999997</v>
      </c>
      <c r="J1189">
        <v>-206.77080000000001</v>
      </c>
      <c r="K1189">
        <v>1.105075</v>
      </c>
      <c r="L1189">
        <v>365.32119999999998</v>
      </c>
      <c r="M1189">
        <v>0.97604219999999997</v>
      </c>
      <c r="N1189">
        <v>0</v>
      </c>
      <c r="O1189">
        <v>-0.21709049999999999</v>
      </c>
      <c r="P1189">
        <v>0.96839540000000002</v>
      </c>
      <c r="Q1189">
        <v>3.9802659999999997E-2</v>
      </c>
      <c r="R1189">
        <v>-0.2462241</v>
      </c>
      <c r="S1189">
        <v>2.7448579999999998</v>
      </c>
      <c r="T1189">
        <v>0.21447459999999999</v>
      </c>
      <c r="U1189">
        <v>-1.3634949999999999</v>
      </c>
      <c r="V1189">
        <v>3.07522E-2</v>
      </c>
      <c r="W1189">
        <v>5.4018719999999999E-2</v>
      </c>
      <c r="X1189">
        <v>0.99806620000000001</v>
      </c>
      <c r="Y1189">
        <v>0.2397628</v>
      </c>
      <c r="Z1189">
        <v>-6.8744230000000002E-3</v>
      </c>
      <c r="AA1189">
        <v>0.97080710000000003</v>
      </c>
      <c r="AB1189">
        <v>31</v>
      </c>
      <c r="AC1189">
        <v>45.557600000000001</v>
      </c>
      <c r="AD1189">
        <v>3.5739420000000002</v>
      </c>
      <c r="AE1189">
        <v>-22.677299999999999</v>
      </c>
      <c r="AF1189">
        <v>12.185087187235901</v>
      </c>
      <c r="AG1189">
        <v>3.5739420000000002</v>
      </c>
      <c r="AH1189">
        <v>49.152010550811497</v>
      </c>
      <c r="AI1189">
        <v>85.963006642335998</v>
      </c>
      <c r="AJ1189">
        <v>76.076722190187198</v>
      </c>
      <c r="AK1189">
        <v>50.765830559215601</v>
      </c>
      <c r="AL1189">
        <v>86.903447896776996</v>
      </c>
      <c r="AM1189">
        <v>88.235173174966306</v>
      </c>
      <c r="AN1189">
        <v>0.99999992974885599</v>
      </c>
    </row>
    <row r="1190" spans="1:40" x14ac:dyDescent="0.25">
      <c r="A1190" t="str">
        <f>"20190312160622099"</f>
        <v>20190312160622099</v>
      </c>
      <c r="B1190" t="str">
        <f>"1552377982096343"</f>
        <v>1552377982096343</v>
      </c>
      <c r="C1190" t="s">
        <v>40</v>
      </c>
      <c r="D1190">
        <v>6.3509129999999896</v>
      </c>
      <c r="E1190">
        <v>0.58273759999999997</v>
      </c>
      <c r="F1190" t="s">
        <v>49</v>
      </c>
      <c r="G1190">
        <v>-161.54159999999999</v>
      </c>
      <c r="H1190">
        <v>4.6578480000000004</v>
      </c>
      <c r="I1190">
        <v>342.64389999999997</v>
      </c>
      <c r="J1190">
        <v>-206.59049999999999</v>
      </c>
      <c r="K1190">
        <v>1.1050139999999999</v>
      </c>
      <c r="L1190">
        <v>365.27749999999997</v>
      </c>
      <c r="M1190">
        <v>0.97524619999999995</v>
      </c>
      <c r="N1190">
        <v>0</v>
      </c>
      <c r="O1190">
        <v>-0.22063859999999999</v>
      </c>
      <c r="P1190">
        <v>0.96750060000000004</v>
      </c>
      <c r="Q1190">
        <v>3.9577849999999998E-2</v>
      </c>
      <c r="R1190">
        <v>-0.24975229999999901</v>
      </c>
      <c r="S1190">
        <v>2.739792</v>
      </c>
      <c r="T1190">
        <v>0.21521219999999999</v>
      </c>
      <c r="U1190">
        <v>-1.373688</v>
      </c>
      <c r="V1190">
        <v>3.0764219999999998E-2</v>
      </c>
      <c r="W1190">
        <v>5.3794450000000001E-2</v>
      </c>
      <c r="X1190">
        <v>0.99807800000000002</v>
      </c>
      <c r="Y1190">
        <v>0.23984530000000001</v>
      </c>
      <c r="Z1190">
        <v>-7.1506510000000001E-3</v>
      </c>
      <c r="AA1190">
        <v>0.9707848</v>
      </c>
      <c r="AB1190">
        <v>31</v>
      </c>
      <c r="AC1190">
        <v>45.048900000000003</v>
      </c>
      <c r="AD1190">
        <v>3.5528339999999998</v>
      </c>
      <c r="AE1190">
        <v>-22.633600000000001</v>
      </c>
      <c r="AF1190">
        <v>12.075133291420499</v>
      </c>
      <c r="AG1190">
        <v>3.5528339999999998</v>
      </c>
      <c r="AH1190">
        <v>48.6910254670548</v>
      </c>
      <c r="AI1190">
        <v>85.948985581332707</v>
      </c>
      <c r="AJ1190">
        <v>76.071925246788993</v>
      </c>
      <c r="AK1190">
        <v>50.2916238997162</v>
      </c>
      <c r="AL1190">
        <v>86.916316510079398</v>
      </c>
      <c r="AM1190">
        <v>88.234504660041594</v>
      </c>
      <c r="AN1190">
        <v>0.99999998708350502</v>
      </c>
    </row>
    <row r="1191" spans="1:40" x14ac:dyDescent="0.25">
      <c r="A1191" t="str">
        <f>"20190312160622110"</f>
        <v>20190312160622110</v>
      </c>
      <c r="B1191" t="str">
        <f>"1552377982106103"</f>
        <v>1552377982106103</v>
      </c>
      <c r="C1191" t="s">
        <v>40</v>
      </c>
      <c r="D1191">
        <v>6.3526439999999997</v>
      </c>
      <c r="E1191">
        <v>0.58269559999999998</v>
      </c>
      <c r="F1191" t="s">
        <v>49</v>
      </c>
      <c r="G1191">
        <v>-161.86320000000001</v>
      </c>
      <c r="H1191">
        <v>4.6174970000000002</v>
      </c>
      <c r="I1191">
        <v>342.64389999999997</v>
      </c>
      <c r="J1191">
        <v>-206.43620000000001</v>
      </c>
      <c r="K1191">
        <v>1.104957</v>
      </c>
      <c r="L1191">
        <v>365.23950000000002</v>
      </c>
      <c r="M1191">
        <v>0.97454439999999998</v>
      </c>
      <c r="N1191">
        <v>0</v>
      </c>
      <c r="O1191">
        <v>-0.22371759999999999</v>
      </c>
      <c r="P1191">
        <v>0.96660480000000004</v>
      </c>
      <c r="Q1191">
        <v>3.9556639999999997E-2</v>
      </c>
      <c r="R1191">
        <v>-0.25320029999999999</v>
      </c>
      <c r="S1191">
        <v>2.734756</v>
      </c>
      <c r="T1191">
        <v>0.21476400000000001</v>
      </c>
      <c r="U1191">
        <v>-1.3838809999999999</v>
      </c>
      <c r="V1191">
        <v>3.117783E-2</v>
      </c>
      <c r="W1191">
        <v>5.3767799999999998E-2</v>
      </c>
      <c r="X1191">
        <v>0.99806660000000003</v>
      </c>
      <c r="Y1191">
        <v>0.24038609999999999</v>
      </c>
      <c r="Z1191">
        <v>-7.3377650000000004E-3</v>
      </c>
      <c r="AA1191">
        <v>0.9706496</v>
      </c>
      <c r="AB1191">
        <v>31</v>
      </c>
      <c r="AC1191">
        <v>44.573</v>
      </c>
      <c r="AD1191">
        <v>3.51254</v>
      </c>
      <c r="AE1191">
        <v>-22.595600000000001</v>
      </c>
      <c r="AF1191">
        <v>11.9906982972897</v>
      </c>
      <c r="AG1191">
        <v>3.51254</v>
      </c>
      <c r="AH1191">
        <v>48.260153513474201</v>
      </c>
      <c r="AI1191">
        <v>85.959575577051297</v>
      </c>
      <c r="AJ1191">
        <v>76.046853496321901</v>
      </c>
      <c r="AK1191">
        <v>49.851351035376503</v>
      </c>
      <c r="AL1191">
        <v>86.917845651469406</v>
      </c>
      <c r="AM1191">
        <v>88.210763335157097</v>
      </c>
      <c r="AN1191">
        <v>0.99999998571795401</v>
      </c>
    </row>
    <row r="1192" spans="1:40" x14ac:dyDescent="0.25">
      <c r="A1192" t="str">
        <f>"20190312160622121"</f>
        <v>20190312160622121</v>
      </c>
      <c r="B1192" t="str">
        <f>"1552377982115863"</f>
        <v>1552377982115863</v>
      </c>
      <c r="C1192" t="s">
        <v>40</v>
      </c>
      <c r="D1192">
        <v>6.3312819999999999</v>
      </c>
      <c r="E1192">
        <v>0.58263790000000004</v>
      </c>
      <c r="F1192" t="s">
        <v>49</v>
      </c>
      <c r="G1192">
        <v>-162.1695</v>
      </c>
      <c r="H1192">
        <v>4.5755549999999996</v>
      </c>
      <c r="I1192">
        <v>342.64389999999997</v>
      </c>
      <c r="J1192">
        <v>-206.28809999999999</v>
      </c>
      <c r="K1192">
        <v>1.1049020000000001</v>
      </c>
      <c r="L1192">
        <v>365.20249999999999</v>
      </c>
      <c r="M1192">
        <v>0.97385100000000002</v>
      </c>
      <c r="N1192">
        <v>0</v>
      </c>
      <c r="O1192">
        <v>-0.2267171</v>
      </c>
      <c r="P1192">
        <v>0.96574990000000005</v>
      </c>
      <c r="Q1192">
        <v>3.9535149999999998E-2</v>
      </c>
      <c r="R1192">
        <v>-0.2564457</v>
      </c>
      <c r="S1192">
        <v>2.7298580000000001</v>
      </c>
      <c r="T1192">
        <v>0.21402650000000001</v>
      </c>
      <c r="U1192">
        <v>-1.3934329999999999</v>
      </c>
      <c r="V1192">
        <v>3.146405E-2</v>
      </c>
      <c r="W1192">
        <v>5.3743499999999902E-2</v>
      </c>
      <c r="X1192">
        <v>0.99805889999999997</v>
      </c>
      <c r="Y1192">
        <v>0.2408033</v>
      </c>
      <c r="Z1192">
        <v>-7.5130129999999998E-3</v>
      </c>
      <c r="AA1192">
        <v>0.97054490000000004</v>
      </c>
      <c r="AB1192">
        <v>31</v>
      </c>
      <c r="AC1192">
        <v>44.118600000000001</v>
      </c>
      <c r="AD1192">
        <v>3.470653</v>
      </c>
      <c r="AE1192">
        <v>-22.558599999999998</v>
      </c>
      <c r="AF1192">
        <v>11.909128348282801</v>
      </c>
      <c r="AG1192">
        <v>3.470653</v>
      </c>
      <c r="AH1192">
        <v>47.849756766529197</v>
      </c>
      <c r="AI1192">
        <v>85.973871703062599</v>
      </c>
      <c r="AJ1192">
        <v>76.023852207033102</v>
      </c>
      <c r="AK1192">
        <v>49.431487868344597</v>
      </c>
      <c r="AL1192">
        <v>86.919239872696394</v>
      </c>
      <c r="AM1192">
        <v>88.194334613680795</v>
      </c>
      <c r="AN1192">
        <v>0.99999995905192995</v>
      </c>
    </row>
    <row r="1193" spans="1:40" x14ac:dyDescent="0.25">
      <c r="A1193" t="str">
        <f>"20190312160622133"</f>
        <v>20190312160622133</v>
      </c>
      <c r="B1193" t="str">
        <f>"1552377982126600"</f>
        <v>1552377982126600</v>
      </c>
      <c r="C1193" t="s">
        <v>40</v>
      </c>
      <c r="D1193">
        <v>6.2365430000000002</v>
      </c>
      <c r="E1193">
        <v>0.58263790000000004</v>
      </c>
      <c r="F1193" t="s">
        <v>49</v>
      </c>
      <c r="G1193">
        <v>-162.43860000000001</v>
      </c>
      <c r="H1193">
        <v>4.5406269999999997</v>
      </c>
      <c r="I1193">
        <v>342.64389999999997</v>
      </c>
      <c r="J1193">
        <v>-206.11670000000001</v>
      </c>
      <c r="K1193">
        <v>1.1048389999999999</v>
      </c>
      <c r="L1193">
        <v>365.15910000000002</v>
      </c>
      <c r="M1193">
        <v>0.97302999999999995</v>
      </c>
      <c r="N1193">
        <v>0</v>
      </c>
      <c r="O1193">
        <v>-0.23021549999999999</v>
      </c>
      <c r="P1193">
        <v>0.96478229999999998</v>
      </c>
      <c r="Q1193">
        <v>3.9367390000000002E-2</v>
      </c>
      <c r="R1193">
        <v>-0.26008829999999999</v>
      </c>
      <c r="S1193">
        <v>2.7253569999999998</v>
      </c>
      <c r="T1193">
        <v>0.21353939999999999</v>
      </c>
      <c r="U1193">
        <v>-1.402069</v>
      </c>
      <c r="V1193">
        <v>3.1648320000000001E-2</v>
      </c>
      <c r="W1193">
        <v>5.3573999999999997E-2</v>
      </c>
      <c r="X1193">
        <v>0.99806229999999996</v>
      </c>
      <c r="Y1193">
        <v>0.24040819999999999</v>
      </c>
      <c r="Z1193">
        <v>-7.760533E-3</v>
      </c>
      <c r="AA1193">
        <v>0.97064079999999997</v>
      </c>
      <c r="AB1193">
        <v>31</v>
      </c>
      <c r="AC1193">
        <v>43.678100000000001</v>
      </c>
      <c r="AD1193">
        <v>3.4357880000000001</v>
      </c>
      <c r="AE1193">
        <v>-22.5152</v>
      </c>
      <c r="AF1193">
        <v>11.796187297120399</v>
      </c>
      <c r="AG1193">
        <v>3.4357880000000001</v>
      </c>
      <c r="AH1193">
        <v>47.456541610717402</v>
      </c>
      <c r="AI1193">
        <v>85.980969870080202</v>
      </c>
      <c r="AJ1193">
        <v>76.040992756014901</v>
      </c>
      <c r="AK1193">
        <v>49.021199654633499</v>
      </c>
      <c r="AL1193">
        <v>86.928965866852707</v>
      </c>
      <c r="AM1193">
        <v>88.183772934047994</v>
      </c>
      <c r="AN1193">
        <v>1.00000007215805</v>
      </c>
    </row>
    <row r="1194" spans="1:40" x14ac:dyDescent="0.25">
      <c r="A1194" t="str">
        <f>"20190312160622144"</f>
        <v>20190312160622144</v>
      </c>
      <c r="B1194" t="str">
        <f>"1552377982136361"</f>
        <v>1552377982136361</v>
      </c>
      <c r="C1194" t="s">
        <v>40</v>
      </c>
      <c r="D1194">
        <v>6.5869679999999997</v>
      </c>
      <c r="E1194">
        <v>0.5825283</v>
      </c>
      <c r="F1194" t="s">
        <v>49</v>
      </c>
      <c r="G1194">
        <v>-162.62880000000001</v>
      </c>
      <c r="H1194">
        <v>4.5120060000000004</v>
      </c>
      <c r="I1194">
        <v>342.57310000000001</v>
      </c>
      <c r="J1194">
        <v>-205.976</v>
      </c>
      <c r="K1194">
        <v>1.1047830000000001</v>
      </c>
      <c r="L1194">
        <v>365.12279999999998</v>
      </c>
      <c r="M1194">
        <v>0.97232949999999996</v>
      </c>
      <c r="N1194">
        <v>0</v>
      </c>
      <c r="O1194">
        <v>-0.23315530000000001</v>
      </c>
      <c r="P1194">
        <v>0.9638101</v>
      </c>
      <c r="Q1194">
        <v>3.9480920000000003E-2</v>
      </c>
      <c r="R1194">
        <v>-0.26364989999999999</v>
      </c>
      <c r="S1194">
        <v>2.719986</v>
      </c>
      <c r="T1194">
        <v>0.21310390000000001</v>
      </c>
      <c r="U1194">
        <v>-1.4126590000000001</v>
      </c>
      <c r="V1194">
        <v>3.2328450000000002E-2</v>
      </c>
      <c r="W1194">
        <v>5.3679709999999999E-2</v>
      </c>
      <c r="X1194">
        <v>0.9980348</v>
      </c>
      <c r="Y1194">
        <v>0.2412396</v>
      </c>
      <c r="Z1194">
        <v>-7.9252509999999995E-3</v>
      </c>
      <c r="AA1194">
        <v>0.9704332</v>
      </c>
      <c r="AB1194">
        <v>31</v>
      </c>
      <c r="AC1194">
        <v>43.347200000000001</v>
      </c>
      <c r="AD1194">
        <v>3.4072229999999899</v>
      </c>
      <c r="AE1194">
        <v>-22.549699999999898</v>
      </c>
      <c r="AF1194">
        <v>11.7631747159423</v>
      </c>
      <c r="AG1194">
        <v>3.4072229999999899</v>
      </c>
      <c r="AH1194">
        <v>47.180995753517799</v>
      </c>
      <c r="AI1194">
        <v>85.991778399299605</v>
      </c>
      <c r="AJ1194">
        <v>76.000421570308703</v>
      </c>
      <c r="AK1194">
        <v>48.744515673693797</v>
      </c>
      <c r="AL1194">
        <v>86.922900337269397</v>
      </c>
      <c r="AM1194">
        <v>88.144717683824695</v>
      </c>
      <c r="AN1194">
        <v>1.00000005097806</v>
      </c>
    </row>
    <row r="1195" spans="1:40" x14ac:dyDescent="0.25">
      <c r="A1195" t="str">
        <f>"20190312160622154"</f>
        <v>20190312160622154</v>
      </c>
      <c r="B1195" t="str">
        <f>"1552377982146119"</f>
        <v>1552377982146119</v>
      </c>
      <c r="C1195" t="s">
        <v>40</v>
      </c>
      <c r="D1195">
        <v>6.3195860000000001</v>
      </c>
      <c r="E1195">
        <v>0.58274890000000001</v>
      </c>
      <c r="F1195" t="s">
        <v>49</v>
      </c>
      <c r="G1195">
        <v>-162.62870000000001</v>
      </c>
      <c r="H1195">
        <v>4.436852</v>
      </c>
      <c r="I1195">
        <v>342.42290000000003</v>
      </c>
      <c r="J1195">
        <v>-205.83</v>
      </c>
      <c r="K1195">
        <v>1.1047229999999999</v>
      </c>
      <c r="L1195">
        <v>365.08479999999997</v>
      </c>
      <c r="M1195">
        <v>0.97159209999999996</v>
      </c>
      <c r="N1195">
        <v>0</v>
      </c>
      <c r="O1195">
        <v>-0.23620949999999999</v>
      </c>
      <c r="P1195">
        <v>0.96282999999999996</v>
      </c>
      <c r="Q1195">
        <v>3.937533E-2</v>
      </c>
      <c r="R1195">
        <v>-0.26722309999999999</v>
      </c>
      <c r="S1195">
        <v>2.7151339999999999</v>
      </c>
      <c r="T1195">
        <v>0.2087107</v>
      </c>
      <c r="U1195">
        <v>-1.4218440000000001</v>
      </c>
      <c r="V1195">
        <v>3.2899770000000002E-2</v>
      </c>
      <c r="W1195">
        <v>5.3566860000000001E-2</v>
      </c>
      <c r="X1195">
        <v>0.99802210000000002</v>
      </c>
      <c r="Y1195">
        <v>0.2414866</v>
      </c>
      <c r="Z1195">
        <v>-7.9677429999999994E-3</v>
      </c>
      <c r="AA1195">
        <v>0.9703714</v>
      </c>
      <c r="AB1195">
        <v>31</v>
      </c>
      <c r="AC1195">
        <v>43.201300000000003</v>
      </c>
      <c r="AD1195">
        <v>3.3321290000000001</v>
      </c>
      <c r="AE1195">
        <v>-22.6618999999999</v>
      </c>
      <c r="AF1195">
        <v>11.759964871881101</v>
      </c>
      <c r="AG1195">
        <v>3.3321290000000001</v>
      </c>
      <c r="AH1195">
        <v>47.112265173344298</v>
      </c>
      <c r="AI1195">
        <v>86.074410221852901</v>
      </c>
      <c r="AJ1195">
        <v>75.984477576080593</v>
      </c>
      <c r="AK1195">
        <v>48.672018524240698</v>
      </c>
      <c r="AL1195">
        <v>86.929375195233405</v>
      </c>
      <c r="AM1195">
        <v>88.111929983150802</v>
      </c>
      <c r="AN1195">
        <v>0.99999995772235994</v>
      </c>
    </row>
    <row r="1196" spans="1:40" x14ac:dyDescent="0.25">
      <c r="A1196" t="str">
        <f>"20190312160622165"</f>
        <v>20190312160622165</v>
      </c>
      <c r="B1196" t="str">
        <f>"1552377982155880"</f>
        <v>1552377982155880</v>
      </c>
      <c r="C1196" t="s">
        <v>40</v>
      </c>
      <c r="D1196">
        <v>6.314368</v>
      </c>
      <c r="E1196">
        <v>0.582758199999999</v>
      </c>
      <c r="F1196" t="s">
        <v>49</v>
      </c>
      <c r="G1196">
        <v>-162.62870000000001</v>
      </c>
      <c r="H1196">
        <v>4.4744619999999999</v>
      </c>
      <c r="I1196">
        <v>342.22829999999999</v>
      </c>
      <c r="J1196">
        <v>-205.684</v>
      </c>
      <c r="K1196">
        <v>1.1046590000000001</v>
      </c>
      <c r="L1196">
        <v>365.04599999999999</v>
      </c>
      <c r="M1196">
        <v>0.97082590000000002</v>
      </c>
      <c r="N1196">
        <v>0</v>
      </c>
      <c r="O1196">
        <v>-0.2393383</v>
      </c>
      <c r="P1196">
        <v>0.96178560000000002</v>
      </c>
      <c r="Q1196">
        <v>3.9783239999999997E-2</v>
      </c>
      <c r="R1196">
        <v>-0.27089809999999998</v>
      </c>
      <c r="S1196">
        <v>2.7093050000000001</v>
      </c>
      <c r="T1196">
        <v>0.2113283</v>
      </c>
      <c r="U1196">
        <v>-1.433411</v>
      </c>
      <c r="V1196">
        <v>3.3513689999999999E-2</v>
      </c>
      <c r="W1196">
        <v>5.396683E-2</v>
      </c>
      <c r="X1196">
        <v>0.99798019999999998</v>
      </c>
      <c r="Y1196">
        <v>0.24246429999999999</v>
      </c>
      <c r="Z1196">
        <v>-8.254562E-3</v>
      </c>
      <c r="AA1196">
        <v>0.97012520000000002</v>
      </c>
      <c r="AB1196">
        <v>31</v>
      </c>
      <c r="AC1196">
        <v>43.055300000000003</v>
      </c>
      <c r="AD1196">
        <v>3.3698030000000001</v>
      </c>
      <c r="AE1196">
        <v>-22.817699999999999</v>
      </c>
      <c r="AF1196">
        <v>11.7921055528436</v>
      </c>
      <c r="AG1196">
        <v>3.3698030000000001</v>
      </c>
      <c r="AH1196">
        <v>47.040443072560898</v>
      </c>
      <c r="AI1196">
        <v>86.025118650001801</v>
      </c>
      <c r="AJ1196">
        <v>75.927084757574605</v>
      </c>
      <c r="AK1196">
        <v>48.612885226975202</v>
      </c>
      <c r="AL1196">
        <v>86.906425637410294</v>
      </c>
      <c r="AM1196">
        <v>88.076643535986506</v>
      </c>
      <c r="AN1196">
        <v>1.00000003287485</v>
      </c>
    </row>
    <row r="1197" spans="1:40" x14ac:dyDescent="0.25">
      <c r="A1197" t="str">
        <f>"20190312160622175"</f>
        <v>20190312160622175</v>
      </c>
      <c r="B1197" t="str">
        <f>"1552377982166616"</f>
        <v>1552377982166616</v>
      </c>
      <c r="C1197" t="s">
        <v>40</v>
      </c>
      <c r="D1197">
        <v>6.3318649999999996</v>
      </c>
      <c r="E1197">
        <v>0.5828139</v>
      </c>
      <c r="F1197" t="s">
        <v>49</v>
      </c>
      <c r="G1197">
        <v>-162.8826</v>
      </c>
      <c r="H1197">
        <v>4.4623400000000002</v>
      </c>
      <c r="I1197">
        <v>342.18990000000002</v>
      </c>
      <c r="J1197">
        <v>-205.55070000000001</v>
      </c>
      <c r="K1197">
        <v>1.104603</v>
      </c>
      <c r="L1197">
        <v>365.01029999999997</v>
      </c>
      <c r="M1197">
        <v>0.97011510000000001</v>
      </c>
      <c r="N1197">
        <v>0</v>
      </c>
      <c r="O1197">
        <v>-0.2422038</v>
      </c>
      <c r="P1197">
        <v>0.96082599999999996</v>
      </c>
      <c r="Q1197">
        <v>4.0055250000000001E-2</v>
      </c>
      <c r="R1197">
        <v>-0.27424320000000002</v>
      </c>
      <c r="S1197">
        <v>2.7037659999999999</v>
      </c>
      <c r="T1197">
        <v>0.2121054</v>
      </c>
      <c r="U1197">
        <v>-1.4438169999999999</v>
      </c>
      <c r="V1197">
        <v>3.4053729999999997E-2</v>
      </c>
      <c r="W1197">
        <v>5.4232030000000001E-2</v>
      </c>
      <c r="X1197">
        <v>0.99794749999999999</v>
      </c>
      <c r="Y1197">
        <v>0.2433352</v>
      </c>
      <c r="Z1197">
        <v>-8.4583880000000007E-3</v>
      </c>
      <c r="AA1197">
        <v>0.96990540000000003</v>
      </c>
      <c r="AB1197">
        <v>31</v>
      </c>
      <c r="AC1197">
        <v>42.668100000000003</v>
      </c>
      <c r="AD1197">
        <v>3.3577370000000002</v>
      </c>
      <c r="AE1197">
        <v>-22.8203999999999</v>
      </c>
      <c r="AF1197">
        <v>11.748727545989601</v>
      </c>
      <c r="AG1197">
        <v>3.3577370000000002</v>
      </c>
      <c r="AH1197">
        <v>46.700298188728198</v>
      </c>
      <c r="AI1197">
        <v>86.011393182061099</v>
      </c>
      <c r="AJ1197">
        <v>75.878740071191999</v>
      </c>
      <c r="AK1197">
        <v>48.272402546664203</v>
      </c>
      <c r="AL1197">
        <v>86.891208382728294</v>
      </c>
      <c r="AM1197">
        <v>88.045610402096798</v>
      </c>
      <c r="AN1197">
        <v>0.99999999118054095</v>
      </c>
    </row>
    <row r="1198" spans="1:40" x14ac:dyDescent="0.25">
      <c r="A1198" t="str">
        <f>"20190312160622186"</f>
        <v>20190312160622186</v>
      </c>
      <c r="B1198" t="str">
        <f>"1552377982176375"</f>
        <v>1552377982176375</v>
      </c>
      <c r="C1198" t="s">
        <v>40</v>
      </c>
      <c r="D1198">
        <v>5.0355249999999998</v>
      </c>
      <c r="E1198">
        <v>0.58304560000000005</v>
      </c>
      <c r="F1198" t="s">
        <v>49</v>
      </c>
      <c r="G1198">
        <v>-163.18870000000001</v>
      </c>
      <c r="H1198">
        <v>4.4378270000000004</v>
      </c>
      <c r="I1198">
        <v>342.18990000000002</v>
      </c>
      <c r="J1198">
        <v>-205.4102</v>
      </c>
      <c r="K1198">
        <v>1.1045469999999999</v>
      </c>
      <c r="L1198">
        <v>364.97210000000001</v>
      </c>
      <c r="M1198">
        <v>0.96934180000000003</v>
      </c>
      <c r="N1198">
        <v>0</v>
      </c>
      <c r="O1198">
        <v>-0.24527940000000001</v>
      </c>
      <c r="P1198">
        <v>0.95975889999999997</v>
      </c>
      <c r="Q1198">
        <v>4.0285340000000003E-2</v>
      </c>
      <c r="R1198">
        <v>-0.27792080000000002</v>
      </c>
      <c r="S1198">
        <v>2.698547</v>
      </c>
      <c r="T1198">
        <v>0.21233379999999999</v>
      </c>
      <c r="U1198">
        <v>-1.453705</v>
      </c>
      <c r="V1198">
        <v>3.472418E-2</v>
      </c>
      <c r="W1198">
        <v>5.4453910000000001E-2</v>
      </c>
      <c r="X1198">
        <v>0.99791229999999997</v>
      </c>
      <c r="Y1198">
        <v>0.2438024</v>
      </c>
      <c r="Z1198">
        <v>-8.6702749999999999E-3</v>
      </c>
      <c r="AA1198">
        <v>0.96978620000000004</v>
      </c>
      <c r="AB1198">
        <v>31</v>
      </c>
      <c r="AC1198">
        <v>42.221499999999899</v>
      </c>
      <c r="AD1198">
        <v>3.3332799999999998</v>
      </c>
      <c r="AE1198">
        <v>-22.7821999999999</v>
      </c>
      <c r="AF1198">
        <v>11.6725862565801</v>
      </c>
      <c r="AG1198">
        <v>3.3332799999999998</v>
      </c>
      <c r="AH1198">
        <v>46.296574291772799</v>
      </c>
      <c r="AI1198">
        <v>86.006451960131898</v>
      </c>
      <c r="AJ1198">
        <v>75.849149709647804</v>
      </c>
      <c r="AK1198">
        <v>47.861600648425302</v>
      </c>
      <c r="AL1198">
        <v>86.878476739921396</v>
      </c>
      <c r="AM1198">
        <v>88.007092858439705</v>
      </c>
      <c r="AN1198">
        <v>0.99999997774112503</v>
      </c>
    </row>
    <row r="1199" spans="1:40" x14ac:dyDescent="0.25">
      <c r="A1199" t="str">
        <f>"20190312160622196"</f>
        <v>20190312160622196</v>
      </c>
      <c r="B1199" t="str">
        <f>"1552377982186136"</f>
        <v>1552377982186136</v>
      </c>
      <c r="C1199" t="s">
        <v>40</v>
      </c>
      <c r="D1199">
        <v>6.6338149999999896</v>
      </c>
      <c r="E1199">
        <v>0.58317240000000004</v>
      </c>
      <c r="F1199" t="s">
        <v>49</v>
      </c>
      <c r="G1199">
        <v>-163.5676</v>
      </c>
      <c r="H1199">
        <v>4.456804</v>
      </c>
      <c r="I1199">
        <v>342.18990000000002</v>
      </c>
      <c r="J1199">
        <v>-205.2775</v>
      </c>
      <c r="K1199">
        <v>1.1044909999999999</v>
      </c>
      <c r="L1199">
        <v>364.9357</v>
      </c>
      <c r="M1199">
        <v>0.96859779999999995</v>
      </c>
      <c r="N1199">
        <v>0</v>
      </c>
      <c r="O1199">
        <v>-0.248201</v>
      </c>
      <c r="P1199">
        <v>0.95878649999999999</v>
      </c>
      <c r="Q1199">
        <v>4.046541E-2</v>
      </c>
      <c r="R1199">
        <v>-0.28123219999999999</v>
      </c>
      <c r="S1199">
        <v>2.6922450000000002</v>
      </c>
      <c r="T1199">
        <v>0.21569189999999999</v>
      </c>
      <c r="U1199">
        <v>-1.465851</v>
      </c>
      <c r="V1199">
        <v>3.5171830000000001E-2</v>
      </c>
      <c r="W1199">
        <v>5.4628169999999997E-2</v>
      </c>
      <c r="X1199">
        <v>0.99788710000000003</v>
      </c>
      <c r="Y1199">
        <v>0.2452096</v>
      </c>
      <c r="Z1199">
        <v>-8.9679779999999997E-3</v>
      </c>
      <c r="AA1199">
        <v>0.96942859999999997</v>
      </c>
      <c r="AB1199">
        <v>31</v>
      </c>
      <c r="AC1199">
        <v>41.709899999999998</v>
      </c>
      <c r="AD1199">
        <v>3.3523129999999899</v>
      </c>
      <c r="AE1199">
        <v>-22.7457999999999</v>
      </c>
      <c r="AF1199">
        <v>11.6224779761439</v>
      </c>
      <c r="AG1199">
        <v>3.3523129999999899</v>
      </c>
      <c r="AH1199">
        <v>45.822439159117202</v>
      </c>
      <c r="AI1199">
        <v>85.943760298772204</v>
      </c>
      <c r="AJ1199">
        <v>75.767549137305096</v>
      </c>
      <c r="AK1199">
        <v>47.392150481349901</v>
      </c>
      <c r="AL1199">
        <v>86.868477498969597</v>
      </c>
      <c r="AM1199">
        <v>87.981371295652295</v>
      </c>
      <c r="AN1199">
        <v>0.99999997946475305</v>
      </c>
    </row>
    <row r="1200" spans="1:40" x14ac:dyDescent="0.25">
      <c r="A1200" t="str">
        <f>"20190312160622206"</f>
        <v>20190312160622206</v>
      </c>
      <c r="B1200" t="str">
        <f>"1552377982195895"</f>
        <v>1552377982195895</v>
      </c>
      <c r="C1200" t="s">
        <v>40</v>
      </c>
      <c r="D1200">
        <v>6.2585040000000003</v>
      </c>
      <c r="E1200">
        <v>0.58307549999999997</v>
      </c>
      <c r="F1200" t="s">
        <v>49</v>
      </c>
      <c r="G1200">
        <v>-163.85890000000001</v>
      </c>
      <c r="H1200">
        <v>4.4744400000000004</v>
      </c>
      <c r="I1200">
        <v>342.18990000000002</v>
      </c>
      <c r="J1200">
        <v>-205.13149999999999</v>
      </c>
      <c r="K1200">
        <v>1.10443</v>
      </c>
      <c r="L1200">
        <v>364.89479999999998</v>
      </c>
      <c r="M1200">
        <v>0.96775350000000004</v>
      </c>
      <c r="N1200">
        <v>0</v>
      </c>
      <c r="O1200">
        <v>-0.25147190000000003</v>
      </c>
      <c r="P1200">
        <v>0.95774090000000001</v>
      </c>
      <c r="Q1200">
        <v>4.0511760000000001E-2</v>
      </c>
      <c r="R1200">
        <v>-0.28476560000000001</v>
      </c>
      <c r="S1200">
        <v>2.6869049999999999</v>
      </c>
      <c r="T1200">
        <v>0.21861530000000001</v>
      </c>
      <c r="U1200">
        <v>-1.4755549999999999</v>
      </c>
      <c r="V1200">
        <v>3.5489659999999999E-2</v>
      </c>
      <c r="W1200">
        <v>5.4671499999999998E-2</v>
      </c>
      <c r="X1200">
        <v>0.99787349999999997</v>
      </c>
      <c r="Y1200">
        <v>0.24544450000000001</v>
      </c>
      <c r="Z1200">
        <v>-9.3212650000000005E-3</v>
      </c>
      <c r="AA1200">
        <v>0.96936580000000006</v>
      </c>
      <c r="AB1200">
        <v>31</v>
      </c>
      <c r="AC1200">
        <v>41.272599999999898</v>
      </c>
      <c r="AD1200">
        <v>3.3700100000000002</v>
      </c>
      <c r="AE1200">
        <v>-22.704899999999899</v>
      </c>
      <c r="AF1200">
        <v>11.53605035859</v>
      </c>
      <c r="AG1200">
        <v>3.3700100000000002</v>
      </c>
      <c r="AH1200">
        <v>45.423769120962199</v>
      </c>
      <c r="AI1200">
        <v>85.8870700660041</v>
      </c>
      <c r="AJ1200">
        <v>75.7501390864916</v>
      </c>
      <c r="AK1200">
        <v>46.986766503245398</v>
      </c>
      <c r="AL1200">
        <v>86.865991238645904</v>
      </c>
      <c r="AM1200">
        <v>87.963117530576497</v>
      </c>
      <c r="AN1200">
        <v>1.0000000054406999</v>
      </c>
    </row>
    <row r="1201" spans="1:40" x14ac:dyDescent="0.25">
      <c r="A1201" t="str">
        <f>"20190312160622217"</f>
        <v>20190312160622217</v>
      </c>
      <c r="B1201" t="str">
        <f>"1552377982206632"</f>
        <v>1552377982206632</v>
      </c>
      <c r="C1201" t="s">
        <v>40</v>
      </c>
      <c r="D1201">
        <v>4.7910890000000004</v>
      </c>
      <c r="E1201">
        <v>0.58312819999999899</v>
      </c>
      <c r="F1201" t="s">
        <v>49</v>
      </c>
      <c r="G1201">
        <v>-164.13329999999999</v>
      </c>
      <c r="H1201">
        <v>4.3791769999999897</v>
      </c>
      <c r="I1201">
        <v>342.18990000000002</v>
      </c>
      <c r="J1201">
        <v>-204.9949</v>
      </c>
      <c r="K1201">
        <v>1.1043700000000001</v>
      </c>
      <c r="L1201">
        <v>364.85629999999998</v>
      </c>
      <c r="M1201">
        <v>0.96694669999999905</v>
      </c>
      <c r="N1201">
        <v>0</v>
      </c>
      <c r="O1201">
        <v>-0.25455670000000002</v>
      </c>
      <c r="P1201">
        <v>0.95670860000000002</v>
      </c>
      <c r="Q1201">
        <v>4.0771839999999997E-2</v>
      </c>
      <c r="R1201">
        <v>-0.2881782</v>
      </c>
      <c r="S1201">
        <v>2.6817169999999999</v>
      </c>
      <c r="T1201">
        <v>0.21420339999999999</v>
      </c>
      <c r="U1201">
        <v>-1.4851379999999901</v>
      </c>
      <c r="V1201">
        <v>3.5879429999999997E-2</v>
      </c>
      <c r="W1201">
        <v>5.4926700000000002E-2</v>
      </c>
      <c r="X1201">
        <v>0.99784550000000005</v>
      </c>
      <c r="Y1201">
        <v>0.24580479999999999</v>
      </c>
      <c r="Z1201">
        <v>-9.3429389999999998E-3</v>
      </c>
      <c r="AA1201">
        <v>0.96927430000000003</v>
      </c>
      <c r="AB1201">
        <v>31</v>
      </c>
      <c r="AC1201">
        <v>40.861600000000003</v>
      </c>
      <c r="AD1201">
        <v>3.2748069999999898</v>
      </c>
      <c r="AE1201">
        <v>-22.6663999999999</v>
      </c>
      <c r="AF1201">
        <v>11.4605538714435</v>
      </c>
      <c r="AG1201">
        <v>3.2748069999999898</v>
      </c>
      <c r="AH1201">
        <v>45.064398612884403</v>
      </c>
      <c r="AI1201">
        <v>85.971443120236003</v>
      </c>
      <c r="AJ1201">
        <v>75.7313039451534</v>
      </c>
      <c r="AK1201">
        <v>46.614039497435101</v>
      </c>
      <c r="AL1201">
        <v>86.851347205073296</v>
      </c>
      <c r="AM1201">
        <v>87.940708614152996</v>
      </c>
      <c r="AN1201">
        <v>0.99999995887013104</v>
      </c>
    </row>
    <row r="1202" spans="1:40" x14ac:dyDescent="0.25">
      <c r="A1202" t="str">
        <f>"20190312160622229"</f>
        <v>20190312160622229</v>
      </c>
      <c r="B1202" t="str">
        <f>"1552377982216391"</f>
        <v>1552377982216391</v>
      </c>
      <c r="C1202" t="s">
        <v>40</v>
      </c>
      <c r="D1202">
        <v>6.22898</v>
      </c>
      <c r="E1202">
        <v>0.58292529999999998</v>
      </c>
      <c r="F1202" t="s">
        <v>49</v>
      </c>
      <c r="G1202">
        <v>-164.41130000000001</v>
      </c>
      <c r="H1202">
        <v>4.3990030000000004</v>
      </c>
      <c r="I1202">
        <v>342.18990000000002</v>
      </c>
      <c r="J1202">
        <v>-204.84299999999999</v>
      </c>
      <c r="K1202">
        <v>1.1043069999999999</v>
      </c>
      <c r="L1202">
        <v>364.81270000000001</v>
      </c>
      <c r="M1202">
        <v>0.96602319999999997</v>
      </c>
      <c r="N1202">
        <v>0</v>
      </c>
      <c r="O1202">
        <v>-0.2580385</v>
      </c>
      <c r="P1202">
        <v>0.9556038</v>
      </c>
      <c r="Q1202">
        <v>4.0452910000000002E-2</v>
      </c>
      <c r="R1202">
        <v>-0.2918655</v>
      </c>
      <c r="S1202">
        <v>2.6762700000000001</v>
      </c>
      <c r="T1202">
        <v>0.21726390000000001</v>
      </c>
      <c r="U1202">
        <v>-1.49472</v>
      </c>
      <c r="V1202">
        <v>3.6133430000000001E-2</v>
      </c>
      <c r="W1202">
        <v>5.4605319999999999E-2</v>
      </c>
      <c r="X1202">
        <v>0.99785400000000002</v>
      </c>
      <c r="Y1202">
        <v>0.24580640000000001</v>
      </c>
      <c r="Z1202">
        <v>-9.7309619999999993E-3</v>
      </c>
      <c r="AA1202">
        <v>0.96927010000000002</v>
      </c>
      <c r="AB1202">
        <v>31</v>
      </c>
      <c r="AC1202">
        <v>40.4316999999999</v>
      </c>
      <c r="AD1202">
        <v>3.2946960000000001</v>
      </c>
      <c r="AE1202">
        <v>-22.622799999999899</v>
      </c>
      <c r="AF1202">
        <v>11.3649709707057</v>
      </c>
      <c r="AG1202">
        <v>3.2946960000000001</v>
      </c>
      <c r="AH1202">
        <v>44.674426865537903</v>
      </c>
      <c r="AI1202">
        <v>85.911876434405301</v>
      </c>
      <c r="AJ1202">
        <v>75.726976138071294</v>
      </c>
      <c r="AK1202">
        <v>46.214954318506997</v>
      </c>
      <c r="AL1202">
        <v>86.869788683606899</v>
      </c>
      <c r="AM1202">
        <v>87.926160679466406</v>
      </c>
      <c r="AN1202">
        <v>0.99999998552593306</v>
      </c>
    </row>
    <row r="1203" spans="1:40" x14ac:dyDescent="0.25">
      <c r="A1203" t="str">
        <f>"20190312160622240"</f>
        <v>20190312160622240</v>
      </c>
      <c r="B1203" t="str">
        <f>"1552377982235911"</f>
        <v>1552377982235911</v>
      </c>
      <c r="C1203" t="s">
        <v>40</v>
      </c>
      <c r="D1203">
        <v>9.3205259999999992</v>
      </c>
      <c r="E1203">
        <v>0.58335669999999995</v>
      </c>
      <c r="F1203" t="s">
        <v>49</v>
      </c>
      <c r="G1203">
        <v>-164.65610000000001</v>
      </c>
      <c r="H1203">
        <v>4.401516</v>
      </c>
      <c r="I1203">
        <v>342.18990000000002</v>
      </c>
      <c r="J1203">
        <v>-204.69319999999999</v>
      </c>
      <c r="K1203">
        <v>1.104247</v>
      </c>
      <c r="L1203">
        <v>364.76909999999998</v>
      </c>
      <c r="M1203">
        <v>0.96508799999999995</v>
      </c>
      <c r="N1203">
        <v>0</v>
      </c>
      <c r="O1203">
        <v>-0.26151489999999999</v>
      </c>
      <c r="P1203">
        <v>0.95446189999999997</v>
      </c>
      <c r="Q1203">
        <v>4.0320969999999998E-2</v>
      </c>
      <c r="R1203">
        <v>-0.29559639999999998</v>
      </c>
      <c r="S1203">
        <v>2.6708829999999999</v>
      </c>
      <c r="T1203">
        <v>0.2191379</v>
      </c>
      <c r="U1203">
        <v>-1.5035400000000001</v>
      </c>
      <c r="V1203">
        <v>3.644476E-2</v>
      </c>
      <c r="W1203">
        <v>5.4470089999999999E-2</v>
      </c>
      <c r="X1203">
        <v>0.99785009999999996</v>
      </c>
      <c r="Y1203">
        <v>0.24559110000000001</v>
      </c>
      <c r="Z1203">
        <v>-1.0080209999999999E-2</v>
      </c>
      <c r="AA1203">
        <v>0.96932110000000005</v>
      </c>
      <c r="AB1203">
        <v>31</v>
      </c>
      <c r="AC1203">
        <v>40.037099999999903</v>
      </c>
      <c r="AD1203">
        <v>3.297269</v>
      </c>
      <c r="AE1203">
        <v>-22.579199999999901</v>
      </c>
      <c r="AF1203">
        <v>11.263872964884801</v>
      </c>
      <c r="AG1203">
        <v>3.297269</v>
      </c>
      <c r="AH1203">
        <v>44.320847690354803</v>
      </c>
      <c r="AI1203">
        <v>85.875920623213304</v>
      </c>
      <c r="AJ1203">
        <v>75.740513847442799</v>
      </c>
      <c r="AK1203">
        <v>45.848493508719002</v>
      </c>
      <c r="AL1203">
        <v>86.877548437883604</v>
      </c>
      <c r="AM1203">
        <v>87.908299865565795</v>
      </c>
      <c r="AN1203">
        <v>1.0000000166530301</v>
      </c>
    </row>
    <row r="1204" spans="1:40" x14ac:dyDescent="0.25">
      <c r="A1204" t="str">
        <f>"20190312160622252"</f>
        <v>20190312160622252</v>
      </c>
      <c r="B1204" t="str">
        <f>"1552377982246648"</f>
        <v>1552377982246648</v>
      </c>
      <c r="C1204" t="s">
        <v>40</v>
      </c>
      <c r="D1204">
        <v>6.2442830000000002</v>
      </c>
      <c r="E1204">
        <v>0.61657830000000002</v>
      </c>
      <c r="F1204" t="s">
        <v>49</v>
      </c>
      <c r="G1204">
        <v>-165.04570000000001</v>
      </c>
      <c r="H1204">
        <v>4.3797699999999997</v>
      </c>
      <c r="I1204">
        <v>342.18990000000002</v>
      </c>
      <c r="J1204">
        <v>-204.53</v>
      </c>
      <c r="K1204">
        <v>1.104176</v>
      </c>
      <c r="L1204">
        <v>364.721</v>
      </c>
      <c r="M1204">
        <v>0.9640417</v>
      </c>
      <c r="N1204">
        <v>0</v>
      </c>
      <c r="O1204">
        <v>-0.265345099999999</v>
      </c>
      <c r="P1204">
        <v>0.95305150000000005</v>
      </c>
      <c r="Q1204">
        <v>4.0069319999999999E-2</v>
      </c>
      <c r="R1204">
        <v>-0.30014600000000002</v>
      </c>
      <c r="S1204">
        <v>2.6639710000000001</v>
      </c>
      <c r="T1204">
        <v>0.22008710000000001</v>
      </c>
      <c r="U1204">
        <v>-1.51712</v>
      </c>
      <c r="V1204">
        <v>3.7245830000000001E-2</v>
      </c>
      <c r="W1204">
        <v>5.4207749999999999E-2</v>
      </c>
      <c r="X1204">
        <v>0.99783480000000002</v>
      </c>
      <c r="Y1204">
        <v>0.24656259999999999</v>
      </c>
      <c r="Z1204">
        <v>-1.0370310000000001E-2</v>
      </c>
      <c r="AA1204">
        <v>0.96907140000000003</v>
      </c>
      <c r="AB1204">
        <v>31</v>
      </c>
      <c r="AC1204">
        <v>39.484299999999898</v>
      </c>
      <c r="AD1204">
        <v>3.2755939999999999</v>
      </c>
      <c r="AE1204">
        <v>-22.531099999999899</v>
      </c>
      <c r="AF1204">
        <v>11.1870864018008</v>
      </c>
      <c r="AG1204">
        <v>3.2755939999999999</v>
      </c>
      <c r="AH1204">
        <v>43.820274347805103</v>
      </c>
      <c r="AI1204">
        <v>85.857434741049403</v>
      </c>
      <c r="AJ1204">
        <v>75.678591920590193</v>
      </c>
      <c r="AK1204">
        <v>45.344204283801297</v>
      </c>
      <c r="AL1204">
        <v>86.892601632321202</v>
      </c>
      <c r="AM1204">
        <v>87.862332931138198</v>
      </c>
      <c r="AN1204">
        <v>1.0000000100517401</v>
      </c>
    </row>
    <row r="1205" spans="1:40" x14ac:dyDescent="0.25">
      <c r="A1205" t="str">
        <f>"20190312160622266"</f>
        <v>20190312160622266</v>
      </c>
      <c r="B1205" t="str">
        <f>"1552377982256408"</f>
        <v>1552377982256408</v>
      </c>
      <c r="C1205" t="s">
        <v>40</v>
      </c>
      <c r="D1205">
        <v>6.3343970000000001</v>
      </c>
      <c r="E1205">
        <v>0.61657830000000002</v>
      </c>
      <c r="F1205" t="s">
        <v>49</v>
      </c>
      <c r="G1205">
        <v>-168.982</v>
      </c>
      <c r="H1205">
        <v>-2.2200500000000001E-2</v>
      </c>
      <c r="I1205">
        <v>339.983</v>
      </c>
      <c r="J1205">
        <v>-204.35659999999999</v>
      </c>
      <c r="K1205">
        <v>1.1040989999999999</v>
      </c>
      <c r="L1205">
        <v>364.66890000000001</v>
      </c>
      <c r="M1205">
        <v>0.96288750000000001</v>
      </c>
      <c r="N1205">
        <v>0</v>
      </c>
      <c r="O1205">
        <v>-0.26950279999999999</v>
      </c>
      <c r="P1205">
        <v>0.95169590000000004</v>
      </c>
      <c r="Q1205">
        <v>3.9997869999999998E-2</v>
      </c>
      <c r="R1205">
        <v>-0.30442649999999999</v>
      </c>
      <c r="S1205">
        <v>2.5847470000000001</v>
      </c>
      <c r="T1205">
        <v>-8.1900000000000001E-2</v>
      </c>
      <c r="U1205">
        <v>-1.79873699999999</v>
      </c>
      <c r="V1205">
        <v>3.7433679999999997E-2</v>
      </c>
      <c r="W1205">
        <v>5.4135379999999997E-2</v>
      </c>
      <c r="X1205">
        <v>0.99783169999999999</v>
      </c>
      <c r="Y1205">
        <v>0.32880949999999998</v>
      </c>
      <c r="Z1205">
        <v>2.7741549999999999E-3</v>
      </c>
      <c r="AA1205">
        <v>0.94439220000000001</v>
      </c>
      <c r="AB1205">
        <v>31</v>
      </c>
      <c r="AC1205">
        <v>35.374599999999901</v>
      </c>
      <c r="AD1205">
        <v>-1.1262995</v>
      </c>
      <c r="AE1205">
        <v>-24.6859</v>
      </c>
      <c r="AF1205">
        <v>14.2280280488777</v>
      </c>
      <c r="AG1205">
        <v>-1.1262995</v>
      </c>
      <c r="AH1205">
        <v>40.691334369729198</v>
      </c>
      <c r="AI1205">
        <v>91.496680116500897</v>
      </c>
      <c r="AJ1205">
        <v>70.727440636994999</v>
      </c>
      <c r="AK1205">
        <v>43.121804525233699</v>
      </c>
      <c r="AL1205">
        <v>86.896754227178207</v>
      </c>
      <c r="AM1205">
        <v>87.851554979156603</v>
      </c>
      <c r="AN1205">
        <v>1.0000000106454801</v>
      </c>
    </row>
    <row r="1206" spans="1:40" x14ac:dyDescent="0.25">
      <c r="A1206" t="str">
        <f>"20190312160622278"</f>
        <v>20190312160622278</v>
      </c>
      <c r="B1206" t="str">
        <f>"1552377982275927"</f>
        <v>1552377982275927</v>
      </c>
      <c r="C1206" t="s">
        <v>40</v>
      </c>
      <c r="D1206">
        <v>6.2505550000000003</v>
      </c>
      <c r="E1206">
        <v>0.66877129999999996</v>
      </c>
      <c r="F1206" t="s">
        <v>49</v>
      </c>
      <c r="G1206">
        <v>-168.40010000000001</v>
      </c>
      <c r="H1206">
        <v>-4.5679240000000003E-2</v>
      </c>
      <c r="I1206">
        <v>339.41160000000002</v>
      </c>
      <c r="J1206">
        <v>-204.18950000000001</v>
      </c>
      <c r="K1206">
        <v>1.104017</v>
      </c>
      <c r="L1206">
        <v>364.61799999999999</v>
      </c>
      <c r="M1206">
        <v>0.96174510000000002</v>
      </c>
      <c r="N1206">
        <v>0</v>
      </c>
      <c r="O1206">
        <v>-0.27355069999999998</v>
      </c>
      <c r="P1206">
        <v>0.95021239999999996</v>
      </c>
      <c r="Q1206">
        <v>3.9925960000000003E-2</v>
      </c>
      <c r="R1206">
        <v>-0.3090349</v>
      </c>
      <c r="S1206">
        <v>2.5767359999999999</v>
      </c>
      <c r="T1206">
        <v>-8.2395549999999998E-2</v>
      </c>
      <c r="U1206">
        <v>-1.809998</v>
      </c>
      <c r="V1206">
        <v>3.808077E-2</v>
      </c>
      <c r="W1206">
        <v>5.405538E-2</v>
      </c>
      <c r="X1206">
        <v>0.99781160000000002</v>
      </c>
      <c r="Y1206">
        <v>0.32898250000000001</v>
      </c>
      <c r="Z1206">
        <v>2.8996299999999998E-3</v>
      </c>
      <c r="AA1206">
        <v>0.94433160000000005</v>
      </c>
      <c r="AB1206">
        <v>31</v>
      </c>
      <c r="AC1206">
        <v>35.789400000000001</v>
      </c>
      <c r="AD1206">
        <v>-1.1496962399999999</v>
      </c>
      <c r="AE1206">
        <v>-25.206399999999999</v>
      </c>
      <c r="AF1206">
        <v>14.4435170911222</v>
      </c>
      <c r="AG1206">
        <v>-1.1496962399999999</v>
      </c>
      <c r="AH1206">
        <v>41.291496669940202</v>
      </c>
      <c r="AI1206">
        <v>91.505496916076297</v>
      </c>
      <c r="AJ1206">
        <v>70.7204701756242</v>
      </c>
      <c r="AK1206">
        <v>43.7598524294757</v>
      </c>
      <c r="AL1206">
        <v>86.901344761216095</v>
      </c>
      <c r="AM1206">
        <v>87.814408030181497</v>
      </c>
      <c r="AN1206">
        <v>1.0000000591226399</v>
      </c>
    </row>
    <row r="1207" spans="1:40" x14ac:dyDescent="0.25">
      <c r="A1207" t="str">
        <f>"20190312160622290"</f>
        <v>20190312160622290</v>
      </c>
      <c r="B1207" t="str">
        <f>"1552377982275927"</f>
        <v>1552377982275927</v>
      </c>
      <c r="C1207" t="s">
        <v>40</v>
      </c>
      <c r="D1207">
        <v>6.2505550000000003</v>
      </c>
      <c r="E1207">
        <v>0.66877129999999996</v>
      </c>
      <c r="F1207" t="s">
        <v>48</v>
      </c>
      <c r="G1207">
        <v>-201.17859999999999</v>
      </c>
      <c r="H1207" s="1">
        <v>-2.7539290000000002E-6</v>
      </c>
      <c r="I1207">
        <v>361.84989999999999</v>
      </c>
      <c r="J1207">
        <v>-204.02250000000001</v>
      </c>
      <c r="K1207">
        <v>1.1039330000000001</v>
      </c>
      <c r="L1207">
        <v>364.56619999999998</v>
      </c>
      <c r="M1207">
        <v>0.96056589999999997</v>
      </c>
      <c r="N1207">
        <v>0</v>
      </c>
      <c r="O1207">
        <v>-0.2776632</v>
      </c>
      <c r="P1207">
        <v>0.94874999999999998</v>
      </c>
      <c r="Q1207">
        <v>4.0232730000000001E-2</v>
      </c>
      <c r="R1207">
        <v>-0.31345679999999998</v>
      </c>
      <c r="S1207">
        <v>2.4596559999999998</v>
      </c>
      <c r="T1207">
        <v>-0.90190049999999999</v>
      </c>
      <c r="U1207">
        <v>-2.2612920000000001</v>
      </c>
      <c r="V1207">
        <v>3.8477820000000003E-2</v>
      </c>
      <c r="W1207">
        <v>5.435773E-2</v>
      </c>
      <c r="X1207">
        <v>0.99777990000000005</v>
      </c>
      <c r="Y1207">
        <v>0.44006679999999998</v>
      </c>
      <c r="Z1207">
        <v>1.4575029999999999E-2</v>
      </c>
      <c r="AA1207">
        <v>0.89784679999999994</v>
      </c>
      <c r="AB1207">
        <v>31</v>
      </c>
      <c r="AC1207">
        <v>2.8439000000000099</v>
      </c>
      <c r="AD1207">
        <v>-1.103935753929</v>
      </c>
      <c r="AE1207">
        <v>-2.71629999999998</v>
      </c>
      <c r="AF1207">
        <v>1.686819741046</v>
      </c>
      <c r="AG1207">
        <v>-1.103935753929</v>
      </c>
      <c r="AH1207">
        <v>3.2316996657963402</v>
      </c>
      <c r="AI1207">
        <v>106.84769557259099</v>
      </c>
      <c r="AJ1207">
        <v>62.437217314186</v>
      </c>
      <c r="AK1207">
        <v>3.8089260582864402</v>
      </c>
      <c r="AL1207">
        <v>86.883995744999098</v>
      </c>
      <c r="AM1207">
        <v>87.791572261392602</v>
      </c>
      <c r="AN1207">
        <v>1.0000000171433501</v>
      </c>
    </row>
    <row r="1208" spans="1:40" x14ac:dyDescent="0.25">
      <c r="A1208" t="str">
        <f>"20190312160622306"</f>
        <v>20190312160622306</v>
      </c>
      <c r="B1208" t="str">
        <f>"1552377982296424"</f>
        <v>1552377982296424</v>
      </c>
      <c r="C1208" t="s">
        <v>40</v>
      </c>
      <c r="D1208">
        <v>5.5056000000000003</v>
      </c>
      <c r="E1208">
        <v>0.67364840000000004</v>
      </c>
      <c r="F1208" t="s">
        <v>48</v>
      </c>
      <c r="G1208">
        <v>-201.02080000000001</v>
      </c>
      <c r="H1208" s="1">
        <v>-2.6837619999999998E-6</v>
      </c>
      <c r="I1208">
        <v>361.78050000000002</v>
      </c>
      <c r="J1208">
        <v>-203.8201</v>
      </c>
      <c r="K1208">
        <v>1.103839</v>
      </c>
      <c r="L1208">
        <v>364.50220000000002</v>
      </c>
      <c r="M1208">
        <v>0.95908369999999998</v>
      </c>
      <c r="N1208">
        <v>0</v>
      </c>
      <c r="O1208">
        <v>-0.28273920000000002</v>
      </c>
      <c r="P1208">
        <v>0.94682679999999997</v>
      </c>
      <c r="Q1208">
        <v>3.9909350000000003E-2</v>
      </c>
      <c r="R1208">
        <v>-0.3192586</v>
      </c>
      <c r="S1208">
        <v>2.449265</v>
      </c>
      <c r="T1208">
        <v>-0.90076959999999995</v>
      </c>
      <c r="U1208">
        <v>-2.2730100000000002</v>
      </c>
      <c r="V1208">
        <v>3.9313800000000003E-2</v>
      </c>
      <c r="W1208">
        <v>5.4024919999999997E-2</v>
      </c>
      <c r="X1208">
        <v>0.99776540000000002</v>
      </c>
      <c r="Y1208">
        <v>0.43972149999999999</v>
      </c>
      <c r="Z1208">
        <v>1.6041969999999999E-2</v>
      </c>
      <c r="AA1208">
        <v>0.89799089999999904</v>
      </c>
      <c r="AB1208">
        <v>31</v>
      </c>
      <c r="AC1208">
        <v>2.7992999999999801</v>
      </c>
      <c r="AD1208">
        <v>-1.103841683762</v>
      </c>
      <c r="AE1208">
        <v>-2.72169999999999</v>
      </c>
      <c r="AF1208">
        <v>1.6844237820331101</v>
      </c>
      <c r="AG1208">
        <v>-1.103841683762</v>
      </c>
      <c r="AH1208">
        <v>3.19896825558458</v>
      </c>
      <c r="AI1208">
        <v>106.978567867755</v>
      </c>
      <c r="AJ1208">
        <v>62.230853224778102</v>
      </c>
      <c r="AK1208">
        <v>3.7800989194103298</v>
      </c>
      <c r="AL1208">
        <v>86.903092454650604</v>
      </c>
      <c r="AM1208">
        <v>87.743607644993602</v>
      </c>
      <c r="AN1208">
        <v>1.0000000301442999</v>
      </c>
    </row>
    <row r="1209" spans="1:40" x14ac:dyDescent="0.25">
      <c r="A1209" t="str">
        <f>"20190312160622316"</f>
        <v>20190312160622316</v>
      </c>
      <c r="B1209" t="str">
        <f>"1552377982306184"</f>
        <v>1552377982306184</v>
      </c>
      <c r="C1209" t="s">
        <v>40</v>
      </c>
      <c r="D1209">
        <v>5.8079179999999999</v>
      </c>
      <c r="E1209">
        <v>0.67105839999999894</v>
      </c>
      <c r="F1209" t="s">
        <v>48</v>
      </c>
      <c r="G1209">
        <v>-201.0882</v>
      </c>
      <c r="H1209" s="1">
        <v>-2.6976959999999999E-6</v>
      </c>
      <c r="I1209">
        <v>361.87799999999999</v>
      </c>
      <c r="J1209">
        <v>-203.68350000000001</v>
      </c>
      <c r="K1209">
        <v>1.103769</v>
      </c>
      <c r="L1209">
        <v>364.45850000000002</v>
      </c>
      <c r="M1209">
        <v>0.95805669999999998</v>
      </c>
      <c r="N1209">
        <v>0</v>
      </c>
      <c r="O1209">
        <v>-0.286199599999999</v>
      </c>
      <c r="P1209">
        <v>0.94548310000000002</v>
      </c>
      <c r="Q1209">
        <v>3.9932479999999999E-2</v>
      </c>
      <c r="R1209">
        <v>-0.32321480000000002</v>
      </c>
      <c r="S1209">
        <v>2.4244840000000001</v>
      </c>
      <c r="T1209">
        <v>-0.97963129999999998</v>
      </c>
      <c r="U1209">
        <v>-2.3288880000000001</v>
      </c>
      <c r="V1209">
        <v>3.9893650000000003E-2</v>
      </c>
      <c r="W1209">
        <v>5.4040150000000002E-2</v>
      </c>
      <c r="X1209">
        <v>0.99774149999999995</v>
      </c>
      <c r="Y1209">
        <v>0.45065480000000002</v>
      </c>
      <c r="Z1209">
        <v>1.6586199999999999E-2</v>
      </c>
      <c r="AA1209">
        <v>0.89254419999999901</v>
      </c>
      <c r="AB1209">
        <v>31</v>
      </c>
      <c r="AC1209">
        <v>2.5952999999999999</v>
      </c>
      <c r="AD1209">
        <v>-1.1037716976959999</v>
      </c>
      <c r="AE1209">
        <v>-2.58049999999997</v>
      </c>
      <c r="AF1209">
        <v>1.58547160218654</v>
      </c>
      <c r="AG1209">
        <v>-1.1037716976959999</v>
      </c>
      <c r="AH1209">
        <v>2.9564287456134601</v>
      </c>
      <c r="AI1209">
        <v>108.212232203919</v>
      </c>
      <c r="AJ1209">
        <v>61.7962608488345</v>
      </c>
      <c r="AK1209">
        <v>3.5316431147362901</v>
      </c>
      <c r="AL1209">
        <v>86.902218379872494</v>
      </c>
      <c r="AM1209">
        <v>87.710307871142405</v>
      </c>
      <c r="AN1209">
        <v>0.99999997097229698</v>
      </c>
    </row>
    <row r="1210" spans="1:40" x14ac:dyDescent="0.25">
      <c r="A1210" t="str">
        <f>"20190312160622328"</f>
        <v>20190312160622328</v>
      </c>
      <c r="B1210" t="str">
        <f>"1552377982315944"</f>
        <v>1552377982315944</v>
      </c>
      <c r="C1210" t="s">
        <v>40</v>
      </c>
      <c r="D1210">
        <v>6.1054409999999999</v>
      </c>
      <c r="E1210">
        <v>0.66870549999999995</v>
      </c>
      <c r="F1210" t="s">
        <v>48</v>
      </c>
      <c r="G1210">
        <v>-200.9263</v>
      </c>
      <c r="H1210" s="1">
        <v>-2.6177669999999999E-6</v>
      </c>
      <c r="I1210">
        <v>361.81830000000002</v>
      </c>
      <c r="J1210">
        <v>-203.5368</v>
      </c>
      <c r="K1210">
        <v>1.1036950000000001</v>
      </c>
      <c r="L1210">
        <v>364.41059999999999</v>
      </c>
      <c r="M1210">
        <v>0.95691789999999999</v>
      </c>
      <c r="N1210">
        <v>0</v>
      </c>
      <c r="O1210">
        <v>-0.28998370000000001</v>
      </c>
      <c r="P1210">
        <v>0.94397379999999997</v>
      </c>
      <c r="Q1210">
        <v>3.9657070000000003E-2</v>
      </c>
      <c r="R1210">
        <v>-0.3276289</v>
      </c>
      <c r="S1210">
        <v>2.4213100000000001</v>
      </c>
      <c r="T1210">
        <v>-0.96932779999999996</v>
      </c>
      <c r="U1210">
        <v>-2.3185730000000002</v>
      </c>
      <c r="V1210">
        <v>4.0615030000000003E-2</v>
      </c>
      <c r="W1210">
        <v>5.3755419999999998E-2</v>
      </c>
      <c r="X1210">
        <v>0.99772780000000005</v>
      </c>
      <c r="Y1210">
        <v>0.44615579999999999</v>
      </c>
      <c r="Z1210">
        <v>1.833079E-2</v>
      </c>
      <c r="AA1210">
        <v>0.8947676</v>
      </c>
      <c r="AB1210">
        <v>31</v>
      </c>
      <c r="AC1210">
        <v>2.6105</v>
      </c>
      <c r="AD1210">
        <v>-1.1036976177669999</v>
      </c>
      <c r="AE1210">
        <v>-2.5922999999999599</v>
      </c>
      <c r="AF1210">
        <v>1.58146854192816</v>
      </c>
      <c r="AG1210">
        <v>-1.1036976177669999</v>
      </c>
      <c r="AH1210">
        <v>2.9817500145728499</v>
      </c>
      <c r="AI1210">
        <v>108.107929083218</v>
      </c>
      <c r="AJ1210">
        <v>62.059295711914999</v>
      </c>
      <c r="AK1210">
        <v>3.5510596066495599</v>
      </c>
      <c r="AL1210">
        <v>86.918556027215004</v>
      </c>
      <c r="AM1210">
        <v>87.668917632176999</v>
      </c>
      <c r="AN1210">
        <v>0.999999994367058</v>
      </c>
    </row>
    <row r="1211" spans="1:40" x14ac:dyDescent="0.25">
      <c r="A1211" t="str">
        <f>"20190312160622340"</f>
        <v>20190312160622340</v>
      </c>
      <c r="B1211" t="str">
        <f>"1552377982336440"</f>
        <v>1552377982336440</v>
      </c>
      <c r="C1211" t="s">
        <v>40</v>
      </c>
      <c r="D1211">
        <v>6.0850479999999996</v>
      </c>
      <c r="E1211">
        <v>0.64633940000000001</v>
      </c>
      <c r="F1211" t="s">
        <v>48</v>
      </c>
      <c r="G1211">
        <v>-200.5625</v>
      </c>
      <c r="H1211" s="1">
        <v>-2.469115E-6</v>
      </c>
      <c r="I1211">
        <v>361.56760000000003</v>
      </c>
      <c r="J1211">
        <v>-203.3792</v>
      </c>
      <c r="K1211">
        <v>1.1036140000000001</v>
      </c>
      <c r="L1211">
        <v>364.35860000000002</v>
      </c>
      <c r="M1211">
        <v>0.95566289999999998</v>
      </c>
      <c r="N1211">
        <v>0</v>
      </c>
      <c r="O1211">
        <v>-0.2940934</v>
      </c>
      <c r="P1211">
        <v>0.94236410000000004</v>
      </c>
      <c r="Q1211">
        <v>3.9446780000000001E-2</v>
      </c>
      <c r="R1211">
        <v>-0.33225589999999999</v>
      </c>
      <c r="S1211">
        <v>2.4146269999999999</v>
      </c>
      <c r="T1211">
        <v>-0.89601739999999996</v>
      </c>
      <c r="U1211">
        <v>-2.3080750000000001</v>
      </c>
      <c r="V1211">
        <v>4.1226869999999999E-2</v>
      </c>
      <c r="W1211">
        <v>5.3537340000000003E-2</v>
      </c>
      <c r="X1211">
        <v>0.99771449999999995</v>
      </c>
      <c r="Y1211">
        <v>0.44263229999999998</v>
      </c>
      <c r="Z1211">
        <v>1.8734500000000001E-2</v>
      </c>
      <c r="AA1211">
        <v>0.89650750000000001</v>
      </c>
      <c r="AB1211">
        <v>31</v>
      </c>
      <c r="AC1211">
        <v>2.8166999999999902</v>
      </c>
      <c r="AD1211">
        <v>-1.1036164691150001</v>
      </c>
      <c r="AE1211">
        <v>-2.7909999999999902</v>
      </c>
      <c r="AF1211">
        <v>1.7068653863330601</v>
      </c>
      <c r="AG1211">
        <v>-1.1036164691150001</v>
      </c>
      <c r="AH1211">
        <v>3.2604518938627098</v>
      </c>
      <c r="AI1211">
        <v>106.692871773175</v>
      </c>
      <c r="AJ1211">
        <v>62.367682970891501</v>
      </c>
      <c r="AK1211">
        <v>3.8421225006702602</v>
      </c>
      <c r="AL1211">
        <v>86.931069319234496</v>
      </c>
      <c r="AM1211">
        <v>87.633809446656798</v>
      </c>
      <c r="AN1211">
        <v>1.00000006254725</v>
      </c>
    </row>
    <row r="1212" spans="1:40" x14ac:dyDescent="0.25">
      <c r="A1212" t="str">
        <f>"20190312160622351"</f>
        <v>20190312160622351</v>
      </c>
      <c r="B1212" t="str">
        <f>"1552377982346199"</f>
        <v>1552377982346199</v>
      </c>
      <c r="C1212" t="s">
        <v>40</v>
      </c>
      <c r="D1212">
        <v>6.2652749999999999</v>
      </c>
      <c r="E1212">
        <v>0.64644539999999995</v>
      </c>
      <c r="F1212" t="s">
        <v>49</v>
      </c>
      <c r="G1212">
        <v>-168.40049999999999</v>
      </c>
      <c r="H1212">
        <v>1.230065</v>
      </c>
      <c r="I1212">
        <v>334.2115</v>
      </c>
      <c r="J1212">
        <v>-203.2363</v>
      </c>
      <c r="K1212">
        <v>1.10354</v>
      </c>
      <c r="L1212">
        <v>364.31079999999997</v>
      </c>
      <c r="M1212">
        <v>0.95449439999999997</v>
      </c>
      <c r="N1212">
        <v>0</v>
      </c>
      <c r="O1212">
        <v>-0.2978633</v>
      </c>
      <c r="P1212">
        <v>0.94083559999999999</v>
      </c>
      <c r="Q1212">
        <v>3.899938E-2</v>
      </c>
      <c r="R1212">
        <v>-0.33661229999999998</v>
      </c>
      <c r="S1212">
        <v>2.441284</v>
      </c>
      <c r="T1212">
        <v>8.8258980000000004E-3</v>
      </c>
      <c r="U1212">
        <v>-2.1040649999999999</v>
      </c>
      <c r="V1212">
        <v>4.1901639999999997E-2</v>
      </c>
      <c r="W1212">
        <v>5.3081169999999997E-2</v>
      </c>
      <c r="X1212">
        <v>0.99771069999999995</v>
      </c>
      <c r="Y1212">
        <v>0.39755980000000002</v>
      </c>
      <c r="Z1212">
        <v>-2.7380839999999998E-4</v>
      </c>
      <c r="AA1212">
        <v>0.91757630000000001</v>
      </c>
      <c r="AB1212">
        <v>30</v>
      </c>
      <c r="AC1212">
        <v>34.835799999999999</v>
      </c>
      <c r="AD1212">
        <v>0.126525</v>
      </c>
      <c r="AE1212">
        <v>-30.0992999999999</v>
      </c>
      <c r="AF1212">
        <v>18.355168183967599</v>
      </c>
      <c r="AG1212">
        <v>0.126525</v>
      </c>
      <c r="AH1212">
        <v>42.220334037993403</v>
      </c>
      <c r="AI1212">
        <v>89.842534879268001</v>
      </c>
      <c r="AJ1212">
        <v>66.503144938549696</v>
      </c>
      <c r="AK1212">
        <v>46.0378628296004</v>
      </c>
      <c r="AL1212">
        <v>86.957242959314399</v>
      </c>
      <c r="AM1212">
        <v>87.595117397645595</v>
      </c>
      <c r="AN1212">
        <v>0.99999999946887397</v>
      </c>
    </row>
    <row r="1213" spans="1:40" x14ac:dyDescent="0.25">
      <c r="A1213" t="str">
        <f>"20190312160622362"</f>
        <v>20190312160622362</v>
      </c>
      <c r="B1213" t="str">
        <f>"1552377982355960"</f>
        <v>1552377982355960</v>
      </c>
      <c r="C1213" t="s">
        <v>40</v>
      </c>
      <c r="D1213">
        <v>10.27026</v>
      </c>
      <c r="E1213">
        <v>0.63292269999999995</v>
      </c>
      <c r="F1213" t="s">
        <v>49</v>
      </c>
      <c r="G1213">
        <v>-168.40119999999999</v>
      </c>
      <c r="H1213">
        <v>3.3773789999999999</v>
      </c>
      <c r="I1213">
        <v>334.0598</v>
      </c>
      <c r="J1213">
        <v>-203.08670000000001</v>
      </c>
      <c r="K1213">
        <v>1.103461</v>
      </c>
      <c r="L1213">
        <v>364.25970000000001</v>
      </c>
      <c r="M1213">
        <v>0.95323310000000006</v>
      </c>
      <c r="N1213">
        <v>0</v>
      </c>
      <c r="O1213">
        <v>-0.301875</v>
      </c>
      <c r="P1213">
        <v>0.93917729999999999</v>
      </c>
      <c r="Q1213">
        <v>3.8741009999999999E-2</v>
      </c>
      <c r="R1213">
        <v>-0.34124090000000001</v>
      </c>
      <c r="S1213">
        <v>2.427765</v>
      </c>
      <c r="T1213">
        <v>0.158471</v>
      </c>
      <c r="U1213">
        <v>-2.108276</v>
      </c>
      <c r="V1213">
        <v>4.2621279999999998E-2</v>
      </c>
      <c r="W1213">
        <v>5.2813569999999997E-2</v>
      </c>
      <c r="X1213">
        <v>0.99769439999999998</v>
      </c>
      <c r="Y1213">
        <v>0.39701249999999999</v>
      </c>
      <c r="Z1213">
        <v>-5.1497260000000003E-3</v>
      </c>
      <c r="AA1213">
        <v>0.91779880000000003</v>
      </c>
      <c r="AB1213">
        <v>30</v>
      </c>
      <c r="AC1213">
        <v>34.685499999999998</v>
      </c>
      <c r="AD1213">
        <v>2.2739180000000001</v>
      </c>
      <c r="AE1213">
        <v>-30.1999</v>
      </c>
      <c r="AF1213">
        <v>18.2741833331477</v>
      </c>
      <c r="AG1213">
        <v>2.2739180000000001</v>
      </c>
      <c r="AH1213">
        <v>42.081688249498598</v>
      </c>
      <c r="AI1213">
        <v>87.162503787132195</v>
      </c>
      <c r="AJ1213">
        <v>66.526863204274804</v>
      </c>
      <c r="AK1213">
        <v>45.9345726603852</v>
      </c>
      <c r="AL1213">
        <v>86.972596791556498</v>
      </c>
      <c r="AM1213">
        <v>87.553824556785301</v>
      </c>
      <c r="AN1213">
        <v>0.99999998123817102</v>
      </c>
    </row>
    <row r="1214" spans="1:40" x14ac:dyDescent="0.25">
      <c r="A1214" t="str">
        <f>"20190312160622373"</f>
        <v>20190312160622373</v>
      </c>
      <c r="B1214" t="str">
        <f>"1552377982366696"</f>
        <v>1552377982366696</v>
      </c>
      <c r="C1214" t="s">
        <v>40</v>
      </c>
      <c r="D1214">
        <v>6.5109130000000004</v>
      </c>
      <c r="E1214">
        <v>0.62500659999999997</v>
      </c>
      <c r="F1214" t="s">
        <v>49</v>
      </c>
      <c r="G1214">
        <v>-168.40099999999899</v>
      </c>
      <c r="H1214">
        <v>2.933182</v>
      </c>
      <c r="I1214">
        <v>335.71440000000001</v>
      </c>
      <c r="J1214">
        <v>-202.94290000000001</v>
      </c>
      <c r="K1214">
        <v>1.10338799999999</v>
      </c>
      <c r="L1214">
        <v>364.21039999999999</v>
      </c>
      <c r="M1214">
        <v>0.95199560000000005</v>
      </c>
      <c r="N1214">
        <v>0</v>
      </c>
      <c r="O1214">
        <v>-0.30575449999999998</v>
      </c>
      <c r="P1214">
        <v>0.93752709999999995</v>
      </c>
      <c r="Q1214">
        <v>3.826653E-2</v>
      </c>
      <c r="R1214">
        <v>-0.34580149999999998</v>
      </c>
      <c r="S1214">
        <v>2.4548800000000002</v>
      </c>
      <c r="T1214">
        <v>0.129499</v>
      </c>
      <c r="U1214">
        <v>-2.0202939999999998</v>
      </c>
      <c r="V1214">
        <v>4.340335E-2</v>
      </c>
      <c r="W1214">
        <v>5.2327869999999999E-2</v>
      </c>
      <c r="X1214">
        <v>0.99768630000000003</v>
      </c>
      <c r="Y1214">
        <v>0.36884450000000002</v>
      </c>
      <c r="Z1214">
        <v>-5.0397089999999999E-3</v>
      </c>
      <c r="AA1214">
        <v>0.92947749999999996</v>
      </c>
      <c r="AB1214">
        <v>30</v>
      </c>
      <c r="AC1214">
        <v>34.541899999999998</v>
      </c>
      <c r="AD1214">
        <v>1.8297939999999999</v>
      </c>
      <c r="AE1214">
        <v>-28.495999999999899</v>
      </c>
      <c r="AF1214">
        <v>16.540916612723102</v>
      </c>
      <c r="AG1214">
        <v>1.8297939999999999</v>
      </c>
      <c r="AH1214">
        <v>41.531715490756199</v>
      </c>
      <c r="AI1214">
        <v>87.656138225224893</v>
      </c>
      <c r="AJ1214">
        <v>68.283995601629996</v>
      </c>
      <c r="AK1214">
        <v>44.741853561029501</v>
      </c>
      <c r="AL1214">
        <v>87.000463958290496</v>
      </c>
      <c r="AM1214">
        <v>87.508974820297993</v>
      </c>
      <c r="AN1214">
        <v>1.00000000498882</v>
      </c>
    </row>
    <row r="1215" spans="1:40" x14ac:dyDescent="0.25">
      <c r="A1215" t="str">
        <f>"20190312160622384"</f>
        <v>20190312160622384</v>
      </c>
      <c r="B1215" t="str">
        <f>"1552377982376456"</f>
        <v>1552377982376456</v>
      </c>
      <c r="C1215" t="s">
        <v>40</v>
      </c>
      <c r="D1215">
        <v>5.9824809999999999</v>
      </c>
      <c r="E1215">
        <v>0.62592760000000003</v>
      </c>
      <c r="F1215" t="s">
        <v>49</v>
      </c>
      <c r="G1215">
        <v>-168.40099999999899</v>
      </c>
      <c r="H1215">
        <v>2.9160740000000001</v>
      </c>
      <c r="I1215">
        <v>336.59010000000001</v>
      </c>
      <c r="J1215">
        <v>-202.80289999999999</v>
      </c>
      <c r="K1215">
        <v>1.103313</v>
      </c>
      <c r="L1215">
        <v>364.16109999999998</v>
      </c>
      <c r="M1215">
        <v>0.95074499999999995</v>
      </c>
      <c r="N1215">
        <v>0</v>
      </c>
      <c r="O1215">
        <v>-0.30962079999999997</v>
      </c>
      <c r="P1215">
        <v>0.93589389999999995</v>
      </c>
      <c r="Q1215">
        <v>3.8222039999999999E-2</v>
      </c>
      <c r="R1215">
        <v>-0.35020250000000003</v>
      </c>
      <c r="S1215">
        <v>2.4670100000000001</v>
      </c>
      <c r="T1215">
        <v>0.12946389999999999</v>
      </c>
      <c r="U1215">
        <v>-1.972656</v>
      </c>
      <c r="V1215">
        <v>4.4044960000000001E-2</v>
      </c>
      <c r="W1215">
        <v>5.2275490000000001E-2</v>
      </c>
      <c r="X1215">
        <v>0.99766089999999996</v>
      </c>
      <c r="Y1215">
        <v>0.35193069999999999</v>
      </c>
      <c r="Z1215">
        <v>-5.6047989999999997E-3</v>
      </c>
      <c r="AA1215">
        <v>0.93600930000000004</v>
      </c>
      <c r="AB1215">
        <v>30</v>
      </c>
      <c r="AC1215">
        <v>34.401899999999998</v>
      </c>
      <c r="AD1215">
        <v>1.8127610000000001</v>
      </c>
      <c r="AE1215">
        <v>-27.570999999999898</v>
      </c>
      <c r="AF1215">
        <v>15.5368821322584</v>
      </c>
      <c r="AG1215">
        <v>1.8127610000000001</v>
      </c>
      <c r="AH1215">
        <v>41.178883947209599</v>
      </c>
      <c r="AI1215">
        <v>87.641465135583999</v>
      </c>
      <c r="AJ1215">
        <v>69.328400156900699</v>
      </c>
      <c r="AK1215">
        <v>44.0497592725836</v>
      </c>
      <c r="AL1215">
        <v>87.003469144593296</v>
      </c>
      <c r="AM1215">
        <v>87.472134386025303</v>
      </c>
      <c r="AN1215">
        <v>0.99999997837247501</v>
      </c>
    </row>
    <row r="1216" spans="1:40" x14ac:dyDescent="0.25">
      <c r="A1216" t="str">
        <f>"20190312160622394"</f>
        <v>20190312160622394</v>
      </c>
      <c r="B1216" t="str">
        <f>"1552377982386216"</f>
        <v>1552377982386216</v>
      </c>
      <c r="C1216" t="s">
        <v>40</v>
      </c>
      <c r="D1216">
        <v>6.1160019999999999</v>
      </c>
      <c r="E1216">
        <v>0.62226359999999903</v>
      </c>
      <c r="F1216" t="s">
        <v>49</v>
      </c>
      <c r="G1216">
        <v>-168.40129999999999</v>
      </c>
      <c r="H1216">
        <v>3.591262</v>
      </c>
      <c r="I1216">
        <v>336.286</v>
      </c>
      <c r="J1216">
        <v>-202.65719999999999</v>
      </c>
      <c r="K1216">
        <v>1.103237</v>
      </c>
      <c r="L1216">
        <v>364.1096</v>
      </c>
      <c r="M1216">
        <v>0.94942079999999995</v>
      </c>
      <c r="N1216">
        <v>0</v>
      </c>
      <c r="O1216">
        <v>-0.31365720000000002</v>
      </c>
      <c r="P1216">
        <v>0.93424929999999995</v>
      </c>
      <c r="Q1216">
        <v>3.8236810000000003E-2</v>
      </c>
      <c r="R1216">
        <v>-0.35456510000000002</v>
      </c>
      <c r="S1216">
        <v>2.4541469999999999</v>
      </c>
      <c r="T1216">
        <v>0.1774859</v>
      </c>
      <c r="U1216">
        <v>-1.988556</v>
      </c>
      <c r="V1216">
        <v>4.4471219999999999E-2</v>
      </c>
      <c r="W1216">
        <v>5.228501E-2</v>
      </c>
      <c r="X1216">
        <v>0.99764149999999996</v>
      </c>
      <c r="Y1216">
        <v>0.35398069999999998</v>
      </c>
      <c r="Z1216">
        <v>-7.8607019999999903E-3</v>
      </c>
      <c r="AA1216">
        <v>0.93521969999999999</v>
      </c>
      <c r="AB1216">
        <v>30</v>
      </c>
      <c r="AC1216">
        <v>34.255899999999997</v>
      </c>
      <c r="AD1216">
        <v>2.4880249999999999</v>
      </c>
      <c r="AE1216">
        <v>-27.823599999999999</v>
      </c>
      <c r="AF1216">
        <v>15.6237554374365</v>
      </c>
      <c r="AG1216">
        <v>2.4880249999999999</v>
      </c>
      <c r="AH1216">
        <v>41.124152354410498</v>
      </c>
      <c r="AI1216">
        <v>86.763012050909694</v>
      </c>
      <c r="AJ1216">
        <v>69.197375741234495</v>
      </c>
      <c r="AK1216">
        <v>44.062318473251302</v>
      </c>
      <c r="AL1216">
        <v>87.0029229679851</v>
      </c>
      <c r="AM1216">
        <v>87.447652741580796</v>
      </c>
      <c r="AN1216">
        <v>0.99999998710061899</v>
      </c>
    </row>
    <row r="1217" spans="1:40" x14ac:dyDescent="0.25">
      <c r="A1217" t="str">
        <f>"20190312160622405"</f>
        <v>20190312160622405</v>
      </c>
      <c r="B1217" t="str">
        <f>"1552377982395976"</f>
        <v>1552377982395976</v>
      </c>
      <c r="C1217" t="s">
        <v>40</v>
      </c>
      <c r="D1217">
        <v>6.5219329999999998</v>
      </c>
      <c r="E1217">
        <v>0.61889209999999995</v>
      </c>
      <c r="F1217" t="s">
        <v>49</v>
      </c>
      <c r="G1217">
        <v>-168.40129999999999</v>
      </c>
      <c r="H1217">
        <v>3.7434880000000001</v>
      </c>
      <c r="I1217">
        <v>336.59050000000002</v>
      </c>
      <c r="J1217">
        <v>-202.51329999999999</v>
      </c>
      <c r="K1217">
        <v>1.103159</v>
      </c>
      <c r="L1217">
        <v>364.05759999999998</v>
      </c>
      <c r="M1217">
        <v>0.94806509999999999</v>
      </c>
      <c r="N1217">
        <v>0</v>
      </c>
      <c r="O1217">
        <v>-0.3177314</v>
      </c>
      <c r="P1217">
        <v>0.93251320000000004</v>
      </c>
      <c r="Q1217">
        <v>3.807982E-2</v>
      </c>
      <c r="R1217">
        <v>-0.35912280000000002</v>
      </c>
      <c r="S1217">
        <v>2.4549259999999999</v>
      </c>
      <c r="T1217">
        <v>0.1892123</v>
      </c>
      <c r="U1217">
        <v>-1.972137</v>
      </c>
      <c r="V1217">
        <v>4.5064569999999998E-2</v>
      </c>
      <c r="W1217">
        <v>5.212025E-2</v>
      </c>
      <c r="X1217">
        <v>0.9976235</v>
      </c>
      <c r="Y1217">
        <v>0.34602719999999998</v>
      </c>
      <c r="Z1217">
        <v>-8.913832E-3</v>
      </c>
      <c r="AA1217">
        <v>0.93818219999999997</v>
      </c>
      <c r="AB1217">
        <v>30</v>
      </c>
      <c r="AC1217">
        <v>34.111999999999902</v>
      </c>
      <c r="AD1217">
        <v>2.6403289999999902</v>
      </c>
      <c r="AE1217">
        <v>-27.467099999999899</v>
      </c>
      <c r="AF1217">
        <v>15.148753735519801</v>
      </c>
      <c r="AG1217">
        <v>2.6403289999999902</v>
      </c>
      <c r="AH1217">
        <v>40.923322918651301</v>
      </c>
      <c r="AI1217">
        <v>86.537459231358099</v>
      </c>
      <c r="AJ1217">
        <v>69.686753366168105</v>
      </c>
      <c r="AK1217">
        <v>43.716981090554199</v>
      </c>
      <c r="AL1217">
        <v>87.012375923886907</v>
      </c>
      <c r="AM1217">
        <v>87.413597800632701</v>
      </c>
      <c r="AN1217">
        <v>0.99999999184079802</v>
      </c>
    </row>
    <row r="1218" spans="1:40" x14ac:dyDescent="0.25">
      <c r="A1218" t="str">
        <f>"20190312160622417"</f>
        <v>20190312160622417</v>
      </c>
      <c r="B1218" t="str">
        <f>"1552377982406712"</f>
        <v>1552377982406712</v>
      </c>
      <c r="C1218" t="s">
        <v>40</v>
      </c>
      <c r="D1218">
        <v>6.4121889999999997</v>
      </c>
      <c r="E1218">
        <v>0.61661569999999899</v>
      </c>
      <c r="F1218" t="s">
        <v>49</v>
      </c>
      <c r="G1218">
        <v>-168.4014</v>
      </c>
      <c r="H1218">
        <v>4.0266109999999999</v>
      </c>
      <c r="I1218">
        <v>336.8449</v>
      </c>
      <c r="J1218">
        <v>-202.3758</v>
      </c>
      <c r="K1218">
        <v>1.103083</v>
      </c>
      <c r="L1218">
        <v>364.00749999999999</v>
      </c>
      <c r="M1218">
        <v>0.94674400000000003</v>
      </c>
      <c r="N1218">
        <v>0</v>
      </c>
      <c r="O1218">
        <v>-0.32164589999999998</v>
      </c>
      <c r="P1218">
        <v>0.93076570000000003</v>
      </c>
      <c r="Q1218">
        <v>3.8336599999999998E-2</v>
      </c>
      <c r="R1218">
        <v>-0.3636008</v>
      </c>
      <c r="S1218">
        <v>2.4544679999999999</v>
      </c>
      <c r="T1218">
        <v>0.21035280000000001</v>
      </c>
      <c r="U1218">
        <v>-1.9580379999999999</v>
      </c>
      <c r="V1218">
        <v>4.5755270000000001E-2</v>
      </c>
      <c r="W1218">
        <v>5.2366910000000003E-2</v>
      </c>
      <c r="X1218">
        <v>0.9975792</v>
      </c>
      <c r="Y1218">
        <v>0.33894930000000001</v>
      </c>
      <c r="Z1218">
        <v>-1.046016E-2</v>
      </c>
      <c r="AA1218">
        <v>0.94074650000000004</v>
      </c>
      <c r="AB1218">
        <v>30</v>
      </c>
      <c r="AC1218">
        <v>33.974400000000003</v>
      </c>
      <c r="AD1218">
        <v>2.9235279999999899</v>
      </c>
      <c r="AE1218">
        <v>-27.162600000000001</v>
      </c>
      <c r="AF1218">
        <v>14.7234170117621</v>
      </c>
      <c r="AG1218">
        <v>2.9235279999999899</v>
      </c>
      <c r="AH1218">
        <v>40.722337703524602</v>
      </c>
      <c r="AI1218">
        <v>86.137570905866497</v>
      </c>
      <c r="AJ1218">
        <v>70.122224808515597</v>
      </c>
      <c r="AK1218">
        <v>43.400861886705997</v>
      </c>
      <c r="AL1218">
        <v>86.998224192660103</v>
      </c>
      <c r="AM1218">
        <v>87.373894903864993</v>
      </c>
      <c r="AN1218">
        <v>1.0000000491341701</v>
      </c>
    </row>
    <row r="1219" spans="1:40" x14ac:dyDescent="0.25">
      <c r="A1219" t="str">
        <f>"20190312160622428"</f>
        <v>20190312160622428</v>
      </c>
      <c r="B1219" t="str">
        <f>"1552377982416472"</f>
        <v>1552377982416472</v>
      </c>
      <c r="C1219" t="s">
        <v>40</v>
      </c>
      <c r="D1219">
        <v>6.3548780000000002</v>
      </c>
      <c r="E1219">
        <v>0.61388589999999998</v>
      </c>
      <c r="F1219" t="s">
        <v>49</v>
      </c>
      <c r="G1219">
        <v>-168.4014</v>
      </c>
      <c r="H1219">
        <v>4.0617099999999997</v>
      </c>
      <c r="I1219">
        <v>336.9452</v>
      </c>
      <c r="J1219">
        <v>-202.23099999999999</v>
      </c>
      <c r="K1219">
        <v>1.1030040000000001</v>
      </c>
      <c r="L1219">
        <v>363.9538</v>
      </c>
      <c r="M1219">
        <v>0.94531069999999995</v>
      </c>
      <c r="N1219">
        <v>0</v>
      </c>
      <c r="O1219">
        <v>-0.3258337</v>
      </c>
      <c r="P1219">
        <v>0.92908199999999996</v>
      </c>
      <c r="Q1219">
        <v>3.8518530000000002E-2</v>
      </c>
      <c r="R1219">
        <v>-0.36786229999999998</v>
      </c>
      <c r="S1219">
        <v>2.4515229999999999</v>
      </c>
      <c r="T1219">
        <v>0.21348880000000001</v>
      </c>
      <c r="U1219">
        <v>-1.9527589999999999</v>
      </c>
      <c r="V1219">
        <v>4.5926880000000003E-2</v>
      </c>
      <c r="W1219">
        <v>5.25493E-2</v>
      </c>
      <c r="X1219">
        <v>0.9975617</v>
      </c>
      <c r="Y1219">
        <v>0.33410959999999901</v>
      </c>
      <c r="Z1219">
        <v>-1.110676E-2</v>
      </c>
      <c r="AA1219">
        <v>0.9424688</v>
      </c>
      <c r="AB1219">
        <v>30</v>
      </c>
      <c r="AC1219">
        <v>33.829599999999999</v>
      </c>
      <c r="AD1219">
        <v>2.9587059999999901</v>
      </c>
      <c r="AE1219">
        <v>-27.008600000000001</v>
      </c>
      <c r="AF1219">
        <v>14.4428220879576</v>
      </c>
      <c r="AG1219">
        <v>2.9587059999999901</v>
      </c>
      <c r="AH1219">
        <v>40.594645460934203</v>
      </c>
      <c r="AI1219">
        <v>86.071801934155104</v>
      </c>
      <c r="AJ1219">
        <v>70.415384449788206</v>
      </c>
      <c r="AK1219">
        <v>43.188821368008902</v>
      </c>
      <c r="AL1219">
        <v>86.987759538586801</v>
      </c>
      <c r="AM1219">
        <v>87.3640131073752</v>
      </c>
      <c r="AN1219">
        <v>1.0000000262719499</v>
      </c>
    </row>
    <row r="1220" spans="1:40" x14ac:dyDescent="0.25">
      <c r="A1220" t="str">
        <f>"20190312160622440"</f>
        <v>20190312160622440</v>
      </c>
      <c r="B1220" t="str">
        <f>"1552377982426231"</f>
        <v>1552377982426231</v>
      </c>
      <c r="C1220" t="s">
        <v>40</v>
      </c>
      <c r="D1220">
        <v>5.1626580000000004</v>
      </c>
      <c r="E1220">
        <v>0.61138559999999997</v>
      </c>
      <c r="F1220" t="s">
        <v>49</v>
      </c>
      <c r="G1220">
        <v>-168.4015</v>
      </c>
      <c r="H1220">
        <v>4.2814310000000004</v>
      </c>
      <c r="I1220">
        <v>337.12799999999999</v>
      </c>
      <c r="J1220">
        <v>-202.0822</v>
      </c>
      <c r="K1220">
        <v>1.1029230000000001</v>
      </c>
      <c r="L1220">
        <v>363.89780000000002</v>
      </c>
      <c r="M1220">
        <v>0.94379869999999999</v>
      </c>
      <c r="N1220">
        <v>0</v>
      </c>
      <c r="O1220">
        <v>-0.33018710000000001</v>
      </c>
      <c r="P1220">
        <v>0.92720239999999998</v>
      </c>
      <c r="Q1220">
        <v>3.8364420000000003E-2</v>
      </c>
      <c r="R1220">
        <v>-0.37259049999999999</v>
      </c>
      <c r="S1220">
        <v>2.4501650000000001</v>
      </c>
      <c r="T1220">
        <v>0.23020360000000001</v>
      </c>
      <c r="U1220">
        <v>-1.9429019999999999</v>
      </c>
      <c r="V1220">
        <v>4.6416880000000001E-2</v>
      </c>
      <c r="W1220">
        <v>5.2389779999999997E-2</v>
      </c>
      <c r="X1220">
        <v>0.99754739999999997</v>
      </c>
      <c r="Y1220">
        <v>0.32770880000000002</v>
      </c>
      <c r="Z1220">
        <v>-1.2582609999999999E-2</v>
      </c>
      <c r="AA1220">
        <v>0.94469499999999995</v>
      </c>
      <c r="AB1220">
        <v>30</v>
      </c>
      <c r="AC1220">
        <v>33.680700000000002</v>
      </c>
      <c r="AD1220">
        <v>3.1785079999999999</v>
      </c>
      <c r="AE1220">
        <v>-26.769799999999901</v>
      </c>
      <c r="AF1220">
        <v>14.0691393502875</v>
      </c>
      <c r="AG1220">
        <v>3.1785079999999999</v>
      </c>
      <c r="AH1220">
        <v>40.410759299153902</v>
      </c>
      <c r="AI1220">
        <v>85.751765999019</v>
      </c>
      <c r="AJ1220">
        <v>70.804268948027897</v>
      </c>
      <c r="AK1220">
        <v>42.907727302876701</v>
      </c>
      <c r="AL1220">
        <v>86.996911936034806</v>
      </c>
      <c r="AM1220">
        <v>87.335891581093605</v>
      </c>
      <c r="AN1220">
        <v>1.0000000155220701</v>
      </c>
    </row>
    <row r="1221" spans="1:40" x14ac:dyDescent="0.25">
      <c r="A1221" t="str">
        <f>"20190312160622451"</f>
        <v>20190312160622451</v>
      </c>
      <c r="B1221" t="str">
        <f>"1552377982445751"</f>
        <v>1552377982445751</v>
      </c>
      <c r="C1221" t="s">
        <v>40</v>
      </c>
      <c r="D1221">
        <v>6.6296109999999997</v>
      </c>
      <c r="E1221">
        <v>0.60746140000000004</v>
      </c>
      <c r="F1221" t="s">
        <v>49</v>
      </c>
      <c r="G1221">
        <v>-168.4015</v>
      </c>
      <c r="H1221">
        <v>4.2338620000000002</v>
      </c>
      <c r="I1221">
        <v>337.24470000000002</v>
      </c>
      <c r="J1221">
        <v>-201.9289</v>
      </c>
      <c r="K1221">
        <v>1.1028389999999999</v>
      </c>
      <c r="L1221">
        <v>363.83949999999999</v>
      </c>
      <c r="M1221">
        <v>0.94220199999999998</v>
      </c>
      <c r="N1221">
        <v>0</v>
      </c>
      <c r="O1221">
        <v>-0.33471580000000001</v>
      </c>
      <c r="P1221">
        <v>0.925265</v>
      </c>
      <c r="Q1221">
        <v>3.8357500000000003E-2</v>
      </c>
      <c r="R1221">
        <v>-0.37737769999999998</v>
      </c>
      <c r="S1221">
        <v>2.4477389999999999</v>
      </c>
      <c r="T1221">
        <v>0.22754089999999999</v>
      </c>
      <c r="U1221">
        <v>-1.937012</v>
      </c>
      <c r="V1221">
        <v>4.6792269999999997E-2</v>
      </c>
      <c r="W1221">
        <v>5.2379299999999997E-2</v>
      </c>
      <c r="X1221">
        <v>0.99753040000000004</v>
      </c>
      <c r="Y1221">
        <v>0.32224969999999997</v>
      </c>
      <c r="Z1221">
        <v>-1.301224E-2</v>
      </c>
      <c r="AA1221">
        <v>0.94656530000000005</v>
      </c>
      <c r="AB1221">
        <v>30</v>
      </c>
      <c r="AC1221">
        <v>33.5274</v>
      </c>
      <c r="AD1221">
        <v>3.1310229999999999</v>
      </c>
      <c r="AE1221">
        <v>-26.5947999999999</v>
      </c>
      <c r="AF1221">
        <v>13.763375198185599</v>
      </c>
      <c r="AG1221">
        <v>3.1310229999999999</v>
      </c>
      <c r="AH1221">
        <v>40.280133387545398</v>
      </c>
      <c r="AI1221">
        <v>85.793140470513805</v>
      </c>
      <c r="AJ1221">
        <v>71.135143437443105</v>
      </c>
      <c r="AK1221">
        <v>42.681646495783298</v>
      </c>
      <c r="AL1221">
        <v>86.9975131845232</v>
      </c>
      <c r="AM1221">
        <v>87.314331694784698</v>
      </c>
      <c r="AN1221">
        <v>1.0000000032622001</v>
      </c>
    </row>
    <row r="1222" spans="1:40" x14ac:dyDescent="0.25">
      <c r="A1222" t="str">
        <f>"20190312160622464"</f>
        <v>20190312160622464</v>
      </c>
      <c r="B1222" t="str">
        <f>"1552377982456488"</f>
        <v>1552377982456488</v>
      </c>
      <c r="C1222" t="s">
        <v>40</v>
      </c>
      <c r="D1222">
        <v>6.4909670000000004</v>
      </c>
      <c r="E1222">
        <v>0.60654209999999997</v>
      </c>
      <c r="F1222" t="s">
        <v>49</v>
      </c>
      <c r="G1222">
        <v>-168.4015</v>
      </c>
      <c r="H1222">
        <v>4.3806949999999896</v>
      </c>
      <c r="I1222">
        <v>337.55990000000003</v>
      </c>
      <c r="J1222">
        <v>-201.7748</v>
      </c>
      <c r="K1222">
        <v>1.1027549999999999</v>
      </c>
      <c r="L1222">
        <v>363.77949999999998</v>
      </c>
      <c r="M1222">
        <v>0.9405403</v>
      </c>
      <c r="N1222">
        <v>0</v>
      </c>
      <c r="O1222">
        <v>-0.33935670000000001</v>
      </c>
      <c r="P1222">
        <v>0.9233131</v>
      </c>
      <c r="Q1222">
        <v>3.8372009999999998E-2</v>
      </c>
      <c r="R1222">
        <v>-0.38212679999999999</v>
      </c>
      <c r="S1222">
        <v>2.4493559999999999</v>
      </c>
      <c r="T1222">
        <v>0.2394656</v>
      </c>
      <c r="U1222">
        <v>-1.919861</v>
      </c>
      <c r="V1222">
        <v>4.7011539999999997E-2</v>
      </c>
      <c r="W1222">
        <v>5.2393580000000002E-2</v>
      </c>
      <c r="X1222">
        <v>0.9975193</v>
      </c>
      <c r="Y1222">
        <v>0.31320910000000002</v>
      </c>
      <c r="Z1222">
        <v>-1.446423E-2</v>
      </c>
      <c r="AA1222">
        <v>0.94957409999999998</v>
      </c>
      <c r="AB1222">
        <v>30</v>
      </c>
      <c r="AC1222">
        <v>33.3733</v>
      </c>
      <c r="AD1222">
        <v>3.2779399999999899</v>
      </c>
      <c r="AE1222">
        <v>-26.2195999999999</v>
      </c>
      <c r="AF1222">
        <v>13.257526517947399</v>
      </c>
      <c r="AG1222">
        <v>3.2779399999999899</v>
      </c>
      <c r="AH1222">
        <v>40.052260316792797</v>
      </c>
      <c r="AI1222">
        <v>85.557282932579398</v>
      </c>
      <c r="AJ1222">
        <v>71.685162011952798</v>
      </c>
      <c r="AK1222">
        <v>42.316550621498102</v>
      </c>
      <c r="AL1222">
        <v>86.996693754747298</v>
      </c>
      <c r="AM1222">
        <v>87.3017351465801</v>
      </c>
      <c r="AN1222">
        <v>0.99999996299543803</v>
      </c>
    </row>
    <row r="1223" spans="1:40" x14ac:dyDescent="0.25">
      <c r="A1223" t="str">
        <f>"20190312160622476"</f>
        <v>20190312160622476</v>
      </c>
      <c r="B1223" t="str">
        <f>"1552377982466248"</f>
        <v>1552377982466248</v>
      </c>
      <c r="C1223" t="s">
        <v>40</v>
      </c>
      <c r="D1223">
        <v>6.2095370000000001</v>
      </c>
      <c r="E1223">
        <v>0.60489959999999998</v>
      </c>
      <c r="F1223" t="s">
        <v>49</v>
      </c>
      <c r="G1223">
        <v>-168.4014</v>
      </c>
      <c r="H1223">
        <v>4.050948</v>
      </c>
      <c r="I1223">
        <v>337.45330000000001</v>
      </c>
      <c r="J1223">
        <v>-201.6147</v>
      </c>
      <c r="K1223">
        <v>1.1026670000000001</v>
      </c>
      <c r="L1223">
        <v>363.71660000000003</v>
      </c>
      <c r="M1223">
        <v>0.9387721</v>
      </c>
      <c r="N1223">
        <v>0</v>
      </c>
      <c r="O1223">
        <v>-0.3442171</v>
      </c>
      <c r="P1223">
        <v>0.92125630000000003</v>
      </c>
      <c r="Q1223">
        <v>3.8453719999999997E-2</v>
      </c>
      <c r="R1223">
        <v>-0.38705129999999999</v>
      </c>
      <c r="S1223">
        <v>2.4427189999999999</v>
      </c>
      <c r="T1223">
        <v>0.21578929999999999</v>
      </c>
      <c r="U1223">
        <v>-1.9269099999999999</v>
      </c>
      <c r="V1223">
        <v>4.7192030000000003E-2</v>
      </c>
      <c r="W1223">
        <v>5.247549E-2</v>
      </c>
      <c r="X1223">
        <v>0.99750649999999996</v>
      </c>
      <c r="Y1223">
        <v>0.31124580000000002</v>
      </c>
      <c r="Z1223">
        <v>-1.346693E-2</v>
      </c>
      <c r="AA1223">
        <v>0.95023400000000002</v>
      </c>
      <c r="AB1223">
        <v>30</v>
      </c>
      <c r="AC1223">
        <v>33.213299999999997</v>
      </c>
      <c r="AD1223">
        <v>2.9482810000000002</v>
      </c>
      <c r="AE1223">
        <v>-26.263300000000001</v>
      </c>
      <c r="AF1223">
        <v>13.160327722380201</v>
      </c>
      <c r="AG1223">
        <v>2.9482810000000002</v>
      </c>
      <c r="AH1223">
        <v>40.030374621251298</v>
      </c>
      <c r="AI1223">
        <v>85.997708781303601</v>
      </c>
      <c r="AJ1223">
        <v>71.801278496824807</v>
      </c>
      <c r="AK1223">
        <v>42.2411822624927</v>
      </c>
      <c r="AL1223">
        <v>86.991994277132406</v>
      </c>
      <c r="AM1223">
        <v>87.291356471957002</v>
      </c>
      <c r="AN1223">
        <v>0.99999999114425497</v>
      </c>
    </row>
    <row r="1224" spans="1:40" x14ac:dyDescent="0.25">
      <c r="A1224" t="str">
        <f>"20190312160622489"</f>
        <v>20190312160622489</v>
      </c>
      <c r="B1224" t="str">
        <f>"1552377982476007"</f>
        <v>1552377982476007</v>
      </c>
      <c r="C1224" t="s">
        <v>40</v>
      </c>
      <c r="D1224">
        <v>6.6409599999999998</v>
      </c>
      <c r="E1224">
        <v>0.60377669999999894</v>
      </c>
      <c r="F1224" t="s">
        <v>49</v>
      </c>
      <c r="G1224">
        <v>-168.4014</v>
      </c>
      <c r="H1224">
        <v>3.880811</v>
      </c>
      <c r="I1224">
        <v>337.44110000000001</v>
      </c>
      <c r="J1224">
        <v>-201.45089999999999</v>
      </c>
      <c r="K1224">
        <v>1.102573</v>
      </c>
      <c r="L1224">
        <v>363.65100000000001</v>
      </c>
      <c r="M1224">
        <v>0.93689999999999996</v>
      </c>
      <c r="N1224">
        <v>0</v>
      </c>
      <c r="O1224">
        <v>-0.34927979999999997</v>
      </c>
      <c r="P1224">
        <v>0.91898579999999996</v>
      </c>
      <c r="Q1224">
        <v>3.8712910000000003E-2</v>
      </c>
      <c r="R1224">
        <v>-0.39238640000000002</v>
      </c>
      <c r="S1224">
        <v>2.4376980000000001</v>
      </c>
      <c r="T1224">
        <v>0.203903</v>
      </c>
      <c r="U1224">
        <v>-1.9284969999999999</v>
      </c>
      <c r="V1224">
        <v>4.7611540000000001E-2</v>
      </c>
      <c r="W1224">
        <v>5.2730239999999998E-2</v>
      </c>
      <c r="X1224">
        <v>0.9974731</v>
      </c>
      <c r="Y1224">
        <v>0.30745620000000001</v>
      </c>
      <c r="Z1224">
        <v>-1.3215660000000001E-2</v>
      </c>
      <c r="AA1224">
        <v>0.9514705</v>
      </c>
      <c r="AB1224">
        <v>30</v>
      </c>
      <c r="AC1224">
        <v>33.049499999999902</v>
      </c>
      <c r="AD1224">
        <v>2.778238</v>
      </c>
      <c r="AE1224">
        <v>-26.209900000000001</v>
      </c>
      <c r="AF1224">
        <v>12.9577641974061</v>
      </c>
      <c r="AG1224">
        <v>2.778238</v>
      </c>
      <c r="AH1224">
        <v>39.9498099946642</v>
      </c>
      <c r="AI1224">
        <v>86.215365597019598</v>
      </c>
      <c r="AJ1224">
        <v>72.029472952357196</v>
      </c>
      <c r="AK1224">
        <v>42.090492726861697</v>
      </c>
      <c r="AL1224">
        <v>86.977377850039503</v>
      </c>
      <c r="AM1224">
        <v>87.267223162634195</v>
      </c>
      <c r="AN1224">
        <v>0.99999996108761802</v>
      </c>
    </row>
    <row r="1225" spans="1:40" x14ac:dyDescent="0.25">
      <c r="A1225" t="str">
        <f>"20190312160622502"</f>
        <v>20190312160622502</v>
      </c>
      <c r="B1225" t="str">
        <f>"1552377982496505"</f>
        <v>1552377982496505</v>
      </c>
      <c r="C1225" t="s">
        <v>40</v>
      </c>
      <c r="D1225">
        <v>5.964118</v>
      </c>
      <c r="E1225">
        <v>0.60245969999999904</v>
      </c>
      <c r="F1225" t="s">
        <v>49</v>
      </c>
      <c r="G1225">
        <v>-168.4014</v>
      </c>
      <c r="H1225">
        <v>4.0653009999999998</v>
      </c>
      <c r="I1225">
        <v>337.34969999999998</v>
      </c>
      <c r="J1225">
        <v>-201.2928</v>
      </c>
      <c r="K1225">
        <v>1.1024830000000001</v>
      </c>
      <c r="L1225">
        <v>363.58659999999998</v>
      </c>
      <c r="M1225">
        <v>0.93503650000000005</v>
      </c>
      <c r="N1225">
        <v>0</v>
      </c>
      <c r="O1225">
        <v>-0.3542382</v>
      </c>
      <c r="P1225">
        <v>0.91682149999999996</v>
      </c>
      <c r="Q1225">
        <v>3.8728980000000003E-2</v>
      </c>
      <c r="R1225">
        <v>-0.39741569999999998</v>
      </c>
      <c r="S1225">
        <v>2.4297029999999999</v>
      </c>
      <c r="T1225">
        <v>0.21781159999999999</v>
      </c>
      <c r="U1225">
        <v>-1.933594</v>
      </c>
      <c r="V1225">
        <v>4.7805100000000003E-2</v>
      </c>
      <c r="W1225">
        <v>5.2747380000000003E-2</v>
      </c>
      <c r="X1225">
        <v>0.99746299999999999</v>
      </c>
      <c r="Y1225">
        <v>0.30518319999999999</v>
      </c>
      <c r="Z1225">
        <v>-1.4576769999999999E-2</v>
      </c>
      <c r="AA1225">
        <v>0.95218210000000003</v>
      </c>
      <c r="AB1225">
        <v>30</v>
      </c>
      <c r="AC1225">
        <v>32.891399999999997</v>
      </c>
      <c r="AD1225">
        <v>2.9628179999999902</v>
      </c>
      <c r="AE1225">
        <v>-26.236899999999899</v>
      </c>
      <c r="AF1225">
        <v>12.818931673450001</v>
      </c>
      <c r="AG1225">
        <v>2.9628179999999902</v>
      </c>
      <c r="AH1225">
        <v>39.855580016564097</v>
      </c>
      <c r="AI1225">
        <v>85.9520145434075</v>
      </c>
      <c r="AJ1225">
        <v>72.170414986029897</v>
      </c>
      <c r="AK1225">
        <v>41.971068108953901</v>
      </c>
      <c r="AL1225">
        <v>86.976394625260895</v>
      </c>
      <c r="AM1225">
        <v>87.256102532160796</v>
      </c>
      <c r="AN1225">
        <v>1.00000002502593</v>
      </c>
    </row>
    <row r="1226" spans="1:40" x14ac:dyDescent="0.25">
      <c r="A1226" t="str">
        <f>"20190312160622515"</f>
        <v>20190312160622515</v>
      </c>
      <c r="B1226" t="str">
        <f>"1552377982506265"</f>
        <v>1552377982506265</v>
      </c>
      <c r="C1226" t="s">
        <v>40</v>
      </c>
      <c r="D1226">
        <v>4.9513989999999897</v>
      </c>
      <c r="E1226">
        <v>0.60177480000000005</v>
      </c>
      <c r="F1226" t="s">
        <v>49</v>
      </c>
      <c r="G1226">
        <v>-168.4015</v>
      </c>
      <c r="H1226">
        <v>4.2299899999999999</v>
      </c>
      <c r="I1226">
        <v>337.3048</v>
      </c>
      <c r="J1226">
        <v>-201.12989999999999</v>
      </c>
      <c r="K1226">
        <v>1.1023879999999999</v>
      </c>
      <c r="L1226">
        <v>363.51940000000002</v>
      </c>
      <c r="M1226">
        <v>0.9330695</v>
      </c>
      <c r="N1226">
        <v>0</v>
      </c>
      <c r="O1226">
        <v>-0.3593865</v>
      </c>
      <c r="P1226">
        <v>0.91441479999999997</v>
      </c>
      <c r="Q1226">
        <v>3.8795679999999999E-2</v>
      </c>
      <c r="R1226">
        <v>-0.40291549999999998</v>
      </c>
      <c r="S1226">
        <v>2.4231569999999998</v>
      </c>
      <c r="T1226">
        <v>0.23040910000000001</v>
      </c>
      <c r="U1226">
        <v>-1.936218</v>
      </c>
      <c r="V1226">
        <v>4.831328E-2</v>
      </c>
      <c r="W1226">
        <v>5.2808809999999998E-2</v>
      </c>
      <c r="X1226">
        <v>0.99743519999999997</v>
      </c>
      <c r="Y1226">
        <v>0.30184460000000002</v>
      </c>
      <c r="Z1226">
        <v>-1.5963379999999999E-2</v>
      </c>
      <c r="AA1226">
        <v>0.9532235</v>
      </c>
      <c r="AB1226">
        <v>30</v>
      </c>
      <c r="AC1226">
        <v>32.728399999999901</v>
      </c>
      <c r="AD1226">
        <v>3.127602</v>
      </c>
      <c r="AE1226">
        <v>-26.214600000000001</v>
      </c>
      <c r="AF1226">
        <v>12.629055740887599</v>
      </c>
      <c r="AG1226">
        <v>3.127602</v>
      </c>
      <c r="AH1226">
        <v>39.742403458461702</v>
      </c>
      <c r="AI1226">
        <v>85.710783095726597</v>
      </c>
      <c r="AJ1226">
        <v>72.371157672904104</v>
      </c>
      <c r="AK1226">
        <v>41.81786192325</v>
      </c>
      <c r="AL1226">
        <v>86.972869838720996</v>
      </c>
      <c r="AM1226">
        <v>87.226902347002095</v>
      </c>
      <c r="AN1226">
        <v>0.99999996081850595</v>
      </c>
    </row>
    <row r="1227" spans="1:40" x14ac:dyDescent="0.25">
      <c r="A1227" t="str">
        <f>"20190312160622529"</f>
        <v>20190312160622529</v>
      </c>
      <c r="B1227" t="str">
        <f>"1552377982516024"</f>
        <v>1552377982516024</v>
      </c>
      <c r="C1227" t="s">
        <v>40</v>
      </c>
      <c r="D1227">
        <v>6.5864479999999999</v>
      </c>
      <c r="E1227">
        <v>0.60098989999999997</v>
      </c>
      <c r="F1227" t="s">
        <v>49</v>
      </c>
      <c r="G1227">
        <v>-168.4015</v>
      </c>
      <c r="H1227">
        <v>4.3274010000000001</v>
      </c>
      <c r="I1227">
        <v>337.13510000000002</v>
      </c>
      <c r="J1227">
        <v>-200.9444</v>
      </c>
      <c r="K1227">
        <v>1.1022799999999999</v>
      </c>
      <c r="L1227">
        <v>363.44110000000001</v>
      </c>
      <c r="M1227">
        <v>0.93074020000000002</v>
      </c>
      <c r="N1227">
        <v>0</v>
      </c>
      <c r="O1227">
        <v>-0.36537550000000002</v>
      </c>
      <c r="P1227">
        <v>0.91153530000000005</v>
      </c>
      <c r="Q1227">
        <v>3.9126149999999998E-2</v>
      </c>
      <c r="R1227">
        <v>-0.40935640000000001</v>
      </c>
      <c r="S1227">
        <v>2.4134060000000002</v>
      </c>
      <c r="T1227">
        <v>0.23781440000000001</v>
      </c>
      <c r="U1227">
        <v>-1.945587</v>
      </c>
      <c r="V1227">
        <v>4.8965580000000002E-2</v>
      </c>
      <c r="W1227">
        <v>5.3132119999999998E-2</v>
      </c>
      <c r="X1227">
        <v>0.99738629999999995</v>
      </c>
      <c r="Y1227">
        <v>0.29986699999999999</v>
      </c>
      <c r="Z1227">
        <v>-1.7045830000000001E-2</v>
      </c>
      <c r="AA1227">
        <v>0.95382869999999997</v>
      </c>
      <c r="AB1227">
        <v>30</v>
      </c>
      <c r="AC1227">
        <v>32.542900000000003</v>
      </c>
      <c r="AD1227">
        <v>3.2251210000000001</v>
      </c>
      <c r="AE1227">
        <v>-26.305999999999901</v>
      </c>
      <c r="AF1227">
        <v>12.520706073564</v>
      </c>
      <c r="AG1227">
        <v>3.2251210000000001</v>
      </c>
      <c r="AH1227">
        <v>39.669370856447998</v>
      </c>
      <c r="AI1227">
        <v>85.566730950553307</v>
      </c>
      <c r="AJ1227">
        <v>72.482921154304293</v>
      </c>
      <c r="AK1227">
        <v>41.723236573780198</v>
      </c>
      <c r="AL1227">
        <v>86.954319740100303</v>
      </c>
      <c r="AM1227">
        <v>87.189383528032394</v>
      </c>
      <c r="AN1227">
        <v>1.0000000408140499</v>
      </c>
    </row>
    <row r="1228" spans="1:40" x14ac:dyDescent="0.25">
      <c r="A1228" t="str">
        <f>"20190312160622541"</f>
        <v>20190312160622541</v>
      </c>
      <c r="B1228" t="str">
        <f>"1552377982536521"</f>
        <v>1552377982536521</v>
      </c>
      <c r="C1228" t="s">
        <v>40</v>
      </c>
      <c r="D1228">
        <v>6.2332169999999998</v>
      </c>
      <c r="E1228">
        <v>0.59954980000000002</v>
      </c>
      <c r="F1228" t="s">
        <v>49</v>
      </c>
      <c r="G1228">
        <v>-168.4016</v>
      </c>
      <c r="H1228">
        <v>4.4531080000000003</v>
      </c>
      <c r="I1228">
        <v>336.93389999999999</v>
      </c>
      <c r="J1228">
        <v>-200.8022</v>
      </c>
      <c r="K1228">
        <v>1.102201</v>
      </c>
      <c r="L1228">
        <v>363.38010000000003</v>
      </c>
      <c r="M1228">
        <v>0.92890240000000002</v>
      </c>
      <c r="N1228">
        <v>0</v>
      </c>
      <c r="O1228">
        <v>-0.37002210000000002</v>
      </c>
      <c r="P1228">
        <v>0.90939309999999995</v>
      </c>
      <c r="Q1228">
        <v>3.9147599999999998E-2</v>
      </c>
      <c r="R1228">
        <v>-0.4140914</v>
      </c>
      <c r="S1228">
        <v>2.401932</v>
      </c>
      <c r="T1228">
        <v>0.24731929999999999</v>
      </c>
      <c r="U1228">
        <v>-1.9564509999999999</v>
      </c>
      <c r="V1228">
        <v>4.9179779999999999E-2</v>
      </c>
      <c r="W1228">
        <v>5.3154029999999998E-2</v>
      </c>
      <c r="X1228">
        <v>0.99737450000000005</v>
      </c>
      <c r="Y1228">
        <v>0.29994539999999997</v>
      </c>
      <c r="Z1228">
        <v>-1.8126150000000001E-2</v>
      </c>
      <c r="AA1228">
        <v>0.95378419999999997</v>
      </c>
      <c r="AB1228">
        <v>30</v>
      </c>
      <c r="AC1228">
        <v>32.400599999999997</v>
      </c>
      <c r="AD1228">
        <v>3.3509069999999999</v>
      </c>
      <c r="AE1228">
        <v>-26.446200000000001</v>
      </c>
      <c r="AF1228">
        <v>12.4981802031939</v>
      </c>
      <c r="AG1228">
        <v>3.3509069999999999</v>
      </c>
      <c r="AH1228">
        <v>39.632727795457697</v>
      </c>
      <c r="AI1228">
        <v>85.389950845843103</v>
      </c>
      <c r="AJ1228">
        <v>72.497331845220401</v>
      </c>
      <c r="AK1228">
        <v>41.6915602805052</v>
      </c>
      <c r="AL1228">
        <v>86.953062328469002</v>
      </c>
      <c r="AM1228">
        <v>87.177074982346397</v>
      </c>
      <c r="AN1228">
        <v>0.999999947458168</v>
      </c>
    </row>
    <row r="1229" spans="1:40" x14ac:dyDescent="0.25">
      <c r="A1229" t="str">
        <f>"20190312160622553"</f>
        <v>20190312160622553</v>
      </c>
      <c r="B1229" t="str">
        <f>"1552377982546280"</f>
        <v>1552377982546280</v>
      </c>
      <c r="C1229" t="s">
        <v>40</v>
      </c>
      <c r="D1229">
        <v>4.9090299999999996</v>
      </c>
      <c r="E1229">
        <v>0.59886349999999999</v>
      </c>
      <c r="F1229" t="s">
        <v>49</v>
      </c>
      <c r="G1229">
        <v>-168.4015</v>
      </c>
      <c r="H1229">
        <v>4.2979979999999998</v>
      </c>
      <c r="I1229">
        <v>336.89499999999998</v>
      </c>
      <c r="J1229">
        <v>-200.6585</v>
      </c>
      <c r="K1229">
        <v>1.1021179999999999</v>
      </c>
      <c r="L1229">
        <v>363.31779999999998</v>
      </c>
      <c r="M1229">
        <v>0.92700300000000002</v>
      </c>
      <c r="N1229">
        <v>0</v>
      </c>
      <c r="O1229">
        <v>-0.37475459999999999</v>
      </c>
      <c r="P1229">
        <v>0.90720559999999995</v>
      </c>
      <c r="Q1229">
        <v>3.930707E-2</v>
      </c>
      <c r="R1229">
        <v>-0.41884700000000002</v>
      </c>
      <c r="S1229">
        <v>2.396652</v>
      </c>
      <c r="T1229">
        <v>0.2363905</v>
      </c>
      <c r="U1229">
        <v>-1.959076</v>
      </c>
      <c r="V1229">
        <v>4.9331859999999998E-2</v>
      </c>
      <c r="W1229">
        <v>5.331545E-2</v>
      </c>
      <c r="X1229">
        <v>0.99735839999999998</v>
      </c>
      <c r="Y1229">
        <v>0.29673870000000002</v>
      </c>
      <c r="Z1229">
        <v>-1.7845880000000001E-2</v>
      </c>
      <c r="AA1229">
        <v>0.95479199999999997</v>
      </c>
      <c r="AB1229">
        <v>30</v>
      </c>
      <c r="AC1229">
        <v>32.256999999999998</v>
      </c>
      <c r="AD1229">
        <v>3.1958799999999998</v>
      </c>
      <c r="AE1229">
        <v>-26.422799999999899</v>
      </c>
      <c r="AF1229">
        <v>12.3344906228354</v>
      </c>
      <c r="AG1229">
        <v>3.1958799999999998</v>
      </c>
      <c r="AH1229">
        <v>39.576382462736497</v>
      </c>
      <c r="AI1229">
        <v>85.591518781286993</v>
      </c>
      <c r="AJ1229">
        <v>72.689680309421107</v>
      </c>
      <c r="AK1229">
        <v>41.576957040360902</v>
      </c>
      <c r="AL1229">
        <v>86.943800590913995</v>
      </c>
      <c r="AM1229">
        <v>87.168314122612003</v>
      </c>
      <c r="AN1229">
        <v>0.99999997383516004</v>
      </c>
    </row>
    <row r="1230" spans="1:40" x14ac:dyDescent="0.25">
      <c r="A1230" t="str">
        <f>"20190312160622564"</f>
        <v>20190312160622564</v>
      </c>
      <c r="B1230" t="str">
        <f>"1552377982556040"</f>
        <v>1552377982556040</v>
      </c>
      <c r="C1230" t="s">
        <v>40</v>
      </c>
      <c r="D1230">
        <v>4.9291970000000003</v>
      </c>
      <c r="E1230">
        <v>0.59853900000000004</v>
      </c>
      <c r="F1230" t="s">
        <v>49</v>
      </c>
      <c r="G1230">
        <v>-168.4015</v>
      </c>
      <c r="H1230">
        <v>4.2195</v>
      </c>
      <c r="I1230">
        <v>336.75970000000001</v>
      </c>
      <c r="J1230">
        <v>-200.5059</v>
      </c>
      <c r="K1230">
        <v>1.1020270000000001</v>
      </c>
      <c r="L1230">
        <v>363.25020000000001</v>
      </c>
      <c r="M1230">
        <v>0.9249153</v>
      </c>
      <c r="N1230">
        <v>0</v>
      </c>
      <c r="O1230">
        <v>-0.37987779999999999</v>
      </c>
      <c r="P1230">
        <v>0.90458660000000002</v>
      </c>
      <c r="Q1230">
        <v>3.9197620000000002E-2</v>
      </c>
      <c r="R1230">
        <v>-0.4244848</v>
      </c>
      <c r="S1230">
        <v>2.3888400000000001</v>
      </c>
      <c r="T1230">
        <v>0.2308625</v>
      </c>
      <c r="U1230">
        <v>-1.9667969999999999</v>
      </c>
      <c r="V1230">
        <v>5.0028589999999998E-2</v>
      </c>
      <c r="W1230">
        <v>5.3197830000000002E-2</v>
      </c>
      <c r="X1230">
        <v>0.99733000000000005</v>
      </c>
      <c r="Y1230">
        <v>0.29483369999999998</v>
      </c>
      <c r="Z1230">
        <v>-1.7911739999999999E-2</v>
      </c>
      <c r="AA1230">
        <v>0.95538069999999997</v>
      </c>
      <c r="AB1230">
        <v>30</v>
      </c>
      <c r="AC1230">
        <v>32.104399999999998</v>
      </c>
      <c r="AD1230">
        <v>3.1174729999999999</v>
      </c>
      <c r="AE1230">
        <v>-26.490500000000001</v>
      </c>
      <c r="AF1230">
        <v>12.2384464934114</v>
      </c>
      <c r="AG1230">
        <v>3.1174729999999999</v>
      </c>
      <c r="AH1230">
        <v>39.5396583854005</v>
      </c>
      <c r="AI1230">
        <v>85.6926851697757</v>
      </c>
      <c r="AJ1230">
        <v>72.801484166083597</v>
      </c>
      <c r="AK1230">
        <v>41.5076233445375</v>
      </c>
      <c r="AL1230">
        <v>86.950549374611995</v>
      </c>
      <c r="AM1230">
        <v>87.128306135277796</v>
      </c>
      <c r="AN1230">
        <v>0.99999999891704805</v>
      </c>
    </row>
    <row r="1231" spans="1:40" x14ac:dyDescent="0.25">
      <c r="A1231" t="str">
        <f>"20190312160622575"</f>
        <v>20190312160622575</v>
      </c>
      <c r="B1231" t="str">
        <f>"1552377982565800"</f>
        <v>1552377982565800</v>
      </c>
      <c r="C1231" t="s">
        <v>40</v>
      </c>
      <c r="D1231">
        <v>5.8287529999999999</v>
      </c>
      <c r="E1231">
        <v>0.59818879999999996</v>
      </c>
      <c r="F1231" t="s">
        <v>49</v>
      </c>
      <c r="G1231">
        <v>-168.4014</v>
      </c>
      <c r="H1231">
        <v>4.1504909999999997</v>
      </c>
      <c r="I1231">
        <v>336.51679999999999</v>
      </c>
      <c r="J1231">
        <v>-200.37459999999999</v>
      </c>
      <c r="K1231">
        <v>1.1019429999999999</v>
      </c>
      <c r="L1231">
        <v>363.19159999999999</v>
      </c>
      <c r="M1231">
        <v>0.92308480000000004</v>
      </c>
      <c r="N1231">
        <v>0</v>
      </c>
      <c r="O1231">
        <v>-0.38430389999999998</v>
      </c>
      <c r="P1231">
        <v>0.90231110000000003</v>
      </c>
      <c r="Q1231">
        <v>3.8871219999999998E-2</v>
      </c>
      <c r="R1231">
        <v>-0.42932969999999998</v>
      </c>
      <c r="S1231">
        <v>2.3776090000000001</v>
      </c>
      <c r="T1231">
        <v>0.2257651</v>
      </c>
      <c r="U1231">
        <v>-1.9798279999999999</v>
      </c>
      <c r="V1231">
        <v>5.0598129999999998E-2</v>
      </c>
      <c r="W1231">
        <v>5.2864040000000001E-2</v>
      </c>
      <c r="X1231">
        <v>0.99731899999999996</v>
      </c>
      <c r="Y1231">
        <v>0.29556749999999998</v>
      </c>
      <c r="Z1231">
        <v>-1.7835489999999999E-2</v>
      </c>
      <c r="AA1231">
        <v>0.95515539999999999</v>
      </c>
      <c r="AB1231">
        <v>30</v>
      </c>
      <c r="AC1231">
        <v>31.973199999999899</v>
      </c>
      <c r="AD1231">
        <v>3.0485479999999998</v>
      </c>
      <c r="AE1231">
        <v>-26.674800000000001</v>
      </c>
      <c r="AF1231">
        <v>12.271288420873301</v>
      </c>
      <c r="AG1231">
        <v>3.0485479999999998</v>
      </c>
      <c r="AH1231">
        <v>39.557642116731699</v>
      </c>
      <c r="AI1231">
        <v>85.790295972604099</v>
      </c>
      <c r="AJ1231">
        <v>72.765438931507404</v>
      </c>
      <c r="AK1231">
        <v>41.529329566608602</v>
      </c>
      <c r="AL1231">
        <v>86.969701032486398</v>
      </c>
      <c r="AM1231">
        <v>87.095637618089498</v>
      </c>
      <c r="AN1231">
        <v>0.99999998262280898</v>
      </c>
    </row>
    <row r="1232" spans="1:40" x14ac:dyDescent="0.25">
      <c r="A1232" t="str">
        <f>"20190312160622585"</f>
        <v>20190312160622585</v>
      </c>
      <c r="B1232" t="str">
        <f>"1552377982576536"</f>
        <v>1552377982576536</v>
      </c>
      <c r="C1232" t="s">
        <v>40</v>
      </c>
      <c r="D1232">
        <v>5.4008399999999996</v>
      </c>
      <c r="E1232">
        <v>0.59866960000000002</v>
      </c>
      <c r="F1232" t="s">
        <v>49</v>
      </c>
      <c r="G1232">
        <v>-168.4014</v>
      </c>
      <c r="H1232">
        <v>4.1407489999999996</v>
      </c>
      <c r="I1232">
        <v>336.32619999999997</v>
      </c>
      <c r="J1232">
        <v>-200.2432</v>
      </c>
      <c r="K1232">
        <v>1.101861</v>
      </c>
      <c r="L1232">
        <v>363.13159999999999</v>
      </c>
      <c r="M1232">
        <v>0.92118869999999997</v>
      </c>
      <c r="N1232">
        <v>0</v>
      </c>
      <c r="O1232">
        <v>-0.38882650000000002</v>
      </c>
      <c r="P1232">
        <v>0.89994289999999999</v>
      </c>
      <c r="Q1232">
        <v>3.848907E-2</v>
      </c>
      <c r="R1232">
        <v>-0.43430609999999997</v>
      </c>
      <c r="S1232">
        <v>2.368271</v>
      </c>
      <c r="T1232">
        <v>0.22508619999999999</v>
      </c>
      <c r="U1232">
        <v>-1.9899290000000001</v>
      </c>
      <c r="V1232">
        <v>5.121117E-2</v>
      </c>
      <c r="W1232">
        <v>5.2474529999999998E-2</v>
      </c>
      <c r="X1232">
        <v>0.99730830000000004</v>
      </c>
      <c r="Y1232">
        <v>0.29513420000000001</v>
      </c>
      <c r="Z1232">
        <v>-1.815081E-2</v>
      </c>
      <c r="AA1232">
        <v>0.9552834</v>
      </c>
      <c r="AB1232">
        <v>30</v>
      </c>
      <c r="AC1232">
        <v>31.841799999999999</v>
      </c>
      <c r="AD1232">
        <v>3.038888</v>
      </c>
      <c r="AE1232">
        <v>-26.805399999999999</v>
      </c>
      <c r="AF1232">
        <v>12.2479944874192</v>
      </c>
      <c r="AG1232">
        <v>3.038888</v>
      </c>
      <c r="AH1232">
        <v>39.548619256917199</v>
      </c>
      <c r="AI1232">
        <v>85.802020699132498</v>
      </c>
      <c r="AJ1232">
        <v>72.792528298374407</v>
      </c>
      <c r="AK1232">
        <v>41.513148451653201</v>
      </c>
      <c r="AL1232">
        <v>86.992049391880201</v>
      </c>
      <c r="AM1232">
        <v>87.060478625562197</v>
      </c>
      <c r="AN1232">
        <v>1.0000000027401801</v>
      </c>
    </row>
    <row r="1233" spans="1:40" x14ac:dyDescent="0.25">
      <c r="A1233" t="str">
        <f>"20190312160622596"</f>
        <v>20190312160622596</v>
      </c>
      <c r="B1233" t="str">
        <f>"1552377982586297"</f>
        <v>1552377982586297</v>
      </c>
      <c r="C1233" t="s">
        <v>40</v>
      </c>
      <c r="D1233">
        <v>5.3077560000000004</v>
      </c>
      <c r="E1233">
        <v>0.59866960000000002</v>
      </c>
      <c r="F1233" t="s">
        <v>49</v>
      </c>
      <c r="G1233">
        <v>-168.4015</v>
      </c>
      <c r="H1233">
        <v>4.2017879999999996</v>
      </c>
      <c r="I1233">
        <v>336.017</v>
      </c>
      <c r="J1233">
        <v>-200.11840000000001</v>
      </c>
      <c r="K1233">
        <v>1.101785</v>
      </c>
      <c r="L1233">
        <v>363.07429999999999</v>
      </c>
      <c r="M1233">
        <v>0.91935860000000003</v>
      </c>
      <c r="N1233">
        <v>0</v>
      </c>
      <c r="O1233">
        <v>-0.39313320000000002</v>
      </c>
      <c r="P1233">
        <v>0.89760599999999902</v>
      </c>
      <c r="Q1233">
        <v>3.7774139999999998E-2</v>
      </c>
      <c r="R1233">
        <v>-0.4391777</v>
      </c>
      <c r="S1233">
        <v>2.355667</v>
      </c>
      <c r="T1233">
        <v>0.2293346</v>
      </c>
      <c r="U1233">
        <v>-2.005951</v>
      </c>
      <c r="V1233">
        <v>5.1933460000000001E-2</v>
      </c>
      <c r="W1233">
        <v>5.1749299999999998E-2</v>
      </c>
      <c r="X1233">
        <v>0.99730890000000005</v>
      </c>
      <c r="Y1233">
        <v>0.29696549999999999</v>
      </c>
      <c r="Z1233">
        <v>-1.8760389999999998E-2</v>
      </c>
      <c r="AA1233">
        <v>0.95470390000000005</v>
      </c>
      <c r="AB1233">
        <v>30</v>
      </c>
      <c r="AC1233">
        <v>31.716899999999999</v>
      </c>
      <c r="AD1233">
        <v>3.1000030000000001</v>
      </c>
      <c r="AE1233">
        <v>-27.057300000000001</v>
      </c>
      <c r="AF1233">
        <v>12.3395700023902</v>
      </c>
      <c r="AG1233">
        <v>3.1000030000000001</v>
      </c>
      <c r="AH1233">
        <v>39.5819711853947</v>
      </c>
      <c r="AI1233">
        <v>85.723979467501195</v>
      </c>
      <c r="AJ1233">
        <v>72.685276919251095</v>
      </c>
      <c r="AK1233">
        <v>41.576525219952103</v>
      </c>
      <c r="AL1233">
        <v>87.033658711825495</v>
      </c>
      <c r="AM1233">
        <v>87.0190952218055</v>
      </c>
      <c r="AN1233">
        <v>1.0000000581686299</v>
      </c>
    </row>
    <row r="1234" spans="1:40" x14ac:dyDescent="0.25">
      <c r="A1234" t="str">
        <f>"20190312160622606"</f>
        <v>20190312160622606</v>
      </c>
      <c r="B1234" t="str">
        <f>"1552377982596056"</f>
        <v>1552377982596056</v>
      </c>
      <c r="C1234" t="s">
        <v>40</v>
      </c>
      <c r="D1234">
        <v>5.0244790000000004</v>
      </c>
      <c r="E1234">
        <v>0.62550989999999995</v>
      </c>
      <c r="F1234" t="s">
        <v>49</v>
      </c>
      <c r="G1234">
        <v>-168.4014</v>
      </c>
      <c r="H1234">
        <v>4.1740259999999996</v>
      </c>
      <c r="I1234">
        <v>335.7697</v>
      </c>
      <c r="J1234">
        <v>-199.97909999999999</v>
      </c>
      <c r="K1234">
        <v>1.1016950000000001</v>
      </c>
      <c r="L1234">
        <v>363.00909999999999</v>
      </c>
      <c r="M1234">
        <v>0.91725279999999998</v>
      </c>
      <c r="N1234">
        <v>0</v>
      </c>
      <c r="O1234">
        <v>-0.39802080000000001</v>
      </c>
      <c r="P1234">
        <v>0.89486350000000003</v>
      </c>
      <c r="Q1234">
        <v>3.757046E-2</v>
      </c>
      <c r="R1234">
        <v>-0.44475559999999997</v>
      </c>
      <c r="S1234">
        <v>2.3449550000000001</v>
      </c>
      <c r="T1234">
        <v>0.22714300000000001</v>
      </c>
      <c r="U1234">
        <v>-2.0187379999999999</v>
      </c>
      <c r="V1234">
        <v>5.2836080000000001E-2</v>
      </c>
      <c r="W1234">
        <v>5.1532620000000001E-2</v>
      </c>
      <c r="X1234">
        <v>0.99727270000000001</v>
      </c>
      <c r="Y1234">
        <v>0.29703669999999999</v>
      </c>
      <c r="Z1234">
        <v>-1.8959650000000002E-2</v>
      </c>
      <c r="AA1234">
        <v>0.95467780000000002</v>
      </c>
      <c r="AB1234">
        <v>30</v>
      </c>
      <c r="AC1234">
        <v>31.5777</v>
      </c>
      <c r="AD1234">
        <v>3.0723310000000001</v>
      </c>
      <c r="AE1234">
        <v>-27.2393999999999</v>
      </c>
      <c r="AF1234">
        <v>12.351205889039299</v>
      </c>
      <c r="AG1234">
        <v>3.0723310000000001</v>
      </c>
      <c r="AH1234">
        <v>39.596185642429298</v>
      </c>
      <c r="AI1234">
        <v>85.763743536032294</v>
      </c>
      <c r="AJ1234">
        <v>72.6757758072238</v>
      </c>
      <c r="AK1234">
        <v>41.591458523556497</v>
      </c>
      <c r="AL1234">
        <v>87.046090124201797</v>
      </c>
      <c r="AM1234">
        <v>86.967272160317407</v>
      </c>
      <c r="AN1234">
        <v>1.0000000502195501</v>
      </c>
    </row>
    <row r="1235" spans="1:40" x14ac:dyDescent="0.25">
      <c r="A1235" t="str">
        <f>"20190312160622618"</f>
        <v>20190312160622618</v>
      </c>
      <c r="B1235" t="str">
        <f>"1552377982605815"</f>
        <v>1552377982605815</v>
      </c>
      <c r="C1235" t="s">
        <v>40</v>
      </c>
      <c r="D1235">
        <v>6.5587419999999996</v>
      </c>
      <c r="E1235">
        <v>0.6347933</v>
      </c>
      <c r="F1235" t="s">
        <v>49</v>
      </c>
      <c r="G1235">
        <v>-168.40309999999999</v>
      </c>
      <c r="H1235">
        <v>9.2950739999999996</v>
      </c>
      <c r="I1235">
        <v>331.78140000000002</v>
      </c>
      <c r="J1235">
        <v>-199.84559999999999</v>
      </c>
      <c r="K1235">
        <v>1.1016140000000001</v>
      </c>
      <c r="L1235">
        <v>362.94600000000003</v>
      </c>
      <c r="M1235">
        <v>0.91519079999999997</v>
      </c>
      <c r="N1235">
        <v>0</v>
      </c>
      <c r="O1235">
        <v>-0.40273930000000002</v>
      </c>
      <c r="P1235">
        <v>0.89215610000000001</v>
      </c>
      <c r="Q1235">
        <v>3.7271569999999997E-2</v>
      </c>
      <c r="R1235">
        <v>-0.45018740000000002</v>
      </c>
      <c r="S1235">
        <v>2.2313689999999999</v>
      </c>
      <c r="T1235">
        <v>0.5789995</v>
      </c>
      <c r="U1235">
        <v>-2.2067570000000001</v>
      </c>
      <c r="V1235">
        <v>5.3762190000000001E-2</v>
      </c>
      <c r="W1235">
        <v>5.1220719999999997E-2</v>
      </c>
      <c r="X1235">
        <v>0.99723919999999999</v>
      </c>
      <c r="Y1235">
        <v>0.35762179999999999</v>
      </c>
      <c r="Z1235">
        <v>-4.2670909999999999E-2</v>
      </c>
      <c r="AA1235">
        <v>0.93289109999999997</v>
      </c>
      <c r="AB1235">
        <v>30</v>
      </c>
      <c r="AC1235">
        <v>31.4424999999999</v>
      </c>
      <c r="AD1235">
        <v>8.19346</v>
      </c>
      <c r="AE1235">
        <v>-31.164599999999901</v>
      </c>
      <c r="AF1235">
        <v>15.3349435500668</v>
      </c>
      <c r="AG1235">
        <v>8.19346</v>
      </c>
      <c r="AH1235">
        <v>39.962902517838401</v>
      </c>
      <c r="AI1235">
        <v>79.163667278233603</v>
      </c>
      <c r="AJ1235">
        <v>69.006719949311503</v>
      </c>
      <c r="AK1235">
        <v>43.581267284299997</v>
      </c>
      <c r="AL1235">
        <v>87.063984098626705</v>
      </c>
      <c r="AM1235">
        <v>86.914112944016296</v>
      </c>
      <c r="AN1235">
        <v>0.99999997862377699</v>
      </c>
    </row>
    <row r="1236" spans="1:40" x14ac:dyDescent="0.25">
      <c r="A1236" t="str">
        <f>"20190312160622630"</f>
        <v>20190312160622630</v>
      </c>
      <c r="B1236" t="str">
        <f>"1552377982626314"</f>
        <v>1552377982626314</v>
      </c>
      <c r="C1236" t="s">
        <v>40</v>
      </c>
      <c r="D1236">
        <v>5.3225850000000001</v>
      </c>
      <c r="E1236">
        <v>0.62612419999999902</v>
      </c>
      <c r="F1236" t="s">
        <v>49</v>
      </c>
      <c r="G1236">
        <v>-168.40899999999999</v>
      </c>
      <c r="H1236">
        <v>10.352449999999999</v>
      </c>
      <c r="I1236">
        <v>330.07339999999999</v>
      </c>
      <c r="J1236">
        <v>-199.70330000000001</v>
      </c>
      <c r="K1236">
        <v>1.1015280000000001</v>
      </c>
      <c r="L1236">
        <v>362.87759999999997</v>
      </c>
      <c r="M1236">
        <v>0.91293530000000001</v>
      </c>
      <c r="N1236">
        <v>0</v>
      </c>
      <c r="O1236">
        <v>-0.4078253</v>
      </c>
      <c r="P1236">
        <v>0.8893411</v>
      </c>
      <c r="Q1236">
        <v>3.6960489999999999E-2</v>
      </c>
      <c r="R1236">
        <v>-0.45574819999999999</v>
      </c>
      <c r="S1236">
        <v>2.1836090000000001</v>
      </c>
      <c r="T1236">
        <v>0.64257129999999996</v>
      </c>
      <c r="U1236">
        <v>-2.2833559999999999</v>
      </c>
      <c r="V1236">
        <v>5.4438050000000002E-2</v>
      </c>
      <c r="W1236">
        <v>5.0900699999999903E-2</v>
      </c>
      <c r="X1236">
        <v>0.99721899999999997</v>
      </c>
      <c r="Y1236">
        <v>0.3781429</v>
      </c>
      <c r="Z1236">
        <v>-4.5951230000000003E-2</v>
      </c>
      <c r="AA1236">
        <v>0.92460609999999999</v>
      </c>
      <c r="AB1236">
        <v>30</v>
      </c>
      <c r="AC1236">
        <v>31.2943</v>
      </c>
      <c r="AD1236">
        <v>9.2509219999999992</v>
      </c>
      <c r="AE1236">
        <v>-32.804199999999902</v>
      </c>
      <c r="AF1236">
        <v>16.500457306406101</v>
      </c>
      <c r="AG1236">
        <v>9.2509219999999992</v>
      </c>
      <c r="AH1236">
        <v>40.275923030525497</v>
      </c>
      <c r="AI1236">
        <v>78.000726180958907</v>
      </c>
      <c r="AJ1236">
        <v>67.721804204761398</v>
      </c>
      <c r="AK1236">
        <v>44.497130526938797</v>
      </c>
      <c r="AL1236">
        <v>87.082344076343503</v>
      </c>
      <c r="AM1236">
        <v>86.875332593988304</v>
      </c>
      <c r="AN1236">
        <v>1.00000005825464</v>
      </c>
    </row>
    <row r="1237" spans="1:40" x14ac:dyDescent="0.25">
      <c r="A1237" t="str">
        <f>"20190312160622641"</f>
        <v>20190312160622641</v>
      </c>
      <c r="B1237" t="str">
        <f>"1552377982636072"</f>
        <v>1552377982636072</v>
      </c>
      <c r="C1237" t="s">
        <v>40</v>
      </c>
      <c r="D1237">
        <v>6.28498</v>
      </c>
      <c r="E1237">
        <v>0.62571869999999996</v>
      </c>
      <c r="F1237" t="s">
        <v>49</v>
      </c>
      <c r="G1237">
        <v>-168.40280000000001</v>
      </c>
      <c r="H1237">
        <v>8.4741909999999994</v>
      </c>
      <c r="I1237">
        <v>331.02589999999998</v>
      </c>
      <c r="J1237">
        <v>-199.56110000000001</v>
      </c>
      <c r="K1237">
        <v>1.1014440000000001</v>
      </c>
      <c r="L1237">
        <v>362.80799999999999</v>
      </c>
      <c r="M1237">
        <v>0.91061510000000001</v>
      </c>
      <c r="N1237">
        <v>0</v>
      </c>
      <c r="O1237">
        <v>-0.41297929999999999</v>
      </c>
      <c r="P1237">
        <v>0.88644659999999997</v>
      </c>
      <c r="Q1237">
        <v>3.6888320000000002E-2</v>
      </c>
      <c r="R1237">
        <v>-0.46135900000000002</v>
      </c>
      <c r="S1237">
        <v>2.2029420000000002</v>
      </c>
      <c r="T1237">
        <v>0.51889180000000001</v>
      </c>
      <c r="U1237">
        <v>-2.24173</v>
      </c>
      <c r="V1237">
        <v>5.5110659999999999E-2</v>
      </c>
      <c r="W1237">
        <v>5.0820690000000002E-2</v>
      </c>
      <c r="X1237">
        <v>0.99718609999999996</v>
      </c>
      <c r="Y1237">
        <v>0.36046450000000002</v>
      </c>
      <c r="Z1237">
        <v>-3.9835219999999998E-2</v>
      </c>
      <c r="AA1237">
        <v>0.93192200000000003</v>
      </c>
      <c r="AB1237">
        <v>30</v>
      </c>
      <c r="AC1237">
        <v>31.158300000000001</v>
      </c>
      <c r="AD1237">
        <v>7.3727470000000004</v>
      </c>
      <c r="AE1237">
        <v>-31.7821</v>
      </c>
      <c r="AF1237">
        <v>15.646031873164199</v>
      </c>
      <c r="AG1237">
        <v>7.3727470000000004</v>
      </c>
      <c r="AH1237">
        <v>40.394862048414097</v>
      </c>
      <c r="AI1237">
        <v>80.341025229868393</v>
      </c>
      <c r="AJ1237">
        <v>68.827255368900197</v>
      </c>
      <c r="AK1237">
        <v>43.9420139685528</v>
      </c>
      <c r="AL1237">
        <v>87.086934148550895</v>
      </c>
      <c r="AM1237">
        <v>86.836699499352406</v>
      </c>
      <c r="AN1237">
        <v>1.00000002270546</v>
      </c>
    </row>
    <row r="1238" spans="1:40" x14ac:dyDescent="0.25">
      <c r="A1238" t="str">
        <f>"20190312160622652"</f>
        <v>20190312160622652</v>
      </c>
      <c r="B1238" t="str">
        <f>"1552377982645832"</f>
        <v>1552377982645832</v>
      </c>
      <c r="C1238" t="s">
        <v>40</v>
      </c>
      <c r="D1238">
        <v>5.2844179999999996</v>
      </c>
      <c r="E1238">
        <v>0.62270119999999995</v>
      </c>
      <c r="F1238" t="s">
        <v>49</v>
      </c>
      <c r="G1238">
        <v>-168.40280000000001</v>
      </c>
      <c r="H1238">
        <v>8.3842440000000007</v>
      </c>
      <c r="I1238">
        <v>330.74549999999999</v>
      </c>
      <c r="J1238">
        <v>-199.42580000000001</v>
      </c>
      <c r="K1238">
        <v>1.1013630000000001</v>
      </c>
      <c r="L1238">
        <v>362.74130000000002</v>
      </c>
      <c r="M1238">
        <v>0.90836289999999997</v>
      </c>
      <c r="N1238">
        <v>0</v>
      </c>
      <c r="O1238">
        <v>-0.41790959999999999</v>
      </c>
      <c r="P1238">
        <v>0.88357889999999994</v>
      </c>
      <c r="Q1238">
        <v>3.6974970000000003E-2</v>
      </c>
      <c r="R1238">
        <v>-0.46682040000000002</v>
      </c>
      <c r="S1238">
        <v>2.1900789999999999</v>
      </c>
      <c r="T1238">
        <v>0.51189979999999902</v>
      </c>
      <c r="U1238">
        <v>-2.2536320000000001</v>
      </c>
      <c r="V1238">
        <v>5.5872400000000003E-2</v>
      </c>
      <c r="W1238">
        <v>5.0895929999999999E-2</v>
      </c>
      <c r="X1238">
        <v>0.99713989999999997</v>
      </c>
      <c r="Y1238">
        <v>0.3606434</v>
      </c>
      <c r="Z1238">
        <v>-4.0161580000000002E-2</v>
      </c>
      <c r="AA1238">
        <v>0.93183870000000002</v>
      </c>
      <c r="AB1238">
        <v>30</v>
      </c>
      <c r="AC1238">
        <v>31.023</v>
      </c>
      <c r="AD1238">
        <v>7.2828809999999997</v>
      </c>
      <c r="AE1238">
        <v>-31.995799999999999</v>
      </c>
      <c r="AF1238">
        <v>15.6820381093015</v>
      </c>
      <c r="AG1238">
        <v>7.2828809999999997</v>
      </c>
      <c r="AH1238">
        <v>40.475346008210202</v>
      </c>
      <c r="AI1238">
        <v>80.475584263857797</v>
      </c>
      <c r="AJ1238">
        <v>68.821307115910002</v>
      </c>
      <c r="AK1238">
        <v>44.013864967826699</v>
      </c>
      <c r="AL1238">
        <v>87.082617709172894</v>
      </c>
      <c r="AM1238">
        <v>86.792918698876207</v>
      </c>
      <c r="AN1238">
        <v>1.00000005047216</v>
      </c>
    </row>
    <row r="1239" spans="1:40" x14ac:dyDescent="0.25">
      <c r="A1239" t="str">
        <f>"20190312160622664"</f>
        <v>20190312160622664</v>
      </c>
      <c r="B1239" t="str">
        <f>"1552377982656568"</f>
        <v>1552377982656568</v>
      </c>
      <c r="C1239" t="s">
        <v>40</v>
      </c>
      <c r="D1239">
        <v>6.3111709999999999</v>
      </c>
      <c r="E1239">
        <v>0.62437010000000004</v>
      </c>
      <c r="F1239" t="s">
        <v>49</v>
      </c>
      <c r="G1239">
        <v>-169.6942</v>
      </c>
      <c r="H1239">
        <v>7.8125159999999996</v>
      </c>
      <c r="I1239">
        <v>332.21260000000001</v>
      </c>
      <c r="J1239">
        <v>-199.28800000000001</v>
      </c>
      <c r="K1239">
        <v>1.10128</v>
      </c>
      <c r="L1239">
        <v>362.67180000000002</v>
      </c>
      <c r="M1239">
        <v>0.90599110000000005</v>
      </c>
      <c r="N1239">
        <v>0</v>
      </c>
      <c r="O1239">
        <v>-0.42302630000000002</v>
      </c>
      <c r="P1239">
        <v>0.88073469999999998</v>
      </c>
      <c r="Q1239">
        <v>3.6830979999999999E-2</v>
      </c>
      <c r="R1239">
        <v>-0.47217569999999998</v>
      </c>
      <c r="S1239">
        <v>2.1877749999999998</v>
      </c>
      <c r="T1239">
        <v>0.493836</v>
      </c>
      <c r="U1239">
        <v>-2.246429</v>
      </c>
      <c r="V1239">
        <v>5.6306509999999997E-2</v>
      </c>
      <c r="W1239">
        <v>5.0749259999999997E-2</v>
      </c>
      <c r="X1239">
        <v>0.99712290000000003</v>
      </c>
      <c r="Y1239">
        <v>0.35446119999999998</v>
      </c>
      <c r="Z1239">
        <v>-4.0199789999999999E-2</v>
      </c>
      <c r="AA1239">
        <v>0.93420619999999999</v>
      </c>
      <c r="AB1239">
        <v>30</v>
      </c>
      <c r="AC1239">
        <v>29.593799999999899</v>
      </c>
      <c r="AD1239">
        <v>6.7112360000000004</v>
      </c>
      <c r="AE1239">
        <v>-30.459199999999999</v>
      </c>
      <c r="AF1239">
        <v>14.711148559812401</v>
      </c>
      <c r="AG1239">
        <v>6.7112360000000004</v>
      </c>
      <c r="AH1239">
        <v>38.733991249034197</v>
      </c>
      <c r="AI1239">
        <v>80.799375478898895</v>
      </c>
      <c r="AJ1239">
        <v>69.203250452476297</v>
      </c>
      <c r="AK1239">
        <v>41.973570954552201</v>
      </c>
      <c r="AL1239">
        <v>87.091031990571295</v>
      </c>
      <c r="AM1239">
        <v>86.767998377654607</v>
      </c>
      <c r="AN1239">
        <v>0.99999999408166895</v>
      </c>
    </row>
    <row r="1240" spans="1:40" x14ac:dyDescent="0.25">
      <c r="A1240" t="str">
        <f>"20190312160622677"</f>
        <v>20190312160622677</v>
      </c>
      <c r="B1240" t="str">
        <f>"1552377982666328"</f>
        <v>1552377982666328</v>
      </c>
      <c r="C1240" t="s">
        <v>40</v>
      </c>
      <c r="D1240">
        <v>6.3465949999999998</v>
      </c>
      <c r="E1240">
        <v>0.62406450000000002</v>
      </c>
      <c r="F1240" t="s">
        <v>49</v>
      </c>
      <c r="G1240">
        <v>-169.6943</v>
      </c>
      <c r="H1240">
        <v>7.9270899999999997</v>
      </c>
      <c r="I1240">
        <v>331.67200000000003</v>
      </c>
      <c r="J1240">
        <v>-199.1422</v>
      </c>
      <c r="K1240">
        <v>1.101194</v>
      </c>
      <c r="L1240">
        <v>362.5976</v>
      </c>
      <c r="M1240">
        <v>0.90343209999999996</v>
      </c>
      <c r="N1240">
        <v>0</v>
      </c>
      <c r="O1240">
        <v>-0.42846339999999999</v>
      </c>
      <c r="P1240">
        <v>0.87758930000000002</v>
      </c>
      <c r="Q1240">
        <v>3.6531340000000002E-2</v>
      </c>
      <c r="R1240">
        <v>-0.47801929999999998</v>
      </c>
      <c r="S1240">
        <v>2.1678769999999998</v>
      </c>
      <c r="T1240">
        <v>0.50002239999999998</v>
      </c>
      <c r="U1240">
        <v>-2.2708740000000001</v>
      </c>
      <c r="V1240">
        <v>5.6940850000000001E-2</v>
      </c>
      <c r="W1240">
        <v>5.0441609999999998E-2</v>
      </c>
      <c r="X1240">
        <v>0.9971025</v>
      </c>
      <c r="Y1240">
        <v>0.35818299999999997</v>
      </c>
      <c r="Z1240">
        <v>-4.1286160000000002E-2</v>
      </c>
      <c r="AA1240">
        <v>0.93273810000000001</v>
      </c>
      <c r="AB1240">
        <v>30</v>
      </c>
      <c r="AC1240">
        <v>29.447900000000001</v>
      </c>
      <c r="AD1240">
        <v>6.8258960000000002</v>
      </c>
      <c r="AE1240">
        <v>-30.925599999999999</v>
      </c>
      <c r="AF1240">
        <v>14.9418227896088</v>
      </c>
      <c r="AG1240">
        <v>6.8258960000000002</v>
      </c>
      <c r="AH1240">
        <v>38.866196893448802</v>
      </c>
      <c r="AI1240">
        <v>80.690374120559696</v>
      </c>
      <c r="AJ1240">
        <v>68.971112262630896</v>
      </c>
      <c r="AK1240">
        <v>42.195167797263501</v>
      </c>
      <c r="AL1240">
        <v>87.108681676823494</v>
      </c>
      <c r="AM1240">
        <v>86.731598945993596</v>
      </c>
      <c r="AN1240">
        <v>1.0000000059621801</v>
      </c>
    </row>
    <row r="1241" spans="1:40" x14ac:dyDescent="0.25">
      <c r="A1241" t="str">
        <f>"20190312160622688"</f>
        <v>20190312160622688</v>
      </c>
      <c r="B1241" t="str">
        <f>"1552377982676088"</f>
        <v>1552377982676088</v>
      </c>
      <c r="C1241" t="s">
        <v>40</v>
      </c>
      <c r="D1241">
        <v>6.2907380000000002</v>
      </c>
      <c r="E1241">
        <v>0.62367249999999996</v>
      </c>
      <c r="F1241" t="s">
        <v>44</v>
      </c>
      <c r="G1241">
        <v>-198.59710000000001</v>
      </c>
      <c r="H1241">
        <v>1.2239249999999999</v>
      </c>
      <c r="I1241">
        <v>362.01949999999999</v>
      </c>
      <c r="J1241">
        <v>-198.9991</v>
      </c>
      <c r="K1241">
        <v>1.101105</v>
      </c>
      <c r="L1241">
        <v>362.52319999999997</v>
      </c>
      <c r="M1241">
        <v>0.90083709999999995</v>
      </c>
      <c r="N1241">
        <v>0</v>
      </c>
      <c r="O1241">
        <v>-0.43389240000000001</v>
      </c>
      <c r="P1241">
        <v>0.87440869999999904</v>
      </c>
      <c r="Q1241">
        <v>3.6251369999999998E-2</v>
      </c>
      <c r="R1241">
        <v>-0.48383470000000001</v>
      </c>
      <c r="S1241">
        <v>2.1542050000000001</v>
      </c>
      <c r="T1241">
        <v>0.48485109999999898</v>
      </c>
      <c r="U1241">
        <v>-2.2839360000000002</v>
      </c>
      <c r="V1241">
        <v>5.7559600000000002E-2</v>
      </c>
      <c r="W1241">
        <v>5.0154440000000002E-2</v>
      </c>
      <c r="X1241">
        <v>0.99708149999999995</v>
      </c>
      <c r="Y1241">
        <v>0.35820190000000002</v>
      </c>
      <c r="Z1241">
        <v>-4.0953709999999997E-2</v>
      </c>
      <c r="AA1241">
        <v>0.93274550000000001</v>
      </c>
      <c r="AB1241">
        <v>30</v>
      </c>
      <c r="AC1241">
        <v>0.40199999999998598</v>
      </c>
      <c r="AD1241">
        <v>0.122819999999999</v>
      </c>
      <c r="AE1241">
        <v>-0.50369999999998005</v>
      </c>
      <c r="AF1241">
        <v>0.26956803749246799</v>
      </c>
      <c r="AG1241">
        <v>0.122819999999999</v>
      </c>
      <c r="AH1241">
        <v>0.56040057174119495</v>
      </c>
      <c r="AI1241">
        <v>78.827711386532897</v>
      </c>
      <c r="AJ1241">
        <v>64.311170010329207</v>
      </c>
      <c r="AK1241">
        <v>0.633877338327692</v>
      </c>
      <c r="AL1241">
        <v>87.125156275009999</v>
      </c>
      <c r="AM1241">
        <v>86.696091561062602</v>
      </c>
      <c r="AN1241">
        <v>1.0000000465230601</v>
      </c>
    </row>
    <row r="1242" spans="1:40" x14ac:dyDescent="0.25">
      <c r="A1242" t="str">
        <f>"20190312160622700"</f>
        <v>20190312160622700</v>
      </c>
      <c r="B1242" t="str">
        <f>"1552377982696586"</f>
        <v>1552377982696586</v>
      </c>
      <c r="C1242" t="s">
        <v>40</v>
      </c>
      <c r="D1242">
        <v>6.4035149999999996</v>
      </c>
      <c r="E1242">
        <v>0.62315120000000002</v>
      </c>
      <c r="F1242" t="s">
        <v>49</v>
      </c>
      <c r="G1242">
        <v>-169.6942</v>
      </c>
      <c r="H1242">
        <v>7.6063859999999996</v>
      </c>
      <c r="I1242">
        <v>331.09109999999998</v>
      </c>
      <c r="J1242">
        <v>-198.86160000000001</v>
      </c>
      <c r="K1242">
        <v>1.1010180000000001</v>
      </c>
      <c r="L1242">
        <v>362.45080000000002</v>
      </c>
      <c r="M1242">
        <v>0.89828349999999901</v>
      </c>
      <c r="N1242">
        <v>0</v>
      </c>
      <c r="O1242">
        <v>-0.43915379999999998</v>
      </c>
      <c r="P1242">
        <v>0.87136800000000003</v>
      </c>
      <c r="Q1242">
        <v>3.6154529999999997E-2</v>
      </c>
      <c r="R1242">
        <v>-0.48929640000000002</v>
      </c>
      <c r="S1242">
        <v>2.140701</v>
      </c>
      <c r="T1242">
        <v>0.47520489999999999</v>
      </c>
      <c r="U1242">
        <v>-2.2960820000000002</v>
      </c>
      <c r="V1242">
        <v>5.797335E-2</v>
      </c>
      <c r="W1242">
        <v>5.0054920000000003E-2</v>
      </c>
      <c r="X1242">
        <v>0.99706249999999996</v>
      </c>
      <c r="Y1242">
        <v>0.35816320000000001</v>
      </c>
      <c r="Z1242">
        <v>-4.1018550000000001E-2</v>
      </c>
      <c r="AA1242">
        <v>0.93275759999999996</v>
      </c>
      <c r="AB1242">
        <v>30</v>
      </c>
      <c r="AC1242">
        <v>29.167400000000001</v>
      </c>
      <c r="AD1242">
        <v>6.5053679999999998</v>
      </c>
      <c r="AE1242">
        <v>-31.3597</v>
      </c>
      <c r="AF1242">
        <v>15.016228777078</v>
      </c>
      <c r="AG1242">
        <v>6.5053679999999998</v>
      </c>
      <c r="AH1242">
        <v>39.075350339771703</v>
      </c>
      <c r="AI1242">
        <v>81.166728934936401</v>
      </c>
      <c r="AJ1242">
        <v>68.978779484997801</v>
      </c>
      <c r="AK1242">
        <v>42.363781036126497</v>
      </c>
      <c r="AL1242">
        <v>87.130865435820695</v>
      </c>
      <c r="AM1242">
        <v>86.672332311771399</v>
      </c>
      <c r="AN1242">
        <v>1.0000000166163301</v>
      </c>
    </row>
    <row r="1243" spans="1:40" x14ac:dyDescent="0.25">
      <c r="A1243" t="str">
        <f>"20190312160622711"</f>
        <v>20190312160622711</v>
      </c>
      <c r="B1243" t="str">
        <f>"1552377982706344"</f>
        <v>1552377982706344</v>
      </c>
      <c r="C1243" t="s">
        <v>40</v>
      </c>
      <c r="D1243">
        <v>5.6300270000000001</v>
      </c>
      <c r="E1243">
        <v>0.62205180000000004</v>
      </c>
      <c r="F1243" t="s">
        <v>44</v>
      </c>
      <c r="G1243">
        <v>-198.3254</v>
      </c>
      <c r="H1243">
        <v>1.21546</v>
      </c>
      <c r="I1243">
        <v>361.8698</v>
      </c>
      <c r="J1243">
        <v>-198.71729999999999</v>
      </c>
      <c r="K1243">
        <v>1.100927</v>
      </c>
      <c r="L1243">
        <v>362.37380000000002</v>
      </c>
      <c r="M1243">
        <v>0.89553959999999999</v>
      </c>
      <c r="N1243">
        <v>0</v>
      </c>
      <c r="O1243">
        <v>-0.44472230000000001</v>
      </c>
      <c r="P1243">
        <v>0.86815129999999996</v>
      </c>
      <c r="Q1243">
        <v>3.5733349999999997E-2</v>
      </c>
      <c r="R1243">
        <v>-0.49501230000000002</v>
      </c>
      <c r="S1243">
        <v>2.1288149999999999</v>
      </c>
      <c r="T1243">
        <v>0.45434750000000002</v>
      </c>
      <c r="U1243">
        <v>-2.30661</v>
      </c>
      <c r="V1243">
        <v>5.8329279999999997E-2</v>
      </c>
      <c r="W1243">
        <v>4.9633440000000001E-2</v>
      </c>
      <c r="X1243">
        <v>0.99706280000000003</v>
      </c>
      <c r="Y1243">
        <v>0.35709039999999997</v>
      </c>
      <c r="Z1243">
        <v>-4.0194699999999903E-2</v>
      </c>
      <c r="AA1243">
        <v>0.93320460000000005</v>
      </c>
      <c r="AB1243">
        <v>30</v>
      </c>
      <c r="AC1243">
        <v>0.39189999999999198</v>
      </c>
      <c r="AD1243">
        <v>0.114533</v>
      </c>
      <c r="AE1243">
        <v>-0.50400000000001899</v>
      </c>
      <c r="AF1243">
        <v>0.268457535724412</v>
      </c>
      <c r="AG1243">
        <v>0.114533</v>
      </c>
      <c r="AH1243">
        <v>0.557234969838587</v>
      </c>
      <c r="AI1243">
        <v>79.509394165122998</v>
      </c>
      <c r="AJ1243">
        <v>64.276757713305102</v>
      </c>
      <c r="AK1243">
        <v>0.629045362583045</v>
      </c>
      <c r="AL1243">
        <v>87.1550444827066</v>
      </c>
      <c r="AM1243">
        <v>86.651949285391495</v>
      </c>
      <c r="AN1243">
        <v>1.0000000052076901</v>
      </c>
    </row>
    <row r="1244" spans="1:40" x14ac:dyDescent="0.25">
      <c r="A1244" t="str">
        <f>"20190312160622722"</f>
        <v>20190312160622722</v>
      </c>
      <c r="B1244" t="str">
        <f>"1552377982716104"</f>
        <v>1552377982716104</v>
      </c>
      <c r="C1244" t="s">
        <v>40</v>
      </c>
      <c r="D1244">
        <v>6.4433040000000004</v>
      </c>
      <c r="E1244">
        <v>0.6221293</v>
      </c>
      <c r="F1244" t="s">
        <v>49</v>
      </c>
      <c r="G1244">
        <v>-169.69399999999999</v>
      </c>
      <c r="H1244">
        <v>7.0820379999999998</v>
      </c>
      <c r="I1244">
        <v>330.67129999999997</v>
      </c>
      <c r="J1244">
        <v>-198.5986</v>
      </c>
      <c r="K1244">
        <v>1.100854</v>
      </c>
      <c r="L1244">
        <v>362.30919999999998</v>
      </c>
      <c r="M1244">
        <v>0.89321399999999995</v>
      </c>
      <c r="N1244">
        <v>0</v>
      </c>
      <c r="O1244">
        <v>-0.44937389999999999</v>
      </c>
      <c r="P1244">
        <v>0.86540280000000003</v>
      </c>
      <c r="Q1244">
        <v>3.544137E-2</v>
      </c>
      <c r="R1244">
        <v>-0.49982199999999999</v>
      </c>
      <c r="S1244">
        <v>2.1183010000000002</v>
      </c>
      <c r="T1244">
        <v>0.43653890000000001</v>
      </c>
      <c r="U1244">
        <v>-2.3138429999999999</v>
      </c>
      <c r="V1244">
        <v>5.8673309999999999E-2</v>
      </c>
      <c r="W1244">
        <v>4.934007E-2</v>
      </c>
      <c r="X1244">
        <v>0.99705719999999998</v>
      </c>
      <c r="Y1244">
        <v>0.35599059999999999</v>
      </c>
      <c r="Z1244">
        <v>-3.9436550000000001E-2</v>
      </c>
      <c r="AA1244">
        <v>0.93365699999999996</v>
      </c>
      <c r="AB1244">
        <v>30</v>
      </c>
      <c r="AC1244">
        <v>28.904599999999899</v>
      </c>
      <c r="AD1244">
        <v>5.9811839999999998</v>
      </c>
      <c r="AE1244">
        <v>-31.637899999999998</v>
      </c>
      <c r="AF1244">
        <v>14.9803879714856</v>
      </c>
      <c r="AG1244">
        <v>5.9811839999999998</v>
      </c>
      <c r="AH1244">
        <v>39.274790553633203</v>
      </c>
      <c r="AI1244">
        <v>81.901668013521601</v>
      </c>
      <c r="AJ1244">
        <v>69.121897152321907</v>
      </c>
      <c r="AK1244">
        <v>42.458164807841698</v>
      </c>
      <c r="AL1244">
        <v>87.171874035346093</v>
      </c>
      <c r="AM1244">
        <v>86.632228704947195</v>
      </c>
      <c r="AN1244">
        <v>1.0000000299428999</v>
      </c>
    </row>
    <row r="1245" spans="1:40" x14ac:dyDescent="0.25">
      <c r="A1245" t="str">
        <f>"20190312160622732"</f>
        <v>20190312160622732</v>
      </c>
      <c r="B1245" t="str">
        <f>"1552377982725864"</f>
        <v>1552377982725864</v>
      </c>
      <c r="C1245" t="s">
        <v>40</v>
      </c>
      <c r="D1245">
        <v>6.3540929999999998</v>
      </c>
      <c r="E1245">
        <v>0.62200319999999998</v>
      </c>
      <c r="F1245" t="s">
        <v>49</v>
      </c>
      <c r="G1245">
        <v>-169.69399999999999</v>
      </c>
      <c r="H1245">
        <v>7.0024929999999896</v>
      </c>
      <c r="I1245">
        <v>330.36900000000003</v>
      </c>
      <c r="J1245">
        <v>-198.46979999999999</v>
      </c>
      <c r="K1245">
        <v>1.100776</v>
      </c>
      <c r="L1245">
        <v>362.23869999999999</v>
      </c>
      <c r="M1245">
        <v>0.89065239999999901</v>
      </c>
      <c r="N1245">
        <v>0</v>
      </c>
      <c r="O1245">
        <v>-0.45442939999999998</v>
      </c>
      <c r="P1245">
        <v>0.86250329999999997</v>
      </c>
      <c r="Q1245">
        <v>3.5028320000000002E-2</v>
      </c>
      <c r="R1245">
        <v>-0.5048376</v>
      </c>
      <c r="S1245">
        <v>2.1053160000000002</v>
      </c>
      <c r="T1245">
        <v>0.42985620000000002</v>
      </c>
      <c r="U1245">
        <v>-2.326416</v>
      </c>
      <c r="V1245">
        <v>5.8802790000000001E-2</v>
      </c>
      <c r="W1245">
        <v>4.8930469999999997E-2</v>
      </c>
      <c r="X1245">
        <v>0.99706969999999995</v>
      </c>
      <c r="Y1245">
        <v>0.35608909999999899</v>
      </c>
      <c r="Z1245">
        <v>-3.9578179999999998E-2</v>
      </c>
      <c r="AA1245">
        <v>0.93361349999999999</v>
      </c>
      <c r="AB1245">
        <v>30</v>
      </c>
      <c r="AC1245">
        <v>28.775799999999901</v>
      </c>
      <c r="AD1245">
        <v>5.9017169999999997</v>
      </c>
      <c r="AE1245">
        <v>-31.869699999999899</v>
      </c>
      <c r="AF1245">
        <v>15.0261698708692</v>
      </c>
      <c r="AG1245">
        <v>5.9017169999999997</v>
      </c>
      <c r="AH1245">
        <v>39.372624052532302</v>
      </c>
      <c r="AI1245">
        <v>82.028031219438304</v>
      </c>
      <c r="AJ1245">
        <v>69.111143068306106</v>
      </c>
      <c r="AK1245">
        <v>42.553725680818502</v>
      </c>
      <c r="AL1245">
        <v>87.195370606716594</v>
      </c>
      <c r="AM1245">
        <v>86.624856100901695</v>
      </c>
      <c r="AN1245">
        <v>0.99999997283214703</v>
      </c>
    </row>
    <row r="1246" spans="1:40" x14ac:dyDescent="0.25">
      <c r="A1246" t="str">
        <f>"20190312160622743"</f>
        <v>20190312160622743</v>
      </c>
      <c r="B1246" t="str">
        <f>"1552377982736600"</f>
        <v>1552377982736600</v>
      </c>
      <c r="C1246" t="s">
        <v>40</v>
      </c>
      <c r="D1246">
        <v>6.353186</v>
      </c>
      <c r="E1246">
        <v>0.62195269999999903</v>
      </c>
      <c r="F1246" t="s">
        <v>49</v>
      </c>
      <c r="G1246">
        <v>-169.3997</v>
      </c>
      <c r="H1246">
        <v>6.9556429999999896</v>
      </c>
      <c r="I1246">
        <v>329.75479999999999</v>
      </c>
      <c r="J1246">
        <v>-198.35</v>
      </c>
      <c r="K1246">
        <v>1.1007020000000001</v>
      </c>
      <c r="L1246">
        <v>362.17160000000001</v>
      </c>
      <c r="M1246">
        <v>0.88819150000000002</v>
      </c>
      <c r="N1246">
        <v>0</v>
      </c>
      <c r="O1246">
        <v>-0.45922000000000002</v>
      </c>
      <c r="P1246">
        <v>0.8596684</v>
      </c>
      <c r="Q1246">
        <v>3.4771839999999998E-2</v>
      </c>
      <c r="R1246">
        <v>-0.5096676</v>
      </c>
      <c r="S1246">
        <v>2.0924990000000001</v>
      </c>
      <c r="T1246">
        <v>0.42143940000000002</v>
      </c>
      <c r="U1246">
        <v>-2.3382260000000001</v>
      </c>
      <c r="V1246">
        <v>5.9023239999999998E-2</v>
      </c>
      <c r="W1246">
        <v>4.8675679999999999E-2</v>
      </c>
      <c r="X1246">
        <v>0.99706919999999999</v>
      </c>
      <c r="Y1246">
        <v>0.3562515</v>
      </c>
      <c r="Z1246">
        <v>-3.9498039999999998E-2</v>
      </c>
      <c r="AA1246">
        <v>0.93355489999999997</v>
      </c>
      <c r="AB1246">
        <v>30</v>
      </c>
      <c r="AC1246">
        <v>28.950299999999999</v>
      </c>
      <c r="AD1246">
        <v>5.8549409999999904</v>
      </c>
      <c r="AE1246">
        <v>-32.416800000000002</v>
      </c>
      <c r="AF1246">
        <v>15.223306938932801</v>
      </c>
      <c r="AG1246">
        <v>5.8549409999999904</v>
      </c>
      <c r="AH1246">
        <v>39.8808376960096</v>
      </c>
      <c r="AI1246">
        <v>82.190160400286999</v>
      </c>
      <c r="AJ1246">
        <v>69.107152370108693</v>
      </c>
      <c r="AK1246">
        <v>43.087244325970701</v>
      </c>
      <c r="AL1246">
        <v>87.209986566349201</v>
      </c>
      <c r="AM1246">
        <v>86.612230502723406</v>
      </c>
      <c r="AN1246">
        <v>1.00000002713609</v>
      </c>
    </row>
    <row r="1247" spans="1:40" x14ac:dyDescent="0.25">
      <c r="A1247" t="str">
        <f>"20190312160622753"</f>
        <v>20190312160622753</v>
      </c>
      <c r="B1247" t="str">
        <f>"1552377982746360"</f>
        <v>1552377982746360</v>
      </c>
      <c r="C1247" t="s">
        <v>40</v>
      </c>
      <c r="D1247">
        <v>6.4012729999999998</v>
      </c>
      <c r="E1247">
        <v>0.62167720000000004</v>
      </c>
      <c r="F1247" t="s">
        <v>49</v>
      </c>
      <c r="G1247">
        <v>-168.91900000000001</v>
      </c>
      <c r="H1247">
        <v>6.9558030000000004</v>
      </c>
      <c r="I1247">
        <v>328.91199999999998</v>
      </c>
      <c r="J1247">
        <v>-198.2294</v>
      </c>
      <c r="K1247">
        <v>1.100627</v>
      </c>
      <c r="L1247">
        <v>362.10390000000001</v>
      </c>
      <c r="M1247">
        <v>0.88568380000000002</v>
      </c>
      <c r="N1247">
        <v>0</v>
      </c>
      <c r="O1247">
        <v>-0.46403749999999999</v>
      </c>
      <c r="P1247">
        <v>0.85681929999999995</v>
      </c>
      <c r="Q1247">
        <v>3.4648119999999998E-2</v>
      </c>
      <c r="R1247">
        <v>-0.5144514</v>
      </c>
      <c r="S1247">
        <v>2.0796510000000001</v>
      </c>
      <c r="T1247">
        <v>0.41373310000000002</v>
      </c>
      <c r="U1247">
        <v>-2.3501889999999999</v>
      </c>
      <c r="V1247">
        <v>5.9168459999999999E-2</v>
      </c>
      <c r="W1247">
        <v>4.8554699999999999E-2</v>
      </c>
      <c r="X1247">
        <v>0.99706640000000002</v>
      </c>
      <c r="Y1247">
        <v>0.35640729999999998</v>
      </c>
      <c r="Z1247">
        <v>-3.9460059999999998E-2</v>
      </c>
      <c r="AA1247">
        <v>0.93349709999999997</v>
      </c>
      <c r="AB1247">
        <v>30</v>
      </c>
      <c r="AC1247">
        <v>29.310399999999898</v>
      </c>
      <c r="AD1247">
        <v>5.8551759999999904</v>
      </c>
      <c r="AE1247">
        <v>-33.191899999999997</v>
      </c>
      <c r="AF1247">
        <v>15.5267736853323</v>
      </c>
      <c r="AG1247">
        <v>5.8551759999999904</v>
      </c>
      <c r="AH1247">
        <v>40.656021889352999</v>
      </c>
      <c r="AI1247">
        <v>82.337449162056899</v>
      </c>
      <c r="AJ1247">
        <v>69.097849382821707</v>
      </c>
      <c r="AK1247">
        <v>43.912138446380098</v>
      </c>
      <c r="AL1247">
        <v>87.216926160917495</v>
      </c>
      <c r="AM1247">
        <v>86.603905249755599</v>
      </c>
      <c r="AN1247">
        <v>0.99999993577990798</v>
      </c>
    </row>
    <row r="1248" spans="1:40" x14ac:dyDescent="0.25">
      <c r="A1248" t="str">
        <f>"20190312160622764"</f>
        <v>20190312160622764</v>
      </c>
      <c r="B1248" t="str">
        <f>"1552377982756120"</f>
        <v>1552377982756120</v>
      </c>
      <c r="C1248" t="s">
        <v>40</v>
      </c>
      <c r="D1248">
        <v>6.5451600000000001</v>
      </c>
      <c r="E1248">
        <v>0.62154129999999996</v>
      </c>
      <c r="F1248" t="s">
        <v>49</v>
      </c>
      <c r="G1248">
        <v>-168.5376</v>
      </c>
      <c r="H1248">
        <v>6.9559280000000001</v>
      </c>
      <c r="I1248">
        <v>328.21600000000001</v>
      </c>
      <c r="J1248">
        <v>-198.1</v>
      </c>
      <c r="K1248">
        <v>1.100549</v>
      </c>
      <c r="L1248">
        <v>362.02940000000001</v>
      </c>
      <c r="M1248">
        <v>0.88290239999999998</v>
      </c>
      <c r="N1248">
        <v>0</v>
      </c>
      <c r="O1248">
        <v>-0.46930749999999999</v>
      </c>
      <c r="P1248">
        <v>0.8537574</v>
      </c>
      <c r="Q1248">
        <v>3.448843E-2</v>
      </c>
      <c r="R1248">
        <v>-0.51952749999999903</v>
      </c>
      <c r="S1248">
        <v>2.067825</v>
      </c>
      <c r="T1248">
        <v>0.40777989999999997</v>
      </c>
      <c r="U1248">
        <v>-2.3600460000000001</v>
      </c>
      <c r="V1248">
        <v>5.9146780000000003E-2</v>
      </c>
      <c r="W1248">
        <v>4.8403250000000002E-2</v>
      </c>
      <c r="X1248">
        <v>0.99707509999999999</v>
      </c>
      <c r="Y1248">
        <v>0.3554408</v>
      </c>
      <c r="Z1248">
        <v>-3.97109E-2</v>
      </c>
      <c r="AA1248">
        <v>0.93385490000000004</v>
      </c>
      <c r="AB1248">
        <v>30</v>
      </c>
      <c r="AC1248">
        <v>29.5624</v>
      </c>
      <c r="AD1248">
        <v>5.8553790000000001</v>
      </c>
      <c r="AE1248">
        <v>-33.813400000000001</v>
      </c>
      <c r="AF1248">
        <v>15.714856819899399</v>
      </c>
      <c r="AG1248">
        <v>5.8553790000000001</v>
      </c>
      <c r="AH1248">
        <v>41.273032433796701</v>
      </c>
      <c r="AI1248">
        <v>82.447547386987907</v>
      </c>
      <c r="AJ1248">
        <v>69.155487150509899</v>
      </c>
      <c r="AK1248">
        <v>44.550032484666197</v>
      </c>
      <c r="AL1248">
        <v>87.225613960592497</v>
      </c>
      <c r="AM1248">
        <v>86.605176259362693</v>
      </c>
      <c r="AN1248">
        <v>0.99999998561747006</v>
      </c>
    </row>
    <row r="1249" spans="1:40" x14ac:dyDescent="0.25">
      <c r="A1249" t="str">
        <f>"20190312160622775"</f>
        <v>20190312160622775</v>
      </c>
      <c r="B1249" t="str">
        <f>"1552377982766502"</f>
        <v>1552377982766502</v>
      </c>
      <c r="C1249" t="s">
        <v>40</v>
      </c>
      <c r="D1249">
        <v>6.4484180000000002</v>
      </c>
      <c r="E1249">
        <v>0.621328199999999</v>
      </c>
      <c r="F1249" t="s">
        <v>49</v>
      </c>
      <c r="G1249">
        <v>-168.4023</v>
      </c>
      <c r="H1249">
        <v>6.9145300000000001</v>
      </c>
      <c r="I1249">
        <v>327.75150000000002</v>
      </c>
      <c r="J1249">
        <v>-197.97649999999999</v>
      </c>
      <c r="K1249">
        <v>1.100482</v>
      </c>
      <c r="L1249">
        <v>361.9579</v>
      </c>
      <c r="M1249">
        <v>0.88020739999999997</v>
      </c>
      <c r="N1249">
        <v>0</v>
      </c>
      <c r="O1249">
        <v>-0.47434229999999999</v>
      </c>
      <c r="P1249">
        <v>0.85072300000000001</v>
      </c>
      <c r="Q1249">
        <v>3.4327799999999999E-2</v>
      </c>
      <c r="R1249">
        <v>-0.52449219999999996</v>
      </c>
      <c r="S1249">
        <v>2.0545650000000002</v>
      </c>
      <c r="T1249">
        <v>0.4022269</v>
      </c>
      <c r="U1249">
        <v>-2.371429</v>
      </c>
      <c r="V1249">
        <v>5.9262530000000001E-2</v>
      </c>
      <c r="W1249">
        <v>4.8246549999999999E-2</v>
      </c>
      <c r="X1249">
        <v>0.99707590000000001</v>
      </c>
      <c r="Y1249">
        <v>0.3553192</v>
      </c>
      <c r="Z1249">
        <v>-3.988916E-2</v>
      </c>
      <c r="AA1249">
        <v>0.93389359999999999</v>
      </c>
      <c r="AB1249">
        <v>30</v>
      </c>
      <c r="AC1249">
        <v>29.574199999999902</v>
      </c>
      <c r="AD1249">
        <v>5.8140479999999997</v>
      </c>
      <c r="AE1249">
        <v>-34.206399999999903</v>
      </c>
      <c r="AF1249">
        <v>15.820767779857499</v>
      </c>
      <c r="AG1249">
        <v>5.8140479999999997</v>
      </c>
      <c r="AH1249">
        <v>41.574612447655099</v>
      </c>
      <c r="AI1249">
        <v>82.553513583825406</v>
      </c>
      <c r="AJ1249">
        <v>69.166220502325004</v>
      </c>
      <c r="AK1249">
        <v>44.861433854294098</v>
      </c>
      <c r="AL1249">
        <v>87.234602927322697</v>
      </c>
      <c r="AM1249">
        <v>86.598550909989598</v>
      </c>
      <c r="AN1249">
        <v>1.0000000637048501</v>
      </c>
    </row>
    <row r="1250" spans="1:40" x14ac:dyDescent="0.25">
      <c r="A1250" t="str">
        <f>"20190312160622786"</f>
        <v>20190312160622786</v>
      </c>
      <c r="B1250" t="str">
        <f>"1552377982776262"</f>
        <v>1552377982776262</v>
      </c>
      <c r="C1250" t="s">
        <v>40</v>
      </c>
      <c r="D1250">
        <v>5.0083919999999997</v>
      </c>
      <c r="E1250">
        <v>0.62098619999999904</v>
      </c>
      <c r="F1250" t="s">
        <v>44</v>
      </c>
      <c r="G1250">
        <v>-197.44970000000001</v>
      </c>
      <c r="H1250">
        <v>1.202885</v>
      </c>
      <c r="I1250">
        <v>361.34309999999999</v>
      </c>
      <c r="J1250">
        <v>-197.84649999999999</v>
      </c>
      <c r="K1250">
        <v>1.1004020000000001</v>
      </c>
      <c r="L1250">
        <v>361.88099999999997</v>
      </c>
      <c r="M1250">
        <v>0.87727939999999904</v>
      </c>
      <c r="N1250">
        <v>0</v>
      </c>
      <c r="O1250">
        <v>-0.47973519999999997</v>
      </c>
      <c r="P1250">
        <v>0.84754390000000002</v>
      </c>
      <c r="Q1250">
        <v>3.4240300000000001E-2</v>
      </c>
      <c r="R1250">
        <v>-0.52961939999999996</v>
      </c>
      <c r="S1250">
        <v>2.04155</v>
      </c>
      <c r="T1250">
        <v>0.39682469999999997</v>
      </c>
      <c r="U1250">
        <v>-2.3824459999999998</v>
      </c>
      <c r="V1250">
        <v>5.91695E-2</v>
      </c>
      <c r="W1250">
        <v>4.8169860000000002E-2</v>
      </c>
      <c r="X1250">
        <v>0.99708509999999995</v>
      </c>
      <c r="Y1250">
        <v>0.35467789999999999</v>
      </c>
      <c r="Z1250">
        <v>-4.0145170000000001E-2</v>
      </c>
      <c r="AA1250">
        <v>0.93412629999999996</v>
      </c>
      <c r="AB1250">
        <v>30</v>
      </c>
      <c r="AC1250">
        <v>0.396799999999984</v>
      </c>
      <c r="AD1250">
        <v>0.10248299999999901</v>
      </c>
      <c r="AE1250">
        <v>-0.53789999999997895</v>
      </c>
      <c r="AF1250">
        <v>0.27509597206893199</v>
      </c>
      <c r="AG1250">
        <v>0.10248299999999901</v>
      </c>
      <c r="AH1250">
        <v>0.592301823477417</v>
      </c>
      <c r="AI1250">
        <v>81.081580479065195</v>
      </c>
      <c r="AJ1250">
        <v>65.087377415748193</v>
      </c>
      <c r="AK1250">
        <v>0.66106127494523803</v>
      </c>
      <c r="AL1250">
        <v>87.239001964536897</v>
      </c>
      <c r="AM1250">
        <v>86.603909241213898</v>
      </c>
      <c r="AN1250">
        <v>1.00000003089233</v>
      </c>
    </row>
    <row r="1251" spans="1:40" x14ac:dyDescent="0.25">
      <c r="A1251" t="str">
        <f>"20190312160622797"</f>
        <v>20190312160622797</v>
      </c>
      <c r="B1251" t="str">
        <f>"1552377982786022"</f>
        <v>1552377982786022</v>
      </c>
      <c r="C1251" t="s">
        <v>40</v>
      </c>
      <c r="D1251">
        <v>4.5040559999999896</v>
      </c>
      <c r="E1251">
        <v>0.62098619999999904</v>
      </c>
      <c r="F1251" t="s">
        <v>49</v>
      </c>
      <c r="G1251">
        <v>-168.4023</v>
      </c>
      <c r="H1251">
        <v>6.9278130000000004</v>
      </c>
      <c r="I1251">
        <v>327.16500000000002</v>
      </c>
      <c r="J1251">
        <v>-197.71960000000001</v>
      </c>
      <c r="K1251">
        <v>1.1003270000000001</v>
      </c>
      <c r="L1251">
        <v>361.80529999999999</v>
      </c>
      <c r="M1251">
        <v>0.87437049999999905</v>
      </c>
      <c r="N1251">
        <v>0</v>
      </c>
      <c r="O1251">
        <v>-0.48501620000000001</v>
      </c>
      <c r="P1251">
        <v>0.84429859999999901</v>
      </c>
      <c r="Q1251">
        <v>3.4077870000000003E-2</v>
      </c>
      <c r="R1251">
        <v>-0.53478840000000005</v>
      </c>
      <c r="S1251">
        <v>2.0287320000000002</v>
      </c>
      <c r="T1251">
        <v>0.4015145</v>
      </c>
      <c r="U1251">
        <v>-2.3919679999999999</v>
      </c>
      <c r="V1251">
        <v>5.9251869999999998E-2</v>
      </c>
      <c r="W1251">
        <v>4.8013170000000001E-2</v>
      </c>
      <c r="X1251">
        <v>0.99708770000000002</v>
      </c>
      <c r="Y1251">
        <v>0.35383700000000001</v>
      </c>
      <c r="Z1251">
        <v>-4.1419980000000002E-2</v>
      </c>
      <c r="AA1251">
        <v>0.93438949999999998</v>
      </c>
      <c r="AB1251">
        <v>30</v>
      </c>
      <c r="AC1251">
        <v>29.317299999999999</v>
      </c>
      <c r="AD1251">
        <v>5.8274860000000004</v>
      </c>
      <c r="AE1251">
        <v>-34.640299999999897</v>
      </c>
      <c r="AF1251">
        <v>15.810278313652599</v>
      </c>
      <c r="AG1251">
        <v>5.8274860000000004</v>
      </c>
      <c r="AH1251">
        <v>41.751815875808198</v>
      </c>
      <c r="AI1251">
        <v>82.563265964705906</v>
      </c>
      <c r="AJ1251">
        <v>69.259684588692295</v>
      </c>
      <c r="AK1251">
        <v>45.023756200063303</v>
      </c>
      <c r="AL1251">
        <v>87.247989858397801</v>
      </c>
      <c r="AM1251">
        <v>86.599201470857196</v>
      </c>
      <c r="AN1251">
        <v>0.99999996504161703</v>
      </c>
    </row>
    <row r="1252" spans="1:40" x14ac:dyDescent="0.25">
      <c r="A1252" t="str">
        <f>"20190312160622808"</f>
        <v>20190312160622808</v>
      </c>
      <c r="B1252" t="str">
        <f>"1552377982796758"</f>
        <v>1552377982796758</v>
      </c>
      <c r="C1252" t="s">
        <v>40</v>
      </c>
      <c r="D1252">
        <v>6.4033129999999998</v>
      </c>
      <c r="E1252">
        <v>0.62053449999999999</v>
      </c>
      <c r="F1252" t="s">
        <v>44</v>
      </c>
      <c r="G1252">
        <v>-197.20189999999999</v>
      </c>
      <c r="H1252">
        <v>1.203508</v>
      </c>
      <c r="I1252">
        <v>361.18689999999998</v>
      </c>
      <c r="J1252">
        <v>-197.5849</v>
      </c>
      <c r="K1252">
        <v>1.10025</v>
      </c>
      <c r="L1252">
        <v>361.72340000000003</v>
      </c>
      <c r="M1252">
        <v>0.8711991</v>
      </c>
      <c r="N1252">
        <v>0</v>
      </c>
      <c r="O1252">
        <v>-0.4906894</v>
      </c>
      <c r="P1252">
        <v>0.84071629999999997</v>
      </c>
      <c r="Q1252">
        <v>3.3866350000000003E-2</v>
      </c>
      <c r="R1252">
        <v>-0.54041600000000001</v>
      </c>
      <c r="S1252">
        <v>2.013916</v>
      </c>
      <c r="T1252">
        <v>0.40121639999999997</v>
      </c>
      <c r="U1252">
        <v>-2.404633</v>
      </c>
      <c r="V1252">
        <v>5.9430879999999998E-2</v>
      </c>
      <c r="W1252">
        <v>4.7806460000000002E-2</v>
      </c>
      <c r="X1252">
        <v>0.99708699999999995</v>
      </c>
      <c r="Y1252">
        <v>0.35359879999999999</v>
      </c>
      <c r="Z1252">
        <v>-4.2197129999999999E-2</v>
      </c>
      <c r="AA1252">
        <v>0.93444490000000002</v>
      </c>
      <c r="AB1252">
        <v>30</v>
      </c>
      <c r="AC1252">
        <v>0.383000000000009</v>
      </c>
      <c r="AD1252">
        <v>0.103258</v>
      </c>
      <c r="AE1252">
        <v>-0.53650000000004605</v>
      </c>
      <c r="AF1252">
        <v>0.27280326146762401</v>
      </c>
      <c r="AG1252">
        <v>0.103258</v>
      </c>
      <c r="AH1252">
        <v>0.58269646527069097</v>
      </c>
      <c r="AI1252">
        <v>80.882387626408004</v>
      </c>
      <c r="AJ1252">
        <v>64.912234213960105</v>
      </c>
      <c r="AK1252">
        <v>0.65162796492349095</v>
      </c>
      <c r="AL1252">
        <v>87.259847143891704</v>
      </c>
      <c r="AM1252">
        <v>86.588948913129698</v>
      </c>
      <c r="AN1252">
        <v>0.99999998634215204</v>
      </c>
    </row>
    <row r="1253" spans="1:40" x14ac:dyDescent="0.25">
      <c r="A1253" t="str">
        <f>"20190312160622820"</f>
        <v>20190312160622820</v>
      </c>
      <c r="B1253" t="str">
        <f>"1552377982816277"</f>
        <v>1552377982816277</v>
      </c>
      <c r="C1253" t="s">
        <v>40</v>
      </c>
      <c r="D1253">
        <v>6.4487709999999998</v>
      </c>
      <c r="E1253">
        <v>0.61986750000000002</v>
      </c>
      <c r="F1253" t="s">
        <v>49</v>
      </c>
      <c r="G1253">
        <v>-168.4023</v>
      </c>
      <c r="H1253">
        <v>6.8347249999999997</v>
      </c>
      <c r="I1253">
        <v>326.4812</v>
      </c>
      <c r="J1253">
        <v>-197.4599</v>
      </c>
      <c r="K1253">
        <v>1.100179</v>
      </c>
      <c r="L1253">
        <v>361.6463</v>
      </c>
      <c r="M1253">
        <v>0.86818869999999904</v>
      </c>
      <c r="N1253">
        <v>0</v>
      </c>
      <c r="O1253">
        <v>-0.49599559999999998</v>
      </c>
      <c r="P1253">
        <v>0.83735999999999999</v>
      </c>
      <c r="Q1253">
        <v>3.3611799999999997E-2</v>
      </c>
      <c r="R1253">
        <v>-0.54561789999999999</v>
      </c>
      <c r="S1253">
        <v>2</v>
      </c>
      <c r="T1253">
        <v>0.39300689999999999</v>
      </c>
      <c r="U1253">
        <v>-2.4152830000000001</v>
      </c>
      <c r="V1253">
        <v>5.9526379999999997E-2</v>
      </c>
      <c r="W1253">
        <v>4.7558320000000001E-2</v>
      </c>
      <c r="X1253">
        <v>0.99709320000000001</v>
      </c>
      <c r="Y1253">
        <v>0.35311379999999998</v>
      </c>
      <c r="Z1253">
        <v>-4.210999E-2</v>
      </c>
      <c r="AA1253">
        <v>0.93463220000000002</v>
      </c>
      <c r="AB1253">
        <v>30</v>
      </c>
      <c r="AC1253">
        <v>29.057600000000001</v>
      </c>
      <c r="AD1253">
        <v>5.7345459999999999</v>
      </c>
      <c r="AE1253">
        <v>-35.165099999999903</v>
      </c>
      <c r="AF1253">
        <v>15.868636054072701</v>
      </c>
      <c r="AG1253">
        <v>5.7345459999999999</v>
      </c>
      <c r="AH1253">
        <v>42.010374519383497</v>
      </c>
      <c r="AI1253">
        <v>82.722896828579806</v>
      </c>
      <c r="AJ1253">
        <v>69.306876506575804</v>
      </c>
      <c r="AK1253">
        <v>45.2721790430016</v>
      </c>
      <c r="AL1253">
        <v>87.274080791396599</v>
      </c>
      <c r="AM1253">
        <v>86.583501832629594</v>
      </c>
      <c r="AN1253">
        <v>1.00000001660168</v>
      </c>
    </row>
    <row r="1254" spans="1:40" x14ac:dyDescent="0.25">
      <c r="A1254" t="str">
        <f>"20190312160622831"</f>
        <v>20190312160622831</v>
      </c>
      <c r="B1254" t="str">
        <f>"1552377982826042"</f>
        <v>1552377982826042</v>
      </c>
      <c r="C1254" t="s">
        <v>40</v>
      </c>
      <c r="D1254">
        <v>6.457338</v>
      </c>
      <c r="E1254">
        <v>0.61960909999999902</v>
      </c>
      <c r="F1254" t="s">
        <v>49</v>
      </c>
      <c r="G1254">
        <v>-168.40219999999999</v>
      </c>
      <c r="H1254">
        <v>6.6582840000000001</v>
      </c>
      <c r="I1254">
        <v>326.22230000000002</v>
      </c>
      <c r="J1254">
        <v>-197.3227</v>
      </c>
      <c r="K1254">
        <v>1.1001030000000001</v>
      </c>
      <c r="L1254">
        <v>361.56079999999997</v>
      </c>
      <c r="M1254">
        <v>0.864815</v>
      </c>
      <c r="N1254">
        <v>0</v>
      </c>
      <c r="O1254">
        <v>-0.50185459999999904</v>
      </c>
      <c r="P1254">
        <v>0.83357459999999906</v>
      </c>
      <c r="Q1254">
        <v>3.3557950000000003E-2</v>
      </c>
      <c r="R1254">
        <v>-0.55138690000000001</v>
      </c>
      <c r="S1254">
        <v>1.9881439999999999</v>
      </c>
      <c r="T1254">
        <v>0.38028960000000001</v>
      </c>
      <c r="U1254">
        <v>-2.423737</v>
      </c>
      <c r="V1254">
        <v>5.9676159999999999E-2</v>
      </c>
      <c r="W1254">
        <v>4.7510200000000002E-2</v>
      </c>
      <c r="X1254">
        <v>0.99708649999999999</v>
      </c>
      <c r="Y1254">
        <v>0.3511146</v>
      </c>
      <c r="Z1254">
        <v>-4.1669089999999999E-2</v>
      </c>
      <c r="AA1254">
        <v>0.93540480000000004</v>
      </c>
      <c r="AB1254">
        <v>29</v>
      </c>
      <c r="AC1254">
        <v>28.920500000000001</v>
      </c>
      <c r="AD1254">
        <v>5.5581809999999896</v>
      </c>
      <c r="AE1254">
        <v>-35.338499999999897</v>
      </c>
      <c r="AF1254">
        <v>15.814973763239401</v>
      </c>
      <c r="AG1254">
        <v>5.5581809999999896</v>
      </c>
      <c r="AH1254">
        <v>42.126609500439201</v>
      </c>
      <c r="AI1254">
        <v>82.958361477647898</v>
      </c>
      <c r="AJ1254">
        <v>69.423096291033403</v>
      </c>
      <c r="AK1254">
        <v>45.339364785616503</v>
      </c>
      <c r="AL1254">
        <v>87.276840873247394</v>
      </c>
      <c r="AM1254">
        <v>86.574902735337005</v>
      </c>
      <c r="AN1254">
        <v>0.99999997582931699</v>
      </c>
    </row>
    <row r="1255" spans="1:40" x14ac:dyDescent="0.25">
      <c r="A1255" t="str">
        <f>"20190312160622842"</f>
        <v>20190312160622842</v>
      </c>
      <c r="B1255" t="str">
        <f>"1552377982835797"</f>
        <v>1552377982835797</v>
      </c>
      <c r="C1255" t="s">
        <v>40</v>
      </c>
      <c r="D1255">
        <v>6.4699249999999999</v>
      </c>
      <c r="E1255">
        <v>0.61935589999999996</v>
      </c>
      <c r="F1255" t="s">
        <v>49</v>
      </c>
      <c r="G1255">
        <v>-168.40219999999999</v>
      </c>
      <c r="H1255">
        <v>6.5885490000000004</v>
      </c>
      <c r="I1255">
        <v>325.84519999999998</v>
      </c>
      <c r="J1255">
        <v>-197.2002</v>
      </c>
      <c r="K1255">
        <v>1.1000379999999901</v>
      </c>
      <c r="L1255">
        <v>361.48270000000002</v>
      </c>
      <c r="M1255">
        <v>0.86171330000000002</v>
      </c>
      <c r="N1255">
        <v>0</v>
      </c>
      <c r="O1255">
        <v>-0.50716110000000003</v>
      </c>
      <c r="P1255">
        <v>0.83003259999999901</v>
      </c>
      <c r="Q1255">
        <v>3.3444080000000001E-2</v>
      </c>
      <c r="R1255">
        <v>-0.55671130000000002</v>
      </c>
      <c r="S1255">
        <v>1.9725490000000001</v>
      </c>
      <c r="T1255">
        <v>0.37434450000000002</v>
      </c>
      <c r="U1255">
        <v>-2.4360050000000002</v>
      </c>
      <c r="V1255">
        <v>5.9932100000000002E-2</v>
      </c>
      <c r="W1255">
        <v>4.7398280000000001E-2</v>
      </c>
      <c r="X1255">
        <v>0.99707650000000003</v>
      </c>
      <c r="Y1255">
        <v>0.35128369999999998</v>
      </c>
      <c r="Z1255">
        <v>-4.171532E-2</v>
      </c>
      <c r="AA1255">
        <v>0.93533929999999998</v>
      </c>
      <c r="AB1255">
        <v>29</v>
      </c>
      <c r="AC1255">
        <v>28.797999999999998</v>
      </c>
      <c r="AD1255">
        <v>5.4885109999999999</v>
      </c>
      <c r="AE1255">
        <v>-35.637500000000003</v>
      </c>
      <c r="AF1255">
        <v>15.8781611260418</v>
      </c>
      <c r="AG1255">
        <v>5.4885109999999999</v>
      </c>
      <c r="AH1255">
        <v>42.287883285151104</v>
      </c>
      <c r="AI1255">
        <v>83.072160748598904</v>
      </c>
      <c r="AJ1255">
        <v>69.419958046409107</v>
      </c>
      <c r="AK1255">
        <v>45.5028002048251</v>
      </c>
      <c r="AL1255">
        <v>87.283260715757507</v>
      </c>
      <c r="AM1255">
        <v>86.560213907590594</v>
      </c>
      <c r="AN1255">
        <v>1.0000000002048</v>
      </c>
    </row>
    <row r="1256" spans="1:40" x14ac:dyDescent="0.25">
      <c r="A1256" t="str">
        <f>"20190312160622853"</f>
        <v>20190312160622853</v>
      </c>
      <c r="B1256" t="str">
        <f>"1552377982846535"</f>
        <v>1552377982846535</v>
      </c>
      <c r="C1256" t="s">
        <v>40</v>
      </c>
      <c r="D1256">
        <v>6.4662280000000001</v>
      </c>
      <c r="E1256">
        <v>0.61916070000000001</v>
      </c>
      <c r="F1256" t="s">
        <v>49</v>
      </c>
      <c r="G1256">
        <v>-168.40209999999999</v>
      </c>
      <c r="H1256">
        <v>6.5097820000000004</v>
      </c>
      <c r="I1256">
        <v>325.48849999999999</v>
      </c>
      <c r="J1256">
        <v>-197.07589999999999</v>
      </c>
      <c r="K1256">
        <v>1.09997099999999</v>
      </c>
      <c r="L1256">
        <v>361.40309999999999</v>
      </c>
      <c r="M1256">
        <v>0.85851889999999997</v>
      </c>
      <c r="N1256">
        <v>0</v>
      </c>
      <c r="O1256">
        <v>-0.51254949999999999</v>
      </c>
      <c r="P1256">
        <v>0.82654919999999998</v>
      </c>
      <c r="Q1256">
        <v>3.3257969999999998E-2</v>
      </c>
      <c r="R1256">
        <v>-0.56188119999999997</v>
      </c>
      <c r="S1256">
        <v>1.9580230000000001</v>
      </c>
      <c r="T1256">
        <v>0.36781659999999999</v>
      </c>
      <c r="U1256">
        <v>-2.4472960000000001</v>
      </c>
      <c r="V1256">
        <v>5.9908580000000003E-2</v>
      </c>
      <c r="W1256">
        <v>4.7220610000000003E-2</v>
      </c>
      <c r="X1256">
        <v>0.99708629999999998</v>
      </c>
      <c r="Y1256">
        <v>0.35091260000000002</v>
      </c>
      <c r="Z1256">
        <v>-4.1715269999999999E-2</v>
      </c>
      <c r="AA1256">
        <v>0.93547860000000005</v>
      </c>
      <c r="AB1256">
        <v>29</v>
      </c>
      <c r="AC1256">
        <v>28.6738</v>
      </c>
      <c r="AD1256">
        <v>5.4098110000000004</v>
      </c>
      <c r="AE1256">
        <v>-35.9146</v>
      </c>
      <c r="AF1256">
        <v>15.917972966691</v>
      </c>
      <c r="AG1256">
        <v>5.4098110000000004</v>
      </c>
      <c r="AH1256">
        <v>42.442029024448999</v>
      </c>
      <c r="AI1256">
        <v>83.194181345917499</v>
      </c>
      <c r="AJ1256">
        <v>69.441336733104194</v>
      </c>
      <c r="AK1256">
        <v>45.650561290483601</v>
      </c>
      <c r="AL1256">
        <v>87.293451750593107</v>
      </c>
      <c r="AM1256">
        <v>86.5615943060739</v>
      </c>
      <c r="AN1256">
        <v>0.99999995680703802</v>
      </c>
    </row>
    <row r="1257" spans="1:40" x14ac:dyDescent="0.25">
      <c r="A1257" t="str">
        <f>"20190312160622868"</f>
        <v>20190312160622868</v>
      </c>
      <c r="B1257" t="str">
        <f>"1552377982856294"</f>
        <v>1552377982856294</v>
      </c>
      <c r="C1257" t="s">
        <v>40</v>
      </c>
      <c r="D1257">
        <v>6.45329</v>
      </c>
      <c r="E1257">
        <v>0.61895599999999995</v>
      </c>
      <c r="F1257" t="s">
        <v>49</v>
      </c>
      <c r="G1257">
        <v>-168.40209999999999</v>
      </c>
      <c r="H1257">
        <v>6.427759</v>
      </c>
      <c r="I1257">
        <v>325.12630000000001</v>
      </c>
      <c r="J1257">
        <v>-196.9186</v>
      </c>
      <c r="K1257">
        <v>1.0998840000000001</v>
      </c>
      <c r="L1257">
        <v>361.29969999999997</v>
      </c>
      <c r="M1257">
        <v>0.85433829999999999</v>
      </c>
      <c r="N1257">
        <v>0</v>
      </c>
      <c r="O1257">
        <v>-0.51948739999999904</v>
      </c>
      <c r="P1257">
        <v>0.82196399999999903</v>
      </c>
      <c r="Q1257">
        <v>3.3491229999999997E-2</v>
      </c>
      <c r="R1257">
        <v>-0.568554</v>
      </c>
      <c r="S1257">
        <v>1.943527</v>
      </c>
      <c r="T1257">
        <v>0.36112070000000002</v>
      </c>
      <c r="U1257">
        <v>-2.4588619999999999</v>
      </c>
      <c r="V1257">
        <v>5.9923659999999997E-2</v>
      </c>
      <c r="W1257">
        <v>4.7464480000000003E-2</v>
      </c>
      <c r="X1257">
        <v>0.99707380000000001</v>
      </c>
      <c r="Y1257">
        <v>0.34887839999999998</v>
      </c>
      <c r="Z1257">
        <v>-4.1953619999999997E-2</v>
      </c>
      <c r="AA1257">
        <v>0.93622850000000002</v>
      </c>
      <c r="AB1257">
        <v>29</v>
      </c>
      <c r="AC1257">
        <v>28.516500000000001</v>
      </c>
      <c r="AD1257">
        <v>5.3278749999999997</v>
      </c>
      <c r="AE1257">
        <v>-36.173399999999901</v>
      </c>
      <c r="AF1257">
        <v>15.879825216287999</v>
      </c>
      <c r="AG1257">
        <v>5.3278749999999997</v>
      </c>
      <c r="AH1257">
        <v>42.589712775073203</v>
      </c>
      <c r="AI1257">
        <v>83.314579160858997</v>
      </c>
      <c r="AJ1257">
        <v>69.551733435442799</v>
      </c>
      <c r="AK1257">
        <v>45.765038350019097</v>
      </c>
      <c r="AL1257">
        <v>87.279463303601204</v>
      </c>
      <c r="AM1257">
        <v>86.560687865128898</v>
      </c>
      <c r="AN1257">
        <v>0.99999994226795097</v>
      </c>
    </row>
    <row r="1258" spans="1:40" x14ac:dyDescent="0.25">
      <c r="A1258" t="str">
        <f>"20190312160622883"</f>
        <v>20190312160622883</v>
      </c>
      <c r="B1258" t="str">
        <f>"1552377982876320"</f>
        <v>1552377982876320</v>
      </c>
      <c r="C1258" t="s">
        <v>40</v>
      </c>
      <c r="D1258">
        <v>6.4662139999999999</v>
      </c>
      <c r="E1258">
        <v>0.61837249999999999</v>
      </c>
      <c r="F1258" t="s">
        <v>49</v>
      </c>
      <c r="G1258">
        <v>-168.40209999999999</v>
      </c>
      <c r="H1258">
        <v>6.3746460000000003</v>
      </c>
      <c r="I1258">
        <v>324.66059999999999</v>
      </c>
      <c r="J1258">
        <v>-196.75890000000001</v>
      </c>
      <c r="K1258">
        <v>1.099793</v>
      </c>
      <c r="L1258">
        <v>361.19319999999999</v>
      </c>
      <c r="M1258">
        <v>0.84998050000000003</v>
      </c>
      <c r="N1258">
        <v>0</v>
      </c>
      <c r="O1258">
        <v>-0.52658649999999996</v>
      </c>
      <c r="P1258">
        <v>0.81715300000000002</v>
      </c>
      <c r="Q1258">
        <v>3.3386939999999997E-2</v>
      </c>
      <c r="R1258">
        <v>-0.575453199999999</v>
      </c>
      <c r="S1258">
        <v>1.924728</v>
      </c>
      <c r="T1258">
        <v>0.35602119999999998</v>
      </c>
      <c r="U1258">
        <v>-2.4729610000000002</v>
      </c>
      <c r="V1258">
        <v>6.0015880000000001E-2</v>
      </c>
      <c r="W1258">
        <v>4.7369700000000001E-2</v>
      </c>
      <c r="X1258">
        <v>0.99707279999999998</v>
      </c>
      <c r="Y1258">
        <v>0.34810540000000001</v>
      </c>
      <c r="Z1258">
        <v>-4.2304580000000001E-2</v>
      </c>
      <c r="AA1258">
        <v>0.93650040000000001</v>
      </c>
      <c r="AB1258">
        <v>29</v>
      </c>
      <c r="AC1258">
        <v>28.3568</v>
      </c>
      <c r="AD1258">
        <v>5.2748530000000002</v>
      </c>
      <c r="AE1258">
        <v>-36.532600000000002</v>
      </c>
      <c r="AF1258">
        <v>15.9145808586011</v>
      </c>
      <c r="AG1258">
        <v>5.2748530000000002</v>
      </c>
      <c r="AH1258">
        <v>42.788834283058101</v>
      </c>
      <c r="AI1258">
        <v>83.409079230228897</v>
      </c>
      <c r="AJ1258">
        <v>69.598169599982896</v>
      </c>
      <c r="AK1258">
        <v>45.956308569983797</v>
      </c>
      <c r="AL1258">
        <v>87.284900019490095</v>
      </c>
      <c r="AM1258">
        <v>86.555404196354004</v>
      </c>
      <c r="AN1258">
        <v>0.99999998141505198</v>
      </c>
    </row>
    <row r="1259" spans="1:40" x14ac:dyDescent="0.25">
      <c r="A1259" t="str">
        <f>"20190312160622894"</f>
        <v>20190312160622894</v>
      </c>
      <c r="B1259" t="str">
        <f>"1552377982886080"</f>
        <v>1552377982886080</v>
      </c>
      <c r="C1259" t="s">
        <v>40</v>
      </c>
      <c r="D1259">
        <v>6.453093</v>
      </c>
      <c r="E1259">
        <v>0.61837790000000004</v>
      </c>
      <c r="F1259" t="s">
        <v>49</v>
      </c>
      <c r="G1259">
        <v>-168.40209999999999</v>
      </c>
      <c r="H1259">
        <v>6.2248510000000001</v>
      </c>
      <c r="I1259">
        <v>324.22550000000001</v>
      </c>
      <c r="J1259">
        <v>-196.62100000000001</v>
      </c>
      <c r="K1259">
        <v>1.09972</v>
      </c>
      <c r="L1259">
        <v>361.1</v>
      </c>
      <c r="M1259">
        <v>0.84613320000000003</v>
      </c>
      <c r="N1259">
        <v>0</v>
      </c>
      <c r="O1259">
        <v>-0.532746099999999</v>
      </c>
      <c r="P1259">
        <v>0.81285390000000002</v>
      </c>
      <c r="Q1259">
        <v>3.3358329999999999E-2</v>
      </c>
      <c r="R1259">
        <v>-0.58151200000000003</v>
      </c>
      <c r="S1259">
        <v>1.9067229999999999</v>
      </c>
      <c r="T1259">
        <v>0.34461079999999999</v>
      </c>
      <c r="U1259">
        <v>-2.4857179999999999</v>
      </c>
      <c r="V1259">
        <v>6.0193410000000003E-2</v>
      </c>
      <c r="W1259">
        <v>4.7346350000000002E-2</v>
      </c>
      <c r="X1259">
        <v>0.99706320000000004</v>
      </c>
      <c r="Y1259">
        <v>0.34786830000000002</v>
      </c>
      <c r="Z1259">
        <v>-4.173317E-2</v>
      </c>
      <c r="AA1259">
        <v>0.9366141</v>
      </c>
      <c r="AB1259">
        <v>29</v>
      </c>
      <c r="AC1259">
        <v>28.218899999999898</v>
      </c>
      <c r="AD1259">
        <v>5.1251309999999997</v>
      </c>
      <c r="AE1259">
        <v>-36.874499999999998</v>
      </c>
      <c r="AF1259">
        <v>15.974553868172499</v>
      </c>
      <c r="AG1259">
        <v>5.1251309999999997</v>
      </c>
      <c r="AH1259">
        <v>43.003016534826401</v>
      </c>
      <c r="AI1259">
        <v>83.625273972146104</v>
      </c>
      <c r="AJ1259">
        <v>69.621217443289595</v>
      </c>
      <c r="AK1259">
        <v>46.1596443893241</v>
      </c>
      <c r="AL1259">
        <v>87.286239358970903</v>
      </c>
      <c r="AM1259">
        <v>86.545206368151995</v>
      </c>
      <c r="AN1259">
        <v>0.99999997412999497</v>
      </c>
    </row>
    <row r="1260" spans="1:40" x14ac:dyDescent="0.25">
      <c r="A1260" t="str">
        <f>"20190312160622910"</f>
        <v>20190312160622910</v>
      </c>
      <c r="B1260" t="str">
        <f>"1552377982906578"</f>
        <v>1552377982906578</v>
      </c>
      <c r="C1260" t="s">
        <v>40</v>
      </c>
      <c r="D1260">
        <v>6.2268499999999998</v>
      </c>
      <c r="E1260">
        <v>0.61913070000000003</v>
      </c>
      <c r="F1260" t="s">
        <v>44</v>
      </c>
      <c r="G1260">
        <v>-196.1225</v>
      </c>
      <c r="H1260">
        <v>1.1901619999999999</v>
      </c>
      <c r="I1260">
        <v>360.43970000000002</v>
      </c>
      <c r="J1260">
        <v>-196.446</v>
      </c>
      <c r="K1260">
        <v>1.099634</v>
      </c>
      <c r="L1260">
        <v>360.9787</v>
      </c>
      <c r="M1260">
        <v>0.84108259999999901</v>
      </c>
      <c r="N1260">
        <v>0</v>
      </c>
      <c r="O1260">
        <v>-0.54068380000000005</v>
      </c>
      <c r="P1260">
        <v>0.80724059999999997</v>
      </c>
      <c r="Q1260">
        <v>3.3425620000000003E-2</v>
      </c>
      <c r="R1260">
        <v>-0.58927600000000002</v>
      </c>
      <c r="S1260">
        <v>1.887848</v>
      </c>
      <c r="T1260">
        <v>0.34252749999999998</v>
      </c>
      <c r="U1260">
        <v>-2.5004270000000002</v>
      </c>
      <c r="V1260">
        <v>6.0381570000000002E-2</v>
      </c>
      <c r="W1260">
        <v>4.742209E-2</v>
      </c>
      <c r="X1260">
        <v>0.9970483</v>
      </c>
      <c r="Y1260">
        <v>0.34623100000000001</v>
      </c>
      <c r="Z1260">
        <v>-4.2523770000000002E-2</v>
      </c>
      <c r="AA1260">
        <v>0.93718500000000005</v>
      </c>
      <c r="AB1260">
        <v>29</v>
      </c>
      <c r="AC1260">
        <v>0.32349999999999501</v>
      </c>
      <c r="AD1260">
        <v>9.0528000000000095E-2</v>
      </c>
      <c r="AE1260">
        <v>-0.53899999999998705</v>
      </c>
      <c r="AF1260">
        <v>0.27280823532114501</v>
      </c>
      <c r="AG1260">
        <v>9.0528000000000095E-2</v>
      </c>
      <c r="AH1260">
        <v>0.55213622772355997</v>
      </c>
      <c r="AI1260">
        <v>81.637672261009001</v>
      </c>
      <c r="AJ1260">
        <v>63.706212355727097</v>
      </c>
      <c r="AK1260">
        <v>0.62247414886711505</v>
      </c>
      <c r="AL1260">
        <v>87.281895104482601</v>
      </c>
      <c r="AM1260">
        <v>86.534381563352895</v>
      </c>
      <c r="AN1260">
        <v>1.0000000505742599</v>
      </c>
    </row>
    <row r="1261" spans="1:40" x14ac:dyDescent="0.25">
      <c r="A1261" t="str">
        <f>"20190312160622923"</f>
        <v>20190312160622923</v>
      </c>
      <c r="B1261" t="str">
        <f>"1552377982916336"</f>
        <v>1552377982916336</v>
      </c>
      <c r="C1261" t="s">
        <v>40</v>
      </c>
      <c r="D1261">
        <v>5.2236529999999997</v>
      </c>
      <c r="E1261">
        <v>0.61926729999999997</v>
      </c>
      <c r="F1261" t="s">
        <v>49</v>
      </c>
      <c r="G1261">
        <v>-168.40209999999999</v>
      </c>
      <c r="H1261">
        <v>6.2988019999999896</v>
      </c>
      <c r="I1261">
        <v>322.9486</v>
      </c>
      <c r="J1261">
        <v>-196.31569999999999</v>
      </c>
      <c r="K1261">
        <v>1.0995710000000001</v>
      </c>
      <c r="L1261">
        <v>360.88679999999999</v>
      </c>
      <c r="M1261">
        <v>0.83722260000000004</v>
      </c>
      <c r="N1261">
        <v>0</v>
      </c>
      <c r="O1261">
        <v>-0.54664109999999999</v>
      </c>
      <c r="P1261">
        <v>0.80300469999999902</v>
      </c>
      <c r="Q1261">
        <v>3.3319840000000003E-2</v>
      </c>
      <c r="R1261">
        <v>-0.59504069999999998</v>
      </c>
      <c r="S1261">
        <v>1.8604130000000001</v>
      </c>
      <c r="T1261">
        <v>0.34490920000000003</v>
      </c>
      <c r="U1261">
        <v>-2.522888</v>
      </c>
      <c r="V1261">
        <v>6.0444860000000003E-2</v>
      </c>
      <c r="W1261">
        <v>4.7324930000000001E-2</v>
      </c>
      <c r="X1261">
        <v>0.99704899999999996</v>
      </c>
      <c r="Y1261">
        <v>0.3501783</v>
      </c>
      <c r="Z1261">
        <v>-4.3323710000000001E-2</v>
      </c>
      <c r="AA1261">
        <v>0.93568059999999997</v>
      </c>
      <c r="AB1261">
        <v>29</v>
      </c>
      <c r="AC1261">
        <v>27.913599999999999</v>
      </c>
      <c r="AD1261">
        <v>5.1992309999999904</v>
      </c>
      <c r="AE1261">
        <v>-37.938200000000002</v>
      </c>
      <c r="AF1261">
        <v>16.307289956348999</v>
      </c>
      <c r="AG1261">
        <v>5.1992309999999904</v>
      </c>
      <c r="AH1261">
        <v>43.582757021673402</v>
      </c>
      <c r="AI1261">
        <v>83.624756982273496</v>
      </c>
      <c r="AJ1261">
        <v>69.485739642091403</v>
      </c>
      <c r="AK1261">
        <v>46.823246558969203</v>
      </c>
      <c r="AL1261">
        <v>87.287467998624393</v>
      </c>
      <c r="AM1261">
        <v>86.530760311864896</v>
      </c>
      <c r="AN1261">
        <v>0.99999996925046097</v>
      </c>
    </row>
    <row r="1262" spans="1:40" x14ac:dyDescent="0.25">
      <c r="A1262" t="str">
        <f>"20190312160622933"</f>
        <v>20190312160622933</v>
      </c>
      <c r="B1262" t="str">
        <f>"1552377982926096"</f>
        <v>1552377982926096</v>
      </c>
      <c r="C1262" t="s">
        <v>40</v>
      </c>
      <c r="D1262">
        <v>6.1941990000000002</v>
      </c>
      <c r="E1262">
        <v>0.62037350000000002</v>
      </c>
      <c r="F1262" t="s">
        <v>49</v>
      </c>
      <c r="G1262">
        <v>-168.40209999999999</v>
      </c>
      <c r="H1262">
        <v>6.3645310000000004</v>
      </c>
      <c r="I1262">
        <v>322.44</v>
      </c>
      <c r="J1262">
        <v>-196.197</v>
      </c>
      <c r="K1262">
        <v>1.099515</v>
      </c>
      <c r="L1262">
        <v>360.8023</v>
      </c>
      <c r="M1262">
        <v>0.83364780000000005</v>
      </c>
      <c r="N1262">
        <v>0</v>
      </c>
      <c r="O1262">
        <v>-0.55207689999999998</v>
      </c>
      <c r="P1262">
        <v>0.79895059999999996</v>
      </c>
      <c r="Q1262">
        <v>3.3027300000000002E-2</v>
      </c>
      <c r="R1262">
        <v>-0.60048970000000002</v>
      </c>
      <c r="S1262">
        <v>1.841766</v>
      </c>
      <c r="T1262">
        <v>0.347387</v>
      </c>
      <c r="U1262">
        <v>-2.536743</v>
      </c>
      <c r="V1262">
        <v>6.0732639999999997E-2</v>
      </c>
      <c r="W1262">
        <v>4.7033899999999997E-2</v>
      </c>
      <c r="X1262">
        <v>0.99704530000000002</v>
      </c>
      <c r="Y1262">
        <v>0.35104669999999999</v>
      </c>
      <c r="Z1262">
        <v>-4.4256480000000001E-2</v>
      </c>
      <c r="AA1262">
        <v>0.93531149999999996</v>
      </c>
      <c r="AB1262">
        <v>29</v>
      </c>
      <c r="AC1262">
        <v>27.794899999999998</v>
      </c>
      <c r="AD1262">
        <v>5.2650159999999904</v>
      </c>
      <c r="AE1262">
        <v>-38.362299999999998</v>
      </c>
      <c r="AF1262">
        <v>16.4347415891318</v>
      </c>
      <c r="AG1262">
        <v>5.2650159999999904</v>
      </c>
      <c r="AH1262">
        <v>43.814284741315497</v>
      </c>
      <c r="AI1262">
        <v>83.580543247440104</v>
      </c>
      <c r="AJ1262">
        <v>69.438927876061499</v>
      </c>
      <c r="AK1262">
        <v>47.090473261317598</v>
      </c>
      <c r="AL1262">
        <v>87.3041614237315</v>
      </c>
      <c r="AM1262">
        <v>86.514270871144305</v>
      </c>
      <c r="AN1262">
        <v>0.99999998578133398</v>
      </c>
    </row>
    <row r="1263" spans="1:40" x14ac:dyDescent="0.25">
      <c r="A1263" t="str">
        <f>"20190312160622944"</f>
        <v>20190312160622944</v>
      </c>
      <c r="B1263" t="str">
        <f>"1552377982935856"</f>
        <v>1552377982935856</v>
      </c>
      <c r="C1263" t="s">
        <v>40</v>
      </c>
      <c r="D1263">
        <v>5.3015319999999999</v>
      </c>
      <c r="E1263">
        <v>0.61997809999999998</v>
      </c>
      <c r="F1263" t="s">
        <v>49</v>
      </c>
      <c r="G1263">
        <v>-168.40209999999999</v>
      </c>
      <c r="H1263">
        <v>6.4728289999999999</v>
      </c>
      <c r="I1263">
        <v>321.76159999999999</v>
      </c>
      <c r="J1263">
        <v>-196.08199999999999</v>
      </c>
      <c r="K1263">
        <v>1.099461</v>
      </c>
      <c r="L1263">
        <v>360.71850000000001</v>
      </c>
      <c r="M1263">
        <v>0.83008069999999901</v>
      </c>
      <c r="N1263">
        <v>0</v>
      </c>
      <c r="O1263">
        <v>-0.55742559999999997</v>
      </c>
      <c r="P1263">
        <v>0.79492039999999997</v>
      </c>
      <c r="Q1263">
        <v>3.272431E-2</v>
      </c>
      <c r="R1263">
        <v>-0.60583069999999895</v>
      </c>
      <c r="S1263">
        <v>1.8195190000000001</v>
      </c>
      <c r="T1263">
        <v>0.35175009999999901</v>
      </c>
      <c r="U1263">
        <v>-2.5556950000000001</v>
      </c>
      <c r="V1263">
        <v>6.0995819999999999E-2</v>
      </c>
      <c r="W1263">
        <v>4.6732870000000003E-2</v>
      </c>
      <c r="X1263">
        <v>0.99704340000000002</v>
      </c>
      <c r="Y1263">
        <v>0.35374070000000002</v>
      </c>
      <c r="Z1263">
        <v>-4.5304520000000001E-2</v>
      </c>
      <c r="AA1263">
        <v>0.93424569999999996</v>
      </c>
      <c r="AB1263">
        <v>29</v>
      </c>
      <c r="AC1263">
        <v>27.6799</v>
      </c>
      <c r="AD1263">
        <v>5.3733680000000001</v>
      </c>
      <c r="AE1263">
        <v>-38.956899999999997</v>
      </c>
      <c r="AF1263">
        <v>16.6988240142744</v>
      </c>
      <c r="AG1263">
        <v>5.3733680000000001</v>
      </c>
      <c r="AH1263">
        <v>44.139516761896203</v>
      </c>
      <c r="AI1263">
        <v>83.504263227188702</v>
      </c>
      <c r="AJ1263">
        <v>69.277410232864995</v>
      </c>
      <c r="AK1263">
        <v>47.497586750242903</v>
      </c>
      <c r="AL1263">
        <v>87.321428187881097</v>
      </c>
      <c r="AM1263">
        <v>86.499196575775002</v>
      </c>
      <c r="AN1263">
        <v>0.99999999633973402</v>
      </c>
    </row>
    <row r="1264" spans="1:40" x14ac:dyDescent="0.25">
      <c r="A1264" t="str">
        <f>"20190312160622955"</f>
        <v>20190312160622955</v>
      </c>
      <c r="B1264" t="str">
        <f>"1552377982946593"</f>
        <v>1552377982946593</v>
      </c>
      <c r="C1264" t="s">
        <v>40</v>
      </c>
      <c r="D1264">
        <v>5.241269</v>
      </c>
      <c r="E1264">
        <v>0.62013529999999994</v>
      </c>
      <c r="F1264" t="s">
        <v>49</v>
      </c>
      <c r="G1264">
        <v>-168.40209999999999</v>
      </c>
      <c r="H1264">
        <v>6.4607109999999999</v>
      </c>
      <c r="I1264">
        <v>321.36250000000001</v>
      </c>
      <c r="J1264">
        <v>-195.96100000000001</v>
      </c>
      <c r="K1264">
        <v>1.099405</v>
      </c>
      <c r="L1264">
        <v>360.62990000000002</v>
      </c>
      <c r="M1264">
        <v>0.82627839999999997</v>
      </c>
      <c r="N1264">
        <v>0</v>
      </c>
      <c r="O1264">
        <v>-0.56304589999999999</v>
      </c>
      <c r="P1264">
        <v>0.79051990000000005</v>
      </c>
      <c r="Q1264">
        <v>3.265303E-2</v>
      </c>
      <c r="R1264">
        <v>-0.61156560000000004</v>
      </c>
      <c r="S1264">
        <v>1.8043670000000001</v>
      </c>
      <c r="T1264">
        <v>0.34948370000000001</v>
      </c>
      <c r="U1264">
        <v>-2.5654910000000002</v>
      </c>
      <c r="V1264">
        <v>6.1445470000000002E-2</v>
      </c>
      <c r="W1264">
        <v>4.6658079999999998E-2</v>
      </c>
      <c r="X1264">
        <v>0.99701930000000005</v>
      </c>
      <c r="Y1264">
        <v>0.35277969999999997</v>
      </c>
      <c r="Z1264">
        <v>-4.5774250000000002E-2</v>
      </c>
      <c r="AA1264">
        <v>0.93458609999999998</v>
      </c>
      <c r="AB1264">
        <v>29</v>
      </c>
      <c r="AC1264">
        <v>27.558899999999898</v>
      </c>
      <c r="AD1264">
        <v>5.3613059999999999</v>
      </c>
      <c r="AE1264">
        <v>-39.267400000000002</v>
      </c>
      <c r="AF1264">
        <v>16.722088243112999</v>
      </c>
      <c r="AG1264">
        <v>5.3613059999999999</v>
      </c>
      <c r="AH1264">
        <v>44.332443576808899</v>
      </c>
      <c r="AI1264">
        <v>83.544314357348398</v>
      </c>
      <c r="AJ1264">
        <v>69.333648436787598</v>
      </c>
      <c r="AK1264">
        <v>47.683722492345701</v>
      </c>
      <c r="AL1264">
        <v>87.325718037593106</v>
      </c>
      <c r="AM1264">
        <v>86.473369158030906</v>
      </c>
      <c r="AN1264">
        <v>1.0000000033926399</v>
      </c>
    </row>
    <row r="1265" spans="1:40" x14ac:dyDescent="0.25">
      <c r="A1265" t="str">
        <f>"20190312160622965"</f>
        <v>20190312160622965</v>
      </c>
      <c r="B1265" t="str">
        <f>"1552377982956352"</f>
        <v>1552377982956352</v>
      </c>
      <c r="C1265" t="s">
        <v>40</v>
      </c>
      <c r="D1265">
        <v>6.2556969999999996</v>
      </c>
      <c r="E1265">
        <v>0.62087479999999995</v>
      </c>
      <c r="F1265" t="s">
        <v>44</v>
      </c>
      <c r="G1265">
        <v>-195.4975</v>
      </c>
      <c r="H1265">
        <v>1.1908379999999901</v>
      </c>
      <c r="I1265">
        <v>359.9599</v>
      </c>
      <c r="J1265">
        <v>-195.85149999999999</v>
      </c>
      <c r="K1265">
        <v>1.099356</v>
      </c>
      <c r="L1265">
        <v>360.5478</v>
      </c>
      <c r="M1265">
        <v>0.82274239999999998</v>
      </c>
      <c r="N1265">
        <v>0</v>
      </c>
      <c r="O1265">
        <v>-0.56819980000000003</v>
      </c>
      <c r="P1265">
        <v>0.78645419999999999</v>
      </c>
      <c r="Q1265">
        <v>3.2633420000000003E-2</v>
      </c>
      <c r="R1265">
        <v>-0.61678569999999999</v>
      </c>
      <c r="S1265">
        <v>1.784958</v>
      </c>
      <c r="T1265">
        <v>0.35199459999999999</v>
      </c>
      <c r="U1265">
        <v>-2.5793759999999999</v>
      </c>
      <c r="V1265">
        <v>6.1818970000000001E-2</v>
      </c>
      <c r="W1265">
        <v>4.6637129999999999E-2</v>
      </c>
      <c r="X1265">
        <v>0.99699720000000003</v>
      </c>
      <c r="Y1265">
        <v>0.35406779999999999</v>
      </c>
      <c r="Z1265">
        <v>-4.667789E-2</v>
      </c>
      <c r="AA1265">
        <v>0.9340541</v>
      </c>
      <c r="AB1265">
        <v>29</v>
      </c>
      <c r="AC1265">
        <v>0.35399999999998399</v>
      </c>
      <c r="AD1265">
        <v>9.14819999999998E-2</v>
      </c>
      <c r="AE1265">
        <v>-0.58789999999998999</v>
      </c>
      <c r="AF1265">
        <v>0.27764800737262701</v>
      </c>
      <c r="AG1265">
        <v>9.14819999999998E-2</v>
      </c>
      <c r="AH1265">
        <v>0.61445252486138402</v>
      </c>
      <c r="AI1265">
        <v>82.273540777617498</v>
      </c>
      <c r="AJ1265">
        <v>65.683577230813299</v>
      </c>
      <c r="AK1265">
        <v>0.68044785077955905</v>
      </c>
      <c r="AL1265">
        <v>87.326919714977905</v>
      </c>
      <c r="AM1265">
        <v>86.4519084681572</v>
      </c>
      <c r="AN1265">
        <v>1.0000000118771599</v>
      </c>
    </row>
    <row r="1266" spans="1:40" x14ac:dyDescent="0.25">
      <c r="A1266" t="str">
        <f>"20190312160622977"</f>
        <v>20190312160622977</v>
      </c>
      <c r="B1266" t="str">
        <f>"1552377982966112"</f>
        <v>1552377982966112</v>
      </c>
      <c r="C1266" t="s">
        <v>40</v>
      </c>
      <c r="D1266">
        <v>6.2012080000000003</v>
      </c>
      <c r="E1266">
        <v>0.62169010000000002</v>
      </c>
      <c r="F1266" t="s">
        <v>49</v>
      </c>
      <c r="G1266">
        <v>-168.40219999999999</v>
      </c>
      <c r="H1266">
        <v>6.6406340000000004</v>
      </c>
      <c r="I1266">
        <v>320.1508</v>
      </c>
      <c r="J1266">
        <v>-195.72929999999999</v>
      </c>
      <c r="K1266">
        <v>1.0993059999999999</v>
      </c>
      <c r="L1266">
        <v>360.45549999999997</v>
      </c>
      <c r="M1266">
        <v>0.81873509999999905</v>
      </c>
      <c r="N1266">
        <v>0</v>
      </c>
      <c r="O1266">
        <v>-0.57395850000000004</v>
      </c>
      <c r="P1266">
        <v>0.78178760000000003</v>
      </c>
      <c r="Q1266">
        <v>3.2835179999999999E-2</v>
      </c>
      <c r="R1266">
        <v>-0.622679599999999</v>
      </c>
      <c r="S1266">
        <v>1.7639009999999999</v>
      </c>
      <c r="T1266">
        <v>0.3560836</v>
      </c>
      <c r="U1266">
        <v>-2.595917</v>
      </c>
      <c r="V1266">
        <v>6.2333800000000002E-2</v>
      </c>
      <c r="W1266">
        <v>4.6833850000000003E-2</v>
      </c>
      <c r="X1266">
        <v>0.99695590000000001</v>
      </c>
      <c r="Y1266">
        <v>0.35549609999999998</v>
      </c>
      <c r="Z1266">
        <v>-4.7848950000000001E-2</v>
      </c>
      <c r="AA1266">
        <v>0.93345219999999995</v>
      </c>
      <c r="AB1266">
        <v>29</v>
      </c>
      <c r="AC1266">
        <v>27.327100000000002</v>
      </c>
      <c r="AD1266">
        <v>5.541328</v>
      </c>
      <c r="AE1266">
        <v>-40.304699999999897</v>
      </c>
      <c r="AF1266">
        <v>17.094996784160401</v>
      </c>
      <c r="AG1266">
        <v>5.541328</v>
      </c>
      <c r="AH1266">
        <v>44.930616663815897</v>
      </c>
      <c r="AI1266">
        <v>83.424571183341001</v>
      </c>
      <c r="AJ1266">
        <v>69.169408551005702</v>
      </c>
      <c r="AK1266">
        <v>48.391172178867699</v>
      </c>
      <c r="AL1266">
        <v>87.315636099255499</v>
      </c>
      <c r="AM1266">
        <v>86.4222884764105</v>
      </c>
      <c r="AN1266">
        <v>0.999999989336536</v>
      </c>
    </row>
    <row r="1267" spans="1:40" x14ac:dyDescent="0.25">
      <c r="A1267" t="str">
        <f>"20190312160622991"</f>
        <v>20190312160622991</v>
      </c>
      <c r="B1267" t="str">
        <f>"1552377982986609"</f>
        <v>1552377982986609</v>
      </c>
      <c r="C1267" t="s">
        <v>40</v>
      </c>
      <c r="D1267">
        <v>6.2096519999999904</v>
      </c>
      <c r="E1267">
        <v>0.62294359999999904</v>
      </c>
      <c r="F1267" t="s">
        <v>44</v>
      </c>
      <c r="G1267">
        <v>-195.28540000000001</v>
      </c>
      <c r="H1267">
        <v>1.190955</v>
      </c>
      <c r="I1267">
        <v>359.78910000000002</v>
      </c>
      <c r="J1267">
        <v>-195.5865</v>
      </c>
      <c r="K1267">
        <v>1.099245</v>
      </c>
      <c r="L1267">
        <v>360.34559999999999</v>
      </c>
      <c r="M1267">
        <v>0.81393359999999904</v>
      </c>
      <c r="N1267">
        <v>0</v>
      </c>
      <c r="O1267">
        <v>-0.58074709999999996</v>
      </c>
      <c r="P1267">
        <v>0.77616839999999998</v>
      </c>
      <c r="Q1267">
        <v>3.3176780000000003E-2</v>
      </c>
      <c r="R1267">
        <v>-0.62965269999999995</v>
      </c>
      <c r="S1267">
        <v>1.740448</v>
      </c>
      <c r="T1267">
        <v>0.35945339999999998</v>
      </c>
      <c r="U1267">
        <v>-2.6137700000000001</v>
      </c>
      <c r="V1267">
        <v>6.2991400000000003E-2</v>
      </c>
      <c r="W1267">
        <v>4.7169170000000003E-2</v>
      </c>
      <c r="X1267">
        <v>0.99689879999999997</v>
      </c>
      <c r="Y1267">
        <v>0.35651139999999998</v>
      </c>
      <c r="Z1267">
        <v>-4.9092299999999998E-2</v>
      </c>
      <c r="AA1267">
        <v>0.9330003</v>
      </c>
      <c r="AB1267">
        <v>29</v>
      </c>
      <c r="AC1267">
        <v>0.30109999999999099</v>
      </c>
      <c r="AD1267">
        <v>9.1709999999999903E-2</v>
      </c>
      <c r="AE1267">
        <v>-0.55649999999997102</v>
      </c>
      <c r="AF1267">
        <v>0.272402457269947</v>
      </c>
      <c r="AG1267">
        <v>9.1709999999999903E-2</v>
      </c>
      <c r="AH1267">
        <v>0.55663680161784901</v>
      </c>
      <c r="AI1267">
        <v>81.582054848515696</v>
      </c>
      <c r="AJ1267">
        <v>63.924169022167298</v>
      </c>
      <c r="AK1267">
        <v>0.62646496449686195</v>
      </c>
      <c r="AL1267">
        <v>87.296402537590296</v>
      </c>
      <c r="AM1267">
        <v>86.384437915668599</v>
      </c>
      <c r="AN1267">
        <v>1.00000003225694</v>
      </c>
    </row>
    <row r="1268" spans="1:40" x14ac:dyDescent="0.25">
      <c r="A1268" t="str">
        <f>"20190312160623003"</f>
        <v>20190312160623003</v>
      </c>
      <c r="B1268" t="str">
        <f>"1552377982996368"</f>
        <v>1552377982996368</v>
      </c>
      <c r="C1268" t="s">
        <v>40</v>
      </c>
      <c r="D1268">
        <v>6.1968699999999997</v>
      </c>
      <c r="E1268">
        <v>0.62352909999999995</v>
      </c>
      <c r="F1268" t="s">
        <v>49</v>
      </c>
      <c r="G1268">
        <v>-168.40219999999999</v>
      </c>
      <c r="H1268">
        <v>6.9008229999999999</v>
      </c>
      <c r="I1268">
        <v>318.44189999999998</v>
      </c>
      <c r="J1268">
        <v>-195.46119999999999</v>
      </c>
      <c r="K1268">
        <v>1.0991919999999999</v>
      </c>
      <c r="L1268">
        <v>360.24740000000003</v>
      </c>
      <c r="M1268">
        <v>0.80961110000000003</v>
      </c>
      <c r="N1268">
        <v>0</v>
      </c>
      <c r="O1268">
        <v>-0.58675730000000004</v>
      </c>
      <c r="P1268">
        <v>0.77124159999999997</v>
      </c>
      <c r="Q1268">
        <v>3.3325229999999997E-2</v>
      </c>
      <c r="R1268">
        <v>-0.63566959999999995</v>
      </c>
      <c r="S1268">
        <v>1.71052599999999</v>
      </c>
      <c r="T1268">
        <v>0.36505500000000002</v>
      </c>
      <c r="U1268">
        <v>-2.6367189999999998</v>
      </c>
      <c r="V1268">
        <v>6.3377089999999997E-2</v>
      </c>
      <c r="W1268">
        <v>4.731635E-2</v>
      </c>
      <c r="X1268">
        <v>0.99686739999999996</v>
      </c>
      <c r="Y1268">
        <v>0.36079260000000002</v>
      </c>
      <c r="Z1268">
        <v>-5.0371050000000001E-2</v>
      </c>
      <c r="AA1268">
        <v>0.93128480000000002</v>
      </c>
      <c r="AB1268">
        <v>29</v>
      </c>
      <c r="AC1268">
        <v>27.059000000000001</v>
      </c>
      <c r="AD1268">
        <v>5.8016309999999898</v>
      </c>
      <c r="AE1268">
        <v>-41.805500000000002</v>
      </c>
      <c r="AF1268">
        <v>17.730685123915102</v>
      </c>
      <c r="AG1268">
        <v>5.8016309999999898</v>
      </c>
      <c r="AH1268">
        <v>45.820742201375801</v>
      </c>
      <c r="AI1268">
        <v>83.265504746208606</v>
      </c>
      <c r="AJ1268">
        <v>68.845674692034194</v>
      </c>
      <c r="AK1268">
        <v>49.472987913694098</v>
      </c>
      <c r="AL1268">
        <v>87.287960374647994</v>
      </c>
      <c r="AM1268">
        <v>86.362245180745205</v>
      </c>
      <c r="AN1268">
        <v>1.00000005284847</v>
      </c>
    </row>
    <row r="1269" spans="1:40" x14ac:dyDescent="0.25">
      <c r="A1269" t="str">
        <f>"20190312160623012"</f>
        <v>20190312160623012</v>
      </c>
      <c r="B1269" t="str">
        <f>"1552377983006128"</f>
        <v>1552377983006128</v>
      </c>
      <c r="C1269" t="s">
        <v>40</v>
      </c>
      <c r="D1269">
        <v>5.374333</v>
      </c>
      <c r="E1269">
        <v>0.62397089999999999</v>
      </c>
      <c r="F1269" t="s">
        <v>49</v>
      </c>
      <c r="G1269">
        <v>-168.60599999999999</v>
      </c>
      <c r="H1269">
        <v>6.9559059999999997</v>
      </c>
      <c r="I1269">
        <v>318.00420000000003</v>
      </c>
      <c r="J1269">
        <v>-195.34729999999999</v>
      </c>
      <c r="K1269">
        <v>1.0991470000000001</v>
      </c>
      <c r="L1269">
        <v>360.15750000000003</v>
      </c>
      <c r="M1269">
        <v>0.80562449999999997</v>
      </c>
      <c r="N1269">
        <v>0</v>
      </c>
      <c r="O1269">
        <v>-0.59221889999999999</v>
      </c>
      <c r="P1269">
        <v>0.76670899999999997</v>
      </c>
      <c r="Q1269">
        <v>3.3372319999999997E-2</v>
      </c>
      <c r="R1269">
        <v>-0.64112729999999996</v>
      </c>
      <c r="S1269">
        <v>1.68689</v>
      </c>
      <c r="T1269">
        <v>0.3678863</v>
      </c>
      <c r="U1269">
        <v>-2.653473</v>
      </c>
      <c r="V1269">
        <v>6.3718419999999998E-2</v>
      </c>
      <c r="W1269">
        <v>4.7362550000000003E-2</v>
      </c>
      <c r="X1269">
        <v>0.99684340000000005</v>
      </c>
      <c r="Y1269">
        <v>0.36308479999999999</v>
      </c>
      <c r="Z1269">
        <v>-5.1339030000000001E-2</v>
      </c>
      <c r="AA1269">
        <v>0.93034059999999996</v>
      </c>
      <c r="AB1269">
        <v>29</v>
      </c>
      <c r="AC1269">
        <v>26.741299999999899</v>
      </c>
      <c r="AD1269">
        <v>5.8567589999999896</v>
      </c>
      <c r="AE1269">
        <v>-42.153300000000002</v>
      </c>
      <c r="AF1269">
        <v>17.879155579089499</v>
      </c>
      <c r="AG1269">
        <v>5.8567589999999896</v>
      </c>
      <c r="AH1269">
        <v>45.8816005607273</v>
      </c>
      <c r="AI1269">
        <v>83.217217495770896</v>
      </c>
      <c r="AJ1269">
        <v>68.710117612449295</v>
      </c>
      <c r="AK1269">
        <v>49.589183298573303</v>
      </c>
      <c r="AL1269">
        <v>87.285310211863901</v>
      </c>
      <c r="AM1269">
        <v>86.342618543110007</v>
      </c>
      <c r="AN1269">
        <v>1.0000000061566701</v>
      </c>
    </row>
    <row r="1270" spans="1:40" x14ac:dyDescent="0.25">
      <c r="A1270" t="str">
        <f>"20190312160623023"</f>
        <v>20190312160623023</v>
      </c>
      <c r="B1270" t="str">
        <f>"1552377983015888"</f>
        <v>1552377983015888</v>
      </c>
      <c r="C1270" t="s">
        <v>40</v>
      </c>
      <c r="D1270">
        <v>6.2101110000000004</v>
      </c>
      <c r="E1270">
        <v>0.62435719999999995</v>
      </c>
      <c r="F1270" t="s">
        <v>49</v>
      </c>
      <c r="G1270">
        <v>-168.99189999999999</v>
      </c>
      <c r="H1270">
        <v>6.9557770000000003</v>
      </c>
      <c r="I1270">
        <v>317.9418</v>
      </c>
      <c r="J1270">
        <v>-195.24870000000001</v>
      </c>
      <c r="K1270">
        <v>1.0991059999999999</v>
      </c>
      <c r="L1270">
        <v>360.07760000000002</v>
      </c>
      <c r="M1270">
        <v>0.80207550000000005</v>
      </c>
      <c r="N1270">
        <v>0</v>
      </c>
      <c r="O1270">
        <v>-0.59701649999999995</v>
      </c>
      <c r="P1270">
        <v>0.76278999999999997</v>
      </c>
      <c r="Q1270">
        <v>3.3709650000000001E-2</v>
      </c>
      <c r="R1270">
        <v>-0.64576719999999999</v>
      </c>
      <c r="S1270">
        <v>1.6656799999999901</v>
      </c>
      <c r="T1270">
        <v>0.37014370000000002</v>
      </c>
      <c r="U1270">
        <v>-2.6680600000000001</v>
      </c>
      <c r="V1270">
        <v>6.3839499999999993E-2</v>
      </c>
      <c r="W1270">
        <v>4.770406E-2</v>
      </c>
      <c r="X1270">
        <v>0.99681940000000002</v>
      </c>
      <c r="Y1270">
        <v>0.36515429999999999</v>
      </c>
      <c r="Z1270">
        <v>-5.2165089999999997E-2</v>
      </c>
      <c r="AA1270">
        <v>0.92948430000000004</v>
      </c>
      <c r="AB1270">
        <v>29</v>
      </c>
      <c r="AC1270">
        <v>26.256799999999998</v>
      </c>
      <c r="AD1270">
        <v>5.8566709999999897</v>
      </c>
      <c r="AE1270">
        <v>-42.135800000000003</v>
      </c>
      <c r="AF1270">
        <v>17.873849847870801</v>
      </c>
      <c r="AG1270">
        <v>5.8566709999999897</v>
      </c>
      <c r="AH1270">
        <v>45.587008536771499</v>
      </c>
      <c r="AI1270">
        <v>83.179404206918704</v>
      </c>
      <c r="AJ1270">
        <v>68.590743463342505</v>
      </c>
      <c r="AK1270">
        <v>49.314809651038402</v>
      </c>
      <c r="AL1270">
        <v>87.265721073818696</v>
      </c>
      <c r="AM1270">
        <v>86.335599590878999</v>
      </c>
      <c r="AN1270">
        <v>1.0000000376585401</v>
      </c>
    </row>
    <row r="1271" spans="1:40" x14ac:dyDescent="0.25">
      <c r="A1271" t="str">
        <f>"20190312160623033"</f>
        <v>20190312160623033</v>
      </c>
      <c r="B1271" t="str">
        <f>"1552377983026623"</f>
        <v>1552377983026623</v>
      </c>
      <c r="C1271" t="s">
        <v>40</v>
      </c>
      <c r="D1271">
        <v>6.1081669999999999</v>
      </c>
      <c r="E1271">
        <v>0.62452640000000004</v>
      </c>
      <c r="F1271" t="s">
        <v>49</v>
      </c>
      <c r="G1271">
        <v>-169.38399999999999</v>
      </c>
      <c r="H1271">
        <v>6.9556469999999999</v>
      </c>
      <c r="I1271">
        <v>318.01209999999998</v>
      </c>
      <c r="J1271">
        <v>-195.1456</v>
      </c>
      <c r="K1271">
        <v>1.0990660000000001</v>
      </c>
      <c r="L1271">
        <v>359.9939</v>
      </c>
      <c r="M1271">
        <v>0.79833050000000005</v>
      </c>
      <c r="N1271">
        <v>0</v>
      </c>
      <c r="O1271">
        <v>-0.60201450000000001</v>
      </c>
      <c r="P1271">
        <v>0.75872130000000004</v>
      </c>
      <c r="Q1271">
        <v>3.3517360000000003E-2</v>
      </c>
      <c r="R1271">
        <v>-0.65055249999999998</v>
      </c>
      <c r="S1271">
        <v>1.64775099999999</v>
      </c>
      <c r="T1271">
        <v>0.37309979999999998</v>
      </c>
      <c r="U1271">
        <v>-2.67984</v>
      </c>
      <c r="V1271">
        <v>6.3878169999999998E-2</v>
      </c>
      <c r="W1271">
        <v>4.7518310000000001E-2</v>
      </c>
      <c r="X1271">
        <v>0.99682579999999998</v>
      </c>
      <c r="Y1271">
        <v>0.36570970000000003</v>
      </c>
      <c r="Z1271">
        <v>-5.3211429999999997E-2</v>
      </c>
      <c r="AA1271">
        <v>0.92920670000000005</v>
      </c>
      <c r="AB1271">
        <v>29</v>
      </c>
      <c r="AC1271">
        <v>25.761599999999898</v>
      </c>
      <c r="AD1271">
        <v>5.8565809999999896</v>
      </c>
      <c r="AE1271">
        <v>-41.9818</v>
      </c>
      <c r="AF1271">
        <v>17.757668630470199</v>
      </c>
      <c r="AG1271">
        <v>5.8565809999999896</v>
      </c>
      <c r="AH1271">
        <v>45.206476052244902</v>
      </c>
      <c r="AI1271">
        <v>83.124334786664207</v>
      </c>
      <c r="AJ1271">
        <v>68.554479833131694</v>
      </c>
      <c r="AK1271">
        <v>48.920954746011802</v>
      </c>
      <c r="AL1271">
        <v>87.276375862050202</v>
      </c>
      <c r="AM1271">
        <v>86.333409455110697</v>
      </c>
      <c r="AN1271">
        <v>1.00000004296672</v>
      </c>
    </row>
    <row r="1272" spans="1:40" x14ac:dyDescent="0.25">
      <c r="A1272" t="str">
        <f>"20190312160623044"</f>
        <v>20190312160623044</v>
      </c>
      <c r="B1272" t="str">
        <f>"1552377983036384"</f>
        <v>1552377983036384</v>
      </c>
      <c r="C1272" t="s">
        <v>40</v>
      </c>
      <c r="D1272">
        <v>6.2039629999999999</v>
      </c>
      <c r="E1272">
        <v>0.62487079999999995</v>
      </c>
      <c r="F1272" t="s">
        <v>49</v>
      </c>
      <c r="G1272">
        <v>-169.60980000000001</v>
      </c>
      <c r="H1272">
        <v>6.9555740000000004</v>
      </c>
      <c r="I1272">
        <v>317.83350000000002</v>
      </c>
      <c r="J1272">
        <v>-195.0376</v>
      </c>
      <c r="K1272">
        <v>1.099019</v>
      </c>
      <c r="L1272">
        <v>359.9042</v>
      </c>
      <c r="M1272">
        <v>0.79430119999999904</v>
      </c>
      <c r="N1272">
        <v>0</v>
      </c>
      <c r="O1272">
        <v>-0.60732059999999999</v>
      </c>
      <c r="P1272">
        <v>0.75442519999999902</v>
      </c>
      <c r="Q1272">
        <v>3.3466589999999997E-2</v>
      </c>
      <c r="R1272">
        <v>-0.65553219999999901</v>
      </c>
      <c r="S1272">
        <v>1.6300049999999999</v>
      </c>
      <c r="T1272">
        <v>0.37383460000000002</v>
      </c>
      <c r="U1272">
        <v>-2.6911930000000002</v>
      </c>
      <c r="V1272">
        <v>6.3799410000000001E-2</v>
      </c>
      <c r="W1272">
        <v>4.7478770000000003E-2</v>
      </c>
      <c r="X1272">
        <v>0.99683270000000002</v>
      </c>
      <c r="Y1272">
        <v>0.36575479999999999</v>
      </c>
      <c r="Z1272">
        <v>-5.4021680000000002E-2</v>
      </c>
      <c r="AA1272">
        <v>0.92914209999999997</v>
      </c>
      <c r="AB1272">
        <v>29</v>
      </c>
      <c r="AC1272">
        <v>25.427799999999898</v>
      </c>
      <c r="AD1272">
        <v>5.8565550000000002</v>
      </c>
      <c r="AE1272">
        <v>-42.070699999999903</v>
      </c>
      <c r="AF1272">
        <v>17.724626117532299</v>
      </c>
      <c r="AG1272">
        <v>5.8565550000000002</v>
      </c>
      <c r="AH1272">
        <v>45.1130724482557</v>
      </c>
      <c r="AI1272">
        <v>83.110453928474001</v>
      </c>
      <c r="AJ1272">
        <v>68.550466594867999</v>
      </c>
      <c r="AK1272">
        <v>48.822647543900104</v>
      </c>
      <c r="AL1272">
        <v>87.278643820969194</v>
      </c>
      <c r="AM1272">
        <v>86.3379432288543</v>
      </c>
      <c r="AN1272">
        <v>1.00000001505317</v>
      </c>
    </row>
    <row r="1273" spans="1:40" x14ac:dyDescent="0.25">
      <c r="A1273" t="str">
        <f>"20190312160623057"</f>
        <v>20190312160623057</v>
      </c>
      <c r="B1273" t="str">
        <f>"1552377983046144"</f>
        <v>1552377983046144</v>
      </c>
      <c r="C1273" t="s">
        <v>40</v>
      </c>
      <c r="D1273">
        <v>6.2667699999999904</v>
      </c>
      <c r="E1273">
        <v>0.62509150000000002</v>
      </c>
      <c r="F1273" t="s">
        <v>49</v>
      </c>
      <c r="G1273">
        <v>-169.69390000000001</v>
      </c>
      <c r="H1273">
        <v>7.0047289999999904</v>
      </c>
      <c r="I1273">
        <v>317.35750000000002</v>
      </c>
      <c r="J1273">
        <v>-194.90350000000001</v>
      </c>
      <c r="K1273">
        <v>1.0989660000000001</v>
      </c>
      <c r="L1273">
        <v>359.79180000000002</v>
      </c>
      <c r="M1273">
        <v>0.78921569999999996</v>
      </c>
      <c r="N1273">
        <v>0</v>
      </c>
      <c r="O1273">
        <v>-0.61391450000000003</v>
      </c>
      <c r="P1273">
        <v>0.74901809999999902</v>
      </c>
      <c r="Q1273">
        <v>3.3445170000000003E-2</v>
      </c>
      <c r="R1273">
        <v>-0.66170530000000005</v>
      </c>
      <c r="S1273">
        <v>1.6105499999999999</v>
      </c>
      <c r="T1273">
        <v>0.37529750000000001</v>
      </c>
      <c r="U1273">
        <v>-2.7037659999999999</v>
      </c>
      <c r="V1273">
        <v>6.3688179999999997E-2</v>
      </c>
      <c r="W1273">
        <v>4.7470190000000002E-2</v>
      </c>
      <c r="X1273">
        <v>0.99684019999999995</v>
      </c>
      <c r="Y1273">
        <v>0.3648787</v>
      </c>
      <c r="Z1273">
        <v>-5.5158730000000003E-2</v>
      </c>
      <c r="AA1273">
        <v>0.92941980000000002</v>
      </c>
      <c r="AB1273">
        <v>29</v>
      </c>
      <c r="AC1273">
        <v>25.209599999999899</v>
      </c>
      <c r="AD1273">
        <v>5.9057629999999897</v>
      </c>
      <c r="AE1273">
        <v>-42.4343</v>
      </c>
      <c r="AF1273">
        <v>17.761226389528399</v>
      </c>
      <c r="AG1273">
        <v>5.9057629999999897</v>
      </c>
      <c r="AH1273">
        <v>45.303933894045599</v>
      </c>
      <c r="AI1273">
        <v>83.080137726032206</v>
      </c>
      <c r="AJ1273">
        <v>68.592535700099106</v>
      </c>
      <c r="AK1273">
        <v>49.018217284478098</v>
      </c>
      <c r="AL1273">
        <v>87.279135915732695</v>
      </c>
      <c r="AM1273">
        <v>86.344337881345893</v>
      </c>
      <c r="AN1273">
        <v>0.99999999377319404</v>
      </c>
    </row>
    <row r="1274" spans="1:40" x14ac:dyDescent="0.25">
      <c r="A1274" t="str">
        <f>"20190312160623069"</f>
        <v>20190312160623069</v>
      </c>
      <c r="B1274" t="str">
        <f>"1552377983066640"</f>
        <v>1552377983066640</v>
      </c>
      <c r="C1274" t="s">
        <v>40</v>
      </c>
      <c r="D1274">
        <v>4.5924259999999997</v>
      </c>
      <c r="E1274">
        <v>0.62515609999999999</v>
      </c>
      <c r="F1274" t="s">
        <v>44</v>
      </c>
      <c r="G1274">
        <v>-194.50909999999999</v>
      </c>
      <c r="H1274">
        <v>1.1924920000000001</v>
      </c>
      <c r="I1274">
        <v>359.11619999999999</v>
      </c>
      <c r="J1274">
        <v>-194.77959999999999</v>
      </c>
      <c r="K1274">
        <v>1.0989150000000001</v>
      </c>
      <c r="L1274">
        <v>359.6859</v>
      </c>
      <c r="M1274">
        <v>0.78439630000000005</v>
      </c>
      <c r="N1274">
        <v>0</v>
      </c>
      <c r="O1274">
        <v>-0.62005980000000005</v>
      </c>
      <c r="P1274">
        <v>0.74396430000000002</v>
      </c>
      <c r="Q1274">
        <v>3.3442369999999999E-2</v>
      </c>
      <c r="R1274">
        <v>-0.66738219999999904</v>
      </c>
      <c r="S1274">
        <v>1.587234</v>
      </c>
      <c r="T1274">
        <v>0.37623760000000001</v>
      </c>
      <c r="U1274">
        <v>-2.718048</v>
      </c>
      <c r="V1274">
        <v>6.3488599999999895E-2</v>
      </c>
      <c r="W1274">
        <v>4.7482099999999999E-2</v>
      </c>
      <c r="X1274">
        <v>0.99685239999999997</v>
      </c>
      <c r="Y1274">
        <v>0.365707</v>
      </c>
      <c r="Z1274">
        <v>-5.6082180000000002E-2</v>
      </c>
      <c r="AA1274">
        <v>0.92903880000000005</v>
      </c>
      <c r="AB1274">
        <v>29</v>
      </c>
      <c r="AC1274">
        <v>0.27049999999999802</v>
      </c>
      <c r="AD1274">
        <v>9.3577000000000202E-2</v>
      </c>
      <c r="AE1274">
        <v>-0.56970000000001098</v>
      </c>
      <c r="AF1274">
        <v>0.27316487508659199</v>
      </c>
      <c r="AG1274">
        <v>9.3577000000000202E-2</v>
      </c>
      <c r="AH1274">
        <v>0.55331531248713495</v>
      </c>
      <c r="AI1274">
        <v>81.376966994211102</v>
      </c>
      <c r="AJ1274">
        <v>63.725020662222903</v>
      </c>
      <c r="AK1274">
        <v>0.62412622036156196</v>
      </c>
      <c r="AL1274">
        <v>87.278452850676103</v>
      </c>
      <c r="AM1274">
        <v>86.355807210493396</v>
      </c>
      <c r="AN1274">
        <v>1.00000002976806</v>
      </c>
    </row>
    <row r="1275" spans="1:40" x14ac:dyDescent="0.25">
      <c r="A1275" t="str">
        <f>"20190312160623090"</f>
        <v>20190312160623090</v>
      </c>
      <c r="B1275" t="str">
        <f>"1552377983076400"</f>
        <v>1552377983076400</v>
      </c>
      <c r="C1275" t="s">
        <v>40</v>
      </c>
      <c r="D1275">
        <v>6.4139489999999997</v>
      </c>
      <c r="E1275">
        <v>0.62528879999999998</v>
      </c>
      <c r="F1275" t="s">
        <v>49</v>
      </c>
      <c r="G1275">
        <v>-169.69390000000001</v>
      </c>
      <c r="H1275">
        <v>7.0780260000000004</v>
      </c>
      <c r="I1275">
        <v>315.94330000000002</v>
      </c>
      <c r="J1275">
        <v>-194.58359999999999</v>
      </c>
      <c r="K1275">
        <v>1.0988450000000001</v>
      </c>
      <c r="L1275">
        <v>359.51499999999999</v>
      </c>
      <c r="M1275">
        <v>0.77655699999999905</v>
      </c>
      <c r="N1275">
        <v>0</v>
      </c>
      <c r="O1275">
        <v>-0.62984910000000005</v>
      </c>
      <c r="P1275">
        <v>0.73581549999999996</v>
      </c>
      <c r="Q1275">
        <v>3.2672640000000003E-2</v>
      </c>
      <c r="R1275">
        <v>-0.67639359999999904</v>
      </c>
      <c r="S1275">
        <v>1.5660400000000001</v>
      </c>
      <c r="T1275">
        <v>0.37326199999999998</v>
      </c>
      <c r="U1275">
        <v>-2.7307429999999999</v>
      </c>
      <c r="V1275">
        <v>6.3092419999999996E-2</v>
      </c>
      <c r="W1275">
        <v>4.6739059999999999E-2</v>
      </c>
      <c r="X1275">
        <v>0.99691269999999998</v>
      </c>
      <c r="Y1275">
        <v>0.36136299999999999</v>
      </c>
      <c r="Z1275">
        <v>-5.7185270000000003E-2</v>
      </c>
      <c r="AA1275">
        <v>0.93067</v>
      </c>
      <c r="AB1275">
        <v>29</v>
      </c>
      <c r="AC1275">
        <v>24.889699999999898</v>
      </c>
      <c r="AD1275">
        <v>5.9791809999999996</v>
      </c>
      <c r="AE1275">
        <v>-43.5716999999999</v>
      </c>
      <c r="AF1275">
        <v>17.907170500093901</v>
      </c>
      <c r="AG1275">
        <v>5.9791809999999996</v>
      </c>
      <c r="AH1275">
        <v>46.122843425299799</v>
      </c>
      <c r="AI1275">
        <v>83.109365802730807</v>
      </c>
      <c r="AJ1275">
        <v>68.781323532184203</v>
      </c>
      <c r="AK1275">
        <v>49.837075018352699</v>
      </c>
      <c r="AL1275">
        <v>87.321073315882998</v>
      </c>
      <c r="AM1275">
        <v>86.378705374690398</v>
      </c>
      <c r="AN1275">
        <v>1.00000006230621</v>
      </c>
    </row>
    <row r="1276" spans="1:40" x14ac:dyDescent="0.25">
      <c r="A1276" t="str">
        <f>"20190312160623103"</f>
        <v>20190312160623103</v>
      </c>
      <c r="B1276" t="str">
        <f>"1552377983095920"</f>
        <v>1552377983095920</v>
      </c>
      <c r="C1276" t="s">
        <v>40</v>
      </c>
      <c r="D1276">
        <v>6.4452480000000003</v>
      </c>
      <c r="E1276">
        <v>0.62530209999999997</v>
      </c>
      <c r="F1276" t="s">
        <v>49</v>
      </c>
      <c r="G1276">
        <v>-169.69390000000001</v>
      </c>
      <c r="H1276">
        <v>7.0947250000000004</v>
      </c>
      <c r="I1276">
        <v>314.82810000000001</v>
      </c>
      <c r="J1276">
        <v>-194.4562</v>
      </c>
      <c r="K1276">
        <v>1.0988</v>
      </c>
      <c r="L1276">
        <v>359.40120000000002</v>
      </c>
      <c r="M1276">
        <v>0.77130790000000005</v>
      </c>
      <c r="N1276">
        <v>0</v>
      </c>
      <c r="O1276">
        <v>-0.636266</v>
      </c>
      <c r="P1276">
        <v>0.7304119</v>
      </c>
      <c r="Q1276">
        <v>3.2759070000000001E-2</v>
      </c>
      <c r="R1276">
        <v>-0.68222090000000002</v>
      </c>
      <c r="S1276">
        <v>1.5321199999999999</v>
      </c>
      <c r="T1276">
        <v>0.3690852</v>
      </c>
      <c r="U1276">
        <v>-2.7507630000000001</v>
      </c>
      <c r="V1276">
        <v>6.276081E-2</v>
      </c>
      <c r="W1276">
        <v>4.6844810000000001E-2</v>
      </c>
      <c r="X1276">
        <v>0.99692860000000005</v>
      </c>
      <c r="Y1276">
        <v>0.36525839999999998</v>
      </c>
      <c r="Z1276">
        <v>-5.7205079999999998E-2</v>
      </c>
      <c r="AA1276">
        <v>0.9291469</v>
      </c>
      <c r="AB1276">
        <v>29</v>
      </c>
      <c r="AC1276">
        <v>24.7622999999999</v>
      </c>
      <c r="AD1276">
        <v>5.9959249999999997</v>
      </c>
      <c r="AE1276">
        <v>-44.573099999999997</v>
      </c>
      <c r="AF1276">
        <v>18.372451322369901</v>
      </c>
      <c r="AG1276">
        <v>5.9959249999999997</v>
      </c>
      <c r="AH1276">
        <v>46.818243028229702</v>
      </c>
      <c r="AI1276">
        <v>83.201439310388807</v>
      </c>
      <c r="AJ1276">
        <v>68.573925996058904</v>
      </c>
      <c r="AK1276">
        <v>50.650231632726602</v>
      </c>
      <c r="AL1276">
        <v>87.315007461385605</v>
      </c>
      <c r="AM1276">
        <v>86.397745735173203</v>
      </c>
      <c r="AN1276">
        <v>0.99999999449687604</v>
      </c>
    </row>
    <row r="1277" spans="1:40" x14ac:dyDescent="0.25">
      <c r="A1277" t="str">
        <f>"20190312160623115"</f>
        <v>20190312160623115</v>
      </c>
      <c r="B1277" t="str">
        <f>"1552377983106656"</f>
        <v>1552377983106656</v>
      </c>
      <c r="C1277" t="s">
        <v>40</v>
      </c>
      <c r="D1277">
        <v>6.207077</v>
      </c>
      <c r="E1277">
        <v>0.62534519999999905</v>
      </c>
      <c r="F1277" t="s">
        <v>49</v>
      </c>
      <c r="G1277">
        <v>-169.69390000000001</v>
      </c>
      <c r="H1277">
        <v>7.1309829999999996</v>
      </c>
      <c r="I1277">
        <v>314.09460000000001</v>
      </c>
      <c r="J1277">
        <v>-194.327</v>
      </c>
      <c r="K1277">
        <v>1.0987640000000001</v>
      </c>
      <c r="L1277">
        <v>359.28449999999998</v>
      </c>
      <c r="M1277">
        <v>0.76587950000000005</v>
      </c>
      <c r="N1277">
        <v>0</v>
      </c>
      <c r="O1277">
        <v>-0.64278970000000002</v>
      </c>
      <c r="P1277">
        <v>0.72473799999999999</v>
      </c>
      <c r="Q1277">
        <v>3.309633E-2</v>
      </c>
      <c r="R1277">
        <v>-0.68822950000000005</v>
      </c>
      <c r="S1277">
        <v>1.5101009999999999</v>
      </c>
      <c r="T1277">
        <v>0.36786629999999998</v>
      </c>
      <c r="U1277">
        <v>-2.7629700000000001</v>
      </c>
      <c r="V1277">
        <v>6.2555799999999995E-2</v>
      </c>
      <c r="W1277">
        <v>4.7197749999999997E-2</v>
      </c>
      <c r="X1277">
        <v>0.99692480000000006</v>
      </c>
      <c r="Y1277">
        <v>0.36480699999999999</v>
      </c>
      <c r="Z1277">
        <v>-5.791549E-2</v>
      </c>
      <c r="AA1277">
        <v>0.9292802</v>
      </c>
      <c r="AB1277">
        <v>29</v>
      </c>
      <c r="AC1277">
        <v>24.633099999999899</v>
      </c>
      <c r="AD1277">
        <v>6.0322190000000004</v>
      </c>
      <c r="AE1277">
        <v>-45.189899999999902</v>
      </c>
      <c r="AF1277">
        <v>18.524001748131202</v>
      </c>
      <c r="AG1277">
        <v>6.0322190000000004</v>
      </c>
      <c r="AH1277">
        <v>47.270236456833899</v>
      </c>
      <c r="AI1277">
        <v>83.224215605236196</v>
      </c>
      <c r="AJ1277">
        <v>68.601052144175696</v>
      </c>
      <c r="AK1277">
        <v>51.127307395497802</v>
      </c>
      <c r="AL1277">
        <v>87.294762992764902</v>
      </c>
      <c r="AM1277">
        <v>86.409468120324206</v>
      </c>
      <c r="AN1277">
        <v>0.99999995628687</v>
      </c>
    </row>
    <row r="1278" spans="1:40" x14ac:dyDescent="0.25">
      <c r="A1278" t="str">
        <f>"20190312160623126"</f>
        <v>20190312160623126</v>
      </c>
      <c r="B1278" t="str">
        <f>"1552377983116417"</f>
        <v>1552377983116417</v>
      </c>
      <c r="C1278" t="s">
        <v>40</v>
      </c>
      <c r="D1278">
        <v>5.665508</v>
      </c>
      <c r="E1278">
        <v>0.62528499999999998</v>
      </c>
      <c r="F1278" t="s">
        <v>44</v>
      </c>
      <c r="G1278">
        <v>-193.9547</v>
      </c>
      <c r="H1278">
        <v>1.191214</v>
      </c>
      <c r="I1278">
        <v>358.58940000000001</v>
      </c>
      <c r="J1278">
        <v>-194.22069999999999</v>
      </c>
      <c r="K1278">
        <v>1.098732</v>
      </c>
      <c r="L1278">
        <v>359.18619999999999</v>
      </c>
      <c r="M1278">
        <v>0.76129569999999902</v>
      </c>
      <c r="N1278">
        <v>0</v>
      </c>
      <c r="O1278">
        <v>-0.64821169999999995</v>
      </c>
      <c r="P1278">
        <v>0.71984630000000005</v>
      </c>
      <c r="Q1278">
        <v>3.2988589999999998E-2</v>
      </c>
      <c r="R1278">
        <v>-0.6933494</v>
      </c>
      <c r="S1278">
        <v>1.4869380000000001</v>
      </c>
      <c r="T1278">
        <v>0.36908960000000002</v>
      </c>
      <c r="U1278">
        <v>-2.7754210000000001</v>
      </c>
      <c r="V1278">
        <v>6.2541280000000005E-2</v>
      </c>
      <c r="W1278">
        <v>4.7098679999999997E-2</v>
      </c>
      <c r="X1278">
        <v>0.99693039999999999</v>
      </c>
      <c r="Y1278">
        <v>0.36597980000000002</v>
      </c>
      <c r="Z1278">
        <v>-5.8781529999999999E-2</v>
      </c>
      <c r="AA1278">
        <v>0.92876449999999999</v>
      </c>
      <c r="AB1278">
        <v>29</v>
      </c>
      <c r="AC1278">
        <v>0.26599999999999102</v>
      </c>
      <c r="AD1278">
        <v>9.2481999999999898E-2</v>
      </c>
      <c r="AE1278">
        <v>-0.59679999999997302</v>
      </c>
      <c r="AF1278">
        <v>0.27641465754792399</v>
      </c>
      <c r="AG1278">
        <v>9.2481999999999898E-2</v>
      </c>
      <c r="AH1278">
        <v>0.57785463723122299</v>
      </c>
      <c r="AI1278">
        <v>81.784626397377494</v>
      </c>
      <c r="AJ1278">
        <v>64.436048931903699</v>
      </c>
      <c r="AK1278">
        <v>0.64720473190557304</v>
      </c>
      <c r="AL1278">
        <v>87.300445615269297</v>
      </c>
      <c r="AM1278">
        <v>86.410319460667793</v>
      </c>
      <c r="AN1278">
        <v>0.99999995990296897</v>
      </c>
    </row>
    <row r="1279" spans="1:40" x14ac:dyDescent="0.25">
      <c r="A1279" t="str">
        <f>"20190312160623136"</f>
        <v>20190312160623136</v>
      </c>
      <c r="B1279" t="str">
        <f>"1552377983126176"</f>
        <v>1552377983126176</v>
      </c>
      <c r="C1279" t="s">
        <v>40</v>
      </c>
      <c r="D1279">
        <v>6.3581450000000004</v>
      </c>
      <c r="E1279">
        <v>0.62525730000000002</v>
      </c>
      <c r="F1279" t="s">
        <v>50</v>
      </c>
      <c r="G1279">
        <v>-163.10890000000001</v>
      </c>
      <c r="H1279">
        <v>8.8834059999999901</v>
      </c>
      <c r="I1279">
        <v>300.11509999999998</v>
      </c>
      <c r="J1279">
        <v>-194.12090000000001</v>
      </c>
      <c r="K1279">
        <v>1.0987</v>
      </c>
      <c r="L1279">
        <v>359.09309999999999</v>
      </c>
      <c r="M1279">
        <v>0.75693049999999995</v>
      </c>
      <c r="N1279">
        <v>0</v>
      </c>
      <c r="O1279">
        <v>-0.65330339999999998</v>
      </c>
      <c r="P1279">
        <v>0.71506639999999999</v>
      </c>
      <c r="Q1279">
        <v>3.3264620000000002E-2</v>
      </c>
      <c r="R1279">
        <v>-0.69826489999999997</v>
      </c>
      <c r="S1279">
        <v>1.4673160000000001</v>
      </c>
      <c r="T1279">
        <v>0.36714910000000001</v>
      </c>
      <c r="U1279">
        <v>-2.7859500000000001</v>
      </c>
      <c r="V1279">
        <v>6.2703999999999996E-2</v>
      </c>
      <c r="W1279">
        <v>4.7377309999999999E-2</v>
      </c>
      <c r="X1279">
        <v>0.99690699999999999</v>
      </c>
      <c r="Y1279">
        <v>0.36631409999999998</v>
      </c>
      <c r="Z1279">
        <v>-5.914287E-2</v>
      </c>
      <c r="AA1279">
        <v>0.92860969999999998</v>
      </c>
      <c r="AB1279">
        <v>29</v>
      </c>
      <c r="AC1279">
        <v>31.011999999999901</v>
      </c>
      <c r="AD1279">
        <v>7.7847059999999901</v>
      </c>
      <c r="AE1279">
        <v>-58.978000000000002</v>
      </c>
      <c r="AF1279">
        <v>24.0567214379343</v>
      </c>
      <c r="AG1279">
        <v>7.7847059999999901</v>
      </c>
      <c r="AH1279">
        <v>61.1772544701982</v>
      </c>
      <c r="AI1279">
        <v>83.246395868220503</v>
      </c>
      <c r="AJ1279">
        <v>68.533767553283198</v>
      </c>
      <c r="AK1279">
        <v>66.196555487126304</v>
      </c>
      <c r="AL1279">
        <v>87.284463515214398</v>
      </c>
      <c r="AM1279">
        <v>86.400920084616999</v>
      </c>
      <c r="AN1279">
        <v>0.99999998388391698</v>
      </c>
    </row>
    <row r="1280" spans="1:40" x14ac:dyDescent="0.25">
      <c r="A1280" t="str">
        <f>"20190312160623148"</f>
        <v>20190312160623148</v>
      </c>
      <c r="B1280" t="str">
        <f>"1552377983135937"</f>
        <v>1552377983135937</v>
      </c>
      <c r="C1280" t="s">
        <v>40</v>
      </c>
      <c r="D1280">
        <v>6.4742749999999996</v>
      </c>
      <c r="E1280">
        <v>0.62524959999999996</v>
      </c>
      <c r="F1280" t="s">
        <v>44</v>
      </c>
      <c r="G1280">
        <v>-193.75970000000001</v>
      </c>
      <c r="H1280">
        <v>1.1901790000000001</v>
      </c>
      <c r="I1280">
        <v>358.39580000000001</v>
      </c>
      <c r="J1280">
        <v>-194.00579999999999</v>
      </c>
      <c r="K1280">
        <v>1.0986629999999999</v>
      </c>
      <c r="L1280">
        <v>358.98379999999997</v>
      </c>
      <c r="M1280">
        <v>0.75178369999999894</v>
      </c>
      <c r="N1280">
        <v>0</v>
      </c>
      <c r="O1280">
        <v>-0.65921909999999995</v>
      </c>
      <c r="P1280">
        <v>0.70955500000000005</v>
      </c>
      <c r="Q1280">
        <v>3.3153599999999998E-2</v>
      </c>
      <c r="R1280">
        <v>-0.70387</v>
      </c>
      <c r="S1280">
        <v>1.4484410000000001</v>
      </c>
      <c r="T1280">
        <v>0.36671910000000002</v>
      </c>
      <c r="U1280">
        <v>-2.7955930000000002</v>
      </c>
      <c r="V1280">
        <v>6.2727969999999994E-2</v>
      </c>
      <c r="W1280">
        <v>4.7274910000000003E-2</v>
      </c>
      <c r="X1280">
        <v>0.99691039999999997</v>
      </c>
      <c r="Y1280">
        <v>0.36529149999999999</v>
      </c>
      <c r="Z1280">
        <v>-5.9924570000000003E-2</v>
      </c>
      <c r="AA1280">
        <v>0.92896239999999997</v>
      </c>
      <c r="AB1280">
        <v>29</v>
      </c>
      <c r="AC1280">
        <v>0.246099999999984</v>
      </c>
      <c r="AD1280">
        <v>9.1516000000000097E-2</v>
      </c>
      <c r="AE1280">
        <v>-0.587999999999965</v>
      </c>
      <c r="AF1280">
        <v>0.27419818343110902</v>
      </c>
      <c r="AG1280">
        <v>9.1516000000000097E-2</v>
      </c>
      <c r="AH1280">
        <v>0.56114012655464796</v>
      </c>
      <c r="AI1280">
        <v>81.663714187904304</v>
      </c>
      <c r="AJ1280">
        <v>63.957794975590801</v>
      </c>
      <c r="AK1280">
        <v>0.63121950515069403</v>
      </c>
      <c r="AL1280">
        <v>87.290337310987397</v>
      </c>
      <c r="AM1280">
        <v>86.399560121763898</v>
      </c>
      <c r="AN1280">
        <v>1.00000003048199</v>
      </c>
    </row>
    <row r="1281" spans="1:40" x14ac:dyDescent="0.25">
      <c r="A1281" t="str">
        <f>"20190312160623161"</f>
        <v>20190312160623161</v>
      </c>
      <c r="B1281" t="str">
        <f>"1552377983156433"</f>
        <v>1552377983156433</v>
      </c>
      <c r="C1281" t="s">
        <v>40</v>
      </c>
      <c r="D1281">
        <v>6.3769429999999998</v>
      </c>
      <c r="E1281">
        <v>0.6252453</v>
      </c>
      <c r="F1281" t="s">
        <v>50</v>
      </c>
      <c r="G1281">
        <v>-164.08410000000001</v>
      </c>
      <c r="H1281">
        <v>8.7499599999999997</v>
      </c>
      <c r="I1281">
        <v>300.11509999999998</v>
      </c>
      <c r="J1281">
        <v>-193.8989</v>
      </c>
      <c r="K1281">
        <v>1.0986359999999999</v>
      </c>
      <c r="L1281">
        <v>358.88060000000002</v>
      </c>
      <c r="M1281">
        <v>0.7469074</v>
      </c>
      <c r="N1281">
        <v>0</v>
      </c>
      <c r="O1281">
        <v>-0.66473879999999996</v>
      </c>
      <c r="P1281">
        <v>0.70413939999999997</v>
      </c>
      <c r="Q1281">
        <v>3.3057080000000003E-2</v>
      </c>
      <c r="R1281">
        <v>-0.70929209999999998</v>
      </c>
      <c r="S1281">
        <v>1.426636</v>
      </c>
      <c r="T1281">
        <v>0.36480859999999998</v>
      </c>
      <c r="U1281">
        <v>-2.8067929999999999</v>
      </c>
      <c r="V1281">
        <v>6.3029870000000002E-2</v>
      </c>
      <c r="W1281">
        <v>4.717822E-2</v>
      </c>
      <c r="X1281">
        <v>0.99689589999999995</v>
      </c>
      <c r="Y1281">
        <v>0.36567569999999999</v>
      </c>
      <c r="Z1281">
        <v>-6.0338040000000003E-2</v>
      </c>
      <c r="AA1281">
        <v>0.92878450000000001</v>
      </c>
      <c r="AB1281">
        <v>29</v>
      </c>
      <c r="AC1281">
        <v>29.814799999999899</v>
      </c>
      <c r="AD1281">
        <v>7.6513239999999998</v>
      </c>
      <c r="AE1281">
        <v>-58.765500000000003</v>
      </c>
      <c r="AF1281">
        <v>23.756083853730999</v>
      </c>
      <c r="AG1281">
        <v>7.6513239999999998</v>
      </c>
      <c r="AH1281">
        <v>60.524335645438597</v>
      </c>
      <c r="AI1281">
        <v>83.288458918798497</v>
      </c>
      <c r="AJ1281">
        <v>68.569761285182096</v>
      </c>
      <c r="AK1281">
        <v>65.468232634921407</v>
      </c>
      <c r="AL1281">
        <v>87.295883324473195</v>
      </c>
      <c r="AM1281">
        <v>86.382225192041005</v>
      </c>
      <c r="AN1281">
        <v>0.99999999219569702</v>
      </c>
    </row>
    <row r="1282" spans="1:40" x14ac:dyDescent="0.25">
      <c r="A1282" t="str">
        <f>"20190312160623171"</f>
        <v>20190312160623171</v>
      </c>
      <c r="B1282" t="str">
        <f>"1552377983166192"</f>
        <v>1552377983166192</v>
      </c>
      <c r="C1282" t="s">
        <v>40</v>
      </c>
      <c r="D1282">
        <v>6.3386809999999896</v>
      </c>
      <c r="E1282">
        <v>0.62522919999999904</v>
      </c>
      <c r="F1282" t="s">
        <v>44</v>
      </c>
      <c r="G1282">
        <v>-193.553</v>
      </c>
      <c r="H1282">
        <v>1.188034</v>
      </c>
      <c r="I1282">
        <v>358.18650000000002</v>
      </c>
      <c r="J1282">
        <v>-193.79490000000001</v>
      </c>
      <c r="K1282">
        <v>1.0986100000000001</v>
      </c>
      <c r="L1282">
        <v>358.7792</v>
      </c>
      <c r="M1282">
        <v>0.74208660000000004</v>
      </c>
      <c r="N1282">
        <v>0</v>
      </c>
      <c r="O1282">
        <v>-0.67011580000000004</v>
      </c>
      <c r="P1282">
        <v>0.69884060000000003</v>
      </c>
      <c r="Q1282">
        <v>3.3374710000000002E-2</v>
      </c>
      <c r="R1282">
        <v>-0.71449849999999904</v>
      </c>
      <c r="S1282">
        <v>1.405106</v>
      </c>
      <c r="T1282">
        <v>0.36284660000000002</v>
      </c>
      <c r="U1282">
        <v>-2.817841</v>
      </c>
      <c r="V1282">
        <v>6.3250799999999996E-2</v>
      </c>
      <c r="W1282">
        <v>4.7496860000000002E-2</v>
      </c>
      <c r="X1282">
        <v>0.99686680000000005</v>
      </c>
      <c r="Y1282">
        <v>0.3660987</v>
      </c>
      <c r="Z1282">
        <v>-6.071294E-2</v>
      </c>
      <c r="AA1282">
        <v>0.92859340000000001</v>
      </c>
      <c r="AB1282">
        <v>29</v>
      </c>
      <c r="AC1282">
        <v>0.24190000000001499</v>
      </c>
      <c r="AD1282">
        <v>8.9423999999999906E-2</v>
      </c>
      <c r="AE1282">
        <v>-0.59269999999997902</v>
      </c>
      <c r="AF1282">
        <v>0.27245236089222502</v>
      </c>
      <c r="AG1282">
        <v>8.9423999999999906E-2</v>
      </c>
      <c r="AH1282">
        <v>0.565722138017693</v>
      </c>
      <c r="AI1282">
        <v>81.894716497567998</v>
      </c>
      <c r="AJ1282">
        <v>64.284486210884594</v>
      </c>
      <c r="AK1282">
        <v>0.63424638601655203</v>
      </c>
      <c r="AL1282">
        <v>87.2776061727333</v>
      </c>
      <c r="AM1282">
        <v>86.369472460935</v>
      </c>
      <c r="AN1282">
        <v>1.00000001617636</v>
      </c>
    </row>
    <row r="1283" spans="1:40" x14ac:dyDescent="0.25">
      <c r="A1283" t="str">
        <f>"20190312160623181"</f>
        <v>20190312160623181</v>
      </c>
      <c r="B1283" t="str">
        <f>"1552377983175952"</f>
        <v>1552377983175952</v>
      </c>
      <c r="C1283" t="s">
        <v>40</v>
      </c>
      <c r="D1283">
        <v>6.3762660000000002</v>
      </c>
      <c r="E1283">
        <v>0.62540319999999905</v>
      </c>
      <c r="F1283" t="s">
        <v>50</v>
      </c>
      <c r="G1283">
        <v>-165.5848</v>
      </c>
      <c r="H1283">
        <v>8.5019799999999996</v>
      </c>
      <c r="I1283">
        <v>301.12400000000002</v>
      </c>
      <c r="J1283">
        <v>-193.6986</v>
      </c>
      <c r="K1283">
        <v>1.098589</v>
      </c>
      <c r="L1283">
        <v>358.68329999999997</v>
      </c>
      <c r="M1283">
        <v>0.73751809999999995</v>
      </c>
      <c r="N1283">
        <v>0</v>
      </c>
      <c r="O1283">
        <v>-0.67514059999999998</v>
      </c>
      <c r="P1283">
        <v>0.69378260000000003</v>
      </c>
      <c r="Q1283">
        <v>3.383274E-2</v>
      </c>
      <c r="R1283">
        <v>-0.71938950000000002</v>
      </c>
      <c r="S1283">
        <v>1.3838349999999999</v>
      </c>
      <c r="T1283">
        <v>0.3631721</v>
      </c>
      <c r="U1283">
        <v>-2.8282470000000002</v>
      </c>
      <c r="V1283">
        <v>6.3512540000000006E-2</v>
      </c>
      <c r="W1283">
        <v>4.7954110000000001E-2</v>
      </c>
      <c r="X1283">
        <v>0.9968283</v>
      </c>
      <c r="Y1283">
        <v>0.36677900000000002</v>
      </c>
      <c r="Z1283">
        <v>-6.1411220000000002E-2</v>
      </c>
      <c r="AA1283">
        <v>0.92827899999999997</v>
      </c>
      <c r="AB1283">
        <v>29</v>
      </c>
      <c r="AC1283">
        <v>28.113800000000001</v>
      </c>
      <c r="AD1283">
        <v>7.4033909999999903</v>
      </c>
      <c r="AE1283">
        <v>-57.559299999999901</v>
      </c>
      <c r="AF1283">
        <v>23.163817395602699</v>
      </c>
      <c r="AG1283">
        <v>7.4033909999999903</v>
      </c>
      <c r="AH1283">
        <v>58.816951410024799</v>
      </c>
      <c r="AI1283">
        <v>83.320147783990194</v>
      </c>
      <c r="AJ1283">
        <v>68.504044444623801</v>
      </c>
      <c r="AK1283">
        <v>63.645945729519397</v>
      </c>
      <c r="AL1283">
        <v>87.251377882015902</v>
      </c>
      <c r="AM1283">
        <v>86.354348879505807</v>
      </c>
      <c r="AN1283">
        <v>1.00000004954201</v>
      </c>
    </row>
    <row r="1284" spans="1:40" x14ac:dyDescent="0.25">
      <c r="A1284" t="str">
        <f>"20190312160623192"</f>
        <v>20190312160623192</v>
      </c>
      <c r="B1284" t="str">
        <f>"1552377983186688"</f>
        <v>1552377983186688</v>
      </c>
      <c r="C1284" t="s">
        <v>40</v>
      </c>
      <c r="D1284">
        <v>6.3168889999999998</v>
      </c>
      <c r="E1284">
        <v>0.62535850000000004</v>
      </c>
      <c r="F1284" t="s">
        <v>50</v>
      </c>
      <c r="G1284">
        <v>-166.06379999999999</v>
      </c>
      <c r="H1284">
        <v>8.502319</v>
      </c>
      <c r="I1284">
        <v>301.12400000000002</v>
      </c>
      <c r="J1284">
        <v>-193.59559999999999</v>
      </c>
      <c r="K1284">
        <v>1.098565</v>
      </c>
      <c r="L1284">
        <v>358.58010000000002</v>
      </c>
      <c r="M1284">
        <v>0.73257519999999998</v>
      </c>
      <c r="N1284">
        <v>0</v>
      </c>
      <c r="O1284">
        <v>-0.68050049999999995</v>
      </c>
      <c r="P1284">
        <v>0.68840709999999905</v>
      </c>
      <c r="Q1284">
        <v>3.4028370000000002E-2</v>
      </c>
      <c r="R1284">
        <v>-0.72452629999999996</v>
      </c>
      <c r="S1284">
        <v>1.3628389999999999</v>
      </c>
      <c r="T1284">
        <v>0.3651259</v>
      </c>
      <c r="U1284">
        <v>-2.8385929999999999</v>
      </c>
      <c r="V1284">
        <v>6.3667779999999993E-2</v>
      </c>
      <c r="W1284">
        <v>4.81532E-2</v>
      </c>
      <c r="X1284">
        <v>0.99680880000000005</v>
      </c>
      <c r="Y1284">
        <v>0.36692449999999999</v>
      </c>
      <c r="Z1284">
        <v>-6.2453689999999999E-2</v>
      </c>
      <c r="AA1284">
        <v>0.92815190000000003</v>
      </c>
      <c r="AB1284">
        <v>29</v>
      </c>
      <c r="AC1284">
        <v>27.5318</v>
      </c>
      <c r="AD1284">
        <v>7.4037539999999904</v>
      </c>
      <c r="AE1284">
        <v>-57.4560999999999</v>
      </c>
      <c r="AF1284">
        <v>23.047230861401601</v>
      </c>
      <c r="AG1284">
        <v>7.4037539999999904</v>
      </c>
      <c r="AH1284">
        <v>58.485714609992499</v>
      </c>
      <c r="AI1284">
        <v>83.2828725788317</v>
      </c>
      <c r="AJ1284">
        <v>68.492287094934497</v>
      </c>
      <c r="AK1284">
        <v>63.297466277195902</v>
      </c>
      <c r="AL1284">
        <v>87.239957674835694</v>
      </c>
      <c r="AM1284">
        <v>86.345390848475304</v>
      </c>
      <c r="AN1284">
        <v>1.0000000503188999</v>
      </c>
    </row>
    <row r="1285" spans="1:40" x14ac:dyDescent="0.25">
      <c r="A1285" t="str">
        <f>"20190312160623203"</f>
        <v>20190312160623203</v>
      </c>
      <c r="B1285" t="str">
        <f>"1552377983196449"</f>
        <v>1552377983196449</v>
      </c>
      <c r="C1285" t="s">
        <v>40</v>
      </c>
      <c r="D1285">
        <v>5.6130309999999897</v>
      </c>
      <c r="E1285">
        <v>0.62500659999999997</v>
      </c>
      <c r="F1285" t="s">
        <v>50</v>
      </c>
      <c r="G1285">
        <v>-166.52500000000001</v>
      </c>
      <c r="H1285">
        <v>8.4582080000000008</v>
      </c>
      <c r="I1285">
        <v>301.12400000000002</v>
      </c>
      <c r="J1285">
        <v>-193.506</v>
      </c>
      <c r="K1285">
        <v>1.0985469999999999</v>
      </c>
      <c r="L1285">
        <v>358.48809999999997</v>
      </c>
      <c r="M1285">
        <v>0.72816550000000002</v>
      </c>
      <c r="N1285">
        <v>0</v>
      </c>
      <c r="O1285">
        <v>-0.68521659999999995</v>
      </c>
      <c r="P1285">
        <v>0.68379579999999995</v>
      </c>
      <c r="Q1285">
        <v>3.4010079999999998E-2</v>
      </c>
      <c r="R1285">
        <v>-0.72888050000000004</v>
      </c>
      <c r="S1285">
        <v>1.342041</v>
      </c>
      <c r="T1285">
        <v>0.36486210000000002</v>
      </c>
      <c r="U1285">
        <v>-2.8484189999999998</v>
      </c>
      <c r="V1285">
        <v>6.3558729999999994E-2</v>
      </c>
      <c r="W1285">
        <v>4.8144149999999997E-2</v>
      </c>
      <c r="X1285">
        <v>0.99681620000000004</v>
      </c>
      <c r="Y1285">
        <v>0.36771019999999999</v>
      </c>
      <c r="Z1285">
        <v>-6.3012390000000001E-2</v>
      </c>
      <c r="AA1285">
        <v>0.92780320000000005</v>
      </c>
      <c r="AB1285">
        <v>29</v>
      </c>
      <c r="AC1285">
        <v>26.980999999999899</v>
      </c>
      <c r="AD1285">
        <v>7.359661</v>
      </c>
      <c r="AE1285">
        <v>-57.364099999999901</v>
      </c>
      <c r="AF1285">
        <v>22.975997447758601</v>
      </c>
      <c r="AG1285">
        <v>7.359661</v>
      </c>
      <c r="AH1285">
        <v>58.176800404602098</v>
      </c>
      <c r="AI1285">
        <v>83.289350512712701</v>
      </c>
      <c r="AJ1285">
        <v>68.449250479731703</v>
      </c>
      <c r="AK1285">
        <v>62.980958821466402</v>
      </c>
      <c r="AL1285">
        <v>87.240476813766904</v>
      </c>
      <c r="AM1285">
        <v>86.351660543062806</v>
      </c>
      <c r="AN1285">
        <v>1.0000000539604299</v>
      </c>
    </row>
    <row r="1286" spans="1:40" x14ac:dyDescent="0.25">
      <c r="A1286" t="str">
        <f>"20190312160623213"</f>
        <v>20190312160623213</v>
      </c>
      <c r="B1286" t="str">
        <f>"1552377983206208"</f>
        <v>1552377983206208</v>
      </c>
      <c r="C1286" t="s">
        <v>40</v>
      </c>
      <c r="D1286">
        <v>6.3696710000000003</v>
      </c>
      <c r="E1286">
        <v>0.62497559999999996</v>
      </c>
      <c r="F1286" t="s">
        <v>50</v>
      </c>
      <c r="G1286">
        <v>-166.864</v>
      </c>
      <c r="H1286">
        <v>8.3902319999999992</v>
      </c>
      <c r="I1286">
        <v>301.12400000000002</v>
      </c>
      <c r="J1286">
        <v>-193.41030000000001</v>
      </c>
      <c r="K1286">
        <v>1.098525</v>
      </c>
      <c r="L1286">
        <v>358.38959999999997</v>
      </c>
      <c r="M1286">
        <v>0.72341109999999997</v>
      </c>
      <c r="N1286">
        <v>0</v>
      </c>
      <c r="O1286">
        <v>-0.69023400000000001</v>
      </c>
      <c r="P1286">
        <v>0.6786759</v>
      </c>
      <c r="Q1286">
        <v>3.3949750000000001E-2</v>
      </c>
      <c r="R1286">
        <v>-0.73365309999999995</v>
      </c>
      <c r="S1286">
        <v>1.325974</v>
      </c>
      <c r="T1286">
        <v>0.36291069999999997</v>
      </c>
      <c r="U1286">
        <v>-2.8550110000000002</v>
      </c>
      <c r="V1286">
        <v>6.3649789999999998E-2</v>
      </c>
      <c r="W1286">
        <v>4.808842E-2</v>
      </c>
      <c r="X1286">
        <v>0.99681299999999995</v>
      </c>
      <c r="Y1286">
        <v>0.36640460000000002</v>
      </c>
      <c r="Z1286">
        <v>-6.3433539999999997E-2</v>
      </c>
      <c r="AA1286">
        <v>0.92829079999999997</v>
      </c>
      <c r="AB1286">
        <v>29</v>
      </c>
      <c r="AC1286">
        <v>26.546299999999999</v>
      </c>
      <c r="AD1286">
        <v>7.2917069999999997</v>
      </c>
      <c r="AE1286">
        <v>-57.2655999999999</v>
      </c>
      <c r="AF1286">
        <v>22.802036331684601</v>
      </c>
      <c r="AG1286">
        <v>7.2917069999999997</v>
      </c>
      <c r="AH1286">
        <v>57.964433750833898</v>
      </c>
      <c r="AI1286">
        <v>83.323105377701097</v>
      </c>
      <c r="AJ1286">
        <v>68.526326953078495</v>
      </c>
      <c r="AK1286">
        <v>62.713454951071903</v>
      </c>
      <c r="AL1286">
        <v>87.243673390744107</v>
      </c>
      <c r="AM1286">
        <v>86.346436051636005</v>
      </c>
      <c r="AN1286">
        <v>0.99999997443706901</v>
      </c>
    </row>
    <row r="1287" spans="1:40" x14ac:dyDescent="0.25">
      <c r="A1287" t="str">
        <f>"20190312160623223"</f>
        <v>20190312160623223</v>
      </c>
      <c r="B1287" t="str">
        <f>"1552377983215969"</f>
        <v>1552377983215969</v>
      </c>
      <c r="C1287" t="s">
        <v>40</v>
      </c>
      <c r="D1287">
        <v>5.7888989999999998</v>
      </c>
      <c r="E1287">
        <v>0.624865</v>
      </c>
      <c r="F1287" t="s">
        <v>50</v>
      </c>
      <c r="G1287">
        <v>-167.28729999999999</v>
      </c>
      <c r="H1287">
        <v>8.3213369999999998</v>
      </c>
      <c r="I1287">
        <v>301.12400000000002</v>
      </c>
      <c r="J1287">
        <v>-193.31489999999999</v>
      </c>
      <c r="K1287">
        <v>1.0985049999999901</v>
      </c>
      <c r="L1287">
        <v>358.28890000000001</v>
      </c>
      <c r="M1287">
        <v>0.71855089999999999</v>
      </c>
      <c r="N1287">
        <v>0</v>
      </c>
      <c r="O1287">
        <v>-0.69529219999999903</v>
      </c>
      <c r="P1287">
        <v>0.67360229999999999</v>
      </c>
      <c r="Q1287">
        <v>3.3673460000000002E-2</v>
      </c>
      <c r="R1287">
        <v>-0.73832690000000001</v>
      </c>
      <c r="S1287">
        <v>1.3064579999999999</v>
      </c>
      <c r="T1287">
        <v>0.36122910000000003</v>
      </c>
      <c r="U1287">
        <v>-2.863953</v>
      </c>
      <c r="V1287">
        <v>6.3532110000000003E-2</v>
      </c>
      <c r="W1287">
        <v>4.7822169999999997E-2</v>
      </c>
      <c r="X1287">
        <v>0.99683330000000003</v>
      </c>
      <c r="Y1287">
        <v>0.36621579999999998</v>
      </c>
      <c r="Z1287">
        <v>-6.3833219999999996E-2</v>
      </c>
      <c r="AA1287">
        <v>0.92833790000000005</v>
      </c>
      <c r="AB1287">
        <v>29</v>
      </c>
      <c r="AC1287">
        <v>26.0276</v>
      </c>
      <c r="AD1287">
        <v>7.2228320000000004</v>
      </c>
      <c r="AE1287">
        <v>-57.164899999999903</v>
      </c>
      <c r="AF1287">
        <v>22.682083090192599</v>
      </c>
      <c r="AG1287">
        <v>7.2228320000000004</v>
      </c>
      <c r="AH1287">
        <v>57.692979725326502</v>
      </c>
      <c r="AI1287">
        <v>83.354255606619802</v>
      </c>
      <c r="AJ1287">
        <v>68.537653297717</v>
      </c>
      <c r="AK1287">
        <v>62.410945394197903</v>
      </c>
      <c r="AL1287">
        <v>87.258945920021802</v>
      </c>
      <c r="AM1287">
        <v>86.353246825153306</v>
      </c>
      <c r="AN1287">
        <v>0.99999995846672396</v>
      </c>
    </row>
    <row r="1288" spans="1:40" x14ac:dyDescent="0.25">
      <c r="A1288" t="str">
        <f>"20190312160623235"</f>
        <v>20190312160623235</v>
      </c>
      <c r="B1288" t="str">
        <f>"1552377983225728"</f>
        <v>1552377983225728</v>
      </c>
      <c r="C1288" t="s">
        <v>40</v>
      </c>
      <c r="D1288">
        <v>4.5325319999999998</v>
      </c>
      <c r="E1288">
        <v>0.62474810000000003</v>
      </c>
      <c r="F1288" t="s">
        <v>50</v>
      </c>
      <c r="G1288">
        <v>-167.70920000000001</v>
      </c>
      <c r="H1288">
        <v>8.2339439999999993</v>
      </c>
      <c r="I1288">
        <v>301.12400000000002</v>
      </c>
      <c r="J1288">
        <v>-193.21539999999999</v>
      </c>
      <c r="K1288">
        <v>1.0984849999999999</v>
      </c>
      <c r="L1288">
        <v>358.18340000000001</v>
      </c>
      <c r="M1288">
        <v>0.71342490000000003</v>
      </c>
      <c r="N1288">
        <v>0</v>
      </c>
      <c r="O1288">
        <v>-0.70055040000000002</v>
      </c>
      <c r="P1288">
        <v>0.66804469999999905</v>
      </c>
      <c r="Q1288">
        <v>3.3343459999999998E-2</v>
      </c>
      <c r="R1288">
        <v>-0.74337359999999997</v>
      </c>
      <c r="S1288">
        <v>1.28685</v>
      </c>
      <c r="T1288">
        <v>0.35860409999999998</v>
      </c>
      <c r="U1288">
        <v>-2.8728940000000001</v>
      </c>
      <c r="V1288">
        <v>6.3692940000000003E-2</v>
      </c>
      <c r="W1288">
        <v>4.7494479999999999E-2</v>
      </c>
      <c r="X1288">
        <v>0.99683869999999997</v>
      </c>
      <c r="Y1288">
        <v>0.36574139999999999</v>
      </c>
      <c r="Z1288">
        <v>-6.4098569999999994E-2</v>
      </c>
      <c r="AA1288">
        <v>0.92850670000000002</v>
      </c>
      <c r="AB1288">
        <v>29</v>
      </c>
      <c r="AC1288">
        <v>25.5061999999999</v>
      </c>
      <c r="AD1288">
        <v>7.135459</v>
      </c>
      <c r="AE1288">
        <v>-57.059399999999897</v>
      </c>
      <c r="AF1288">
        <v>22.5482289652387</v>
      </c>
      <c r="AG1288">
        <v>7.135459</v>
      </c>
      <c r="AH1288">
        <v>57.428616515444403</v>
      </c>
      <c r="AI1288">
        <v>83.402822043601503</v>
      </c>
      <c r="AJ1288">
        <v>68.563511809903304</v>
      </c>
      <c r="AK1288">
        <v>62.107836860475899</v>
      </c>
      <c r="AL1288">
        <v>87.277742524164907</v>
      </c>
      <c r="AM1288">
        <v>86.344059914895496</v>
      </c>
      <c r="AN1288">
        <v>0.99999995502700001</v>
      </c>
    </row>
    <row r="1289" spans="1:40" x14ac:dyDescent="0.25">
      <c r="A1289" t="str">
        <f>"20190312160623246"</f>
        <v>20190312160623246</v>
      </c>
      <c r="B1289" t="str">
        <f>"1552377983236464"</f>
        <v>1552377983236464</v>
      </c>
      <c r="C1289" t="s">
        <v>40</v>
      </c>
      <c r="D1289">
        <v>5.324465</v>
      </c>
      <c r="E1289">
        <v>0.62462200000000001</v>
      </c>
      <c r="F1289" t="s">
        <v>44</v>
      </c>
      <c r="G1289">
        <v>-192.89699999999999</v>
      </c>
      <c r="H1289">
        <v>1.188113</v>
      </c>
      <c r="I1289">
        <v>357.45830000000001</v>
      </c>
      <c r="J1289">
        <v>-193.11799999999999</v>
      </c>
      <c r="K1289">
        <v>1.098465</v>
      </c>
      <c r="L1289">
        <v>358.07749999999999</v>
      </c>
      <c r="M1289">
        <v>0.70827910000000005</v>
      </c>
      <c r="N1289">
        <v>0</v>
      </c>
      <c r="O1289">
        <v>-0.70575209999999999</v>
      </c>
      <c r="P1289">
        <v>0.66264419999999902</v>
      </c>
      <c r="Q1289">
        <v>3.3352390000000003E-2</v>
      </c>
      <c r="R1289">
        <v>-0.74819150000000001</v>
      </c>
      <c r="S1289">
        <v>1.2665409999999999</v>
      </c>
      <c r="T1289">
        <v>0.35609249999999998</v>
      </c>
      <c r="U1289">
        <v>-2.8815</v>
      </c>
      <c r="V1289">
        <v>6.3618969999999997E-2</v>
      </c>
      <c r="W1289">
        <v>4.7512110000000003E-2</v>
      </c>
      <c r="X1289">
        <v>0.99684260000000002</v>
      </c>
      <c r="Y1289">
        <v>0.36544019999999999</v>
      </c>
      <c r="Z1289">
        <v>-6.4368599999999998E-2</v>
      </c>
      <c r="AA1289">
        <v>0.92860659999999895</v>
      </c>
      <c r="AB1289">
        <v>29</v>
      </c>
      <c r="AC1289">
        <v>0.22099999999997499</v>
      </c>
      <c r="AD1289">
        <v>8.9647999999999894E-2</v>
      </c>
      <c r="AE1289">
        <v>-0.61919999999997799</v>
      </c>
      <c r="AF1289">
        <v>0.27747219252588301</v>
      </c>
      <c r="AG1289">
        <v>8.9647999999999894E-2</v>
      </c>
      <c r="AH1289">
        <v>0.582771579429194</v>
      </c>
      <c r="AI1289">
        <v>82.092721961974206</v>
      </c>
      <c r="AJ1289">
        <v>64.539707132878206</v>
      </c>
      <c r="AK1289">
        <v>0.65165197407781805</v>
      </c>
      <c r="AL1289">
        <v>87.276731302940405</v>
      </c>
      <c r="AM1289">
        <v>86.348308505524599</v>
      </c>
      <c r="AN1289">
        <v>0.99999997155763598</v>
      </c>
    </row>
    <row r="1290" spans="1:40" x14ac:dyDescent="0.25">
      <c r="A1290" t="str">
        <f>"20190312160623257"</f>
        <v>20190312160623257</v>
      </c>
      <c r="B1290" t="str">
        <f>"1552377983246224"</f>
        <v>1552377983246224</v>
      </c>
      <c r="C1290" t="s">
        <v>40</v>
      </c>
      <c r="D1290">
        <v>6.3270910000000002</v>
      </c>
      <c r="E1290">
        <v>0.62446299999999999</v>
      </c>
      <c r="F1290" t="s">
        <v>50</v>
      </c>
      <c r="G1290">
        <v>-168.56379999999999</v>
      </c>
      <c r="H1290">
        <v>8.0749860000000009</v>
      </c>
      <c r="I1290">
        <v>301.12400000000002</v>
      </c>
      <c r="J1290">
        <v>-193.0179</v>
      </c>
      <c r="K1290">
        <v>1.098449</v>
      </c>
      <c r="L1290">
        <v>357.96789999999999</v>
      </c>
      <c r="M1290">
        <v>0.70292519999999903</v>
      </c>
      <c r="N1290">
        <v>0</v>
      </c>
      <c r="O1290">
        <v>-0.71108479999999996</v>
      </c>
      <c r="P1290">
        <v>0.65694839999999999</v>
      </c>
      <c r="Q1290">
        <v>3.3435619999999999E-2</v>
      </c>
      <c r="R1290">
        <v>-0.75319380000000002</v>
      </c>
      <c r="S1290">
        <v>1.246094</v>
      </c>
      <c r="T1290">
        <v>0.35405370000000003</v>
      </c>
      <c r="U1290">
        <v>-2.89032</v>
      </c>
      <c r="V1290">
        <v>6.3650670000000006E-2</v>
      </c>
      <c r="W1290">
        <v>4.7601650000000002E-2</v>
      </c>
      <c r="X1290">
        <v>0.99683630000000001</v>
      </c>
      <c r="Y1290">
        <v>0.36498190000000003</v>
      </c>
      <c r="Z1290">
        <v>-6.4733979999999997E-2</v>
      </c>
      <c r="AA1290">
        <v>0.92876139999999996</v>
      </c>
      <c r="AB1290">
        <v>29</v>
      </c>
      <c r="AC1290">
        <v>24.4541</v>
      </c>
      <c r="AD1290">
        <v>6.9765369999999898</v>
      </c>
      <c r="AE1290">
        <v>-56.843899999999898</v>
      </c>
      <c r="AF1290">
        <v>22.287653299005701</v>
      </c>
      <c r="AG1290">
        <v>6.9765369999999898</v>
      </c>
      <c r="AH1290">
        <v>56.894405244258103</v>
      </c>
      <c r="AI1290">
        <v>83.4864834205558</v>
      </c>
      <c r="AJ1290">
        <v>68.607874972784003</v>
      </c>
      <c r="AK1290">
        <v>61.501096788487601</v>
      </c>
      <c r="AL1290">
        <v>87.271595214767501</v>
      </c>
      <c r="AM1290">
        <v>86.346470843626506</v>
      </c>
      <c r="AN1290">
        <v>0.99999996693592996</v>
      </c>
    </row>
    <row r="1291" spans="1:40" x14ac:dyDescent="0.25">
      <c r="A1291" t="str">
        <f>"20190312160623270"</f>
        <v>20190312160623270</v>
      </c>
      <c r="B1291" t="str">
        <f>"1552377983255984"</f>
        <v>1552377983255984</v>
      </c>
      <c r="C1291" t="s">
        <v>40</v>
      </c>
      <c r="D1291">
        <v>6.3715909999999996</v>
      </c>
      <c r="E1291">
        <v>0.62431499999999995</v>
      </c>
      <c r="F1291" t="s">
        <v>44</v>
      </c>
      <c r="G1291">
        <v>-192.7114</v>
      </c>
      <c r="H1291">
        <v>1.1864779999999999</v>
      </c>
      <c r="I1291">
        <v>357.24259999999998</v>
      </c>
      <c r="J1291">
        <v>-192.9068</v>
      </c>
      <c r="K1291">
        <v>1.0984309999999999</v>
      </c>
      <c r="L1291">
        <v>357.84379999999999</v>
      </c>
      <c r="M1291">
        <v>0.69685079999999999</v>
      </c>
      <c r="N1291">
        <v>0</v>
      </c>
      <c r="O1291">
        <v>-0.71703839999999996</v>
      </c>
      <c r="P1291">
        <v>0.65045229999999998</v>
      </c>
      <c r="Q1291">
        <v>3.3697060000000001E-2</v>
      </c>
      <c r="R1291">
        <v>-0.75879940000000001</v>
      </c>
      <c r="S1291">
        <v>1.2252809999999901</v>
      </c>
      <c r="T1291">
        <v>0.35183170000000002</v>
      </c>
      <c r="U1291">
        <v>-2.8987430000000001</v>
      </c>
      <c r="V1291">
        <v>6.3738059999999999E-2</v>
      </c>
      <c r="W1291">
        <v>4.7867430000000002E-2</v>
      </c>
      <c r="X1291">
        <v>0.99681799999999998</v>
      </c>
      <c r="Y1291">
        <v>0.36369639999999998</v>
      </c>
      <c r="Z1291">
        <v>-6.5184000000000006E-2</v>
      </c>
      <c r="AA1291">
        <v>0.92923409999999995</v>
      </c>
      <c r="AB1291">
        <v>29</v>
      </c>
      <c r="AC1291">
        <v>0.19540000000000601</v>
      </c>
      <c r="AD1291">
        <v>8.8047000000000195E-2</v>
      </c>
      <c r="AE1291">
        <v>-0.60120000000000495</v>
      </c>
      <c r="AF1291">
        <v>0.27356603718848799</v>
      </c>
      <c r="AG1291">
        <v>8.8047000000000195E-2</v>
      </c>
      <c r="AH1291">
        <v>0.55652442971746396</v>
      </c>
      <c r="AI1291">
        <v>81.919034521582404</v>
      </c>
      <c r="AJ1291">
        <v>63.823040781244899</v>
      </c>
      <c r="AK1291">
        <v>0.62634662271330399</v>
      </c>
      <c r="AL1291">
        <v>87.256349793745997</v>
      </c>
      <c r="AM1291">
        <v>86.341401316076997</v>
      </c>
      <c r="AN1291">
        <v>0.99999997813568398</v>
      </c>
    </row>
    <row r="1292" spans="1:40" x14ac:dyDescent="0.25">
      <c r="A1292" t="str">
        <f>"20190312160623283"</f>
        <v>20190312160623283</v>
      </c>
      <c r="B1292" t="str">
        <f>"1552377983265744"</f>
        <v>1552377983265744</v>
      </c>
      <c r="C1292" t="s">
        <v>40</v>
      </c>
      <c r="D1292">
        <v>6.4451609999999997</v>
      </c>
      <c r="E1292">
        <v>0.62423039999999996</v>
      </c>
      <c r="F1292" t="s">
        <v>50</v>
      </c>
      <c r="G1292">
        <v>-169.1438</v>
      </c>
      <c r="H1292">
        <v>8.0370509999999999</v>
      </c>
      <c r="I1292">
        <v>300.28710000000001</v>
      </c>
      <c r="J1292">
        <v>-192.79910000000001</v>
      </c>
      <c r="K1292">
        <v>1.0984179999999999</v>
      </c>
      <c r="L1292">
        <v>357.72120000000001</v>
      </c>
      <c r="M1292">
        <v>0.69082880000000002</v>
      </c>
      <c r="N1292">
        <v>0</v>
      </c>
      <c r="O1292">
        <v>-0.72284190000000004</v>
      </c>
      <c r="P1292">
        <v>0.64417809999999998</v>
      </c>
      <c r="Q1292">
        <v>3.3975099999999897E-2</v>
      </c>
      <c r="R1292">
        <v>-0.76412100000000005</v>
      </c>
      <c r="S1292">
        <v>1.2008669999999999</v>
      </c>
      <c r="T1292">
        <v>0.3506474</v>
      </c>
      <c r="U1292">
        <v>-2.90863</v>
      </c>
      <c r="V1292">
        <v>6.3614850000000001E-2</v>
      </c>
      <c r="W1292">
        <v>4.8156530000000003E-2</v>
      </c>
      <c r="X1292">
        <v>0.99681200000000003</v>
      </c>
      <c r="Y1292">
        <v>0.36369299999999999</v>
      </c>
      <c r="Z1292">
        <v>-6.5740270000000003E-2</v>
      </c>
      <c r="AA1292">
        <v>0.92919620000000003</v>
      </c>
      <c r="AB1292">
        <v>29</v>
      </c>
      <c r="AC1292">
        <v>23.6553</v>
      </c>
      <c r="AD1292">
        <v>6.9386329999999896</v>
      </c>
      <c r="AE1292">
        <v>-57.434100000000001</v>
      </c>
      <c r="AF1292">
        <v>22.302668641915499</v>
      </c>
      <c r="AG1292">
        <v>6.9386329999999896</v>
      </c>
      <c r="AH1292">
        <v>57.151758934542002</v>
      </c>
      <c r="AI1292">
        <v>83.547239238714297</v>
      </c>
      <c r="AJ1292">
        <v>68.682485148958094</v>
      </c>
      <c r="AK1292">
        <v>61.740401729918901</v>
      </c>
      <c r="AL1292">
        <v>87.239766607509296</v>
      </c>
      <c r="AM1292">
        <v>86.348432562661699</v>
      </c>
      <c r="AN1292">
        <v>1.00000003193308</v>
      </c>
    </row>
    <row r="1293" spans="1:40" x14ac:dyDescent="0.25">
      <c r="A1293" t="str">
        <f>"20190312160623298"</f>
        <v>20190312160623298</v>
      </c>
      <c r="B1293" t="str">
        <f>"1552377983286240"</f>
        <v>1552377983286240</v>
      </c>
      <c r="C1293" t="s">
        <v>40</v>
      </c>
      <c r="D1293">
        <v>6.4355580000000003</v>
      </c>
      <c r="E1293">
        <v>0.6239595</v>
      </c>
      <c r="F1293" t="s">
        <v>50</v>
      </c>
      <c r="G1293">
        <v>-169.1438</v>
      </c>
      <c r="H1293">
        <v>8.1366239999999994</v>
      </c>
      <c r="I1293">
        <v>299.08429999999998</v>
      </c>
      <c r="J1293">
        <v>-192.67230000000001</v>
      </c>
      <c r="K1293">
        <v>1.098401</v>
      </c>
      <c r="L1293">
        <v>357.57479999999998</v>
      </c>
      <c r="M1293">
        <v>0.68360350000000003</v>
      </c>
      <c r="N1293">
        <v>0</v>
      </c>
      <c r="O1293">
        <v>-0.7296783</v>
      </c>
      <c r="P1293">
        <v>0.63665819999999995</v>
      </c>
      <c r="Q1293">
        <v>3.43971E-2</v>
      </c>
      <c r="R1293">
        <v>-0.77037860000000002</v>
      </c>
      <c r="S1293">
        <v>1.177216</v>
      </c>
      <c r="T1293">
        <v>0.35026299999999999</v>
      </c>
      <c r="U1293">
        <v>-2.918091</v>
      </c>
      <c r="V1293">
        <v>6.3468960000000005E-2</v>
      </c>
      <c r="W1293">
        <v>4.8590410000000001E-2</v>
      </c>
      <c r="X1293">
        <v>0.99680020000000003</v>
      </c>
      <c r="Y1293">
        <v>0.3619694</v>
      </c>
      <c r="Z1293">
        <v>-6.6651039999999995E-2</v>
      </c>
      <c r="AA1293">
        <v>0.92980410000000002</v>
      </c>
      <c r="AB1293">
        <v>28</v>
      </c>
      <c r="AC1293">
        <v>23.528500000000001</v>
      </c>
      <c r="AD1293">
        <v>7.0382230000000003</v>
      </c>
      <c r="AE1293">
        <v>-58.490499999999997</v>
      </c>
      <c r="AF1293">
        <v>22.538103988262399</v>
      </c>
      <c r="AG1293">
        <v>7.0382230000000003</v>
      </c>
      <c r="AH1293">
        <v>58.047492682412297</v>
      </c>
      <c r="AI1293">
        <v>83.551306572070004</v>
      </c>
      <c r="AJ1293">
        <v>68.780298969602796</v>
      </c>
      <c r="AK1293">
        <v>62.665892805402201</v>
      </c>
      <c r="AL1293">
        <v>87.214877855548394</v>
      </c>
      <c r="AM1293">
        <v>86.356741228920598</v>
      </c>
      <c r="AN1293">
        <v>0.99999998777374399</v>
      </c>
    </row>
    <row r="1294" spans="1:40" x14ac:dyDescent="0.25">
      <c r="A1294" t="str">
        <f>"20190312160623314"</f>
        <v>20190312160623314</v>
      </c>
      <c r="B1294" t="str">
        <f>"1552377983305760"</f>
        <v>1552377983305760</v>
      </c>
      <c r="C1294" t="s">
        <v>40</v>
      </c>
      <c r="D1294">
        <v>6.154922</v>
      </c>
      <c r="E1294">
        <v>0.62407319999999999</v>
      </c>
      <c r="F1294" t="s">
        <v>44</v>
      </c>
      <c r="G1294">
        <v>-192.3837</v>
      </c>
      <c r="H1294">
        <v>1.1857390000000001</v>
      </c>
      <c r="I1294">
        <v>356.83980000000003</v>
      </c>
      <c r="J1294">
        <v>-192.53469999999999</v>
      </c>
      <c r="K1294">
        <v>1.0983909999999999</v>
      </c>
      <c r="L1294">
        <v>357.41230000000002</v>
      </c>
      <c r="M1294">
        <v>0.67555529999999997</v>
      </c>
      <c r="N1294">
        <v>0</v>
      </c>
      <c r="O1294">
        <v>-0.73713569999999995</v>
      </c>
      <c r="P1294">
        <v>0.62824239999999998</v>
      </c>
      <c r="Q1294">
        <v>3.4610380000000003E-2</v>
      </c>
      <c r="R1294">
        <v>-0.77724769999999999</v>
      </c>
      <c r="S1294">
        <v>1.1501459999999999</v>
      </c>
      <c r="T1294">
        <v>0.34795799999999999</v>
      </c>
      <c r="U1294">
        <v>-2.9281009999999998</v>
      </c>
      <c r="V1294">
        <v>6.3373180000000001E-2</v>
      </c>
      <c r="W1294">
        <v>4.881427E-2</v>
      </c>
      <c r="X1294">
        <v>0.9967954</v>
      </c>
      <c r="Y1294">
        <v>0.36027910000000002</v>
      </c>
      <c r="Z1294">
        <v>-6.7285780000000003E-2</v>
      </c>
      <c r="AA1294">
        <v>0.93041470000000004</v>
      </c>
      <c r="AB1294">
        <v>28</v>
      </c>
      <c r="AC1294">
        <v>0.15099999999998201</v>
      </c>
      <c r="AD1294">
        <v>8.7347999999999898E-2</v>
      </c>
      <c r="AE1294">
        <v>-0.57249999999999002</v>
      </c>
      <c r="AF1294">
        <v>0.26961516607906699</v>
      </c>
      <c r="AG1294">
        <v>8.7347999999999898E-2</v>
      </c>
      <c r="AH1294">
        <v>0.51292266375066597</v>
      </c>
      <c r="AI1294">
        <v>81.427855629351896</v>
      </c>
      <c r="AJ1294">
        <v>62.271570068911501</v>
      </c>
      <c r="AK1294">
        <v>0.58601337004621501</v>
      </c>
      <c r="AL1294">
        <v>87.202036505208099</v>
      </c>
      <c r="AM1294">
        <v>86.3622069678934</v>
      </c>
      <c r="AN1294">
        <v>1.0000000311800501</v>
      </c>
    </row>
    <row r="1295" spans="1:40" x14ac:dyDescent="0.25">
      <c r="A1295" t="str">
        <f>"20190312160623327"</f>
        <v>20190312160623327</v>
      </c>
      <c r="B1295" t="str">
        <f>"1552377983316497"</f>
        <v>1552377983316497</v>
      </c>
      <c r="C1295" t="s">
        <v>40</v>
      </c>
      <c r="D1295">
        <v>6.0298170000000004</v>
      </c>
      <c r="E1295">
        <v>0.65620889999999998</v>
      </c>
      <c r="F1295" t="s">
        <v>44</v>
      </c>
      <c r="G1295">
        <v>-192.25069999999999</v>
      </c>
      <c r="H1295">
        <v>1.1873560000000001</v>
      </c>
      <c r="I1295">
        <v>356.66500000000002</v>
      </c>
      <c r="J1295">
        <v>-192.4264</v>
      </c>
      <c r="K1295">
        <v>1.0983799999999999</v>
      </c>
      <c r="L1295">
        <v>357.28109999999998</v>
      </c>
      <c r="M1295">
        <v>0.66904180000000002</v>
      </c>
      <c r="N1295">
        <v>0</v>
      </c>
      <c r="O1295">
        <v>-0.74305239999999995</v>
      </c>
      <c r="P1295">
        <v>0.6215425</v>
      </c>
      <c r="Q1295">
        <v>3.4954970000000002E-2</v>
      </c>
      <c r="R1295">
        <v>-0.78260059999999998</v>
      </c>
      <c r="S1295">
        <v>1.1180110000000001</v>
      </c>
      <c r="T1295">
        <v>0.35004220000000003</v>
      </c>
      <c r="U1295">
        <v>-2.9404599999999999</v>
      </c>
      <c r="V1295">
        <v>6.316447E-2</v>
      </c>
      <c r="W1295">
        <v>4.9171470000000002E-2</v>
      </c>
      <c r="X1295">
        <v>0.99679110000000004</v>
      </c>
      <c r="Y1295">
        <v>0.36227389999999998</v>
      </c>
      <c r="Z1295">
        <v>-6.8391709999999994E-2</v>
      </c>
      <c r="AA1295">
        <v>0.92955909999999997</v>
      </c>
      <c r="AB1295">
        <v>28</v>
      </c>
      <c r="AC1295">
        <v>0.17570000000000599</v>
      </c>
      <c r="AD1295">
        <v>8.8975999999999902E-2</v>
      </c>
      <c r="AE1295">
        <v>-0.61609999999996001</v>
      </c>
      <c r="AF1295">
        <v>0.27634824378397699</v>
      </c>
      <c r="AG1295">
        <v>8.8975999999999902E-2</v>
      </c>
      <c r="AH1295">
        <v>0.56453031793134001</v>
      </c>
      <c r="AI1295">
        <v>81.942759189170104</v>
      </c>
      <c r="AJ1295">
        <v>63.917379609973999</v>
      </c>
      <c r="AK1295">
        <v>0.63480671096180796</v>
      </c>
      <c r="AL1295">
        <v>87.181545872610698</v>
      </c>
      <c r="AM1295">
        <v>86.374139877606595</v>
      </c>
      <c r="AN1295">
        <v>1.0000000403857701</v>
      </c>
    </row>
    <row r="1296" spans="1:40" x14ac:dyDescent="0.25">
      <c r="A1296" t="str">
        <f>"20190312160623338"</f>
        <v>20190312160623338</v>
      </c>
      <c r="B1296" t="str">
        <f>"1552377983336016"</f>
        <v>1552377983336016</v>
      </c>
      <c r="C1296" t="s">
        <v>40</v>
      </c>
      <c r="D1296">
        <v>6.0929140000000004</v>
      </c>
      <c r="E1296">
        <v>0.65406779999999998</v>
      </c>
      <c r="F1296" t="s">
        <v>44</v>
      </c>
      <c r="G1296">
        <v>-192.24789999999999</v>
      </c>
      <c r="H1296">
        <v>1.2155860000000001</v>
      </c>
      <c r="I1296">
        <v>356.66309999999999</v>
      </c>
      <c r="J1296">
        <v>-192.32849999999999</v>
      </c>
      <c r="K1296">
        <v>1.098371</v>
      </c>
      <c r="L1296">
        <v>357.16090000000003</v>
      </c>
      <c r="M1296">
        <v>0.66305219999999998</v>
      </c>
      <c r="N1296">
        <v>0</v>
      </c>
      <c r="O1296">
        <v>-0.74840200000000001</v>
      </c>
      <c r="P1296">
        <v>0.61531569999999902</v>
      </c>
      <c r="Q1296">
        <v>3.5103370000000002E-2</v>
      </c>
      <c r="R1296">
        <v>-0.78749899999999995</v>
      </c>
      <c r="S1296">
        <v>0.89500429999999997</v>
      </c>
      <c r="T1296">
        <v>0.58722929999999995</v>
      </c>
      <c r="U1296">
        <v>-3.0962519999999998</v>
      </c>
      <c r="V1296">
        <v>6.3065629999999998E-2</v>
      </c>
      <c r="W1296">
        <v>4.9328629999999998E-2</v>
      </c>
      <c r="X1296">
        <v>0.99678960000000005</v>
      </c>
      <c r="Y1296">
        <v>0.43069730000000001</v>
      </c>
      <c r="Z1296">
        <v>-0.1075904</v>
      </c>
      <c r="AA1296">
        <v>0.89606030000000003</v>
      </c>
      <c r="AB1296">
        <v>28</v>
      </c>
      <c r="AC1296">
        <v>8.0600000000004002E-2</v>
      </c>
      <c r="AD1296">
        <v>0.117215</v>
      </c>
      <c r="AE1296">
        <v>-0.49780000000003999</v>
      </c>
      <c r="AF1296">
        <v>0.255952192784067</v>
      </c>
      <c r="AG1296">
        <v>0.117215</v>
      </c>
      <c r="AH1296">
        <v>0.404212369417354</v>
      </c>
      <c r="AI1296">
        <v>76.233851661327094</v>
      </c>
      <c r="AJ1296">
        <v>57.657511394601599</v>
      </c>
      <c r="AK1296">
        <v>0.49258351657964</v>
      </c>
      <c r="AL1296">
        <v>87.1725303465618</v>
      </c>
      <c r="AM1296">
        <v>86.379793103328296</v>
      </c>
      <c r="AN1296">
        <v>1.00000004704656</v>
      </c>
    </row>
    <row r="1297" spans="1:40" x14ac:dyDescent="0.25">
      <c r="A1297" t="str">
        <f>"20190312160623350"</f>
        <v>20190312160623350</v>
      </c>
      <c r="B1297" t="str">
        <f>"1552377983345776"</f>
        <v>1552377983345776</v>
      </c>
      <c r="C1297" t="s">
        <v>40</v>
      </c>
      <c r="D1297">
        <v>5.6053930000000003</v>
      </c>
      <c r="E1297">
        <v>0.65247250000000001</v>
      </c>
      <c r="F1297" t="s">
        <v>44</v>
      </c>
      <c r="G1297">
        <v>-192.13210000000001</v>
      </c>
      <c r="H1297">
        <v>1.2318150000000001</v>
      </c>
      <c r="I1297">
        <v>356.47300000000001</v>
      </c>
      <c r="J1297">
        <v>-192.23330000000001</v>
      </c>
      <c r="K1297">
        <v>1.0983590000000001</v>
      </c>
      <c r="L1297">
        <v>357.04230000000001</v>
      </c>
      <c r="M1297">
        <v>0.65711730000000002</v>
      </c>
      <c r="N1297">
        <v>0</v>
      </c>
      <c r="O1297">
        <v>-0.75361800000000001</v>
      </c>
      <c r="P1297">
        <v>0.609379</v>
      </c>
      <c r="Q1297">
        <v>3.5227109999999999E-2</v>
      </c>
      <c r="R1297">
        <v>-0.79209619999999903</v>
      </c>
      <c r="S1297">
        <v>0.88394169999999905</v>
      </c>
      <c r="T1297">
        <v>0.59975599999999996</v>
      </c>
      <c r="U1297">
        <v>-3.092133</v>
      </c>
      <c r="V1297">
        <v>6.2682269999999998E-2</v>
      </c>
      <c r="W1297">
        <v>4.9468169999999999E-2</v>
      </c>
      <c r="X1297">
        <v>0.99680679999999999</v>
      </c>
      <c r="Y1297">
        <v>0.42633549999999998</v>
      </c>
      <c r="Z1297">
        <v>-0.11156190000000001</v>
      </c>
      <c r="AA1297">
        <v>0.89765919999999899</v>
      </c>
      <c r="AB1297">
        <v>28</v>
      </c>
      <c r="AC1297">
        <v>0.10120000000000499</v>
      </c>
      <c r="AD1297">
        <v>0.13345599999999899</v>
      </c>
      <c r="AE1297">
        <v>-0.56929999999999803</v>
      </c>
      <c r="AF1297">
        <v>0.28280400886981699</v>
      </c>
      <c r="AG1297">
        <v>0.13345599999999899</v>
      </c>
      <c r="AH1297">
        <v>0.47053331462727399</v>
      </c>
      <c r="AI1297">
        <v>76.336558729078305</v>
      </c>
      <c r="AJ1297">
        <v>58.992926344640502</v>
      </c>
      <c r="AK1297">
        <v>0.56496921291603897</v>
      </c>
      <c r="AL1297">
        <v>87.164525335675904</v>
      </c>
      <c r="AM1297">
        <v>86.401803357078606</v>
      </c>
      <c r="AN1297">
        <v>0.99999998167087001</v>
      </c>
    </row>
    <row r="1298" spans="1:40" x14ac:dyDescent="0.25">
      <c r="A1298" t="str">
        <f>"20190312160623363"</f>
        <v>20190312160623363</v>
      </c>
      <c r="B1298" t="str">
        <f>"1552377983356512"</f>
        <v>1552377983356512</v>
      </c>
      <c r="C1298" t="s">
        <v>40</v>
      </c>
      <c r="D1298">
        <v>5.9908289999999997</v>
      </c>
      <c r="E1298">
        <v>0.65243079999999998</v>
      </c>
      <c r="F1298" t="s">
        <v>44</v>
      </c>
      <c r="G1298">
        <v>-192.05799999999999</v>
      </c>
      <c r="H1298">
        <v>1.2177359999999999</v>
      </c>
      <c r="I1298">
        <v>356.41899999999998</v>
      </c>
      <c r="J1298">
        <v>-192.1395</v>
      </c>
      <c r="K1298">
        <v>1.0983510000000001</v>
      </c>
      <c r="L1298">
        <v>356.9228</v>
      </c>
      <c r="M1298">
        <v>0.65113500000000002</v>
      </c>
      <c r="N1298">
        <v>0</v>
      </c>
      <c r="O1298">
        <v>-0.75879269999999999</v>
      </c>
      <c r="P1298">
        <v>0.60323309999999997</v>
      </c>
      <c r="Q1298">
        <v>3.5601859999999999E-2</v>
      </c>
      <c r="R1298">
        <v>-0.79677019999999998</v>
      </c>
      <c r="S1298">
        <v>0.870529199999999</v>
      </c>
      <c r="T1298">
        <v>0.5920398</v>
      </c>
      <c r="U1298">
        <v>-3.0913390000000001</v>
      </c>
      <c r="V1298">
        <v>6.250907E-2</v>
      </c>
      <c r="W1298">
        <v>4.9853460000000002E-2</v>
      </c>
      <c r="X1298">
        <v>0.99679850000000003</v>
      </c>
      <c r="Y1298">
        <v>0.42274050000000002</v>
      </c>
      <c r="Z1298">
        <v>-0.1117364</v>
      </c>
      <c r="AA1298">
        <v>0.89933609999999897</v>
      </c>
      <c r="AB1298">
        <v>28</v>
      </c>
      <c r="AC1298">
        <v>8.1500000000005401E-2</v>
      </c>
      <c r="AD1298">
        <v>0.11938500000000001</v>
      </c>
      <c r="AE1298">
        <v>-0.50379999999995495</v>
      </c>
      <c r="AF1298">
        <v>0.25242133582596499</v>
      </c>
      <c r="AG1298">
        <v>0.11938500000000001</v>
      </c>
      <c r="AH1298">
        <v>0.412813118987292</v>
      </c>
      <c r="AI1298">
        <v>76.140284469254595</v>
      </c>
      <c r="AJ1298">
        <v>58.5556169348068</v>
      </c>
      <c r="AK1298">
        <v>0.49838136021843799</v>
      </c>
      <c r="AL1298">
        <v>87.142422626259403</v>
      </c>
      <c r="AM1298">
        <v>86.411689871775806</v>
      </c>
      <c r="AN1298">
        <v>1.00000000045424</v>
      </c>
    </row>
    <row r="1299" spans="1:40" x14ac:dyDescent="0.25">
      <c r="A1299" t="str">
        <f>"20190312160623374"</f>
        <v>20190312160623374</v>
      </c>
      <c r="B1299" t="str">
        <f>"1552377983366273"</f>
        <v>1552377983366273</v>
      </c>
      <c r="C1299" t="s">
        <v>40</v>
      </c>
      <c r="D1299">
        <v>6.0772370000000002</v>
      </c>
      <c r="E1299">
        <v>0.65342199999999995</v>
      </c>
      <c r="F1299" t="s">
        <v>44</v>
      </c>
      <c r="G1299">
        <v>-191.96420000000001</v>
      </c>
      <c r="H1299">
        <v>1.2221299999999999</v>
      </c>
      <c r="I1299">
        <v>356.28059999999999</v>
      </c>
      <c r="J1299">
        <v>-192.04660000000001</v>
      </c>
      <c r="K1299">
        <v>1.0983419999999999</v>
      </c>
      <c r="L1299">
        <v>356.80349999999999</v>
      </c>
      <c r="M1299">
        <v>0.64513189999999998</v>
      </c>
      <c r="N1299">
        <v>0</v>
      </c>
      <c r="O1299">
        <v>-0.76390309999999995</v>
      </c>
      <c r="P1299">
        <v>0.59695640000000005</v>
      </c>
      <c r="Q1299">
        <v>3.5750740000000003E-2</v>
      </c>
      <c r="R1299">
        <v>-0.8014772</v>
      </c>
      <c r="S1299">
        <v>0.84703059999999997</v>
      </c>
      <c r="T1299">
        <v>0.59678790000000004</v>
      </c>
      <c r="U1299">
        <v>-3.097229</v>
      </c>
      <c r="V1299">
        <v>6.24800999999999E-2</v>
      </c>
      <c r="W1299">
        <v>5.0008240000000002E-2</v>
      </c>
      <c r="X1299">
        <v>0.99679260000000003</v>
      </c>
      <c r="Y1299">
        <v>0.42243720000000001</v>
      </c>
      <c r="Z1299">
        <v>-0.1138222</v>
      </c>
      <c r="AA1299">
        <v>0.89921709999999999</v>
      </c>
      <c r="AB1299">
        <v>28</v>
      </c>
      <c r="AC1299">
        <v>8.2400000000006898E-2</v>
      </c>
      <c r="AD1299">
        <v>0.123788</v>
      </c>
      <c r="AE1299">
        <v>-0.52289999999999204</v>
      </c>
      <c r="AF1299">
        <v>0.26020010299412299</v>
      </c>
      <c r="AG1299">
        <v>0.123788</v>
      </c>
      <c r="AH1299">
        <v>0.429191664034904</v>
      </c>
      <c r="AI1299">
        <v>76.145312849482593</v>
      </c>
      <c r="AJ1299">
        <v>58.773402192760997</v>
      </c>
      <c r="AK1299">
        <v>0.51694588403352404</v>
      </c>
      <c r="AL1299">
        <v>87.133543415515604</v>
      </c>
      <c r="AM1299">
        <v>86.413327367959297</v>
      </c>
      <c r="AN1299">
        <v>1.0000000371893301</v>
      </c>
    </row>
    <row r="1300" spans="1:40" x14ac:dyDescent="0.25">
      <c r="A1300" t="str">
        <f>"20190312160623391"</f>
        <v>20190312160623391</v>
      </c>
      <c r="B1300" t="str">
        <f>"1552377983385793"</f>
        <v>1552377983385793</v>
      </c>
      <c r="C1300" t="s">
        <v>40</v>
      </c>
      <c r="D1300">
        <v>6.1473509999999996</v>
      </c>
      <c r="E1300">
        <v>0.65383630000000004</v>
      </c>
      <c r="F1300" t="s">
        <v>44</v>
      </c>
      <c r="G1300">
        <v>-191.84809999999999</v>
      </c>
      <c r="H1300">
        <v>1.244224</v>
      </c>
      <c r="I1300">
        <v>356.04770000000002</v>
      </c>
      <c r="J1300">
        <v>-191.91390000000001</v>
      </c>
      <c r="K1300">
        <v>1.0983229999999999</v>
      </c>
      <c r="L1300">
        <v>356.6284</v>
      </c>
      <c r="M1300">
        <v>0.6363048</v>
      </c>
      <c r="N1300">
        <v>0</v>
      </c>
      <c r="O1300">
        <v>-0.77127089999999998</v>
      </c>
      <c r="P1300">
        <v>0.58821429999999997</v>
      </c>
      <c r="Q1300">
        <v>3.596593E-2</v>
      </c>
      <c r="R1300">
        <v>-0.80790499999999998</v>
      </c>
      <c r="S1300">
        <v>0.81605530000000004</v>
      </c>
      <c r="T1300">
        <v>0.60000379999999998</v>
      </c>
      <c r="U1300">
        <v>-3.1084900000000002</v>
      </c>
      <c r="V1300">
        <v>6.1847729999999997E-2</v>
      </c>
      <c r="W1300">
        <v>5.0248729999999998E-2</v>
      </c>
      <c r="X1300">
        <v>0.99681989999999998</v>
      </c>
      <c r="Y1300">
        <v>0.42127219999999999</v>
      </c>
      <c r="Z1300">
        <v>-0.11610280000000001</v>
      </c>
      <c r="AA1300">
        <v>0.89947199999999905</v>
      </c>
      <c r="AB1300">
        <v>28</v>
      </c>
      <c r="AC1300">
        <v>6.58000000000242E-2</v>
      </c>
      <c r="AD1300">
        <v>0.145901</v>
      </c>
      <c r="AE1300">
        <v>-0.58069999999997801</v>
      </c>
      <c r="AF1300">
        <v>0.300090061244772</v>
      </c>
      <c r="AG1300">
        <v>0.145901</v>
      </c>
      <c r="AH1300">
        <v>0.46107194171569199</v>
      </c>
      <c r="AI1300">
        <v>75.146393024013705</v>
      </c>
      <c r="AJ1300">
        <v>56.941788090227597</v>
      </c>
      <c r="AK1300">
        <v>0.56914715328847099</v>
      </c>
      <c r="AL1300">
        <v>87.119746886641195</v>
      </c>
      <c r="AM1300">
        <v>86.449632249963202</v>
      </c>
      <c r="AN1300">
        <v>0.99999999480438695</v>
      </c>
    </row>
    <row r="1301" spans="1:40" x14ac:dyDescent="0.25">
      <c r="A1301" t="str">
        <f>"20190312160623403"</f>
        <v>20190312160623403</v>
      </c>
      <c r="B1301" t="str">
        <f>"1552377983396529"</f>
        <v>1552377983396529</v>
      </c>
      <c r="C1301" t="s">
        <v>40</v>
      </c>
      <c r="D1301">
        <v>6.0283989999999896</v>
      </c>
      <c r="E1301">
        <v>0.65302360000000004</v>
      </c>
      <c r="F1301" t="s">
        <v>44</v>
      </c>
      <c r="G1301">
        <v>-191.7578</v>
      </c>
      <c r="H1301">
        <v>1.217414</v>
      </c>
      <c r="I1301">
        <v>356.00389999999999</v>
      </c>
      <c r="J1301">
        <v>-191.82910000000001</v>
      </c>
      <c r="K1301">
        <v>1.0983149999999999</v>
      </c>
      <c r="L1301">
        <v>356.51409999999998</v>
      </c>
      <c r="M1301">
        <v>0.63052259999999904</v>
      </c>
      <c r="N1301">
        <v>0</v>
      </c>
      <c r="O1301">
        <v>-0.7760049</v>
      </c>
      <c r="P1301">
        <v>0.5823528</v>
      </c>
      <c r="Q1301">
        <v>3.573544E-2</v>
      </c>
      <c r="R1301">
        <v>-0.81215019999999905</v>
      </c>
      <c r="S1301">
        <v>0.77954100000000004</v>
      </c>
      <c r="T1301">
        <v>0.59476609999999996</v>
      </c>
      <c r="U1301">
        <v>-3.1191710000000001</v>
      </c>
      <c r="V1301">
        <v>6.161171E-2</v>
      </c>
      <c r="W1301">
        <v>5.0030150000000002E-2</v>
      </c>
      <c r="X1301">
        <v>0.99684550000000005</v>
      </c>
      <c r="Y1301">
        <v>0.42510900000000001</v>
      </c>
      <c r="Z1301">
        <v>-0.1159056</v>
      </c>
      <c r="AA1301">
        <v>0.89769049999999995</v>
      </c>
      <c r="AB1301">
        <v>28</v>
      </c>
      <c r="AC1301">
        <v>7.1300000000007899E-2</v>
      </c>
      <c r="AD1301">
        <v>0.119099</v>
      </c>
      <c r="AE1301">
        <v>-0.51019999999999699</v>
      </c>
      <c r="AF1301">
        <v>0.25288166020206498</v>
      </c>
      <c r="AG1301">
        <v>0.119099</v>
      </c>
      <c r="AH1301">
        <v>0.41855940163883698</v>
      </c>
      <c r="AI1301">
        <v>76.312316451831094</v>
      </c>
      <c r="AJ1301">
        <v>58.860824820098799</v>
      </c>
      <c r="AK1301">
        <v>0.50331469138881102</v>
      </c>
      <c r="AL1301">
        <v>87.132286341307307</v>
      </c>
      <c r="AM1301">
        <v>86.463237114727903</v>
      </c>
      <c r="AN1301">
        <v>0.99999998479419805</v>
      </c>
    </row>
    <row r="1302" spans="1:40" x14ac:dyDescent="0.25">
      <c r="A1302" t="str">
        <f>"20190312160623414"</f>
        <v>20190312160623414</v>
      </c>
      <c r="B1302" t="str">
        <f>"1552377983406288"</f>
        <v>1552377983406288</v>
      </c>
      <c r="C1302" t="s">
        <v>40</v>
      </c>
      <c r="D1302">
        <v>6.1347079999999998</v>
      </c>
      <c r="E1302">
        <v>0.65244669999999905</v>
      </c>
      <c r="F1302" t="s">
        <v>44</v>
      </c>
      <c r="G1302">
        <v>-191.67060000000001</v>
      </c>
      <c r="H1302">
        <v>1.221344</v>
      </c>
      <c r="I1302">
        <v>355.86439999999999</v>
      </c>
      <c r="J1302">
        <v>-191.74109999999999</v>
      </c>
      <c r="K1302">
        <v>1.0983099999999999</v>
      </c>
      <c r="L1302">
        <v>356.39460000000003</v>
      </c>
      <c r="M1302">
        <v>0.62445490000000003</v>
      </c>
      <c r="N1302">
        <v>0</v>
      </c>
      <c r="O1302">
        <v>-0.78089600000000003</v>
      </c>
      <c r="P1302">
        <v>0.57618169999999902</v>
      </c>
      <c r="Q1302">
        <v>3.5543859999999997E-2</v>
      </c>
      <c r="R1302">
        <v>-0.81654879999999996</v>
      </c>
      <c r="S1302">
        <v>0.76242069999999995</v>
      </c>
      <c r="T1302">
        <v>0.59092</v>
      </c>
      <c r="U1302">
        <v>-3.1212460000000002</v>
      </c>
      <c r="V1302">
        <v>6.1396729999999997E-2</v>
      </c>
      <c r="W1302">
        <v>4.9849659999999997E-2</v>
      </c>
      <c r="X1302">
        <v>0.99686779999999997</v>
      </c>
      <c r="Y1302">
        <v>0.42285840000000002</v>
      </c>
      <c r="Z1302">
        <v>-0.11652220000000001</v>
      </c>
      <c r="AA1302">
        <v>0.8986731</v>
      </c>
      <c r="AB1302">
        <v>28</v>
      </c>
      <c r="AC1302">
        <v>7.04999999999813E-2</v>
      </c>
      <c r="AD1302">
        <v>0.12303399999999901</v>
      </c>
      <c r="AE1302">
        <v>-0.53020000000003598</v>
      </c>
      <c r="AF1302">
        <v>0.26219494513263603</v>
      </c>
      <c r="AG1302">
        <v>0.12303399999999901</v>
      </c>
      <c r="AH1302">
        <v>0.435092245896681</v>
      </c>
      <c r="AI1302">
        <v>76.385205583695196</v>
      </c>
      <c r="AJ1302">
        <v>58.9260256479715</v>
      </c>
      <c r="AK1302">
        <v>0.52267467592042705</v>
      </c>
      <c r="AL1302">
        <v>87.142640559534001</v>
      </c>
      <c r="AM1302">
        <v>86.475625323818704</v>
      </c>
      <c r="AN1302">
        <v>0.99999997886682301</v>
      </c>
    </row>
    <row r="1303" spans="1:40" x14ac:dyDescent="0.25">
      <c r="A1303" t="str">
        <f>"20190312160623425"</f>
        <v>20190312160623425</v>
      </c>
      <c r="B1303" t="str">
        <f>"1552377983416048"</f>
        <v>1552377983416048</v>
      </c>
      <c r="C1303" t="s">
        <v>40</v>
      </c>
      <c r="D1303">
        <v>6.0936320000000004</v>
      </c>
      <c r="E1303">
        <v>0.65225659999999996</v>
      </c>
      <c r="F1303" t="s">
        <v>44</v>
      </c>
      <c r="G1303">
        <v>-191.55959999999999</v>
      </c>
      <c r="H1303">
        <v>1.241323</v>
      </c>
      <c r="I1303">
        <v>355.63040000000001</v>
      </c>
      <c r="J1303">
        <v>-191.65299999999999</v>
      </c>
      <c r="K1303">
        <v>1.0983050000000001</v>
      </c>
      <c r="L1303">
        <v>356.2715</v>
      </c>
      <c r="M1303">
        <v>0.618205</v>
      </c>
      <c r="N1303">
        <v>0</v>
      </c>
      <c r="O1303">
        <v>-0.78585269999999996</v>
      </c>
      <c r="P1303">
        <v>0.56966309999999998</v>
      </c>
      <c r="Q1303">
        <v>3.5653039999999997E-2</v>
      </c>
      <c r="R1303">
        <v>-0.82110490000000003</v>
      </c>
      <c r="S1303">
        <v>0.74223329999999998</v>
      </c>
      <c r="T1303">
        <v>0.58474349999999997</v>
      </c>
      <c r="U1303">
        <v>-3.1248170000000002</v>
      </c>
      <c r="V1303">
        <v>6.1380740000000003E-2</v>
      </c>
      <c r="W1303">
        <v>4.9963470000000003E-2</v>
      </c>
      <c r="X1303">
        <v>0.9968631</v>
      </c>
      <c r="Y1303">
        <v>0.42136050000000003</v>
      </c>
      <c r="Z1303">
        <v>-0.1166088</v>
      </c>
      <c r="AA1303">
        <v>0.89936519999999998</v>
      </c>
      <c r="AB1303">
        <v>28</v>
      </c>
      <c r="AC1303">
        <v>9.3400000000002606E-2</v>
      </c>
      <c r="AD1303">
        <v>0.14301800000000001</v>
      </c>
      <c r="AE1303">
        <v>-0.64109999999999401</v>
      </c>
      <c r="AF1303">
        <v>0.30796663508460997</v>
      </c>
      <c r="AG1303">
        <v>0.14301800000000001</v>
      </c>
      <c r="AH1303">
        <v>0.53552608452037598</v>
      </c>
      <c r="AI1303">
        <v>76.965128706552804</v>
      </c>
      <c r="AJ1303">
        <v>60.097951467974497</v>
      </c>
      <c r="AK1303">
        <v>0.63410234493420803</v>
      </c>
      <c r="AL1303">
        <v>87.136111628159895</v>
      </c>
      <c r="AM1303">
        <v>86.476524319328902</v>
      </c>
      <c r="AN1303">
        <v>0.99999999185949895</v>
      </c>
    </row>
    <row r="1304" spans="1:40" x14ac:dyDescent="0.25">
      <c r="A1304" t="str">
        <f>"20190312160623437"</f>
        <v>20190312160623437</v>
      </c>
      <c r="B1304" t="str">
        <f>"1552377983425809"</f>
        <v>1552377983425809</v>
      </c>
      <c r="C1304" t="s">
        <v>40</v>
      </c>
      <c r="D1304">
        <v>6.142582</v>
      </c>
      <c r="E1304">
        <v>0.65172159999999901</v>
      </c>
      <c r="F1304" t="s">
        <v>44</v>
      </c>
      <c r="G1304">
        <v>-191.5051</v>
      </c>
      <c r="H1304">
        <v>1.2173860000000001</v>
      </c>
      <c r="I1304">
        <v>355.6268</v>
      </c>
      <c r="J1304">
        <v>-191.5692</v>
      </c>
      <c r="K1304">
        <v>1.098303</v>
      </c>
      <c r="L1304">
        <v>356.15350000000001</v>
      </c>
      <c r="M1304">
        <v>0.61218859999999997</v>
      </c>
      <c r="N1304">
        <v>0</v>
      </c>
      <c r="O1304">
        <v>-0.79054840000000004</v>
      </c>
      <c r="P1304">
        <v>0.56357650000000004</v>
      </c>
      <c r="Q1304">
        <v>3.5680879999999998E-2</v>
      </c>
      <c r="R1304">
        <v>-0.82529269999999999</v>
      </c>
      <c r="S1304">
        <v>0.71829219999999905</v>
      </c>
      <c r="T1304">
        <v>0.57810899999999998</v>
      </c>
      <c r="U1304">
        <v>-3.130188</v>
      </c>
      <c r="V1304">
        <v>6.1142799999999997E-2</v>
      </c>
      <c r="W1304">
        <v>5.0002999999999999E-2</v>
      </c>
      <c r="X1304">
        <v>0.99687579999999998</v>
      </c>
      <c r="Y1304">
        <v>0.42130390000000001</v>
      </c>
      <c r="Z1304">
        <v>-0.1163947</v>
      </c>
      <c r="AA1304">
        <v>0.89941939999999998</v>
      </c>
      <c r="AB1304">
        <v>28</v>
      </c>
      <c r="AC1304">
        <v>6.4099999999996202E-2</v>
      </c>
      <c r="AD1304">
        <v>0.11908299999999999</v>
      </c>
      <c r="AE1304">
        <v>-0.52670000000000505</v>
      </c>
      <c r="AF1304">
        <v>0.25876617121289103</v>
      </c>
      <c r="AG1304">
        <v>0.11908299999999999</v>
      </c>
      <c r="AH1304">
        <v>0.43382922842934701</v>
      </c>
      <c r="AI1304">
        <v>76.735169068568098</v>
      </c>
      <c r="AJ1304">
        <v>59.185186348215296</v>
      </c>
      <c r="AK1304">
        <v>0.51898794946779003</v>
      </c>
      <c r="AL1304">
        <v>87.133844061981307</v>
      </c>
      <c r="AM1304">
        <v>86.490193325116095</v>
      </c>
      <c r="AN1304">
        <v>1.0000000513132301</v>
      </c>
    </row>
    <row r="1305" spans="1:40" x14ac:dyDescent="0.25">
      <c r="A1305" t="str">
        <f>"20190312160623448"</f>
        <v>20190312160623448</v>
      </c>
      <c r="B1305" t="str">
        <f>"1552377983436545"</f>
        <v>1552377983436545</v>
      </c>
      <c r="C1305" t="s">
        <v>40</v>
      </c>
      <c r="D1305">
        <v>6.102379</v>
      </c>
      <c r="E1305">
        <v>0.65085159999999997</v>
      </c>
      <c r="F1305" t="s">
        <v>44</v>
      </c>
      <c r="G1305">
        <v>-191.40790000000001</v>
      </c>
      <c r="H1305">
        <v>1.230253</v>
      </c>
      <c r="I1305">
        <v>355.42869999999999</v>
      </c>
      <c r="J1305">
        <v>-191.4854</v>
      </c>
      <c r="K1305">
        <v>1.0982989999999999</v>
      </c>
      <c r="L1305">
        <v>356.03289999999998</v>
      </c>
      <c r="M1305">
        <v>0.6060314</v>
      </c>
      <c r="N1305">
        <v>0</v>
      </c>
      <c r="O1305">
        <v>-0.79527840000000005</v>
      </c>
      <c r="P1305">
        <v>0.55717280000000002</v>
      </c>
      <c r="Q1305">
        <v>3.5923120000000003E-2</v>
      </c>
      <c r="R1305">
        <v>-0.829619199999999</v>
      </c>
      <c r="S1305">
        <v>0.6984863</v>
      </c>
      <c r="T1305">
        <v>0.57032419999999995</v>
      </c>
      <c r="U1305">
        <v>-3.1334230000000001</v>
      </c>
      <c r="V1305">
        <v>6.1117739999999997E-2</v>
      </c>
      <c r="W1305">
        <v>5.024969E-2</v>
      </c>
      <c r="X1305">
        <v>0.99686490000000005</v>
      </c>
      <c r="Y1305">
        <v>0.4198692</v>
      </c>
      <c r="Z1305">
        <v>-0.1160593</v>
      </c>
      <c r="AA1305">
        <v>0.90013339999999997</v>
      </c>
      <c r="AB1305">
        <v>28</v>
      </c>
      <c r="AC1305">
        <v>7.7499999999986302E-2</v>
      </c>
      <c r="AD1305">
        <v>0.13195399999999999</v>
      </c>
      <c r="AE1305">
        <v>-0.60419999999999097</v>
      </c>
      <c r="AF1305">
        <v>0.290918324196419</v>
      </c>
      <c r="AG1305">
        <v>0.13195399999999999</v>
      </c>
      <c r="AH1305">
        <v>0.50389777959457505</v>
      </c>
      <c r="AI1305">
        <v>77.222334365949607</v>
      </c>
      <c r="AJ1305">
        <v>60.000613542350202</v>
      </c>
      <c r="AK1305">
        <v>0.59662241137053795</v>
      </c>
      <c r="AL1305">
        <v>87.119691883358101</v>
      </c>
      <c r="AM1305">
        <v>86.491589995645697</v>
      </c>
      <c r="AN1305">
        <v>1.0000000191698999</v>
      </c>
    </row>
    <row r="1306" spans="1:40" x14ac:dyDescent="0.25">
      <c r="A1306" t="str">
        <f>"20190312160623458"</f>
        <v>20190312160623458</v>
      </c>
      <c r="B1306" t="str">
        <f>"1552377983456064"</f>
        <v>1552377983456064</v>
      </c>
      <c r="C1306" t="s">
        <v>40</v>
      </c>
      <c r="D1306">
        <v>5.5604389999999997</v>
      </c>
      <c r="E1306">
        <v>0.64929859999999995</v>
      </c>
      <c r="F1306" t="s">
        <v>44</v>
      </c>
      <c r="G1306">
        <v>-191.34569999999999</v>
      </c>
      <c r="H1306">
        <v>1.214842</v>
      </c>
      <c r="I1306">
        <v>355.38760000000002</v>
      </c>
      <c r="J1306">
        <v>-191.40889999999999</v>
      </c>
      <c r="K1306">
        <v>1.0982959999999999</v>
      </c>
      <c r="L1306">
        <v>355.92129999999997</v>
      </c>
      <c r="M1306">
        <v>0.60031990000000002</v>
      </c>
      <c r="N1306">
        <v>0</v>
      </c>
      <c r="O1306">
        <v>-0.79959859999999905</v>
      </c>
      <c r="P1306">
        <v>0.55155609999999999</v>
      </c>
      <c r="Q1306">
        <v>3.6581990000000002E-2</v>
      </c>
      <c r="R1306">
        <v>-0.83333570000000001</v>
      </c>
      <c r="S1306">
        <v>0.67987059999999999</v>
      </c>
      <c r="T1306">
        <v>0.56611199999999995</v>
      </c>
      <c r="U1306">
        <v>-3.1350099999999999</v>
      </c>
      <c r="V1306">
        <v>6.0713379999999997E-2</v>
      </c>
      <c r="W1306">
        <v>5.0924509999999999E-2</v>
      </c>
      <c r="X1306">
        <v>0.9968553</v>
      </c>
      <c r="Y1306">
        <v>0.41857460000000002</v>
      </c>
      <c r="Z1306">
        <v>-0.1163532</v>
      </c>
      <c r="AA1306">
        <v>0.9006982</v>
      </c>
      <c r="AB1306">
        <v>28</v>
      </c>
      <c r="AC1306">
        <v>6.3199999999994802E-2</v>
      </c>
      <c r="AD1306">
        <v>0.116546</v>
      </c>
      <c r="AE1306">
        <v>-0.53369999999995299</v>
      </c>
      <c r="AF1306">
        <v>0.25776869465805602</v>
      </c>
      <c r="AG1306">
        <v>0.116546</v>
      </c>
      <c r="AH1306">
        <v>0.44387175828938802</v>
      </c>
      <c r="AI1306">
        <v>77.207501966908794</v>
      </c>
      <c r="AJ1306">
        <v>59.855071159261797</v>
      </c>
      <c r="AK1306">
        <v>0.52635521073570801</v>
      </c>
      <c r="AL1306">
        <v>87.080977789798098</v>
      </c>
      <c r="AM1306">
        <v>86.514711037388494</v>
      </c>
      <c r="AN1306">
        <v>0.999999954683926</v>
      </c>
    </row>
    <row r="1307" spans="1:40" x14ac:dyDescent="0.25">
      <c r="A1307" t="str">
        <f>"20190312160623472"</f>
        <v>20190312160623472</v>
      </c>
      <c r="B1307" t="str">
        <f>"1552377983465825"</f>
        <v>1552377983465825</v>
      </c>
      <c r="C1307" t="s">
        <v>40</v>
      </c>
      <c r="D1307">
        <v>6.2074790000000002</v>
      </c>
      <c r="E1307">
        <v>0.64843280000000003</v>
      </c>
      <c r="F1307" t="s">
        <v>44</v>
      </c>
      <c r="G1307">
        <v>-191.26009999999999</v>
      </c>
      <c r="H1307">
        <v>1.22177</v>
      </c>
      <c r="I1307">
        <v>355.22410000000002</v>
      </c>
      <c r="J1307">
        <v>-191.31319999999999</v>
      </c>
      <c r="K1307">
        <v>1.098295</v>
      </c>
      <c r="L1307">
        <v>355.77940000000001</v>
      </c>
      <c r="M1307">
        <v>0.59304119999999905</v>
      </c>
      <c r="N1307">
        <v>0</v>
      </c>
      <c r="O1307">
        <v>-0.80501149999999999</v>
      </c>
      <c r="P1307">
        <v>0.54424980000000001</v>
      </c>
      <c r="Q1307">
        <v>3.6657210000000003E-2</v>
      </c>
      <c r="R1307">
        <v>-0.83812219999999904</v>
      </c>
      <c r="S1307">
        <v>0.66864009999999996</v>
      </c>
      <c r="T1307">
        <v>0.55492129999999995</v>
      </c>
      <c r="U1307">
        <v>-3.133057</v>
      </c>
      <c r="V1307">
        <v>6.0385269999999998E-2</v>
      </c>
      <c r="W1307">
        <v>5.1013089999999997E-2</v>
      </c>
      <c r="X1307">
        <v>0.99687079999999995</v>
      </c>
      <c r="Y1307">
        <v>0.41330050000000002</v>
      </c>
      <c r="Z1307">
        <v>-0.1157589</v>
      </c>
      <c r="AA1307">
        <v>0.90320679999999998</v>
      </c>
      <c r="AB1307">
        <v>28</v>
      </c>
      <c r="AC1307">
        <v>5.3100000000000501E-2</v>
      </c>
      <c r="AD1307">
        <v>0.123475</v>
      </c>
      <c r="AE1307">
        <v>-0.55529999999998803</v>
      </c>
      <c r="AF1307">
        <v>0.27322036593190502</v>
      </c>
      <c r="AG1307">
        <v>0.123475</v>
      </c>
      <c r="AH1307">
        <v>0.456222740188028</v>
      </c>
      <c r="AI1307">
        <v>76.927985246553902</v>
      </c>
      <c r="AJ1307">
        <v>59.083664949130402</v>
      </c>
      <c r="AK1307">
        <v>0.54592548268938501</v>
      </c>
      <c r="AL1307">
        <v>87.075896215017195</v>
      </c>
      <c r="AM1307">
        <v>86.533554107093295</v>
      </c>
      <c r="AN1307">
        <v>1.0000000540384699</v>
      </c>
    </row>
    <row r="1308" spans="1:40" x14ac:dyDescent="0.25">
      <c r="A1308" t="str">
        <f>"20190312160623486"</f>
        <v>20190312160623486</v>
      </c>
      <c r="B1308" t="str">
        <f>"1552377983476561"</f>
        <v>1552377983476561</v>
      </c>
      <c r="C1308" t="s">
        <v>40</v>
      </c>
      <c r="D1308">
        <v>6.1390260000000003</v>
      </c>
      <c r="E1308">
        <v>0.64785130000000002</v>
      </c>
      <c r="F1308" t="s">
        <v>51</v>
      </c>
      <c r="G1308">
        <v>-161.0992</v>
      </c>
      <c r="H1308">
        <v>26.793060000000001</v>
      </c>
      <c r="I1308">
        <v>209.3339</v>
      </c>
      <c r="J1308">
        <v>-191.2209</v>
      </c>
      <c r="K1308">
        <v>1.098295</v>
      </c>
      <c r="L1308">
        <v>355.63889999999998</v>
      </c>
      <c r="M1308">
        <v>0.58582429999999996</v>
      </c>
      <c r="N1308">
        <v>0</v>
      </c>
      <c r="O1308">
        <v>-0.81027850000000001</v>
      </c>
      <c r="P1308">
        <v>0.53700939999999997</v>
      </c>
      <c r="Q1308">
        <v>3.6690760000000003E-2</v>
      </c>
      <c r="R1308">
        <v>-0.84277800000000003</v>
      </c>
      <c r="S1308">
        <v>0.64686580000000005</v>
      </c>
      <c r="T1308">
        <v>0.55011089999999996</v>
      </c>
      <c r="U1308">
        <v>-3.1353149999999999</v>
      </c>
      <c r="V1308">
        <v>6.0065609999999998E-2</v>
      </c>
      <c r="W1308">
        <v>5.1060229999999998E-2</v>
      </c>
      <c r="X1308">
        <v>0.99688759999999998</v>
      </c>
      <c r="Y1308">
        <v>0.41131649999999997</v>
      </c>
      <c r="Z1308">
        <v>-0.11612409999999999</v>
      </c>
      <c r="AA1308">
        <v>0.90406529999999996</v>
      </c>
      <c r="AB1308">
        <v>28</v>
      </c>
      <c r="AC1308">
        <v>30.121700000000001</v>
      </c>
      <c r="AD1308">
        <v>25.694765</v>
      </c>
      <c r="AE1308">
        <v>-146.30499999999901</v>
      </c>
      <c r="AF1308">
        <v>59.5479763144778</v>
      </c>
      <c r="AG1308">
        <v>25.694765</v>
      </c>
      <c r="AH1308">
        <v>132.29680333339499</v>
      </c>
      <c r="AI1308">
        <v>79.956676984623599</v>
      </c>
      <c r="AJ1308">
        <v>65.767063341197002</v>
      </c>
      <c r="AK1308">
        <v>147.338476318272</v>
      </c>
      <c r="AL1308">
        <v>87.073191479891094</v>
      </c>
      <c r="AM1308">
        <v>86.551917922259804</v>
      </c>
      <c r="AN1308">
        <v>0.99999995581304102</v>
      </c>
    </row>
    <row r="1309" spans="1:40" x14ac:dyDescent="0.25">
      <c r="A1309" t="str">
        <f>"20190312160623506"</f>
        <v>20190312160623506</v>
      </c>
      <c r="B1309" t="str">
        <f>"1552377983496080"</f>
        <v>1552377983496080</v>
      </c>
      <c r="C1309" t="s">
        <v>40</v>
      </c>
      <c r="D1309">
        <v>5.5024709999999999</v>
      </c>
      <c r="E1309">
        <v>0.64713169999999898</v>
      </c>
      <c r="F1309" t="s">
        <v>44</v>
      </c>
      <c r="G1309">
        <v>-191.0889</v>
      </c>
      <c r="H1309">
        <v>1.2137770000000001</v>
      </c>
      <c r="I1309">
        <v>354.97340000000003</v>
      </c>
      <c r="J1309">
        <v>-191.0796</v>
      </c>
      <c r="K1309">
        <v>1.0982970000000001</v>
      </c>
      <c r="L1309">
        <v>355.41930000000002</v>
      </c>
      <c r="M1309">
        <v>0.57450459999999903</v>
      </c>
      <c r="N1309">
        <v>0</v>
      </c>
      <c r="O1309">
        <v>-0.81834340000000005</v>
      </c>
      <c r="P1309">
        <v>0.52579500000000001</v>
      </c>
      <c r="Q1309">
        <v>3.6645289999999997E-2</v>
      </c>
      <c r="R1309">
        <v>-0.84982169999999901</v>
      </c>
      <c r="S1309">
        <v>0.623565699999999</v>
      </c>
      <c r="T1309">
        <v>0.5445508</v>
      </c>
      <c r="U1309">
        <v>-3.1386409999999998</v>
      </c>
      <c r="V1309">
        <v>5.9417049999999999E-2</v>
      </c>
      <c r="W1309">
        <v>5.1039750000000002E-2</v>
      </c>
      <c r="X1309">
        <v>0.99692760000000002</v>
      </c>
      <c r="Y1309">
        <v>0.40530959999999999</v>
      </c>
      <c r="Z1309">
        <v>-0.11711340000000001</v>
      </c>
      <c r="AA1309">
        <v>0.90664690000000003</v>
      </c>
      <c r="AB1309">
        <v>28</v>
      </c>
      <c r="AC1309">
        <v>-9.2999999999960892E-3</v>
      </c>
      <c r="AD1309">
        <v>0.11548</v>
      </c>
      <c r="AE1309">
        <v>-0.44589999999999402</v>
      </c>
      <c r="AF1309">
        <v>0.24724068544693201</v>
      </c>
      <c r="AG1309">
        <v>0.11548</v>
      </c>
      <c r="AH1309">
        <v>0.33700901652184101</v>
      </c>
      <c r="AI1309">
        <v>74.555348186315996</v>
      </c>
      <c r="AJ1309">
        <v>53.735026305240602</v>
      </c>
      <c r="AK1309">
        <v>0.43363425159607399</v>
      </c>
      <c r="AL1309">
        <v>87.074366678312799</v>
      </c>
      <c r="AM1309">
        <v>86.589196832628303</v>
      </c>
      <c r="AN1309">
        <v>1.0000000407762599</v>
      </c>
    </row>
    <row r="1310" spans="1:40" x14ac:dyDescent="0.25">
      <c r="A1310" t="str">
        <f>"20190312160623520"</f>
        <v>20190312160623520</v>
      </c>
      <c r="B1310" t="str">
        <f>"1552377983516577"</f>
        <v>1552377983516577</v>
      </c>
      <c r="C1310" t="s">
        <v>40</v>
      </c>
      <c r="D1310">
        <v>6.2573749999999997</v>
      </c>
      <c r="E1310">
        <v>0.64545330000000001</v>
      </c>
      <c r="F1310" t="s">
        <v>44</v>
      </c>
      <c r="G1310">
        <v>-190.9546</v>
      </c>
      <c r="H1310">
        <v>1.212737</v>
      </c>
      <c r="I1310">
        <v>354.74930000000001</v>
      </c>
      <c r="J1310">
        <v>-190.9837</v>
      </c>
      <c r="K1310">
        <v>1.098303</v>
      </c>
      <c r="L1310">
        <v>355.2663</v>
      </c>
      <c r="M1310">
        <v>0.56659999999999999</v>
      </c>
      <c r="N1310">
        <v>0</v>
      </c>
      <c r="O1310">
        <v>-0.8238356</v>
      </c>
      <c r="P1310">
        <v>0.51785219999999998</v>
      </c>
      <c r="Q1310">
        <v>3.6512540000000003E-2</v>
      </c>
      <c r="R1310">
        <v>-0.85469050000000002</v>
      </c>
      <c r="S1310">
        <v>0.58689880000000005</v>
      </c>
      <c r="T1310">
        <v>0.53698020000000002</v>
      </c>
      <c r="U1310">
        <v>-3.1438600000000001</v>
      </c>
      <c r="V1310">
        <v>5.9110129999999997E-2</v>
      </c>
      <c r="W1310">
        <v>5.092021E-2</v>
      </c>
      <c r="X1310">
        <v>0.9969519</v>
      </c>
      <c r="Y1310">
        <v>0.40697840000000002</v>
      </c>
      <c r="Z1310">
        <v>-0.11667950000000001</v>
      </c>
      <c r="AA1310">
        <v>0.90595499999999995</v>
      </c>
      <c r="AB1310">
        <v>28</v>
      </c>
      <c r="AC1310">
        <v>2.9099999999999598E-2</v>
      </c>
      <c r="AD1310">
        <v>0.11443399999999999</v>
      </c>
      <c r="AE1310">
        <v>-0.51699999999999502</v>
      </c>
      <c r="AF1310">
        <v>0.25646814880579499</v>
      </c>
      <c r="AG1310">
        <v>0.11443399999999999</v>
      </c>
      <c r="AH1310">
        <v>0.42186549764914499</v>
      </c>
      <c r="AI1310">
        <v>76.950120369934496</v>
      </c>
      <c r="AJ1310">
        <v>58.702984199314599</v>
      </c>
      <c r="AK1310">
        <v>0.50679537272417197</v>
      </c>
      <c r="AL1310">
        <v>87.081224564681804</v>
      </c>
      <c r="AM1310">
        <v>86.6068566471005</v>
      </c>
      <c r="AN1310">
        <v>0.99999998308433502</v>
      </c>
    </row>
    <row r="1311" spans="1:40" x14ac:dyDescent="0.25">
      <c r="A1311" t="str">
        <f>"20190312160623538"</f>
        <v>20190312160623538</v>
      </c>
      <c r="B1311" t="str">
        <f>"1552377983526336"</f>
        <v>1552377983526336</v>
      </c>
      <c r="C1311" t="s">
        <v>40</v>
      </c>
      <c r="D1311">
        <v>5.7002079999999999</v>
      </c>
      <c r="E1311">
        <v>0.64462730000000001</v>
      </c>
      <c r="F1311" t="s">
        <v>44</v>
      </c>
      <c r="G1311">
        <v>-190.85890000000001</v>
      </c>
      <c r="H1311">
        <v>1.212952</v>
      </c>
      <c r="I1311">
        <v>354.57580000000002</v>
      </c>
      <c r="J1311">
        <v>-190.86449999999999</v>
      </c>
      <c r="K1311">
        <v>1.098309</v>
      </c>
      <c r="L1311">
        <v>355.07150000000001</v>
      </c>
      <c r="M1311">
        <v>0.55651010000000001</v>
      </c>
      <c r="N1311">
        <v>0</v>
      </c>
      <c r="O1311">
        <v>-0.83068500000000001</v>
      </c>
      <c r="P1311">
        <v>0.50747699999999996</v>
      </c>
      <c r="Q1311">
        <v>3.6203920000000001E-2</v>
      </c>
      <c r="R1311">
        <v>-0.86090449999999996</v>
      </c>
      <c r="S1311">
        <v>0.56864930000000002</v>
      </c>
      <c r="T1311">
        <v>0.52187170000000005</v>
      </c>
      <c r="U1311">
        <v>-3.1432190000000002</v>
      </c>
      <c r="V1311">
        <v>5.9006530000000001E-2</v>
      </c>
      <c r="W1311">
        <v>5.0619249999999998E-2</v>
      </c>
      <c r="X1311">
        <v>0.99697340000000001</v>
      </c>
      <c r="Y1311">
        <v>0.40087200000000001</v>
      </c>
      <c r="Z1311">
        <v>-0.1153665</v>
      </c>
      <c r="AA1311">
        <v>0.90884120000000002</v>
      </c>
      <c r="AB1311">
        <v>28</v>
      </c>
      <c r="AC1311">
        <v>5.5999999999869496E-3</v>
      </c>
      <c r="AD1311">
        <v>0.11464299999999999</v>
      </c>
      <c r="AE1311">
        <v>-0.49569999999999897</v>
      </c>
      <c r="AF1311">
        <v>0.25747523481219098</v>
      </c>
      <c r="AG1311">
        <v>0.11464299999999999</v>
      </c>
      <c r="AH1311">
        <v>0.39387575574654299</v>
      </c>
      <c r="AI1311">
        <v>76.307864988472303</v>
      </c>
      <c r="AJ1311">
        <v>56.827492123150002</v>
      </c>
      <c r="AK1311">
        <v>0.48432904616128802</v>
      </c>
      <c r="AL1311">
        <v>87.098490675603301</v>
      </c>
      <c r="AM1311">
        <v>86.612862693285194</v>
      </c>
      <c r="AN1311">
        <v>1.00000001968038</v>
      </c>
    </row>
    <row r="1312" spans="1:40" x14ac:dyDescent="0.25">
      <c r="A1312" t="str">
        <f>"20190312160623551"</f>
        <v>20190312160623551</v>
      </c>
      <c r="B1312" t="str">
        <f>"1552377983545856"</f>
        <v>1552377983545856</v>
      </c>
      <c r="C1312" t="s">
        <v>40</v>
      </c>
      <c r="D1312">
        <v>6.2888900000000003</v>
      </c>
      <c r="E1312">
        <v>0.64279280000000005</v>
      </c>
      <c r="F1312" t="s">
        <v>44</v>
      </c>
      <c r="G1312">
        <v>-190.74299999999999</v>
      </c>
      <c r="H1312">
        <v>1.214836</v>
      </c>
      <c r="I1312">
        <v>354.35809999999998</v>
      </c>
      <c r="J1312">
        <v>-190.77709999999999</v>
      </c>
      <c r="K1312">
        <v>1.098322</v>
      </c>
      <c r="L1312">
        <v>354.92509999999999</v>
      </c>
      <c r="M1312">
        <v>0.54891400000000001</v>
      </c>
      <c r="N1312">
        <v>0</v>
      </c>
      <c r="O1312">
        <v>-0.83572380000000002</v>
      </c>
      <c r="P1312">
        <v>0.49966369999999999</v>
      </c>
      <c r="Q1312">
        <v>3.5951480000000001E-2</v>
      </c>
      <c r="R1312">
        <v>-0.8654733</v>
      </c>
      <c r="S1312">
        <v>0.53617859999999995</v>
      </c>
      <c r="T1312">
        <v>0.51402820000000005</v>
      </c>
      <c r="U1312">
        <v>-3.1470340000000001</v>
      </c>
      <c r="V1312">
        <v>5.8939569999999997E-2</v>
      </c>
      <c r="W1312">
        <v>5.037208E-2</v>
      </c>
      <c r="X1312">
        <v>0.99698980000000004</v>
      </c>
      <c r="Y1312">
        <v>0.40179579999999998</v>
      </c>
      <c r="Z1312">
        <v>-0.1147391</v>
      </c>
      <c r="AA1312">
        <v>0.90851249999999995</v>
      </c>
      <c r="AB1312">
        <v>28</v>
      </c>
      <c r="AC1312">
        <v>3.40999999999951E-2</v>
      </c>
      <c r="AD1312">
        <v>0.11651400000000001</v>
      </c>
      <c r="AE1312">
        <v>-0.56700000000000705</v>
      </c>
      <c r="AF1312">
        <v>0.27135547048728498</v>
      </c>
      <c r="AG1312">
        <v>0.11651400000000001</v>
      </c>
      <c r="AH1312">
        <v>0.47274648337196001</v>
      </c>
      <c r="AI1312">
        <v>77.934489423334696</v>
      </c>
      <c r="AJ1312">
        <v>60.144268229231898</v>
      </c>
      <c r="AK1312">
        <v>0.55740339171907705</v>
      </c>
      <c r="AL1312">
        <v>87.112670333439894</v>
      </c>
      <c r="AM1312">
        <v>86.6167529722848</v>
      </c>
      <c r="AN1312">
        <v>0.99999994032967299</v>
      </c>
    </row>
    <row r="1313" spans="1:40" x14ac:dyDescent="0.25">
      <c r="A1313" t="str">
        <f>"20190312160623565"</f>
        <v>20190312160623565</v>
      </c>
      <c r="B1313" t="str">
        <f>"1552377983556593"</f>
        <v>1552377983556593</v>
      </c>
      <c r="C1313" t="s">
        <v>40</v>
      </c>
      <c r="D1313">
        <v>6.2651649999999997</v>
      </c>
      <c r="E1313">
        <v>0.64211739999999995</v>
      </c>
      <c r="F1313" t="s">
        <v>51</v>
      </c>
      <c r="G1313">
        <v>-166.6986</v>
      </c>
      <c r="H1313">
        <v>24.239429999999999</v>
      </c>
      <c r="I1313">
        <v>209.3366</v>
      </c>
      <c r="J1313">
        <v>-190.68860000000001</v>
      </c>
      <c r="K1313">
        <v>1.09833</v>
      </c>
      <c r="L1313">
        <v>354.7731</v>
      </c>
      <c r="M1313">
        <v>0.54101929999999998</v>
      </c>
      <c r="N1313">
        <v>0</v>
      </c>
      <c r="O1313">
        <v>-0.8408561</v>
      </c>
      <c r="P1313">
        <v>0.4913016</v>
      </c>
      <c r="Q1313">
        <v>3.5941239999999999E-2</v>
      </c>
      <c r="R1313">
        <v>-0.87024780000000002</v>
      </c>
      <c r="S1313">
        <v>0.52018739999999997</v>
      </c>
      <c r="T1313">
        <v>0.4999363</v>
      </c>
      <c r="U1313">
        <v>-3.1452640000000001</v>
      </c>
      <c r="V1313">
        <v>5.915521E-2</v>
      </c>
      <c r="W1313">
        <v>5.0358269999999997E-2</v>
      </c>
      <c r="X1313">
        <v>0.99697780000000003</v>
      </c>
      <c r="Y1313">
        <v>0.3975553</v>
      </c>
      <c r="Z1313">
        <v>-0.1130618</v>
      </c>
      <c r="AA1313">
        <v>0.91058600000000001</v>
      </c>
      <c r="AB1313">
        <v>28</v>
      </c>
      <c r="AC1313">
        <v>23.99</v>
      </c>
      <c r="AD1313">
        <v>23.141100000000002</v>
      </c>
      <c r="AE1313">
        <v>-145.4365</v>
      </c>
      <c r="AF1313">
        <v>57.111770163954901</v>
      </c>
      <c r="AG1313">
        <v>23.141100000000002</v>
      </c>
      <c r="AH1313">
        <v>132.03353383581</v>
      </c>
      <c r="AI1313">
        <v>80.861533491154603</v>
      </c>
      <c r="AJ1313">
        <v>66.608861128702799</v>
      </c>
      <c r="AK1313">
        <v>145.70558965819501</v>
      </c>
      <c r="AL1313">
        <v>87.113462806401401</v>
      </c>
      <c r="AM1313">
        <v>86.604362948509106</v>
      </c>
      <c r="AN1313">
        <v>1.0000000139601799</v>
      </c>
    </row>
    <row r="1314" spans="1:40" x14ac:dyDescent="0.25">
      <c r="A1314" t="str">
        <f>"20190312160623581"</f>
        <v>20190312160623581</v>
      </c>
      <c r="B1314" t="str">
        <f>"1552377983576112"</f>
        <v>1552377983576112</v>
      </c>
      <c r="C1314" t="s">
        <v>40</v>
      </c>
      <c r="D1314">
        <v>6.2610390000000002</v>
      </c>
      <c r="E1314">
        <v>0.64070959999999999</v>
      </c>
      <c r="F1314" t="s">
        <v>44</v>
      </c>
      <c r="G1314">
        <v>-190.58</v>
      </c>
      <c r="H1314">
        <v>1.2070299999999901</v>
      </c>
      <c r="I1314">
        <v>354.07990000000001</v>
      </c>
      <c r="J1314">
        <v>-190.58349999999999</v>
      </c>
      <c r="K1314">
        <v>1.098347</v>
      </c>
      <c r="L1314">
        <v>354.58870000000002</v>
      </c>
      <c r="M1314">
        <v>0.53142900000000004</v>
      </c>
      <c r="N1314">
        <v>0</v>
      </c>
      <c r="O1314">
        <v>-0.84694979999999997</v>
      </c>
      <c r="P1314">
        <v>0.48120770000000002</v>
      </c>
      <c r="Q1314">
        <v>3.6104570000000002E-2</v>
      </c>
      <c r="R1314">
        <v>-0.87586280000000005</v>
      </c>
      <c r="S1314">
        <v>0.4942627</v>
      </c>
      <c r="T1314">
        <v>0.49344789999999999</v>
      </c>
      <c r="U1314">
        <v>-3.1478579999999998</v>
      </c>
      <c r="V1314">
        <v>5.9351359999999999E-2</v>
      </c>
      <c r="W1314">
        <v>5.0518760000000003E-2</v>
      </c>
      <c r="X1314">
        <v>0.99695800000000001</v>
      </c>
      <c r="Y1314">
        <v>0.39456089999999999</v>
      </c>
      <c r="Z1314">
        <v>-0.1130491</v>
      </c>
      <c r="AA1314">
        <v>0.91188899999999995</v>
      </c>
      <c r="AB1314">
        <v>28</v>
      </c>
      <c r="AC1314">
        <v>3.4999999999740798E-3</v>
      </c>
      <c r="AD1314">
        <v>0.108682999999999</v>
      </c>
      <c r="AE1314">
        <v>-0.50880000000000702</v>
      </c>
      <c r="AF1314">
        <v>0.255790816824921</v>
      </c>
      <c r="AG1314">
        <v>0.108682999999999</v>
      </c>
      <c r="AH1314">
        <v>0.41395713383344501</v>
      </c>
      <c r="AI1314">
        <v>77.409785659392995</v>
      </c>
      <c r="AJ1314">
        <v>58.287409550080298</v>
      </c>
      <c r="AK1314">
        <v>0.49859948366655998</v>
      </c>
      <c r="AL1314">
        <v>87.104255622381302</v>
      </c>
      <c r="AM1314">
        <v>86.593062488596104</v>
      </c>
      <c r="AN1314">
        <v>0.99999999140489304</v>
      </c>
    </row>
    <row r="1315" spans="1:40" x14ac:dyDescent="0.25">
      <c r="A1315" t="str">
        <f>"20190312160623593"</f>
        <v>20190312160623593</v>
      </c>
      <c r="B1315" t="str">
        <f>"1552377983585872"</f>
        <v>1552377983585872</v>
      </c>
      <c r="C1315" t="s">
        <v>40</v>
      </c>
      <c r="D1315">
        <v>6.2939769999999999</v>
      </c>
      <c r="E1315">
        <v>0.64070959999999999</v>
      </c>
      <c r="F1315" t="s">
        <v>44</v>
      </c>
      <c r="G1315">
        <v>-190.4785</v>
      </c>
      <c r="H1315">
        <v>1.2063379999999999</v>
      </c>
      <c r="I1315">
        <v>353.88119999999998</v>
      </c>
      <c r="J1315">
        <v>-190.50890000000001</v>
      </c>
      <c r="K1315">
        <v>1.0983609999999999</v>
      </c>
      <c r="L1315">
        <v>354.4556</v>
      </c>
      <c r="M1315">
        <v>0.52448609999999996</v>
      </c>
      <c r="N1315">
        <v>0</v>
      </c>
      <c r="O1315">
        <v>-0.85126679999999999</v>
      </c>
      <c r="P1315">
        <v>0.47424339999999998</v>
      </c>
      <c r="Q1315">
        <v>3.629247E-2</v>
      </c>
      <c r="R1315">
        <v>-0.87964529999999996</v>
      </c>
      <c r="S1315">
        <v>0.4673157</v>
      </c>
      <c r="T1315">
        <v>0.48055969999999998</v>
      </c>
      <c r="U1315">
        <v>-3.1486209999999999</v>
      </c>
      <c r="V1315">
        <v>5.9109269999999998E-2</v>
      </c>
      <c r="W1315">
        <v>5.0715919999999998E-2</v>
      </c>
      <c r="X1315">
        <v>0.99696240000000003</v>
      </c>
      <c r="Y1315">
        <v>0.394679</v>
      </c>
      <c r="Z1315">
        <v>-0.11111699999999999</v>
      </c>
      <c r="AA1315">
        <v>0.91207539999999998</v>
      </c>
      <c r="AB1315">
        <v>28</v>
      </c>
      <c r="AC1315">
        <v>3.0400000000014402E-2</v>
      </c>
      <c r="AD1315">
        <v>0.107976999999999</v>
      </c>
      <c r="AE1315">
        <v>-0.574400000000025</v>
      </c>
      <c r="AF1315">
        <v>0.26604687309270802</v>
      </c>
      <c r="AG1315">
        <v>0.107976999999999</v>
      </c>
      <c r="AH1315">
        <v>0.48778847592838898</v>
      </c>
      <c r="AI1315">
        <v>79.002529213656601</v>
      </c>
      <c r="AJ1315">
        <v>61.391311820105599</v>
      </c>
      <c r="AK1315">
        <v>0.56601905308915901</v>
      </c>
      <c r="AL1315">
        <v>87.092944766475696</v>
      </c>
      <c r="AM1315">
        <v>86.606941551532302</v>
      </c>
      <c r="AN1315">
        <v>1.0000000186775599</v>
      </c>
    </row>
    <row r="1316" spans="1:40" x14ac:dyDescent="0.25">
      <c r="A1316" t="str">
        <f>"20190312160623605"</f>
        <v>20190312160623605</v>
      </c>
      <c r="B1316" t="str">
        <f>"1552377983596608"</f>
        <v>1552377983596608</v>
      </c>
      <c r="C1316" t="s">
        <v>40</v>
      </c>
      <c r="D1316">
        <v>6.2613190000000003</v>
      </c>
      <c r="E1316">
        <v>0.61921019999999904</v>
      </c>
      <c r="F1316" t="s">
        <v>51</v>
      </c>
      <c r="G1316">
        <v>-168.42189999999999</v>
      </c>
      <c r="H1316">
        <v>25.125389999999999</v>
      </c>
      <c r="I1316">
        <v>197.0761</v>
      </c>
      <c r="J1316">
        <v>-190.43960000000001</v>
      </c>
      <c r="K1316">
        <v>1.098374</v>
      </c>
      <c r="L1316">
        <v>354.32810000000001</v>
      </c>
      <c r="M1316">
        <v>0.51784509999999995</v>
      </c>
      <c r="N1316">
        <v>0</v>
      </c>
      <c r="O1316">
        <v>-0.85532280000000005</v>
      </c>
      <c r="P1316">
        <v>0.46752260000000001</v>
      </c>
      <c r="Q1316">
        <v>3.6423879999999999E-2</v>
      </c>
      <c r="R1316">
        <v>-0.88323059999999998</v>
      </c>
      <c r="S1316">
        <v>0.44236760000000003</v>
      </c>
      <c r="T1316">
        <v>0.48122500000000001</v>
      </c>
      <c r="U1316">
        <v>-3.152069</v>
      </c>
      <c r="V1316">
        <v>5.8951410000000003E-2</v>
      </c>
      <c r="W1316">
        <v>5.085307E-2</v>
      </c>
      <c r="X1316">
        <v>0.99696479999999998</v>
      </c>
      <c r="Y1316">
        <v>0.39475749999999998</v>
      </c>
      <c r="Z1316">
        <v>-0.1120766</v>
      </c>
      <c r="AA1316">
        <v>0.91192390000000001</v>
      </c>
      <c r="AB1316">
        <v>28</v>
      </c>
      <c r="AC1316">
        <v>22.017700000000001</v>
      </c>
      <c r="AD1316">
        <v>24.027016</v>
      </c>
      <c r="AE1316">
        <v>-157.25200000000001</v>
      </c>
      <c r="AF1316">
        <v>61.206617911217101</v>
      </c>
      <c r="AG1316">
        <v>24.027016</v>
      </c>
      <c r="AH1316">
        <v>142.65554147702301</v>
      </c>
      <c r="AI1316">
        <v>81.201480526247295</v>
      </c>
      <c r="AJ1316">
        <v>66.778160765961701</v>
      </c>
      <c r="AK1316">
        <v>157.08007858444901</v>
      </c>
      <c r="AL1316">
        <v>87.085076612104999</v>
      </c>
      <c r="AM1316">
        <v>86.615990253755399</v>
      </c>
      <c r="AN1316">
        <v>1.0000000579542201</v>
      </c>
    </row>
    <row r="1317" spans="1:40" x14ac:dyDescent="0.25">
      <c r="A1317" t="str">
        <f>"20190312160623617"</f>
        <v>20190312160623617</v>
      </c>
      <c r="B1317" t="str">
        <f>"1552377983606369"</f>
        <v>1552377983606369</v>
      </c>
      <c r="C1317" t="s">
        <v>40</v>
      </c>
      <c r="D1317">
        <v>6.3333709999999996</v>
      </c>
      <c r="E1317">
        <v>0.61905120000000002</v>
      </c>
      <c r="F1317" t="s">
        <v>52</v>
      </c>
      <c r="G1317">
        <v>-168.56729999999999</v>
      </c>
      <c r="H1317">
        <v>12.649789999999999</v>
      </c>
      <c r="I1317">
        <v>235.06569999999999</v>
      </c>
      <c r="J1317">
        <v>-190.3683</v>
      </c>
      <c r="K1317">
        <v>1.09839</v>
      </c>
      <c r="L1317">
        <v>354.19560000000001</v>
      </c>
      <c r="M1317">
        <v>0.51092179999999998</v>
      </c>
      <c r="N1317">
        <v>0</v>
      </c>
      <c r="O1317">
        <v>-0.85947649999999998</v>
      </c>
      <c r="P1317">
        <v>0.46063080000000001</v>
      </c>
      <c r="Q1317">
        <v>3.648788E-2</v>
      </c>
      <c r="R1317">
        <v>-0.88684180000000001</v>
      </c>
      <c r="S1317">
        <v>0.56575010000000003</v>
      </c>
      <c r="T1317">
        <v>0.2987901</v>
      </c>
      <c r="U1317">
        <v>-3.0848390000000001</v>
      </c>
      <c r="V1317">
        <v>5.8663170000000001E-2</v>
      </c>
      <c r="W1317">
        <v>5.0926890000000002E-2</v>
      </c>
      <c r="X1317">
        <v>0.99697800000000003</v>
      </c>
      <c r="Y1317">
        <v>0.34802260000000002</v>
      </c>
      <c r="Z1317">
        <v>-7.2850699999999893E-2</v>
      </c>
      <c r="AA1317">
        <v>0.93465129999999996</v>
      </c>
      <c r="AB1317">
        <v>28</v>
      </c>
      <c r="AC1317">
        <v>21.800999999999998</v>
      </c>
      <c r="AD1317">
        <v>11.551399999999999</v>
      </c>
      <c r="AE1317">
        <v>-119.12990000000001</v>
      </c>
      <c r="AF1317">
        <v>41.754215237615902</v>
      </c>
      <c r="AG1317">
        <v>11.551399999999999</v>
      </c>
      <c r="AH1317">
        <v>112.519023233154</v>
      </c>
      <c r="AI1317">
        <v>84.502302857183693</v>
      </c>
      <c r="AJ1317">
        <v>69.640823557761706</v>
      </c>
      <c r="AK1317">
        <v>120.571057561142</v>
      </c>
      <c r="AL1317">
        <v>87.080841451367405</v>
      </c>
      <c r="AM1317">
        <v>86.632542514088399</v>
      </c>
      <c r="AN1317">
        <v>1.0000000240617599</v>
      </c>
    </row>
    <row r="1318" spans="1:40" x14ac:dyDescent="0.25">
      <c r="A1318" t="str">
        <f>"20190312160623628"</f>
        <v>20190312160623628</v>
      </c>
      <c r="B1318" t="str">
        <f>"1552377983616129"</f>
        <v>1552377983616129</v>
      </c>
      <c r="C1318" t="s">
        <v>40</v>
      </c>
      <c r="D1318">
        <v>6.3370389999999999</v>
      </c>
      <c r="E1318">
        <v>0.61854089999999995</v>
      </c>
      <c r="F1318" t="s">
        <v>52</v>
      </c>
      <c r="G1318">
        <v>-169.02019999999999</v>
      </c>
      <c r="H1318">
        <v>12.649789999999999</v>
      </c>
      <c r="I1318">
        <v>232.7276</v>
      </c>
      <c r="J1318">
        <v>-190.2996</v>
      </c>
      <c r="K1318">
        <v>1.0984020000000001</v>
      </c>
      <c r="L1318">
        <v>354.06459999999998</v>
      </c>
      <c r="M1318">
        <v>0.50408409999999904</v>
      </c>
      <c r="N1318">
        <v>0</v>
      </c>
      <c r="O1318">
        <v>-0.86350450000000001</v>
      </c>
      <c r="P1318">
        <v>0.45394109999999999</v>
      </c>
      <c r="Q1318">
        <v>3.6466619999999998E-2</v>
      </c>
      <c r="R1318">
        <v>-0.89028549999999995</v>
      </c>
      <c r="S1318">
        <v>0.54284670000000002</v>
      </c>
      <c r="T1318">
        <v>0.29373300000000002</v>
      </c>
      <c r="U1318">
        <v>-3.0887150000000001</v>
      </c>
      <c r="V1318">
        <v>5.8254060000000003E-2</v>
      </c>
      <c r="W1318">
        <v>5.0918320000000003E-2</v>
      </c>
      <c r="X1318">
        <v>0.99700239999999996</v>
      </c>
      <c r="Y1318">
        <v>0.34749409999999997</v>
      </c>
      <c r="Z1318">
        <v>-7.2135779999999997E-2</v>
      </c>
      <c r="AA1318">
        <v>0.93490340000000005</v>
      </c>
      <c r="AB1318">
        <v>28</v>
      </c>
      <c r="AC1318">
        <v>21.279399999999999</v>
      </c>
      <c r="AD1318">
        <v>11.551387999999999</v>
      </c>
      <c r="AE1318">
        <v>-121.337</v>
      </c>
      <c r="AF1318">
        <v>42.421736584190199</v>
      </c>
      <c r="AG1318">
        <v>11.551387999999999</v>
      </c>
      <c r="AH1318">
        <v>114.509766102445</v>
      </c>
      <c r="AI1318">
        <v>84.596226087744199</v>
      </c>
      <c r="AJ1318">
        <v>69.672149984530293</v>
      </c>
      <c r="AK1318">
        <v>122.660200686211</v>
      </c>
      <c r="AL1318">
        <v>87.081333038555499</v>
      </c>
      <c r="AM1318">
        <v>86.656054936512604</v>
      </c>
      <c r="AN1318">
        <v>0.99999999821193197</v>
      </c>
    </row>
    <row r="1319" spans="1:40" x14ac:dyDescent="0.25">
      <c r="A1319" t="str">
        <f>"20190312160623640"</f>
        <v>20190312160623640</v>
      </c>
      <c r="B1319" t="str">
        <f>"1552377983636625"</f>
        <v>1552377983636625</v>
      </c>
      <c r="C1319" t="s">
        <v>40</v>
      </c>
      <c r="D1319">
        <v>6.2830059999999897</v>
      </c>
      <c r="E1319">
        <v>0.61672749999999998</v>
      </c>
      <c r="F1319" t="s">
        <v>52</v>
      </c>
      <c r="G1319">
        <v>-168.64150000000001</v>
      </c>
      <c r="H1319">
        <v>12.649789999999999</v>
      </c>
      <c r="I1319">
        <v>225.9743</v>
      </c>
      <c r="J1319">
        <v>-190.23150000000001</v>
      </c>
      <c r="K1319">
        <v>1.0984160000000001</v>
      </c>
      <c r="L1319">
        <v>353.9325</v>
      </c>
      <c r="M1319">
        <v>0.49717729999999999</v>
      </c>
      <c r="N1319">
        <v>0</v>
      </c>
      <c r="O1319">
        <v>-0.86749949999999998</v>
      </c>
      <c r="P1319">
        <v>0.44712279999999999</v>
      </c>
      <c r="Q1319">
        <v>3.5963799999999997E-2</v>
      </c>
      <c r="R1319">
        <v>-0.89374920000000002</v>
      </c>
      <c r="S1319">
        <v>0.52276610000000001</v>
      </c>
      <c r="T1319">
        <v>0.27881909999999999</v>
      </c>
      <c r="U1319">
        <v>-3.091736</v>
      </c>
      <c r="V1319">
        <v>5.7912829999999998E-2</v>
      </c>
      <c r="W1319">
        <v>5.0426369999999998E-2</v>
      </c>
      <c r="X1319">
        <v>0.99704729999999997</v>
      </c>
      <c r="Y1319">
        <v>0.34602660000000002</v>
      </c>
      <c r="Z1319">
        <v>-6.9007689999999997E-2</v>
      </c>
      <c r="AA1319">
        <v>0.9356835</v>
      </c>
      <c r="AB1319">
        <v>28</v>
      </c>
      <c r="AC1319">
        <v>21.59</v>
      </c>
      <c r="AD1319">
        <v>11.551373999999999</v>
      </c>
      <c r="AE1319">
        <v>-127.95820000000001</v>
      </c>
      <c r="AF1319">
        <v>44.541477264931501</v>
      </c>
      <c r="AG1319">
        <v>11.551373999999999</v>
      </c>
      <c r="AH1319">
        <v>120.79634162359</v>
      </c>
      <c r="AI1319">
        <v>84.873050533877006</v>
      </c>
      <c r="AJ1319">
        <v>69.759455144277695</v>
      </c>
      <c r="AK1319">
        <v>129.26381391508301</v>
      </c>
      <c r="AL1319">
        <v>87.109556007775595</v>
      </c>
      <c r="AM1319">
        <v>86.675747798811798</v>
      </c>
      <c r="AN1319">
        <v>1.00000001655363</v>
      </c>
    </row>
    <row r="1320" spans="1:40" x14ac:dyDescent="0.25">
      <c r="A1320" t="str">
        <f>"20190312160623652"</f>
        <v>20190312160623652</v>
      </c>
      <c r="B1320" t="str">
        <f>"1552377983646385"</f>
        <v>1552377983646385</v>
      </c>
      <c r="C1320" t="s">
        <v>40</v>
      </c>
      <c r="D1320">
        <v>5.971603</v>
      </c>
      <c r="E1320">
        <v>0.61672749999999998</v>
      </c>
      <c r="F1320" t="s">
        <v>51</v>
      </c>
      <c r="G1320">
        <v>-166.4547</v>
      </c>
      <c r="H1320">
        <v>13.336220000000001</v>
      </c>
      <c r="I1320">
        <v>210.34289999999999</v>
      </c>
      <c r="J1320">
        <v>-190.16130000000001</v>
      </c>
      <c r="K1320">
        <v>1.09843</v>
      </c>
      <c r="L1320">
        <v>353.79410000000001</v>
      </c>
      <c r="M1320">
        <v>0.48993140000000002</v>
      </c>
      <c r="N1320">
        <v>0</v>
      </c>
      <c r="O1320">
        <v>-0.87161250000000001</v>
      </c>
      <c r="P1320">
        <v>0.43991140000000001</v>
      </c>
      <c r="Q1320">
        <v>3.5500759999999999E-2</v>
      </c>
      <c r="R1320">
        <v>-0.89733929999999995</v>
      </c>
      <c r="S1320">
        <v>0.51167299999999905</v>
      </c>
      <c r="T1320">
        <v>0.26335639999999999</v>
      </c>
      <c r="U1320">
        <v>-3.0900270000000001</v>
      </c>
      <c r="V1320">
        <v>5.7627530000000003E-2</v>
      </c>
      <c r="W1320">
        <v>4.9972519999999999E-2</v>
      </c>
      <c r="X1320">
        <v>0.99708660000000005</v>
      </c>
      <c r="Y1320">
        <v>0.34135290000000001</v>
      </c>
      <c r="Z1320">
        <v>-6.5836309999999995E-2</v>
      </c>
      <c r="AA1320">
        <v>0.93762670000000004</v>
      </c>
      <c r="AB1320">
        <v>28</v>
      </c>
      <c r="AC1320">
        <v>23.706600000000002</v>
      </c>
      <c r="AD1320">
        <v>12.237789999999899</v>
      </c>
      <c r="AE1320">
        <v>-143.4512</v>
      </c>
      <c r="AF1320">
        <v>49.275619604678198</v>
      </c>
      <c r="AG1320">
        <v>12.237789999999899</v>
      </c>
      <c r="AH1320">
        <v>135.70478646540101</v>
      </c>
      <c r="AI1320">
        <v>85.154936446256201</v>
      </c>
      <c r="AJ1320">
        <v>70.043588485306103</v>
      </c>
      <c r="AK1320">
        <v>144.891819165642</v>
      </c>
      <c r="AL1320">
        <v>87.135592293914598</v>
      </c>
      <c r="AM1320">
        <v>86.692217928475799</v>
      </c>
      <c r="AN1320">
        <v>0.99999993643430296</v>
      </c>
    </row>
    <row r="1321" spans="1:40" x14ac:dyDescent="0.25">
      <c r="A1321" t="str">
        <f>"20190312160623672"</f>
        <v>20190312160623672</v>
      </c>
      <c r="B1321" t="str">
        <f>"1552377983665904"</f>
        <v>1552377983665904</v>
      </c>
      <c r="C1321" t="s">
        <v>40</v>
      </c>
      <c r="D1321">
        <v>5.7371230000000004</v>
      </c>
      <c r="E1321">
        <v>0.622421</v>
      </c>
      <c r="F1321" t="s">
        <v>51</v>
      </c>
      <c r="G1321">
        <v>-167.578</v>
      </c>
      <c r="H1321">
        <v>13.227449999999999</v>
      </c>
      <c r="I1321">
        <v>210.23220000000001</v>
      </c>
      <c r="J1321">
        <v>-190.04939999999999</v>
      </c>
      <c r="K1321">
        <v>1.0984529999999999</v>
      </c>
      <c r="L1321">
        <v>353.56630000000001</v>
      </c>
      <c r="M1321">
        <v>0.47800520000000002</v>
      </c>
      <c r="N1321">
        <v>0</v>
      </c>
      <c r="O1321">
        <v>-0.87820940000000003</v>
      </c>
      <c r="P1321">
        <v>0.42853380000000002</v>
      </c>
      <c r="Q1321">
        <v>3.4809E-2</v>
      </c>
      <c r="R1321">
        <v>-0.90285499999999996</v>
      </c>
      <c r="S1321">
        <v>0.4867554</v>
      </c>
      <c r="T1321">
        <v>0.26142670000000001</v>
      </c>
      <c r="U1321">
        <v>-3.0942989999999999</v>
      </c>
      <c r="V1321">
        <v>5.6629949999999998E-2</v>
      </c>
      <c r="W1321">
        <v>4.9311019999999997E-2</v>
      </c>
      <c r="X1321">
        <v>0.99717679999999997</v>
      </c>
      <c r="Y1321">
        <v>0.33610659999999998</v>
      </c>
      <c r="Z1321">
        <v>-6.6188449999999996E-2</v>
      </c>
      <c r="AA1321">
        <v>0.93949530000000003</v>
      </c>
      <c r="AB1321">
        <v>28</v>
      </c>
      <c r="AC1321">
        <v>22.4713999999999</v>
      </c>
      <c r="AD1321">
        <v>12.128996999999901</v>
      </c>
      <c r="AE1321">
        <v>-143.33410000000001</v>
      </c>
      <c r="AF1321">
        <v>48.447582837674602</v>
      </c>
      <c r="AG1321">
        <v>12.128996999999901</v>
      </c>
      <c r="AH1321">
        <v>135.68821086845199</v>
      </c>
      <c r="AI1321">
        <v>85.187982763603401</v>
      </c>
      <c r="AJ1321">
        <v>70.350854428435596</v>
      </c>
      <c r="AK1321">
        <v>144.58759082203699</v>
      </c>
      <c r="AL1321">
        <v>87.173540560652796</v>
      </c>
      <c r="AM1321">
        <v>86.749647895990805</v>
      </c>
      <c r="AN1321">
        <v>1.0000000491943399</v>
      </c>
    </row>
    <row r="1322" spans="1:40" x14ac:dyDescent="0.25">
      <c r="A1322" t="str">
        <f>"20190312160623696"</f>
        <v>20190312160623696</v>
      </c>
      <c r="B1322" t="str">
        <f>"1552377983686400"</f>
        <v>1552377983686400</v>
      </c>
      <c r="C1322" t="s">
        <v>40</v>
      </c>
      <c r="D1322">
        <v>6.0531009999999998</v>
      </c>
      <c r="E1322">
        <v>0.62087150000000002</v>
      </c>
      <c r="F1322" t="s">
        <v>43</v>
      </c>
      <c r="G1322">
        <v>-182.1968</v>
      </c>
      <c r="H1322">
        <v>8.9095300000000002</v>
      </c>
      <c r="I1322">
        <v>294.00279999999998</v>
      </c>
      <c r="J1322">
        <v>-189.92670000000001</v>
      </c>
      <c r="K1322">
        <v>1.098481</v>
      </c>
      <c r="L1322">
        <v>353.30739999999997</v>
      </c>
      <c r="M1322">
        <v>0.46442499999999998</v>
      </c>
      <c r="N1322">
        <v>0</v>
      </c>
      <c r="O1322">
        <v>-0.88546630000000004</v>
      </c>
      <c r="P1322">
        <v>0.41617520000000002</v>
      </c>
      <c r="Q1322">
        <v>3.4273930000000001E-2</v>
      </c>
      <c r="R1322">
        <v>-0.90863850000000002</v>
      </c>
      <c r="S1322">
        <v>0.41030879999999997</v>
      </c>
      <c r="T1322">
        <v>0.40814339999999999</v>
      </c>
      <c r="U1322">
        <v>-3.1123050000000001</v>
      </c>
      <c r="V1322">
        <v>5.4870019999999999E-2</v>
      </c>
      <c r="W1322">
        <v>4.8826179999999997E-2</v>
      </c>
      <c r="X1322">
        <v>0.99729900000000005</v>
      </c>
      <c r="Y1322">
        <v>0.3454158</v>
      </c>
      <c r="Z1322">
        <v>-0.1035735</v>
      </c>
      <c r="AA1322">
        <v>0.93271669999999995</v>
      </c>
      <c r="AB1322">
        <v>28</v>
      </c>
      <c r="AC1322">
        <v>7.7299000000000104</v>
      </c>
      <c r="AD1322">
        <v>7.8110489999999997</v>
      </c>
      <c r="AE1322">
        <v>-59.304599999999901</v>
      </c>
      <c r="AF1322">
        <v>20.353464828172299</v>
      </c>
      <c r="AG1322">
        <v>7.8110489999999997</v>
      </c>
      <c r="AH1322">
        <v>55.168388947423999</v>
      </c>
      <c r="AI1322">
        <v>82.433481251535497</v>
      </c>
      <c r="AJ1322">
        <v>69.749294626217505</v>
      </c>
      <c r="AK1322">
        <v>59.319702932889797</v>
      </c>
      <c r="AL1322">
        <v>87.201353224988594</v>
      </c>
      <c r="AM1322">
        <v>86.850839968440894</v>
      </c>
      <c r="AN1322">
        <v>1.0000000051745901</v>
      </c>
    </row>
    <row r="1323" spans="1:40" x14ac:dyDescent="0.25">
      <c r="A1323" t="str">
        <f>"20190312160623717"</f>
        <v>20190312160623717</v>
      </c>
      <c r="B1323" t="str">
        <f>"1552377983705920"</f>
        <v>1552377983705920</v>
      </c>
      <c r="C1323" t="s">
        <v>40</v>
      </c>
      <c r="D1323">
        <v>6.1286440000000004</v>
      </c>
      <c r="E1323">
        <v>0.62006340000000004</v>
      </c>
      <c r="F1323" t="s">
        <v>44</v>
      </c>
      <c r="G1323">
        <v>-189.82599999999999</v>
      </c>
      <c r="H1323">
        <v>1.202734</v>
      </c>
      <c r="I1323">
        <v>352.48</v>
      </c>
      <c r="J1323">
        <v>-189.81389999999999</v>
      </c>
      <c r="K1323">
        <v>1.0985119999999999</v>
      </c>
      <c r="L1323">
        <v>353.05919999999998</v>
      </c>
      <c r="M1323">
        <v>0.45140140000000001</v>
      </c>
      <c r="N1323">
        <v>0</v>
      </c>
      <c r="O1323">
        <v>-0.89217619999999898</v>
      </c>
      <c r="P1323">
        <v>0.40398810000000002</v>
      </c>
      <c r="Q1323">
        <v>3.3966900000000001E-2</v>
      </c>
      <c r="R1323">
        <v>-0.91413370000000005</v>
      </c>
      <c r="S1323">
        <v>0.37892150000000002</v>
      </c>
      <c r="T1323">
        <v>0.39230419999999999</v>
      </c>
      <c r="U1323">
        <v>-3.1133120000000001</v>
      </c>
      <c r="V1323">
        <v>5.3585479999999998E-2</v>
      </c>
      <c r="W1323">
        <v>4.8555170000000002E-2</v>
      </c>
      <c r="X1323">
        <v>0.99738199999999999</v>
      </c>
      <c r="Y1323">
        <v>0.3409259</v>
      </c>
      <c r="Z1323">
        <v>-0.1009601</v>
      </c>
      <c r="AA1323">
        <v>0.93465319999999996</v>
      </c>
      <c r="AB1323">
        <v>28</v>
      </c>
      <c r="AC1323">
        <v>-1.21000000000037E-2</v>
      </c>
      <c r="AD1323">
        <v>0.104221999999999</v>
      </c>
      <c r="AE1323">
        <v>-0.57919999999995697</v>
      </c>
      <c r="AF1323">
        <v>0.26374612818010101</v>
      </c>
      <c r="AG1323">
        <v>0.104221999999999</v>
      </c>
      <c r="AH1323">
        <v>0.49532161207201503</v>
      </c>
      <c r="AI1323">
        <v>79.478648336231203</v>
      </c>
      <c r="AJ1323">
        <v>61.965837041382102</v>
      </c>
      <c r="AK1323">
        <v>0.57076067208560699</v>
      </c>
      <c r="AL1323">
        <v>87.216899186959495</v>
      </c>
      <c r="AM1323">
        <v>86.924675911389699</v>
      </c>
      <c r="AN1323">
        <v>0.99999993106227703</v>
      </c>
    </row>
    <row r="1324" spans="1:40" x14ac:dyDescent="0.25">
      <c r="A1324" t="str">
        <f>"20190312160623729"</f>
        <v>20190312160623729</v>
      </c>
      <c r="B1324" t="str">
        <f>"1552377983726417"</f>
        <v>1552377983726417</v>
      </c>
      <c r="C1324" t="s">
        <v>40</v>
      </c>
      <c r="D1324">
        <v>6.0346520000000003</v>
      </c>
      <c r="E1324">
        <v>0.61411139999999997</v>
      </c>
      <c r="F1324" t="s">
        <v>53</v>
      </c>
      <c r="G1324">
        <v>-163.2098</v>
      </c>
      <c r="H1324">
        <v>30.783550000000002</v>
      </c>
      <c r="I1324">
        <v>111.4286</v>
      </c>
      <c r="J1324">
        <v>-189.74870000000001</v>
      </c>
      <c r="K1324">
        <v>1.0985320000000001</v>
      </c>
      <c r="L1324">
        <v>352.91109999999998</v>
      </c>
      <c r="M1324">
        <v>0.44362600000000002</v>
      </c>
      <c r="N1324">
        <v>0</v>
      </c>
      <c r="O1324">
        <v>-0.89606770000000002</v>
      </c>
      <c r="P1324">
        <v>0.3963274</v>
      </c>
      <c r="Q1324">
        <v>3.358096E-2</v>
      </c>
      <c r="R1324">
        <v>-0.91749510000000001</v>
      </c>
      <c r="S1324">
        <v>0.34307860000000001</v>
      </c>
      <c r="T1324">
        <v>0.38280989999999998</v>
      </c>
      <c r="U1324">
        <v>-3.1159970000000001</v>
      </c>
      <c r="V1324">
        <v>5.324827E-2</v>
      </c>
      <c r="W1324">
        <v>4.817892E-2</v>
      </c>
      <c r="X1324">
        <v>0.99741840000000004</v>
      </c>
      <c r="Y1324">
        <v>0.34343360000000001</v>
      </c>
      <c r="Z1324">
        <v>-9.9156770000000005E-2</v>
      </c>
      <c r="AA1324">
        <v>0.93392790000000003</v>
      </c>
      <c r="AB1324">
        <v>28</v>
      </c>
      <c r="AC1324">
        <v>26.538900000000002</v>
      </c>
      <c r="AD1324">
        <v>29.685017999999999</v>
      </c>
      <c r="AE1324">
        <v>-241.48249999999999</v>
      </c>
      <c r="AF1324">
        <v>82.131735241258795</v>
      </c>
      <c r="AG1324">
        <v>29.685017999999999</v>
      </c>
      <c r="AH1324">
        <v>224.83057787580199</v>
      </c>
      <c r="AI1324">
        <v>82.930446141757002</v>
      </c>
      <c r="AJ1324">
        <v>69.932498366943193</v>
      </c>
      <c r="AK1324">
        <v>241.19620845976701</v>
      </c>
      <c r="AL1324">
        <v>87.238482246825498</v>
      </c>
      <c r="AM1324">
        <v>86.944103245302202</v>
      </c>
      <c r="AN1324">
        <v>1.0000000256244499</v>
      </c>
    </row>
    <row r="1325" spans="1:40" x14ac:dyDescent="0.25">
      <c r="A1325" t="str">
        <f>"20190312160623742"</f>
        <v>20190312160623742</v>
      </c>
      <c r="B1325" t="str">
        <f>"1552377983736177"</f>
        <v>1552377983736177</v>
      </c>
      <c r="C1325" t="s">
        <v>40</v>
      </c>
      <c r="D1325">
        <v>5.3941699999999999</v>
      </c>
      <c r="E1325">
        <v>0.61852169999999995</v>
      </c>
      <c r="F1325" t="s">
        <v>51</v>
      </c>
      <c r="G1325">
        <v>-169.148</v>
      </c>
      <c r="H1325">
        <v>18.977370000000001</v>
      </c>
      <c r="I1325">
        <v>174.70699999999999</v>
      </c>
      <c r="J1325">
        <v>-189.69</v>
      </c>
      <c r="K1325">
        <v>1.0985510000000001</v>
      </c>
      <c r="L1325">
        <v>352.7747</v>
      </c>
      <c r="M1325">
        <v>0.43646000000000001</v>
      </c>
      <c r="N1325">
        <v>0</v>
      </c>
      <c r="O1325">
        <v>-0.89957989999999999</v>
      </c>
      <c r="P1325">
        <v>0.38926709999999998</v>
      </c>
      <c r="Q1325">
        <v>3.3246879999999999E-2</v>
      </c>
      <c r="R1325">
        <v>-0.92052469999999997</v>
      </c>
      <c r="S1325">
        <v>0.35876459999999999</v>
      </c>
      <c r="T1325">
        <v>0.31136360000000002</v>
      </c>
      <c r="U1325">
        <v>-3.1034549999999999</v>
      </c>
      <c r="V1325">
        <v>5.2943709999999998E-2</v>
      </c>
      <c r="W1325">
        <v>4.7852659999999998E-2</v>
      </c>
      <c r="X1325">
        <v>0.99745030000000001</v>
      </c>
      <c r="Y1325">
        <v>0.33067370000000001</v>
      </c>
      <c r="Z1325">
        <v>-8.1888169999999996E-2</v>
      </c>
      <c r="AA1325">
        <v>0.94018570000000001</v>
      </c>
      <c r="AB1325">
        <v>28</v>
      </c>
      <c r="AC1325">
        <v>20.541999999999899</v>
      </c>
      <c r="AD1325">
        <v>17.878819</v>
      </c>
      <c r="AE1325">
        <v>-178.0677</v>
      </c>
      <c r="AF1325">
        <v>58.664288655474699</v>
      </c>
      <c r="AG1325">
        <v>17.878819</v>
      </c>
      <c r="AH1325">
        <v>167.50728882446501</v>
      </c>
      <c r="AI1325">
        <v>84.247690169304704</v>
      </c>
      <c r="AJ1325">
        <v>70.698759833463797</v>
      </c>
      <c r="AK1325">
        <v>178.38117260969699</v>
      </c>
      <c r="AL1325">
        <v>87.257197103181099</v>
      </c>
      <c r="AM1325">
        <v>86.961645967925605</v>
      </c>
      <c r="AN1325">
        <v>1.00000000723386</v>
      </c>
    </row>
    <row r="1326" spans="1:40" x14ac:dyDescent="0.25">
      <c r="A1326" t="str">
        <f>"20190312160623760"</f>
        <v>20190312160623760</v>
      </c>
      <c r="B1326" t="str">
        <f>"1552377983756673"</f>
        <v>1552377983756673</v>
      </c>
      <c r="C1326" t="s">
        <v>40</v>
      </c>
      <c r="D1326">
        <v>6.2982579999999997</v>
      </c>
      <c r="E1326">
        <v>0.61330909999999905</v>
      </c>
      <c r="F1326" t="s">
        <v>53</v>
      </c>
      <c r="G1326">
        <v>-165.73400000000001</v>
      </c>
      <c r="H1326">
        <v>35.398319999999998</v>
      </c>
      <c r="I1326">
        <v>108.90309999999999</v>
      </c>
      <c r="J1326">
        <v>-189.5984</v>
      </c>
      <c r="K1326">
        <v>1.0985879999999999</v>
      </c>
      <c r="L1326">
        <v>352.55599999999998</v>
      </c>
      <c r="M1326">
        <v>0.42496990000000001</v>
      </c>
      <c r="N1326">
        <v>0</v>
      </c>
      <c r="O1326">
        <v>-0.90506489999999995</v>
      </c>
      <c r="P1326">
        <v>0.37853140000000002</v>
      </c>
      <c r="Q1326">
        <v>3.319652E-2</v>
      </c>
      <c r="R1326">
        <v>-0.92499330000000002</v>
      </c>
      <c r="S1326">
        <v>0.30587769999999997</v>
      </c>
      <c r="T1326">
        <v>0.43795050000000002</v>
      </c>
      <c r="U1326">
        <v>-3.1138309999999998</v>
      </c>
      <c r="V1326">
        <v>5.1842260000000001E-2</v>
      </c>
      <c r="W1326">
        <v>4.7831699999999998E-2</v>
      </c>
      <c r="X1326">
        <v>0.99750919999999998</v>
      </c>
      <c r="Y1326">
        <v>0.33509139999999998</v>
      </c>
      <c r="Z1326">
        <v>-0.115382399999999</v>
      </c>
      <c r="AA1326">
        <v>0.93509390000000003</v>
      </c>
      <c r="AB1326">
        <v>28</v>
      </c>
      <c r="AC1326">
        <v>23.8643999999999</v>
      </c>
      <c r="AD1326">
        <v>34.299731999999999</v>
      </c>
      <c r="AE1326">
        <v>-243.65289999999999</v>
      </c>
      <c r="AF1326">
        <v>80.379155688952807</v>
      </c>
      <c r="AG1326">
        <v>34.299731999999999</v>
      </c>
      <c r="AH1326">
        <v>226.25207534857699</v>
      </c>
      <c r="AI1326">
        <v>81.8701551330944</v>
      </c>
      <c r="AJ1326">
        <v>70.441719474122195</v>
      </c>
      <c r="AK1326">
        <v>242.54336083281899</v>
      </c>
      <c r="AL1326">
        <v>87.258399510658705</v>
      </c>
      <c r="AM1326">
        <v>87.024916995741293</v>
      </c>
      <c r="AN1326">
        <v>1.0000000477657101</v>
      </c>
    </row>
    <row r="1327" spans="1:40" x14ac:dyDescent="0.25">
      <c r="A1327" t="str">
        <f>"20190312160623772"</f>
        <v>20190312160623772</v>
      </c>
      <c r="B1327" t="str">
        <f>"1552377983766433"</f>
        <v>1552377983766433</v>
      </c>
      <c r="C1327" t="s">
        <v>40</v>
      </c>
      <c r="D1327">
        <v>6.3969339999999999</v>
      </c>
      <c r="E1327">
        <v>0.61305810000000005</v>
      </c>
      <c r="F1327" t="s">
        <v>53</v>
      </c>
      <c r="G1327">
        <v>-165.88759999999999</v>
      </c>
      <c r="H1327">
        <v>19.84074</v>
      </c>
      <c r="I1327">
        <v>108.7389</v>
      </c>
      <c r="J1327">
        <v>-189.5394</v>
      </c>
      <c r="K1327">
        <v>1.0986129999999901</v>
      </c>
      <c r="L1327">
        <v>352.41160000000002</v>
      </c>
      <c r="M1327">
        <v>0.41737229999999997</v>
      </c>
      <c r="N1327">
        <v>0</v>
      </c>
      <c r="O1327">
        <v>-0.90859350000000005</v>
      </c>
      <c r="P1327">
        <v>0.37130459999999998</v>
      </c>
      <c r="Q1327">
        <v>3.3055250000000001E-2</v>
      </c>
      <c r="R1327">
        <v>-0.92792269999999999</v>
      </c>
      <c r="S1327">
        <v>0.30252079999999998</v>
      </c>
      <c r="T1327">
        <v>0.23912720000000001</v>
      </c>
      <c r="U1327">
        <v>-3.1108090000000002</v>
      </c>
      <c r="V1327">
        <v>5.1261210000000001E-2</v>
      </c>
      <c r="W1327">
        <v>4.7705959999999999E-2</v>
      </c>
      <c r="X1327">
        <v>0.99754520000000002</v>
      </c>
      <c r="Y1327">
        <v>0.32769280000000001</v>
      </c>
      <c r="Z1327">
        <v>-6.3967399999999994E-2</v>
      </c>
      <c r="AA1327">
        <v>0.94261629999999996</v>
      </c>
      <c r="AB1327">
        <v>27</v>
      </c>
      <c r="AC1327">
        <v>23.651800000000001</v>
      </c>
      <c r="AD1327">
        <v>18.742127</v>
      </c>
      <c r="AE1327">
        <v>-243.67269999999999</v>
      </c>
      <c r="AF1327">
        <v>79.755297488758401</v>
      </c>
      <c r="AG1327">
        <v>18.742127</v>
      </c>
      <c r="AH1327">
        <v>229.95320910449499</v>
      </c>
      <c r="AI1327">
        <v>85.596682191751199</v>
      </c>
      <c r="AJ1327">
        <v>70.871780561619005</v>
      </c>
      <c r="AK1327">
        <v>244.11196852973001</v>
      </c>
      <c r="AL1327">
        <v>87.265611979661898</v>
      </c>
      <c r="AM1327">
        <v>87.058308913971601</v>
      </c>
      <c r="AN1327">
        <v>0.999999998156612</v>
      </c>
    </row>
    <row r="1328" spans="1:40" x14ac:dyDescent="0.25">
      <c r="A1328" t="str">
        <f>"20190312160623785"</f>
        <v>20190312160623785</v>
      </c>
      <c r="B1328" t="str">
        <f>"1552377983776517"</f>
        <v>1552377983776517</v>
      </c>
      <c r="C1328" t="s">
        <v>40</v>
      </c>
      <c r="D1328">
        <v>6.4042149999999998</v>
      </c>
      <c r="E1328">
        <v>0.61308399999999996</v>
      </c>
      <c r="F1328" t="s">
        <v>53</v>
      </c>
      <c r="G1328">
        <v>-167.47630000000001</v>
      </c>
      <c r="H1328">
        <v>19.652760000000001</v>
      </c>
      <c r="I1328">
        <v>107.1473</v>
      </c>
      <c r="J1328">
        <v>-189.48400000000001</v>
      </c>
      <c r="K1328">
        <v>1.098635</v>
      </c>
      <c r="L1328">
        <v>352.27109999999999</v>
      </c>
      <c r="M1328">
        <v>0.40999530000000001</v>
      </c>
      <c r="N1328">
        <v>0</v>
      </c>
      <c r="O1328">
        <v>-0.91194640000000005</v>
      </c>
      <c r="P1328">
        <v>0.3645581</v>
      </c>
      <c r="Q1328">
        <v>3.3056349999999998E-2</v>
      </c>
      <c r="R1328">
        <v>-0.93059400000000003</v>
      </c>
      <c r="S1328">
        <v>0.27999879999999999</v>
      </c>
      <c r="T1328">
        <v>0.2354678</v>
      </c>
      <c r="U1328">
        <v>-3.1126100000000001</v>
      </c>
      <c r="V1328">
        <v>5.0415840000000003E-2</v>
      </c>
      <c r="W1328">
        <v>4.7729290000000001E-2</v>
      </c>
      <c r="X1328">
        <v>0.99758709999999995</v>
      </c>
      <c r="Y1328">
        <v>0.32684669999999999</v>
      </c>
      <c r="Z1328">
        <v>-6.3358970000000001E-2</v>
      </c>
      <c r="AA1328">
        <v>0.94295110000000004</v>
      </c>
      <c r="AB1328">
        <v>27</v>
      </c>
      <c r="AC1328">
        <v>22.0077</v>
      </c>
      <c r="AD1328">
        <v>18.554124999999999</v>
      </c>
      <c r="AE1328">
        <v>-245.12379999999999</v>
      </c>
      <c r="AF1328">
        <v>79.985519740655604</v>
      </c>
      <c r="AG1328">
        <v>18.554124999999999</v>
      </c>
      <c r="AH1328">
        <v>231.27828987921001</v>
      </c>
      <c r="AI1328">
        <v>85.664237012117994</v>
      </c>
      <c r="AJ1328">
        <v>70.922515300113801</v>
      </c>
      <c r="AK1328">
        <v>245.42124254463101</v>
      </c>
      <c r="AL1328">
        <v>87.2642735637518</v>
      </c>
      <c r="AM1328">
        <v>87.106859766625902</v>
      </c>
      <c r="AN1328">
        <v>0.99999993206660698</v>
      </c>
    </row>
    <row r="1329" spans="1:40" x14ac:dyDescent="0.25">
      <c r="A1329" t="str">
        <f>"20190312160623797"</f>
        <v>20190312160623797</v>
      </c>
      <c r="B1329" t="str">
        <f>"1552377983786277"</f>
        <v>1552377983786277</v>
      </c>
      <c r="C1329" t="s">
        <v>40</v>
      </c>
      <c r="D1329">
        <v>4.587466</v>
      </c>
      <c r="E1329">
        <v>0.61308399999999996</v>
      </c>
      <c r="F1329" t="s">
        <v>53</v>
      </c>
      <c r="G1329">
        <v>-169.17019999999999</v>
      </c>
      <c r="H1329">
        <v>19.640450000000001</v>
      </c>
      <c r="I1329">
        <v>106.3077</v>
      </c>
      <c r="J1329">
        <v>-189.42760000000001</v>
      </c>
      <c r="K1329">
        <v>1.098662</v>
      </c>
      <c r="L1329">
        <v>352.12599999999998</v>
      </c>
      <c r="M1329">
        <v>0.40237620000000002</v>
      </c>
      <c r="N1329">
        <v>0</v>
      </c>
      <c r="O1329">
        <v>-0.91533359999999997</v>
      </c>
      <c r="P1329">
        <v>0.35721960000000003</v>
      </c>
      <c r="Q1329">
        <v>3.3236189999999999E-2</v>
      </c>
      <c r="R1329">
        <v>-0.93342939999999996</v>
      </c>
      <c r="S1329">
        <v>0.25723269999999998</v>
      </c>
      <c r="T1329">
        <v>0.23479439999999999</v>
      </c>
      <c r="U1329">
        <v>-3.1146240000000001</v>
      </c>
      <c r="V1329">
        <v>4.9950399999999999E-2</v>
      </c>
      <c r="W1329">
        <v>4.7920289999999997E-2</v>
      </c>
      <c r="X1329">
        <v>0.99760139999999997</v>
      </c>
      <c r="Y1329">
        <v>0.32586219999999999</v>
      </c>
      <c r="Z1329">
        <v>-6.3543139999999998E-2</v>
      </c>
      <c r="AA1329">
        <v>0.94327939999999999</v>
      </c>
      <c r="AB1329">
        <v>27</v>
      </c>
      <c r="AC1329">
        <v>20.257400000000001</v>
      </c>
      <c r="AD1329">
        <v>18.541788</v>
      </c>
      <c r="AE1329">
        <v>-245.81829999999999</v>
      </c>
      <c r="AF1329">
        <v>79.927833213238401</v>
      </c>
      <c r="AG1329">
        <v>18.541788</v>
      </c>
      <c r="AH1329">
        <v>231.87653929588399</v>
      </c>
      <c r="AI1329">
        <v>85.676729755497206</v>
      </c>
      <c r="AJ1329">
        <v>70.980929703755194</v>
      </c>
      <c r="AK1329">
        <v>245.96541606542101</v>
      </c>
      <c r="AL1329">
        <v>87.253317650481904</v>
      </c>
      <c r="AM1329">
        <v>87.133565560291501</v>
      </c>
      <c r="AN1329">
        <v>0.99999997496790105</v>
      </c>
    </row>
    <row r="1330" spans="1:40" x14ac:dyDescent="0.25">
      <c r="A1330" t="str">
        <f>"20190312160623808"</f>
        <v>20190312160623808</v>
      </c>
      <c r="B1330" t="str">
        <f>"1552377983806772"</f>
        <v>1552377983806772</v>
      </c>
      <c r="C1330" t="s">
        <v>40</v>
      </c>
      <c r="D1330">
        <v>6.169918</v>
      </c>
      <c r="E1330">
        <v>0.61899040000000005</v>
      </c>
      <c r="F1330" t="s">
        <v>53</v>
      </c>
      <c r="G1330">
        <v>-168.8655</v>
      </c>
      <c r="H1330">
        <v>21.912410000000001</v>
      </c>
      <c r="I1330">
        <v>76.901219999999995</v>
      </c>
      <c r="J1330">
        <v>-189.37430000000001</v>
      </c>
      <c r="K1330">
        <v>1.0986910000000001</v>
      </c>
      <c r="L1330">
        <v>351.98469999999998</v>
      </c>
      <c r="M1330">
        <v>0.39496130000000002</v>
      </c>
      <c r="N1330">
        <v>0</v>
      </c>
      <c r="O1330">
        <v>-0.91855750000000003</v>
      </c>
      <c r="P1330">
        <v>0.35034860000000001</v>
      </c>
      <c r="Q1330">
        <v>3.3390830000000003E-2</v>
      </c>
      <c r="R1330">
        <v>-0.93602419999999997</v>
      </c>
      <c r="S1330">
        <v>0.23283390000000001</v>
      </c>
      <c r="T1330">
        <v>0.23568269999999999</v>
      </c>
      <c r="U1330">
        <v>-3.1164860000000001</v>
      </c>
      <c r="V1330">
        <v>4.9214470000000003E-2</v>
      </c>
      <c r="W1330">
        <v>4.8093179999999999E-2</v>
      </c>
      <c r="X1330">
        <v>0.99762969999999895</v>
      </c>
      <c r="Y1330">
        <v>0.32560519999999998</v>
      </c>
      <c r="Z1330">
        <v>-6.4123020000000003E-2</v>
      </c>
      <c r="AA1330">
        <v>0.94332890000000003</v>
      </c>
      <c r="AB1330">
        <v>27</v>
      </c>
      <c r="AC1330">
        <v>20.508800000000001</v>
      </c>
      <c r="AD1330">
        <v>20.813718999999999</v>
      </c>
      <c r="AE1330">
        <v>-275.08348000000001</v>
      </c>
      <c r="AF1330">
        <v>89.311912185614304</v>
      </c>
      <c r="AG1330">
        <v>20.813718999999999</v>
      </c>
      <c r="AH1330">
        <v>259.33730121552401</v>
      </c>
      <c r="AI1330">
        <v>85.660515109847694</v>
      </c>
      <c r="AJ1330">
        <v>70.997053495392194</v>
      </c>
      <c r="AK1330">
        <v>275.073925261216</v>
      </c>
      <c r="AL1330">
        <v>87.243400467556199</v>
      </c>
      <c r="AM1330">
        <v>87.175808457178405</v>
      </c>
      <c r="AN1330">
        <v>1.00000001817099</v>
      </c>
    </row>
    <row r="1331" spans="1:40" x14ac:dyDescent="0.25">
      <c r="A1331" t="str">
        <f>"20190312160623828"</f>
        <v>20190312160623828</v>
      </c>
      <c r="B1331" t="str">
        <f>"1552377983816532"</f>
        <v>1552377983816532</v>
      </c>
      <c r="C1331" t="s">
        <v>40</v>
      </c>
      <c r="D1331">
        <v>6.2229910000000004</v>
      </c>
      <c r="E1331">
        <v>0.61857930000000005</v>
      </c>
      <c r="F1331" t="s">
        <v>41</v>
      </c>
      <c r="G1331">
        <v>0</v>
      </c>
      <c r="H1331">
        <v>0</v>
      </c>
      <c r="I1331">
        <v>0</v>
      </c>
      <c r="J1331">
        <v>-189.2953</v>
      </c>
      <c r="K1331">
        <v>1.0987420000000001</v>
      </c>
      <c r="L1331">
        <v>351.76889999999997</v>
      </c>
      <c r="M1331">
        <v>0.38366260000000002</v>
      </c>
      <c r="N1331">
        <v>0</v>
      </c>
      <c r="O1331">
        <v>-0.92333399999999999</v>
      </c>
      <c r="P1331">
        <v>0.33984009999999998</v>
      </c>
      <c r="Q1331">
        <v>3.2764729999999999E-2</v>
      </c>
      <c r="R1331">
        <v>-0.93991230000000003</v>
      </c>
      <c r="S1331">
        <v>0.17045589999999999</v>
      </c>
      <c r="T1331">
        <v>0.38641239999999999</v>
      </c>
      <c r="U1331">
        <v>-3.127472</v>
      </c>
      <c r="V1331">
        <v>4.8136650000000003E-2</v>
      </c>
      <c r="W1331">
        <v>4.749258E-2</v>
      </c>
      <c r="X1331">
        <v>0.99771109999999996</v>
      </c>
      <c r="Y1331">
        <v>0.33312649999999999</v>
      </c>
      <c r="Z1331">
        <v>-0.1050519</v>
      </c>
      <c r="AA1331">
        <v>0.9370117</v>
      </c>
      <c r="AB1331">
        <v>27</v>
      </c>
      <c r="AC1331">
        <v>0.17045589999999999</v>
      </c>
      <c r="AD1331">
        <v>0.38641239999999999</v>
      </c>
      <c r="AE1331">
        <v>-3.127472</v>
      </c>
      <c r="AF1331">
        <v>1.0270089498988999</v>
      </c>
      <c r="AG1331">
        <v>0.38641239999999999</v>
      </c>
      <c r="AH1331">
        <v>2.9091995421383601</v>
      </c>
      <c r="AI1331">
        <v>82.860943148907296</v>
      </c>
      <c r="AJ1331">
        <v>70.555891005175297</v>
      </c>
      <c r="AK1331">
        <v>3.10926098969261</v>
      </c>
      <c r="AL1331">
        <v>87.277851796861796</v>
      </c>
      <c r="AM1331">
        <v>87.237787731011394</v>
      </c>
      <c r="AN1331">
        <v>1.00000006064574</v>
      </c>
    </row>
    <row r="1332" spans="1:40" x14ac:dyDescent="0.25">
      <c r="A1332" t="str">
        <f>"20190312160623839"</f>
        <v>20190312160623839</v>
      </c>
      <c r="B1332" t="str">
        <f>"1552377983836052"</f>
        <v>1552377983836052</v>
      </c>
      <c r="C1332" t="s">
        <v>40</v>
      </c>
      <c r="D1332">
        <v>6.1822350000000004</v>
      </c>
      <c r="E1332">
        <v>0.61703469999999905</v>
      </c>
      <c r="F1332" t="s">
        <v>41</v>
      </c>
      <c r="G1332">
        <v>0</v>
      </c>
      <c r="H1332">
        <v>0</v>
      </c>
      <c r="I1332">
        <v>0</v>
      </c>
      <c r="J1332">
        <v>-189.24639999999999</v>
      </c>
      <c r="K1332">
        <v>1.098778</v>
      </c>
      <c r="L1332">
        <v>351.63139999999999</v>
      </c>
      <c r="M1332">
        <v>0.37647059999999999</v>
      </c>
      <c r="N1332">
        <v>0</v>
      </c>
      <c r="O1332">
        <v>-0.9262899</v>
      </c>
      <c r="P1332">
        <v>0.33298220000000001</v>
      </c>
      <c r="Q1332">
        <v>3.2194090000000002E-2</v>
      </c>
      <c r="R1332">
        <v>-0.94238379999999999</v>
      </c>
      <c r="S1332">
        <v>0.13851930000000001</v>
      </c>
      <c r="T1332">
        <v>0.38065929999999998</v>
      </c>
      <c r="U1332">
        <v>-3.128479</v>
      </c>
      <c r="V1332">
        <v>4.7635179999999999E-2</v>
      </c>
      <c r="W1332">
        <v>4.6931970000000003E-2</v>
      </c>
      <c r="X1332">
        <v>0.99776160000000003</v>
      </c>
      <c r="Y1332">
        <v>0.33534740000000002</v>
      </c>
      <c r="Z1332">
        <v>-0.1039769</v>
      </c>
      <c r="AA1332">
        <v>0.93633909999999998</v>
      </c>
      <c r="AB1332">
        <v>27</v>
      </c>
      <c r="AC1332">
        <v>0.13851930000000001</v>
      </c>
      <c r="AD1332">
        <v>0.38065929999999998</v>
      </c>
      <c r="AE1332">
        <v>-3.128479</v>
      </c>
      <c r="AF1332">
        <v>1.0343230524841101</v>
      </c>
      <c r="AG1332">
        <v>0.38065929999999998</v>
      </c>
      <c r="AH1332">
        <v>2.90744564824633</v>
      </c>
      <c r="AI1332">
        <v>82.967942924168696</v>
      </c>
      <c r="AJ1332">
        <v>70.416997174318297</v>
      </c>
      <c r="AK1332">
        <v>3.1093352789757298</v>
      </c>
      <c r="AL1332">
        <v>87.310007983972994</v>
      </c>
      <c r="AM1332">
        <v>87.266657714895203</v>
      </c>
      <c r="AN1332">
        <v>0.99999996530813595</v>
      </c>
    </row>
    <row r="1333" spans="1:40" x14ac:dyDescent="0.25">
      <c r="A1333" t="str">
        <f>"20190312160623851"</f>
        <v>20190312160623851</v>
      </c>
      <c r="B1333" t="str">
        <f>"1552377983845813"</f>
        <v>1552377983845813</v>
      </c>
      <c r="C1333" t="s">
        <v>40</v>
      </c>
      <c r="D1333">
        <v>5.856109</v>
      </c>
      <c r="E1333">
        <v>0.61703469999999905</v>
      </c>
      <c r="F1333" t="s">
        <v>41</v>
      </c>
      <c r="G1333">
        <v>0</v>
      </c>
      <c r="H1333">
        <v>0</v>
      </c>
      <c r="I1333">
        <v>0</v>
      </c>
      <c r="J1333">
        <v>-189.19540000000001</v>
      </c>
      <c r="K1333">
        <v>1.098819</v>
      </c>
      <c r="L1333">
        <v>351.48430000000002</v>
      </c>
      <c r="M1333">
        <v>0.3687937</v>
      </c>
      <c r="N1333">
        <v>0</v>
      </c>
      <c r="O1333">
        <v>-0.929373</v>
      </c>
      <c r="P1333">
        <v>0.32519130000000002</v>
      </c>
      <c r="Q1333">
        <v>3.1576189999999997E-2</v>
      </c>
      <c r="R1333">
        <v>-0.94512090000000004</v>
      </c>
      <c r="S1333">
        <v>0.1269989</v>
      </c>
      <c r="T1333">
        <v>0.36211450000000001</v>
      </c>
      <c r="U1333">
        <v>-3.1261899999999998</v>
      </c>
      <c r="V1333">
        <v>4.7602310000000002E-2</v>
      </c>
      <c r="W1333">
        <v>4.63118E-2</v>
      </c>
      <c r="X1333">
        <v>0.99779220000000002</v>
      </c>
      <c r="Y1333">
        <v>0.33095380000000002</v>
      </c>
      <c r="Z1333">
        <v>-9.9670889999999998E-2</v>
      </c>
      <c r="AA1333">
        <v>0.93836839999999999</v>
      </c>
      <c r="AB1333">
        <v>27</v>
      </c>
      <c r="AC1333">
        <v>0.1269989</v>
      </c>
      <c r="AD1333">
        <v>0.36211450000000001</v>
      </c>
      <c r="AE1333">
        <v>-3.1261899999999998</v>
      </c>
      <c r="AF1333">
        <v>1.0213419093662</v>
      </c>
      <c r="AG1333">
        <v>0.36211450000000001</v>
      </c>
      <c r="AH1333">
        <v>2.9135847885866699</v>
      </c>
      <c r="AI1333">
        <v>83.310491087958397</v>
      </c>
      <c r="AJ1333">
        <v>70.682151808468006</v>
      </c>
      <c r="AK1333">
        <v>3.1085756428341398</v>
      </c>
      <c r="AL1333">
        <v>87.345579931285897</v>
      </c>
      <c r="AM1333">
        <v>87.268624603432897</v>
      </c>
      <c r="AN1333">
        <v>1.0000000185586999</v>
      </c>
    </row>
    <row r="1334" spans="1:40" x14ac:dyDescent="0.25">
      <c r="A1334" t="str">
        <f>"20190312160623873"</f>
        <v>20190312160623873</v>
      </c>
      <c r="B1334" t="str">
        <f>"1552377983866309"</f>
        <v>1552377983866309</v>
      </c>
      <c r="C1334" t="s">
        <v>40</v>
      </c>
      <c r="D1334">
        <v>6.3087350000000004</v>
      </c>
      <c r="E1334">
        <v>0.61511229999999995</v>
      </c>
      <c r="F1334" t="s">
        <v>54</v>
      </c>
      <c r="G1334">
        <v>-175.20840000000001</v>
      </c>
      <c r="H1334">
        <v>50.894590000000001</v>
      </c>
      <c r="I1334">
        <v>-80.965509999999995</v>
      </c>
      <c r="J1334">
        <v>-189.11089999999999</v>
      </c>
      <c r="K1334">
        <v>1.098905</v>
      </c>
      <c r="L1334">
        <v>351.23140000000001</v>
      </c>
      <c r="M1334">
        <v>0.35563699999999998</v>
      </c>
      <c r="N1334">
        <v>0</v>
      </c>
      <c r="O1334">
        <v>-0.93448699999999996</v>
      </c>
      <c r="P1334">
        <v>0.31190800000000002</v>
      </c>
      <c r="Q1334">
        <v>3.1077150000000001E-2</v>
      </c>
      <c r="R1334">
        <v>-0.94960389999999995</v>
      </c>
      <c r="S1334">
        <v>0.1011505</v>
      </c>
      <c r="T1334">
        <v>0.36011179999999998</v>
      </c>
      <c r="U1334">
        <v>-3.12738</v>
      </c>
      <c r="V1334">
        <v>4.7488549999999997E-2</v>
      </c>
      <c r="W1334">
        <v>4.580737E-2</v>
      </c>
      <c r="X1334">
        <v>0.99782090000000001</v>
      </c>
      <c r="Y1334">
        <v>0.3253915</v>
      </c>
      <c r="Z1334">
        <v>-0.10008069999999999</v>
      </c>
      <c r="AA1334">
        <v>0.9402682</v>
      </c>
      <c r="AB1334">
        <v>27</v>
      </c>
      <c r="AC1334">
        <v>13.9024999999999</v>
      </c>
      <c r="AD1334">
        <v>49.795684999999999</v>
      </c>
      <c r="AE1334">
        <v>-432.19690999999898</v>
      </c>
      <c r="AF1334">
        <v>138.88975336306399</v>
      </c>
      <c r="AG1334">
        <v>49.795684999999999</v>
      </c>
      <c r="AH1334">
        <v>403.52793443816699</v>
      </c>
      <c r="AI1334">
        <v>83.344664535539906</v>
      </c>
      <c r="AJ1334">
        <v>71.007116051994402</v>
      </c>
      <c r="AK1334">
        <v>429.65656948987203</v>
      </c>
      <c r="AL1334">
        <v>87.374512332661098</v>
      </c>
      <c r="AM1334">
        <v>87.275220450871203</v>
      </c>
      <c r="AN1334">
        <v>1.0000000130021101</v>
      </c>
    </row>
    <row r="1335" spans="1:40" x14ac:dyDescent="0.25">
      <c r="A1335" t="str">
        <f>"20190312160623898"</f>
        <v>20190312160623898</v>
      </c>
      <c r="B1335" t="str">
        <f>"1552377983885831"</f>
        <v>1552377983885831</v>
      </c>
      <c r="C1335" t="s">
        <v>40</v>
      </c>
      <c r="D1335">
        <v>6.2358469999999997</v>
      </c>
      <c r="E1335">
        <v>0.61427469999999995</v>
      </c>
      <c r="F1335" t="s">
        <v>54</v>
      </c>
      <c r="G1335">
        <v>-179.28229999999999</v>
      </c>
      <c r="H1335">
        <v>47.490630000000003</v>
      </c>
      <c r="I1335">
        <v>-81.830910000000003</v>
      </c>
      <c r="J1335">
        <v>-189.02080000000001</v>
      </c>
      <c r="K1335">
        <v>1.0990169999999999</v>
      </c>
      <c r="L1335">
        <v>350.94729999999998</v>
      </c>
      <c r="M1335">
        <v>0.34096880000000002</v>
      </c>
      <c r="N1335">
        <v>0</v>
      </c>
      <c r="O1335">
        <v>-0.93993870000000002</v>
      </c>
      <c r="P1335">
        <v>0.29739169999999998</v>
      </c>
      <c r="Q1335">
        <v>3.1422690000000003E-2</v>
      </c>
      <c r="R1335">
        <v>-0.95423829999999998</v>
      </c>
      <c r="S1335">
        <v>7.0922849999999996E-2</v>
      </c>
      <c r="T1335">
        <v>0.3347619</v>
      </c>
      <c r="U1335">
        <v>-3.1249690000000001</v>
      </c>
      <c r="V1335">
        <v>4.7079559999999999E-2</v>
      </c>
      <c r="W1335">
        <v>4.6151749999999998E-2</v>
      </c>
      <c r="X1335">
        <v>0.99782439999999994</v>
      </c>
      <c r="Y1335">
        <v>0.31964939999999997</v>
      </c>
      <c r="Z1335">
        <v>-9.4163579999999997E-2</v>
      </c>
      <c r="AA1335">
        <v>0.94284539999999994</v>
      </c>
      <c r="AB1335">
        <v>27</v>
      </c>
      <c r="AC1335">
        <v>9.7385000000000108</v>
      </c>
      <c r="AD1335">
        <v>46.3916129999999</v>
      </c>
      <c r="AE1335">
        <v>-432.77820999999898</v>
      </c>
      <c r="AF1335">
        <v>136.85617692149501</v>
      </c>
      <c r="AG1335">
        <v>46.3916129999999</v>
      </c>
      <c r="AH1335">
        <v>405.50076976659602</v>
      </c>
      <c r="AI1335">
        <v>83.813375085584198</v>
      </c>
      <c r="AJ1335">
        <v>71.350503470325094</v>
      </c>
      <c r="AK1335">
        <v>430.47958046765802</v>
      </c>
      <c r="AL1335">
        <v>87.3547598902788</v>
      </c>
      <c r="AM1335">
        <v>87.298661870129095</v>
      </c>
      <c r="AN1335">
        <v>1.0000000011165999</v>
      </c>
    </row>
    <row r="1336" spans="1:40" x14ac:dyDescent="0.25">
      <c r="A1336" t="str">
        <f>"20190312160623919"</f>
        <v>20190312160623919</v>
      </c>
      <c r="B1336" t="str">
        <f>"1552377983906326"</f>
        <v>1552377983906326</v>
      </c>
      <c r="C1336" t="s">
        <v>40</v>
      </c>
      <c r="D1336">
        <v>6.3287309999999897</v>
      </c>
      <c r="E1336">
        <v>0.61215200000000003</v>
      </c>
      <c r="F1336" t="s">
        <v>54</v>
      </c>
      <c r="G1336">
        <v>-184.9282</v>
      </c>
      <c r="H1336">
        <v>46.572899999999997</v>
      </c>
      <c r="I1336">
        <v>-81.830609999999993</v>
      </c>
      <c r="J1336">
        <v>-188.94149999999999</v>
      </c>
      <c r="K1336">
        <v>1.099146</v>
      </c>
      <c r="L1336">
        <v>350.68369999999999</v>
      </c>
      <c r="M1336">
        <v>0.32747130000000002</v>
      </c>
      <c r="N1336">
        <v>0</v>
      </c>
      <c r="O1336">
        <v>-0.94472650000000002</v>
      </c>
      <c r="P1336">
        <v>0.28458319999999998</v>
      </c>
      <c r="Q1336">
        <v>3.1490780000000003E-2</v>
      </c>
      <c r="R1336">
        <v>-0.95813440000000005</v>
      </c>
      <c r="S1336">
        <v>2.9541020000000001E-2</v>
      </c>
      <c r="T1336">
        <v>0.32823239999999998</v>
      </c>
      <c r="U1336">
        <v>-3.1238100000000002</v>
      </c>
      <c r="V1336">
        <v>4.6139649999999997E-2</v>
      </c>
      <c r="W1336">
        <v>4.6230830000000001E-2</v>
      </c>
      <c r="X1336">
        <v>0.99786470000000005</v>
      </c>
      <c r="Y1336">
        <v>0.31855889999999998</v>
      </c>
      <c r="Z1336">
        <v>-9.31501E-2</v>
      </c>
      <c r="AA1336">
        <v>0.94331509999999996</v>
      </c>
      <c r="AB1336">
        <v>27</v>
      </c>
      <c r="AC1336">
        <v>4.0132999999999797</v>
      </c>
      <c r="AD1336">
        <v>45.473754</v>
      </c>
      <c r="AE1336">
        <v>-432.51431000000002</v>
      </c>
      <c r="AF1336">
        <v>136.35494687708501</v>
      </c>
      <c r="AG1336">
        <v>45.473754</v>
      </c>
      <c r="AH1336">
        <v>405.49218336984802</v>
      </c>
      <c r="AI1336">
        <v>83.9324898870873</v>
      </c>
      <c r="AJ1336">
        <v>71.413740605647803</v>
      </c>
      <c r="AK1336">
        <v>430.21441702336199</v>
      </c>
      <c r="AL1336">
        <v>87.350224250025704</v>
      </c>
      <c r="AM1336">
        <v>87.352621426430204</v>
      </c>
      <c r="AN1336">
        <v>1.0000000582253401</v>
      </c>
    </row>
    <row r="1337" spans="1:40" x14ac:dyDescent="0.25">
      <c r="A1337" t="str">
        <f>"20190312160623940"</f>
        <v>20190312160623940</v>
      </c>
      <c r="B1337" t="str">
        <f>"1552377983936580"</f>
        <v>1552377983936580</v>
      </c>
      <c r="C1337" t="s">
        <v>40</v>
      </c>
      <c r="D1337">
        <v>5.2884409999999997</v>
      </c>
      <c r="E1337">
        <v>0.60888419999999999</v>
      </c>
      <c r="F1337" t="s">
        <v>54</v>
      </c>
      <c r="G1337">
        <v>-188.43799999999999</v>
      </c>
      <c r="H1337">
        <v>44.607550000000003</v>
      </c>
      <c r="I1337">
        <v>-81.82996</v>
      </c>
      <c r="J1337">
        <v>-188.87129999999999</v>
      </c>
      <c r="K1337">
        <v>1.0992630000000001</v>
      </c>
      <c r="L1337">
        <v>350.43889999999999</v>
      </c>
      <c r="M1337">
        <v>0.31502599999999997</v>
      </c>
      <c r="N1337">
        <v>0</v>
      </c>
      <c r="O1337">
        <v>-0.9489493</v>
      </c>
      <c r="P1337">
        <v>0.27304489999999998</v>
      </c>
      <c r="Q1337">
        <v>3.0913409999999999E-2</v>
      </c>
      <c r="R1337">
        <v>-0.96150449999999998</v>
      </c>
      <c r="S1337">
        <v>3.6315919999999999E-3</v>
      </c>
      <c r="T1337">
        <v>0.31382300000000002</v>
      </c>
      <c r="U1337">
        <v>-3.1196899999999999</v>
      </c>
      <c r="V1337">
        <v>4.4995899999999998E-2</v>
      </c>
      <c r="W1337">
        <v>4.5668750000000001E-2</v>
      </c>
      <c r="X1337">
        <v>0.99794269999999996</v>
      </c>
      <c r="Y1337">
        <v>0.3139248</v>
      </c>
      <c r="Z1337">
        <v>-8.9925909999999998E-2</v>
      </c>
      <c r="AA1337">
        <v>0.94517960000000001</v>
      </c>
      <c r="AB1337">
        <v>27</v>
      </c>
      <c r="AC1337">
        <v>0.43330000000000202</v>
      </c>
      <c r="AD1337">
        <v>43.508287000000003</v>
      </c>
      <c r="AE1337">
        <v>-432.26885999999899</v>
      </c>
      <c r="AF1337">
        <v>134.42022606952699</v>
      </c>
      <c r="AG1337">
        <v>43.508287000000003</v>
      </c>
      <c r="AH1337">
        <v>406.27401997497299</v>
      </c>
      <c r="AI1337">
        <v>84.194652512394299</v>
      </c>
      <c r="AJ1337">
        <v>71.692634745719701</v>
      </c>
      <c r="AK1337">
        <v>430.13991621434297</v>
      </c>
      <c r="AL1337">
        <v>87.382462826799497</v>
      </c>
      <c r="AM1337">
        <v>87.418358560433006</v>
      </c>
      <c r="AN1337">
        <v>0.99999994911332901</v>
      </c>
    </row>
    <row r="1338" spans="1:40" x14ac:dyDescent="0.25">
      <c r="A1338" t="str">
        <f>"20190312160623952"</f>
        <v>20190312160623952</v>
      </c>
      <c r="B1338" t="str">
        <f>"1552377983946341"</f>
        <v>1552377983946341</v>
      </c>
      <c r="C1338" t="s">
        <v>40</v>
      </c>
      <c r="D1338">
        <v>6.5511990000000004</v>
      </c>
      <c r="E1338">
        <v>0.60843749999999996</v>
      </c>
      <c r="F1338" t="s">
        <v>54</v>
      </c>
      <c r="G1338">
        <v>-190.1763</v>
      </c>
      <c r="H1338">
        <v>41.816009999999999</v>
      </c>
      <c r="I1338">
        <v>-81.829030000000003</v>
      </c>
      <c r="J1338">
        <v>-188.8295</v>
      </c>
      <c r="K1338">
        <v>1.0993459999999999</v>
      </c>
      <c r="L1338">
        <v>350.28820000000002</v>
      </c>
      <c r="M1338">
        <v>0.30740650000000003</v>
      </c>
      <c r="N1338">
        <v>0</v>
      </c>
      <c r="O1338">
        <v>-0.95144530000000005</v>
      </c>
      <c r="P1338">
        <v>0.26576809999999901</v>
      </c>
      <c r="Q1338">
        <v>3.0609999999999998E-2</v>
      </c>
      <c r="R1338">
        <v>-0.96355069999999998</v>
      </c>
      <c r="S1338">
        <v>-9.399414E-3</v>
      </c>
      <c r="T1338">
        <v>0.29325600000000002</v>
      </c>
      <c r="U1338">
        <v>-3.1133419999999998</v>
      </c>
      <c r="V1338">
        <v>4.4524149999999998E-2</v>
      </c>
      <c r="W1338">
        <v>4.5367699999999997E-2</v>
      </c>
      <c r="X1338">
        <v>0.99797760000000002</v>
      </c>
      <c r="Y1338">
        <v>0.31027120000000002</v>
      </c>
      <c r="Z1338">
        <v>-8.4659440000000002E-2</v>
      </c>
      <c r="AA1338">
        <v>0.94687089999999996</v>
      </c>
      <c r="AB1338">
        <v>27</v>
      </c>
      <c r="AC1338">
        <v>-1.3468</v>
      </c>
      <c r="AD1338">
        <v>40.716664000000002</v>
      </c>
      <c r="AE1338">
        <v>-432.11723000000001</v>
      </c>
      <c r="AF1338">
        <v>132.95360502178599</v>
      </c>
      <c r="AG1338">
        <v>40.716664000000002</v>
      </c>
      <c r="AH1338">
        <v>407.15893716158098</v>
      </c>
      <c r="AI1338">
        <v>84.569662082344806</v>
      </c>
      <c r="AJ1338">
        <v>71.916078014310699</v>
      </c>
      <c r="AK1338">
        <v>430.24749612999102</v>
      </c>
      <c r="AL1338">
        <v>87.399729645087305</v>
      </c>
      <c r="AM1338">
        <v>87.445478405858495</v>
      </c>
      <c r="AN1338">
        <v>0.99999995911913497</v>
      </c>
    </row>
    <row r="1339" spans="1:40" x14ac:dyDescent="0.25">
      <c r="A1339" t="str">
        <f>"20190312160623965"</f>
        <v>20190312160623965</v>
      </c>
      <c r="B1339" t="str">
        <f>"1552377983956101"</f>
        <v>1552377983956101</v>
      </c>
      <c r="C1339" t="s">
        <v>40</v>
      </c>
      <c r="D1339">
        <v>5.8303219999999998</v>
      </c>
      <c r="E1339">
        <v>0.60763180000000006</v>
      </c>
      <c r="F1339" t="s">
        <v>54</v>
      </c>
      <c r="G1339">
        <v>-192.93510000000001</v>
      </c>
      <c r="H1339">
        <v>41.046149999999997</v>
      </c>
      <c r="I1339">
        <v>-81.828769999999906</v>
      </c>
      <c r="J1339">
        <v>-188.78909999999999</v>
      </c>
      <c r="K1339">
        <v>1.0994299999999999</v>
      </c>
      <c r="L1339">
        <v>350.13630000000001</v>
      </c>
      <c r="M1339">
        <v>0.29979509999999998</v>
      </c>
      <c r="N1339">
        <v>0</v>
      </c>
      <c r="O1339">
        <v>-0.95387129999999998</v>
      </c>
      <c r="P1339">
        <v>0.25849440000000001</v>
      </c>
      <c r="Q1339">
        <v>3.0617289999999998E-2</v>
      </c>
      <c r="R1339">
        <v>-0.96552740000000004</v>
      </c>
      <c r="S1339">
        <v>-2.9571529999999999E-2</v>
      </c>
      <c r="T1339">
        <v>0.28773209999999999</v>
      </c>
      <c r="U1339">
        <v>-3.1124879999999999</v>
      </c>
      <c r="V1339">
        <v>4.4066960000000002E-2</v>
      </c>
      <c r="W1339">
        <v>4.5376279999999998E-2</v>
      </c>
      <c r="X1339">
        <v>0.99799749999999998</v>
      </c>
      <c r="Y1339">
        <v>0.30881619999999999</v>
      </c>
      <c r="Z1339">
        <v>-8.3453120000000006E-2</v>
      </c>
      <c r="AA1339">
        <v>0.94745349999999995</v>
      </c>
      <c r="AB1339">
        <v>27</v>
      </c>
      <c r="AC1339">
        <v>-4.1460000000000097</v>
      </c>
      <c r="AD1339">
        <v>39.946719999999999</v>
      </c>
      <c r="AE1339">
        <v>-431.96507000000003</v>
      </c>
      <c r="AF1339">
        <v>132.34094137265799</v>
      </c>
      <c r="AG1339">
        <v>39.946719999999999</v>
      </c>
      <c r="AH1339">
        <v>407.36455401447</v>
      </c>
      <c r="AI1339">
        <v>84.671823411126695</v>
      </c>
      <c r="AJ1339">
        <v>72.002522251589198</v>
      </c>
      <c r="AK1339">
        <v>430.18106079832</v>
      </c>
      <c r="AL1339">
        <v>87.399237534658496</v>
      </c>
      <c r="AM1339">
        <v>87.471725287633902</v>
      </c>
      <c r="AN1339">
        <v>0.99999995687826404</v>
      </c>
    </row>
    <row r="1340" spans="1:40" x14ac:dyDescent="0.25">
      <c r="A1340" t="str">
        <f>"20190312160623987"</f>
        <v>20190312160623987</v>
      </c>
      <c r="B1340" t="str">
        <f>"1552377983976600"</f>
        <v>1552377983976600</v>
      </c>
      <c r="C1340" t="s">
        <v>40</v>
      </c>
      <c r="D1340">
        <v>6.3173719999999998</v>
      </c>
      <c r="E1340">
        <v>0.60616349999999997</v>
      </c>
      <c r="F1340" t="s">
        <v>54</v>
      </c>
      <c r="G1340">
        <v>-195.3322</v>
      </c>
      <c r="H1340">
        <v>40.206479999999999</v>
      </c>
      <c r="I1340">
        <v>-81.828500000000005</v>
      </c>
      <c r="J1340">
        <v>-188.7234</v>
      </c>
      <c r="K1340">
        <v>1.099588</v>
      </c>
      <c r="L1340">
        <v>349.87990000000002</v>
      </c>
      <c r="M1340">
        <v>0.28706710000000002</v>
      </c>
      <c r="N1340">
        <v>0</v>
      </c>
      <c r="O1340">
        <v>-0.9577793</v>
      </c>
      <c r="P1340">
        <v>0.24666360000000001</v>
      </c>
      <c r="Q1340">
        <v>3.042102E-2</v>
      </c>
      <c r="R1340">
        <v>-0.96862380000000003</v>
      </c>
      <c r="S1340">
        <v>-4.7119139999999997E-2</v>
      </c>
      <c r="T1340">
        <v>0.28162530000000002</v>
      </c>
      <c r="U1340">
        <v>-3.1107480000000001</v>
      </c>
      <c r="V1340">
        <v>4.2965259999999998E-2</v>
      </c>
      <c r="W1340">
        <v>4.518908E-2</v>
      </c>
      <c r="X1340">
        <v>0.99805410000000006</v>
      </c>
      <c r="Y1340">
        <v>0.3014966</v>
      </c>
      <c r="Z1340">
        <v>-8.2370830000000006E-2</v>
      </c>
      <c r="AA1340">
        <v>0.94990249999999998</v>
      </c>
      <c r="AB1340">
        <v>27</v>
      </c>
      <c r="AC1340">
        <v>-6.6087999999999996</v>
      </c>
      <c r="AD1340">
        <v>39.106891999999903</v>
      </c>
      <c r="AE1340">
        <v>-431.70839999999998</v>
      </c>
      <c r="AF1340">
        <v>129.21534168020801</v>
      </c>
      <c r="AG1340">
        <v>39.106891999999903</v>
      </c>
      <c r="AH1340">
        <v>408.28635657932301</v>
      </c>
      <c r="AI1340">
        <v>84.782288260520303</v>
      </c>
      <c r="AJ1340">
        <v>72.438350527440207</v>
      </c>
      <c r="AK1340">
        <v>430.02756015893999</v>
      </c>
      <c r="AL1340">
        <v>87.409974499215807</v>
      </c>
      <c r="AM1340">
        <v>87.534994300036601</v>
      </c>
      <c r="AN1340">
        <v>1.00000002652246</v>
      </c>
    </row>
    <row r="1341" spans="1:40" x14ac:dyDescent="0.25">
      <c r="A1341" t="str">
        <f>"20190312160624007"</f>
        <v>20190312160624007</v>
      </c>
      <c r="B1341" t="str">
        <f>"1552377983996117"</f>
        <v>1552377983996117</v>
      </c>
      <c r="C1341" t="s">
        <v>40</v>
      </c>
      <c r="D1341">
        <v>6.0432009999999998</v>
      </c>
      <c r="E1341">
        <v>0.60563009999999995</v>
      </c>
      <c r="F1341" t="s">
        <v>54</v>
      </c>
      <c r="G1341">
        <v>-199.01759999999999</v>
      </c>
      <c r="H1341">
        <v>39.338590000000003</v>
      </c>
      <c r="I1341">
        <v>-81.828209999999999</v>
      </c>
      <c r="J1341">
        <v>-188.66309999999999</v>
      </c>
      <c r="K1341">
        <v>1.0997479999999999</v>
      </c>
      <c r="L1341">
        <v>349.63229999999999</v>
      </c>
      <c r="M1341">
        <v>0.27494259999999998</v>
      </c>
      <c r="N1341">
        <v>0</v>
      </c>
      <c r="O1341">
        <v>-0.96133049999999998</v>
      </c>
      <c r="P1341">
        <v>0.2357688</v>
      </c>
      <c r="Q1341">
        <v>2.95225E-2</v>
      </c>
      <c r="R1341">
        <v>-0.97136040000000001</v>
      </c>
      <c r="S1341">
        <v>-7.4096679999999998E-2</v>
      </c>
      <c r="T1341">
        <v>0.27523779999999998</v>
      </c>
      <c r="U1341">
        <v>-3.107361</v>
      </c>
      <c r="V1341">
        <v>4.1530110000000002E-2</v>
      </c>
      <c r="W1341">
        <v>4.4305419999999998E-2</v>
      </c>
      <c r="X1341">
        <v>0.99815449999999994</v>
      </c>
      <c r="Y1341">
        <v>0.29771219999999998</v>
      </c>
      <c r="Z1341">
        <v>-8.1117289999999995E-2</v>
      </c>
      <c r="AA1341">
        <v>0.95120320000000003</v>
      </c>
      <c r="AB1341">
        <v>27</v>
      </c>
      <c r="AC1341">
        <v>-10.3545</v>
      </c>
      <c r="AD1341">
        <v>38.238841999999998</v>
      </c>
      <c r="AE1341">
        <v>-431.46050999999898</v>
      </c>
      <c r="AF1341">
        <v>127.595420237528</v>
      </c>
      <c r="AG1341">
        <v>38.238841999999998</v>
      </c>
      <c r="AH1341">
        <v>408.77188836744801</v>
      </c>
      <c r="AI1341">
        <v>84.897219617643401</v>
      </c>
      <c r="AJ1341">
        <v>72.664594589044299</v>
      </c>
      <c r="AK1341">
        <v>429.92703685925801</v>
      </c>
      <c r="AL1341">
        <v>87.460655345809698</v>
      </c>
      <c r="AM1341">
        <v>87.617474676979896</v>
      </c>
      <c r="AN1341">
        <v>1.0000000630741099</v>
      </c>
    </row>
    <row r="1342" spans="1:40" x14ac:dyDescent="0.25">
      <c r="A1342" t="str">
        <f>"20190312160624021"</f>
        <v>20190312160624021</v>
      </c>
      <c r="B1342" t="str">
        <f>"1552377984016613"</f>
        <v>1552377984016613</v>
      </c>
      <c r="C1342" t="s">
        <v>40</v>
      </c>
      <c r="D1342">
        <v>6.0603030000000002</v>
      </c>
      <c r="E1342">
        <v>0.57723500000000005</v>
      </c>
      <c r="F1342" t="s">
        <v>54</v>
      </c>
      <c r="G1342">
        <v>-203.19</v>
      </c>
      <c r="H1342">
        <v>38.670090000000002</v>
      </c>
      <c r="I1342">
        <v>-81.116759999999999</v>
      </c>
      <c r="J1342">
        <v>-188.62520000000001</v>
      </c>
      <c r="K1342">
        <v>1.0998600000000001</v>
      </c>
      <c r="L1342">
        <v>349.46910000000003</v>
      </c>
      <c r="M1342">
        <v>0.26704620000000001</v>
      </c>
      <c r="N1342">
        <v>0</v>
      </c>
      <c r="O1342">
        <v>-0.96355440000000003</v>
      </c>
      <c r="P1342">
        <v>0.22860279999999999</v>
      </c>
      <c r="Q1342">
        <v>2.8789080000000002E-2</v>
      </c>
      <c r="R1342">
        <v>-0.97309409999999996</v>
      </c>
      <c r="S1342">
        <v>-0.1047363</v>
      </c>
      <c r="T1342">
        <v>0.27087519999999998</v>
      </c>
      <c r="U1342">
        <v>-3.1056210000000002</v>
      </c>
      <c r="V1342">
        <v>4.0672300000000002E-2</v>
      </c>
      <c r="W1342">
        <v>4.3576570000000002E-2</v>
      </c>
      <c r="X1342">
        <v>0.99822180000000005</v>
      </c>
      <c r="Y1342">
        <v>0.29927300000000001</v>
      </c>
      <c r="Z1342">
        <v>-8.0140660000000002E-2</v>
      </c>
      <c r="AA1342">
        <v>0.95079610000000003</v>
      </c>
      <c r="AB1342">
        <v>27</v>
      </c>
      <c r="AC1342">
        <v>-14.5647999999999</v>
      </c>
      <c r="AD1342">
        <v>37.570230000000002</v>
      </c>
      <c r="AE1342">
        <v>-430.585859999999</v>
      </c>
      <c r="AF1342">
        <v>128.06252320729499</v>
      </c>
      <c r="AG1342">
        <v>37.570230000000002</v>
      </c>
      <c r="AH1342">
        <v>407.95237517838001</v>
      </c>
      <c r="AI1342">
        <v>84.978487302783904</v>
      </c>
      <c r="AJ1342">
        <v>72.5721249604549</v>
      </c>
      <c r="AK1342">
        <v>429.22799587882599</v>
      </c>
      <c r="AL1342">
        <v>87.502455483537105</v>
      </c>
      <c r="AM1342">
        <v>87.666788232457407</v>
      </c>
      <c r="AN1342">
        <v>0.99999995771774597</v>
      </c>
    </row>
    <row r="1343" spans="1:40" x14ac:dyDescent="0.25">
      <c r="A1343" t="str">
        <f>"20190312160624041"</f>
        <v>20190312160624041</v>
      </c>
      <c r="B1343" t="str">
        <f>"1552377984036132"</f>
        <v>1552377984036132</v>
      </c>
      <c r="C1343" t="s">
        <v>40</v>
      </c>
      <c r="D1343">
        <v>6.2156949999999904</v>
      </c>
      <c r="E1343">
        <v>0.57660940000000005</v>
      </c>
      <c r="F1343" t="s">
        <v>54</v>
      </c>
      <c r="G1343">
        <v>-175.39269999999999</v>
      </c>
      <c r="H1343">
        <v>41.028570000000002</v>
      </c>
      <c r="I1343">
        <v>-80.962239999999994</v>
      </c>
      <c r="J1343">
        <v>-188.5719</v>
      </c>
      <c r="K1343">
        <v>1.1000350000000001</v>
      </c>
      <c r="L1343">
        <v>349.22989999999999</v>
      </c>
      <c r="M1343">
        <v>0.25561980000000001</v>
      </c>
      <c r="N1343">
        <v>0</v>
      </c>
      <c r="O1343">
        <v>-0.96664919999999999</v>
      </c>
      <c r="P1343">
        <v>0.21867719999999999</v>
      </c>
      <c r="Q1343">
        <v>2.7912139999999998E-2</v>
      </c>
      <c r="R1343">
        <v>-0.97539830000000005</v>
      </c>
      <c r="S1343">
        <v>9.3841549999999996E-2</v>
      </c>
      <c r="T1343">
        <v>0.28316529999999901</v>
      </c>
      <c r="U1343">
        <v>-3.052521</v>
      </c>
      <c r="V1343">
        <v>3.8988679999999998E-2</v>
      </c>
      <c r="W1343">
        <v>4.2714780000000001E-2</v>
      </c>
      <c r="X1343">
        <v>0.99832619999999905</v>
      </c>
      <c r="Y1343">
        <v>0.22592899999999999</v>
      </c>
      <c r="Z1343">
        <v>-8.6562509999999995E-2</v>
      </c>
      <c r="AA1343">
        <v>0.97029019999999999</v>
      </c>
      <c r="AB1343">
        <v>27</v>
      </c>
      <c r="AC1343">
        <v>13.1792</v>
      </c>
      <c r="AD1343">
        <v>39.928534999999997</v>
      </c>
      <c r="AE1343">
        <v>-430.19213999999999</v>
      </c>
      <c r="AF1343">
        <v>96.408263560334703</v>
      </c>
      <c r="AG1343">
        <v>39.928534999999997</v>
      </c>
      <c r="AH1343">
        <v>415.68802801762303</v>
      </c>
      <c r="AI1343">
        <v>84.654369159290297</v>
      </c>
      <c r="AJ1343">
        <v>76.942550538477505</v>
      </c>
      <c r="AK1343">
        <v>428.58532152553403</v>
      </c>
      <c r="AL1343">
        <v>87.551878385883896</v>
      </c>
      <c r="AM1343">
        <v>87.763504424709197</v>
      </c>
      <c r="AN1343">
        <v>0.99999993560251299</v>
      </c>
    </row>
    <row r="1344" spans="1:40" x14ac:dyDescent="0.25">
      <c r="A1344" t="str">
        <f>"20190312160624054"</f>
        <v>20190312160624054</v>
      </c>
      <c r="B1344" t="str">
        <f>"1552377984045893"</f>
        <v>1552377984045893</v>
      </c>
      <c r="C1344" t="s">
        <v>40</v>
      </c>
      <c r="D1344">
        <v>6.7246189999999997</v>
      </c>
      <c r="E1344">
        <v>0.57536299999999996</v>
      </c>
      <c r="F1344" t="s">
        <v>54</v>
      </c>
      <c r="G1344">
        <v>-179.08590000000001</v>
      </c>
      <c r="H1344">
        <v>38.951120000000003</v>
      </c>
      <c r="I1344">
        <v>-81.82808</v>
      </c>
      <c r="J1344">
        <v>-188.53800000000001</v>
      </c>
      <c r="K1344">
        <v>1.100155</v>
      </c>
      <c r="L1344">
        <v>349.07199999999898</v>
      </c>
      <c r="M1344">
        <v>0.24815119999999999</v>
      </c>
      <c r="N1344">
        <v>0</v>
      </c>
      <c r="O1344">
        <v>-0.96859379999999995</v>
      </c>
      <c r="P1344">
        <v>0.21178179999999999</v>
      </c>
      <c r="Q1344">
        <v>2.7333219999999998E-2</v>
      </c>
      <c r="R1344">
        <v>-0.97693479999999999</v>
      </c>
      <c r="S1344">
        <v>6.7184450000000007E-2</v>
      </c>
      <c r="T1344">
        <v>0.268078599999999</v>
      </c>
      <c r="U1344">
        <v>-3.0529480000000002</v>
      </c>
      <c r="V1344">
        <v>3.8311890000000001E-2</v>
      </c>
      <c r="W1344">
        <v>4.2134989999999997E-2</v>
      </c>
      <c r="X1344">
        <v>0.99837710000000002</v>
      </c>
      <c r="Y1344">
        <v>0.2268733</v>
      </c>
      <c r="Z1344">
        <v>-8.2227090000000003E-2</v>
      </c>
      <c r="AA1344">
        <v>0.9704469</v>
      </c>
      <c r="AB1344">
        <v>27</v>
      </c>
      <c r="AC1344">
        <v>9.4520999999999695</v>
      </c>
      <c r="AD1344">
        <v>37.850965000000002</v>
      </c>
      <c r="AE1344">
        <v>-430.90008</v>
      </c>
      <c r="AF1344">
        <v>97.036814600505494</v>
      </c>
      <c r="AG1344">
        <v>37.850965000000002</v>
      </c>
      <c r="AH1344">
        <v>416.55191485053001</v>
      </c>
      <c r="AI1344">
        <v>84.942624219022505</v>
      </c>
      <c r="AJ1344">
        <v>76.886672326020005</v>
      </c>
      <c r="AK1344">
        <v>429.37668393252</v>
      </c>
      <c r="AL1344">
        <v>87.585127990403507</v>
      </c>
      <c r="AM1344">
        <v>87.802400451616407</v>
      </c>
      <c r="AN1344">
        <v>0.99999999605104095</v>
      </c>
    </row>
    <row r="1345" spans="1:40" x14ac:dyDescent="0.25">
      <c r="A1345" t="str">
        <f>"20190312160624066"</f>
        <v>20190312160624066</v>
      </c>
      <c r="B1345" t="str">
        <f>"1552377984056628"</f>
        <v>1552377984056628</v>
      </c>
      <c r="C1345" t="s">
        <v>40</v>
      </c>
      <c r="D1345">
        <v>6.4433559999999996</v>
      </c>
      <c r="E1345">
        <v>0.57585259999999905</v>
      </c>
      <c r="F1345" t="s">
        <v>54</v>
      </c>
      <c r="G1345">
        <v>-180.8141</v>
      </c>
      <c r="H1345">
        <v>37.429310000000001</v>
      </c>
      <c r="I1345">
        <v>-81.827579999999998</v>
      </c>
      <c r="J1345">
        <v>-188.50649999999999</v>
      </c>
      <c r="K1345">
        <v>1.100271</v>
      </c>
      <c r="L1345">
        <v>348.91739999999999</v>
      </c>
      <c r="M1345">
        <v>0.2409587</v>
      </c>
      <c r="N1345">
        <v>0</v>
      </c>
      <c r="O1345">
        <v>-0.97040870000000001</v>
      </c>
      <c r="P1345">
        <v>0.2054665</v>
      </c>
      <c r="Q1345">
        <v>2.7212759999999999E-2</v>
      </c>
      <c r="R1345">
        <v>-0.97828590000000004</v>
      </c>
      <c r="S1345">
        <v>5.4702760000000003E-2</v>
      </c>
      <c r="T1345">
        <v>0.25729380000000002</v>
      </c>
      <c r="U1345">
        <v>-3.051758</v>
      </c>
      <c r="V1345">
        <v>3.7339549999999999E-2</v>
      </c>
      <c r="W1345">
        <v>4.2018270000000003E-2</v>
      </c>
      <c r="X1345">
        <v>0.9984189</v>
      </c>
      <c r="Y1345">
        <v>0.22360279999999999</v>
      </c>
      <c r="Z1345">
        <v>-7.9235420000000001E-2</v>
      </c>
      <c r="AA1345">
        <v>0.97145429999999999</v>
      </c>
      <c r="AB1345">
        <v>27</v>
      </c>
      <c r="AC1345">
        <v>7.6923999999999904</v>
      </c>
      <c r="AD1345">
        <v>36.329039000000002</v>
      </c>
      <c r="AE1345">
        <v>-430.74498</v>
      </c>
      <c r="AF1345">
        <v>95.658596707073002</v>
      </c>
      <c r="AG1345">
        <v>36.329039000000002</v>
      </c>
      <c r="AH1345">
        <v>416.93900765284599</v>
      </c>
      <c r="AI1345">
        <v>85.145734337791893</v>
      </c>
      <c r="AJ1345">
        <v>77.078220524107707</v>
      </c>
      <c r="AK1345">
        <v>429.31166103562799</v>
      </c>
      <c r="AL1345">
        <v>87.591821583811694</v>
      </c>
      <c r="AM1345">
        <v>87.858211589606</v>
      </c>
      <c r="AN1345">
        <v>1.0000000384426</v>
      </c>
    </row>
    <row r="1346" spans="1:40" x14ac:dyDescent="0.25">
      <c r="A1346" t="str">
        <f>"20190312160624089"</f>
        <v>20190312160624089</v>
      </c>
      <c r="B1346" t="str">
        <f>"1552377984076148"</f>
        <v>1552377984076148</v>
      </c>
      <c r="C1346" t="s">
        <v>40</v>
      </c>
      <c r="D1346">
        <v>6.1521540000000003</v>
      </c>
      <c r="E1346">
        <v>0.57600180000000001</v>
      </c>
      <c r="F1346" t="s">
        <v>54</v>
      </c>
      <c r="G1346">
        <v>-184.16470000000001</v>
      </c>
      <c r="H1346">
        <v>35.49118</v>
      </c>
      <c r="I1346">
        <v>-81.826930000000004</v>
      </c>
      <c r="J1346">
        <v>-188.45689999999999</v>
      </c>
      <c r="K1346">
        <v>1.100455</v>
      </c>
      <c r="L1346">
        <v>348.66419999999999</v>
      </c>
      <c r="M1346">
        <v>0.22929189999999999</v>
      </c>
      <c r="N1346">
        <v>0</v>
      </c>
      <c r="O1346">
        <v>-0.97323230000000005</v>
      </c>
      <c r="P1346">
        <v>0.1959417</v>
      </c>
      <c r="Q1346">
        <v>2.6314130000000002E-2</v>
      </c>
      <c r="R1346">
        <v>-0.98026250000000004</v>
      </c>
      <c r="S1346">
        <v>3.0776979999999999E-2</v>
      </c>
      <c r="T1346">
        <v>0.24377860000000001</v>
      </c>
      <c r="U1346">
        <v>-3.0533139999999999</v>
      </c>
      <c r="V1346">
        <v>3.5028179999999999E-2</v>
      </c>
      <c r="W1346">
        <v>4.1143539999999999E-2</v>
      </c>
      <c r="X1346">
        <v>0.99853899999999995</v>
      </c>
      <c r="Y1346">
        <v>0.21951799999999999</v>
      </c>
      <c r="Z1346">
        <v>-7.5438179999999994E-2</v>
      </c>
      <c r="AA1346">
        <v>0.97268750000000004</v>
      </c>
      <c r="AB1346">
        <v>27</v>
      </c>
      <c r="AC1346">
        <v>4.2921999999999798</v>
      </c>
      <c r="AD1346">
        <v>34.390725000000003</v>
      </c>
      <c r="AE1346">
        <v>-430.49113</v>
      </c>
      <c r="AF1346">
        <v>93.942881402043895</v>
      </c>
      <c r="AG1346">
        <v>34.390725000000003</v>
      </c>
      <c r="AH1346">
        <v>417.340122656647</v>
      </c>
      <c r="AI1346">
        <v>85.403706727011595</v>
      </c>
      <c r="AJ1346">
        <v>77.314212810878303</v>
      </c>
      <c r="AK1346">
        <v>429.16286525188701</v>
      </c>
      <c r="AL1346">
        <v>87.641983093476199</v>
      </c>
      <c r="AM1346">
        <v>87.990920484900698</v>
      </c>
      <c r="AN1346">
        <v>0.99999994939942005</v>
      </c>
    </row>
    <row r="1347" spans="1:40" x14ac:dyDescent="0.25">
      <c r="A1347" t="str">
        <f>"20190312160624109"</f>
        <v>20190312160624109</v>
      </c>
      <c r="B1347" t="str">
        <f>"1552377984106405"</f>
        <v>1552377984106405</v>
      </c>
      <c r="C1347" t="s">
        <v>40</v>
      </c>
      <c r="D1347">
        <v>6.5045210000000004</v>
      </c>
      <c r="E1347">
        <v>0.57612280000000005</v>
      </c>
      <c r="F1347" t="s">
        <v>54</v>
      </c>
      <c r="G1347">
        <v>-188.54509999999999</v>
      </c>
      <c r="H1347">
        <v>33.381680000000003</v>
      </c>
      <c r="I1347">
        <v>-81.826229999999995</v>
      </c>
      <c r="J1347">
        <v>-188.40979999999999</v>
      </c>
      <c r="K1347">
        <v>1.100646</v>
      </c>
      <c r="L1347">
        <v>348.40910000000002</v>
      </c>
      <c r="M1347">
        <v>0.21775159999999999</v>
      </c>
      <c r="N1347">
        <v>0</v>
      </c>
      <c r="O1347">
        <v>-0.97587999999999997</v>
      </c>
      <c r="P1347">
        <v>0.18667600000000001</v>
      </c>
      <c r="Q1347">
        <v>2.5945570000000001E-2</v>
      </c>
      <c r="R1347">
        <v>-0.98207920000000004</v>
      </c>
      <c r="S1347">
        <v>-6.256104E-4</v>
      </c>
      <c r="T1347">
        <v>0.22903470000000001</v>
      </c>
      <c r="U1347">
        <v>-3.0543209999999998</v>
      </c>
      <c r="V1347">
        <v>3.2606160000000002E-2</v>
      </c>
      <c r="W1347">
        <v>4.0797180000000002E-2</v>
      </c>
      <c r="X1347">
        <v>0.9986353</v>
      </c>
      <c r="Y1347">
        <v>0.21796989999999999</v>
      </c>
      <c r="Z1347">
        <v>-7.118845E-2</v>
      </c>
      <c r="AA1347">
        <v>0.97335570000000005</v>
      </c>
      <c r="AB1347">
        <v>27</v>
      </c>
      <c r="AC1347">
        <v>-0.1353</v>
      </c>
      <c r="AD1347">
        <v>32.281033999999998</v>
      </c>
      <c r="AE1347">
        <v>-430.23532999999998</v>
      </c>
      <c r="AF1347">
        <v>93.302581339758206</v>
      </c>
      <c r="AG1347">
        <v>32.281033999999998</v>
      </c>
      <c r="AH1347">
        <v>417.52894959067697</v>
      </c>
      <c r="AI1347">
        <v>85.685008935078599</v>
      </c>
      <c r="AJ1347">
        <v>77.403423787896301</v>
      </c>
      <c r="AK1347">
        <v>429.04295890629197</v>
      </c>
      <c r="AL1347">
        <v>87.661844895474601</v>
      </c>
      <c r="AM1347">
        <v>88.129915993217395</v>
      </c>
      <c r="AN1347">
        <v>1.0000000169859899</v>
      </c>
    </row>
    <row r="1348" spans="1:40" x14ac:dyDescent="0.25">
      <c r="A1348" t="str">
        <f>"20190312160624131"</f>
        <v>20190312160624131</v>
      </c>
      <c r="B1348" t="str">
        <f>"1552377984126901"</f>
        <v>1552377984126901</v>
      </c>
      <c r="C1348" t="s">
        <v>40</v>
      </c>
      <c r="D1348">
        <v>6.0190760000000001</v>
      </c>
      <c r="E1348">
        <v>0.57542539999999998</v>
      </c>
      <c r="F1348" t="s">
        <v>54</v>
      </c>
      <c r="G1348">
        <v>-192.88929999999999</v>
      </c>
      <c r="H1348">
        <v>28.380459999999999</v>
      </c>
      <c r="I1348">
        <v>-81.824579999999997</v>
      </c>
      <c r="J1348">
        <v>-188.36429999999999</v>
      </c>
      <c r="K1348">
        <v>1.1008629999999999</v>
      </c>
      <c r="L1348">
        <v>348.14589999999998</v>
      </c>
      <c r="M1348">
        <v>0.20607909999999999</v>
      </c>
      <c r="N1348">
        <v>0</v>
      </c>
      <c r="O1348">
        <v>-0.97841210000000001</v>
      </c>
      <c r="P1348">
        <v>0.17712139999999901</v>
      </c>
      <c r="Q1348">
        <v>2.5437660000000001E-2</v>
      </c>
      <c r="R1348">
        <v>-0.98386030000000002</v>
      </c>
      <c r="S1348">
        <v>-3.1814580000000002E-2</v>
      </c>
      <c r="T1348">
        <v>0.19375039999999999</v>
      </c>
      <c r="U1348">
        <v>-3.0556640000000002</v>
      </c>
      <c r="V1348">
        <v>3.0353069999999999E-2</v>
      </c>
      <c r="W1348">
        <v>4.0303579999999999E-2</v>
      </c>
      <c r="X1348">
        <v>0.99872640000000001</v>
      </c>
      <c r="Y1348">
        <v>0.216256</v>
      </c>
      <c r="Z1348">
        <v>-6.049218E-2</v>
      </c>
      <c r="AA1348">
        <v>0.97446089999999996</v>
      </c>
      <c r="AB1348">
        <v>27</v>
      </c>
      <c r="AC1348">
        <v>-4.5250000000000004</v>
      </c>
      <c r="AD1348">
        <v>27.2795969999999</v>
      </c>
      <c r="AE1348">
        <v>-429.97048000000001</v>
      </c>
      <c r="AF1348">
        <v>92.673467334950004</v>
      </c>
      <c r="AG1348">
        <v>27.2795969999999</v>
      </c>
      <c r="AH1348">
        <v>418.12354939215601</v>
      </c>
      <c r="AI1348">
        <v>86.355348294260494</v>
      </c>
      <c r="AJ1348">
        <v>77.502911607476193</v>
      </c>
      <c r="AK1348">
        <v>429.13849805937798</v>
      </c>
      <c r="AL1348">
        <v>87.690149459870696</v>
      </c>
      <c r="AM1348">
        <v>88.259215280397299</v>
      </c>
      <c r="AN1348">
        <v>1.0000000547380901</v>
      </c>
    </row>
    <row r="1349" spans="1:40" x14ac:dyDescent="0.25">
      <c r="A1349" t="str">
        <f>"20190312160624153"</f>
        <v>20190312160624153</v>
      </c>
      <c r="B1349" t="str">
        <f>"1552377984146421"</f>
        <v>1552377984146421</v>
      </c>
      <c r="C1349" t="s">
        <v>40</v>
      </c>
      <c r="D1349">
        <v>6.4968510000000004</v>
      </c>
      <c r="E1349">
        <v>0.57403169999999903</v>
      </c>
      <c r="F1349" t="s">
        <v>54</v>
      </c>
      <c r="G1349">
        <v>-196.29390000000001</v>
      </c>
      <c r="H1349">
        <v>26.925260000000002</v>
      </c>
      <c r="I1349">
        <v>-81.824100000000001</v>
      </c>
      <c r="J1349">
        <v>-188.3212</v>
      </c>
      <c r="K1349">
        <v>1.1010850000000001</v>
      </c>
      <c r="L1349">
        <v>347.87920000000003</v>
      </c>
      <c r="M1349">
        <v>0.1945093</v>
      </c>
      <c r="N1349">
        <v>0</v>
      </c>
      <c r="O1349">
        <v>-0.9807785</v>
      </c>
      <c r="P1349">
        <v>0.16757720000000001</v>
      </c>
      <c r="Q1349">
        <v>2.5393329999999999E-2</v>
      </c>
      <c r="R1349">
        <v>-0.98553190000000002</v>
      </c>
      <c r="S1349">
        <v>-5.6335450000000002E-2</v>
      </c>
      <c r="T1349">
        <v>0.1834674</v>
      </c>
      <c r="U1349">
        <v>-3.0546880000000001</v>
      </c>
      <c r="V1349">
        <v>2.821338E-2</v>
      </c>
      <c r="W1349">
        <v>4.026594E-2</v>
      </c>
      <c r="X1349">
        <v>0.99879059999999997</v>
      </c>
      <c r="Y1349">
        <v>0.2125513</v>
      </c>
      <c r="Z1349">
        <v>-5.7544949999999997E-2</v>
      </c>
      <c r="AA1349">
        <v>0.97545400000000004</v>
      </c>
      <c r="AB1349">
        <v>27</v>
      </c>
      <c r="AC1349">
        <v>-7.9726999999999997</v>
      </c>
      <c r="AD1349">
        <v>25.824175</v>
      </c>
      <c r="AE1349">
        <v>-429.70330000000001</v>
      </c>
      <c r="AF1349">
        <v>91.082842018209107</v>
      </c>
      <c r="AG1349">
        <v>25.824175</v>
      </c>
      <c r="AH1349">
        <v>418.43257353631401</v>
      </c>
      <c r="AI1349">
        <v>86.548997879446404</v>
      </c>
      <c r="AJ1349">
        <v>77.719636636847099</v>
      </c>
      <c r="AK1349">
        <v>429.00907999804298</v>
      </c>
      <c r="AL1349">
        <v>87.692307702487895</v>
      </c>
      <c r="AM1349">
        <v>88.381965293191399</v>
      </c>
      <c r="AN1349">
        <v>1.0000000016917301</v>
      </c>
    </row>
    <row r="1350" spans="1:40" x14ac:dyDescent="0.25">
      <c r="A1350" t="str">
        <f>"20190312160624177"</f>
        <v>20190312160624177</v>
      </c>
      <c r="B1350" t="str">
        <f>"1552377984165941"</f>
        <v>1552377984165941</v>
      </c>
      <c r="C1350" t="s">
        <v>40</v>
      </c>
      <c r="D1350">
        <v>6.3710589999999998</v>
      </c>
      <c r="E1350">
        <v>0.57260200000000006</v>
      </c>
      <c r="F1350" t="s">
        <v>54</v>
      </c>
      <c r="G1350">
        <v>-198.89089999999999</v>
      </c>
      <c r="H1350">
        <v>27.293279999999999</v>
      </c>
      <c r="I1350">
        <v>-81.824219999999997</v>
      </c>
      <c r="J1350">
        <v>-188.27889999999999</v>
      </c>
      <c r="K1350">
        <v>1.101337</v>
      </c>
      <c r="L1350">
        <v>347.59620000000001</v>
      </c>
      <c r="M1350">
        <v>0.1825328</v>
      </c>
      <c r="N1350">
        <v>0</v>
      </c>
      <c r="O1350">
        <v>-0.98307900000000004</v>
      </c>
      <c r="P1350">
        <v>0.1577749</v>
      </c>
      <c r="Q1350">
        <v>2.5456400000000001E-2</v>
      </c>
      <c r="R1350">
        <v>-0.9871472</v>
      </c>
      <c r="S1350">
        <v>-7.5073239999999999E-2</v>
      </c>
      <c r="T1350">
        <v>0.186034</v>
      </c>
      <c r="U1350">
        <v>-3.0520320000000001</v>
      </c>
      <c r="V1350">
        <v>2.593233E-2</v>
      </c>
      <c r="W1350">
        <v>4.0332159999999999E-2</v>
      </c>
      <c r="X1350">
        <v>0.99884969999999995</v>
      </c>
      <c r="Y1350">
        <v>0.2066297</v>
      </c>
      <c r="Z1350">
        <v>-5.8641939999999997E-2</v>
      </c>
      <c r="AA1350">
        <v>0.97666030000000004</v>
      </c>
      <c r="AB1350">
        <v>27</v>
      </c>
      <c r="AC1350">
        <v>-10.611999999999901</v>
      </c>
      <c r="AD1350">
        <v>26.191942999999998</v>
      </c>
      <c r="AE1350">
        <v>-429.42041999999998</v>
      </c>
      <c r="AF1350">
        <v>88.497263381015401</v>
      </c>
      <c r="AG1350">
        <v>26.191942999999998</v>
      </c>
      <c r="AH1350">
        <v>418.71031069565203</v>
      </c>
      <c r="AI1350">
        <v>86.497763905593601</v>
      </c>
      <c r="AJ1350">
        <v>78.065786854378999</v>
      </c>
      <c r="AK1350">
        <v>428.76113138540597</v>
      </c>
      <c r="AL1350">
        <v>87.688510362628605</v>
      </c>
      <c r="AM1350">
        <v>88.512809918632399</v>
      </c>
      <c r="AN1350">
        <v>0.99999994602979003</v>
      </c>
    </row>
    <row r="1351" spans="1:40" x14ac:dyDescent="0.25">
      <c r="A1351" t="str">
        <f>"20190312160624199"</f>
        <v>20190312160624199</v>
      </c>
      <c r="B1351" t="str">
        <f>"1552377984186440"</f>
        <v>1552377984186440</v>
      </c>
      <c r="C1351" t="s">
        <v>40</v>
      </c>
      <c r="D1351">
        <v>6.5461999999999998</v>
      </c>
      <c r="E1351">
        <v>0.57156300000000004</v>
      </c>
      <c r="F1351" t="s">
        <v>54</v>
      </c>
      <c r="G1351">
        <v>-201.5241</v>
      </c>
      <c r="H1351">
        <v>27.27215</v>
      </c>
      <c r="I1351">
        <v>-81.824209999999994</v>
      </c>
      <c r="J1351">
        <v>-188.24270000000001</v>
      </c>
      <c r="K1351">
        <v>1.1015740000000001</v>
      </c>
      <c r="L1351">
        <v>347.33539999999999</v>
      </c>
      <c r="M1351">
        <v>0.17176340000000001</v>
      </c>
      <c r="N1351">
        <v>0</v>
      </c>
      <c r="O1351">
        <v>-0.98501850000000002</v>
      </c>
      <c r="P1351">
        <v>0.14914839999999999</v>
      </c>
      <c r="Q1351">
        <v>2.5424510000000001E-2</v>
      </c>
      <c r="R1351">
        <v>-0.98848780000000003</v>
      </c>
      <c r="S1351">
        <v>-9.4055180000000002E-2</v>
      </c>
      <c r="T1351">
        <v>0.18584100000000001</v>
      </c>
      <c r="U1351">
        <v>-3.049347</v>
      </c>
      <c r="V1351">
        <v>2.3698750000000001E-2</v>
      </c>
      <c r="W1351">
        <v>4.0303579999999999E-2</v>
      </c>
      <c r="X1351">
        <v>0.99890639999999997</v>
      </c>
      <c r="Y1351">
        <v>0.202016</v>
      </c>
      <c r="Z1351">
        <v>-5.8833669999999998E-2</v>
      </c>
      <c r="AA1351">
        <v>0.97761350000000002</v>
      </c>
      <c r="AB1351">
        <v>27</v>
      </c>
      <c r="AC1351">
        <v>-13.2813999999999</v>
      </c>
      <c r="AD1351">
        <v>26.170576000000001</v>
      </c>
      <c r="AE1351">
        <v>-429.15960999999999</v>
      </c>
      <c r="AF1351">
        <v>86.485274043353698</v>
      </c>
      <c r="AG1351">
        <v>26.170576000000001</v>
      </c>
      <c r="AH1351">
        <v>418.94207419722602</v>
      </c>
      <c r="AI1351">
        <v>86.499107936319106</v>
      </c>
      <c r="AJ1351">
        <v>78.335865732434698</v>
      </c>
      <c r="AK1351">
        <v>428.57562134027199</v>
      </c>
      <c r="AL1351">
        <v>87.690149339458898</v>
      </c>
      <c r="AM1351">
        <v>88.640930038513801</v>
      </c>
      <c r="AN1351">
        <v>1.00000000263666</v>
      </c>
    </row>
    <row r="1352" spans="1:40" x14ac:dyDescent="0.25">
      <c r="A1352" t="str">
        <f>"20190312160624220"</f>
        <v>20190312160624220</v>
      </c>
      <c r="B1352" t="str">
        <f>"1552377984216693"</f>
        <v>1552377984216693</v>
      </c>
      <c r="C1352" t="s">
        <v>40</v>
      </c>
      <c r="D1352">
        <v>6.5234579999999998</v>
      </c>
      <c r="E1352">
        <v>0.57069389999999998</v>
      </c>
      <c r="F1352" t="s">
        <v>54</v>
      </c>
      <c r="G1352">
        <v>-204.09289999999999</v>
      </c>
      <c r="H1352">
        <v>25.968789999999998</v>
      </c>
      <c r="I1352">
        <v>-80.957239999999999</v>
      </c>
      <c r="J1352">
        <v>-188.20920000000001</v>
      </c>
      <c r="K1352">
        <v>1.101796</v>
      </c>
      <c r="L1352">
        <v>347.07440000000003</v>
      </c>
      <c r="M1352">
        <v>0.161192899999999</v>
      </c>
      <c r="N1352">
        <v>0</v>
      </c>
      <c r="O1352">
        <v>-0.98680409999999996</v>
      </c>
      <c r="P1352">
        <v>0.1405556</v>
      </c>
      <c r="Q1352">
        <v>2.5657320000000001E-2</v>
      </c>
      <c r="R1352">
        <v>-0.98974039999999996</v>
      </c>
      <c r="S1352">
        <v>-0.11277769999999999</v>
      </c>
      <c r="T1352">
        <v>0.1769356</v>
      </c>
      <c r="U1352">
        <v>-3.0473940000000002</v>
      </c>
      <c r="V1352">
        <v>2.164783E-2</v>
      </c>
      <c r="W1352">
        <v>4.0534180000000003E-2</v>
      </c>
      <c r="X1352">
        <v>0.99894360000000004</v>
      </c>
      <c r="Y1352">
        <v>0.19753850000000001</v>
      </c>
      <c r="Z1352">
        <v>-5.6235479999999997E-2</v>
      </c>
      <c r="AA1352">
        <v>0.97868080000000002</v>
      </c>
      <c r="AB1352">
        <v>27</v>
      </c>
      <c r="AC1352">
        <v>-15.8836999999999</v>
      </c>
      <c r="AD1352">
        <v>24.866993999999998</v>
      </c>
      <c r="AE1352">
        <v>-428.03163999999998</v>
      </c>
      <c r="AF1352">
        <v>84.3952356132651</v>
      </c>
      <c r="AG1352">
        <v>24.866993999999998</v>
      </c>
      <c r="AH1352">
        <v>418.46183920728498</v>
      </c>
      <c r="AI1352">
        <v>86.666180661381503</v>
      </c>
      <c r="AJ1352">
        <v>78.597562265956199</v>
      </c>
      <c r="AK1352">
        <v>427.61107803418503</v>
      </c>
      <c r="AL1352">
        <v>87.676926079356306</v>
      </c>
      <c r="AM1352">
        <v>88.758553347693095</v>
      </c>
      <c r="AN1352">
        <v>0.99999998213647001</v>
      </c>
    </row>
    <row r="1353" spans="1:40" x14ac:dyDescent="0.25">
      <c r="A1353" t="str">
        <f>"20190312160624243"</f>
        <v>20190312160624243</v>
      </c>
      <c r="B1353" t="str">
        <f>"1552377984236213"</f>
        <v>1552377984236213</v>
      </c>
      <c r="C1353" t="s">
        <v>40</v>
      </c>
      <c r="D1353">
        <v>6.5266989999999998</v>
      </c>
      <c r="E1353">
        <v>0.56970140000000002</v>
      </c>
      <c r="F1353" t="s">
        <v>54</v>
      </c>
      <c r="G1353">
        <v>-206.99639999999999</v>
      </c>
      <c r="H1353">
        <v>23.288070000000001</v>
      </c>
      <c r="I1353">
        <v>-81.822879999999998</v>
      </c>
      <c r="J1353">
        <v>-188.17679999999999</v>
      </c>
      <c r="K1353">
        <v>1.102015</v>
      </c>
      <c r="L1353">
        <v>346.80110000000002</v>
      </c>
      <c r="M1353">
        <v>0.150365</v>
      </c>
      <c r="N1353">
        <v>0</v>
      </c>
      <c r="O1353">
        <v>-0.98851290000000003</v>
      </c>
      <c r="P1353">
        <v>0.1317555</v>
      </c>
      <c r="Q1353">
        <v>2.6113709999999998E-2</v>
      </c>
      <c r="R1353">
        <v>-0.99093819999999999</v>
      </c>
      <c r="S1353">
        <v>-0.13342290000000001</v>
      </c>
      <c r="T1353">
        <v>0.1575618</v>
      </c>
      <c r="U1353">
        <v>-3.0459290000000001</v>
      </c>
      <c r="V1353">
        <v>1.95573E-2</v>
      </c>
      <c r="W1353">
        <v>4.0986799999999997E-2</v>
      </c>
      <c r="X1353">
        <v>0.99896819999999997</v>
      </c>
      <c r="Y1353">
        <v>0.19344459999999999</v>
      </c>
      <c r="Z1353">
        <v>-5.0265740000000003E-2</v>
      </c>
      <c r="AA1353">
        <v>0.97982270000000005</v>
      </c>
      <c r="AB1353">
        <v>27</v>
      </c>
      <c r="AC1353">
        <v>-18.819600000000001</v>
      </c>
      <c r="AD1353">
        <v>22.186055</v>
      </c>
      <c r="AE1353">
        <v>-428.62397999999899</v>
      </c>
      <c r="AF1353">
        <v>82.841600247594201</v>
      </c>
      <c r="AG1353">
        <v>22.186055</v>
      </c>
      <c r="AH1353">
        <v>419.79692164372398</v>
      </c>
      <c r="AI1353">
        <v>87.031896216001797</v>
      </c>
      <c r="AJ1353">
        <v>78.836834876031006</v>
      </c>
      <c r="AK1353">
        <v>428.467510074676</v>
      </c>
      <c r="AL1353">
        <v>87.650971182761197</v>
      </c>
      <c r="AM1353">
        <v>88.878435148808606</v>
      </c>
      <c r="AN1353">
        <v>0.99999993518438202</v>
      </c>
    </row>
    <row r="1354" spans="1:40" x14ac:dyDescent="0.25">
      <c r="A1354" t="str">
        <f>"20190312160624265"</f>
        <v>20190312160624265</v>
      </c>
      <c r="B1354" t="str">
        <f>"1552377984256709"</f>
        <v>1552377984256709</v>
      </c>
      <c r="C1354" t="s">
        <v>40</v>
      </c>
      <c r="D1354">
        <v>6.5320819999999999</v>
      </c>
      <c r="E1354">
        <v>0.56915559999999998</v>
      </c>
      <c r="F1354" t="s">
        <v>54</v>
      </c>
      <c r="G1354">
        <v>-209.73689999999999</v>
      </c>
      <c r="H1354">
        <v>22.154209999999999</v>
      </c>
      <c r="I1354">
        <v>-81.822509999999994</v>
      </c>
      <c r="J1354">
        <v>-188.1474</v>
      </c>
      <c r="K1354">
        <v>1.102225</v>
      </c>
      <c r="L1354">
        <v>346.5299</v>
      </c>
      <c r="M1354">
        <v>0.13986370000000001</v>
      </c>
      <c r="N1354">
        <v>0</v>
      </c>
      <c r="O1354">
        <v>-0.9900542</v>
      </c>
      <c r="P1354">
        <v>0.1231225</v>
      </c>
      <c r="Q1354">
        <v>2.6297669999999999E-2</v>
      </c>
      <c r="R1354">
        <v>-0.99204309999999996</v>
      </c>
      <c r="S1354">
        <v>-0.15310670000000001</v>
      </c>
      <c r="T1354">
        <v>0.14949989999999999</v>
      </c>
      <c r="U1354">
        <v>-3.0438230000000002</v>
      </c>
      <c r="V1354">
        <v>1.7632209999999999E-2</v>
      </c>
      <c r="W1354">
        <v>4.1163560000000002E-2</v>
      </c>
      <c r="X1354">
        <v>0.99899689999999997</v>
      </c>
      <c r="Y1354">
        <v>0.1893869</v>
      </c>
      <c r="Z1354">
        <v>-4.7858489999999997E-2</v>
      </c>
      <c r="AA1354">
        <v>0.98073549999999998</v>
      </c>
      <c r="AB1354">
        <v>27</v>
      </c>
      <c r="AC1354">
        <v>-21.589499999999902</v>
      </c>
      <c r="AD1354">
        <v>21.051984999999998</v>
      </c>
      <c r="AE1354">
        <v>-428.35241000000002</v>
      </c>
      <c r="AF1354">
        <v>81.099721698844903</v>
      </c>
      <c r="AG1354">
        <v>21.051984999999998</v>
      </c>
      <c r="AH1354">
        <v>420.108973526532</v>
      </c>
      <c r="AI1354">
        <v>87.183183680453894</v>
      </c>
      <c r="AJ1354">
        <v>79.0737687683079</v>
      </c>
      <c r="AK1354">
        <v>428.38289014570398</v>
      </c>
      <c r="AL1354">
        <v>87.640835343672805</v>
      </c>
      <c r="AM1354">
        <v>88.988839372996594</v>
      </c>
      <c r="AN1354">
        <v>1.0000000698554801</v>
      </c>
    </row>
    <row r="1355" spans="1:40" x14ac:dyDescent="0.25">
      <c r="A1355" t="str">
        <f>"20190312160624290"</f>
        <v>20190312160624290</v>
      </c>
      <c r="B1355" t="str">
        <f>"1552377984286040"</f>
        <v>1552377984286040</v>
      </c>
      <c r="C1355" t="s">
        <v>40</v>
      </c>
      <c r="D1355">
        <v>6.7455579999999999</v>
      </c>
      <c r="E1355">
        <v>0.56857009999999997</v>
      </c>
      <c r="F1355" t="s">
        <v>54</v>
      </c>
      <c r="G1355">
        <v>-212.8922</v>
      </c>
      <c r="H1355">
        <v>20.91919</v>
      </c>
      <c r="I1355">
        <v>-81.822109999999995</v>
      </c>
      <c r="J1355">
        <v>-188.11869999999999</v>
      </c>
      <c r="K1355">
        <v>1.1024560000000001</v>
      </c>
      <c r="L1355">
        <v>346.23869999999999</v>
      </c>
      <c r="M1355">
        <v>0.1288753</v>
      </c>
      <c r="N1355">
        <v>0</v>
      </c>
      <c r="O1355">
        <v>-0.99154529999999996</v>
      </c>
      <c r="P1355">
        <v>0.1138927</v>
      </c>
      <c r="Q1355">
        <v>2.6247280000000001E-2</v>
      </c>
      <c r="R1355">
        <v>-0.9931468</v>
      </c>
      <c r="S1355">
        <v>-0.17573549999999999</v>
      </c>
      <c r="T1355">
        <v>0.1407381</v>
      </c>
      <c r="U1355">
        <v>-3.0421140000000002</v>
      </c>
      <c r="V1355">
        <v>1.58172E-2</v>
      </c>
      <c r="W1355">
        <v>4.1097340000000003E-2</v>
      </c>
      <c r="X1355">
        <v>0.99902990000000003</v>
      </c>
      <c r="Y1355">
        <v>0.18580530000000001</v>
      </c>
      <c r="Z1355">
        <v>-4.5195060000000002E-2</v>
      </c>
      <c r="AA1355">
        <v>0.98154660000000005</v>
      </c>
      <c r="AB1355">
        <v>27</v>
      </c>
      <c r="AC1355">
        <v>-24.773499999999999</v>
      </c>
      <c r="AD1355">
        <v>19.816734</v>
      </c>
      <c r="AE1355">
        <v>-428.06080999999898</v>
      </c>
      <c r="AF1355">
        <v>79.569685737166793</v>
      </c>
      <c r="AG1355">
        <v>19.816734</v>
      </c>
      <c r="AH1355">
        <v>420.39927672448403</v>
      </c>
      <c r="AI1355">
        <v>87.348207349112599</v>
      </c>
      <c r="AJ1355">
        <v>79.282312893858801</v>
      </c>
      <c r="AK1355">
        <v>428.32182959219801</v>
      </c>
      <c r="AL1355">
        <v>87.6446324199961</v>
      </c>
      <c r="AM1355">
        <v>89.092936966993904</v>
      </c>
      <c r="AN1355">
        <v>0.99999995813246201</v>
      </c>
    </row>
    <row r="1356" spans="1:40" x14ac:dyDescent="0.25">
      <c r="A1356" t="str">
        <f>"20190312160624312"</f>
        <v>20190312160624312</v>
      </c>
      <c r="B1356" t="str">
        <f>"1552377984306537"</f>
        <v>1552377984306537</v>
      </c>
      <c r="C1356" t="s">
        <v>40</v>
      </c>
      <c r="D1356">
        <v>6.6403489999999996</v>
      </c>
      <c r="E1356">
        <v>0.55680260000000004</v>
      </c>
      <c r="F1356" t="s">
        <v>43</v>
      </c>
      <c r="G1356">
        <v>-200.1326</v>
      </c>
      <c r="H1356">
        <v>9.0139960000000006</v>
      </c>
      <c r="I1356">
        <v>163.33709999999999</v>
      </c>
      <c r="J1356">
        <v>-188.09520000000001</v>
      </c>
      <c r="K1356">
        <v>1.1026769999999999</v>
      </c>
      <c r="L1356">
        <v>345.97359999999998</v>
      </c>
      <c r="M1356">
        <v>0.1191415</v>
      </c>
      <c r="N1356">
        <v>0</v>
      </c>
      <c r="O1356">
        <v>-0.9927627</v>
      </c>
      <c r="P1356">
        <v>0.10567410000000001</v>
      </c>
      <c r="Q1356">
        <v>2.6251150000000001E-2</v>
      </c>
      <c r="R1356">
        <v>-0.99405449999999995</v>
      </c>
      <c r="S1356">
        <v>-0.1996918</v>
      </c>
      <c r="T1356">
        <v>0.13150429999999999</v>
      </c>
      <c r="U1356">
        <v>-3.0401609999999999</v>
      </c>
      <c r="V1356">
        <v>1.4256110000000001E-2</v>
      </c>
      <c r="W1356">
        <v>4.1083040000000001E-2</v>
      </c>
      <c r="X1356">
        <v>0.999054</v>
      </c>
      <c r="Y1356">
        <v>0.1839151</v>
      </c>
      <c r="Z1356">
        <v>-4.2338809999999998E-2</v>
      </c>
      <c r="AA1356">
        <v>0.98202990000000001</v>
      </c>
      <c r="AB1356">
        <v>27</v>
      </c>
      <c r="AC1356">
        <v>-12.0373999999999</v>
      </c>
      <c r="AD1356">
        <v>7.9113189999999998</v>
      </c>
      <c r="AE1356">
        <v>-182.63650000000001</v>
      </c>
      <c r="AF1356">
        <v>33.650834934954098</v>
      </c>
      <c r="AG1356">
        <v>7.9113189999999998</v>
      </c>
      <c r="AH1356">
        <v>179.56554076554301</v>
      </c>
      <c r="AI1356">
        <v>87.520397420619204</v>
      </c>
      <c r="AJ1356">
        <v>79.385801948914903</v>
      </c>
      <c r="AK1356">
        <v>182.86265635870299</v>
      </c>
      <c r="AL1356">
        <v>87.645452479338104</v>
      </c>
      <c r="AM1356">
        <v>89.182467112268398</v>
      </c>
      <c r="AN1356">
        <v>0.99999997388198603</v>
      </c>
    </row>
    <row r="1357" spans="1:40" x14ac:dyDescent="0.25">
      <c r="A1357" t="str">
        <f>"20190312160624333"</f>
        <v>20190312160624333</v>
      </c>
      <c r="B1357" t="str">
        <f>"1552377984326057"</f>
        <v>1552377984326057</v>
      </c>
      <c r="C1357" t="s">
        <v>40</v>
      </c>
      <c r="D1357">
        <v>6.5585459999999998</v>
      </c>
      <c r="E1357">
        <v>0.56497249999999999</v>
      </c>
      <c r="F1357" t="s">
        <v>47</v>
      </c>
      <c r="G1357">
        <v>-189.5865</v>
      </c>
      <c r="H1357" s="1">
        <v>-2.2917060000000002E-6</v>
      </c>
      <c r="I1357">
        <v>314.32409999999999</v>
      </c>
      <c r="J1357">
        <v>-188.07499999999999</v>
      </c>
      <c r="K1357">
        <v>1.1029009999999999</v>
      </c>
      <c r="L1357">
        <v>345.72070000000002</v>
      </c>
      <c r="M1357">
        <v>0.1101085</v>
      </c>
      <c r="N1357">
        <v>0</v>
      </c>
      <c r="O1357">
        <v>-0.99380590000000002</v>
      </c>
      <c r="P1357">
        <v>9.8006200000000002E-2</v>
      </c>
      <c r="Q1357">
        <v>2.5404980000000001E-2</v>
      </c>
      <c r="R1357">
        <v>-0.99486160000000001</v>
      </c>
      <c r="S1357">
        <v>-0.14305109999999999</v>
      </c>
      <c r="T1357">
        <v>-0.1057748</v>
      </c>
      <c r="U1357">
        <v>-3.0359799999999999</v>
      </c>
      <c r="V1357">
        <v>1.2838230000000001E-2</v>
      </c>
      <c r="W1357">
        <v>4.0217339999999997E-2</v>
      </c>
      <c r="X1357">
        <v>0.99910849999999995</v>
      </c>
      <c r="Y1357">
        <v>0.156750799999999</v>
      </c>
      <c r="Z1357">
        <v>3.4267190000000003E-2</v>
      </c>
      <c r="AA1357">
        <v>0.98704360000000002</v>
      </c>
      <c r="AB1357">
        <v>27</v>
      </c>
      <c r="AC1357">
        <v>-1.5115000000000101</v>
      </c>
      <c r="AD1357">
        <v>-1.102903291706</v>
      </c>
      <c r="AE1357">
        <v>-31.396599999999999</v>
      </c>
      <c r="AF1357">
        <v>4.9536319400449704</v>
      </c>
      <c r="AG1357">
        <v>-1.102903291706</v>
      </c>
      <c r="AH1357">
        <v>31.0010378589892</v>
      </c>
      <c r="AI1357">
        <v>92.012011825919302</v>
      </c>
      <c r="AJ1357">
        <v>80.921498314471506</v>
      </c>
      <c r="AK1357">
        <v>31.413678762646899</v>
      </c>
      <c r="AL1357">
        <v>87.6950945877782</v>
      </c>
      <c r="AM1357">
        <v>89.263807769954298</v>
      </c>
      <c r="AN1357">
        <v>1.00000002467922</v>
      </c>
    </row>
    <row r="1358" spans="1:40" x14ac:dyDescent="0.25">
      <c r="A1358" t="str">
        <f>"20190312160624355"</f>
        <v>20190312160624355</v>
      </c>
      <c r="B1358" t="str">
        <f>"1552377984346553"</f>
        <v>1552377984346553</v>
      </c>
      <c r="C1358" t="s">
        <v>40</v>
      </c>
      <c r="D1358">
        <v>6.3780679999999998</v>
      </c>
      <c r="E1358">
        <v>0.56648949999999998</v>
      </c>
      <c r="F1358" t="s">
        <v>55</v>
      </c>
      <c r="G1358">
        <v>-211.3186</v>
      </c>
      <c r="H1358">
        <v>8.3255920000000003</v>
      </c>
      <c r="I1358">
        <v>28.79354</v>
      </c>
      <c r="J1358">
        <v>-188.05609999999999</v>
      </c>
      <c r="K1358">
        <v>1.103143</v>
      </c>
      <c r="L1358">
        <v>345.45769999999999</v>
      </c>
      <c r="M1358">
        <v>0.1009922</v>
      </c>
      <c r="N1358">
        <v>0</v>
      </c>
      <c r="O1358">
        <v>-0.99477450000000001</v>
      </c>
      <c r="P1358">
        <v>9.0273279999999997E-2</v>
      </c>
      <c r="Q1358">
        <v>2.4877360000000001E-2</v>
      </c>
      <c r="R1358">
        <v>-0.9956064</v>
      </c>
      <c r="S1358">
        <v>-0.22264100000000001</v>
      </c>
      <c r="T1358">
        <v>6.9182869999999994E-2</v>
      </c>
      <c r="U1358">
        <v>-3.0357059999999998</v>
      </c>
      <c r="V1358">
        <v>1.140826E-2</v>
      </c>
      <c r="W1358">
        <v>3.9666559999999997E-2</v>
      </c>
      <c r="X1358">
        <v>0.99914780000000003</v>
      </c>
      <c r="Y1358">
        <v>0.17348459999999999</v>
      </c>
      <c r="Z1358">
        <v>-2.2405999999999999E-2</v>
      </c>
      <c r="AA1358">
        <v>0.98458159999999895</v>
      </c>
      <c r="AB1358">
        <v>26</v>
      </c>
      <c r="AC1358">
        <v>-23.262499999999999</v>
      </c>
      <c r="AD1358">
        <v>7.2224490000000001</v>
      </c>
      <c r="AE1358">
        <v>-316.66415999999998</v>
      </c>
      <c r="AF1358">
        <v>55.099225251754</v>
      </c>
      <c r="AG1358">
        <v>7.2224490000000001</v>
      </c>
      <c r="AH1358">
        <v>312.53345882712102</v>
      </c>
      <c r="AI1358">
        <v>88.696265380755506</v>
      </c>
      <c r="AJ1358">
        <v>80.001574579190205</v>
      </c>
      <c r="AK1358">
        <v>317.43542851947802</v>
      </c>
      <c r="AL1358">
        <v>87.726677001894004</v>
      </c>
      <c r="AM1358">
        <v>89.345825766257704</v>
      </c>
      <c r="AN1358">
        <v>0.99999995531164898</v>
      </c>
    </row>
    <row r="1359" spans="1:40" x14ac:dyDescent="0.25">
      <c r="A1359" t="str">
        <f>"20190312160624377"</f>
        <v>20190312160624377</v>
      </c>
      <c r="B1359" t="str">
        <f>"1552377984366076"</f>
        <v>1552377984366076</v>
      </c>
      <c r="C1359" t="s">
        <v>40</v>
      </c>
      <c r="D1359">
        <v>6.6250489999999997</v>
      </c>
      <c r="E1359">
        <v>0.56659569999999904</v>
      </c>
      <c r="F1359" t="s">
        <v>56</v>
      </c>
      <c r="G1359">
        <v>-210.4761</v>
      </c>
      <c r="H1359">
        <v>7.1848000000000001</v>
      </c>
      <c r="I1359">
        <v>81.954989999999995</v>
      </c>
      <c r="J1359">
        <v>-188.0393</v>
      </c>
      <c r="K1359">
        <v>1.1033919999999999</v>
      </c>
      <c r="L1359">
        <v>345.1918</v>
      </c>
      <c r="M1359">
        <v>9.2074779999999995E-2</v>
      </c>
      <c r="N1359">
        <v>0</v>
      </c>
      <c r="O1359">
        <v>-0.99564019999999998</v>
      </c>
      <c r="P1359">
        <v>8.2605499999999998E-2</v>
      </c>
      <c r="Q1359">
        <v>2.430817E-2</v>
      </c>
      <c r="R1359">
        <v>-0.99628589999999995</v>
      </c>
      <c r="S1359">
        <v>-0.25822450000000002</v>
      </c>
      <c r="T1359">
        <v>7.0046189999999994E-2</v>
      </c>
      <c r="U1359">
        <v>-3.0349119999999998</v>
      </c>
      <c r="V1359">
        <v>1.0115030000000001E-2</v>
      </c>
      <c r="W1359">
        <v>3.9070500000000001E-2</v>
      </c>
      <c r="X1359">
        <v>0.99918530000000005</v>
      </c>
      <c r="Y1359">
        <v>0.17614959999999999</v>
      </c>
      <c r="Z1359">
        <v>-2.2705349999999999E-2</v>
      </c>
      <c r="AA1359">
        <v>0.98410149999999996</v>
      </c>
      <c r="AB1359">
        <v>26</v>
      </c>
      <c r="AC1359">
        <v>-22.436800000000002</v>
      </c>
      <c r="AD1359">
        <v>6.0814079999999997</v>
      </c>
      <c r="AE1359">
        <v>-263.23680999999999</v>
      </c>
      <c r="AF1359">
        <v>46.556972264012899</v>
      </c>
      <c r="AG1359">
        <v>6.0814079999999997</v>
      </c>
      <c r="AH1359">
        <v>259.91454012510201</v>
      </c>
      <c r="AI1359">
        <v>88.680645213414905</v>
      </c>
      <c r="AJ1359">
        <v>79.844641057445401</v>
      </c>
      <c r="AK1359">
        <v>264.12137997159198</v>
      </c>
      <c r="AL1359">
        <v>87.760855414077596</v>
      </c>
      <c r="AM1359">
        <v>89.419998740630405</v>
      </c>
      <c r="AN1359">
        <v>1.0000000407691101</v>
      </c>
    </row>
    <row r="1360" spans="1:40" x14ac:dyDescent="0.25">
      <c r="A1360" t="str">
        <f>"20190312160624398"</f>
        <v>20190312160624398</v>
      </c>
      <c r="B1360" t="str">
        <f>"1552377984385886"</f>
        <v>1552377984385886</v>
      </c>
      <c r="C1360" t="s">
        <v>40</v>
      </c>
      <c r="D1360">
        <v>6.5418419999999999</v>
      </c>
      <c r="E1360">
        <v>0.56664619999999999</v>
      </c>
      <c r="F1360" t="s">
        <v>56</v>
      </c>
      <c r="G1360">
        <v>-211.3597</v>
      </c>
      <c r="H1360">
        <v>3.266051</v>
      </c>
      <c r="I1360">
        <v>96.348960000000005</v>
      </c>
      <c r="J1360">
        <v>-188.02510000000001</v>
      </c>
      <c r="K1360">
        <v>1.1036060000000001</v>
      </c>
      <c r="L1360">
        <v>344.93830000000003</v>
      </c>
      <c r="M1360">
        <v>8.3797860000000002E-2</v>
      </c>
      <c r="N1360">
        <v>0</v>
      </c>
      <c r="O1360">
        <v>-0.99637169999999997</v>
      </c>
      <c r="P1360">
        <v>7.5419780000000006E-2</v>
      </c>
      <c r="Q1360">
        <v>2.3601560000000001E-2</v>
      </c>
      <c r="R1360">
        <v>-0.99687239999999999</v>
      </c>
      <c r="S1360">
        <v>-0.28434749999999998</v>
      </c>
      <c r="T1360">
        <v>2.6369690000000001E-2</v>
      </c>
      <c r="U1360">
        <v>-3.0341490000000002</v>
      </c>
      <c r="V1360">
        <v>8.9853350000000005E-3</v>
      </c>
      <c r="W1360">
        <v>3.8337200000000002E-2</v>
      </c>
      <c r="X1360">
        <v>0.99922449999999996</v>
      </c>
      <c r="Y1360">
        <v>0.17641670000000001</v>
      </c>
      <c r="Z1360">
        <v>-8.5578189999999995E-3</v>
      </c>
      <c r="AA1360">
        <v>0.9842784</v>
      </c>
      <c r="AB1360">
        <v>26</v>
      </c>
      <c r="AC1360">
        <v>-23.334599999999899</v>
      </c>
      <c r="AD1360">
        <v>2.162445</v>
      </c>
      <c r="AE1360">
        <v>-248.58933999999999</v>
      </c>
      <c r="AF1360">
        <v>44.082762749623299</v>
      </c>
      <c r="AG1360">
        <v>2.162445</v>
      </c>
      <c r="AH1360">
        <v>245.74076231379101</v>
      </c>
      <c r="AI1360">
        <v>89.503748347561498</v>
      </c>
      <c r="AJ1360">
        <v>79.830035376553695</v>
      </c>
      <c r="AK1360">
        <v>249.672762636578</v>
      </c>
      <c r="AL1360">
        <v>87.802901909518894</v>
      </c>
      <c r="AM1360">
        <v>89.484792559384999</v>
      </c>
      <c r="AN1360">
        <v>1.00000003927457</v>
      </c>
    </row>
    <row r="1361" spans="1:40" x14ac:dyDescent="0.25">
      <c r="A1361" t="str">
        <f>"20190312160624422"</f>
        <v>20190312160624422</v>
      </c>
      <c r="B1361" t="str">
        <f>"1552377984416140"</f>
        <v>1552377984416140</v>
      </c>
      <c r="C1361" t="s">
        <v>40</v>
      </c>
      <c r="D1361">
        <v>6.4756869999999997</v>
      </c>
      <c r="E1361">
        <v>0.56650339999999999</v>
      </c>
      <c r="F1361" t="s">
        <v>57</v>
      </c>
      <c r="G1361">
        <v>-211.56200000000001</v>
      </c>
      <c r="H1361">
        <v>3.4028749999999999</v>
      </c>
      <c r="I1361">
        <v>111.96339999999999</v>
      </c>
      <c r="J1361">
        <v>-188.01130000000001</v>
      </c>
      <c r="K1361">
        <v>1.1038349999999999</v>
      </c>
      <c r="L1361">
        <v>344.6481</v>
      </c>
      <c r="M1361">
        <v>7.4605320000000003E-2</v>
      </c>
      <c r="N1361">
        <v>0</v>
      </c>
      <c r="O1361">
        <v>-0.99710319999999997</v>
      </c>
      <c r="P1361">
        <v>6.8011379999999996E-2</v>
      </c>
      <c r="Q1361">
        <v>2.2847260000000001E-2</v>
      </c>
      <c r="R1361">
        <v>-0.99742310000000001</v>
      </c>
      <c r="S1361">
        <v>-0.30630489999999999</v>
      </c>
      <c r="T1361">
        <v>2.9922600000000001E-2</v>
      </c>
      <c r="U1361">
        <v>-3.0318909999999999</v>
      </c>
      <c r="V1361">
        <v>7.1619129999999998E-3</v>
      </c>
      <c r="W1361">
        <v>3.7561940000000002E-2</v>
      </c>
      <c r="X1361">
        <v>0.99926870000000001</v>
      </c>
      <c r="Y1361">
        <v>0.1744667</v>
      </c>
      <c r="Z1361">
        <v>-9.7270619999999999E-3</v>
      </c>
      <c r="AA1361">
        <v>0.98461500000000002</v>
      </c>
      <c r="AB1361">
        <v>26</v>
      </c>
      <c r="AC1361">
        <v>-23.550699999999999</v>
      </c>
      <c r="AD1361">
        <v>2.2990400000000002</v>
      </c>
      <c r="AE1361">
        <v>-232.68469999999999</v>
      </c>
      <c r="AF1361">
        <v>40.842526185467399</v>
      </c>
      <c r="AG1361">
        <v>2.2990400000000002</v>
      </c>
      <c r="AH1361">
        <v>230.25664703029599</v>
      </c>
      <c r="AI1361">
        <v>89.436730605206904</v>
      </c>
      <c r="AJ1361">
        <v>79.941592256347406</v>
      </c>
      <c r="AK1361">
        <v>233.86218384289199</v>
      </c>
      <c r="AL1361">
        <v>87.847353107366501</v>
      </c>
      <c r="AM1361">
        <v>89.589359336381605</v>
      </c>
      <c r="AN1361">
        <v>1.0000000635670301</v>
      </c>
    </row>
    <row r="1362" spans="1:40" x14ac:dyDescent="0.25">
      <c r="A1362" t="str">
        <f>"20190312160624444"</f>
        <v>20190312160624444</v>
      </c>
      <c r="B1362" t="str">
        <f>"1552377984436637"</f>
        <v>1552377984436637</v>
      </c>
      <c r="C1362" t="s">
        <v>40</v>
      </c>
      <c r="D1362">
        <v>6.5359089999999904</v>
      </c>
      <c r="E1362">
        <v>0.56633820000000001</v>
      </c>
      <c r="F1362" t="s">
        <v>57</v>
      </c>
      <c r="G1362">
        <v>-212.92060000000001</v>
      </c>
      <c r="H1362">
        <v>3.964537</v>
      </c>
      <c r="I1362">
        <v>114.0686</v>
      </c>
      <c r="J1362">
        <v>-188.001</v>
      </c>
      <c r="K1362">
        <v>1.104025</v>
      </c>
      <c r="L1362">
        <v>344.3931</v>
      </c>
      <c r="M1362">
        <v>6.6774089999999994E-2</v>
      </c>
      <c r="N1362">
        <v>0</v>
      </c>
      <c r="O1362">
        <v>-0.99765879999999996</v>
      </c>
      <c r="P1362">
        <v>6.0892460000000002E-2</v>
      </c>
      <c r="Q1362">
        <v>2.2840699999999999E-2</v>
      </c>
      <c r="R1362">
        <v>-0.99788330000000003</v>
      </c>
      <c r="S1362">
        <v>-0.32723999999999998</v>
      </c>
      <c r="T1362">
        <v>3.7582039999999997E-2</v>
      </c>
      <c r="U1362">
        <v>-3.029175</v>
      </c>
      <c r="V1362">
        <v>6.4284829999999996E-3</v>
      </c>
      <c r="W1362">
        <v>3.7524309999999998E-2</v>
      </c>
      <c r="X1362">
        <v>0.99927500000000002</v>
      </c>
      <c r="Y1362">
        <v>0.1735517</v>
      </c>
      <c r="Z1362">
        <v>-1.2234429999999999E-2</v>
      </c>
      <c r="AA1362">
        <v>0.98474879999999998</v>
      </c>
      <c r="AB1362">
        <v>26</v>
      </c>
      <c r="AC1362">
        <v>-24.919599999999999</v>
      </c>
      <c r="AD1362">
        <v>2.8605119999999999</v>
      </c>
      <c r="AE1362">
        <v>-230.3245</v>
      </c>
      <c r="AF1362">
        <v>40.239222087906597</v>
      </c>
      <c r="AG1362">
        <v>2.8605119999999999</v>
      </c>
      <c r="AH1362">
        <v>228.11138826044001</v>
      </c>
      <c r="AI1362">
        <v>89.292472578878005</v>
      </c>
      <c r="AJ1362">
        <v>79.995851598157699</v>
      </c>
      <c r="AK1362">
        <v>231.65099390515701</v>
      </c>
      <c r="AL1362">
        <v>87.849510450878299</v>
      </c>
      <c r="AM1362">
        <v>89.631412910751806</v>
      </c>
      <c r="AN1362">
        <v>0.99999996242982803</v>
      </c>
    </row>
    <row r="1363" spans="1:40" x14ac:dyDescent="0.25">
      <c r="A1363" t="str">
        <f>"20190312160624467"</f>
        <v>20190312160624467</v>
      </c>
      <c r="B1363" t="str">
        <f>"1552377984456159"</f>
        <v>1552377984456159</v>
      </c>
      <c r="C1363" t="s">
        <v>40</v>
      </c>
      <c r="D1363">
        <v>6.5070030000000001</v>
      </c>
      <c r="E1363">
        <v>0.56587080000000001</v>
      </c>
      <c r="F1363" t="s">
        <v>56</v>
      </c>
      <c r="G1363">
        <v>-216.37450000000001</v>
      </c>
      <c r="H1363">
        <v>4.3473139999999999</v>
      </c>
      <c r="I1363">
        <v>97.150019999999998</v>
      </c>
      <c r="J1363">
        <v>-187.99180000000001</v>
      </c>
      <c r="K1363">
        <v>1.1042369999999999</v>
      </c>
      <c r="L1363">
        <v>344.11610000000002</v>
      </c>
      <c r="M1363">
        <v>5.8541160000000002E-2</v>
      </c>
      <c r="N1363">
        <v>0</v>
      </c>
      <c r="O1363">
        <v>-0.99817650000000002</v>
      </c>
      <c r="P1363">
        <v>5.3552559999999999E-2</v>
      </c>
      <c r="Q1363">
        <v>2.2580340000000001E-2</v>
      </c>
      <c r="R1363">
        <v>-0.99830989999999997</v>
      </c>
      <c r="S1363">
        <v>-0.34733579999999997</v>
      </c>
      <c r="T1363">
        <v>3.9703250000000002E-2</v>
      </c>
      <c r="U1363">
        <v>-3.0266419999999998</v>
      </c>
      <c r="V1363">
        <v>5.5098150000000004E-3</v>
      </c>
      <c r="W1363">
        <v>3.7230770000000003E-2</v>
      </c>
      <c r="X1363">
        <v>0.9992915</v>
      </c>
      <c r="Y1363">
        <v>0.17197179999999901</v>
      </c>
      <c r="Z1363">
        <v>-1.2942830000000001E-2</v>
      </c>
      <c r="AA1363">
        <v>0.98501689999999997</v>
      </c>
      <c r="AB1363">
        <v>26</v>
      </c>
      <c r="AC1363">
        <v>-28.3827</v>
      </c>
      <c r="AD1363">
        <v>3.2430769999999902</v>
      </c>
      <c r="AE1363">
        <v>-246.96608000000001</v>
      </c>
      <c r="AF1363">
        <v>42.7859780023295</v>
      </c>
      <c r="AG1363">
        <v>3.2430769999999902</v>
      </c>
      <c r="AH1363">
        <v>244.83903424127701</v>
      </c>
      <c r="AI1363">
        <v>89.252445999524198</v>
      </c>
      <c r="AJ1363">
        <v>80.087572377372496</v>
      </c>
      <c r="AK1363">
        <v>248.570533551837</v>
      </c>
      <c r="AL1363">
        <v>87.866340885298499</v>
      </c>
      <c r="AM1363">
        <v>89.684090231574501</v>
      </c>
      <c r="AN1363">
        <v>0.99999999513418802</v>
      </c>
    </row>
    <row r="1364" spans="1:40" x14ac:dyDescent="0.25">
      <c r="A1364" t="str">
        <f>"20190312160624490"</f>
        <v>20190312160624490</v>
      </c>
      <c r="B1364" t="str">
        <f>"1552377984485943"</f>
        <v>1552377984485943</v>
      </c>
      <c r="C1364" t="s">
        <v>40</v>
      </c>
      <c r="D1364">
        <v>6.6901989999999998</v>
      </c>
      <c r="E1364">
        <v>0.56507580000000002</v>
      </c>
      <c r="F1364" t="s">
        <v>58</v>
      </c>
      <c r="G1364">
        <v>-215.95949999999999</v>
      </c>
      <c r="H1364">
        <v>4.0688620000000002</v>
      </c>
      <c r="I1364">
        <v>112.9751</v>
      </c>
      <c r="J1364">
        <v>-187.98480000000001</v>
      </c>
      <c r="K1364">
        <v>1.104454</v>
      </c>
      <c r="L1364">
        <v>343.84570000000002</v>
      </c>
      <c r="M1364">
        <v>5.0777040000000002E-2</v>
      </c>
      <c r="N1364">
        <v>0</v>
      </c>
      <c r="O1364">
        <v>-0.99860230000000005</v>
      </c>
      <c r="P1364">
        <v>4.6750340000000001E-2</v>
      </c>
      <c r="Q1364">
        <v>2.2646429999999999E-2</v>
      </c>
      <c r="R1364">
        <v>-0.99865000000000004</v>
      </c>
      <c r="S1364">
        <v>-0.36587520000000001</v>
      </c>
      <c r="T1364">
        <v>3.8783789999999999E-2</v>
      </c>
      <c r="U1364">
        <v>-3.0238040000000002</v>
      </c>
      <c r="V1364">
        <v>4.5268189999999996E-3</v>
      </c>
      <c r="W1364">
        <v>3.7265079999999999E-2</v>
      </c>
      <c r="X1364">
        <v>0.99929520000000005</v>
      </c>
      <c r="Y1364">
        <v>0.17037239999999901</v>
      </c>
      <c r="Z1364">
        <v>-1.2660340000000001E-2</v>
      </c>
      <c r="AA1364">
        <v>0.98529840000000002</v>
      </c>
      <c r="AB1364">
        <v>26</v>
      </c>
      <c r="AC1364">
        <v>-27.974699999999899</v>
      </c>
      <c r="AD1364">
        <v>2.9644080000000002</v>
      </c>
      <c r="AE1364">
        <v>-230.8706</v>
      </c>
      <c r="AF1364">
        <v>39.6563486893441</v>
      </c>
      <c r="AG1364">
        <v>2.9644080000000002</v>
      </c>
      <c r="AH1364">
        <v>229.11486343347499</v>
      </c>
      <c r="AI1364">
        <v>89.269577789634297</v>
      </c>
      <c r="AJ1364">
        <v>80.180249428114195</v>
      </c>
      <c r="AK1364">
        <v>232.54039294776501</v>
      </c>
      <c r="AL1364">
        <v>87.864373792518805</v>
      </c>
      <c r="AM1364">
        <v>89.740451220840498</v>
      </c>
      <c r="AN1364">
        <v>1.0000000375103499</v>
      </c>
    </row>
    <row r="1365" spans="1:40" x14ac:dyDescent="0.25">
      <c r="A1365" t="str">
        <f>"20190312160624513"</f>
        <v>20190312160624513</v>
      </c>
      <c r="B1365" t="str">
        <f>"1552377984506439"</f>
        <v>1552377984506439</v>
      </c>
      <c r="C1365" t="s">
        <v>40</v>
      </c>
      <c r="D1365">
        <v>6.6556579999999999</v>
      </c>
      <c r="E1365">
        <v>0.55689639999999996</v>
      </c>
      <c r="F1365" t="s">
        <v>58</v>
      </c>
      <c r="G1365">
        <v>-217.08430000000001</v>
      </c>
      <c r="H1365">
        <v>3.1178819999999998</v>
      </c>
      <c r="I1365">
        <v>112.9751</v>
      </c>
      <c r="J1365">
        <v>-187.9795</v>
      </c>
      <c r="K1365">
        <v>1.1046849999999999</v>
      </c>
      <c r="L1365">
        <v>343.57780000000002</v>
      </c>
      <c r="M1365">
        <v>4.3351519999999998E-2</v>
      </c>
      <c r="N1365">
        <v>0</v>
      </c>
      <c r="O1365">
        <v>-0.99895279999999997</v>
      </c>
      <c r="P1365">
        <v>4.0406919999999999E-2</v>
      </c>
      <c r="Q1365">
        <v>2.2638709999999999E-2</v>
      </c>
      <c r="R1365">
        <v>-0.99892709999999996</v>
      </c>
      <c r="S1365">
        <v>-0.38081359999999997</v>
      </c>
      <c r="T1365">
        <v>2.6349190000000001E-2</v>
      </c>
      <c r="U1365">
        <v>-3.0213009999999998</v>
      </c>
      <c r="V1365">
        <v>3.4226510000000001E-3</v>
      </c>
      <c r="W1365">
        <v>3.7227919999999998E-2</v>
      </c>
      <c r="X1365">
        <v>0.99930099999999999</v>
      </c>
      <c r="Y1365">
        <v>0.16794709999999999</v>
      </c>
      <c r="Z1365">
        <v>-8.6124930000000006E-3</v>
      </c>
      <c r="AA1365">
        <v>0.98575840000000003</v>
      </c>
      <c r="AB1365">
        <v>26</v>
      </c>
      <c r="AC1365">
        <v>-29.104800000000001</v>
      </c>
      <c r="AD1365">
        <v>2.0131969999999999</v>
      </c>
      <c r="AE1365">
        <v>-230.6027</v>
      </c>
      <c r="AF1365">
        <v>39.072548075746397</v>
      </c>
      <c r="AG1365">
        <v>2.0131969999999999</v>
      </c>
      <c r="AH1365">
        <v>229.10679956071101</v>
      </c>
      <c r="AI1365">
        <v>89.503711210973805</v>
      </c>
      <c r="AJ1365">
        <v>80.321722782389102</v>
      </c>
      <c r="AK1365">
        <v>232.423412289391</v>
      </c>
      <c r="AL1365">
        <v>87.866504431254597</v>
      </c>
      <c r="AM1365">
        <v>89.803760138110405</v>
      </c>
      <c r="AN1365">
        <v>1.0000000605841901</v>
      </c>
    </row>
    <row r="1366" spans="1:40" x14ac:dyDescent="0.25">
      <c r="A1366" t="str">
        <f>"20190312160624536"</f>
        <v>20190312160624536</v>
      </c>
      <c r="B1366" t="str">
        <f>"1552377984525959"</f>
        <v>1552377984525959</v>
      </c>
      <c r="C1366" t="s">
        <v>40</v>
      </c>
      <c r="D1366">
        <v>6.7549839999999897</v>
      </c>
      <c r="E1366">
        <v>0.55599299999999996</v>
      </c>
      <c r="F1366" t="s">
        <v>47</v>
      </c>
      <c r="G1366">
        <v>-190.6746</v>
      </c>
      <c r="H1366" s="1">
        <v>-2.7037309999999997E-7</v>
      </c>
      <c r="I1366">
        <v>319.80090000000001</v>
      </c>
      <c r="J1366">
        <v>-187.9761</v>
      </c>
      <c r="K1366">
        <v>1.104919</v>
      </c>
      <c r="L1366">
        <v>343.31299999999999</v>
      </c>
      <c r="M1366">
        <v>3.6294840000000002E-2</v>
      </c>
      <c r="N1366">
        <v>0</v>
      </c>
      <c r="O1366">
        <v>-0.99923470000000003</v>
      </c>
      <c r="P1366">
        <v>3.417361E-2</v>
      </c>
      <c r="Q1366">
        <v>2.2305459999999999E-2</v>
      </c>
      <c r="R1366">
        <v>-0.99916700000000003</v>
      </c>
      <c r="S1366">
        <v>-0.34234619999999999</v>
      </c>
      <c r="T1366">
        <v>-0.1403228</v>
      </c>
      <c r="U1366">
        <v>-3.0202640000000001</v>
      </c>
      <c r="V1366">
        <v>2.574167E-3</v>
      </c>
      <c r="W1366">
        <v>3.6861959999999999E-2</v>
      </c>
      <c r="X1366">
        <v>0.99931700000000001</v>
      </c>
      <c r="Y1366">
        <v>0.14850279999999999</v>
      </c>
      <c r="Z1366">
        <v>4.5960300000000003E-2</v>
      </c>
      <c r="AA1366">
        <v>0.98784340000000004</v>
      </c>
      <c r="AB1366">
        <v>26</v>
      </c>
      <c r="AC1366">
        <v>-2.6984999999999899</v>
      </c>
      <c r="AD1366">
        <v>-1.1049192703730999</v>
      </c>
      <c r="AE1366">
        <v>-23.5121</v>
      </c>
      <c r="AF1366">
        <v>3.5424588594240798</v>
      </c>
      <c r="AG1366">
        <v>-1.1049192703730999</v>
      </c>
      <c r="AH1366">
        <v>23.3477622218542</v>
      </c>
      <c r="AI1366">
        <v>92.678854229313401</v>
      </c>
      <c r="AJ1366">
        <v>81.372551471002794</v>
      </c>
      <c r="AK1366">
        <v>23.640809252920999</v>
      </c>
      <c r="AL1366">
        <v>87.887486558880894</v>
      </c>
      <c r="AM1366">
        <v>89.852410617804594</v>
      </c>
      <c r="AN1366">
        <v>0.99999994845989104</v>
      </c>
    </row>
    <row r="1367" spans="1:40" x14ac:dyDescent="0.25">
      <c r="A1367" t="str">
        <f>"20190312160624557"</f>
        <v>20190312160624557</v>
      </c>
      <c r="B1367" t="str">
        <f>"1552377984546454"</f>
        <v>1552377984546454</v>
      </c>
      <c r="C1367" t="s">
        <v>40</v>
      </c>
      <c r="D1367">
        <v>6.6105130000000001</v>
      </c>
      <c r="E1367">
        <v>0.55864199999999997</v>
      </c>
      <c r="F1367" t="s">
        <v>47</v>
      </c>
      <c r="G1367">
        <v>-190.4829</v>
      </c>
      <c r="H1367" s="1">
        <v>-1.1536690000000001E-6</v>
      </c>
      <c r="I1367">
        <v>321.97890000000001</v>
      </c>
      <c r="J1367">
        <v>-187.9743</v>
      </c>
      <c r="K1367">
        <v>1.1051299999999999</v>
      </c>
      <c r="L1367">
        <v>343.05829999999997</v>
      </c>
      <c r="M1367">
        <v>2.9773310000000001E-2</v>
      </c>
      <c r="N1367">
        <v>0</v>
      </c>
      <c r="O1367">
        <v>-0.99945090000000003</v>
      </c>
      <c r="P1367">
        <v>2.8665599999999999E-2</v>
      </c>
      <c r="Q1367">
        <v>2.1943569999999999E-2</v>
      </c>
      <c r="R1367">
        <v>-0.99934829999999997</v>
      </c>
      <c r="S1367">
        <v>-0.35462949999999999</v>
      </c>
      <c r="T1367">
        <v>-0.156309</v>
      </c>
      <c r="U1367">
        <v>-3.0180660000000001</v>
      </c>
      <c r="V1367">
        <v>1.5370080000000001E-3</v>
      </c>
      <c r="W1367">
        <v>3.6472640000000001E-2</v>
      </c>
      <c r="X1367">
        <v>0.99933340000000004</v>
      </c>
      <c r="Y1367">
        <v>0.14606710000000001</v>
      </c>
      <c r="Z1367">
        <v>5.1234200000000001E-2</v>
      </c>
      <c r="AA1367">
        <v>0.98794709999999997</v>
      </c>
      <c r="AB1367">
        <v>26</v>
      </c>
      <c r="AC1367">
        <v>-2.5085999999999999</v>
      </c>
      <c r="AD1367">
        <v>-1.1051311536690001</v>
      </c>
      <c r="AE1367">
        <v>-21.0793999999999</v>
      </c>
      <c r="AF1367">
        <v>3.1266835380909201</v>
      </c>
      <c r="AG1367">
        <v>-1.1051311536690001</v>
      </c>
      <c r="AH1367">
        <v>20.9386077127654</v>
      </c>
      <c r="AI1367">
        <v>92.988173575588903</v>
      </c>
      <c r="AJ1367">
        <v>81.506992313116797</v>
      </c>
      <c r="AK1367">
        <v>21.1995933395728</v>
      </c>
      <c r="AL1367">
        <v>87.909807925189298</v>
      </c>
      <c r="AM1367">
        <v>89.911877255340301</v>
      </c>
      <c r="AN1367">
        <v>0.99999993010885802</v>
      </c>
    </row>
    <row r="1368" spans="1:40" x14ac:dyDescent="0.25">
      <c r="A1368" t="str">
        <f>"20190312160624578"</f>
        <v>20190312160624578</v>
      </c>
      <c r="B1368" t="str">
        <f>"1552377984565975"</f>
        <v>1552377984565975</v>
      </c>
      <c r="C1368" t="s">
        <v>40</v>
      </c>
      <c r="D1368">
        <v>6.1770160000000001</v>
      </c>
      <c r="E1368">
        <v>0.59198519999999999</v>
      </c>
      <c r="F1368" t="s">
        <v>47</v>
      </c>
      <c r="G1368">
        <v>-191.93899999999999</v>
      </c>
      <c r="H1368" s="1">
        <v>-1.8450820000000001E-6</v>
      </c>
      <c r="I1368">
        <v>312.40339999999998</v>
      </c>
      <c r="J1368">
        <v>-187.97380000000001</v>
      </c>
      <c r="K1368">
        <v>1.1053029999999999</v>
      </c>
      <c r="L1368">
        <v>342.80930000000001</v>
      </c>
      <c r="M1368">
        <v>2.3604650000000001E-2</v>
      </c>
      <c r="N1368">
        <v>0</v>
      </c>
      <c r="O1368">
        <v>-0.99961599999999995</v>
      </c>
      <c r="P1368">
        <v>2.2636199999999999E-2</v>
      </c>
      <c r="Q1368">
        <v>2.1768860000000001E-2</v>
      </c>
      <c r="R1368">
        <v>-0.99950700000000003</v>
      </c>
      <c r="S1368">
        <v>-0.39001459999999999</v>
      </c>
      <c r="T1368">
        <v>-0.1087123</v>
      </c>
      <c r="U1368">
        <v>-3.015533</v>
      </c>
      <c r="V1368">
        <v>1.3795729999999901E-3</v>
      </c>
      <c r="W1368">
        <v>3.6262019999999999E-2</v>
      </c>
      <c r="X1368">
        <v>0.99934140000000005</v>
      </c>
      <c r="Y1368">
        <v>0.15156159999999999</v>
      </c>
      <c r="Z1368">
        <v>3.5655890000000003E-2</v>
      </c>
      <c r="AA1368">
        <v>0.98780449999999997</v>
      </c>
      <c r="AB1368">
        <v>26</v>
      </c>
      <c r="AC1368">
        <v>-3.9651999999999998</v>
      </c>
      <c r="AD1368">
        <v>-1.105304845082</v>
      </c>
      <c r="AE1368">
        <v>-30.405899999999999</v>
      </c>
      <c r="AF1368">
        <v>4.6758156899063001</v>
      </c>
      <c r="AG1368">
        <v>-1.105304845082</v>
      </c>
      <c r="AH1368">
        <v>30.264495202679701</v>
      </c>
      <c r="AI1368">
        <v>92.067094983450204</v>
      </c>
      <c r="AJ1368">
        <v>81.2173351687576</v>
      </c>
      <c r="AK1368">
        <v>30.643508628085598</v>
      </c>
      <c r="AL1368">
        <v>87.921883770470501</v>
      </c>
      <c r="AM1368">
        <v>89.920904247319001</v>
      </c>
      <c r="AN1368">
        <v>1.00000003553505</v>
      </c>
    </row>
    <row r="1369" spans="1:40" x14ac:dyDescent="0.25">
      <c r="A1369" t="str">
        <f>"20190312160624601"</f>
        <v>20190312160624601</v>
      </c>
      <c r="B1369" t="str">
        <f>"1552377984596231"</f>
        <v>1552377984596231</v>
      </c>
      <c r="C1369" t="s">
        <v>40</v>
      </c>
      <c r="D1369">
        <v>6.3525299999999998</v>
      </c>
      <c r="E1369">
        <v>0.58372999999999997</v>
      </c>
      <c r="F1369" t="s">
        <v>47</v>
      </c>
      <c r="G1369">
        <v>-195.69550000000001</v>
      </c>
      <c r="H1369" s="1">
        <v>-4.8254719999999999E-6</v>
      </c>
      <c r="I1369">
        <v>308.1979</v>
      </c>
      <c r="J1369">
        <v>-187.97479999999999</v>
      </c>
      <c r="K1369">
        <v>1.1054850000000001</v>
      </c>
      <c r="L1369">
        <v>342.54809999999998</v>
      </c>
      <c r="M1369">
        <v>1.7356150000000001E-2</v>
      </c>
      <c r="N1369">
        <v>0</v>
      </c>
      <c r="O1369">
        <v>-0.99974470000000004</v>
      </c>
      <c r="P1369">
        <v>1.6646629999999999E-2</v>
      </c>
      <c r="Q1369">
        <v>2.207201E-2</v>
      </c>
      <c r="R1369">
        <v>-0.9996178</v>
      </c>
      <c r="S1369">
        <v>-0.67349239999999999</v>
      </c>
      <c r="T1369">
        <v>-9.6406699999999998E-2</v>
      </c>
      <c r="U1369">
        <v>-3.0188600000000001</v>
      </c>
      <c r="V1369">
        <v>1.108768E-3</v>
      </c>
      <c r="W1369">
        <v>3.6531250000000001E-2</v>
      </c>
      <c r="X1369">
        <v>0.99933190000000005</v>
      </c>
      <c r="Y1369">
        <v>0.23454549999999999</v>
      </c>
      <c r="Z1369">
        <v>3.108443E-2</v>
      </c>
      <c r="AA1369">
        <v>0.97160800000000003</v>
      </c>
      <c r="AB1369">
        <v>26</v>
      </c>
      <c r="AC1369">
        <v>-7.7207000000000203</v>
      </c>
      <c r="AD1369">
        <v>-1.105489825472</v>
      </c>
      <c r="AE1369">
        <v>-34.350199999999901</v>
      </c>
      <c r="AF1369">
        <v>8.3075956909644795</v>
      </c>
      <c r="AG1369">
        <v>-1.105489825472</v>
      </c>
      <c r="AH1369">
        <v>34.177312604374301</v>
      </c>
      <c r="AI1369">
        <v>91.800243203581701</v>
      </c>
      <c r="AJ1369">
        <v>76.337880737084802</v>
      </c>
      <c r="AK1369">
        <v>35.1898700022588</v>
      </c>
      <c r="AL1369">
        <v>87.906447734634</v>
      </c>
      <c r="AM1369">
        <v>89.936429827976596</v>
      </c>
      <c r="AN1369">
        <v>1.0000000039753201</v>
      </c>
    </row>
    <row r="1370" spans="1:40" x14ac:dyDescent="0.25">
      <c r="A1370" t="str">
        <f>"20190312160624623"</f>
        <v>20190312160624623</v>
      </c>
      <c r="B1370" t="str">
        <f>"1552377984616727"</f>
        <v>1552377984616727</v>
      </c>
      <c r="C1370" t="s">
        <v>40</v>
      </c>
      <c r="D1370">
        <v>6.2804060000000002</v>
      </c>
      <c r="E1370">
        <v>0.58219219999999905</v>
      </c>
      <c r="F1370" t="s">
        <v>59</v>
      </c>
      <c r="G1370">
        <v>-233.96129999999999</v>
      </c>
      <c r="H1370">
        <v>2.8290419999999998</v>
      </c>
      <c r="I1370">
        <v>119.3841</v>
      </c>
      <c r="J1370">
        <v>-187.97720000000001</v>
      </c>
      <c r="K1370">
        <v>1.105664</v>
      </c>
      <c r="L1370">
        <v>342.28100000000001</v>
      </c>
      <c r="M1370">
        <v>1.121252E-2</v>
      </c>
      <c r="N1370">
        <v>0</v>
      </c>
      <c r="O1370">
        <v>-0.99983290000000002</v>
      </c>
      <c r="P1370">
        <v>1.0895520000000001E-2</v>
      </c>
      <c r="Q1370">
        <v>2.2378439999999999E-2</v>
      </c>
      <c r="R1370">
        <v>-0.99969019999999997</v>
      </c>
      <c r="S1370">
        <v>-0.62046809999999997</v>
      </c>
      <c r="T1370">
        <v>2.325499E-2</v>
      </c>
      <c r="U1370">
        <v>-3.0110169999999998</v>
      </c>
      <c r="V1370">
        <v>7.0456570000000001E-4</v>
      </c>
      <c r="W1370">
        <v>3.6805730000000002E-2</v>
      </c>
      <c r="X1370">
        <v>0.99932220000000005</v>
      </c>
      <c r="Y1370">
        <v>0.2127899</v>
      </c>
      <c r="Z1370">
        <v>-7.5545459999999997E-3</v>
      </c>
      <c r="AA1370">
        <v>0.97706879999999996</v>
      </c>
      <c r="AB1370">
        <v>26</v>
      </c>
      <c r="AC1370">
        <v>-45.984099999999899</v>
      </c>
      <c r="AD1370">
        <v>1.7233780000000001</v>
      </c>
      <c r="AE1370">
        <v>-222.89689999999999</v>
      </c>
      <c r="AF1370">
        <v>48.477925520448501</v>
      </c>
      <c r="AG1370">
        <v>1.7233780000000001</v>
      </c>
      <c r="AH1370">
        <v>222.35448425217501</v>
      </c>
      <c r="AI1370">
        <v>89.566124524240706</v>
      </c>
      <c r="AJ1370">
        <v>77.700785271333402</v>
      </c>
      <c r="AK1370">
        <v>227.58426123426801</v>
      </c>
      <c r="AL1370">
        <v>87.890710615794404</v>
      </c>
      <c r="AM1370">
        <v>89.959603985270405</v>
      </c>
      <c r="AN1370">
        <v>1.0000000087932399</v>
      </c>
    </row>
    <row r="1371" spans="1:40" x14ac:dyDescent="0.25">
      <c r="A1371" t="str">
        <f>"20190312160624645"</f>
        <v>20190312160624645</v>
      </c>
      <c r="B1371" t="str">
        <f>"1552377984636247"</f>
        <v>1552377984636247</v>
      </c>
      <c r="C1371" t="s">
        <v>40</v>
      </c>
      <c r="D1371">
        <v>6.4150530000000003</v>
      </c>
      <c r="E1371">
        <v>0.58296020000000004</v>
      </c>
      <c r="F1371" t="s">
        <v>59</v>
      </c>
      <c r="G1371">
        <v>-234.17349999999999</v>
      </c>
      <c r="H1371">
        <v>6.9363299999999999</v>
      </c>
      <c r="I1371">
        <v>119.3841</v>
      </c>
      <c r="J1371">
        <v>-187.98099999999999</v>
      </c>
      <c r="K1371">
        <v>1.105847</v>
      </c>
      <c r="L1371">
        <v>342.02080000000001</v>
      </c>
      <c r="M1371">
        <v>5.4643189999999996E-3</v>
      </c>
      <c r="N1371">
        <v>0</v>
      </c>
      <c r="O1371">
        <v>-0.99988140000000003</v>
      </c>
      <c r="P1371">
        <v>5.171269E-3</v>
      </c>
      <c r="Q1371">
        <v>2.194519E-2</v>
      </c>
      <c r="R1371">
        <v>-0.99974569999999996</v>
      </c>
      <c r="S1371">
        <v>-0.62300109999999997</v>
      </c>
      <c r="T1371">
        <v>7.8632240000000006E-2</v>
      </c>
      <c r="U1371">
        <v>-3.0059809999999998</v>
      </c>
      <c r="V1371">
        <v>6.6111640000000003E-4</v>
      </c>
      <c r="W1371">
        <v>3.633778E-2</v>
      </c>
      <c r="X1371">
        <v>0.99933930000000004</v>
      </c>
      <c r="Y1371">
        <v>0.20822270000000001</v>
      </c>
      <c r="Z1371">
        <v>-2.5590740000000001E-2</v>
      </c>
      <c r="AA1371">
        <v>0.97774660000000002</v>
      </c>
      <c r="AB1371">
        <v>26</v>
      </c>
      <c r="AC1371">
        <v>-46.192500000000003</v>
      </c>
      <c r="AD1371">
        <v>5.8304830000000001</v>
      </c>
      <c r="AE1371">
        <v>-222.63669999999999</v>
      </c>
      <c r="AF1371">
        <v>47.377342582951101</v>
      </c>
      <c r="AG1371">
        <v>5.8304830000000001</v>
      </c>
      <c r="AH1371">
        <v>222.234814074621</v>
      </c>
      <c r="AI1371">
        <v>88.530165230733004</v>
      </c>
      <c r="AJ1371">
        <v>77.965501309778105</v>
      </c>
      <c r="AK1371">
        <v>227.30358490137601</v>
      </c>
      <c r="AL1371">
        <v>87.917540009667704</v>
      </c>
      <c r="AM1371">
        <v>89.962095782722699</v>
      </c>
      <c r="AN1371">
        <v>0.99999995392735497</v>
      </c>
    </row>
    <row r="1372" spans="1:40" x14ac:dyDescent="0.25">
      <c r="A1372" t="str">
        <f>"20190312160624667"</f>
        <v>20190312160624667</v>
      </c>
      <c r="B1372" t="str">
        <f>"1552377984656743"</f>
        <v>1552377984656743</v>
      </c>
      <c r="C1372" t="s">
        <v>40</v>
      </c>
      <c r="D1372">
        <v>6.3212769999999896</v>
      </c>
      <c r="E1372">
        <v>0.58139580000000002</v>
      </c>
      <c r="F1372" t="s">
        <v>59</v>
      </c>
      <c r="G1372">
        <v>-235.94450000000001</v>
      </c>
      <c r="H1372">
        <v>5.7971890000000004</v>
      </c>
      <c r="I1372">
        <v>119.3841</v>
      </c>
      <c r="J1372">
        <v>-187.98589999999999</v>
      </c>
      <c r="K1372">
        <v>1.1060399999999999</v>
      </c>
      <c r="L1372">
        <v>341.76240000000001</v>
      </c>
      <c r="M1372" s="1">
        <v>-5.8923910000000001E-6</v>
      </c>
      <c r="N1372">
        <v>0</v>
      </c>
      <c r="O1372">
        <v>-0.99989669999999997</v>
      </c>
      <c r="P1372">
        <v>-4.7478279999999998E-4</v>
      </c>
      <c r="Q1372">
        <v>2.203505E-2</v>
      </c>
      <c r="R1372">
        <v>-0.99975709999999995</v>
      </c>
      <c r="S1372">
        <v>-0.64688109999999999</v>
      </c>
      <c r="T1372">
        <v>6.3271759999999996E-2</v>
      </c>
      <c r="U1372">
        <v>-3.0026860000000002</v>
      </c>
      <c r="V1372">
        <v>8.2147809999999998E-4</v>
      </c>
      <c r="W1372">
        <v>3.6391630000000001E-2</v>
      </c>
      <c r="X1372">
        <v>0.99933729999999998</v>
      </c>
      <c r="Y1372">
        <v>0.21055189999999999</v>
      </c>
      <c r="Z1372">
        <v>-2.0594769999999998E-2</v>
      </c>
      <c r="AA1372">
        <v>0.9773657</v>
      </c>
      <c r="AB1372">
        <v>26</v>
      </c>
      <c r="AC1372">
        <v>-47.958599999999997</v>
      </c>
      <c r="AD1372">
        <v>4.6911490000000002</v>
      </c>
      <c r="AE1372">
        <v>-222.3783</v>
      </c>
      <c r="AF1372">
        <v>47.936905018938099</v>
      </c>
      <c r="AG1372">
        <v>4.6911490000000002</v>
      </c>
      <c r="AH1372">
        <v>222.28405939839001</v>
      </c>
      <c r="AI1372">
        <v>88.818154353665705</v>
      </c>
      <c r="AJ1372">
        <v>77.830195870885802</v>
      </c>
      <c r="AK1372">
        <v>227.44264508741901</v>
      </c>
      <c r="AL1372">
        <v>87.914452753392894</v>
      </c>
      <c r="AM1372">
        <v>89.952901570379694</v>
      </c>
      <c r="AN1372">
        <v>1.0000000323658</v>
      </c>
    </row>
    <row r="1373" spans="1:40" x14ac:dyDescent="0.25">
      <c r="A1373" t="str">
        <f>"20190312160624689"</f>
        <v>20190312160624689</v>
      </c>
      <c r="B1373" t="str">
        <f>"1552377984686023"</f>
        <v>1552377984686023</v>
      </c>
      <c r="C1373" t="s">
        <v>40</v>
      </c>
      <c r="D1373">
        <v>6.4838680000000002</v>
      </c>
      <c r="E1373">
        <v>0.58087409999999995</v>
      </c>
      <c r="F1373" t="s">
        <v>59</v>
      </c>
      <c r="G1373">
        <v>-236.2252</v>
      </c>
      <c r="H1373">
        <v>7.1093070000000003</v>
      </c>
      <c r="I1373">
        <v>119.3841</v>
      </c>
      <c r="J1373">
        <v>-187.99189999999999</v>
      </c>
      <c r="K1373">
        <v>1.1062540000000001</v>
      </c>
      <c r="L1373">
        <v>341.50279999999998</v>
      </c>
      <c r="M1373">
        <v>-5.2458919999999899E-3</v>
      </c>
      <c r="N1373">
        <v>0</v>
      </c>
      <c r="O1373">
        <v>-0.99988350000000004</v>
      </c>
      <c r="P1373">
        <v>-5.7950110000000001E-3</v>
      </c>
      <c r="Q1373">
        <v>2.2053400000000001E-2</v>
      </c>
      <c r="R1373">
        <v>-0.99973990000000001</v>
      </c>
      <c r="S1373">
        <v>-0.65048219999999901</v>
      </c>
      <c r="T1373">
        <v>8.0950980000000006E-2</v>
      </c>
      <c r="U1373">
        <v>-2.9986570000000001</v>
      </c>
      <c r="V1373">
        <v>8.8390099999999998E-4</v>
      </c>
      <c r="W1373">
        <v>3.637543E-2</v>
      </c>
      <c r="X1373">
        <v>0.99933780000000005</v>
      </c>
      <c r="Y1373">
        <v>0.2067901</v>
      </c>
      <c r="Z1373">
        <v>-2.638708E-2</v>
      </c>
      <c r="AA1373">
        <v>0.97802940000000005</v>
      </c>
      <c r="AB1373">
        <v>26</v>
      </c>
      <c r="AC1373">
        <v>-48.2333</v>
      </c>
      <c r="AD1373">
        <v>6.0030529999999898</v>
      </c>
      <c r="AE1373">
        <v>-222.11869999999999</v>
      </c>
      <c r="AF1373">
        <v>47.0344977420066</v>
      </c>
      <c r="AG1373">
        <v>6.0030529999999898</v>
      </c>
      <c r="AH1373">
        <v>222.213694875047</v>
      </c>
      <c r="AI1373">
        <v>88.4860691717371</v>
      </c>
      <c r="AJ1373">
        <v>78.048973231246904</v>
      </c>
      <c r="AK1373">
        <v>227.216211598521</v>
      </c>
      <c r="AL1373">
        <v>87.915381483795898</v>
      </c>
      <c r="AM1373">
        <v>89.949322657863107</v>
      </c>
      <c r="AN1373">
        <v>0.99999999584875099</v>
      </c>
    </row>
    <row r="1374" spans="1:40" x14ac:dyDescent="0.25">
      <c r="A1374" t="str">
        <f>"20190312160624713"</f>
        <v>20190312160624713</v>
      </c>
      <c r="B1374" t="str">
        <f>"1552377984706519"</f>
        <v>1552377984706519</v>
      </c>
      <c r="C1374" t="s">
        <v>40</v>
      </c>
      <c r="D1374">
        <v>6.429087</v>
      </c>
      <c r="E1374">
        <v>0.58070859999999902</v>
      </c>
      <c r="F1374" t="s">
        <v>59</v>
      </c>
      <c r="G1374">
        <v>-237.11359999999999</v>
      </c>
      <c r="H1374">
        <v>6.8554389999999996</v>
      </c>
      <c r="I1374">
        <v>119.3841</v>
      </c>
      <c r="J1374">
        <v>-187.99940000000001</v>
      </c>
      <c r="K1374">
        <v>1.106495</v>
      </c>
      <c r="L1374">
        <v>341.2276</v>
      </c>
      <c r="M1374">
        <v>-1.051142E-2</v>
      </c>
      <c r="N1374">
        <v>0</v>
      </c>
      <c r="O1374">
        <v>-0.99984260000000003</v>
      </c>
      <c r="P1374">
        <v>-1.1215360000000001E-2</v>
      </c>
      <c r="Q1374">
        <v>2.138928E-2</v>
      </c>
      <c r="R1374">
        <v>-0.99970840000000005</v>
      </c>
      <c r="S1374">
        <v>-0.66239930000000002</v>
      </c>
      <c r="T1374">
        <v>7.752705E-2</v>
      </c>
      <c r="U1374">
        <v>-2.9952390000000002</v>
      </c>
      <c r="V1374">
        <v>1.0126530000000001E-3</v>
      </c>
      <c r="W1374">
        <v>3.5675409999999998E-2</v>
      </c>
      <c r="X1374">
        <v>0.99936290000000005</v>
      </c>
      <c r="Y1374">
        <v>0.20558789999999999</v>
      </c>
      <c r="Z1374">
        <v>-2.5290920000000001E-2</v>
      </c>
      <c r="AA1374">
        <v>0.97831179999999995</v>
      </c>
      <c r="AB1374">
        <v>26</v>
      </c>
      <c r="AC1374">
        <v>-49.114199999999897</v>
      </c>
      <c r="AD1374">
        <v>5.7489439999999998</v>
      </c>
      <c r="AE1374">
        <v>-221.84350000000001</v>
      </c>
      <c r="AF1374">
        <v>46.7494296297643</v>
      </c>
      <c r="AG1374">
        <v>5.7489439999999998</v>
      </c>
      <c r="AH1374">
        <v>222.20530297283401</v>
      </c>
      <c r="AI1374">
        <v>88.549697768098696</v>
      </c>
      <c r="AJ1374">
        <v>78.118905969140798</v>
      </c>
      <c r="AK1374">
        <v>227.14259001136799</v>
      </c>
      <c r="AL1374">
        <v>87.955515702513694</v>
      </c>
      <c r="AM1374">
        <v>89.941942288278597</v>
      </c>
      <c r="AN1374">
        <v>0.99999998312058802</v>
      </c>
    </row>
    <row r="1375" spans="1:40" x14ac:dyDescent="0.25">
      <c r="A1375" t="str">
        <f>"20190312160624736"</f>
        <v>20190312160624736</v>
      </c>
      <c r="B1375" t="str">
        <f>"1552377984726038"</f>
        <v>1552377984726038</v>
      </c>
      <c r="C1375" t="s">
        <v>40</v>
      </c>
      <c r="D1375">
        <v>6.5390680000000003</v>
      </c>
      <c r="E1375">
        <v>0.57935119999999996</v>
      </c>
      <c r="F1375" t="s">
        <v>59</v>
      </c>
      <c r="G1375">
        <v>-238.214</v>
      </c>
      <c r="H1375">
        <v>7.0723099999999999</v>
      </c>
      <c r="I1375">
        <v>119.3841</v>
      </c>
      <c r="J1375">
        <v>-188.00790000000001</v>
      </c>
      <c r="K1375">
        <v>1.106735</v>
      </c>
      <c r="L1375">
        <v>340.95699999999999</v>
      </c>
      <c r="M1375">
        <v>-1.5347670000000001E-2</v>
      </c>
      <c r="N1375">
        <v>0</v>
      </c>
      <c r="O1375">
        <v>-0.99978040000000001</v>
      </c>
      <c r="P1375">
        <v>-1.6550240000000001E-2</v>
      </c>
      <c r="Q1375">
        <v>2.162149E-2</v>
      </c>
      <c r="R1375">
        <v>-0.99962910000000005</v>
      </c>
      <c r="S1375">
        <v>-0.67715449999999999</v>
      </c>
      <c r="T1375">
        <v>8.0450419999999995E-2</v>
      </c>
      <c r="U1375">
        <v>-2.9916079999999998</v>
      </c>
      <c r="V1375">
        <v>1.4933419999999999E-3</v>
      </c>
      <c r="W1375">
        <v>3.5871739999999999E-2</v>
      </c>
      <c r="X1375">
        <v>0.99935529999999995</v>
      </c>
      <c r="Y1375">
        <v>0.20569399999999999</v>
      </c>
      <c r="Z1375">
        <v>-2.6258259999999999E-2</v>
      </c>
      <c r="AA1375">
        <v>0.97826400000000002</v>
      </c>
      <c r="AB1375">
        <v>26</v>
      </c>
      <c r="AC1375">
        <v>-50.206099999999999</v>
      </c>
      <c r="AD1375">
        <v>5.9655750000000003</v>
      </c>
      <c r="AE1375">
        <v>-221.5729</v>
      </c>
      <c r="AF1375">
        <v>46.766966129105001</v>
      </c>
      <c r="AG1375">
        <v>5.9655750000000003</v>
      </c>
      <c r="AH1375">
        <v>222.16424272515499</v>
      </c>
      <c r="AI1375">
        <v>88.494830043488804</v>
      </c>
      <c r="AJ1375">
        <v>78.112441743369004</v>
      </c>
      <c r="AK1375">
        <v>227.11162002778099</v>
      </c>
      <c r="AL1375">
        <v>87.944259680058195</v>
      </c>
      <c r="AM1375">
        <v>89.914382672224306</v>
      </c>
      <c r="AN1375">
        <v>1.00000001371952</v>
      </c>
    </row>
    <row r="1376" spans="1:40" x14ac:dyDescent="0.25">
      <c r="A1376" t="str">
        <f>"20190312160624757"</f>
        <v>20190312160624757</v>
      </c>
      <c r="B1376" t="str">
        <f>"1552377984746538"</f>
        <v>1552377984746538</v>
      </c>
      <c r="C1376" t="s">
        <v>40</v>
      </c>
      <c r="D1376">
        <v>6.5029430000000001</v>
      </c>
      <c r="E1376">
        <v>0.57756839999999998</v>
      </c>
      <c r="F1376" t="s">
        <v>59</v>
      </c>
      <c r="G1376">
        <v>-238.56979999999999</v>
      </c>
      <c r="H1376">
        <v>8.1336619999999993</v>
      </c>
      <c r="I1376">
        <v>119.3841</v>
      </c>
      <c r="J1376">
        <v>-188.0163</v>
      </c>
      <c r="K1376">
        <v>1.106946</v>
      </c>
      <c r="L1376">
        <v>340.71749999999997</v>
      </c>
      <c r="M1376">
        <v>-1.9362049999999999E-2</v>
      </c>
      <c r="N1376">
        <v>0</v>
      </c>
      <c r="O1376">
        <v>-0.99971129999999997</v>
      </c>
      <c r="P1376">
        <v>-2.0683380000000001E-2</v>
      </c>
      <c r="Q1376">
        <v>2.2010689999999999E-2</v>
      </c>
      <c r="R1376">
        <v>-0.99954399999999999</v>
      </c>
      <c r="S1376">
        <v>-0.68179319999999999</v>
      </c>
      <c r="T1376">
        <v>9.4753500000000004E-2</v>
      </c>
      <c r="U1376">
        <v>-2.987762</v>
      </c>
      <c r="V1376">
        <v>1.5978190000000001E-3</v>
      </c>
      <c r="W1376">
        <v>3.6232E-2</v>
      </c>
      <c r="X1376">
        <v>0.99934210000000001</v>
      </c>
      <c r="Y1376">
        <v>0.2034493</v>
      </c>
      <c r="Z1376">
        <v>-3.0960029999999999E-2</v>
      </c>
      <c r="AA1376">
        <v>0.97859589999999996</v>
      </c>
      <c r="AB1376">
        <v>26</v>
      </c>
      <c r="AC1376">
        <v>-50.5534999999999</v>
      </c>
      <c r="AD1376">
        <v>7.0267160000000004</v>
      </c>
      <c r="AE1376">
        <v>-221.33340000000001</v>
      </c>
      <c r="AF1376">
        <v>46.213850246886899</v>
      </c>
      <c r="AG1376">
        <v>7.0267160000000004</v>
      </c>
      <c r="AH1376">
        <v>222.05810635197199</v>
      </c>
      <c r="AI1376">
        <v>88.225555738577796</v>
      </c>
      <c r="AJ1376">
        <v>78.243644554797896</v>
      </c>
      <c r="AK1376">
        <v>226.924871464125</v>
      </c>
      <c r="AL1376">
        <v>87.923604788432897</v>
      </c>
      <c r="AM1376">
        <v>89.908391523668399</v>
      </c>
      <c r="AN1376">
        <v>0.99999997184098299</v>
      </c>
    </row>
    <row r="1377" spans="1:40" x14ac:dyDescent="0.25">
      <c r="A1377" t="str">
        <f>"20190312160624779"</f>
        <v>20190312160624779</v>
      </c>
      <c r="B1377" t="str">
        <f>"1552377984766058"</f>
        <v>1552377984766058</v>
      </c>
      <c r="C1377" t="s">
        <v>40</v>
      </c>
      <c r="D1377">
        <v>5.076905</v>
      </c>
      <c r="E1377">
        <v>0.57676419999999995</v>
      </c>
      <c r="F1377" t="s">
        <v>59</v>
      </c>
      <c r="G1377">
        <v>-238.39689999999999</v>
      </c>
      <c r="H1377">
        <v>8.9675449999999994</v>
      </c>
      <c r="I1377">
        <v>119.3841</v>
      </c>
      <c r="J1377">
        <v>-188.02600000000001</v>
      </c>
      <c r="K1377">
        <v>1.107127</v>
      </c>
      <c r="L1377">
        <v>340.46080000000001</v>
      </c>
      <c r="M1377">
        <v>-2.3427130000000001E-2</v>
      </c>
      <c r="N1377">
        <v>0</v>
      </c>
      <c r="O1377">
        <v>-0.99962459999999997</v>
      </c>
      <c r="P1377">
        <v>-2.4828220000000002E-2</v>
      </c>
      <c r="Q1377">
        <v>2.1564670000000001E-2</v>
      </c>
      <c r="R1377">
        <v>-0.99945919999999999</v>
      </c>
      <c r="S1377">
        <v>-0.67945859999999902</v>
      </c>
      <c r="T1377">
        <v>0.1060121</v>
      </c>
      <c r="U1377">
        <v>-2.9850159999999999</v>
      </c>
      <c r="V1377">
        <v>1.6578350000000001E-3</v>
      </c>
      <c r="W1377">
        <v>3.5757850000000001E-2</v>
      </c>
      <c r="X1377">
        <v>0.99935909999999994</v>
      </c>
      <c r="Y1377">
        <v>0.19890650000000001</v>
      </c>
      <c r="Z1377">
        <v>-3.4680229999999999E-2</v>
      </c>
      <c r="AA1377">
        <v>0.97940459999999996</v>
      </c>
      <c r="AB1377">
        <v>26</v>
      </c>
      <c r="AC1377">
        <v>-50.370899999999999</v>
      </c>
      <c r="AD1377">
        <v>7.8604179999999904</v>
      </c>
      <c r="AE1377">
        <v>-221.07669999999999</v>
      </c>
      <c r="AF1377">
        <v>45.123129287646996</v>
      </c>
      <c r="AG1377">
        <v>7.8604179999999904</v>
      </c>
      <c r="AH1377">
        <v>221.929466531169</v>
      </c>
      <c r="AI1377">
        <v>88.012153865636904</v>
      </c>
      <c r="AJ1377">
        <v>78.507172447865599</v>
      </c>
      <c r="AK1377">
        <v>226.60664395082</v>
      </c>
      <c r="AL1377">
        <v>87.950789239860001</v>
      </c>
      <c r="AM1377">
        <v>89.904952222383002</v>
      </c>
      <c r="AN1377">
        <v>0.99999999150315899</v>
      </c>
    </row>
    <row r="1378" spans="1:40" x14ac:dyDescent="0.25">
      <c r="A1378" t="str">
        <f>"20190312160624802"</f>
        <v>20190312160624802</v>
      </c>
      <c r="B1378" t="str">
        <f>"1552377984796310"</f>
        <v>1552377984796310</v>
      </c>
      <c r="C1378" t="s">
        <v>40</v>
      </c>
      <c r="D1378">
        <v>6.0081850000000001</v>
      </c>
      <c r="E1378">
        <v>0.5755382</v>
      </c>
      <c r="F1378" t="s">
        <v>59</v>
      </c>
      <c r="G1378">
        <v>-238.81059999999999</v>
      </c>
      <c r="H1378">
        <v>9.5953370000000007</v>
      </c>
      <c r="I1378">
        <v>119.3841</v>
      </c>
      <c r="J1378">
        <v>-188.0367</v>
      </c>
      <c r="K1378">
        <v>1.107294</v>
      </c>
      <c r="L1378">
        <v>340.20030000000003</v>
      </c>
      <c r="M1378">
        <v>-2.7318209999999999E-2</v>
      </c>
      <c r="N1378">
        <v>0</v>
      </c>
      <c r="O1378">
        <v>-0.99952629999999998</v>
      </c>
      <c r="P1378">
        <v>-2.8508450000000001E-2</v>
      </c>
      <c r="Q1378">
        <v>2.112325E-2</v>
      </c>
      <c r="R1378">
        <v>-0.9993706</v>
      </c>
      <c r="S1378">
        <v>-0.68504330000000002</v>
      </c>
      <c r="T1378">
        <v>0.1144992</v>
      </c>
      <c r="U1378">
        <v>-2.9821469999999999</v>
      </c>
      <c r="V1378">
        <v>1.429437E-3</v>
      </c>
      <c r="W1378">
        <v>3.5291330000000003E-2</v>
      </c>
      <c r="X1378">
        <v>0.99937609999999999</v>
      </c>
      <c r="Y1378">
        <v>0.19701550000000001</v>
      </c>
      <c r="Z1378">
        <v>-3.7481830000000001E-2</v>
      </c>
      <c r="AA1378">
        <v>0.97968359999999999</v>
      </c>
      <c r="AB1378">
        <v>26</v>
      </c>
      <c r="AC1378">
        <v>-50.773899999999998</v>
      </c>
      <c r="AD1378">
        <v>8.4880429999999993</v>
      </c>
      <c r="AE1378">
        <v>-220.81620000000001</v>
      </c>
      <c r="AF1378">
        <v>44.659362980420099</v>
      </c>
      <c r="AG1378">
        <v>8.4880429999999993</v>
      </c>
      <c r="AH1378">
        <v>221.80967836559199</v>
      </c>
      <c r="AI1378">
        <v>87.851590337474306</v>
      </c>
      <c r="AJ1378">
        <v>78.616212947508501</v>
      </c>
      <c r="AK1378">
        <v>226.42004989053899</v>
      </c>
      <c r="AL1378">
        <v>87.977535878712303</v>
      </c>
      <c r="AM1378">
        <v>89.918048218955803</v>
      </c>
      <c r="AN1378">
        <v>1.0000000552572501</v>
      </c>
    </row>
    <row r="1379" spans="1:40" x14ac:dyDescent="0.25">
      <c r="A1379" t="str">
        <f>"20190312160624824"</f>
        <v>20190312160624824</v>
      </c>
      <c r="B1379" t="str">
        <f>"1552377984816808"</f>
        <v>1552377984816808</v>
      </c>
      <c r="C1379" t="s">
        <v>40</v>
      </c>
      <c r="D1379">
        <v>6.4836150000000004</v>
      </c>
      <c r="E1379">
        <v>0.57453659999999995</v>
      </c>
      <c r="F1379" t="s">
        <v>59</v>
      </c>
      <c r="G1379">
        <v>-238.8802</v>
      </c>
      <c r="H1379">
        <v>9.4130029999999998</v>
      </c>
      <c r="I1379">
        <v>119.3841</v>
      </c>
      <c r="J1379">
        <v>-188.04820000000001</v>
      </c>
      <c r="K1379">
        <v>1.1074580000000001</v>
      </c>
      <c r="L1379">
        <v>339.93770000000001</v>
      </c>
      <c r="M1379">
        <v>-3.1008899999999999E-2</v>
      </c>
      <c r="N1379">
        <v>0</v>
      </c>
      <c r="O1379">
        <v>-0.99941899999999995</v>
      </c>
      <c r="P1379">
        <v>-3.1675710000000003E-2</v>
      </c>
      <c r="Q1379">
        <v>2.0622999999999999E-2</v>
      </c>
      <c r="R1379">
        <v>-0.99928589999999995</v>
      </c>
      <c r="S1379">
        <v>-0.68614200000000003</v>
      </c>
      <c r="T1379">
        <v>0.1120869</v>
      </c>
      <c r="U1379">
        <v>-2.9799500000000001</v>
      </c>
      <c r="V1379">
        <v>8.8920869999999997E-4</v>
      </c>
      <c r="W1379">
        <v>3.4769979999999999E-2</v>
      </c>
      <c r="X1379">
        <v>0.99939500000000003</v>
      </c>
      <c r="Y1379">
        <v>0.1939013</v>
      </c>
      <c r="Z1379">
        <v>-3.6723600000000002E-2</v>
      </c>
      <c r="AA1379">
        <v>0.98033340000000002</v>
      </c>
      <c r="AB1379">
        <v>26</v>
      </c>
      <c r="AC1379">
        <v>-50.832000000000001</v>
      </c>
      <c r="AD1379">
        <v>8.3055450000000004</v>
      </c>
      <c r="AE1379">
        <v>-220.55359999999999</v>
      </c>
      <c r="AF1379">
        <v>43.908615239670397</v>
      </c>
      <c r="AG1379">
        <v>8.3055450000000004</v>
      </c>
      <c r="AH1379">
        <v>221.72534861499199</v>
      </c>
      <c r="AI1379">
        <v>87.895605985932505</v>
      </c>
      <c r="AJ1379">
        <v>78.798554305926103</v>
      </c>
      <c r="AK1379">
        <v>226.18372794799399</v>
      </c>
      <c r="AL1379">
        <v>88.007425374798899</v>
      </c>
      <c r="AM1379">
        <v>89.949021265693702</v>
      </c>
      <c r="AN1379">
        <v>1.00000005411315</v>
      </c>
    </row>
    <row r="1380" spans="1:40" x14ac:dyDescent="0.25">
      <c r="A1380" t="str">
        <f>"20190312160624848"</f>
        <v>20190312160624848</v>
      </c>
      <c r="B1380" t="str">
        <f>"1552377984836327"</f>
        <v>1552377984836327</v>
      </c>
      <c r="C1380" t="s">
        <v>40</v>
      </c>
      <c r="D1380">
        <v>6.6512580000000003</v>
      </c>
      <c r="E1380">
        <v>0.57363920000000002</v>
      </c>
      <c r="F1380" t="s">
        <v>59</v>
      </c>
      <c r="G1380">
        <v>-238.9913</v>
      </c>
      <c r="H1380">
        <v>8.93615099999999</v>
      </c>
      <c r="I1380">
        <v>119.3841</v>
      </c>
      <c r="J1380">
        <v>-188.0608</v>
      </c>
      <c r="K1380">
        <v>1.107621</v>
      </c>
      <c r="L1380">
        <v>339.66809999999998</v>
      </c>
      <c r="M1380">
        <v>-3.4565430000000001E-2</v>
      </c>
      <c r="N1380">
        <v>0</v>
      </c>
      <c r="O1380">
        <v>-0.99930249999999998</v>
      </c>
      <c r="P1380">
        <v>-3.5484559999999998E-2</v>
      </c>
      <c r="Q1380">
        <v>1.9389799999999999E-2</v>
      </c>
      <c r="R1380">
        <v>-0.99918209999999996</v>
      </c>
      <c r="S1380">
        <v>-0.68788149999999904</v>
      </c>
      <c r="T1380">
        <v>0.10571029999999999</v>
      </c>
      <c r="U1380">
        <v>-2.978119</v>
      </c>
      <c r="V1380">
        <v>1.1202829999999999E-3</v>
      </c>
      <c r="W1380">
        <v>3.3511869999999999E-2</v>
      </c>
      <c r="X1380">
        <v>0.99943769999999998</v>
      </c>
      <c r="Y1380">
        <v>0.1911014</v>
      </c>
      <c r="Z1380">
        <v>-3.4659019999999999E-2</v>
      </c>
      <c r="AA1380">
        <v>0.9809582</v>
      </c>
      <c r="AB1380">
        <v>26</v>
      </c>
      <c r="AC1380">
        <v>-50.930500000000002</v>
      </c>
      <c r="AD1380">
        <v>7.82852999999999</v>
      </c>
      <c r="AE1380">
        <v>-220.28399999999999</v>
      </c>
      <c r="AF1380">
        <v>43.233256176265897</v>
      </c>
      <c r="AG1380">
        <v>7.82852999999999</v>
      </c>
      <c r="AH1380">
        <v>221.64722050038901</v>
      </c>
      <c r="AI1380">
        <v>88.014552816749301</v>
      </c>
      <c r="AJ1380">
        <v>78.962790663502503</v>
      </c>
      <c r="AK1380">
        <v>225.95993157440901</v>
      </c>
      <c r="AL1380">
        <v>88.079551728508804</v>
      </c>
      <c r="AM1380">
        <v>89.9357764262069</v>
      </c>
      <c r="AN1380">
        <v>1.00000000832309</v>
      </c>
    </row>
    <row r="1381" spans="1:40" x14ac:dyDescent="0.25">
      <c r="A1381" t="str">
        <f>"20190312160624868"</f>
        <v>20190312160624868</v>
      </c>
      <c r="B1381" t="str">
        <f>"1552377984856822"</f>
        <v>1552377984856822</v>
      </c>
      <c r="C1381" t="s">
        <v>40</v>
      </c>
      <c r="D1381">
        <v>6.5547760000000004</v>
      </c>
      <c r="E1381">
        <v>0.5733123</v>
      </c>
      <c r="F1381" t="s">
        <v>59</v>
      </c>
      <c r="G1381">
        <v>-239.3058</v>
      </c>
      <c r="H1381">
        <v>8.2946670000000005</v>
      </c>
      <c r="I1381">
        <v>119.3841</v>
      </c>
      <c r="J1381">
        <v>-188.07249999999999</v>
      </c>
      <c r="K1381">
        <v>1.107766</v>
      </c>
      <c r="L1381">
        <v>339.43029999999999</v>
      </c>
      <c r="M1381">
        <v>-3.7512009999999998E-2</v>
      </c>
      <c r="N1381">
        <v>0</v>
      </c>
      <c r="O1381">
        <v>-0.99919669999999905</v>
      </c>
      <c r="P1381">
        <v>-3.841671E-2</v>
      </c>
      <c r="Q1381">
        <v>1.8924119999999999E-2</v>
      </c>
      <c r="R1381">
        <v>-0.9990829</v>
      </c>
      <c r="S1381">
        <v>-0.69230649999999905</v>
      </c>
      <c r="T1381">
        <v>9.7095249999999994E-2</v>
      </c>
      <c r="U1381">
        <v>-2.9759829999999998</v>
      </c>
      <c r="V1381">
        <v>1.091205E-3</v>
      </c>
      <c r="W1381">
        <v>3.3025760000000001E-2</v>
      </c>
      <c r="X1381">
        <v>0.99945390000000001</v>
      </c>
      <c r="Y1381">
        <v>0.18976660000000001</v>
      </c>
      <c r="Z1381">
        <v>-3.18535E-2</v>
      </c>
      <c r="AA1381">
        <v>0.98131239999999997</v>
      </c>
      <c r="AB1381">
        <v>26</v>
      </c>
      <c r="AC1381">
        <v>-51.2333</v>
      </c>
      <c r="AD1381">
        <v>7.1869009999999998</v>
      </c>
      <c r="AE1381">
        <v>-220.0462</v>
      </c>
      <c r="AF1381">
        <v>42.898629546260302</v>
      </c>
      <c r="AG1381">
        <v>7.1869009999999998</v>
      </c>
      <c r="AH1381">
        <v>221.58912933282599</v>
      </c>
      <c r="AI1381">
        <v>88.1761906629538</v>
      </c>
      <c r="AJ1381">
        <v>79.043342641855602</v>
      </c>
      <c r="AK1381">
        <v>225.81781639501099</v>
      </c>
      <c r="AL1381">
        <v>88.107419180823797</v>
      </c>
      <c r="AM1381">
        <v>89.937444422157796</v>
      </c>
      <c r="AN1381">
        <v>0.99999999488856905</v>
      </c>
    </row>
    <row r="1382" spans="1:40" x14ac:dyDescent="0.25">
      <c r="A1382" t="str">
        <f>"20190312160624890"</f>
        <v>20190312160624890</v>
      </c>
      <c r="B1382" t="str">
        <f>"1552377984886103"</f>
        <v>1552377984886103</v>
      </c>
      <c r="C1382" t="s">
        <v>40</v>
      </c>
      <c r="D1382">
        <v>6.5675850000000002</v>
      </c>
      <c r="E1382">
        <v>0.57305660000000003</v>
      </c>
      <c r="F1382" t="s">
        <v>59</v>
      </c>
      <c r="G1382">
        <v>-239.75880000000001</v>
      </c>
      <c r="H1382">
        <v>7.8727429999999901</v>
      </c>
      <c r="I1382">
        <v>119.3841</v>
      </c>
      <c r="J1382">
        <v>-188.08539999999999</v>
      </c>
      <c r="K1382">
        <v>1.1079209999999999</v>
      </c>
      <c r="L1382">
        <v>339.17849999999999</v>
      </c>
      <c r="M1382">
        <v>-4.0446179999999998E-2</v>
      </c>
      <c r="N1382">
        <v>0</v>
      </c>
      <c r="O1382">
        <v>-0.99908229999999998</v>
      </c>
      <c r="P1382">
        <v>-4.1531859999999997E-2</v>
      </c>
      <c r="Q1382">
        <v>1.8320949999999999E-2</v>
      </c>
      <c r="R1382">
        <v>-0.9989692</v>
      </c>
      <c r="S1382">
        <v>-0.69859309999999997</v>
      </c>
      <c r="T1382">
        <v>9.1435790000000003E-2</v>
      </c>
      <c r="U1382">
        <v>-2.9741520000000001</v>
      </c>
      <c r="V1382">
        <v>1.2561670000000001E-3</v>
      </c>
      <c r="W1382">
        <v>3.2401909999999999E-2</v>
      </c>
      <c r="X1382">
        <v>0.99947410000000003</v>
      </c>
      <c r="Y1382">
        <v>0.18899630000000001</v>
      </c>
      <c r="Z1382">
        <v>-3.000649E-2</v>
      </c>
      <c r="AA1382">
        <v>0.98151920000000004</v>
      </c>
      <c r="AB1382">
        <v>26</v>
      </c>
      <c r="AC1382">
        <v>-51.673400000000001</v>
      </c>
      <c r="AD1382">
        <v>6.7648219999999899</v>
      </c>
      <c r="AE1382">
        <v>-219.7944</v>
      </c>
      <c r="AF1382">
        <v>42.702048936400999</v>
      </c>
      <c r="AG1382">
        <v>6.7648219999999899</v>
      </c>
      <c r="AH1382">
        <v>221.50587128597201</v>
      </c>
      <c r="AI1382">
        <v>88.282329594536705</v>
      </c>
      <c r="AJ1382">
        <v>79.088342410668602</v>
      </c>
      <c r="AK1382">
        <v>225.68579666034799</v>
      </c>
      <c r="AL1382">
        <v>88.143182247703606</v>
      </c>
      <c r="AM1382">
        <v>89.9279890999006</v>
      </c>
      <c r="AN1382">
        <v>0.99999996914899403</v>
      </c>
    </row>
    <row r="1383" spans="1:40" x14ac:dyDescent="0.25">
      <c r="A1383" t="str">
        <f>"20190312160624916"</f>
        <v>20190312160624916</v>
      </c>
      <c r="B1383" t="str">
        <f>"1552377984906599"</f>
        <v>1552377984906599</v>
      </c>
      <c r="C1383" t="s">
        <v>40</v>
      </c>
      <c r="D1383">
        <v>6.5245470000000001</v>
      </c>
      <c r="E1383">
        <v>0.57284119999999905</v>
      </c>
      <c r="F1383" t="s">
        <v>59</v>
      </c>
      <c r="G1383">
        <v>-240.28469999999999</v>
      </c>
      <c r="H1383">
        <v>7.4025740000000004</v>
      </c>
      <c r="I1383">
        <v>119.3841</v>
      </c>
      <c r="J1383">
        <v>-188.10050000000001</v>
      </c>
      <c r="K1383">
        <v>1.1080970000000001</v>
      </c>
      <c r="L1383">
        <v>338.89699999999999</v>
      </c>
      <c r="M1383">
        <v>-4.3508289999999998E-2</v>
      </c>
      <c r="N1383">
        <v>0</v>
      </c>
      <c r="O1383">
        <v>-0.99895409999999996</v>
      </c>
      <c r="P1383">
        <v>-4.5344860000000001E-2</v>
      </c>
      <c r="Q1383">
        <v>1.7026369999999999E-2</v>
      </c>
      <c r="R1383">
        <v>-0.99882660000000001</v>
      </c>
      <c r="S1383">
        <v>-0.70587159999999904</v>
      </c>
      <c r="T1383">
        <v>8.5120319999999999E-2</v>
      </c>
      <c r="U1383">
        <v>-2.9721980000000001</v>
      </c>
      <c r="V1383">
        <v>1.9871580000000002E-3</v>
      </c>
      <c r="W1383">
        <v>3.108317E-2</v>
      </c>
      <c r="X1383">
        <v>0.99951480000000004</v>
      </c>
      <c r="Y1383">
        <v>0.18842049999999999</v>
      </c>
      <c r="Z1383">
        <v>-2.7941879999999999E-2</v>
      </c>
      <c r="AA1383">
        <v>0.98169090000000003</v>
      </c>
      <c r="AB1383">
        <v>26</v>
      </c>
      <c r="AC1383">
        <v>-52.184199999999898</v>
      </c>
      <c r="AD1383">
        <v>6.2944769999999997</v>
      </c>
      <c r="AE1383">
        <v>-219.5129</v>
      </c>
      <c r="AF1383">
        <v>42.550084968106901</v>
      </c>
      <c r="AG1383">
        <v>6.2944769999999997</v>
      </c>
      <c r="AH1383">
        <v>221.40335542349399</v>
      </c>
      <c r="AI1383">
        <v>88.400774828973795</v>
      </c>
      <c r="AJ1383">
        <v>79.121331731942902</v>
      </c>
      <c r="AK1383">
        <v>225.54284729132601</v>
      </c>
      <c r="AL1383">
        <v>88.218778594773795</v>
      </c>
      <c r="AM1383">
        <v>89.886089113821896</v>
      </c>
      <c r="AN1383">
        <v>0.999999973836602</v>
      </c>
    </row>
    <row r="1384" spans="1:40" x14ac:dyDescent="0.25">
      <c r="A1384" t="str">
        <f>"20190312160624948"</f>
        <v>20190312160624948</v>
      </c>
      <c r="B1384" t="str">
        <f>"1552377984936855"</f>
        <v>1552377984936855</v>
      </c>
      <c r="C1384" t="s">
        <v>40</v>
      </c>
      <c r="D1384">
        <v>6.1361720000000002</v>
      </c>
      <c r="E1384">
        <v>0.57081000000000004</v>
      </c>
      <c r="F1384" t="s">
        <v>59</v>
      </c>
      <c r="G1384">
        <v>-241.00489999999999</v>
      </c>
      <c r="H1384">
        <v>6.8805269999999998</v>
      </c>
      <c r="I1384">
        <v>119.3841</v>
      </c>
      <c r="J1384">
        <v>-188.12190000000001</v>
      </c>
      <c r="K1384">
        <v>1.10829</v>
      </c>
      <c r="L1384">
        <v>338.5147</v>
      </c>
      <c r="M1384">
        <v>-4.7293059999999998E-2</v>
      </c>
      <c r="N1384">
        <v>0</v>
      </c>
      <c r="O1384">
        <v>-0.99878230000000001</v>
      </c>
      <c r="P1384">
        <v>-4.9570709999999997E-2</v>
      </c>
      <c r="Q1384">
        <v>1.5736779999999999E-2</v>
      </c>
      <c r="R1384">
        <v>-0.99864660000000005</v>
      </c>
      <c r="S1384">
        <v>-0.7157135</v>
      </c>
      <c r="T1384">
        <v>7.8091980000000005E-2</v>
      </c>
      <c r="U1384">
        <v>-2.9696660000000001</v>
      </c>
      <c r="V1384">
        <v>2.407303E-3</v>
      </c>
      <c r="W1384">
        <v>2.9767229999999999E-2</v>
      </c>
      <c r="X1384">
        <v>0.99955400000000005</v>
      </c>
      <c r="Y1384">
        <v>0.18797920000000001</v>
      </c>
      <c r="Z1384">
        <v>-2.5642290000000002E-2</v>
      </c>
      <c r="AA1384">
        <v>0.98183819999999999</v>
      </c>
      <c r="AB1384">
        <v>26</v>
      </c>
      <c r="AC1384">
        <v>-52.882999999999903</v>
      </c>
      <c r="AD1384">
        <v>5.7722369999999996</v>
      </c>
      <c r="AE1384">
        <v>-219.13059999999999</v>
      </c>
      <c r="AF1384">
        <v>42.431614303164501</v>
      </c>
      <c r="AG1384">
        <v>5.7722369999999996</v>
      </c>
      <c r="AH1384">
        <v>221.24153700404</v>
      </c>
      <c r="AI1384">
        <v>88.532219234522003</v>
      </c>
      <c r="AJ1384">
        <v>79.143154398042398</v>
      </c>
      <c r="AK1384">
        <v>225.347683165961</v>
      </c>
      <c r="AL1384">
        <v>88.294211446760698</v>
      </c>
      <c r="AM1384">
        <v>89.862010421412094</v>
      </c>
      <c r="AN1384">
        <v>1.0000000410028</v>
      </c>
    </row>
    <row r="1385" spans="1:40" x14ac:dyDescent="0.25">
      <c r="A1385" t="str">
        <f>"20190312160624969"</f>
        <v>20190312160624969</v>
      </c>
      <c r="B1385" t="str">
        <f>"1552377984956388"</f>
        <v>1552377984956388</v>
      </c>
      <c r="C1385" t="s">
        <v>40</v>
      </c>
      <c r="D1385">
        <v>6.0460799999999999</v>
      </c>
      <c r="E1385">
        <v>0.56790010000000002</v>
      </c>
      <c r="F1385" t="s">
        <v>59</v>
      </c>
      <c r="G1385">
        <v>-240.71600000000001</v>
      </c>
      <c r="H1385">
        <v>5.9461810000000002</v>
      </c>
      <c r="I1385">
        <v>119.3841</v>
      </c>
      <c r="J1385">
        <v>-188.1352</v>
      </c>
      <c r="K1385">
        <v>1.10839</v>
      </c>
      <c r="L1385">
        <v>338.286</v>
      </c>
      <c r="M1385">
        <v>-4.9406319999999997E-2</v>
      </c>
      <c r="N1385">
        <v>0</v>
      </c>
      <c r="O1385">
        <v>-0.99868029999999997</v>
      </c>
      <c r="P1385">
        <v>-5.1536079999999998E-2</v>
      </c>
      <c r="Q1385">
        <v>1.569678E-2</v>
      </c>
      <c r="R1385">
        <v>-0.99854790000000004</v>
      </c>
      <c r="S1385">
        <v>-0.71228029999999998</v>
      </c>
      <c r="T1385">
        <v>6.5519569999999999E-2</v>
      </c>
      <c r="U1385">
        <v>-2.9676819999999999</v>
      </c>
      <c r="V1385">
        <v>2.2523729999999998E-3</v>
      </c>
      <c r="W1385">
        <v>2.971385E-2</v>
      </c>
      <c r="X1385">
        <v>0.99955590000000005</v>
      </c>
      <c r="Y1385">
        <v>0.18499850000000001</v>
      </c>
      <c r="Z1385">
        <v>-2.1535820000000001E-2</v>
      </c>
      <c r="AA1385">
        <v>0.98250280000000001</v>
      </c>
      <c r="AB1385">
        <v>26</v>
      </c>
      <c r="AC1385">
        <v>-52.580799999999897</v>
      </c>
      <c r="AD1385">
        <v>4.8377910000000002</v>
      </c>
      <c r="AE1385">
        <v>-218.90190000000001</v>
      </c>
      <c r="AF1385">
        <v>41.681125238502901</v>
      </c>
      <c r="AG1385">
        <v>4.8377910000000002</v>
      </c>
      <c r="AH1385">
        <v>221.13048209221199</v>
      </c>
      <c r="AI1385">
        <v>88.768390261292396</v>
      </c>
      <c r="AJ1385">
        <v>79.325497959869296</v>
      </c>
      <c r="AK1385">
        <v>225.07645486198999</v>
      </c>
      <c r="AL1385">
        <v>88.297271164775296</v>
      </c>
      <c r="AM1385">
        <v>89.870891414515199</v>
      </c>
      <c r="AN1385">
        <v>0.999999991645382</v>
      </c>
    </row>
    <row r="1386" spans="1:40" x14ac:dyDescent="0.25">
      <c r="A1386" t="str">
        <f>"20190312160624992"</f>
        <v>20190312160624992</v>
      </c>
      <c r="B1386" t="str">
        <f>"1552377984986632"</f>
        <v>1552377984986632</v>
      </c>
      <c r="C1386" t="s">
        <v>40</v>
      </c>
      <c r="D1386">
        <v>6.4286500000000002</v>
      </c>
      <c r="E1386">
        <v>0.56419839999999999</v>
      </c>
      <c r="F1386" t="s">
        <v>59</v>
      </c>
      <c r="G1386">
        <v>-239.42150000000001</v>
      </c>
      <c r="H1386">
        <v>5.5137960000000001</v>
      </c>
      <c r="I1386">
        <v>119.3841</v>
      </c>
      <c r="J1386">
        <v>-188.15180000000001</v>
      </c>
      <c r="K1386">
        <v>1.108493</v>
      </c>
      <c r="L1386">
        <v>338.00959999999998</v>
      </c>
      <c r="M1386">
        <v>-5.1811749999999997E-2</v>
      </c>
      <c r="N1386">
        <v>0</v>
      </c>
      <c r="O1386">
        <v>-0.99855850000000002</v>
      </c>
      <c r="P1386">
        <v>-5.3314889999999997E-2</v>
      </c>
      <c r="Q1386">
        <v>1.6067999999999999E-2</v>
      </c>
      <c r="R1386">
        <v>-0.99844849999999996</v>
      </c>
      <c r="S1386">
        <v>-0.69525150000000002</v>
      </c>
      <c r="T1386">
        <v>5.9720990000000002E-2</v>
      </c>
      <c r="U1386">
        <v>-2.9674990000000001</v>
      </c>
      <c r="V1386">
        <v>1.6195669999999999E-3</v>
      </c>
      <c r="W1386">
        <v>3.0072270000000002E-2</v>
      </c>
      <c r="X1386">
        <v>0.99954639999999995</v>
      </c>
      <c r="Y1386">
        <v>0.17731050000000001</v>
      </c>
      <c r="Z1386">
        <v>-1.9655079999999998E-2</v>
      </c>
      <c r="AA1386">
        <v>0.98395869999999996</v>
      </c>
      <c r="AB1386">
        <v>26</v>
      </c>
      <c r="AC1386">
        <v>-51.2697</v>
      </c>
      <c r="AD1386">
        <v>4.405303</v>
      </c>
      <c r="AE1386">
        <v>-218.62549999999999</v>
      </c>
      <c r="AF1386">
        <v>39.857002665156998</v>
      </c>
      <c r="AG1386">
        <v>4.405303</v>
      </c>
      <c r="AH1386">
        <v>220.90341720484301</v>
      </c>
      <c r="AI1386">
        <v>88.875695760337095</v>
      </c>
      <c r="AJ1386">
        <v>79.772315018808698</v>
      </c>
      <c r="AK1386">
        <v>224.51348977009999</v>
      </c>
      <c r="AL1386">
        <v>88.276726018327196</v>
      </c>
      <c r="AM1386">
        <v>89.907163616884603</v>
      </c>
      <c r="AN1386">
        <v>0.99999998508659005</v>
      </c>
    </row>
    <row r="1387" spans="1:40" x14ac:dyDescent="0.25">
      <c r="A1387" t="str">
        <f>"20190312160625014"</f>
        <v>20190312160625014</v>
      </c>
      <c r="B1387" t="str">
        <f>"1552377985006151"</f>
        <v>1552377985006151</v>
      </c>
      <c r="C1387" t="s">
        <v>40</v>
      </c>
      <c r="D1387">
        <v>6.0859399999999999</v>
      </c>
      <c r="E1387">
        <v>0.56277290000000002</v>
      </c>
      <c r="F1387" t="s">
        <v>59</v>
      </c>
      <c r="G1387">
        <v>-237.61019999999999</v>
      </c>
      <c r="H1387">
        <v>5.0612309999999896</v>
      </c>
      <c r="I1387">
        <v>119.3841</v>
      </c>
      <c r="J1387">
        <v>-188.16749999999999</v>
      </c>
      <c r="K1387">
        <v>1.108581</v>
      </c>
      <c r="L1387">
        <v>337.7552</v>
      </c>
      <c r="M1387">
        <v>-5.38813E-2</v>
      </c>
      <c r="N1387">
        <v>0</v>
      </c>
      <c r="O1387">
        <v>-0.99844940000000004</v>
      </c>
      <c r="P1387">
        <v>-5.4903779999999999E-2</v>
      </c>
      <c r="Q1387">
        <v>1.5859040000000001E-2</v>
      </c>
      <c r="R1387">
        <v>-0.99836610000000003</v>
      </c>
      <c r="S1387">
        <v>-0.67141719999999905</v>
      </c>
      <c r="T1387">
        <v>5.3660039999999999E-2</v>
      </c>
      <c r="U1387">
        <v>-2.9679259999999998</v>
      </c>
      <c r="V1387">
        <v>1.130994E-3</v>
      </c>
      <c r="W1387">
        <v>2.9851599999999898E-2</v>
      </c>
      <c r="X1387">
        <v>0.99955369999999999</v>
      </c>
      <c r="Y1387">
        <v>0.1677352</v>
      </c>
      <c r="Z1387">
        <v>-1.768627E-2</v>
      </c>
      <c r="AA1387">
        <v>0.98567340000000003</v>
      </c>
      <c r="AB1387">
        <v>25</v>
      </c>
      <c r="AC1387">
        <v>-49.442700000000002</v>
      </c>
      <c r="AD1387">
        <v>3.95264999999999</v>
      </c>
      <c r="AE1387">
        <v>-218.37110000000001</v>
      </c>
      <c r="AF1387">
        <v>37.591877523657097</v>
      </c>
      <c r="AG1387">
        <v>3.95264999999999</v>
      </c>
      <c r="AH1387">
        <v>220.64935159664401</v>
      </c>
      <c r="AI1387">
        <v>88.988303873657301</v>
      </c>
      <c r="AJ1387">
        <v>80.331390445507097</v>
      </c>
      <c r="AK1387">
        <v>223.86359475760099</v>
      </c>
      <c r="AL1387">
        <v>88.289375179557794</v>
      </c>
      <c r="AM1387">
        <v>89.935169911131396</v>
      </c>
      <c r="AN1387">
        <v>0.99999999817683805</v>
      </c>
    </row>
    <row r="1388" spans="1:40" x14ac:dyDescent="0.25">
      <c r="A1388" t="str">
        <f>"20190312160625037"</f>
        <v>20190312160625037</v>
      </c>
      <c r="B1388" t="str">
        <f>"1552377985026650"</f>
        <v>1552377985026650</v>
      </c>
      <c r="C1388" t="s">
        <v>40</v>
      </c>
      <c r="D1388">
        <v>6.8803999999999998</v>
      </c>
      <c r="E1388">
        <v>0.56055319999999997</v>
      </c>
      <c r="F1388" t="s">
        <v>59</v>
      </c>
      <c r="G1388">
        <v>-237.0831</v>
      </c>
      <c r="H1388">
        <v>4.8221429999999996</v>
      </c>
      <c r="I1388">
        <v>119.3841</v>
      </c>
      <c r="J1388">
        <v>-188.1832</v>
      </c>
      <c r="K1388">
        <v>1.1086609999999999</v>
      </c>
      <c r="L1388">
        <v>337.50709999999998</v>
      </c>
      <c r="M1388">
        <v>-5.5788610000000002E-2</v>
      </c>
      <c r="N1388">
        <v>0</v>
      </c>
      <c r="O1388">
        <v>-0.99834449999999997</v>
      </c>
      <c r="P1388">
        <v>-5.5972809999999998E-2</v>
      </c>
      <c r="Q1388">
        <v>1.533962E-2</v>
      </c>
      <c r="R1388">
        <v>-0.99831429999999999</v>
      </c>
      <c r="S1388">
        <v>-0.66473389999999999</v>
      </c>
      <c r="T1388">
        <v>5.0465110000000001E-2</v>
      </c>
      <c r="U1388">
        <v>-2.9675289999999999</v>
      </c>
      <c r="V1388">
        <v>2.832267E-4</v>
      </c>
      <c r="W1388">
        <v>2.9323490000000001E-2</v>
      </c>
      <c r="X1388">
        <v>0.99956999999999996</v>
      </c>
      <c r="Y1388">
        <v>0.16377</v>
      </c>
      <c r="Z1388">
        <v>-1.6642730000000001E-2</v>
      </c>
      <c r="AA1388">
        <v>0.98635819999999996</v>
      </c>
      <c r="AB1388">
        <v>25</v>
      </c>
      <c r="AC1388">
        <v>-48.899900000000002</v>
      </c>
      <c r="AD1388">
        <v>3.7134819999999999</v>
      </c>
      <c r="AE1388">
        <v>-218.12299999999999</v>
      </c>
      <c r="AF1388">
        <v>36.643644889334098</v>
      </c>
      <c r="AG1388">
        <v>3.7134819999999999</v>
      </c>
      <c r="AH1388">
        <v>220.45071592939101</v>
      </c>
      <c r="AI1388">
        <v>89.048006079100503</v>
      </c>
      <c r="AJ1388">
        <v>80.562497355433393</v>
      </c>
      <c r="AK1388">
        <v>223.506297032368</v>
      </c>
      <c r="AL1388">
        <v>88.319647021419698</v>
      </c>
      <c r="AM1388">
        <v>89.983765324968601</v>
      </c>
      <c r="AN1388">
        <v>1.00000006609156</v>
      </c>
    </row>
    <row r="1389" spans="1:40" x14ac:dyDescent="0.25">
      <c r="A1389" t="str">
        <f>"20190312160625059"</f>
        <v>20190312160625059</v>
      </c>
      <c r="B1389" t="str">
        <f>"1552377985046171"</f>
        <v>1552377985046171</v>
      </c>
      <c r="C1389" t="s">
        <v>40</v>
      </c>
      <c r="D1389">
        <v>6.4427180000000002</v>
      </c>
      <c r="E1389">
        <v>0.55894469999999996</v>
      </c>
      <c r="F1389" t="s">
        <v>59</v>
      </c>
      <c r="G1389">
        <v>-235.9983</v>
      </c>
      <c r="H1389">
        <v>4.1722020000000004</v>
      </c>
      <c r="I1389">
        <v>119.3841</v>
      </c>
      <c r="J1389">
        <v>-188.19980000000001</v>
      </c>
      <c r="K1389">
        <v>1.108743</v>
      </c>
      <c r="L1389">
        <v>337.25</v>
      </c>
      <c r="M1389">
        <v>-5.7688179999999999E-2</v>
      </c>
      <c r="N1389">
        <v>0</v>
      </c>
      <c r="O1389">
        <v>-0.99823700000000004</v>
      </c>
      <c r="P1389">
        <v>-5.6826309999999998E-2</v>
      </c>
      <c r="Q1389">
        <v>1.503643E-2</v>
      </c>
      <c r="R1389">
        <v>-0.99827120000000003</v>
      </c>
      <c r="S1389">
        <v>-0.65060419999999997</v>
      </c>
      <c r="T1389">
        <v>4.168463E-2</v>
      </c>
      <c r="U1389">
        <v>-2.9679259999999998</v>
      </c>
      <c r="V1389">
        <v>-7.7102300000000002E-4</v>
      </c>
      <c r="W1389">
        <v>2.901225E-2</v>
      </c>
      <c r="X1389">
        <v>0.99957879999999999</v>
      </c>
      <c r="Y1389">
        <v>0.1573947</v>
      </c>
      <c r="Z1389">
        <v>-1.3757810000000001E-2</v>
      </c>
      <c r="AA1389">
        <v>0.98743990000000004</v>
      </c>
      <c r="AB1389">
        <v>25</v>
      </c>
      <c r="AC1389">
        <v>-47.798499999999898</v>
      </c>
      <c r="AD1389">
        <v>3.0634589999999902</v>
      </c>
      <c r="AE1389">
        <v>-217.86590000000001</v>
      </c>
      <c r="AF1389">
        <v>35.142741365452501</v>
      </c>
      <c r="AG1389">
        <v>3.0634589999999902</v>
      </c>
      <c r="AH1389">
        <v>220.21914190626401</v>
      </c>
      <c r="AI1389">
        <v>89.212969279658694</v>
      </c>
      <c r="AJ1389">
        <v>80.933144866430197</v>
      </c>
      <c r="AK1389">
        <v>223.02660718769701</v>
      </c>
      <c r="AL1389">
        <v>88.337487308021693</v>
      </c>
      <c r="AM1389">
        <v>90.044194969967506</v>
      </c>
      <c r="AN1389">
        <v>1.0000000412679799</v>
      </c>
    </row>
    <row r="1390" spans="1:40" x14ac:dyDescent="0.25">
      <c r="A1390" t="str">
        <f>"20190312160625081"</f>
        <v>20190312160625081</v>
      </c>
      <c r="B1390" t="str">
        <f>"1552377985076424"</f>
        <v>1552377985076424</v>
      </c>
      <c r="C1390" t="s">
        <v>40</v>
      </c>
      <c r="D1390">
        <v>6.3341560000000001</v>
      </c>
      <c r="E1390">
        <v>0.52190029999999998</v>
      </c>
      <c r="F1390" t="s">
        <v>59</v>
      </c>
      <c r="G1390">
        <v>-235.215</v>
      </c>
      <c r="H1390">
        <v>3.56081</v>
      </c>
      <c r="I1390">
        <v>119.3841</v>
      </c>
      <c r="J1390">
        <v>-188.21549999999999</v>
      </c>
      <c r="K1390">
        <v>1.1088020000000001</v>
      </c>
      <c r="L1390">
        <v>337.01240000000001</v>
      </c>
      <c r="M1390">
        <v>-5.9381360000000001E-2</v>
      </c>
      <c r="N1390">
        <v>0</v>
      </c>
      <c r="O1390">
        <v>-0.99813799999999997</v>
      </c>
      <c r="P1390">
        <v>-5.787279E-2</v>
      </c>
      <c r="Q1390">
        <v>1.4643140000000001E-2</v>
      </c>
      <c r="R1390">
        <v>-0.99821700000000002</v>
      </c>
      <c r="S1390">
        <v>-0.64053340000000003</v>
      </c>
      <c r="T1390">
        <v>3.3406970000000001E-2</v>
      </c>
      <c r="U1390">
        <v>-2.9682010000000001</v>
      </c>
      <c r="V1390">
        <v>-1.424984E-3</v>
      </c>
      <c r="W1390">
        <v>2.8611399999999999E-2</v>
      </c>
      <c r="X1390">
        <v>0.99958959999999997</v>
      </c>
      <c r="Y1390">
        <v>0.1525068</v>
      </c>
      <c r="Z1390">
        <v>-1.103174E-2</v>
      </c>
      <c r="AA1390">
        <v>0.98824080000000003</v>
      </c>
      <c r="AB1390">
        <v>25</v>
      </c>
      <c r="AC1390">
        <v>-46.999499999999998</v>
      </c>
      <c r="AD1390">
        <v>2.4520080000000002</v>
      </c>
      <c r="AE1390">
        <v>-217.6283</v>
      </c>
      <c r="AF1390">
        <v>33.988104157155099</v>
      </c>
      <c r="AG1390">
        <v>2.4520080000000002</v>
      </c>
      <c r="AH1390">
        <v>220.008673096743</v>
      </c>
      <c r="AI1390">
        <v>89.368947264436898</v>
      </c>
      <c r="AJ1390">
        <v>81.218067949514904</v>
      </c>
      <c r="AK1390">
        <v>222.632027806466</v>
      </c>
      <c r="AL1390">
        <v>88.360463800606396</v>
      </c>
      <c r="AM1390">
        <v>90.081679034841599</v>
      </c>
      <c r="AN1390">
        <v>1.0000000056087599</v>
      </c>
    </row>
    <row r="1391" spans="1:40" x14ac:dyDescent="0.25">
      <c r="A1391" t="str">
        <f>"20190312160625104"</f>
        <v>20190312160625104</v>
      </c>
      <c r="B1391" t="str">
        <f>"1552377985086183"</f>
        <v>1552377985086183</v>
      </c>
      <c r="C1391" t="s">
        <v>40</v>
      </c>
      <c r="D1391">
        <v>6.5289429999999999</v>
      </c>
      <c r="E1391">
        <v>0.52033399999999996</v>
      </c>
      <c r="F1391" t="s">
        <v>44</v>
      </c>
      <c r="G1391">
        <v>-188.3201</v>
      </c>
      <c r="H1391">
        <v>0.98488620000000004</v>
      </c>
      <c r="I1391">
        <v>336.161</v>
      </c>
      <c r="J1391">
        <v>-188.23349999999999</v>
      </c>
      <c r="K1391">
        <v>1.1088519999999999</v>
      </c>
      <c r="L1391">
        <v>336.74759999999998</v>
      </c>
      <c r="M1391">
        <v>-6.1199669999999998E-2</v>
      </c>
      <c r="N1391">
        <v>0</v>
      </c>
      <c r="O1391">
        <v>-0.99802800000000003</v>
      </c>
      <c r="P1391">
        <v>-5.9319379999999998E-2</v>
      </c>
      <c r="Q1391">
        <v>1.4534470000000001E-2</v>
      </c>
      <c r="R1391">
        <v>-0.99813320000000005</v>
      </c>
      <c r="S1391">
        <v>-0.36683650000000001</v>
      </c>
      <c r="T1391">
        <v>-0.43535980000000002</v>
      </c>
      <c r="U1391">
        <v>-2.9904790000000001</v>
      </c>
      <c r="V1391">
        <v>-1.800584E-3</v>
      </c>
      <c r="W1391">
        <v>2.8493669999999999E-2</v>
      </c>
      <c r="X1391">
        <v>0.99959240000000005</v>
      </c>
      <c r="Y1391">
        <v>5.9523720000000002E-2</v>
      </c>
      <c r="Z1391">
        <v>0.14301029999999901</v>
      </c>
      <c r="AA1391">
        <v>0.98792959999999996</v>
      </c>
      <c r="AB1391">
        <v>25</v>
      </c>
      <c r="AC1391">
        <v>-8.6600000000004201E-2</v>
      </c>
      <c r="AD1391">
        <v>-0.1239658</v>
      </c>
      <c r="AE1391">
        <v>-0.58659999999997503</v>
      </c>
      <c r="AF1391">
        <v>4.8418180662973903E-2</v>
      </c>
      <c r="AG1391">
        <v>-0.1239658</v>
      </c>
      <c r="AH1391">
        <v>0.56605958588130201</v>
      </c>
      <c r="AI1391">
        <v>102.309066740456</v>
      </c>
      <c r="AJ1391">
        <v>85.111077565863397</v>
      </c>
      <c r="AK1391">
        <v>0.581494019364313</v>
      </c>
      <c r="AL1391">
        <v>88.367212054409904</v>
      </c>
      <c r="AM1391">
        <v>90.103207819783904</v>
      </c>
      <c r="AN1391">
        <v>1.00000004873528</v>
      </c>
    </row>
    <row r="1392" spans="1:40" x14ac:dyDescent="0.25">
      <c r="A1392" t="str">
        <f>"20190312160625128"</f>
        <v>20190312160625128</v>
      </c>
      <c r="B1392" t="str">
        <f>"1552377985116441"</f>
        <v>1552377985116441</v>
      </c>
      <c r="C1392" t="s">
        <v>40</v>
      </c>
      <c r="D1392">
        <v>6.3798199999999996</v>
      </c>
      <c r="E1392">
        <v>0.52217340000000001</v>
      </c>
      <c r="F1392" t="s">
        <v>44</v>
      </c>
      <c r="G1392">
        <v>-188.3312</v>
      </c>
      <c r="H1392">
        <v>0.98953550000000001</v>
      </c>
      <c r="I1392">
        <v>335.9325</v>
      </c>
      <c r="J1392">
        <v>-188.25200000000001</v>
      </c>
      <c r="K1392">
        <v>1.1088910000000001</v>
      </c>
      <c r="L1392">
        <v>336.48020000000002</v>
      </c>
      <c r="M1392">
        <v>-6.2974790000000003E-2</v>
      </c>
      <c r="N1392">
        <v>0</v>
      </c>
      <c r="O1392">
        <v>-0.99791770000000002</v>
      </c>
      <c r="P1392">
        <v>-6.0645770000000002E-2</v>
      </c>
      <c r="Q1392">
        <v>1.487776E-2</v>
      </c>
      <c r="R1392">
        <v>-0.99804850000000001</v>
      </c>
      <c r="S1392">
        <v>-0.35861209999999999</v>
      </c>
      <c r="T1392">
        <v>-0.43776300000000001</v>
      </c>
      <c r="U1392">
        <v>-2.9906920000000001</v>
      </c>
      <c r="V1392">
        <v>-2.2519430000000002E-3</v>
      </c>
      <c r="W1392">
        <v>2.8829219999999999E-2</v>
      </c>
      <c r="X1392">
        <v>0.99958179999999996</v>
      </c>
      <c r="Y1392">
        <v>5.5048020000000003E-2</v>
      </c>
      <c r="Z1392">
        <v>0.14379129999999901</v>
      </c>
      <c r="AA1392">
        <v>0.98807579999999995</v>
      </c>
      <c r="AB1392">
        <v>25</v>
      </c>
      <c r="AC1392">
        <v>-7.9199999999985907E-2</v>
      </c>
      <c r="AD1392">
        <v>-0.1193555</v>
      </c>
      <c r="AE1392">
        <v>-0.54770000000001995</v>
      </c>
      <c r="AF1392">
        <v>4.2567985492883403E-2</v>
      </c>
      <c r="AG1392">
        <v>-0.1193555</v>
      </c>
      <c r="AH1392">
        <v>0.52708246127485203</v>
      </c>
      <c r="AI1392">
        <v>102.719135461717</v>
      </c>
      <c r="AJ1392">
        <v>85.382726445335607</v>
      </c>
      <c r="AK1392">
        <v>0.54210118036463295</v>
      </c>
      <c r="AL1392">
        <v>88.347978449597903</v>
      </c>
      <c r="AM1392">
        <v>90.129080592817004</v>
      </c>
      <c r="AN1392">
        <v>0.99999998503216103</v>
      </c>
    </row>
    <row r="1393" spans="1:40" x14ac:dyDescent="0.25">
      <c r="A1393" t="str">
        <f>"20190312160625149"</f>
        <v>20190312160625149</v>
      </c>
      <c r="B1393" t="str">
        <f>"1552377985146695"</f>
        <v>1552377985146695</v>
      </c>
      <c r="C1393" t="s">
        <v>40</v>
      </c>
      <c r="D1393">
        <v>6.518707</v>
      </c>
      <c r="E1393">
        <v>0.5033337</v>
      </c>
      <c r="F1393" t="s">
        <v>44</v>
      </c>
      <c r="G1393">
        <v>-188.35079999999999</v>
      </c>
      <c r="H1393">
        <v>1.0250060000000001</v>
      </c>
      <c r="I1393">
        <v>335.68970000000002</v>
      </c>
      <c r="J1393">
        <v>-188.26949999999999</v>
      </c>
      <c r="K1393">
        <v>1.1089199999999999</v>
      </c>
      <c r="L1393">
        <v>336.23270000000002</v>
      </c>
      <c r="M1393">
        <v>-6.4576949999999994E-2</v>
      </c>
      <c r="N1393">
        <v>0</v>
      </c>
      <c r="O1393">
        <v>-0.99781540000000002</v>
      </c>
      <c r="P1393">
        <v>-6.1788799999999998E-2</v>
      </c>
      <c r="Q1393">
        <v>1.497214E-2</v>
      </c>
      <c r="R1393">
        <v>-0.99797729999999996</v>
      </c>
      <c r="S1393">
        <v>-0.37278749999999999</v>
      </c>
      <c r="T1393">
        <v>-0.3171313</v>
      </c>
      <c r="U1393">
        <v>-2.987946</v>
      </c>
      <c r="V1393">
        <v>-2.7137979999999999E-3</v>
      </c>
      <c r="W1393">
        <v>2.8916919999999999E-2</v>
      </c>
      <c r="X1393">
        <v>0.99957810000000002</v>
      </c>
      <c r="Y1393">
        <v>5.8777299999999998E-2</v>
      </c>
      <c r="Z1393">
        <v>0.1047231</v>
      </c>
      <c r="AA1393">
        <v>0.99276299999999995</v>
      </c>
      <c r="AB1393">
        <v>25</v>
      </c>
      <c r="AC1393">
        <v>-8.1299999999998804E-2</v>
      </c>
      <c r="AD1393">
        <v>-8.3914000000000197E-2</v>
      </c>
      <c r="AE1393">
        <v>-0.54300000000000603</v>
      </c>
      <c r="AF1393">
        <v>4.5010220243176399E-2</v>
      </c>
      <c r="AG1393">
        <v>-8.3914000000000197E-2</v>
      </c>
      <c r="AH1393">
        <v>0.53462898941582704</v>
      </c>
      <c r="AI1393">
        <v>98.889279780747401</v>
      </c>
      <c r="AJ1393">
        <v>85.187637582769895</v>
      </c>
      <c r="AK1393">
        <v>0.54304294088601102</v>
      </c>
      <c r="AL1393">
        <v>88.342951481451195</v>
      </c>
      <c r="AM1393">
        <v>90.155554418229102</v>
      </c>
      <c r="AN1393">
        <v>0.99999996548073999</v>
      </c>
    </row>
    <row r="1394" spans="1:40" x14ac:dyDescent="0.25">
      <c r="A1394" t="str">
        <f>"20190312160625171"</f>
        <v>20190312160625171</v>
      </c>
      <c r="B1394" t="str">
        <f>"1552377985166215"</f>
        <v>1552377985166215</v>
      </c>
      <c r="C1394" t="s">
        <v>40</v>
      </c>
      <c r="D1394">
        <v>6.7247000000000003</v>
      </c>
      <c r="E1394">
        <v>0.50439330000000004</v>
      </c>
      <c r="F1394" t="s">
        <v>60</v>
      </c>
      <c r="G1394">
        <v>-212.32140000000001</v>
      </c>
      <c r="H1394">
        <v>37.361130000000003</v>
      </c>
      <c r="I1394">
        <v>-20.643940000000001</v>
      </c>
      <c r="J1394">
        <v>-188.28659999999999</v>
      </c>
      <c r="K1394">
        <v>1.1089450000000001</v>
      </c>
      <c r="L1394">
        <v>335.99619999999999</v>
      </c>
      <c r="M1394">
        <v>-6.6081860000000006E-2</v>
      </c>
      <c r="N1394">
        <v>0</v>
      </c>
      <c r="O1394">
        <v>-0.99771710000000002</v>
      </c>
      <c r="P1394">
        <v>-6.3051040000000003E-2</v>
      </c>
      <c r="Q1394">
        <v>1.5350279999999999E-2</v>
      </c>
      <c r="R1394">
        <v>-0.99789269999999997</v>
      </c>
      <c r="S1394">
        <v>-0.2014465</v>
      </c>
      <c r="T1394">
        <v>0.3036296</v>
      </c>
      <c r="U1394">
        <v>-2.9890140000000001</v>
      </c>
      <c r="V1394">
        <v>-2.9573260000000001E-3</v>
      </c>
      <c r="W1394">
        <v>2.9288700000000001E-2</v>
      </c>
      <c r="X1394">
        <v>0.99956659999999997</v>
      </c>
      <c r="Y1394">
        <v>8.154096E-4</v>
      </c>
      <c r="Z1394">
        <v>-0.10061879999999999</v>
      </c>
      <c r="AA1394">
        <v>0.9949247</v>
      </c>
      <c r="AB1394">
        <v>25</v>
      </c>
      <c r="AC1394">
        <v>-24.034800000000001</v>
      </c>
      <c r="AD1394">
        <v>36.252184999999997</v>
      </c>
      <c r="AE1394">
        <v>-356.64013999999997</v>
      </c>
      <c r="AF1394">
        <v>0.40832713471895199</v>
      </c>
      <c r="AG1394">
        <v>36.252184999999997</v>
      </c>
      <c r="AH1394">
        <v>353.80963386149398</v>
      </c>
      <c r="AI1394">
        <v>84.149756687378499</v>
      </c>
      <c r="AJ1394">
        <v>89.933875709268193</v>
      </c>
      <c r="AK1394">
        <v>355.66226207109401</v>
      </c>
      <c r="AL1394">
        <v>88.321641054763504</v>
      </c>
      <c r="AM1394">
        <v>90.169515271969104</v>
      </c>
      <c r="AN1394">
        <v>0.99999998078015895</v>
      </c>
    </row>
    <row r="1395" spans="1:40" x14ac:dyDescent="0.25">
      <c r="A1395" t="str">
        <f>"20190312160625192"</f>
        <v>20190312160625192</v>
      </c>
      <c r="B1395" t="str">
        <f>"1552377985186711"</f>
        <v>1552377985186711</v>
      </c>
      <c r="C1395" t="s">
        <v>40</v>
      </c>
      <c r="D1395">
        <v>6.4466970000000003</v>
      </c>
      <c r="E1395">
        <v>0.52080519999999997</v>
      </c>
      <c r="F1395" t="s">
        <v>60</v>
      </c>
      <c r="G1395">
        <v>-213.85329999999999</v>
      </c>
      <c r="H1395">
        <v>36.187840000000001</v>
      </c>
      <c r="I1395">
        <v>-20.956990000000001</v>
      </c>
      <c r="J1395">
        <v>-188.30500000000001</v>
      </c>
      <c r="K1395">
        <v>1.1089629999999999</v>
      </c>
      <c r="L1395">
        <v>335.74590000000001</v>
      </c>
      <c r="M1395">
        <v>-6.7654309999999995E-2</v>
      </c>
      <c r="N1395">
        <v>0</v>
      </c>
      <c r="O1395">
        <v>-0.99761169999999999</v>
      </c>
      <c r="P1395">
        <v>-6.482541E-2</v>
      </c>
      <c r="Q1395">
        <v>1.5472380000000001E-2</v>
      </c>
      <c r="R1395">
        <v>-0.99777700000000003</v>
      </c>
      <c r="S1395">
        <v>-0.214035</v>
      </c>
      <c r="T1395">
        <v>0.29366769999999998</v>
      </c>
      <c r="U1395">
        <v>-2.9882810000000002</v>
      </c>
      <c r="V1395">
        <v>-2.7561790000000001E-3</v>
      </c>
      <c r="W1395">
        <v>2.940309E-2</v>
      </c>
      <c r="X1395">
        <v>0.9995638</v>
      </c>
      <c r="Y1395">
        <v>3.4500070000000002E-3</v>
      </c>
      <c r="Z1395">
        <v>-9.7343369999999999E-2</v>
      </c>
      <c r="AA1395">
        <v>0.99524489999999999</v>
      </c>
      <c r="AB1395">
        <v>25</v>
      </c>
      <c r="AC1395">
        <v>-25.548299999999902</v>
      </c>
      <c r="AD1395">
        <v>35.078876999999999</v>
      </c>
      <c r="AE1395">
        <v>-356.702889999999</v>
      </c>
      <c r="AF1395">
        <v>1.3420138133296799</v>
      </c>
      <c r="AG1395">
        <v>35.078876999999999</v>
      </c>
      <c r="AH1395">
        <v>354.20598599551698</v>
      </c>
      <c r="AI1395">
        <v>84.344181440558202</v>
      </c>
      <c r="AJ1395">
        <v>89.782919084743696</v>
      </c>
      <c r="AK1395">
        <v>355.94130011521997</v>
      </c>
      <c r="AL1395">
        <v>88.315084138607205</v>
      </c>
      <c r="AM1395">
        <v>90.157985937526803</v>
      </c>
      <c r="AN1395">
        <v>0.99999996424733295</v>
      </c>
    </row>
    <row r="1396" spans="1:40" x14ac:dyDescent="0.25">
      <c r="A1396" t="str">
        <f>"20190312160625215"</f>
        <v>20190312160625215</v>
      </c>
      <c r="B1396" t="str">
        <f>"1552377985206232"</f>
        <v>1552377985206232</v>
      </c>
      <c r="C1396" t="s">
        <v>40</v>
      </c>
      <c r="D1396">
        <v>6.541245</v>
      </c>
      <c r="E1396">
        <v>0.51998979999999995</v>
      </c>
      <c r="F1396" t="s">
        <v>44</v>
      </c>
      <c r="G1396">
        <v>-188.3972</v>
      </c>
      <c r="H1396">
        <v>1.03118</v>
      </c>
      <c r="I1396">
        <v>335.01170000000002</v>
      </c>
      <c r="J1396">
        <v>-188.3237</v>
      </c>
      <c r="K1396">
        <v>1.1089789999999999</v>
      </c>
      <c r="L1396">
        <v>335.49680000000001</v>
      </c>
      <c r="M1396">
        <v>-6.9203799999999996E-2</v>
      </c>
      <c r="N1396">
        <v>0</v>
      </c>
      <c r="O1396">
        <v>-0.99750559999999999</v>
      </c>
      <c r="P1396">
        <v>-6.6880029999999993E-2</v>
      </c>
      <c r="Q1396">
        <v>1.502323E-2</v>
      </c>
      <c r="R1396">
        <v>-0.99764810000000004</v>
      </c>
      <c r="S1396">
        <v>-0.37492370000000003</v>
      </c>
      <c r="T1396">
        <v>-0.31652560000000002</v>
      </c>
      <c r="U1396">
        <v>-2.987244</v>
      </c>
      <c r="V1396">
        <v>-2.2533649999999998E-3</v>
      </c>
      <c r="W1396">
        <v>2.894648E-2</v>
      </c>
      <c r="X1396">
        <v>0.99957839999999998</v>
      </c>
      <c r="Y1396">
        <v>5.487761E-2</v>
      </c>
      <c r="Z1396">
        <v>0.1045079</v>
      </c>
      <c r="AA1396">
        <v>0.99300889999999997</v>
      </c>
      <c r="AB1396">
        <v>25</v>
      </c>
      <c r="AC1396">
        <v>-7.3499999999995597E-2</v>
      </c>
      <c r="AD1396">
        <v>-7.7799000000000104E-2</v>
      </c>
      <c r="AE1396">
        <v>-0.48509999999998799</v>
      </c>
      <c r="AF1396">
        <v>3.8774802721248197E-2</v>
      </c>
      <c r="AG1396">
        <v>-7.7799000000000104E-2</v>
      </c>
      <c r="AH1396">
        <v>0.47702948159866299</v>
      </c>
      <c r="AI1396">
        <v>99.232924535680596</v>
      </c>
      <c r="AJ1396">
        <v>85.352993656256302</v>
      </c>
      <c r="AK1396">
        <v>0.48488482760482499</v>
      </c>
      <c r="AL1396">
        <v>88.341257128069898</v>
      </c>
      <c r="AM1396">
        <v>90.129162540423394</v>
      </c>
      <c r="AN1396">
        <v>0.99999997705238597</v>
      </c>
    </row>
    <row r="1397" spans="1:40" x14ac:dyDescent="0.25">
      <c r="A1397" t="str">
        <f>"20190312160625237"</f>
        <v>20190312160625237</v>
      </c>
      <c r="B1397" t="str">
        <f>"1552377985226727"</f>
        <v>1552377985226727</v>
      </c>
      <c r="C1397" t="s">
        <v>40</v>
      </c>
      <c r="D1397">
        <v>6.4416060000000002</v>
      </c>
      <c r="E1397">
        <v>0.50489070000000003</v>
      </c>
      <c r="F1397" t="s">
        <v>44</v>
      </c>
      <c r="G1397">
        <v>-188.43979999999999</v>
      </c>
      <c r="H1397">
        <v>1.025579</v>
      </c>
      <c r="I1397">
        <v>334.56689999999998</v>
      </c>
      <c r="J1397">
        <v>-188.34289999999999</v>
      </c>
      <c r="K1397">
        <v>1.1089910000000001</v>
      </c>
      <c r="L1397">
        <v>335.24669999999998</v>
      </c>
      <c r="M1397">
        <v>-7.0744829999999995E-2</v>
      </c>
      <c r="N1397">
        <v>0</v>
      </c>
      <c r="O1397">
        <v>-0.99739750000000005</v>
      </c>
      <c r="P1397">
        <v>-6.9405969999999997E-2</v>
      </c>
      <c r="Q1397">
        <v>1.4254040000000001E-2</v>
      </c>
      <c r="R1397">
        <v>-0.99748669999999995</v>
      </c>
      <c r="S1397">
        <v>-0.37280269999999999</v>
      </c>
      <c r="T1397">
        <v>-0.26789740000000001</v>
      </c>
      <c r="U1397">
        <v>-2.986145</v>
      </c>
      <c r="V1397">
        <v>-1.270092E-3</v>
      </c>
      <c r="W1397">
        <v>2.8169550000000002E-2</v>
      </c>
      <c r="X1397">
        <v>0.9996024</v>
      </c>
      <c r="Y1397">
        <v>5.2876939999999997E-2</v>
      </c>
      <c r="Z1397">
        <v>8.8616680000000003E-2</v>
      </c>
      <c r="AA1397">
        <v>0.99466129999999997</v>
      </c>
      <c r="AB1397">
        <v>25</v>
      </c>
      <c r="AC1397">
        <v>-9.6900000000005093E-2</v>
      </c>
      <c r="AD1397">
        <v>-8.3412E-2</v>
      </c>
      <c r="AE1397">
        <v>-0.67979999999999996</v>
      </c>
      <c r="AF1397">
        <v>4.7854059215300497E-2</v>
      </c>
      <c r="AG1397">
        <v>-8.3412E-2</v>
      </c>
      <c r="AH1397">
        <v>0.67499226399449797</v>
      </c>
      <c r="AI1397">
        <v>97.027137010063498</v>
      </c>
      <c r="AJ1397">
        <v>85.944759811775299</v>
      </c>
      <c r="AK1397">
        <v>0.68180798556470401</v>
      </c>
      <c r="AL1397">
        <v>88.385790217117204</v>
      </c>
      <c r="AM1397">
        <v>90.072799817239797</v>
      </c>
      <c r="AN1397">
        <v>1.0000000473833199</v>
      </c>
    </row>
    <row r="1398" spans="1:40" x14ac:dyDescent="0.25">
      <c r="A1398" t="str">
        <f>"20190312160625259"</f>
        <v>20190312160625259</v>
      </c>
      <c r="B1398" t="str">
        <f>"1552377985256008"</f>
        <v>1552377985256008</v>
      </c>
      <c r="C1398" t="s">
        <v>40</v>
      </c>
      <c r="D1398">
        <v>6.6884059999999996</v>
      </c>
      <c r="E1398">
        <v>0.50315679999999996</v>
      </c>
      <c r="F1398" t="s">
        <v>56</v>
      </c>
      <c r="G1398">
        <v>-212.22829999999999</v>
      </c>
      <c r="H1398">
        <v>9.3341320000000003</v>
      </c>
      <c r="I1398">
        <v>44.558509999999998</v>
      </c>
      <c r="J1398">
        <v>-188.3621</v>
      </c>
      <c r="K1398">
        <v>1.1090009999999999</v>
      </c>
      <c r="L1398">
        <v>335.00029999999998</v>
      </c>
      <c r="M1398">
        <v>-7.2254680000000002E-2</v>
      </c>
      <c r="N1398">
        <v>0</v>
      </c>
      <c r="O1398">
        <v>-0.99728939999999999</v>
      </c>
      <c r="P1398">
        <v>-7.2440099999999993E-2</v>
      </c>
      <c r="Q1398">
        <v>1.4369379999999999E-2</v>
      </c>
      <c r="R1398">
        <v>-0.99726959999999998</v>
      </c>
      <c r="S1398">
        <v>-0.2456207</v>
      </c>
      <c r="T1398">
        <v>8.4581489999999995E-2</v>
      </c>
      <c r="U1398">
        <v>-2.9892270000000001</v>
      </c>
      <c r="V1398">
        <v>2.5838089999999998E-4</v>
      </c>
      <c r="W1398">
        <v>2.827584E-2</v>
      </c>
      <c r="X1398">
        <v>0.99960009999999999</v>
      </c>
      <c r="Y1398">
        <v>9.6271340000000007E-3</v>
      </c>
      <c r="Z1398">
        <v>-2.8125339999999999E-2</v>
      </c>
      <c r="AA1398">
        <v>0.99955799999999995</v>
      </c>
      <c r="AB1398">
        <v>25</v>
      </c>
      <c r="AC1398">
        <v>-23.8661999999999</v>
      </c>
      <c r="AD1398">
        <v>8.2251309999999993</v>
      </c>
      <c r="AE1398">
        <v>-290.44179000000003</v>
      </c>
      <c r="AF1398">
        <v>2.8137601361143498</v>
      </c>
      <c r="AG1398">
        <v>8.2251309999999993</v>
      </c>
      <c r="AH1398">
        <v>291.17514932004502</v>
      </c>
      <c r="AI1398">
        <v>88.382011585352501</v>
      </c>
      <c r="AJ1398">
        <v>89.446341616894003</v>
      </c>
      <c r="AK1398">
        <v>291.30488771666899</v>
      </c>
      <c r="AL1398">
        <v>88.379697704687203</v>
      </c>
      <c r="AM1398">
        <v>89.985189942711003</v>
      </c>
      <c r="AN1398">
        <v>0.999999974904202</v>
      </c>
    </row>
    <row r="1399" spans="1:40" x14ac:dyDescent="0.25">
      <c r="A1399" t="str">
        <f>"20190312160625281"</f>
        <v>20190312160625281</v>
      </c>
      <c r="B1399" t="str">
        <f>"1552377985276503"</f>
        <v>1552377985276503</v>
      </c>
      <c r="C1399" t="s">
        <v>40</v>
      </c>
      <c r="D1399">
        <v>6.8253709999999996</v>
      </c>
      <c r="E1399">
        <v>0.5127005</v>
      </c>
      <c r="F1399" t="s">
        <v>56</v>
      </c>
      <c r="G1399">
        <v>-211.72739999999999</v>
      </c>
      <c r="H1399">
        <v>16.60127</v>
      </c>
      <c r="I1399">
        <v>41.546010000000003</v>
      </c>
      <c r="J1399">
        <v>-188.3817</v>
      </c>
      <c r="K1399">
        <v>1.1090089999999999</v>
      </c>
      <c r="L1399">
        <v>334.75400000000002</v>
      </c>
      <c r="M1399">
        <v>-7.3755280000000006E-2</v>
      </c>
      <c r="N1399">
        <v>0</v>
      </c>
      <c r="O1399">
        <v>-0.99717960000000005</v>
      </c>
      <c r="P1399">
        <v>-7.4809769999999998E-2</v>
      </c>
      <c r="Q1399">
        <v>1.4976969999999999E-2</v>
      </c>
      <c r="R1399">
        <v>-0.99708560000000002</v>
      </c>
      <c r="S1399">
        <v>-0.2379608</v>
      </c>
      <c r="T1399">
        <v>0.15777910000000001</v>
      </c>
      <c r="U1399">
        <v>-2.9886469999999998</v>
      </c>
      <c r="V1399">
        <v>1.1316779999999999E-3</v>
      </c>
      <c r="W1399">
        <v>2.8875930000000001E-2</v>
      </c>
      <c r="X1399">
        <v>0.99958239999999998</v>
      </c>
      <c r="Y1399">
        <v>5.5150549999999996E-3</v>
      </c>
      <c r="Z1399">
        <v>-5.2421269999999999E-2</v>
      </c>
      <c r="AA1399">
        <v>0.99860979999999999</v>
      </c>
      <c r="AB1399">
        <v>25</v>
      </c>
      <c r="AC1399">
        <v>-23.345699999999901</v>
      </c>
      <c r="AD1399">
        <v>15.492260999999999</v>
      </c>
      <c r="AE1399">
        <v>-293.20799</v>
      </c>
      <c r="AF1399">
        <v>1.6498012125838599</v>
      </c>
      <c r="AG1399">
        <v>15.492260999999999</v>
      </c>
      <c r="AH1399">
        <v>293.31756696136</v>
      </c>
      <c r="AI1399">
        <v>86.976644982127198</v>
      </c>
      <c r="AJ1399">
        <v>89.677736145546504</v>
      </c>
      <c r="AK1399">
        <v>293.73104548730402</v>
      </c>
      <c r="AL1399">
        <v>88.345301135396298</v>
      </c>
      <c r="AM1399">
        <v>89.935132565895003</v>
      </c>
      <c r="AN1399">
        <v>1.0000000372091</v>
      </c>
    </row>
    <row r="1400" spans="1:40" x14ac:dyDescent="0.25">
      <c r="A1400" t="str">
        <f>"20190312160625305"</f>
        <v>20190312160625305</v>
      </c>
      <c r="B1400" t="str">
        <f>"1552377985296024"</f>
        <v>1552377985296024</v>
      </c>
      <c r="C1400" t="s">
        <v>40</v>
      </c>
      <c r="D1400">
        <v>6.6942209999999998</v>
      </c>
      <c r="E1400">
        <v>0.49950410000000001</v>
      </c>
      <c r="F1400" t="s">
        <v>47</v>
      </c>
      <c r="G1400">
        <v>-190.31880000000001</v>
      </c>
      <c r="H1400" s="1">
        <v>-3.8149929999999999E-6</v>
      </c>
      <c r="I1400">
        <v>317.48270000000002</v>
      </c>
      <c r="J1400">
        <v>-188.40309999999999</v>
      </c>
      <c r="K1400">
        <v>1.109022</v>
      </c>
      <c r="L1400">
        <v>334.4905</v>
      </c>
      <c r="M1400">
        <v>-7.535029E-2</v>
      </c>
      <c r="N1400">
        <v>0</v>
      </c>
      <c r="O1400">
        <v>-0.99706050000000002</v>
      </c>
      <c r="P1400">
        <v>-7.7771069999999998E-2</v>
      </c>
      <c r="Q1400">
        <v>1.5087160000000001E-2</v>
      </c>
      <c r="R1400">
        <v>-0.9968574</v>
      </c>
      <c r="S1400">
        <v>-0.33496090000000001</v>
      </c>
      <c r="T1400">
        <v>-0.19176779999999999</v>
      </c>
      <c r="U1400">
        <v>-2.9865110000000001</v>
      </c>
      <c r="V1400">
        <v>2.5020400000000001E-3</v>
      </c>
      <c r="W1400">
        <v>2.8977929999999999E-2</v>
      </c>
      <c r="X1400">
        <v>0.99957689999999999</v>
      </c>
      <c r="Y1400">
        <v>3.6027990000000003E-2</v>
      </c>
      <c r="Z1400">
        <v>6.3587550000000007E-2</v>
      </c>
      <c r="AA1400">
        <v>0.99732569999999998</v>
      </c>
      <c r="AB1400">
        <v>25</v>
      </c>
      <c r="AC1400">
        <v>-1.91570000000001</v>
      </c>
      <c r="AD1400">
        <v>-1.1090258149929999</v>
      </c>
      <c r="AE1400">
        <v>-17.0077999999999</v>
      </c>
      <c r="AF1400">
        <v>0.62595850912356199</v>
      </c>
      <c r="AG1400">
        <v>-1.1090258149929999</v>
      </c>
      <c r="AH1400">
        <v>17.032289123843899</v>
      </c>
      <c r="AI1400">
        <v>93.7229427743044</v>
      </c>
      <c r="AJ1400">
        <v>87.895253742448702</v>
      </c>
      <c r="AK1400">
        <v>17.079831237798501</v>
      </c>
      <c r="AL1400">
        <v>88.339454424140797</v>
      </c>
      <c r="AM1400">
        <v>89.856583287614896</v>
      </c>
      <c r="AN1400">
        <v>0.99999997982242805</v>
      </c>
    </row>
    <row r="1401" spans="1:40" x14ac:dyDescent="0.25">
      <c r="A1401" t="str">
        <f>"20190312160625329"</f>
        <v>20190312160625329</v>
      </c>
      <c r="B1401" t="str">
        <f>"1552377985316519"</f>
        <v>1552377985316519</v>
      </c>
      <c r="C1401" t="s">
        <v>40</v>
      </c>
      <c r="D1401">
        <v>6.0757580000000004</v>
      </c>
      <c r="E1401">
        <v>0.4982589</v>
      </c>
      <c r="F1401" t="s">
        <v>55</v>
      </c>
      <c r="G1401">
        <v>-211.37450000000001</v>
      </c>
      <c r="H1401">
        <v>17.946100000000001</v>
      </c>
      <c r="I1401">
        <v>28.793530000000001</v>
      </c>
      <c r="J1401">
        <v>-188.42449999999999</v>
      </c>
      <c r="K1401">
        <v>1.1090340000000001</v>
      </c>
      <c r="L1401">
        <v>334.23149999999998</v>
      </c>
      <c r="M1401">
        <v>-7.6903159999999998E-2</v>
      </c>
      <c r="N1401">
        <v>0</v>
      </c>
      <c r="O1401">
        <v>-0.99694199999999999</v>
      </c>
      <c r="P1401">
        <v>-8.0628179999999994E-2</v>
      </c>
      <c r="Q1401">
        <v>1.50773E-2</v>
      </c>
      <c r="R1401">
        <v>-0.99663049999999997</v>
      </c>
      <c r="S1401">
        <v>-0.2246399</v>
      </c>
      <c r="T1401">
        <v>0.1646514</v>
      </c>
      <c r="U1401">
        <v>-2.9894409999999998</v>
      </c>
      <c r="V1401">
        <v>3.8099679999999999E-3</v>
      </c>
      <c r="W1401">
        <v>2.8959820000000001E-2</v>
      </c>
      <c r="X1401">
        <v>0.9995733</v>
      </c>
      <c r="Y1401">
        <v>-2.0955150000000001E-3</v>
      </c>
      <c r="Z1401">
        <v>-5.4673550000000001E-2</v>
      </c>
      <c r="AA1401">
        <v>0.99850209999999995</v>
      </c>
      <c r="AB1401">
        <v>25</v>
      </c>
      <c r="AC1401">
        <v>-22.95</v>
      </c>
      <c r="AD1401">
        <v>16.837066</v>
      </c>
      <c r="AE1401">
        <v>-305.43797000000001</v>
      </c>
      <c r="AF1401">
        <v>-0.60754905861728703</v>
      </c>
      <c r="AG1401">
        <v>16.837066</v>
      </c>
      <c r="AH1401">
        <v>305.37562572029901</v>
      </c>
      <c r="AI1401">
        <v>86.844164754161298</v>
      </c>
      <c r="AJ1401">
        <v>90.1139906005792</v>
      </c>
      <c r="AK1401">
        <v>305.84003775079998</v>
      </c>
      <c r="AL1401">
        <v>88.340492494239399</v>
      </c>
      <c r="AM1401">
        <v>89.781612784834806</v>
      </c>
      <c r="AN1401">
        <v>0.99999998455174099</v>
      </c>
    </row>
    <row r="1402" spans="1:40" x14ac:dyDescent="0.25">
      <c r="A1402" t="str">
        <f>"20190312160625350"</f>
        <v>20190312160625350</v>
      </c>
      <c r="B1402" t="str">
        <f>"1552377985346776"</f>
        <v>1552377985346776</v>
      </c>
      <c r="C1402" t="s">
        <v>40</v>
      </c>
      <c r="D1402">
        <v>6.5099</v>
      </c>
      <c r="E1402">
        <v>0.50002139999999995</v>
      </c>
      <c r="F1402" t="s">
        <v>47</v>
      </c>
      <c r="G1402">
        <v>-190.01580000000001</v>
      </c>
      <c r="H1402" s="1">
        <v>-2.1127210000000001E-6</v>
      </c>
      <c r="I1402">
        <v>314.0521</v>
      </c>
      <c r="J1402">
        <v>-188.44540000000001</v>
      </c>
      <c r="K1402">
        <v>1.1090439999999999</v>
      </c>
      <c r="L1402">
        <v>333.983</v>
      </c>
      <c r="M1402">
        <v>-7.8374239999999998E-2</v>
      </c>
      <c r="N1402">
        <v>0</v>
      </c>
      <c r="O1402">
        <v>-0.99682709999999997</v>
      </c>
      <c r="P1402">
        <v>-8.2857470000000003E-2</v>
      </c>
      <c r="Q1402">
        <v>1.5412250000000001E-2</v>
      </c>
      <c r="R1402">
        <v>-0.9964423</v>
      </c>
      <c r="S1402">
        <v>-0.23606869999999999</v>
      </c>
      <c r="T1402">
        <v>-0.16452120000000001</v>
      </c>
      <c r="U1402">
        <v>-2.9935299999999998</v>
      </c>
      <c r="V1402">
        <v>4.5714299999999996E-3</v>
      </c>
      <c r="W1402">
        <v>2.928917E-2</v>
      </c>
      <c r="X1402">
        <v>0.99956049999999996</v>
      </c>
      <c r="Y1402">
        <v>1.171234E-4</v>
      </c>
      <c r="Z1402">
        <v>5.4538980000000001E-2</v>
      </c>
      <c r="AA1402">
        <v>0.99851160000000005</v>
      </c>
      <c r="AB1402">
        <v>25</v>
      </c>
      <c r="AC1402">
        <v>-1.5704</v>
      </c>
      <c r="AD1402">
        <v>-1.1090461127210001</v>
      </c>
      <c r="AE1402">
        <v>-19.930900000000001</v>
      </c>
      <c r="AF1402">
        <v>3.3381890018722099E-3</v>
      </c>
      <c r="AG1402">
        <v>-1.1090461127210001</v>
      </c>
      <c r="AH1402">
        <v>19.931338681021298</v>
      </c>
      <c r="AI1402">
        <v>93.1848438457302</v>
      </c>
      <c r="AJ1402">
        <v>89.990403848818303</v>
      </c>
      <c r="AK1402">
        <v>19.9621706244893</v>
      </c>
      <c r="AL1402">
        <v>88.321614101640506</v>
      </c>
      <c r="AM1402">
        <v>89.737963015545404</v>
      </c>
      <c r="AN1402">
        <v>0.99999997330589097</v>
      </c>
    </row>
    <row r="1403" spans="1:40" x14ac:dyDescent="0.25">
      <c r="A1403" t="str">
        <f>"20190312160625372"</f>
        <v>20190312160625372</v>
      </c>
      <c r="B1403" t="str">
        <f>"1552377985366295"</f>
        <v>1552377985366295</v>
      </c>
      <c r="C1403" t="s">
        <v>40</v>
      </c>
      <c r="D1403">
        <v>6.5748519999999999</v>
      </c>
      <c r="E1403">
        <v>0.55564709999999995</v>
      </c>
      <c r="F1403" t="s">
        <v>47</v>
      </c>
      <c r="G1403">
        <v>-190.68620000000001</v>
      </c>
      <c r="H1403" s="1">
        <v>-3.6699400000000001E-6</v>
      </c>
      <c r="I1403">
        <v>307.7183</v>
      </c>
      <c r="J1403">
        <v>-188.4649</v>
      </c>
      <c r="K1403">
        <v>1.1090580000000001</v>
      </c>
      <c r="L1403">
        <v>333.75470000000001</v>
      </c>
      <c r="M1403">
        <v>-7.9706609999999997E-2</v>
      </c>
      <c r="N1403">
        <v>0</v>
      </c>
      <c r="O1403">
        <v>-0.99672169999999904</v>
      </c>
      <c r="P1403">
        <v>-8.4238099999999996E-2</v>
      </c>
      <c r="Q1403">
        <v>1.580898E-2</v>
      </c>
      <c r="R1403">
        <v>-0.99632069999999995</v>
      </c>
      <c r="S1403">
        <v>-0.25521850000000001</v>
      </c>
      <c r="T1403">
        <v>-0.12631489999999901</v>
      </c>
      <c r="U1403">
        <v>-2.991425</v>
      </c>
      <c r="V1403">
        <v>4.620664E-3</v>
      </c>
      <c r="W1403">
        <v>2.968144E-2</v>
      </c>
      <c r="X1403">
        <v>0.99954869999999996</v>
      </c>
      <c r="Y1403">
        <v>5.2367029999999997E-3</v>
      </c>
      <c r="Z1403">
        <v>4.1910759999999998E-2</v>
      </c>
      <c r="AA1403">
        <v>0.99910770000000004</v>
      </c>
      <c r="AB1403">
        <v>25</v>
      </c>
      <c r="AC1403">
        <v>-2.22130000000001</v>
      </c>
      <c r="AD1403">
        <v>-1.10906166994</v>
      </c>
      <c r="AE1403">
        <v>-26.0364</v>
      </c>
      <c r="AF1403">
        <v>0.13850859873767299</v>
      </c>
      <c r="AG1403">
        <v>-1.10906166994</v>
      </c>
      <c r="AH1403">
        <v>26.083629149683599</v>
      </c>
      <c r="AI1403">
        <v>92.434684437568393</v>
      </c>
      <c r="AJ1403">
        <v>89.695752324299093</v>
      </c>
      <c r="AK1403">
        <v>26.107564268577001</v>
      </c>
      <c r="AL1403">
        <v>88.299128905367795</v>
      </c>
      <c r="AM1403">
        <v>89.735137807768098</v>
      </c>
      <c r="AN1403">
        <v>0.99999997104398097</v>
      </c>
    </row>
    <row r="1404" spans="1:40" x14ac:dyDescent="0.25">
      <c r="A1404" t="str">
        <f>"20190312160625396"</f>
        <v>20190312160625396</v>
      </c>
      <c r="B1404" t="str">
        <f>"1552377985386096"</f>
        <v>1552377985386096</v>
      </c>
      <c r="C1404" t="s">
        <v>40</v>
      </c>
      <c r="D1404">
        <v>6.6412760000000004</v>
      </c>
      <c r="E1404">
        <v>0.5590155</v>
      </c>
      <c r="F1404" t="s">
        <v>47</v>
      </c>
      <c r="G1404">
        <v>-196.21350000000001</v>
      </c>
      <c r="H1404" s="1">
        <v>-2.3032639999999999E-6</v>
      </c>
      <c r="I1404">
        <v>301.10430000000002</v>
      </c>
      <c r="J1404">
        <v>-188.48849999999999</v>
      </c>
      <c r="K1404">
        <v>1.1090799999999901</v>
      </c>
      <c r="L1404">
        <v>333.48230000000001</v>
      </c>
      <c r="M1404">
        <v>-8.1271419999999997E-2</v>
      </c>
      <c r="N1404">
        <v>0</v>
      </c>
      <c r="O1404">
        <v>-0.99659529999999996</v>
      </c>
      <c r="P1404">
        <v>-8.5386130000000005E-2</v>
      </c>
      <c r="Q1404">
        <v>1.6482710000000001E-2</v>
      </c>
      <c r="R1404">
        <v>-0.99621179999999998</v>
      </c>
      <c r="S1404">
        <v>-0.7008972</v>
      </c>
      <c r="T1404">
        <v>-0.1003194</v>
      </c>
      <c r="U1404">
        <v>-2.9533689999999999</v>
      </c>
      <c r="V1404">
        <v>4.2040360000000004E-3</v>
      </c>
      <c r="W1404">
        <v>3.0352049999999998E-2</v>
      </c>
      <c r="X1404">
        <v>0.99953040000000004</v>
      </c>
      <c r="Y1404">
        <v>0.15093409999999999</v>
      </c>
      <c r="Z1404">
        <v>3.31264E-2</v>
      </c>
      <c r="AA1404">
        <v>0.98798869999999905</v>
      </c>
      <c r="AB1404">
        <v>25</v>
      </c>
      <c r="AC1404">
        <v>-7.7250000000000201</v>
      </c>
      <c r="AD1404">
        <v>-1.10908230326399</v>
      </c>
      <c r="AE1404">
        <v>-32.377999999999901</v>
      </c>
      <c r="AF1404">
        <v>5.0621613385437296</v>
      </c>
      <c r="AG1404">
        <v>-1.10908230326399</v>
      </c>
      <c r="AH1404">
        <v>32.8622731274071</v>
      </c>
      <c r="AI1404">
        <v>91.910448541366605</v>
      </c>
      <c r="AJ1404">
        <v>81.242891574141396</v>
      </c>
      <c r="AK1404">
        <v>33.268371406985999</v>
      </c>
      <c r="AL1404">
        <v>88.260688458799095</v>
      </c>
      <c r="AM1404">
        <v>89.759014733976301</v>
      </c>
      <c r="AN1404">
        <v>0.99999997069102498</v>
      </c>
    </row>
    <row r="1405" spans="1:40" x14ac:dyDescent="0.25">
      <c r="A1405" t="str">
        <f>"20190312160625417"</f>
        <v>20190312160625417</v>
      </c>
      <c r="B1405" t="str">
        <f>"1552377985406596"</f>
        <v>1552377985406596</v>
      </c>
      <c r="C1405" t="s">
        <v>40</v>
      </c>
      <c r="D1405">
        <v>6.8330039999999901</v>
      </c>
      <c r="E1405">
        <v>0.56092769999999903</v>
      </c>
      <c r="F1405" t="s">
        <v>61</v>
      </c>
      <c r="G1405">
        <v>-203.5436</v>
      </c>
      <c r="H1405">
        <v>8.0001859999999994E-2</v>
      </c>
      <c r="I1405">
        <v>272.5711</v>
      </c>
      <c r="J1405">
        <v>-188.50919999999999</v>
      </c>
      <c r="K1405">
        <v>1.1090990000000001</v>
      </c>
      <c r="L1405">
        <v>333.24759999999998</v>
      </c>
      <c r="M1405">
        <v>-8.2601549999999996E-2</v>
      </c>
      <c r="N1405">
        <v>0</v>
      </c>
      <c r="O1405">
        <v>-0.99648590000000004</v>
      </c>
      <c r="P1405">
        <v>-8.6484309999999995E-2</v>
      </c>
      <c r="Q1405">
        <v>1.7517129999999999E-2</v>
      </c>
      <c r="R1405">
        <v>-0.99609919999999996</v>
      </c>
      <c r="S1405">
        <v>-0.72906490000000002</v>
      </c>
      <c r="T1405">
        <v>-4.9834490000000002E-2</v>
      </c>
      <c r="U1405">
        <v>-2.9497070000000001</v>
      </c>
      <c r="V1405">
        <v>3.9745249999999996E-3</v>
      </c>
      <c r="W1405">
        <v>3.138295E-2</v>
      </c>
      <c r="X1405">
        <v>0.99949960000000004</v>
      </c>
      <c r="Y1405">
        <v>0.158895799999999</v>
      </c>
      <c r="Z1405">
        <v>1.6451250000000001E-2</v>
      </c>
      <c r="AA1405">
        <v>0.98715830000000004</v>
      </c>
      <c r="AB1405">
        <v>25</v>
      </c>
      <c r="AC1405">
        <v>-15.0344</v>
      </c>
      <c r="AD1405">
        <v>-1.02909714</v>
      </c>
      <c r="AE1405">
        <v>-60.676499999999898</v>
      </c>
      <c r="AF1405">
        <v>9.9678546019418999</v>
      </c>
      <c r="AG1405">
        <v>-1.02909714</v>
      </c>
      <c r="AH1405">
        <v>61.694371616357103</v>
      </c>
      <c r="AI1405">
        <v>90.943405603305294</v>
      </c>
      <c r="AJ1405">
        <v>80.822130653354407</v>
      </c>
      <c r="AK1405">
        <v>62.502901176074801</v>
      </c>
      <c r="AL1405">
        <v>88.201594251770004</v>
      </c>
      <c r="AM1405">
        <v>89.772163682931904</v>
      </c>
      <c r="AN1405">
        <v>1.00000006839991</v>
      </c>
    </row>
    <row r="1406" spans="1:40" x14ac:dyDescent="0.25">
      <c r="A1406" t="str">
        <f>"20190312160625437"</f>
        <v>20190312160625437</v>
      </c>
      <c r="B1406" t="str">
        <f>"1552377985426115"</f>
        <v>1552377985426115</v>
      </c>
      <c r="C1406" t="s">
        <v>40</v>
      </c>
      <c r="D1406">
        <v>6.6980279999999999</v>
      </c>
      <c r="E1406">
        <v>0.56074179999999996</v>
      </c>
      <c r="F1406" t="s">
        <v>61</v>
      </c>
      <c r="G1406">
        <v>-197.66249999999999</v>
      </c>
      <c r="H1406" s="1">
        <v>4.2236360000000001E-7</v>
      </c>
      <c r="I1406">
        <v>297.21809999999999</v>
      </c>
      <c r="J1406">
        <v>-188.52969999999999</v>
      </c>
      <c r="K1406">
        <v>1.1091070000000001</v>
      </c>
      <c r="L1406">
        <v>333.01900000000001</v>
      </c>
      <c r="M1406">
        <v>-8.3885299999999996E-2</v>
      </c>
      <c r="N1406">
        <v>0</v>
      </c>
      <c r="O1406">
        <v>-0.99637920000000002</v>
      </c>
      <c r="P1406">
        <v>-8.6929950000000006E-2</v>
      </c>
      <c r="Q1406">
        <v>1.8003479999999999E-2</v>
      </c>
      <c r="R1406">
        <v>-0.9960523</v>
      </c>
      <c r="S1406">
        <v>-0.74902340000000001</v>
      </c>
      <c r="T1406">
        <v>-9.0758800000000001E-2</v>
      </c>
      <c r="U1406">
        <v>-2.948334</v>
      </c>
      <c r="V1406">
        <v>3.1347419999999998E-3</v>
      </c>
      <c r="W1406">
        <v>3.1868130000000001E-2</v>
      </c>
      <c r="X1406">
        <v>0.99948720000000002</v>
      </c>
      <c r="Y1406">
        <v>0.16393920000000001</v>
      </c>
      <c r="Z1406">
        <v>2.9923499999999999E-2</v>
      </c>
      <c r="AA1406">
        <v>0.98601649999999996</v>
      </c>
      <c r="AB1406">
        <v>25</v>
      </c>
      <c r="AC1406">
        <v>-9.1327999999999996</v>
      </c>
      <c r="AD1406">
        <v>-1.1091065776364</v>
      </c>
      <c r="AE1406">
        <v>-35.800899999999999</v>
      </c>
      <c r="AF1406">
        <v>6.0916580436021999</v>
      </c>
      <c r="AG1406">
        <v>-1.1091065776364</v>
      </c>
      <c r="AH1406">
        <v>36.408065940852602</v>
      </c>
      <c r="AI1406">
        <v>91.720965773833001</v>
      </c>
      <c r="AJ1406">
        <v>80.501473751975098</v>
      </c>
      <c r="AK1406">
        <v>36.930822908164501</v>
      </c>
      <c r="AL1406">
        <v>88.173781511347002</v>
      </c>
      <c r="AM1406">
        <v>89.820300952777302</v>
      </c>
      <c r="AN1406">
        <v>1.00000003364047</v>
      </c>
    </row>
    <row r="1407" spans="1:40" x14ac:dyDescent="0.25">
      <c r="A1407" t="str">
        <f>"20190312160625461"</f>
        <v>20190312160625461</v>
      </c>
      <c r="B1407" t="str">
        <f>"1552377985456368"</f>
        <v>1552377985456368</v>
      </c>
      <c r="C1407" t="s">
        <v>40</v>
      </c>
      <c r="D1407">
        <v>6.7814969999999999</v>
      </c>
      <c r="E1407">
        <v>0.56125559999999997</v>
      </c>
      <c r="F1407" t="s">
        <v>61</v>
      </c>
      <c r="G1407">
        <v>-199.05080000000001</v>
      </c>
      <c r="H1407" s="1">
        <v>1.4950080000000001E-6</v>
      </c>
      <c r="I1407">
        <v>291.58420000000001</v>
      </c>
      <c r="J1407">
        <v>-188.5531</v>
      </c>
      <c r="K1407">
        <v>1.1091120000000001</v>
      </c>
      <c r="L1407">
        <v>332.76049999999998</v>
      </c>
      <c r="M1407">
        <v>-8.5327089999999994E-2</v>
      </c>
      <c r="N1407">
        <v>0</v>
      </c>
      <c r="O1407">
        <v>-0.9962567</v>
      </c>
      <c r="P1407">
        <v>-8.7979660000000001E-2</v>
      </c>
      <c r="Q1407">
        <v>1.8388539999999998E-2</v>
      </c>
      <c r="R1407">
        <v>-0.99595279999999997</v>
      </c>
      <c r="S1407">
        <v>-0.74855039999999995</v>
      </c>
      <c r="T1407">
        <v>-7.8909869999999993E-2</v>
      </c>
      <c r="U1407">
        <v>-2.9479679999999999</v>
      </c>
      <c r="V1407">
        <v>2.7425779999999999E-3</v>
      </c>
      <c r="W1407">
        <v>3.2250359999999999E-2</v>
      </c>
      <c r="X1407">
        <v>0.99947609999999998</v>
      </c>
      <c r="Y1407">
        <v>0.16241900000000001</v>
      </c>
      <c r="Z1407">
        <v>2.6021900000000001E-2</v>
      </c>
      <c r="AA1407">
        <v>0.98637870000000005</v>
      </c>
      <c r="AB1407">
        <v>25</v>
      </c>
      <c r="AC1407">
        <v>-10.4977</v>
      </c>
      <c r="AD1407">
        <v>-1.109110504992</v>
      </c>
      <c r="AE1407">
        <v>-41.176299999999898</v>
      </c>
      <c r="AF1407">
        <v>6.9408880013336196</v>
      </c>
      <c r="AG1407">
        <v>-1.109110504992</v>
      </c>
      <c r="AH1407">
        <v>41.8933851615907</v>
      </c>
      <c r="AI1407">
        <v>91.496142516268506</v>
      </c>
      <c r="AJ1407">
        <v>80.592701243921496</v>
      </c>
      <c r="AK1407">
        <v>42.478956821663203</v>
      </c>
      <c r="AL1407">
        <v>88.151870096559406</v>
      </c>
      <c r="AM1407">
        <v>89.842779882390104</v>
      </c>
      <c r="AN1407">
        <v>1.0000000409627099</v>
      </c>
    </row>
    <row r="1408" spans="1:40" x14ac:dyDescent="0.25">
      <c r="A1408" t="str">
        <f>"20190312160625483"</f>
        <v>20190312160625483</v>
      </c>
      <c r="B1408" t="str">
        <f>"1552377985475888"</f>
        <v>1552377985475888</v>
      </c>
      <c r="C1408" t="s">
        <v>40</v>
      </c>
      <c r="D1408">
        <v>6.6940679999999997</v>
      </c>
      <c r="E1408">
        <v>0.56101009999999996</v>
      </c>
      <c r="F1408" t="s">
        <v>61</v>
      </c>
      <c r="G1408">
        <v>-198.16399999999999</v>
      </c>
      <c r="H1408" s="1">
        <v>7.9236469999999999E-7</v>
      </c>
      <c r="I1408">
        <v>295.3159</v>
      </c>
      <c r="J1408">
        <v>-188.57570000000001</v>
      </c>
      <c r="K1408">
        <v>1.1091219999999999</v>
      </c>
      <c r="L1408">
        <v>332.51600000000002</v>
      </c>
      <c r="M1408">
        <v>-8.6686659999999999E-2</v>
      </c>
      <c r="N1408">
        <v>0</v>
      </c>
      <c r="O1408">
        <v>-0.996139</v>
      </c>
      <c r="P1408">
        <v>-9.0211730000000004E-2</v>
      </c>
      <c r="Q1408">
        <v>1.865145E-2</v>
      </c>
      <c r="R1408">
        <v>-0.99574770000000001</v>
      </c>
      <c r="S1408">
        <v>-0.75639339999999999</v>
      </c>
      <c r="T1408">
        <v>-8.728909E-2</v>
      </c>
      <c r="U1408">
        <v>-2.9469599999999998</v>
      </c>
      <c r="V1408">
        <v>3.6198229999999999E-3</v>
      </c>
      <c r="W1408">
        <v>3.2507719999999997E-2</v>
      </c>
      <c r="X1408">
        <v>0.99946489999999999</v>
      </c>
      <c r="Y1408">
        <v>0.1635983</v>
      </c>
      <c r="Z1408">
        <v>2.8775140000000001E-2</v>
      </c>
      <c r="AA1408">
        <v>0.98610730000000002</v>
      </c>
      <c r="AB1408">
        <v>25</v>
      </c>
      <c r="AC1408">
        <v>-9.5883000000000003</v>
      </c>
      <c r="AD1408">
        <v>-1.1091212076353001</v>
      </c>
      <c r="AE1408">
        <v>-37.2000999999999</v>
      </c>
      <c r="AF1408">
        <v>6.3218665797928004</v>
      </c>
      <c r="AG1408">
        <v>-1.1091212076353001</v>
      </c>
      <c r="AH1408">
        <v>37.859737359458499</v>
      </c>
      <c r="AI1408">
        <v>91.655127409807207</v>
      </c>
      <c r="AJ1408">
        <v>80.520141075320097</v>
      </c>
      <c r="AK1408">
        <v>38.3999460915391</v>
      </c>
      <c r="AL1408">
        <v>88.137116588521806</v>
      </c>
      <c r="AM1408">
        <v>89.792489287361093</v>
      </c>
      <c r="AN1408">
        <v>0.99999997065507895</v>
      </c>
    </row>
    <row r="1409" spans="1:40" x14ac:dyDescent="0.25">
      <c r="A1409" t="str">
        <f>"20190312160625520"</f>
        <v>20190312160625520</v>
      </c>
      <c r="B1409" t="str">
        <f>"1552377985515904"</f>
        <v>1552377985515904</v>
      </c>
      <c r="C1409" t="s">
        <v>40</v>
      </c>
      <c r="D1409">
        <v>6.7150049999999997</v>
      </c>
      <c r="E1409">
        <v>0.56097940000000002</v>
      </c>
      <c r="F1409" t="s">
        <v>61</v>
      </c>
      <c r="G1409">
        <v>-197.9255</v>
      </c>
      <c r="H1409" s="1">
        <v>5.7812219999999998E-7</v>
      </c>
      <c r="I1409">
        <v>296.33370000000002</v>
      </c>
      <c r="J1409">
        <v>-188.61320000000001</v>
      </c>
      <c r="K1409">
        <v>1.1091279999999999</v>
      </c>
      <c r="L1409">
        <v>332.11630000000002</v>
      </c>
      <c r="M1409">
        <v>-8.8912030000000003E-2</v>
      </c>
      <c r="N1409">
        <v>0</v>
      </c>
      <c r="O1409">
        <v>-0.99594309999999997</v>
      </c>
      <c r="P1409">
        <v>-9.4794009999999998E-2</v>
      </c>
      <c r="Q1409">
        <v>1.898938E-2</v>
      </c>
      <c r="R1409">
        <v>-0.99531619999999998</v>
      </c>
      <c r="S1409">
        <v>-0.7611694</v>
      </c>
      <c r="T1409">
        <v>-9.029305E-2</v>
      </c>
      <c r="U1409">
        <v>-2.9455870000000002</v>
      </c>
      <c r="V1409">
        <v>5.9890759999999899E-3</v>
      </c>
      <c r="W1409">
        <v>3.2834660000000002E-2</v>
      </c>
      <c r="X1409">
        <v>0.99944290000000002</v>
      </c>
      <c r="Y1409">
        <v>0.162997</v>
      </c>
      <c r="Z1409">
        <v>2.9764720000000001E-2</v>
      </c>
      <c r="AA1409">
        <v>0.98617750000000004</v>
      </c>
      <c r="AB1409">
        <v>25</v>
      </c>
      <c r="AC1409">
        <v>-9.3122999999999898</v>
      </c>
      <c r="AD1409">
        <v>-1.1091274218778</v>
      </c>
      <c r="AE1409">
        <v>-35.782600000000002</v>
      </c>
      <c r="AF1409">
        <v>6.0881240665272296</v>
      </c>
      <c r="AG1409">
        <v>-1.1091274218778</v>
      </c>
      <c r="AH1409">
        <v>36.4361239560846</v>
      </c>
      <c r="AI1409">
        <v>91.719736753920202</v>
      </c>
      <c r="AJ1409">
        <v>80.514061213319906</v>
      </c>
      <c r="AK1409">
        <v>36.957902365130899</v>
      </c>
      <c r="AL1409">
        <v>88.118374444217693</v>
      </c>
      <c r="AM1409">
        <v>89.656664056854396</v>
      </c>
      <c r="AN1409">
        <v>1.0000000471445201</v>
      </c>
    </row>
    <row r="1410" spans="1:40" x14ac:dyDescent="0.25">
      <c r="A1410" t="str">
        <f>"20190312160625543"</f>
        <v>20190312160625543</v>
      </c>
      <c r="B1410" t="str">
        <f>"1552377985536400"</f>
        <v>1552377985536400</v>
      </c>
      <c r="C1410" t="s">
        <v>40</v>
      </c>
      <c r="D1410">
        <v>6.804036</v>
      </c>
      <c r="E1410">
        <v>0.56105150000000004</v>
      </c>
      <c r="F1410" t="s">
        <v>61</v>
      </c>
      <c r="G1410">
        <v>-197.58750000000001</v>
      </c>
      <c r="H1410" s="1">
        <v>2.7966670000000001E-7</v>
      </c>
      <c r="I1410">
        <v>298.02839999999998</v>
      </c>
      <c r="J1410">
        <v>-188.63630000000001</v>
      </c>
      <c r="K1410">
        <v>1.1091310000000001</v>
      </c>
      <c r="L1410">
        <v>331.8759</v>
      </c>
      <c r="M1410">
        <v>-9.0255130000000003E-2</v>
      </c>
      <c r="N1410">
        <v>0</v>
      </c>
      <c r="O1410">
        <v>-0.9958224</v>
      </c>
      <c r="P1410">
        <v>-9.6971039999999994E-2</v>
      </c>
      <c r="Q1410">
        <v>2.007403E-2</v>
      </c>
      <c r="R1410">
        <v>-0.995085</v>
      </c>
      <c r="S1410">
        <v>-0.77456669999999905</v>
      </c>
      <c r="T1410">
        <v>-9.572804E-2</v>
      </c>
      <c r="U1410">
        <v>-2.9421080000000002</v>
      </c>
      <c r="V1410">
        <v>6.8320710000000003E-3</v>
      </c>
      <c r="W1410">
        <v>3.3913609999999997E-2</v>
      </c>
      <c r="X1410">
        <v>0.9994014</v>
      </c>
      <c r="Y1410">
        <v>0.16613829999999999</v>
      </c>
      <c r="Z1410">
        <v>3.1558700000000002E-2</v>
      </c>
      <c r="AA1410">
        <v>0.98559739999999996</v>
      </c>
      <c r="AB1410">
        <v>25</v>
      </c>
      <c r="AC1410">
        <v>-8.9512</v>
      </c>
      <c r="AD1410">
        <v>-1.1091307203332901</v>
      </c>
      <c r="AE1410">
        <v>-33.847499999999997</v>
      </c>
      <c r="AF1410">
        <v>5.8535822194198497</v>
      </c>
      <c r="AG1410">
        <v>-1.1091307203332901</v>
      </c>
      <c r="AH1410">
        <v>34.4826937719832</v>
      </c>
      <c r="AI1410">
        <v>91.8163089006229</v>
      </c>
      <c r="AJ1410">
        <v>80.365642766071105</v>
      </c>
      <c r="AK1410">
        <v>34.993581776186602</v>
      </c>
      <c r="AL1410">
        <v>88.056520583535701</v>
      </c>
      <c r="AM1410">
        <v>89.608322806102905</v>
      </c>
      <c r="AN1410">
        <v>0.99999998422966996</v>
      </c>
    </row>
    <row r="1411" spans="1:40" x14ac:dyDescent="0.25">
      <c r="A1411" t="str">
        <f>"20190312160625564"</f>
        <v>20190312160625564</v>
      </c>
      <c r="B1411" t="str">
        <f>"1552377985555920"</f>
        <v>1552377985555920</v>
      </c>
      <c r="C1411" t="s">
        <v>40</v>
      </c>
      <c r="D1411">
        <v>6.7212139999999998</v>
      </c>
      <c r="E1411">
        <v>0.56064919999999996</v>
      </c>
      <c r="F1411" t="s">
        <v>61</v>
      </c>
      <c r="G1411">
        <v>-198.00899999999999</v>
      </c>
      <c r="H1411" s="1">
        <v>5.2915630000000003E-7</v>
      </c>
      <c r="I1411">
        <v>296.61169999999998</v>
      </c>
      <c r="J1411">
        <v>-188.66040000000001</v>
      </c>
      <c r="K1411">
        <v>1.109148</v>
      </c>
      <c r="L1411">
        <v>331.62830000000002</v>
      </c>
      <c r="M1411">
        <v>-9.1642860000000007E-2</v>
      </c>
      <c r="N1411">
        <v>0</v>
      </c>
      <c r="O1411">
        <v>-0.99569560000000001</v>
      </c>
      <c r="P1411">
        <v>-9.89424E-2</v>
      </c>
      <c r="Q1411">
        <v>2.0688959999999999E-2</v>
      </c>
      <c r="R1411">
        <v>-0.9948785</v>
      </c>
      <c r="S1411">
        <v>-0.78155520000000001</v>
      </c>
      <c r="T1411">
        <v>-9.2486260000000001E-2</v>
      </c>
      <c r="U1411">
        <v>-2.9405519999999998</v>
      </c>
      <c r="V1411">
        <v>7.4220469999999898E-3</v>
      </c>
      <c r="W1411">
        <v>3.4524079999999999E-2</v>
      </c>
      <c r="X1411">
        <v>0.9993763</v>
      </c>
      <c r="Y1411">
        <v>0.16708999999999999</v>
      </c>
      <c r="Z1411">
        <v>3.0489189999999999E-2</v>
      </c>
      <c r="AA1411">
        <v>0.98547010000000002</v>
      </c>
      <c r="AB1411">
        <v>25</v>
      </c>
      <c r="AC1411">
        <v>-9.3485999999999994</v>
      </c>
      <c r="AD1411">
        <v>-1.1091474708436999</v>
      </c>
      <c r="AE1411">
        <v>-35.016599999999997</v>
      </c>
      <c r="AF1411">
        <v>6.0942161893251798</v>
      </c>
      <c r="AG1411">
        <v>-1.1091474708436999</v>
      </c>
      <c r="AH1411">
        <v>35.6926065518076</v>
      </c>
      <c r="AI1411">
        <v>91.754518567673699</v>
      </c>
      <c r="AJ1411">
        <v>80.310657322367604</v>
      </c>
      <c r="AK1411">
        <v>36.226120983848801</v>
      </c>
      <c r="AL1411">
        <v>88.021522751133404</v>
      </c>
      <c r="AM1411">
        <v>89.574490459329994</v>
      </c>
      <c r="AN1411">
        <v>0.99999999394160299</v>
      </c>
    </row>
    <row r="1412" spans="1:40" x14ac:dyDescent="0.25">
      <c r="A1412" t="str">
        <f>"20190312160625585"</f>
        <v>20190312160625585</v>
      </c>
      <c r="B1412" t="str">
        <f>"1552377985576416"</f>
        <v>1552377985576416</v>
      </c>
      <c r="C1412" t="s">
        <v>40</v>
      </c>
      <c r="D1412">
        <v>6.8198780000000001</v>
      </c>
      <c r="E1412">
        <v>0.56073569999999995</v>
      </c>
      <c r="F1412" t="s">
        <v>61</v>
      </c>
      <c r="G1412">
        <v>-198.30289999999999</v>
      </c>
      <c r="H1412" s="1">
        <v>7.2708910000000005E-7</v>
      </c>
      <c r="I1412">
        <v>295.48779999999999</v>
      </c>
      <c r="J1412">
        <v>-188.68260000000001</v>
      </c>
      <c r="K1412">
        <v>1.1091489999999999</v>
      </c>
      <c r="L1412">
        <v>331.4024</v>
      </c>
      <c r="M1412">
        <v>-9.2911359999999998E-2</v>
      </c>
      <c r="N1412">
        <v>0</v>
      </c>
      <c r="O1412">
        <v>-0.99557810000000002</v>
      </c>
      <c r="P1412">
        <v>-0.1006577</v>
      </c>
      <c r="Q1412">
        <v>2.1491059999999999E-2</v>
      </c>
      <c r="R1412">
        <v>-0.99468889999999999</v>
      </c>
      <c r="S1412">
        <v>-0.78424069999999901</v>
      </c>
      <c r="T1412">
        <v>-9.0207819999999994E-2</v>
      </c>
      <c r="U1412">
        <v>-2.9393310000000001</v>
      </c>
      <c r="V1412">
        <v>7.8755079999999998E-3</v>
      </c>
      <c r="W1412">
        <v>3.5322300000000001E-2</v>
      </c>
      <c r="X1412">
        <v>0.99934489999999998</v>
      </c>
      <c r="Y1412">
        <v>0.16678209999999999</v>
      </c>
      <c r="Z1412">
        <v>2.9742749999999998E-2</v>
      </c>
      <c r="AA1412">
        <v>0.98554509999999995</v>
      </c>
      <c r="AB1412">
        <v>25</v>
      </c>
      <c r="AC1412">
        <v>-9.6202999999999808</v>
      </c>
      <c r="AD1412">
        <v>-1.1091482729108999</v>
      </c>
      <c r="AE1412">
        <v>-35.9146</v>
      </c>
      <c r="AF1412">
        <v>6.2359346434083598</v>
      </c>
      <c r="AG1412">
        <v>-1.1091482729108999</v>
      </c>
      <c r="AH1412">
        <v>36.620549490703503</v>
      </c>
      <c r="AI1412">
        <v>91.710217389146806</v>
      </c>
      <c r="AJ1412">
        <v>80.336078146131797</v>
      </c>
      <c r="AK1412">
        <v>37.1642534671319</v>
      </c>
      <c r="AL1412">
        <v>87.975760126221004</v>
      </c>
      <c r="AM1412">
        <v>89.548480180374796</v>
      </c>
      <c r="AN1412">
        <v>0.99999995882977799</v>
      </c>
    </row>
    <row r="1413" spans="1:40" x14ac:dyDescent="0.25">
      <c r="A1413" t="str">
        <f>"20190312160625607"</f>
        <v>20190312160625607</v>
      </c>
      <c r="B1413" t="str">
        <f>"1552377985595936"</f>
        <v>1552377985595936</v>
      </c>
      <c r="C1413" t="s">
        <v>40</v>
      </c>
      <c r="D1413">
        <v>6.4465949999999896</v>
      </c>
      <c r="E1413">
        <v>0.5602859</v>
      </c>
      <c r="F1413" t="s">
        <v>61</v>
      </c>
      <c r="G1413">
        <v>-198.2612</v>
      </c>
      <c r="H1413" s="1">
        <v>6.756093E-7</v>
      </c>
      <c r="I1413">
        <v>295.78019999999998</v>
      </c>
      <c r="J1413">
        <v>-188.7071</v>
      </c>
      <c r="K1413">
        <v>1.1091519999999999</v>
      </c>
      <c r="L1413">
        <v>331.15719999999999</v>
      </c>
      <c r="M1413">
        <v>-9.4289250000000005E-2</v>
      </c>
      <c r="N1413">
        <v>0</v>
      </c>
      <c r="O1413">
        <v>-0.99544869999999996</v>
      </c>
      <c r="P1413">
        <v>-0.1028094</v>
      </c>
      <c r="Q1413">
        <v>2.1501920000000001E-2</v>
      </c>
      <c r="R1413">
        <v>-0.99446889999999999</v>
      </c>
      <c r="S1413">
        <v>-0.79002380000000005</v>
      </c>
      <c r="T1413">
        <v>-9.1480259999999994E-2</v>
      </c>
      <c r="U1413">
        <v>-2.9380489999999999</v>
      </c>
      <c r="V1413">
        <v>8.6545370000000003E-3</v>
      </c>
      <c r="W1413">
        <v>3.5328020000000002E-2</v>
      </c>
      <c r="X1413">
        <v>0.99933830000000001</v>
      </c>
      <c r="Y1413">
        <v>0.16733120000000001</v>
      </c>
      <c r="Z1413">
        <v>3.0159740000000001E-2</v>
      </c>
      <c r="AA1413">
        <v>0.98543930000000002</v>
      </c>
      <c r="AB1413">
        <v>25</v>
      </c>
      <c r="AC1413">
        <v>-9.5541</v>
      </c>
      <c r="AD1413">
        <v>-1.1091513243907001</v>
      </c>
      <c r="AE1413">
        <v>-35.377000000000002</v>
      </c>
      <c r="AF1413">
        <v>6.1698841927636003</v>
      </c>
      <c r="AG1413">
        <v>-1.1091513243907001</v>
      </c>
      <c r="AH1413">
        <v>36.087233595783403</v>
      </c>
      <c r="AI1413">
        <v>91.735283962155805</v>
      </c>
      <c r="AJ1413">
        <v>80.297870585327203</v>
      </c>
      <c r="AK1413">
        <v>36.627668724738001</v>
      </c>
      <c r="AL1413">
        <v>87.975432281015301</v>
      </c>
      <c r="AM1413">
        <v>89.503815627252493</v>
      </c>
      <c r="AN1413">
        <v>1.00000000392734</v>
      </c>
    </row>
    <row r="1414" spans="1:40" x14ac:dyDescent="0.25">
      <c r="A1414" t="str">
        <f>"20190312160625629"</f>
        <v>20190312160625629</v>
      </c>
      <c r="B1414" t="str">
        <f>"1552377985616436"</f>
        <v>1552377985616436</v>
      </c>
      <c r="C1414" t="s">
        <v>40</v>
      </c>
      <c r="D1414">
        <v>6.818244</v>
      </c>
      <c r="E1414">
        <v>0.56034930000000005</v>
      </c>
      <c r="F1414" t="s">
        <v>61</v>
      </c>
      <c r="G1414">
        <v>-198.74010000000001</v>
      </c>
      <c r="H1414" s="1">
        <v>1.097197E-6</v>
      </c>
      <c r="I1414">
        <v>293.99950000000001</v>
      </c>
      <c r="J1414">
        <v>-188.7303</v>
      </c>
      <c r="K1414">
        <v>1.109159</v>
      </c>
      <c r="L1414">
        <v>330.92849999999999</v>
      </c>
      <c r="M1414">
        <v>-9.5576090000000002E-2</v>
      </c>
      <c r="N1414">
        <v>0</v>
      </c>
      <c r="O1414">
        <v>-0.99532569999999998</v>
      </c>
      <c r="P1414">
        <v>-0.10437490000000001</v>
      </c>
      <c r="Q1414">
        <v>2.1569769999999999E-2</v>
      </c>
      <c r="R1414">
        <v>-0.99430419999999997</v>
      </c>
      <c r="S1414">
        <v>-0.79292299999999905</v>
      </c>
      <c r="T1414">
        <v>-8.7658410000000006E-2</v>
      </c>
      <c r="U1414">
        <v>-2.9366460000000001</v>
      </c>
      <c r="V1414">
        <v>8.9361690000000008E-3</v>
      </c>
      <c r="W1414">
        <v>3.5392350000000003E-2</v>
      </c>
      <c r="X1414">
        <v>0.99933360000000004</v>
      </c>
      <c r="Y1414">
        <v>0.1670914</v>
      </c>
      <c r="Z1414">
        <v>2.8905750000000001E-2</v>
      </c>
      <c r="AA1414">
        <v>0.98551759999999999</v>
      </c>
      <c r="AB1414">
        <v>25</v>
      </c>
      <c r="AC1414">
        <v>-10.0098</v>
      </c>
      <c r="AD1414">
        <v>-1.1091579028030001</v>
      </c>
      <c r="AE1414">
        <v>-36.928999999999903</v>
      </c>
      <c r="AF1414">
        <v>6.4286969750927598</v>
      </c>
      <c r="AG1414">
        <v>-1.1091579028030001</v>
      </c>
      <c r="AH1414">
        <v>37.685031879341899</v>
      </c>
      <c r="AI1414">
        <v>91.661867162440998</v>
      </c>
      <c r="AJ1414">
        <v>80.319091976390993</v>
      </c>
      <c r="AK1414">
        <v>38.245522663416899</v>
      </c>
      <c r="AL1414">
        <v>87.971744248476796</v>
      </c>
      <c r="AM1414">
        <v>89.487667459140397</v>
      </c>
      <c r="AN1414">
        <v>1.00000005882193</v>
      </c>
    </row>
    <row r="1415" spans="1:40" x14ac:dyDescent="0.25">
      <c r="A1415" t="str">
        <f>"20190312160625650"</f>
        <v>20190312160625650</v>
      </c>
      <c r="B1415" t="str">
        <f>"1552377985646688"</f>
        <v>1552377985646688</v>
      </c>
      <c r="C1415" t="s">
        <v>40</v>
      </c>
      <c r="D1415">
        <v>6.3098429999999999</v>
      </c>
      <c r="E1415">
        <v>0.56003040000000004</v>
      </c>
      <c r="F1415" t="s">
        <v>61</v>
      </c>
      <c r="G1415">
        <v>-198.4427</v>
      </c>
      <c r="H1415" s="1">
        <v>8.0787809999999904E-7</v>
      </c>
      <c r="I1415">
        <v>295.20209999999997</v>
      </c>
      <c r="J1415">
        <v>-188.75479999999999</v>
      </c>
      <c r="K1415">
        <v>1.109162</v>
      </c>
      <c r="L1415">
        <v>330.68900000000002</v>
      </c>
      <c r="M1415">
        <v>-9.6924099999999999E-2</v>
      </c>
      <c r="N1415">
        <v>0</v>
      </c>
      <c r="O1415">
        <v>-0.99519570000000002</v>
      </c>
      <c r="P1415">
        <v>-0.105499</v>
      </c>
      <c r="Q1415">
        <v>2.2147610000000002E-2</v>
      </c>
      <c r="R1415">
        <v>-0.99417279999999997</v>
      </c>
      <c r="S1415">
        <v>-0.79800419999999905</v>
      </c>
      <c r="T1415">
        <v>-9.1132039999999997E-2</v>
      </c>
      <c r="U1415">
        <v>-2.9353940000000001</v>
      </c>
      <c r="V1415">
        <v>8.7148090000000004E-3</v>
      </c>
      <c r="W1415">
        <v>3.5967520000000003E-2</v>
      </c>
      <c r="X1415">
        <v>0.99931499999999995</v>
      </c>
      <c r="Y1415">
        <v>0.16744210000000001</v>
      </c>
      <c r="Z1415">
        <v>3.0049019999999999E-2</v>
      </c>
      <c r="AA1415">
        <v>0.98542390000000002</v>
      </c>
      <c r="AB1415">
        <v>24</v>
      </c>
      <c r="AC1415">
        <v>-9.6879000000000097</v>
      </c>
      <c r="AD1415">
        <v>-1.10916119212189</v>
      </c>
      <c r="AE1415">
        <v>-35.486899999999999</v>
      </c>
      <c r="AF1415">
        <v>6.1967798751271896</v>
      </c>
      <c r="AG1415">
        <v>-1.10916119212189</v>
      </c>
      <c r="AH1415">
        <v>36.225933686349201</v>
      </c>
      <c r="AI1415">
        <v>91.7286341867499</v>
      </c>
      <c r="AJ1415">
        <v>80.292980963972298</v>
      </c>
      <c r="AK1415">
        <v>36.768853542348403</v>
      </c>
      <c r="AL1415">
        <v>87.938768400510199</v>
      </c>
      <c r="AM1415">
        <v>89.500348621413906</v>
      </c>
      <c r="AN1415">
        <v>1.0000000398079201</v>
      </c>
    </row>
    <row r="1416" spans="1:40" x14ac:dyDescent="0.25">
      <c r="A1416" t="str">
        <f>"20190312160625674"</f>
        <v>20190312160625674</v>
      </c>
      <c r="B1416" t="str">
        <f>"1552377985666208"</f>
        <v>1552377985666208</v>
      </c>
      <c r="C1416" t="s">
        <v>40</v>
      </c>
      <c r="D1416">
        <v>6.4891550000000002</v>
      </c>
      <c r="E1416">
        <v>0.55945419999999901</v>
      </c>
      <c r="F1416" t="s">
        <v>61</v>
      </c>
      <c r="G1416">
        <v>-199.1284</v>
      </c>
      <c r="H1416" s="1">
        <v>1.3133950000000001E-6</v>
      </c>
      <c r="I1416">
        <v>292.57639999999998</v>
      </c>
      <c r="J1416">
        <v>-188.78100000000001</v>
      </c>
      <c r="K1416">
        <v>1.1091580000000001</v>
      </c>
      <c r="L1416">
        <v>330.43770000000001</v>
      </c>
      <c r="M1416">
        <v>-9.8337720000000003E-2</v>
      </c>
      <c r="N1416">
        <v>0</v>
      </c>
      <c r="O1416">
        <v>-0.99505670000000002</v>
      </c>
      <c r="P1416">
        <v>-0.106602</v>
      </c>
      <c r="Q1416">
        <v>2.2335319999999999E-2</v>
      </c>
      <c r="R1416">
        <v>-0.99405060000000001</v>
      </c>
      <c r="S1416">
        <v>-0.7987976</v>
      </c>
      <c r="T1416">
        <v>-8.5408689999999995E-2</v>
      </c>
      <c r="U1416">
        <v>-2.9347840000000001</v>
      </c>
      <c r="V1416">
        <v>8.4045909999999995E-3</v>
      </c>
      <c r="W1416">
        <v>3.615289E-2</v>
      </c>
      <c r="X1416">
        <v>0.9993109</v>
      </c>
      <c r="Y1416">
        <v>0.1663559</v>
      </c>
      <c r="Z1416">
        <v>2.816482E-2</v>
      </c>
      <c r="AA1416">
        <v>0.98566350000000003</v>
      </c>
      <c r="AB1416">
        <v>24</v>
      </c>
      <c r="AC1416">
        <v>-10.3474</v>
      </c>
      <c r="AD1416">
        <v>-1.109156686605</v>
      </c>
      <c r="AE1416">
        <v>-37.8613</v>
      </c>
      <c r="AF1416">
        <v>6.5684410771083099</v>
      </c>
      <c r="AG1416">
        <v>-1.109156686605</v>
      </c>
      <c r="AH1416">
        <v>38.664515945212003</v>
      </c>
      <c r="AI1416">
        <v>91.619977647838994</v>
      </c>
      <c r="AJ1416">
        <v>80.358474279042596</v>
      </c>
      <c r="AK1416">
        <v>39.234161645388099</v>
      </c>
      <c r="AL1416">
        <v>87.928140429029</v>
      </c>
      <c r="AM1416">
        <v>89.518131705268502</v>
      </c>
      <c r="AN1416">
        <v>0.99999997173201904</v>
      </c>
    </row>
    <row r="1417" spans="1:40" x14ac:dyDescent="0.25">
      <c r="A1417" t="str">
        <f>"20190312160625784"</f>
        <v>20190312160625784</v>
      </c>
      <c r="B1417" t="str">
        <f>"1552377985776498"</f>
        <v>1552377985776498</v>
      </c>
      <c r="C1417" t="s">
        <v>40</v>
      </c>
      <c r="D1417">
        <v>6.6716899999999901</v>
      </c>
      <c r="E1417">
        <v>0.56316899999999903</v>
      </c>
      <c r="F1417" t="s">
        <v>61</v>
      </c>
      <c r="G1417">
        <v>-199.28530000000001</v>
      </c>
      <c r="H1417" s="1">
        <v>1.436273E-6</v>
      </c>
      <c r="I1417">
        <v>291.79969999999997</v>
      </c>
      <c r="J1417">
        <v>-188.91120000000001</v>
      </c>
      <c r="K1417">
        <v>1.109154</v>
      </c>
      <c r="L1417">
        <v>329.23390000000001</v>
      </c>
      <c r="M1417">
        <v>-0.1051131</v>
      </c>
      <c r="N1417">
        <v>0</v>
      </c>
      <c r="O1417">
        <v>-0.99436409999999997</v>
      </c>
      <c r="P1417">
        <v>-0.1153694</v>
      </c>
      <c r="Q1417">
        <v>2.0143270000000001E-2</v>
      </c>
      <c r="R1417">
        <v>-0.99311859999999996</v>
      </c>
      <c r="S1417">
        <v>-0.79772949999999998</v>
      </c>
      <c r="T1417">
        <v>-8.4232810000000005E-2</v>
      </c>
      <c r="U1417">
        <v>-2.9342959999999998</v>
      </c>
      <c r="V1417">
        <v>1.0405960000000001E-2</v>
      </c>
      <c r="W1417">
        <v>3.3944589999999997E-2</v>
      </c>
      <c r="X1417">
        <v>0.99936959999999997</v>
      </c>
      <c r="Y1417">
        <v>0.15934570000000001</v>
      </c>
      <c r="Z1417">
        <v>2.7770340000000001E-2</v>
      </c>
      <c r="AA1417">
        <v>0.98683220000000005</v>
      </c>
      <c r="AB1417">
        <v>24</v>
      </c>
      <c r="AC1417">
        <v>-10.3741</v>
      </c>
      <c r="AD1417">
        <v>-1.1091525637270001</v>
      </c>
      <c r="AE1417">
        <v>-37.434199999999997</v>
      </c>
      <c r="AF1417">
        <v>6.3762196813244501</v>
      </c>
      <c r="AG1417">
        <v>-1.1091525637270001</v>
      </c>
      <c r="AH1417">
        <v>38.286128948777602</v>
      </c>
      <c r="AI1417">
        <v>91.636867419579204</v>
      </c>
      <c r="AJ1417">
        <v>80.544669700958906</v>
      </c>
      <c r="AK1417">
        <v>38.829293925032403</v>
      </c>
      <c r="AL1417">
        <v>88.054744681825397</v>
      </c>
      <c r="AM1417">
        <v>89.403427877184498</v>
      </c>
      <c r="AN1417">
        <v>1.0000000582989701</v>
      </c>
    </row>
    <row r="1418" spans="1:40" x14ac:dyDescent="0.25">
      <c r="A1418" t="str">
        <f>"20190312160625806"</f>
        <v>20190312160625806</v>
      </c>
      <c r="B1418" t="str">
        <f>"1552377985796280"</f>
        <v>1552377985796280</v>
      </c>
      <c r="C1418" t="s">
        <v>40</v>
      </c>
      <c r="D1418">
        <v>6.9606700000000004</v>
      </c>
      <c r="E1418">
        <v>0.55729849999999903</v>
      </c>
      <c r="F1418" t="s">
        <v>44</v>
      </c>
      <c r="G1418">
        <v>-189.13149999999999</v>
      </c>
      <c r="H1418">
        <v>0.86026059999999904</v>
      </c>
      <c r="I1418">
        <v>328.50470000000001</v>
      </c>
      <c r="J1418">
        <v>-188.9374</v>
      </c>
      <c r="K1418">
        <v>1.1091549999999999</v>
      </c>
      <c r="L1418">
        <v>329.00110000000001</v>
      </c>
      <c r="M1418">
        <v>-0.1064235</v>
      </c>
      <c r="N1418">
        <v>0</v>
      </c>
      <c r="O1418">
        <v>-0.99422480000000002</v>
      </c>
      <c r="P1418">
        <v>-0.1170148</v>
      </c>
      <c r="Q1418">
        <v>1.9409920000000001E-2</v>
      </c>
      <c r="R1418">
        <v>-0.9929405</v>
      </c>
      <c r="S1418">
        <v>-0.88713069999999905</v>
      </c>
      <c r="T1418">
        <v>-1.002861</v>
      </c>
      <c r="U1418">
        <v>-2.9380799999999998</v>
      </c>
      <c r="V1418">
        <v>1.0741560000000001E-2</v>
      </c>
      <c r="W1418">
        <v>3.3208290000000001E-2</v>
      </c>
      <c r="X1418">
        <v>0.99939069999999997</v>
      </c>
      <c r="Y1418">
        <v>0.17106640000000001</v>
      </c>
      <c r="Z1418">
        <v>0.31185010000000002</v>
      </c>
      <c r="AA1418">
        <v>0.93460460000000001</v>
      </c>
      <c r="AB1418">
        <v>24</v>
      </c>
      <c r="AC1418">
        <v>-0.194099999999991</v>
      </c>
      <c r="AD1418">
        <v>-0.24889439999999999</v>
      </c>
      <c r="AE1418">
        <v>-0.49639999999999401</v>
      </c>
      <c r="AF1418">
        <v>0.115071262540441</v>
      </c>
      <c r="AG1418">
        <v>-0.24889439999999999</v>
      </c>
      <c r="AH1418">
        <v>0.42217851734649797</v>
      </c>
      <c r="AI1418">
        <v>119.631120050267</v>
      </c>
      <c r="AJ1418">
        <v>74.753513417185403</v>
      </c>
      <c r="AK1418">
        <v>0.50341287063691398</v>
      </c>
      <c r="AL1418">
        <v>88.096955197813202</v>
      </c>
      <c r="AM1418">
        <v>89.384202438670897</v>
      </c>
      <c r="AN1418">
        <v>0.99999997144122299</v>
      </c>
    </row>
    <row r="1419" spans="1:40" x14ac:dyDescent="0.25">
      <c r="A1419" t="str">
        <f>"20190312160625828"</f>
        <v>20190312160625828</v>
      </c>
      <c r="B1419" t="str">
        <f>"1552377985826536"</f>
        <v>1552377985826536</v>
      </c>
      <c r="C1419" t="s">
        <v>40</v>
      </c>
      <c r="D1419">
        <v>6.6713990000000001</v>
      </c>
      <c r="E1419">
        <v>0.55088930000000003</v>
      </c>
      <c r="F1419" t="s">
        <v>44</v>
      </c>
      <c r="G1419">
        <v>-189.14619999999999</v>
      </c>
      <c r="H1419">
        <v>0.9064103</v>
      </c>
      <c r="I1419">
        <v>328.26940000000002</v>
      </c>
      <c r="J1419">
        <v>-188.96459999999999</v>
      </c>
      <c r="K1419">
        <v>1.1091690000000001</v>
      </c>
      <c r="L1419">
        <v>328.76190000000003</v>
      </c>
      <c r="M1419">
        <v>-0.1077699</v>
      </c>
      <c r="N1419">
        <v>0</v>
      </c>
      <c r="O1419">
        <v>-0.99407979999999996</v>
      </c>
      <c r="P1419">
        <v>-0.1186571</v>
      </c>
      <c r="Q1419">
        <v>1.9643879999999999E-2</v>
      </c>
      <c r="R1419">
        <v>-0.99274119999999999</v>
      </c>
      <c r="S1419">
        <v>-0.83862300000000001</v>
      </c>
      <c r="T1419">
        <v>-0.81422709999999998</v>
      </c>
      <c r="U1419">
        <v>-2.9383849999999998</v>
      </c>
      <c r="V1419">
        <v>1.1042110000000001E-2</v>
      </c>
      <c r="W1419">
        <v>3.3438950000000002E-2</v>
      </c>
      <c r="X1419">
        <v>0.99937980000000004</v>
      </c>
      <c r="Y1419">
        <v>0.15986040000000001</v>
      </c>
      <c r="Z1419">
        <v>0.25830069999999999</v>
      </c>
      <c r="AA1419">
        <v>0.95274619999999999</v>
      </c>
      <c r="AB1419">
        <v>24</v>
      </c>
      <c r="AC1419">
        <v>-0.18160000000000301</v>
      </c>
      <c r="AD1419">
        <v>-0.20275869999999999</v>
      </c>
      <c r="AE1419">
        <v>-0.49250000000000599</v>
      </c>
      <c r="AF1419">
        <v>0.11091182298739199</v>
      </c>
      <c r="AG1419">
        <v>-0.20275869999999999</v>
      </c>
      <c r="AH1419">
        <v>0.44309246540647101</v>
      </c>
      <c r="AI1419">
        <v>113.93660662697199</v>
      </c>
      <c r="AJ1419">
        <v>75.946876838174504</v>
      </c>
      <c r="AK1419">
        <v>0.49974338995534601</v>
      </c>
      <c r="AL1419">
        <v>88.083732136730205</v>
      </c>
      <c r="AM1419">
        <v>89.366966836237694</v>
      </c>
      <c r="AN1419">
        <v>1.00000003810919</v>
      </c>
    </row>
    <row r="1420" spans="1:40" x14ac:dyDescent="0.25">
      <c r="A1420" t="str">
        <f>"20190312160625851"</f>
        <v>20190312160625851</v>
      </c>
      <c r="B1420" t="str">
        <f>"1552377985846055"</f>
        <v>1552377985846055</v>
      </c>
      <c r="C1420" t="s">
        <v>40</v>
      </c>
      <c r="D1420">
        <v>6.4626210000000004</v>
      </c>
      <c r="E1420">
        <v>0.55791269999999904</v>
      </c>
      <c r="F1420" t="s">
        <v>47</v>
      </c>
      <c r="G1420">
        <v>-194.96639999999999</v>
      </c>
      <c r="H1420" s="1">
        <v>-3.8805149999999997E-6</v>
      </c>
      <c r="I1420">
        <v>305.80110000000002</v>
      </c>
      <c r="J1420">
        <v>-188.99260000000001</v>
      </c>
      <c r="K1420">
        <v>1.1091759999999999</v>
      </c>
      <c r="L1420">
        <v>328.51769999999999</v>
      </c>
      <c r="M1420">
        <v>-0.10914500000000001</v>
      </c>
      <c r="N1420">
        <v>0</v>
      </c>
      <c r="O1420">
        <v>-0.99392990000000003</v>
      </c>
      <c r="P1420">
        <v>-0.1191203</v>
      </c>
      <c r="Q1420">
        <v>2.0998360000000001E-2</v>
      </c>
      <c r="R1420">
        <v>-0.99265780000000003</v>
      </c>
      <c r="S1420">
        <v>-0.76670839999999996</v>
      </c>
      <c r="T1420">
        <v>-0.1416917</v>
      </c>
      <c r="U1420">
        <v>-2.9331360000000002</v>
      </c>
      <c r="V1420">
        <v>1.013144E-2</v>
      </c>
      <c r="W1420">
        <v>3.4792379999999998E-2</v>
      </c>
      <c r="X1420">
        <v>0.99934319999999999</v>
      </c>
      <c r="Y1420">
        <v>0.1455021</v>
      </c>
      <c r="Z1420">
        <v>4.6780219999999997E-2</v>
      </c>
      <c r="AA1420">
        <v>0.98825130000000005</v>
      </c>
      <c r="AB1420">
        <v>24</v>
      </c>
      <c r="AC1420">
        <v>-5.9737999999999802</v>
      </c>
      <c r="AD1420">
        <v>-1.1091798805149999</v>
      </c>
      <c r="AE1420">
        <v>-22.7165999999999</v>
      </c>
      <c r="AF1420">
        <v>3.4507702219101302</v>
      </c>
      <c r="AG1420">
        <v>-1.1091798805149999</v>
      </c>
      <c r="AH1420">
        <v>23.181243118283401</v>
      </c>
      <c r="AI1420">
        <v>92.709596618147302</v>
      </c>
      <c r="AJ1420">
        <v>81.533099861051298</v>
      </c>
      <c r="AK1420">
        <v>23.462909615832501</v>
      </c>
      <c r="AL1420">
        <v>88.006141051668294</v>
      </c>
      <c r="AM1420">
        <v>89.419149631608505</v>
      </c>
      <c r="AN1420">
        <v>0.99999999358438796</v>
      </c>
    </row>
    <row r="1421" spans="1:40" x14ac:dyDescent="0.25">
      <c r="A1421" t="str">
        <f>"20190312160625874"</f>
        <v>20190312160625874</v>
      </c>
      <c r="B1421" t="str">
        <f>"1552377985866551"</f>
        <v>1552377985866551</v>
      </c>
      <c r="C1421" t="s">
        <v>40</v>
      </c>
      <c r="D1421">
        <v>6.9569239999999999</v>
      </c>
      <c r="E1421">
        <v>0.55590249999999997</v>
      </c>
      <c r="F1421" t="s">
        <v>61</v>
      </c>
      <c r="G1421">
        <v>-197.8578</v>
      </c>
      <c r="H1421" s="1">
        <v>4.6379310000000002E-7</v>
      </c>
      <c r="I1421">
        <v>296.9828</v>
      </c>
      <c r="J1421">
        <v>-189.0214</v>
      </c>
      <c r="K1421">
        <v>1.1091879999999901</v>
      </c>
      <c r="L1421">
        <v>328.27069999999998</v>
      </c>
      <c r="M1421">
        <v>-0.1105357</v>
      </c>
      <c r="N1421">
        <v>0</v>
      </c>
      <c r="O1421">
        <v>-0.99377629999999995</v>
      </c>
      <c r="P1421">
        <v>-0.1200003</v>
      </c>
      <c r="Q1421">
        <v>2.2246370000000001E-2</v>
      </c>
      <c r="R1421">
        <v>-0.99252470000000004</v>
      </c>
      <c r="S1421">
        <v>-0.82246399999999997</v>
      </c>
      <c r="T1421">
        <v>-0.1029042</v>
      </c>
      <c r="U1421">
        <v>-2.925659</v>
      </c>
      <c r="V1421">
        <v>9.6242089999999999E-3</v>
      </c>
      <c r="W1421">
        <v>3.6038519999999998E-2</v>
      </c>
      <c r="X1421">
        <v>0.99930410000000003</v>
      </c>
      <c r="Y1421">
        <v>0.16239419999999999</v>
      </c>
      <c r="Z1421">
        <v>3.3939650000000002E-2</v>
      </c>
      <c r="AA1421">
        <v>0.98614210000000002</v>
      </c>
      <c r="AB1421">
        <v>24</v>
      </c>
      <c r="AC1421">
        <v>-8.8363999999999905</v>
      </c>
      <c r="AD1421">
        <v>-1.1091875362068999</v>
      </c>
      <c r="AE1421">
        <v>-31.287899999999901</v>
      </c>
      <c r="AF1421">
        <v>5.3172931337407201</v>
      </c>
      <c r="AG1421">
        <v>-1.1091875362068999</v>
      </c>
      <c r="AH1421">
        <v>32.035679178395299</v>
      </c>
      <c r="AI1421">
        <v>91.956246160190204</v>
      </c>
      <c r="AJ1421">
        <v>80.575942497569002</v>
      </c>
      <c r="AK1421">
        <v>32.492901435262297</v>
      </c>
      <c r="AL1421">
        <v>87.934697766402294</v>
      </c>
      <c r="AM1421">
        <v>89.448206498190402</v>
      </c>
      <c r="AN1421">
        <v>1.0000000422997299</v>
      </c>
    </row>
    <row r="1422" spans="1:40" x14ac:dyDescent="0.25">
      <c r="A1422" t="str">
        <f>"20190312160625896"</f>
        <v>20190312160625896</v>
      </c>
      <c r="B1422" t="str">
        <f>"1552377985886071"</f>
        <v>1552377985886071</v>
      </c>
      <c r="C1422" t="s">
        <v>40</v>
      </c>
      <c r="D1422">
        <v>6.6769600000000002</v>
      </c>
      <c r="E1422">
        <v>0.55513610000000002</v>
      </c>
      <c r="F1422" t="s">
        <v>61</v>
      </c>
      <c r="G1422">
        <v>-202.8117</v>
      </c>
      <c r="H1422">
        <v>8.0001320000000001E-2</v>
      </c>
      <c r="I1422">
        <v>278.31599999999997</v>
      </c>
      <c r="J1422">
        <v>-189.04990000000001</v>
      </c>
      <c r="K1422">
        <v>1.1092010000000001</v>
      </c>
      <c r="L1422">
        <v>328.0292</v>
      </c>
      <c r="M1422">
        <v>-0.1118883</v>
      </c>
      <c r="N1422">
        <v>0</v>
      </c>
      <c r="O1422">
        <v>-0.99362490000000003</v>
      </c>
      <c r="P1422">
        <v>-0.1215691</v>
      </c>
      <c r="Q1422">
        <v>2.3244839999999999E-2</v>
      </c>
      <c r="R1422">
        <v>-0.99231100000000005</v>
      </c>
      <c r="S1422">
        <v>-0.80781559999999997</v>
      </c>
      <c r="T1422">
        <v>-6.0288189999999998E-2</v>
      </c>
      <c r="U1422">
        <v>-2.9262700000000001</v>
      </c>
      <c r="V1422">
        <v>9.8481000000000003E-3</v>
      </c>
      <c r="W1422">
        <v>3.7033499999999997E-2</v>
      </c>
      <c r="X1422">
        <v>0.99926550000000003</v>
      </c>
      <c r="Y1422">
        <v>0.1565146</v>
      </c>
      <c r="Z1422">
        <v>1.9905949999999999E-2</v>
      </c>
      <c r="AA1422">
        <v>0.98747499999999999</v>
      </c>
      <c r="AB1422">
        <v>24</v>
      </c>
      <c r="AC1422">
        <v>-13.7617999999999</v>
      </c>
      <c r="AD1422">
        <v>-1.0291996800000001</v>
      </c>
      <c r="AE1422">
        <v>-49.713200000000001</v>
      </c>
      <c r="AF1422">
        <v>8.1092864548334607</v>
      </c>
      <c r="AG1422">
        <v>-1.0291996800000001</v>
      </c>
      <c r="AH1422">
        <v>50.920640481973798</v>
      </c>
      <c r="AI1422">
        <v>91.143489589521195</v>
      </c>
      <c r="AJ1422">
        <v>80.951435744865904</v>
      </c>
      <c r="AK1422">
        <v>51.572583858890503</v>
      </c>
      <c r="AL1422">
        <v>87.877651439252503</v>
      </c>
      <c r="AM1422">
        <v>89.435348964777006</v>
      </c>
      <c r="AN1422">
        <v>1.00000000234305</v>
      </c>
    </row>
    <row r="1423" spans="1:40" x14ac:dyDescent="0.25">
      <c r="A1423" t="str">
        <f>"20190312160625919"</f>
        <v>20190312160625919</v>
      </c>
      <c r="B1423" t="str">
        <f>"1552377985906571"</f>
        <v>1552377985906571</v>
      </c>
      <c r="C1423" t="s">
        <v>40</v>
      </c>
      <c r="D1423">
        <v>6.3865869999999996</v>
      </c>
      <c r="E1423">
        <v>0.55096199999999995</v>
      </c>
      <c r="F1423" t="s">
        <v>62</v>
      </c>
      <c r="G1423">
        <v>-230.2336</v>
      </c>
      <c r="H1423">
        <v>0.52301629999999999</v>
      </c>
      <c r="I1423">
        <v>178.3048</v>
      </c>
      <c r="J1423">
        <v>-189.0778</v>
      </c>
      <c r="K1423">
        <v>1.1092229999999901</v>
      </c>
      <c r="L1423">
        <v>327.79480000000001</v>
      </c>
      <c r="M1423">
        <v>-0.11319419999999999</v>
      </c>
      <c r="N1423">
        <v>0</v>
      </c>
      <c r="O1423">
        <v>-0.99347700000000005</v>
      </c>
      <c r="P1423">
        <v>-0.1234615</v>
      </c>
      <c r="Q1423">
        <v>2.4589010000000001E-2</v>
      </c>
      <c r="R1423">
        <v>-0.99204460000000005</v>
      </c>
      <c r="S1423">
        <v>-0.80455019999999999</v>
      </c>
      <c r="T1423">
        <v>-1.145065E-2</v>
      </c>
      <c r="U1423">
        <v>-2.924957</v>
      </c>
      <c r="V1423">
        <v>1.044668E-2</v>
      </c>
      <c r="W1423">
        <v>3.8372940000000001E-2</v>
      </c>
      <c r="X1423">
        <v>0.99920889999999996</v>
      </c>
      <c r="Y1423">
        <v>0.15435589999999999</v>
      </c>
      <c r="Z1423">
        <v>3.7835049999999999E-3</v>
      </c>
      <c r="AA1423">
        <v>0.98800809999999994</v>
      </c>
      <c r="AB1423">
        <v>24</v>
      </c>
      <c r="AC1423">
        <v>-41.155799999999999</v>
      </c>
      <c r="AD1423">
        <v>-0.58620669999999897</v>
      </c>
      <c r="AE1423">
        <v>-149.49</v>
      </c>
      <c r="AF1423">
        <v>23.967880530648099</v>
      </c>
      <c r="AG1423">
        <v>-0.58620669999999897</v>
      </c>
      <c r="AH1423">
        <v>153.18587863982</v>
      </c>
      <c r="AI1423">
        <v>90.216621092960693</v>
      </c>
      <c r="AJ1423">
        <v>81.107443271466707</v>
      </c>
      <c r="AK1423">
        <v>155.05068961497801</v>
      </c>
      <c r="AL1423">
        <v>87.800852609767503</v>
      </c>
      <c r="AM1423">
        <v>89.400997261973103</v>
      </c>
      <c r="AN1423">
        <v>1.00000002074323</v>
      </c>
    </row>
    <row r="1424" spans="1:40" x14ac:dyDescent="0.25">
      <c r="A1424" t="str">
        <f>"20190312160625943"</f>
        <v>20190312160625943</v>
      </c>
      <c r="B1424" t="str">
        <f>"1552377985936824"</f>
        <v>1552377985936824</v>
      </c>
      <c r="C1424" t="s">
        <v>40</v>
      </c>
      <c r="D1424">
        <v>6.7163539999999902</v>
      </c>
      <c r="E1424">
        <v>0.5473169</v>
      </c>
      <c r="F1424" t="s">
        <v>63</v>
      </c>
      <c r="G1424">
        <v>-245.4195</v>
      </c>
      <c r="H1424">
        <v>5.544505</v>
      </c>
      <c r="I1424">
        <v>114.93049999999999</v>
      </c>
      <c r="J1424">
        <v>-189.10910000000001</v>
      </c>
      <c r="K1424">
        <v>1.109243</v>
      </c>
      <c r="L1424">
        <v>327.5351</v>
      </c>
      <c r="M1424">
        <v>-0.1146234</v>
      </c>
      <c r="N1424">
        <v>0</v>
      </c>
      <c r="O1424">
        <v>-0.99331309999999995</v>
      </c>
      <c r="P1424">
        <v>-0.12543579999999999</v>
      </c>
      <c r="Q1424">
        <v>2.6100149999999999E-2</v>
      </c>
      <c r="R1424">
        <v>-0.99175860000000005</v>
      </c>
      <c r="S1424">
        <v>-0.77452089999999996</v>
      </c>
      <c r="T1424">
        <v>6.0971619999999997E-2</v>
      </c>
      <c r="U1424">
        <v>-2.9262079999999999</v>
      </c>
      <c r="V1424">
        <v>1.100458E-2</v>
      </c>
      <c r="W1424">
        <v>3.9880020000000002E-2</v>
      </c>
      <c r="X1424">
        <v>0.99914389999999997</v>
      </c>
      <c r="Y1424">
        <v>0.14331559999999999</v>
      </c>
      <c r="Z1424">
        <v>-2.0172240000000001E-2</v>
      </c>
      <c r="AA1424">
        <v>0.9894714</v>
      </c>
      <c r="AB1424">
        <v>24</v>
      </c>
      <c r="AC1424">
        <v>-56.310399999999902</v>
      </c>
      <c r="AD1424">
        <v>4.4352619999999998</v>
      </c>
      <c r="AE1424">
        <v>-212.6046</v>
      </c>
      <c r="AF1424">
        <v>31.554571308450001</v>
      </c>
      <c r="AG1424">
        <v>4.4352619999999998</v>
      </c>
      <c r="AH1424">
        <v>217.56968310788</v>
      </c>
      <c r="AI1424">
        <v>88.844248516159695</v>
      </c>
      <c r="AJ1424">
        <v>81.747815772311696</v>
      </c>
      <c r="AK1424">
        <v>219.89072178500899</v>
      </c>
      <c r="AL1424">
        <v>87.714437118044998</v>
      </c>
      <c r="AM1424">
        <v>89.368969279058007</v>
      </c>
      <c r="AN1424">
        <v>1.00000002484169</v>
      </c>
    </row>
    <row r="1425" spans="1:40" x14ac:dyDescent="0.25">
      <c r="A1425" t="str">
        <f>"20190312160625965"</f>
        <v>20190312160625965</v>
      </c>
      <c r="B1425" t="str">
        <f>"1552377985956343"</f>
        <v>1552377985956343</v>
      </c>
      <c r="C1425" t="s">
        <v>40</v>
      </c>
      <c r="D1425">
        <v>6.737082</v>
      </c>
      <c r="E1425">
        <v>0.54578139999999997</v>
      </c>
      <c r="F1425" t="s">
        <v>43</v>
      </c>
      <c r="G1425">
        <v>-239.97900000000001</v>
      </c>
      <c r="H1425">
        <v>8.8730820000000001</v>
      </c>
      <c r="I1425">
        <v>128.857</v>
      </c>
      <c r="J1425">
        <v>-189.13759999999999</v>
      </c>
      <c r="K1425">
        <v>1.1092759999999999</v>
      </c>
      <c r="L1425">
        <v>327.30149999999998</v>
      </c>
      <c r="M1425">
        <v>-0.1158829</v>
      </c>
      <c r="N1425">
        <v>0</v>
      </c>
      <c r="O1425">
        <v>-0.99316689999999996</v>
      </c>
      <c r="P1425">
        <v>-0.12718699999999999</v>
      </c>
      <c r="Q1425">
        <v>2.7136279999999999E-2</v>
      </c>
      <c r="R1425">
        <v>-0.99150760000000004</v>
      </c>
      <c r="S1425">
        <v>-0.74946590000000002</v>
      </c>
      <c r="T1425">
        <v>0.114385</v>
      </c>
      <c r="U1425">
        <v>-2.9271240000000001</v>
      </c>
      <c r="V1425">
        <v>1.150576E-2</v>
      </c>
      <c r="W1425">
        <v>4.0911999999999997E-2</v>
      </c>
      <c r="X1425">
        <v>0.99909650000000005</v>
      </c>
      <c r="Y1425">
        <v>0.13391800000000001</v>
      </c>
      <c r="Z1425">
        <v>-3.7869590000000002E-2</v>
      </c>
      <c r="AA1425">
        <v>0.99026860000000005</v>
      </c>
      <c r="AB1425">
        <v>24</v>
      </c>
      <c r="AC1425">
        <v>-50.8414</v>
      </c>
      <c r="AD1425">
        <v>7.7638059999999998</v>
      </c>
      <c r="AE1425">
        <v>-198.44450000000001</v>
      </c>
      <c r="AF1425">
        <v>27.460849743749399</v>
      </c>
      <c r="AG1425">
        <v>7.7638059999999998</v>
      </c>
      <c r="AH1425">
        <v>202.70834994577601</v>
      </c>
      <c r="AI1425">
        <v>87.826456702920296</v>
      </c>
      <c r="AJ1425">
        <v>82.285120855854998</v>
      </c>
      <c r="AK1425">
        <v>204.707230184948</v>
      </c>
      <c r="AL1425">
        <v>87.655260646137506</v>
      </c>
      <c r="AM1425">
        <v>89.340201524546003</v>
      </c>
      <c r="AN1425">
        <v>0.99999999528471295</v>
      </c>
    </row>
    <row r="1426" spans="1:40" x14ac:dyDescent="0.25">
      <c r="A1426" t="str">
        <f>"20190312160625988"</f>
        <v>20190312160625988</v>
      </c>
      <c r="B1426" t="str">
        <f>"1552377985976840"</f>
        <v>1552377985976840</v>
      </c>
      <c r="C1426" t="s">
        <v>40</v>
      </c>
      <c r="D1426">
        <v>6.6263699999999996</v>
      </c>
      <c r="E1426">
        <v>0.54443589999999997</v>
      </c>
      <c r="F1426" t="s">
        <v>59</v>
      </c>
      <c r="G1426">
        <v>-241.74549999999999</v>
      </c>
      <c r="H1426">
        <v>12.37501</v>
      </c>
      <c r="I1426">
        <v>119.5971</v>
      </c>
      <c r="J1426">
        <v>-189.16640000000001</v>
      </c>
      <c r="K1426">
        <v>1.1093139999999999</v>
      </c>
      <c r="L1426">
        <v>327.06740000000002</v>
      </c>
      <c r="M1426">
        <v>-0.1171088</v>
      </c>
      <c r="N1426">
        <v>0</v>
      </c>
      <c r="O1426">
        <v>-0.99302330000000005</v>
      </c>
      <c r="P1426">
        <v>-0.12869700000000001</v>
      </c>
      <c r="Q1426">
        <v>2.8850460000000001E-2</v>
      </c>
      <c r="R1426">
        <v>-0.99126460000000005</v>
      </c>
      <c r="S1426">
        <v>-0.74118039999999996</v>
      </c>
      <c r="T1426">
        <v>0.15872049999999999</v>
      </c>
      <c r="U1426">
        <v>-2.9262999999999999</v>
      </c>
      <c r="V1426">
        <v>1.1800690000000001E-2</v>
      </c>
      <c r="W1426">
        <v>4.2622350000000003E-2</v>
      </c>
      <c r="X1426">
        <v>0.99902159999999995</v>
      </c>
      <c r="Y1426">
        <v>0.12996379999999999</v>
      </c>
      <c r="Z1426">
        <v>-5.2547209999999997E-2</v>
      </c>
      <c r="AA1426">
        <v>0.99012540000000004</v>
      </c>
      <c r="AB1426">
        <v>24</v>
      </c>
      <c r="AC1426">
        <v>-52.579099999999897</v>
      </c>
      <c r="AD1426">
        <v>11.265696</v>
      </c>
      <c r="AE1426">
        <v>-207.47030000000001</v>
      </c>
      <c r="AF1426">
        <v>27.841193297466798</v>
      </c>
      <c r="AG1426">
        <v>11.265696</v>
      </c>
      <c r="AH1426">
        <v>211.61421098099399</v>
      </c>
      <c r="AI1426">
        <v>86.978612372829801</v>
      </c>
      <c r="AJ1426">
        <v>82.504882740437395</v>
      </c>
      <c r="AK1426">
        <v>213.73493453270501</v>
      </c>
      <c r="AL1426">
        <v>87.557179315614405</v>
      </c>
      <c r="AM1426">
        <v>89.323239569229301</v>
      </c>
      <c r="AN1426">
        <v>1.0000000391352699</v>
      </c>
    </row>
    <row r="1427" spans="1:40" x14ac:dyDescent="0.25">
      <c r="A1427" t="str">
        <f>"20190312160626008"</f>
        <v>20190312160626008</v>
      </c>
      <c r="B1427" t="str">
        <f>"1552377985996865"</f>
        <v>1552377985996865</v>
      </c>
      <c r="C1427" t="s">
        <v>40</v>
      </c>
      <c r="D1427">
        <v>6.4466760000000001</v>
      </c>
      <c r="E1427">
        <v>0.54335109999999998</v>
      </c>
      <c r="F1427" t="s">
        <v>56</v>
      </c>
      <c r="G1427">
        <v>-246.84</v>
      </c>
      <c r="H1427">
        <v>16.308229999999998</v>
      </c>
      <c r="I1427">
        <v>97.150030000000001</v>
      </c>
      <c r="J1427">
        <v>-189.1944</v>
      </c>
      <c r="K1427">
        <v>1.1093459999999999</v>
      </c>
      <c r="L1427">
        <v>326.84160000000003</v>
      </c>
      <c r="M1427">
        <v>-0.1182492</v>
      </c>
      <c r="N1427">
        <v>0</v>
      </c>
      <c r="O1427">
        <v>-0.99288799999999999</v>
      </c>
      <c r="P1427">
        <v>-0.1299862</v>
      </c>
      <c r="Q1427">
        <v>2.9823100000000002E-2</v>
      </c>
      <c r="R1427">
        <v>-0.99106729999999998</v>
      </c>
      <c r="S1427">
        <v>-0.73385619999999996</v>
      </c>
      <c r="T1427">
        <v>0.19339590000000001</v>
      </c>
      <c r="U1427">
        <v>-2.9255369999999998</v>
      </c>
      <c r="V1427">
        <v>1.195473E-2</v>
      </c>
      <c r="W1427">
        <v>4.35923E-2</v>
      </c>
      <c r="X1427">
        <v>0.99897789999999997</v>
      </c>
      <c r="Y1427">
        <v>0.12639120000000001</v>
      </c>
      <c r="Z1427">
        <v>-6.40207E-2</v>
      </c>
      <c r="AA1427">
        <v>0.98991249999999997</v>
      </c>
      <c r="AB1427">
        <v>24</v>
      </c>
      <c r="AC1427">
        <v>-57.645600000000002</v>
      </c>
      <c r="AD1427">
        <v>15.1988839999999</v>
      </c>
      <c r="AE1427">
        <v>-229.69157000000001</v>
      </c>
      <c r="AF1427">
        <v>29.954260227881498</v>
      </c>
      <c r="AG1427">
        <v>15.1988839999999</v>
      </c>
      <c r="AH1427">
        <v>233.93332748793799</v>
      </c>
      <c r="AI1427">
        <v>86.312681507012996</v>
      </c>
      <c r="AJ1427">
        <v>82.703202543517605</v>
      </c>
      <c r="AK1427">
        <v>236.33253159525799</v>
      </c>
      <c r="AL1427">
        <v>87.501553530449101</v>
      </c>
      <c r="AM1427">
        <v>89.314376344110798</v>
      </c>
      <c r="AN1427">
        <v>1.0000000244385301</v>
      </c>
    </row>
    <row r="1428" spans="1:40" x14ac:dyDescent="0.25">
      <c r="A1428" t="str">
        <f>"20190312160626030"</f>
        <v>20190312160626030</v>
      </c>
      <c r="B1428" t="str">
        <f>"1552377986026146"</f>
        <v>1552377986026146</v>
      </c>
      <c r="C1428" t="s">
        <v>40</v>
      </c>
      <c r="D1428">
        <v>6.6695489999999999</v>
      </c>
      <c r="E1428">
        <v>0.54193009999999997</v>
      </c>
      <c r="F1428" t="s">
        <v>56</v>
      </c>
      <c r="G1428">
        <v>-246.4195</v>
      </c>
      <c r="H1428">
        <v>17.287769999999998</v>
      </c>
      <c r="I1428">
        <v>97.150019999999998</v>
      </c>
      <c r="J1428">
        <v>-189.22329999999999</v>
      </c>
      <c r="K1428">
        <v>1.1093900000000001</v>
      </c>
      <c r="L1428">
        <v>326.61009999999999</v>
      </c>
      <c r="M1428">
        <v>-0.1193705</v>
      </c>
      <c r="N1428">
        <v>0</v>
      </c>
      <c r="O1428">
        <v>-0.99275389999999997</v>
      </c>
      <c r="P1428">
        <v>-0.1310402</v>
      </c>
      <c r="Q1428">
        <v>3.113513E-2</v>
      </c>
      <c r="R1428">
        <v>-0.9908884</v>
      </c>
      <c r="S1428">
        <v>-0.72880549999999999</v>
      </c>
      <c r="T1428">
        <v>0.20604459999999999</v>
      </c>
      <c r="U1428">
        <v>-2.9252929999999999</v>
      </c>
      <c r="V1428">
        <v>1.1892150000000001E-2</v>
      </c>
      <c r="W1428">
        <v>4.4901360000000001E-2</v>
      </c>
      <c r="X1428">
        <v>0.99892060000000005</v>
      </c>
      <c r="Y1428">
        <v>0.123613899999999</v>
      </c>
      <c r="Z1428">
        <v>-6.8206420000000004E-2</v>
      </c>
      <c r="AA1428">
        <v>0.98998359999999996</v>
      </c>
      <c r="AB1428">
        <v>24</v>
      </c>
      <c r="AC1428">
        <v>-57.196199999999997</v>
      </c>
      <c r="AD1428">
        <v>16.178379999999901</v>
      </c>
      <c r="AE1428">
        <v>-229.46007999999901</v>
      </c>
      <c r="AF1428">
        <v>29.256852337276701</v>
      </c>
      <c r="AG1428">
        <v>16.178379999999901</v>
      </c>
      <c r="AH1428">
        <v>233.55415331928299</v>
      </c>
      <c r="AI1428">
        <v>86.068063174884799</v>
      </c>
      <c r="AJ1428">
        <v>82.859867372199602</v>
      </c>
      <c r="AK1428">
        <v>235.934834055501</v>
      </c>
      <c r="AL1428">
        <v>87.426476220066903</v>
      </c>
      <c r="AM1428">
        <v>89.317925952169304</v>
      </c>
      <c r="AN1428">
        <v>0.99999996023291504</v>
      </c>
    </row>
    <row r="1429" spans="1:40" x14ac:dyDescent="0.25">
      <c r="A1429" t="str">
        <f>"20190312160626054"</f>
        <v>20190312160626054</v>
      </c>
      <c r="B1429" t="str">
        <f>"1552377986046642"</f>
        <v>1552377986046642</v>
      </c>
      <c r="C1429" t="s">
        <v>40</v>
      </c>
      <c r="D1429">
        <v>6.06386</v>
      </c>
      <c r="E1429">
        <v>0.54105829999999999</v>
      </c>
      <c r="F1429" t="s">
        <v>56</v>
      </c>
      <c r="G1429">
        <v>-245.66589999999999</v>
      </c>
      <c r="H1429">
        <v>19.86889</v>
      </c>
      <c r="I1429">
        <v>97.150019999999998</v>
      </c>
      <c r="J1429">
        <v>-189.25489999999999</v>
      </c>
      <c r="K1429">
        <v>1.109437</v>
      </c>
      <c r="L1429">
        <v>326.35890000000001</v>
      </c>
      <c r="M1429">
        <v>-0.1205305</v>
      </c>
      <c r="N1429">
        <v>0</v>
      </c>
      <c r="O1429">
        <v>-0.99261359999999998</v>
      </c>
      <c r="P1429">
        <v>-0.1313626</v>
      </c>
      <c r="Q1429">
        <v>3.3252499999999997E-2</v>
      </c>
      <c r="R1429">
        <v>-0.99077660000000001</v>
      </c>
      <c r="S1429">
        <v>-0.71946719999999997</v>
      </c>
      <c r="T1429">
        <v>0.23912510000000001</v>
      </c>
      <c r="U1429">
        <v>-2.9248959999999999</v>
      </c>
      <c r="V1429">
        <v>1.105662E-2</v>
      </c>
      <c r="W1429">
        <v>4.7016750000000003E-2</v>
      </c>
      <c r="X1429">
        <v>0.99883290000000002</v>
      </c>
      <c r="Y1429">
        <v>0.1193125</v>
      </c>
      <c r="Z1429">
        <v>-7.9136390000000001E-2</v>
      </c>
      <c r="AA1429">
        <v>0.98969790000000002</v>
      </c>
      <c r="AB1429">
        <v>24</v>
      </c>
      <c r="AC1429">
        <v>-56.411000000000001</v>
      </c>
      <c r="AD1429">
        <v>18.759453000000001</v>
      </c>
      <c r="AE1429">
        <v>-229.20887999999999</v>
      </c>
      <c r="AF1429">
        <v>28.192308452014</v>
      </c>
      <c r="AG1429">
        <v>18.759453000000001</v>
      </c>
      <c r="AH1429">
        <v>232.86666469476199</v>
      </c>
      <c r="AI1429">
        <v>85.427512931048994</v>
      </c>
      <c r="AJ1429">
        <v>83.097006269099495</v>
      </c>
      <c r="AK1429">
        <v>235.31597238346501</v>
      </c>
      <c r="AL1429">
        <v>87.305145153775001</v>
      </c>
      <c r="AM1429">
        <v>89.365788022767703</v>
      </c>
      <c r="AN1429">
        <v>0.999999992874398</v>
      </c>
    </row>
    <row r="1430" spans="1:40" x14ac:dyDescent="0.25">
      <c r="A1430" t="str">
        <f>"20190312160626075"</f>
        <v>20190312160626075</v>
      </c>
      <c r="B1430" t="str">
        <f>"1552377986066162"</f>
        <v>1552377986066162</v>
      </c>
      <c r="C1430" t="s">
        <v>40</v>
      </c>
      <c r="D1430">
        <v>6.0606059999999999</v>
      </c>
      <c r="E1430">
        <v>0.54018060000000001</v>
      </c>
      <c r="F1430" t="s">
        <v>56</v>
      </c>
      <c r="G1430">
        <v>-245.15090000000001</v>
      </c>
      <c r="H1430">
        <v>20.5458</v>
      </c>
      <c r="I1430">
        <v>97.150030000000001</v>
      </c>
      <c r="J1430">
        <v>-189.28389999999999</v>
      </c>
      <c r="K1430">
        <v>1.1094790000000001</v>
      </c>
      <c r="L1430">
        <v>326.13</v>
      </c>
      <c r="M1430">
        <v>-0.1215305</v>
      </c>
      <c r="N1430">
        <v>0</v>
      </c>
      <c r="O1430">
        <v>-0.99249200000000004</v>
      </c>
      <c r="P1430">
        <v>-0.13190360000000001</v>
      </c>
      <c r="Q1430">
        <v>3.4142239999999997E-2</v>
      </c>
      <c r="R1430">
        <v>-0.99067450000000001</v>
      </c>
      <c r="S1430">
        <v>-0.71330260000000001</v>
      </c>
      <c r="T1430">
        <v>0.24803220000000001</v>
      </c>
      <c r="U1430">
        <v>-2.9249879999999999</v>
      </c>
      <c r="V1430">
        <v>1.059645E-2</v>
      </c>
      <c r="W1430">
        <v>4.790457E-2</v>
      </c>
      <c r="X1430">
        <v>0.99879569999999995</v>
      </c>
      <c r="Y1430">
        <v>0.11627990000000001</v>
      </c>
      <c r="Z1430">
        <v>-8.2081769999999998E-2</v>
      </c>
      <c r="AA1430">
        <v>0.98981889999999995</v>
      </c>
      <c r="AB1430">
        <v>24</v>
      </c>
      <c r="AC1430">
        <v>-55.866999999999997</v>
      </c>
      <c r="AD1430">
        <v>19.436321</v>
      </c>
      <c r="AE1430">
        <v>-228.97997000000001</v>
      </c>
      <c r="AF1430">
        <v>27.435557111156701</v>
      </c>
      <c r="AG1430">
        <v>19.436321</v>
      </c>
      <c r="AH1430">
        <v>232.49158018177599</v>
      </c>
      <c r="AI1430">
        <v>85.253958481065098</v>
      </c>
      <c r="AJ1430">
        <v>83.269841141296695</v>
      </c>
      <c r="AK1430">
        <v>234.91022800941201</v>
      </c>
      <c r="AL1430">
        <v>87.254219421069394</v>
      </c>
      <c r="AM1430">
        <v>89.392158891308597</v>
      </c>
      <c r="AN1430">
        <v>0.99999999145898799</v>
      </c>
    </row>
    <row r="1431" spans="1:40" x14ac:dyDescent="0.25">
      <c r="A1431" t="str">
        <f>"20190312160626098"</f>
        <v>20190312160626098</v>
      </c>
      <c r="B1431" t="str">
        <f>"1552377986086659"</f>
        <v>1552377986086659</v>
      </c>
      <c r="C1431" t="s">
        <v>40</v>
      </c>
      <c r="D1431">
        <v>6.5945</v>
      </c>
      <c r="E1431">
        <v>0.53964809999999996</v>
      </c>
      <c r="F1431" t="s">
        <v>56</v>
      </c>
      <c r="G1431">
        <v>-244.73269999999999</v>
      </c>
      <c r="H1431">
        <v>19.77758</v>
      </c>
      <c r="I1431">
        <v>97.150019999999998</v>
      </c>
      <c r="J1431">
        <v>-189.3135</v>
      </c>
      <c r="K1431">
        <v>1.109502</v>
      </c>
      <c r="L1431">
        <v>325.89819999999997</v>
      </c>
      <c r="M1431">
        <v>-0.122498</v>
      </c>
      <c r="N1431">
        <v>0</v>
      </c>
      <c r="O1431">
        <v>-0.99237310000000001</v>
      </c>
      <c r="P1431">
        <v>-0.13298679999999999</v>
      </c>
      <c r="Q1431">
        <v>3.4454940000000003E-2</v>
      </c>
      <c r="R1431">
        <v>-0.99051920000000004</v>
      </c>
      <c r="S1431">
        <v>-0.70846560000000003</v>
      </c>
      <c r="T1431">
        <v>0.23852119999999999</v>
      </c>
      <c r="U1431">
        <v>-2.925659</v>
      </c>
      <c r="V1431">
        <v>1.0712950000000001E-2</v>
      </c>
      <c r="W1431">
        <v>4.8214159999999999E-2</v>
      </c>
      <c r="X1431">
        <v>0.99877959999999999</v>
      </c>
      <c r="Y1431">
        <v>0.1137736</v>
      </c>
      <c r="Z1431">
        <v>-7.8949660000000005E-2</v>
      </c>
      <c r="AA1431">
        <v>0.99036480000000005</v>
      </c>
      <c r="AB1431">
        <v>24</v>
      </c>
      <c r="AC1431">
        <v>-55.419199999999897</v>
      </c>
      <c r="AD1431">
        <v>18.668078000000001</v>
      </c>
      <c r="AE1431">
        <v>-228.74817999999999</v>
      </c>
      <c r="AF1431">
        <v>26.809235782820299</v>
      </c>
      <c r="AG1431">
        <v>18.668078000000001</v>
      </c>
      <c r="AH1431">
        <v>232.35277173246601</v>
      </c>
      <c r="AI1431">
        <v>85.436658894429598</v>
      </c>
      <c r="AJ1431">
        <v>83.418225547849801</v>
      </c>
      <c r="AK1431">
        <v>234.63811027033199</v>
      </c>
      <c r="AL1431">
        <v>87.236460809146195</v>
      </c>
      <c r="AM1431">
        <v>89.385466739919096</v>
      </c>
      <c r="AN1431">
        <v>1.0000000309491801</v>
      </c>
    </row>
    <row r="1432" spans="1:40" x14ac:dyDescent="0.25">
      <c r="A1432" t="str">
        <f>"20190312160626120"</f>
        <v>20190312160626120</v>
      </c>
      <c r="B1432" t="str">
        <f>"1552377986115937"</f>
        <v>1552377986115937</v>
      </c>
      <c r="C1432" t="s">
        <v>40</v>
      </c>
      <c r="D1432">
        <v>6.6044929999999997</v>
      </c>
      <c r="E1432">
        <v>0.54021350000000001</v>
      </c>
      <c r="F1432" t="s">
        <v>56</v>
      </c>
      <c r="G1432">
        <v>-244.59</v>
      </c>
      <c r="H1432">
        <v>21.04588</v>
      </c>
      <c r="I1432">
        <v>97.150019999999998</v>
      </c>
      <c r="J1432">
        <v>-189.34379999999999</v>
      </c>
      <c r="K1432">
        <v>1.1095250000000001</v>
      </c>
      <c r="L1432">
        <v>325.6617</v>
      </c>
      <c r="M1432">
        <v>-0.1234498</v>
      </c>
      <c r="N1432">
        <v>0</v>
      </c>
      <c r="O1432">
        <v>-0.99225509999999995</v>
      </c>
      <c r="P1432">
        <v>-0.1343907</v>
      </c>
      <c r="Q1432">
        <v>3.3301709999999998E-2</v>
      </c>
      <c r="R1432">
        <v>-0.99036849999999998</v>
      </c>
      <c r="S1432">
        <v>-0.70681759999999905</v>
      </c>
      <c r="T1432">
        <v>0.25492550000000003</v>
      </c>
      <c r="U1432">
        <v>-2.9249879999999999</v>
      </c>
      <c r="V1432">
        <v>1.116146E-2</v>
      </c>
      <c r="W1432">
        <v>4.7058669999999997E-2</v>
      </c>
      <c r="X1432">
        <v>0.99882979999999999</v>
      </c>
      <c r="Y1432">
        <v>0.1122407</v>
      </c>
      <c r="Z1432">
        <v>-8.4357950000000001E-2</v>
      </c>
      <c r="AA1432">
        <v>0.99009380000000002</v>
      </c>
      <c r="AB1432">
        <v>24</v>
      </c>
      <c r="AC1432">
        <v>-55.246200000000002</v>
      </c>
      <c r="AD1432">
        <v>19.936354999999999</v>
      </c>
      <c r="AE1432">
        <v>-228.51167999999899</v>
      </c>
      <c r="AF1432">
        <v>26.4211293510545</v>
      </c>
      <c r="AG1432">
        <v>19.936354999999999</v>
      </c>
      <c r="AH1432">
        <v>231.91643130665199</v>
      </c>
      <c r="AI1432">
        <v>85.118155775278098</v>
      </c>
      <c r="AJ1432">
        <v>83.500587849009307</v>
      </c>
      <c r="AK1432">
        <v>234.26644112395701</v>
      </c>
      <c r="AL1432">
        <v>87.3027407614547</v>
      </c>
      <c r="AM1432">
        <v>89.359772871383399</v>
      </c>
      <c r="AN1432">
        <v>1.00000003298976</v>
      </c>
    </row>
    <row r="1433" spans="1:40" x14ac:dyDescent="0.25">
      <c r="A1433" t="str">
        <f>"20190312160626145"</f>
        <v>20190312160626145</v>
      </c>
      <c r="B1433" t="str">
        <f>"1552377986136434"</f>
        <v>1552377986136434</v>
      </c>
      <c r="C1433" t="s">
        <v>40</v>
      </c>
      <c r="D1433">
        <v>6.1152470000000001</v>
      </c>
      <c r="E1433">
        <v>0.53944190000000003</v>
      </c>
      <c r="F1433" t="s">
        <v>56</v>
      </c>
      <c r="G1433">
        <v>-245.31100000000001</v>
      </c>
      <c r="H1433">
        <v>19.13531</v>
      </c>
      <c r="I1433">
        <v>97.150030000000001</v>
      </c>
      <c r="J1433">
        <v>-189.37809999999999</v>
      </c>
      <c r="K1433">
        <v>1.1095429999999999</v>
      </c>
      <c r="L1433">
        <v>325.39690000000002</v>
      </c>
      <c r="M1433">
        <v>-0.1244856</v>
      </c>
      <c r="N1433">
        <v>0</v>
      </c>
      <c r="O1433">
        <v>-0.99212579999999995</v>
      </c>
      <c r="P1433">
        <v>-0.13639229999999899</v>
      </c>
      <c r="Q1433">
        <v>3.363584E-2</v>
      </c>
      <c r="R1433">
        <v>-0.99008379999999996</v>
      </c>
      <c r="S1433">
        <v>-0.7162018</v>
      </c>
      <c r="T1433">
        <v>0.23067309999999999</v>
      </c>
      <c r="U1433">
        <v>-2.9242249999999999</v>
      </c>
      <c r="V1433">
        <v>1.213767E-2</v>
      </c>
      <c r="W1433">
        <v>4.7388270000000003E-2</v>
      </c>
      <c r="X1433">
        <v>0.99880279999999999</v>
      </c>
      <c r="Y1433">
        <v>0.1144163</v>
      </c>
      <c r="Z1433">
        <v>-7.6349109999999998E-2</v>
      </c>
      <c r="AA1433">
        <v>0.99049469999999995</v>
      </c>
      <c r="AB1433">
        <v>24</v>
      </c>
      <c r="AC1433">
        <v>-55.932899999999897</v>
      </c>
      <c r="AD1433">
        <v>18.025766999999998</v>
      </c>
      <c r="AE1433">
        <v>-228.24687</v>
      </c>
      <c r="AF1433">
        <v>26.923185792602101</v>
      </c>
      <c r="AG1433">
        <v>18.025766999999998</v>
      </c>
      <c r="AH1433">
        <v>232.06916891874599</v>
      </c>
      <c r="AI1433">
        <v>85.587992709863101</v>
      </c>
      <c r="AJ1433">
        <v>83.382491751049002</v>
      </c>
      <c r="AK1433">
        <v>234.32004901800201</v>
      </c>
      <c r="AL1433">
        <v>87.283834897204898</v>
      </c>
      <c r="AM1433">
        <v>89.303763431652797</v>
      </c>
      <c r="AN1433">
        <v>1.00000000222723</v>
      </c>
    </row>
    <row r="1434" spans="1:40" x14ac:dyDescent="0.25">
      <c r="A1434" t="str">
        <f>"20190312160626166"</f>
        <v>20190312160626166</v>
      </c>
      <c r="B1434" t="str">
        <f>"1552377986155954"</f>
        <v>1552377986155954</v>
      </c>
      <c r="C1434" t="s">
        <v>40</v>
      </c>
      <c r="D1434">
        <v>6.7335469999999997</v>
      </c>
      <c r="E1434">
        <v>0.53882169999999996</v>
      </c>
      <c r="F1434" t="s">
        <v>56</v>
      </c>
      <c r="G1434">
        <v>-245.27950000000001</v>
      </c>
      <c r="H1434">
        <v>19.04965</v>
      </c>
      <c r="I1434">
        <v>97.150019999999998</v>
      </c>
      <c r="J1434">
        <v>-189.40639999999999</v>
      </c>
      <c r="K1434">
        <v>1.1095600000000001</v>
      </c>
      <c r="L1434">
        <v>325.17930000000001</v>
      </c>
      <c r="M1434">
        <v>-0.12532099999999999</v>
      </c>
      <c r="N1434">
        <v>0</v>
      </c>
      <c r="O1434">
        <v>-0.99202069999999998</v>
      </c>
      <c r="P1434">
        <v>-0.1382621</v>
      </c>
      <c r="Q1434">
        <v>3.4021879999999997E-2</v>
      </c>
      <c r="R1434">
        <v>-0.98981140000000001</v>
      </c>
      <c r="S1434">
        <v>-0.71604919999999905</v>
      </c>
      <c r="T1434">
        <v>0.22979749999999999</v>
      </c>
      <c r="U1434">
        <v>-2.923645</v>
      </c>
      <c r="V1434">
        <v>1.3184649999999999E-2</v>
      </c>
      <c r="W1434">
        <v>4.7770269999999997E-2</v>
      </c>
      <c r="X1434">
        <v>0.99877130000000003</v>
      </c>
      <c r="Y1434">
        <v>0.1135815</v>
      </c>
      <c r="Z1434">
        <v>-7.6067659999999995E-2</v>
      </c>
      <c r="AA1434">
        <v>0.99061239999999995</v>
      </c>
      <c r="AB1434">
        <v>24</v>
      </c>
      <c r="AC1434">
        <v>-55.873100000000001</v>
      </c>
      <c r="AD1434">
        <v>17.940089999999898</v>
      </c>
      <c r="AE1434">
        <v>-228.02928</v>
      </c>
      <c r="AF1434">
        <v>26.6970727049926</v>
      </c>
      <c r="AG1434">
        <v>17.940089999999898</v>
      </c>
      <c r="AH1434">
        <v>231.879975015707</v>
      </c>
      <c r="AI1434">
        <v>85.604872557213</v>
      </c>
      <c r="AJ1434">
        <v>83.432274170750105</v>
      </c>
      <c r="AK1434">
        <v>234.10019934529899</v>
      </c>
      <c r="AL1434">
        <v>87.261923009809394</v>
      </c>
      <c r="AM1434">
        <v>89.243689798566294</v>
      </c>
      <c r="AN1434">
        <v>0.99999997169759203</v>
      </c>
    </row>
    <row r="1435" spans="1:40" x14ac:dyDescent="0.25">
      <c r="A1435" t="str">
        <f>"20190312160626188"</f>
        <v>20190312160626188</v>
      </c>
      <c r="B1435" t="str">
        <f>"1552377986176453"</f>
        <v>1552377986176453</v>
      </c>
      <c r="C1435" t="s">
        <v>40</v>
      </c>
      <c r="D1435">
        <v>6.1281990000000004</v>
      </c>
      <c r="E1435">
        <v>0.53837219999999997</v>
      </c>
      <c r="F1435" t="s">
        <v>56</v>
      </c>
      <c r="G1435">
        <v>-245.3245</v>
      </c>
      <c r="H1435">
        <v>18.95965</v>
      </c>
      <c r="I1435">
        <v>97.150019999999998</v>
      </c>
      <c r="J1435">
        <v>-189.43639999999999</v>
      </c>
      <c r="K1435">
        <v>1.10958</v>
      </c>
      <c r="L1435">
        <v>324.95060000000001</v>
      </c>
      <c r="M1435">
        <v>-0.12618989999999999</v>
      </c>
      <c r="N1435">
        <v>0</v>
      </c>
      <c r="O1435">
        <v>-0.99191050000000003</v>
      </c>
      <c r="P1435">
        <v>-0.14041789999999901</v>
      </c>
      <c r="Q1435">
        <v>3.3522469999999999E-2</v>
      </c>
      <c r="R1435">
        <v>-0.98952479999999998</v>
      </c>
      <c r="S1435">
        <v>-0.71676640000000003</v>
      </c>
      <c r="T1435">
        <v>0.22880539999999999</v>
      </c>
      <c r="U1435">
        <v>-2.9229129999999999</v>
      </c>
      <c r="V1435">
        <v>1.448226E-2</v>
      </c>
      <c r="W1435">
        <v>4.7266330000000002E-2</v>
      </c>
      <c r="X1435">
        <v>0.99877729999999998</v>
      </c>
      <c r="Y1435">
        <v>0.1130037</v>
      </c>
      <c r="Z1435">
        <v>-7.5747309999999998E-2</v>
      </c>
      <c r="AA1435">
        <v>0.990703</v>
      </c>
      <c r="AB1435">
        <v>24</v>
      </c>
      <c r="AC1435">
        <v>-55.888100000000001</v>
      </c>
      <c r="AD1435">
        <v>17.850069999999999</v>
      </c>
      <c r="AE1435">
        <v>-227.80058</v>
      </c>
      <c r="AF1435">
        <v>26.538695144418</v>
      </c>
      <c r="AG1435">
        <v>17.850069999999999</v>
      </c>
      <c r="AH1435">
        <v>231.690580473306</v>
      </c>
      <c r="AI1435">
        <v>85.6229884883995</v>
      </c>
      <c r="AJ1435">
        <v>83.465608048399901</v>
      </c>
      <c r="AK1435">
        <v>233.887691892992</v>
      </c>
      <c r="AL1435">
        <v>87.290829290609395</v>
      </c>
      <c r="AM1435">
        <v>89.169270036454407</v>
      </c>
      <c r="AN1435">
        <v>0.99999996840083205</v>
      </c>
    </row>
    <row r="1436" spans="1:40" x14ac:dyDescent="0.25">
      <c r="A1436" t="str">
        <f>"20190312160626208"</f>
        <v>20190312160626208</v>
      </c>
      <c r="B1436" t="str">
        <f>"1552377986206706"</f>
        <v>1552377986206706</v>
      </c>
      <c r="C1436" t="s">
        <v>40</v>
      </c>
      <c r="D1436">
        <v>6.656085</v>
      </c>
      <c r="E1436">
        <v>0.53759330000000005</v>
      </c>
      <c r="F1436" t="s">
        <v>56</v>
      </c>
      <c r="G1436">
        <v>-245.57759999999999</v>
      </c>
      <c r="H1436">
        <v>17.88449</v>
      </c>
      <c r="I1436">
        <v>97.150030000000001</v>
      </c>
      <c r="J1436">
        <v>-189.46549999999999</v>
      </c>
      <c r="K1436">
        <v>1.109585</v>
      </c>
      <c r="L1436">
        <v>324.72910000000002</v>
      </c>
      <c r="M1436">
        <v>-0.1270271</v>
      </c>
      <c r="N1436">
        <v>0</v>
      </c>
      <c r="O1436">
        <v>-0.99180360000000001</v>
      </c>
      <c r="P1436">
        <v>-0.14219029999999999</v>
      </c>
      <c r="Q1436">
        <v>3.3519699999999902E-2</v>
      </c>
      <c r="R1436">
        <v>-0.98927160000000003</v>
      </c>
      <c r="S1436">
        <v>-0.7201843</v>
      </c>
      <c r="T1436">
        <v>0.2151901</v>
      </c>
      <c r="U1436">
        <v>-2.9222410000000001</v>
      </c>
      <c r="V1436">
        <v>1.5428259999999999E-2</v>
      </c>
      <c r="W1436">
        <v>4.725919E-2</v>
      </c>
      <c r="X1436">
        <v>0.99876350000000003</v>
      </c>
      <c r="Y1436">
        <v>0.11339009999999999</v>
      </c>
      <c r="Z1436">
        <v>-7.1256940000000005E-2</v>
      </c>
      <c r="AA1436">
        <v>0.99099199999999998</v>
      </c>
      <c r="AB1436">
        <v>24</v>
      </c>
      <c r="AC1436">
        <v>-56.112099999999998</v>
      </c>
      <c r="AD1436">
        <v>16.774905</v>
      </c>
      <c r="AE1436">
        <v>-227.57907</v>
      </c>
      <c r="AF1436">
        <v>26.609720484326999</v>
      </c>
      <c r="AG1436">
        <v>16.774905</v>
      </c>
      <c r="AH1436">
        <v>231.676980380629</v>
      </c>
      <c r="AI1436">
        <v>85.885599984009502</v>
      </c>
      <c r="AJ1436">
        <v>83.447890683377494</v>
      </c>
      <c r="AK1436">
        <v>233.80269010492501</v>
      </c>
      <c r="AL1436">
        <v>87.291238913864802</v>
      </c>
      <c r="AM1436">
        <v>89.115001818039303</v>
      </c>
      <c r="AN1436">
        <v>0.99999999558916597</v>
      </c>
    </row>
    <row r="1437" spans="1:40" x14ac:dyDescent="0.25">
      <c r="A1437" t="str">
        <f>"20190312160626233"</f>
        <v>20190312160626233</v>
      </c>
      <c r="B1437" t="str">
        <f>"1552377986226227"</f>
        <v>1552377986226227</v>
      </c>
      <c r="C1437" t="s">
        <v>40</v>
      </c>
      <c r="D1437">
        <v>6.7996780000000001</v>
      </c>
      <c r="E1437">
        <v>0.53738450000000004</v>
      </c>
      <c r="F1437" t="s">
        <v>56</v>
      </c>
      <c r="G1437">
        <v>-245.52250000000001</v>
      </c>
      <c r="H1437">
        <v>16.749559999999999</v>
      </c>
      <c r="I1437">
        <v>97.150019999999998</v>
      </c>
      <c r="J1437">
        <v>-189.49809999999999</v>
      </c>
      <c r="K1437">
        <v>1.1095870000000001</v>
      </c>
      <c r="L1437">
        <v>324.4837</v>
      </c>
      <c r="M1437">
        <v>-0.12795139999999999</v>
      </c>
      <c r="N1437">
        <v>0</v>
      </c>
      <c r="O1437">
        <v>-0.99168489999999998</v>
      </c>
      <c r="P1437">
        <v>-0.14301150000000001</v>
      </c>
      <c r="Q1437">
        <v>3.4090240000000001E-2</v>
      </c>
      <c r="R1437">
        <v>-0.98913399999999996</v>
      </c>
      <c r="S1437">
        <v>-0.71981809999999902</v>
      </c>
      <c r="T1437">
        <v>0.2008305</v>
      </c>
      <c r="U1437">
        <v>-2.9223020000000002</v>
      </c>
      <c r="V1437">
        <v>1.5329250000000001E-2</v>
      </c>
      <c r="W1437">
        <v>4.7826939999999998E-2</v>
      </c>
      <c r="X1437">
        <v>0.99873800000000001</v>
      </c>
      <c r="Y1437">
        <v>0.11242099999999999</v>
      </c>
      <c r="Z1437">
        <v>-6.6515599999999994E-2</v>
      </c>
      <c r="AA1437">
        <v>0.99143190000000003</v>
      </c>
      <c r="AB1437">
        <v>24</v>
      </c>
      <c r="AC1437">
        <v>-56.0244</v>
      </c>
      <c r="AD1437">
        <v>15.639972999999999</v>
      </c>
      <c r="AE1437">
        <v>-227.33367999999999</v>
      </c>
      <c r="AF1437">
        <v>26.3557954340945</v>
      </c>
      <c r="AG1437">
        <v>15.639972999999999</v>
      </c>
      <c r="AH1437">
        <v>231.600399436603</v>
      </c>
      <c r="AI1437">
        <v>86.161382533875795</v>
      </c>
      <c r="AJ1437">
        <v>83.507750931291099</v>
      </c>
      <c r="AK1437">
        <v>233.619309406561</v>
      </c>
      <c r="AL1437">
        <v>87.258672412786893</v>
      </c>
      <c r="AM1437">
        <v>89.120657902539904</v>
      </c>
      <c r="AN1437">
        <v>0.99999999736966305</v>
      </c>
    </row>
    <row r="1438" spans="1:40" x14ac:dyDescent="0.25">
      <c r="A1438" t="str">
        <f>"20190312160626255"</f>
        <v>20190312160626255</v>
      </c>
      <c r="B1438" t="str">
        <f>"1552377986246722"</f>
        <v>1552377986246722</v>
      </c>
      <c r="C1438" t="s">
        <v>40</v>
      </c>
      <c r="D1438">
        <v>6.1368519999999904</v>
      </c>
      <c r="E1438">
        <v>0.53672730000000002</v>
      </c>
      <c r="F1438" t="s">
        <v>56</v>
      </c>
      <c r="G1438">
        <v>-245.58070000000001</v>
      </c>
      <c r="H1438">
        <v>15.874980000000001</v>
      </c>
      <c r="I1438">
        <v>97.150019999999998</v>
      </c>
      <c r="J1438">
        <v>-189.529</v>
      </c>
      <c r="K1438">
        <v>1.1095889999999999</v>
      </c>
      <c r="L1438">
        <v>324.25200000000001</v>
      </c>
      <c r="M1438">
        <v>-0.12881860000000001</v>
      </c>
      <c r="N1438">
        <v>0</v>
      </c>
      <c r="O1438">
        <v>-0.99157260000000003</v>
      </c>
      <c r="P1438">
        <v>-0.14342779999999899</v>
      </c>
      <c r="Q1438">
        <v>3.439437E-2</v>
      </c>
      <c r="R1438">
        <v>-0.98906329999999998</v>
      </c>
      <c r="S1438">
        <v>-0.72088619999999903</v>
      </c>
      <c r="T1438">
        <v>0.18979480000000001</v>
      </c>
      <c r="U1438">
        <v>-2.9221499999999998</v>
      </c>
      <c r="V1438">
        <v>1.4877049999999999E-2</v>
      </c>
      <c r="W1438">
        <v>4.8129379999999999E-2</v>
      </c>
      <c r="X1438">
        <v>0.99873029999999996</v>
      </c>
      <c r="Y1438">
        <v>0.1119626</v>
      </c>
      <c r="Z1438">
        <v>-6.2867190000000003E-2</v>
      </c>
      <c r="AA1438">
        <v>0.99172179999999999</v>
      </c>
      <c r="AB1438">
        <v>24</v>
      </c>
      <c r="AC1438">
        <v>-56.051699999999897</v>
      </c>
      <c r="AD1438">
        <v>14.765390999999999</v>
      </c>
      <c r="AE1438">
        <v>-227.10198</v>
      </c>
      <c r="AF1438">
        <v>26.2223845900076</v>
      </c>
      <c r="AG1438">
        <v>14.765390999999999</v>
      </c>
      <c r="AH1438">
        <v>231.50820210469701</v>
      </c>
      <c r="AI1438">
        <v>86.373792792850693</v>
      </c>
      <c r="AJ1438">
        <v>83.537784904598993</v>
      </c>
      <c r="AK1438">
        <v>233.45594416659901</v>
      </c>
      <c r="AL1438">
        <v>87.241323872404905</v>
      </c>
      <c r="AM1438">
        <v>89.146587282564099</v>
      </c>
      <c r="AN1438">
        <v>0.99999998798698797</v>
      </c>
    </row>
    <row r="1439" spans="1:40" x14ac:dyDescent="0.25">
      <c r="A1439" t="str">
        <f>"20190312160626276"</f>
        <v>20190312160626276</v>
      </c>
      <c r="B1439" t="str">
        <f>"1552377986266245"</f>
        <v>1552377986266245</v>
      </c>
      <c r="C1439" t="s">
        <v>40</v>
      </c>
      <c r="D1439">
        <v>6.6090790000000004</v>
      </c>
      <c r="E1439">
        <v>0.53603829999999997</v>
      </c>
      <c r="F1439" t="s">
        <v>56</v>
      </c>
      <c r="G1439">
        <v>-245.2671</v>
      </c>
      <c r="H1439">
        <v>15.16583</v>
      </c>
      <c r="I1439">
        <v>97.150030000000001</v>
      </c>
      <c r="J1439">
        <v>-189.56010000000001</v>
      </c>
      <c r="K1439">
        <v>1.1096010000000001</v>
      </c>
      <c r="L1439">
        <v>324.02100000000002</v>
      </c>
      <c r="M1439">
        <v>-0.1296707</v>
      </c>
      <c r="N1439">
        <v>0</v>
      </c>
      <c r="O1439">
        <v>-0.9914615</v>
      </c>
      <c r="P1439">
        <v>-0.1439357</v>
      </c>
      <c r="Q1439">
        <v>3.4753319999999997E-2</v>
      </c>
      <c r="R1439">
        <v>-0.98897670000000004</v>
      </c>
      <c r="S1439">
        <v>-0.71736149999999999</v>
      </c>
      <c r="T1439">
        <v>0.18090709999999999</v>
      </c>
      <c r="U1439">
        <v>-2.9228519999999998</v>
      </c>
      <c r="V1439">
        <v>1.4532679999999999E-2</v>
      </c>
      <c r="W1439">
        <v>4.8486120000000001E-2</v>
      </c>
      <c r="X1439">
        <v>0.99871810000000005</v>
      </c>
      <c r="Y1439">
        <v>0.1099687</v>
      </c>
      <c r="Z1439">
        <v>-5.9925569999999997E-2</v>
      </c>
      <c r="AA1439">
        <v>0.99212690000000003</v>
      </c>
      <c r="AB1439">
        <v>24</v>
      </c>
      <c r="AC1439">
        <v>-55.707000000000001</v>
      </c>
      <c r="AD1439">
        <v>14.056229</v>
      </c>
      <c r="AE1439">
        <v>-226.87097</v>
      </c>
      <c r="AF1439">
        <v>25.722151769538801</v>
      </c>
      <c r="AG1439">
        <v>14.056229</v>
      </c>
      <c r="AH1439">
        <v>231.341864444187</v>
      </c>
      <c r="AI1439">
        <v>86.544251500729004</v>
      </c>
      <c r="AJ1439">
        <v>83.655526930092094</v>
      </c>
      <c r="AK1439">
        <v>233.19147692372499</v>
      </c>
      <c r="AL1439">
        <v>87.220860242569799</v>
      </c>
      <c r="AM1439">
        <v>89.166328850064502</v>
      </c>
      <c r="AN1439">
        <v>0.99999997294412302</v>
      </c>
    </row>
    <row r="1440" spans="1:40" x14ac:dyDescent="0.25">
      <c r="A1440" t="str">
        <f>"20190312160626299"</f>
        <v>20190312160626299</v>
      </c>
      <c r="B1440" t="str">
        <f>"1552377986296498"</f>
        <v>1552377986296498</v>
      </c>
      <c r="C1440" t="s">
        <v>40</v>
      </c>
      <c r="D1440">
        <v>6.4696579999999999</v>
      </c>
      <c r="E1440">
        <v>0.49849320000000003</v>
      </c>
      <c r="F1440" t="s">
        <v>59</v>
      </c>
      <c r="G1440">
        <v>-239.40299999999999</v>
      </c>
      <c r="H1440">
        <v>13.239520000000001</v>
      </c>
      <c r="I1440">
        <v>119.85380000000001</v>
      </c>
      <c r="J1440">
        <v>-189.5915</v>
      </c>
      <c r="K1440">
        <v>1.1096079999999999</v>
      </c>
      <c r="L1440">
        <v>323.78840000000002</v>
      </c>
      <c r="M1440">
        <v>-0.1305152</v>
      </c>
      <c r="N1440">
        <v>0</v>
      </c>
      <c r="O1440">
        <v>-0.99135090000000003</v>
      </c>
      <c r="P1440">
        <v>-0.14407729999999999</v>
      </c>
      <c r="Q1440">
        <v>3.5303550000000003E-2</v>
      </c>
      <c r="R1440">
        <v>-0.9889367</v>
      </c>
      <c r="S1440">
        <v>-0.71371459999999998</v>
      </c>
      <c r="T1440">
        <v>0.1736916</v>
      </c>
      <c r="U1440">
        <v>-2.9235229999999999</v>
      </c>
      <c r="V1440">
        <v>1.3826710000000001E-2</v>
      </c>
      <c r="W1440">
        <v>4.903478E-2</v>
      </c>
      <c r="X1440">
        <v>0.99870130000000001</v>
      </c>
      <c r="Y1440">
        <v>0.107935</v>
      </c>
      <c r="Z1440">
        <v>-5.7536110000000001E-2</v>
      </c>
      <c r="AA1440">
        <v>0.99249160000000003</v>
      </c>
      <c r="AB1440">
        <v>23</v>
      </c>
      <c r="AC1440">
        <v>-49.811500000000002</v>
      </c>
      <c r="AD1440">
        <v>12.129911999999999</v>
      </c>
      <c r="AE1440">
        <v>-203.93459999999999</v>
      </c>
      <c r="AF1440">
        <v>22.690508729746199</v>
      </c>
      <c r="AG1440">
        <v>12.129911999999999</v>
      </c>
      <c r="AH1440">
        <v>207.997223640199</v>
      </c>
      <c r="AI1440">
        <v>86.682064411843697</v>
      </c>
      <c r="AJ1440">
        <v>83.7741974735262</v>
      </c>
      <c r="AK1440">
        <v>209.582535039476</v>
      </c>
      <c r="AL1440">
        <v>87.189386800597106</v>
      </c>
      <c r="AM1440">
        <v>89.206808364521706</v>
      </c>
      <c r="AN1440">
        <v>0.99999993709037904</v>
      </c>
    </row>
    <row r="1441" spans="1:40" x14ac:dyDescent="0.25">
      <c r="A1441" t="str">
        <f>"20190312160626320"</f>
        <v>20190312160626320</v>
      </c>
      <c r="B1441" t="str">
        <f>"1552377986316018"</f>
        <v>1552377986316018</v>
      </c>
      <c r="C1441" t="s">
        <v>40</v>
      </c>
      <c r="D1441">
        <v>6.5723940000000001</v>
      </c>
      <c r="E1441">
        <v>0.49754680000000001</v>
      </c>
      <c r="F1441" t="s">
        <v>47</v>
      </c>
      <c r="G1441">
        <v>-192.82669999999999</v>
      </c>
      <c r="H1441" s="1">
        <v>-1.5221969999999999E-6</v>
      </c>
      <c r="I1441">
        <v>301.38420000000002</v>
      </c>
      <c r="J1441">
        <v>-189.62200000000001</v>
      </c>
      <c r="K1441">
        <v>1.109631</v>
      </c>
      <c r="L1441">
        <v>323.5641</v>
      </c>
      <c r="M1441">
        <v>-0.13130899999999901</v>
      </c>
      <c r="N1441">
        <v>0</v>
      </c>
      <c r="O1441">
        <v>-0.99124619999999997</v>
      </c>
      <c r="P1441">
        <v>-0.143901</v>
      </c>
      <c r="Q1441">
        <v>3.5690090000000001E-2</v>
      </c>
      <c r="R1441">
        <v>-0.98894850000000001</v>
      </c>
      <c r="S1441">
        <v>-0.42977910000000002</v>
      </c>
      <c r="T1441">
        <v>-0.14740309999999901</v>
      </c>
      <c r="U1441">
        <v>-2.9762270000000002</v>
      </c>
      <c r="V1441">
        <v>1.2849070000000001E-2</v>
      </c>
      <c r="W1441">
        <v>4.9420550000000001E-2</v>
      </c>
      <c r="X1441">
        <v>0.99869540000000001</v>
      </c>
      <c r="Y1441">
        <v>1.1540430000000001E-2</v>
      </c>
      <c r="Z1441">
        <v>4.8573239999999997E-2</v>
      </c>
      <c r="AA1441">
        <v>0.998753</v>
      </c>
      <c r="AB1441">
        <v>23</v>
      </c>
      <c r="AC1441">
        <v>-3.2046999999999701</v>
      </c>
      <c r="AD1441">
        <v>-1.109632522197</v>
      </c>
      <c r="AE1441">
        <v>-22.1798999999999</v>
      </c>
      <c r="AF1441">
        <v>0.26360489188254699</v>
      </c>
      <c r="AG1441">
        <v>-1.109632522197</v>
      </c>
      <c r="AH1441">
        <v>22.3538595453001</v>
      </c>
      <c r="AI1441">
        <v>92.841599162465499</v>
      </c>
      <c r="AJ1441">
        <v>89.324378517407396</v>
      </c>
      <c r="AK1441">
        <v>22.382935652955499</v>
      </c>
      <c r="AL1441">
        <v>87.167257141718807</v>
      </c>
      <c r="AM1441">
        <v>89.262881490467294</v>
      </c>
      <c r="AN1441">
        <v>0.99999999567166298</v>
      </c>
    </row>
    <row r="1442" spans="1:40" x14ac:dyDescent="0.25">
      <c r="A1442" t="str">
        <f>"20190312160626345"</f>
        <v>20190312160626345</v>
      </c>
      <c r="B1442" t="str">
        <f>"1552377986336514"</f>
        <v>1552377986336514</v>
      </c>
      <c r="C1442" t="s">
        <v>40</v>
      </c>
      <c r="D1442">
        <v>6.6024000000000003</v>
      </c>
      <c r="E1442">
        <v>0.48782140000000002</v>
      </c>
      <c r="F1442" t="s">
        <v>47</v>
      </c>
      <c r="G1442">
        <v>-192.39250000000001</v>
      </c>
      <c r="H1442" s="1">
        <v>-2.5445579999999999E-6</v>
      </c>
      <c r="I1442">
        <v>304.0367</v>
      </c>
      <c r="J1442">
        <v>-189.6568</v>
      </c>
      <c r="K1442">
        <v>1.1096600000000001</v>
      </c>
      <c r="L1442">
        <v>323.30889999999999</v>
      </c>
      <c r="M1442">
        <v>-0.13217100000000001</v>
      </c>
      <c r="N1442">
        <v>0</v>
      </c>
      <c r="O1442">
        <v>-0.99113150000000005</v>
      </c>
      <c r="P1442">
        <v>-0.1441878</v>
      </c>
      <c r="Q1442">
        <v>3.6467529999999998E-2</v>
      </c>
      <c r="R1442">
        <v>-0.98887840000000005</v>
      </c>
      <c r="S1442">
        <v>-0.42253109999999999</v>
      </c>
      <c r="T1442">
        <v>-0.16923170000000001</v>
      </c>
      <c r="U1442">
        <v>-2.9781490000000002</v>
      </c>
      <c r="V1442">
        <v>1.2271600000000001E-2</v>
      </c>
      <c r="W1442">
        <v>5.0195879999999998E-2</v>
      </c>
      <c r="X1442">
        <v>0.998664</v>
      </c>
      <c r="Y1442">
        <v>8.1448359999999904E-3</v>
      </c>
      <c r="Z1442">
        <v>5.5710309999999999E-2</v>
      </c>
      <c r="AA1442">
        <v>0.99841369999999896</v>
      </c>
      <c r="AB1442">
        <v>23</v>
      </c>
      <c r="AC1442">
        <v>-2.7357</v>
      </c>
      <c r="AD1442">
        <v>-1.109662544558</v>
      </c>
      <c r="AE1442">
        <v>-19.272200000000002</v>
      </c>
      <c r="AF1442">
        <v>0.16369605538380499</v>
      </c>
      <c r="AG1442">
        <v>-1.109662544558</v>
      </c>
      <c r="AH1442">
        <v>19.401654622562798</v>
      </c>
      <c r="AI1442">
        <v>93.273305081726505</v>
      </c>
      <c r="AJ1442">
        <v>89.516594294001393</v>
      </c>
      <c r="AK1442">
        <v>19.434051287741202</v>
      </c>
      <c r="AL1442">
        <v>87.122778814581395</v>
      </c>
      <c r="AM1442">
        <v>89.295983932281402</v>
      </c>
      <c r="AN1442">
        <v>1.00000000171576</v>
      </c>
    </row>
    <row r="1443" spans="1:40" x14ac:dyDescent="0.25">
      <c r="A1443" t="str">
        <f>"20190312160626367"</f>
        <v>20190312160626367</v>
      </c>
      <c r="B1443" t="str">
        <f>"1552377986356034"</f>
        <v>1552377986356034</v>
      </c>
      <c r="C1443" t="s">
        <v>40</v>
      </c>
      <c r="D1443">
        <v>6.3772379999999904</v>
      </c>
      <c r="E1443">
        <v>0.48963089999999998</v>
      </c>
      <c r="F1443" t="s">
        <v>57</v>
      </c>
      <c r="G1443">
        <v>-213.2526</v>
      </c>
      <c r="H1443">
        <v>5.2175209999999996</v>
      </c>
      <c r="I1443">
        <v>115.3608</v>
      </c>
      <c r="J1443">
        <v>-189.6884</v>
      </c>
      <c r="K1443">
        <v>1.109699</v>
      </c>
      <c r="L1443">
        <v>323.07929999999999</v>
      </c>
      <c r="M1443">
        <v>-0.13289709999999999</v>
      </c>
      <c r="N1443">
        <v>0</v>
      </c>
      <c r="O1443">
        <v>-0.99103430000000003</v>
      </c>
      <c r="P1443">
        <v>-0.1452831</v>
      </c>
      <c r="Q1443">
        <v>3.7077520000000003E-2</v>
      </c>
      <c r="R1443">
        <v>-0.98869510000000005</v>
      </c>
      <c r="S1443">
        <v>-0.33839419999999998</v>
      </c>
      <c r="T1443">
        <v>5.8912279999999997E-2</v>
      </c>
      <c r="U1443">
        <v>-2.9822389999999999</v>
      </c>
      <c r="V1443">
        <v>1.2646269999999999E-2</v>
      </c>
      <c r="W1443">
        <v>5.080308E-2</v>
      </c>
      <c r="X1443">
        <v>0.99862859999999998</v>
      </c>
      <c r="Y1443">
        <v>-2.0337600000000001E-2</v>
      </c>
      <c r="Z1443">
        <v>-1.942404E-2</v>
      </c>
      <c r="AA1443">
        <v>0.99960450000000001</v>
      </c>
      <c r="AB1443">
        <v>23</v>
      </c>
      <c r="AC1443">
        <v>-23.5642</v>
      </c>
      <c r="AD1443">
        <v>4.1078219999999996</v>
      </c>
      <c r="AE1443">
        <v>-207.71850000000001</v>
      </c>
      <c r="AF1443">
        <v>-4.2510171192500801</v>
      </c>
      <c r="AG1443">
        <v>4.1078219999999996</v>
      </c>
      <c r="AH1443">
        <v>208.926893315315</v>
      </c>
      <c r="AI1443">
        <v>88.873855571006899</v>
      </c>
      <c r="AJ1443">
        <v>91.165631347375395</v>
      </c>
      <c r="AK1443">
        <v>209.01050714861401</v>
      </c>
      <c r="AL1443">
        <v>87.087944310432206</v>
      </c>
      <c r="AM1443">
        <v>89.274465834099004</v>
      </c>
      <c r="AN1443">
        <v>0.99999998091017905</v>
      </c>
    </row>
    <row r="1444" spans="1:40" x14ac:dyDescent="0.25">
      <c r="A1444" t="str">
        <f>"20190312160626388"</f>
        <v>20190312160626388</v>
      </c>
      <c r="B1444" t="str">
        <f>"1552377986366770"</f>
        <v>1552377986366770</v>
      </c>
      <c r="C1444" t="s">
        <v>40</v>
      </c>
      <c r="D1444">
        <v>6.41683</v>
      </c>
      <c r="E1444">
        <v>0.49088189999999998</v>
      </c>
      <c r="F1444" t="s">
        <v>64</v>
      </c>
      <c r="G1444">
        <v>-214.1147</v>
      </c>
      <c r="H1444">
        <v>0.2411394</v>
      </c>
      <c r="I1444">
        <v>119.91719999999999</v>
      </c>
      <c r="J1444">
        <v>-189.71789999999999</v>
      </c>
      <c r="K1444">
        <v>1.109737</v>
      </c>
      <c r="L1444">
        <v>322.86470000000003</v>
      </c>
      <c r="M1444">
        <v>-0.13352229999999901</v>
      </c>
      <c r="N1444">
        <v>0</v>
      </c>
      <c r="O1444">
        <v>-0.99095060000000001</v>
      </c>
      <c r="P1444">
        <v>-0.1459724</v>
      </c>
      <c r="Q1444">
        <v>3.7396859999999997E-2</v>
      </c>
      <c r="R1444">
        <v>-0.98858170000000001</v>
      </c>
      <c r="S1444">
        <v>-0.35853580000000002</v>
      </c>
      <c r="T1444">
        <v>-1.274848E-2</v>
      </c>
      <c r="U1444">
        <v>-2.982056</v>
      </c>
      <c r="V1444">
        <v>1.270979E-2</v>
      </c>
      <c r="W1444">
        <v>5.1120699999999998E-2</v>
      </c>
      <c r="X1444">
        <v>0.99861160000000004</v>
      </c>
      <c r="Y1444">
        <v>-1.427879E-2</v>
      </c>
      <c r="Z1444">
        <v>4.2023989999999999E-3</v>
      </c>
      <c r="AA1444">
        <v>0.99988920000000003</v>
      </c>
      <c r="AB1444">
        <v>23</v>
      </c>
      <c r="AC1444">
        <v>-24.396799999999999</v>
      </c>
      <c r="AD1444">
        <v>-0.86859759999999997</v>
      </c>
      <c r="AE1444">
        <v>-202.94749999999999</v>
      </c>
      <c r="AF1444">
        <v>-2.9222163501374498</v>
      </c>
      <c r="AG1444">
        <v>-0.86859759999999997</v>
      </c>
      <c r="AH1444">
        <v>204.384058515775</v>
      </c>
      <c r="AI1444">
        <v>90.243470999785004</v>
      </c>
      <c r="AJ1444">
        <v>90.819140481818593</v>
      </c>
      <c r="AK1444">
        <v>204.40679339387799</v>
      </c>
      <c r="AL1444">
        <v>87.069722391694199</v>
      </c>
      <c r="AM1444">
        <v>89.270809583592396</v>
      </c>
      <c r="AN1444">
        <v>0.99999999619244695</v>
      </c>
    </row>
    <row r="1445" spans="1:40" x14ac:dyDescent="0.25">
      <c r="A1445" t="str">
        <f>"20190312160626411"</f>
        <v>20190312160626411</v>
      </c>
      <c r="B1445" t="str">
        <f>"1552377986406786"</f>
        <v>1552377986406786</v>
      </c>
      <c r="C1445" t="s">
        <v>40</v>
      </c>
      <c r="D1445">
        <v>6.4519599999999997</v>
      </c>
      <c r="E1445">
        <v>0.49093110000000001</v>
      </c>
      <c r="F1445" t="s">
        <v>47</v>
      </c>
      <c r="G1445">
        <v>-197.01740000000001</v>
      </c>
      <c r="H1445" s="1">
        <v>-3.754883E-6</v>
      </c>
      <c r="I1445">
        <v>264.36290000000002</v>
      </c>
      <c r="J1445">
        <v>-189.75020000000001</v>
      </c>
      <c r="K1445">
        <v>1.109785</v>
      </c>
      <c r="L1445">
        <v>322.63060000000002</v>
      </c>
      <c r="M1445">
        <v>-0.13413929999999999</v>
      </c>
      <c r="N1445">
        <v>0</v>
      </c>
      <c r="O1445">
        <v>-0.9908671</v>
      </c>
      <c r="P1445">
        <v>-0.14687639999999999</v>
      </c>
      <c r="Q1445">
        <v>3.784324E-2</v>
      </c>
      <c r="R1445">
        <v>-0.9884307</v>
      </c>
      <c r="S1445">
        <v>-0.37205510000000003</v>
      </c>
      <c r="T1445">
        <v>-5.6563620000000002E-2</v>
      </c>
      <c r="U1445">
        <v>-2.9818419999999999</v>
      </c>
      <c r="V1445">
        <v>1.299817E-2</v>
      </c>
      <c r="W1445">
        <v>5.1564529999999997E-2</v>
      </c>
      <c r="X1445">
        <v>0.99858499999999994</v>
      </c>
      <c r="Y1445">
        <v>-1.0447100000000001E-2</v>
      </c>
      <c r="Z1445">
        <v>1.8636779999999999E-2</v>
      </c>
      <c r="AA1445">
        <v>0.99977169999999904</v>
      </c>
      <c r="AB1445">
        <v>23</v>
      </c>
      <c r="AC1445">
        <v>-7.2671999999999999</v>
      </c>
      <c r="AD1445">
        <v>-1.1097887548829899</v>
      </c>
      <c r="AE1445">
        <v>-58.267699999999898</v>
      </c>
      <c r="AF1445">
        <v>-0.61499757194013505</v>
      </c>
      <c r="AG1445">
        <v>-1.1097887548829899</v>
      </c>
      <c r="AH1445">
        <v>58.694947773833697</v>
      </c>
      <c r="AI1445">
        <v>91.083145134968206</v>
      </c>
      <c r="AJ1445">
        <v>90.600315311758195</v>
      </c>
      <c r="AK1445">
        <v>58.708659900112103</v>
      </c>
      <c r="AL1445">
        <v>87.044259019522499</v>
      </c>
      <c r="AM1445">
        <v>89.254246533015106</v>
      </c>
      <c r="AN1445">
        <v>0.99999992770123203</v>
      </c>
    </row>
    <row r="1446" spans="1:40" x14ac:dyDescent="0.25">
      <c r="A1446" t="str">
        <f>"20190312160626433"</f>
        <v>20190312160626433</v>
      </c>
      <c r="B1446" t="str">
        <f>"1552377986426306"</f>
        <v>1552377986426306</v>
      </c>
      <c r="C1446" t="s">
        <v>40</v>
      </c>
      <c r="D1446">
        <v>7.0759689999999997</v>
      </c>
      <c r="E1446">
        <v>0.49146260000000003</v>
      </c>
      <c r="F1446" t="s">
        <v>61</v>
      </c>
      <c r="G1446">
        <v>-196.20330000000001</v>
      </c>
      <c r="H1446" s="1">
        <v>5.6493320000000003E-6</v>
      </c>
      <c r="I1446">
        <v>271.40730000000002</v>
      </c>
      <c r="J1446">
        <v>-189.7824</v>
      </c>
      <c r="K1446">
        <v>1.1098330000000001</v>
      </c>
      <c r="L1446">
        <v>322.39819999999997</v>
      </c>
      <c r="M1446">
        <v>-0.1346802</v>
      </c>
      <c r="N1446">
        <v>0</v>
      </c>
      <c r="O1446">
        <v>-0.99079379999999995</v>
      </c>
      <c r="P1446">
        <v>-0.148759</v>
      </c>
      <c r="Q1446">
        <v>3.7892099999999998E-2</v>
      </c>
      <c r="R1446">
        <v>-0.98814729999999995</v>
      </c>
      <c r="S1446">
        <v>-0.3756409</v>
      </c>
      <c r="T1446">
        <v>-6.4601779999999998E-2</v>
      </c>
      <c r="U1446">
        <v>-2.9817809999999998</v>
      </c>
      <c r="V1446">
        <v>1.4349789999999999E-2</v>
      </c>
      <c r="W1446">
        <v>5.1611190000000001E-2</v>
      </c>
      <c r="X1446">
        <v>0.99856409999999995</v>
      </c>
      <c r="Y1446">
        <v>-9.8134390000000002E-3</v>
      </c>
      <c r="Z1446">
        <v>2.128064E-2</v>
      </c>
      <c r="AA1446">
        <v>0.99972539999999999</v>
      </c>
      <c r="AB1446">
        <v>23</v>
      </c>
      <c r="AC1446">
        <v>-6.4209000000000103</v>
      </c>
      <c r="AD1446">
        <v>-1.1098273506680001</v>
      </c>
      <c r="AE1446">
        <v>-50.990899999999897</v>
      </c>
      <c r="AF1446">
        <v>-0.50548874061558802</v>
      </c>
      <c r="AG1446">
        <v>-1.1098273506680001</v>
      </c>
      <c r="AH1446">
        <v>51.367135498724203</v>
      </c>
      <c r="AI1446">
        <v>91.2376678880443</v>
      </c>
      <c r="AJ1446">
        <v>90.563812568129904</v>
      </c>
      <c r="AK1446">
        <v>51.381609988005202</v>
      </c>
      <c r="AL1446">
        <v>87.041582089724798</v>
      </c>
      <c r="AM1446">
        <v>89.176691997177599</v>
      </c>
      <c r="AN1446">
        <v>0.999999946607533</v>
      </c>
    </row>
    <row r="1447" spans="1:40" x14ac:dyDescent="0.25">
      <c r="A1447" t="str">
        <f>"20190312160626456"</f>
        <v>20190312160626456</v>
      </c>
      <c r="B1447" t="str">
        <f>"1552377986446802"</f>
        <v>1552377986446802</v>
      </c>
      <c r="C1447" t="s">
        <v>40</v>
      </c>
      <c r="D1447">
        <v>6.5014949999999896</v>
      </c>
      <c r="E1447">
        <v>0.49128500000000003</v>
      </c>
      <c r="F1447" t="s">
        <v>61</v>
      </c>
      <c r="G1447">
        <v>-196.3759</v>
      </c>
      <c r="H1447" s="1">
        <v>5.6196639999999996E-6</v>
      </c>
      <c r="I1447">
        <v>271.3612</v>
      </c>
      <c r="J1447">
        <v>-189.81440000000001</v>
      </c>
      <c r="K1447">
        <v>1.109883</v>
      </c>
      <c r="L1447">
        <v>322.16699999999997</v>
      </c>
      <c r="M1447">
        <v>-0.13513800000000001</v>
      </c>
      <c r="N1447">
        <v>0</v>
      </c>
      <c r="O1447">
        <v>-0.99073169999999999</v>
      </c>
      <c r="P1447">
        <v>-0.1501072</v>
      </c>
      <c r="Q1447">
        <v>3.7776530000000003E-2</v>
      </c>
      <c r="R1447">
        <v>-0.9879481</v>
      </c>
      <c r="S1447">
        <v>-0.38505549999999999</v>
      </c>
      <c r="T1447">
        <v>-6.4812659999999994E-2</v>
      </c>
      <c r="U1447">
        <v>-2.980499</v>
      </c>
      <c r="V1447">
        <v>1.5244529999999999E-2</v>
      </c>
      <c r="W1447">
        <v>5.1493570000000002E-2</v>
      </c>
      <c r="X1447">
        <v>0.99855700000000003</v>
      </c>
      <c r="Y1447">
        <v>-7.1150529999999997E-3</v>
      </c>
      <c r="Z1447">
        <v>2.1353179999999999E-2</v>
      </c>
      <c r="AA1447">
        <v>0.99974669999999999</v>
      </c>
      <c r="AB1447">
        <v>23</v>
      </c>
      <c r="AC1447">
        <v>-6.5614999999999899</v>
      </c>
      <c r="AD1447">
        <v>-1.109877380336</v>
      </c>
      <c r="AE1447">
        <v>-50.805799999999998</v>
      </c>
      <c r="AF1447">
        <v>-0.36497123642724399</v>
      </c>
      <c r="AG1447">
        <v>-1.109877380336</v>
      </c>
      <c r="AH1447">
        <v>51.2024166407016</v>
      </c>
      <c r="AI1447">
        <v>91.241732759857797</v>
      </c>
      <c r="AJ1447">
        <v>90.408397859246406</v>
      </c>
      <c r="AK1447">
        <v>51.2157446655889</v>
      </c>
      <c r="AL1447">
        <v>87.048330447460103</v>
      </c>
      <c r="AM1447">
        <v>89.125358510669997</v>
      </c>
      <c r="AN1447">
        <v>1.0000000328476299</v>
      </c>
    </row>
    <row r="1448" spans="1:40" x14ac:dyDescent="0.25">
      <c r="A1448" t="str">
        <f>"20190312160626478"</f>
        <v>20190312160626478</v>
      </c>
      <c r="B1448" t="str">
        <f>"1552377986466326"</f>
        <v>1552377986466326</v>
      </c>
      <c r="C1448" t="s">
        <v>40</v>
      </c>
      <c r="D1448">
        <v>6.6715399999999896</v>
      </c>
      <c r="E1448">
        <v>0.49013760000000001</v>
      </c>
      <c r="F1448" t="s">
        <v>61</v>
      </c>
      <c r="G1448">
        <v>-195.8767</v>
      </c>
      <c r="H1448" s="1">
        <v>4.5277270000000004E-6</v>
      </c>
      <c r="I1448">
        <v>275.56849999999997</v>
      </c>
      <c r="J1448">
        <v>-189.8459</v>
      </c>
      <c r="K1448">
        <v>1.109928</v>
      </c>
      <c r="L1448">
        <v>321.9402</v>
      </c>
      <c r="M1448">
        <v>-0.13551820000000001</v>
      </c>
      <c r="N1448">
        <v>0</v>
      </c>
      <c r="O1448">
        <v>-0.99067969999999905</v>
      </c>
      <c r="P1448">
        <v>-0.15158759999999999</v>
      </c>
      <c r="Q1448">
        <v>3.7895119999999997E-2</v>
      </c>
      <c r="R1448">
        <v>-0.98771699999999996</v>
      </c>
      <c r="S1448">
        <v>-0.38774110000000001</v>
      </c>
      <c r="T1448">
        <v>-7.0987700000000001E-2</v>
      </c>
      <c r="U1448">
        <v>-2.9804379999999999</v>
      </c>
      <c r="V1448">
        <v>1.6353299999999901E-2</v>
      </c>
      <c r="W1448">
        <v>5.1609780000000001E-2</v>
      </c>
      <c r="X1448">
        <v>0.99853340000000002</v>
      </c>
      <c r="Y1448">
        <v>-6.616228E-3</v>
      </c>
      <c r="Z1448">
        <v>2.3383870000000001E-2</v>
      </c>
      <c r="AA1448">
        <v>0.9997047</v>
      </c>
      <c r="AB1448">
        <v>23</v>
      </c>
      <c r="AC1448">
        <v>-6.0307999999999904</v>
      </c>
      <c r="AD1448">
        <v>-1.109923472273</v>
      </c>
      <c r="AE1448">
        <v>-46.371699999999997</v>
      </c>
      <c r="AF1448">
        <v>-0.30947302480611399</v>
      </c>
      <c r="AG1448">
        <v>-1.109923472273</v>
      </c>
      <c r="AH1448">
        <v>46.734864462123497</v>
      </c>
      <c r="AI1448">
        <v>91.360452962198295</v>
      </c>
      <c r="AJ1448">
        <v>90.379400673000603</v>
      </c>
      <c r="AK1448">
        <v>46.749066942137297</v>
      </c>
      <c r="AL1448">
        <v>87.041663069734696</v>
      </c>
      <c r="AM1448">
        <v>89.061732623224003</v>
      </c>
      <c r="AN1448">
        <v>0.99999997536404805</v>
      </c>
    </row>
    <row r="1449" spans="1:40" x14ac:dyDescent="0.25">
      <c r="A1449" t="str">
        <f>"20190312160626501"</f>
        <v>20190312160626501</v>
      </c>
      <c r="B1449" t="str">
        <f>"1552377986496578"</f>
        <v>1552377986496578</v>
      </c>
      <c r="C1449" t="s">
        <v>40</v>
      </c>
      <c r="D1449">
        <v>6.0938089999999896</v>
      </c>
      <c r="E1449">
        <v>0.49294130000000003</v>
      </c>
      <c r="F1449" t="s">
        <v>61</v>
      </c>
      <c r="G1449">
        <v>-196.0026</v>
      </c>
      <c r="H1449" s="1">
        <v>4.9866200000000004E-6</v>
      </c>
      <c r="I1449">
        <v>274.04899999999998</v>
      </c>
      <c r="J1449">
        <v>-189.87870000000001</v>
      </c>
      <c r="K1449">
        <v>1.109964</v>
      </c>
      <c r="L1449">
        <v>321.70330000000001</v>
      </c>
      <c r="M1449">
        <v>-0.13585949999999999</v>
      </c>
      <c r="N1449">
        <v>0</v>
      </c>
      <c r="O1449">
        <v>-0.99063310000000004</v>
      </c>
      <c r="P1449">
        <v>-0.15324270000000001</v>
      </c>
      <c r="Q1449">
        <v>3.7123469999999999E-2</v>
      </c>
      <c r="R1449">
        <v>-0.98749149999999997</v>
      </c>
      <c r="S1449">
        <v>-0.38323970000000002</v>
      </c>
      <c r="T1449">
        <v>-6.9089289999999998E-2</v>
      </c>
      <c r="U1449">
        <v>-2.9810789999999998</v>
      </c>
      <c r="V1449">
        <v>1.7674329999999999E-2</v>
      </c>
      <c r="W1449">
        <v>5.0835930000000001E-2</v>
      </c>
      <c r="X1449">
        <v>0.99855059999999995</v>
      </c>
      <c r="Y1449">
        <v>-8.4709799999999995E-3</v>
      </c>
      <c r="Z1449">
        <v>2.2754409999999999E-2</v>
      </c>
      <c r="AA1449">
        <v>0.99970519999999996</v>
      </c>
      <c r="AB1449">
        <v>23</v>
      </c>
      <c r="AC1449">
        <v>-6.1238999999999901</v>
      </c>
      <c r="AD1449">
        <v>-1.1099590133799999</v>
      </c>
      <c r="AE1449">
        <v>-47.6542999999999</v>
      </c>
      <c r="AF1449">
        <v>-0.40757219544517498</v>
      </c>
      <c r="AG1449">
        <v>-1.1099590133799999</v>
      </c>
      <c r="AH1449">
        <v>48.018811915182603</v>
      </c>
      <c r="AI1449">
        <v>91.324113445369704</v>
      </c>
      <c r="AJ1449">
        <v>90.486301200699799</v>
      </c>
      <c r="AK1449">
        <v>48.033367796268102</v>
      </c>
      <c r="AL1449">
        <v>87.086059727320006</v>
      </c>
      <c r="AM1449">
        <v>88.985971484842807</v>
      </c>
      <c r="AN1449">
        <v>0.99999998724013595</v>
      </c>
    </row>
    <row r="1450" spans="1:40" x14ac:dyDescent="0.25">
      <c r="A1450" t="str">
        <f>"20190312160626522"</f>
        <v>20190312160626522</v>
      </c>
      <c r="B1450" t="str">
        <f>"1552377986516098"</f>
        <v>1552377986516098</v>
      </c>
      <c r="C1450" t="s">
        <v>40</v>
      </c>
      <c r="D1450">
        <v>6.5099200000000002</v>
      </c>
      <c r="E1450">
        <v>0.49452829999999898</v>
      </c>
      <c r="F1450" t="s">
        <v>61</v>
      </c>
      <c r="G1450">
        <v>-195.00579999999999</v>
      </c>
      <c r="H1450" s="1">
        <v>3.0821370000000001E-6</v>
      </c>
      <c r="I1450">
        <v>284.55360000000002</v>
      </c>
      <c r="J1450">
        <v>-189.91</v>
      </c>
      <c r="K1450">
        <v>1.109988</v>
      </c>
      <c r="L1450">
        <v>321.47800000000001</v>
      </c>
      <c r="M1450">
        <v>-0.13614329999999999</v>
      </c>
      <c r="N1450">
        <v>0</v>
      </c>
      <c r="O1450">
        <v>-0.99059390000000003</v>
      </c>
      <c r="P1450">
        <v>-0.15589700000000001</v>
      </c>
      <c r="Q1450">
        <v>3.6512389999999999E-2</v>
      </c>
      <c r="R1450">
        <v>-0.98709820000000004</v>
      </c>
      <c r="S1450">
        <v>-0.41093439999999998</v>
      </c>
      <c r="T1450">
        <v>-8.8962910000000006E-2</v>
      </c>
      <c r="U1450">
        <v>-2.9775390000000002</v>
      </c>
      <c r="V1450">
        <v>2.0067370000000001E-2</v>
      </c>
      <c r="W1450">
        <v>5.0222070000000001E-2</v>
      </c>
      <c r="X1450">
        <v>0.99853650000000005</v>
      </c>
      <c r="Y1450">
        <v>5.0538340000000001E-4</v>
      </c>
      <c r="Z1450">
        <v>2.931013E-2</v>
      </c>
      <c r="AA1450">
        <v>0.99957030000000002</v>
      </c>
      <c r="AB1450">
        <v>23</v>
      </c>
      <c r="AC1450">
        <v>-5.0957999999999899</v>
      </c>
      <c r="AD1450">
        <v>-1.1099849178629999</v>
      </c>
      <c r="AE1450">
        <v>-36.924399999999899</v>
      </c>
      <c r="AF1450">
        <v>2.0842215321309199E-2</v>
      </c>
      <c r="AG1450">
        <v>-1.1099849178629999</v>
      </c>
      <c r="AH1450">
        <v>37.241337239599403</v>
      </c>
      <c r="AI1450">
        <v>91.707205585664298</v>
      </c>
      <c r="AJ1450">
        <v>89.967934265054495</v>
      </c>
      <c r="AK1450">
        <v>37.2578810496437</v>
      </c>
      <c r="AL1450">
        <v>87.121276478594794</v>
      </c>
      <c r="AM1450">
        <v>88.848694210249604</v>
      </c>
      <c r="AN1450">
        <v>1.0000000487430201</v>
      </c>
    </row>
    <row r="1451" spans="1:40" x14ac:dyDescent="0.25">
      <c r="A1451" t="str">
        <f>"20190312160626558"</f>
        <v>20190312160626558</v>
      </c>
      <c r="B1451" t="str">
        <f>"1552377986546354"</f>
        <v>1552377986546354</v>
      </c>
      <c r="C1451" t="s">
        <v>40</v>
      </c>
      <c r="D1451">
        <v>6.4542989999999998</v>
      </c>
      <c r="E1451">
        <v>0.50031819999999905</v>
      </c>
      <c r="F1451" t="s">
        <v>61</v>
      </c>
      <c r="G1451">
        <v>-195.3443</v>
      </c>
      <c r="H1451" s="1">
        <v>3.0715480000000002E-6</v>
      </c>
      <c r="I1451">
        <v>283.988</v>
      </c>
      <c r="J1451">
        <v>-189.9589</v>
      </c>
      <c r="K1451">
        <v>1.1100080000000001</v>
      </c>
      <c r="L1451">
        <v>321.12619999999998</v>
      </c>
      <c r="M1451">
        <v>-0.13652919999999999</v>
      </c>
      <c r="N1451">
        <v>0</v>
      </c>
      <c r="O1451">
        <v>-0.99054120000000001</v>
      </c>
      <c r="P1451">
        <v>-0.15744369999999999</v>
      </c>
      <c r="Q1451">
        <v>3.5458480000000001E-2</v>
      </c>
      <c r="R1451">
        <v>-0.98689119999999997</v>
      </c>
      <c r="S1451">
        <v>-0.4311371</v>
      </c>
      <c r="T1451">
        <v>-8.8063600000000006E-2</v>
      </c>
      <c r="U1451">
        <v>-2.9743650000000001</v>
      </c>
      <c r="V1451">
        <v>2.1234780000000002E-2</v>
      </c>
      <c r="W1451">
        <v>4.9165279999999999E-2</v>
      </c>
      <c r="X1451">
        <v>0.99856489999999998</v>
      </c>
      <c r="Y1451">
        <v>6.9174279999999998E-3</v>
      </c>
      <c r="Z1451">
        <v>2.9028379999999999E-2</v>
      </c>
      <c r="AA1451">
        <v>0.99955459999999996</v>
      </c>
      <c r="AB1451">
        <v>23</v>
      </c>
      <c r="AC1451">
        <v>-5.3853999999999997</v>
      </c>
      <c r="AD1451">
        <v>-1.1100049284519999</v>
      </c>
      <c r="AE1451">
        <v>-37.138199999999898</v>
      </c>
      <c r="AF1451">
        <v>0.26380584141839097</v>
      </c>
      <c r="AG1451">
        <v>-1.1100049284519999</v>
      </c>
      <c r="AH1451">
        <v>37.492903958468403</v>
      </c>
      <c r="AI1451">
        <v>91.695746299908194</v>
      </c>
      <c r="AJ1451">
        <v>89.596864731687106</v>
      </c>
      <c r="AK1451">
        <v>37.510259285988496</v>
      </c>
      <c r="AL1451">
        <v>87.181900849261993</v>
      </c>
      <c r="AM1451">
        <v>88.781771795008495</v>
      </c>
      <c r="AN1451">
        <v>1.00000000007556</v>
      </c>
    </row>
    <row r="1452" spans="1:40" x14ac:dyDescent="0.25">
      <c r="A1452" t="str">
        <f>"20190312160626579"</f>
        <v>20190312160626579</v>
      </c>
      <c r="B1452" t="str">
        <f>"1552377986576610"</f>
        <v>1552377986576610</v>
      </c>
      <c r="C1452" t="s">
        <v>40</v>
      </c>
      <c r="D1452">
        <v>6.1469649999999998</v>
      </c>
      <c r="E1452">
        <v>0.50430609999999998</v>
      </c>
      <c r="F1452" t="s">
        <v>61</v>
      </c>
      <c r="G1452">
        <v>-196.98099999999999</v>
      </c>
      <c r="H1452" s="1">
        <v>3.6374219999999999E-6</v>
      </c>
      <c r="I1452">
        <v>277.8263</v>
      </c>
      <c r="J1452">
        <v>-189.9896</v>
      </c>
      <c r="K1452">
        <v>1.1100179999999999</v>
      </c>
      <c r="L1452">
        <v>320.90609999999998</v>
      </c>
      <c r="M1452">
        <v>-0.1367505</v>
      </c>
      <c r="N1452">
        <v>0</v>
      </c>
      <c r="O1452">
        <v>-0.99051049999999996</v>
      </c>
      <c r="P1452">
        <v>-0.15786069999999999</v>
      </c>
      <c r="Q1452">
        <v>3.4273680000000001E-2</v>
      </c>
      <c r="R1452">
        <v>-0.98686649999999998</v>
      </c>
      <c r="S1452">
        <v>-0.48098750000000001</v>
      </c>
      <c r="T1452">
        <v>-7.6031920000000003E-2</v>
      </c>
      <c r="U1452">
        <v>-2.9659119999999999</v>
      </c>
      <c r="V1452">
        <v>2.1426520000000001E-2</v>
      </c>
      <c r="W1452">
        <v>4.797887E-2</v>
      </c>
      <c r="X1452">
        <v>0.99861849999999996</v>
      </c>
      <c r="Y1452">
        <v>2.3525790000000001E-2</v>
      </c>
      <c r="Z1452">
        <v>2.5099659999999999E-2</v>
      </c>
      <c r="AA1452">
        <v>0.99940810000000002</v>
      </c>
      <c r="AB1452">
        <v>23</v>
      </c>
      <c r="AC1452">
        <v>-6.9913999999999898</v>
      </c>
      <c r="AD1452">
        <v>-1.1100143625779999</v>
      </c>
      <c r="AE1452">
        <v>-43.079799999999899</v>
      </c>
      <c r="AF1452">
        <v>1.0332998322531901</v>
      </c>
      <c r="AG1452">
        <v>-1.1100143625779999</v>
      </c>
      <c r="AH1452">
        <v>43.602973049171702</v>
      </c>
      <c r="AI1452">
        <v>91.457872268407698</v>
      </c>
      <c r="AJ1452">
        <v>88.642463204111294</v>
      </c>
      <c r="AK1452">
        <v>43.629337597025902</v>
      </c>
      <c r="AL1452">
        <v>87.249957434763502</v>
      </c>
      <c r="AM1452">
        <v>88.770841088961504</v>
      </c>
      <c r="AN1452">
        <v>0.99999998813401803</v>
      </c>
    </row>
    <row r="1453" spans="1:40" x14ac:dyDescent="0.25">
      <c r="A1453" t="str">
        <f>"20190312160626600"</f>
        <v>20190312160626600</v>
      </c>
      <c r="B1453" t="str">
        <f>"1552377986596130"</f>
        <v>1552377986596130</v>
      </c>
      <c r="C1453" t="s">
        <v>40</v>
      </c>
      <c r="D1453">
        <v>6.3741289999999999</v>
      </c>
      <c r="E1453">
        <v>0.54607240000000001</v>
      </c>
      <c r="F1453" t="s">
        <v>61</v>
      </c>
      <c r="G1453">
        <v>-198.0635</v>
      </c>
      <c r="H1453" s="1">
        <v>4.4531480000000002E-6</v>
      </c>
      <c r="I1453">
        <v>274.33789999999999</v>
      </c>
      <c r="J1453">
        <v>-190.0197</v>
      </c>
      <c r="K1453">
        <v>1.110023</v>
      </c>
      <c r="L1453">
        <v>320.69</v>
      </c>
      <c r="M1453">
        <v>-0.13696510000000001</v>
      </c>
      <c r="N1453">
        <v>0</v>
      </c>
      <c r="O1453">
        <v>-0.99048099999999994</v>
      </c>
      <c r="P1453">
        <v>-0.1586854</v>
      </c>
      <c r="Q1453">
        <v>3.413161E-2</v>
      </c>
      <c r="R1453">
        <v>-0.98673920000000004</v>
      </c>
      <c r="S1453">
        <v>-0.51324459999999905</v>
      </c>
      <c r="T1453">
        <v>-7.056105E-2</v>
      </c>
      <c r="U1453">
        <v>-2.9602360000000001</v>
      </c>
      <c r="V1453">
        <v>2.2043920000000002E-2</v>
      </c>
      <c r="W1453">
        <v>4.7833609999999999E-2</v>
      </c>
      <c r="X1453">
        <v>0.99861200000000006</v>
      </c>
      <c r="Y1453">
        <v>3.4209490000000002E-2</v>
      </c>
      <c r="Z1453">
        <v>2.3313219999999999E-2</v>
      </c>
      <c r="AA1453">
        <v>0.99914270000000005</v>
      </c>
      <c r="AB1453">
        <v>23</v>
      </c>
      <c r="AC1453">
        <v>-8.0437999999999992</v>
      </c>
      <c r="AD1453">
        <v>-1.1100185468520001</v>
      </c>
      <c r="AE1453">
        <v>-46.3521</v>
      </c>
      <c r="AF1453">
        <v>1.61786249202326</v>
      </c>
      <c r="AG1453">
        <v>-1.1100185468520001</v>
      </c>
      <c r="AH1453">
        <v>46.990852171462798</v>
      </c>
      <c r="AI1453">
        <v>91.352389014179707</v>
      </c>
      <c r="AJ1453">
        <v>88.028124889787094</v>
      </c>
      <c r="AK1453">
        <v>47.031795713301399</v>
      </c>
      <c r="AL1453">
        <v>87.258289702919299</v>
      </c>
      <c r="AM1453">
        <v>88.735426283107699</v>
      </c>
      <c r="AN1453">
        <v>0.99999995759929805</v>
      </c>
    </row>
    <row r="1454" spans="1:40" x14ac:dyDescent="0.25">
      <c r="A1454" t="str">
        <f>"20190312160626623"</f>
        <v>20190312160626623</v>
      </c>
      <c r="B1454" t="str">
        <f>"1552377986616626"</f>
        <v>1552377986616626</v>
      </c>
      <c r="C1454" t="s">
        <v>40</v>
      </c>
      <c r="D1454">
        <v>6.4354519999999997</v>
      </c>
      <c r="E1454">
        <v>0.54774899999999904</v>
      </c>
      <c r="F1454" t="s">
        <v>47</v>
      </c>
      <c r="G1454">
        <v>-194.44460000000001</v>
      </c>
      <c r="H1454" s="1">
        <v>-3.693313E-6</v>
      </c>
      <c r="I1454">
        <v>305.52300000000002</v>
      </c>
      <c r="J1454">
        <v>-190.05279999999999</v>
      </c>
      <c r="K1454">
        <v>1.110017</v>
      </c>
      <c r="L1454">
        <v>320.45249999999999</v>
      </c>
      <c r="M1454">
        <v>-0.1372032</v>
      </c>
      <c r="N1454">
        <v>0</v>
      </c>
      <c r="O1454">
        <v>-0.99044790000000005</v>
      </c>
      <c r="P1454">
        <v>-0.15910769999999999</v>
      </c>
      <c r="Q1454">
        <v>3.3041290000000001E-2</v>
      </c>
      <c r="R1454">
        <v>-0.98670840000000004</v>
      </c>
      <c r="S1454">
        <v>-0.84931950000000001</v>
      </c>
      <c r="T1454">
        <v>-0.213057</v>
      </c>
      <c r="U1454">
        <v>-2.911133</v>
      </c>
      <c r="V1454">
        <v>2.222613E-2</v>
      </c>
      <c r="W1454">
        <v>4.6740490000000003E-2</v>
      </c>
      <c r="X1454">
        <v>0.99865979999999999</v>
      </c>
      <c r="Y1454">
        <v>0.14500469999999999</v>
      </c>
      <c r="Z1454">
        <v>7.0125740000000006E-2</v>
      </c>
      <c r="AA1454">
        <v>0.98694280000000001</v>
      </c>
      <c r="AB1454">
        <v>23</v>
      </c>
      <c r="AC1454">
        <v>-4.3918000000000097</v>
      </c>
      <c r="AD1454">
        <v>-1.1100206933129999</v>
      </c>
      <c r="AE1454">
        <v>-14.929500000000001</v>
      </c>
      <c r="AF1454">
        <v>2.29003935810311</v>
      </c>
      <c r="AG1454">
        <v>-1.1100206933129999</v>
      </c>
      <c r="AH1454">
        <v>15.3130005293444</v>
      </c>
      <c r="AI1454">
        <v>94.100606261562106</v>
      </c>
      <c r="AJ1454">
        <v>81.494524523567705</v>
      </c>
      <c r="AK1454">
        <v>15.5230284227321</v>
      </c>
      <c r="AL1454">
        <v>87.320991220605194</v>
      </c>
      <c r="AM1454">
        <v>88.7250380501671</v>
      </c>
      <c r="AN1454">
        <v>1.00000003519812</v>
      </c>
    </row>
    <row r="1455" spans="1:40" x14ac:dyDescent="0.25">
      <c r="A1455" t="str">
        <f>"20190312160626644"</f>
        <v>20190312160626644</v>
      </c>
      <c r="B1455" t="str">
        <f>"1552377986626386"</f>
        <v>1552377986626386</v>
      </c>
      <c r="C1455" t="s">
        <v>40</v>
      </c>
      <c r="D1455">
        <v>6.189775</v>
      </c>
      <c r="E1455">
        <v>0.54774899999999904</v>
      </c>
      <c r="F1455" t="s">
        <v>47</v>
      </c>
      <c r="G1455">
        <v>-194.43600000000001</v>
      </c>
      <c r="H1455" s="1">
        <v>-3.7474739999999998E-6</v>
      </c>
      <c r="I1455">
        <v>305.68669999999997</v>
      </c>
      <c r="J1455">
        <v>-190.083</v>
      </c>
      <c r="K1455">
        <v>1.110006</v>
      </c>
      <c r="L1455">
        <v>320.23660000000001</v>
      </c>
      <c r="M1455">
        <v>-0.13742399999999999</v>
      </c>
      <c r="N1455">
        <v>0</v>
      </c>
      <c r="O1455">
        <v>-0.99041749999999995</v>
      </c>
      <c r="P1455">
        <v>-0.15961889999999901</v>
      </c>
      <c r="Q1455">
        <v>3.2731450000000002E-2</v>
      </c>
      <c r="R1455">
        <v>-0.98663599999999996</v>
      </c>
      <c r="S1455">
        <v>-0.86338809999999999</v>
      </c>
      <c r="T1455">
        <v>-0.21864910000000001</v>
      </c>
      <c r="U1455">
        <v>-2.9085390000000002</v>
      </c>
      <c r="V1455">
        <v>2.2520169999999999E-2</v>
      </c>
      <c r="W1455">
        <v>4.6428509999999999E-2</v>
      </c>
      <c r="X1455">
        <v>0.99866770000000005</v>
      </c>
      <c r="Y1455">
        <v>0.14937539999999999</v>
      </c>
      <c r="Z1455">
        <v>7.1943000000000007E-2</v>
      </c>
      <c r="AA1455">
        <v>0.98615980000000003</v>
      </c>
      <c r="AB1455">
        <v>23</v>
      </c>
      <c r="AC1455">
        <v>-4.3529999999999696</v>
      </c>
      <c r="AD1455">
        <v>-1.1100097474740001</v>
      </c>
      <c r="AE1455">
        <v>-14.549899999999999</v>
      </c>
      <c r="AF1455">
        <v>2.29971398807292</v>
      </c>
      <c r="AG1455">
        <v>-1.1100097474740001</v>
      </c>
      <c r="AH1455">
        <v>14.930334140875001</v>
      </c>
      <c r="AI1455">
        <v>94.202506760443001</v>
      </c>
      <c r="AJ1455">
        <v>81.243568130983306</v>
      </c>
      <c r="AK1455">
        <v>15.1471345020966</v>
      </c>
      <c r="AL1455">
        <v>87.338885610393007</v>
      </c>
      <c r="AM1455">
        <v>88.708186868623599</v>
      </c>
      <c r="AN1455">
        <v>0.99999996981046901</v>
      </c>
    </row>
    <row r="1456" spans="1:40" x14ac:dyDescent="0.25">
      <c r="A1456" t="str">
        <f>"20190312160626823"</f>
        <v>20190312160626823</v>
      </c>
      <c r="B1456" t="str">
        <f>"1552377986816749"</f>
        <v>1552377986816749</v>
      </c>
      <c r="C1456" t="s">
        <v>40</v>
      </c>
      <c r="D1456">
        <v>6.1280739999999998</v>
      </c>
      <c r="E1456">
        <v>0.58712140000000002</v>
      </c>
      <c r="F1456" t="s">
        <v>47</v>
      </c>
      <c r="G1456">
        <v>-194.45769999999999</v>
      </c>
      <c r="H1456" s="1">
        <v>-3.697455E-6</v>
      </c>
      <c r="I1456">
        <v>305.52839999999998</v>
      </c>
      <c r="J1456">
        <v>-190.33680000000001</v>
      </c>
      <c r="K1456">
        <v>1.109982</v>
      </c>
      <c r="L1456">
        <v>318.43599999999998</v>
      </c>
      <c r="M1456">
        <v>-0.13941310000000001</v>
      </c>
      <c r="N1456">
        <v>0</v>
      </c>
      <c r="O1456">
        <v>-0.99013960000000001</v>
      </c>
      <c r="P1456">
        <v>-0.16356699999999999</v>
      </c>
      <c r="Q1456">
        <v>3.4762670000000002E-2</v>
      </c>
      <c r="R1456">
        <v>-0.98591960000000001</v>
      </c>
      <c r="S1456">
        <v>-0.86492919999999995</v>
      </c>
      <c r="T1456">
        <v>-0.21945980000000001</v>
      </c>
      <c r="U1456">
        <v>-2.907959</v>
      </c>
      <c r="V1456">
        <v>2.452671E-2</v>
      </c>
      <c r="W1456">
        <v>4.8427070000000003E-2</v>
      </c>
      <c r="X1456">
        <v>0.99852560000000001</v>
      </c>
      <c r="Y1456">
        <v>0.14791779999999999</v>
      </c>
      <c r="Z1456">
        <v>7.2194460000000002E-2</v>
      </c>
      <c r="AA1456">
        <v>0.98636109999999999</v>
      </c>
      <c r="AB1456">
        <v>23</v>
      </c>
      <c r="AC1456">
        <v>-4.1208999999999696</v>
      </c>
      <c r="AD1456">
        <v>-1.109985697455</v>
      </c>
      <c r="AE1456">
        <v>-12.9076</v>
      </c>
      <c r="AF1456">
        <v>2.2657858635818799</v>
      </c>
      <c r="AG1456">
        <v>-1.109985697455</v>
      </c>
      <c r="AH1456">
        <v>13.2670500790791</v>
      </c>
      <c r="AI1456">
        <v>94.7145586401614</v>
      </c>
      <c r="AJ1456">
        <v>80.308360996411395</v>
      </c>
      <c r="AK1456">
        <v>13.5048314180132</v>
      </c>
      <c r="AL1456">
        <v>87.224247771684603</v>
      </c>
      <c r="AM1456">
        <v>88.592930965486204</v>
      </c>
      <c r="AN1456">
        <v>1.0000000572337799</v>
      </c>
    </row>
    <row r="1457" spans="1:40" x14ac:dyDescent="0.25">
      <c r="A1457" t="str">
        <f>"20190312160626847"</f>
        <v>20190312160626847</v>
      </c>
      <c r="B1457" t="str">
        <f>"1552377986836269"</f>
        <v>1552377986836269</v>
      </c>
      <c r="C1457" t="s">
        <v>40</v>
      </c>
      <c r="D1457">
        <v>6.0344369999999996</v>
      </c>
      <c r="E1457">
        <v>0.57160859999999902</v>
      </c>
      <c r="F1457" t="s">
        <v>44</v>
      </c>
      <c r="G1457">
        <v>-190.64169999999999</v>
      </c>
      <c r="H1457">
        <v>0.86202819999999902</v>
      </c>
      <c r="I1457">
        <v>317.70979999999997</v>
      </c>
      <c r="J1457">
        <v>-190.37010000000001</v>
      </c>
      <c r="K1457">
        <v>1.109985</v>
      </c>
      <c r="L1457">
        <v>318.20190000000002</v>
      </c>
      <c r="M1457">
        <v>-0.13967470000000001</v>
      </c>
      <c r="N1457">
        <v>0</v>
      </c>
      <c r="O1457">
        <v>-0.99010299999999996</v>
      </c>
      <c r="P1457">
        <v>-0.1646106</v>
      </c>
      <c r="Q1457">
        <v>3.6579380000000002E-2</v>
      </c>
      <c r="R1457">
        <v>-0.98568009999999995</v>
      </c>
      <c r="S1457">
        <v>-1.2078089999999999</v>
      </c>
      <c r="T1457">
        <v>-0.98228000000000004</v>
      </c>
      <c r="U1457">
        <v>-2.8771059999999999</v>
      </c>
      <c r="V1457">
        <v>2.5330269999999998E-2</v>
      </c>
      <c r="W1457">
        <v>5.0227309999999997E-2</v>
      </c>
      <c r="X1457">
        <v>0.99841650000000004</v>
      </c>
      <c r="Y1457">
        <v>0.2362514</v>
      </c>
      <c r="Z1457">
        <v>0.302624</v>
      </c>
      <c r="AA1457">
        <v>0.92336549999999995</v>
      </c>
      <c r="AB1457">
        <v>23</v>
      </c>
      <c r="AC1457">
        <v>-0.27159999999997803</v>
      </c>
      <c r="AD1457">
        <v>-0.2479568</v>
      </c>
      <c r="AE1457">
        <v>-0.49210000000005</v>
      </c>
      <c r="AF1457">
        <v>0.16758353695682901</v>
      </c>
      <c r="AG1457">
        <v>-0.2479568</v>
      </c>
      <c r="AH1457">
        <v>0.43965390875163302</v>
      </c>
      <c r="AI1457">
        <v>117.789035260749</v>
      </c>
      <c r="AJ1457">
        <v>69.134579573227398</v>
      </c>
      <c r="AK1457">
        <v>0.53184807605724205</v>
      </c>
      <c r="AL1457">
        <v>87.120975603142497</v>
      </c>
      <c r="AM1457">
        <v>88.546692387015099</v>
      </c>
      <c r="AN1457">
        <v>0.99999995636017802</v>
      </c>
    </row>
    <row r="1458" spans="1:40" x14ac:dyDescent="0.25">
      <c r="A1458" t="str">
        <f>"20190312160626867"</f>
        <v>20190312160626867</v>
      </c>
      <c r="B1458" t="str">
        <f>"1552377986856766"</f>
        <v>1552377986856766</v>
      </c>
      <c r="C1458" t="s">
        <v>40</v>
      </c>
      <c r="D1458">
        <v>5.9948730000000001</v>
      </c>
      <c r="E1458">
        <v>0.5711619</v>
      </c>
      <c r="F1458" t="s">
        <v>44</v>
      </c>
      <c r="G1458">
        <v>-190.655</v>
      </c>
      <c r="H1458">
        <v>1.015525</v>
      </c>
      <c r="I1458">
        <v>317.4366</v>
      </c>
      <c r="J1458">
        <v>-190.40010000000001</v>
      </c>
      <c r="K1458">
        <v>1.109982</v>
      </c>
      <c r="L1458">
        <v>317.99079999999998</v>
      </c>
      <c r="M1458">
        <v>-0.13990939999999999</v>
      </c>
      <c r="N1458">
        <v>0</v>
      </c>
      <c r="O1458">
        <v>-0.99007020000000001</v>
      </c>
      <c r="P1458">
        <v>-0.16549849999999999</v>
      </c>
      <c r="Q1458">
        <v>3.7400849999999999E-2</v>
      </c>
      <c r="R1458">
        <v>-0.98550059999999995</v>
      </c>
      <c r="S1458">
        <v>-1.0708009999999999</v>
      </c>
      <c r="T1458">
        <v>-0.35533369999999997</v>
      </c>
      <c r="U1458">
        <v>-2.877869</v>
      </c>
      <c r="V1458">
        <v>2.599812E-2</v>
      </c>
      <c r="W1458">
        <v>5.1032130000000002E-2</v>
      </c>
      <c r="X1458">
        <v>0.99835850000000004</v>
      </c>
      <c r="Y1458">
        <v>0.21180570000000001</v>
      </c>
      <c r="Z1458">
        <v>0.115559</v>
      </c>
      <c r="AA1458">
        <v>0.97045579999999998</v>
      </c>
      <c r="AB1458">
        <v>23</v>
      </c>
      <c r="AC1458">
        <v>-0.25489999999999202</v>
      </c>
      <c r="AD1458">
        <v>-9.4456999999999999E-2</v>
      </c>
      <c r="AE1458">
        <v>-0.55419999999998004</v>
      </c>
      <c r="AF1458">
        <v>0.17075324513026199</v>
      </c>
      <c r="AG1458">
        <v>-9.4456999999999999E-2</v>
      </c>
      <c r="AH1458">
        <v>0.57072987281208098</v>
      </c>
      <c r="AI1458">
        <v>99.009691678831899</v>
      </c>
      <c r="AJ1458">
        <v>73.343658485377503</v>
      </c>
      <c r="AK1458">
        <v>0.60316779033002899</v>
      </c>
      <c r="AL1458">
        <v>87.074803539557806</v>
      </c>
      <c r="AM1458">
        <v>88.508305403682897</v>
      </c>
      <c r="AN1458">
        <v>0.99999993752905803</v>
      </c>
    </row>
    <row r="1459" spans="1:40" x14ac:dyDescent="0.25">
      <c r="A1459" t="str">
        <f>"20190312160626890"</f>
        <v>20190312160626890</v>
      </c>
      <c r="B1459" t="str">
        <f>"1552377986886046"</f>
        <v>1552377986886046</v>
      </c>
      <c r="C1459" t="s">
        <v>40</v>
      </c>
      <c r="D1459">
        <v>6.0024389999999999</v>
      </c>
      <c r="E1459">
        <v>0.57573799999999997</v>
      </c>
      <c r="F1459" t="s">
        <v>47</v>
      </c>
      <c r="G1459">
        <v>-196.3775</v>
      </c>
      <c r="H1459" s="1">
        <v>-2.679164E-6</v>
      </c>
      <c r="I1459">
        <v>301.87880000000001</v>
      </c>
      <c r="J1459">
        <v>-190.43279999999999</v>
      </c>
      <c r="K1459">
        <v>1.109979</v>
      </c>
      <c r="L1459">
        <v>317.76209999999998</v>
      </c>
      <c r="M1459">
        <v>-0.14016239999999999</v>
      </c>
      <c r="N1459">
        <v>0</v>
      </c>
      <c r="O1459">
        <v>-0.99003470000000005</v>
      </c>
      <c r="P1459">
        <v>-0.16728879999999999</v>
      </c>
      <c r="Q1459">
        <v>3.6615290000000002E-2</v>
      </c>
      <c r="R1459">
        <v>-0.98522810000000005</v>
      </c>
      <c r="S1459">
        <v>-1.06572</v>
      </c>
      <c r="T1459">
        <v>-0.1979032</v>
      </c>
      <c r="U1459">
        <v>-2.8726500000000001</v>
      </c>
      <c r="V1459">
        <v>2.7553299999999999E-2</v>
      </c>
      <c r="W1459">
        <v>5.0230160000000003E-2</v>
      </c>
      <c r="X1459">
        <v>0.99835750000000001</v>
      </c>
      <c r="Y1459">
        <v>0.2122319</v>
      </c>
      <c r="Z1459">
        <v>6.4792080000000002E-2</v>
      </c>
      <c r="AA1459">
        <v>0.97506899999999996</v>
      </c>
      <c r="AB1459">
        <v>23</v>
      </c>
      <c r="AC1459">
        <v>-5.9447000000000099</v>
      </c>
      <c r="AD1459">
        <v>-1.109981679164</v>
      </c>
      <c r="AE1459">
        <v>-15.883299999999901</v>
      </c>
      <c r="AF1459">
        <v>3.6439483920984799</v>
      </c>
      <c r="AG1459">
        <v>-1.109981679164</v>
      </c>
      <c r="AH1459">
        <v>16.489146176887601</v>
      </c>
      <c r="AI1459">
        <v>93.760642212661097</v>
      </c>
      <c r="AJ1459">
        <v>77.538448862562504</v>
      </c>
      <c r="AK1459">
        <v>16.923426392286</v>
      </c>
      <c r="AL1459">
        <v>87.120812159112702</v>
      </c>
      <c r="AM1459">
        <v>88.419116234311105</v>
      </c>
      <c r="AN1459">
        <v>0.999999975560382</v>
      </c>
    </row>
    <row r="1460" spans="1:40" x14ac:dyDescent="0.25">
      <c r="A1460" t="str">
        <f>"20190312160626913"</f>
        <v>20190312160626913</v>
      </c>
      <c r="B1460" t="str">
        <f>"1552377986906541"</f>
        <v>1552377986906541</v>
      </c>
      <c r="C1460" t="s">
        <v>40</v>
      </c>
      <c r="D1460">
        <v>5.176749</v>
      </c>
      <c r="E1460">
        <v>0.57573109999999905</v>
      </c>
      <c r="F1460" t="s">
        <v>61</v>
      </c>
      <c r="G1460">
        <v>-197.9375</v>
      </c>
      <c r="H1460" s="1">
        <v>2.269527E-7</v>
      </c>
      <c r="I1460">
        <v>298.32769999999999</v>
      </c>
      <c r="J1460">
        <v>-190.46549999999999</v>
      </c>
      <c r="K1460">
        <v>1.1099779999999999</v>
      </c>
      <c r="L1460">
        <v>317.53309999999999</v>
      </c>
      <c r="M1460">
        <v>-0.14041589999999901</v>
      </c>
      <c r="N1460">
        <v>0</v>
      </c>
      <c r="O1460">
        <v>-0.98999890000000001</v>
      </c>
      <c r="P1460">
        <v>-0.16948089999999999</v>
      </c>
      <c r="Q1460">
        <v>3.5503590000000002E-2</v>
      </c>
      <c r="R1460">
        <v>-0.98489389999999999</v>
      </c>
      <c r="S1460">
        <v>-1.1056979999999901</v>
      </c>
      <c r="T1460">
        <v>-0.16353670000000001</v>
      </c>
      <c r="U1460">
        <v>-2.8633419999999998</v>
      </c>
      <c r="V1460">
        <v>2.9514189999999999E-2</v>
      </c>
      <c r="W1460">
        <v>4.9103830000000001E-2</v>
      </c>
      <c r="X1460">
        <v>0.99835750000000001</v>
      </c>
      <c r="Y1460">
        <v>0.22514129999999999</v>
      </c>
      <c r="Z1460">
        <v>5.3530179999999997E-2</v>
      </c>
      <c r="AA1460">
        <v>0.97285460000000001</v>
      </c>
      <c r="AB1460">
        <v>23</v>
      </c>
      <c r="AC1460">
        <v>-7.4720000000000004</v>
      </c>
      <c r="AD1460">
        <v>-1.1099777730472999</v>
      </c>
      <c r="AE1460">
        <v>-19.205400000000001</v>
      </c>
      <c r="AF1460">
        <v>4.6873657120692798</v>
      </c>
      <c r="AG1460">
        <v>-1.1099777730472999</v>
      </c>
      <c r="AH1460">
        <v>20.006332903655899</v>
      </c>
      <c r="AI1460">
        <v>93.092026298485607</v>
      </c>
      <c r="AJ1460">
        <v>76.8137833684914</v>
      </c>
      <c r="AK1460">
        <v>20.5780660954144</v>
      </c>
      <c r="AL1460">
        <v>87.185425892040101</v>
      </c>
      <c r="AM1460">
        <v>88.306672559857901</v>
      </c>
      <c r="AN1460">
        <v>0.99999998566913695</v>
      </c>
    </row>
    <row r="1461" spans="1:40" x14ac:dyDescent="0.25">
      <c r="A1461" t="str">
        <f>"20190312160626935"</f>
        <v>20190312160626935</v>
      </c>
      <c r="B1461" t="str">
        <f>"1552377986926061"</f>
        <v>1552377986926061</v>
      </c>
      <c r="C1461" t="s">
        <v>40</v>
      </c>
      <c r="D1461">
        <v>6.14764</v>
      </c>
      <c r="E1461">
        <v>0.56079829999999997</v>
      </c>
      <c r="F1461" t="s">
        <v>61</v>
      </c>
      <c r="G1461">
        <v>-197.87790000000001</v>
      </c>
      <c r="H1461" s="1">
        <v>2.0421360000000001E-7</v>
      </c>
      <c r="I1461">
        <v>298.45679999999999</v>
      </c>
      <c r="J1461">
        <v>-190.49709999999999</v>
      </c>
      <c r="K1461">
        <v>1.1099760000000001</v>
      </c>
      <c r="L1461">
        <v>317.31279999999998</v>
      </c>
      <c r="M1461">
        <v>-0.1406606</v>
      </c>
      <c r="N1461">
        <v>0</v>
      </c>
      <c r="O1461">
        <v>-0.98996419999999996</v>
      </c>
      <c r="P1461">
        <v>-0.17129269999999999</v>
      </c>
      <c r="Q1461">
        <v>3.5679509999999998E-2</v>
      </c>
      <c r="R1461">
        <v>-0.98457380000000005</v>
      </c>
      <c r="S1461">
        <v>-1.111588</v>
      </c>
      <c r="T1461">
        <v>-0.1664562</v>
      </c>
      <c r="U1461">
        <v>-2.8607480000000001</v>
      </c>
      <c r="V1461">
        <v>3.1106040000000001E-2</v>
      </c>
      <c r="W1461">
        <v>4.9265280000000002E-2</v>
      </c>
      <c r="X1461">
        <v>0.9983012</v>
      </c>
      <c r="Y1461">
        <v>0.22691900000000001</v>
      </c>
      <c r="Z1461">
        <v>5.449495E-2</v>
      </c>
      <c r="AA1461">
        <v>0.97238780000000002</v>
      </c>
      <c r="AB1461">
        <v>23</v>
      </c>
      <c r="AC1461">
        <v>-7.3808000000000202</v>
      </c>
      <c r="AD1461">
        <v>-1.1099757957863901</v>
      </c>
      <c r="AE1461">
        <v>-18.855999999999899</v>
      </c>
      <c r="AF1461">
        <v>4.6409181335833702</v>
      </c>
      <c r="AG1461">
        <v>-1.1099757957863901</v>
      </c>
      <c r="AH1461">
        <v>19.6477426907324</v>
      </c>
      <c r="AI1461">
        <v>93.147001719490703</v>
      </c>
      <c r="AJ1461">
        <v>76.709974520382104</v>
      </c>
      <c r="AK1461">
        <v>20.2189010638829</v>
      </c>
      <c r="AL1461">
        <v>87.176164233985901</v>
      </c>
      <c r="AM1461">
        <v>88.215299789047904</v>
      </c>
      <c r="AN1461">
        <v>0.99999996972969896</v>
      </c>
    </row>
    <row r="1462" spans="1:40" x14ac:dyDescent="0.25">
      <c r="A1462" t="str">
        <f>"20190312160626959"</f>
        <v>20190312160626959</v>
      </c>
      <c r="B1462" t="str">
        <f>"1552377986946557"</f>
        <v>1552377986946557</v>
      </c>
      <c r="C1462" t="s">
        <v>40</v>
      </c>
      <c r="D1462">
        <v>5.6172149999999998</v>
      </c>
      <c r="E1462">
        <v>0.56632109999999902</v>
      </c>
      <c r="F1462" t="s">
        <v>65</v>
      </c>
      <c r="G1462">
        <v>-273.8184</v>
      </c>
      <c r="H1462">
        <v>20.32329</v>
      </c>
      <c r="I1462">
        <v>75.646709999999999</v>
      </c>
      <c r="J1462">
        <v>-190.53059999999999</v>
      </c>
      <c r="K1462">
        <v>1.1099650000000001</v>
      </c>
      <c r="L1462">
        <v>317.0788</v>
      </c>
      <c r="M1462">
        <v>-0.1409204</v>
      </c>
      <c r="N1462">
        <v>0</v>
      </c>
      <c r="O1462">
        <v>-0.98992740000000001</v>
      </c>
      <c r="P1462">
        <v>-0.1726791</v>
      </c>
      <c r="Q1462">
        <v>3.648622E-2</v>
      </c>
      <c r="R1462">
        <v>-0.98430220000000002</v>
      </c>
      <c r="S1462">
        <v>-0.98841860000000004</v>
      </c>
      <c r="T1462">
        <v>0.2279224</v>
      </c>
      <c r="U1462">
        <v>-2.8668209999999998</v>
      </c>
      <c r="V1462">
        <v>3.2254959999999999E-2</v>
      </c>
      <c r="W1462">
        <v>5.0057289999999997E-2</v>
      </c>
      <c r="X1462">
        <v>0.99822540000000004</v>
      </c>
      <c r="Y1462">
        <v>0.18853039999999999</v>
      </c>
      <c r="Z1462">
        <v>-7.5210490000000005E-2</v>
      </c>
      <c r="AA1462">
        <v>0.97918320000000003</v>
      </c>
      <c r="AB1462">
        <v>23</v>
      </c>
      <c r="AC1462">
        <v>-83.287800000000004</v>
      </c>
      <c r="AD1462">
        <v>19.213325000000001</v>
      </c>
      <c r="AE1462">
        <v>-241.43208999999999</v>
      </c>
      <c r="AF1462">
        <v>48.158099715136103</v>
      </c>
      <c r="AG1462">
        <v>19.213325000000001</v>
      </c>
      <c r="AH1462">
        <v>249.349205268703</v>
      </c>
      <c r="AI1462">
        <v>85.673485353567798</v>
      </c>
      <c r="AJ1462">
        <v>79.068760141949198</v>
      </c>
      <c r="AK1462">
        <v>254.68290204460601</v>
      </c>
      <c r="AL1462">
        <v>87.130729518464307</v>
      </c>
      <c r="AM1462">
        <v>88.149285424612998</v>
      </c>
      <c r="AN1462">
        <v>1.0000000319659501</v>
      </c>
    </row>
    <row r="1463" spans="1:40" x14ac:dyDescent="0.25">
      <c r="A1463" t="str">
        <f>"20190312160626983"</f>
        <v>20190312160626983</v>
      </c>
      <c r="B1463" t="str">
        <f>"1552377986966077"</f>
        <v>1552377986966077</v>
      </c>
      <c r="C1463" t="s">
        <v>40</v>
      </c>
      <c r="D1463">
        <v>5.9503769999999996</v>
      </c>
      <c r="E1463">
        <v>0.56411060000000002</v>
      </c>
      <c r="F1463" t="s">
        <v>61</v>
      </c>
      <c r="G1463">
        <v>-202.84059999999999</v>
      </c>
      <c r="H1463" s="1">
        <v>3.5928959999999998E-6</v>
      </c>
      <c r="I1463">
        <v>283.28710000000001</v>
      </c>
      <c r="J1463">
        <v>-190.56569999999999</v>
      </c>
      <c r="K1463">
        <v>1.109969</v>
      </c>
      <c r="L1463">
        <v>316.83499999999998</v>
      </c>
      <c r="M1463">
        <v>-0.14119110000000001</v>
      </c>
      <c r="N1463">
        <v>0</v>
      </c>
      <c r="O1463">
        <v>-0.98988940000000003</v>
      </c>
      <c r="P1463">
        <v>-0.17348659999999999</v>
      </c>
      <c r="Q1463">
        <v>3.6271360000000002E-2</v>
      </c>
      <c r="R1463">
        <v>-0.98416840000000005</v>
      </c>
      <c r="S1463">
        <v>-1.044815</v>
      </c>
      <c r="T1463">
        <v>-9.4208239999999999E-2</v>
      </c>
      <c r="U1463">
        <v>-2.8680729999999999</v>
      </c>
      <c r="V1463">
        <v>3.2800080000000002E-2</v>
      </c>
      <c r="W1463">
        <v>4.9826790000000003E-2</v>
      </c>
      <c r="X1463">
        <v>0.99821910000000003</v>
      </c>
      <c r="Y1463">
        <v>0.20601720000000001</v>
      </c>
      <c r="Z1463">
        <v>3.0993159999999999E-2</v>
      </c>
      <c r="AA1463">
        <v>0.97805739999999997</v>
      </c>
      <c r="AB1463">
        <v>23</v>
      </c>
      <c r="AC1463">
        <v>-12.274900000000001</v>
      </c>
      <c r="AD1463">
        <v>-1.1099654071039999</v>
      </c>
      <c r="AE1463">
        <v>-33.547899999999899</v>
      </c>
      <c r="AF1463">
        <v>7.4076592660728497</v>
      </c>
      <c r="AG1463">
        <v>-1.1099654071039999</v>
      </c>
      <c r="AH1463">
        <v>34.9113286187931</v>
      </c>
      <c r="AI1463">
        <v>91.781406014958705</v>
      </c>
      <c r="AJ1463">
        <v>78.020371757803304</v>
      </c>
      <c r="AK1463">
        <v>35.705830125296998</v>
      </c>
      <c r="AL1463">
        <v>87.143952498876402</v>
      </c>
      <c r="AM1463">
        <v>88.118018143431897</v>
      </c>
      <c r="AN1463">
        <v>0.99999996292725901</v>
      </c>
    </row>
    <row r="1464" spans="1:40" x14ac:dyDescent="0.25">
      <c r="A1464" t="str">
        <f>"20190312160627004"</f>
        <v>20190312160627004</v>
      </c>
      <c r="B1464" t="str">
        <f>"1552377986996334"</f>
        <v>1552377986996334</v>
      </c>
      <c r="C1464" t="s">
        <v>40</v>
      </c>
      <c r="D1464">
        <v>5.7681740000000001</v>
      </c>
      <c r="E1464">
        <v>0.55591369999999996</v>
      </c>
      <c r="F1464" t="s">
        <v>45</v>
      </c>
      <c r="G1464">
        <v>-208.4066</v>
      </c>
      <c r="H1464">
        <v>-0.05</v>
      </c>
      <c r="I1464">
        <v>267.07499999999999</v>
      </c>
      <c r="J1464">
        <v>-190.59520000000001</v>
      </c>
      <c r="K1464">
        <v>1.1099650000000001</v>
      </c>
      <c r="L1464">
        <v>316.63040000000001</v>
      </c>
      <c r="M1464">
        <v>-0.14141889999999999</v>
      </c>
      <c r="N1464">
        <v>0</v>
      </c>
      <c r="O1464">
        <v>-0.98985710000000005</v>
      </c>
      <c r="P1464">
        <v>-0.1749223</v>
      </c>
      <c r="Q1464">
        <v>3.5833959999999998E-2</v>
      </c>
      <c r="R1464">
        <v>-0.98393050000000004</v>
      </c>
      <c r="S1464">
        <v>-1.0287630000000001</v>
      </c>
      <c r="T1464">
        <v>-6.6887619999999995E-2</v>
      </c>
      <c r="U1464">
        <v>-2.8693240000000002</v>
      </c>
      <c r="V1464">
        <v>3.4025E-2</v>
      </c>
      <c r="W1464">
        <v>4.9371970000000001E-2</v>
      </c>
      <c r="X1464">
        <v>0.99820070000000005</v>
      </c>
      <c r="Y1464">
        <v>0.20089290000000001</v>
      </c>
      <c r="Z1464">
        <v>2.2032659999999999E-2</v>
      </c>
      <c r="AA1464">
        <v>0.97936540000000005</v>
      </c>
      <c r="AB1464">
        <v>22</v>
      </c>
      <c r="AC1464">
        <v>-17.8113999999999</v>
      </c>
      <c r="AD1464">
        <v>-1.1599649999999999</v>
      </c>
      <c r="AE1464">
        <v>-49.555399999999999</v>
      </c>
      <c r="AF1464">
        <v>10.618493625749601</v>
      </c>
      <c r="AG1464">
        <v>-1.1599649999999999</v>
      </c>
      <c r="AH1464">
        <v>51.551354511845403</v>
      </c>
      <c r="AI1464">
        <v>91.2625083130158</v>
      </c>
      <c r="AJ1464">
        <v>78.361056821239501</v>
      </c>
      <c r="AK1464">
        <v>52.646368133872897</v>
      </c>
      <c r="AL1464">
        <v>87.170043885157199</v>
      </c>
      <c r="AM1464">
        <v>88.047752920739796</v>
      </c>
      <c r="AN1464">
        <v>0.99999996476358399</v>
      </c>
    </row>
    <row r="1465" spans="1:40" x14ac:dyDescent="0.25">
      <c r="A1465" t="str">
        <f>"20190312160627025"</f>
        <v>20190312160627025</v>
      </c>
      <c r="B1465" t="str">
        <f>"1552377987016829"</f>
        <v>1552377987016829</v>
      </c>
      <c r="C1465" t="s">
        <v>40</v>
      </c>
      <c r="D1465">
        <v>6.2618900000000002</v>
      </c>
      <c r="E1465">
        <v>0.55611690000000003</v>
      </c>
      <c r="F1465" t="s">
        <v>45</v>
      </c>
      <c r="G1465">
        <v>-209.0735</v>
      </c>
      <c r="H1465">
        <v>-0.05</v>
      </c>
      <c r="I1465">
        <v>261.66789999999997</v>
      </c>
      <c r="J1465">
        <v>-190.626</v>
      </c>
      <c r="K1465">
        <v>1.109953</v>
      </c>
      <c r="L1465">
        <v>316.41640000000001</v>
      </c>
      <c r="M1465">
        <v>-0.14165910000000001</v>
      </c>
      <c r="N1465">
        <v>0</v>
      </c>
      <c r="O1465">
        <v>-0.98982270000000006</v>
      </c>
      <c r="P1465">
        <v>-0.17596329999999999</v>
      </c>
      <c r="Q1465">
        <v>3.5709110000000002E-2</v>
      </c>
      <c r="R1465">
        <v>-0.98374879999999998</v>
      </c>
      <c r="S1465">
        <v>-0.9679565</v>
      </c>
      <c r="T1465">
        <v>-6.0762879999999998E-2</v>
      </c>
      <c r="U1465">
        <v>-2.8791199999999999</v>
      </c>
      <c r="V1465">
        <v>3.4838870000000001E-2</v>
      </c>
      <c r="W1465">
        <v>4.9224329999999997E-2</v>
      </c>
      <c r="X1465">
        <v>0.99817999999999996</v>
      </c>
      <c r="Y1465">
        <v>0.1811063</v>
      </c>
      <c r="Z1465">
        <v>2.0057450000000001E-2</v>
      </c>
      <c r="AA1465">
        <v>0.98325899999999999</v>
      </c>
      <c r="AB1465">
        <v>22</v>
      </c>
      <c r="AC1465">
        <v>-18.447500000000002</v>
      </c>
      <c r="AD1465">
        <v>-1.159953</v>
      </c>
      <c r="AE1465">
        <v>-54.7485</v>
      </c>
      <c r="AF1465">
        <v>10.5008629858837</v>
      </c>
      <c r="AG1465">
        <v>-1.159953</v>
      </c>
      <c r="AH1465">
        <v>56.786891352042801</v>
      </c>
      <c r="AI1465">
        <v>91.150682384079005</v>
      </c>
      <c r="AJ1465">
        <v>79.523378737582206</v>
      </c>
      <c r="AK1465">
        <v>57.761272872394599</v>
      </c>
      <c r="AL1465">
        <v>87.178513564405904</v>
      </c>
      <c r="AM1465">
        <v>88.001051650656294</v>
      </c>
      <c r="AN1465">
        <v>1.00000004696341</v>
      </c>
    </row>
    <row r="1466" spans="1:40" x14ac:dyDescent="0.25">
      <c r="A1466" t="str">
        <f>"20190312160627048"</f>
        <v>20190312160627048</v>
      </c>
      <c r="B1466" t="str">
        <f>"1552377987036349"</f>
        <v>1552377987036349</v>
      </c>
      <c r="C1466" t="s">
        <v>40</v>
      </c>
      <c r="D1466">
        <v>5.7187549999999998</v>
      </c>
      <c r="E1466">
        <v>0.55688789999999999</v>
      </c>
      <c r="F1466" t="s">
        <v>45</v>
      </c>
      <c r="G1466">
        <v>-209.30109999999999</v>
      </c>
      <c r="H1466">
        <v>-0.05</v>
      </c>
      <c r="I1466">
        <v>261.14920000000001</v>
      </c>
      <c r="J1466">
        <v>-190.6576</v>
      </c>
      <c r="K1466">
        <v>1.109947</v>
      </c>
      <c r="L1466">
        <v>316.19799999999998</v>
      </c>
      <c r="M1466">
        <v>-0.14190999999999901</v>
      </c>
      <c r="N1466">
        <v>0</v>
      </c>
      <c r="O1466">
        <v>-0.98978750000000004</v>
      </c>
      <c r="P1466">
        <v>-0.17649110000000001</v>
      </c>
      <c r="Q1466">
        <v>3.5534410000000002E-2</v>
      </c>
      <c r="R1466">
        <v>-0.98366089999999995</v>
      </c>
      <c r="S1466">
        <v>-0.97242740000000005</v>
      </c>
      <c r="T1466">
        <v>-6.0399769999999998E-2</v>
      </c>
      <c r="U1466">
        <v>-2.8778079999999999</v>
      </c>
      <c r="V1466">
        <v>3.512117E-2</v>
      </c>
      <c r="W1466">
        <v>4.9022400000000001E-2</v>
      </c>
      <c r="X1466">
        <v>0.99817999999999996</v>
      </c>
      <c r="Y1466">
        <v>0.18236479999999999</v>
      </c>
      <c r="Z1466">
        <v>1.9937980000000001E-2</v>
      </c>
      <c r="AA1466">
        <v>0.98302880000000004</v>
      </c>
      <c r="AB1466">
        <v>22</v>
      </c>
      <c r="AC1466">
        <v>-18.6434999999999</v>
      </c>
      <c r="AD1466">
        <v>-1.1599469999999901</v>
      </c>
      <c r="AE1466">
        <v>-55.0487999999999</v>
      </c>
      <c r="AF1466">
        <v>10.637860705595401</v>
      </c>
      <c r="AG1466">
        <v>-1.1599469999999901</v>
      </c>
      <c r="AH1466">
        <v>57.114770822588902</v>
      </c>
      <c r="AI1466">
        <v>91.143798156198301</v>
      </c>
      <c r="AJ1466">
        <v>79.449320223337594</v>
      </c>
      <c r="AK1466">
        <v>58.108575989705002</v>
      </c>
      <c r="AL1466">
        <v>87.190097159964907</v>
      </c>
      <c r="AM1466">
        <v>87.984867436077707</v>
      </c>
      <c r="AN1466">
        <v>1.00000000234196</v>
      </c>
    </row>
    <row r="1467" spans="1:40" x14ac:dyDescent="0.25">
      <c r="A1467" t="str">
        <f>"20190312160627069"</f>
        <v>20190312160627069</v>
      </c>
      <c r="B1467" t="str">
        <f>"1552377987056845"</f>
        <v>1552377987056845</v>
      </c>
      <c r="C1467" t="s">
        <v>40</v>
      </c>
      <c r="D1467">
        <v>5.9589210000000001</v>
      </c>
      <c r="E1467">
        <v>0.55665229999999999</v>
      </c>
      <c r="F1467" t="s">
        <v>45</v>
      </c>
      <c r="G1467">
        <v>-207.51519999999999</v>
      </c>
      <c r="H1467">
        <v>-0.05</v>
      </c>
      <c r="I1467">
        <v>266.73599999999999</v>
      </c>
      <c r="J1467">
        <v>-190.6876</v>
      </c>
      <c r="K1467">
        <v>1.109934</v>
      </c>
      <c r="L1467">
        <v>315.99029999999999</v>
      </c>
      <c r="M1467">
        <v>-0.14215939999999999</v>
      </c>
      <c r="N1467">
        <v>0</v>
      </c>
      <c r="O1467">
        <v>-0.98975170000000001</v>
      </c>
      <c r="P1467">
        <v>-0.1770941</v>
      </c>
      <c r="Q1467">
        <v>3.6034709999999998E-2</v>
      </c>
      <c r="R1467">
        <v>-0.98353420000000003</v>
      </c>
      <c r="S1467">
        <v>-0.98031619999999997</v>
      </c>
      <c r="T1467">
        <v>-6.7453860000000004E-2</v>
      </c>
      <c r="U1467">
        <v>-2.8763429999999999</v>
      </c>
      <c r="V1467">
        <v>3.5485509999999998E-2</v>
      </c>
      <c r="W1467">
        <v>4.94958E-2</v>
      </c>
      <c r="X1467">
        <v>0.99814369999999997</v>
      </c>
      <c r="Y1467">
        <v>0.1846701</v>
      </c>
      <c r="Z1467">
        <v>2.2260510000000001E-2</v>
      </c>
      <c r="AA1467">
        <v>0.98254839999999999</v>
      </c>
      <c r="AB1467">
        <v>22</v>
      </c>
      <c r="AC1467">
        <v>-16.827599999999901</v>
      </c>
      <c r="AD1467">
        <v>-1.159934</v>
      </c>
      <c r="AE1467">
        <v>-49.254300000000001</v>
      </c>
      <c r="AF1467">
        <v>9.6492717535887191</v>
      </c>
      <c r="AG1467">
        <v>-1.159934</v>
      </c>
      <c r="AH1467">
        <v>51.121002086690801</v>
      </c>
      <c r="AI1467">
        <v>91.277270050626797</v>
      </c>
      <c r="AJ1467">
        <v>79.310975436740094</v>
      </c>
      <c r="AK1467">
        <v>52.036628893563098</v>
      </c>
      <c r="AL1467">
        <v>87.162940223815994</v>
      </c>
      <c r="AM1467">
        <v>87.963906374445699</v>
      </c>
      <c r="AN1467">
        <v>0.99999995074364301</v>
      </c>
    </row>
    <row r="1468" spans="1:40" x14ac:dyDescent="0.25">
      <c r="A1468" t="str">
        <f>"20190312160627091"</f>
        <v>20190312160627091</v>
      </c>
      <c r="B1468" t="str">
        <f>"1552377987086126"</f>
        <v>1552377987086126</v>
      </c>
      <c r="C1468" t="s">
        <v>40</v>
      </c>
      <c r="D1468">
        <v>6.3217540000000003</v>
      </c>
      <c r="E1468">
        <v>0.55679849999999997</v>
      </c>
      <c r="F1468" t="s">
        <v>61</v>
      </c>
      <c r="G1468">
        <v>-203.614</v>
      </c>
      <c r="H1468">
        <v>8.0001409999999995E-2</v>
      </c>
      <c r="I1468">
        <v>278.0779</v>
      </c>
      <c r="J1468">
        <v>-190.72</v>
      </c>
      <c r="K1468">
        <v>1.109923</v>
      </c>
      <c r="L1468">
        <v>315.76710000000003</v>
      </c>
      <c r="M1468">
        <v>-0.1424483</v>
      </c>
      <c r="N1468">
        <v>0</v>
      </c>
      <c r="O1468">
        <v>-0.9897106</v>
      </c>
      <c r="P1468">
        <v>-0.17772070000000001</v>
      </c>
      <c r="Q1468">
        <v>3.561011E-2</v>
      </c>
      <c r="R1468">
        <v>-0.98343650000000005</v>
      </c>
      <c r="S1468">
        <v>-0.98074340000000004</v>
      </c>
      <c r="T1468">
        <v>-7.8142290000000003E-2</v>
      </c>
      <c r="U1468">
        <v>-2.876465</v>
      </c>
      <c r="V1468">
        <v>3.5829409999999999E-2</v>
      </c>
      <c r="W1468">
        <v>4.9044780000000003E-2</v>
      </c>
      <c r="X1468">
        <v>0.99815370000000003</v>
      </c>
      <c r="Y1468">
        <v>0.18447369999999999</v>
      </c>
      <c r="Z1468">
        <v>2.5782780000000002E-2</v>
      </c>
      <c r="AA1468">
        <v>0.98249920000000002</v>
      </c>
      <c r="AB1468">
        <v>22</v>
      </c>
      <c r="AC1468">
        <v>-12.894</v>
      </c>
      <c r="AD1468">
        <v>-1.0299215900000001</v>
      </c>
      <c r="AE1468">
        <v>-37.6892</v>
      </c>
      <c r="AF1468">
        <v>7.3882975244558597</v>
      </c>
      <c r="AG1468">
        <v>-1.0299215900000001</v>
      </c>
      <c r="AH1468">
        <v>39.115530685407798</v>
      </c>
      <c r="AI1468">
        <v>91.482069229850893</v>
      </c>
      <c r="AJ1468">
        <v>79.303760255603294</v>
      </c>
      <c r="AK1468">
        <v>39.8205025030135</v>
      </c>
      <c r="AL1468">
        <v>87.188813253442405</v>
      </c>
      <c r="AM1468">
        <v>87.944211450605593</v>
      </c>
      <c r="AN1468">
        <v>0.99999997294494203</v>
      </c>
    </row>
    <row r="1469" spans="1:40" x14ac:dyDescent="0.25">
      <c r="A1469" t="str">
        <f>"20190312160627115"</f>
        <v>20190312160627115</v>
      </c>
      <c r="B1469" t="str">
        <f>"1552377987106621"</f>
        <v>1552377987106621</v>
      </c>
      <c r="C1469" t="s">
        <v>40</v>
      </c>
      <c r="D1469">
        <v>6.0525570000000002</v>
      </c>
      <c r="E1469">
        <v>0.55772699999999997</v>
      </c>
      <c r="F1469" t="s">
        <v>61</v>
      </c>
      <c r="G1469">
        <v>-203.20849999999999</v>
      </c>
      <c r="H1469">
        <v>8.0001169999999996E-2</v>
      </c>
      <c r="I1469">
        <v>279.26029999999997</v>
      </c>
      <c r="J1469">
        <v>-190.75489999999999</v>
      </c>
      <c r="K1469">
        <v>1.109891</v>
      </c>
      <c r="L1469">
        <v>315.52800000000002</v>
      </c>
      <c r="M1469">
        <v>-0.14279739999999999</v>
      </c>
      <c r="N1469">
        <v>0</v>
      </c>
      <c r="O1469">
        <v>-0.98966089999999995</v>
      </c>
      <c r="P1469">
        <v>-0.178037</v>
      </c>
      <c r="Q1469">
        <v>3.5183609999999997E-2</v>
      </c>
      <c r="R1469">
        <v>-0.98339480000000001</v>
      </c>
      <c r="S1469">
        <v>-0.98373409999999994</v>
      </c>
      <c r="T1469">
        <v>-8.1128599999999995E-2</v>
      </c>
      <c r="U1469">
        <v>-2.875702</v>
      </c>
      <c r="V1469">
        <v>3.5798879999999998E-2</v>
      </c>
      <c r="W1469">
        <v>4.8586129999999998E-2</v>
      </c>
      <c r="X1469">
        <v>0.99817719999999999</v>
      </c>
      <c r="Y1469">
        <v>0.18511330000000001</v>
      </c>
      <c r="Z1469">
        <v>2.676605E-2</v>
      </c>
      <c r="AA1469">
        <v>0.98235260000000002</v>
      </c>
      <c r="AB1469">
        <v>22</v>
      </c>
      <c r="AC1469">
        <v>-12.4535999999999</v>
      </c>
      <c r="AD1469">
        <v>-1.0298898299999999</v>
      </c>
      <c r="AE1469">
        <v>-36.267699999999998</v>
      </c>
      <c r="AF1469">
        <v>7.1414003580910697</v>
      </c>
      <c r="AG1469">
        <v>-1.0298898299999999</v>
      </c>
      <c r="AH1469">
        <v>37.647304872141198</v>
      </c>
      <c r="AI1469">
        <v>91.539567119056301</v>
      </c>
      <c r="AJ1469">
        <v>79.259054647585103</v>
      </c>
      <c r="AK1469">
        <v>38.332490608782898</v>
      </c>
      <c r="AL1469">
        <v>87.215123258438695</v>
      </c>
      <c r="AM1469">
        <v>87.946009989735799</v>
      </c>
      <c r="AN1469">
        <v>0.99999994721873398</v>
      </c>
    </row>
    <row r="1470" spans="1:40" x14ac:dyDescent="0.25">
      <c r="A1470" t="str">
        <f>"20190312160627137"</f>
        <v>20190312160627137</v>
      </c>
      <c r="B1470" t="str">
        <f>"1552377987126141"</f>
        <v>1552377987126141</v>
      </c>
      <c r="C1470" t="s">
        <v>40</v>
      </c>
      <c r="D1470">
        <v>6.3272700000000004</v>
      </c>
      <c r="E1470">
        <v>0.55771990000000005</v>
      </c>
      <c r="F1470" t="s">
        <v>61</v>
      </c>
      <c r="G1470">
        <v>-202.64670000000001</v>
      </c>
      <c r="H1470" s="1">
        <v>3.699743E-6</v>
      </c>
      <c r="I1470">
        <v>281.08089999999999</v>
      </c>
      <c r="J1470">
        <v>-190.78710000000001</v>
      </c>
      <c r="K1470">
        <v>1.10985</v>
      </c>
      <c r="L1470">
        <v>315.3073</v>
      </c>
      <c r="M1470">
        <v>-0.14317050000000001</v>
      </c>
      <c r="N1470">
        <v>0</v>
      </c>
      <c r="O1470">
        <v>-0.98960740000000003</v>
      </c>
      <c r="P1470">
        <v>-0.17823820000000001</v>
      </c>
      <c r="Q1470">
        <v>3.4722259999999998E-2</v>
      </c>
      <c r="R1470">
        <v>-0.98337470000000005</v>
      </c>
      <c r="S1470">
        <v>-0.99226380000000003</v>
      </c>
      <c r="T1470">
        <v>-9.2610120000000004E-2</v>
      </c>
      <c r="U1470">
        <v>-2.874298</v>
      </c>
      <c r="V1470">
        <v>3.5627890000000002E-2</v>
      </c>
      <c r="W1470">
        <v>4.8090809999999998E-2</v>
      </c>
      <c r="X1470">
        <v>0.99820730000000002</v>
      </c>
      <c r="Y1470">
        <v>0.18746080000000001</v>
      </c>
      <c r="Z1470">
        <v>3.0540979999999999E-2</v>
      </c>
      <c r="AA1470">
        <v>0.98179720000000004</v>
      </c>
      <c r="AB1470">
        <v>22</v>
      </c>
      <c r="AC1470">
        <v>-11.8596</v>
      </c>
      <c r="AD1470">
        <v>-1.109846300257</v>
      </c>
      <c r="AE1470">
        <v>-34.226399999999998</v>
      </c>
      <c r="AF1470">
        <v>6.8303382833613604</v>
      </c>
      <c r="AG1470">
        <v>-1.109846300257</v>
      </c>
      <c r="AH1470">
        <v>35.5384720425265</v>
      </c>
      <c r="AI1470">
        <v>91.756604464499006</v>
      </c>
      <c r="AJ1470">
        <v>79.120665938451495</v>
      </c>
      <c r="AK1470">
        <v>36.205914917217299</v>
      </c>
      <c r="AL1470">
        <v>87.243536208938494</v>
      </c>
      <c r="AM1470">
        <v>87.955873925834595</v>
      </c>
      <c r="AN1470">
        <v>0.99999994316279694</v>
      </c>
    </row>
    <row r="1471" spans="1:40" x14ac:dyDescent="0.25">
      <c r="A1471" t="str">
        <f>"20190312160627162"</f>
        <v>20190312160627162</v>
      </c>
      <c r="B1471" t="str">
        <f>"1552377987156398"</f>
        <v>1552377987156398</v>
      </c>
      <c r="C1471" t="s">
        <v>40</v>
      </c>
      <c r="D1471">
        <v>6.3876239999999997</v>
      </c>
      <c r="E1471">
        <v>0.55833080000000002</v>
      </c>
      <c r="F1471" t="s">
        <v>61</v>
      </c>
      <c r="G1471">
        <v>-202.39519999999999</v>
      </c>
      <c r="H1471" s="1">
        <v>3.5322869999999999E-6</v>
      </c>
      <c r="I1471">
        <v>281.7208</v>
      </c>
      <c r="J1471">
        <v>-190.8212</v>
      </c>
      <c r="K1471">
        <v>1.1097980000000001</v>
      </c>
      <c r="L1471">
        <v>315.07530000000003</v>
      </c>
      <c r="M1471">
        <v>-0.14361070000000001</v>
      </c>
      <c r="N1471">
        <v>0</v>
      </c>
      <c r="O1471">
        <v>-0.98954410000000004</v>
      </c>
      <c r="P1471">
        <v>-0.17894489999999999</v>
      </c>
      <c r="Q1471">
        <v>3.4022829999999997E-2</v>
      </c>
      <c r="R1471">
        <v>-0.98327109999999995</v>
      </c>
      <c r="S1471">
        <v>-0.9933014</v>
      </c>
      <c r="T1471">
        <v>-9.4969509999999993E-2</v>
      </c>
      <c r="U1471">
        <v>-2.873993</v>
      </c>
      <c r="V1471">
        <v>3.5901740000000001E-2</v>
      </c>
      <c r="W1471">
        <v>4.7356830000000003E-2</v>
      </c>
      <c r="X1471">
        <v>0.99823269999999997</v>
      </c>
      <c r="Y1471">
        <v>0.187365</v>
      </c>
      <c r="Z1471">
        <v>3.1316900000000002E-2</v>
      </c>
      <c r="AA1471">
        <v>0.98179099999999997</v>
      </c>
      <c r="AB1471">
        <v>22</v>
      </c>
      <c r="AC1471">
        <v>-11.5739999999999</v>
      </c>
      <c r="AD1471">
        <v>-1.1097944677130001</v>
      </c>
      <c r="AE1471">
        <v>-33.354500000000002</v>
      </c>
      <c r="AF1471">
        <v>6.6569371667644397</v>
      </c>
      <c r="AG1471">
        <v>-1.1097944677130001</v>
      </c>
      <c r="AH1471">
        <v>34.636767927080797</v>
      </c>
      <c r="AI1471">
        <v>91.802221454564801</v>
      </c>
      <c r="AJ1471">
        <v>79.1208215480913</v>
      </c>
      <c r="AK1471">
        <v>35.288130421393397</v>
      </c>
      <c r="AL1471">
        <v>87.285638468507003</v>
      </c>
      <c r="AM1471">
        <v>87.9402278174082</v>
      </c>
      <c r="AN1471">
        <v>1.0000000638159801</v>
      </c>
    </row>
    <row r="1472" spans="1:40" x14ac:dyDescent="0.25">
      <c r="A1472" t="str">
        <f>"20190312160627182"</f>
        <v>20190312160627182</v>
      </c>
      <c r="B1472" t="str">
        <f>"1552377987176894"</f>
        <v>1552377987176894</v>
      </c>
      <c r="C1472" t="s">
        <v>40</v>
      </c>
      <c r="D1472">
        <v>6.4314369999999998</v>
      </c>
      <c r="E1472">
        <v>0.55874330000000005</v>
      </c>
      <c r="F1472" t="s">
        <v>61</v>
      </c>
      <c r="G1472">
        <v>-201.63040000000001</v>
      </c>
      <c r="H1472" s="1">
        <v>2.990907E-6</v>
      </c>
      <c r="I1472">
        <v>284.03399999999999</v>
      </c>
      <c r="J1472">
        <v>-190.85249999999999</v>
      </c>
      <c r="K1472">
        <v>1.109761</v>
      </c>
      <c r="L1472">
        <v>314.86340000000001</v>
      </c>
      <c r="M1472">
        <v>-0.14406669999999999</v>
      </c>
      <c r="N1472">
        <v>0</v>
      </c>
      <c r="O1472">
        <v>-0.98947790000000002</v>
      </c>
      <c r="P1472">
        <v>-0.18079509999999999</v>
      </c>
      <c r="Q1472">
        <v>3.2242489999999999E-2</v>
      </c>
      <c r="R1472">
        <v>-0.98299219999999998</v>
      </c>
      <c r="S1472">
        <v>-1.0002899999999999</v>
      </c>
      <c r="T1472">
        <v>-0.10270120000000001</v>
      </c>
      <c r="U1472">
        <v>-2.8725890000000001</v>
      </c>
      <c r="V1472">
        <v>3.7315300000000003E-2</v>
      </c>
      <c r="W1472">
        <v>4.5544429999999997E-2</v>
      </c>
      <c r="X1472">
        <v>0.99826510000000002</v>
      </c>
      <c r="Y1472">
        <v>0.18916450000000001</v>
      </c>
      <c r="Z1472">
        <v>3.3856730000000002E-2</v>
      </c>
      <c r="AA1472">
        <v>0.98136159999999995</v>
      </c>
      <c r="AB1472">
        <v>22</v>
      </c>
      <c r="AC1472">
        <v>-10.777900000000001</v>
      </c>
      <c r="AD1472">
        <v>-1.1097580090929999</v>
      </c>
      <c r="AE1472">
        <v>-30.8294</v>
      </c>
      <c r="AF1472">
        <v>6.2163809835283503</v>
      </c>
      <c r="AG1472">
        <v>-1.1097580090929999</v>
      </c>
      <c r="AH1472">
        <v>32.023628371241799</v>
      </c>
      <c r="AI1472">
        <v>91.9484119431268</v>
      </c>
      <c r="AJ1472">
        <v>79.0144511953457</v>
      </c>
      <c r="AK1472">
        <v>32.640277716810502</v>
      </c>
      <c r="AL1472">
        <v>87.389593307960496</v>
      </c>
      <c r="AM1472">
        <v>87.859271811476205</v>
      </c>
      <c r="AN1472">
        <v>0.99999996829806104</v>
      </c>
    </row>
    <row r="1473" spans="1:40" x14ac:dyDescent="0.25">
      <c r="A1473" t="str">
        <f>"20190312160627204"</f>
        <v>20190312160627204</v>
      </c>
      <c r="B1473" t="str">
        <f>"1552377987196414"</f>
        <v>1552377987196414</v>
      </c>
      <c r="C1473" t="s">
        <v>40</v>
      </c>
      <c r="D1473">
        <v>6.3625790000000002</v>
      </c>
      <c r="E1473">
        <v>0.55889480000000002</v>
      </c>
      <c r="F1473" t="s">
        <v>61</v>
      </c>
      <c r="G1473">
        <v>-201.51329999999999</v>
      </c>
      <c r="H1473" s="1">
        <v>2.895436E-6</v>
      </c>
      <c r="I1473">
        <v>284.53190000000001</v>
      </c>
      <c r="J1473">
        <v>-190.8843</v>
      </c>
      <c r="K1473">
        <v>1.109712</v>
      </c>
      <c r="L1473">
        <v>314.64940000000001</v>
      </c>
      <c r="M1473">
        <v>-0.14459339999999901</v>
      </c>
      <c r="N1473">
        <v>0</v>
      </c>
      <c r="O1473">
        <v>-0.98940159999999999</v>
      </c>
      <c r="P1473">
        <v>-0.183504</v>
      </c>
      <c r="Q1473">
        <v>3.131929E-2</v>
      </c>
      <c r="R1473">
        <v>-0.98251999999999995</v>
      </c>
      <c r="S1473">
        <v>-1.008667</v>
      </c>
      <c r="T1473">
        <v>-0.1049997</v>
      </c>
      <c r="U1473">
        <v>-2.869812</v>
      </c>
      <c r="V1473">
        <v>3.9536149999999999E-2</v>
      </c>
      <c r="W1473">
        <v>4.4584579999999999E-2</v>
      </c>
      <c r="X1473">
        <v>0.99822290000000002</v>
      </c>
      <c r="Y1473">
        <v>0.1914796</v>
      </c>
      <c r="Z1473">
        <v>3.461695E-2</v>
      </c>
      <c r="AA1473">
        <v>0.98088589999999998</v>
      </c>
      <c r="AB1473">
        <v>22</v>
      </c>
      <c r="AC1473">
        <v>-10.6289999999999</v>
      </c>
      <c r="AD1473">
        <v>-1.109709104564</v>
      </c>
      <c r="AE1473">
        <v>-30.1175</v>
      </c>
      <c r="AF1473">
        <v>6.1546736379283997</v>
      </c>
      <c r="AG1473">
        <v>-1.109709104564</v>
      </c>
      <c r="AH1473">
        <v>31.300175462136</v>
      </c>
      <c r="AI1473">
        <v>91.992380072403805</v>
      </c>
      <c r="AJ1473">
        <v>78.875635910304197</v>
      </c>
      <c r="AK1473">
        <v>31.918841549258399</v>
      </c>
      <c r="AL1473">
        <v>87.4446444828544</v>
      </c>
      <c r="AM1473">
        <v>87.731898194166604</v>
      </c>
      <c r="AN1473">
        <v>0.99999992500750101</v>
      </c>
    </row>
    <row r="1474" spans="1:40" x14ac:dyDescent="0.25">
      <c r="A1474" t="str">
        <f>"20190312160627227"</f>
        <v>20190312160627227</v>
      </c>
      <c r="B1474" t="str">
        <f>"1552377987216909"</f>
        <v>1552377987216909</v>
      </c>
      <c r="C1474" t="s">
        <v>40</v>
      </c>
      <c r="D1474">
        <v>6.4401260000000002</v>
      </c>
      <c r="E1474">
        <v>0.5589459</v>
      </c>
      <c r="F1474" t="s">
        <v>61</v>
      </c>
      <c r="G1474">
        <v>-201.4854</v>
      </c>
      <c r="H1474" s="1">
        <v>2.8607750000000002E-6</v>
      </c>
      <c r="I1474">
        <v>284.78710000000001</v>
      </c>
      <c r="J1474">
        <v>-190.9169</v>
      </c>
      <c r="K1474">
        <v>1.1096569999999999</v>
      </c>
      <c r="L1474">
        <v>314.43110000000001</v>
      </c>
      <c r="M1474">
        <v>-0.14520189999999999</v>
      </c>
      <c r="N1474">
        <v>0</v>
      </c>
      <c r="O1474">
        <v>-0.98931309999999995</v>
      </c>
      <c r="P1474">
        <v>-0.1857511</v>
      </c>
      <c r="Q1474">
        <v>3.1095959999999999E-2</v>
      </c>
      <c r="R1474">
        <v>-0.98210509999999995</v>
      </c>
      <c r="S1474">
        <v>-1.0176700000000001</v>
      </c>
      <c r="T1474">
        <v>-0.10652789999999999</v>
      </c>
      <c r="U1474">
        <v>-2.8666689999999999</v>
      </c>
      <c r="V1474">
        <v>4.1210219999999999E-2</v>
      </c>
      <c r="W1474">
        <v>4.4322569999999999E-2</v>
      </c>
      <c r="X1474">
        <v>0.99816689999999997</v>
      </c>
      <c r="Y1474">
        <v>0.19394420000000001</v>
      </c>
      <c r="Z1474">
        <v>3.5125179999999999E-2</v>
      </c>
      <c r="AA1474">
        <v>0.98038349999999996</v>
      </c>
      <c r="AB1474">
        <v>22</v>
      </c>
      <c r="AC1474">
        <v>-10.5685</v>
      </c>
      <c r="AD1474">
        <v>-1.1096541392249999</v>
      </c>
      <c r="AE1474">
        <v>-29.643999999999998</v>
      </c>
      <c r="AF1474">
        <v>6.1440934544393802</v>
      </c>
      <c r="AG1474">
        <v>-1.1096541392249999</v>
      </c>
      <c r="AH1474">
        <v>30.826157139747401</v>
      </c>
      <c r="AI1474">
        <v>92.021859953746301</v>
      </c>
      <c r="AJ1474">
        <v>78.727850006317198</v>
      </c>
      <c r="AK1474">
        <v>31.452077525816598</v>
      </c>
      <c r="AL1474">
        <v>87.459671511154198</v>
      </c>
      <c r="AM1474">
        <v>87.635834758745304</v>
      </c>
      <c r="AN1474">
        <v>0.99999996634973098</v>
      </c>
    </row>
    <row r="1475" spans="1:40" x14ac:dyDescent="0.25">
      <c r="A1475" t="str">
        <f>"20190312160627248"</f>
        <v>20190312160627248</v>
      </c>
      <c r="B1475" t="str">
        <f>"1552377987236429"</f>
        <v>1552377987236429</v>
      </c>
      <c r="C1475" t="s">
        <v>40</v>
      </c>
      <c r="D1475">
        <v>6.4618399999999996</v>
      </c>
      <c r="E1475">
        <v>0.55886159999999996</v>
      </c>
      <c r="F1475" t="s">
        <v>61</v>
      </c>
      <c r="G1475">
        <v>-201.26679999999999</v>
      </c>
      <c r="H1475" s="1">
        <v>2.7019829999999999E-6</v>
      </c>
      <c r="I1475">
        <v>285.49439999999998</v>
      </c>
      <c r="J1475">
        <v>-190.94880000000001</v>
      </c>
      <c r="K1475">
        <v>1.1096079999999999</v>
      </c>
      <c r="L1475">
        <v>314.21859999999998</v>
      </c>
      <c r="M1475">
        <v>-0.14586199999999999</v>
      </c>
      <c r="N1475">
        <v>0</v>
      </c>
      <c r="O1475">
        <v>-0.98921610000000004</v>
      </c>
      <c r="P1475">
        <v>-0.18784919999999999</v>
      </c>
      <c r="Q1475">
        <v>3.112703E-2</v>
      </c>
      <c r="R1475">
        <v>-0.98170480000000004</v>
      </c>
      <c r="S1475">
        <v>-1.024521</v>
      </c>
      <c r="T1475">
        <v>-0.1098431</v>
      </c>
      <c r="U1475">
        <v>-2.8644099999999999</v>
      </c>
      <c r="V1475">
        <v>4.2683159999999998E-2</v>
      </c>
      <c r="W1475">
        <v>4.431686E-2</v>
      </c>
      <c r="X1475">
        <v>0.99810529999999997</v>
      </c>
      <c r="Y1475">
        <v>0.1956003</v>
      </c>
      <c r="Z1475">
        <v>3.6218180000000003E-2</v>
      </c>
      <c r="AA1475">
        <v>0.98001470000000002</v>
      </c>
      <c r="AB1475">
        <v>22</v>
      </c>
      <c r="AC1475">
        <v>-10.3179999999999</v>
      </c>
      <c r="AD1475">
        <v>-1.1096052980169999</v>
      </c>
      <c r="AE1475">
        <v>-28.7242</v>
      </c>
      <c r="AF1475">
        <v>6.00954851145619</v>
      </c>
      <c r="AG1475">
        <v>-1.1096052980169999</v>
      </c>
      <c r="AH1475">
        <v>29.882579237008201</v>
      </c>
      <c r="AI1475">
        <v>92.084837040096801</v>
      </c>
      <c r="AJ1475">
        <v>78.629180839772303</v>
      </c>
      <c r="AK1475">
        <v>30.501056360149398</v>
      </c>
      <c r="AL1475">
        <v>87.459999110566002</v>
      </c>
      <c r="AM1475">
        <v>87.551284657535504</v>
      </c>
      <c r="AN1475">
        <v>1.00000001305796</v>
      </c>
    </row>
    <row r="1476" spans="1:40" x14ac:dyDescent="0.25">
      <c r="A1476" t="str">
        <f>"20190312160627271"</f>
        <v>20190312160627271</v>
      </c>
      <c r="B1476" t="str">
        <f>"1552377987266686"</f>
        <v>1552377987266686</v>
      </c>
      <c r="C1476" t="s">
        <v>40</v>
      </c>
      <c r="D1476">
        <v>6.1359430000000001</v>
      </c>
      <c r="E1476">
        <v>0.55760889999999996</v>
      </c>
      <c r="F1476" t="s">
        <v>61</v>
      </c>
      <c r="G1476">
        <v>-201.1241</v>
      </c>
      <c r="H1476" s="1">
        <v>2.5990250000000001E-6</v>
      </c>
      <c r="I1476">
        <v>285.94850000000002</v>
      </c>
      <c r="J1476">
        <v>-190.98220000000001</v>
      </c>
      <c r="K1476">
        <v>1.109558</v>
      </c>
      <c r="L1476">
        <v>313.99810000000002</v>
      </c>
      <c r="M1476">
        <v>-0.146614299999999</v>
      </c>
      <c r="N1476">
        <v>0</v>
      </c>
      <c r="O1476">
        <v>-0.98910520000000002</v>
      </c>
      <c r="P1476">
        <v>-0.18998899999999999</v>
      </c>
      <c r="Q1476">
        <v>3.0913159999999999E-2</v>
      </c>
      <c r="R1476">
        <v>-0.98129960000000005</v>
      </c>
      <c r="S1476">
        <v>-1.0302579999999999</v>
      </c>
      <c r="T1476">
        <v>-0.1123484</v>
      </c>
      <c r="U1476">
        <v>-2.8623660000000002</v>
      </c>
      <c r="V1476">
        <v>4.4104650000000002E-2</v>
      </c>
      <c r="W1476">
        <v>4.4069619999999997E-2</v>
      </c>
      <c r="X1476">
        <v>0.99805440000000001</v>
      </c>
      <c r="Y1476">
        <v>0.19680619999999999</v>
      </c>
      <c r="Z1476">
        <v>3.7045010000000003E-2</v>
      </c>
      <c r="AA1476">
        <v>0.97974229999999995</v>
      </c>
      <c r="AB1476">
        <v>22</v>
      </c>
      <c r="AC1476">
        <v>-10.1418999999999</v>
      </c>
      <c r="AD1476">
        <v>-1.1095554009749999</v>
      </c>
      <c r="AE1476">
        <v>-28.049600000000002</v>
      </c>
      <c r="AF1476">
        <v>5.9112717489061302</v>
      </c>
      <c r="AG1476">
        <v>-1.1095554009749999</v>
      </c>
      <c r="AH1476">
        <v>29.1931145523459</v>
      </c>
      <c r="AI1476">
        <v>92.133362838554802</v>
      </c>
      <c r="AJ1476">
        <v>78.553033341946502</v>
      </c>
      <c r="AK1476">
        <v>29.806244046233701</v>
      </c>
      <c r="AL1476">
        <v>87.474178659730001</v>
      </c>
      <c r="AM1476">
        <v>87.469709765725298</v>
      </c>
      <c r="AN1476">
        <v>0.999999968458963</v>
      </c>
    </row>
    <row r="1477" spans="1:40" x14ac:dyDescent="0.25">
      <c r="A1477" t="str">
        <f>"20190312160627293"</f>
        <v>20190312160627293</v>
      </c>
      <c r="B1477" t="str">
        <f>"1552377987286206"</f>
        <v>1552377987286206</v>
      </c>
      <c r="C1477" t="s">
        <v>40</v>
      </c>
      <c r="D1477">
        <v>6.3264620000000003</v>
      </c>
      <c r="E1477">
        <v>0.55691250000000003</v>
      </c>
      <c r="F1477" t="s">
        <v>61</v>
      </c>
      <c r="G1477">
        <v>-201.56559999999999</v>
      </c>
      <c r="H1477" s="1">
        <v>2.9222070000000001E-6</v>
      </c>
      <c r="I1477">
        <v>284.49099999999999</v>
      </c>
      <c r="J1477">
        <v>-191.0153</v>
      </c>
      <c r="K1477">
        <v>1.1095109999999999</v>
      </c>
      <c r="L1477">
        <v>313.78120000000001</v>
      </c>
      <c r="M1477">
        <v>-0.14742249999999901</v>
      </c>
      <c r="N1477">
        <v>0</v>
      </c>
      <c r="O1477">
        <v>-0.98898560000000002</v>
      </c>
      <c r="P1477">
        <v>-0.1922567</v>
      </c>
      <c r="Q1477">
        <v>3.004511E-2</v>
      </c>
      <c r="R1477">
        <v>-0.98088489999999995</v>
      </c>
      <c r="S1477">
        <v>-1.026459</v>
      </c>
      <c r="T1477">
        <v>-0.10761370000000001</v>
      </c>
      <c r="U1477">
        <v>-2.861847</v>
      </c>
      <c r="V1477">
        <v>4.559622E-2</v>
      </c>
      <c r="W1477">
        <v>4.3170680000000003E-2</v>
      </c>
      <c r="X1477">
        <v>0.99802670000000004</v>
      </c>
      <c r="Y1477">
        <v>0.1949284</v>
      </c>
      <c r="Z1477">
        <v>3.5499969999999999E-2</v>
      </c>
      <c r="AA1477">
        <v>0.98017480000000001</v>
      </c>
      <c r="AB1477">
        <v>22</v>
      </c>
      <c r="AC1477">
        <v>-10.550299999999901</v>
      </c>
      <c r="AD1477">
        <v>-1.109508077793</v>
      </c>
      <c r="AE1477">
        <v>-29.290199999999999</v>
      </c>
      <c r="AF1477">
        <v>6.1088339021723197</v>
      </c>
      <c r="AG1477">
        <v>-1.109508077793</v>
      </c>
      <c r="AH1477">
        <v>30.486873580292499</v>
      </c>
      <c r="AI1477">
        <v>92.043656453338798</v>
      </c>
      <c r="AJ1477">
        <v>78.669361404086004</v>
      </c>
      <c r="AK1477">
        <v>31.112671381926599</v>
      </c>
      <c r="AL1477">
        <v>87.525733300247097</v>
      </c>
      <c r="AM1477">
        <v>87.384182588882496</v>
      </c>
      <c r="AN1477">
        <v>1.00000000840142</v>
      </c>
    </row>
    <row r="1478" spans="1:40" x14ac:dyDescent="0.25">
      <c r="A1478" t="str">
        <f>"20190312160627315"</f>
        <v>20190312160627315</v>
      </c>
      <c r="B1478" t="str">
        <f>"1552377987306702"</f>
        <v>1552377987306702</v>
      </c>
      <c r="C1478" t="s">
        <v>40</v>
      </c>
      <c r="D1478">
        <v>6.3465590000000001</v>
      </c>
      <c r="E1478">
        <v>0.55614750000000002</v>
      </c>
      <c r="F1478" t="s">
        <v>61</v>
      </c>
      <c r="G1478">
        <v>-201.4211</v>
      </c>
      <c r="H1478" s="1">
        <v>2.830513E-6</v>
      </c>
      <c r="I1478">
        <v>284.80720000000002</v>
      </c>
      <c r="J1478">
        <v>-191.0498</v>
      </c>
      <c r="K1478">
        <v>1.1094679999999999</v>
      </c>
      <c r="L1478">
        <v>313.55709999999999</v>
      </c>
      <c r="M1478">
        <v>-0.1483257</v>
      </c>
      <c r="N1478">
        <v>0</v>
      </c>
      <c r="O1478">
        <v>-0.98885080000000003</v>
      </c>
      <c r="P1478">
        <v>-0.1942653</v>
      </c>
      <c r="Q1478">
        <v>2.9798709999999999E-2</v>
      </c>
      <c r="R1478">
        <v>-0.98049649999999999</v>
      </c>
      <c r="S1478">
        <v>-1.027298</v>
      </c>
      <c r="T1478">
        <v>-0.10953450000000001</v>
      </c>
      <c r="U1478">
        <v>-2.8604129999999999</v>
      </c>
      <c r="V1478">
        <v>4.6731839999999997E-2</v>
      </c>
      <c r="W1478">
        <v>4.2896280000000002E-2</v>
      </c>
      <c r="X1478">
        <v>0.99798600000000004</v>
      </c>
      <c r="Y1478">
        <v>0.19443579999999999</v>
      </c>
      <c r="Z1478">
        <v>3.6142470000000003E-2</v>
      </c>
      <c r="AA1478">
        <v>0.98024920000000004</v>
      </c>
      <c r="AB1478">
        <v>22</v>
      </c>
      <c r="AC1478">
        <v>-10.3712999999999</v>
      </c>
      <c r="AD1478">
        <v>-1.1094651694869999</v>
      </c>
      <c r="AE1478">
        <v>-28.749899999999901</v>
      </c>
      <c r="AF1478">
        <v>5.9839541213338903</v>
      </c>
      <c r="AG1478">
        <v>-1.1094651694869999</v>
      </c>
      <c r="AH1478">
        <v>29.930852616050199</v>
      </c>
      <c r="AI1478">
        <v>92.081687702865693</v>
      </c>
      <c r="AJ1478">
        <v>78.6941471946908</v>
      </c>
      <c r="AK1478">
        <v>30.543322645256701</v>
      </c>
      <c r="AL1478">
        <v>87.541469833883596</v>
      </c>
      <c r="AM1478">
        <v>87.319017731540299</v>
      </c>
      <c r="AN1478">
        <v>1.0000000059518099</v>
      </c>
    </row>
    <row r="1479" spans="1:40" x14ac:dyDescent="0.25">
      <c r="A1479" t="str">
        <f>"20190312160627338"</f>
        <v>20190312160627338</v>
      </c>
      <c r="B1479" t="str">
        <f>"1552377987326225"</f>
        <v>1552377987326225</v>
      </c>
      <c r="C1479" t="s">
        <v>40</v>
      </c>
      <c r="D1479">
        <v>6.4682579999999996</v>
      </c>
      <c r="E1479">
        <v>0.55556329999999998</v>
      </c>
      <c r="F1479" t="s">
        <v>61</v>
      </c>
      <c r="G1479">
        <v>-201.52719999999999</v>
      </c>
      <c r="H1479" s="1">
        <v>2.9148559999999999E-6</v>
      </c>
      <c r="I1479">
        <v>284.38069999999999</v>
      </c>
      <c r="J1479">
        <v>-191.08359999999999</v>
      </c>
      <c r="K1479">
        <v>1.1094329999999999</v>
      </c>
      <c r="L1479">
        <v>313.33879999999999</v>
      </c>
      <c r="M1479">
        <v>-0.14926410000000001</v>
      </c>
      <c r="N1479">
        <v>0</v>
      </c>
      <c r="O1479">
        <v>-0.98870979999999997</v>
      </c>
      <c r="P1479">
        <v>-0.1960026</v>
      </c>
      <c r="Q1479">
        <v>3.02913E-2</v>
      </c>
      <c r="R1479">
        <v>-0.98013539999999999</v>
      </c>
      <c r="S1479">
        <v>-1.026886</v>
      </c>
      <c r="T1479">
        <v>-0.10873770000000001</v>
      </c>
      <c r="U1479">
        <v>-2.8595579999999998</v>
      </c>
      <c r="V1479">
        <v>4.7559909999999997E-2</v>
      </c>
      <c r="W1479">
        <v>4.3364100000000003E-2</v>
      </c>
      <c r="X1479">
        <v>0.99792670000000006</v>
      </c>
      <c r="Y1479">
        <v>0.19347590000000001</v>
      </c>
      <c r="Z1479">
        <v>3.5886620000000001E-2</v>
      </c>
      <c r="AA1479">
        <v>0.98044849999999995</v>
      </c>
      <c r="AB1479">
        <v>22</v>
      </c>
      <c r="AC1479">
        <v>-10.4436</v>
      </c>
      <c r="AD1479">
        <v>-1.109430085144</v>
      </c>
      <c r="AE1479">
        <v>-28.958100000000002</v>
      </c>
      <c r="AF1479">
        <v>5.9960168856552203</v>
      </c>
      <c r="AG1479">
        <v>-1.109430085144</v>
      </c>
      <c r="AH1479">
        <v>30.153461418854</v>
      </c>
      <c r="AI1479">
        <v>92.066693658294199</v>
      </c>
      <c r="AJ1479">
        <v>78.753435445989993</v>
      </c>
      <c r="AK1479">
        <v>30.7638471122388</v>
      </c>
      <c r="AL1479">
        <v>87.514640852300502</v>
      </c>
      <c r="AM1479">
        <v>87.271421045834799</v>
      </c>
      <c r="AN1479">
        <v>1.00000004439045</v>
      </c>
    </row>
    <row r="1480" spans="1:40" x14ac:dyDescent="0.25">
      <c r="A1480" t="str">
        <f>"20190312160627362"</f>
        <v>20190312160627362</v>
      </c>
      <c r="B1480" t="str">
        <f>"1552377987356477"</f>
        <v>1552377987356477</v>
      </c>
      <c r="C1480" t="s">
        <v>40</v>
      </c>
      <c r="D1480">
        <v>5.8890190000000002</v>
      </c>
      <c r="E1480">
        <v>0.55479480000000003</v>
      </c>
      <c r="F1480" t="s">
        <v>61</v>
      </c>
      <c r="G1480">
        <v>-201.8552</v>
      </c>
      <c r="H1480" s="1">
        <v>3.1496459999999999E-6</v>
      </c>
      <c r="I1480">
        <v>283.35879999999997</v>
      </c>
      <c r="J1480">
        <v>-191.1199</v>
      </c>
      <c r="K1480">
        <v>1.109407</v>
      </c>
      <c r="L1480">
        <v>313.1069</v>
      </c>
      <c r="M1480">
        <v>-0.15030289999999999</v>
      </c>
      <c r="N1480">
        <v>0</v>
      </c>
      <c r="O1480">
        <v>-0.98855269999999995</v>
      </c>
      <c r="P1480">
        <v>-0.19809089999999999</v>
      </c>
      <c r="Q1480">
        <v>3.0608940000000001E-2</v>
      </c>
      <c r="R1480">
        <v>-0.97970579999999996</v>
      </c>
      <c r="S1480">
        <v>-1.0270999999999999</v>
      </c>
      <c r="T1480">
        <v>-0.10578700000000001</v>
      </c>
      <c r="U1480">
        <v>-2.858673</v>
      </c>
      <c r="V1480">
        <v>4.8643180000000001E-2</v>
      </c>
      <c r="W1480">
        <v>4.365898E-2</v>
      </c>
      <c r="X1480">
        <v>0.99786160000000002</v>
      </c>
      <c r="Y1480">
        <v>0.19261819999999999</v>
      </c>
      <c r="Z1480">
        <v>3.491847E-2</v>
      </c>
      <c r="AA1480">
        <v>0.98065230000000003</v>
      </c>
      <c r="AB1480">
        <v>22</v>
      </c>
      <c r="AC1480">
        <v>-10.735299999999899</v>
      </c>
      <c r="AD1480">
        <v>-1.109403850354</v>
      </c>
      <c r="AE1480">
        <v>-29.748100000000001</v>
      </c>
      <c r="AF1480">
        <v>6.1341658369137404</v>
      </c>
      <c r="AG1480">
        <v>-1.109403850354</v>
      </c>
      <c r="AH1480">
        <v>30.985659771577399</v>
      </c>
      <c r="AI1480">
        <v>92.011524484720496</v>
      </c>
      <c r="AJ1480">
        <v>78.802064079348597</v>
      </c>
      <c r="AK1480">
        <v>31.606484760217899</v>
      </c>
      <c r="AL1480">
        <v>87.497729393897302</v>
      </c>
      <c r="AM1480">
        <v>87.209187700364097</v>
      </c>
      <c r="AN1480">
        <v>1.0000000191248499</v>
      </c>
    </row>
    <row r="1481" spans="1:40" x14ac:dyDescent="0.25">
      <c r="A1481" t="str">
        <f>"20190312160627384"</f>
        <v>20190312160627384</v>
      </c>
      <c r="B1481" t="str">
        <f>"1552377987376974"</f>
        <v>1552377987376974</v>
      </c>
      <c r="C1481" t="s">
        <v>40</v>
      </c>
      <c r="D1481">
        <v>6.1793100000000001</v>
      </c>
      <c r="E1481">
        <v>0.55424259999999903</v>
      </c>
      <c r="F1481" t="s">
        <v>61</v>
      </c>
      <c r="G1481">
        <v>-202.11160000000001</v>
      </c>
      <c r="H1481" s="1">
        <v>3.3358750000000001E-6</v>
      </c>
      <c r="I1481">
        <v>282.52879999999999</v>
      </c>
      <c r="J1481">
        <v>-191.15440000000001</v>
      </c>
      <c r="K1481">
        <v>1.1093900000000001</v>
      </c>
      <c r="L1481">
        <v>312.88799999999998</v>
      </c>
      <c r="M1481">
        <v>-0.15131700000000001</v>
      </c>
      <c r="N1481">
        <v>0</v>
      </c>
      <c r="O1481">
        <v>-0.988398</v>
      </c>
      <c r="P1481">
        <v>-0.2005982</v>
      </c>
      <c r="Q1481">
        <v>3.0687160000000002E-2</v>
      </c>
      <c r="R1481">
        <v>-0.97919290000000003</v>
      </c>
      <c r="S1481">
        <v>-1.027237</v>
      </c>
      <c r="T1481">
        <v>-0.1036801</v>
      </c>
      <c r="U1481">
        <v>-2.8576969999999999</v>
      </c>
      <c r="V1481">
        <v>5.0176900000000003E-2</v>
      </c>
      <c r="W1481">
        <v>4.3716629999999999E-2</v>
      </c>
      <c r="X1481">
        <v>0.99778310000000003</v>
      </c>
      <c r="Y1481">
        <v>0.19176789999999999</v>
      </c>
      <c r="Z1481">
        <v>3.4229469999999998E-2</v>
      </c>
      <c r="AA1481">
        <v>0.98084320000000003</v>
      </c>
      <c r="AB1481">
        <v>22</v>
      </c>
      <c r="AC1481">
        <v>-10.9572</v>
      </c>
      <c r="AD1481">
        <v>-1.1093866641250001</v>
      </c>
      <c r="AE1481">
        <v>-30.359199999999898</v>
      </c>
      <c r="AF1481">
        <v>6.2293900715758701</v>
      </c>
      <c r="AG1481">
        <v>-1.1093866641250001</v>
      </c>
      <c r="AH1481">
        <v>31.630346717814898</v>
      </c>
      <c r="AI1481">
        <v>91.9709113000944</v>
      </c>
      <c r="AJ1481">
        <v>78.858557014324305</v>
      </c>
      <c r="AK1481">
        <v>32.257012771234201</v>
      </c>
      <c r="AL1481">
        <v>87.494423062136605</v>
      </c>
      <c r="AM1481">
        <v>87.121113012034897</v>
      </c>
      <c r="AN1481">
        <v>0.99999998983888805</v>
      </c>
    </row>
    <row r="1482" spans="1:40" x14ac:dyDescent="0.25">
      <c r="A1482" t="str">
        <f>"20190312160627405"</f>
        <v>20190312160627405</v>
      </c>
      <c r="B1482" t="str">
        <f>"1552377987396849"</f>
        <v>1552377987396849</v>
      </c>
      <c r="C1482" t="s">
        <v>40</v>
      </c>
      <c r="D1482">
        <v>5.8993080000000004</v>
      </c>
      <c r="E1482">
        <v>0.55385799999999996</v>
      </c>
      <c r="F1482" t="s">
        <v>61</v>
      </c>
      <c r="G1482">
        <v>-202.10570000000001</v>
      </c>
      <c r="H1482" s="1">
        <v>3.3346950000000001E-6</v>
      </c>
      <c r="I1482">
        <v>282.51240000000001</v>
      </c>
      <c r="J1482">
        <v>-191.18780000000001</v>
      </c>
      <c r="K1482">
        <v>1.109372</v>
      </c>
      <c r="L1482">
        <v>312.67750000000001</v>
      </c>
      <c r="M1482">
        <v>-0.15232409999999999</v>
      </c>
      <c r="N1482">
        <v>0</v>
      </c>
      <c r="O1482">
        <v>-0.98824339999999999</v>
      </c>
      <c r="P1482">
        <v>-0.2032303</v>
      </c>
      <c r="Q1482">
        <v>3.10736E-2</v>
      </c>
      <c r="R1482">
        <v>-0.9786378</v>
      </c>
      <c r="S1482">
        <v>-1.029709</v>
      </c>
      <c r="T1482">
        <v>-0.1043116</v>
      </c>
      <c r="U1482">
        <v>-2.8561100000000001</v>
      </c>
      <c r="V1482">
        <v>5.1848020000000002E-2</v>
      </c>
      <c r="W1482">
        <v>4.4084390000000001E-2</v>
      </c>
      <c r="X1482">
        <v>0.9976815</v>
      </c>
      <c r="Y1482">
        <v>0.19169030000000001</v>
      </c>
      <c r="Z1482">
        <v>3.4442960000000002E-2</v>
      </c>
      <c r="AA1482">
        <v>0.98085089999999997</v>
      </c>
      <c r="AB1482">
        <v>22</v>
      </c>
      <c r="AC1482">
        <v>-10.917899999999999</v>
      </c>
      <c r="AD1482">
        <v>-1.1093686653049999</v>
      </c>
      <c r="AE1482">
        <v>-30.165099999999899</v>
      </c>
      <c r="AF1482">
        <v>6.1878050636680797</v>
      </c>
      <c r="AG1482">
        <v>-1.1093686653049999</v>
      </c>
      <c r="AH1482">
        <v>31.438636698177501</v>
      </c>
      <c r="AI1482">
        <v>91.982933768472805</v>
      </c>
      <c r="AJ1482">
        <v>78.865274779212399</v>
      </c>
      <c r="AK1482">
        <v>32.060996674799597</v>
      </c>
      <c r="AL1482">
        <v>87.473331690483505</v>
      </c>
      <c r="AM1482">
        <v>87.025099971225401</v>
      </c>
      <c r="AN1482">
        <v>1.0000000130309199</v>
      </c>
    </row>
    <row r="1483" spans="1:40" x14ac:dyDescent="0.25">
      <c r="A1483" t="str">
        <f>"20190312160627428"</f>
        <v>20190312160627428</v>
      </c>
      <c r="B1483" t="str">
        <f>"1552377987416372"</f>
        <v>1552377987416372</v>
      </c>
      <c r="C1483" t="s">
        <v>40</v>
      </c>
      <c r="D1483">
        <v>6.4503409999999999</v>
      </c>
      <c r="E1483">
        <v>0.55373719999999904</v>
      </c>
      <c r="F1483" t="s">
        <v>61</v>
      </c>
      <c r="G1483">
        <v>-202.25360000000001</v>
      </c>
      <c r="H1483" s="1">
        <v>3.4333319999999998E-6</v>
      </c>
      <c r="I1483">
        <v>282.1343</v>
      </c>
      <c r="J1483">
        <v>-191.22329999999999</v>
      </c>
      <c r="K1483">
        <v>1.109351</v>
      </c>
      <c r="L1483">
        <v>312.45600000000002</v>
      </c>
      <c r="M1483">
        <v>-0.15342039999999901</v>
      </c>
      <c r="N1483">
        <v>0</v>
      </c>
      <c r="O1483">
        <v>-0.98807409999999996</v>
      </c>
      <c r="P1483">
        <v>-0.2050881</v>
      </c>
      <c r="Q1483">
        <v>3.1546699999999997E-2</v>
      </c>
      <c r="R1483">
        <v>-0.97823510000000002</v>
      </c>
      <c r="S1483">
        <v>-1.0340119999999999</v>
      </c>
      <c r="T1483">
        <v>-0.1036623</v>
      </c>
      <c r="U1483">
        <v>-2.854034</v>
      </c>
      <c r="V1483">
        <v>5.2641060000000003E-2</v>
      </c>
      <c r="W1483">
        <v>4.4541230000000001E-2</v>
      </c>
      <c r="X1483">
        <v>0.9976197</v>
      </c>
      <c r="Y1483">
        <v>0.19213930000000001</v>
      </c>
      <c r="Z1483">
        <v>3.4233350000000003E-2</v>
      </c>
      <c r="AA1483">
        <v>0.98077040000000004</v>
      </c>
      <c r="AB1483">
        <v>22</v>
      </c>
      <c r="AC1483">
        <v>-11.0303</v>
      </c>
      <c r="AD1483">
        <v>-1.1093475666679999</v>
      </c>
      <c r="AE1483">
        <v>-30.3216999999999</v>
      </c>
      <c r="AF1483">
        <v>6.2399466875302103</v>
      </c>
      <c r="AG1483">
        <v>-1.1093475666679999</v>
      </c>
      <c r="AH1483">
        <v>31.617702757487798</v>
      </c>
      <c r="AI1483">
        <v>91.971475148280206</v>
      </c>
      <c r="AJ1483">
        <v>78.835798985283105</v>
      </c>
      <c r="AK1483">
        <v>32.246654312466902</v>
      </c>
      <c r="AL1483">
        <v>87.447131003643094</v>
      </c>
      <c r="AM1483">
        <v>86.979494328878602</v>
      </c>
      <c r="AN1483">
        <v>1.00000003409796</v>
      </c>
    </row>
    <row r="1484" spans="1:40" x14ac:dyDescent="0.25">
      <c r="A1484" t="str">
        <f>"20190312160627448"</f>
        <v>20190312160627448</v>
      </c>
      <c r="B1484" t="str">
        <f>"1552377987436865"</f>
        <v>1552377987436865</v>
      </c>
      <c r="C1484" t="s">
        <v>40</v>
      </c>
      <c r="D1484">
        <v>6.1507329999999998</v>
      </c>
      <c r="E1484">
        <v>0.52007939999999997</v>
      </c>
      <c r="F1484" t="s">
        <v>61</v>
      </c>
      <c r="G1484">
        <v>-202.30099999999999</v>
      </c>
      <c r="H1484" s="1">
        <v>3.4622979999999998E-6</v>
      </c>
      <c r="I1484">
        <v>282.04360000000003</v>
      </c>
      <c r="J1484">
        <v>-191.255</v>
      </c>
      <c r="K1484">
        <v>1.109337</v>
      </c>
      <c r="L1484">
        <v>312.2593</v>
      </c>
      <c r="M1484">
        <v>-0.15442999999999901</v>
      </c>
      <c r="N1484">
        <v>0</v>
      </c>
      <c r="O1484">
        <v>-0.98791689999999999</v>
      </c>
      <c r="P1484">
        <v>-0.2062216</v>
      </c>
      <c r="Q1484">
        <v>3.044469E-2</v>
      </c>
      <c r="R1484">
        <v>-0.9780316</v>
      </c>
      <c r="S1484">
        <v>-1.03894</v>
      </c>
      <c r="T1484">
        <v>-0.1040417</v>
      </c>
      <c r="U1484">
        <v>-2.8522639999999999</v>
      </c>
      <c r="V1484">
        <v>5.2772930000000003E-2</v>
      </c>
      <c r="W1484">
        <v>4.3427460000000001E-2</v>
      </c>
      <c r="X1484">
        <v>0.99766180000000004</v>
      </c>
      <c r="Y1484">
        <v>0.192827</v>
      </c>
      <c r="Z1484">
        <v>3.4358140000000002E-2</v>
      </c>
      <c r="AA1484">
        <v>0.98063109999999998</v>
      </c>
      <c r="AB1484">
        <v>22</v>
      </c>
      <c r="AC1484">
        <v>-11.0459999999999</v>
      </c>
      <c r="AD1484">
        <v>-1.1093335377019999</v>
      </c>
      <c r="AE1484">
        <v>-30.215699999999899</v>
      </c>
      <c r="AF1484">
        <v>6.2394367408356901</v>
      </c>
      <c r="AG1484">
        <v>-1.1093335377019999</v>
      </c>
      <c r="AH1484">
        <v>31.521662591576899</v>
      </c>
      <c r="AI1484">
        <v>91.977232180803696</v>
      </c>
      <c r="AJ1484">
        <v>78.803534122372795</v>
      </c>
      <c r="AK1484">
        <v>32.152393445558197</v>
      </c>
      <c r="AL1484">
        <v>87.511007050269797</v>
      </c>
      <c r="AM1484">
        <v>86.972069330598103</v>
      </c>
      <c r="AN1484">
        <v>0.99999999680103802</v>
      </c>
    </row>
    <row r="1485" spans="1:40" x14ac:dyDescent="0.25">
      <c r="A1485" t="str">
        <f>"20190312160627472"</f>
        <v>20190312160627472</v>
      </c>
      <c r="B1485" t="str">
        <f>"1552377987466145"</f>
        <v>1552377987466145</v>
      </c>
      <c r="C1485" t="s">
        <v>40</v>
      </c>
      <c r="D1485">
        <v>6.2115239999999998</v>
      </c>
      <c r="E1485">
        <v>0.52080209999999905</v>
      </c>
      <c r="F1485" t="s">
        <v>61</v>
      </c>
      <c r="G1485">
        <v>-200.0574</v>
      </c>
      <c r="H1485" s="1">
        <v>2.7192889999999999E-6</v>
      </c>
      <c r="I1485">
        <v>279.43299999999999</v>
      </c>
      <c r="J1485">
        <v>-191.292</v>
      </c>
      <c r="K1485">
        <v>1.1093029999999999</v>
      </c>
      <c r="L1485">
        <v>312.0317</v>
      </c>
      <c r="M1485">
        <v>-0.15564600000000001</v>
      </c>
      <c r="N1485">
        <v>0</v>
      </c>
      <c r="O1485">
        <v>-0.98772629999999995</v>
      </c>
      <c r="P1485">
        <v>-0.20826259999999999</v>
      </c>
      <c r="Q1485">
        <v>2.899819E-2</v>
      </c>
      <c r="R1485">
        <v>-0.97764329999999999</v>
      </c>
      <c r="S1485">
        <v>-0.77928160000000002</v>
      </c>
      <c r="T1485">
        <v>-9.8209619999999997E-2</v>
      </c>
      <c r="U1485">
        <v>-2.9061279999999998</v>
      </c>
      <c r="V1485">
        <v>5.362136E-2</v>
      </c>
      <c r="W1485">
        <v>4.196681E-2</v>
      </c>
      <c r="X1485">
        <v>0.99767910000000004</v>
      </c>
      <c r="Y1485">
        <v>0.10535799999999999</v>
      </c>
      <c r="Z1485">
        <v>3.2494349999999998E-2</v>
      </c>
      <c r="AA1485">
        <v>0.99390330000000005</v>
      </c>
      <c r="AB1485">
        <v>22</v>
      </c>
      <c r="AC1485">
        <v>-8.7653999999999996</v>
      </c>
      <c r="AD1485">
        <v>-1.109300280711</v>
      </c>
      <c r="AE1485">
        <v>-32.598700000000001</v>
      </c>
      <c r="AF1485">
        <v>3.58039900830792</v>
      </c>
      <c r="AG1485">
        <v>-1.109300280711</v>
      </c>
      <c r="AH1485">
        <v>33.529555744359598</v>
      </c>
      <c r="AI1485">
        <v>91.884192666736396</v>
      </c>
      <c r="AJ1485">
        <v>83.904860454917397</v>
      </c>
      <c r="AK1485">
        <v>33.738418940217102</v>
      </c>
      <c r="AL1485">
        <v>87.594772595164699</v>
      </c>
      <c r="AM1485">
        <v>86.923535334729394</v>
      </c>
      <c r="AN1485">
        <v>1.0000000249833101</v>
      </c>
    </row>
    <row r="1486" spans="1:40" x14ac:dyDescent="0.25">
      <c r="A1486" t="str">
        <f>"20190312160627495"</f>
        <v>20190312160627495</v>
      </c>
      <c r="B1486" t="str">
        <f>"1552377987486642"</f>
        <v>1552377987486642</v>
      </c>
      <c r="C1486" t="s">
        <v>40</v>
      </c>
      <c r="D1486">
        <v>6.1646530000000004</v>
      </c>
      <c r="E1486">
        <v>0.52149440000000002</v>
      </c>
      <c r="F1486" t="s">
        <v>61</v>
      </c>
      <c r="G1486">
        <v>-201.1711</v>
      </c>
      <c r="H1486">
        <v>8.0001399999999903E-2</v>
      </c>
      <c r="I1486">
        <v>275.73770000000002</v>
      </c>
      <c r="J1486">
        <v>-191.32980000000001</v>
      </c>
      <c r="K1486">
        <v>1.1092679999999999</v>
      </c>
      <c r="L1486">
        <v>311.80160000000001</v>
      </c>
      <c r="M1486">
        <v>-0.156936299999999</v>
      </c>
      <c r="N1486">
        <v>0</v>
      </c>
      <c r="O1486">
        <v>-0.98752180000000001</v>
      </c>
      <c r="P1486">
        <v>-0.21063850000000001</v>
      </c>
      <c r="Q1486">
        <v>2.8505599999999999E-2</v>
      </c>
      <c r="R1486">
        <v>-0.97714849999999998</v>
      </c>
      <c r="S1486">
        <v>-0.79011540000000002</v>
      </c>
      <c r="T1486">
        <v>-8.2322000000000006E-2</v>
      </c>
      <c r="U1486">
        <v>-2.9027400000000001</v>
      </c>
      <c r="V1486">
        <v>5.4744180000000003E-2</v>
      </c>
      <c r="W1486">
        <v>4.1469430000000002E-2</v>
      </c>
      <c r="X1486">
        <v>0.9976389</v>
      </c>
      <c r="Y1486">
        <v>0.1078471</v>
      </c>
      <c r="Z1486">
        <v>2.724758E-2</v>
      </c>
      <c r="AA1486">
        <v>0.99379399999999996</v>
      </c>
      <c r="AB1486">
        <v>22</v>
      </c>
      <c r="AC1486">
        <v>-9.8412999999999897</v>
      </c>
      <c r="AD1486">
        <v>-1.0292665999999999</v>
      </c>
      <c r="AE1486">
        <v>-36.063899999999897</v>
      </c>
      <c r="AF1486">
        <v>4.0560369162077698</v>
      </c>
      <c r="AG1486">
        <v>-1.0292665999999999</v>
      </c>
      <c r="AH1486">
        <v>37.133384721222399</v>
      </c>
      <c r="AI1486">
        <v>91.578340364394904</v>
      </c>
      <c r="AJ1486">
        <v>83.766360561121303</v>
      </c>
      <c r="AK1486">
        <v>37.368423649571099</v>
      </c>
      <c r="AL1486">
        <v>87.623295157595606</v>
      </c>
      <c r="AM1486">
        <v>86.859116161395804</v>
      </c>
      <c r="AN1486">
        <v>1.0000000068307999</v>
      </c>
    </row>
    <row r="1487" spans="1:40" x14ac:dyDescent="0.25">
      <c r="A1487" t="str">
        <f>"20190312160627518"</f>
        <v>20190312160627518</v>
      </c>
      <c r="B1487" t="str">
        <f>"1552377987506668"</f>
        <v>1552377987506668</v>
      </c>
      <c r="C1487" t="s">
        <v>40</v>
      </c>
      <c r="D1487">
        <v>6.0957569999999999</v>
      </c>
      <c r="E1487">
        <v>0.53242089999999997</v>
      </c>
      <c r="F1487" t="s">
        <v>61</v>
      </c>
      <c r="G1487">
        <v>-201.4692</v>
      </c>
      <c r="H1487">
        <v>8.0001409999999995E-2</v>
      </c>
      <c r="I1487">
        <v>275.16140000000001</v>
      </c>
      <c r="J1487">
        <v>-191.36490000000001</v>
      </c>
      <c r="K1487">
        <v>1.1092390000000001</v>
      </c>
      <c r="L1487">
        <v>311.59089999999998</v>
      </c>
      <c r="M1487">
        <v>-0.15818019999999999</v>
      </c>
      <c r="N1487">
        <v>0</v>
      </c>
      <c r="O1487">
        <v>-0.98732319999999996</v>
      </c>
      <c r="P1487">
        <v>-0.21240800000000001</v>
      </c>
      <c r="Q1487">
        <v>2.9316970000000001E-2</v>
      </c>
      <c r="R1487">
        <v>-0.97674119999999998</v>
      </c>
      <c r="S1487">
        <v>-0.80239869999999902</v>
      </c>
      <c r="T1487">
        <v>-8.1453079999999997E-2</v>
      </c>
      <c r="U1487">
        <v>-2.899597</v>
      </c>
      <c r="V1487">
        <v>5.530351E-2</v>
      </c>
      <c r="W1487">
        <v>4.2295060000000002E-2</v>
      </c>
      <c r="X1487">
        <v>0.99757340000000005</v>
      </c>
      <c r="Y1487">
        <v>0.1107841</v>
      </c>
      <c r="Z1487">
        <v>2.6961019999999999E-2</v>
      </c>
      <c r="AA1487">
        <v>0.99347870000000005</v>
      </c>
      <c r="AB1487">
        <v>22</v>
      </c>
      <c r="AC1487">
        <v>-10.104299999999901</v>
      </c>
      <c r="AD1487">
        <v>-1.0292375899999999</v>
      </c>
      <c r="AE1487">
        <v>-36.429499999999898</v>
      </c>
      <c r="AF1487">
        <v>4.2110252631310399</v>
      </c>
      <c r="AG1487">
        <v>-1.0292375899999999</v>
      </c>
      <c r="AH1487">
        <v>37.541394595127997</v>
      </c>
      <c r="AI1487">
        <v>91.560649262137204</v>
      </c>
      <c r="AJ1487">
        <v>83.599874654260205</v>
      </c>
      <c r="AK1487">
        <v>37.790850373212002</v>
      </c>
      <c r="AL1487">
        <v>87.575948528354203</v>
      </c>
      <c r="AM1487">
        <v>86.826882583805599</v>
      </c>
      <c r="AN1487">
        <v>1.00000001935314</v>
      </c>
    </row>
    <row r="1488" spans="1:40" x14ac:dyDescent="0.25">
      <c r="A1488" t="str">
        <f>"20190312160627563"</f>
        <v>20190312160627563</v>
      </c>
      <c r="B1488" t="str">
        <f>"1552377987556445"</f>
        <v>1552377987556445</v>
      </c>
      <c r="C1488" t="s">
        <v>40</v>
      </c>
      <c r="D1488">
        <v>6.0718800000000002</v>
      </c>
      <c r="E1488">
        <v>0.52869100000000002</v>
      </c>
      <c r="F1488" t="s">
        <v>61</v>
      </c>
      <c r="G1488">
        <v>-199.16900000000001</v>
      </c>
      <c r="H1488" s="1">
        <v>2.1787189999999999E-6</v>
      </c>
      <c r="I1488">
        <v>286.44029999999998</v>
      </c>
      <c r="J1488">
        <v>-191.43989999999999</v>
      </c>
      <c r="K1488">
        <v>1.109189</v>
      </c>
      <c r="L1488">
        <v>311.14519999999999</v>
      </c>
      <c r="M1488">
        <v>-0.160990299999999</v>
      </c>
      <c r="N1488">
        <v>0</v>
      </c>
      <c r="O1488">
        <v>-0.98686810000000003</v>
      </c>
      <c r="P1488">
        <v>-0.21836069999999999</v>
      </c>
      <c r="Q1488">
        <v>2.8112870000000002E-2</v>
      </c>
      <c r="R1488">
        <v>-0.97546339999999998</v>
      </c>
      <c r="S1488">
        <v>-0.89392090000000002</v>
      </c>
      <c r="T1488">
        <v>-0.12705719999999901</v>
      </c>
      <c r="U1488">
        <v>-2.8808590000000001</v>
      </c>
      <c r="V1488">
        <v>5.854649E-2</v>
      </c>
      <c r="W1488">
        <v>4.1144020000000003E-2</v>
      </c>
      <c r="X1488">
        <v>0.99743649999999995</v>
      </c>
      <c r="Y1488">
        <v>0.13845499999999999</v>
      </c>
      <c r="Z1488">
        <v>4.2008320000000002E-2</v>
      </c>
      <c r="AA1488">
        <v>0.98947739999999995</v>
      </c>
      <c r="AB1488">
        <v>22</v>
      </c>
      <c r="AC1488">
        <v>-7.7291000000000096</v>
      </c>
      <c r="AD1488">
        <v>-1.1091868212810001</v>
      </c>
      <c r="AE1488">
        <v>-24.704899999999999</v>
      </c>
      <c r="AF1488">
        <v>3.6439790458810299</v>
      </c>
      <c r="AG1488">
        <v>-1.1091868212810001</v>
      </c>
      <c r="AH1488">
        <v>25.580044114244</v>
      </c>
      <c r="AI1488">
        <v>92.458085583302207</v>
      </c>
      <c r="AJ1488">
        <v>81.892536564703093</v>
      </c>
      <c r="AK1488">
        <v>25.8620868372603</v>
      </c>
      <c r="AL1488">
        <v>87.641955797768205</v>
      </c>
      <c r="AM1488">
        <v>86.640766296371893</v>
      </c>
      <c r="AN1488">
        <v>1.00000004670266</v>
      </c>
    </row>
    <row r="1489" spans="1:40" x14ac:dyDescent="0.25">
      <c r="A1489" t="str">
        <f>"20190312160627596"</f>
        <v>20190312160627596</v>
      </c>
      <c r="B1489" t="str">
        <f>"1552377987586701"</f>
        <v>1552377987586701</v>
      </c>
      <c r="C1489" t="s">
        <v>40</v>
      </c>
      <c r="D1489">
        <v>6.1542899999999996</v>
      </c>
      <c r="E1489">
        <v>0.52646610000000005</v>
      </c>
      <c r="F1489" t="s">
        <v>61</v>
      </c>
      <c r="G1489">
        <v>-200.57220000000001</v>
      </c>
      <c r="H1489" s="1">
        <v>2.759054E-6</v>
      </c>
      <c r="I1489">
        <v>281.3184</v>
      </c>
      <c r="J1489">
        <v>-191.49379999999999</v>
      </c>
      <c r="K1489">
        <v>1.1091530000000001</v>
      </c>
      <c r="L1489">
        <v>310.83120000000002</v>
      </c>
      <c r="M1489">
        <v>-0.1631177</v>
      </c>
      <c r="N1489">
        <v>0</v>
      </c>
      <c r="O1489">
        <v>-0.98651770000000005</v>
      </c>
      <c r="P1489">
        <v>-0.22254599999999999</v>
      </c>
      <c r="Q1489">
        <v>2.644148E-2</v>
      </c>
      <c r="R1489">
        <v>-0.97456399999999999</v>
      </c>
      <c r="S1489">
        <v>-0.88212590000000002</v>
      </c>
      <c r="T1489">
        <v>-0.10714129999999999</v>
      </c>
      <c r="U1489">
        <v>-2.8811040000000001</v>
      </c>
      <c r="V1489">
        <v>6.0671460000000003E-2</v>
      </c>
      <c r="W1489">
        <v>3.9526480000000003E-2</v>
      </c>
      <c r="X1489">
        <v>0.99737489999999995</v>
      </c>
      <c r="Y1489">
        <v>0.13266919999999999</v>
      </c>
      <c r="Z1489">
        <v>3.5446409999999998E-2</v>
      </c>
      <c r="AA1489">
        <v>0.99052629999999997</v>
      </c>
      <c r="AB1489">
        <v>22</v>
      </c>
      <c r="AC1489">
        <v>-9.0784000000000091</v>
      </c>
      <c r="AD1489">
        <v>-1.1091502409459999</v>
      </c>
      <c r="AE1489">
        <v>-29.512799999999999</v>
      </c>
      <c r="AF1489">
        <v>4.1369676319701396</v>
      </c>
      <c r="AG1489">
        <v>-1.1091502409459999</v>
      </c>
      <c r="AH1489">
        <v>30.559000877072201</v>
      </c>
      <c r="AI1489">
        <v>92.059885636944799</v>
      </c>
      <c r="AJ1489">
        <v>82.290372969843602</v>
      </c>
      <c r="AK1489">
        <v>30.857693530947099</v>
      </c>
      <c r="AL1489">
        <v>87.734709463463304</v>
      </c>
      <c r="AM1489">
        <v>86.518921563943096</v>
      </c>
      <c r="AN1489">
        <v>1.0000000299148599</v>
      </c>
    </row>
    <row r="1490" spans="1:40" x14ac:dyDescent="0.25">
      <c r="A1490" t="str">
        <f>"20190312160627617"</f>
        <v>20190312160627617</v>
      </c>
      <c r="B1490" t="str">
        <f>"1552377987606727"</f>
        <v>1552377987606727</v>
      </c>
      <c r="C1490" t="s">
        <v>40</v>
      </c>
      <c r="D1490">
        <v>6.2118159999999998</v>
      </c>
      <c r="E1490">
        <v>0.52581099999999903</v>
      </c>
      <c r="F1490" t="s">
        <v>61</v>
      </c>
      <c r="G1490">
        <v>-201.07650000000001</v>
      </c>
      <c r="H1490" s="1">
        <v>3.1799139999999998E-6</v>
      </c>
      <c r="I1490">
        <v>279.34140000000002</v>
      </c>
      <c r="J1490">
        <v>-191.52969999999999</v>
      </c>
      <c r="K1490">
        <v>1.1091219999999999</v>
      </c>
      <c r="L1490">
        <v>310.62430000000001</v>
      </c>
      <c r="M1490">
        <v>-0.16459089999999901</v>
      </c>
      <c r="N1490">
        <v>0</v>
      </c>
      <c r="O1490">
        <v>-0.98627240000000005</v>
      </c>
      <c r="P1490">
        <v>-0.2242536</v>
      </c>
      <c r="Q1490">
        <v>2.6985789999999999E-2</v>
      </c>
      <c r="R1490">
        <v>-0.9741571</v>
      </c>
      <c r="S1490">
        <v>-0.87667850000000003</v>
      </c>
      <c r="T1490">
        <v>-0.1014708</v>
      </c>
      <c r="U1490">
        <v>-2.8808590000000001</v>
      </c>
      <c r="V1490">
        <v>6.0936940000000002E-2</v>
      </c>
      <c r="W1490">
        <v>4.0105849999999998E-2</v>
      </c>
      <c r="X1490">
        <v>0.99733559999999999</v>
      </c>
      <c r="Y1490">
        <v>0.1295173</v>
      </c>
      <c r="Z1490">
        <v>3.3579100000000001E-2</v>
      </c>
      <c r="AA1490">
        <v>0.99100849999999996</v>
      </c>
      <c r="AB1490">
        <v>22</v>
      </c>
      <c r="AC1490">
        <v>-9.5468000000000099</v>
      </c>
      <c r="AD1490">
        <v>-1.109118820086</v>
      </c>
      <c r="AE1490">
        <v>-31.282899999999898</v>
      </c>
      <c r="AF1490">
        <v>4.2623401035336501</v>
      </c>
      <c r="AG1490">
        <v>-1.109118820086</v>
      </c>
      <c r="AH1490">
        <v>32.390394063675899</v>
      </c>
      <c r="AI1490">
        <v>91.944417996218604</v>
      </c>
      <c r="AJ1490">
        <v>82.503366596010295</v>
      </c>
      <c r="AK1490">
        <v>32.688458442017001</v>
      </c>
      <c r="AL1490">
        <v>87.701487697474803</v>
      </c>
      <c r="AM1490">
        <v>86.503589688728596</v>
      </c>
      <c r="AN1490">
        <v>1.00000004444407</v>
      </c>
    </row>
    <row r="1491" spans="1:40" x14ac:dyDescent="0.25">
      <c r="A1491" t="str">
        <f>"20190312160627639"</f>
        <v>20190312160627639</v>
      </c>
      <c r="B1491" t="str">
        <f>"1552377987636008"</f>
        <v>1552377987636008</v>
      </c>
      <c r="C1491" t="s">
        <v>40</v>
      </c>
      <c r="D1491">
        <v>5.8895689999999998</v>
      </c>
      <c r="E1491">
        <v>0.52738890000000005</v>
      </c>
      <c r="F1491" t="s">
        <v>61</v>
      </c>
      <c r="G1491">
        <v>-201.1832</v>
      </c>
      <c r="H1491">
        <v>5.9848989999999998E-2</v>
      </c>
      <c r="I1491">
        <v>278.90120000000002</v>
      </c>
      <c r="J1491">
        <v>-191.56780000000001</v>
      </c>
      <c r="K1491">
        <v>1.1090960000000001</v>
      </c>
      <c r="L1491">
        <v>310.40769999999998</v>
      </c>
      <c r="M1491">
        <v>-0.16617660000000001</v>
      </c>
      <c r="N1491">
        <v>0</v>
      </c>
      <c r="O1491">
        <v>-0.98600589999999999</v>
      </c>
      <c r="P1491">
        <v>-0.2262431</v>
      </c>
      <c r="Q1491">
        <v>2.7623640000000001E-2</v>
      </c>
      <c r="R1491">
        <v>-0.97367919999999997</v>
      </c>
      <c r="S1491">
        <v>-0.87652589999999997</v>
      </c>
      <c r="T1491">
        <v>-9.527302E-2</v>
      </c>
      <c r="U1491">
        <v>-2.8804319999999999</v>
      </c>
      <c r="V1491">
        <v>6.1378490000000001E-2</v>
      </c>
      <c r="W1491">
        <v>4.0777170000000001E-2</v>
      </c>
      <c r="X1491">
        <v>0.99728130000000004</v>
      </c>
      <c r="Y1491">
        <v>0.1279352</v>
      </c>
      <c r="Z1491">
        <v>3.1525549999999999E-2</v>
      </c>
      <c r="AA1491">
        <v>0.99128130000000003</v>
      </c>
      <c r="AB1491">
        <v>22</v>
      </c>
      <c r="AC1491">
        <v>-9.6153999999999904</v>
      </c>
      <c r="AD1491">
        <v>-1.04924700999999</v>
      </c>
      <c r="AE1491">
        <v>-31.5064999999999</v>
      </c>
      <c r="AF1491">
        <v>4.2412722820031998</v>
      </c>
      <c r="AG1491">
        <v>-1.04924700999999</v>
      </c>
      <c r="AH1491">
        <v>32.633243427471903</v>
      </c>
      <c r="AI1491">
        <v>91.8262309006235</v>
      </c>
      <c r="AJ1491">
        <v>82.5948996784158</v>
      </c>
      <c r="AK1491">
        <v>32.924426896374598</v>
      </c>
      <c r="AL1491">
        <v>87.662992401957595</v>
      </c>
      <c r="AM1491">
        <v>86.478126912956299</v>
      </c>
      <c r="AN1491">
        <v>1.00000004397878</v>
      </c>
    </row>
    <row r="1492" spans="1:40" x14ac:dyDescent="0.25">
      <c r="A1492" t="str">
        <f>"20190312160627661"</f>
        <v>20190312160627661</v>
      </c>
      <c r="B1492" t="str">
        <f>"1552377987656503"</f>
        <v>1552377987656503</v>
      </c>
      <c r="C1492" t="s">
        <v>40</v>
      </c>
      <c r="D1492">
        <v>6.1727270000000001</v>
      </c>
      <c r="E1492">
        <v>0.52825769999999905</v>
      </c>
      <c r="F1492" t="s">
        <v>61</v>
      </c>
      <c r="G1492">
        <v>-202.2011</v>
      </c>
      <c r="H1492">
        <v>8.0001409999999995E-2</v>
      </c>
      <c r="I1492">
        <v>276.22230000000002</v>
      </c>
      <c r="J1492">
        <v>-191.6035</v>
      </c>
      <c r="K1492">
        <v>1.10907</v>
      </c>
      <c r="L1492">
        <v>310.20659999999998</v>
      </c>
      <c r="M1492">
        <v>-0.16768629999999901</v>
      </c>
      <c r="N1492">
        <v>0</v>
      </c>
      <c r="O1492">
        <v>-0.98574989999999996</v>
      </c>
      <c r="P1492">
        <v>-0.22794539999999999</v>
      </c>
      <c r="Q1492">
        <v>2.7316960000000001E-2</v>
      </c>
      <c r="R1492">
        <v>-0.97329080000000001</v>
      </c>
      <c r="S1492">
        <v>-0.89450069999999904</v>
      </c>
      <c r="T1492">
        <v>-8.6570140000000004E-2</v>
      </c>
      <c r="U1492">
        <v>-2.8757630000000001</v>
      </c>
      <c r="V1492">
        <v>6.159572E-2</v>
      </c>
      <c r="W1492">
        <v>4.0499880000000002E-2</v>
      </c>
      <c r="X1492">
        <v>0.99727920000000003</v>
      </c>
      <c r="Y1492">
        <v>0.13254850000000001</v>
      </c>
      <c r="Z1492">
        <v>2.8647120000000002E-2</v>
      </c>
      <c r="AA1492">
        <v>0.99076249999999999</v>
      </c>
      <c r="AB1492">
        <v>22</v>
      </c>
      <c r="AC1492">
        <v>-10.5976</v>
      </c>
      <c r="AD1492">
        <v>-1.0290685900000001</v>
      </c>
      <c r="AE1492">
        <v>-33.984299999999898</v>
      </c>
      <c r="AF1492">
        <v>4.7443406249414002</v>
      </c>
      <c r="AG1492">
        <v>-1.0290685900000001</v>
      </c>
      <c r="AH1492">
        <v>35.250782854399901</v>
      </c>
      <c r="AI1492">
        <v>91.657214990377796</v>
      </c>
      <c r="AJ1492">
        <v>82.334723649832696</v>
      </c>
      <c r="AK1492">
        <v>35.583499574612503</v>
      </c>
      <c r="AL1492">
        <v>87.678893069171906</v>
      </c>
      <c r="AM1492">
        <v>86.4656864589668</v>
      </c>
      <c r="AN1492">
        <v>1.00000003787748</v>
      </c>
    </row>
    <row r="1493" spans="1:40" x14ac:dyDescent="0.25">
      <c r="A1493" t="str">
        <f>"20190312160627683"</f>
        <v>20190312160627683</v>
      </c>
      <c r="B1493" t="str">
        <f>"1552377987676024"</f>
        <v>1552377987676024</v>
      </c>
      <c r="C1493" t="s">
        <v>40</v>
      </c>
      <c r="D1493">
        <v>5.6022049999999997</v>
      </c>
      <c r="E1493">
        <v>0.52907340000000003</v>
      </c>
      <c r="F1493" t="s">
        <v>61</v>
      </c>
      <c r="G1493">
        <v>-202.84139999999999</v>
      </c>
      <c r="H1493">
        <v>8.0001320000000001E-2</v>
      </c>
      <c r="I1493">
        <v>274.57279999999997</v>
      </c>
      <c r="J1493">
        <v>-191.64330000000001</v>
      </c>
      <c r="K1493">
        <v>1.1090519999999999</v>
      </c>
      <c r="L1493">
        <v>309.98500000000001</v>
      </c>
      <c r="M1493">
        <v>-0.16939489999999999</v>
      </c>
      <c r="N1493">
        <v>0</v>
      </c>
      <c r="O1493">
        <v>-0.98545729999999998</v>
      </c>
      <c r="P1493">
        <v>-0.23033790000000001</v>
      </c>
      <c r="Q1493">
        <v>2.6500139999999998E-2</v>
      </c>
      <c r="R1493">
        <v>-0.97274989999999995</v>
      </c>
      <c r="S1493">
        <v>-0.90591429999999995</v>
      </c>
      <c r="T1493">
        <v>-8.2955719999999997E-2</v>
      </c>
      <c r="U1493">
        <v>-2.872528</v>
      </c>
      <c r="V1493">
        <v>6.2315780000000001E-2</v>
      </c>
      <c r="W1493">
        <v>3.9712770000000001E-2</v>
      </c>
      <c r="X1493">
        <v>0.99726610000000004</v>
      </c>
      <c r="Y1493">
        <v>0.13474120000000001</v>
      </c>
      <c r="Z1493">
        <v>2.7449290000000001E-2</v>
      </c>
      <c r="AA1493">
        <v>0.99050059999999995</v>
      </c>
      <c r="AB1493">
        <v>22</v>
      </c>
      <c r="AC1493">
        <v>-11.198099999999901</v>
      </c>
      <c r="AD1493">
        <v>-1.0290506800000001</v>
      </c>
      <c r="AE1493">
        <v>-35.412199999999999</v>
      </c>
      <c r="AF1493">
        <v>5.0331910018094099</v>
      </c>
      <c r="AG1493">
        <v>-1.0290506800000001</v>
      </c>
      <c r="AH1493">
        <v>36.769183924373003</v>
      </c>
      <c r="AI1493">
        <v>91.588301430264195</v>
      </c>
      <c r="AJ1493">
        <v>82.205446312854207</v>
      </c>
      <c r="AK1493">
        <v>37.126336251064103</v>
      </c>
      <c r="AL1493">
        <v>87.724027417290998</v>
      </c>
      <c r="AM1493">
        <v>86.424429708303194</v>
      </c>
      <c r="AN1493">
        <v>1.0000000173736401</v>
      </c>
    </row>
    <row r="1494" spans="1:40" x14ac:dyDescent="0.25">
      <c r="A1494" t="str">
        <f>"20190312160627706"</f>
        <v>20190312160627706</v>
      </c>
      <c r="B1494" t="str">
        <f>"1552377987696052"</f>
        <v>1552377987696052</v>
      </c>
      <c r="C1494" t="s">
        <v>40</v>
      </c>
      <c r="D1494">
        <v>5.9016409999999997</v>
      </c>
      <c r="E1494">
        <v>0.55207309999999998</v>
      </c>
      <c r="F1494" t="s">
        <v>61</v>
      </c>
      <c r="G1494">
        <v>-204.167</v>
      </c>
      <c r="H1494">
        <v>8.0002299999999998E-2</v>
      </c>
      <c r="I1494">
        <v>270.89690000000002</v>
      </c>
      <c r="J1494">
        <v>-191.68219999999999</v>
      </c>
      <c r="K1494">
        <v>1.1090390000000001</v>
      </c>
      <c r="L1494">
        <v>309.77019999999999</v>
      </c>
      <c r="M1494">
        <v>-0.1710911</v>
      </c>
      <c r="N1494">
        <v>0</v>
      </c>
      <c r="O1494">
        <v>-0.98516369999999998</v>
      </c>
      <c r="P1494">
        <v>-0.232325</v>
      </c>
      <c r="Q1494">
        <v>2.6109540000000001E-2</v>
      </c>
      <c r="R1494">
        <v>-0.97228789999999998</v>
      </c>
      <c r="S1494">
        <v>-0.91905210000000004</v>
      </c>
      <c r="T1494">
        <v>-7.551658E-2</v>
      </c>
      <c r="U1494">
        <v>-2.8684690000000002</v>
      </c>
      <c r="V1494">
        <v>6.2635499999999997E-2</v>
      </c>
      <c r="W1494">
        <v>3.9349240000000001E-2</v>
      </c>
      <c r="X1494">
        <v>0.99726049999999999</v>
      </c>
      <c r="Y1494">
        <v>0.13757620000000001</v>
      </c>
      <c r="Z1494">
        <v>2.4990109999999999E-2</v>
      </c>
      <c r="AA1494">
        <v>0.9901759</v>
      </c>
      <c r="AB1494">
        <v>22</v>
      </c>
      <c r="AC1494">
        <v>-12.4848</v>
      </c>
      <c r="AD1494">
        <v>-1.02903669999999</v>
      </c>
      <c r="AE1494">
        <v>-38.873299999999901</v>
      </c>
      <c r="AF1494">
        <v>5.6456192400677097</v>
      </c>
      <c r="AG1494">
        <v>-1.02903669999999</v>
      </c>
      <c r="AH1494">
        <v>40.4105784479517</v>
      </c>
      <c r="AI1494">
        <v>91.4446709931686</v>
      </c>
      <c r="AJ1494">
        <v>82.046885038980903</v>
      </c>
      <c r="AK1494">
        <v>40.8160113635792</v>
      </c>
      <c r="AL1494">
        <v>87.744872489020906</v>
      </c>
      <c r="AM1494">
        <v>86.406112564365898</v>
      </c>
      <c r="AN1494">
        <v>1.0000000367045301</v>
      </c>
    </row>
    <row r="1495" spans="1:40" x14ac:dyDescent="0.25">
      <c r="A1495" t="str">
        <f>"20190312160627728"</f>
        <v>20190312160627728</v>
      </c>
      <c r="B1495" t="str">
        <f>"1552377987716548"</f>
        <v>1552377987716548</v>
      </c>
      <c r="C1495" t="s">
        <v>40</v>
      </c>
      <c r="D1495">
        <v>6.214118</v>
      </c>
      <c r="E1495">
        <v>0.55501519999999904</v>
      </c>
      <c r="F1495" t="s">
        <v>45</v>
      </c>
      <c r="G1495">
        <v>-215.54409999999999</v>
      </c>
      <c r="H1495">
        <v>-0.05</v>
      </c>
      <c r="I1495">
        <v>248.6815</v>
      </c>
      <c r="J1495">
        <v>-191.72110000000001</v>
      </c>
      <c r="K1495">
        <v>1.109029</v>
      </c>
      <c r="L1495">
        <v>309.5582</v>
      </c>
      <c r="M1495">
        <v>-0.17279749999999999</v>
      </c>
      <c r="N1495">
        <v>0</v>
      </c>
      <c r="O1495">
        <v>-0.9848654</v>
      </c>
      <c r="P1495">
        <v>-0.23461009999999999</v>
      </c>
      <c r="Q1495">
        <v>2.6328299999999999E-2</v>
      </c>
      <c r="R1495">
        <v>-0.97173310000000002</v>
      </c>
      <c r="S1495">
        <v>-1.102859</v>
      </c>
      <c r="T1495">
        <v>-5.3568959999999999E-2</v>
      </c>
      <c r="U1495">
        <v>-2.8234249999999999</v>
      </c>
      <c r="V1495">
        <v>6.3255469999999994E-2</v>
      </c>
      <c r="W1495">
        <v>3.959033E-2</v>
      </c>
      <c r="X1495">
        <v>0.99721179999999998</v>
      </c>
      <c r="Y1495">
        <v>0.19733819999999999</v>
      </c>
      <c r="Z1495">
        <v>1.7708410000000001E-2</v>
      </c>
      <c r="AA1495">
        <v>0.98017560000000004</v>
      </c>
      <c r="AB1495">
        <v>22</v>
      </c>
      <c r="AC1495">
        <v>-23.822999999999901</v>
      </c>
      <c r="AD1495">
        <v>-1.1590290000000001</v>
      </c>
      <c r="AE1495">
        <v>-60.8767</v>
      </c>
      <c r="AF1495">
        <v>12.940211785096899</v>
      </c>
      <c r="AG1495">
        <v>-1.1590290000000001</v>
      </c>
      <c r="AH1495">
        <v>64.057578948065199</v>
      </c>
      <c r="AI1495">
        <v>91.016051322825504</v>
      </c>
      <c r="AJ1495">
        <v>78.579426675588493</v>
      </c>
      <c r="AK1495">
        <v>65.361807272700204</v>
      </c>
      <c r="AL1495">
        <v>87.731048220220401</v>
      </c>
      <c r="AM1495">
        <v>86.3704578931969</v>
      </c>
      <c r="AN1495">
        <v>1.0000000113868299</v>
      </c>
    </row>
    <row r="1496" spans="1:40" x14ac:dyDescent="0.25">
      <c r="A1496" t="str">
        <f>"20190312160627749"</f>
        <v>20190312160627749</v>
      </c>
      <c r="B1496" t="str">
        <f>"1552377987746800"</f>
        <v>1552377987746800</v>
      </c>
      <c r="C1496" t="s">
        <v>40</v>
      </c>
      <c r="D1496">
        <v>5.8573040000000001</v>
      </c>
      <c r="E1496">
        <v>0.55627689999999996</v>
      </c>
      <c r="F1496" t="s">
        <v>45</v>
      </c>
      <c r="G1496">
        <v>-208.2285</v>
      </c>
      <c r="H1496">
        <v>-0.05</v>
      </c>
      <c r="I1496">
        <v>268.50080000000003</v>
      </c>
      <c r="J1496">
        <v>-191.7586</v>
      </c>
      <c r="K1496">
        <v>1.1090279999999999</v>
      </c>
      <c r="L1496">
        <v>309.35579999999999</v>
      </c>
      <c r="M1496">
        <v>-0.17445160000000001</v>
      </c>
      <c r="N1496">
        <v>0</v>
      </c>
      <c r="O1496">
        <v>-0.98457349999999999</v>
      </c>
      <c r="P1496">
        <v>-0.23668040000000001</v>
      </c>
      <c r="Q1496">
        <v>2.7373459999999999E-2</v>
      </c>
      <c r="R1496">
        <v>-0.97120209999999996</v>
      </c>
      <c r="S1496">
        <v>-1.1322019999999999</v>
      </c>
      <c r="T1496">
        <v>-7.9495189999999993E-2</v>
      </c>
      <c r="U1496">
        <v>-2.8160400000000001</v>
      </c>
      <c r="V1496">
        <v>6.3714530000000005E-2</v>
      </c>
      <c r="W1496">
        <v>4.0653769999999999E-2</v>
      </c>
      <c r="X1496">
        <v>0.99713980000000002</v>
      </c>
      <c r="Y1496">
        <v>0.2053083</v>
      </c>
      <c r="Z1496">
        <v>2.6255420000000002E-2</v>
      </c>
      <c r="AA1496">
        <v>0.97834509999999997</v>
      </c>
      <c r="AB1496">
        <v>22</v>
      </c>
      <c r="AC1496">
        <v>-16.4698999999999</v>
      </c>
      <c r="AD1496">
        <v>-1.1590279999999999</v>
      </c>
      <c r="AE1496">
        <v>-40.854999999999897</v>
      </c>
      <c r="AF1496">
        <v>9.0831442806907106</v>
      </c>
      <c r="AG1496">
        <v>-1.1590279999999999</v>
      </c>
      <c r="AH1496">
        <v>43.072046812629701</v>
      </c>
      <c r="AI1496">
        <v>91.508246862172697</v>
      </c>
      <c r="AJ1496">
        <v>78.091797337554993</v>
      </c>
      <c r="AK1496">
        <v>44.034623565530701</v>
      </c>
      <c r="AL1496">
        <v>87.670068525560794</v>
      </c>
      <c r="AM1496">
        <v>86.343925361902606</v>
      </c>
      <c r="AN1496">
        <v>1.0000000255461801</v>
      </c>
    </row>
    <row r="1497" spans="1:40" x14ac:dyDescent="0.25">
      <c r="A1497" t="str">
        <f>"20190312160627775"</f>
        <v>20190312160627775</v>
      </c>
      <c r="B1497" t="str">
        <f>"1552377987766320"</f>
        <v>1552377987766320</v>
      </c>
      <c r="C1497" t="s">
        <v>40</v>
      </c>
      <c r="D1497">
        <v>6.2925760000000004</v>
      </c>
      <c r="E1497">
        <v>0.55531589999999997</v>
      </c>
      <c r="F1497" t="s">
        <v>61</v>
      </c>
      <c r="G1497">
        <v>-204.1035</v>
      </c>
      <c r="H1497">
        <v>8.0001310000000006E-2</v>
      </c>
      <c r="I1497">
        <v>279.12740000000002</v>
      </c>
      <c r="J1497">
        <v>-191.8032</v>
      </c>
      <c r="K1497">
        <v>1.1090180000000001</v>
      </c>
      <c r="L1497">
        <v>309.11770000000001</v>
      </c>
      <c r="M1497">
        <v>-0.17642349999999901</v>
      </c>
      <c r="N1497">
        <v>0</v>
      </c>
      <c r="O1497">
        <v>-0.98422180000000004</v>
      </c>
      <c r="P1497">
        <v>-0.2390264</v>
      </c>
      <c r="Q1497">
        <v>2.7968159999999999E-2</v>
      </c>
      <c r="R1497">
        <v>-0.97061030000000004</v>
      </c>
      <c r="S1497">
        <v>-1.148315</v>
      </c>
      <c r="T1497">
        <v>-9.5719579999999999E-2</v>
      </c>
      <c r="U1497">
        <v>-2.8118289999999999</v>
      </c>
      <c r="V1497">
        <v>6.4132300000000003E-2</v>
      </c>
      <c r="W1497">
        <v>4.1267409999999997E-2</v>
      </c>
      <c r="X1497">
        <v>0.99708779999999997</v>
      </c>
      <c r="Y1497">
        <v>0.2086094</v>
      </c>
      <c r="Z1497">
        <v>3.159174E-2</v>
      </c>
      <c r="AA1497">
        <v>0.97748860000000004</v>
      </c>
      <c r="AB1497">
        <v>22</v>
      </c>
      <c r="AC1497">
        <v>-12.300299999999901</v>
      </c>
      <c r="AD1497">
        <v>-1.02901669</v>
      </c>
      <c r="AE1497">
        <v>-29.990299999999898</v>
      </c>
      <c r="AF1497">
        <v>6.8089887892135899</v>
      </c>
      <c r="AG1497">
        <v>-1.02901669</v>
      </c>
      <c r="AH1497">
        <v>31.658152064695901</v>
      </c>
      <c r="AI1497">
        <v>91.820093985612601</v>
      </c>
      <c r="AJ1497">
        <v>77.861819291836895</v>
      </c>
      <c r="AK1497">
        <v>32.398453602469097</v>
      </c>
      <c r="AL1497">
        <v>87.634879989596499</v>
      </c>
      <c r="AM1497">
        <v>86.319827104004005</v>
      </c>
      <c r="AN1497">
        <v>1.0000000159701099</v>
      </c>
    </row>
    <row r="1498" spans="1:40" x14ac:dyDescent="0.25">
      <c r="A1498" t="str">
        <f>"20190312160627798"</f>
        <v>20190312160627798</v>
      </c>
      <c r="B1498" t="str">
        <f>"1552377987786817"</f>
        <v>1552377987786817</v>
      </c>
      <c r="C1498" t="s">
        <v>40</v>
      </c>
      <c r="D1498">
        <v>6.2102709999999997</v>
      </c>
      <c r="E1498">
        <v>0.55668769999999901</v>
      </c>
      <c r="F1498" t="s">
        <v>61</v>
      </c>
      <c r="G1498">
        <v>-205.29599999999999</v>
      </c>
      <c r="H1498">
        <v>8.0001210000000003E-2</v>
      </c>
      <c r="I1498">
        <v>276.06659999999999</v>
      </c>
      <c r="J1498">
        <v>-191.8441</v>
      </c>
      <c r="K1498">
        <v>1.109002</v>
      </c>
      <c r="L1498">
        <v>308.90210000000002</v>
      </c>
      <c r="M1498">
        <v>-0.17824000000000001</v>
      </c>
      <c r="N1498">
        <v>0</v>
      </c>
      <c r="O1498">
        <v>-0.98389409999999999</v>
      </c>
      <c r="P1498">
        <v>-0.24093249999999999</v>
      </c>
      <c r="Q1498">
        <v>2.7348859999999999E-2</v>
      </c>
      <c r="R1498">
        <v>-0.97015669999999998</v>
      </c>
      <c r="S1498">
        <v>-1.1474759999999999</v>
      </c>
      <c r="T1498">
        <v>-8.7511420000000006E-2</v>
      </c>
      <c r="U1498">
        <v>-2.810791</v>
      </c>
      <c r="V1498">
        <v>6.4246689999999995E-2</v>
      </c>
      <c r="W1498">
        <v>4.0663770000000002E-2</v>
      </c>
      <c r="X1498">
        <v>0.99710520000000002</v>
      </c>
      <c r="Y1498">
        <v>0.2067109</v>
      </c>
      <c r="Z1498">
        <v>2.8888170000000001E-2</v>
      </c>
      <c r="AA1498">
        <v>0.9779755</v>
      </c>
      <c r="AB1498">
        <v>22</v>
      </c>
      <c r="AC1498">
        <v>-13.451899999999901</v>
      </c>
      <c r="AD1498">
        <v>-1.02900079</v>
      </c>
      <c r="AE1498">
        <v>-32.835500000000003</v>
      </c>
      <c r="AF1498">
        <v>7.3771170836531503</v>
      </c>
      <c r="AG1498">
        <v>-1.02900079</v>
      </c>
      <c r="AH1498">
        <v>34.678333299159299</v>
      </c>
      <c r="AI1498">
        <v>91.662445083659406</v>
      </c>
      <c r="AJ1498">
        <v>77.990500135354495</v>
      </c>
      <c r="AK1498">
        <v>35.469247236152803</v>
      </c>
      <c r="AL1498">
        <v>87.669494986506095</v>
      </c>
      <c r="AM1498">
        <v>86.313345184547799</v>
      </c>
      <c r="AN1498">
        <v>0.99999997961680398</v>
      </c>
    </row>
    <row r="1499" spans="1:40" x14ac:dyDescent="0.25">
      <c r="A1499" t="str">
        <f>"20190312160627819"</f>
        <v>20190312160627819</v>
      </c>
      <c r="B1499" t="str">
        <f>"1552377987806842"</f>
        <v>1552377987806842</v>
      </c>
      <c r="C1499" t="s">
        <v>40</v>
      </c>
      <c r="D1499">
        <v>5.9934919999999998</v>
      </c>
      <c r="E1499">
        <v>0.55672809999999995</v>
      </c>
      <c r="F1499" t="s">
        <v>61</v>
      </c>
      <c r="G1499">
        <v>-203.98920000000001</v>
      </c>
      <c r="H1499">
        <v>2.6075520000000001E-2</v>
      </c>
      <c r="I1499">
        <v>279.6157</v>
      </c>
      <c r="J1499">
        <v>-191.88220000000001</v>
      </c>
      <c r="K1499">
        <v>1.108994</v>
      </c>
      <c r="L1499">
        <v>308.7029</v>
      </c>
      <c r="M1499">
        <v>-0.17993889999999901</v>
      </c>
      <c r="N1499">
        <v>0</v>
      </c>
      <c r="O1499">
        <v>-0.98358480000000004</v>
      </c>
      <c r="P1499">
        <v>-0.2434926</v>
      </c>
      <c r="Q1499">
        <v>2.6947970000000002E-2</v>
      </c>
      <c r="R1499">
        <v>-0.96952859999999996</v>
      </c>
      <c r="S1499">
        <v>-1.163727</v>
      </c>
      <c r="T1499">
        <v>-0.1037648</v>
      </c>
      <c r="U1499">
        <v>-2.8061829999999999</v>
      </c>
      <c r="V1499">
        <v>6.5155249999999998E-2</v>
      </c>
      <c r="W1499">
        <v>4.0272139999999998E-2</v>
      </c>
      <c r="X1499">
        <v>0.99706209999999995</v>
      </c>
      <c r="Y1499">
        <v>0.21035860000000001</v>
      </c>
      <c r="Z1499">
        <v>3.4233350000000003E-2</v>
      </c>
      <c r="AA1499">
        <v>0.97702469999999997</v>
      </c>
      <c r="AB1499">
        <v>22</v>
      </c>
      <c r="AC1499">
        <v>-12.106999999999999</v>
      </c>
      <c r="AD1499">
        <v>-1.08291848</v>
      </c>
      <c r="AE1499">
        <v>-29.087199999999999</v>
      </c>
      <c r="AF1499">
        <v>6.6670764677672096</v>
      </c>
      <c r="AG1499">
        <v>-1.08291848</v>
      </c>
      <c r="AH1499">
        <v>30.7547308416367</v>
      </c>
      <c r="AI1499">
        <v>91.970892447786198</v>
      </c>
      <c r="AJ1499">
        <v>77.768557825347202</v>
      </c>
      <c r="AK1499">
        <v>31.487713321276601</v>
      </c>
      <c r="AL1499">
        <v>87.691952041418901</v>
      </c>
      <c r="AM1499">
        <v>86.261195153763197</v>
      </c>
      <c r="AN1499">
        <v>0.99999994155957395</v>
      </c>
    </row>
    <row r="1500" spans="1:40" x14ac:dyDescent="0.25">
      <c r="A1500" t="str">
        <f>"20190312160627841"</f>
        <v>20190312160627841</v>
      </c>
      <c r="B1500" t="str">
        <f>"1552377987836122"</f>
        <v>1552377987836122</v>
      </c>
      <c r="C1500" t="s">
        <v>40</v>
      </c>
      <c r="D1500">
        <v>5.4536850000000001</v>
      </c>
      <c r="E1500">
        <v>0.55649890000000002</v>
      </c>
      <c r="F1500" t="s">
        <v>61</v>
      </c>
      <c r="G1500">
        <v>-204.03700000000001</v>
      </c>
      <c r="H1500">
        <v>4.7963749999999999E-2</v>
      </c>
      <c r="I1500">
        <v>279.61579999999998</v>
      </c>
      <c r="J1500">
        <v>-191.9222</v>
      </c>
      <c r="K1500">
        <v>1.1089789999999999</v>
      </c>
      <c r="L1500">
        <v>308.49639999999999</v>
      </c>
      <c r="M1500">
        <v>-0.18172940000000001</v>
      </c>
      <c r="N1500">
        <v>0</v>
      </c>
      <c r="O1500">
        <v>-0.9832554</v>
      </c>
      <c r="P1500">
        <v>-0.24550429999999901</v>
      </c>
      <c r="Q1500">
        <v>2.7069650000000001E-2</v>
      </c>
      <c r="R1500">
        <v>-0.96901769999999998</v>
      </c>
      <c r="S1500">
        <v>-1.1712800000000001</v>
      </c>
      <c r="T1500">
        <v>-0.102245</v>
      </c>
      <c r="U1500">
        <v>-2.8029480000000002</v>
      </c>
      <c r="V1500">
        <v>6.5411590000000006E-2</v>
      </c>
      <c r="W1500">
        <v>4.0403639999999998E-2</v>
      </c>
      <c r="X1500">
        <v>0.99704000000000004</v>
      </c>
      <c r="Y1500">
        <v>0.21122769999999999</v>
      </c>
      <c r="Z1500">
        <v>3.3731520000000001E-2</v>
      </c>
      <c r="AA1500">
        <v>0.97685469999999996</v>
      </c>
      <c r="AB1500">
        <v>22</v>
      </c>
      <c r="AC1500">
        <v>-12.114800000000001</v>
      </c>
      <c r="AD1500">
        <v>-1.0610152500000001</v>
      </c>
      <c r="AE1500">
        <v>-28.880600000000001</v>
      </c>
      <c r="AF1500">
        <v>6.6564592385532597</v>
      </c>
      <c r="AG1500">
        <v>-1.0610152500000001</v>
      </c>
      <c r="AH1500">
        <v>30.566343407780799</v>
      </c>
      <c r="AI1500">
        <v>91.942553684235804</v>
      </c>
      <c r="AJ1500">
        <v>77.714461709950399</v>
      </c>
      <c r="AK1500">
        <v>31.3007276637084</v>
      </c>
      <c r="AL1500">
        <v>87.6844115187901</v>
      </c>
      <c r="AM1500">
        <v>86.246444598012602</v>
      </c>
      <c r="AN1500">
        <v>0.999999945915787</v>
      </c>
    </row>
    <row r="1501" spans="1:40" x14ac:dyDescent="0.25">
      <c r="A1501" t="str">
        <f>"20190312160627862"</f>
        <v>20190312160627862</v>
      </c>
      <c r="B1501" t="str">
        <f>"1552377987856619"</f>
        <v>1552377987856619</v>
      </c>
      <c r="C1501" t="s">
        <v>40</v>
      </c>
      <c r="D1501">
        <v>6.2074040000000004</v>
      </c>
      <c r="E1501">
        <v>0.55727369999999898</v>
      </c>
      <c r="F1501" t="s">
        <v>61</v>
      </c>
      <c r="G1501">
        <v>-204.04470000000001</v>
      </c>
      <c r="H1501">
        <v>6.0021690000000003E-2</v>
      </c>
      <c r="I1501">
        <v>279.60570000000001</v>
      </c>
      <c r="J1501">
        <v>-191.96350000000001</v>
      </c>
      <c r="K1501">
        <v>1.1089549999999999</v>
      </c>
      <c r="L1501">
        <v>308.2851</v>
      </c>
      <c r="M1501">
        <v>-0.18360109999999999</v>
      </c>
      <c r="N1501">
        <v>0</v>
      </c>
      <c r="O1501">
        <v>-0.98290730000000004</v>
      </c>
      <c r="P1501">
        <v>-0.2477577</v>
      </c>
      <c r="Q1501">
        <v>2.7839840000000001E-2</v>
      </c>
      <c r="R1501">
        <v>-0.96842189999999995</v>
      </c>
      <c r="S1501">
        <v>-1.175308</v>
      </c>
      <c r="T1501">
        <v>-0.1016994</v>
      </c>
      <c r="U1501">
        <v>-2.8010250000000001</v>
      </c>
      <c r="V1501">
        <v>6.5840750000000003E-2</v>
      </c>
      <c r="W1501">
        <v>4.1180229999999998E-2</v>
      </c>
      <c r="X1501">
        <v>0.99697999999999998</v>
      </c>
      <c r="Y1501">
        <v>0.21080280000000001</v>
      </c>
      <c r="Z1501">
        <v>3.3547830000000001E-2</v>
      </c>
      <c r="AA1501">
        <v>0.97695279999999995</v>
      </c>
      <c r="AB1501">
        <v>21</v>
      </c>
      <c r="AC1501">
        <v>-12.0811999999999</v>
      </c>
      <c r="AD1501">
        <v>-1.04893331</v>
      </c>
      <c r="AE1501">
        <v>-28.679399999999902</v>
      </c>
      <c r="AF1501">
        <v>6.6022372658790003</v>
      </c>
      <c r="AG1501">
        <v>-1.04893331</v>
      </c>
      <c r="AH1501">
        <v>30.375599796880898</v>
      </c>
      <c r="AI1501">
        <v>91.932668049894104</v>
      </c>
      <c r="AJ1501">
        <v>77.737304775657506</v>
      </c>
      <c r="AK1501">
        <v>31.102521779175099</v>
      </c>
      <c r="AL1501">
        <v>87.639879172134997</v>
      </c>
      <c r="AM1501">
        <v>86.221662212307095</v>
      </c>
      <c r="AN1501">
        <v>0.99999996805170699</v>
      </c>
    </row>
    <row r="1502" spans="1:40" x14ac:dyDescent="0.25">
      <c r="A1502" t="str">
        <f>"20190312160627884"</f>
        <v>20190312160627884</v>
      </c>
      <c r="B1502" t="str">
        <f>"1552377987876139"</f>
        <v>1552377987876139</v>
      </c>
      <c r="C1502" t="s">
        <v>40</v>
      </c>
      <c r="D1502">
        <v>6.2185090000000001</v>
      </c>
      <c r="E1502">
        <v>0.55803840000000005</v>
      </c>
      <c r="F1502" t="s">
        <v>61</v>
      </c>
      <c r="G1502">
        <v>-204.1438</v>
      </c>
      <c r="H1502">
        <v>1.9968570000000001E-2</v>
      </c>
      <c r="I1502">
        <v>279.61579999999998</v>
      </c>
      <c r="J1502">
        <v>-192.00489999999999</v>
      </c>
      <c r="K1502">
        <v>1.1089290000000001</v>
      </c>
      <c r="L1502">
        <v>308.07569999999998</v>
      </c>
      <c r="M1502">
        <v>-0.18550440000000001</v>
      </c>
      <c r="N1502">
        <v>0</v>
      </c>
      <c r="O1502">
        <v>-0.98254980000000003</v>
      </c>
      <c r="P1502">
        <v>-0.25093559999999998</v>
      </c>
      <c r="Q1502">
        <v>2.7768210000000002E-2</v>
      </c>
      <c r="R1502">
        <v>-0.96760570000000001</v>
      </c>
      <c r="S1502">
        <v>-1.1882629999999901</v>
      </c>
      <c r="T1502">
        <v>-0.10623779999999999</v>
      </c>
      <c r="U1502">
        <v>-2.796875</v>
      </c>
      <c r="V1502">
        <v>6.7185239999999993E-2</v>
      </c>
      <c r="W1502">
        <v>4.1108770000000003E-2</v>
      </c>
      <c r="X1502">
        <v>0.99689329999999998</v>
      </c>
      <c r="Y1502">
        <v>0.2132454</v>
      </c>
      <c r="Z1502">
        <v>3.5031989999999999E-2</v>
      </c>
      <c r="AA1502">
        <v>0.97637039999999997</v>
      </c>
      <c r="AB1502">
        <v>21</v>
      </c>
      <c r="AC1502">
        <v>-12.1389</v>
      </c>
      <c r="AD1502">
        <v>-1.08896043</v>
      </c>
      <c r="AE1502">
        <v>-28.459900000000001</v>
      </c>
      <c r="AF1502">
        <v>6.6400237623056704</v>
      </c>
      <c r="AG1502">
        <v>-1.08896043</v>
      </c>
      <c r="AH1502">
        <v>30.180484016142501</v>
      </c>
      <c r="AI1502">
        <v>92.018200911496194</v>
      </c>
      <c r="AJ1502">
        <v>77.592006946908697</v>
      </c>
      <c r="AK1502">
        <v>30.9214709519247</v>
      </c>
      <c r="AL1502">
        <v>87.6439771200004</v>
      </c>
      <c r="AM1502">
        <v>86.144403370763001</v>
      </c>
      <c r="AN1502">
        <v>1.00000001951483</v>
      </c>
    </row>
    <row r="1503" spans="1:40" x14ac:dyDescent="0.25">
      <c r="A1503" t="str">
        <f>"20190312160627907"</f>
        <v>20190312160627907</v>
      </c>
      <c r="B1503" t="str">
        <f>"1552377987896638"</f>
        <v>1552377987896638</v>
      </c>
      <c r="C1503" t="s">
        <v>40</v>
      </c>
      <c r="D1503">
        <v>5.2179089999999997</v>
      </c>
      <c r="E1503">
        <v>0.55825760000000002</v>
      </c>
      <c r="F1503" t="s">
        <v>61</v>
      </c>
      <c r="G1503">
        <v>-203.7936</v>
      </c>
      <c r="H1503" s="1">
        <v>4.2392250000000001E-6</v>
      </c>
      <c r="I1503">
        <v>280.72809999999998</v>
      </c>
      <c r="J1503">
        <v>-192.04750000000001</v>
      </c>
      <c r="K1503">
        <v>1.108892</v>
      </c>
      <c r="L1503">
        <v>307.863</v>
      </c>
      <c r="M1503">
        <v>-0.187497</v>
      </c>
      <c r="N1503">
        <v>0</v>
      </c>
      <c r="O1503">
        <v>-0.98217140000000003</v>
      </c>
      <c r="P1503">
        <v>-0.25436429999999999</v>
      </c>
      <c r="Q1503">
        <v>2.642837E-2</v>
      </c>
      <c r="R1503">
        <v>-0.96674760000000004</v>
      </c>
      <c r="S1503">
        <v>-1.2033689999999999</v>
      </c>
      <c r="T1503">
        <v>-0.11319700000000001</v>
      </c>
      <c r="U1503">
        <v>-2.791595</v>
      </c>
      <c r="V1503">
        <v>6.8690440000000005E-2</v>
      </c>
      <c r="W1503">
        <v>3.97671E-2</v>
      </c>
      <c r="X1503">
        <v>0.99684510000000004</v>
      </c>
      <c r="Y1503">
        <v>0.2163582</v>
      </c>
      <c r="Z1503">
        <v>3.7315630000000002E-2</v>
      </c>
      <c r="AA1503">
        <v>0.97560069999999999</v>
      </c>
      <c r="AB1503">
        <v>21</v>
      </c>
      <c r="AC1503">
        <v>-11.746099999999901</v>
      </c>
      <c r="AD1503">
        <v>-1.1088877607750001</v>
      </c>
      <c r="AE1503">
        <v>-27.134899999999998</v>
      </c>
      <c r="AF1503">
        <v>6.4405068965452203</v>
      </c>
      <c r="AG1503">
        <v>-1.1088877607750001</v>
      </c>
      <c r="AH1503">
        <v>28.815611195684198</v>
      </c>
      <c r="AI1503">
        <v>92.150764498412599</v>
      </c>
      <c r="AJ1503">
        <v>77.401032710873395</v>
      </c>
      <c r="AK1503">
        <v>29.547406142185899</v>
      </c>
      <c r="AL1503">
        <v>87.720911982567202</v>
      </c>
      <c r="AM1503">
        <v>86.058102955025902</v>
      </c>
      <c r="AN1503">
        <v>0.99999997609190605</v>
      </c>
    </row>
    <row r="1504" spans="1:40" x14ac:dyDescent="0.25">
      <c r="A1504" t="str">
        <f>"20190312160627929"</f>
        <v>20190312160627929</v>
      </c>
      <c r="B1504" t="str">
        <f>"1552377987926892"</f>
        <v>1552377987926892</v>
      </c>
      <c r="C1504" t="s">
        <v>40</v>
      </c>
      <c r="D1504">
        <v>6.2673139999999998</v>
      </c>
      <c r="E1504">
        <v>0.55904509999999996</v>
      </c>
      <c r="F1504" t="s">
        <v>61</v>
      </c>
      <c r="G1504">
        <v>-203.2276</v>
      </c>
      <c r="H1504" s="1">
        <v>3.8583909999999997E-6</v>
      </c>
      <c r="I1504">
        <v>282.2133</v>
      </c>
      <c r="J1504">
        <v>-192.09010000000001</v>
      </c>
      <c r="K1504">
        <v>1.1088469999999999</v>
      </c>
      <c r="L1504">
        <v>307.65289999999999</v>
      </c>
      <c r="M1504">
        <v>-0.1895309</v>
      </c>
      <c r="N1504">
        <v>0</v>
      </c>
      <c r="O1504">
        <v>-0.98178080000000001</v>
      </c>
      <c r="P1504">
        <v>-0.25841340000000002</v>
      </c>
      <c r="Q1504">
        <v>2.5988830000000001E-2</v>
      </c>
      <c r="R1504">
        <v>-0.96568509999999996</v>
      </c>
      <c r="S1504">
        <v>-1.2147220000000001</v>
      </c>
      <c r="T1504">
        <v>-0.1204807</v>
      </c>
      <c r="U1504">
        <v>-2.786835</v>
      </c>
      <c r="V1504">
        <v>7.0804320000000004E-2</v>
      </c>
      <c r="W1504">
        <v>3.9320180000000003E-2</v>
      </c>
      <c r="X1504">
        <v>0.99671489999999996</v>
      </c>
      <c r="Y1504">
        <v>0.21824859999999999</v>
      </c>
      <c r="Z1504">
        <v>3.9711969999999999E-2</v>
      </c>
      <c r="AA1504">
        <v>0.97508479999999997</v>
      </c>
      <c r="AB1504">
        <v>21</v>
      </c>
      <c r="AC1504">
        <v>-11.1374999999999</v>
      </c>
      <c r="AD1504">
        <v>-1.1088431416090001</v>
      </c>
      <c r="AE1504">
        <v>-25.439599999999899</v>
      </c>
      <c r="AF1504">
        <v>6.10382618956519</v>
      </c>
      <c r="AG1504">
        <v>-1.1088431416090001</v>
      </c>
      <c r="AH1504">
        <v>27.0463909274877</v>
      </c>
      <c r="AI1504">
        <v>92.290154959646003</v>
      </c>
      <c r="AJ1504">
        <v>77.282544830643801</v>
      </c>
      <c r="AK1504">
        <v>27.7487565391245</v>
      </c>
      <c r="AL1504">
        <v>87.746538621130398</v>
      </c>
      <c r="AM1504">
        <v>85.9366662431013</v>
      </c>
      <c r="AN1504">
        <v>0.99999996008395098</v>
      </c>
    </row>
    <row r="1505" spans="1:40" x14ac:dyDescent="0.25">
      <c r="A1505" t="str">
        <f>"20190312160627952"</f>
        <v>20190312160627952</v>
      </c>
      <c r="B1505" t="str">
        <f>"1552377987946411"</f>
        <v>1552377987946411</v>
      </c>
      <c r="C1505" t="s">
        <v>40</v>
      </c>
      <c r="D1505">
        <v>6.265415</v>
      </c>
      <c r="E1505">
        <v>0.55951419999999996</v>
      </c>
      <c r="F1505" t="s">
        <v>61</v>
      </c>
      <c r="G1505">
        <v>-202.6225</v>
      </c>
      <c r="H1505" s="1">
        <v>3.4432439999999999E-6</v>
      </c>
      <c r="I1505">
        <v>283.89229999999998</v>
      </c>
      <c r="J1505">
        <v>-192.13239999999999</v>
      </c>
      <c r="K1505">
        <v>1.108803</v>
      </c>
      <c r="L1505">
        <v>307.44650000000001</v>
      </c>
      <c r="M1505">
        <v>-0.1915985</v>
      </c>
      <c r="N1505">
        <v>0</v>
      </c>
      <c r="O1505">
        <v>-0.98137940000000001</v>
      </c>
      <c r="P1505">
        <v>-0.261685</v>
      </c>
      <c r="Q1505">
        <v>2.6406530000000001E-2</v>
      </c>
      <c r="R1505">
        <v>-0.96479199999999998</v>
      </c>
      <c r="S1505">
        <v>-1.232437</v>
      </c>
      <c r="T1505">
        <v>-0.1297498</v>
      </c>
      <c r="U1505">
        <v>-2.7803040000000001</v>
      </c>
      <c r="V1505">
        <v>7.2091180000000005E-2</v>
      </c>
      <c r="W1505">
        <v>3.973136E-2</v>
      </c>
      <c r="X1505">
        <v>0.9966064</v>
      </c>
      <c r="Y1505">
        <v>0.2221833</v>
      </c>
      <c r="Z1505">
        <v>4.2755179999999997E-2</v>
      </c>
      <c r="AA1505">
        <v>0.97406700000000002</v>
      </c>
      <c r="AB1505">
        <v>21</v>
      </c>
      <c r="AC1505">
        <v>-10.4901</v>
      </c>
      <c r="AD1505">
        <v>-1.1087995567560001</v>
      </c>
      <c r="AE1505">
        <v>-23.554200000000002</v>
      </c>
      <c r="AF1505">
        <v>5.7716789947957903</v>
      </c>
      <c r="AG1505">
        <v>-1.1087995567560001</v>
      </c>
      <c r="AH1505">
        <v>25.081431139673199</v>
      </c>
      <c r="AI1505">
        <v>92.466892150822005</v>
      </c>
      <c r="AJ1505">
        <v>77.040835642222007</v>
      </c>
      <c r="AK1505">
        <v>25.760821083385501</v>
      </c>
      <c r="AL1505">
        <v>87.722961448580605</v>
      </c>
      <c r="AM1505">
        <v>85.862620945215298</v>
      </c>
      <c r="AN1505">
        <v>1.0000000178610999</v>
      </c>
    </row>
    <row r="1506" spans="1:40" x14ac:dyDescent="0.25">
      <c r="A1506" t="str">
        <f>"20190312160627977"</f>
        <v>20190312160627977</v>
      </c>
      <c r="B1506" t="str">
        <f>"1552377987966907"</f>
        <v>1552377987966907</v>
      </c>
      <c r="C1506" t="s">
        <v>40</v>
      </c>
      <c r="D1506">
        <v>6.299614</v>
      </c>
      <c r="E1506">
        <v>0.55985589999999996</v>
      </c>
      <c r="F1506" t="s">
        <v>61</v>
      </c>
      <c r="G1506">
        <v>-202.43809999999999</v>
      </c>
      <c r="H1506" s="1">
        <v>3.3102160000000001E-6</v>
      </c>
      <c r="I1506">
        <v>284.47890000000001</v>
      </c>
      <c r="J1506">
        <v>-192.18049999999999</v>
      </c>
      <c r="K1506">
        <v>1.1087549999999999</v>
      </c>
      <c r="L1506">
        <v>307.2149</v>
      </c>
      <c r="M1506">
        <v>-0.1940055</v>
      </c>
      <c r="N1506">
        <v>0</v>
      </c>
      <c r="O1506">
        <v>-0.98090639999999996</v>
      </c>
      <c r="P1506">
        <v>-0.26460299999999998</v>
      </c>
      <c r="Q1506">
        <v>2.7657640000000001E-2</v>
      </c>
      <c r="R1506">
        <v>-0.96396119999999996</v>
      </c>
      <c r="S1506">
        <v>-1.2453160000000001</v>
      </c>
      <c r="T1506">
        <v>-0.13398409999999999</v>
      </c>
      <c r="U1506">
        <v>-2.7753299999999999</v>
      </c>
      <c r="V1506">
        <v>7.2677420000000006E-2</v>
      </c>
      <c r="W1506">
        <v>4.097775E-2</v>
      </c>
      <c r="X1506">
        <v>0.99651330000000005</v>
      </c>
      <c r="Y1506">
        <v>0.22418160000000001</v>
      </c>
      <c r="Z1506">
        <v>4.4137709999999997E-2</v>
      </c>
      <c r="AA1506">
        <v>0.97354739999999995</v>
      </c>
      <c r="AB1506">
        <v>21</v>
      </c>
      <c r="AC1506">
        <v>-10.257599999999901</v>
      </c>
      <c r="AD1506">
        <v>-1.108751689784</v>
      </c>
      <c r="AE1506">
        <v>-22.735999999999901</v>
      </c>
      <c r="AF1506">
        <v>5.6402129815479896</v>
      </c>
      <c r="AG1506">
        <v>-1.108751689784</v>
      </c>
      <c r="AH1506">
        <v>24.246250407549301</v>
      </c>
      <c r="AI1506">
        <v>92.550244481395893</v>
      </c>
      <c r="AJ1506">
        <v>76.904631929261299</v>
      </c>
      <c r="AK1506">
        <v>24.918306355216199</v>
      </c>
      <c r="AL1506">
        <v>87.651490227932896</v>
      </c>
      <c r="AM1506">
        <v>85.828706058229002</v>
      </c>
      <c r="AN1506">
        <v>0.99999997022490394</v>
      </c>
    </row>
    <row r="1507" spans="1:40" x14ac:dyDescent="0.25">
      <c r="A1507" t="str">
        <f>"20190312160627999"</f>
        <v>20190312160627999</v>
      </c>
      <c r="B1507" t="str">
        <f>"1552377987986427"</f>
        <v>1552377987986427</v>
      </c>
      <c r="C1507" t="s">
        <v>40</v>
      </c>
      <c r="D1507">
        <v>5.1097960000000002</v>
      </c>
      <c r="E1507">
        <v>0.56009189999999998</v>
      </c>
      <c r="F1507" t="s">
        <v>61</v>
      </c>
      <c r="G1507">
        <v>-202.62110000000001</v>
      </c>
      <c r="H1507" s="1">
        <v>3.4163630000000001E-6</v>
      </c>
      <c r="I1507">
        <v>284.19299999999998</v>
      </c>
      <c r="J1507">
        <v>-192.2244</v>
      </c>
      <c r="K1507">
        <v>1.1087260000000001</v>
      </c>
      <c r="L1507">
        <v>307.00670000000002</v>
      </c>
      <c r="M1507">
        <v>-0.19624530000000001</v>
      </c>
      <c r="N1507">
        <v>0</v>
      </c>
      <c r="O1507">
        <v>-0.98046069999999996</v>
      </c>
      <c r="P1507">
        <v>-0.26733479999999998</v>
      </c>
      <c r="Q1507">
        <v>2.8087750000000002E-2</v>
      </c>
      <c r="R1507">
        <v>-0.96319449999999995</v>
      </c>
      <c r="S1507">
        <v>-1.2566679999999999</v>
      </c>
      <c r="T1507">
        <v>-0.1334534</v>
      </c>
      <c r="U1507">
        <v>-2.7709959999999998</v>
      </c>
      <c r="V1507">
        <v>7.3234690000000005E-2</v>
      </c>
      <c r="W1507">
        <v>4.1403210000000003E-2</v>
      </c>
      <c r="X1507">
        <v>0.99645499999999998</v>
      </c>
      <c r="Y1507">
        <v>0.22584080000000001</v>
      </c>
      <c r="Z1507">
        <v>4.3951909999999997E-2</v>
      </c>
      <c r="AA1507">
        <v>0.97317220000000004</v>
      </c>
      <c r="AB1507">
        <v>21</v>
      </c>
      <c r="AC1507">
        <v>-10.396699999999999</v>
      </c>
      <c r="AD1507">
        <v>-1.108722583637</v>
      </c>
      <c r="AE1507">
        <v>-22.813700000000001</v>
      </c>
      <c r="AF1507">
        <v>5.7058431553553204</v>
      </c>
      <c r="AG1507">
        <v>-1.108722583637</v>
      </c>
      <c r="AH1507">
        <v>24.362846598577299</v>
      </c>
      <c r="AI1507">
        <v>92.537102292379501</v>
      </c>
      <c r="AJ1507">
        <v>76.818750551048396</v>
      </c>
      <c r="AK1507">
        <v>25.0466406183902</v>
      </c>
      <c r="AL1507">
        <v>87.627092662991799</v>
      </c>
      <c r="AM1507">
        <v>85.796590908573506</v>
      </c>
      <c r="AN1507">
        <v>1.00000005632134</v>
      </c>
    </row>
    <row r="1508" spans="1:40" x14ac:dyDescent="0.25">
      <c r="A1508" t="str">
        <f>"20190312160628020"</f>
        <v>20190312160628020</v>
      </c>
      <c r="B1508" t="str">
        <f>"1552377988016683"</f>
        <v>1552377988016683</v>
      </c>
      <c r="C1508" t="s">
        <v>40</v>
      </c>
      <c r="D1508">
        <v>6.2443710000000001</v>
      </c>
      <c r="E1508">
        <v>0.56118760000000001</v>
      </c>
      <c r="F1508" t="s">
        <v>61</v>
      </c>
      <c r="G1508">
        <v>-203.04310000000001</v>
      </c>
      <c r="H1508" s="1">
        <v>3.6756480000000001E-6</v>
      </c>
      <c r="I1508">
        <v>283.36739999999998</v>
      </c>
      <c r="J1508">
        <v>-192.2646</v>
      </c>
      <c r="K1508">
        <v>1.1086940000000001</v>
      </c>
      <c r="L1508">
        <v>306.81869999999998</v>
      </c>
      <c r="M1508">
        <v>-0.19831679999999999</v>
      </c>
      <c r="N1508">
        <v>0</v>
      </c>
      <c r="O1508">
        <v>-0.98004360000000001</v>
      </c>
      <c r="P1508">
        <v>-0.26929239999999999</v>
      </c>
      <c r="Q1508">
        <v>2.7241720000000001E-2</v>
      </c>
      <c r="R1508">
        <v>-0.96267320000000001</v>
      </c>
      <c r="S1508">
        <v>-1.2663120000000001</v>
      </c>
      <c r="T1508">
        <v>-0.129775</v>
      </c>
      <c r="U1508">
        <v>-2.7669679999999999</v>
      </c>
      <c r="V1508">
        <v>7.3149729999999996E-2</v>
      </c>
      <c r="W1508">
        <v>4.0557049999999997E-2</v>
      </c>
      <c r="X1508">
        <v>0.99649600000000005</v>
      </c>
      <c r="Y1508">
        <v>0.22714509999999999</v>
      </c>
      <c r="Z1508">
        <v>4.2736070000000001E-2</v>
      </c>
      <c r="AA1508">
        <v>0.97292279999999998</v>
      </c>
      <c r="AB1508">
        <v>21</v>
      </c>
      <c r="AC1508">
        <v>-10.778499999999999</v>
      </c>
      <c r="AD1508">
        <v>-1.1086903243520001</v>
      </c>
      <c r="AE1508">
        <v>-23.4513</v>
      </c>
      <c r="AF1508">
        <v>5.9022689665424499</v>
      </c>
      <c r="AG1508">
        <v>-1.1086903243520001</v>
      </c>
      <c r="AH1508">
        <v>25.076904799567</v>
      </c>
      <c r="AI1508">
        <v>92.464240153109799</v>
      </c>
      <c r="AJ1508">
        <v>76.755538264996403</v>
      </c>
      <c r="AK1508">
        <v>25.785987037832601</v>
      </c>
      <c r="AL1508">
        <v>87.675614729064407</v>
      </c>
      <c r="AM1508">
        <v>85.801621988647497</v>
      </c>
      <c r="AN1508">
        <v>1.00000001765988</v>
      </c>
    </row>
    <row r="1509" spans="1:40" x14ac:dyDescent="0.25">
      <c r="A1509" t="str">
        <f>"20190312160628041"</f>
        <v>20190312160628041</v>
      </c>
      <c r="B1509" t="str">
        <f>"1552377988036203"</f>
        <v>1552377988036203</v>
      </c>
      <c r="C1509" t="s">
        <v>40</v>
      </c>
      <c r="D1509">
        <v>6.2909750000000004</v>
      </c>
      <c r="E1509">
        <v>0.56189089999999997</v>
      </c>
      <c r="F1509" t="s">
        <v>61</v>
      </c>
      <c r="G1509">
        <v>-202.6688</v>
      </c>
      <c r="H1509" s="1">
        <v>3.4217300000000002E-6</v>
      </c>
      <c r="I1509">
        <v>284.3732</v>
      </c>
      <c r="J1509">
        <v>-192.3083</v>
      </c>
      <c r="K1509">
        <v>1.108663</v>
      </c>
      <c r="L1509">
        <v>306.61649999999997</v>
      </c>
      <c r="M1509">
        <v>-0.20059379999999999</v>
      </c>
      <c r="N1509">
        <v>0</v>
      </c>
      <c r="O1509">
        <v>-0.97958020000000001</v>
      </c>
      <c r="P1509">
        <v>-0.27131809999999901</v>
      </c>
      <c r="Q1509">
        <v>2.6911460000000002E-2</v>
      </c>
      <c r="R1509">
        <v>-0.96211400000000002</v>
      </c>
      <c r="S1509">
        <v>-1.280273</v>
      </c>
      <c r="T1509">
        <v>-0.1364281</v>
      </c>
      <c r="U1509">
        <v>-2.7619929999999999</v>
      </c>
      <c r="V1509">
        <v>7.2930720000000004E-2</v>
      </c>
      <c r="W1509">
        <v>4.0226390000000001E-2</v>
      </c>
      <c r="X1509">
        <v>0.99652549999999995</v>
      </c>
      <c r="Y1509">
        <v>0.2295596</v>
      </c>
      <c r="Z1509">
        <v>4.4905649999999998E-2</v>
      </c>
      <c r="AA1509">
        <v>0.97225819999999996</v>
      </c>
      <c r="AB1509">
        <v>21</v>
      </c>
      <c r="AC1509">
        <v>-10.3605</v>
      </c>
      <c r="AD1509">
        <v>-1.1086595782699999</v>
      </c>
      <c r="AE1509">
        <v>-22.243299999999898</v>
      </c>
      <c r="AF1509">
        <v>5.6760111157862099</v>
      </c>
      <c r="AG1509">
        <v>-1.1086595782699999</v>
      </c>
      <c r="AH1509">
        <v>23.8209258373879</v>
      </c>
      <c r="AI1509">
        <v>92.592233713005101</v>
      </c>
      <c r="AJ1509">
        <v>76.597573485457701</v>
      </c>
      <c r="AK1509">
        <v>24.512909578370198</v>
      </c>
      <c r="AL1509">
        <v>87.694575727730097</v>
      </c>
      <c r="AM1509">
        <v>85.814270643048502</v>
      </c>
      <c r="AN1509">
        <v>1.00000006226119</v>
      </c>
    </row>
    <row r="1510" spans="1:40" x14ac:dyDescent="0.25">
      <c r="A1510" t="str">
        <f>"20190312160628063"</f>
        <v>20190312160628063</v>
      </c>
      <c r="B1510" t="str">
        <f>"1552377988056699"</f>
        <v>1552377988056699</v>
      </c>
      <c r="C1510" t="s">
        <v>40</v>
      </c>
      <c r="D1510">
        <v>6.2956519999999996</v>
      </c>
      <c r="E1510">
        <v>0.56256830000000002</v>
      </c>
      <c r="F1510" t="s">
        <v>61</v>
      </c>
      <c r="G1510">
        <v>-202.5017</v>
      </c>
      <c r="H1510" s="1">
        <v>3.3063769999999998E-6</v>
      </c>
      <c r="I1510">
        <v>284.84519999999998</v>
      </c>
      <c r="J1510">
        <v>-192.35509999999999</v>
      </c>
      <c r="K1510">
        <v>1.1086400000000001</v>
      </c>
      <c r="L1510">
        <v>306.40230000000003</v>
      </c>
      <c r="M1510">
        <v>-0.20305709999999999</v>
      </c>
      <c r="N1510">
        <v>0</v>
      </c>
      <c r="O1510">
        <v>-0.97907219999999995</v>
      </c>
      <c r="P1510">
        <v>-0.27255030000000002</v>
      </c>
      <c r="Q1510">
        <v>2.7464220000000001E-2</v>
      </c>
      <c r="R1510">
        <v>-0.96174959999999998</v>
      </c>
      <c r="S1510">
        <v>-1.291275</v>
      </c>
      <c r="T1510">
        <v>-0.14044200000000001</v>
      </c>
      <c r="U1510">
        <v>-2.7579349999999998</v>
      </c>
      <c r="V1510">
        <v>7.1707519999999997E-2</v>
      </c>
      <c r="W1510">
        <v>4.0783369999999999E-2</v>
      </c>
      <c r="X1510">
        <v>0.99659160000000002</v>
      </c>
      <c r="Y1510">
        <v>0.23081760000000001</v>
      </c>
      <c r="Z1510">
        <v>4.6205499999999997E-2</v>
      </c>
      <c r="AA1510">
        <v>0.97189930000000002</v>
      </c>
      <c r="AB1510">
        <v>21</v>
      </c>
      <c r="AC1510">
        <v>-10.146599999999999</v>
      </c>
      <c r="AD1510">
        <v>-1.1086366936229901</v>
      </c>
      <c r="AE1510">
        <v>-21.557099999999998</v>
      </c>
      <c r="AF1510">
        <v>5.5454403601420301</v>
      </c>
      <c r="AG1510">
        <v>-1.1086366936229901</v>
      </c>
      <c r="AH1510">
        <v>23.1183899303022</v>
      </c>
      <c r="AI1510">
        <v>92.669880029370404</v>
      </c>
      <c r="AJ1510">
        <v>76.511234328363898</v>
      </c>
      <c r="AK1510">
        <v>23.800019686458999</v>
      </c>
      <c r="AL1510">
        <v>87.662636850085306</v>
      </c>
      <c r="AM1510">
        <v>85.884502782210305</v>
      </c>
      <c r="AN1510">
        <v>1.0000000344418301</v>
      </c>
    </row>
    <row r="1511" spans="1:40" x14ac:dyDescent="0.25">
      <c r="A1511" t="str">
        <f>"20190312160628086"</f>
        <v>20190312160628086</v>
      </c>
      <c r="B1511" t="str">
        <f>"1552377988076222"</f>
        <v>1552377988076222</v>
      </c>
      <c r="C1511" t="s">
        <v>40</v>
      </c>
      <c r="D1511">
        <v>6.3476689999999998</v>
      </c>
      <c r="E1511">
        <v>0.5631429</v>
      </c>
      <c r="F1511" t="s">
        <v>61</v>
      </c>
      <c r="G1511">
        <v>-202.59059999999999</v>
      </c>
      <c r="H1511" s="1">
        <v>3.3568589999999999E-6</v>
      </c>
      <c r="I1511">
        <v>284.71879999999999</v>
      </c>
      <c r="J1511">
        <v>-192.40219999999999</v>
      </c>
      <c r="K1511">
        <v>1.1086259999999999</v>
      </c>
      <c r="L1511">
        <v>306.18979999999999</v>
      </c>
      <c r="M1511">
        <v>-0.20554929999999999</v>
      </c>
      <c r="N1511">
        <v>0</v>
      </c>
      <c r="O1511">
        <v>-0.97855219999999998</v>
      </c>
      <c r="P1511">
        <v>-0.27411760000000002</v>
      </c>
      <c r="Q1511">
        <v>2.7583529999999998E-2</v>
      </c>
      <c r="R1511">
        <v>-0.96130079999999996</v>
      </c>
      <c r="S1511">
        <v>-1.3004</v>
      </c>
      <c r="T1511">
        <v>-0.14085010000000001</v>
      </c>
      <c r="U1511">
        <v>-2.7548520000000001</v>
      </c>
      <c r="V1511">
        <v>7.0797490000000005E-2</v>
      </c>
      <c r="W1511">
        <v>4.0905329999999997E-2</v>
      </c>
      <c r="X1511">
        <v>0.99665159999999997</v>
      </c>
      <c r="Y1511">
        <v>0.2313915</v>
      </c>
      <c r="Z1511">
        <v>4.6315189999999999E-2</v>
      </c>
      <c r="AA1511">
        <v>0.9717576</v>
      </c>
      <c r="AB1511">
        <v>21</v>
      </c>
      <c r="AC1511">
        <v>-10.1884</v>
      </c>
      <c r="AD1511">
        <v>-1.108622643141</v>
      </c>
      <c r="AE1511">
        <v>-21.471</v>
      </c>
      <c r="AF1511">
        <v>5.54498037207828</v>
      </c>
      <c r="AG1511">
        <v>-1.108622643141</v>
      </c>
      <c r="AH1511">
        <v>23.0566788597332</v>
      </c>
      <c r="AI1511">
        <v>92.676604115016502</v>
      </c>
      <c r="AJ1511">
        <v>76.477536621146598</v>
      </c>
      <c r="AK1511">
        <v>23.739972441696001</v>
      </c>
      <c r="AL1511">
        <v>87.655643072668695</v>
      </c>
      <c r="AM1511">
        <v>85.936799707833899</v>
      </c>
      <c r="AN1511">
        <v>0.99999997119763395</v>
      </c>
    </row>
    <row r="1512" spans="1:40" x14ac:dyDescent="0.25">
      <c r="A1512" t="str">
        <f>"20190312160628108"</f>
        <v>20190312160628108</v>
      </c>
      <c r="B1512" t="str">
        <f>"1552377988096718"</f>
        <v>1552377988096718</v>
      </c>
      <c r="C1512" t="s">
        <v>40</v>
      </c>
      <c r="D1512">
        <v>6.1273</v>
      </c>
      <c r="E1512">
        <v>0.56356049999999902</v>
      </c>
      <c r="F1512" t="s">
        <v>61</v>
      </c>
      <c r="G1512">
        <v>-202.5839</v>
      </c>
      <c r="H1512" s="1">
        <v>3.3469690000000001E-6</v>
      </c>
      <c r="I1512">
        <v>284.79790000000003</v>
      </c>
      <c r="J1512">
        <v>-192.4468</v>
      </c>
      <c r="K1512">
        <v>1.108603</v>
      </c>
      <c r="L1512">
        <v>305.99119999999999</v>
      </c>
      <c r="M1512">
        <v>-0.2079193</v>
      </c>
      <c r="N1512">
        <v>0</v>
      </c>
      <c r="O1512">
        <v>-0.97805120000000001</v>
      </c>
      <c r="P1512">
        <v>-0.27554830000000002</v>
      </c>
      <c r="Q1512">
        <v>2.7254239999999999E-2</v>
      </c>
      <c r="R1512">
        <v>-0.96090109999999995</v>
      </c>
      <c r="S1512">
        <v>-1.309555</v>
      </c>
      <c r="T1512">
        <v>-0.14258959999999901</v>
      </c>
      <c r="U1512">
        <v>-2.751404</v>
      </c>
      <c r="V1512">
        <v>6.986531E-2</v>
      </c>
      <c r="W1512">
        <v>4.0578500000000003E-2</v>
      </c>
      <c r="X1512">
        <v>0.99673069999999997</v>
      </c>
      <c r="Y1512">
        <v>0.23213329999999999</v>
      </c>
      <c r="Z1512">
        <v>4.6867010000000001E-2</v>
      </c>
      <c r="AA1512">
        <v>0.97155420000000003</v>
      </c>
      <c r="AB1512">
        <v>21</v>
      </c>
      <c r="AC1512">
        <v>-10.1371</v>
      </c>
      <c r="AD1512">
        <v>-1.1085996530310001</v>
      </c>
      <c r="AE1512">
        <v>-21.193299999999901</v>
      </c>
      <c r="AF1512">
        <v>5.4963782471176597</v>
      </c>
      <c r="AG1512">
        <v>-1.1085996530310001</v>
      </c>
      <c r="AH1512">
        <v>22.787206648479099</v>
      </c>
      <c r="AI1512">
        <v>92.707715909915294</v>
      </c>
      <c r="AJ1512">
        <v>76.439026978479603</v>
      </c>
      <c r="AK1512">
        <v>23.466911894550201</v>
      </c>
      <c r="AL1512">
        <v>87.674384523350994</v>
      </c>
      <c r="AM1512">
        <v>85.990440764059798</v>
      </c>
      <c r="AN1512">
        <v>0.99999993226306505</v>
      </c>
    </row>
    <row r="1513" spans="1:40" x14ac:dyDescent="0.25">
      <c r="A1513" t="str">
        <f>"20190312160628130"</f>
        <v>20190312160628130</v>
      </c>
      <c r="B1513" t="str">
        <f>"1552377988125996"</f>
        <v>1552377988125996</v>
      </c>
      <c r="C1513" t="s">
        <v>40</v>
      </c>
      <c r="D1513">
        <v>6.1366370000000003</v>
      </c>
      <c r="E1513">
        <v>0.5640946</v>
      </c>
      <c r="F1513" t="s">
        <v>61</v>
      </c>
      <c r="G1513">
        <v>-202.63499999999999</v>
      </c>
      <c r="H1513" s="1">
        <v>3.3760279999999999E-6</v>
      </c>
      <c r="I1513">
        <v>284.72460000000001</v>
      </c>
      <c r="J1513">
        <v>-192.49279999999999</v>
      </c>
      <c r="K1513">
        <v>1.1085849999999999</v>
      </c>
      <c r="L1513">
        <v>305.78870000000001</v>
      </c>
      <c r="M1513">
        <v>-0.21037810000000001</v>
      </c>
      <c r="N1513">
        <v>0</v>
      </c>
      <c r="O1513">
        <v>-0.97752519999999998</v>
      </c>
      <c r="P1513">
        <v>-0.27796520000000002</v>
      </c>
      <c r="Q1513">
        <v>2.650721E-2</v>
      </c>
      <c r="R1513">
        <v>-0.96022560000000001</v>
      </c>
      <c r="S1513">
        <v>-1.316757</v>
      </c>
      <c r="T1513">
        <v>-0.14327899999999999</v>
      </c>
      <c r="U1513">
        <v>-2.7485659999999998</v>
      </c>
      <c r="V1513">
        <v>6.9861999999999994E-2</v>
      </c>
      <c r="W1513">
        <v>3.9829990000000003E-2</v>
      </c>
      <c r="X1513">
        <v>0.99676120000000001</v>
      </c>
      <c r="Y1513">
        <v>0.23214489999999999</v>
      </c>
      <c r="Z1513">
        <v>4.7073740000000003E-2</v>
      </c>
      <c r="AA1513">
        <v>0.97154149999999995</v>
      </c>
      <c r="AB1513">
        <v>21</v>
      </c>
      <c r="AC1513">
        <v>-10.142200000000001</v>
      </c>
      <c r="AD1513">
        <v>-1.1085816239720001</v>
      </c>
      <c r="AE1513">
        <v>-21.0641</v>
      </c>
      <c r="AF1513">
        <v>5.4710377087896003</v>
      </c>
      <c r="AG1513">
        <v>-1.1085816239720001</v>
      </c>
      <c r="AH1513">
        <v>22.675507377013801</v>
      </c>
      <c r="AI1513">
        <v>92.720946149074805</v>
      </c>
      <c r="AJ1513">
        <v>76.435202103823102</v>
      </c>
      <c r="AK1513">
        <v>23.3525125336229</v>
      </c>
      <c r="AL1513">
        <v>87.7173058677961</v>
      </c>
      <c r="AM1513">
        <v>85.990752387951304</v>
      </c>
      <c r="AN1513">
        <v>1.00000000848642</v>
      </c>
    </row>
    <row r="1514" spans="1:40" x14ac:dyDescent="0.25">
      <c r="A1514" t="str">
        <f>"20190312160628153"</f>
        <v>20190312160628153</v>
      </c>
      <c r="B1514" t="str">
        <f>"1552377988146492"</f>
        <v>1552377988146492</v>
      </c>
      <c r="C1514" t="s">
        <v>40</v>
      </c>
      <c r="D1514">
        <v>6.338025</v>
      </c>
      <c r="E1514">
        <v>0.56442000000000003</v>
      </c>
      <c r="F1514" t="s">
        <v>61</v>
      </c>
      <c r="G1514">
        <v>-202.64269999999999</v>
      </c>
      <c r="H1514" s="1">
        <v>3.372352E-6</v>
      </c>
      <c r="I1514">
        <v>284.80560000000003</v>
      </c>
      <c r="J1514">
        <v>-192.5411</v>
      </c>
      <c r="K1514">
        <v>1.1085640000000001</v>
      </c>
      <c r="L1514">
        <v>305.57909999999998</v>
      </c>
      <c r="M1514">
        <v>-0.2129664</v>
      </c>
      <c r="N1514">
        <v>0</v>
      </c>
      <c r="O1514">
        <v>-0.97696470000000002</v>
      </c>
      <c r="P1514">
        <v>-0.28035349999999998</v>
      </c>
      <c r="Q1514">
        <v>2.6678170000000001E-2</v>
      </c>
      <c r="R1514">
        <v>-0.95952630000000005</v>
      </c>
      <c r="S1514">
        <v>-1.3273469999999901</v>
      </c>
      <c r="T1514">
        <v>-0.1449751</v>
      </c>
      <c r="U1514">
        <v>-2.7440799999999999</v>
      </c>
      <c r="V1514">
        <v>6.9706099999999993E-2</v>
      </c>
      <c r="W1514">
        <v>3.9998649999999997E-2</v>
      </c>
      <c r="X1514">
        <v>0.99676540000000002</v>
      </c>
      <c r="Y1514">
        <v>0.23321910000000001</v>
      </c>
      <c r="Z1514">
        <v>4.7614730000000001E-2</v>
      </c>
      <c r="AA1514">
        <v>0.97125779999999995</v>
      </c>
      <c r="AB1514">
        <v>21</v>
      </c>
      <c r="AC1514">
        <v>-10.1015999999999</v>
      </c>
      <c r="AD1514">
        <v>-1.10856062764799</v>
      </c>
      <c r="AE1514">
        <v>-20.773499999999899</v>
      </c>
      <c r="AF1514">
        <v>5.43284105363694</v>
      </c>
      <c r="AG1514">
        <v>-1.10856062764799</v>
      </c>
      <c r="AH1514">
        <v>22.396774646566001</v>
      </c>
      <c r="AI1514">
        <v>92.753889621907405</v>
      </c>
      <c r="AJ1514">
        <v>76.364983751775299</v>
      </c>
      <c r="AK1514">
        <v>23.072931828190299</v>
      </c>
      <c r="AL1514">
        <v>87.707634744262194</v>
      </c>
      <c r="AM1514">
        <v>85.999686915099701</v>
      </c>
      <c r="AN1514">
        <v>1.0000000475080899</v>
      </c>
    </row>
    <row r="1515" spans="1:40" x14ac:dyDescent="0.25">
      <c r="A1515" t="str">
        <f>"20190312160628176"</f>
        <v>20190312160628176</v>
      </c>
      <c r="B1515" t="str">
        <f>"1552377988166987"</f>
        <v>1552377988166987</v>
      </c>
      <c r="C1515" t="s">
        <v>40</v>
      </c>
      <c r="D1515">
        <v>7.1705430000000003</v>
      </c>
      <c r="E1515">
        <v>0.56469639999999999</v>
      </c>
      <c r="F1515" t="s">
        <v>61</v>
      </c>
      <c r="G1515">
        <v>-202.8409</v>
      </c>
      <c r="H1515" s="1">
        <v>3.4901630000000001E-6</v>
      </c>
      <c r="I1515">
        <v>284.46370000000002</v>
      </c>
      <c r="J1515">
        <v>-192.59200000000001</v>
      </c>
      <c r="K1515">
        <v>1.108544</v>
      </c>
      <c r="L1515">
        <v>305.36130000000003</v>
      </c>
      <c r="M1515">
        <v>-0.2157076</v>
      </c>
      <c r="N1515">
        <v>0</v>
      </c>
      <c r="O1515">
        <v>-0.97636310000000004</v>
      </c>
      <c r="P1515">
        <v>-0.28314679999999998</v>
      </c>
      <c r="Q1515">
        <v>2.737914E-2</v>
      </c>
      <c r="R1515">
        <v>-0.95868580000000003</v>
      </c>
      <c r="S1515">
        <v>-1.3365479999999901</v>
      </c>
      <c r="T1515">
        <v>-0.14385129999999999</v>
      </c>
      <c r="U1515">
        <v>-2.740021</v>
      </c>
      <c r="V1515">
        <v>6.9820670000000001E-2</v>
      </c>
      <c r="W1515">
        <v>4.0696179999999998E-2</v>
      </c>
      <c r="X1515">
        <v>0.99672910000000003</v>
      </c>
      <c r="Y1515">
        <v>0.23369989999999999</v>
      </c>
      <c r="Z1515">
        <v>4.7230229999999998E-2</v>
      </c>
      <c r="AA1515">
        <v>0.97116100000000005</v>
      </c>
      <c r="AB1515">
        <v>21</v>
      </c>
      <c r="AC1515">
        <v>-10.2488999999999</v>
      </c>
      <c r="AD1515">
        <v>-1.108540509837</v>
      </c>
      <c r="AE1515">
        <v>-20.897600000000001</v>
      </c>
      <c r="AF1515">
        <v>5.4869401119709096</v>
      </c>
      <c r="AG1515">
        <v>-1.108540509837</v>
      </c>
      <c r="AH1515">
        <v>22.5653215841178</v>
      </c>
      <c r="AI1515">
        <v>92.732935302877607</v>
      </c>
      <c r="AJ1515">
        <v>76.333300254847501</v>
      </c>
      <c r="AK1515">
        <v>23.24928196846</v>
      </c>
      <c r="AL1515">
        <v>87.667636543858805</v>
      </c>
      <c r="AM1515">
        <v>85.992987887522602</v>
      </c>
      <c r="AN1515">
        <v>1.00000000190632</v>
      </c>
    </row>
    <row r="1516" spans="1:40" x14ac:dyDescent="0.25">
      <c r="A1516" t="str">
        <f>"20190312160628199"</f>
        <v>20190312160628199</v>
      </c>
      <c r="B1516" t="str">
        <f>"1552377988186508"</f>
        <v>1552377988186508</v>
      </c>
      <c r="C1516" t="s">
        <v>40</v>
      </c>
      <c r="D1516">
        <v>6.2649150000000002</v>
      </c>
      <c r="E1516">
        <v>0.56475790000000003</v>
      </c>
      <c r="F1516" t="s">
        <v>61</v>
      </c>
      <c r="G1516">
        <v>-203.36330000000001</v>
      </c>
      <c r="H1516" s="1">
        <v>3.8069969999999998E-6</v>
      </c>
      <c r="I1516">
        <v>283.48910000000001</v>
      </c>
      <c r="J1516">
        <v>-192.64080000000001</v>
      </c>
      <c r="K1516">
        <v>1.1085240000000001</v>
      </c>
      <c r="L1516">
        <v>305.15530000000001</v>
      </c>
      <c r="M1516">
        <v>-0.21834390000000001</v>
      </c>
      <c r="N1516">
        <v>0</v>
      </c>
      <c r="O1516">
        <v>-0.97577689999999995</v>
      </c>
      <c r="P1516">
        <v>-0.28617209999999899</v>
      </c>
      <c r="Q1516">
        <v>2.697074E-2</v>
      </c>
      <c r="R1516">
        <v>-0.95779899999999996</v>
      </c>
      <c r="S1516">
        <v>-1.3470759999999999</v>
      </c>
      <c r="T1516">
        <v>-0.13863639999999999</v>
      </c>
      <c r="U1516">
        <v>-2.735382</v>
      </c>
      <c r="V1516">
        <v>7.0273310000000005E-2</v>
      </c>
      <c r="W1516">
        <v>4.0284050000000002E-2</v>
      </c>
      <c r="X1516">
        <v>0.99671410000000005</v>
      </c>
      <c r="Y1516">
        <v>0.23477139999999999</v>
      </c>
      <c r="Z1516">
        <v>4.5507659999999998E-2</v>
      </c>
      <c r="AA1516">
        <v>0.97098479999999998</v>
      </c>
      <c r="AB1516">
        <v>21</v>
      </c>
      <c r="AC1516">
        <v>-10.722499999999901</v>
      </c>
      <c r="AD1516">
        <v>-1.108520193003</v>
      </c>
      <c r="AE1516">
        <v>-21.6662</v>
      </c>
      <c r="AF1516">
        <v>5.7205878435905602</v>
      </c>
      <c r="AG1516">
        <v>-1.108520193003</v>
      </c>
      <c r="AH1516">
        <v>23.435468829255601</v>
      </c>
      <c r="AI1516">
        <v>92.630991078528396</v>
      </c>
      <c r="AJ1516">
        <v>76.282378935440804</v>
      </c>
      <c r="AK1516">
        <v>24.1490194737083</v>
      </c>
      <c r="AL1516">
        <v>87.691269391043505</v>
      </c>
      <c r="AM1516">
        <v>85.967035800881902</v>
      </c>
      <c r="AN1516">
        <v>1.0000000699607801</v>
      </c>
    </row>
    <row r="1517" spans="1:40" x14ac:dyDescent="0.25">
      <c r="A1517" t="str">
        <f>"20190312160628221"</f>
        <v>20190312160628221</v>
      </c>
      <c r="B1517" t="str">
        <f>"1552377988216763"</f>
        <v>1552377988216763</v>
      </c>
      <c r="C1517" t="s">
        <v>40</v>
      </c>
      <c r="D1517">
        <v>6.2570540000000001</v>
      </c>
      <c r="E1517">
        <v>0.58277209999999902</v>
      </c>
      <c r="F1517" t="s">
        <v>61</v>
      </c>
      <c r="G1517">
        <v>-203.4821</v>
      </c>
      <c r="H1517" s="1">
        <v>3.8743259999999998E-6</v>
      </c>
      <c r="I1517">
        <v>283.3218</v>
      </c>
      <c r="J1517">
        <v>-192.69069999999999</v>
      </c>
      <c r="K1517">
        <v>1.1085130000000001</v>
      </c>
      <c r="L1517">
        <v>304.9468</v>
      </c>
      <c r="M1517">
        <v>-0.22104579999999999</v>
      </c>
      <c r="N1517">
        <v>0</v>
      </c>
      <c r="O1517">
        <v>-0.97516829999999999</v>
      </c>
      <c r="P1517">
        <v>-0.2893173</v>
      </c>
      <c r="Q1517">
        <v>2.699762E-2</v>
      </c>
      <c r="R1517">
        <v>-0.95685260000000005</v>
      </c>
      <c r="S1517">
        <v>-1.356033</v>
      </c>
      <c r="T1517">
        <v>-0.13865350000000001</v>
      </c>
      <c r="U1517">
        <v>-2.7309269999999999</v>
      </c>
      <c r="V1517">
        <v>7.0788909999999997E-2</v>
      </c>
      <c r="W1517">
        <v>4.0306920000000003E-2</v>
      </c>
      <c r="X1517">
        <v>0.99667660000000002</v>
      </c>
      <c r="Y1517">
        <v>0.2352648</v>
      </c>
      <c r="Z1517">
        <v>4.5503229999999999E-2</v>
      </c>
      <c r="AA1517">
        <v>0.97086550000000005</v>
      </c>
      <c r="AB1517">
        <v>21</v>
      </c>
      <c r="AC1517">
        <v>-10.791399999999999</v>
      </c>
      <c r="AD1517">
        <v>-1.1085091256739901</v>
      </c>
      <c r="AE1517">
        <v>-21.625</v>
      </c>
      <c r="AF1517">
        <v>5.7317903709688602</v>
      </c>
      <c r="AG1517">
        <v>-1.1085091256739901</v>
      </c>
      <c r="AH1517">
        <v>23.426302881107201</v>
      </c>
      <c r="AI1517">
        <v>92.631645097344304</v>
      </c>
      <c r="AJ1517">
        <v>76.251360288204907</v>
      </c>
      <c r="AK1517">
        <v>24.142781116014898</v>
      </c>
      <c r="AL1517">
        <v>87.689957766572206</v>
      </c>
      <c r="AM1517">
        <v>85.937392046253393</v>
      </c>
      <c r="AN1517">
        <v>0.99999998128321699</v>
      </c>
    </row>
    <row r="1518" spans="1:40" x14ac:dyDescent="0.25">
      <c r="A1518" t="str">
        <f>"20190312160628242"</f>
        <v>20190312160628242</v>
      </c>
      <c r="B1518" t="str">
        <f>"1552377988236284"</f>
        <v>1552377988236284</v>
      </c>
      <c r="C1518" t="s">
        <v>40</v>
      </c>
      <c r="D1518">
        <v>6.3260259999999997</v>
      </c>
      <c r="E1518">
        <v>0.57175149999999997</v>
      </c>
      <c r="F1518" t="s">
        <v>61</v>
      </c>
      <c r="G1518">
        <v>-197.84729999999999</v>
      </c>
      <c r="H1518" s="1">
        <v>6.8433739999999999E-7</v>
      </c>
      <c r="I1518">
        <v>295.73059999999998</v>
      </c>
      <c r="J1518">
        <v>-192.73589999999999</v>
      </c>
      <c r="K1518">
        <v>1.1085050000000001</v>
      </c>
      <c r="L1518">
        <v>304.76069999999999</v>
      </c>
      <c r="M1518">
        <v>-0.2234873</v>
      </c>
      <c r="N1518">
        <v>0</v>
      </c>
      <c r="O1518">
        <v>-0.97461169999999997</v>
      </c>
      <c r="P1518">
        <v>-0.29165950000000002</v>
      </c>
      <c r="Q1518">
        <v>2.7214450000000001E-2</v>
      </c>
      <c r="R1518">
        <v>-0.95613519999999996</v>
      </c>
      <c r="S1518">
        <v>-1.5047759999999999</v>
      </c>
      <c r="T1518">
        <v>-0.32348179999999999</v>
      </c>
      <c r="U1518">
        <v>-2.6894529999999999</v>
      </c>
      <c r="V1518">
        <v>7.0736480000000004E-2</v>
      </c>
      <c r="W1518">
        <v>4.0522269999999999E-2</v>
      </c>
      <c r="X1518">
        <v>0.99667159999999999</v>
      </c>
      <c r="Y1518">
        <v>0.27812330000000002</v>
      </c>
      <c r="Z1518">
        <v>0.1050854</v>
      </c>
      <c r="AA1518">
        <v>0.95477979999999996</v>
      </c>
      <c r="AB1518">
        <v>21</v>
      </c>
      <c r="AC1518">
        <v>-5.1113999999999997</v>
      </c>
      <c r="AD1518">
        <v>-1.10850431566259</v>
      </c>
      <c r="AE1518">
        <v>-9.0300999999999991</v>
      </c>
      <c r="AF1518">
        <v>2.9303495890095501</v>
      </c>
      <c r="AG1518">
        <v>-1.10850431566259</v>
      </c>
      <c r="AH1518">
        <v>9.8318890932666498</v>
      </c>
      <c r="AI1518">
        <v>96.166819261937306</v>
      </c>
      <c r="AJ1518">
        <v>73.403552927407205</v>
      </c>
      <c r="AK1518">
        <v>10.319000614107299</v>
      </c>
      <c r="AL1518">
        <v>87.677609054067602</v>
      </c>
      <c r="AM1518">
        <v>85.940370666107597</v>
      </c>
      <c r="AN1518">
        <v>0.99999999110765103</v>
      </c>
    </row>
    <row r="1519" spans="1:40" x14ac:dyDescent="0.25">
      <c r="A1519" t="str">
        <f>"20190312160628264"</f>
        <v>20190312160628264</v>
      </c>
      <c r="B1519" t="str">
        <f>"1552377988256779"</f>
        <v>1552377988256779</v>
      </c>
      <c r="C1519" t="s">
        <v>40</v>
      </c>
      <c r="D1519">
        <v>6.3200570000000003</v>
      </c>
      <c r="E1519">
        <v>0.56982440000000001</v>
      </c>
      <c r="F1519" t="s">
        <v>61</v>
      </c>
      <c r="G1519">
        <v>-204.5796</v>
      </c>
      <c r="H1519" s="1">
        <v>4.4532110000000001E-6</v>
      </c>
      <c r="I1519">
        <v>282.26729999999998</v>
      </c>
      <c r="J1519">
        <v>-192.78749999999999</v>
      </c>
      <c r="K1519">
        <v>1.1084849999999999</v>
      </c>
      <c r="L1519">
        <v>304.55090000000001</v>
      </c>
      <c r="M1519">
        <v>-0.22627320000000001</v>
      </c>
      <c r="N1519">
        <v>0</v>
      </c>
      <c r="O1519">
        <v>-0.97396859999999996</v>
      </c>
      <c r="P1519">
        <v>-0.29360629999999999</v>
      </c>
      <c r="Q1519">
        <v>2.766236E-2</v>
      </c>
      <c r="R1519">
        <v>-0.95552610000000004</v>
      </c>
      <c r="S1519">
        <v>-1.4252009999999999</v>
      </c>
      <c r="T1519">
        <v>-0.1333908</v>
      </c>
      <c r="U1519">
        <v>-2.7067260000000002</v>
      </c>
      <c r="V1519">
        <v>6.9922090000000006E-2</v>
      </c>
      <c r="W1519">
        <v>4.0972500000000002E-2</v>
      </c>
      <c r="X1519">
        <v>0.99671069999999995</v>
      </c>
      <c r="Y1519">
        <v>0.25312960000000001</v>
      </c>
      <c r="Z1519">
        <v>4.3704420000000001E-2</v>
      </c>
      <c r="AA1519">
        <v>0.96644470000000005</v>
      </c>
      <c r="AB1519">
        <v>21</v>
      </c>
      <c r="AC1519">
        <v>-11.7921</v>
      </c>
      <c r="AD1519">
        <v>-1.108480546789</v>
      </c>
      <c r="AE1519">
        <v>-22.2836</v>
      </c>
      <c r="AF1519">
        <v>6.43111938759208</v>
      </c>
      <c r="AG1519">
        <v>-1.108480546789</v>
      </c>
      <c r="AH1519">
        <v>24.326997433879299</v>
      </c>
      <c r="AI1519">
        <v>92.522391850534504</v>
      </c>
      <c r="AJ1519">
        <v>75.191965927741805</v>
      </c>
      <c r="AK1519">
        <v>25.1871163464189</v>
      </c>
      <c r="AL1519">
        <v>87.651791428669796</v>
      </c>
      <c r="AM1519">
        <v>85.987112551941706</v>
      </c>
      <c r="AN1519">
        <v>1.0000000319603499</v>
      </c>
    </row>
    <row r="1520" spans="1:40" x14ac:dyDescent="0.25">
      <c r="A1520" t="str">
        <f>"20190312160628288"</f>
        <v>20190312160628288</v>
      </c>
      <c r="B1520" t="str">
        <f>"1552377988276302"</f>
        <v>1552377988276302</v>
      </c>
      <c r="C1520" t="s">
        <v>40</v>
      </c>
      <c r="D1520">
        <v>6.412293</v>
      </c>
      <c r="E1520">
        <v>0.57076680000000002</v>
      </c>
      <c r="F1520" t="s">
        <v>61</v>
      </c>
      <c r="G1520">
        <v>-206.82810000000001</v>
      </c>
      <c r="H1520">
        <v>8.0000940000000006E-2</v>
      </c>
      <c r="I1520">
        <v>277.69380000000001</v>
      </c>
      <c r="J1520">
        <v>-192.83760000000001</v>
      </c>
      <c r="K1520">
        <v>1.108473</v>
      </c>
      <c r="L1520">
        <v>304.34949999999998</v>
      </c>
      <c r="M1520">
        <v>-0.22898170000000001</v>
      </c>
      <c r="N1520">
        <v>0</v>
      </c>
      <c r="O1520">
        <v>-0.97333539999999996</v>
      </c>
      <c r="P1520">
        <v>-0.29530499999999998</v>
      </c>
      <c r="Q1520">
        <v>2.7712400000000002E-2</v>
      </c>
      <c r="R1520">
        <v>-0.95500110000000005</v>
      </c>
      <c r="S1520">
        <v>-1.415543</v>
      </c>
      <c r="T1520">
        <v>-0.1036897</v>
      </c>
      <c r="U1520">
        <v>-2.7076720000000001</v>
      </c>
      <c r="V1520">
        <v>6.8923230000000002E-2</v>
      </c>
      <c r="W1520">
        <v>4.1025390000000002E-2</v>
      </c>
      <c r="X1520">
        <v>0.9967781</v>
      </c>
      <c r="Y1520">
        <v>0.24776970000000001</v>
      </c>
      <c r="Z1520">
        <v>3.3994379999999998E-2</v>
      </c>
      <c r="AA1520">
        <v>0.96822240000000004</v>
      </c>
      <c r="AB1520">
        <v>21</v>
      </c>
      <c r="AC1520">
        <v>-13.9904999999999</v>
      </c>
      <c r="AD1520">
        <v>-1.0284720599999999</v>
      </c>
      <c r="AE1520">
        <v>-26.6556999999999</v>
      </c>
      <c r="AF1520">
        <v>7.5057183084093504</v>
      </c>
      <c r="AG1520">
        <v>-1.0284720599999999</v>
      </c>
      <c r="AH1520">
        <v>29.1172253798965</v>
      </c>
      <c r="AI1520">
        <v>91.958961699440593</v>
      </c>
      <c r="AJ1520">
        <v>75.5452121814631</v>
      </c>
      <c r="AK1520">
        <v>30.086647801426398</v>
      </c>
      <c r="AL1520">
        <v>87.648758517786902</v>
      </c>
      <c r="AM1520">
        <v>86.044521291496494</v>
      </c>
      <c r="AN1520">
        <v>1.0000000374489399</v>
      </c>
    </row>
    <row r="1521" spans="1:40" x14ac:dyDescent="0.25">
      <c r="A1521" t="str">
        <f>"20190312160628309"</f>
        <v>20190312160628309</v>
      </c>
      <c r="B1521" t="str">
        <f>"1552377988296796"</f>
        <v>1552377988296796</v>
      </c>
      <c r="C1521" t="s">
        <v>40</v>
      </c>
      <c r="D1521">
        <v>6.2315239999999896</v>
      </c>
      <c r="E1521">
        <v>0.57108769999999998</v>
      </c>
      <c r="F1521" t="s">
        <v>61</v>
      </c>
      <c r="G1521">
        <v>-204.4796</v>
      </c>
      <c r="H1521" s="1">
        <v>4.4046129999999999E-6</v>
      </c>
      <c r="I1521">
        <v>282.31569999999999</v>
      </c>
      <c r="J1521">
        <v>-192.88749999999999</v>
      </c>
      <c r="K1521">
        <v>1.1084560000000001</v>
      </c>
      <c r="L1521">
        <v>304.15159999999997</v>
      </c>
      <c r="M1521">
        <v>-0.23167879999999999</v>
      </c>
      <c r="N1521">
        <v>0</v>
      </c>
      <c r="O1521">
        <v>-0.97269689999999998</v>
      </c>
      <c r="P1521">
        <v>-0.29716490000000001</v>
      </c>
      <c r="Q1521">
        <v>2.6533709999999999E-2</v>
      </c>
      <c r="R1521">
        <v>-0.95445769999999996</v>
      </c>
      <c r="S1521">
        <v>-1.428482</v>
      </c>
      <c r="T1521">
        <v>-0.136010299999999</v>
      </c>
      <c r="U1521">
        <v>-2.7035830000000001</v>
      </c>
      <c r="V1521">
        <v>6.8090899999999996E-2</v>
      </c>
      <c r="W1521">
        <v>3.9849040000000002E-2</v>
      </c>
      <c r="X1521">
        <v>0.99688299999999996</v>
      </c>
      <c r="Y1521">
        <v>0.24911759999999999</v>
      </c>
      <c r="Z1521">
        <v>4.4532019999999999E-2</v>
      </c>
      <c r="AA1521">
        <v>0.96744889999999995</v>
      </c>
      <c r="AB1521">
        <v>21</v>
      </c>
      <c r="AC1521">
        <v>-11.5921</v>
      </c>
      <c r="AD1521">
        <v>-1.10845159538699</v>
      </c>
      <c r="AE1521">
        <v>-21.835899999999899</v>
      </c>
      <c r="AF1521">
        <v>6.2047883276862796</v>
      </c>
      <c r="AG1521">
        <v>-1.10845159538699</v>
      </c>
      <c r="AH1521">
        <v>23.879572301703199</v>
      </c>
      <c r="AI1521">
        <v>92.572372583767404</v>
      </c>
      <c r="AJ1521">
        <v>75.434550212844002</v>
      </c>
      <c r="AK1521">
        <v>24.697409508751701</v>
      </c>
      <c r="AL1521">
        <v>87.716213533535907</v>
      </c>
      <c r="AM1521">
        <v>86.092549443474994</v>
      </c>
      <c r="AN1521">
        <v>1.0000000161703599</v>
      </c>
    </row>
    <row r="1522" spans="1:40" x14ac:dyDescent="0.25">
      <c r="A1522" t="str">
        <f>"20190312160628331"</f>
        <v>20190312160628331</v>
      </c>
      <c r="B1522" t="str">
        <f>"1552377988326075"</f>
        <v>1552377988326075</v>
      </c>
      <c r="C1522" t="s">
        <v>40</v>
      </c>
      <c r="D1522">
        <v>6.4410439999999998</v>
      </c>
      <c r="E1522">
        <v>0.56945440000000003</v>
      </c>
      <c r="F1522" t="s">
        <v>61</v>
      </c>
      <c r="G1522">
        <v>-204.10830000000001</v>
      </c>
      <c r="H1522" s="1">
        <v>4.1756679999999996E-6</v>
      </c>
      <c r="I1522">
        <v>283.0514</v>
      </c>
      <c r="J1522">
        <v>-192.93940000000001</v>
      </c>
      <c r="K1522">
        <v>1.108436</v>
      </c>
      <c r="L1522">
        <v>303.94830000000002</v>
      </c>
      <c r="M1522">
        <v>-0.23448440000000001</v>
      </c>
      <c r="N1522">
        <v>0</v>
      </c>
      <c r="O1522">
        <v>-0.97202440000000001</v>
      </c>
      <c r="P1522">
        <v>-0.29954570000000003</v>
      </c>
      <c r="Q1522">
        <v>2.5398839999999999E-2</v>
      </c>
      <c r="R1522">
        <v>-0.95374389999999998</v>
      </c>
      <c r="S1522">
        <v>-1.435837</v>
      </c>
      <c r="T1522">
        <v>-0.14183950000000001</v>
      </c>
      <c r="U1522">
        <v>-2.7000120000000001</v>
      </c>
      <c r="V1522">
        <v>6.769203E-2</v>
      </c>
      <c r="W1522">
        <v>3.8713150000000002E-2</v>
      </c>
      <c r="X1522">
        <v>0.99695489999999998</v>
      </c>
      <c r="Y1522">
        <v>0.24886710000000001</v>
      </c>
      <c r="Z1522">
        <v>4.6416279999999997E-2</v>
      </c>
      <c r="AA1522">
        <v>0.96742479999999997</v>
      </c>
      <c r="AB1522">
        <v>21</v>
      </c>
      <c r="AC1522">
        <v>-11.168900000000001</v>
      </c>
      <c r="AD1522">
        <v>-1.1084318243319999</v>
      </c>
      <c r="AE1522">
        <v>-20.896899999999999</v>
      </c>
      <c r="AF1522">
        <v>5.9439913712395596</v>
      </c>
      <c r="AG1522">
        <v>-1.1084318243319999</v>
      </c>
      <c r="AH1522">
        <v>22.8832804432936</v>
      </c>
      <c r="AI1522">
        <v>92.684215138713995</v>
      </c>
      <c r="AJ1522">
        <v>75.439062540912204</v>
      </c>
      <c r="AK1522">
        <v>23.668632794840299</v>
      </c>
      <c r="AL1522">
        <v>87.781345462573199</v>
      </c>
      <c r="AM1522">
        <v>86.115647930363096</v>
      </c>
      <c r="AN1522">
        <v>0.999999995771226</v>
      </c>
    </row>
    <row r="1523" spans="1:40" x14ac:dyDescent="0.25">
      <c r="A1523" t="str">
        <f>"20190312160628355"</f>
        <v>20190312160628355</v>
      </c>
      <c r="B1523" t="str">
        <f>"1552377988346572"</f>
        <v>1552377988346572</v>
      </c>
      <c r="C1523" t="s">
        <v>40</v>
      </c>
      <c r="D1523">
        <v>6.3894929999999999</v>
      </c>
      <c r="E1523">
        <v>0.5705749</v>
      </c>
      <c r="F1523" t="s">
        <v>61</v>
      </c>
      <c r="G1523">
        <v>-203.57300000000001</v>
      </c>
      <c r="H1523" s="1">
        <v>3.8669049999999997E-6</v>
      </c>
      <c r="I1523">
        <v>283.86759999999998</v>
      </c>
      <c r="J1523">
        <v>-192.99340000000001</v>
      </c>
      <c r="K1523">
        <v>1.1084179999999999</v>
      </c>
      <c r="L1523">
        <v>303.73950000000002</v>
      </c>
      <c r="M1523">
        <v>-0.2374059</v>
      </c>
      <c r="N1523">
        <v>0</v>
      </c>
      <c r="O1523">
        <v>-0.97131500000000004</v>
      </c>
      <c r="P1523">
        <v>-0.3024964</v>
      </c>
      <c r="Q1523">
        <v>2.5410510000000001E-2</v>
      </c>
      <c r="R1523">
        <v>-0.95281179999999999</v>
      </c>
      <c r="S1523">
        <v>-1.429962</v>
      </c>
      <c r="T1523">
        <v>-0.14905769999999999</v>
      </c>
      <c r="U1523">
        <v>-2.7003780000000002</v>
      </c>
      <c r="V1523">
        <v>6.7782419999999996E-2</v>
      </c>
      <c r="W1523">
        <v>3.8721239999999997E-2</v>
      </c>
      <c r="X1523">
        <v>0.99694839999999996</v>
      </c>
      <c r="Y1523">
        <v>0.2442019</v>
      </c>
      <c r="Z1523">
        <v>4.8767070000000003E-2</v>
      </c>
      <c r="AA1523">
        <v>0.96849739999999995</v>
      </c>
      <c r="AB1523">
        <v>21</v>
      </c>
      <c r="AC1523">
        <v>-10.5795999999999</v>
      </c>
      <c r="AD1523">
        <v>-1.1084141330949999</v>
      </c>
      <c r="AE1523">
        <v>-19.8719</v>
      </c>
      <c r="AF1523">
        <v>5.5454909786191697</v>
      </c>
      <c r="AG1523">
        <v>-1.1084141330949999</v>
      </c>
      <c r="AH1523">
        <v>21.762803532889802</v>
      </c>
      <c r="AI1523">
        <v>92.825510392947706</v>
      </c>
      <c r="AJ1523">
        <v>75.704395718565095</v>
      </c>
      <c r="AK1523">
        <v>22.485565807769898</v>
      </c>
      <c r="AL1523">
        <v>87.780881493783696</v>
      </c>
      <c r="AM1523">
        <v>86.110451735794697</v>
      </c>
      <c r="AN1523">
        <v>0.99999995157537502</v>
      </c>
    </row>
    <row r="1524" spans="1:40" x14ac:dyDescent="0.25">
      <c r="A1524" t="str">
        <f>"20190312160628378"</f>
        <v>20190312160628378</v>
      </c>
      <c r="B1524" t="str">
        <f>"1552377988366091"</f>
        <v>1552377988366091</v>
      </c>
      <c r="C1524" t="s">
        <v>40</v>
      </c>
      <c r="D1524">
        <v>6.1578970000000002</v>
      </c>
      <c r="E1524">
        <v>0.57005740000000005</v>
      </c>
      <c r="F1524" t="s">
        <v>61</v>
      </c>
      <c r="G1524">
        <v>-203.71860000000001</v>
      </c>
      <c r="H1524" s="1">
        <v>3.9397149999999999E-6</v>
      </c>
      <c r="I1524">
        <v>283.77359999999999</v>
      </c>
      <c r="J1524">
        <v>-193.05</v>
      </c>
      <c r="K1524">
        <v>1.108398</v>
      </c>
      <c r="L1524">
        <v>303.52359999999999</v>
      </c>
      <c r="M1524">
        <v>-0.24047660000000001</v>
      </c>
      <c r="N1524">
        <v>0</v>
      </c>
      <c r="O1524">
        <v>-0.97055939999999996</v>
      </c>
      <c r="P1524">
        <v>-0.30555949999999998</v>
      </c>
      <c r="Q1524">
        <v>2.5055330000000001E-2</v>
      </c>
      <c r="R1524">
        <v>-0.95184310000000005</v>
      </c>
      <c r="S1524">
        <v>-1.4467620000000001</v>
      </c>
      <c r="T1524">
        <v>-0.14951739999999999</v>
      </c>
      <c r="U1524">
        <v>-2.6932680000000002</v>
      </c>
      <c r="V1524">
        <v>6.7834169999999999E-2</v>
      </c>
      <c r="W1524">
        <v>3.8362449999999999E-2</v>
      </c>
      <c r="X1524">
        <v>0.99695880000000003</v>
      </c>
      <c r="Y1524">
        <v>0.24688879999999999</v>
      </c>
      <c r="Z1524">
        <v>4.8889349999999998E-2</v>
      </c>
      <c r="AA1524">
        <v>0.96780980000000005</v>
      </c>
      <c r="AB1524">
        <v>21</v>
      </c>
      <c r="AC1524">
        <v>-10.6685999999999</v>
      </c>
      <c r="AD1524">
        <v>-1.108394060285</v>
      </c>
      <c r="AE1524">
        <v>-19.75</v>
      </c>
      <c r="AF1524">
        <v>5.5919829082316204</v>
      </c>
      <c r="AG1524">
        <v>-1.108394060285</v>
      </c>
      <c r="AH1524">
        <v>21.683245496697602</v>
      </c>
      <c r="AI1524">
        <v>92.833713141384493</v>
      </c>
      <c r="AJ1524">
        <v>75.538856216267902</v>
      </c>
      <c r="AK1524">
        <v>22.420123672916802</v>
      </c>
      <c r="AL1524">
        <v>87.801454040923403</v>
      </c>
      <c r="AM1524">
        <v>86.1075317795422</v>
      </c>
      <c r="AN1524">
        <v>1.0000000005435099</v>
      </c>
    </row>
    <row r="1525" spans="1:40" x14ac:dyDescent="0.25">
      <c r="A1525" t="str">
        <f>"20190312160628401"</f>
        <v>20190312160628401</v>
      </c>
      <c r="B1525" t="str">
        <f>"1552377988396348"</f>
        <v>1552377988396348</v>
      </c>
      <c r="C1525" t="s">
        <v>40</v>
      </c>
      <c r="D1525">
        <v>6.2484739999999999</v>
      </c>
      <c r="E1525">
        <v>0.56793909999999903</v>
      </c>
      <c r="F1525" t="s">
        <v>61</v>
      </c>
      <c r="G1525">
        <v>-204.81549999999999</v>
      </c>
      <c r="H1525" s="1">
        <v>4.6053529999999997E-6</v>
      </c>
      <c r="I1525">
        <v>281.72370000000001</v>
      </c>
      <c r="J1525">
        <v>-193.10210000000001</v>
      </c>
      <c r="K1525">
        <v>1.10839</v>
      </c>
      <c r="L1525">
        <v>303.32760000000002</v>
      </c>
      <c r="M1525">
        <v>-0.24329600000000001</v>
      </c>
      <c r="N1525">
        <v>0</v>
      </c>
      <c r="O1525">
        <v>-0.96985650000000001</v>
      </c>
      <c r="P1525">
        <v>-0.30864940000000002</v>
      </c>
      <c r="Q1525">
        <v>2.4610130000000001E-2</v>
      </c>
      <c r="R1525">
        <v>-0.95085779999999998</v>
      </c>
      <c r="S1525">
        <v>-1.4514769999999999</v>
      </c>
      <c r="T1525">
        <v>-0.13673950000000001</v>
      </c>
      <c r="U1525">
        <v>-2.6893919999999998</v>
      </c>
      <c r="V1525">
        <v>6.817165E-2</v>
      </c>
      <c r="W1525">
        <v>3.791311E-2</v>
      </c>
      <c r="X1525">
        <v>0.99695299999999998</v>
      </c>
      <c r="Y1525">
        <v>0.2460639</v>
      </c>
      <c r="Z1525">
        <v>4.4716449999999998E-2</v>
      </c>
      <c r="AA1525">
        <v>0.96822149999999996</v>
      </c>
      <c r="AB1525">
        <v>21</v>
      </c>
      <c r="AC1525">
        <v>-11.713399999999901</v>
      </c>
      <c r="AD1525">
        <v>-1.1083853946469999</v>
      </c>
      <c r="AE1525">
        <v>-21.603899999999999</v>
      </c>
      <c r="AF1525">
        <v>6.09234764131185</v>
      </c>
      <c r="AG1525">
        <v>-1.1083853946469999</v>
      </c>
      <c r="AH1525">
        <v>23.756388098550602</v>
      </c>
      <c r="AI1525">
        <v>92.587655439183607</v>
      </c>
      <c r="AJ1525">
        <v>75.616419177272803</v>
      </c>
      <c r="AK1525">
        <v>24.550177055463799</v>
      </c>
      <c r="AL1525">
        <v>87.827218136464793</v>
      </c>
      <c r="AM1525">
        <v>86.088203749547802</v>
      </c>
      <c r="AN1525">
        <v>1.00000003099129</v>
      </c>
    </row>
    <row r="1526" spans="1:40" x14ac:dyDescent="0.25">
      <c r="A1526" t="str">
        <f>"20190312160628421"</f>
        <v>20190312160628421</v>
      </c>
      <c r="B1526" t="str">
        <f>"1552377988416844"</f>
        <v>1552377988416844</v>
      </c>
      <c r="C1526" t="s">
        <v>40</v>
      </c>
      <c r="D1526">
        <v>6.5090000000000003</v>
      </c>
      <c r="E1526">
        <v>0.56739689999999998</v>
      </c>
      <c r="F1526" t="s">
        <v>61</v>
      </c>
      <c r="G1526">
        <v>-204.78059999999999</v>
      </c>
      <c r="H1526" s="1">
        <v>4.60249199999999E-6</v>
      </c>
      <c r="I1526">
        <v>281.57929999999999</v>
      </c>
      <c r="J1526">
        <v>-193.1525</v>
      </c>
      <c r="K1526">
        <v>1.1083809999999901</v>
      </c>
      <c r="L1526">
        <v>303.14049999999997</v>
      </c>
      <c r="M1526">
        <v>-0.24601590000000001</v>
      </c>
      <c r="N1526">
        <v>0</v>
      </c>
      <c r="O1526">
        <v>-0.96917019999999998</v>
      </c>
      <c r="P1526">
        <v>-0.31114229999999998</v>
      </c>
      <c r="Q1526">
        <v>2.466107E-2</v>
      </c>
      <c r="R1526">
        <v>-0.95004330000000003</v>
      </c>
      <c r="S1526">
        <v>-1.4443360000000001</v>
      </c>
      <c r="T1526">
        <v>-0.13707949999999999</v>
      </c>
      <c r="U1526">
        <v>-2.6897280000000001</v>
      </c>
      <c r="V1526">
        <v>6.7991090000000004E-2</v>
      </c>
      <c r="W1526">
        <v>3.7963150000000001E-2</v>
      </c>
      <c r="X1526">
        <v>0.99696340000000006</v>
      </c>
      <c r="Y1526">
        <v>0.2412958</v>
      </c>
      <c r="Z1526">
        <v>4.4829620000000001E-2</v>
      </c>
      <c r="AA1526">
        <v>0.96941560000000004</v>
      </c>
      <c r="AB1526">
        <v>21</v>
      </c>
      <c r="AC1526">
        <v>-11.6280999999999</v>
      </c>
      <c r="AD1526">
        <v>-1.1083763975080001</v>
      </c>
      <c r="AE1526">
        <v>-21.5611999999999</v>
      </c>
      <c r="AF1526">
        <v>5.9535747990872299</v>
      </c>
      <c r="AG1526">
        <v>-1.1083763975080001</v>
      </c>
      <c r="AH1526">
        <v>23.710831490055501</v>
      </c>
      <c r="AI1526">
        <v>92.595910095597802</v>
      </c>
      <c r="AJ1526">
        <v>75.904942612601204</v>
      </c>
      <c r="AK1526">
        <v>24.471965206674501</v>
      </c>
      <c r="AL1526">
        <v>87.824348933662705</v>
      </c>
      <c r="AM1526">
        <v>86.098573099458704</v>
      </c>
      <c r="AN1526">
        <v>1.0000000050084299</v>
      </c>
    </row>
    <row r="1527" spans="1:40" x14ac:dyDescent="0.25">
      <c r="A1527" t="str">
        <f>"20190312160628444"</f>
        <v>20190312160628444</v>
      </c>
      <c r="B1527" t="str">
        <f>"1552377988436363"</f>
        <v>1552377988436363</v>
      </c>
      <c r="C1527" t="s">
        <v>40</v>
      </c>
      <c r="D1527">
        <v>6.533131</v>
      </c>
      <c r="E1527">
        <v>0.56748129999999997</v>
      </c>
      <c r="F1527" t="s">
        <v>61</v>
      </c>
      <c r="G1527">
        <v>-205.2218</v>
      </c>
      <c r="H1527" s="1">
        <v>4.8724969999999996E-6</v>
      </c>
      <c r="I1527">
        <v>280.72890000000001</v>
      </c>
      <c r="J1527">
        <v>-193.20849999999999</v>
      </c>
      <c r="K1527">
        <v>1.108371</v>
      </c>
      <c r="L1527">
        <v>302.9348</v>
      </c>
      <c r="M1527">
        <v>-0.2490397</v>
      </c>
      <c r="N1527">
        <v>0</v>
      </c>
      <c r="O1527">
        <v>-0.96839759999999997</v>
      </c>
      <c r="P1527">
        <v>-0.31341340000000001</v>
      </c>
      <c r="Q1527">
        <v>2.4602309999999999E-2</v>
      </c>
      <c r="R1527">
        <v>-0.94929839999999999</v>
      </c>
      <c r="S1527">
        <v>-1.447174</v>
      </c>
      <c r="T1527">
        <v>-0.132899499999999</v>
      </c>
      <c r="U1527">
        <v>-2.6872560000000001</v>
      </c>
      <c r="V1527">
        <v>6.7263530000000002E-2</v>
      </c>
      <c r="W1527">
        <v>3.7905969999999997E-2</v>
      </c>
      <c r="X1527">
        <v>0.99701490000000004</v>
      </c>
      <c r="Y1527">
        <v>0.2394616</v>
      </c>
      <c r="Z1527">
        <v>4.3449120000000001E-2</v>
      </c>
      <c r="AA1527">
        <v>0.96993320000000005</v>
      </c>
      <c r="AB1527">
        <v>21</v>
      </c>
      <c r="AC1527">
        <v>-12.013299999999999</v>
      </c>
      <c r="AD1527">
        <v>-1.1083661275029999</v>
      </c>
      <c r="AE1527">
        <v>-22.2058999999999</v>
      </c>
      <c r="AF1527">
        <v>6.0923243498364599</v>
      </c>
      <c r="AG1527">
        <v>-1.1083661275029999</v>
      </c>
      <c r="AH1527">
        <v>24.451075422790499</v>
      </c>
      <c r="AI1527">
        <v>92.518540378045799</v>
      </c>
      <c r="AJ1527">
        <v>76.008854576266202</v>
      </c>
      <c r="AK1527">
        <v>25.2230049912217</v>
      </c>
      <c r="AL1527">
        <v>87.827627407261602</v>
      </c>
      <c r="AM1527">
        <v>86.140393441484093</v>
      </c>
      <c r="AN1527">
        <v>0.99999997792585504</v>
      </c>
    </row>
    <row r="1528" spans="1:40" x14ac:dyDescent="0.25">
      <c r="A1528" t="str">
        <f>"20190312160628466"</f>
        <v>20190312160628466</v>
      </c>
      <c r="B1528" t="str">
        <f>"1552377988456861"</f>
        <v>1552377988456861</v>
      </c>
      <c r="C1528" t="s">
        <v>40</v>
      </c>
      <c r="D1528">
        <v>6.3942649999999999</v>
      </c>
      <c r="E1528">
        <v>0.56754759999999904</v>
      </c>
      <c r="F1528" t="s">
        <v>61</v>
      </c>
      <c r="G1528">
        <v>-205.8467</v>
      </c>
      <c r="H1528">
        <v>7.0288349999999998E-3</v>
      </c>
      <c r="I1528">
        <v>279.61630000000002</v>
      </c>
      <c r="J1528">
        <v>-193.26329999999999</v>
      </c>
      <c r="K1528">
        <v>1.1083480000000001</v>
      </c>
      <c r="L1528">
        <v>302.73579999999998</v>
      </c>
      <c r="M1528">
        <v>-0.25199470000000002</v>
      </c>
      <c r="N1528">
        <v>0</v>
      </c>
      <c r="O1528">
        <v>-0.96763279999999996</v>
      </c>
      <c r="P1528">
        <v>-0.31554189999999999</v>
      </c>
      <c r="Q1528">
        <v>2.4725690000000002E-2</v>
      </c>
      <c r="R1528">
        <v>-0.94858989999999999</v>
      </c>
      <c r="S1528">
        <v>-1.4543459999999999</v>
      </c>
      <c r="T1528">
        <v>-0.12673760000000001</v>
      </c>
      <c r="U1528">
        <v>-2.6833800000000001</v>
      </c>
      <c r="V1528">
        <v>6.6458310000000007E-2</v>
      </c>
      <c r="W1528">
        <v>3.8031290000000002E-2</v>
      </c>
      <c r="X1528">
        <v>0.99706419999999996</v>
      </c>
      <c r="Y1528">
        <v>0.23913029999999999</v>
      </c>
      <c r="Z1528">
        <v>4.1419369999999997E-2</v>
      </c>
      <c r="AA1528">
        <v>0.97010370000000001</v>
      </c>
      <c r="AB1528">
        <v>21</v>
      </c>
      <c r="AC1528">
        <v>-12.583399999999999</v>
      </c>
      <c r="AD1528">
        <v>-1.1013191649999901</v>
      </c>
      <c r="AE1528">
        <v>-23.119499999999899</v>
      </c>
      <c r="AF1528">
        <v>6.3396098840626101</v>
      </c>
      <c r="AG1528">
        <v>-1.1013191649999901</v>
      </c>
      <c r="AH1528">
        <v>25.4998652856919</v>
      </c>
      <c r="AI1528">
        <v>92.400052233702894</v>
      </c>
      <c r="AJ1528">
        <v>76.038550361095005</v>
      </c>
      <c r="AK1528">
        <v>26.2991765455448</v>
      </c>
      <c r="AL1528">
        <v>87.820442081298495</v>
      </c>
      <c r="AM1528">
        <v>86.186648112748699</v>
      </c>
      <c r="AN1528">
        <v>1.00000005245437</v>
      </c>
    </row>
    <row r="1529" spans="1:40" x14ac:dyDescent="0.25">
      <c r="A1529" t="str">
        <f>"20190312160628490"</f>
        <v>20190312160628490</v>
      </c>
      <c r="B1529" t="str">
        <f>"1552377988486142"</f>
        <v>1552377988486142</v>
      </c>
      <c r="C1529" t="s">
        <v>40</v>
      </c>
      <c r="D1529">
        <v>6.2525639999999996</v>
      </c>
      <c r="E1529">
        <v>0.56628000000000001</v>
      </c>
      <c r="F1529" t="s">
        <v>61</v>
      </c>
      <c r="G1529">
        <v>-205.86930000000001</v>
      </c>
      <c r="H1529">
        <v>4.2229219999999998E-2</v>
      </c>
      <c r="I1529">
        <v>279.61630000000002</v>
      </c>
      <c r="J1529">
        <v>-193.31899999999999</v>
      </c>
      <c r="K1529">
        <v>1.108339</v>
      </c>
      <c r="L1529">
        <v>302.53629999999998</v>
      </c>
      <c r="M1529">
        <v>-0.25498910000000002</v>
      </c>
      <c r="N1529">
        <v>0</v>
      </c>
      <c r="O1529">
        <v>-0.96684800000000004</v>
      </c>
      <c r="P1529">
        <v>-0.31756499999999999</v>
      </c>
      <c r="Q1529">
        <v>2.4345120000000001E-2</v>
      </c>
      <c r="R1529">
        <v>-0.94792390000000004</v>
      </c>
      <c r="S1529">
        <v>-1.461182</v>
      </c>
      <c r="T1529">
        <v>-0.12357509999999999</v>
      </c>
      <c r="U1529">
        <v>-2.6798099999999998</v>
      </c>
      <c r="V1529">
        <v>6.5495570000000003E-2</v>
      </c>
      <c r="W1529">
        <v>3.7652949999999998E-2</v>
      </c>
      <c r="X1529">
        <v>0.99714219999999998</v>
      </c>
      <c r="Y1529">
        <v>0.23859639999999999</v>
      </c>
      <c r="Z1529">
        <v>4.0365860000000003E-2</v>
      </c>
      <c r="AA1529">
        <v>0.97027949999999996</v>
      </c>
      <c r="AB1529">
        <v>21</v>
      </c>
      <c r="AC1529">
        <v>-12.550299999999901</v>
      </c>
      <c r="AD1529">
        <v>-1.0661097799999999</v>
      </c>
      <c r="AE1529">
        <v>-22.919999999999899</v>
      </c>
      <c r="AF1529">
        <v>6.2800125999034497</v>
      </c>
      <c r="AG1529">
        <v>-1.0661097799999999</v>
      </c>
      <c r="AH1529">
        <v>25.320552022923401</v>
      </c>
      <c r="AI1529">
        <v>92.340167346080307</v>
      </c>
      <c r="AJ1529">
        <v>76.070558747774299</v>
      </c>
      <c r="AK1529">
        <v>26.10949067032</v>
      </c>
      <c r="AL1529">
        <v>87.842134770048503</v>
      </c>
      <c r="AM1529">
        <v>86.242023424021298</v>
      </c>
      <c r="AN1529">
        <v>0.99999999067708301</v>
      </c>
    </row>
    <row r="1530" spans="1:40" x14ac:dyDescent="0.25">
      <c r="A1530" t="str">
        <f>"20190312160628512"</f>
        <v>20190312160628512</v>
      </c>
      <c r="B1530" t="str">
        <f>"1552377988506636"</f>
        <v>1552377988506636</v>
      </c>
      <c r="C1530" t="s">
        <v>40</v>
      </c>
      <c r="D1530">
        <v>6.1970539999999996</v>
      </c>
      <c r="E1530">
        <v>0.56582909999999997</v>
      </c>
      <c r="F1530" t="s">
        <v>61</v>
      </c>
      <c r="G1530">
        <v>-205.78030000000001</v>
      </c>
      <c r="H1530">
        <v>3.9629949999999997E-2</v>
      </c>
      <c r="I1530">
        <v>279.61630000000002</v>
      </c>
      <c r="J1530">
        <v>-193.3777</v>
      </c>
      <c r="K1530">
        <v>1.1083259999999999</v>
      </c>
      <c r="L1530">
        <v>302.32889999999998</v>
      </c>
      <c r="M1530">
        <v>-0.25813469999999999</v>
      </c>
      <c r="N1530">
        <v>0</v>
      </c>
      <c r="O1530">
        <v>-0.9660128</v>
      </c>
      <c r="P1530">
        <v>-0.32054640000000001</v>
      </c>
      <c r="Q1530">
        <v>2.4692860000000001E-2</v>
      </c>
      <c r="R1530">
        <v>-0.94691069999999999</v>
      </c>
      <c r="S1530">
        <v>-1.457047</v>
      </c>
      <c r="T1530">
        <v>-0.12495920000000001</v>
      </c>
      <c r="U1530">
        <v>-2.679932</v>
      </c>
      <c r="V1530">
        <v>6.5393220000000002E-2</v>
      </c>
      <c r="W1530">
        <v>3.7998410000000003E-2</v>
      </c>
      <c r="X1530">
        <v>0.99713580000000002</v>
      </c>
      <c r="Y1530">
        <v>0.23425109999999999</v>
      </c>
      <c r="Z1530">
        <v>4.0799729999999999E-2</v>
      </c>
      <c r="AA1530">
        <v>0.97131959999999995</v>
      </c>
      <c r="AB1530">
        <v>21</v>
      </c>
      <c r="AC1530">
        <v>-12.4026</v>
      </c>
      <c r="AD1530">
        <v>-1.06869605</v>
      </c>
      <c r="AE1530">
        <v>-22.712599999999899</v>
      </c>
      <c r="AF1530">
        <v>6.1083110946029304</v>
      </c>
      <c r="AG1530">
        <v>-1.06869605</v>
      </c>
      <c r="AH1530">
        <v>25.101729596751401</v>
      </c>
      <c r="AI1530">
        <v>92.368827793332002</v>
      </c>
      <c r="AJ1530">
        <v>76.323337777015993</v>
      </c>
      <c r="AK1530">
        <v>25.856341667454799</v>
      </c>
      <c r="AL1530">
        <v>87.822327166948597</v>
      </c>
      <c r="AM1530">
        <v>86.247855215901893</v>
      </c>
      <c r="AN1530">
        <v>0.99999997801306795</v>
      </c>
    </row>
    <row r="1531" spans="1:40" x14ac:dyDescent="0.25">
      <c r="A1531" t="str">
        <f>"20190312160628533"</f>
        <v>20190312160628533</v>
      </c>
      <c r="B1531" t="str">
        <f>"1552377988526156"</f>
        <v>1552377988526156</v>
      </c>
      <c r="C1531" t="s">
        <v>40</v>
      </c>
      <c r="D1531">
        <v>6.206531</v>
      </c>
      <c r="E1531">
        <v>0.56587109999999996</v>
      </c>
      <c r="F1531" t="s">
        <v>61</v>
      </c>
      <c r="G1531">
        <v>-205.89529999999999</v>
      </c>
      <c r="H1531">
        <v>8.0001399999999903E-2</v>
      </c>
      <c r="I1531">
        <v>279.41019999999997</v>
      </c>
      <c r="J1531">
        <v>-193.43299999999999</v>
      </c>
      <c r="K1531">
        <v>1.1083179999999999</v>
      </c>
      <c r="L1531">
        <v>302.13569999999999</v>
      </c>
      <c r="M1531">
        <v>-0.26109870000000002</v>
      </c>
      <c r="N1531">
        <v>0</v>
      </c>
      <c r="O1531">
        <v>-0.96521610000000002</v>
      </c>
      <c r="P1531">
        <v>-0.3233779</v>
      </c>
      <c r="Q1531">
        <v>2.5211830000000001E-2</v>
      </c>
      <c r="R1531">
        <v>-0.94593430000000001</v>
      </c>
      <c r="S1531">
        <v>-1.4618230000000001</v>
      </c>
      <c r="T1531">
        <v>-0.120088899999999</v>
      </c>
      <c r="U1531">
        <v>-2.6764830000000002</v>
      </c>
      <c r="V1531">
        <v>6.53228E-2</v>
      </c>
      <c r="W1531">
        <v>3.8514930000000003E-2</v>
      </c>
      <c r="X1531">
        <v>0.99712060000000002</v>
      </c>
      <c r="Y1531">
        <v>0.23315949999999999</v>
      </c>
      <c r="Z1531">
        <v>3.9198150000000001E-2</v>
      </c>
      <c r="AA1531">
        <v>0.97164819999999996</v>
      </c>
      <c r="AB1531">
        <v>21</v>
      </c>
      <c r="AC1531">
        <v>-12.462300000000001</v>
      </c>
      <c r="AD1531">
        <v>-1.0283165999999999</v>
      </c>
      <c r="AE1531">
        <v>-22.7255</v>
      </c>
      <c r="AF1531">
        <v>6.0861985624670103</v>
      </c>
      <c r="AG1531">
        <v>-1.0283165999999999</v>
      </c>
      <c r="AH1531">
        <v>25.151651470772102</v>
      </c>
      <c r="AI1531">
        <v>92.275610608890304</v>
      </c>
      <c r="AJ1531">
        <v>76.397043785165906</v>
      </c>
      <c r="AK1531">
        <v>25.897969412268701</v>
      </c>
      <c r="AL1531">
        <v>87.7927110725972</v>
      </c>
      <c r="AM1531">
        <v>86.251827291486094</v>
      </c>
      <c r="AN1531">
        <v>0.99999997948855202</v>
      </c>
    </row>
    <row r="1532" spans="1:40" x14ac:dyDescent="0.25">
      <c r="A1532" t="str">
        <f>"20190312160628557"</f>
        <v>20190312160628557</v>
      </c>
      <c r="B1532" t="str">
        <f>"1552377988546652"</f>
        <v>1552377988546652</v>
      </c>
      <c r="C1532" t="s">
        <v>40</v>
      </c>
      <c r="D1532">
        <v>6.1573890000000002</v>
      </c>
      <c r="E1532">
        <v>0.565384</v>
      </c>
      <c r="F1532" t="s">
        <v>61</v>
      </c>
      <c r="G1532">
        <v>-206.3442</v>
      </c>
      <c r="H1532">
        <v>8.0001100000000006E-2</v>
      </c>
      <c r="I1532">
        <v>278.67110000000002</v>
      </c>
      <c r="J1532">
        <v>-193.49180000000001</v>
      </c>
      <c r="K1532">
        <v>1.108311</v>
      </c>
      <c r="L1532">
        <v>301.93310000000002</v>
      </c>
      <c r="M1532">
        <v>-0.26424180000000003</v>
      </c>
      <c r="N1532">
        <v>0</v>
      </c>
      <c r="O1532">
        <v>-0.96436040000000001</v>
      </c>
      <c r="P1532">
        <v>-0.32627309999999998</v>
      </c>
      <c r="Q1532">
        <v>2.5867850000000001E-2</v>
      </c>
      <c r="R1532">
        <v>-0.94492189999999998</v>
      </c>
      <c r="S1532">
        <v>-1.4702299999999999</v>
      </c>
      <c r="T1532">
        <v>-0.1170969</v>
      </c>
      <c r="U1532">
        <v>-2.671967</v>
      </c>
      <c r="V1532">
        <v>6.5136799999999995E-2</v>
      </c>
      <c r="W1532">
        <v>3.9168179999999997E-2</v>
      </c>
      <c r="X1532">
        <v>0.99710730000000003</v>
      </c>
      <c r="Y1532">
        <v>0.23305119999999999</v>
      </c>
      <c r="Z1532">
        <v>3.8202760000000002E-2</v>
      </c>
      <c r="AA1532">
        <v>0.97171379999999996</v>
      </c>
      <c r="AB1532">
        <v>21</v>
      </c>
      <c r="AC1532">
        <v>-12.8523999999999</v>
      </c>
      <c r="AD1532">
        <v>-1.0283099</v>
      </c>
      <c r="AE1532">
        <v>-23.261999999999901</v>
      </c>
      <c r="AF1532">
        <v>6.2387915351177998</v>
      </c>
      <c r="AG1532">
        <v>-1.0283099</v>
      </c>
      <c r="AH1532">
        <v>25.792871248257399</v>
      </c>
      <c r="AI1532">
        <v>92.219131442642094</v>
      </c>
      <c r="AJ1532">
        <v>76.402435884728305</v>
      </c>
      <c r="AK1532">
        <v>26.556583897374299</v>
      </c>
      <c r="AL1532">
        <v>87.755254290251898</v>
      </c>
      <c r="AM1532">
        <v>86.262419824931797</v>
      </c>
      <c r="AN1532">
        <v>0.99999995837601996</v>
      </c>
    </row>
    <row r="1533" spans="1:40" x14ac:dyDescent="0.25">
      <c r="A1533" t="str">
        <f>"20190312160628579"</f>
        <v>20190312160628579</v>
      </c>
      <c r="B1533" t="str">
        <f>"1552377988566175"</f>
        <v>1552377988566175</v>
      </c>
      <c r="C1533" t="s">
        <v>40</v>
      </c>
      <c r="D1533">
        <v>6.1661849999999996</v>
      </c>
      <c r="E1533">
        <v>0.56496939999999995</v>
      </c>
      <c r="F1533" t="s">
        <v>61</v>
      </c>
      <c r="G1533">
        <v>-207.29599999999999</v>
      </c>
      <c r="H1533">
        <v>8.0000799999999997E-2</v>
      </c>
      <c r="I1533">
        <v>276.9597</v>
      </c>
      <c r="J1533">
        <v>-193.5506</v>
      </c>
      <c r="K1533">
        <v>1.108304</v>
      </c>
      <c r="L1533">
        <v>301.73320000000001</v>
      </c>
      <c r="M1533">
        <v>-0.26737440000000001</v>
      </c>
      <c r="N1533">
        <v>0</v>
      </c>
      <c r="O1533">
        <v>-0.96349640000000003</v>
      </c>
      <c r="P1533">
        <v>-0.32942949999999999</v>
      </c>
      <c r="Q1533">
        <v>2.6534740000000001E-2</v>
      </c>
      <c r="R1533">
        <v>-0.94380739999999996</v>
      </c>
      <c r="S1533">
        <v>-1.4750369999999999</v>
      </c>
      <c r="T1533">
        <v>-0.1098795</v>
      </c>
      <c r="U1533">
        <v>-2.6685180000000002</v>
      </c>
      <c r="V1533">
        <v>6.5237920000000005E-2</v>
      </c>
      <c r="W1533">
        <v>3.9831900000000003E-2</v>
      </c>
      <c r="X1533">
        <v>0.99707440000000003</v>
      </c>
      <c r="Y1533">
        <v>0.23180609999999999</v>
      </c>
      <c r="Z1533">
        <v>3.5835260000000001E-2</v>
      </c>
      <c r="AA1533">
        <v>0.97210169999999996</v>
      </c>
      <c r="AB1533">
        <v>20</v>
      </c>
      <c r="AC1533">
        <v>-13.745399999999901</v>
      </c>
      <c r="AD1533">
        <v>-1.0283031999999901</v>
      </c>
      <c r="AE1533">
        <v>-24.773499999999999</v>
      </c>
      <c r="AF1533">
        <v>6.6117480296821798</v>
      </c>
      <c r="AG1533">
        <v>-1.0283031999999901</v>
      </c>
      <c r="AH1533">
        <v>27.510660990580298</v>
      </c>
      <c r="AI1533">
        <v>92.081411884576397</v>
      </c>
      <c r="AJ1533">
        <v>76.486171910040298</v>
      </c>
      <c r="AK1533">
        <v>28.312701877739801</v>
      </c>
      <c r="AL1533">
        <v>87.717196241595602</v>
      </c>
      <c r="AM1533">
        <v>86.256510829731596</v>
      </c>
      <c r="AN1533">
        <v>0.99999996279944703</v>
      </c>
    </row>
    <row r="1534" spans="1:40" x14ac:dyDescent="0.25">
      <c r="A1534" t="str">
        <f>"20190312160628602"</f>
        <v>20190312160628602</v>
      </c>
      <c r="B1534" t="str">
        <f>"1552377988596427"</f>
        <v>1552377988596427</v>
      </c>
      <c r="C1534" t="s">
        <v>40</v>
      </c>
      <c r="D1534">
        <v>6.4249769999999904</v>
      </c>
      <c r="E1534">
        <v>0.56474409999999997</v>
      </c>
      <c r="F1534" t="s">
        <v>61</v>
      </c>
      <c r="G1534">
        <v>-208.17859999999999</v>
      </c>
      <c r="H1534">
        <v>8.0000829999999995E-2</v>
      </c>
      <c r="I1534">
        <v>275.40719999999999</v>
      </c>
      <c r="J1534">
        <v>-193.60980000000001</v>
      </c>
      <c r="K1534">
        <v>1.1082970000000001</v>
      </c>
      <c r="L1534">
        <v>301.53449999999998</v>
      </c>
      <c r="M1534">
        <v>-0.27050809999999997</v>
      </c>
      <c r="N1534">
        <v>0</v>
      </c>
      <c r="O1534">
        <v>-0.96262150000000002</v>
      </c>
      <c r="P1534">
        <v>-0.3331094</v>
      </c>
      <c r="Q1534">
        <v>2.696438E-2</v>
      </c>
      <c r="R1534">
        <v>-0.94250290000000003</v>
      </c>
      <c r="S1534">
        <v>-1.4806520000000001</v>
      </c>
      <c r="T1534">
        <v>-0.1040857</v>
      </c>
      <c r="U1534">
        <v>-2.6647340000000002</v>
      </c>
      <c r="V1534">
        <v>6.588985E-2</v>
      </c>
      <c r="W1534">
        <v>4.0255939999999997E-2</v>
      </c>
      <c r="X1534">
        <v>0.99701450000000003</v>
      </c>
      <c r="Y1534">
        <v>0.2308248</v>
      </c>
      <c r="Z1534">
        <v>3.3932400000000001E-2</v>
      </c>
      <c r="AA1534">
        <v>0.97240349999999998</v>
      </c>
      <c r="AB1534">
        <v>20</v>
      </c>
      <c r="AC1534">
        <v>-14.5687999999999</v>
      </c>
      <c r="AD1534">
        <v>-1.02829617</v>
      </c>
      <c r="AE1534">
        <v>-26.127299999999899</v>
      </c>
      <c r="AF1534">
        <v>6.9490272126460297</v>
      </c>
      <c r="AG1534">
        <v>-1.02829617</v>
      </c>
      <c r="AH1534">
        <v>29.060036404616</v>
      </c>
      <c r="AI1534">
        <v>91.971054099876397</v>
      </c>
      <c r="AJ1534">
        <v>76.551593692159898</v>
      </c>
      <c r="AK1534">
        <v>29.897024735798301</v>
      </c>
      <c r="AL1534">
        <v>87.692881036185597</v>
      </c>
      <c r="AM1534">
        <v>86.218983190688903</v>
      </c>
      <c r="AN1534">
        <v>0.99999996312427697</v>
      </c>
    </row>
    <row r="1535" spans="1:40" x14ac:dyDescent="0.25">
      <c r="A1535" t="str">
        <f>"20190312160628633"</f>
        <v>20190312160628633</v>
      </c>
      <c r="B1535" t="str">
        <f>"1552377988626684"</f>
        <v>1552377988626684</v>
      </c>
      <c r="C1535" t="s">
        <v>40</v>
      </c>
      <c r="D1535">
        <v>6.2092409999999996</v>
      </c>
      <c r="E1535">
        <v>0.56501429999999997</v>
      </c>
      <c r="F1535" t="s">
        <v>45</v>
      </c>
      <c r="G1535">
        <v>-211.32830000000001</v>
      </c>
      <c r="H1535">
        <v>-0.05</v>
      </c>
      <c r="I1535">
        <v>269.88420000000002</v>
      </c>
      <c r="J1535">
        <v>-193.69390000000001</v>
      </c>
      <c r="K1535">
        <v>1.108306</v>
      </c>
      <c r="L1535">
        <v>301.25580000000002</v>
      </c>
      <c r="M1535">
        <v>-0.2749317</v>
      </c>
      <c r="N1535">
        <v>0</v>
      </c>
      <c r="O1535">
        <v>-0.96136739999999998</v>
      </c>
      <c r="P1535">
        <v>-0.33839599999999997</v>
      </c>
      <c r="Q1535">
        <v>2.7141040000000002E-2</v>
      </c>
      <c r="R1535">
        <v>-0.94061249999999996</v>
      </c>
      <c r="S1535">
        <v>-1.4888920000000001</v>
      </c>
      <c r="T1535">
        <v>-9.7331760000000003E-2</v>
      </c>
      <c r="U1535">
        <v>-2.6595759999999999</v>
      </c>
      <c r="V1535">
        <v>6.6905880000000001E-2</v>
      </c>
      <c r="W1535">
        <v>4.0426030000000002E-2</v>
      </c>
      <c r="X1535">
        <v>0.99694000000000005</v>
      </c>
      <c r="Y1535">
        <v>0.2294842</v>
      </c>
      <c r="Z1535">
        <v>3.1708269999999997E-2</v>
      </c>
      <c r="AA1535">
        <v>0.97279570000000004</v>
      </c>
      <c r="AB1535">
        <v>20</v>
      </c>
      <c r="AC1535">
        <v>-17.634399999999999</v>
      </c>
      <c r="AD1535">
        <v>-1.1583060000000001</v>
      </c>
      <c r="AE1535">
        <v>-31.371600000000001</v>
      </c>
      <c r="AF1535">
        <v>8.3202424746058306</v>
      </c>
      <c r="AG1535">
        <v>-1.1583060000000001</v>
      </c>
      <c r="AH1535">
        <v>34.974901477416601</v>
      </c>
      <c r="AI1535">
        <v>91.845378541411193</v>
      </c>
      <c r="AJ1535">
        <v>76.618533244959394</v>
      </c>
      <c r="AK1535">
        <v>35.969596063632302</v>
      </c>
      <c r="AL1535">
        <v>87.683127770769701</v>
      </c>
      <c r="AM1535">
        <v>86.1605664261199</v>
      </c>
      <c r="AN1535">
        <v>1.0000000121400601</v>
      </c>
    </row>
    <row r="1536" spans="1:40" x14ac:dyDescent="0.25">
      <c r="A1536" t="str">
        <f>"20190312160628655"</f>
        <v>20190312160628655</v>
      </c>
      <c r="B1536" t="str">
        <f>"1552377988646204"</f>
        <v>1552377988646204</v>
      </c>
      <c r="C1536" t="s">
        <v>40</v>
      </c>
      <c r="D1536">
        <v>6.2314129999999999</v>
      </c>
      <c r="E1536">
        <v>0.56484269999999903</v>
      </c>
      <c r="F1536" t="s">
        <v>45</v>
      </c>
      <c r="G1536">
        <v>-211.8877</v>
      </c>
      <c r="H1536">
        <v>-0.05</v>
      </c>
      <c r="I1536">
        <v>269.2346</v>
      </c>
      <c r="J1536">
        <v>-193.7543</v>
      </c>
      <c r="K1536">
        <v>1.108311</v>
      </c>
      <c r="L1536">
        <v>301.05889999999999</v>
      </c>
      <c r="M1536">
        <v>-0.278070599999999</v>
      </c>
      <c r="N1536">
        <v>0</v>
      </c>
      <c r="O1536">
        <v>-0.96046419999999999</v>
      </c>
      <c r="P1536">
        <v>-0.34244780000000002</v>
      </c>
      <c r="Q1536">
        <v>2.703349E-2</v>
      </c>
      <c r="R1536">
        <v>-0.93914819999999999</v>
      </c>
      <c r="S1536">
        <v>-1.5059199999999999</v>
      </c>
      <c r="T1536">
        <v>-9.5873949999999999E-2</v>
      </c>
      <c r="U1536">
        <v>-2.6504210000000001</v>
      </c>
      <c r="V1536">
        <v>6.7945729999999996E-2</v>
      </c>
      <c r="W1536">
        <v>4.031216E-2</v>
      </c>
      <c r="X1536">
        <v>0.99687429999999999</v>
      </c>
      <c r="Y1536">
        <v>0.23248060000000001</v>
      </c>
      <c r="Z1536">
        <v>3.1226549999999999E-2</v>
      </c>
      <c r="AA1536">
        <v>0.97209959999999995</v>
      </c>
      <c r="AB1536">
        <v>20</v>
      </c>
      <c r="AC1536">
        <v>-18.133399999999899</v>
      </c>
      <c r="AD1536">
        <v>-1.1583110000000001</v>
      </c>
      <c r="AE1536">
        <v>-31.824299999999901</v>
      </c>
      <c r="AF1536">
        <v>8.5593132043072693</v>
      </c>
      <c r="AG1536">
        <v>-1.1583110000000001</v>
      </c>
      <c r="AH1536">
        <v>35.576186905034099</v>
      </c>
      <c r="AI1536">
        <v>91.813110933509705</v>
      </c>
      <c r="AJ1536">
        <v>76.472249129522794</v>
      </c>
      <c r="AK1536">
        <v>36.609679069940903</v>
      </c>
      <c r="AL1536">
        <v>87.689657407936593</v>
      </c>
      <c r="AM1536">
        <v>86.100820491388703</v>
      </c>
      <c r="AN1536">
        <v>1.0000000312347901</v>
      </c>
    </row>
    <row r="1537" spans="1:40" x14ac:dyDescent="0.25">
      <c r="A1537" t="str">
        <f>"20190312160628678"</f>
        <v>20190312160628678</v>
      </c>
      <c r="B1537" t="str">
        <f>"1552377988666703"</f>
        <v>1552377988666703</v>
      </c>
      <c r="C1537" t="s">
        <v>40</v>
      </c>
      <c r="D1537">
        <v>6.2130260000000002</v>
      </c>
      <c r="E1537">
        <v>0.56455840000000002</v>
      </c>
      <c r="F1537" t="s">
        <v>45</v>
      </c>
      <c r="G1537">
        <v>-212.22730000000001</v>
      </c>
      <c r="H1537">
        <v>-0.05</v>
      </c>
      <c r="I1537">
        <v>268.83839999999998</v>
      </c>
      <c r="J1537">
        <v>-193.81450000000001</v>
      </c>
      <c r="K1537">
        <v>1.108317</v>
      </c>
      <c r="L1537">
        <v>300.8646</v>
      </c>
      <c r="M1537">
        <v>-0.28117320000000001</v>
      </c>
      <c r="N1537">
        <v>0</v>
      </c>
      <c r="O1537">
        <v>-0.95956070000000004</v>
      </c>
      <c r="P1537">
        <v>-0.34612189999999998</v>
      </c>
      <c r="Q1537">
        <v>2.7261569999999999E-2</v>
      </c>
      <c r="R1537">
        <v>-0.93779369999999995</v>
      </c>
      <c r="S1537">
        <v>-1.516052</v>
      </c>
      <c r="T1537">
        <v>-9.5060829999999999E-2</v>
      </c>
      <c r="U1537">
        <v>-2.6442869999999998</v>
      </c>
      <c r="V1537">
        <v>6.8629499999999996E-2</v>
      </c>
      <c r="W1537">
        <v>4.053561E-2</v>
      </c>
      <c r="X1537">
        <v>0.99681839999999999</v>
      </c>
      <c r="Y1537">
        <v>0.23311760000000001</v>
      </c>
      <c r="Z1537">
        <v>3.0951200000000002E-2</v>
      </c>
      <c r="AA1537">
        <v>0.97195589999999998</v>
      </c>
      <c r="AB1537">
        <v>20</v>
      </c>
      <c r="AC1537">
        <v>-18.412800000000001</v>
      </c>
      <c r="AD1537">
        <v>-1.158317</v>
      </c>
      <c r="AE1537">
        <v>-32.026200000000003</v>
      </c>
      <c r="AF1537">
        <v>8.6555814887340592</v>
      </c>
      <c r="AG1537">
        <v>-1.158317</v>
      </c>
      <c r="AH1537">
        <v>35.876317465334097</v>
      </c>
      <c r="AI1537">
        <v>91.7976879326702</v>
      </c>
      <c r="AJ1537">
        <v>76.435933139428897</v>
      </c>
      <c r="AK1537">
        <v>36.9238533207741</v>
      </c>
      <c r="AL1537">
        <v>87.676844197837099</v>
      </c>
      <c r="AM1537">
        <v>86.061483912733806</v>
      </c>
      <c r="AN1537">
        <v>1.00000003326344</v>
      </c>
    </row>
    <row r="1538" spans="1:40" x14ac:dyDescent="0.25">
      <c r="A1538" t="str">
        <f>"20190312160628699"</f>
        <v>20190312160628699</v>
      </c>
      <c r="B1538" t="str">
        <f>"1552377988695980"</f>
        <v>1552377988695980</v>
      </c>
      <c r="C1538" t="s">
        <v>40</v>
      </c>
      <c r="D1538">
        <v>6.2127189999999999</v>
      </c>
      <c r="E1538">
        <v>0.56443789999999905</v>
      </c>
      <c r="F1538" t="s">
        <v>45</v>
      </c>
      <c r="G1538">
        <v>-212.7148</v>
      </c>
      <c r="H1538">
        <v>-0.05</v>
      </c>
      <c r="I1538">
        <v>268.13310000000001</v>
      </c>
      <c r="J1538">
        <v>-193.8734</v>
      </c>
      <c r="K1538">
        <v>1.1083209999999999</v>
      </c>
      <c r="L1538">
        <v>300.67680000000001</v>
      </c>
      <c r="M1538">
        <v>-0.28417340000000002</v>
      </c>
      <c r="N1538">
        <v>0</v>
      </c>
      <c r="O1538">
        <v>-0.95867639999999998</v>
      </c>
      <c r="P1538">
        <v>-0.34851110000000002</v>
      </c>
      <c r="Q1538">
        <v>2.822185E-2</v>
      </c>
      <c r="R1538">
        <v>-0.93688009999999999</v>
      </c>
      <c r="S1538">
        <v>-1.524017</v>
      </c>
      <c r="T1538">
        <v>-9.3400120000000003E-2</v>
      </c>
      <c r="U1538">
        <v>-2.6392820000000001</v>
      </c>
      <c r="V1538">
        <v>6.806355E-2</v>
      </c>
      <c r="W1538">
        <v>4.1498489999999999E-2</v>
      </c>
      <c r="X1538">
        <v>0.99681750000000002</v>
      </c>
      <c r="Y1538">
        <v>0.23308200000000001</v>
      </c>
      <c r="Z1538">
        <v>3.039824E-2</v>
      </c>
      <c r="AA1538">
        <v>0.97198189999999995</v>
      </c>
      <c r="AB1538">
        <v>20</v>
      </c>
      <c r="AC1538">
        <v>-18.8414</v>
      </c>
      <c r="AD1538">
        <v>-1.1583209999999999</v>
      </c>
      <c r="AE1538">
        <v>-32.543700000000001</v>
      </c>
      <c r="AF1538">
        <v>8.8072108989844704</v>
      </c>
      <c r="AG1538">
        <v>-1.1583209999999999</v>
      </c>
      <c r="AH1538">
        <v>36.521831813521999</v>
      </c>
      <c r="AI1538">
        <v>91.7659858913389</v>
      </c>
      <c r="AJ1538">
        <v>76.442024184712594</v>
      </c>
      <c r="AK1538">
        <v>37.586604932787203</v>
      </c>
      <c r="AL1538">
        <v>87.621628572264299</v>
      </c>
      <c r="AM1538">
        <v>86.0938582281766</v>
      </c>
      <c r="AN1538">
        <v>0.999999949908565</v>
      </c>
    </row>
    <row r="1539" spans="1:40" x14ac:dyDescent="0.25">
      <c r="A1539" t="str">
        <f>"20190312160628722"</f>
        <v>20190312160628722</v>
      </c>
      <c r="B1539" t="str">
        <f>"1552377988716475"</f>
        <v>1552377988716475</v>
      </c>
      <c r="C1539" t="s">
        <v>40</v>
      </c>
      <c r="D1539">
        <v>6.4992760000000001</v>
      </c>
      <c r="E1539">
        <v>0.56478019999999995</v>
      </c>
      <c r="F1539" t="s">
        <v>45</v>
      </c>
      <c r="G1539">
        <v>-213.46029999999999</v>
      </c>
      <c r="H1539">
        <v>-0.05</v>
      </c>
      <c r="I1539">
        <v>266.92739999999998</v>
      </c>
      <c r="J1539">
        <v>-193.93600000000001</v>
      </c>
      <c r="K1539">
        <v>1.1083229999999999</v>
      </c>
      <c r="L1539">
        <v>300.47949999999997</v>
      </c>
      <c r="M1539">
        <v>-0.28732570000000002</v>
      </c>
      <c r="N1539">
        <v>0</v>
      </c>
      <c r="O1539">
        <v>-0.95773640000000004</v>
      </c>
      <c r="P1539">
        <v>-0.35080109999999998</v>
      </c>
      <c r="Q1539">
        <v>2.871717E-2</v>
      </c>
      <c r="R1539">
        <v>-0.93600969999999994</v>
      </c>
      <c r="S1539">
        <v>-1.5297240000000001</v>
      </c>
      <c r="T1539">
        <v>-9.0464000000000003E-2</v>
      </c>
      <c r="U1539">
        <v>-2.6358030000000001</v>
      </c>
      <c r="V1539">
        <v>6.7227380000000003E-2</v>
      </c>
      <c r="W1539">
        <v>4.1996829999999999E-2</v>
      </c>
      <c r="X1539">
        <v>0.9968534</v>
      </c>
      <c r="Y1539">
        <v>0.23202890000000001</v>
      </c>
      <c r="Z1539">
        <v>2.9423410000000001E-2</v>
      </c>
      <c r="AA1539">
        <v>0.97226380000000001</v>
      </c>
      <c r="AB1539">
        <v>20</v>
      </c>
      <c r="AC1539">
        <v>-19.5243</v>
      </c>
      <c r="AD1539">
        <v>-1.158323</v>
      </c>
      <c r="AE1539">
        <v>-33.552100000000003</v>
      </c>
      <c r="AF1539">
        <v>9.05153084004683</v>
      </c>
      <c r="AG1539">
        <v>-1.158323</v>
      </c>
      <c r="AH1539">
        <v>37.713812450550201</v>
      </c>
      <c r="AI1539">
        <v>91.710651405018297</v>
      </c>
      <c r="AJ1539">
        <v>76.503956651813297</v>
      </c>
      <c r="AK1539">
        <v>38.802107832898997</v>
      </c>
      <c r="AL1539">
        <v>87.593050944332802</v>
      </c>
      <c r="AM1539">
        <v>86.141838406009299</v>
      </c>
      <c r="AN1539">
        <v>0.99999997772163596</v>
      </c>
    </row>
    <row r="1540" spans="1:40" x14ac:dyDescent="0.25">
      <c r="A1540" t="str">
        <f>"20190312160628744"</f>
        <v>20190312160628744</v>
      </c>
      <c r="B1540" t="str">
        <f>"1552377988735995"</f>
        <v>1552377988735995</v>
      </c>
      <c r="C1540" t="s">
        <v>40</v>
      </c>
      <c r="D1540">
        <v>6.2675850000000004</v>
      </c>
      <c r="E1540">
        <v>0.56459619999999999</v>
      </c>
      <c r="F1540" t="s">
        <v>45</v>
      </c>
      <c r="G1540">
        <v>-213.49539999999999</v>
      </c>
      <c r="H1540">
        <v>-0.05</v>
      </c>
      <c r="I1540">
        <v>267.04070000000002</v>
      </c>
      <c r="J1540">
        <v>-193.9992</v>
      </c>
      <c r="K1540">
        <v>1.1083229999999999</v>
      </c>
      <c r="L1540">
        <v>300.2824</v>
      </c>
      <c r="M1540">
        <v>-0.29048030000000002</v>
      </c>
      <c r="N1540">
        <v>0</v>
      </c>
      <c r="O1540">
        <v>-0.95678410000000003</v>
      </c>
      <c r="P1540">
        <v>-0.35268379999999999</v>
      </c>
      <c r="Q1540">
        <v>2.8376829999999999E-2</v>
      </c>
      <c r="R1540">
        <v>-0.93531229999999999</v>
      </c>
      <c r="S1540">
        <v>-1.5390170000000001</v>
      </c>
      <c r="T1540">
        <v>-9.1141700000000006E-2</v>
      </c>
      <c r="U1540">
        <v>-2.6311040000000001</v>
      </c>
      <c r="V1540">
        <v>6.594245E-2</v>
      </c>
      <c r="W1540">
        <v>4.1662379999999999E-2</v>
      </c>
      <c r="X1540">
        <v>0.99695319999999998</v>
      </c>
      <c r="Y1540">
        <v>0.23213629999999999</v>
      </c>
      <c r="Z1540">
        <v>2.9620779999999999E-2</v>
      </c>
      <c r="AA1540">
        <v>0.97223219999999999</v>
      </c>
      <c r="AB1540">
        <v>20</v>
      </c>
      <c r="AC1540">
        <v>-19.496199999999899</v>
      </c>
      <c r="AD1540">
        <v>-1.158323</v>
      </c>
      <c r="AE1540">
        <v>-33.241699999999902</v>
      </c>
      <c r="AF1540">
        <v>8.9903070745102305</v>
      </c>
      <c r="AG1540">
        <v>-1.158323</v>
      </c>
      <c r="AH1540">
        <v>37.438042413981997</v>
      </c>
      <c r="AI1540">
        <v>91.723192739960496</v>
      </c>
      <c r="AJ1540">
        <v>76.496775650200405</v>
      </c>
      <c r="AK1540">
        <v>38.519791708385902</v>
      </c>
      <c r="AL1540">
        <v>87.612230171276295</v>
      </c>
      <c r="AM1540">
        <v>86.215741569570696</v>
      </c>
      <c r="AN1540">
        <v>0.99999992180474995</v>
      </c>
    </row>
    <row r="1541" spans="1:40" x14ac:dyDescent="0.25">
      <c r="A1541" t="str">
        <f>"20190312160628767"</f>
        <v>20190312160628767</v>
      </c>
      <c r="B1541" t="str">
        <f>"1552377988756491"</f>
        <v>1552377988756491</v>
      </c>
      <c r="C1541" t="s">
        <v>40</v>
      </c>
      <c r="D1541">
        <v>6.2559760000000004</v>
      </c>
      <c r="E1541">
        <v>0.56437130000000002</v>
      </c>
      <c r="F1541" t="s">
        <v>45</v>
      </c>
      <c r="G1541">
        <v>-213.52549999999999</v>
      </c>
      <c r="H1541">
        <v>-0.05</v>
      </c>
      <c r="I1541">
        <v>267.02</v>
      </c>
      <c r="J1541">
        <v>-194.06180000000001</v>
      </c>
      <c r="K1541">
        <v>1.1083229999999999</v>
      </c>
      <c r="L1541">
        <v>300.08940000000001</v>
      </c>
      <c r="M1541">
        <v>-0.29357870000000003</v>
      </c>
      <c r="N1541">
        <v>0</v>
      </c>
      <c r="O1541">
        <v>-0.95583799999999997</v>
      </c>
      <c r="P1541">
        <v>-0.35494179999999997</v>
      </c>
      <c r="Q1541">
        <v>2.7765249999999998E-2</v>
      </c>
      <c r="R1541">
        <v>-0.93447610000000003</v>
      </c>
      <c r="S1541">
        <v>-1.542999</v>
      </c>
      <c r="T1541">
        <v>-9.1532470000000005E-2</v>
      </c>
      <c r="U1541">
        <v>-2.6284480000000001</v>
      </c>
      <c r="V1541">
        <v>6.5111699999999995E-2</v>
      </c>
      <c r="W1541">
        <v>4.1053979999999997E-2</v>
      </c>
      <c r="X1541">
        <v>0.99703310000000001</v>
      </c>
      <c r="Y1541">
        <v>0.23050699999999999</v>
      </c>
      <c r="Z1541">
        <v>2.9725439999999999E-2</v>
      </c>
      <c r="AA1541">
        <v>0.97261660000000005</v>
      </c>
      <c r="AB1541">
        <v>20</v>
      </c>
      <c r="AC1541">
        <v>-19.4636999999999</v>
      </c>
      <c r="AD1541">
        <v>-1.158323</v>
      </c>
      <c r="AE1541">
        <v>-33.069400000000002</v>
      </c>
      <c r="AF1541">
        <v>8.8883973971205492</v>
      </c>
      <c r="AG1541">
        <v>-1.158323</v>
      </c>
      <c r="AH1541">
        <v>37.292592626217697</v>
      </c>
      <c r="AI1541">
        <v>91.730612334265103</v>
      </c>
      <c r="AJ1541">
        <v>76.594113935681193</v>
      </c>
      <c r="AK1541">
        <v>38.354697042819801</v>
      </c>
      <c r="AL1541">
        <v>87.647118921217796</v>
      </c>
      <c r="AM1541">
        <v>86.263578735479101</v>
      </c>
      <c r="AN1541">
        <v>0.99999998262317003</v>
      </c>
    </row>
    <row r="1542" spans="1:40" x14ac:dyDescent="0.25">
      <c r="A1542" t="str">
        <f>"20190312160628790"</f>
        <v>20190312160628790</v>
      </c>
      <c r="B1542" t="str">
        <f>"1552377988776011"</f>
        <v>1552377988776011</v>
      </c>
      <c r="C1542" t="s">
        <v>40</v>
      </c>
      <c r="D1542">
        <v>6.2565520000000001</v>
      </c>
      <c r="E1542">
        <v>0.56439189999999995</v>
      </c>
      <c r="F1542" t="s">
        <v>45</v>
      </c>
      <c r="G1542">
        <v>-213.47489999999999</v>
      </c>
      <c r="H1542">
        <v>-0.05</v>
      </c>
      <c r="I1542">
        <v>267.15609999999998</v>
      </c>
      <c r="J1542">
        <v>-194.1266</v>
      </c>
      <c r="K1542">
        <v>1.1083209999999999</v>
      </c>
      <c r="L1542">
        <v>299.89170000000001</v>
      </c>
      <c r="M1542">
        <v>-0.29676780000000003</v>
      </c>
      <c r="N1542">
        <v>0</v>
      </c>
      <c r="O1542">
        <v>-0.9548529</v>
      </c>
      <c r="P1542">
        <v>-0.35741420000000002</v>
      </c>
      <c r="Q1542">
        <v>2.798434E-2</v>
      </c>
      <c r="R1542">
        <v>-0.93352690000000005</v>
      </c>
      <c r="S1542">
        <v>-1.5475159999999999</v>
      </c>
      <c r="T1542">
        <v>-9.2335700000000007E-2</v>
      </c>
      <c r="U1542">
        <v>-2.6252749999999998</v>
      </c>
      <c r="V1542">
        <v>6.442552E-2</v>
      </c>
      <c r="W1542">
        <v>4.1274089999999999E-2</v>
      </c>
      <c r="X1542">
        <v>0.99706859999999997</v>
      </c>
      <c r="Y1542">
        <v>0.22901070000000001</v>
      </c>
      <c r="Z1542">
        <v>2.9964899999999999E-2</v>
      </c>
      <c r="AA1542">
        <v>0.97296260000000001</v>
      </c>
      <c r="AB1542">
        <v>20</v>
      </c>
      <c r="AC1542">
        <v>-19.348299999999899</v>
      </c>
      <c r="AD1542">
        <v>-1.1583209999999999</v>
      </c>
      <c r="AE1542">
        <v>-32.735599999999998</v>
      </c>
      <c r="AF1542">
        <v>8.7525965019844101</v>
      </c>
      <c r="AG1542">
        <v>-1.1583209999999999</v>
      </c>
      <c r="AH1542">
        <v>36.968751532921097</v>
      </c>
      <c r="AI1542">
        <v>91.746382041545104</v>
      </c>
      <c r="AJ1542">
        <v>76.680106848447593</v>
      </c>
      <c r="AK1542">
        <v>38.008397006035999</v>
      </c>
      <c r="AL1542">
        <v>87.634496879259004</v>
      </c>
      <c r="AM1542">
        <v>86.302976509442104</v>
      </c>
      <c r="AN1542">
        <v>0.99999999561927899</v>
      </c>
    </row>
    <row r="1543" spans="1:40" x14ac:dyDescent="0.25">
      <c r="A1543" t="str">
        <f>"20190312160628814"</f>
        <v>20190312160628814</v>
      </c>
      <c r="B1543" t="str">
        <f>"1552377988806268"</f>
        <v>1552377988806268</v>
      </c>
      <c r="C1543" t="s">
        <v>40</v>
      </c>
      <c r="D1543">
        <v>6.4028019999999897</v>
      </c>
      <c r="E1543">
        <v>0.56426449999999995</v>
      </c>
      <c r="F1543" t="s">
        <v>45</v>
      </c>
      <c r="G1543">
        <v>-214.1063</v>
      </c>
      <c r="H1543">
        <v>-0.05</v>
      </c>
      <c r="I1543">
        <v>266.20979999999997</v>
      </c>
      <c r="J1543">
        <v>-194.19300000000001</v>
      </c>
      <c r="K1543">
        <v>1.1083149999999999</v>
      </c>
      <c r="L1543">
        <v>299.69159999999999</v>
      </c>
      <c r="M1543">
        <v>-0.300016</v>
      </c>
      <c r="N1543">
        <v>0</v>
      </c>
      <c r="O1543">
        <v>-0.9538373</v>
      </c>
      <c r="P1543">
        <v>-0.36077140000000002</v>
      </c>
      <c r="Q1543">
        <v>2.82157E-2</v>
      </c>
      <c r="R1543">
        <v>-0.93222769999999999</v>
      </c>
      <c r="S1543">
        <v>-1.554764</v>
      </c>
      <c r="T1543">
        <v>-9.0137480000000006E-2</v>
      </c>
      <c r="U1543">
        <v>-2.6210330000000002</v>
      </c>
      <c r="V1543">
        <v>6.4624089999999995E-2</v>
      </c>
      <c r="W1543">
        <v>4.1501820000000002E-2</v>
      </c>
      <c r="X1543">
        <v>0.99704630000000005</v>
      </c>
      <c r="Y1543">
        <v>0.22839019999999999</v>
      </c>
      <c r="Z1543">
        <v>2.9230030000000001E-2</v>
      </c>
      <c r="AA1543">
        <v>0.97313079999999996</v>
      </c>
      <c r="AB1543">
        <v>20</v>
      </c>
      <c r="AC1543">
        <v>-19.9133</v>
      </c>
      <c r="AD1543">
        <v>-1.158315</v>
      </c>
      <c r="AE1543">
        <v>-33.4818</v>
      </c>
      <c r="AF1543">
        <v>8.9418940336745898</v>
      </c>
      <c r="AG1543">
        <v>-1.158315</v>
      </c>
      <c r="AH1543">
        <v>37.880511432019098</v>
      </c>
      <c r="AI1543">
        <v>91.704631503910093</v>
      </c>
      <c r="AJ1543">
        <v>76.718164525158201</v>
      </c>
      <c r="AK1543">
        <v>38.938827780250598</v>
      </c>
      <c r="AL1543">
        <v>87.621437730125194</v>
      </c>
      <c r="AM1543">
        <v>86.291530714969298</v>
      </c>
      <c r="AN1543">
        <v>0.99999999920766502</v>
      </c>
    </row>
    <row r="1544" spans="1:40" x14ac:dyDescent="0.25">
      <c r="A1544" t="str">
        <f>"20190312160628835"</f>
        <v>20190312160628835</v>
      </c>
      <c r="B1544" t="str">
        <f>"1552377988826764"</f>
        <v>1552377988826764</v>
      </c>
      <c r="C1544" t="s">
        <v>40</v>
      </c>
      <c r="D1544">
        <v>6.2374099999999997</v>
      </c>
      <c r="E1544">
        <v>0.56431069999999905</v>
      </c>
      <c r="F1544" t="s">
        <v>45</v>
      </c>
      <c r="G1544">
        <v>-214.51570000000001</v>
      </c>
      <c r="H1544">
        <v>-0.05</v>
      </c>
      <c r="I1544">
        <v>265.67939999999999</v>
      </c>
      <c r="J1544">
        <v>-194.25470000000001</v>
      </c>
      <c r="K1544">
        <v>1.108304</v>
      </c>
      <c r="L1544">
        <v>299.50779999999997</v>
      </c>
      <c r="M1544">
        <v>-0.30303079999999999</v>
      </c>
      <c r="N1544">
        <v>0</v>
      </c>
      <c r="O1544">
        <v>-0.95288349999999999</v>
      </c>
      <c r="P1544">
        <v>-0.36458699999999999</v>
      </c>
      <c r="Q1544">
        <v>2.8727780000000001E-2</v>
      </c>
      <c r="R1544">
        <v>-0.9307261</v>
      </c>
      <c r="S1544">
        <v>-1.5630489999999999</v>
      </c>
      <c r="T1544">
        <v>-8.9087959999999994E-2</v>
      </c>
      <c r="U1544">
        <v>-2.615936</v>
      </c>
      <c r="V1544">
        <v>6.5563949999999996E-2</v>
      </c>
      <c r="W1544">
        <v>4.2005880000000002E-2</v>
      </c>
      <c r="X1544">
        <v>0.99696379999999996</v>
      </c>
      <c r="Y1544">
        <v>0.22842290000000001</v>
      </c>
      <c r="Z1544">
        <v>2.887379E-2</v>
      </c>
      <c r="AA1544">
        <v>0.97313369999999999</v>
      </c>
      <c r="AB1544">
        <v>20</v>
      </c>
      <c r="AC1544">
        <v>-20.260999999999999</v>
      </c>
      <c r="AD1544">
        <v>-1.158304</v>
      </c>
      <c r="AE1544">
        <v>-33.828399999999903</v>
      </c>
      <c r="AF1544">
        <v>9.0483572229662492</v>
      </c>
      <c r="AG1544">
        <v>-1.158304</v>
      </c>
      <c r="AH1544">
        <v>38.344701484361998</v>
      </c>
      <c r="AI1544">
        <v>91.684022221752798</v>
      </c>
      <c r="AJ1544">
        <v>76.722568243299605</v>
      </c>
      <c r="AK1544">
        <v>39.414852131089603</v>
      </c>
      <c r="AL1544">
        <v>87.592531945763199</v>
      </c>
      <c r="AM1544">
        <v>86.237439974730293</v>
      </c>
      <c r="AN1544">
        <v>0.99999997200230795</v>
      </c>
    </row>
    <row r="1545" spans="1:40" x14ac:dyDescent="0.25">
      <c r="A1545" t="str">
        <f>"20190312160628857"</f>
        <v>20190312160628857</v>
      </c>
      <c r="B1545" t="str">
        <f>"1552377988846287"</f>
        <v>1552377988846287</v>
      </c>
      <c r="C1545" t="s">
        <v>40</v>
      </c>
      <c r="D1545">
        <v>6.4394099999999996</v>
      </c>
      <c r="E1545">
        <v>0.56426909999999997</v>
      </c>
      <c r="F1545" t="s">
        <v>45</v>
      </c>
      <c r="G1545">
        <v>-215.41460000000001</v>
      </c>
      <c r="H1545">
        <v>-0.05</v>
      </c>
      <c r="I1545">
        <v>264.43439999999998</v>
      </c>
      <c r="J1545">
        <v>-194.31960000000001</v>
      </c>
      <c r="K1545">
        <v>1.1082879999999999</v>
      </c>
      <c r="L1545">
        <v>299.31670000000003</v>
      </c>
      <c r="M1545">
        <v>-0.306201</v>
      </c>
      <c r="N1545">
        <v>0</v>
      </c>
      <c r="O1545">
        <v>-0.95186970000000004</v>
      </c>
      <c r="P1545">
        <v>-0.36860229999999999</v>
      </c>
      <c r="Q1545">
        <v>2.880458E-2</v>
      </c>
      <c r="R1545">
        <v>-0.92914090000000005</v>
      </c>
      <c r="S1545">
        <v>-1.5741879999999999</v>
      </c>
      <c r="T1545">
        <v>-8.6171869999999998E-2</v>
      </c>
      <c r="U1545">
        <v>-2.609283</v>
      </c>
      <c r="V1545">
        <v>6.6553379999999995E-2</v>
      </c>
      <c r="W1545">
        <v>4.2073529999999998E-2</v>
      </c>
      <c r="X1545">
        <v>0.99689539999999999</v>
      </c>
      <c r="Y1545">
        <v>0.22933990000000001</v>
      </c>
      <c r="Z1545">
        <v>2.7914959999999999E-2</v>
      </c>
      <c r="AA1545">
        <v>0.97294599999999998</v>
      </c>
      <c r="AB1545">
        <v>20</v>
      </c>
      <c r="AC1545">
        <v>-21.094999999999999</v>
      </c>
      <c r="AD1545">
        <v>-1.158288</v>
      </c>
      <c r="AE1545">
        <v>-34.882300000000001</v>
      </c>
      <c r="AF1545">
        <v>9.3919831757815206</v>
      </c>
      <c r="AG1545">
        <v>-1.158288</v>
      </c>
      <c r="AH1545">
        <v>39.6343855021385</v>
      </c>
      <c r="AI1545">
        <v>91.628870986181298</v>
      </c>
      <c r="AJ1545">
        <v>76.668772807076706</v>
      </c>
      <c r="AK1545">
        <v>40.748441604523201</v>
      </c>
      <c r="AL1545">
        <v>87.588652491279007</v>
      </c>
      <c r="AM1545">
        <v>86.180564457157701</v>
      </c>
      <c r="AN1545">
        <v>0.99999998642862198</v>
      </c>
    </row>
    <row r="1546" spans="1:40" x14ac:dyDescent="0.25">
      <c r="A1546" t="str">
        <f>"20190312160628879"</f>
        <v>20190312160628879</v>
      </c>
      <c r="B1546" t="str">
        <f>"1552377988866781"</f>
        <v>1552377988866781</v>
      </c>
      <c r="C1546" t="s">
        <v>40</v>
      </c>
      <c r="D1546">
        <v>6.1965899999999996</v>
      </c>
      <c r="E1546">
        <v>0.56405000000000005</v>
      </c>
      <c r="F1546" t="s">
        <v>45</v>
      </c>
      <c r="G1546">
        <v>-216.12200000000001</v>
      </c>
      <c r="H1546">
        <v>-0.05</v>
      </c>
      <c r="I1546">
        <v>263.52199999999999</v>
      </c>
      <c r="J1546">
        <v>-194.38399999999999</v>
      </c>
      <c r="K1546">
        <v>1.1082799999999999</v>
      </c>
      <c r="L1546">
        <v>299.12950000000001</v>
      </c>
      <c r="M1546">
        <v>-0.30934159999999999</v>
      </c>
      <c r="N1546">
        <v>0</v>
      </c>
      <c r="O1546">
        <v>-0.95085359999999997</v>
      </c>
      <c r="P1546">
        <v>-0.3725888</v>
      </c>
      <c r="Q1546">
        <v>2.8930730000000002E-2</v>
      </c>
      <c r="R1546">
        <v>-0.92754530000000002</v>
      </c>
      <c r="S1546">
        <v>-1.585175</v>
      </c>
      <c r="T1546">
        <v>-8.4215159999999997E-2</v>
      </c>
      <c r="U1546">
        <v>-2.602509</v>
      </c>
      <c r="V1546">
        <v>6.7547430000000006E-2</v>
      </c>
      <c r="W1546">
        <v>4.2190730000000003E-2</v>
      </c>
      <c r="X1546">
        <v>0.99682360000000003</v>
      </c>
      <c r="Y1546">
        <v>0.2302572</v>
      </c>
      <c r="Z1546">
        <v>2.7268540000000001E-2</v>
      </c>
      <c r="AA1546">
        <v>0.97274769999999999</v>
      </c>
      <c r="AB1546">
        <v>20</v>
      </c>
      <c r="AC1546">
        <v>-21.738</v>
      </c>
      <c r="AD1546">
        <v>-1.15828</v>
      </c>
      <c r="AE1546">
        <v>-35.607500000000002</v>
      </c>
      <c r="AF1546">
        <v>9.6482313888152795</v>
      </c>
      <c r="AG1546">
        <v>-1.15828</v>
      </c>
      <c r="AH1546">
        <v>40.554484407497299</v>
      </c>
      <c r="AI1546">
        <v>91.591586486497903</v>
      </c>
      <c r="AJ1546">
        <v>76.617661628514597</v>
      </c>
      <c r="AK1546">
        <v>41.702472193485796</v>
      </c>
      <c r="AL1546">
        <v>87.581931493744904</v>
      </c>
      <c r="AM1546">
        <v>86.123411155742403</v>
      </c>
      <c r="AN1546">
        <v>1.0000000012572401</v>
      </c>
    </row>
    <row r="1547" spans="1:40" x14ac:dyDescent="0.25">
      <c r="A1547" t="str">
        <f>"20190312160628901"</f>
        <v>20190312160628901</v>
      </c>
      <c r="B1547" t="str">
        <f>"1552377988896060"</f>
        <v>1552377988896060</v>
      </c>
      <c r="C1547" t="s">
        <v>40</v>
      </c>
      <c r="D1547">
        <v>6.1694370000000003</v>
      </c>
      <c r="E1547">
        <v>0.56372670000000002</v>
      </c>
      <c r="F1547" t="s">
        <v>45</v>
      </c>
      <c r="G1547">
        <v>-216.7132</v>
      </c>
      <c r="H1547">
        <v>-0.05</v>
      </c>
      <c r="I1547">
        <v>262.779</v>
      </c>
      <c r="J1547">
        <v>-194.45009999999999</v>
      </c>
      <c r="K1547">
        <v>1.108266</v>
      </c>
      <c r="L1547">
        <v>298.93939999999998</v>
      </c>
      <c r="M1547">
        <v>-0.31256919999999999</v>
      </c>
      <c r="N1547">
        <v>0</v>
      </c>
      <c r="O1547">
        <v>-0.94979769999999997</v>
      </c>
      <c r="P1547">
        <v>-0.37611060000000002</v>
      </c>
      <c r="Q1547">
        <v>2.931245E-2</v>
      </c>
      <c r="R1547">
        <v>-0.92611120000000002</v>
      </c>
      <c r="S1547">
        <v>-1.5948329999999999</v>
      </c>
      <c r="T1547">
        <v>-8.2728510000000005E-2</v>
      </c>
      <c r="U1547">
        <v>-2.5962830000000001</v>
      </c>
      <c r="V1547">
        <v>6.7956829999999996E-2</v>
      </c>
      <c r="W1547">
        <v>4.2568040000000001E-2</v>
      </c>
      <c r="X1547">
        <v>0.99677969999999905</v>
      </c>
      <c r="Y1547">
        <v>0.2306269</v>
      </c>
      <c r="Z1547">
        <v>2.6773089999999999E-2</v>
      </c>
      <c r="AA1547">
        <v>0.97267389999999998</v>
      </c>
      <c r="AB1547">
        <v>20</v>
      </c>
      <c r="AC1547">
        <v>-22.263100000000001</v>
      </c>
      <c r="AD1547">
        <v>-1.158266</v>
      </c>
      <c r="AE1547">
        <v>-36.160399999999903</v>
      </c>
      <c r="AF1547">
        <v>9.8364053966539302</v>
      </c>
      <c r="AG1547">
        <v>-1.158266</v>
      </c>
      <c r="AH1547">
        <v>41.276931932901903</v>
      </c>
      <c r="AI1547">
        <v>91.563585832310096</v>
      </c>
      <c r="AJ1547">
        <v>76.596252374150893</v>
      </c>
      <c r="AK1547">
        <v>42.448575489025501</v>
      </c>
      <c r="AL1547">
        <v>87.560293706149196</v>
      </c>
      <c r="AM1547">
        <v>86.099816492561402</v>
      </c>
      <c r="AN1547">
        <v>0.99999996955258896</v>
      </c>
    </row>
    <row r="1548" spans="1:40" x14ac:dyDescent="0.25">
      <c r="A1548" t="str">
        <f>"20190312160628924"</f>
        <v>20190312160628924</v>
      </c>
      <c r="B1548" t="str">
        <f>"1552377988916556"</f>
        <v>1552377988916556</v>
      </c>
      <c r="C1548" t="s">
        <v>40</v>
      </c>
      <c r="D1548">
        <v>6.3846610000000004</v>
      </c>
      <c r="E1548">
        <v>0.56362619999999997</v>
      </c>
      <c r="F1548" t="s">
        <v>45</v>
      </c>
      <c r="G1548">
        <v>-217.64519999999999</v>
      </c>
      <c r="H1548">
        <v>-0.05</v>
      </c>
      <c r="I1548">
        <v>261.42619999999999</v>
      </c>
      <c r="J1548">
        <v>-194.518</v>
      </c>
      <c r="K1548">
        <v>1.108223</v>
      </c>
      <c r="L1548">
        <v>298.74619999999999</v>
      </c>
      <c r="M1548">
        <v>-0.31591649999999999</v>
      </c>
      <c r="N1548">
        <v>0</v>
      </c>
      <c r="O1548">
        <v>-0.94869150000000002</v>
      </c>
      <c r="P1548">
        <v>-0.37947360000000002</v>
      </c>
      <c r="Q1548">
        <v>2.9875760000000001E-2</v>
      </c>
      <c r="R1548">
        <v>-0.92472019999999999</v>
      </c>
      <c r="S1548">
        <v>-1.602203</v>
      </c>
      <c r="T1548">
        <v>-8.0007200000000001E-2</v>
      </c>
      <c r="U1548">
        <v>-2.5912169999999999</v>
      </c>
      <c r="V1548">
        <v>6.8073460000000002E-2</v>
      </c>
      <c r="W1548">
        <v>4.2984420000000002E-2</v>
      </c>
      <c r="X1548">
        <v>0.99675389999999997</v>
      </c>
      <c r="Y1548">
        <v>0.23006070000000001</v>
      </c>
      <c r="Z1548">
        <v>2.5875510000000001E-2</v>
      </c>
      <c r="AA1548">
        <v>0.97283220000000004</v>
      </c>
      <c r="AB1548">
        <v>20</v>
      </c>
      <c r="AC1548">
        <v>-23.127199999999899</v>
      </c>
      <c r="AD1548">
        <v>-1.158223</v>
      </c>
      <c r="AE1548">
        <v>-37.319999999999901</v>
      </c>
      <c r="AF1548">
        <v>10.144434395624</v>
      </c>
      <c r="AG1548">
        <v>-1.158223</v>
      </c>
      <c r="AH1548">
        <v>42.685595552486603</v>
      </c>
      <c r="AI1548">
        <v>91.512174895854798</v>
      </c>
      <c r="AJ1548">
        <v>76.631388931587196</v>
      </c>
      <c r="AK1548">
        <v>43.889760735225202</v>
      </c>
      <c r="AL1548">
        <v>87.536415098927506</v>
      </c>
      <c r="AM1548">
        <v>86.0930427540859</v>
      </c>
      <c r="AN1548">
        <v>0.999999996742159</v>
      </c>
    </row>
    <row r="1549" spans="1:40" x14ac:dyDescent="0.25">
      <c r="A1549" t="str">
        <f>"20190312160628945"</f>
        <v>20190312160628945</v>
      </c>
      <c r="B1549" t="str">
        <f>"1552377988936080"</f>
        <v>1552377988936080</v>
      </c>
      <c r="C1549" t="s">
        <v>40</v>
      </c>
      <c r="D1549">
        <v>6.2385849999999996</v>
      </c>
      <c r="E1549">
        <v>0.56370819999999999</v>
      </c>
      <c r="F1549" t="s">
        <v>45</v>
      </c>
      <c r="G1549">
        <v>-218.4829</v>
      </c>
      <c r="H1549">
        <v>-0.05</v>
      </c>
      <c r="I1549">
        <v>260.28410000000002</v>
      </c>
      <c r="J1549">
        <v>-194.58349999999999</v>
      </c>
      <c r="K1549">
        <v>1.1081190000000001</v>
      </c>
      <c r="L1549">
        <v>298.56200000000001</v>
      </c>
      <c r="M1549">
        <v>-0.31917319999999999</v>
      </c>
      <c r="N1549">
        <v>0</v>
      </c>
      <c r="O1549">
        <v>-0.9476057</v>
      </c>
      <c r="P1549">
        <v>-0.38272289999999998</v>
      </c>
      <c r="Q1549">
        <v>3.0233599999999999E-2</v>
      </c>
      <c r="R1549">
        <v>-0.92336839999999998</v>
      </c>
      <c r="S1549">
        <v>-1.6110690000000001</v>
      </c>
      <c r="T1549">
        <v>-7.7862979999999998E-2</v>
      </c>
      <c r="U1549">
        <v>-2.5856629999999998</v>
      </c>
      <c r="V1549">
        <v>6.8162249999999994E-2</v>
      </c>
      <c r="W1549">
        <v>4.2996319999999998E-2</v>
      </c>
      <c r="X1549">
        <v>0.9967473</v>
      </c>
      <c r="Y1549">
        <v>0.2300702</v>
      </c>
      <c r="Z1549">
        <v>2.5164720000000002E-2</v>
      </c>
      <c r="AA1549">
        <v>0.97284870000000001</v>
      </c>
      <c r="AB1549">
        <v>20</v>
      </c>
      <c r="AC1549">
        <v>-23.8994</v>
      </c>
      <c r="AD1549">
        <v>-1.1581189999999999</v>
      </c>
      <c r="AE1549">
        <v>-38.277899999999903</v>
      </c>
      <c r="AF1549">
        <v>10.423958801033599</v>
      </c>
      <c r="AG1549">
        <v>-1.1581189999999999</v>
      </c>
      <c r="AH1549">
        <v>43.875280059536699</v>
      </c>
      <c r="AI1549">
        <v>91.471082478520003</v>
      </c>
      <c r="AJ1549">
        <v>76.635356476775698</v>
      </c>
      <c r="AK1549">
        <v>45.111421580422203</v>
      </c>
      <c r="AL1549">
        <v>87.535732601896399</v>
      </c>
      <c r="AM1549">
        <v>86.087936796734397</v>
      </c>
      <c r="AN1549">
        <v>0.99999997795794704</v>
      </c>
    </row>
    <row r="1550" spans="1:40" x14ac:dyDescent="0.25">
      <c r="A1550" t="str">
        <f>"20190312160628968"</f>
        <v>20190312160628968</v>
      </c>
      <c r="B1550" t="str">
        <f>"1552377988956575"</f>
        <v>1552377988956575</v>
      </c>
      <c r="C1550" t="s">
        <v>40</v>
      </c>
      <c r="D1550">
        <v>6.2180819999999999</v>
      </c>
      <c r="E1550">
        <v>0.56359599999999999</v>
      </c>
      <c r="F1550" t="s">
        <v>45</v>
      </c>
      <c r="G1550">
        <v>-219.1712</v>
      </c>
      <c r="H1550">
        <v>-0.05</v>
      </c>
      <c r="I1550">
        <v>259.42700000000002</v>
      </c>
      <c r="J1550">
        <v>-194.6532</v>
      </c>
      <c r="K1550">
        <v>1.1080589999999999</v>
      </c>
      <c r="L1550">
        <v>298.36849999999998</v>
      </c>
      <c r="M1550">
        <v>-0.32261679999999998</v>
      </c>
      <c r="N1550">
        <v>0</v>
      </c>
      <c r="O1550">
        <v>-0.94644229999999996</v>
      </c>
      <c r="P1550">
        <v>-0.38619969999999998</v>
      </c>
      <c r="Q1550">
        <v>3.0419370000000001E-2</v>
      </c>
      <c r="R1550">
        <v>-0.92191369999999895</v>
      </c>
      <c r="S1550">
        <v>-1.620743</v>
      </c>
      <c r="T1550">
        <v>-7.6339480000000001E-2</v>
      </c>
      <c r="U1550">
        <v>-2.5796510000000001</v>
      </c>
      <c r="V1550">
        <v>6.8298559999999994E-2</v>
      </c>
      <c r="W1550">
        <v>4.292439E-2</v>
      </c>
      <c r="X1550">
        <v>0.99674110000000005</v>
      </c>
      <c r="Y1550">
        <v>0.23017670000000001</v>
      </c>
      <c r="Z1550">
        <v>2.4653640000000001E-2</v>
      </c>
      <c r="AA1550">
        <v>0.97283649999999999</v>
      </c>
      <c r="AB1550">
        <v>20</v>
      </c>
      <c r="AC1550">
        <v>-24.518000000000001</v>
      </c>
      <c r="AD1550">
        <v>-1.1580589999999999</v>
      </c>
      <c r="AE1550">
        <v>-38.941499999999898</v>
      </c>
      <c r="AF1550">
        <v>10.635834344177599</v>
      </c>
      <c r="AG1550">
        <v>-1.1580589999999999</v>
      </c>
      <c r="AH1550">
        <v>44.741168051861401</v>
      </c>
      <c r="AI1550">
        <v>91.442505029045407</v>
      </c>
      <c r="AJ1550">
        <v>76.627893902685102</v>
      </c>
      <c r="AK1550">
        <v>46.002545489235402</v>
      </c>
      <c r="AL1550">
        <v>87.5398577709515</v>
      </c>
      <c r="AM1550">
        <v>86.080113560395006</v>
      </c>
      <c r="AN1550">
        <v>1.0000000084920699</v>
      </c>
    </row>
    <row r="1551" spans="1:40" x14ac:dyDescent="0.25">
      <c r="A1551" t="str">
        <f>"20190312160628993"</f>
        <v>20190312160628993</v>
      </c>
      <c r="B1551" t="str">
        <f>"1552377988986828"</f>
        <v>1552377988986828</v>
      </c>
      <c r="C1551" t="s">
        <v>40</v>
      </c>
      <c r="D1551">
        <v>6.1984839999999997</v>
      </c>
      <c r="E1551">
        <v>0.56345900000000004</v>
      </c>
      <c r="F1551" t="s">
        <v>45</v>
      </c>
      <c r="G1551">
        <v>-219.37729999999999</v>
      </c>
      <c r="H1551">
        <v>-0.05</v>
      </c>
      <c r="I1551">
        <v>259.31330000000003</v>
      </c>
      <c r="J1551">
        <v>-194.7311</v>
      </c>
      <c r="K1551">
        <v>1.1080680000000001</v>
      </c>
      <c r="L1551">
        <v>298.15480000000002</v>
      </c>
      <c r="M1551">
        <v>-0.32647569999999998</v>
      </c>
      <c r="N1551">
        <v>0</v>
      </c>
      <c r="O1551">
        <v>-0.94511889999999998</v>
      </c>
      <c r="P1551">
        <v>-0.38996049999999999</v>
      </c>
      <c r="Q1551">
        <v>3.0186359999999999E-2</v>
      </c>
      <c r="R1551">
        <v>-0.92033679999999995</v>
      </c>
      <c r="S1551">
        <v>-1.629486</v>
      </c>
      <c r="T1551">
        <v>-7.6324110000000001E-2</v>
      </c>
      <c r="U1551">
        <v>-2.5740050000000001</v>
      </c>
      <c r="V1551">
        <v>6.8298699999999907E-2</v>
      </c>
      <c r="W1551">
        <v>4.2638559999999999E-2</v>
      </c>
      <c r="X1551">
        <v>0.99675329999999995</v>
      </c>
      <c r="Y1551">
        <v>0.22953009999999999</v>
      </c>
      <c r="Z1551">
        <v>2.4624940000000001E-2</v>
      </c>
      <c r="AA1551">
        <v>0.97299000000000002</v>
      </c>
      <c r="AB1551">
        <v>20</v>
      </c>
      <c r="AC1551">
        <v>-24.6462</v>
      </c>
      <c r="AD1551">
        <v>-1.1580680000000001</v>
      </c>
      <c r="AE1551">
        <v>-38.841500000000003</v>
      </c>
      <c r="AF1551">
        <v>10.6069308943722</v>
      </c>
      <c r="AG1551">
        <v>-1.1580680000000001</v>
      </c>
      <c r="AH1551">
        <v>44.731539415117503</v>
      </c>
      <c r="AI1551">
        <v>91.443019482932897</v>
      </c>
      <c r="AJ1551">
        <v>76.660164873951103</v>
      </c>
      <c r="AK1551">
        <v>45.986505878755601</v>
      </c>
      <c r="AL1551">
        <v>87.556249488352606</v>
      </c>
      <c r="AM1551">
        <v>86.080153379282706</v>
      </c>
      <c r="AN1551">
        <v>0.99999995014072496</v>
      </c>
    </row>
    <row r="1552" spans="1:40" x14ac:dyDescent="0.25">
      <c r="A1552" t="str">
        <f>"20190312160629017"</f>
        <v>20190312160629017</v>
      </c>
      <c r="B1552" t="str">
        <f>"1552377989006348"</f>
        <v>1552377989006348</v>
      </c>
      <c r="C1552" t="s">
        <v>40</v>
      </c>
      <c r="D1552">
        <v>6.2176400000000003</v>
      </c>
      <c r="E1552">
        <v>0.56338290000000002</v>
      </c>
      <c r="F1552" t="s">
        <v>45</v>
      </c>
      <c r="G1552">
        <v>-219.18379999999999</v>
      </c>
      <c r="H1552">
        <v>-0.05</v>
      </c>
      <c r="I1552">
        <v>259.84629999999999</v>
      </c>
      <c r="J1552">
        <v>-194.80090000000001</v>
      </c>
      <c r="K1552">
        <v>1.1080700000000001</v>
      </c>
      <c r="L1552">
        <v>297.9658</v>
      </c>
      <c r="M1552">
        <v>-0.33000190000000001</v>
      </c>
      <c r="N1552">
        <v>0</v>
      </c>
      <c r="O1552">
        <v>-0.94389380000000001</v>
      </c>
      <c r="P1552">
        <v>-0.39317439999999998</v>
      </c>
      <c r="Q1552">
        <v>2.974949E-2</v>
      </c>
      <c r="R1552">
        <v>-0.91898310000000005</v>
      </c>
      <c r="S1552">
        <v>-1.6390229999999999</v>
      </c>
      <c r="T1552">
        <v>-7.7623129999999999E-2</v>
      </c>
      <c r="U1552">
        <v>-2.5677490000000001</v>
      </c>
      <c r="V1552">
        <v>6.8055740000000003E-2</v>
      </c>
      <c r="W1552">
        <v>4.2190249999999999E-2</v>
      </c>
      <c r="X1552">
        <v>0.99678900000000004</v>
      </c>
      <c r="Y1552">
        <v>0.2295333</v>
      </c>
      <c r="Z1552">
        <v>2.5024399999999999E-2</v>
      </c>
      <c r="AA1552">
        <v>0.97297909999999999</v>
      </c>
      <c r="AB1552">
        <v>20</v>
      </c>
      <c r="AC1552">
        <v>-24.3828999999999</v>
      </c>
      <c r="AD1552">
        <v>-1.1580699999999999</v>
      </c>
      <c r="AE1552">
        <v>-38.119500000000002</v>
      </c>
      <c r="AF1552">
        <v>10.429381642013199</v>
      </c>
      <c r="AG1552">
        <v>-1.1580699999999999</v>
      </c>
      <c r="AH1552">
        <v>44.001937137568198</v>
      </c>
      <c r="AI1552">
        <v>91.4669725334834</v>
      </c>
      <c r="AJ1552">
        <v>76.665765485417197</v>
      </c>
      <c r="AK1552">
        <v>45.235866294547399</v>
      </c>
      <c r="AL1552">
        <v>87.581958910080601</v>
      </c>
      <c r="AM1552">
        <v>86.094193728632902</v>
      </c>
      <c r="AN1552">
        <v>0.99999995573150402</v>
      </c>
    </row>
    <row r="1553" spans="1:40" x14ac:dyDescent="0.25">
      <c r="A1553" t="str">
        <f>"20190312160629036"</f>
        <v>20190312160629036</v>
      </c>
      <c r="B1553" t="str">
        <f>"1552377989026844"</f>
        <v>1552377989026844</v>
      </c>
      <c r="C1553" t="s">
        <v>40</v>
      </c>
      <c r="D1553">
        <v>7.0735489999999999</v>
      </c>
      <c r="E1553">
        <v>0.5634924</v>
      </c>
      <c r="F1553" t="s">
        <v>45</v>
      </c>
      <c r="G1553">
        <v>-218.73670000000001</v>
      </c>
      <c r="H1553">
        <v>-0.05</v>
      </c>
      <c r="I1553">
        <v>260.7355</v>
      </c>
      <c r="J1553">
        <v>-194.8665</v>
      </c>
      <c r="K1553">
        <v>1.1080319999999999</v>
      </c>
      <c r="L1553">
        <v>297.79039999999998</v>
      </c>
      <c r="M1553">
        <v>-0.33334839999999999</v>
      </c>
      <c r="N1553">
        <v>0</v>
      </c>
      <c r="O1553">
        <v>-0.94271799999999994</v>
      </c>
      <c r="P1553">
        <v>-0.39705879999999999</v>
      </c>
      <c r="Q1553">
        <v>3.0328540000000001E-2</v>
      </c>
      <c r="R1553">
        <v>-0.91729249999999996</v>
      </c>
      <c r="S1553">
        <v>-1.647324</v>
      </c>
      <c r="T1553">
        <v>-7.9701540000000001E-2</v>
      </c>
      <c r="U1553">
        <v>-2.5622859999999998</v>
      </c>
      <c r="V1553">
        <v>6.8749870000000005E-2</v>
      </c>
      <c r="W1553">
        <v>4.2690480000000003E-2</v>
      </c>
      <c r="X1553">
        <v>0.9967201</v>
      </c>
      <c r="Y1553">
        <v>0.229245</v>
      </c>
      <c r="Z1553">
        <v>2.5673169999999999E-2</v>
      </c>
      <c r="AA1553">
        <v>0.97303010000000001</v>
      </c>
      <c r="AB1553">
        <v>20</v>
      </c>
      <c r="AC1553">
        <v>-23.870200000000001</v>
      </c>
      <c r="AD1553">
        <v>-1.158032</v>
      </c>
      <c r="AE1553">
        <v>-37.054899999999897</v>
      </c>
      <c r="AF1553">
        <v>10.1444937794107</v>
      </c>
      <c r="AG1553">
        <v>-1.158032</v>
      </c>
      <c r="AH1553">
        <v>42.863294392201198</v>
      </c>
      <c r="AI1553">
        <v>91.505993025716805</v>
      </c>
      <c r="AJ1553">
        <v>76.684758275511797</v>
      </c>
      <c r="AK1553">
        <v>44.062612250138301</v>
      </c>
      <c r="AL1553">
        <v>87.553272077088593</v>
      </c>
      <c r="AM1553">
        <v>86.054210024788404</v>
      </c>
      <c r="AN1553">
        <v>0.99999998972582804</v>
      </c>
    </row>
    <row r="1554" spans="1:40" x14ac:dyDescent="0.25">
      <c r="A1554" t="str">
        <f>"20190312160629061"</f>
        <v>20190312160629061</v>
      </c>
      <c r="B1554" t="str">
        <f>"1552377989046364"</f>
        <v>1552377989046364</v>
      </c>
      <c r="C1554" t="s">
        <v>40</v>
      </c>
      <c r="D1554">
        <v>6.2193399999999999</v>
      </c>
      <c r="E1554">
        <v>0.56356379999999995</v>
      </c>
      <c r="F1554" t="s">
        <v>45</v>
      </c>
      <c r="G1554">
        <v>-219.64660000000001</v>
      </c>
      <c r="H1554">
        <v>-0.05</v>
      </c>
      <c r="I1554">
        <v>259.6268</v>
      </c>
      <c r="J1554">
        <v>-194.94280000000001</v>
      </c>
      <c r="K1554">
        <v>1.1079570000000001</v>
      </c>
      <c r="L1554">
        <v>297.58909999999997</v>
      </c>
      <c r="M1554">
        <v>-0.33721380000000001</v>
      </c>
      <c r="N1554">
        <v>0</v>
      </c>
      <c r="O1554">
        <v>-0.94134320000000005</v>
      </c>
      <c r="P1554">
        <v>-0.40073029999999998</v>
      </c>
      <c r="Q1554">
        <v>3.0836300000000001E-2</v>
      </c>
      <c r="R1554">
        <v>-0.91567710000000002</v>
      </c>
      <c r="S1554">
        <v>-1.6589509999999901</v>
      </c>
      <c r="T1554">
        <v>-7.7526570000000003E-2</v>
      </c>
      <c r="U1554">
        <v>-2.554932</v>
      </c>
      <c r="V1554">
        <v>6.8666909999999998E-2</v>
      </c>
      <c r="W1554">
        <v>4.3096839999999997E-2</v>
      </c>
      <c r="X1554">
        <v>0.99670829999999999</v>
      </c>
      <c r="Y1554">
        <v>0.2296562</v>
      </c>
      <c r="Z1554">
        <v>2.4950179999999999E-2</v>
      </c>
      <c r="AA1554">
        <v>0.97295189999999998</v>
      </c>
      <c r="AB1554">
        <v>20</v>
      </c>
      <c r="AC1554">
        <v>-24.703800000000001</v>
      </c>
      <c r="AD1554">
        <v>-1.1579569999999999</v>
      </c>
      <c r="AE1554">
        <v>-37.9622999999999</v>
      </c>
      <c r="AF1554">
        <v>10.447349504146301</v>
      </c>
      <c r="AG1554">
        <v>-1.1579569999999999</v>
      </c>
      <c r="AH1554">
        <v>44.040750927249597</v>
      </c>
      <c r="AI1554">
        <v>91.465471805856794</v>
      </c>
      <c r="AJ1554">
        <v>76.654965567047398</v>
      </c>
      <c r="AK1554">
        <v>45.277761851836999</v>
      </c>
      <c r="AL1554">
        <v>87.529967838948593</v>
      </c>
      <c r="AM1554">
        <v>86.058909858840593</v>
      </c>
      <c r="AN1554">
        <v>0.99999995871791003</v>
      </c>
    </row>
    <row r="1555" spans="1:40" x14ac:dyDescent="0.25">
      <c r="A1555" t="str">
        <f>"20190312160629080"</f>
        <v>20190312160629080</v>
      </c>
      <c r="B1555" t="str">
        <f>"1552377989076620"</f>
        <v>1552377989076620</v>
      </c>
      <c r="C1555" t="s">
        <v>40</v>
      </c>
      <c r="D1555">
        <v>6.1832799999999999</v>
      </c>
      <c r="E1555">
        <v>0.56351839999999997</v>
      </c>
      <c r="F1555" t="s">
        <v>45</v>
      </c>
      <c r="G1555">
        <v>-220.3913</v>
      </c>
      <c r="H1555">
        <v>-0.05</v>
      </c>
      <c r="I1555">
        <v>258.75290000000001</v>
      </c>
      <c r="J1555">
        <v>-195.00569999999999</v>
      </c>
      <c r="K1555">
        <v>1.1079209999999999</v>
      </c>
      <c r="L1555">
        <v>297.42500000000001</v>
      </c>
      <c r="M1555">
        <v>-0.340389099999999</v>
      </c>
      <c r="N1555">
        <v>0</v>
      </c>
      <c r="O1555">
        <v>-0.94020040000000005</v>
      </c>
      <c r="P1555">
        <v>-0.4032153</v>
      </c>
      <c r="Q1555">
        <v>3.1789949999999997E-2</v>
      </c>
      <c r="R1555">
        <v>-0.91455299999999995</v>
      </c>
      <c r="S1555">
        <v>-1.669754</v>
      </c>
      <c r="T1555">
        <v>-7.5976970000000005E-2</v>
      </c>
      <c r="U1555">
        <v>-2.5481569999999998</v>
      </c>
      <c r="V1555">
        <v>6.8029549999999994E-2</v>
      </c>
      <c r="W1555">
        <v>4.4001980000000003E-2</v>
      </c>
      <c r="X1555">
        <v>0.9967125</v>
      </c>
      <c r="Y1555">
        <v>0.23045070000000001</v>
      </c>
      <c r="Z1555">
        <v>2.4434170000000002E-2</v>
      </c>
      <c r="AA1555">
        <v>0.97277720000000001</v>
      </c>
      <c r="AB1555">
        <v>20</v>
      </c>
      <c r="AC1555">
        <v>-25.3856</v>
      </c>
      <c r="AD1555">
        <v>-1.157921</v>
      </c>
      <c r="AE1555">
        <v>-38.6721</v>
      </c>
      <c r="AF1555">
        <v>10.6981353210476</v>
      </c>
      <c r="AG1555">
        <v>-1.157921</v>
      </c>
      <c r="AH1555">
        <v>44.975892013532899</v>
      </c>
      <c r="AI1555">
        <v>91.434762322770197</v>
      </c>
      <c r="AJ1555">
        <v>76.620053451531007</v>
      </c>
      <c r="AK1555">
        <v>46.245234811844803</v>
      </c>
      <c r="AL1555">
        <v>87.478057991012804</v>
      </c>
      <c r="AM1555">
        <v>86.095393418982198</v>
      </c>
      <c r="AN1555">
        <v>1.0000000007866801</v>
      </c>
    </row>
    <row r="1556" spans="1:40" x14ac:dyDescent="0.25">
      <c r="A1556" t="str">
        <f>"20190312160629103"</f>
        <v>20190312160629103</v>
      </c>
      <c r="B1556" t="str">
        <f>"1552377989097115"</f>
        <v>1552377989097115</v>
      </c>
      <c r="C1556" t="s">
        <v>40</v>
      </c>
      <c r="D1556">
        <v>6.4878450000000001</v>
      </c>
      <c r="E1556">
        <v>0.56373359999999995</v>
      </c>
      <c r="F1556" t="s">
        <v>45</v>
      </c>
      <c r="G1556">
        <v>-222.31129999999999</v>
      </c>
      <c r="H1556">
        <v>-0.05</v>
      </c>
      <c r="I1556">
        <v>255.9992</v>
      </c>
      <c r="J1556">
        <v>-195.08199999999999</v>
      </c>
      <c r="K1556">
        <v>1.1078870000000001</v>
      </c>
      <c r="L1556">
        <v>297.2285</v>
      </c>
      <c r="M1556">
        <v>-0.34426699999999999</v>
      </c>
      <c r="N1556">
        <v>0</v>
      </c>
      <c r="O1556">
        <v>-0.9387875</v>
      </c>
      <c r="P1556">
        <v>-0.40650720000000001</v>
      </c>
      <c r="Q1556">
        <v>3.185673E-2</v>
      </c>
      <c r="R1556">
        <v>-0.91309189999999996</v>
      </c>
      <c r="S1556">
        <v>-1.67659</v>
      </c>
      <c r="T1556">
        <v>-7.1097369999999993E-2</v>
      </c>
      <c r="U1556">
        <v>-2.5435789999999998</v>
      </c>
      <c r="V1556">
        <v>6.7511509999999997E-2</v>
      </c>
      <c r="W1556">
        <v>4.4043430000000001E-2</v>
      </c>
      <c r="X1556">
        <v>0.99674589999999996</v>
      </c>
      <c r="Y1556">
        <v>0.2290826</v>
      </c>
      <c r="Z1556">
        <v>2.283812E-2</v>
      </c>
      <c r="AA1556">
        <v>0.97313899999999998</v>
      </c>
      <c r="AB1556">
        <v>20</v>
      </c>
      <c r="AC1556">
        <v>-27.229299999999899</v>
      </c>
      <c r="AD1556">
        <v>-1.1578870000000001</v>
      </c>
      <c r="AE1556">
        <v>-41.229300000000002</v>
      </c>
      <c r="AF1556">
        <v>11.3632983009485</v>
      </c>
      <c r="AG1556">
        <v>-1.1578870000000001</v>
      </c>
      <c r="AH1556">
        <v>48.057114055358603</v>
      </c>
      <c r="AI1556">
        <v>91.343191693946494</v>
      </c>
      <c r="AJ1556">
        <v>76.696524619867304</v>
      </c>
      <c r="AK1556">
        <v>49.395864826024201</v>
      </c>
      <c r="AL1556">
        <v>87.475680795643399</v>
      </c>
      <c r="AM1556">
        <v>86.125165232181402</v>
      </c>
      <c r="AN1556">
        <v>1.0000000084377201</v>
      </c>
    </row>
    <row r="1557" spans="1:40" x14ac:dyDescent="0.25">
      <c r="A1557" t="str">
        <f>"20190312160629125"</f>
        <v>20190312160629125</v>
      </c>
      <c r="B1557" t="str">
        <f>"1552377989116636"</f>
        <v>1552377989116636</v>
      </c>
      <c r="C1557" t="s">
        <v>40</v>
      </c>
      <c r="D1557">
        <v>6.256526</v>
      </c>
      <c r="E1557">
        <v>0.56375069999999905</v>
      </c>
      <c r="F1557" t="s">
        <v>45</v>
      </c>
      <c r="G1557">
        <v>-223.50309999999999</v>
      </c>
      <c r="H1557">
        <v>-0.05</v>
      </c>
      <c r="I1557">
        <v>254.50239999999999</v>
      </c>
      <c r="J1557">
        <v>-195.154</v>
      </c>
      <c r="K1557">
        <v>1.1078520000000001</v>
      </c>
      <c r="L1557">
        <v>297.04559999999998</v>
      </c>
      <c r="M1557">
        <v>-0.34797729999999999</v>
      </c>
      <c r="N1557">
        <v>0</v>
      </c>
      <c r="O1557">
        <v>-0.937419</v>
      </c>
      <c r="P1557">
        <v>-0.40942869999999998</v>
      </c>
      <c r="Q1557">
        <v>3.1082789999999999E-2</v>
      </c>
      <c r="R1557">
        <v>-0.91181270000000003</v>
      </c>
      <c r="S1557">
        <v>-1.687424</v>
      </c>
      <c r="T1557">
        <v>-6.8746329999999994E-2</v>
      </c>
      <c r="U1557">
        <v>-2.536743</v>
      </c>
      <c r="V1557">
        <v>6.6751229999999995E-2</v>
      </c>
      <c r="W1557">
        <v>4.3253109999999997E-2</v>
      </c>
      <c r="X1557">
        <v>0.99683169999999999</v>
      </c>
      <c r="Y1557">
        <v>0.22933400000000001</v>
      </c>
      <c r="Z1557">
        <v>2.20611E-2</v>
      </c>
      <c r="AA1557">
        <v>0.97309769999999896</v>
      </c>
      <c r="AB1557">
        <v>20</v>
      </c>
      <c r="AC1557">
        <v>-28.3490999999999</v>
      </c>
      <c r="AD1557">
        <v>-1.1578520000000001</v>
      </c>
      <c r="AE1557">
        <v>-42.543199999999899</v>
      </c>
      <c r="AF1557">
        <v>11.7658085145894</v>
      </c>
      <c r="AG1557">
        <v>-1.1578520000000001</v>
      </c>
      <c r="AH1557">
        <v>49.724057619130598</v>
      </c>
      <c r="AI1557">
        <v>91.298090298686503</v>
      </c>
      <c r="AJ1557">
        <v>76.687407809030503</v>
      </c>
      <c r="AK1557">
        <v>51.110241413698198</v>
      </c>
      <c r="AL1557">
        <v>87.521005968184497</v>
      </c>
      <c r="AM1557">
        <v>86.168999724278393</v>
      </c>
      <c r="AN1557">
        <v>0.99999999817803698</v>
      </c>
    </row>
    <row r="1558" spans="1:40" x14ac:dyDescent="0.25">
      <c r="A1558" t="str">
        <f>"20190312160629147"</f>
        <v>20190312160629147</v>
      </c>
      <c r="B1558" t="str">
        <f>"1552377989136158"</f>
        <v>1552377989136158</v>
      </c>
      <c r="C1558" t="s">
        <v>40</v>
      </c>
      <c r="D1558">
        <v>6.2564129999999896</v>
      </c>
      <c r="E1558">
        <v>0.56366300000000003</v>
      </c>
      <c r="F1558" t="s">
        <v>45</v>
      </c>
      <c r="G1558">
        <v>-223.21100000000001</v>
      </c>
      <c r="H1558">
        <v>-0.05</v>
      </c>
      <c r="I1558">
        <v>255.16159999999999</v>
      </c>
      <c r="J1558">
        <v>-195.2302</v>
      </c>
      <c r="K1558">
        <v>1.107799</v>
      </c>
      <c r="L1558">
        <v>296.8546</v>
      </c>
      <c r="M1558">
        <v>-0.35195539999999997</v>
      </c>
      <c r="N1558">
        <v>0</v>
      </c>
      <c r="O1558">
        <v>-0.93593280000000001</v>
      </c>
      <c r="P1558">
        <v>-0.41289140000000002</v>
      </c>
      <c r="Q1558">
        <v>3.0919700000000001E-2</v>
      </c>
      <c r="R1558">
        <v>-0.91025560000000005</v>
      </c>
      <c r="S1558">
        <v>-1.695557</v>
      </c>
      <c r="T1558">
        <v>-6.9972039999999999E-2</v>
      </c>
      <c r="U1558">
        <v>-2.531158</v>
      </c>
      <c r="V1558">
        <v>6.6308510000000001E-2</v>
      </c>
      <c r="W1558">
        <v>4.3066359999999998E-2</v>
      </c>
      <c r="X1558">
        <v>0.99686929999999996</v>
      </c>
      <c r="Y1558">
        <v>0.22834599999999999</v>
      </c>
      <c r="Z1558">
        <v>2.2427539999999999E-2</v>
      </c>
      <c r="AA1558">
        <v>0.97332169999999896</v>
      </c>
      <c r="AB1558">
        <v>20</v>
      </c>
      <c r="AC1558">
        <v>-27.980799999999899</v>
      </c>
      <c r="AD1558">
        <v>-1.157799</v>
      </c>
      <c r="AE1558">
        <v>-41.692999999999998</v>
      </c>
      <c r="AF1558">
        <v>11.5088579787376</v>
      </c>
      <c r="AG1558">
        <v>-1.157799</v>
      </c>
      <c r="AH1558">
        <v>48.847709723862401</v>
      </c>
      <c r="AI1558">
        <v>91.321609829931404</v>
      </c>
      <c r="AJ1558">
        <v>76.742499708106493</v>
      </c>
      <c r="AK1558">
        <v>50.198536390674498</v>
      </c>
      <c r="AL1558">
        <v>87.531715854226505</v>
      </c>
      <c r="AM1558">
        <v>86.1944766076967</v>
      </c>
      <c r="AN1558">
        <v>0.99999996557227899</v>
      </c>
    </row>
    <row r="1559" spans="1:40" x14ac:dyDescent="0.25">
      <c r="A1559" t="str">
        <f>"20190312160629169"</f>
        <v>20190312160629169</v>
      </c>
      <c r="B1559" t="str">
        <f>"1552377989156655"</f>
        <v>1552377989156655</v>
      </c>
      <c r="C1559" t="s">
        <v>40</v>
      </c>
      <c r="D1559">
        <v>6.3712839999999904</v>
      </c>
      <c r="E1559">
        <v>0.56358909999999995</v>
      </c>
      <c r="F1559" t="s">
        <v>45</v>
      </c>
      <c r="G1559">
        <v>-223.61439999999999</v>
      </c>
      <c r="H1559">
        <v>-0.05</v>
      </c>
      <c r="I1559">
        <v>254.8134</v>
      </c>
      <c r="J1559">
        <v>-195.3013</v>
      </c>
      <c r="K1559">
        <v>1.1077429999999999</v>
      </c>
      <c r="L1559">
        <v>296.67849999999999</v>
      </c>
      <c r="M1559">
        <v>-0.3557189</v>
      </c>
      <c r="N1559">
        <v>0</v>
      </c>
      <c r="O1559">
        <v>-0.93450900000000003</v>
      </c>
      <c r="P1559">
        <v>-0.41650009999999998</v>
      </c>
      <c r="Q1559">
        <v>3.061146E-2</v>
      </c>
      <c r="R1559">
        <v>-0.90862019999999999</v>
      </c>
      <c r="S1559">
        <v>-1.7046969999999999</v>
      </c>
      <c r="T1559">
        <v>-6.9535020000000003E-2</v>
      </c>
      <c r="U1559">
        <v>-2.524902</v>
      </c>
      <c r="V1559">
        <v>6.6253359999999997E-2</v>
      </c>
      <c r="W1559">
        <v>4.2734309999999998E-2</v>
      </c>
      <c r="X1559">
        <v>0.99688730000000003</v>
      </c>
      <c r="Y1559">
        <v>0.2279689</v>
      </c>
      <c r="Z1559">
        <v>2.2264059999999999E-2</v>
      </c>
      <c r="AA1559">
        <v>0.9734138</v>
      </c>
      <c r="AB1559">
        <v>20</v>
      </c>
      <c r="AC1559">
        <v>-28.313099999999899</v>
      </c>
      <c r="AD1559">
        <v>-1.157743</v>
      </c>
      <c r="AE1559">
        <v>-41.865099999999899</v>
      </c>
      <c r="AF1559">
        <v>11.5614806523783</v>
      </c>
      <c r="AG1559">
        <v>-1.157743</v>
      </c>
      <c r="AH1559">
        <v>49.172876320403702</v>
      </c>
      <c r="AI1559">
        <v>91.312952765185301</v>
      </c>
      <c r="AJ1559">
        <v>76.768984138028998</v>
      </c>
      <c r="AK1559">
        <v>50.527022169835803</v>
      </c>
      <c r="AL1559">
        <v>87.550758556256596</v>
      </c>
      <c r="AM1559">
        <v>86.197700897196398</v>
      </c>
      <c r="AN1559">
        <v>1.0000000089318699</v>
      </c>
    </row>
    <row r="1560" spans="1:40" x14ac:dyDescent="0.25">
      <c r="A1560" t="str">
        <f>"20190312160629193"</f>
        <v>20190312160629193</v>
      </c>
      <c r="B1560" t="str">
        <f>"1552377989186908"</f>
        <v>1552377989186908</v>
      </c>
      <c r="C1560" t="s">
        <v>40</v>
      </c>
      <c r="D1560">
        <v>6.2931710000000001</v>
      </c>
      <c r="E1560">
        <v>0.56358030000000003</v>
      </c>
      <c r="F1560" t="s">
        <v>45</v>
      </c>
      <c r="G1560">
        <v>-224.0326</v>
      </c>
      <c r="H1560">
        <v>-0.05</v>
      </c>
      <c r="I1560">
        <v>254.4768</v>
      </c>
      <c r="J1560">
        <v>-195.38489999999999</v>
      </c>
      <c r="K1560">
        <v>1.1076569999999999</v>
      </c>
      <c r="L1560">
        <v>296.47460000000001</v>
      </c>
      <c r="M1560">
        <v>-0.36019689999999999</v>
      </c>
      <c r="N1560">
        <v>0</v>
      </c>
      <c r="O1560">
        <v>-0.93279259999999997</v>
      </c>
      <c r="P1560">
        <v>-0.42093000000000003</v>
      </c>
      <c r="Q1560">
        <v>2.990429E-2</v>
      </c>
      <c r="R1560">
        <v>-0.90660050000000003</v>
      </c>
      <c r="S1560">
        <v>-1.7144009999999901</v>
      </c>
      <c r="T1560">
        <v>-6.9082859999999996E-2</v>
      </c>
      <c r="U1560">
        <v>-2.5181879999999999</v>
      </c>
      <c r="V1560">
        <v>6.6333279999999994E-2</v>
      </c>
      <c r="W1560">
        <v>4.2003970000000002E-2</v>
      </c>
      <c r="X1560">
        <v>0.99691300000000005</v>
      </c>
      <c r="Y1560">
        <v>0.22707150000000001</v>
      </c>
      <c r="Z1560">
        <v>2.2089149999999998E-2</v>
      </c>
      <c r="AA1560">
        <v>0.97362760000000004</v>
      </c>
      <c r="AB1560">
        <v>20</v>
      </c>
      <c r="AC1560">
        <v>-28.6477</v>
      </c>
      <c r="AD1560">
        <v>-1.1576569999999999</v>
      </c>
      <c r="AE1560">
        <v>-41.997799999999998</v>
      </c>
      <c r="AF1560">
        <v>11.5897808617528</v>
      </c>
      <c r="AG1560">
        <v>-1.1576569999999999</v>
      </c>
      <c r="AH1560">
        <v>49.472261355244903</v>
      </c>
      <c r="AI1560">
        <v>91.305160081267303</v>
      </c>
      <c r="AJ1560">
        <v>76.815186418963407</v>
      </c>
      <c r="AK1560">
        <v>50.824874163688399</v>
      </c>
      <c r="AL1560">
        <v>87.592641505193498</v>
      </c>
      <c r="AM1560">
        <v>86.193225595521994</v>
      </c>
      <c r="AN1560">
        <v>0.99999998355015896</v>
      </c>
    </row>
    <row r="1561" spans="1:40" x14ac:dyDescent="0.25">
      <c r="A1561" t="str">
        <f>"20190312160629217"</f>
        <v>20190312160629217</v>
      </c>
      <c r="B1561" t="str">
        <f>"1552377989206554"</f>
        <v>1552377989206554</v>
      </c>
      <c r="C1561" t="s">
        <v>40</v>
      </c>
      <c r="D1561">
        <v>6.2660299999999998</v>
      </c>
      <c r="E1561">
        <v>0.56357409999999997</v>
      </c>
      <c r="F1561" t="s">
        <v>45</v>
      </c>
      <c r="G1561">
        <v>-223.59710000000001</v>
      </c>
      <c r="H1561">
        <v>-0.05</v>
      </c>
      <c r="I1561">
        <v>255.46530000000001</v>
      </c>
      <c r="J1561">
        <v>-195.46559999999999</v>
      </c>
      <c r="K1561">
        <v>1.107577</v>
      </c>
      <c r="L1561">
        <v>296.28089999999997</v>
      </c>
      <c r="M1561">
        <v>-0.36460680000000001</v>
      </c>
      <c r="N1561">
        <v>0</v>
      </c>
      <c r="O1561">
        <v>-0.93107779999999996</v>
      </c>
      <c r="P1561">
        <v>-0.42571330000000002</v>
      </c>
      <c r="Q1561">
        <v>2.9850580000000002E-2</v>
      </c>
      <c r="R1561">
        <v>-0.9043658</v>
      </c>
      <c r="S1561">
        <v>-1.7266079999999999</v>
      </c>
      <c r="T1561">
        <v>-7.0849419999999996E-2</v>
      </c>
      <c r="U1561">
        <v>-2.5097960000000001</v>
      </c>
      <c r="V1561">
        <v>6.6890619999999998E-2</v>
      </c>
      <c r="W1561">
        <v>4.1928220000000002E-2</v>
      </c>
      <c r="X1561">
        <v>0.99687899999999996</v>
      </c>
      <c r="Y1561">
        <v>0.22719039999999999</v>
      </c>
      <c r="Z1561">
        <v>2.2626420000000001E-2</v>
      </c>
      <c r="AA1561">
        <v>0.97358750000000005</v>
      </c>
      <c r="AB1561">
        <v>20</v>
      </c>
      <c r="AC1561">
        <v>-28.131499999999999</v>
      </c>
      <c r="AD1561">
        <v>-1.1575770000000001</v>
      </c>
      <c r="AE1561">
        <v>-40.815599999999897</v>
      </c>
      <c r="AF1561">
        <v>11.30568715831</v>
      </c>
      <c r="AG1561">
        <v>-1.1575770000000001</v>
      </c>
      <c r="AH1561">
        <v>48.2368961997988</v>
      </c>
      <c r="AI1561">
        <v>91.338448510613901</v>
      </c>
      <c r="AJ1561">
        <v>76.809203943697796</v>
      </c>
      <c r="AK1561">
        <v>49.557609926455001</v>
      </c>
      <c r="AL1561">
        <v>87.596985612749904</v>
      </c>
      <c r="AM1561">
        <v>86.161205328983499</v>
      </c>
      <c r="AN1561">
        <v>1.00000003565867</v>
      </c>
    </row>
    <row r="1562" spans="1:40" x14ac:dyDescent="0.25">
      <c r="A1562" t="str">
        <f>"20190312160629237"</f>
        <v>20190312160629237</v>
      </c>
      <c r="B1562" t="str">
        <f>"1552377989227049"</f>
        <v>1552377989227049</v>
      </c>
      <c r="C1562" t="s">
        <v>40</v>
      </c>
      <c r="D1562">
        <v>6.2847600000000003</v>
      </c>
      <c r="E1562">
        <v>0.56345049999999997</v>
      </c>
      <c r="F1562" t="s">
        <v>45</v>
      </c>
      <c r="G1562">
        <v>-223.9085</v>
      </c>
      <c r="H1562">
        <v>-0.05</v>
      </c>
      <c r="I1562">
        <v>255.3905</v>
      </c>
      <c r="J1562">
        <v>-195.54230000000001</v>
      </c>
      <c r="K1562">
        <v>1.1074900000000001</v>
      </c>
      <c r="L1562">
        <v>296.09960000000001</v>
      </c>
      <c r="M1562">
        <v>-0.36888140000000003</v>
      </c>
      <c r="N1562">
        <v>0</v>
      </c>
      <c r="O1562">
        <v>-0.9293922</v>
      </c>
      <c r="P1562">
        <v>-0.43015629999999999</v>
      </c>
      <c r="Q1562">
        <v>3.0455590000000001E-2</v>
      </c>
      <c r="R1562">
        <v>-0.90224059999999995</v>
      </c>
      <c r="S1562">
        <v>-1.739487</v>
      </c>
      <c r="T1562">
        <v>-7.0793990000000001E-2</v>
      </c>
      <c r="U1562">
        <v>-2.5007320000000002</v>
      </c>
      <c r="V1562">
        <v>6.7233399999999999E-2</v>
      </c>
      <c r="W1562">
        <v>4.2514209999999997E-2</v>
      </c>
      <c r="X1562">
        <v>0.99683109999999997</v>
      </c>
      <c r="Y1562">
        <v>0.22774849999999999</v>
      </c>
      <c r="Z1562">
        <v>2.2584440000000001E-2</v>
      </c>
      <c r="AA1562">
        <v>0.97345809999999999</v>
      </c>
      <c r="AB1562">
        <v>20</v>
      </c>
      <c r="AC1562">
        <v>-28.3661999999999</v>
      </c>
      <c r="AD1562">
        <v>-1.1574899999999999</v>
      </c>
      <c r="AE1562">
        <v>-40.709099999999999</v>
      </c>
      <c r="AF1562">
        <v>11.3412120126897</v>
      </c>
      <c r="AG1562">
        <v>-1.1574899999999999</v>
      </c>
      <c r="AH1562">
        <v>48.275994603213498</v>
      </c>
      <c r="AI1562">
        <v>91.3371020940329</v>
      </c>
      <c r="AJ1562">
        <v>76.779550432709897</v>
      </c>
      <c r="AK1562">
        <v>49.603775339649097</v>
      </c>
      <c r="AL1562">
        <v>87.563380843560395</v>
      </c>
      <c r="AM1562">
        <v>86.141407905894695</v>
      </c>
      <c r="AN1562">
        <v>1.00000001502734</v>
      </c>
    </row>
    <row r="1563" spans="1:40" x14ac:dyDescent="0.25">
      <c r="A1563" t="str">
        <f>"20190312160629259"</f>
        <v>20190312160629259</v>
      </c>
      <c r="B1563" t="str">
        <f>"1552377989246569"</f>
        <v>1552377989246569</v>
      </c>
      <c r="C1563" t="s">
        <v>40</v>
      </c>
      <c r="D1563">
        <v>6.2861010000000004</v>
      </c>
      <c r="E1563">
        <v>0.56332890000000002</v>
      </c>
      <c r="F1563" t="s">
        <v>45</v>
      </c>
      <c r="G1563">
        <v>-225.14529999999999</v>
      </c>
      <c r="H1563">
        <v>-0.05</v>
      </c>
      <c r="I1563">
        <v>253.9658</v>
      </c>
      <c r="J1563">
        <v>-195.61590000000001</v>
      </c>
      <c r="K1563">
        <v>1.107407</v>
      </c>
      <c r="L1563">
        <v>295.92790000000002</v>
      </c>
      <c r="M1563">
        <v>-0.37304599999999999</v>
      </c>
      <c r="N1563">
        <v>0</v>
      </c>
      <c r="O1563">
        <v>-0.92772869999999996</v>
      </c>
      <c r="P1563">
        <v>-0.4341679</v>
      </c>
      <c r="Q1563">
        <v>3.0381410000000001E-2</v>
      </c>
      <c r="R1563">
        <v>-0.90031949999999905</v>
      </c>
      <c r="S1563">
        <v>-1.7511749999999999</v>
      </c>
      <c r="T1563">
        <v>-6.8471550000000006E-2</v>
      </c>
      <c r="U1563">
        <v>-2.492432</v>
      </c>
      <c r="V1563">
        <v>6.7206479999999999E-2</v>
      </c>
      <c r="W1563">
        <v>4.2427510000000002E-2</v>
      </c>
      <c r="X1563">
        <v>0.99683659999999996</v>
      </c>
      <c r="Y1563">
        <v>0.22797290000000001</v>
      </c>
      <c r="Z1563">
        <v>2.181905E-2</v>
      </c>
      <c r="AA1563">
        <v>0.97342289999999998</v>
      </c>
      <c r="AB1563">
        <v>20</v>
      </c>
      <c r="AC1563">
        <v>-29.5293999999999</v>
      </c>
      <c r="AD1563">
        <v>-1.1574070000000001</v>
      </c>
      <c r="AE1563">
        <v>-41.9621</v>
      </c>
      <c r="AF1563">
        <v>11.7364235037891</v>
      </c>
      <c r="AG1563">
        <v>-1.1574070000000001</v>
      </c>
      <c r="AH1563">
        <v>49.923767141304999</v>
      </c>
      <c r="AI1563">
        <v>91.292845803962905</v>
      </c>
      <c r="AJ1563">
        <v>76.770730633956305</v>
      </c>
      <c r="AK1563">
        <v>51.297814312143799</v>
      </c>
      <c r="AL1563">
        <v>87.568352851423995</v>
      </c>
      <c r="AM1563">
        <v>86.142969424202207</v>
      </c>
      <c r="AN1563">
        <v>1.00000000582917</v>
      </c>
    </row>
    <row r="1564" spans="1:40" x14ac:dyDescent="0.25">
      <c r="A1564" t="str">
        <f>"20190312160629280"</f>
        <v>20190312160629280</v>
      </c>
      <c r="B1564" t="str">
        <f>"1552377989276825"</f>
        <v>1552377989276825</v>
      </c>
      <c r="C1564" t="s">
        <v>40</v>
      </c>
      <c r="D1564">
        <v>6.2957229999999997</v>
      </c>
      <c r="E1564">
        <v>0.56319269999999999</v>
      </c>
      <c r="F1564" t="s">
        <v>45</v>
      </c>
      <c r="G1564">
        <v>-225.62569999999999</v>
      </c>
      <c r="H1564">
        <v>-0.05</v>
      </c>
      <c r="I1564">
        <v>253.59399999999999</v>
      </c>
      <c r="J1564">
        <v>-195.69540000000001</v>
      </c>
      <c r="K1564">
        <v>1.1073230000000001</v>
      </c>
      <c r="L1564">
        <v>295.74540000000002</v>
      </c>
      <c r="M1564">
        <v>-0.37760090000000002</v>
      </c>
      <c r="N1564">
        <v>0</v>
      </c>
      <c r="O1564">
        <v>-0.92588389999999998</v>
      </c>
      <c r="P1564">
        <v>-0.43928810000000001</v>
      </c>
      <c r="Q1564">
        <v>2.9502609999999999E-2</v>
      </c>
      <c r="R1564">
        <v>-0.89786180000000004</v>
      </c>
      <c r="S1564">
        <v>-1.76152</v>
      </c>
      <c r="T1564">
        <v>-6.7937730000000002E-2</v>
      </c>
      <c r="U1564">
        <v>-2.4849239999999999</v>
      </c>
      <c r="V1564">
        <v>6.7976209999999995E-2</v>
      </c>
      <c r="W1564">
        <v>4.153184E-2</v>
      </c>
      <c r="X1564">
        <v>0.99682210000000004</v>
      </c>
      <c r="Y1564">
        <v>0.2272748</v>
      </c>
      <c r="Z1564">
        <v>2.1617770000000001E-2</v>
      </c>
      <c r="AA1564">
        <v>0.97359070000000003</v>
      </c>
      <c r="AB1564">
        <v>20</v>
      </c>
      <c r="AC1564">
        <v>-29.9302999999999</v>
      </c>
      <c r="AD1564">
        <v>-1.1573229999999901</v>
      </c>
      <c r="AE1564">
        <v>-42.151400000000002</v>
      </c>
      <c r="AF1564">
        <v>11.790590768733599</v>
      </c>
      <c r="AG1564">
        <v>-1.1573229999999901</v>
      </c>
      <c r="AH1564">
        <v>50.307738656738699</v>
      </c>
      <c r="AI1564">
        <v>91.283093192080401</v>
      </c>
      <c r="AJ1564">
        <v>76.809697491700405</v>
      </c>
      <c r="AK1564">
        <v>51.683904612140097</v>
      </c>
      <c r="AL1564">
        <v>87.619716178313496</v>
      </c>
      <c r="AM1564">
        <v>86.098873098056799</v>
      </c>
      <c r="AN1564">
        <v>0.99999997895407899</v>
      </c>
    </row>
    <row r="1565" spans="1:40" x14ac:dyDescent="0.25">
      <c r="A1565" t="str">
        <f>"20190312160629304"</f>
        <v>20190312160629304</v>
      </c>
      <c r="B1565" t="str">
        <f>"1552377989296346"</f>
        <v>1552377989296346</v>
      </c>
      <c r="C1565" t="s">
        <v>40</v>
      </c>
      <c r="D1565">
        <v>6.3076449999999999</v>
      </c>
      <c r="E1565">
        <v>0.56303169999999902</v>
      </c>
      <c r="F1565" t="s">
        <v>45</v>
      </c>
      <c r="G1565">
        <v>-224.88939999999999</v>
      </c>
      <c r="H1565">
        <v>-0.05</v>
      </c>
      <c r="I1565">
        <v>255.02549999999999</v>
      </c>
      <c r="J1565">
        <v>-195.78219999999999</v>
      </c>
      <c r="K1565">
        <v>1.1072390000000001</v>
      </c>
      <c r="L1565">
        <v>295.54939999999999</v>
      </c>
      <c r="M1565">
        <v>-0.38264769999999998</v>
      </c>
      <c r="N1565">
        <v>0</v>
      </c>
      <c r="O1565">
        <v>-0.92380969999999996</v>
      </c>
      <c r="P1565">
        <v>-0.4445848</v>
      </c>
      <c r="Q1565">
        <v>2.884606E-2</v>
      </c>
      <c r="R1565">
        <v>-0.89527239999999997</v>
      </c>
      <c r="S1565">
        <v>-1.774643</v>
      </c>
      <c r="T1565">
        <v>-7.0351360000000002E-2</v>
      </c>
      <c r="U1565">
        <v>-2.4752809999999998</v>
      </c>
      <c r="V1565">
        <v>6.8422029999999995E-2</v>
      </c>
      <c r="W1565">
        <v>4.0861960000000003E-2</v>
      </c>
      <c r="X1565">
        <v>0.99681929999999996</v>
      </c>
      <c r="Y1565">
        <v>0.22715550000000001</v>
      </c>
      <c r="Z1565">
        <v>2.2352130000000001E-2</v>
      </c>
      <c r="AA1565">
        <v>0.97360190000000002</v>
      </c>
      <c r="AB1565">
        <v>20</v>
      </c>
      <c r="AC1565">
        <v>-29.107199999999999</v>
      </c>
      <c r="AD1565">
        <v>-1.1572389999999999</v>
      </c>
      <c r="AE1565">
        <v>-40.523899999999998</v>
      </c>
      <c r="AF1565">
        <v>11.3779058577116</v>
      </c>
      <c r="AG1565">
        <v>-1.1572389999999999</v>
      </c>
      <c r="AH1565">
        <v>48.551854515484798</v>
      </c>
      <c r="AI1565">
        <v>91.329390650459302</v>
      </c>
      <c r="AJ1565">
        <v>76.810994604285099</v>
      </c>
      <c r="AK1565">
        <v>49.880642745486597</v>
      </c>
      <c r="AL1565">
        <v>87.658130126771198</v>
      </c>
      <c r="AM1565">
        <v>86.073356452529396</v>
      </c>
      <c r="AN1565">
        <v>0.99999999540842599</v>
      </c>
    </row>
    <row r="1566" spans="1:40" x14ac:dyDescent="0.25">
      <c r="A1566" t="str">
        <f>"20190312160629326"</f>
        <v>20190312160629326</v>
      </c>
      <c r="B1566" t="str">
        <f>"1552377989316373"</f>
        <v>1552377989316373</v>
      </c>
      <c r="C1566" t="s">
        <v>40</v>
      </c>
      <c r="D1566">
        <v>6.2914899999999996</v>
      </c>
      <c r="E1566">
        <v>0.56286069999999999</v>
      </c>
      <c r="F1566" t="s">
        <v>45</v>
      </c>
      <c r="G1566">
        <v>-224.30119999999999</v>
      </c>
      <c r="H1566">
        <v>-0.05</v>
      </c>
      <c r="I1566">
        <v>256.22809999999998</v>
      </c>
      <c r="J1566">
        <v>-195.86349999999999</v>
      </c>
      <c r="K1566">
        <v>1.1071470000000001</v>
      </c>
      <c r="L1566">
        <v>295.36880000000002</v>
      </c>
      <c r="M1566">
        <v>-0.38745259999999998</v>
      </c>
      <c r="N1566">
        <v>0</v>
      </c>
      <c r="O1566">
        <v>-0.92180450000000003</v>
      </c>
      <c r="P1566">
        <v>-0.44951099999999999</v>
      </c>
      <c r="Q1566">
        <v>2.898645E-2</v>
      </c>
      <c r="R1566">
        <v>-0.89280439999999905</v>
      </c>
      <c r="S1566">
        <v>-1.7880549999999999</v>
      </c>
      <c r="T1566">
        <v>-7.2555540000000002E-2</v>
      </c>
      <c r="U1566">
        <v>-2.4653320000000001</v>
      </c>
      <c r="V1566">
        <v>6.8736030000000004E-2</v>
      </c>
      <c r="W1566">
        <v>4.0991090000000001E-2</v>
      </c>
      <c r="X1566">
        <v>0.99679240000000002</v>
      </c>
      <c r="Y1566">
        <v>0.2274129</v>
      </c>
      <c r="Z1566">
        <v>2.302046E-2</v>
      </c>
      <c r="AA1566">
        <v>0.97352629999999996</v>
      </c>
      <c r="AB1566">
        <v>20</v>
      </c>
      <c r="AC1566">
        <v>-28.4377</v>
      </c>
      <c r="AD1566">
        <v>-1.1571469999999999</v>
      </c>
      <c r="AE1566">
        <v>-39.140700000000002</v>
      </c>
      <c r="AF1566">
        <v>11.043383652698701</v>
      </c>
      <c r="AG1566">
        <v>-1.1571469999999999</v>
      </c>
      <c r="AH1566">
        <v>47.075101413205203</v>
      </c>
      <c r="AI1566">
        <v>91.3708944865284</v>
      </c>
      <c r="AJ1566">
        <v>76.797671614821596</v>
      </c>
      <c r="AK1566">
        <v>48.3669358626723</v>
      </c>
      <c r="AL1566">
        <v>87.650725329436398</v>
      </c>
      <c r="AM1566">
        <v>86.055287079136306</v>
      </c>
      <c r="AN1566">
        <v>0.99999999998865396</v>
      </c>
    </row>
    <row r="1567" spans="1:40" x14ac:dyDescent="0.25">
      <c r="A1567" t="str">
        <f>"20190312160629348"</f>
        <v>20190312160629348</v>
      </c>
      <c r="B1567" t="str">
        <f>"1552377989336867"</f>
        <v>1552377989336867</v>
      </c>
      <c r="C1567" t="s">
        <v>40</v>
      </c>
      <c r="D1567">
        <v>6.5534439999999998</v>
      </c>
      <c r="E1567">
        <v>0.5629575</v>
      </c>
      <c r="F1567" t="s">
        <v>45</v>
      </c>
      <c r="G1567">
        <v>-224.92500000000001</v>
      </c>
      <c r="H1567">
        <v>-0.05</v>
      </c>
      <c r="I1567">
        <v>255.7236</v>
      </c>
      <c r="J1567">
        <v>-195.9452</v>
      </c>
      <c r="K1567">
        <v>1.107043</v>
      </c>
      <c r="L1567">
        <v>295.19009999999997</v>
      </c>
      <c r="M1567">
        <v>-0.39236260000000001</v>
      </c>
      <c r="N1567">
        <v>0</v>
      </c>
      <c r="O1567">
        <v>-0.91972549999999997</v>
      </c>
      <c r="P1567">
        <v>-0.45390950000000002</v>
      </c>
      <c r="Q1567">
        <v>2.8396999999999999E-2</v>
      </c>
      <c r="R1567">
        <v>-0.89059560000000004</v>
      </c>
      <c r="S1567">
        <v>-1.8004150000000001</v>
      </c>
      <c r="T1567">
        <v>-7.1687219999999996E-2</v>
      </c>
      <c r="U1567">
        <v>-2.4560849999999999</v>
      </c>
      <c r="V1567">
        <v>6.833562E-2</v>
      </c>
      <c r="W1567">
        <v>4.0396969999999997E-2</v>
      </c>
      <c r="X1567">
        <v>0.99684419999999996</v>
      </c>
      <c r="Y1567">
        <v>0.22715859999999999</v>
      </c>
      <c r="Z1567">
        <v>2.2709679999999999E-2</v>
      </c>
      <c r="AA1567">
        <v>0.97359289999999998</v>
      </c>
      <c r="AB1567">
        <v>20</v>
      </c>
      <c r="AC1567">
        <v>-28.979800000000001</v>
      </c>
      <c r="AD1567">
        <v>-1.157043</v>
      </c>
      <c r="AE1567">
        <v>-39.466499999999897</v>
      </c>
      <c r="AF1567">
        <v>11.1629235645854</v>
      </c>
      <c r="AG1567">
        <v>-1.157043</v>
      </c>
      <c r="AH1567">
        <v>47.646062920378697</v>
      </c>
      <c r="AI1567">
        <v>91.354441932604601</v>
      </c>
      <c r="AJ1567">
        <v>76.814088587912906</v>
      </c>
      <c r="AK1567">
        <v>48.949943031890399</v>
      </c>
      <c r="AL1567">
        <v>87.684794155366504</v>
      </c>
      <c r="AM1567">
        <v>86.078397570595897</v>
      </c>
      <c r="AN1567">
        <v>1.0000000156097999</v>
      </c>
    </row>
    <row r="1568" spans="1:40" x14ac:dyDescent="0.25">
      <c r="A1568" t="str">
        <f>"20190312160629371"</f>
        <v>20190312160629371</v>
      </c>
      <c r="B1568" t="str">
        <f>"1552377989366147"</f>
        <v>1552377989366147</v>
      </c>
      <c r="C1568" t="s">
        <v>40</v>
      </c>
      <c r="D1568">
        <v>6.5089379999999997</v>
      </c>
      <c r="E1568">
        <v>0.56280259999999904</v>
      </c>
      <c r="F1568" t="s">
        <v>45</v>
      </c>
      <c r="G1568">
        <v>-224.36689999999999</v>
      </c>
      <c r="H1568">
        <v>-0.05</v>
      </c>
      <c r="I1568">
        <v>256.8415</v>
      </c>
      <c r="J1568">
        <v>-196.0309</v>
      </c>
      <c r="K1568">
        <v>1.1069230000000001</v>
      </c>
      <c r="L1568">
        <v>295.00580000000002</v>
      </c>
      <c r="M1568">
        <v>-0.39759939999999999</v>
      </c>
      <c r="N1568">
        <v>0</v>
      </c>
      <c r="O1568">
        <v>-0.91747339999999999</v>
      </c>
      <c r="P1568">
        <v>-0.45855770000000001</v>
      </c>
      <c r="Q1568">
        <v>2.702777E-2</v>
      </c>
      <c r="R1568">
        <v>-0.88825359999999998</v>
      </c>
      <c r="S1568">
        <v>-1.813339</v>
      </c>
      <c r="T1568">
        <v>-7.3820709999999998E-2</v>
      </c>
      <c r="U1568">
        <v>-2.4466860000000001</v>
      </c>
      <c r="V1568">
        <v>6.7846489999999995E-2</v>
      </c>
      <c r="W1568">
        <v>3.9024280000000001E-2</v>
      </c>
      <c r="X1568">
        <v>0.99693229999999999</v>
      </c>
      <c r="Y1568">
        <v>0.22670589999999999</v>
      </c>
      <c r="Z1568">
        <v>2.3342189999999999E-2</v>
      </c>
      <c r="AA1568">
        <v>0.97368350000000004</v>
      </c>
      <c r="AB1568">
        <v>20</v>
      </c>
      <c r="AC1568">
        <v>-28.335999999999899</v>
      </c>
      <c r="AD1568">
        <v>-1.1569229999999999</v>
      </c>
      <c r="AE1568">
        <v>-38.164299999999997</v>
      </c>
      <c r="AF1568">
        <v>10.817866327622299</v>
      </c>
      <c r="AG1568">
        <v>-1.1569229999999999</v>
      </c>
      <c r="AH1568">
        <v>46.257344214339099</v>
      </c>
      <c r="AI1568">
        <v>91.395075722505098</v>
      </c>
      <c r="AJ1568">
        <v>76.837217926237699</v>
      </c>
      <c r="AK1568">
        <v>47.519539102079698</v>
      </c>
      <c r="AL1568">
        <v>87.763505612373294</v>
      </c>
      <c r="AM1568">
        <v>86.106723837364797</v>
      </c>
      <c r="AN1568">
        <v>1.00000002570906</v>
      </c>
    </row>
    <row r="1569" spans="1:40" x14ac:dyDescent="0.25">
      <c r="A1569" t="str">
        <f>"20190312160629393"</f>
        <v>20190312160629393</v>
      </c>
      <c r="B1569" t="str">
        <f>"1552377989386643"</f>
        <v>1552377989386643</v>
      </c>
      <c r="C1569" t="s">
        <v>40</v>
      </c>
      <c r="D1569">
        <v>6.2998370000000001</v>
      </c>
      <c r="E1569">
        <v>0.5626333</v>
      </c>
      <c r="F1569" t="s">
        <v>45</v>
      </c>
      <c r="G1569">
        <v>-222.81569999999999</v>
      </c>
      <c r="H1569">
        <v>-0.05</v>
      </c>
      <c r="I1569">
        <v>259.23020000000002</v>
      </c>
      <c r="J1569">
        <v>-196.11799999999999</v>
      </c>
      <c r="K1569">
        <v>1.1067929999999999</v>
      </c>
      <c r="L1569">
        <v>294.8218</v>
      </c>
      <c r="M1569">
        <v>-0.40302130000000003</v>
      </c>
      <c r="N1569">
        <v>0</v>
      </c>
      <c r="O1569">
        <v>-0.91510469999999999</v>
      </c>
      <c r="P1569">
        <v>-0.46374349999999998</v>
      </c>
      <c r="Q1569">
        <v>2.582249E-2</v>
      </c>
      <c r="R1569">
        <v>-0.88559349999999903</v>
      </c>
      <c r="S1569">
        <v>-1.825043</v>
      </c>
      <c r="T1569">
        <v>-7.8829529999999995E-2</v>
      </c>
      <c r="U1569">
        <v>-2.4376530000000001</v>
      </c>
      <c r="V1569">
        <v>6.7764679999999994E-2</v>
      </c>
      <c r="W1569">
        <v>3.7812579999999998E-2</v>
      </c>
      <c r="X1569">
        <v>0.99698450000000005</v>
      </c>
      <c r="Y1569">
        <v>0.2256447</v>
      </c>
      <c r="Z1569">
        <v>2.4876200000000001E-2</v>
      </c>
      <c r="AA1569">
        <v>0.97389199999999998</v>
      </c>
      <c r="AB1569">
        <v>20</v>
      </c>
      <c r="AC1569">
        <v>-26.697700000000001</v>
      </c>
      <c r="AD1569">
        <v>-1.156793</v>
      </c>
      <c r="AE1569">
        <v>-35.5915999999999</v>
      </c>
      <c r="AF1569">
        <v>10.080996085272</v>
      </c>
      <c r="AG1569">
        <v>-1.156793</v>
      </c>
      <c r="AH1569">
        <v>43.303915124047897</v>
      </c>
      <c r="AI1569">
        <v>91.490365714828798</v>
      </c>
      <c r="AJ1569">
        <v>76.895156048531405</v>
      </c>
      <c r="AK1569">
        <v>44.476889697761699</v>
      </c>
      <c r="AL1569">
        <v>87.832982077920306</v>
      </c>
      <c r="AM1569">
        <v>86.111606952817596</v>
      </c>
      <c r="AN1569">
        <v>0.999999968151004</v>
      </c>
    </row>
    <row r="1570" spans="1:40" x14ac:dyDescent="0.25">
      <c r="A1570" t="str">
        <f>"20190312160629416"</f>
        <v>20190312160629416</v>
      </c>
      <c r="B1570" t="str">
        <f>"1552377989406164"</f>
        <v>1552377989406164</v>
      </c>
      <c r="C1570" t="s">
        <v>40</v>
      </c>
      <c r="D1570">
        <v>6.9614710000000004</v>
      </c>
      <c r="E1570">
        <v>0.56265730000000003</v>
      </c>
      <c r="F1570" t="s">
        <v>45</v>
      </c>
      <c r="G1570">
        <v>-221.8193</v>
      </c>
      <c r="H1570">
        <v>-0.05</v>
      </c>
      <c r="I1570">
        <v>260.87389999999999</v>
      </c>
      <c r="J1570">
        <v>-196.21019999999999</v>
      </c>
      <c r="K1570">
        <v>1.106654</v>
      </c>
      <c r="L1570">
        <v>294.63099999999997</v>
      </c>
      <c r="M1570">
        <v>-0.40888400000000003</v>
      </c>
      <c r="N1570">
        <v>0</v>
      </c>
      <c r="O1570">
        <v>-0.91249979999999997</v>
      </c>
      <c r="P1570">
        <v>-0.46940169999999998</v>
      </c>
      <c r="Q1570">
        <v>2.5631319999999999E-2</v>
      </c>
      <c r="R1570">
        <v>-0.88261229999999902</v>
      </c>
      <c r="S1570">
        <v>-1.8378749999999999</v>
      </c>
      <c r="T1570">
        <v>-8.2721230000000007E-2</v>
      </c>
      <c r="U1570">
        <v>-2.4275820000000001</v>
      </c>
      <c r="V1570">
        <v>6.7758090000000007E-2</v>
      </c>
      <c r="W1570">
        <v>3.7615309999999999E-2</v>
      </c>
      <c r="X1570">
        <v>0.99699249999999995</v>
      </c>
      <c r="Y1570">
        <v>0.2245907</v>
      </c>
      <c r="Z1570">
        <v>2.604772E-2</v>
      </c>
      <c r="AA1570">
        <v>0.974105</v>
      </c>
      <c r="AB1570">
        <v>20</v>
      </c>
      <c r="AC1570">
        <v>-25.609100000000002</v>
      </c>
      <c r="AD1570">
        <v>-1.1566540000000001</v>
      </c>
      <c r="AE1570">
        <v>-33.757099999999902</v>
      </c>
      <c r="AF1570">
        <v>9.5591930773133793</v>
      </c>
      <c r="AG1570">
        <v>-1.1566540000000001</v>
      </c>
      <c r="AH1570">
        <v>41.247023186786201</v>
      </c>
      <c r="AI1570">
        <v>91.564821777945895</v>
      </c>
      <c r="AJ1570">
        <v>76.951784351014894</v>
      </c>
      <c r="AK1570">
        <v>42.356026047498297</v>
      </c>
      <c r="AL1570">
        <v>87.844293056579502</v>
      </c>
      <c r="AM1570">
        <v>86.112015034881395</v>
      </c>
      <c r="AN1570">
        <v>1.00000005768154</v>
      </c>
    </row>
    <row r="1571" spans="1:40" x14ac:dyDescent="0.25">
      <c r="A1571" t="str">
        <f>"20190312160629440"</f>
        <v>20190312160629440</v>
      </c>
      <c r="B1571" t="str">
        <f>"1552377989426660"</f>
        <v>1552377989426660</v>
      </c>
      <c r="C1571" t="s">
        <v>40</v>
      </c>
      <c r="D1571">
        <v>6.3458180000000004</v>
      </c>
      <c r="E1571">
        <v>0.56266989999999995</v>
      </c>
      <c r="F1571" t="s">
        <v>45</v>
      </c>
      <c r="G1571">
        <v>-222.12190000000001</v>
      </c>
      <c r="H1571">
        <v>-0.05</v>
      </c>
      <c r="I1571">
        <v>260.86709999999999</v>
      </c>
      <c r="J1571">
        <v>-196.30350000000001</v>
      </c>
      <c r="K1571">
        <v>1.106514</v>
      </c>
      <c r="L1571">
        <v>294.4418</v>
      </c>
      <c r="M1571">
        <v>-0.4149369</v>
      </c>
      <c r="N1571">
        <v>0</v>
      </c>
      <c r="O1571">
        <v>-0.90976330000000005</v>
      </c>
      <c r="P1571">
        <v>-0.47486469999999997</v>
      </c>
      <c r="Q1571">
        <v>2.616974E-2</v>
      </c>
      <c r="R1571">
        <v>-0.8796699</v>
      </c>
      <c r="S1571">
        <v>-1.853745</v>
      </c>
      <c r="T1571">
        <v>-8.2747940000000006E-2</v>
      </c>
      <c r="U1571">
        <v>-2.4154969999999998</v>
      </c>
      <c r="V1571">
        <v>6.7339720000000006E-2</v>
      </c>
      <c r="W1571">
        <v>3.8153270000000003E-2</v>
      </c>
      <c r="X1571">
        <v>0.99700029999999995</v>
      </c>
      <c r="Y1571">
        <v>0.22449920000000001</v>
      </c>
      <c r="Z1571">
        <v>2.5999899999999999E-2</v>
      </c>
      <c r="AA1571">
        <v>0.97412739999999998</v>
      </c>
      <c r="AB1571">
        <v>20</v>
      </c>
      <c r="AC1571">
        <v>-25.8184</v>
      </c>
      <c r="AD1571">
        <v>-1.156514</v>
      </c>
      <c r="AE1571">
        <v>-33.5747</v>
      </c>
      <c r="AF1571">
        <v>9.5508851729128601</v>
      </c>
      <c r="AG1571">
        <v>-1.156514</v>
      </c>
      <c r="AH1571">
        <v>41.230556516615003</v>
      </c>
      <c r="AI1571">
        <v>91.565294518760894</v>
      </c>
      <c r="AJ1571">
        <v>76.957708159516898</v>
      </c>
      <c r="AK1571">
        <v>42.3381119428837</v>
      </c>
      <c r="AL1571">
        <v>87.813447851131002</v>
      </c>
      <c r="AM1571">
        <v>86.135978454359801</v>
      </c>
      <c r="AN1571">
        <v>0.99999995405072895</v>
      </c>
    </row>
    <row r="1572" spans="1:40" x14ac:dyDescent="0.25">
      <c r="A1572" t="str">
        <f>"20190312160629461"</f>
        <v>20190312160629461</v>
      </c>
      <c r="B1572" t="str">
        <f>"1552377989456915"</f>
        <v>1552377989456915</v>
      </c>
      <c r="C1572" t="s">
        <v>40</v>
      </c>
      <c r="D1572">
        <v>6.3620229999999998</v>
      </c>
      <c r="E1572">
        <v>0.56251329999999999</v>
      </c>
      <c r="F1572" t="s">
        <v>45</v>
      </c>
      <c r="G1572">
        <v>-223.3587</v>
      </c>
      <c r="H1572">
        <v>-0.05</v>
      </c>
      <c r="I1572">
        <v>259.64030000000002</v>
      </c>
      <c r="J1572">
        <v>-196.38939999999999</v>
      </c>
      <c r="K1572">
        <v>1.106403</v>
      </c>
      <c r="L1572">
        <v>294.2706</v>
      </c>
      <c r="M1572">
        <v>-0.42058570000000001</v>
      </c>
      <c r="N1572">
        <v>0</v>
      </c>
      <c r="O1572">
        <v>-0.90716560000000002</v>
      </c>
      <c r="P1572">
        <v>-0.48065649999999999</v>
      </c>
      <c r="Q1572">
        <v>2.6278900000000001E-2</v>
      </c>
      <c r="R1572">
        <v>-0.87651569999999901</v>
      </c>
      <c r="S1572">
        <v>-1.868851</v>
      </c>
      <c r="T1572">
        <v>-7.9886670000000007E-2</v>
      </c>
      <c r="U1572">
        <v>-2.403931</v>
      </c>
      <c r="V1572">
        <v>6.7729339999999999E-2</v>
      </c>
      <c r="W1572">
        <v>3.8258100000000003E-2</v>
      </c>
      <c r="X1572">
        <v>0.99696989999999996</v>
      </c>
      <c r="Y1572">
        <v>0.22454250000000001</v>
      </c>
      <c r="Z1572">
        <v>2.5049749999999999E-2</v>
      </c>
      <c r="AA1572">
        <v>0.97414230000000002</v>
      </c>
      <c r="AB1572">
        <v>20</v>
      </c>
      <c r="AC1572">
        <v>-26.9693</v>
      </c>
      <c r="AD1572">
        <v>-1.1564030000000001</v>
      </c>
      <c r="AE1572">
        <v>-34.630299999999899</v>
      </c>
      <c r="AF1572">
        <v>9.8945278292511798</v>
      </c>
      <c r="AG1572">
        <v>-1.1564030000000001</v>
      </c>
      <c r="AH1572">
        <v>42.732041676792598</v>
      </c>
      <c r="AI1572">
        <v>91.510207846851898</v>
      </c>
      <c r="AJ1572">
        <v>76.963014821922499</v>
      </c>
      <c r="AK1572">
        <v>43.877856997913803</v>
      </c>
      <c r="AL1572">
        <v>87.807437166815106</v>
      </c>
      <c r="AM1572">
        <v>86.1135718361854</v>
      </c>
      <c r="AN1572">
        <v>0.99999996360922705</v>
      </c>
    </row>
    <row r="1573" spans="1:40" x14ac:dyDescent="0.25">
      <c r="A1573" t="str">
        <f>"20190312160629483"</f>
        <v>20190312160629483</v>
      </c>
      <c r="B1573" t="str">
        <f>"1552377989476435"</f>
        <v>1552377989476435</v>
      </c>
      <c r="C1573" t="s">
        <v>40</v>
      </c>
      <c r="D1573">
        <v>6.5539459999999998</v>
      </c>
      <c r="E1573">
        <v>0.5625213</v>
      </c>
      <c r="F1573" t="s">
        <v>45</v>
      </c>
      <c r="G1573">
        <v>-223.25200000000001</v>
      </c>
      <c r="H1573">
        <v>-0.05</v>
      </c>
      <c r="I1573">
        <v>260.15379999999999</v>
      </c>
      <c r="J1573">
        <v>-196.4785</v>
      </c>
      <c r="K1573">
        <v>1.106304</v>
      </c>
      <c r="L1573">
        <v>294.09629999999999</v>
      </c>
      <c r="M1573">
        <v>-0.42650480000000002</v>
      </c>
      <c r="N1573">
        <v>0</v>
      </c>
      <c r="O1573">
        <v>-0.90439720000000001</v>
      </c>
      <c r="P1573">
        <v>-0.48710629999999999</v>
      </c>
      <c r="Q1573">
        <v>2.6339950000000001E-2</v>
      </c>
      <c r="R1573">
        <v>-0.87294539999999998</v>
      </c>
      <c r="S1573">
        <v>-1.8835599999999999</v>
      </c>
      <c r="T1573">
        <v>-8.1085089999999999E-2</v>
      </c>
      <c r="U1573">
        <v>-2.3922119999999998</v>
      </c>
      <c r="V1573">
        <v>6.8576650000000003E-2</v>
      </c>
      <c r="W1573">
        <v>3.8311940000000003E-2</v>
      </c>
      <c r="X1573">
        <v>0.99690990000000002</v>
      </c>
      <c r="Y1573">
        <v>0.22418540000000001</v>
      </c>
      <c r="Z1573">
        <v>2.536882E-2</v>
      </c>
      <c r="AA1573">
        <v>0.97421630000000004</v>
      </c>
      <c r="AB1573">
        <v>20</v>
      </c>
      <c r="AC1573">
        <v>-26.773499999999999</v>
      </c>
      <c r="AD1573">
        <v>-1.156304</v>
      </c>
      <c r="AE1573">
        <v>-33.942499999999903</v>
      </c>
      <c r="AF1573">
        <v>9.73105352701611</v>
      </c>
      <c r="AG1573">
        <v>-1.156304</v>
      </c>
      <c r="AH1573">
        <v>42.089773042042303</v>
      </c>
      <c r="AI1573">
        <v>91.5332287435849</v>
      </c>
      <c r="AJ1573">
        <v>76.982083895974199</v>
      </c>
      <c r="AK1573">
        <v>43.215499955649001</v>
      </c>
      <c r="AL1573">
        <v>87.804350080195803</v>
      </c>
      <c r="AM1573">
        <v>86.064867418065404</v>
      </c>
      <c r="AN1573">
        <v>0.99999995519489704</v>
      </c>
    </row>
    <row r="1574" spans="1:40" x14ac:dyDescent="0.25">
      <c r="A1574" t="str">
        <f>"20190312160629505"</f>
        <v>20190312160629505</v>
      </c>
      <c r="B1574" t="str">
        <f>"1552377989496932"</f>
        <v>1552377989496932</v>
      </c>
      <c r="C1574" t="s">
        <v>40</v>
      </c>
      <c r="D1574">
        <v>6.3812069999999999</v>
      </c>
      <c r="E1574">
        <v>0.56240400000000002</v>
      </c>
      <c r="F1574" t="s">
        <v>45</v>
      </c>
      <c r="G1574">
        <v>-223.36250000000001</v>
      </c>
      <c r="H1574">
        <v>-0.05</v>
      </c>
      <c r="I1574">
        <v>260.46350000000001</v>
      </c>
      <c r="J1574">
        <v>-196.5728</v>
      </c>
      <c r="K1574">
        <v>1.1061989999999999</v>
      </c>
      <c r="L1574">
        <v>293.91539999999998</v>
      </c>
      <c r="M1574">
        <v>-0.43283549999999898</v>
      </c>
      <c r="N1574">
        <v>0</v>
      </c>
      <c r="O1574">
        <v>-0.90138419999999997</v>
      </c>
      <c r="P1574">
        <v>-0.49435370000000001</v>
      </c>
      <c r="Q1574">
        <v>2.6185699999999999E-2</v>
      </c>
      <c r="R1574">
        <v>-0.86886620000000003</v>
      </c>
      <c r="S1574">
        <v>-1.901062</v>
      </c>
      <c r="T1574">
        <v>-8.1766489999999997E-2</v>
      </c>
      <c r="U1574">
        <v>-2.3782960000000002</v>
      </c>
      <c r="V1574">
        <v>6.9889290000000007E-2</v>
      </c>
      <c r="W1574">
        <v>3.8146600000000003E-2</v>
      </c>
      <c r="X1574">
        <v>0.99682510000000002</v>
      </c>
      <c r="Y1574">
        <v>0.2245036</v>
      </c>
      <c r="Z1574">
        <v>2.552244E-2</v>
      </c>
      <c r="AA1574">
        <v>0.97413899999999998</v>
      </c>
      <c r="AB1574">
        <v>20</v>
      </c>
      <c r="AC1574">
        <v>-26.7897</v>
      </c>
      <c r="AD1574">
        <v>-1.156199</v>
      </c>
      <c r="AE1574">
        <v>-33.451899999999902</v>
      </c>
      <c r="AF1574">
        <v>9.6623833453904808</v>
      </c>
      <c r="AG1574">
        <v>-1.156199</v>
      </c>
      <c r="AH1574">
        <v>41.721520963818698</v>
      </c>
      <c r="AI1574">
        <v>91.546480731185994</v>
      </c>
      <c r="AJ1574">
        <v>76.960616859221403</v>
      </c>
      <c r="AK1574">
        <v>42.841379057813299</v>
      </c>
      <c r="AL1574">
        <v>87.813830344720202</v>
      </c>
      <c r="AM1574">
        <v>85.989447644829895</v>
      </c>
      <c r="AN1574">
        <v>0.99999997796913598</v>
      </c>
    </row>
    <row r="1575" spans="1:40" x14ac:dyDescent="0.25">
      <c r="A1575" t="str">
        <f>"20190312160629529"</f>
        <v>20190312160629529</v>
      </c>
      <c r="B1575" t="str">
        <f>"1552377989516876"</f>
        <v>1552377989516876</v>
      </c>
      <c r="C1575" t="s">
        <v>40</v>
      </c>
      <c r="D1575">
        <v>6.35778</v>
      </c>
      <c r="E1575">
        <v>0.56218089999999998</v>
      </c>
      <c r="F1575" t="s">
        <v>45</v>
      </c>
      <c r="G1575">
        <v>-223.58330000000001</v>
      </c>
      <c r="H1575">
        <v>-0.05</v>
      </c>
      <c r="I1575">
        <v>260.67599999999999</v>
      </c>
      <c r="J1575">
        <v>-196.6722</v>
      </c>
      <c r="K1575">
        <v>1.1060890000000001</v>
      </c>
      <c r="L1575">
        <v>293.72829999999999</v>
      </c>
      <c r="M1575">
        <v>-0.4395792</v>
      </c>
      <c r="N1575">
        <v>0</v>
      </c>
      <c r="O1575">
        <v>-0.89811469999999904</v>
      </c>
      <c r="P1575">
        <v>-0.50178559999999905</v>
      </c>
      <c r="Q1575">
        <v>2.5546369999999999E-2</v>
      </c>
      <c r="R1575">
        <v>-0.86461499999999902</v>
      </c>
      <c r="S1575">
        <v>-1.9200440000000001</v>
      </c>
      <c r="T1575">
        <v>-8.2188369999999997E-2</v>
      </c>
      <c r="U1575">
        <v>-2.3628230000000001</v>
      </c>
      <c r="V1575">
        <v>7.0961330000000003E-2</v>
      </c>
      <c r="W1575">
        <v>3.7499049999999999E-2</v>
      </c>
      <c r="X1575">
        <v>0.99677400000000005</v>
      </c>
      <c r="Y1575">
        <v>0.22503329999999999</v>
      </c>
      <c r="Z1575">
        <v>2.559094E-2</v>
      </c>
      <c r="AA1575">
        <v>0.97401490000000002</v>
      </c>
      <c r="AB1575">
        <v>20</v>
      </c>
      <c r="AC1575">
        <v>-26.911100000000001</v>
      </c>
      <c r="AD1575">
        <v>-1.1560889999999999</v>
      </c>
      <c r="AE1575">
        <v>-33.052300000000002</v>
      </c>
      <c r="AF1575">
        <v>9.6338350204713397</v>
      </c>
      <c r="AG1575">
        <v>-1.1560889999999999</v>
      </c>
      <c r="AH1575">
        <v>41.487117576290998</v>
      </c>
      <c r="AI1575">
        <v>91.554854035764606</v>
      </c>
      <c r="AJ1575">
        <v>76.926885829920195</v>
      </c>
      <c r="AK1575">
        <v>42.6066690057621</v>
      </c>
      <c r="AL1575">
        <v>87.850958945835998</v>
      </c>
      <c r="AM1575">
        <v>85.927926641013897</v>
      </c>
      <c r="AN1575">
        <v>1.00000004809113</v>
      </c>
    </row>
    <row r="1576" spans="1:40" x14ac:dyDescent="0.25">
      <c r="A1576" t="str">
        <f>"20190312160629550"</f>
        <v>20190312160629550</v>
      </c>
      <c r="B1576" t="str">
        <f>"1552377989546157"</f>
        <v>1552377989546157</v>
      </c>
      <c r="C1576" t="s">
        <v>40</v>
      </c>
      <c r="D1576">
        <v>6.3969449999999997</v>
      </c>
      <c r="E1576">
        <v>0.56183159999999999</v>
      </c>
      <c r="F1576" t="s">
        <v>45</v>
      </c>
      <c r="G1576">
        <v>-223.24270000000001</v>
      </c>
      <c r="H1576">
        <v>-0.05</v>
      </c>
      <c r="I1576">
        <v>261.56049999999999</v>
      </c>
      <c r="J1576">
        <v>-196.76310000000001</v>
      </c>
      <c r="K1576">
        <v>1.1059779999999999</v>
      </c>
      <c r="L1576">
        <v>293.56060000000002</v>
      </c>
      <c r="M1576">
        <v>-0.44578909999999999</v>
      </c>
      <c r="N1576">
        <v>0</v>
      </c>
      <c r="O1576">
        <v>-0.89504830000000002</v>
      </c>
      <c r="P1576">
        <v>-0.50860830000000001</v>
      </c>
      <c r="Q1576">
        <v>2.5457460000000001E-2</v>
      </c>
      <c r="R1576">
        <v>-0.86062159999999999</v>
      </c>
      <c r="S1576">
        <v>-1.9387049999999999</v>
      </c>
      <c r="T1576">
        <v>-8.4353449999999996E-2</v>
      </c>
      <c r="U1576">
        <v>-2.3471069999999998</v>
      </c>
      <c r="V1576">
        <v>7.194913E-2</v>
      </c>
      <c r="W1576">
        <v>3.7402789999999998E-2</v>
      </c>
      <c r="X1576">
        <v>0.9967068</v>
      </c>
      <c r="Y1576">
        <v>0.226078</v>
      </c>
      <c r="Z1576">
        <v>2.6208889999999999E-2</v>
      </c>
      <c r="AA1576">
        <v>0.97375659999999997</v>
      </c>
      <c r="AB1576">
        <v>20</v>
      </c>
      <c r="AC1576">
        <v>-26.479600000000001</v>
      </c>
      <c r="AD1576">
        <v>-1.155978</v>
      </c>
      <c r="AE1576">
        <v>-32.000100000000003</v>
      </c>
      <c r="AF1576">
        <v>9.4286797560683109</v>
      </c>
      <c r="AG1576">
        <v>-1.155978</v>
      </c>
      <c r="AH1576">
        <v>40.417893882866899</v>
      </c>
      <c r="AI1576">
        <v>91.595436572003194</v>
      </c>
      <c r="AJ1576">
        <v>76.868884500604693</v>
      </c>
      <c r="AK1576">
        <v>41.519181506933201</v>
      </c>
      <c r="AL1576">
        <v>87.856478103806495</v>
      </c>
      <c r="AM1576">
        <v>85.871159606553206</v>
      </c>
      <c r="AN1576">
        <v>1.00000004558688</v>
      </c>
    </row>
    <row r="1577" spans="1:40" x14ac:dyDescent="0.25">
      <c r="A1577" t="str">
        <f>"20190312160629579"</f>
        <v>20190312160629579</v>
      </c>
      <c r="B1577" t="str">
        <f>"1552377989566652"</f>
        <v>1552377989566652</v>
      </c>
      <c r="C1577" t="s">
        <v>40</v>
      </c>
      <c r="D1577">
        <v>6.7380829999999996</v>
      </c>
      <c r="E1577">
        <v>0.56165240000000005</v>
      </c>
      <c r="F1577" t="s">
        <v>45</v>
      </c>
      <c r="G1577">
        <v>-223.07839999999999</v>
      </c>
      <c r="H1577">
        <v>-0.05</v>
      </c>
      <c r="I1577">
        <v>262.14859999999999</v>
      </c>
      <c r="J1577">
        <v>-196.88720000000001</v>
      </c>
      <c r="K1577">
        <v>1.1058319999999999</v>
      </c>
      <c r="L1577">
        <v>293.33679999999998</v>
      </c>
      <c r="M1577">
        <v>-0.45433649999999998</v>
      </c>
      <c r="N1577">
        <v>0</v>
      </c>
      <c r="O1577">
        <v>-0.89073939999999996</v>
      </c>
      <c r="P1577">
        <v>-0.51780619999999999</v>
      </c>
      <c r="Q1577">
        <v>2.5628560000000002E-2</v>
      </c>
      <c r="R1577">
        <v>-0.85511419999999905</v>
      </c>
      <c r="S1577">
        <v>-1.9546509999999999</v>
      </c>
      <c r="T1577">
        <v>-8.5863709999999996E-2</v>
      </c>
      <c r="U1577">
        <v>-2.333221</v>
      </c>
      <c r="V1577">
        <v>7.3111759999999998E-2</v>
      </c>
      <c r="W1577">
        <v>3.7565759999999997E-2</v>
      </c>
      <c r="X1577">
        <v>0.99661599999999995</v>
      </c>
      <c r="Y1577">
        <v>0.2235067</v>
      </c>
      <c r="Z1577">
        <v>2.6571009999999999E-2</v>
      </c>
      <c r="AA1577">
        <v>0.97434010000000004</v>
      </c>
      <c r="AB1577">
        <v>20</v>
      </c>
      <c r="AC1577">
        <v>-26.191199999999899</v>
      </c>
      <c r="AD1577">
        <v>-1.155832</v>
      </c>
      <c r="AE1577">
        <v>-31.188199999999899</v>
      </c>
      <c r="AF1577">
        <v>9.1529645883923596</v>
      </c>
      <c r="AG1577">
        <v>-1.155832</v>
      </c>
      <c r="AH1577">
        <v>39.651448211386203</v>
      </c>
      <c r="AI1577">
        <v>91.626928945507402</v>
      </c>
      <c r="AJ1577">
        <v>77.001774569290603</v>
      </c>
      <c r="AK1577">
        <v>40.710564398308598</v>
      </c>
      <c r="AL1577">
        <v>87.847133910715399</v>
      </c>
      <c r="AM1577">
        <v>85.804296914250401</v>
      </c>
      <c r="AN1577">
        <v>0.99999998361533704</v>
      </c>
    </row>
    <row r="1578" spans="1:40" x14ac:dyDescent="0.25">
      <c r="A1578" t="str">
        <f>"20190312160629594"</f>
        <v>20190312160629594</v>
      </c>
      <c r="B1578" t="str">
        <f>"1552377989586172"</f>
        <v>1552377989586172</v>
      </c>
      <c r="C1578" t="s">
        <v>40</v>
      </c>
      <c r="D1578">
        <v>6.3774309999999996</v>
      </c>
      <c r="E1578">
        <v>0.56158019999999997</v>
      </c>
      <c r="F1578" t="s">
        <v>45</v>
      </c>
      <c r="G1578">
        <v>-223.59190000000001</v>
      </c>
      <c r="H1578">
        <v>-0.05</v>
      </c>
      <c r="I1578">
        <v>262.1198</v>
      </c>
      <c r="J1578">
        <v>-196.96039999999999</v>
      </c>
      <c r="K1578">
        <v>1.1057429999999999</v>
      </c>
      <c r="L1578">
        <v>293.2072</v>
      </c>
      <c r="M1578">
        <v>-0.45940449999999999</v>
      </c>
      <c r="N1578">
        <v>0</v>
      </c>
      <c r="O1578">
        <v>-0.88813619999999904</v>
      </c>
      <c r="P1578">
        <v>-0.52322519999999995</v>
      </c>
      <c r="Q1578">
        <v>2.5584289999999999E-2</v>
      </c>
      <c r="R1578">
        <v>-0.85181079999999998</v>
      </c>
      <c r="S1578">
        <v>-1.9784999999999999</v>
      </c>
      <c r="T1578">
        <v>-8.5633399999999998E-2</v>
      </c>
      <c r="U1578">
        <v>-2.312805</v>
      </c>
      <c r="V1578">
        <v>7.3767879999999994E-2</v>
      </c>
      <c r="W1578">
        <v>3.7517160000000001E-2</v>
      </c>
      <c r="X1578">
        <v>0.9965695</v>
      </c>
      <c r="Y1578">
        <v>0.22800210000000001</v>
      </c>
      <c r="Z1578">
        <v>2.6474439999999998E-2</v>
      </c>
      <c r="AA1578">
        <v>0.97330059999999996</v>
      </c>
      <c r="AB1578">
        <v>20</v>
      </c>
      <c r="AC1578">
        <v>-26.631499999999999</v>
      </c>
      <c r="AD1578">
        <v>-1.155743</v>
      </c>
      <c r="AE1578">
        <v>-31.087399999999999</v>
      </c>
      <c r="AF1578">
        <v>9.3640005414479006</v>
      </c>
      <c r="AG1578">
        <v>-1.155743</v>
      </c>
      <c r="AH1578">
        <v>39.815957002722101</v>
      </c>
      <c r="AI1578">
        <v>91.618531098690298</v>
      </c>
      <c r="AJ1578">
        <v>76.765561467626995</v>
      </c>
      <c r="AK1578">
        <v>40.918585997867801</v>
      </c>
      <c r="AL1578">
        <v>87.849920491381496</v>
      </c>
      <c r="AM1578">
        <v>85.766583278124898</v>
      </c>
      <c r="AN1578">
        <v>1.0000000028722</v>
      </c>
    </row>
    <row r="1579" spans="1:40" x14ac:dyDescent="0.25">
      <c r="A1579" t="str">
        <f>"20190312160629618"</f>
        <v>20190312160629618</v>
      </c>
      <c r="B1579" t="str">
        <f>"1552377989606201"</f>
        <v>1552377989606201</v>
      </c>
      <c r="C1579" t="s">
        <v>40</v>
      </c>
      <c r="D1579">
        <v>6.5376979999999998</v>
      </c>
      <c r="E1579">
        <v>0.56148669999999901</v>
      </c>
      <c r="F1579" t="s">
        <v>45</v>
      </c>
      <c r="G1579">
        <v>-223.30369999999999</v>
      </c>
      <c r="H1579">
        <v>-0.05</v>
      </c>
      <c r="I1579">
        <v>262.791</v>
      </c>
      <c r="J1579">
        <v>-197.06649999999999</v>
      </c>
      <c r="K1579">
        <v>1.1056539999999999</v>
      </c>
      <c r="L1579">
        <v>293.02359999999999</v>
      </c>
      <c r="M1579">
        <v>-0.46675480000000003</v>
      </c>
      <c r="N1579">
        <v>0</v>
      </c>
      <c r="O1579">
        <v>-0.88429469999999999</v>
      </c>
      <c r="P1579">
        <v>-0.53099510000000005</v>
      </c>
      <c r="Q1579">
        <v>2.555578E-2</v>
      </c>
      <c r="R1579">
        <v>-0.84698960000000001</v>
      </c>
      <c r="S1579">
        <v>-1.9925539999999999</v>
      </c>
      <c r="T1579">
        <v>-8.7418200000000001E-2</v>
      </c>
      <c r="U1579">
        <v>-2.3006289999999998</v>
      </c>
      <c r="V1579">
        <v>7.4626860000000003E-2</v>
      </c>
      <c r="W1579">
        <v>3.7485230000000001E-2</v>
      </c>
      <c r="X1579">
        <v>0.99650680000000003</v>
      </c>
      <c r="Y1579">
        <v>0.22586249999999999</v>
      </c>
      <c r="Z1579">
        <v>2.6925589999999999E-2</v>
      </c>
      <c r="AA1579">
        <v>0.97378699999999996</v>
      </c>
      <c r="AB1579">
        <v>20</v>
      </c>
      <c r="AC1579">
        <v>-26.237200000000001</v>
      </c>
      <c r="AD1579">
        <v>-1.155654</v>
      </c>
      <c r="AE1579">
        <v>-30.232599999999898</v>
      </c>
      <c r="AF1579">
        <v>9.0833753267497794</v>
      </c>
      <c r="AG1579">
        <v>-1.155654</v>
      </c>
      <c r="AH1579">
        <v>38.951576637882802</v>
      </c>
      <c r="AI1579">
        <v>91.655030075250593</v>
      </c>
      <c r="AJ1579">
        <v>76.873407527713795</v>
      </c>
      <c r="AK1579">
        <v>40.013354846490699</v>
      </c>
      <c r="AL1579">
        <v>87.851751348810296</v>
      </c>
      <c r="AM1579">
        <v>85.717201727188694</v>
      </c>
      <c r="AN1579">
        <v>1.00000005657392</v>
      </c>
    </row>
    <row r="1580" spans="1:40" x14ac:dyDescent="0.25">
      <c r="A1580" t="str">
        <f>"20190312160629641"</f>
        <v>20190312160629641</v>
      </c>
      <c r="B1580" t="str">
        <f>"1552377989636457"</f>
        <v>1552377989636457</v>
      </c>
      <c r="C1580" t="s">
        <v>40</v>
      </c>
      <c r="D1580">
        <v>6.6322009999999896</v>
      </c>
      <c r="E1580">
        <v>0.55139389999999999</v>
      </c>
      <c r="F1580" t="s">
        <v>45</v>
      </c>
      <c r="G1580">
        <v>-223.63140000000001</v>
      </c>
      <c r="H1580">
        <v>-0.05</v>
      </c>
      <c r="I1580">
        <v>262.89580000000001</v>
      </c>
      <c r="J1580">
        <v>-197.17259999999999</v>
      </c>
      <c r="K1580">
        <v>1.105575</v>
      </c>
      <c r="L1580">
        <v>292.84339999999997</v>
      </c>
      <c r="M1580">
        <v>-0.47411999999999999</v>
      </c>
      <c r="N1580">
        <v>0</v>
      </c>
      <c r="O1580">
        <v>-0.88036749999999997</v>
      </c>
      <c r="P1580">
        <v>-0.53915489999999999</v>
      </c>
      <c r="Q1580">
        <v>2.5549539999999999E-2</v>
      </c>
      <c r="R1580">
        <v>-0.84181919999999899</v>
      </c>
      <c r="S1580">
        <v>-2.0128170000000001</v>
      </c>
      <c r="T1580">
        <v>-8.7563630000000003E-2</v>
      </c>
      <c r="U1580">
        <v>-2.2827760000000001</v>
      </c>
      <c r="V1580">
        <v>7.5945769999999996E-2</v>
      </c>
      <c r="W1580">
        <v>3.7471409999999997E-2</v>
      </c>
      <c r="X1580">
        <v>0.99640759999999995</v>
      </c>
      <c r="Y1580">
        <v>0.22637180000000001</v>
      </c>
      <c r="Z1580">
        <v>2.6886259999999999E-2</v>
      </c>
      <c r="AA1580">
        <v>0.97366980000000003</v>
      </c>
      <c r="AB1580">
        <v>20</v>
      </c>
      <c r="AC1580">
        <v>-26.4588</v>
      </c>
      <c r="AD1580">
        <v>-1.155575</v>
      </c>
      <c r="AE1580">
        <v>-29.947599999999898</v>
      </c>
      <c r="AF1580">
        <v>9.0878548448322807</v>
      </c>
      <c r="AG1580">
        <v>-1.155575</v>
      </c>
      <c r="AH1580">
        <v>38.880205458606</v>
      </c>
      <c r="AI1580">
        <v>91.657753885455804</v>
      </c>
      <c r="AJ1580">
        <v>76.8438885887617</v>
      </c>
      <c r="AK1580">
        <v>39.944897493481903</v>
      </c>
      <c r="AL1580">
        <v>87.852543581387195</v>
      </c>
      <c r="AM1580">
        <v>85.641367026752803</v>
      </c>
      <c r="AN1580">
        <v>0.99999998594301998</v>
      </c>
    </row>
    <row r="1581" spans="1:40" x14ac:dyDescent="0.25">
      <c r="A1581" t="str">
        <f>"20190312160629673"</f>
        <v>20190312160629673</v>
      </c>
      <c r="B1581" t="str">
        <f>"1552377989666713"</f>
        <v>1552377989666713</v>
      </c>
      <c r="C1581" t="s">
        <v>40</v>
      </c>
      <c r="D1581">
        <v>6.5956080000000004</v>
      </c>
      <c r="E1581">
        <v>0.56024969999999996</v>
      </c>
      <c r="F1581" t="s">
        <v>61</v>
      </c>
      <c r="G1581">
        <v>-208.45930000000001</v>
      </c>
      <c r="H1581">
        <v>4.2332199999999903E-2</v>
      </c>
      <c r="I1581">
        <v>279.61630000000002</v>
      </c>
      <c r="J1581">
        <v>-197.31899999999999</v>
      </c>
      <c r="K1581">
        <v>1.105478</v>
      </c>
      <c r="L1581">
        <v>292.60070000000002</v>
      </c>
      <c r="M1581">
        <v>-0.48427239999999999</v>
      </c>
      <c r="N1581">
        <v>0</v>
      </c>
      <c r="O1581">
        <v>-0.87482359999999904</v>
      </c>
      <c r="P1581">
        <v>-0.54987419999999998</v>
      </c>
      <c r="Q1581">
        <v>2.5842569999999999E-2</v>
      </c>
      <c r="R1581">
        <v>-0.83484789999999998</v>
      </c>
      <c r="S1581">
        <v>-1.9693909999999999</v>
      </c>
      <c r="T1581">
        <v>-0.1855241</v>
      </c>
      <c r="U1581">
        <v>-2.3079830000000001</v>
      </c>
      <c r="V1581">
        <v>7.7175889999999997E-2</v>
      </c>
      <c r="W1581">
        <v>3.7762070000000002E-2</v>
      </c>
      <c r="X1581">
        <v>0.99630209999999997</v>
      </c>
      <c r="Y1581">
        <v>0.19831009999999999</v>
      </c>
      <c r="Z1581">
        <v>5.6373670000000001E-2</v>
      </c>
      <c r="AA1581">
        <v>0.97851679999999996</v>
      </c>
      <c r="AB1581">
        <v>20</v>
      </c>
      <c r="AC1581">
        <v>-11.1402999999999</v>
      </c>
      <c r="AD1581">
        <v>-1.0631458</v>
      </c>
      <c r="AE1581">
        <v>-12.9843999999999</v>
      </c>
      <c r="AF1581">
        <v>3.4447919895292398</v>
      </c>
      <c r="AG1581">
        <v>-1.0631458</v>
      </c>
      <c r="AH1581">
        <v>16.690919819025101</v>
      </c>
      <c r="AI1581">
        <v>93.569561232398996</v>
      </c>
      <c r="AJ1581">
        <v>78.338620107701402</v>
      </c>
      <c r="AK1581">
        <v>17.075821363797001</v>
      </c>
      <c r="AL1581">
        <v>87.835878188778807</v>
      </c>
      <c r="AM1581">
        <v>85.570580281247601</v>
      </c>
      <c r="AN1581">
        <v>0.99999998319619299</v>
      </c>
    </row>
    <row r="1582" spans="1:40" x14ac:dyDescent="0.25">
      <c r="A1582" t="str">
        <f>"20190312160629695"</f>
        <v>20190312160629695</v>
      </c>
      <c r="B1582" t="str">
        <f>"1552377989686234"</f>
        <v>1552377989686234</v>
      </c>
      <c r="C1582" t="s">
        <v>40</v>
      </c>
      <c r="D1582">
        <v>6.415591</v>
      </c>
      <c r="E1582">
        <v>0.56951359999999995</v>
      </c>
      <c r="F1582" t="s">
        <v>66</v>
      </c>
      <c r="G1582">
        <v>-212.39609999999999</v>
      </c>
      <c r="H1582">
        <v>8.0000760000000004E-2</v>
      </c>
      <c r="I1582">
        <v>276.1551</v>
      </c>
      <c r="J1582">
        <v>-197.42449999999999</v>
      </c>
      <c r="K1582">
        <v>1.105416</v>
      </c>
      <c r="L1582">
        <v>292.43029999999999</v>
      </c>
      <c r="M1582">
        <v>-0.49157079999999997</v>
      </c>
      <c r="N1582">
        <v>0</v>
      </c>
      <c r="O1582">
        <v>-0.87074300000000004</v>
      </c>
      <c r="P1582">
        <v>-0.55769619999999998</v>
      </c>
      <c r="Q1582">
        <v>2.6041249999999998E-2</v>
      </c>
      <c r="R1582">
        <v>-0.82963679999999995</v>
      </c>
      <c r="S1582">
        <v>-2.056549</v>
      </c>
      <c r="T1582">
        <v>-0.13987769999999999</v>
      </c>
      <c r="U1582">
        <v>-2.2432249999999998</v>
      </c>
      <c r="V1582">
        <v>7.822055E-2</v>
      </c>
      <c r="W1582">
        <v>3.7957440000000002E-2</v>
      </c>
      <c r="X1582">
        <v>0.99621320000000002</v>
      </c>
      <c r="Y1582">
        <v>0.2254031</v>
      </c>
      <c r="Z1582">
        <v>4.2566960000000001E-2</v>
      </c>
      <c r="AA1582">
        <v>0.97333530000000001</v>
      </c>
      <c r="AB1582">
        <v>20</v>
      </c>
      <c r="AC1582">
        <v>-14.971599999999899</v>
      </c>
      <c r="AD1582">
        <v>-1.0254152400000001</v>
      </c>
      <c r="AE1582">
        <v>-16.275199999999899</v>
      </c>
      <c r="AF1582">
        <v>5.0256120920100704</v>
      </c>
      <c r="AG1582">
        <v>-1.0254152400000001</v>
      </c>
      <c r="AH1582">
        <v>21.486692972374499</v>
      </c>
      <c r="AI1582">
        <v>92.660570093007195</v>
      </c>
      <c r="AJ1582">
        <v>76.835507387052203</v>
      </c>
      <c r="AK1582">
        <v>22.090410322193399</v>
      </c>
      <c r="AL1582">
        <v>87.824676275789301</v>
      </c>
      <c r="AM1582">
        <v>85.510467729124201</v>
      </c>
      <c r="AN1582">
        <v>0.99999998077394703</v>
      </c>
    </row>
    <row r="1583" spans="1:40" x14ac:dyDescent="0.25">
      <c r="A1583" t="str">
        <f>"20190312160629716"</f>
        <v>20190312160629716</v>
      </c>
      <c r="B1583" t="str">
        <f>"1552377989706733"</f>
        <v>1552377989706733</v>
      </c>
      <c r="C1583" t="s">
        <v>40</v>
      </c>
      <c r="D1583">
        <v>6.2450219999999996</v>
      </c>
      <c r="E1583">
        <v>0.57572840000000003</v>
      </c>
      <c r="F1583" t="s">
        <v>45</v>
      </c>
      <c r="G1583">
        <v>-235.77459999999999</v>
      </c>
      <c r="H1583">
        <v>-0.05</v>
      </c>
      <c r="I1583">
        <v>253.27940000000001</v>
      </c>
      <c r="J1583">
        <v>-197.53039999999999</v>
      </c>
      <c r="K1583">
        <v>1.1053409999999999</v>
      </c>
      <c r="L1583">
        <v>292.26260000000002</v>
      </c>
      <c r="M1583">
        <v>-0.49890079999999998</v>
      </c>
      <c r="N1583">
        <v>0</v>
      </c>
      <c r="O1583">
        <v>-0.866563999999999</v>
      </c>
      <c r="P1583">
        <v>-0.56515150000000003</v>
      </c>
      <c r="Q1583">
        <v>2.6672749999999999E-2</v>
      </c>
      <c r="R1583">
        <v>-0.82455579999999995</v>
      </c>
      <c r="S1583">
        <v>-2.1369319999999998</v>
      </c>
      <c r="T1583">
        <v>-6.4381599999999997E-2</v>
      </c>
      <c r="U1583">
        <v>-2.181549</v>
      </c>
      <c r="V1583">
        <v>7.8818570000000004E-2</v>
      </c>
      <c r="W1583">
        <v>3.8589249999999999E-2</v>
      </c>
      <c r="X1583">
        <v>0.99614179999999997</v>
      </c>
      <c r="Y1583">
        <v>0.24985589999999999</v>
      </c>
      <c r="Z1583">
        <v>1.960249E-2</v>
      </c>
      <c r="AA1583">
        <v>0.96808459999999996</v>
      </c>
      <c r="AB1583">
        <v>20</v>
      </c>
      <c r="AC1583">
        <v>-38.244199999999999</v>
      </c>
      <c r="AD1583">
        <v>-1.155341</v>
      </c>
      <c r="AE1583">
        <v>-38.983199999999997</v>
      </c>
      <c r="AF1583">
        <v>13.687299702029399</v>
      </c>
      <c r="AG1583">
        <v>-1.155341</v>
      </c>
      <c r="AH1583">
        <v>52.842205748056003</v>
      </c>
      <c r="AI1583">
        <v>91.212511920678594</v>
      </c>
      <c r="AJ1583">
        <v>75.478277453633495</v>
      </c>
      <c r="AK1583">
        <v>54.598312192588303</v>
      </c>
      <c r="AL1583">
        <v>87.7884497086891</v>
      </c>
      <c r="AM1583">
        <v>85.475962913313793</v>
      </c>
      <c r="AN1583">
        <v>0.99999999144982299</v>
      </c>
    </row>
    <row r="1584" spans="1:40" x14ac:dyDescent="0.25">
      <c r="A1584" t="str">
        <f>"20190312160629738"</f>
        <v>20190312160629738</v>
      </c>
      <c r="B1584" t="str">
        <f>"1552377989726253"</f>
        <v>1552377989726253</v>
      </c>
      <c r="C1584" t="s">
        <v>40</v>
      </c>
      <c r="D1584">
        <v>4.7770979999999996</v>
      </c>
      <c r="E1584">
        <v>0.57946600000000004</v>
      </c>
      <c r="F1584" t="s">
        <v>67</v>
      </c>
      <c r="G1584">
        <v>-233.30009999999999</v>
      </c>
      <c r="H1584">
        <v>0.31135610000000002</v>
      </c>
      <c r="I1584">
        <v>257.52109999999999</v>
      </c>
      <c r="J1584">
        <v>-197.6378</v>
      </c>
      <c r="K1584">
        <v>1.1052649999999999</v>
      </c>
      <c r="L1584">
        <v>292.09609999999998</v>
      </c>
      <c r="M1584">
        <v>-0.50629820000000003</v>
      </c>
      <c r="N1584">
        <v>0</v>
      </c>
      <c r="O1584">
        <v>-0.86226239999999998</v>
      </c>
      <c r="P1584">
        <v>-0.57206389999999996</v>
      </c>
      <c r="Q1584">
        <v>2.7077670000000002E-2</v>
      </c>
      <c r="R1584">
        <v>-0.81976229999999894</v>
      </c>
      <c r="S1584">
        <v>-2.1971590000000001</v>
      </c>
      <c r="T1584">
        <v>-4.8770550000000003E-2</v>
      </c>
      <c r="U1584">
        <v>-2.1340029999999999</v>
      </c>
      <c r="V1584">
        <v>7.8687590000000002E-2</v>
      </c>
      <c r="W1584">
        <v>3.9003799999999998E-2</v>
      </c>
      <c r="X1584">
        <v>0.99613600000000002</v>
      </c>
      <c r="Y1584">
        <v>0.2657195</v>
      </c>
      <c r="Z1584">
        <v>1.4820059999999999E-2</v>
      </c>
      <c r="AA1584">
        <v>0.96393640000000003</v>
      </c>
      <c r="AB1584">
        <v>20</v>
      </c>
      <c r="AC1584">
        <v>-35.662299999999902</v>
      </c>
      <c r="AD1584">
        <v>-0.79390889999999903</v>
      </c>
      <c r="AE1584">
        <v>-34.574999999999903</v>
      </c>
      <c r="AF1584">
        <v>13.242714463920001</v>
      </c>
      <c r="AG1584">
        <v>-0.79390889999999903</v>
      </c>
      <c r="AH1584">
        <v>47.860220226426101</v>
      </c>
      <c r="AI1584">
        <v>90.915930237832697</v>
      </c>
      <c r="AJ1584">
        <v>74.533465359977399</v>
      </c>
      <c r="AK1584">
        <v>49.664881534505</v>
      </c>
      <c r="AL1584">
        <v>87.764679825900203</v>
      </c>
      <c r="AM1584">
        <v>85.483423597770596</v>
      </c>
      <c r="AN1584">
        <v>0.99999998186522399</v>
      </c>
    </row>
    <row r="1585" spans="1:40" x14ac:dyDescent="0.25">
      <c r="A1585" t="str">
        <f>"20190312160629760"</f>
        <v>20190312160629760</v>
      </c>
      <c r="B1585" t="str">
        <f>"1552377989756505"</f>
        <v>1552377989756505</v>
      </c>
      <c r="C1585" t="s">
        <v>40</v>
      </c>
      <c r="D1585">
        <v>4.8638180000000002</v>
      </c>
      <c r="E1585">
        <v>0.58276859999999997</v>
      </c>
      <c r="F1585" t="s">
        <v>67</v>
      </c>
      <c r="G1585">
        <v>-233.30019999999999</v>
      </c>
      <c r="H1585">
        <v>0.86133119999999996</v>
      </c>
      <c r="I1585">
        <v>258.67450000000002</v>
      </c>
      <c r="J1585">
        <v>-197.74520000000001</v>
      </c>
      <c r="K1585">
        <v>1.1052040000000001</v>
      </c>
      <c r="L1585">
        <v>291.93299999999999</v>
      </c>
      <c r="M1585">
        <v>-0.51366009999999995</v>
      </c>
      <c r="N1585">
        <v>0</v>
      </c>
      <c r="O1585">
        <v>-0.85789689999999996</v>
      </c>
      <c r="P1585">
        <v>-0.57971729999999999</v>
      </c>
      <c r="Q1585">
        <v>2.6385470000000001E-2</v>
      </c>
      <c r="R1585">
        <v>-0.81439059999999996</v>
      </c>
      <c r="S1585">
        <v>-2.238556</v>
      </c>
      <c r="T1585">
        <v>-1.5311719999999999E-2</v>
      </c>
      <c r="U1585">
        <v>-2.0979000000000001</v>
      </c>
      <c r="V1585">
        <v>7.9479099999999997E-2</v>
      </c>
      <c r="W1585">
        <v>3.8310509999999999E-2</v>
      </c>
      <c r="X1585">
        <v>0.99610010000000004</v>
      </c>
      <c r="Y1585">
        <v>0.27473880000000001</v>
      </c>
      <c r="Z1585">
        <v>4.6410540000000004E-3</v>
      </c>
      <c r="AA1585">
        <v>0.96150769999999997</v>
      </c>
      <c r="AB1585">
        <v>20</v>
      </c>
      <c r="AC1585">
        <v>-35.5549999999999</v>
      </c>
      <c r="AD1585">
        <v>-0.2438728</v>
      </c>
      <c r="AE1585">
        <v>-33.258499999999898</v>
      </c>
      <c r="AF1585">
        <v>13.4197384487397</v>
      </c>
      <c r="AG1585">
        <v>-0.2438728</v>
      </c>
      <c r="AH1585">
        <v>46.798264111064697</v>
      </c>
      <c r="AI1585">
        <v>90.287007271355606</v>
      </c>
      <c r="AJ1585">
        <v>73.999375353182202</v>
      </c>
      <c r="AK1585">
        <v>48.6849707587889</v>
      </c>
      <c r="AL1585">
        <v>87.804432206633194</v>
      </c>
      <c r="AM1585">
        <v>85.438018932528905</v>
      </c>
      <c r="AN1585">
        <v>1.00000001586663</v>
      </c>
    </row>
    <row r="1586" spans="1:40" x14ac:dyDescent="0.25">
      <c r="A1586" t="str">
        <f>"20190312160629783"</f>
        <v>20190312160629783</v>
      </c>
      <c r="B1586" t="str">
        <f>"1552377989777002"</f>
        <v>1552377989777002</v>
      </c>
      <c r="C1586" t="s">
        <v>40</v>
      </c>
      <c r="D1586">
        <v>6.4657619999999998</v>
      </c>
      <c r="E1586">
        <v>0.58366479999999998</v>
      </c>
      <c r="F1586" t="s">
        <v>67</v>
      </c>
      <c r="G1586">
        <v>-232.98689999999999</v>
      </c>
      <c r="H1586">
        <v>1.2431570000000001</v>
      </c>
      <c r="I1586">
        <v>260.0566</v>
      </c>
      <c r="J1586">
        <v>-197.86320000000001</v>
      </c>
      <c r="K1586">
        <v>1.1051409999999999</v>
      </c>
      <c r="L1586">
        <v>291.75760000000002</v>
      </c>
      <c r="M1586">
        <v>-0.52171540000000005</v>
      </c>
      <c r="N1586">
        <v>0</v>
      </c>
      <c r="O1586">
        <v>-0.8530219</v>
      </c>
      <c r="P1586">
        <v>-0.58813859999999996</v>
      </c>
      <c r="Q1586">
        <v>2.6991970000000001E-2</v>
      </c>
      <c r="R1586">
        <v>-0.80830979999999997</v>
      </c>
      <c r="S1586">
        <v>-2.2789000000000001</v>
      </c>
      <c r="T1586">
        <v>8.920908E-3</v>
      </c>
      <c r="U1586">
        <v>-2.0612789999999999</v>
      </c>
      <c r="V1586">
        <v>8.0462740000000005E-2</v>
      </c>
      <c r="W1586">
        <v>3.8912790000000003E-2</v>
      </c>
      <c r="X1586">
        <v>0.99599780000000004</v>
      </c>
      <c r="Y1586">
        <v>0.28267569999999997</v>
      </c>
      <c r="Z1586">
        <v>-2.695205E-3</v>
      </c>
      <c r="AA1586">
        <v>0.95921179999999995</v>
      </c>
      <c r="AB1586">
        <v>20</v>
      </c>
      <c r="AC1586">
        <v>-35.1236999999999</v>
      </c>
      <c r="AD1586">
        <v>0.138016</v>
      </c>
      <c r="AE1586">
        <v>-31.701000000000001</v>
      </c>
      <c r="AF1586">
        <v>13.423389952663999</v>
      </c>
      <c r="AG1586">
        <v>0.138016</v>
      </c>
      <c r="AH1586">
        <v>45.369617681025801</v>
      </c>
      <c r="AI1586">
        <v>89.832866466301994</v>
      </c>
      <c r="AJ1586">
        <v>73.518232944541097</v>
      </c>
      <c r="AK1586">
        <v>47.313937214736001</v>
      </c>
      <c r="AL1586">
        <v>87.769898401076503</v>
      </c>
      <c r="AM1586">
        <v>85.381329921988197</v>
      </c>
      <c r="AN1586">
        <v>1.0000000376793601</v>
      </c>
    </row>
    <row r="1587" spans="1:40" x14ac:dyDescent="0.25">
      <c r="A1587" t="str">
        <f>"20190312160629808"</f>
        <v>20190312160629808</v>
      </c>
      <c r="B1587" t="str">
        <f>"1552377989796525"</f>
        <v>1552377989796525</v>
      </c>
      <c r="C1587" t="s">
        <v>40</v>
      </c>
      <c r="D1587">
        <v>5.8977089999999999</v>
      </c>
      <c r="E1587">
        <v>0.58357360000000003</v>
      </c>
      <c r="F1587" t="s">
        <v>67</v>
      </c>
      <c r="G1587">
        <v>-232.99639999999999</v>
      </c>
      <c r="H1587">
        <v>1.326492</v>
      </c>
      <c r="I1587">
        <v>260.77730000000003</v>
      </c>
      <c r="J1587">
        <v>-197.9838</v>
      </c>
      <c r="K1587">
        <v>1.1050819999999999</v>
      </c>
      <c r="L1587">
        <v>291.58190000000002</v>
      </c>
      <c r="M1587">
        <v>-0.52991809999999995</v>
      </c>
      <c r="N1587">
        <v>0</v>
      </c>
      <c r="O1587">
        <v>-0.84795010000000004</v>
      </c>
      <c r="P1587">
        <v>-0.59625519999999999</v>
      </c>
      <c r="Q1587">
        <v>2.7926019999999999E-2</v>
      </c>
      <c r="R1587">
        <v>-0.80230959999999996</v>
      </c>
      <c r="S1587">
        <v>-2.3057560000000001</v>
      </c>
      <c r="T1587">
        <v>1.452732E-2</v>
      </c>
      <c r="U1587">
        <v>-2.0332029999999999</v>
      </c>
      <c r="V1587">
        <v>8.0929559999999998E-2</v>
      </c>
      <c r="W1587">
        <v>3.9849999999999997E-2</v>
      </c>
      <c r="X1587">
        <v>0.99592290000000006</v>
      </c>
      <c r="Y1587">
        <v>0.28553630000000002</v>
      </c>
      <c r="Z1587">
        <v>-4.3725459999999997E-3</v>
      </c>
      <c r="AA1587">
        <v>0.95835789999999998</v>
      </c>
      <c r="AB1587">
        <v>20</v>
      </c>
      <c r="AC1587">
        <v>-35.0125999999999</v>
      </c>
      <c r="AD1587">
        <v>0.22141</v>
      </c>
      <c r="AE1587">
        <v>-30.804599999999901</v>
      </c>
      <c r="AF1587">
        <v>13.3658403161555</v>
      </c>
      <c r="AG1587">
        <v>0.22141</v>
      </c>
      <c r="AH1587">
        <v>44.677307563256001</v>
      </c>
      <c r="AI1587">
        <v>89.727970392367794</v>
      </c>
      <c r="AJ1587">
        <v>73.344712185810494</v>
      </c>
      <c r="AK1587">
        <v>46.634284821865201</v>
      </c>
      <c r="AL1587">
        <v>87.716158493387695</v>
      </c>
      <c r="AM1587">
        <v>85.354302928745099</v>
      </c>
      <c r="AN1587">
        <v>1.0000000194631</v>
      </c>
    </row>
    <row r="1588" spans="1:40" x14ac:dyDescent="0.25">
      <c r="A1588" t="str">
        <f>"20190312160629830"</f>
        <v>20190312160629830</v>
      </c>
      <c r="B1588" t="str">
        <f>"1552377989826778"</f>
        <v>1552377989826778</v>
      </c>
      <c r="C1588" t="s">
        <v>40</v>
      </c>
      <c r="D1588">
        <v>6.2523569999999999</v>
      </c>
      <c r="E1588">
        <v>0.58456519999999901</v>
      </c>
      <c r="F1588" t="s">
        <v>67</v>
      </c>
      <c r="G1588">
        <v>-233.3004</v>
      </c>
      <c r="H1588">
        <v>1.43972099999999</v>
      </c>
      <c r="I1588">
        <v>261.05149999999998</v>
      </c>
      <c r="J1588">
        <v>-198.1035</v>
      </c>
      <c r="K1588">
        <v>1.105016</v>
      </c>
      <c r="L1588">
        <v>291.41140000000001</v>
      </c>
      <c r="M1588">
        <v>-0.53800709999999996</v>
      </c>
      <c r="N1588">
        <v>0</v>
      </c>
      <c r="O1588">
        <v>-0.84284059999999905</v>
      </c>
      <c r="P1588">
        <v>-0.60378160000000003</v>
      </c>
      <c r="Q1588">
        <v>2.8098060000000001E-2</v>
      </c>
      <c r="R1588">
        <v>-0.7966548</v>
      </c>
      <c r="S1588">
        <v>-2.3253629999999998</v>
      </c>
      <c r="T1588">
        <v>2.203393E-2</v>
      </c>
      <c r="U1588">
        <v>-2.0102229999999999</v>
      </c>
      <c r="V1588">
        <v>8.0787559999999994E-2</v>
      </c>
      <c r="W1588">
        <v>4.0034390000000003E-2</v>
      </c>
      <c r="X1588">
        <v>0.99592700000000001</v>
      </c>
      <c r="Y1588">
        <v>0.28577259999999999</v>
      </c>
      <c r="Z1588">
        <v>-6.6049209999999997E-3</v>
      </c>
      <c r="AA1588">
        <v>0.95827470000000003</v>
      </c>
      <c r="AB1588">
        <v>20</v>
      </c>
      <c r="AC1588">
        <v>-35.196899999999999</v>
      </c>
      <c r="AD1588">
        <v>0.33470499999999898</v>
      </c>
      <c r="AE1588">
        <v>-30.3599</v>
      </c>
      <c r="AF1588">
        <v>13.3319638227028</v>
      </c>
      <c r="AG1588">
        <v>0.33470499999999898</v>
      </c>
      <c r="AH1588">
        <v>44.526172087899504</v>
      </c>
      <c r="AI1588">
        <v>89.587410514793206</v>
      </c>
      <c r="AJ1588">
        <v>73.331322246830695</v>
      </c>
      <c r="AK1588">
        <v>46.480461353219397</v>
      </c>
      <c r="AL1588">
        <v>87.705585209970906</v>
      </c>
      <c r="AM1588">
        <v>85.362437747701506</v>
      </c>
      <c r="AN1588">
        <v>0.99999998578121196</v>
      </c>
    </row>
    <row r="1589" spans="1:40" x14ac:dyDescent="0.25">
      <c r="A1589" t="str">
        <f>"20190312160629855"</f>
        <v>20190312160629855</v>
      </c>
      <c r="B1589" t="str">
        <f>"1552377989846297"</f>
        <v>1552377989846297</v>
      </c>
      <c r="C1589" t="s">
        <v>40</v>
      </c>
      <c r="D1589">
        <v>6.3325690000000003</v>
      </c>
      <c r="E1589">
        <v>0.58492699999999997</v>
      </c>
      <c r="F1589" t="s">
        <v>67</v>
      </c>
      <c r="G1589">
        <v>-233.3005</v>
      </c>
      <c r="H1589">
        <v>1.6780980000000001</v>
      </c>
      <c r="I1589">
        <v>261.70870000000002</v>
      </c>
      <c r="J1589">
        <v>-198.22900000000001</v>
      </c>
      <c r="K1589">
        <v>1.1049530000000001</v>
      </c>
      <c r="L1589">
        <v>291.23649999999998</v>
      </c>
      <c r="M1589">
        <v>-0.54643739999999996</v>
      </c>
      <c r="N1589">
        <v>0</v>
      </c>
      <c r="O1589">
        <v>-0.83739909999999995</v>
      </c>
      <c r="P1589">
        <v>-0.61213459999999997</v>
      </c>
      <c r="Q1589">
        <v>2.780405E-2</v>
      </c>
      <c r="R1589">
        <v>-0.79026470000000004</v>
      </c>
      <c r="S1589">
        <v>-2.3501430000000001</v>
      </c>
      <c r="T1589">
        <v>3.8265470000000003E-2</v>
      </c>
      <c r="U1589">
        <v>-1.983276</v>
      </c>
      <c r="V1589">
        <v>8.1276109999999999E-2</v>
      </c>
      <c r="W1589">
        <v>3.9744219999999997E-2</v>
      </c>
      <c r="X1589">
        <v>0.99589890000000003</v>
      </c>
      <c r="Y1589">
        <v>0.28751959999999999</v>
      </c>
      <c r="Z1589">
        <v>-1.1418960000000001E-2</v>
      </c>
      <c r="AA1589">
        <v>0.95770670000000002</v>
      </c>
      <c r="AB1589">
        <v>20</v>
      </c>
      <c r="AC1589">
        <v>-35.071499999999901</v>
      </c>
      <c r="AD1589">
        <v>0.57314499999999902</v>
      </c>
      <c r="AE1589">
        <v>-29.5277999999999</v>
      </c>
      <c r="AF1589">
        <v>13.2327980229728</v>
      </c>
      <c r="AG1589">
        <v>0.57314499999999902</v>
      </c>
      <c r="AH1589">
        <v>43.887780818531603</v>
      </c>
      <c r="AI1589">
        <v>89.283648389642394</v>
      </c>
      <c r="AJ1589">
        <v>73.221184498774306</v>
      </c>
      <c r="AK1589">
        <v>45.842913780466603</v>
      </c>
      <c r="AL1589">
        <v>87.722224033739295</v>
      </c>
      <c r="AM1589">
        <v>85.334385198829196</v>
      </c>
      <c r="AN1589">
        <v>1.00000001405067</v>
      </c>
    </row>
    <row r="1590" spans="1:40" x14ac:dyDescent="0.25">
      <c r="A1590" t="str">
        <f>"20190312160629873"</f>
        <v>20190312160629873</v>
      </c>
      <c r="B1590" t="str">
        <f>"1552377989866793"</f>
        <v>1552377989866793</v>
      </c>
      <c r="C1590" t="s">
        <v>40</v>
      </c>
      <c r="D1590">
        <v>6.3701730000000003</v>
      </c>
      <c r="E1590">
        <v>0.58435859999999995</v>
      </c>
      <c r="F1590" t="s">
        <v>67</v>
      </c>
      <c r="G1590">
        <v>-233.3005</v>
      </c>
      <c r="H1590">
        <v>1.6128279999999999</v>
      </c>
      <c r="I1590">
        <v>262.3245</v>
      </c>
      <c r="J1590">
        <v>-198.33150000000001</v>
      </c>
      <c r="K1590">
        <v>1.1049020000000001</v>
      </c>
      <c r="L1590">
        <v>291.0967</v>
      </c>
      <c r="M1590">
        <v>-0.5532821</v>
      </c>
      <c r="N1590">
        <v>0</v>
      </c>
      <c r="O1590">
        <v>-0.83289249999999904</v>
      </c>
      <c r="P1590">
        <v>-0.61922379999999999</v>
      </c>
      <c r="Q1590">
        <v>2.778572E-2</v>
      </c>
      <c r="R1590">
        <v>-0.78472330000000001</v>
      </c>
      <c r="S1590">
        <v>-2.373367</v>
      </c>
      <c r="T1590">
        <v>3.4369230000000001E-2</v>
      </c>
      <c r="U1590">
        <v>-1.9565429999999999</v>
      </c>
      <c r="V1590">
        <v>8.2084299999999999E-2</v>
      </c>
      <c r="W1590">
        <v>3.9722779999999999E-2</v>
      </c>
      <c r="X1590">
        <v>0.99583350000000004</v>
      </c>
      <c r="Y1590">
        <v>0.29070509999999999</v>
      </c>
      <c r="Z1590">
        <v>-1.0225410000000001E-2</v>
      </c>
      <c r="AA1590">
        <v>0.95675809999999994</v>
      </c>
      <c r="AB1590">
        <v>20</v>
      </c>
      <c r="AC1590">
        <v>-34.968999999999902</v>
      </c>
      <c r="AD1590">
        <v>0.50792599999999999</v>
      </c>
      <c r="AE1590">
        <v>-28.772200000000002</v>
      </c>
      <c r="AF1590">
        <v>13.2057293009087</v>
      </c>
      <c r="AG1590">
        <v>0.50792599999999999</v>
      </c>
      <c r="AH1590">
        <v>43.310082973625001</v>
      </c>
      <c r="AI1590">
        <v>89.357295179168304</v>
      </c>
      <c r="AJ1590">
        <v>73.042949162337493</v>
      </c>
      <c r="AK1590">
        <v>45.281481450728101</v>
      </c>
      <c r="AL1590">
        <v>87.723453498022394</v>
      </c>
      <c r="AM1590">
        <v>85.287891269863906</v>
      </c>
      <c r="AN1590">
        <v>1.0000000456398299</v>
      </c>
    </row>
    <row r="1591" spans="1:40" x14ac:dyDescent="0.25">
      <c r="A1591" t="str">
        <f>"20190312160629896"</f>
        <v>20190312160629896</v>
      </c>
      <c r="B1591" t="str">
        <f>"1552377989886313"</f>
        <v>1552377989886313</v>
      </c>
      <c r="C1591" t="s">
        <v>40</v>
      </c>
      <c r="D1591">
        <v>5.0604789999999999</v>
      </c>
      <c r="E1591">
        <v>0.58470059999999902</v>
      </c>
      <c r="F1591" t="s">
        <v>67</v>
      </c>
      <c r="G1591">
        <v>-233.3005</v>
      </c>
      <c r="H1591">
        <v>1.47174</v>
      </c>
      <c r="I1591">
        <v>262.70269999999999</v>
      </c>
      <c r="J1591">
        <v>-198.45330000000001</v>
      </c>
      <c r="K1591">
        <v>1.1048530000000001</v>
      </c>
      <c r="L1591">
        <v>290.9341</v>
      </c>
      <c r="M1591">
        <v>-0.56134050000000002</v>
      </c>
      <c r="N1591">
        <v>0</v>
      </c>
      <c r="O1591">
        <v>-0.82748219999999995</v>
      </c>
      <c r="P1591">
        <v>-0.62731269999999995</v>
      </c>
      <c r="Q1591">
        <v>2.7750859999999999E-2</v>
      </c>
      <c r="R1591">
        <v>-0.77827259999999998</v>
      </c>
      <c r="S1591">
        <v>-2.387238</v>
      </c>
      <c r="T1591">
        <v>2.504325E-2</v>
      </c>
      <c r="U1591">
        <v>-1.938385</v>
      </c>
      <c r="V1591">
        <v>8.2730170000000006E-2</v>
      </c>
      <c r="W1591">
        <v>3.9688950000000001E-2</v>
      </c>
      <c r="X1591">
        <v>0.99578140000000004</v>
      </c>
      <c r="Y1591">
        <v>0.28854350000000001</v>
      </c>
      <c r="Z1591">
        <v>-7.4132209999999898E-3</v>
      </c>
      <c r="AA1591">
        <v>0.95743809999999996</v>
      </c>
      <c r="AB1591">
        <v>20</v>
      </c>
      <c r="AC1591">
        <v>-34.847199999999901</v>
      </c>
      <c r="AD1591">
        <v>0.36688700000000002</v>
      </c>
      <c r="AE1591">
        <v>-28.231400000000001</v>
      </c>
      <c r="AF1591">
        <v>12.9882447657059</v>
      </c>
      <c r="AG1591">
        <v>0.36688700000000002</v>
      </c>
      <c r="AH1591">
        <v>42.922903054047097</v>
      </c>
      <c r="AI1591">
        <v>89.531260382507597</v>
      </c>
      <c r="AJ1591">
        <v>73.164460924707697</v>
      </c>
      <c r="AK1591">
        <v>44.846457103675299</v>
      </c>
      <c r="AL1591">
        <v>87.725393342856194</v>
      </c>
      <c r="AM1591">
        <v>85.250736221773295</v>
      </c>
      <c r="AN1591">
        <v>1.0000000451831399</v>
      </c>
    </row>
    <row r="1592" spans="1:40" x14ac:dyDescent="0.25">
      <c r="A1592" t="str">
        <f>"20190312160629918"</f>
        <v>20190312160629918</v>
      </c>
      <c r="B1592" t="str">
        <f>"1552377989906809"</f>
        <v>1552377989906809</v>
      </c>
      <c r="C1592" t="s">
        <v>40</v>
      </c>
      <c r="D1592">
        <v>6.1710500000000001</v>
      </c>
      <c r="E1592">
        <v>0.58467780000000003</v>
      </c>
      <c r="F1592" t="s">
        <v>67</v>
      </c>
      <c r="G1592">
        <v>-232.98699999999999</v>
      </c>
      <c r="H1592">
        <v>1.462218</v>
      </c>
      <c r="I1592">
        <v>263.53550000000001</v>
      </c>
      <c r="J1592">
        <v>-198.57509999999999</v>
      </c>
      <c r="K1592">
        <v>1.1047979999999999</v>
      </c>
      <c r="L1592">
        <v>290.77480000000003</v>
      </c>
      <c r="M1592">
        <v>-0.56933310000000004</v>
      </c>
      <c r="N1592">
        <v>0</v>
      </c>
      <c r="O1592">
        <v>-0.8220035</v>
      </c>
      <c r="P1592">
        <v>-0.63567689999999999</v>
      </c>
      <c r="Q1592">
        <v>2.7090909999999999E-2</v>
      </c>
      <c r="R1592">
        <v>-0.77148019999999995</v>
      </c>
      <c r="S1592">
        <v>-2.4094850000000001</v>
      </c>
      <c r="T1592">
        <v>2.4934290000000001E-2</v>
      </c>
      <c r="U1592">
        <v>-1.9116519999999999</v>
      </c>
      <c r="V1592">
        <v>8.3812159999999997E-2</v>
      </c>
      <c r="W1592">
        <v>3.9024280000000001E-2</v>
      </c>
      <c r="X1592">
        <v>0.99571719999999997</v>
      </c>
      <c r="Y1592">
        <v>0.29009079999999998</v>
      </c>
      <c r="Z1592">
        <v>-7.3484369999999898E-3</v>
      </c>
      <c r="AA1592">
        <v>0.95697089999999996</v>
      </c>
      <c r="AB1592">
        <v>20</v>
      </c>
      <c r="AC1592">
        <v>-34.411900000000003</v>
      </c>
      <c r="AD1592">
        <v>0.35742000000000002</v>
      </c>
      <c r="AE1592">
        <v>-27.2393</v>
      </c>
      <c r="AF1592">
        <v>12.778706343526199</v>
      </c>
      <c r="AG1592">
        <v>0.35742000000000002</v>
      </c>
      <c r="AH1592">
        <v>41.9834195556897</v>
      </c>
      <c r="AI1592">
        <v>89.533367812580494</v>
      </c>
      <c r="AJ1592">
        <v>73.071058219380404</v>
      </c>
      <c r="AK1592">
        <v>43.886565170442999</v>
      </c>
      <c r="AL1592">
        <v>87.763505683475202</v>
      </c>
      <c r="AM1592">
        <v>85.188603720784499</v>
      </c>
      <c r="AN1592">
        <v>1.00000005748461</v>
      </c>
    </row>
    <row r="1593" spans="1:40" x14ac:dyDescent="0.25">
      <c r="A1593" t="str">
        <f>"20190312160629939"</f>
        <v>20190312160629939</v>
      </c>
      <c r="B1593" t="str">
        <f>"1552377989926333"</f>
        <v>1552377989926333</v>
      </c>
      <c r="C1593" t="s">
        <v>40</v>
      </c>
      <c r="D1593">
        <v>6.1886970000000003</v>
      </c>
      <c r="E1593">
        <v>0.58476600000000001</v>
      </c>
      <c r="F1593" t="s">
        <v>67</v>
      </c>
      <c r="G1593">
        <v>-232.98699999999999</v>
      </c>
      <c r="H1593">
        <v>1.463597</v>
      </c>
      <c r="I1593">
        <v>264.0677</v>
      </c>
      <c r="J1593">
        <v>-198.69200000000001</v>
      </c>
      <c r="K1593">
        <v>1.1047579999999999</v>
      </c>
      <c r="L1593">
        <v>290.625</v>
      </c>
      <c r="M1593">
        <v>-0.57692519999999903</v>
      </c>
      <c r="N1593">
        <v>0</v>
      </c>
      <c r="O1593">
        <v>-0.81669269999999905</v>
      </c>
      <c r="P1593">
        <v>-0.64325509999999997</v>
      </c>
      <c r="Q1593">
        <v>2.6676700000000001E-2</v>
      </c>
      <c r="R1593">
        <v>-0.76518719999999996</v>
      </c>
      <c r="S1593">
        <v>-2.429764</v>
      </c>
      <c r="T1593">
        <v>2.533436E-2</v>
      </c>
      <c r="U1593">
        <v>-1.885742</v>
      </c>
      <c r="V1593">
        <v>8.4397449999999999E-2</v>
      </c>
      <c r="W1593">
        <v>3.8610220000000001E-2</v>
      </c>
      <c r="X1593">
        <v>0.99568380000000001</v>
      </c>
      <c r="Y1593">
        <v>0.29145939999999998</v>
      </c>
      <c r="Z1593">
        <v>-7.4354349999999998E-3</v>
      </c>
      <c r="AA1593">
        <v>0.95655440000000003</v>
      </c>
      <c r="AB1593">
        <v>20</v>
      </c>
      <c r="AC1593">
        <v>-34.294999999999902</v>
      </c>
      <c r="AD1593">
        <v>0.35883900000000002</v>
      </c>
      <c r="AE1593">
        <v>-26.557300000000001</v>
      </c>
      <c r="AF1593">
        <v>12.6871129555935</v>
      </c>
      <c r="AG1593">
        <v>0.35883900000000002</v>
      </c>
      <c r="AH1593">
        <v>41.475497208856197</v>
      </c>
      <c r="AI1593">
        <v>89.525979396204903</v>
      </c>
      <c r="AJ1593">
        <v>72.991433704047097</v>
      </c>
      <c r="AK1593">
        <v>43.3740529498657</v>
      </c>
      <c r="AL1593">
        <v>87.787247237459695</v>
      </c>
      <c r="AM1593">
        <v>85.155001672770297</v>
      </c>
      <c r="AN1593">
        <v>0.99999995411869402</v>
      </c>
    </row>
    <row r="1594" spans="1:40" x14ac:dyDescent="0.25">
      <c r="A1594" t="str">
        <f>"20190312160629962"</f>
        <v>20190312160629962</v>
      </c>
      <c r="B1594" t="str">
        <f>"1552377989956586"</f>
        <v>1552377989956586</v>
      </c>
      <c r="C1594" t="s">
        <v>40</v>
      </c>
      <c r="D1594">
        <v>6.144069</v>
      </c>
      <c r="E1594">
        <v>0.58419769999999904</v>
      </c>
      <c r="F1594" t="s">
        <v>67</v>
      </c>
      <c r="G1594">
        <v>-232.98699999999999</v>
      </c>
      <c r="H1594">
        <v>1.4233910000000001</v>
      </c>
      <c r="I1594">
        <v>264.56029999999998</v>
      </c>
      <c r="J1594">
        <v>-198.82</v>
      </c>
      <c r="K1594">
        <v>1.105008</v>
      </c>
      <c r="L1594">
        <v>290.46429999999998</v>
      </c>
      <c r="M1594">
        <v>-0.58486050000000001</v>
      </c>
      <c r="N1594">
        <v>0</v>
      </c>
      <c r="O1594">
        <v>-0.81102200000000002</v>
      </c>
      <c r="P1594">
        <v>-0.65097769999999899</v>
      </c>
      <c r="Q1594">
        <v>2.5631000000000001E-2</v>
      </c>
      <c r="R1594">
        <v>-0.75866409999999995</v>
      </c>
      <c r="S1594">
        <v>-2.448868</v>
      </c>
      <c r="T1594">
        <v>2.2752519999999998E-2</v>
      </c>
      <c r="U1594">
        <v>-1.8611759999999999</v>
      </c>
      <c r="V1594">
        <v>8.4736279999999997E-2</v>
      </c>
      <c r="W1594">
        <v>3.7992690000000003E-2</v>
      </c>
      <c r="X1594">
        <v>0.99567879999999997</v>
      </c>
      <c r="Y1594">
        <v>0.29181210000000002</v>
      </c>
      <c r="Z1594">
        <v>-6.6449630000000003E-3</v>
      </c>
      <c r="AA1594">
        <v>0.95645259999999999</v>
      </c>
      <c r="AB1594">
        <v>20</v>
      </c>
      <c r="AC1594">
        <v>-34.167000000000002</v>
      </c>
      <c r="AD1594">
        <v>0.31838300000000003</v>
      </c>
      <c r="AE1594">
        <v>-25.904</v>
      </c>
      <c r="AF1594">
        <v>12.560409753843199</v>
      </c>
      <c r="AG1594">
        <v>0.31838300000000003</v>
      </c>
      <c r="AH1594">
        <v>40.993102994441799</v>
      </c>
      <c r="AI1594">
        <v>89.5745306009416</v>
      </c>
      <c r="AJ1594">
        <v>72.964778411744703</v>
      </c>
      <c r="AK1594">
        <v>42.875398004357301</v>
      </c>
      <c r="AL1594">
        <v>87.822655133878996</v>
      </c>
      <c r="AM1594">
        <v>85.135619320891294</v>
      </c>
      <c r="AN1594">
        <v>0.999999977205556</v>
      </c>
    </row>
    <row r="1595" spans="1:40" x14ac:dyDescent="0.25">
      <c r="A1595" t="str">
        <f>"20190312160629985"</f>
        <v>20190312160629985</v>
      </c>
      <c r="B1595" t="str">
        <f>"1552377989976105"</f>
        <v>1552377989976105</v>
      </c>
      <c r="C1595" t="s">
        <v>40</v>
      </c>
      <c r="D1595">
        <v>6.183179</v>
      </c>
      <c r="E1595">
        <v>0.5837523</v>
      </c>
      <c r="F1595" t="s">
        <v>67</v>
      </c>
      <c r="G1595">
        <v>-232.98699999999999</v>
      </c>
      <c r="H1595">
        <v>1.3408869999999999</v>
      </c>
      <c r="I1595">
        <v>264.96069999999997</v>
      </c>
      <c r="J1595">
        <v>-198.94970000000001</v>
      </c>
      <c r="K1595">
        <v>1.1053569999999999</v>
      </c>
      <c r="L1595">
        <v>290.30399999999997</v>
      </c>
      <c r="M1595">
        <v>-0.59263140000000003</v>
      </c>
      <c r="N1595">
        <v>0</v>
      </c>
      <c r="O1595">
        <v>-0.80535570000000001</v>
      </c>
      <c r="P1595">
        <v>-0.65830319999999998</v>
      </c>
      <c r="Q1595">
        <v>2.4994389999999998E-2</v>
      </c>
      <c r="R1595">
        <v>-0.7523377</v>
      </c>
      <c r="S1595">
        <v>-2.464172</v>
      </c>
      <c r="T1595">
        <v>1.7012119999999999E-2</v>
      </c>
      <c r="U1595">
        <v>-1.8393550000000001</v>
      </c>
      <c r="V1595">
        <v>8.4772150000000004E-2</v>
      </c>
      <c r="W1595">
        <v>3.7723470000000002E-2</v>
      </c>
      <c r="X1595">
        <v>0.99568599999999996</v>
      </c>
      <c r="Y1595">
        <v>0.2909059</v>
      </c>
      <c r="Z1595">
        <v>-4.9434570000000001E-3</v>
      </c>
      <c r="AA1595">
        <v>0.95673889999999995</v>
      </c>
      <c r="AB1595">
        <v>20</v>
      </c>
      <c r="AC1595">
        <v>-34.037299999999902</v>
      </c>
      <c r="AD1595">
        <v>0.23552999999999999</v>
      </c>
      <c r="AE1595">
        <v>-25.343299999999999</v>
      </c>
      <c r="AF1595">
        <v>12.393695277556599</v>
      </c>
      <c r="AG1595">
        <v>0.23552999999999999</v>
      </c>
      <c r="AH1595">
        <v>40.584553957284399</v>
      </c>
      <c r="AI1595">
        <v>89.681988699794104</v>
      </c>
      <c r="AJ1595">
        <v>73.018397247616505</v>
      </c>
      <c r="AK1595">
        <v>42.435423609592497</v>
      </c>
      <c r="AL1595">
        <v>87.838091406417803</v>
      </c>
      <c r="AM1595">
        <v>85.133605071447406</v>
      </c>
      <c r="AN1595">
        <v>0.99999999410023099</v>
      </c>
    </row>
    <row r="1596" spans="1:40" x14ac:dyDescent="0.25">
      <c r="A1596" t="str">
        <f>"20190312160630011"</f>
        <v>20190312160630011</v>
      </c>
      <c r="B1596" t="str">
        <f>"1552377990006362"</f>
        <v>1552377990006362</v>
      </c>
      <c r="C1596" t="s">
        <v>40</v>
      </c>
      <c r="D1596">
        <v>5.5093430000000003</v>
      </c>
      <c r="E1596">
        <v>0.58325950000000004</v>
      </c>
      <c r="F1596" t="s">
        <v>67</v>
      </c>
      <c r="G1596">
        <v>-233.24080000000001</v>
      </c>
      <c r="H1596">
        <v>1.290761</v>
      </c>
      <c r="I1596">
        <v>265.15929999999997</v>
      </c>
      <c r="J1596">
        <v>-199.09350000000001</v>
      </c>
      <c r="K1596">
        <v>1.104905</v>
      </c>
      <c r="L1596">
        <v>290.12950000000001</v>
      </c>
      <c r="M1596">
        <v>-0.60138359999999902</v>
      </c>
      <c r="N1596">
        <v>0</v>
      </c>
      <c r="O1596">
        <v>-0.7988613</v>
      </c>
      <c r="P1596">
        <v>-0.66680150000000005</v>
      </c>
      <c r="Q1596">
        <v>2.5955499999999999E-2</v>
      </c>
      <c r="R1596">
        <v>-0.74478319999999998</v>
      </c>
      <c r="S1596">
        <v>-2.4791259999999999</v>
      </c>
      <c r="T1596">
        <v>1.3404249999999999E-2</v>
      </c>
      <c r="U1596">
        <v>-1.817871</v>
      </c>
      <c r="V1596">
        <v>8.5249710000000006E-2</v>
      </c>
      <c r="W1596">
        <v>3.7462830000000003E-2</v>
      </c>
      <c r="X1596">
        <v>0.99565510000000002</v>
      </c>
      <c r="Y1596">
        <v>0.28862359999999998</v>
      </c>
      <c r="Z1596">
        <v>-3.8701400000000002E-3</v>
      </c>
      <c r="AA1596">
        <v>0.95743480000000003</v>
      </c>
      <c r="AB1596">
        <v>19</v>
      </c>
      <c r="AC1596">
        <v>-34.147300000000001</v>
      </c>
      <c r="AD1596">
        <v>0.18585599999999999</v>
      </c>
      <c r="AE1596">
        <v>-24.970199999999998</v>
      </c>
      <c r="AF1596">
        <v>12.263022217152599</v>
      </c>
      <c r="AG1596">
        <v>0.18585599999999999</v>
      </c>
      <c r="AH1596">
        <v>40.485777608023596</v>
      </c>
      <c r="AI1596">
        <v>89.748271138608501</v>
      </c>
      <c r="AJ1596">
        <v>73.148594706634299</v>
      </c>
      <c r="AK1596">
        <v>42.302652929544003</v>
      </c>
      <c r="AL1596">
        <v>87.853035613689102</v>
      </c>
      <c r="AM1596">
        <v>85.1061720849724</v>
      </c>
      <c r="AN1596">
        <v>1.0000000274213501</v>
      </c>
    </row>
    <row r="1597" spans="1:40" x14ac:dyDescent="0.25">
      <c r="A1597" t="str">
        <f>"20190312160630033"</f>
        <v>20190312160630033</v>
      </c>
      <c r="B1597" t="str">
        <f>"1552377990026857"</f>
        <v>1552377990026857</v>
      </c>
      <c r="C1597" t="s">
        <v>40</v>
      </c>
      <c r="D1597">
        <v>6.3565889999999996</v>
      </c>
      <c r="E1597">
        <v>0.61867039999999995</v>
      </c>
      <c r="F1597" t="s">
        <v>67</v>
      </c>
      <c r="G1597">
        <v>-233.3004</v>
      </c>
      <c r="H1597">
        <v>1.35592</v>
      </c>
      <c r="I1597">
        <v>265.57339999999999</v>
      </c>
      <c r="J1597">
        <v>-199.22669999999999</v>
      </c>
      <c r="K1597">
        <v>1.104414</v>
      </c>
      <c r="L1597">
        <v>289.97109999999998</v>
      </c>
      <c r="M1597">
        <v>-0.60942830000000003</v>
      </c>
      <c r="N1597">
        <v>0</v>
      </c>
      <c r="O1597">
        <v>-0.79276259999999998</v>
      </c>
      <c r="P1597">
        <v>-0.67473549999999904</v>
      </c>
      <c r="Q1597">
        <v>2.697548E-2</v>
      </c>
      <c r="R1597">
        <v>-0.73756639999999996</v>
      </c>
      <c r="S1597">
        <v>-2.4965670000000002</v>
      </c>
      <c r="T1597">
        <v>1.8320320000000001E-2</v>
      </c>
      <c r="U1597">
        <v>-1.792206</v>
      </c>
      <c r="V1597">
        <v>8.5885899999999904E-2</v>
      </c>
      <c r="W1597">
        <v>3.702826E-2</v>
      </c>
      <c r="X1597">
        <v>0.99561670000000002</v>
      </c>
      <c r="Y1597">
        <v>0.28861219999999999</v>
      </c>
      <c r="Z1597">
        <v>-5.2617480000000001E-3</v>
      </c>
      <c r="AA1597">
        <v>0.95743160000000005</v>
      </c>
      <c r="AB1597">
        <v>20</v>
      </c>
      <c r="AC1597">
        <v>-34.073700000000002</v>
      </c>
      <c r="AD1597">
        <v>0.25150600000000001</v>
      </c>
      <c r="AE1597">
        <v>-24.397699999999901</v>
      </c>
      <c r="AF1597">
        <v>12.144025445512399</v>
      </c>
      <c r="AG1597">
        <v>0.25150600000000001</v>
      </c>
      <c r="AH1597">
        <v>40.108115628350397</v>
      </c>
      <c r="AI1597">
        <v>89.656136236728102</v>
      </c>
      <c r="AJ1597">
        <v>73.154619259312</v>
      </c>
      <c r="AK1597">
        <v>41.907058457334003</v>
      </c>
      <c r="AL1597">
        <v>87.877951969132098</v>
      </c>
      <c r="AM1597">
        <v>85.069641217901705</v>
      </c>
      <c r="AN1597">
        <v>1.00000004658816</v>
      </c>
    </row>
    <row r="1598" spans="1:40" x14ac:dyDescent="0.25">
      <c r="A1598" t="str">
        <f>"20190312160630054"</f>
        <v>20190312160630054</v>
      </c>
      <c r="B1598" t="str">
        <f>"1552377990046378"</f>
        <v>1552377990046378</v>
      </c>
      <c r="C1598" t="s">
        <v>40</v>
      </c>
      <c r="D1598">
        <v>6.4417530000000003</v>
      </c>
      <c r="E1598">
        <v>0.67556459999999996</v>
      </c>
      <c r="F1598" t="s">
        <v>67</v>
      </c>
      <c r="G1598">
        <v>-234.47649999999999</v>
      </c>
      <c r="H1598">
        <v>4.875407</v>
      </c>
      <c r="I1598">
        <v>269.58609999999999</v>
      </c>
      <c r="J1598">
        <v>-199.35059999999999</v>
      </c>
      <c r="K1598">
        <v>1.1041219999999901</v>
      </c>
      <c r="L1598">
        <v>289.82670000000002</v>
      </c>
      <c r="M1598">
        <v>-0.61675659999999999</v>
      </c>
      <c r="N1598">
        <v>0</v>
      </c>
      <c r="O1598">
        <v>-0.78708699999999998</v>
      </c>
      <c r="P1598">
        <v>-0.68110499999999996</v>
      </c>
      <c r="Q1598">
        <v>2.7735539999999999E-2</v>
      </c>
      <c r="R1598">
        <v>-0.73166009999999904</v>
      </c>
      <c r="S1598">
        <v>-2.71698</v>
      </c>
      <c r="T1598">
        <v>0.29065999999999997</v>
      </c>
      <c r="U1598">
        <v>-1.5712280000000001</v>
      </c>
      <c r="V1598">
        <v>8.5317229999999994E-2</v>
      </c>
      <c r="W1598">
        <v>3.6873389999999999E-2</v>
      </c>
      <c r="X1598">
        <v>0.99567130000000004</v>
      </c>
      <c r="Y1598">
        <v>0.36888520000000002</v>
      </c>
      <c r="Z1598">
        <v>-8.3552310000000005E-2</v>
      </c>
      <c r="AA1598">
        <v>0.92571199999999998</v>
      </c>
      <c r="AB1598">
        <v>20</v>
      </c>
      <c r="AC1598">
        <v>-35.125900000000001</v>
      </c>
      <c r="AD1598">
        <v>3.77128499999999</v>
      </c>
      <c r="AE1598">
        <v>-20.240600000000001</v>
      </c>
      <c r="AF1598">
        <v>15.034310717295099</v>
      </c>
      <c r="AG1598">
        <v>3.77128499999999</v>
      </c>
      <c r="AH1598">
        <v>37.274657373375</v>
      </c>
      <c r="AI1598">
        <v>84.639588470558806</v>
      </c>
      <c r="AJ1598">
        <v>68.033873978722397</v>
      </c>
      <c r="AK1598">
        <v>40.368962974021201</v>
      </c>
      <c r="AL1598">
        <v>87.886831346606201</v>
      </c>
      <c r="AM1598">
        <v>85.102394191493204</v>
      </c>
      <c r="AN1598">
        <v>1.00000000713432</v>
      </c>
    </row>
    <row r="1599" spans="1:40" x14ac:dyDescent="0.25">
      <c r="A1599" t="str">
        <f>"20190312160630075"</f>
        <v>20190312160630075</v>
      </c>
      <c r="B1599" t="str">
        <f>"1552377990066874"</f>
        <v>1552377990066874</v>
      </c>
      <c r="C1599" t="s">
        <v>40</v>
      </c>
      <c r="D1599">
        <v>6.0088100000000004</v>
      </c>
      <c r="E1599">
        <v>0.66469019999999901</v>
      </c>
      <c r="F1599" t="s">
        <v>44</v>
      </c>
      <c r="G1599">
        <v>-199.8655</v>
      </c>
      <c r="H1599">
        <v>1.225843</v>
      </c>
      <c r="I1599">
        <v>289.61869999999999</v>
      </c>
      <c r="J1599">
        <v>-199.4838</v>
      </c>
      <c r="K1599">
        <v>1.1040319999999999</v>
      </c>
      <c r="L1599">
        <v>289.6748</v>
      </c>
      <c r="M1599">
        <v>-0.62402329999999995</v>
      </c>
      <c r="N1599">
        <v>0</v>
      </c>
      <c r="O1599">
        <v>-0.78134119999999996</v>
      </c>
      <c r="P1599">
        <v>-0.68782529999999997</v>
      </c>
      <c r="Q1599">
        <v>2.8033280000000001E-2</v>
      </c>
      <c r="R1599">
        <v>-0.72533510000000001</v>
      </c>
      <c r="S1599">
        <v>-3.0502929999999999</v>
      </c>
      <c r="T1599">
        <v>0.72094550000000002</v>
      </c>
      <c r="U1599">
        <v>-1.233398</v>
      </c>
      <c r="V1599">
        <v>8.5299639999999996E-2</v>
      </c>
      <c r="W1599">
        <v>3.6932010000000001E-2</v>
      </c>
      <c r="X1599">
        <v>0.99567059999999996</v>
      </c>
      <c r="Y1599">
        <v>0.46702929999999998</v>
      </c>
      <c r="Z1599">
        <v>-0.2018141</v>
      </c>
      <c r="AA1599">
        <v>0.86090339999999999</v>
      </c>
      <c r="AB1599">
        <v>20</v>
      </c>
      <c r="AC1599">
        <v>-0.38169999999999499</v>
      </c>
      <c r="AD1599">
        <v>0.121811</v>
      </c>
      <c r="AE1599">
        <v>-5.6100000000014902E-2</v>
      </c>
      <c r="AF1599">
        <v>0.23937995556062999</v>
      </c>
      <c r="AG1599">
        <v>0.121811</v>
      </c>
      <c r="AH1599">
        <v>0.25646992714392802</v>
      </c>
      <c r="AI1599">
        <v>70.852435598797499</v>
      </c>
      <c r="AJ1599">
        <v>46.973976051900301</v>
      </c>
      <c r="AK1599">
        <v>0.37137246313427802</v>
      </c>
      <c r="AL1599">
        <v>87.883470306107796</v>
      </c>
      <c r="AM1599">
        <v>85.103395603580395</v>
      </c>
      <c r="AN1599">
        <v>0.99999997282556397</v>
      </c>
    </row>
    <row r="1600" spans="1:40" x14ac:dyDescent="0.25">
      <c r="A1600" t="str">
        <f>"20190312160630097"</f>
        <v>20190312160630097</v>
      </c>
      <c r="B1600" t="str">
        <f>"1552377990086393"</f>
        <v>1552377990086393</v>
      </c>
      <c r="C1600" t="s">
        <v>40</v>
      </c>
      <c r="D1600">
        <v>5.2410800000000002</v>
      </c>
      <c r="E1600">
        <v>0.66220219999999996</v>
      </c>
      <c r="F1600" t="s">
        <v>44</v>
      </c>
      <c r="G1600">
        <v>-200.14410000000001</v>
      </c>
      <c r="H1600">
        <v>1.234054</v>
      </c>
      <c r="I1600">
        <v>289.3965</v>
      </c>
      <c r="J1600">
        <v>-199.62</v>
      </c>
      <c r="K1600">
        <v>1.1041529999999999</v>
      </c>
      <c r="L1600">
        <v>289.52289999999999</v>
      </c>
      <c r="M1600">
        <v>-0.63144940000000005</v>
      </c>
      <c r="N1600">
        <v>0</v>
      </c>
      <c r="O1600">
        <v>-0.77534820000000004</v>
      </c>
      <c r="P1600">
        <v>-0.69508239999999999</v>
      </c>
      <c r="Q1600">
        <v>2.6002839999999999E-2</v>
      </c>
      <c r="R1600">
        <v>-0.71846009999999905</v>
      </c>
      <c r="S1600">
        <v>-3.0020600000000002</v>
      </c>
      <c r="T1600">
        <v>0.59108450000000001</v>
      </c>
      <c r="U1600">
        <v>-1.2662960000000001</v>
      </c>
      <c r="V1600">
        <v>8.5741369999999997E-2</v>
      </c>
      <c r="W1600">
        <v>3.5160280000000002E-2</v>
      </c>
      <c r="X1600">
        <v>0.99569680000000005</v>
      </c>
      <c r="Y1600">
        <v>0.45312799999999998</v>
      </c>
      <c r="Z1600">
        <v>-0.16623940000000001</v>
      </c>
      <c r="AA1600">
        <v>0.87580789999999997</v>
      </c>
      <c r="AB1600">
        <v>20</v>
      </c>
      <c r="AC1600">
        <v>-0.52410000000000401</v>
      </c>
      <c r="AD1600">
        <v>0.12990099999999899</v>
      </c>
      <c r="AE1600">
        <v>-0.12639999999998899</v>
      </c>
      <c r="AF1600">
        <v>0.30864377473346599</v>
      </c>
      <c r="AG1600">
        <v>0.12990099999999899</v>
      </c>
      <c r="AH1600">
        <v>0.40543201467318801</v>
      </c>
      <c r="AI1600">
        <v>75.697929463826895</v>
      </c>
      <c r="AJ1600">
        <v>52.719021211853601</v>
      </c>
      <c r="AK1600">
        <v>0.52584253156689698</v>
      </c>
      <c r="AL1600">
        <v>87.985048986636897</v>
      </c>
      <c r="AM1600">
        <v>85.078291319796904</v>
      </c>
      <c r="AN1600">
        <v>0.99999997267469698</v>
      </c>
    </row>
    <row r="1601" spans="1:40" x14ac:dyDescent="0.25">
      <c r="A1601" t="str">
        <f>"20190312160630118"</f>
        <v>20190312160630118</v>
      </c>
      <c r="B1601" t="str">
        <f>"1552377990106889"</f>
        <v>1552377990106889</v>
      </c>
      <c r="C1601" t="s">
        <v>40</v>
      </c>
      <c r="D1601">
        <v>6.3847769999999997</v>
      </c>
      <c r="E1601">
        <v>0.65830319999999998</v>
      </c>
      <c r="F1601" t="s">
        <v>44</v>
      </c>
      <c r="G1601">
        <v>-200.2595</v>
      </c>
      <c r="H1601">
        <v>1.221392</v>
      </c>
      <c r="I1601">
        <v>289.25659999999999</v>
      </c>
      <c r="J1601">
        <v>-199.75129999999999</v>
      </c>
      <c r="K1601">
        <v>1.1042879999999999</v>
      </c>
      <c r="L1601">
        <v>289.37920000000003</v>
      </c>
      <c r="M1601">
        <v>-0.63901869999999905</v>
      </c>
      <c r="N1601">
        <v>0</v>
      </c>
      <c r="O1601">
        <v>-0.76911770000000002</v>
      </c>
      <c r="P1601">
        <v>-0.70237689999999997</v>
      </c>
      <c r="Q1601">
        <v>2.4432200000000001E-2</v>
      </c>
      <c r="R1601">
        <v>-0.71138630000000003</v>
      </c>
      <c r="S1601">
        <v>-3.0031889999999999</v>
      </c>
      <c r="T1601">
        <v>0.55062699999999998</v>
      </c>
      <c r="U1601">
        <v>-1.250183</v>
      </c>
      <c r="V1601">
        <v>8.6087579999999997E-2</v>
      </c>
      <c r="W1601">
        <v>3.3892169999999999E-2</v>
      </c>
      <c r="X1601">
        <v>0.99571089999999995</v>
      </c>
      <c r="Y1601">
        <v>0.45066909999999999</v>
      </c>
      <c r="Z1601">
        <v>-0.15444379999999999</v>
      </c>
      <c r="AA1601">
        <v>0.8792295</v>
      </c>
      <c r="AB1601">
        <v>20</v>
      </c>
      <c r="AC1601">
        <v>-0.50820000000001597</v>
      </c>
      <c r="AD1601">
        <v>0.117104</v>
      </c>
      <c r="AE1601">
        <v>-0.122600000000034</v>
      </c>
      <c r="AF1601">
        <v>0.29760651017087097</v>
      </c>
      <c r="AG1601">
        <v>0.117104</v>
      </c>
      <c r="AH1601">
        <v>0.39904389274442098</v>
      </c>
      <c r="AI1601">
        <v>76.762272739330101</v>
      </c>
      <c r="AJ1601">
        <v>53.284463365460901</v>
      </c>
      <c r="AK1601">
        <v>0.51138929403019995</v>
      </c>
      <c r="AL1601">
        <v>88.057749690803305</v>
      </c>
      <c r="AM1601">
        <v>85.058586076543506</v>
      </c>
      <c r="AN1601">
        <v>0.99999997349818703</v>
      </c>
    </row>
    <row r="1602" spans="1:40" x14ac:dyDescent="0.25">
      <c r="A1602" t="str">
        <f>"20190312160630141"</f>
        <v>20190312160630141</v>
      </c>
      <c r="B1602" t="str">
        <f>"1552377990136170"</f>
        <v>1552377990136170</v>
      </c>
      <c r="C1602" t="s">
        <v>40</v>
      </c>
      <c r="D1602">
        <v>6.319674</v>
      </c>
      <c r="E1602">
        <v>0.65459659999999997</v>
      </c>
      <c r="F1602" t="s">
        <v>44</v>
      </c>
      <c r="G1602">
        <v>-200.37860000000001</v>
      </c>
      <c r="H1602">
        <v>1.2105699999999999</v>
      </c>
      <c r="I1602">
        <v>289.11930000000001</v>
      </c>
      <c r="J1602">
        <v>-199.8913</v>
      </c>
      <c r="K1602">
        <v>1.1043000000000001</v>
      </c>
      <c r="L1602">
        <v>289.22919999999999</v>
      </c>
      <c r="M1602">
        <v>-0.64731149999999904</v>
      </c>
      <c r="N1602">
        <v>0</v>
      </c>
      <c r="O1602">
        <v>-0.7621481</v>
      </c>
      <c r="P1602">
        <v>-0.70989409999999997</v>
      </c>
      <c r="Q1602">
        <v>2.270345E-2</v>
      </c>
      <c r="R1602">
        <v>-0.70394230000000002</v>
      </c>
      <c r="S1602">
        <v>-2.9949650000000001</v>
      </c>
      <c r="T1602">
        <v>0.50737860000000001</v>
      </c>
      <c r="U1602">
        <v>-1.242645</v>
      </c>
      <c r="V1602">
        <v>8.582658E-2</v>
      </c>
      <c r="W1602">
        <v>3.2358539999999998E-2</v>
      </c>
      <c r="X1602">
        <v>0.99578449999999996</v>
      </c>
      <c r="Y1602">
        <v>0.44415890000000002</v>
      </c>
      <c r="Z1602">
        <v>-0.14181769999999999</v>
      </c>
      <c r="AA1602">
        <v>0.88465289999999996</v>
      </c>
      <c r="AB1602">
        <v>20</v>
      </c>
      <c r="AC1602">
        <v>-0.48730000000000401</v>
      </c>
      <c r="AD1602">
        <v>0.10627</v>
      </c>
      <c r="AE1602">
        <v>-0.109899999999981</v>
      </c>
      <c r="AF1602">
        <v>0.28727199784577401</v>
      </c>
      <c r="AG1602">
        <v>0.10627</v>
      </c>
      <c r="AH1602">
        <v>0.38193351231711797</v>
      </c>
      <c r="AI1602">
        <v>77.463460861360304</v>
      </c>
      <c r="AJ1602">
        <v>53.051276992866001</v>
      </c>
      <c r="AK1602">
        <v>0.489583212005061</v>
      </c>
      <c r="AL1602">
        <v>88.145668570633205</v>
      </c>
      <c r="AM1602">
        <v>85.073855928296496</v>
      </c>
      <c r="AN1602">
        <v>1.0000000236928299</v>
      </c>
    </row>
    <row r="1603" spans="1:40" x14ac:dyDescent="0.25">
      <c r="A1603" t="str">
        <f>"20190312160630165"</f>
        <v>20190312160630165</v>
      </c>
      <c r="B1603" t="str">
        <f>"1552377990156666"</f>
        <v>1552377990156666</v>
      </c>
      <c r="C1603" t="s">
        <v>40</v>
      </c>
      <c r="D1603">
        <v>6.3831040000000003</v>
      </c>
      <c r="E1603">
        <v>0.65216379999999996</v>
      </c>
      <c r="F1603" t="s">
        <v>44</v>
      </c>
      <c r="G1603">
        <v>-200.49549999999999</v>
      </c>
      <c r="H1603">
        <v>1.196944</v>
      </c>
      <c r="I1603">
        <v>288.97980000000001</v>
      </c>
      <c r="J1603">
        <v>-200.0489</v>
      </c>
      <c r="K1603">
        <v>1.1041719999999999</v>
      </c>
      <c r="L1603">
        <v>289.06420000000003</v>
      </c>
      <c r="M1603">
        <v>-0.65632669999999904</v>
      </c>
      <c r="N1603">
        <v>0</v>
      </c>
      <c r="O1603">
        <v>-0.75439609999999901</v>
      </c>
      <c r="P1603">
        <v>-0.71767069999999999</v>
      </c>
      <c r="Q1603">
        <v>2.2127580000000001E-2</v>
      </c>
      <c r="R1603">
        <v>-0.69603099999999996</v>
      </c>
      <c r="S1603">
        <v>-2.9885860000000002</v>
      </c>
      <c r="T1603">
        <v>0.45821800000000001</v>
      </c>
      <c r="U1603">
        <v>-1.233093</v>
      </c>
      <c r="V1603">
        <v>8.504515E-2</v>
      </c>
      <c r="W1603">
        <v>3.1937720000000003E-2</v>
      </c>
      <c r="X1603">
        <v>0.99586509999999995</v>
      </c>
      <c r="Y1603">
        <v>0.43747000000000003</v>
      </c>
      <c r="Z1603">
        <v>-0.1274923</v>
      </c>
      <c r="AA1603">
        <v>0.89014919999999997</v>
      </c>
      <c r="AB1603">
        <v>20</v>
      </c>
      <c r="AC1603">
        <v>-0.44659999999998901</v>
      </c>
      <c r="AD1603">
        <v>9.2771999999999993E-2</v>
      </c>
      <c r="AE1603">
        <v>-8.4400000000016406E-2</v>
      </c>
      <c r="AF1603">
        <v>0.27027581962809699</v>
      </c>
      <c r="AG1603">
        <v>9.2771999999999993E-2</v>
      </c>
      <c r="AH1603">
        <v>0.34253695823892899</v>
      </c>
      <c r="AI1603">
        <v>77.996482821300802</v>
      </c>
      <c r="AJ1603">
        <v>51.725100367294303</v>
      </c>
      <c r="AK1603">
        <v>0.44607984758248997</v>
      </c>
      <c r="AL1603">
        <v>88.169792199454207</v>
      </c>
      <c r="AM1603">
        <v>85.118882721791707</v>
      </c>
      <c r="AN1603">
        <v>0.99999999644766502</v>
      </c>
    </row>
    <row r="1604" spans="1:40" x14ac:dyDescent="0.25">
      <c r="A1604" t="str">
        <f>"20190312160630185"</f>
        <v>20190312160630185</v>
      </c>
      <c r="B1604" t="str">
        <f>"1552377990176189"</f>
        <v>1552377990176189</v>
      </c>
      <c r="C1604" t="s">
        <v>40</v>
      </c>
      <c r="D1604">
        <v>6.4358950000000004</v>
      </c>
      <c r="E1604">
        <v>0.65025500000000003</v>
      </c>
      <c r="F1604" t="s">
        <v>44</v>
      </c>
      <c r="G1604">
        <v>-200.6294</v>
      </c>
      <c r="H1604">
        <v>1.1889540000000001</v>
      </c>
      <c r="I1604">
        <v>288.82870000000003</v>
      </c>
      <c r="J1604">
        <v>-200.18700000000001</v>
      </c>
      <c r="K1604">
        <v>1.1040639999999999</v>
      </c>
      <c r="L1604">
        <v>288.92320000000001</v>
      </c>
      <c r="M1604">
        <v>-0.66383300000000001</v>
      </c>
      <c r="N1604">
        <v>0</v>
      </c>
      <c r="O1604">
        <v>-0.74779649999999998</v>
      </c>
      <c r="P1604">
        <v>-0.72429189999999999</v>
      </c>
      <c r="Q1604">
        <v>2.1221250000000001E-2</v>
      </c>
      <c r="R1604">
        <v>-0.68916730000000004</v>
      </c>
      <c r="S1604">
        <v>-2.9891200000000002</v>
      </c>
      <c r="T1604">
        <v>0.43650600000000001</v>
      </c>
      <c r="U1604">
        <v>-1.2142329999999999</v>
      </c>
      <c r="V1604">
        <v>8.4593180000000004E-2</v>
      </c>
      <c r="W1604">
        <v>3.1204699999999998E-2</v>
      </c>
      <c r="X1604">
        <v>0.99592689999999995</v>
      </c>
      <c r="Y1604">
        <v>0.43428420000000001</v>
      </c>
      <c r="Z1604">
        <v>-0.120958</v>
      </c>
      <c r="AA1604">
        <v>0.89261769999999996</v>
      </c>
      <c r="AB1604">
        <v>20</v>
      </c>
      <c r="AC1604">
        <v>-0.44239999999999202</v>
      </c>
      <c r="AD1604">
        <v>8.4890000000000104E-2</v>
      </c>
      <c r="AE1604">
        <v>-9.4499999999982195E-2</v>
      </c>
      <c r="AF1604">
        <v>0.25898999614670198</v>
      </c>
      <c r="AG1604">
        <v>8.4890000000000104E-2</v>
      </c>
      <c r="AH1604">
        <v>0.351975292705756</v>
      </c>
      <c r="AI1604">
        <v>79.006662418420404</v>
      </c>
      <c r="AJ1604">
        <v>53.653670797586798</v>
      </c>
      <c r="AK1604">
        <v>0.44516147281561902</v>
      </c>
      <c r="AL1604">
        <v>88.211812221772306</v>
      </c>
      <c r="AM1604">
        <v>85.144998786377997</v>
      </c>
      <c r="AN1604">
        <v>1.0000000647741001</v>
      </c>
    </row>
    <row r="1605" spans="1:40" x14ac:dyDescent="0.25">
      <c r="A1605" t="str">
        <f>"20190312160630210"</f>
        <v>20190312160630210</v>
      </c>
      <c r="B1605" t="str">
        <f>"1552377990206441"</f>
        <v>1552377990206441</v>
      </c>
      <c r="C1605" t="s">
        <v>40</v>
      </c>
      <c r="D1605">
        <v>5.9988789999999996</v>
      </c>
      <c r="E1605">
        <v>0.62834309999999904</v>
      </c>
      <c r="F1605" t="s">
        <v>44</v>
      </c>
      <c r="G1605">
        <v>-200.77279999999999</v>
      </c>
      <c r="H1605">
        <v>1.1857569999999999</v>
      </c>
      <c r="I1605">
        <v>288.68880000000001</v>
      </c>
      <c r="J1605">
        <v>-200.33879999999999</v>
      </c>
      <c r="K1605">
        <v>1.1040270000000001</v>
      </c>
      <c r="L1605">
        <v>288.77170000000001</v>
      </c>
      <c r="M1605">
        <v>-0.67187549999999996</v>
      </c>
      <c r="N1605">
        <v>0</v>
      </c>
      <c r="O1605">
        <v>-0.74057530000000005</v>
      </c>
      <c r="P1605">
        <v>-0.73112180000000004</v>
      </c>
      <c r="Q1605">
        <v>2.0054789999999999E-2</v>
      </c>
      <c r="R1605">
        <v>-0.68195229999999996</v>
      </c>
      <c r="S1605">
        <v>-2.9905240000000002</v>
      </c>
      <c r="T1605">
        <v>0.41700159999999997</v>
      </c>
      <c r="U1605">
        <v>-1.1972959999999999</v>
      </c>
      <c r="V1605">
        <v>8.3717760000000002E-2</v>
      </c>
      <c r="W1605">
        <v>3.027579E-2</v>
      </c>
      <c r="X1605">
        <v>0.99602950000000001</v>
      </c>
      <c r="Y1605">
        <v>0.429867</v>
      </c>
      <c r="Z1605">
        <v>-0.1148819</v>
      </c>
      <c r="AA1605">
        <v>0.89555379999999996</v>
      </c>
      <c r="AB1605">
        <v>20</v>
      </c>
      <c r="AC1605">
        <v>-0.433999999999997</v>
      </c>
      <c r="AD1605">
        <v>8.1729999999999803E-2</v>
      </c>
      <c r="AE1605">
        <v>-8.2899999999995005E-2</v>
      </c>
      <c r="AF1605">
        <v>0.256937492604632</v>
      </c>
      <c r="AG1605">
        <v>8.1729999999999803E-2</v>
      </c>
      <c r="AH1605">
        <v>0.34133210678450399</v>
      </c>
      <c r="AI1605">
        <v>79.170015511463305</v>
      </c>
      <c r="AJ1605">
        <v>53.029421689957097</v>
      </c>
      <c r="AK1605">
        <v>0.43497617765563101</v>
      </c>
      <c r="AL1605">
        <v>88.265059939742898</v>
      </c>
      <c r="AM1605">
        <v>85.195497376789007</v>
      </c>
      <c r="AN1605">
        <v>1.00000002583489</v>
      </c>
    </row>
    <row r="1606" spans="1:40" x14ac:dyDescent="0.25">
      <c r="A1606" t="str">
        <f>"20190312160630233"</f>
        <v>20190312160630233</v>
      </c>
      <c r="B1606" t="str">
        <f>"1552377990226938"</f>
        <v>1552377990226938</v>
      </c>
      <c r="C1606" t="s">
        <v>40</v>
      </c>
      <c r="D1606">
        <v>6.4687739999999998</v>
      </c>
      <c r="E1606">
        <v>0.62963690000000005</v>
      </c>
      <c r="F1606" t="s">
        <v>67</v>
      </c>
      <c r="G1606">
        <v>-244.70179999999999</v>
      </c>
      <c r="H1606">
        <v>4.5057999999999998</v>
      </c>
      <c r="I1606">
        <v>268.85500000000002</v>
      </c>
      <c r="J1606">
        <v>-200.49119999999999</v>
      </c>
      <c r="K1606">
        <v>1.1040779999999999</v>
      </c>
      <c r="L1606">
        <v>288.62290000000002</v>
      </c>
      <c r="M1606">
        <v>-0.67988389999999999</v>
      </c>
      <c r="N1606">
        <v>0</v>
      </c>
      <c r="O1606">
        <v>-0.73322670000000001</v>
      </c>
      <c r="P1606">
        <v>-0.73804399999999903</v>
      </c>
      <c r="Q1606">
        <v>1.8392249999999999E-2</v>
      </c>
      <c r="R1606">
        <v>-0.6745023</v>
      </c>
      <c r="S1606">
        <v>-2.8878780000000002</v>
      </c>
      <c r="T1606">
        <v>0.2214441</v>
      </c>
      <c r="U1606">
        <v>-1.2965089999999999</v>
      </c>
      <c r="V1606">
        <v>8.3001409999999998E-2</v>
      </c>
      <c r="W1606">
        <v>2.8855430000000001E-2</v>
      </c>
      <c r="X1606">
        <v>0.99613160000000001</v>
      </c>
      <c r="Y1606">
        <v>0.38825929999999997</v>
      </c>
      <c r="Z1606">
        <v>-6.0805020000000001E-2</v>
      </c>
      <c r="AA1606">
        <v>0.91954199999999997</v>
      </c>
      <c r="AB1606">
        <v>20</v>
      </c>
      <c r="AC1606">
        <v>-44.210599999999999</v>
      </c>
      <c r="AD1606">
        <v>3.4017219999999901</v>
      </c>
      <c r="AE1606">
        <v>-19.767900000000001</v>
      </c>
      <c r="AF1606">
        <v>18.884635627819801</v>
      </c>
      <c r="AG1606">
        <v>3.4017219999999901</v>
      </c>
      <c r="AH1606">
        <v>44.3367149895398</v>
      </c>
      <c r="AI1606">
        <v>85.9622853365141</v>
      </c>
      <c r="AJ1606">
        <v>66.929063532271599</v>
      </c>
      <c r="AK1606">
        <v>48.310924969663802</v>
      </c>
      <c r="AL1606">
        <v>88.346476155400595</v>
      </c>
      <c r="AM1606">
        <v>85.236904201849697</v>
      </c>
      <c r="AN1606">
        <v>1.0000000172105099</v>
      </c>
    </row>
    <row r="1607" spans="1:40" x14ac:dyDescent="0.25">
      <c r="A1607" t="str">
        <f>"20190312160630255"</f>
        <v>20190312160630255</v>
      </c>
      <c r="B1607" t="str">
        <f>"1552377990246459"</f>
        <v>1552377990246459</v>
      </c>
      <c r="C1607" t="s">
        <v>40</v>
      </c>
      <c r="D1607">
        <v>5.6268019999999996</v>
      </c>
      <c r="E1607">
        <v>0.62733059999999996</v>
      </c>
      <c r="F1607" t="s">
        <v>67</v>
      </c>
      <c r="G1607">
        <v>-245.65280000000001</v>
      </c>
      <c r="H1607">
        <v>4.3656430000000004</v>
      </c>
      <c r="I1607">
        <v>269.05889999999999</v>
      </c>
      <c r="J1607">
        <v>-200.63849999999999</v>
      </c>
      <c r="K1607">
        <v>1.1041799999999999</v>
      </c>
      <c r="L1607">
        <v>288.4821</v>
      </c>
      <c r="M1607">
        <v>-0.68754599999999999</v>
      </c>
      <c r="N1607">
        <v>0</v>
      </c>
      <c r="O1607">
        <v>-0.72604349999999995</v>
      </c>
      <c r="P1607">
        <v>-0.7444364</v>
      </c>
      <c r="Q1607">
        <v>1.783883E-2</v>
      </c>
      <c r="R1607">
        <v>-0.66745529999999997</v>
      </c>
      <c r="S1607">
        <v>-2.908188</v>
      </c>
      <c r="T1607">
        <v>0.21002879999999999</v>
      </c>
      <c r="U1607">
        <v>-1.259827</v>
      </c>
      <c r="V1607">
        <v>8.2007220000000006E-2</v>
      </c>
      <c r="W1607">
        <v>2.8529889999999999E-2</v>
      </c>
      <c r="X1607">
        <v>0.99622330000000003</v>
      </c>
      <c r="Y1607">
        <v>0.39094469999999998</v>
      </c>
      <c r="Z1607">
        <v>-5.730876E-2</v>
      </c>
      <c r="AA1607">
        <v>0.91862829999999995</v>
      </c>
      <c r="AB1607">
        <v>20</v>
      </c>
      <c r="AC1607">
        <v>-45.014299999999999</v>
      </c>
      <c r="AD1607">
        <v>3.261463</v>
      </c>
      <c r="AE1607">
        <v>-19.423200000000001</v>
      </c>
      <c r="AF1607">
        <v>19.244195345759699</v>
      </c>
      <c r="AG1607">
        <v>3.261463</v>
      </c>
      <c r="AH1607">
        <v>44.856158605468899</v>
      </c>
      <c r="AI1607">
        <v>86.177201885896906</v>
      </c>
      <c r="AJ1607">
        <v>66.779693220924699</v>
      </c>
      <c r="AK1607">
        <v>48.918822146951896</v>
      </c>
      <c r="AL1607">
        <v>88.365135879470103</v>
      </c>
      <c r="AM1607">
        <v>85.294129951098896</v>
      </c>
      <c r="AN1607">
        <v>1.0000000011092101</v>
      </c>
    </row>
    <row r="1608" spans="1:40" x14ac:dyDescent="0.25">
      <c r="A1608" t="str">
        <f>"20190312160630275"</f>
        <v>20190312160630275</v>
      </c>
      <c r="B1608" t="str">
        <f>"1552377990266953"</f>
        <v>1552377990266953</v>
      </c>
      <c r="C1608" t="s">
        <v>40</v>
      </c>
      <c r="D1608">
        <v>6.3900119999999996</v>
      </c>
      <c r="E1608">
        <v>0.62776569999999898</v>
      </c>
      <c r="F1608" t="s">
        <v>67</v>
      </c>
      <c r="G1608">
        <v>-245.74369999999999</v>
      </c>
      <c r="H1608">
        <v>4.3668879999999897</v>
      </c>
      <c r="I1608">
        <v>269.1576</v>
      </c>
      <c r="J1608">
        <v>-200.78030000000001</v>
      </c>
      <c r="K1608">
        <v>1.1043179999999999</v>
      </c>
      <c r="L1608">
        <v>288.3492</v>
      </c>
      <c r="M1608">
        <v>-0.69469989999999904</v>
      </c>
      <c r="N1608">
        <v>0</v>
      </c>
      <c r="O1608">
        <v>-0.71919739999999999</v>
      </c>
      <c r="P1608">
        <v>-0.75072989999999995</v>
      </c>
      <c r="Q1608">
        <v>1.7360069999999998E-2</v>
      </c>
      <c r="R1608">
        <v>-0.66038129999999995</v>
      </c>
      <c r="S1608">
        <v>-2.907867</v>
      </c>
      <c r="T1608">
        <v>0.210342</v>
      </c>
      <c r="U1608">
        <v>-1.245819</v>
      </c>
      <c r="V1608">
        <v>8.1565410000000005E-2</v>
      </c>
      <c r="W1608">
        <v>2.831349E-2</v>
      </c>
      <c r="X1608">
        <v>0.99626579999999998</v>
      </c>
      <c r="Y1608">
        <v>0.38552979999999998</v>
      </c>
      <c r="Z1608">
        <v>-5.7001280000000001E-2</v>
      </c>
      <c r="AA1608">
        <v>0.920933</v>
      </c>
      <c r="AB1608">
        <v>20</v>
      </c>
      <c r="AC1608">
        <v>-44.963399999999901</v>
      </c>
      <c r="AD1608">
        <v>3.2625700000000002</v>
      </c>
      <c r="AE1608">
        <v>-19.191599999999902</v>
      </c>
      <c r="AF1608">
        <v>18.922282768568401</v>
      </c>
      <c r="AG1608">
        <v>3.2625700000000002</v>
      </c>
      <c r="AH1608">
        <v>44.842220264745201</v>
      </c>
      <c r="AI1608">
        <v>86.165030247267296</v>
      </c>
      <c r="AJ1608">
        <v>67.121485314733405</v>
      </c>
      <c r="AK1608">
        <v>48.780343033341701</v>
      </c>
      <c r="AL1608">
        <v>88.377539787799506</v>
      </c>
      <c r="AM1608">
        <v>85.319568438680093</v>
      </c>
      <c r="AN1608">
        <v>1.00000005703704</v>
      </c>
    </row>
    <row r="1609" spans="1:40" x14ac:dyDescent="0.25">
      <c r="A1609" t="str">
        <f>"20190312160630299"</f>
        <v>20190312160630299</v>
      </c>
      <c r="B1609" t="str">
        <f>"1552377990286474"</f>
        <v>1552377990286474</v>
      </c>
      <c r="C1609" t="s">
        <v>40</v>
      </c>
      <c r="D1609">
        <v>6.4539090000000003</v>
      </c>
      <c r="E1609">
        <v>0.62706509999999904</v>
      </c>
      <c r="F1609" t="s">
        <v>67</v>
      </c>
      <c r="G1609">
        <v>-246.90809999999999</v>
      </c>
      <c r="H1609">
        <v>4.4840339999999896</v>
      </c>
      <c r="I1609">
        <v>269.1576</v>
      </c>
      <c r="J1609">
        <v>-200.93100000000001</v>
      </c>
      <c r="K1609">
        <v>1.1052329999999999</v>
      </c>
      <c r="L1609">
        <v>288.21019999999999</v>
      </c>
      <c r="M1609">
        <v>-0.70133020000000001</v>
      </c>
      <c r="N1609">
        <v>0</v>
      </c>
      <c r="O1609">
        <v>-0.71271110000000004</v>
      </c>
      <c r="P1609">
        <v>-0.75687380000000004</v>
      </c>
      <c r="Q1609">
        <v>1.590693E-2</v>
      </c>
      <c r="R1609">
        <v>-0.65336729999999998</v>
      </c>
      <c r="S1609">
        <v>-2.9218289999999998</v>
      </c>
      <c r="T1609">
        <v>0.21407870000000001</v>
      </c>
      <c r="U1609">
        <v>-1.2156370000000001</v>
      </c>
      <c r="V1609">
        <v>8.1571299999999999E-2</v>
      </c>
      <c r="W1609">
        <v>2.8216249999999998E-2</v>
      </c>
      <c r="X1609">
        <v>0.99626800000000004</v>
      </c>
      <c r="Y1609">
        <v>0.38658819999999999</v>
      </c>
      <c r="Z1609">
        <v>-5.7671890000000003E-2</v>
      </c>
      <c r="AA1609">
        <v>0.92044749999999997</v>
      </c>
      <c r="AB1609">
        <v>20</v>
      </c>
      <c r="AC1609">
        <v>-45.9771</v>
      </c>
      <c r="AD1609">
        <v>3.3788010000000002</v>
      </c>
      <c r="AE1609">
        <v>-19.052599999999899</v>
      </c>
      <c r="AF1609">
        <v>19.3189181473888</v>
      </c>
      <c r="AG1609">
        <v>3.3788010000000002</v>
      </c>
      <c r="AH1609">
        <v>45.617967873617999</v>
      </c>
      <c r="AI1609">
        <v>86.098276512747205</v>
      </c>
      <c r="AJ1609">
        <v>67.047652516068993</v>
      </c>
      <c r="AK1609">
        <v>49.6551697963219</v>
      </c>
      <c r="AL1609">
        <v>88.383113332615906</v>
      </c>
      <c r="AM1609">
        <v>85.319242247521998</v>
      </c>
      <c r="AN1609">
        <v>0.99999998078587604</v>
      </c>
    </row>
    <row r="1610" spans="1:40" x14ac:dyDescent="0.25">
      <c r="A1610" t="str">
        <f>"20190312160630320"</f>
        <v>20190312160630320</v>
      </c>
      <c r="B1610" t="str">
        <f>"1552377990316730"</f>
        <v>1552377990316730</v>
      </c>
      <c r="C1610" t="s">
        <v>40</v>
      </c>
      <c r="D1610">
        <v>6.5094450000000004</v>
      </c>
      <c r="E1610">
        <v>0.62550699999999904</v>
      </c>
      <c r="F1610" t="s">
        <v>67</v>
      </c>
      <c r="G1610">
        <v>-248.48179999999999</v>
      </c>
      <c r="H1610">
        <v>4.328837</v>
      </c>
      <c r="I1610">
        <v>268.85500000000002</v>
      </c>
      <c r="J1610">
        <v>-201.07050000000001</v>
      </c>
      <c r="K1610">
        <v>1.106314</v>
      </c>
      <c r="L1610">
        <v>288.08269999999999</v>
      </c>
      <c r="M1610">
        <v>-0.70684419999999903</v>
      </c>
      <c r="N1610">
        <v>0</v>
      </c>
      <c r="O1610">
        <v>-0.70721279999999997</v>
      </c>
      <c r="P1610">
        <v>-0.76244369999999995</v>
      </c>
      <c r="Q1610">
        <v>1.398755E-2</v>
      </c>
      <c r="R1610">
        <v>-0.64690380000000003</v>
      </c>
      <c r="S1610">
        <v>-2.9299770000000001</v>
      </c>
      <c r="T1610">
        <v>0.1986318</v>
      </c>
      <c r="U1610">
        <v>-1.1926270000000001</v>
      </c>
      <c r="V1610">
        <v>8.2261000000000001E-2</v>
      </c>
      <c r="W1610">
        <v>2.7946950000000002E-2</v>
      </c>
      <c r="X1610">
        <v>0.99621890000000002</v>
      </c>
      <c r="Y1610">
        <v>0.38679859999999999</v>
      </c>
      <c r="Z1610">
        <v>-5.327407E-2</v>
      </c>
      <c r="AA1610">
        <v>0.92062409999999995</v>
      </c>
      <c r="AB1610">
        <v>20</v>
      </c>
      <c r="AC1610">
        <v>-47.411299999999898</v>
      </c>
      <c r="AD1610">
        <v>3.2225229999999998</v>
      </c>
      <c r="AE1610">
        <v>-19.227699999999899</v>
      </c>
      <c r="AF1610">
        <v>19.862296445502501</v>
      </c>
      <c r="AG1610">
        <v>3.2225229999999998</v>
      </c>
      <c r="AH1610">
        <v>46.929507068609297</v>
      </c>
      <c r="AI1610">
        <v>86.381621201755493</v>
      </c>
      <c r="AJ1610">
        <v>67.060128320929905</v>
      </c>
      <c r="AK1610">
        <v>51.0614738161483</v>
      </c>
      <c r="AL1610">
        <v>88.398549205212802</v>
      </c>
      <c r="AM1610">
        <v>85.279612091198402</v>
      </c>
      <c r="AN1610">
        <v>1.0000000004262499</v>
      </c>
    </row>
    <row r="1611" spans="1:40" x14ac:dyDescent="0.25">
      <c r="A1611" t="str">
        <f>"20190312160630344"</f>
        <v>20190312160630344</v>
      </c>
      <c r="B1611" t="str">
        <f>"1552377990336250"</f>
        <v>1552377990336250</v>
      </c>
      <c r="C1611" t="s">
        <v>40</v>
      </c>
      <c r="D1611">
        <v>7.4745049999999997</v>
      </c>
      <c r="E1611">
        <v>0.62389709999999998</v>
      </c>
      <c r="F1611" t="s">
        <v>67</v>
      </c>
      <c r="G1611">
        <v>-248.98249999999999</v>
      </c>
      <c r="H1611">
        <v>4.239287</v>
      </c>
      <c r="I1611">
        <v>268.85500000000002</v>
      </c>
      <c r="J1611">
        <v>-201.22319999999999</v>
      </c>
      <c r="K1611">
        <v>1.1073809999999999</v>
      </c>
      <c r="L1611">
        <v>287.94420000000002</v>
      </c>
      <c r="M1611">
        <v>-0.71214379999999999</v>
      </c>
      <c r="N1611">
        <v>0</v>
      </c>
      <c r="O1611">
        <v>-0.70183619999999902</v>
      </c>
      <c r="P1611">
        <v>-0.76825159999999904</v>
      </c>
      <c r="Q1611">
        <v>1.157393E-2</v>
      </c>
      <c r="R1611">
        <v>-0.64004359999999905</v>
      </c>
      <c r="S1611">
        <v>-2.9326479999999999</v>
      </c>
      <c r="T1611">
        <v>0.19176650000000001</v>
      </c>
      <c r="U1611">
        <v>-1.1769099999999999</v>
      </c>
      <c r="V1611">
        <v>8.3641049999999995E-2</v>
      </c>
      <c r="W1611">
        <v>2.7435029999999999E-2</v>
      </c>
      <c r="X1611">
        <v>0.99611819999999895</v>
      </c>
      <c r="Y1611">
        <v>0.38450089999999998</v>
      </c>
      <c r="Z1611">
        <v>-5.1177279999999999E-2</v>
      </c>
      <c r="AA1611">
        <v>0.92170490000000005</v>
      </c>
      <c r="AB1611">
        <v>19</v>
      </c>
      <c r="AC1611">
        <v>-47.759300000000003</v>
      </c>
      <c r="AD1611">
        <v>3.1319059999999999</v>
      </c>
      <c r="AE1611">
        <v>-19.089200000000002</v>
      </c>
      <c r="AF1611">
        <v>19.854093831204199</v>
      </c>
      <c r="AG1611">
        <v>3.1319059999999999</v>
      </c>
      <c r="AH1611">
        <v>47.240386917554197</v>
      </c>
      <c r="AI1611">
        <v>86.502502672567601</v>
      </c>
      <c r="AJ1611">
        <v>67.204057356363606</v>
      </c>
      <c r="AK1611">
        <v>51.338562827287298</v>
      </c>
      <c r="AL1611">
        <v>88.427891292028605</v>
      </c>
      <c r="AM1611">
        <v>85.200304562354404</v>
      </c>
      <c r="AN1611">
        <v>0.99999998724372097</v>
      </c>
    </row>
    <row r="1612" spans="1:40" x14ac:dyDescent="0.25">
      <c r="A1612" t="str">
        <f>"20190312160630365"</f>
        <v>20190312160630365</v>
      </c>
      <c r="B1612" t="str">
        <f>"1552377990356745"</f>
        <v>1552377990356745</v>
      </c>
      <c r="C1612" t="s">
        <v>40</v>
      </c>
      <c r="D1612">
        <v>6.4135160000000004</v>
      </c>
      <c r="E1612">
        <v>0.62285880000000005</v>
      </c>
      <c r="F1612" t="s">
        <v>67</v>
      </c>
      <c r="G1612">
        <v>-249.51079999999999</v>
      </c>
      <c r="H1612">
        <v>4.076886</v>
      </c>
      <c r="I1612">
        <v>268.85500000000002</v>
      </c>
      <c r="J1612">
        <v>-201.3587</v>
      </c>
      <c r="K1612">
        <v>1.108176</v>
      </c>
      <c r="L1612">
        <v>287.82220000000001</v>
      </c>
      <c r="M1612">
        <v>-0.71626749999999995</v>
      </c>
      <c r="N1612">
        <v>0</v>
      </c>
      <c r="O1612">
        <v>-0.69758779999999998</v>
      </c>
      <c r="P1612">
        <v>-0.77307530000000002</v>
      </c>
      <c r="Q1612">
        <v>9.870116E-3</v>
      </c>
      <c r="R1612">
        <v>-0.63423769999999902</v>
      </c>
      <c r="S1612">
        <v>-2.9354710000000002</v>
      </c>
      <c r="T1612">
        <v>0.1805204</v>
      </c>
      <c r="U1612">
        <v>-1.160461</v>
      </c>
      <c r="V1612">
        <v>8.5226209999999997E-2</v>
      </c>
      <c r="W1612">
        <v>2.7395940000000001E-2</v>
      </c>
      <c r="X1612">
        <v>0.99598489999999995</v>
      </c>
      <c r="Y1612">
        <v>0.38399420000000001</v>
      </c>
      <c r="Z1612">
        <v>-4.802965E-2</v>
      </c>
      <c r="AA1612">
        <v>0.9220855</v>
      </c>
      <c r="AB1612">
        <v>19</v>
      </c>
      <c r="AC1612">
        <v>-48.152099999999898</v>
      </c>
      <c r="AD1612">
        <v>2.9687100000000002</v>
      </c>
      <c r="AE1612">
        <v>-18.967199999999899</v>
      </c>
      <c r="AF1612">
        <v>19.942430685167601</v>
      </c>
      <c r="AG1612">
        <v>2.9687100000000002</v>
      </c>
      <c r="AH1612">
        <v>47.572460631694703</v>
      </c>
      <c r="AI1612">
        <v>86.706161811305606</v>
      </c>
      <c r="AJ1612">
        <v>67.256512329519794</v>
      </c>
      <c r="AK1612">
        <v>51.668682886744399</v>
      </c>
      <c r="AL1612">
        <v>88.430131819126103</v>
      </c>
      <c r="AM1612">
        <v>85.109126759055698</v>
      </c>
      <c r="AN1612">
        <v>0.99999998271372803</v>
      </c>
    </row>
    <row r="1613" spans="1:40" x14ac:dyDescent="0.25">
      <c r="A1613" t="str">
        <f>"20190312160630387"</f>
        <v>20190312160630387</v>
      </c>
      <c r="B1613" t="str">
        <f>"1552377990376269"</f>
        <v>1552377990376269</v>
      </c>
      <c r="C1613" t="s">
        <v>40</v>
      </c>
      <c r="D1613">
        <v>6.4608089999999896</v>
      </c>
      <c r="E1613">
        <v>0.62182299999999902</v>
      </c>
      <c r="F1613" t="s">
        <v>67</v>
      </c>
      <c r="G1613">
        <v>-249.88919999999999</v>
      </c>
      <c r="H1613">
        <v>3.91465</v>
      </c>
      <c r="I1613">
        <v>268.92320000000001</v>
      </c>
      <c r="J1613">
        <v>-201.4913</v>
      </c>
      <c r="K1613">
        <v>1.1088480000000001</v>
      </c>
      <c r="L1613">
        <v>287.70359999999999</v>
      </c>
      <c r="M1613">
        <v>-0.71989209999999904</v>
      </c>
      <c r="N1613">
        <v>0</v>
      </c>
      <c r="O1613">
        <v>-0.69380540000000002</v>
      </c>
      <c r="P1613">
        <v>-0.77754060000000003</v>
      </c>
      <c r="Q1613">
        <v>7.7956199999999996E-3</v>
      </c>
      <c r="R1613">
        <v>-0.62878469999999997</v>
      </c>
      <c r="S1613">
        <v>-2.939346</v>
      </c>
      <c r="T1613">
        <v>0.16997999999999999</v>
      </c>
      <c r="U1613">
        <v>-1.1446529999999999</v>
      </c>
      <c r="V1613">
        <v>8.6994779999999994E-2</v>
      </c>
      <c r="W1613">
        <v>2.6904500000000001E-2</v>
      </c>
      <c r="X1613">
        <v>0.99584539999999999</v>
      </c>
      <c r="Y1613">
        <v>0.38404240000000001</v>
      </c>
      <c r="Z1613">
        <v>-4.5099569999999999E-2</v>
      </c>
      <c r="AA1613">
        <v>0.92221339999999996</v>
      </c>
      <c r="AB1613">
        <v>19</v>
      </c>
      <c r="AC1613">
        <v>-48.3978999999999</v>
      </c>
      <c r="AD1613">
        <v>2.8058019999999999</v>
      </c>
      <c r="AE1613">
        <v>-18.780399999999901</v>
      </c>
      <c r="AF1613">
        <v>20.004335139812401</v>
      </c>
      <c r="AG1613">
        <v>2.8058019999999999</v>
      </c>
      <c r="AH1613">
        <v>47.741076610185601</v>
      </c>
      <c r="AI1613">
        <v>86.897317169807494</v>
      </c>
      <c r="AJ1613">
        <v>67.265474725942198</v>
      </c>
      <c r="AK1613">
        <v>51.838753313990402</v>
      </c>
      <c r="AL1613">
        <v>88.458299671610604</v>
      </c>
      <c r="AM1613">
        <v>85.007445812492605</v>
      </c>
      <c r="AN1613">
        <v>1.0000000022843201</v>
      </c>
    </row>
    <row r="1614" spans="1:40" x14ac:dyDescent="0.25">
      <c r="A1614" t="str">
        <f>"20190312160630409"</f>
        <v>20190312160630409</v>
      </c>
      <c r="B1614" t="str">
        <f>"1552377990396763"</f>
        <v>1552377990396763</v>
      </c>
      <c r="C1614" t="s">
        <v>40</v>
      </c>
      <c r="D1614">
        <v>6.5044919999999999</v>
      </c>
      <c r="E1614">
        <v>0.62056800000000001</v>
      </c>
      <c r="F1614" t="s">
        <v>67</v>
      </c>
      <c r="G1614">
        <v>-249.88910000000001</v>
      </c>
      <c r="H1614">
        <v>3.6219299999999999</v>
      </c>
      <c r="I1614">
        <v>269.10660000000001</v>
      </c>
      <c r="J1614">
        <v>-201.62950000000001</v>
      </c>
      <c r="K1614">
        <v>1.1094409999999999</v>
      </c>
      <c r="L1614">
        <v>287.5804</v>
      </c>
      <c r="M1614">
        <v>-0.72338349999999996</v>
      </c>
      <c r="N1614">
        <v>0</v>
      </c>
      <c r="O1614">
        <v>-0.69011880000000003</v>
      </c>
      <c r="P1614">
        <v>-0.78177269999999999</v>
      </c>
      <c r="Q1614">
        <v>5.8150500000000004E-3</v>
      </c>
      <c r="R1614">
        <v>-0.62353689999999995</v>
      </c>
      <c r="S1614">
        <v>-2.9424589999999999</v>
      </c>
      <c r="T1614">
        <v>0.15278889999999901</v>
      </c>
      <c r="U1614">
        <v>-1.13064599999999</v>
      </c>
      <c r="V1614">
        <v>8.8623250000000001E-2</v>
      </c>
      <c r="W1614">
        <v>2.653604E-2</v>
      </c>
      <c r="X1614">
        <v>0.99571169999999998</v>
      </c>
      <c r="Y1614">
        <v>0.38375880000000001</v>
      </c>
      <c r="Z1614">
        <v>-4.042432E-2</v>
      </c>
      <c r="AA1614">
        <v>0.92254820000000004</v>
      </c>
      <c r="AB1614">
        <v>18</v>
      </c>
      <c r="AC1614">
        <v>-48.259599999999999</v>
      </c>
      <c r="AD1614">
        <v>2.512489</v>
      </c>
      <c r="AE1614">
        <v>-18.473799999999901</v>
      </c>
      <c r="AF1614">
        <v>19.898685806712901</v>
      </c>
      <c r="AG1614">
        <v>2.512489</v>
      </c>
      <c r="AH1614">
        <v>47.5576703452111</v>
      </c>
      <c r="AI1614">
        <v>87.209826759379595</v>
      </c>
      <c r="AJ1614">
        <v>67.294995095949304</v>
      </c>
      <c r="AK1614">
        <v>51.613973945755902</v>
      </c>
      <c r="AL1614">
        <v>88.479418435438504</v>
      </c>
      <c r="AM1614">
        <v>84.913795671514606</v>
      </c>
      <c r="AN1614">
        <v>1.0000000156881601</v>
      </c>
    </row>
    <row r="1615" spans="1:40" x14ac:dyDescent="0.25">
      <c r="A1615" t="str">
        <f>"20190312160630433"</f>
        <v>20190312160630433</v>
      </c>
      <c r="B1615" t="str">
        <f>"1552377990427018"</f>
        <v>1552377990427018</v>
      </c>
      <c r="C1615" t="s">
        <v>40</v>
      </c>
      <c r="D1615">
        <v>6.332605</v>
      </c>
      <c r="E1615">
        <v>0.62005589999999999</v>
      </c>
      <c r="F1615" t="s">
        <v>67</v>
      </c>
      <c r="G1615">
        <v>-250.10550000000001</v>
      </c>
      <c r="H1615">
        <v>3.4756290000000001</v>
      </c>
      <c r="I1615">
        <v>269.1576</v>
      </c>
      <c r="J1615">
        <v>-201.77070000000001</v>
      </c>
      <c r="K1615">
        <v>1.1099429999999999</v>
      </c>
      <c r="L1615">
        <v>287.45530000000002</v>
      </c>
      <c r="M1615">
        <v>-0.72679559999999999</v>
      </c>
      <c r="N1615">
        <v>0</v>
      </c>
      <c r="O1615">
        <v>-0.68647409999999998</v>
      </c>
      <c r="P1615">
        <v>-0.78586460000000002</v>
      </c>
      <c r="Q1615">
        <v>4.0014680000000002E-3</v>
      </c>
      <c r="R1615">
        <v>-0.61838570000000004</v>
      </c>
      <c r="S1615">
        <v>-2.944</v>
      </c>
      <c r="T1615">
        <v>0.14370160000000001</v>
      </c>
      <c r="U1615">
        <v>-1.118835</v>
      </c>
      <c r="V1615">
        <v>9.0179510000000004E-2</v>
      </c>
      <c r="W1615">
        <v>2.6332020000000001E-2</v>
      </c>
      <c r="X1615">
        <v>0.9955773</v>
      </c>
      <c r="Y1615">
        <v>0.38266440000000002</v>
      </c>
      <c r="Z1615">
        <v>-3.7902650000000003E-2</v>
      </c>
      <c r="AA1615">
        <v>0.92310959999999997</v>
      </c>
      <c r="AB1615">
        <v>18</v>
      </c>
      <c r="AC1615">
        <v>-48.334800000000001</v>
      </c>
      <c r="AD1615">
        <v>2.3656860000000002</v>
      </c>
      <c r="AE1615">
        <v>-18.297699999999999</v>
      </c>
      <c r="AF1615">
        <v>19.845505564217301</v>
      </c>
      <c r="AG1615">
        <v>2.3656860000000002</v>
      </c>
      <c r="AH1615">
        <v>47.603117170137303</v>
      </c>
      <c r="AI1615">
        <v>87.373709893587403</v>
      </c>
      <c r="AJ1615">
        <v>67.368984571827696</v>
      </c>
      <c r="AK1615">
        <v>51.628454612391799</v>
      </c>
      <c r="AL1615">
        <v>88.491111891862303</v>
      </c>
      <c r="AM1615">
        <v>84.824265868090706</v>
      </c>
      <c r="AN1615">
        <v>0.99999993978820301</v>
      </c>
    </row>
    <row r="1616" spans="1:40" x14ac:dyDescent="0.25">
      <c r="A1616" t="str">
        <f>"20190312160630456"</f>
        <v>20190312160630456</v>
      </c>
      <c r="B1616" t="str">
        <f>"1552377990446538"</f>
        <v>1552377990446538</v>
      </c>
      <c r="C1616" t="s">
        <v>40</v>
      </c>
      <c r="D1616">
        <v>6.2938850000000004</v>
      </c>
      <c r="E1616">
        <v>0.61962320000000004</v>
      </c>
      <c r="F1616" t="s">
        <v>67</v>
      </c>
      <c r="G1616">
        <v>-250.71190000000001</v>
      </c>
      <c r="H1616">
        <v>3.664374</v>
      </c>
      <c r="I1616">
        <v>269.1576</v>
      </c>
      <c r="J1616">
        <v>-201.90170000000001</v>
      </c>
      <c r="K1616">
        <v>1.110249</v>
      </c>
      <c r="L1616">
        <v>287.33999999999997</v>
      </c>
      <c r="M1616">
        <v>-0.72999309999999995</v>
      </c>
      <c r="N1616">
        <v>0</v>
      </c>
      <c r="O1616">
        <v>-0.68302419999999997</v>
      </c>
      <c r="P1616">
        <v>-0.78869089999999997</v>
      </c>
      <c r="Q1616">
        <v>2.9608669999999998E-3</v>
      </c>
      <c r="R1616">
        <v>-0.61478299999999997</v>
      </c>
      <c r="S1616">
        <v>-2.9490660000000002</v>
      </c>
      <c r="T1616">
        <v>0.15392330000000001</v>
      </c>
      <c r="U1616">
        <v>-1.1025700000000001</v>
      </c>
      <c r="V1616">
        <v>9.0044509999999994E-2</v>
      </c>
      <c r="W1616">
        <v>2.6748149999999998E-2</v>
      </c>
      <c r="X1616">
        <v>0.99557850000000003</v>
      </c>
      <c r="Y1616">
        <v>0.3831678</v>
      </c>
      <c r="Z1616">
        <v>-4.0481629999999998E-2</v>
      </c>
      <c r="AA1616">
        <v>0.92279120000000003</v>
      </c>
      <c r="AB1616">
        <v>18</v>
      </c>
      <c r="AC1616">
        <v>-48.810200000000002</v>
      </c>
      <c r="AD1616">
        <v>2.5541249999999902</v>
      </c>
      <c r="AE1616">
        <v>-18.182399999999902</v>
      </c>
      <c r="AF1616">
        <v>20.0232768732774</v>
      </c>
      <c r="AG1616">
        <v>2.5541249999999902</v>
      </c>
      <c r="AH1616">
        <v>47.948967410246802</v>
      </c>
      <c r="AI1616">
        <v>87.185957349679796</v>
      </c>
      <c r="AJ1616">
        <v>67.334800378656993</v>
      </c>
      <c r="AK1616">
        <v>52.024596557479001</v>
      </c>
      <c r="AL1616">
        <v>88.467261109030403</v>
      </c>
      <c r="AM1616">
        <v>84.831978222451497</v>
      </c>
      <c r="AN1616">
        <v>1.0000000134859</v>
      </c>
    </row>
    <row r="1617" spans="1:40" x14ac:dyDescent="0.25">
      <c r="A1617" t="str">
        <f>"20190312160630477"</f>
        <v>20190312160630477</v>
      </c>
      <c r="B1617" t="str">
        <f>"1552377990467035"</f>
        <v>1552377990467035</v>
      </c>
      <c r="C1617" t="s">
        <v>40</v>
      </c>
      <c r="D1617">
        <v>6.3495119999999998</v>
      </c>
      <c r="E1617">
        <v>0.61916289999999996</v>
      </c>
      <c r="F1617" t="s">
        <v>67</v>
      </c>
      <c r="G1617">
        <v>-251.0634</v>
      </c>
      <c r="H1617">
        <v>3.7216629999999999</v>
      </c>
      <c r="I1617">
        <v>269.1576</v>
      </c>
      <c r="J1617">
        <v>-202.0248</v>
      </c>
      <c r="K1617">
        <v>1.1103190000000001</v>
      </c>
      <c r="L1617">
        <v>287.23250000000002</v>
      </c>
      <c r="M1617">
        <v>-0.73325929999999995</v>
      </c>
      <c r="N1617">
        <v>0</v>
      </c>
      <c r="O1617">
        <v>-0.67946879999999998</v>
      </c>
      <c r="P1617">
        <v>-0.791213099999999</v>
      </c>
      <c r="Q1617">
        <v>2.540516E-3</v>
      </c>
      <c r="R1617">
        <v>-0.61153539999999995</v>
      </c>
      <c r="S1617">
        <v>-2.9521030000000001</v>
      </c>
      <c r="T1617">
        <v>0.15681239999999999</v>
      </c>
      <c r="U1617">
        <v>-1.0918270000000001</v>
      </c>
      <c r="V1617">
        <v>8.933721E-2</v>
      </c>
      <c r="W1617">
        <v>2.761854E-2</v>
      </c>
      <c r="X1617">
        <v>0.99561849999999996</v>
      </c>
      <c r="Y1617">
        <v>0.38193290000000002</v>
      </c>
      <c r="Z1617">
        <v>-4.1083460000000002E-2</v>
      </c>
      <c r="AA1617">
        <v>0.92327650000000006</v>
      </c>
      <c r="AB1617">
        <v>17</v>
      </c>
      <c r="AC1617">
        <v>-49.038600000000002</v>
      </c>
      <c r="AD1617">
        <v>2.6113439999999999</v>
      </c>
      <c r="AE1617">
        <v>-18.0749</v>
      </c>
      <c r="AF1617">
        <v>20.023177036028901</v>
      </c>
      <c r="AG1617">
        <v>2.6113439999999999</v>
      </c>
      <c r="AH1617">
        <v>48.134928569661398</v>
      </c>
      <c r="AI1617">
        <v>87.132474763195901</v>
      </c>
      <c r="AJ1617">
        <v>67.413656750266895</v>
      </c>
      <c r="AK1617">
        <v>52.198832214034198</v>
      </c>
      <c r="AL1617">
        <v>88.417373071526001</v>
      </c>
      <c r="AM1617">
        <v>84.872560707407999</v>
      </c>
      <c r="AN1617">
        <v>1.00000005919228</v>
      </c>
    </row>
    <row r="1618" spans="1:40" x14ac:dyDescent="0.25">
      <c r="A1618" t="str">
        <f>"20190312160630500"</f>
        <v>20190312160630500</v>
      </c>
      <c r="B1618" t="str">
        <f>"1552377990496315"</f>
        <v>1552377990496315</v>
      </c>
      <c r="C1618" t="s">
        <v>40</v>
      </c>
      <c r="D1618">
        <v>5.4229629999999904</v>
      </c>
      <c r="E1618">
        <v>0.61843269999999995</v>
      </c>
      <c r="F1618" t="s">
        <v>67</v>
      </c>
      <c r="G1618">
        <v>-251.33760000000001</v>
      </c>
      <c r="H1618">
        <v>3.8005390000000001</v>
      </c>
      <c r="I1618">
        <v>269.1576</v>
      </c>
      <c r="J1618">
        <v>-202.1491</v>
      </c>
      <c r="K1618">
        <v>1.110006</v>
      </c>
      <c r="L1618">
        <v>287.1259</v>
      </c>
      <c r="M1618">
        <v>-0.73725350000000001</v>
      </c>
      <c r="N1618">
        <v>0</v>
      </c>
      <c r="O1618">
        <v>-0.67508859999999904</v>
      </c>
      <c r="P1618">
        <v>-0.79419580000000001</v>
      </c>
      <c r="Q1618">
        <v>1.740482E-3</v>
      </c>
      <c r="R1618">
        <v>-0.60765990000000003</v>
      </c>
      <c r="S1618">
        <v>-2.9542079999999999</v>
      </c>
      <c r="T1618">
        <v>0.16116459999999999</v>
      </c>
      <c r="U1618">
        <v>-1.0828249999999999</v>
      </c>
      <c r="V1618">
        <v>8.8330190000000003E-2</v>
      </c>
      <c r="W1618">
        <v>2.78745E-2</v>
      </c>
      <c r="X1618">
        <v>0.99570110000000001</v>
      </c>
      <c r="Y1618">
        <v>0.37908809999999998</v>
      </c>
      <c r="Z1618">
        <v>-4.1994389999999999E-2</v>
      </c>
      <c r="AA1618">
        <v>0.92440719999999998</v>
      </c>
      <c r="AB1618">
        <v>17</v>
      </c>
      <c r="AC1618">
        <v>-49.188499999999998</v>
      </c>
      <c r="AD1618">
        <v>2.6905329999999998</v>
      </c>
      <c r="AE1618">
        <v>-17.968299999999999</v>
      </c>
      <c r="AF1618">
        <v>19.913953051304802</v>
      </c>
      <c r="AG1618">
        <v>2.6905329999999998</v>
      </c>
      <c r="AH1618">
        <v>48.284386709209102</v>
      </c>
      <c r="AI1618">
        <v>87.051105482805198</v>
      </c>
      <c r="AJ1618">
        <v>67.587256328087904</v>
      </c>
      <c r="AK1618">
        <v>52.2990104479818</v>
      </c>
      <c r="AL1618">
        <v>88.402701814295597</v>
      </c>
      <c r="AM1618">
        <v>84.930473295274894</v>
      </c>
      <c r="AN1618">
        <v>0.99999994537844605</v>
      </c>
    </row>
    <row r="1619" spans="1:40" x14ac:dyDescent="0.25">
      <c r="A1619" t="str">
        <f>"20190312160630522"</f>
        <v>20190312160630522</v>
      </c>
      <c r="B1619" t="str">
        <f>"1552377990516814"</f>
        <v>1552377990516814</v>
      </c>
      <c r="C1619" t="s">
        <v>40</v>
      </c>
      <c r="D1619">
        <v>6.2263699999999904</v>
      </c>
      <c r="E1619">
        <v>0.64221200000000001</v>
      </c>
      <c r="F1619" t="s">
        <v>67</v>
      </c>
      <c r="G1619">
        <v>-251.62979999999999</v>
      </c>
      <c r="H1619">
        <v>3.7722739999999999</v>
      </c>
      <c r="I1619">
        <v>269.1576</v>
      </c>
      <c r="J1619">
        <v>-202.27879999999999</v>
      </c>
      <c r="K1619">
        <v>1.1090230000000001</v>
      </c>
      <c r="L1619">
        <v>287.01760000000002</v>
      </c>
      <c r="M1619">
        <v>-0.74273219999999995</v>
      </c>
      <c r="N1619">
        <v>0</v>
      </c>
      <c r="O1619">
        <v>-0.66903279999999998</v>
      </c>
      <c r="P1619">
        <v>-0.79859040000000003</v>
      </c>
      <c r="Q1619">
        <v>1.8060940000000001E-3</v>
      </c>
      <c r="R1619">
        <v>-0.60187230000000003</v>
      </c>
      <c r="S1619">
        <v>-2.9558110000000002</v>
      </c>
      <c r="T1619">
        <v>0.15903519999999999</v>
      </c>
      <c r="U1619">
        <v>-1.073364</v>
      </c>
      <c r="V1619">
        <v>8.7497549999999993E-2</v>
      </c>
      <c r="W1619">
        <v>2.8333029999999999E-2</v>
      </c>
      <c r="X1619">
        <v>0.99576180000000003</v>
      </c>
      <c r="Y1619">
        <v>0.37433939999999999</v>
      </c>
      <c r="Z1619">
        <v>-4.1112580000000003E-2</v>
      </c>
      <c r="AA1619">
        <v>0.92637990000000003</v>
      </c>
      <c r="AB1619">
        <v>16</v>
      </c>
      <c r="AC1619">
        <v>-49.350999999999999</v>
      </c>
      <c r="AD1619">
        <v>2.6632509999999998</v>
      </c>
      <c r="AE1619">
        <v>-17.86</v>
      </c>
      <c r="AF1619">
        <v>19.708841731931301</v>
      </c>
      <c r="AG1619">
        <v>2.6632509999999998</v>
      </c>
      <c r="AH1619">
        <v>48.496712800937303</v>
      </c>
      <c r="AI1619">
        <v>87.087567387873904</v>
      </c>
      <c r="AJ1619">
        <v>67.883400607073597</v>
      </c>
      <c r="AK1619">
        <v>52.4162427192175</v>
      </c>
      <c r="AL1619">
        <v>88.376419803451796</v>
      </c>
      <c r="AM1619">
        <v>84.978319963607802</v>
      </c>
      <c r="AN1619">
        <v>1.0000000720921001</v>
      </c>
    </row>
    <row r="1620" spans="1:40" x14ac:dyDescent="0.25">
      <c r="A1620" t="str">
        <f>"20190312160630545"</f>
        <v>20190312160630545</v>
      </c>
      <c r="B1620" t="str">
        <f>"1552377990536334"</f>
        <v>1552377990536334</v>
      </c>
      <c r="C1620" t="s">
        <v>40</v>
      </c>
      <c r="D1620">
        <v>6.2959529999999999</v>
      </c>
      <c r="E1620">
        <v>0.64102519999999996</v>
      </c>
      <c r="F1620" t="s">
        <v>44</v>
      </c>
      <c r="G1620">
        <v>-202.90719999999999</v>
      </c>
      <c r="H1620">
        <v>1.1842820000000001</v>
      </c>
      <c r="I1620">
        <v>286.83350000000002</v>
      </c>
      <c r="J1620">
        <v>-202.40889999999999</v>
      </c>
      <c r="K1620">
        <v>1.107423</v>
      </c>
      <c r="L1620">
        <v>286.91329999999999</v>
      </c>
      <c r="M1620">
        <v>-0.74922429999999995</v>
      </c>
      <c r="N1620">
        <v>0</v>
      </c>
      <c r="O1620">
        <v>-0.66177229999999998</v>
      </c>
      <c r="P1620">
        <v>-0.80384180000000005</v>
      </c>
      <c r="Q1620">
        <v>2.7613329999999999E-3</v>
      </c>
      <c r="R1620">
        <v>-0.59483699999999995</v>
      </c>
      <c r="S1620">
        <v>-3.076187</v>
      </c>
      <c r="T1620">
        <v>0.36831530000000001</v>
      </c>
      <c r="U1620">
        <v>-0.90170289999999997</v>
      </c>
      <c r="V1620">
        <v>8.6630910000000005E-2</v>
      </c>
      <c r="W1620">
        <v>2.8589949999999999E-2</v>
      </c>
      <c r="X1620">
        <v>0.9958302</v>
      </c>
      <c r="Y1620">
        <v>0.41827950000000003</v>
      </c>
      <c r="Z1620">
        <v>-9.4557660000000002E-2</v>
      </c>
      <c r="AA1620">
        <v>0.90338309999999999</v>
      </c>
      <c r="AB1620">
        <v>16</v>
      </c>
      <c r="AC1620">
        <v>-0.49830000000000002</v>
      </c>
      <c r="AD1620">
        <v>7.6858999999999997E-2</v>
      </c>
      <c r="AE1620">
        <v>-7.9799999999977403E-2</v>
      </c>
      <c r="AF1620">
        <v>0.26394783934849803</v>
      </c>
      <c r="AG1620">
        <v>7.6858999999999997E-2</v>
      </c>
      <c r="AH1620">
        <v>0.41663722360872602</v>
      </c>
      <c r="AI1620">
        <v>81.142577425067998</v>
      </c>
      <c r="AJ1620">
        <v>57.644940895070199</v>
      </c>
      <c r="AK1620">
        <v>0.49916164102836302</v>
      </c>
      <c r="AL1620">
        <v>88.361693360164097</v>
      </c>
      <c r="AM1620">
        <v>85.028147601105502</v>
      </c>
      <c r="AN1620">
        <v>1.0000000435202301</v>
      </c>
    </row>
    <row r="1621" spans="1:40" x14ac:dyDescent="0.25">
      <c r="A1621" t="str">
        <f>"20190312160630566"</f>
        <v>20190312160630566</v>
      </c>
      <c r="B1621" t="str">
        <f>"1552377990556830"</f>
        <v>1552377990556830</v>
      </c>
      <c r="C1621" t="s">
        <v>40</v>
      </c>
      <c r="D1621">
        <v>6.3487140000000002</v>
      </c>
      <c r="E1621">
        <v>0.63881219999999905</v>
      </c>
      <c r="F1621" t="s">
        <v>44</v>
      </c>
      <c r="G1621">
        <v>-203.0421</v>
      </c>
      <c r="H1621">
        <v>1.178874</v>
      </c>
      <c r="I1621">
        <v>286.73149999999998</v>
      </c>
      <c r="J1621">
        <v>-202.5324</v>
      </c>
      <c r="K1621">
        <v>1.1059239999999999</v>
      </c>
      <c r="L1621">
        <v>286.8184</v>
      </c>
      <c r="M1621">
        <v>-0.75538229999999995</v>
      </c>
      <c r="N1621">
        <v>0</v>
      </c>
      <c r="O1621">
        <v>-0.65477810000000003</v>
      </c>
      <c r="P1621">
        <v>-0.80866910000000003</v>
      </c>
      <c r="Q1621">
        <v>4.4219180000000004E-3</v>
      </c>
      <c r="R1621">
        <v>-0.58824719999999997</v>
      </c>
      <c r="S1621">
        <v>-3.0773619999999999</v>
      </c>
      <c r="T1621">
        <v>0.34721299999999999</v>
      </c>
      <c r="U1621">
        <v>-0.88317869999999998</v>
      </c>
      <c r="V1621">
        <v>8.5565730000000007E-2</v>
      </c>
      <c r="W1621">
        <v>2.895696E-2</v>
      </c>
      <c r="X1621">
        <v>0.99591169999999996</v>
      </c>
      <c r="Y1621">
        <v>0.41565410000000003</v>
      </c>
      <c r="Z1621">
        <v>-8.8556910000000003E-2</v>
      </c>
      <c r="AA1621">
        <v>0.90520129999999999</v>
      </c>
      <c r="AB1621">
        <v>16</v>
      </c>
      <c r="AC1621">
        <v>-0.50970000000000903</v>
      </c>
      <c r="AD1621">
        <v>7.2950000000000001E-2</v>
      </c>
      <c r="AE1621">
        <v>-8.6900000000014105E-2</v>
      </c>
      <c r="AF1621">
        <v>0.26295237362199803</v>
      </c>
      <c r="AG1621">
        <v>7.2950000000000001E-2</v>
      </c>
      <c r="AH1621">
        <v>0.43343732090586601</v>
      </c>
      <c r="AI1621">
        <v>81.811574635777902</v>
      </c>
      <c r="AJ1621">
        <v>58.756169126691702</v>
      </c>
      <c r="AK1621">
        <v>0.51218508807607599</v>
      </c>
      <c r="AL1621">
        <v>88.340656549073003</v>
      </c>
      <c r="AM1621">
        <v>85.089378669003096</v>
      </c>
      <c r="AN1621">
        <v>1.0000000569398799</v>
      </c>
    </row>
    <row r="1622" spans="1:40" x14ac:dyDescent="0.25">
      <c r="A1622" t="str">
        <f>"20190312160630588"</f>
        <v>20190312160630588</v>
      </c>
      <c r="B1622" t="str">
        <f>"1552377990576353"</f>
        <v>1552377990576353</v>
      </c>
      <c r="C1622" t="s">
        <v>40</v>
      </c>
      <c r="D1622">
        <v>6.4177879999999998</v>
      </c>
      <c r="E1622">
        <v>0.63688809999999996</v>
      </c>
      <c r="F1622" t="s">
        <v>44</v>
      </c>
      <c r="G1622">
        <v>-203.17420000000001</v>
      </c>
      <c r="H1622">
        <v>1.1795690000000001</v>
      </c>
      <c r="I1622">
        <v>286.63619999999997</v>
      </c>
      <c r="J1622">
        <v>-202.66030000000001</v>
      </c>
      <c r="K1622">
        <v>1.104975</v>
      </c>
      <c r="L1622">
        <v>286.72379999999998</v>
      </c>
      <c r="M1622">
        <v>-0.76137909999999998</v>
      </c>
      <c r="N1622">
        <v>0</v>
      </c>
      <c r="O1622">
        <v>-0.64784419999999898</v>
      </c>
      <c r="P1622">
        <v>-0.81326480000000001</v>
      </c>
      <c r="Q1622">
        <v>5.8068549999999997E-3</v>
      </c>
      <c r="R1622">
        <v>-0.58186479999999996</v>
      </c>
      <c r="S1622">
        <v>-3.0729220000000002</v>
      </c>
      <c r="T1622">
        <v>0.35259020000000002</v>
      </c>
      <c r="U1622">
        <v>-0.87289430000000001</v>
      </c>
      <c r="V1622">
        <v>8.4307709999999994E-2</v>
      </c>
      <c r="W1622">
        <v>2.8980309999999999E-2</v>
      </c>
      <c r="X1622">
        <v>0.99601819999999996</v>
      </c>
      <c r="Y1622">
        <v>0.40964109999999998</v>
      </c>
      <c r="Z1622">
        <v>-8.9206560000000004E-2</v>
      </c>
      <c r="AA1622">
        <v>0.90787459999999998</v>
      </c>
      <c r="AB1622">
        <v>16</v>
      </c>
      <c r="AC1622">
        <v>-0.51390000000000602</v>
      </c>
      <c r="AD1622">
        <v>7.4593999999999994E-2</v>
      </c>
      <c r="AE1622">
        <v>-8.7600000000008907E-2</v>
      </c>
      <c r="AF1622">
        <v>0.26096705502575102</v>
      </c>
      <c r="AG1622">
        <v>7.4593999999999994E-2</v>
      </c>
      <c r="AH1622">
        <v>0.43916661336942298</v>
      </c>
      <c r="AI1622">
        <v>81.692470923843302</v>
      </c>
      <c r="AJ1622">
        <v>59.279844170090001</v>
      </c>
      <c r="AK1622">
        <v>0.51627064892668595</v>
      </c>
      <c r="AL1622">
        <v>88.339317955894003</v>
      </c>
      <c r="AM1622">
        <v>85.161746094181197</v>
      </c>
      <c r="AN1622">
        <v>0.99999995153218801</v>
      </c>
    </row>
    <row r="1623" spans="1:40" x14ac:dyDescent="0.25">
      <c r="A1623" t="str">
        <f>"20190312160630611"</f>
        <v>20190312160630611</v>
      </c>
      <c r="B1623" t="str">
        <f>"1552377990606606"</f>
        <v>1552377990606606</v>
      </c>
      <c r="C1623" t="s">
        <v>40</v>
      </c>
      <c r="D1623">
        <v>6.4534039999999999</v>
      </c>
      <c r="E1623">
        <v>0.63524720000000001</v>
      </c>
      <c r="F1623" t="s">
        <v>68</v>
      </c>
      <c r="G1623">
        <v>-352.55</v>
      </c>
      <c r="H1623">
        <v>17.98516</v>
      </c>
      <c r="I1623">
        <v>244.6772</v>
      </c>
      <c r="J1623">
        <v>-202.79750000000001</v>
      </c>
      <c r="K1623">
        <v>1.104843</v>
      </c>
      <c r="L1623">
        <v>286.62509999999997</v>
      </c>
      <c r="M1623">
        <v>-0.76756080000000004</v>
      </c>
      <c r="N1623">
        <v>0</v>
      </c>
      <c r="O1623">
        <v>-0.64055469999999903</v>
      </c>
      <c r="P1623">
        <v>-0.81789449999999997</v>
      </c>
      <c r="Q1623">
        <v>6.3478110000000001E-3</v>
      </c>
      <c r="R1623">
        <v>-0.57533319999999999</v>
      </c>
      <c r="S1623">
        <v>-3.0701749999999999</v>
      </c>
      <c r="T1623">
        <v>0.34575679999999998</v>
      </c>
      <c r="U1623">
        <v>-0.86123660000000002</v>
      </c>
      <c r="V1623">
        <v>8.2738510000000001E-2</v>
      </c>
      <c r="W1623">
        <v>2.8327310000000001E-2</v>
      </c>
      <c r="X1623">
        <v>0.99616859999999996</v>
      </c>
      <c r="Y1623">
        <v>0.40416269999999999</v>
      </c>
      <c r="Z1623">
        <v>-8.6742250000000007E-2</v>
      </c>
      <c r="AA1623">
        <v>0.91056479999999995</v>
      </c>
      <c r="AB1623">
        <v>16</v>
      </c>
      <c r="AC1623">
        <v>-149.7525</v>
      </c>
      <c r="AD1623">
        <v>16.880317000000002</v>
      </c>
      <c r="AE1623">
        <v>-41.947899999999898</v>
      </c>
      <c r="AF1623">
        <v>63.002050298916501</v>
      </c>
      <c r="AG1623">
        <v>16.880317000000002</v>
      </c>
      <c r="AH1623">
        <v>140.200586689907</v>
      </c>
      <c r="AI1623">
        <v>83.732762867134696</v>
      </c>
      <c r="AJ1623">
        <v>65.802241200263893</v>
      </c>
      <c r="AK1623">
        <v>154.62990639614901</v>
      </c>
      <c r="AL1623">
        <v>88.376747531283002</v>
      </c>
      <c r="AM1623">
        <v>85.252097371726293</v>
      </c>
      <c r="AN1623">
        <v>0.99999998857740702</v>
      </c>
    </row>
    <row r="1624" spans="1:40" x14ac:dyDescent="0.25">
      <c r="A1624" t="str">
        <f>"20190312160630635"</f>
        <v>20190312160630635</v>
      </c>
      <c r="B1624" t="str">
        <f>"1552377990627101"</f>
        <v>1552377990627101</v>
      </c>
      <c r="C1624" t="s">
        <v>40</v>
      </c>
      <c r="D1624">
        <v>6.4572010000000004</v>
      </c>
      <c r="E1624">
        <v>0.63479649999999999</v>
      </c>
      <c r="F1624" t="s">
        <v>68</v>
      </c>
      <c r="G1624">
        <v>-352.55</v>
      </c>
      <c r="H1624">
        <v>17.483090000000001</v>
      </c>
      <c r="I1624">
        <v>245.27549999999999</v>
      </c>
      <c r="J1624">
        <v>-202.9419</v>
      </c>
      <c r="K1624">
        <v>1.105491</v>
      </c>
      <c r="L1624">
        <v>286.52260000000001</v>
      </c>
      <c r="M1624">
        <v>-0.77417569999999902</v>
      </c>
      <c r="N1624">
        <v>0</v>
      </c>
      <c r="O1624">
        <v>-0.63258579999999998</v>
      </c>
      <c r="P1624">
        <v>-0.82308239999999999</v>
      </c>
      <c r="Q1624">
        <v>6.5489719999999897E-3</v>
      </c>
      <c r="R1624">
        <v>-0.56788439999999996</v>
      </c>
      <c r="S1624">
        <v>-3.069229</v>
      </c>
      <c r="T1624">
        <v>0.33567920000000001</v>
      </c>
      <c r="U1624">
        <v>-0.84747309999999998</v>
      </c>
      <c r="V1624">
        <v>8.1392199999999998E-2</v>
      </c>
      <c r="W1624">
        <v>2.7552759999999999E-2</v>
      </c>
      <c r="X1624">
        <v>0.9963012</v>
      </c>
      <c r="Y1624">
        <v>0.39876650000000002</v>
      </c>
      <c r="Z1624">
        <v>-8.3410159999999997E-2</v>
      </c>
      <c r="AA1624">
        <v>0.91325129999999999</v>
      </c>
      <c r="AB1624">
        <v>16</v>
      </c>
      <c r="AC1624">
        <v>-149.60810000000001</v>
      </c>
      <c r="AD1624">
        <v>16.377599</v>
      </c>
      <c r="AE1624">
        <v>-41.247100000000003</v>
      </c>
      <c r="AF1624">
        <v>62.031880456001602</v>
      </c>
      <c r="AG1624">
        <v>16.377599</v>
      </c>
      <c r="AH1624">
        <v>140.38636580151501</v>
      </c>
      <c r="AI1624">
        <v>83.909132430728107</v>
      </c>
      <c r="AJ1624">
        <v>66.161022307600604</v>
      </c>
      <c r="AK1624">
        <v>154.351908458785</v>
      </c>
      <c r="AL1624">
        <v>88.421143270540398</v>
      </c>
      <c r="AM1624">
        <v>85.329628869471804</v>
      </c>
      <c r="AN1624">
        <v>0.99999996296294802</v>
      </c>
    </row>
    <row r="1625" spans="1:40" x14ac:dyDescent="0.25">
      <c r="A1625" t="str">
        <f>"20190312160630656"</f>
        <v>20190312160630656</v>
      </c>
      <c r="B1625" t="str">
        <f>"1552377990646622"</f>
        <v>1552377990646622</v>
      </c>
      <c r="C1625" t="s">
        <v>40</v>
      </c>
      <c r="D1625">
        <v>4.5779170000000002</v>
      </c>
      <c r="E1625">
        <v>0.63421740000000004</v>
      </c>
      <c r="F1625" t="s">
        <v>44</v>
      </c>
      <c r="G1625">
        <v>-203.62710000000001</v>
      </c>
      <c r="H1625">
        <v>1.178653</v>
      </c>
      <c r="I1625">
        <v>286.33960000000002</v>
      </c>
      <c r="J1625">
        <v>-203.07069999999999</v>
      </c>
      <c r="K1625">
        <v>1.1063449999999999</v>
      </c>
      <c r="L1625">
        <v>286.43180000000001</v>
      </c>
      <c r="M1625">
        <v>-0.78019819999999995</v>
      </c>
      <c r="N1625">
        <v>0</v>
      </c>
      <c r="O1625">
        <v>-0.6251738</v>
      </c>
      <c r="P1625">
        <v>-0.82790429999999904</v>
      </c>
      <c r="Q1625">
        <v>6.6112979999999998E-3</v>
      </c>
      <c r="R1625">
        <v>-0.56083039999999995</v>
      </c>
      <c r="S1625">
        <v>-3.0750730000000002</v>
      </c>
      <c r="T1625">
        <v>0.328316</v>
      </c>
      <c r="U1625">
        <v>-0.82202149999999996</v>
      </c>
      <c r="V1625">
        <v>8.0316410000000005E-2</v>
      </c>
      <c r="W1625">
        <v>2.691642E-2</v>
      </c>
      <c r="X1625">
        <v>0.99640600000000001</v>
      </c>
      <c r="Y1625">
        <v>0.39775779999999999</v>
      </c>
      <c r="Z1625">
        <v>-8.0939490000000003E-2</v>
      </c>
      <c r="AA1625">
        <v>0.91391330000000004</v>
      </c>
      <c r="AB1625">
        <v>16</v>
      </c>
      <c r="AC1625">
        <v>-0.55640000000002399</v>
      </c>
      <c r="AD1625">
        <v>7.2307999999999997E-2</v>
      </c>
      <c r="AE1625">
        <v>-9.2199999999991095E-2</v>
      </c>
      <c r="AF1625">
        <v>0.27151137209410903</v>
      </c>
      <c r="AG1625">
        <v>7.2307999999999997E-2</v>
      </c>
      <c r="AH1625">
        <v>0.48389954633242699</v>
      </c>
      <c r="AI1625">
        <v>82.575286608902701</v>
      </c>
      <c r="AJ1625">
        <v>60.703637003805099</v>
      </c>
      <c r="AK1625">
        <v>0.55955843571619401</v>
      </c>
      <c r="AL1625">
        <v>88.457616560043903</v>
      </c>
      <c r="AM1625">
        <v>85.391573798443901</v>
      </c>
      <c r="AN1625">
        <v>1.00000006810845</v>
      </c>
    </row>
    <row r="1626" spans="1:40" x14ac:dyDescent="0.25">
      <c r="A1626" t="str">
        <f>"20190312160630678"</f>
        <v>20190312160630678</v>
      </c>
      <c r="B1626" t="str">
        <f>"1552377990676878"</f>
        <v>1552377990676878</v>
      </c>
      <c r="C1626" t="s">
        <v>40</v>
      </c>
      <c r="D1626">
        <v>6.4132829999999998</v>
      </c>
      <c r="E1626">
        <v>0.63363369999999997</v>
      </c>
      <c r="F1626" t="s">
        <v>44</v>
      </c>
      <c r="G1626">
        <v>-203.75649999999999</v>
      </c>
      <c r="H1626">
        <v>1.1782520000000001</v>
      </c>
      <c r="I1626">
        <v>286.25380000000001</v>
      </c>
      <c r="J1626">
        <v>-203.20490000000001</v>
      </c>
      <c r="K1626">
        <v>1.1070260000000001</v>
      </c>
      <c r="L1626">
        <v>286.33760000000001</v>
      </c>
      <c r="M1626">
        <v>-0.78622809999999999</v>
      </c>
      <c r="N1626">
        <v>0</v>
      </c>
      <c r="O1626">
        <v>-0.61760150000000003</v>
      </c>
      <c r="P1626">
        <v>-0.83272950000000001</v>
      </c>
      <c r="Q1626">
        <v>6.620786E-3</v>
      </c>
      <c r="R1626">
        <v>-0.55364049999999998</v>
      </c>
      <c r="S1626">
        <v>-3.079666</v>
      </c>
      <c r="T1626">
        <v>0.32290530000000001</v>
      </c>
      <c r="U1626">
        <v>-0.79919430000000002</v>
      </c>
      <c r="V1626">
        <v>7.9242419999999994E-2</v>
      </c>
      <c r="W1626">
        <v>2.624812E-2</v>
      </c>
      <c r="X1626">
        <v>0.99650970000000005</v>
      </c>
      <c r="Y1626">
        <v>0.39575630000000001</v>
      </c>
      <c r="Z1626">
        <v>-7.891803E-2</v>
      </c>
      <c r="AA1626">
        <v>0.91495839999999995</v>
      </c>
      <c r="AB1626">
        <v>16</v>
      </c>
      <c r="AC1626">
        <v>-0.551599999999979</v>
      </c>
      <c r="AD1626">
        <v>7.1225999999999998E-2</v>
      </c>
      <c r="AE1626">
        <v>-8.3799999999996502E-2</v>
      </c>
      <c r="AF1626">
        <v>0.270432583661321</v>
      </c>
      <c r="AG1626">
        <v>7.1225999999999998E-2</v>
      </c>
      <c r="AH1626">
        <v>0.47775274658662797</v>
      </c>
      <c r="AI1626">
        <v>82.607630140857196</v>
      </c>
      <c r="AJ1626">
        <v>60.487911009234999</v>
      </c>
      <c r="AK1626">
        <v>0.55358342844850805</v>
      </c>
      <c r="AL1626">
        <v>88.495920690900505</v>
      </c>
      <c r="AM1626">
        <v>85.453408652446797</v>
      </c>
      <c r="AN1626">
        <v>0.99999995356253901</v>
      </c>
    </row>
    <row r="1627" spans="1:40" x14ac:dyDescent="0.25">
      <c r="A1627" t="str">
        <f>"20190312160630711"</f>
        <v>20190312160630711</v>
      </c>
      <c r="B1627" t="str">
        <f>"1552377990706159"</f>
        <v>1552377990706159</v>
      </c>
      <c r="C1627" t="s">
        <v>40</v>
      </c>
      <c r="D1627">
        <v>6.4657030000000004</v>
      </c>
      <c r="E1627">
        <v>0.63330540000000002</v>
      </c>
      <c r="F1627" t="s">
        <v>44</v>
      </c>
      <c r="G1627">
        <v>-203.89089999999999</v>
      </c>
      <c r="H1627">
        <v>1.177702</v>
      </c>
      <c r="I1627">
        <v>286.1651</v>
      </c>
      <c r="J1627">
        <v>-203.4008</v>
      </c>
      <c r="K1627">
        <v>1.107361</v>
      </c>
      <c r="L1627">
        <v>286.20190000000002</v>
      </c>
      <c r="M1627">
        <v>-0.79411149999999997</v>
      </c>
      <c r="N1627">
        <v>0</v>
      </c>
      <c r="O1627">
        <v>-0.60746739999999999</v>
      </c>
      <c r="P1627">
        <v>-0.83949119999999999</v>
      </c>
      <c r="Q1627">
        <v>9.4449200000000007E-3</v>
      </c>
      <c r="R1627">
        <v>-0.54329169999999904</v>
      </c>
      <c r="S1627">
        <v>-3.0840000000000001</v>
      </c>
      <c r="T1627">
        <v>0.31766299999999997</v>
      </c>
      <c r="U1627">
        <v>-0.77624510000000002</v>
      </c>
      <c r="V1627">
        <v>7.8753229999999994E-2</v>
      </c>
      <c r="W1627">
        <v>2.8057060000000002E-2</v>
      </c>
      <c r="X1627">
        <v>0.99649920000000003</v>
      </c>
      <c r="Y1627">
        <v>0.39088539999999999</v>
      </c>
      <c r="Z1627">
        <v>-7.6614559999999998E-2</v>
      </c>
      <c r="AA1627">
        <v>0.91724519999999998</v>
      </c>
      <c r="AB1627">
        <v>16</v>
      </c>
      <c r="AC1627">
        <v>-0.49009999999998399</v>
      </c>
      <c r="AD1627">
        <v>7.0340999999999904E-2</v>
      </c>
      <c r="AE1627">
        <v>-3.6800000000027901E-2</v>
      </c>
      <c r="AF1627">
        <v>0.26315581842396801</v>
      </c>
      <c r="AG1627">
        <v>7.0340999999999904E-2</v>
      </c>
      <c r="AH1627">
        <v>0.403362747003019</v>
      </c>
      <c r="AI1627">
        <v>81.690559156221894</v>
      </c>
      <c r="AJ1627">
        <v>56.879375168236102</v>
      </c>
      <c r="AK1627">
        <v>0.48672409712403802</v>
      </c>
      <c r="AL1627">
        <v>88.392237831426797</v>
      </c>
      <c r="AM1627">
        <v>85.481312272794398</v>
      </c>
      <c r="AN1627">
        <v>0.99999996272595704</v>
      </c>
    </row>
    <row r="1628" spans="1:40" x14ac:dyDescent="0.25">
      <c r="A1628" t="str">
        <f>"20190312160630733"</f>
        <v>20190312160630733</v>
      </c>
      <c r="B1628" t="str">
        <f>"1552377990726654"</f>
        <v>1552377990726654</v>
      </c>
      <c r="C1628" t="s">
        <v>40</v>
      </c>
      <c r="D1628">
        <v>6.4432689999999999</v>
      </c>
      <c r="E1628">
        <v>0.63269569999999997</v>
      </c>
      <c r="F1628" t="s">
        <v>69</v>
      </c>
      <c r="G1628">
        <v>-280.94069999999999</v>
      </c>
      <c r="H1628">
        <v>8.7388530000000006</v>
      </c>
      <c r="I1628">
        <v>267.65789999999998</v>
      </c>
      <c r="J1628">
        <v>-203.53380000000001</v>
      </c>
      <c r="K1628">
        <v>1.1072379999999999</v>
      </c>
      <c r="L1628">
        <v>286.11160000000001</v>
      </c>
      <c r="M1628">
        <v>-0.79888769999999998</v>
      </c>
      <c r="N1628">
        <v>0</v>
      </c>
      <c r="O1628">
        <v>-0.60119239999999996</v>
      </c>
      <c r="P1628">
        <v>-0.84358169999999899</v>
      </c>
      <c r="Q1628">
        <v>1.1630629999999999E-2</v>
      </c>
      <c r="R1628">
        <v>-0.53687510000000005</v>
      </c>
      <c r="S1628">
        <v>-3.0916440000000001</v>
      </c>
      <c r="T1628">
        <v>0.30427969999999999</v>
      </c>
      <c r="U1628">
        <v>-0.73937989999999998</v>
      </c>
      <c r="V1628">
        <v>7.8495239999999994E-2</v>
      </c>
      <c r="W1628">
        <v>2.9570860000000001E-2</v>
      </c>
      <c r="X1628">
        <v>0.99647580000000002</v>
      </c>
      <c r="Y1628">
        <v>0.39485989999999999</v>
      </c>
      <c r="Z1628">
        <v>-7.3102089999999995E-2</v>
      </c>
      <c r="AA1628">
        <v>0.91582850000000005</v>
      </c>
      <c r="AB1628">
        <v>16</v>
      </c>
      <c r="AC1628">
        <v>-77.406899999999894</v>
      </c>
      <c r="AD1628">
        <v>7.631615</v>
      </c>
      <c r="AE1628">
        <v>-18.453700000000001</v>
      </c>
      <c r="AF1628">
        <v>31.509701580741499</v>
      </c>
      <c r="AG1628">
        <v>7.631615</v>
      </c>
      <c r="AH1628">
        <v>72.281466215516403</v>
      </c>
      <c r="AI1628">
        <v>84.471827560163902</v>
      </c>
      <c r="AJ1628">
        <v>66.446140482473396</v>
      </c>
      <c r="AK1628">
        <v>79.219399136072994</v>
      </c>
      <c r="AL1628">
        <v>88.305467469030802</v>
      </c>
      <c r="AM1628">
        <v>85.495948838246605</v>
      </c>
      <c r="AN1628">
        <v>0.99999997922471795</v>
      </c>
    </row>
    <row r="1629" spans="1:40" x14ac:dyDescent="0.25">
      <c r="A1629" t="str">
        <f>"20190312160630755"</f>
        <v>20190312160630755</v>
      </c>
      <c r="B1629" t="str">
        <f>"1552377990746174"</f>
        <v>1552377990746174</v>
      </c>
      <c r="C1629" t="s">
        <v>40</v>
      </c>
      <c r="D1629">
        <v>5.7178230000000001</v>
      </c>
      <c r="E1629">
        <v>0.63217199999999996</v>
      </c>
      <c r="F1629" t="s">
        <v>69</v>
      </c>
      <c r="G1629">
        <v>-281.18529999999998</v>
      </c>
      <c r="H1629">
        <v>8.7598399999999899</v>
      </c>
      <c r="I1629">
        <v>268.05009999999999</v>
      </c>
      <c r="J1629">
        <v>-203.66919999999999</v>
      </c>
      <c r="K1629">
        <v>1.1070169999999999</v>
      </c>
      <c r="L1629">
        <v>286.02170000000001</v>
      </c>
      <c r="M1629">
        <v>-0.80353200000000002</v>
      </c>
      <c r="N1629">
        <v>0</v>
      </c>
      <c r="O1629">
        <v>-0.59498859999999998</v>
      </c>
      <c r="P1629">
        <v>-0.84760249999999904</v>
      </c>
      <c r="Q1629">
        <v>1.3828719999999999E-2</v>
      </c>
      <c r="R1629">
        <v>-0.53045140000000002</v>
      </c>
      <c r="S1629">
        <v>-3.0940400000000001</v>
      </c>
      <c r="T1629">
        <v>0.304919</v>
      </c>
      <c r="U1629">
        <v>-0.71966549999999996</v>
      </c>
      <c r="V1629">
        <v>7.8351359999999995E-2</v>
      </c>
      <c r="W1629">
        <v>3.1148470000000001E-2</v>
      </c>
      <c r="X1629">
        <v>0.99643910000000002</v>
      </c>
      <c r="Y1629">
        <v>0.39344249999999997</v>
      </c>
      <c r="Z1629">
        <v>-7.2741199999999895E-2</v>
      </c>
      <c r="AA1629">
        <v>0.91646700000000003</v>
      </c>
      <c r="AB1629">
        <v>16</v>
      </c>
      <c r="AC1629">
        <v>-77.516099999999994</v>
      </c>
      <c r="AD1629">
        <v>7.6528229999999899</v>
      </c>
      <c r="AE1629">
        <v>-17.971599999999999</v>
      </c>
      <c r="AF1629">
        <v>31.395195790004099</v>
      </c>
      <c r="AG1629">
        <v>7.6528229999999899</v>
      </c>
      <c r="AH1629">
        <v>72.322470617309094</v>
      </c>
      <c r="AI1629">
        <v>84.455996211842702</v>
      </c>
      <c r="AJ1629">
        <v>66.534327699530195</v>
      </c>
      <c r="AK1629">
        <v>79.213406534206996</v>
      </c>
      <c r="AL1629">
        <v>88.215035452680496</v>
      </c>
      <c r="AM1629">
        <v>85.504005877521095</v>
      </c>
      <c r="AN1629">
        <v>1.000000021403</v>
      </c>
    </row>
    <row r="1630" spans="1:40" x14ac:dyDescent="0.25">
      <c r="A1630" t="str">
        <f>"20190312160630778"</f>
        <v>20190312160630778</v>
      </c>
      <c r="B1630" t="str">
        <f>"1552377990766673"</f>
        <v>1552377990766673</v>
      </c>
      <c r="C1630" t="s">
        <v>40</v>
      </c>
      <c r="D1630">
        <v>6.4526399999999997</v>
      </c>
      <c r="E1630">
        <v>0.6317874</v>
      </c>
      <c r="F1630" t="s">
        <v>44</v>
      </c>
      <c r="G1630">
        <v>-204.39060000000001</v>
      </c>
      <c r="H1630">
        <v>1.1785909999999999</v>
      </c>
      <c r="I1630">
        <v>285.85890000000001</v>
      </c>
      <c r="J1630">
        <v>-203.8058</v>
      </c>
      <c r="K1630">
        <v>1.106838</v>
      </c>
      <c r="L1630">
        <v>285.93290000000002</v>
      </c>
      <c r="M1630">
        <v>-0.80821100000000001</v>
      </c>
      <c r="N1630">
        <v>0</v>
      </c>
      <c r="O1630">
        <v>-0.58863209999999999</v>
      </c>
      <c r="P1630">
        <v>-0.85187579999999996</v>
      </c>
      <c r="Q1630">
        <v>1.427927E-2</v>
      </c>
      <c r="R1630">
        <v>-0.5235495</v>
      </c>
      <c r="S1630">
        <v>-3.0963590000000001</v>
      </c>
      <c r="T1630">
        <v>0.30715629999999999</v>
      </c>
      <c r="U1630">
        <v>-0.69992069999999995</v>
      </c>
      <c r="V1630">
        <v>7.8588740000000004E-2</v>
      </c>
      <c r="W1630">
        <v>3.1064580000000001E-2</v>
      </c>
      <c r="X1630">
        <v>0.99642299999999995</v>
      </c>
      <c r="Y1630">
        <v>0.39186300000000002</v>
      </c>
      <c r="Z1630">
        <v>-7.2731279999999995E-2</v>
      </c>
      <c r="AA1630">
        <v>0.91714419999999997</v>
      </c>
      <c r="AB1630">
        <v>16</v>
      </c>
      <c r="AC1630">
        <v>-0.58480000000000099</v>
      </c>
      <c r="AD1630">
        <v>7.17529999999999E-2</v>
      </c>
      <c r="AE1630">
        <v>-7.4000000000012195E-2</v>
      </c>
      <c r="AF1630">
        <v>0.280314658167301</v>
      </c>
      <c r="AG1630">
        <v>7.17529999999999E-2</v>
      </c>
      <c r="AH1630">
        <v>0.50874174806335404</v>
      </c>
      <c r="AI1630">
        <v>82.957949464102896</v>
      </c>
      <c r="AJ1630">
        <v>61.145412426856304</v>
      </c>
      <c r="AK1630">
        <v>0.58527170341219203</v>
      </c>
      <c r="AL1630">
        <v>88.219844278411202</v>
      </c>
      <c r="AM1630">
        <v>85.490367964400406</v>
      </c>
      <c r="AN1630">
        <v>0.99999999655718197</v>
      </c>
    </row>
    <row r="1631" spans="1:40" x14ac:dyDescent="0.25">
      <c r="A1631" t="str">
        <f>"20190312160630799"</f>
        <v>20190312160630799</v>
      </c>
      <c r="B1631" t="str">
        <f>"1552377990796926"</f>
        <v>1552377990796926</v>
      </c>
      <c r="C1631" t="s">
        <v>40</v>
      </c>
      <c r="D1631">
        <v>4.7489019999999904</v>
      </c>
      <c r="E1631">
        <v>0.6307566</v>
      </c>
      <c r="F1631" t="s">
        <v>68</v>
      </c>
      <c r="G1631">
        <v>-352.55</v>
      </c>
      <c r="H1631">
        <v>15.786339999999999</v>
      </c>
      <c r="I1631">
        <v>253.44040000000001</v>
      </c>
      <c r="J1631">
        <v>-203.9366</v>
      </c>
      <c r="K1631">
        <v>1.106746</v>
      </c>
      <c r="L1631">
        <v>285.84960000000001</v>
      </c>
      <c r="M1631">
        <v>-0.81275580000000003</v>
      </c>
      <c r="N1631">
        <v>0</v>
      </c>
      <c r="O1631">
        <v>-0.58235309999999996</v>
      </c>
      <c r="P1631">
        <v>-0.85625339999999905</v>
      </c>
      <c r="Q1631">
        <v>1.4115279999999999E-2</v>
      </c>
      <c r="R1631">
        <v>-0.51636349999999998</v>
      </c>
      <c r="S1631">
        <v>-3.1002960000000002</v>
      </c>
      <c r="T1631">
        <v>0.30596839999999997</v>
      </c>
      <c r="U1631">
        <v>-0.67724609999999996</v>
      </c>
      <c r="V1631">
        <v>7.9251760000000004E-2</v>
      </c>
      <c r="W1631">
        <v>3.0472630000000001E-2</v>
      </c>
      <c r="X1631">
        <v>0.99638879999999996</v>
      </c>
      <c r="Y1631">
        <v>0.39143820000000001</v>
      </c>
      <c r="Z1631">
        <v>-7.1943149999999997E-2</v>
      </c>
      <c r="AA1631">
        <v>0.91738779999999998</v>
      </c>
      <c r="AB1631">
        <v>16</v>
      </c>
      <c r="AC1631">
        <v>-148.61340000000001</v>
      </c>
      <c r="AD1631">
        <v>14.679594</v>
      </c>
      <c r="AE1631">
        <v>-32.409199999999998</v>
      </c>
      <c r="AF1631">
        <v>59.657876266621102</v>
      </c>
      <c r="AG1631">
        <v>14.679594</v>
      </c>
      <c r="AH1631">
        <v>138.39148469577799</v>
      </c>
      <c r="AI1631">
        <v>84.436500414299701</v>
      </c>
      <c r="AJ1631">
        <v>66.680066118719395</v>
      </c>
      <c r="AK1631">
        <v>151.41583707442899</v>
      </c>
      <c r="AL1631">
        <v>88.253776642879401</v>
      </c>
      <c r="AM1631">
        <v>85.452325584717599</v>
      </c>
      <c r="AN1631">
        <v>1.00000003170382</v>
      </c>
    </row>
    <row r="1632" spans="1:40" x14ac:dyDescent="0.25">
      <c r="A1632" t="str">
        <f>"20190312160630824"</f>
        <v>20190312160630824</v>
      </c>
      <c r="B1632" t="str">
        <f>"1552377990816446"</f>
        <v>1552377990816446</v>
      </c>
      <c r="C1632" t="s">
        <v>40</v>
      </c>
      <c r="D1632">
        <v>6.5671099999999996</v>
      </c>
      <c r="E1632">
        <v>0.62985190000000002</v>
      </c>
      <c r="F1632" t="s">
        <v>68</v>
      </c>
      <c r="G1632">
        <v>-352.55</v>
      </c>
      <c r="H1632">
        <v>15.28524</v>
      </c>
      <c r="I1632">
        <v>254.3109</v>
      </c>
      <c r="J1632">
        <v>-204.08680000000001</v>
      </c>
      <c r="K1632">
        <v>1.1067450000000001</v>
      </c>
      <c r="L1632">
        <v>285.7559</v>
      </c>
      <c r="M1632">
        <v>-0.8180231</v>
      </c>
      <c r="N1632">
        <v>0</v>
      </c>
      <c r="O1632">
        <v>-0.57494230000000002</v>
      </c>
      <c r="P1632">
        <v>-0.86130519999999999</v>
      </c>
      <c r="Q1632">
        <v>1.44729E-2</v>
      </c>
      <c r="R1632">
        <v>-0.50788239999999996</v>
      </c>
      <c r="S1632">
        <v>-3.101807</v>
      </c>
      <c r="T1632">
        <v>0.29593029999999998</v>
      </c>
      <c r="U1632">
        <v>-0.65826419999999997</v>
      </c>
      <c r="V1632">
        <v>8.0029249999999996E-2</v>
      </c>
      <c r="W1632">
        <v>3.0431639999999999E-2</v>
      </c>
      <c r="X1632">
        <v>0.99632790000000004</v>
      </c>
      <c r="Y1632">
        <v>0.38883390000000001</v>
      </c>
      <c r="Z1632">
        <v>-6.8948019999999999E-2</v>
      </c>
      <c r="AA1632">
        <v>0.9187244</v>
      </c>
      <c r="AB1632">
        <v>16</v>
      </c>
      <c r="AC1632">
        <v>-148.4632</v>
      </c>
      <c r="AD1632">
        <v>14.178495</v>
      </c>
      <c r="AE1632">
        <v>-31.445</v>
      </c>
      <c r="AF1632">
        <v>59.1272532964704</v>
      </c>
      <c r="AG1632">
        <v>14.178495</v>
      </c>
      <c r="AH1632">
        <v>138.33734857176401</v>
      </c>
      <c r="AI1632">
        <v>84.6160826930479</v>
      </c>
      <c r="AJ1632">
        <v>66.857481535875493</v>
      </c>
      <c r="AK1632">
        <v>151.11017110941199</v>
      </c>
      <c r="AL1632">
        <v>88.256126274717801</v>
      </c>
      <c r="AM1632">
        <v>85.407621565149896</v>
      </c>
      <c r="AN1632">
        <v>1.0000000249435299</v>
      </c>
    </row>
    <row r="1633" spans="1:40" x14ac:dyDescent="0.25">
      <c r="A1633" t="str">
        <f>"20190312160630846"</f>
        <v>20190312160630846</v>
      </c>
      <c r="B1633" t="str">
        <f>"1552377990836942"</f>
        <v>1552377990836942</v>
      </c>
      <c r="C1633" t="s">
        <v>40</v>
      </c>
      <c r="D1633">
        <v>6.6167590000000001</v>
      </c>
      <c r="E1633">
        <v>0.62943079999999996</v>
      </c>
      <c r="F1633" t="s">
        <v>68</v>
      </c>
      <c r="G1633">
        <v>-352.55</v>
      </c>
      <c r="H1633">
        <v>14.93516</v>
      </c>
      <c r="I1633">
        <v>255.4614</v>
      </c>
      <c r="J1633">
        <v>-204.2242</v>
      </c>
      <c r="K1633">
        <v>1.106795</v>
      </c>
      <c r="L1633">
        <v>285.67169999999999</v>
      </c>
      <c r="M1633">
        <v>-0.82283510000000004</v>
      </c>
      <c r="N1633">
        <v>0</v>
      </c>
      <c r="O1633">
        <v>-0.56804270000000001</v>
      </c>
      <c r="P1633">
        <v>-0.86609259999999999</v>
      </c>
      <c r="Q1633">
        <v>1.5825760000000001E-2</v>
      </c>
      <c r="R1633">
        <v>-0.4996332</v>
      </c>
      <c r="S1633">
        <v>-3.1046450000000001</v>
      </c>
      <c r="T1633">
        <v>0.28917979999999999</v>
      </c>
      <c r="U1633">
        <v>-0.63351440000000003</v>
      </c>
      <c r="V1633">
        <v>8.1156740000000005E-2</v>
      </c>
      <c r="W1633">
        <v>3.1475889999999999E-2</v>
      </c>
      <c r="X1633">
        <v>0.99620419999999998</v>
      </c>
      <c r="Y1633">
        <v>0.38847569999999998</v>
      </c>
      <c r="Z1633">
        <v>-6.6876640000000001E-2</v>
      </c>
      <c r="AA1633">
        <v>0.91902890000000004</v>
      </c>
      <c r="AB1633">
        <v>16</v>
      </c>
      <c r="AC1633">
        <v>-148.32579999999999</v>
      </c>
      <c r="AD1633">
        <v>13.828365</v>
      </c>
      <c r="AE1633">
        <v>-30.210299999999901</v>
      </c>
      <c r="AF1633">
        <v>58.913641937053598</v>
      </c>
      <c r="AG1633">
        <v>13.828365</v>
      </c>
      <c r="AH1633">
        <v>138.07489089108</v>
      </c>
      <c r="AI1633">
        <v>84.736967675637203</v>
      </c>
      <c r="AJ1633">
        <v>66.893080392847097</v>
      </c>
      <c r="AK1633">
        <v>150.75382708058899</v>
      </c>
      <c r="AL1633">
        <v>88.196266387426306</v>
      </c>
      <c r="AM1633">
        <v>85.342628856255203</v>
      </c>
      <c r="AN1633">
        <v>0.99999997809817898</v>
      </c>
    </row>
    <row r="1634" spans="1:40" x14ac:dyDescent="0.25">
      <c r="A1634" t="str">
        <f>"20190312160630868"</f>
        <v>20190312160630868</v>
      </c>
      <c r="B1634" t="str">
        <f>"1552377990856462"</f>
        <v>1552377990856462</v>
      </c>
      <c r="C1634" t="s">
        <v>40</v>
      </c>
      <c r="D1634">
        <v>5.7581730000000002</v>
      </c>
      <c r="E1634">
        <v>0.6159443</v>
      </c>
      <c r="F1634" t="s">
        <v>68</v>
      </c>
      <c r="G1634">
        <v>-352.55</v>
      </c>
      <c r="H1634">
        <v>14.88031</v>
      </c>
      <c r="I1634">
        <v>256.738</v>
      </c>
      <c r="J1634">
        <v>-204.35429999999999</v>
      </c>
      <c r="K1634">
        <v>1.1068439999999999</v>
      </c>
      <c r="L1634">
        <v>285.59359999999998</v>
      </c>
      <c r="M1634">
        <v>-0.82735119999999895</v>
      </c>
      <c r="N1634">
        <v>0</v>
      </c>
      <c r="O1634">
        <v>-0.56145219999999996</v>
      </c>
      <c r="P1634">
        <v>-0.87051219999999996</v>
      </c>
      <c r="Q1634">
        <v>1.7498219999999998E-2</v>
      </c>
      <c r="R1634">
        <v>-0.491836</v>
      </c>
      <c r="S1634">
        <v>-3.1087189999999998</v>
      </c>
      <c r="T1634">
        <v>0.28867690000000001</v>
      </c>
      <c r="U1634">
        <v>-0.60641480000000003</v>
      </c>
      <c r="V1634">
        <v>8.2134490000000004E-2</v>
      </c>
      <c r="W1634">
        <v>3.289566E-2</v>
      </c>
      <c r="X1634">
        <v>0.99607820000000002</v>
      </c>
      <c r="Y1634">
        <v>0.38909280000000002</v>
      </c>
      <c r="Z1634">
        <v>-6.6299070000000002E-2</v>
      </c>
      <c r="AA1634">
        <v>0.91880969999999995</v>
      </c>
      <c r="AB1634">
        <v>16</v>
      </c>
      <c r="AC1634">
        <v>-148.19569999999999</v>
      </c>
      <c r="AD1634">
        <v>13.773466000000001</v>
      </c>
      <c r="AE1634">
        <v>-28.8555999999999</v>
      </c>
      <c r="AF1634">
        <v>58.849071216914197</v>
      </c>
      <c r="AG1634">
        <v>13.773466000000001</v>
      </c>
      <c r="AH1634">
        <v>137.68320800241901</v>
      </c>
      <c r="AI1634">
        <v>84.744321796440403</v>
      </c>
      <c r="AJ1634">
        <v>66.856986661910796</v>
      </c>
      <c r="AK1634">
        <v>150.364847336683</v>
      </c>
      <c r="AL1634">
        <v>88.114877404450993</v>
      </c>
      <c r="AM1634">
        <v>85.286176139698597</v>
      </c>
      <c r="AN1634">
        <v>0.99999998970481796</v>
      </c>
    </row>
    <row r="1635" spans="1:40" x14ac:dyDescent="0.25">
      <c r="A1635" t="str">
        <f>"20190312160630889"</f>
        <v>20190312160630889</v>
      </c>
      <c r="B1635" t="str">
        <f>"1552377990886718"</f>
        <v>1552377990886718</v>
      </c>
      <c r="C1635" t="s">
        <v>40</v>
      </c>
      <c r="D1635">
        <v>6.6334850000000003</v>
      </c>
      <c r="E1635">
        <v>0.61524069999999997</v>
      </c>
      <c r="F1635" t="s">
        <v>68</v>
      </c>
      <c r="G1635">
        <v>-352.55</v>
      </c>
      <c r="H1635">
        <v>9.6576419999999992</v>
      </c>
      <c r="I1635">
        <v>253.1189</v>
      </c>
      <c r="J1635">
        <v>-204.48849999999999</v>
      </c>
      <c r="K1635">
        <v>1.106881</v>
      </c>
      <c r="L1635">
        <v>285.51440000000002</v>
      </c>
      <c r="M1635">
        <v>-0.83196009999999998</v>
      </c>
      <c r="N1635">
        <v>0</v>
      </c>
      <c r="O1635">
        <v>-0.55460619999999905</v>
      </c>
      <c r="P1635">
        <v>-0.87470460000000005</v>
      </c>
      <c r="Q1635">
        <v>1.793635E-2</v>
      </c>
      <c r="R1635">
        <v>-0.48432449999999999</v>
      </c>
      <c r="S1635">
        <v>-3.0634000000000001</v>
      </c>
      <c r="T1635">
        <v>0.17675779999999999</v>
      </c>
      <c r="U1635">
        <v>-0.67129519999999998</v>
      </c>
      <c r="V1635">
        <v>8.248192E-2</v>
      </c>
      <c r="W1635">
        <v>3.3111069999999999E-2</v>
      </c>
      <c r="X1635">
        <v>0.99604239999999999</v>
      </c>
      <c r="Y1635">
        <v>0.36237900000000001</v>
      </c>
      <c r="Z1635">
        <v>-4.0023169999999997E-2</v>
      </c>
      <c r="AA1635">
        <v>0.93117110000000003</v>
      </c>
      <c r="AB1635">
        <v>16</v>
      </c>
      <c r="AC1635">
        <v>-148.0615</v>
      </c>
      <c r="AD1635">
        <v>8.5507609999999996</v>
      </c>
      <c r="AE1635">
        <v>-32.395499999999998</v>
      </c>
      <c r="AF1635">
        <v>54.9960350228043</v>
      </c>
      <c r="AG1635">
        <v>8.5507609999999996</v>
      </c>
      <c r="AH1635">
        <v>140.71807454650701</v>
      </c>
      <c r="AI1635">
        <v>86.760722924697006</v>
      </c>
      <c r="AJ1635">
        <v>68.6532368758633</v>
      </c>
      <c r="AK1635">
        <v>151.32500086233301</v>
      </c>
      <c r="AL1635">
        <v>88.102528681826001</v>
      </c>
      <c r="AM1635">
        <v>85.266157657396207</v>
      </c>
      <c r="AN1635">
        <v>1.0000000363405901</v>
      </c>
    </row>
    <row r="1636" spans="1:40" x14ac:dyDescent="0.25">
      <c r="A1636" t="str">
        <f>"20190312160630912"</f>
        <v>20190312160630912</v>
      </c>
      <c r="B1636" t="str">
        <f>"1552377990906238"</f>
        <v>1552377990906238</v>
      </c>
      <c r="C1636" t="s">
        <v>40</v>
      </c>
      <c r="D1636">
        <v>6.2212820000000004</v>
      </c>
      <c r="E1636">
        <v>0.61507140000000005</v>
      </c>
      <c r="F1636" t="s">
        <v>70</v>
      </c>
      <c r="G1636">
        <v>-332.68099999999998</v>
      </c>
      <c r="H1636">
        <v>8.1233729999999902</v>
      </c>
      <c r="I1636">
        <v>258.351</v>
      </c>
      <c r="J1636">
        <v>-204.6302</v>
      </c>
      <c r="K1636">
        <v>1.1068979999999999</v>
      </c>
      <c r="L1636">
        <v>285.4323</v>
      </c>
      <c r="M1636">
        <v>-0.83676659999999903</v>
      </c>
      <c r="N1636">
        <v>0</v>
      </c>
      <c r="O1636">
        <v>-0.54733339999999997</v>
      </c>
      <c r="P1636">
        <v>-0.87871819999999901</v>
      </c>
      <c r="Q1636">
        <v>1.740206E-2</v>
      </c>
      <c r="R1636">
        <v>-0.47702369999999999</v>
      </c>
      <c r="S1636">
        <v>-3.066513</v>
      </c>
      <c r="T1636">
        <v>0.16784289999999999</v>
      </c>
      <c r="U1636">
        <v>-0.64978029999999998</v>
      </c>
      <c r="V1636">
        <v>8.2090120000000003E-2</v>
      </c>
      <c r="W1636">
        <v>3.237665E-2</v>
      </c>
      <c r="X1636">
        <v>0.99609890000000001</v>
      </c>
      <c r="Y1636">
        <v>0.36083759999999998</v>
      </c>
      <c r="Z1636">
        <v>-3.7646789999999999E-2</v>
      </c>
      <c r="AA1636">
        <v>0.93186849999999999</v>
      </c>
      <c r="AB1636">
        <v>16</v>
      </c>
      <c r="AC1636">
        <v>-128.05079999999899</v>
      </c>
      <c r="AD1636">
        <v>7.01647499999999</v>
      </c>
      <c r="AE1636">
        <v>-27.081299999999999</v>
      </c>
      <c r="AF1636">
        <v>47.295706980287498</v>
      </c>
      <c r="AG1636">
        <v>7.01647499999999</v>
      </c>
      <c r="AH1636">
        <v>121.636677367725</v>
      </c>
      <c r="AI1636">
        <v>86.922583878206197</v>
      </c>
      <c r="AJ1636">
        <v>68.752540894486899</v>
      </c>
      <c r="AK1636">
        <v>130.69658029669699</v>
      </c>
      <c r="AL1636">
        <v>88.144630406119902</v>
      </c>
      <c r="AM1636">
        <v>85.288808600764099</v>
      </c>
      <c r="AN1636">
        <v>1.0000000269240199</v>
      </c>
    </row>
    <row r="1637" spans="1:40" x14ac:dyDescent="0.25">
      <c r="A1637" t="str">
        <f>"20190312160630934"</f>
        <v>20190312160630934</v>
      </c>
      <c r="B1637" t="str">
        <f>"1552377990926734"</f>
        <v>1552377990926734</v>
      </c>
      <c r="C1637" t="s">
        <v>40</v>
      </c>
      <c r="D1637">
        <v>6.1395210000000002</v>
      </c>
      <c r="E1637">
        <v>0.61505189999999998</v>
      </c>
      <c r="F1637" t="s">
        <v>70</v>
      </c>
      <c r="G1637">
        <v>-332.68130000000002</v>
      </c>
      <c r="H1637">
        <v>8.0246580000000005</v>
      </c>
      <c r="I1637">
        <v>259.36040000000003</v>
      </c>
      <c r="J1637">
        <v>-204.76759999999999</v>
      </c>
      <c r="K1637">
        <v>1.1068979999999999</v>
      </c>
      <c r="L1637">
        <v>285.35430000000002</v>
      </c>
      <c r="M1637">
        <v>-0.84136160000000004</v>
      </c>
      <c r="N1637">
        <v>0</v>
      </c>
      <c r="O1637">
        <v>-0.54024830000000001</v>
      </c>
      <c r="P1637">
        <v>-0.88248869999999902</v>
      </c>
      <c r="Q1637">
        <v>1.6624199999999999E-2</v>
      </c>
      <c r="R1637">
        <v>-0.47003980000000001</v>
      </c>
      <c r="S1637">
        <v>-3.071304</v>
      </c>
      <c r="T1637">
        <v>0.1659226</v>
      </c>
      <c r="U1637">
        <v>-0.62533570000000005</v>
      </c>
      <c r="V1637">
        <v>8.1576499999999996E-2</v>
      </c>
      <c r="W1637">
        <v>3.1432519999999999E-2</v>
      </c>
      <c r="X1637">
        <v>0.99617129999999998</v>
      </c>
      <c r="Y1637">
        <v>0.36040480000000003</v>
      </c>
      <c r="Z1637">
        <v>-3.6880080000000003E-2</v>
      </c>
      <c r="AA1637">
        <v>0.93206659999999997</v>
      </c>
      <c r="AB1637">
        <v>16</v>
      </c>
      <c r="AC1637">
        <v>-127.91370000000001</v>
      </c>
      <c r="AD1637">
        <v>6.9177600000000004</v>
      </c>
      <c r="AE1637">
        <v>-25.9939</v>
      </c>
      <c r="AF1637">
        <v>47.108298013046898</v>
      </c>
      <c r="AG1637">
        <v>6.9177600000000004</v>
      </c>
      <c r="AH1637">
        <v>121.338768256112</v>
      </c>
      <c r="AI1637">
        <v>86.957758524445893</v>
      </c>
      <c r="AJ1637">
        <v>68.781905008566397</v>
      </c>
      <c r="AK1637">
        <v>130.34624592604899</v>
      </c>
      <c r="AL1637">
        <v>88.198752563900001</v>
      </c>
      <c r="AM1637">
        <v>85.318492806848795</v>
      </c>
      <c r="AN1637">
        <v>0.99999999380474502</v>
      </c>
    </row>
    <row r="1638" spans="1:40" x14ac:dyDescent="0.25">
      <c r="A1638" t="str">
        <f>"20190312160630956"</f>
        <v>20190312160630956</v>
      </c>
      <c r="B1638" t="str">
        <f>"1552377990946257"</f>
        <v>1552377990946257</v>
      </c>
      <c r="C1638" t="s">
        <v>40</v>
      </c>
      <c r="D1638">
        <v>6.4582059999999997</v>
      </c>
      <c r="E1638">
        <v>0.61534259999999996</v>
      </c>
      <c r="F1638" t="s">
        <v>70</v>
      </c>
      <c r="G1638">
        <v>-332.6816</v>
      </c>
      <c r="H1638">
        <v>7.9423909999999998</v>
      </c>
      <c r="I1638">
        <v>260.34949999999998</v>
      </c>
      <c r="J1638">
        <v>-204.91079999999999</v>
      </c>
      <c r="K1638">
        <v>1.1068979999999999</v>
      </c>
      <c r="L1638">
        <v>285.27480000000003</v>
      </c>
      <c r="M1638">
        <v>-0.84606919999999897</v>
      </c>
      <c r="N1638">
        <v>0</v>
      </c>
      <c r="O1638">
        <v>-0.5328503</v>
      </c>
      <c r="P1638">
        <v>-0.88631249999999995</v>
      </c>
      <c r="Q1638">
        <v>1.6407970000000001E-2</v>
      </c>
      <c r="R1638">
        <v>-0.46279740000000003</v>
      </c>
      <c r="S1638">
        <v>-3.0760960000000002</v>
      </c>
      <c r="T1638">
        <v>0.16438129999999901</v>
      </c>
      <c r="U1638">
        <v>-0.60131840000000003</v>
      </c>
      <c r="V1638">
        <v>8.099721E-2</v>
      </c>
      <c r="W1638">
        <v>3.1068399999999999E-2</v>
      </c>
      <c r="X1638">
        <v>0.99622999999999995</v>
      </c>
      <c r="Y1638">
        <v>0.35954140000000001</v>
      </c>
      <c r="Z1638">
        <v>-3.6175150000000003E-2</v>
      </c>
      <c r="AA1638">
        <v>0.93242760000000002</v>
      </c>
      <c r="AB1638">
        <v>16</v>
      </c>
      <c r="AC1638">
        <v>-127.77079999999999</v>
      </c>
      <c r="AD1638">
        <v>6.8354929999999996</v>
      </c>
      <c r="AE1638">
        <v>-24.9253</v>
      </c>
      <c r="AF1638">
        <v>46.870533500595997</v>
      </c>
      <c r="AG1638">
        <v>6.8354929999999996</v>
      </c>
      <c r="AH1638">
        <v>121.065016119698</v>
      </c>
      <c r="AI1638">
        <v>86.985984578304794</v>
      </c>
      <c r="AJ1638">
        <v>68.836000568597996</v>
      </c>
      <c r="AK1638">
        <v>130.00118846859201</v>
      </c>
      <c r="AL1638">
        <v>88.219625314673806</v>
      </c>
      <c r="AM1638">
        <v>85.351863556909905</v>
      </c>
      <c r="AN1638">
        <v>1.00000000320317</v>
      </c>
    </row>
    <row r="1639" spans="1:40" x14ac:dyDescent="0.25">
      <c r="A1639" t="str">
        <f>"20190312160630979"</f>
        <v>20190312160630979</v>
      </c>
      <c r="B1639" t="str">
        <f>"1552377990966751"</f>
        <v>1552377990966751</v>
      </c>
      <c r="C1639" t="s">
        <v>40</v>
      </c>
      <c r="D1639">
        <v>4.8139500000000002</v>
      </c>
      <c r="E1639">
        <v>0.61514880000000005</v>
      </c>
      <c r="F1639" t="s">
        <v>68</v>
      </c>
      <c r="G1639">
        <v>-351.48700000000002</v>
      </c>
      <c r="H1639">
        <v>14.49137</v>
      </c>
      <c r="I1639">
        <v>257.88690000000003</v>
      </c>
      <c r="J1639">
        <v>-205.0453</v>
      </c>
      <c r="K1639">
        <v>1.106897</v>
      </c>
      <c r="L1639">
        <v>285.20159999999998</v>
      </c>
      <c r="M1639">
        <v>-0.85040899999999997</v>
      </c>
      <c r="N1639">
        <v>0</v>
      </c>
      <c r="O1639">
        <v>-0.52589989999999998</v>
      </c>
      <c r="P1639">
        <v>-0.88980230000000005</v>
      </c>
      <c r="Q1639">
        <v>1.60795E-2</v>
      </c>
      <c r="R1639">
        <v>-0.45606269999999999</v>
      </c>
      <c r="S1639">
        <v>-3.0791780000000002</v>
      </c>
      <c r="T1639">
        <v>0.28117389999999998</v>
      </c>
      <c r="U1639">
        <v>-0.57534790000000002</v>
      </c>
      <c r="V1639">
        <v>8.0386879999999994E-2</v>
      </c>
      <c r="W1639">
        <v>3.0618949999999999E-2</v>
      </c>
      <c r="X1639">
        <v>0.9962934</v>
      </c>
      <c r="Y1639">
        <v>0.35750029999999999</v>
      </c>
      <c r="Z1639">
        <v>-6.1187440000000003E-2</v>
      </c>
      <c r="AA1639">
        <v>0.93190649999999997</v>
      </c>
      <c r="AB1639">
        <v>16</v>
      </c>
      <c r="AC1639">
        <v>-146.441699999999</v>
      </c>
      <c r="AD1639">
        <v>13.384473</v>
      </c>
      <c r="AE1639">
        <v>-27.314699999999899</v>
      </c>
      <c r="AF1639">
        <v>53.3605327434949</v>
      </c>
      <c r="AG1639">
        <v>13.384473</v>
      </c>
      <c r="AH1639">
        <v>137.803925780545</v>
      </c>
      <c r="AI1639">
        <v>84.824630515400102</v>
      </c>
      <c r="AJ1639">
        <v>68.832565268849194</v>
      </c>
      <c r="AK1639">
        <v>148.37928606341001</v>
      </c>
      <c r="AL1639">
        <v>88.245389251253101</v>
      </c>
      <c r="AM1639">
        <v>85.387028737965394</v>
      </c>
      <c r="AN1639">
        <v>1.0000000547293899</v>
      </c>
    </row>
    <row r="1640" spans="1:40" x14ac:dyDescent="0.25">
      <c r="A1640" t="str">
        <f>"20190312160631001"</f>
        <v>20190312160631001</v>
      </c>
      <c r="B1640" t="str">
        <f>"1552377990997006"</f>
        <v>1552377990997006</v>
      </c>
      <c r="C1640" t="s">
        <v>40</v>
      </c>
      <c r="D1640">
        <v>5.8393240000000004</v>
      </c>
      <c r="E1640">
        <v>0.61296799999999996</v>
      </c>
      <c r="F1640" t="s">
        <v>68</v>
      </c>
      <c r="G1640">
        <v>-351.48700000000002</v>
      </c>
      <c r="H1640">
        <v>13.67346</v>
      </c>
      <c r="I1640">
        <v>258.94139999999999</v>
      </c>
      <c r="J1640">
        <v>-205.18389999999999</v>
      </c>
      <c r="K1640">
        <v>1.1068990000000001</v>
      </c>
      <c r="L1640">
        <v>285.1277</v>
      </c>
      <c r="M1640">
        <v>-0.85479570000000005</v>
      </c>
      <c r="N1640">
        <v>0</v>
      </c>
      <c r="O1640">
        <v>-0.51874259999999905</v>
      </c>
      <c r="P1640">
        <v>-0.8936115</v>
      </c>
      <c r="Q1640">
        <v>1.5934739999999999E-2</v>
      </c>
      <c r="R1640">
        <v>-0.44855830000000002</v>
      </c>
      <c r="S1640">
        <v>-3.0833740000000001</v>
      </c>
      <c r="T1640">
        <v>0.26459429999999901</v>
      </c>
      <c r="U1640">
        <v>-0.55291749999999995</v>
      </c>
      <c r="V1640">
        <v>8.0405530000000003E-2</v>
      </c>
      <c r="W1640">
        <v>3.0359669999999998E-2</v>
      </c>
      <c r="X1640">
        <v>0.99629979999999996</v>
      </c>
      <c r="Y1640">
        <v>0.356857599999999</v>
      </c>
      <c r="Z1640">
        <v>-5.7032350000000002E-2</v>
      </c>
      <c r="AA1640">
        <v>0.93241620000000003</v>
      </c>
      <c r="AB1640">
        <v>16</v>
      </c>
      <c r="AC1640">
        <v>-146.30309999999901</v>
      </c>
      <c r="AD1640">
        <v>12.566561</v>
      </c>
      <c r="AE1640">
        <v>-26.186299999999999</v>
      </c>
      <c r="AF1640">
        <v>53.136023098994002</v>
      </c>
      <c r="AG1640">
        <v>12.566561</v>
      </c>
      <c r="AH1640">
        <v>137.67498060653699</v>
      </c>
      <c r="AI1640">
        <v>85.1327321379149</v>
      </c>
      <c r="AJ1640">
        <v>68.895773085150395</v>
      </c>
      <c r="AK1640">
        <v>148.10724388480801</v>
      </c>
      <c r="AL1640">
        <v>88.260251758422896</v>
      </c>
      <c r="AM1640">
        <v>85.385992646647395</v>
      </c>
      <c r="AN1640">
        <v>1.0000000251485599</v>
      </c>
    </row>
    <row r="1641" spans="1:40" x14ac:dyDescent="0.25">
      <c r="A1641" t="str">
        <f>"20190312160631024"</f>
        <v>20190312160631024</v>
      </c>
      <c r="B1641" t="str">
        <f>"1552377991016153"</f>
        <v>1552377991016153</v>
      </c>
      <c r="C1641" t="s">
        <v>40</v>
      </c>
      <c r="D1641">
        <v>6.4443900000000003</v>
      </c>
      <c r="E1641">
        <v>0.60356730000000003</v>
      </c>
      <c r="F1641" t="s">
        <v>68</v>
      </c>
      <c r="G1641">
        <v>-351.48700000000002</v>
      </c>
      <c r="H1641">
        <v>13.15504</v>
      </c>
      <c r="I1641">
        <v>259.37329999999997</v>
      </c>
      <c r="J1641">
        <v>-205.3295</v>
      </c>
      <c r="K1641">
        <v>1.1069040000000001</v>
      </c>
      <c r="L1641">
        <v>285.05169999999998</v>
      </c>
      <c r="M1641">
        <v>-0.85931270000000004</v>
      </c>
      <c r="N1641">
        <v>0</v>
      </c>
      <c r="O1641">
        <v>-0.51122869999999998</v>
      </c>
      <c r="P1641">
        <v>-0.89788780000000001</v>
      </c>
      <c r="Q1641">
        <v>1.612355E-2</v>
      </c>
      <c r="R1641">
        <v>-0.43992910000000002</v>
      </c>
      <c r="S1641">
        <v>-3.080444</v>
      </c>
      <c r="T1641">
        <v>0.25367779999999901</v>
      </c>
      <c r="U1641">
        <v>-0.54226680000000005</v>
      </c>
      <c r="V1641">
        <v>8.1265729999999994E-2</v>
      </c>
      <c r="W1641">
        <v>3.0436410000000001E-2</v>
      </c>
      <c r="X1641">
        <v>0.99622759999999999</v>
      </c>
      <c r="Y1641">
        <v>0.3519021</v>
      </c>
      <c r="Z1641">
        <v>-5.4039459999999997E-2</v>
      </c>
      <c r="AA1641">
        <v>0.93447559999999996</v>
      </c>
      <c r="AB1641">
        <v>15</v>
      </c>
      <c r="AC1641">
        <v>-146.157499999999</v>
      </c>
      <c r="AD1641">
        <v>12.048136</v>
      </c>
      <c r="AE1641">
        <v>-25.6784</v>
      </c>
      <c r="AF1641">
        <v>52.315263603327899</v>
      </c>
      <c r="AG1641">
        <v>12.048136</v>
      </c>
      <c r="AH1641">
        <v>137.82974472706499</v>
      </c>
      <c r="AI1641">
        <v>85.32793008822</v>
      </c>
      <c r="AJ1641">
        <v>69.215021260331795</v>
      </c>
      <c r="AK1641">
        <v>147.915796717213</v>
      </c>
      <c r="AL1641">
        <v>88.255852738191294</v>
      </c>
      <c r="AM1641">
        <v>85.336510836491499</v>
      </c>
      <c r="AN1641">
        <v>0.99999996246393896</v>
      </c>
    </row>
    <row r="1642" spans="1:40" x14ac:dyDescent="0.25">
      <c r="A1642" t="str">
        <f>"20190312160631048"</f>
        <v>20190312160631048</v>
      </c>
      <c r="B1642" t="str">
        <f>"1552377991036650"</f>
        <v>1552377991036650</v>
      </c>
      <c r="C1642" t="s">
        <v>40</v>
      </c>
      <c r="D1642">
        <v>6.5951630000000003</v>
      </c>
      <c r="E1642">
        <v>0.60478310000000002</v>
      </c>
      <c r="F1642" t="s">
        <v>68</v>
      </c>
      <c r="G1642">
        <v>-352.55</v>
      </c>
      <c r="H1642">
        <v>10.861470000000001</v>
      </c>
      <c r="I1642">
        <v>257.11130000000003</v>
      </c>
      <c r="J1642">
        <v>-205.4769</v>
      </c>
      <c r="K1642">
        <v>1.1069169999999999</v>
      </c>
      <c r="L1642">
        <v>284.97640000000001</v>
      </c>
      <c r="M1642">
        <v>-0.86379399999999995</v>
      </c>
      <c r="N1642">
        <v>0</v>
      </c>
      <c r="O1642">
        <v>-0.50362249999999997</v>
      </c>
      <c r="P1642">
        <v>-0.90227239999999997</v>
      </c>
      <c r="Q1642">
        <v>1.572436E-2</v>
      </c>
      <c r="R1642">
        <v>-0.43087999999999999</v>
      </c>
      <c r="S1642">
        <v>-3.0535890000000001</v>
      </c>
      <c r="T1642">
        <v>0.20232700000000001</v>
      </c>
      <c r="U1642">
        <v>-0.57952879999999996</v>
      </c>
      <c r="V1642">
        <v>8.2483920000000002E-2</v>
      </c>
      <c r="W1642">
        <v>2.9935960000000001E-2</v>
      </c>
      <c r="X1642">
        <v>0.99614270000000005</v>
      </c>
      <c r="Y1642">
        <v>0.33211570000000001</v>
      </c>
      <c r="Z1642">
        <v>-4.2349699999999997E-2</v>
      </c>
      <c r="AA1642">
        <v>0.9422874</v>
      </c>
      <c r="AB1642">
        <v>15</v>
      </c>
      <c r="AC1642">
        <v>-147.07310000000001</v>
      </c>
      <c r="AD1642">
        <v>9.7545529999999996</v>
      </c>
      <c r="AE1642">
        <v>-27.865099999999899</v>
      </c>
      <c r="AF1642">
        <v>49.793775001620702</v>
      </c>
      <c r="AG1642">
        <v>9.7545529999999996</v>
      </c>
      <c r="AH1642">
        <v>140.49357016965101</v>
      </c>
      <c r="AI1642">
        <v>86.255791449295899</v>
      </c>
      <c r="AJ1642">
        <v>70.484639445165797</v>
      </c>
      <c r="AK1642">
        <v>149.375414952249</v>
      </c>
      <c r="AL1642">
        <v>88.284539581774595</v>
      </c>
      <c r="AM1642">
        <v>85.266517882551895</v>
      </c>
      <c r="AN1642">
        <v>1.0000000187614799</v>
      </c>
    </row>
    <row r="1643" spans="1:40" x14ac:dyDescent="0.25">
      <c r="A1643" t="str">
        <f>"20190312160631071"</f>
        <v>20190312160631071</v>
      </c>
      <c r="B1643" t="str">
        <f>"1552377991066905"</f>
        <v>1552377991066905</v>
      </c>
      <c r="C1643" t="s">
        <v>40</v>
      </c>
      <c r="D1643">
        <v>6.6384829999999999</v>
      </c>
      <c r="E1643">
        <v>0.60374359999999905</v>
      </c>
      <c r="F1643" t="s">
        <v>68</v>
      </c>
      <c r="G1643">
        <v>-352.55</v>
      </c>
      <c r="H1643">
        <v>11.20707</v>
      </c>
      <c r="I1643">
        <v>259.03480000000002</v>
      </c>
      <c r="J1643">
        <v>-205.62219999999999</v>
      </c>
      <c r="K1643">
        <v>1.1069359999999999</v>
      </c>
      <c r="L1643">
        <v>284.90359999999998</v>
      </c>
      <c r="M1643">
        <v>-0.86812849999999997</v>
      </c>
      <c r="N1643">
        <v>0</v>
      </c>
      <c r="O1643">
        <v>-0.4961158</v>
      </c>
      <c r="P1643">
        <v>-0.90656040000000004</v>
      </c>
      <c r="Q1643">
        <v>1.580577E-2</v>
      </c>
      <c r="R1643">
        <v>-0.42178019999999999</v>
      </c>
      <c r="S1643">
        <v>-3.0632480000000002</v>
      </c>
      <c r="T1643">
        <v>0.21036820000000001</v>
      </c>
      <c r="U1643">
        <v>-0.54031370000000001</v>
      </c>
      <c r="V1643">
        <v>8.3868180000000001E-2</v>
      </c>
      <c r="W1643">
        <v>2.992881E-2</v>
      </c>
      <c r="X1643">
        <v>0.99602729999999995</v>
      </c>
      <c r="Y1643">
        <v>0.336032</v>
      </c>
      <c r="Z1643">
        <v>-4.366308E-2</v>
      </c>
      <c r="AA1643">
        <v>0.9408379</v>
      </c>
      <c r="AB1643">
        <v>15</v>
      </c>
      <c r="AC1643">
        <v>-146.92779999999999</v>
      </c>
      <c r="AD1643">
        <v>10.100133999999899</v>
      </c>
      <c r="AE1643">
        <v>-25.868799999999901</v>
      </c>
      <c r="AF1643">
        <v>50.211221985922002</v>
      </c>
      <c r="AG1643">
        <v>10.100133999999899</v>
      </c>
      <c r="AH1643">
        <v>139.76113613032399</v>
      </c>
      <c r="AI1643">
        <v>86.109240002034994</v>
      </c>
      <c r="AJ1643">
        <v>70.238435904898097</v>
      </c>
      <c r="AK1643">
        <v>148.850108137604</v>
      </c>
      <c r="AL1643">
        <v>88.284949387435503</v>
      </c>
      <c r="AM1643">
        <v>85.1868948171131</v>
      </c>
      <c r="AN1643">
        <v>0.99999999381490901</v>
      </c>
    </row>
    <row r="1644" spans="1:40" x14ac:dyDescent="0.25">
      <c r="A1644" t="str">
        <f>"20190312160631091"</f>
        <v>20190312160631091</v>
      </c>
      <c r="B1644" t="str">
        <f>"1552377991086425"</f>
        <v>1552377991086425</v>
      </c>
      <c r="C1644" t="s">
        <v>40</v>
      </c>
      <c r="D1644">
        <v>6.6622630000000003</v>
      </c>
      <c r="E1644">
        <v>0.60300669999999901</v>
      </c>
      <c r="F1644" t="s">
        <v>68</v>
      </c>
      <c r="G1644">
        <v>-352.55</v>
      </c>
      <c r="H1644">
        <v>10.84919</v>
      </c>
      <c r="I1644">
        <v>260.12569999999999</v>
      </c>
      <c r="J1644">
        <v>-205.7458</v>
      </c>
      <c r="K1644">
        <v>1.1069450000000001</v>
      </c>
      <c r="L1644">
        <v>284.84309999999999</v>
      </c>
      <c r="M1644">
        <v>-0.87174490000000004</v>
      </c>
      <c r="N1644">
        <v>0</v>
      </c>
      <c r="O1644">
        <v>-0.48973559999999999</v>
      </c>
      <c r="P1644">
        <v>-0.90968499999999997</v>
      </c>
      <c r="Q1644">
        <v>1.602609E-2</v>
      </c>
      <c r="R1644">
        <v>-0.41499000000000003</v>
      </c>
      <c r="S1644">
        <v>-3.06514</v>
      </c>
      <c r="T1644">
        <v>0.20324</v>
      </c>
      <c r="U1644">
        <v>-0.51690670000000005</v>
      </c>
      <c r="V1644">
        <v>8.4008100000000002E-2</v>
      </c>
      <c r="W1644">
        <v>3.009276E-2</v>
      </c>
      <c r="X1644">
        <v>0.99601059999999997</v>
      </c>
      <c r="Y1644">
        <v>0.33633170000000001</v>
      </c>
      <c r="Z1644">
        <v>-4.1849450000000003E-2</v>
      </c>
      <c r="AA1644">
        <v>0.94081320000000002</v>
      </c>
      <c r="AB1644">
        <v>15</v>
      </c>
      <c r="AC1644">
        <v>-146.80420000000001</v>
      </c>
      <c r="AD1644">
        <v>9.7422450000000005</v>
      </c>
      <c r="AE1644">
        <v>-24.717400000000001</v>
      </c>
      <c r="AF1644">
        <v>50.138790439521003</v>
      </c>
      <c r="AG1644">
        <v>9.7422450000000005</v>
      </c>
      <c r="AH1644">
        <v>139.498797399544</v>
      </c>
      <c r="AI1644">
        <v>86.239852728323598</v>
      </c>
      <c r="AJ1644">
        <v>70.230499688761697</v>
      </c>
      <c r="AK1644">
        <v>148.55545806296499</v>
      </c>
      <c r="AL1644">
        <v>88.275551565399994</v>
      </c>
      <c r="AM1644">
        <v>85.178822321298796</v>
      </c>
      <c r="AN1644">
        <v>1.00000002519119</v>
      </c>
    </row>
    <row r="1645" spans="1:40" x14ac:dyDescent="0.25">
      <c r="A1645" t="str">
        <f>"20190312160631113"</f>
        <v>20190312160631113</v>
      </c>
      <c r="B1645" t="str">
        <f>"1552377991106921"</f>
        <v>1552377991106921</v>
      </c>
      <c r="C1645" t="s">
        <v>40</v>
      </c>
      <c r="D1645">
        <v>6.2358630000000002</v>
      </c>
      <c r="E1645">
        <v>0.60178540000000003</v>
      </c>
      <c r="F1645" t="s">
        <v>68</v>
      </c>
      <c r="G1645">
        <v>-352.55</v>
      </c>
      <c r="H1645">
        <v>10.506169999999999</v>
      </c>
      <c r="I1645">
        <v>260.94549999999998</v>
      </c>
      <c r="J1645">
        <v>-205.89150000000001</v>
      </c>
      <c r="K1645">
        <v>1.1069610000000001</v>
      </c>
      <c r="L1645">
        <v>284.7731</v>
      </c>
      <c r="M1645">
        <v>-0.87593699999999997</v>
      </c>
      <c r="N1645">
        <v>0</v>
      </c>
      <c r="O1645">
        <v>-0.4821995</v>
      </c>
      <c r="P1645">
        <v>-0.91300159999999997</v>
      </c>
      <c r="Q1645">
        <v>1.5838970000000001E-2</v>
      </c>
      <c r="R1645">
        <v>-0.40764919999999999</v>
      </c>
      <c r="S1645">
        <v>-3.0666500000000001</v>
      </c>
      <c r="T1645">
        <v>0.19634560000000001</v>
      </c>
      <c r="U1645">
        <v>-0.4992065</v>
      </c>
      <c r="V1645">
        <v>8.3438559999999995E-2</v>
      </c>
      <c r="W1645">
        <v>2.9854459999999999E-2</v>
      </c>
      <c r="X1645">
        <v>0.9960656</v>
      </c>
      <c r="Y1645">
        <v>0.33370050000000001</v>
      </c>
      <c r="Z1645">
        <v>-3.9941860000000003E-2</v>
      </c>
      <c r="AA1645">
        <v>0.94183260000000002</v>
      </c>
      <c r="AB1645">
        <v>15</v>
      </c>
      <c r="AC1645">
        <v>-146.6585</v>
      </c>
      <c r="AD1645">
        <v>9.3992090000000008</v>
      </c>
      <c r="AE1645">
        <v>-23.8276</v>
      </c>
      <c r="AF1645">
        <v>49.653909578501001</v>
      </c>
      <c r="AG1645">
        <v>9.3992090000000008</v>
      </c>
      <c r="AH1645">
        <v>139.41063133686799</v>
      </c>
      <c r="AI1645">
        <v>86.365868321060503</v>
      </c>
      <c r="AJ1645">
        <v>70.395617153681897</v>
      </c>
      <c r="AK1645">
        <v>148.28749103009201</v>
      </c>
      <c r="AL1645">
        <v>88.2892112108063</v>
      </c>
      <c r="AM1645">
        <v>85.211618575319406</v>
      </c>
      <c r="AN1645">
        <v>0.99999998079006203</v>
      </c>
    </row>
    <row r="1646" spans="1:40" x14ac:dyDescent="0.25">
      <c r="A1646" t="str">
        <f>"20190312160631136"</f>
        <v>20190312160631136</v>
      </c>
      <c r="B1646" t="str">
        <f>"1552377991126441"</f>
        <v>1552377991126441</v>
      </c>
      <c r="C1646" t="s">
        <v>40</v>
      </c>
      <c r="D1646">
        <v>6.4613079999999998</v>
      </c>
      <c r="E1646">
        <v>0.58636699999999997</v>
      </c>
      <c r="F1646" t="s">
        <v>68</v>
      </c>
      <c r="G1646">
        <v>-352.55</v>
      </c>
      <c r="H1646">
        <v>9.8036429999999992</v>
      </c>
      <c r="I1646">
        <v>261.65679999999998</v>
      </c>
      <c r="J1646">
        <v>-206.0317</v>
      </c>
      <c r="K1646">
        <v>1.1069629999999999</v>
      </c>
      <c r="L1646">
        <v>284.70729999999998</v>
      </c>
      <c r="M1646">
        <v>-0.87989409999999901</v>
      </c>
      <c r="N1646">
        <v>0</v>
      </c>
      <c r="O1646">
        <v>-0.47494170000000002</v>
      </c>
      <c r="P1646">
        <v>-0.91608369999999995</v>
      </c>
      <c r="Q1646">
        <v>1.57027E-2</v>
      </c>
      <c r="R1646">
        <v>-0.40067979999999997</v>
      </c>
      <c r="S1646">
        <v>-3.0668639999999998</v>
      </c>
      <c r="T1646">
        <v>0.1818631</v>
      </c>
      <c r="U1646">
        <v>-0.48339840000000001</v>
      </c>
      <c r="V1646">
        <v>8.2792499999999894E-2</v>
      </c>
      <c r="W1646">
        <v>2.9676669999999999E-2</v>
      </c>
      <c r="X1646">
        <v>0.99612489999999998</v>
      </c>
      <c r="Y1646">
        <v>0.3308837</v>
      </c>
      <c r="Z1646">
        <v>-3.6564600000000003E-2</v>
      </c>
      <c r="AA1646">
        <v>0.94296290000000005</v>
      </c>
      <c r="AB1646">
        <v>15</v>
      </c>
      <c r="AC1646">
        <v>-146.51830000000001</v>
      </c>
      <c r="AD1646">
        <v>8.69667999999999</v>
      </c>
      <c r="AE1646">
        <v>-23.0505</v>
      </c>
      <c r="AF1646">
        <v>49.142045888995902</v>
      </c>
      <c r="AG1646">
        <v>8.69667999999999</v>
      </c>
      <c r="AH1646">
        <v>139.40412165455601</v>
      </c>
      <c r="AI1646">
        <v>86.632827004487496</v>
      </c>
      <c r="AJ1646">
        <v>70.581680702245507</v>
      </c>
      <c r="AK1646">
        <v>148.067829225179</v>
      </c>
      <c r="AL1646">
        <v>88.299402477332706</v>
      </c>
      <c r="AM1646">
        <v>85.248805891984901</v>
      </c>
      <c r="AN1646">
        <v>1.00000005959927</v>
      </c>
    </row>
    <row r="1647" spans="1:40" x14ac:dyDescent="0.25">
      <c r="A1647" t="str">
        <f>"20190312160631157"</f>
        <v>20190312160631157</v>
      </c>
      <c r="B1647" t="str">
        <f>"1552377991146937"</f>
        <v>1552377991146937</v>
      </c>
      <c r="C1647" t="s">
        <v>40</v>
      </c>
      <c r="D1647">
        <v>6.5740600000000002</v>
      </c>
      <c r="E1647">
        <v>0.58980350000000004</v>
      </c>
      <c r="F1647" t="s">
        <v>70</v>
      </c>
      <c r="G1647">
        <v>-328.81630000000001</v>
      </c>
      <c r="H1647">
        <v>6.457916</v>
      </c>
      <c r="I1647">
        <v>261.47140000000002</v>
      </c>
      <c r="J1647">
        <v>-206.17080000000001</v>
      </c>
      <c r="K1647">
        <v>1.1069610000000001</v>
      </c>
      <c r="L1647">
        <v>284.64330000000001</v>
      </c>
      <c r="M1647">
        <v>-0.88375649999999994</v>
      </c>
      <c r="N1647">
        <v>0</v>
      </c>
      <c r="O1647">
        <v>-0.46771659999999998</v>
      </c>
      <c r="P1647">
        <v>-0.91922119999999996</v>
      </c>
      <c r="Q1647">
        <v>1.5821479999999999E-2</v>
      </c>
      <c r="R1647">
        <v>-0.39342359999999998</v>
      </c>
      <c r="S1647">
        <v>-3.0223849999999999</v>
      </c>
      <c r="T1647">
        <v>0.13171579999999999</v>
      </c>
      <c r="U1647">
        <v>-0.57196040000000004</v>
      </c>
      <c r="V1647">
        <v>8.2506360000000001E-2</v>
      </c>
      <c r="W1647">
        <v>2.9756270000000001E-2</v>
      </c>
      <c r="X1647">
        <v>0.99614619999999998</v>
      </c>
      <c r="Y1647">
        <v>0.29460769999999997</v>
      </c>
      <c r="Z1647">
        <v>-2.5718370000000001E-2</v>
      </c>
      <c r="AA1647">
        <v>0.95527209999999996</v>
      </c>
      <c r="AB1647">
        <v>15</v>
      </c>
      <c r="AC1647">
        <v>-122.6455</v>
      </c>
      <c r="AD1647">
        <v>5.3509549999999999</v>
      </c>
      <c r="AE1647">
        <v>-23.171899999999901</v>
      </c>
      <c r="AF1647">
        <v>36.821321726751201</v>
      </c>
      <c r="AG1647">
        <v>5.3509549999999999</v>
      </c>
      <c r="AH1647">
        <v>119.020745819545</v>
      </c>
      <c r="AI1647">
        <v>87.5406701023078</v>
      </c>
      <c r="AJ1647">
        <v>72.809556823356104</v>
      </c>
      <c r="AK1647">
        <v>124.70116434323199</v>
      </c>
      <c r="AL1647">
        <v>88.294839605597602</v>
      </c>
      <c r="AM1647">
        <v>85.265252538437096</v>
      </c>
      <c r="AN1647">
        <v>0.999999993409601</v>
      </c>
    </row>
    <row r="1648" spans="1:40" x14ac:dyDescent="0.25">
      <c r="A1648" t="str">
        <f>"20190312160631179"</f>
        <v>20190312160631179</v>
      </c>
      <c r="B1648" t="str">
        <f>"1552377991166460"</f>
        <v>1552377991166460</v>
      </c>
      <c r="C1648" t="s">
        <v>40</v>
      </c>
      <c r="D1648">
        <v>6.6305909999999999</v>
      </c>
      <c r="E1648">
        <v>0.59171609999999997</v>
      </c>
      <c r="F1648" t="s">
        <v>70</v>
      </c>
      <c r="G1648">
        <v>-333.1035</v>
      </c>
      <c r="H1648">
        <v>7.2672970000000001</v>
      </c>
      <c r="I1648">
        <v>262.77620000000002</v>
      </c>
      <c r="J1648">
        <v>-206.30690000000001</v>
      </c>
      <c r="K1648">
        <v>1.106957</v>
      </c>
      <c r="L1648">
        <v>284.58210000000003</v>
      </c>
      <c r="M1648">
        <v>-0.88747410000000004</v>
      </c>
      <c r="N1648">
        <v>0</v>
      </c>
      <c r="O1648">
        <v>-0.4606248</v>
      </c>
      <c r="P1648">
        <v>-0.92205970000000004</v>
      </c>
      <c r="Q1648">
        <v>1.5785460000000001E-2</v>
      </c>
      <c r="R1648">
        <v>-0.38672610000000002</v>
      </c>
      <c r="S1648">
        <v>-3.0371700000000001</v>
      </c>
      <c r="T1648">
        <v>0.14740110000000001</v>
      </c>
      <c r="U1648">
        <v>-0.52322389999999996</v>
      </c>
      <c r="V1648">
        <v>8.1775169999999994E-2</v>
      </c>
      <c r="W1648">
        <v>2.9691450000000001E-2</v>
      </c>
      <c r="X1648">
        <v>0.99620839999999999</v>
      </c>
      <c r="Y1648">
        <v>0.30247729999999901</v>
      </c>
      <c r="Z1648">
        <v>-2.8589460000000001E-2</v>
      </c>
      <c r="AA1648">
        <v>0.95272769999999996</v>
      </c>
      <c r="AB1648">
        <v>15</v>
      </c>
      <c r="AC1648">
        <v>-126.796599999999</v>
      </c>
      <c r="AD1648">
        <v>6.1603399999999997</v>
      </c>
      <c r="AE1648">
        <v>-21.805900000000001</v>
      </c>
      <c r="AF1648">
        <v>38.9683361217825</v>
      </c>
      <c r="AG1648">
        <v>6.1603399999999997</v>
      </c>
      <c r="AH1648">
        <v>122.30578264531</v>
      </c>
      <c r="AI1648">
        <v>87.2524092043694</v>
      </c>
      <c r="AJ1648">
        <v>72.327392210191206</v>
      </c>
      <c r="AK1648">
        <v>128.511421583833</v>
      </c>
      <c r="AL1648">
        <v>88.298555117261998</v>
      </c>
      <c r="AM1648">
        <v>85.307316393101701</v>
      </c>
      <c r="AN1648">
        <v>0.99999996843109495</v>
      </c>
    </row>
    <row r="1649" spans="1:40" x14ac:dyDescent="0.25">
      <c r="A1649" t="str">
        <f>"20190312160631201"</f>
        <v>20190312160631201</v>
      </c>
      <c r="B1649" t="str">
        <f>"1552377991196713"</f>
        <v>1552377991196713</v>
      </c>
      <c r="C1649" t="s">
        <v>40</v>
      </c>
      <c r="D1649">
        <v>6.7986250000000004</v>
      </c>
      <c r="E1649">
        <v>0.59096349999999997</v>
      </c>
      <c r="F1649" t="s">
        <v>70</v>
      </c>
      <c r="G1649">
        <v>-332.88959999999997</v>
      </c>
      <c r="H1649">
        <v>7.4340039999999901</v>
      </c>
      <c r="I1649">
        <v>264.34339999999997</v>
      </c>
      <c r="J1649">
        <v>-206.4494</v>
      </c>
      <c r="K1649">
        <v>1.106951</v>
      </c>
      <c r="L1649">
        <v>284.51949999999999</v>
      </c>
      <c r="M1649">
        <v>-0.89130159999999903</v>
      </c>
      <c r="N1649">
        <v>0</v>
      </c>
      <c r="O1649">
        <v>-0.45317550000000001</v>
      </c>
      <c r="P1649">
        <v>-0.92490600000000001</v>
      </c>
      <c r="Q1649">
        <v>1.582627E-2</v>
      </c>
      <c r="R1649">
        <v>-0.37986619999999999</v>
      </c>
      <c r="S1649">
        <v>-3.0466920000000002</v>
      </c>
      <c r="T1649">
        <v>0.15228459999999999</v>
      </c>
      <c r="U1649">
        <v>-0.48712159999999899</v>
      </c>
      <c r="V1649">
        <v>8.0830319999999997E-2</v>
      </c>
      <c r="W1649">
        <v>2.970909E-2</v>
      </c>
      <c r="X1649">
        <v>0.99628499999999998</v>
      </c>
      <c r="Y1649">
        <v>0.30592960000000002</v>
      </c>
      <c r="Z1649">
        <v>-2.9245690000000001E-2</v>
      </c>
      <c r="AA1649">
        <v>0.95160480000000003</v>
      </c>
      <c r="AB1649">
        <v>15</v>
      </c>
      <c r="AC1649">
        <v>-126.440199999999</v>
      </c>
      <c r="AD1649">
        <v>6.3270529999999896</v>
      </c>
      <c r="AE1649">
        <v>-20.176100000000002</v>
      </c>
      <c r="AF1649">
        <v>39.225026615916697</v>
      </c>
      <c r="AG1649">
        <v>6.3270529999999896</v>
      </c>
      <c r="AH1649">
        <v>121.555853714774</v>
      </c>
      <c r="AI1649">
        <v>87.164149480242202</v>
      </c>
      <c r="AJ1649">
        <v>72.115556752786802</v>
      </c>
      <c r="AK1649">
        <v>127.88455686677599</v>
      </c>
      <c r="AL1649">
        <v>88.297544003434197</v>
      </c>
      <c r="AM1649">
        <v>85.361653890189999</v>
      </c>
      <c r="AN1649">
        <v>0.99999998594246498</v>
      </c>
    </row>
    <row r="1650" spans="1:40" x14ac:dyDescent="0.25">
      <c r="A1650" t="str">
        <f>"20190312160631225"</f>
        <v>20190312160631225</v>
      </c>
      <c r="B1650" t="str">
        <f>"1552377991216233"</f>
        <v>1552377991216233</v>
      </c>
      <c r="C1650" t="s">
        <v>40</v>
      </c>
      <c r="D1650">
        <v>6.2014829999999996</v>
      </c>
      <c r="E1650">
        <v>0.59124639999999995</v>
      </c>
      <c r="F1650" t="s">
        <v>70</v>
      </c>
      <c r="G1650">
        <v>-338.84780000000001</v>
      </c>
      <c r="H1650">
        <v>6.9422610000000002</v>
      </c>
      <c r="I1650">
        <v>264.11660000000001</v>
      </c>
      <c r="J1650">
        <v>-206.6002</v>
      </c>
      <c r="K1650">
        <v>1.106935</v>
      </c>
      <c r="L1650">
        <v>284.45479999999998</v>
      </c>
      <c r="M1650">
        <v>-0.89528660000000004</v>
      </c>
      <c r="N1650">
        <v>0</v>
      </c>
      <c r="O1650">
        <v>-0.44525229999999999</v>
      </c>
      <c r="P1650">
        <v>-0.92778340000000004</v>
      </c>
      <c r="Q1650">
        <v>1.5619630000000001E-2</v>
      </c>
      <c r="R1650">
        <v>-0.37279289999999998</v>
      </c>
      <c r="S1650">
        <v>-3.04834</v>
      </c>
      <c r="T1650">
        <v>0.13435229999999901</v>
      </c>
      <c r="U1650">
        <v>-0.46975709999999998</v>
      </c>
      <c r="V1650">
        <v>7.9600260000000006E-2</v>
      </c>
      <c r="W1650">
        <v>2.9484590000000001E-2</v>
      </c>
      <c r="X1650">
        <v>0.99639069999999996</v>
      </c>
      <c r="Y1650">
        <v>0.30305900000000002</v>
      </c>
      <c r="Z1650">
        <v>-2.5436569999999999E-2</v>
      </c>
      <c r="AA1650">
        <v>0.95263220000000004</v>
      </c>
      <c r="AB1650">
        <v>15</v>
      </c>
      <c r="AC1650">
        <v>-132.24760000000001</v>
      </c>
      <c r="AD1650">
        <v>5.8353260000000002</v>
      </c>
      <c r="AE1650">
        <v>-20.338199999999901</v>
      </c>
      <c r="AF1650">
        <v>40.602124487301602</v>
      </c>
      <c r="AG1650">
        <v>5.8353260000000002</v>
      </c>
      <c r="AH1650">
        <v>127.22668475290099</v>
      </c>
      <c r="AI1650">
        <v>87.498082002709694</v>
      </c>
      <c r="AJ1650">
        <v>72.3004454756679</v>
      </c>
      <c r="AK1650">
        <v>133.67577512631999</v>
      </c>
      <c r="AL1650">
        <v>88.310412541597202</v>
      </c>
      <c r="AM1650">
        <v>85.432420846315594</v>
      </c>
      <c r="AN1650">
        <v>0.99999998474301199</v>
      </c>
    </row>
    <row r="1651" spans="1:40" x14ac:dyDescent="0.25">
      <c r="A1651" t="str">
        <f>"20190312160631250"</f>
        <v>20190312160631250</v>
      </c>
      <c r="B1651" t="str">
        <f>"1552377991236729"</f>
        <v>1552377991236729</v>
      </c>
      <c r="C1651" t="s">
        <v>40</v>
      </c>
      <c r="D1651">
        <v>6.7726009999999999</v>
      </c>
      <c r="E1651">
        <v>0.59211029999999998</v>
      </c>
      <c r="F1651" t="s">
        <v>68</v>
      </c>
      <c r="G1651">
        <v>-351.48700000000002</v>
      </c>
      <c r="H1651">
        <v>7.5124199999999997</v>
      </c>
      <c r="I1651">
        <v>263.36579999999998</v>
      </c>
      <c r="J1651">
        <v>-206.74719999999999</v>
      </c>
      <c r="K1651">
        <v>1.10693</v>
      </c>
      <c r="L1651">
        <v>284.39319999999998</v>
      </c>
      <c r="M1651">
        <v>-0.89910559999999995</v>
      </c>
      <c r="N1651">
        <v>0</v>
      </c>
      <c r="O1651">
        <v>-0.43748989999999999</v>
      </c>
      <c r="P1651">
        <v>-0.93067659999999997</v>
      </c>
      <c r="Q1651">
        <v>1.557501E-2</v>
      </c>
      <c r="R1651">
        <v>-0.3655118</v>
      </c>
      <c r="S1651">
        <v>-3.0527039999999999</v>
      </c>
      <c r="T1651">
        <v>0.13496240000000001</v>
      </c>
      <c r="U1651">
        <v>-0.44433590000000001</v>
      </c>
      <c r="V1651">
        <v>7.8786480000000006E-2</v>
      </c>
      <c r="W1651">
        <v>2.9423109999999999E-2</v>
      </c>
      <c r="X1651">
        <v>0.99645720000000004</v>
      </c>
      <c r="Y1651">
        <v>0.30278050000000001</v>
      </c>
      <c r="Z1651">
        <v>-2.522806E-2</v>
      </c>
      <c r="AA1651">
        <v>0.95272639999999997</v>
      </c>
      <c r="AB1651">
        <v>15</v>
      </c>
      <c r="AC1651">
        <v>-144.73979999999901</v>
      </c>
      <c r="AD1651">
        <v>6.4054900000000004</v>
      </c>
      <c r="AE1651">
        <v>-21.0274</v>
      </c>
      <c r="AF1651">
        <v>44.336011573087802</v>
      </c>
      <c r="AG1651">
        <v>6.4054900000000004</v>
      </c>
      <c r="AH1651">
        <v>139.08362311764901</v>
      </c>
      <c r="AI1651">
        <v>87.487503781129107</v>
      </c>
      <c r="AJ1651">
        <v>72.319157255095107</v>
      </c>
      <c r="AK1651">
        <v>146.11969902748001</v>
      </c>
      <c r="AL1651">
        <v>88.313936624215501</v>
      </c>
      <c r="AM1651">
        <v>85.479222616766904</v>
      </c>
      <c r="AN1651">
        <v>0.99999999013235097</v>
      </c>
    </row>
    <row r="1652" spans="1:40" x14ac:dyDescent="0.25">
      <c r="A1652" t="str">
        <f>"20190312160631270"</f>
        <v>20190312160631270</v>
      </c>
      <c r="B1652" t="str">
        <f>"1552377991266985"</f>
        <v>1552377991266985</v>
      </c>
      <c r="C1652" t="s">
        <v>40</v>
      </c>
      <c r="D1652">
        <v>6.7805149999999896</v>
      </c>
      <c r="E1652">
        <v>0.59262159999999997</v>
      </c>
      <c r="F1652" t="s">
        <v>71</v>
      </c>
      <c r="G1652">
        <v>-333.65339999999998</v>
      </c>
      <c r="H1652">
        <v>5.4754550000000002</v>
      </c>
      <c r="I1652">
        <v>267.24239999999998</v>
      </c>
      <c r="J1652">
        <v>-206.88669999999999</v>
      </c>
      <c r="K1652">
        <v>1.1069279999999999</v>
      </c>
      <c r="L1652">
        <v>284.33629999999999</v>
      </c>
      <c r="M1652">
        <v>-0.90266639999999998</v>
      </c>
      <c r="N1652">
        <v>0</v>
      </c>
      <c r="O1652">
        <v>-0.43009550000000002</v>
      </c>
      <c r="P1652">
        <v>-0.93368459999999998</v>
      </c>
      <c r="Q1652">
        <v>1.5769490000000001E-2</v>
      </c>
      <c r="R1652">
        <v>-0.35774929999999999</v>
      </c>
      <c r="S1652">
        <v>-3.0593110000000001</v>
      </c>
      <c r="T1652">
        <v>0.1053115</v>
      </c>
      <c r="U1652">
        <v>-0.41345209999999999</v>
      </c>
      <c r="V1652">
        <v>7.8905279999999994E-2</v>
      </c>
      <c r="W1652">
        <v>2.9596600000000001E-2</v>
      </c>
      <c r="X1652">
        <v>0.99644270000000001</v>
      </c>
      <c r="Y1652">
        <v>0.304952</v>
      </c>
      <c r="Z1652">
        <v>-1.9477700000000001E-2</v>
      </c>
      <c r="AA1652">
        <v>0.95216849999999997</v>
      </c>
      <c r="AB1652">
        <v>15</v>
      </c>
      <c r="AC1652">
        <v>-126.7667</v>
      </c>
      <c r="AD1652">
        <v>4.3685269999999896</v>
      </c>
      <c r="AE1652">
        <v>-17.093900000000001</v>
      </c>
      <c r="AF1652">
        <v>39.050280590848899</v>
      </c>
      <c r="AG1652">
        <v>4.3685269999999896</v>
      </c>
      <c r="AH1652">
        <v>121.65102485631201</v>
      </c>
      <c r="AI1652">
        <v>88.0417118911557</v>
      </c>
      <c r="AJ1652">
        <v>72.203241011868897</v>
      </c>
      <c r="AK1652">
        <v>127.83966634407599</v>
      </c>
      <c r="AL1652">
        <v>88.303992112868599</v>
      </c>
      <c r="AM1652">
        <v>85.472368569485695</v>
      </c>
      <c r="AN1652">
        <v>1.0000000281633601</v>
      </c>
    </row>
    <row r="1653" spans="1:40" x14ac:dyDescent="0.25">
      <c r="A1653" t="str">
        <f>"20190312160631291"</f>
        <v>20190312160631291</v>
      </c>
      <c r="B1653" t="str">
        <f>"1552377991286505"</f>
        <v>1552377991286505</v>
      </c>
      <c r="C1653" t="s">
        <v>40</v>
      </c>
      <c r="D1653">
        <v>6.8258470000000004</v>
      </c>
      <c r="E1653">
        <v>0.5925646</v>
      </c>
      <c r="F1653" t="s">
        <v>72</v>
      </c>
      <c r="G1653">
        <v>-337.08429999999998</v>
      </c>
      <c r="H1653">
        <v>4.242013</v>
      </c>
      <c r="I1653">
        <v>268.03489999999999</v>
      </c>
      <c r="J1653">
        <v>-207.0188</v>
      </c>
      <c r="K1653">
        <v>1.1069249999999999</v>
      </c>
      <c r="L1653">
        <v>284.28359999999998</v>
      </c>
      <c r="M1653">
        <v>-0.90598389999999995</v>
      </c>
      <c r="N1653">
        <v>0</v>
      </c>
      <c r="O1653">
        <v>-0.42306300000000002</v>
      </c>
      <c r="P1653">
        <v>-0.93667199999999995</v>
      </c>
      <c r="Q1653">
        <v>1.594454E-2</v>
      </c>
      <c r="R1653">
        <v>-0.34984520000000002</v>
      </c>
      <c r="S1653">
        <v>-3.0648040000000001</v>
      </c>
      <c r="T1653">
        <v>7.3798779999999994E-2</v>
      </c>
      <c r="U1653">
        <v>-0.38372800000000001</v>
      </c>
      <c r="V1653">
        <v>7.9578479999999993E-2</v>
      </c>
      <c r="W1653">
        <v>2.9749129999999999E-2</v>
      </c>
      <c r="X1653">
        <v>0.99638459999999995</v>
      </c>
      <c r="Y1653">
        <v>0.30706349999999999</v>
      </c>
      <c r="Z1653">
        <v>-1.3513300000000001E-2</v>
      </c>
      <c r="AA1653">
        <v>0.95159309999999997</v>
      </c>
      <c r="AB1653">
        <v>15</v>
      </c>
      <c r="AC1653">
        <v>-130.06549999999999</v>
      </c>
      <c r="AD1653">
        <v>3.1350880000000001</v>
      </c>
      <c r="AE1653">
        <v>-16.2486999999999</v>
      </c>
      <c r="AF1653">
        <v>40.286043800536603</v>
      </c>
      <c r="AG1653">
        <v>3.1350880000000001</v>
      </c>
      <c r="AH1653">
        <v>124.653313308199</v>
      </c>
      <c r="AI1653">
        <v>88.629077368144493</v>
      </c>
      <c r="AJ1653">
        <v>72.089961087310897</v>
      </c>
      <c r="AK1653">
        <v>131.03908814005999</v>
      </c>
      <c r="AL1653">
        <v>88.295248903818504</v>
      </c>
      <c r="AM1653">
        <v>85.433637490931005</v>
      </c>
      <c r="AN1653">
        <v>1.0000000081660101</v>
      </c>
    </row>
    <row r="1654" spans="1:40" x14ac:dyDescent="0.25">
      <c r="A1654" t="str">
        <f>"20190312160631315"</f>
        <v>20190312160631315</v>
      </c>
      <c r="B1654" t="str">
        <f>"1552377991307001"</f>
        <v>1552377991307001</v>
      </c>
      <c r="C1654" t="s">
        <v>40</v>
      </c>
      <c r="D1654">
        <v>6.6737199999999897</v>
      </c>
      <c r="E1654">
        <v>0.58516179999999995</v>
      </c>
      <c r="F1654" t="s">
        <v>68</v>
      </c>
      <c r="G1654">
        <v>-352.08690000000001</v>
      </c>
      <c r="H1654">
        <v>3.7626270000000002</v>
      </c>
      <c r="I1654">
        <v>267.3553</v>
      </c>
      <c r="J1654">
        <v>-207.17009999999999</v>
      </c>
      <c r="K1654">
        <v>1.1069209999999901</v>
      </c>
      <c r="L1654">
        <v>284.22469999999998</v>
      </c>
      <c r="M1654">
        <v>-0.90971469999999999</v>
      </c>
      <c r="N1654">
        <v>0</v>
      </c>
      <c r="O1654">
        <v>-0.41498049999999997</v>
      </c>
      <c r="P1654">
        <v>-0.93997679999999995</v>
      </c>
      <c r="Q1654">
        <v>1.5783459999999999E-2</v>
      </c>
      <c r="R1654">
        <v>-0.34087309999999998</v>
      </c>
      <c r="S1654">
        <v>-3.0681759999999998</v>
      </c>
      <c r="T1654">
        <v>5.616939E-2</v>
      </c>
      <c r="U1654">
        <v>-0.35803220000000002</v>
      </c>
      <c r="V1654">
        <v>8.0234E-2</v>
      </c>
      <c r="W1654">
        <v>2.956657E-2</v>
      </c>
      <c r="X1654">
        <v>0.99633749999999999</v>
      </c>
      <c r="Y1654">
        <v>0.30666009999999999</v>
      </c>
      <c r="Z1654">
        <v>-1.0145070000000001E-2</v>
      </c>
      <c r="AA1654">
        <v>0.95176510000000003</v>
      </c>
      <c r="AB1654">
        <v>15</v>
      </c>
      <c r="AC1654">
        <v>-144.91679999999999</v>
      </c>
      <c r="AD1654">
        <v>2.6557059999999999</v>
      </c>
      <c r="AE1654">
        <v>-16.869399999999899</v>
      </c>
      <c r="AF1654">
        <v>44.781178709548797</v>
      </c>
      <c r="AG1654">
        <v>2.6557059999999999</v>
      </c>
      <c r="AH1654">
        <v>138.802028338279</v>
      </c>
      <c r="AI1654">
        <v>88.956825320851095</v>
      </c>
      <c r="AJ1654">
        <v>72.118936440216899</v>
      </c>
      <c r="AK1654">
        <v>145.871209674135</v>
      </c>
      <c r="AL1654">
        <v>88.305713487540601</v>
      </c>
      <c r="AM1654">
        <v>85.395966862036303</v>
      </c>
      <c r="AN1654">
        <v>1.0000000453619</v>
      </c>
    </row>
    <row r="1655" spans="1:40" x14ac:dyDescent="0.25">
      <c r="A1655" t="str">
        <f>"20190312160631335"</f>
        <v>20190312160631335</v>
      </c>
      <c r="B1655" t="str">
        <f>"1552377991327028"</f>
        <v>1552377991327028</v>
      </c>
      <c r="C1655" t="s">
        <v>40</v>
      </c>
      <c r="D1655">
        <v>6.3350109999999997</v>
      </c>
      <c r="E1655">
        <v>0.58338769999999995</v>
      </c>
      <c r="F1655" t="s">
        <v>66</v>
      </c>
      <c r="G1655">
        <v>-259.11840000000001</v>
      </c>
      <c r="H1655">
        <v>8.0000249999999995E-2</v>
      </c>
      <c r="I1655">
        <v>277.72179999999997</v>
      </c>
      <c r="J1655">
        <v>-207.30699999999999</v>
      </c>
      <c r="K1655">
        <v>1.1069230000000001</v>
      </c>
      <c r="L1655">
        <v>284.17290000000003</v>
      </c>
      <c r="M1655">
        <v>-0.91302969999999894</v>
      </c>
      <c r="N1655">
        <v>0</v>
      </c>
      <c r="O1655">
        <v>-0.4076361</v>
      </c>
      <c r="P1655">
        <v>-0.94286190000000003</v>
      </c>
      <c r="Q1655">
        <v>1.544975E-2</v>
      </c>
      <c r="R1655">
        <v>-0.3328258</v>
      </c>
      <c r="S1655">
        <v>-3.053925</v>
      </c>
      <c r="T1655">
        <v>-6.037033E-2</v>
      </c>
      <c r="U1655">
        <v>-0.38229370000000001</v>
      </c>
      <c r="V1655">
        <v>8.0720490000000006E-2</v>
      </c>
      <c r="W1655">
        <v>2.921578E-2</v>
      </c>
      <c r="X1655">
        <v>0.99630850000000004</v>
      </c>
      <c r="Y1655">
        <v>0.2909717</v>
      </c>
      <c r="Z1655">
        <v>1.065897E-2</v>
      </c>
      <c r="AA1655">
        <v>0.95667230000000003</v>
      </c>
      <c r="AB1655">
        <v>15</v>
      </c>
      <c r="AC1655">
        <v>-51.8113999999999</v>
      </c>
      <c r="AD1655">
        <v>-1.02692274999999</v>
      </c>
      <c r="AE1655">
        <v>-6.45110000000005</v>
      </c>
      <c r="AF1655">
        <v>15.22585719135</v>
      </c>
      <c r="AG1655">
        <v>-1.02692274999999</v>
      </c>
      <c r="AH1655">
        <v>49.920969707561802</v>
      </c>
      <c r="AI1655">
        <v>91.127214078384995</v>
      </c>
      <c r="AJ1655">
        <v>73.0383346132909</v>
      </c>
      <c r="AK1655">
        <v>52.201384216217399</v>
      </c>
      <c r="AL1655">
        <v>88.325820872647498</v>
      </c>
      <c r="AM1655">
        <v>85.368037683861303</v>
      </c>
      <c r="AN1655">
        <v>0.99999999323954902</v>
      </c>
    </row>
    <row r="1656" spans="1:40" x14ac:dyDescent="0.25">
      <c r="A1656" t="str">
        <f>"20190312160631359"</f>
        <v>20190312160631359</v>
      </c>
      <c r="B1656" t="str">
        <f>"1552377991346552"</f>
        <v>1552377991346552</v>
      </c>
      <c r="C1656" t="s">
        <v>40</v>
      </c>
      <c r="D1656">
        <v>6.944331</v>
      </c>
      <c r="E1656">
        <v>0.58195739999999996</v>
      </c>
      <c r="F1656" t="s">
        <v>73</v>
      </c>
      <c r="G1656">
        <v>-328.90030000000002</v>
      </c>
      <c r="H1656">
        <v>0.13248969999999999</v>
      </c>
      <c r="I1656">
        <v>269.4289</v>
      </c>
      <c r="J1656">
        <v>-207.45320000000001</v>
      </c>
      <c r="K1656">
        <v>1.1069310000000001</v>
      </c>
      <c r="L1656">
        <v>284.11900000000003</v>
      </c>
      <c r="M1656">
        <v>-0.91649950000000002</v>
      </c>
      <c r="N1656">
        <v>0</v>
      </c>
      <c r="O1656">
        <v>-0.39977380000000001</v>
      </c>
      <c r="P1656">
        <v>-0.94577710000000004</v>
      </c>
      <c r="Q1656">
        <v>1.5641550000000001E-2</v>
      </c>
      <c r="R1656">
        <v>-0.32443959999999999</v>
      </c>
      <c r="S1656">
        <v>-3.0515750000000001</v>
      </c>
      <c r="T1656">
        <v>-2.44534E-2</v>
      </c>
      <c r="U1656">
        <v>-0.37002560000000001</v>
      </c>
      <c r="V1656">
        <v>8.1004789999999993E-2</v>
      </c>
      <c r="W1656">
        <v>2.9393559999999999E-2</v>
      </c>
      <c r="X1656">
        <v>0.99628019999999995</v>
      </c>
      <c r="Y1656">
        <v>0.28655190000000003</v>
      </c>
      <c r="Z1656">
        <v>4.2475909999999898E-3</v>
      </c>
      <c r="AA1656">
        <v>0.95805530000000005</v>
      </c>
      <c r="AB1656">
        <v>15</v>
      </c>
      <c r="AC1656">
        <v>-121.44710000000001</v>
      </c>
      <c r="AD1656">
        <v>-0.97444129999999896</v>
      </c>
      <c r="AE1656">
        <v>-14.690099999999999</v>
      </c>
      <c r="AF1656">
        <v>35.089350312737103</v>
      </c>
      <c r="AG1656">
        <v>-0.97444129999999896</v>
      </c>
      <c r="AH1656">
        <v>117.183769098299</v>
      </c>
      <c r="AI1656">
        <v>90.456410327128197</v>
      </c>
      <c r="AJ1656">
        <v>73.330267338913103</v>
      </c>
      <c r="AK1656">
        <v>122.32844224178</v>
      </c>
      <c r="AL1656">
        <v>88.315630458937505</v>
      </c>
      <c r="AM1656">
        <v>85.351663677481099</v>
      </c>
      <c r="AN1656">
        <v>0.99999999714222798</v>
      </c>
    </row>
    <row r="1657" spans="1:40" x14ac:dyDescent="0.25">
      <c r="A1657" t="str">
        <f>"20190312160631381"</f>
        <v>20190312160631381</v>
      </c>
      <c r="B1657" t="str">
        <f>"1552377991376805"</f>
        <v>1552377991376805</v>
      </c>
      <c r="C1657" t="s">
        <v>40</v>
      </c>
      <c r="D1657">
        <v>6.7700769999999997</v>
      </c>
      <c r="E1657">
        <v>0.58221639999999997</v>
      </c>
      <c r="F1657" t="s">
        <v>73</v>
      </c>
      <c r="G1657">
        <v>-331.36919999999998</v>
      </c>
      <c r="H1657">
        <v>0.35381629999999997</v>
      </c>
      <c r="I1657">
        <v>269.74310000000003</v>
      </c>
      <c r="J1657">
        <v>-207.595</v>
      </c>
      <c r="K1657">
        <v>1.1069439999999999</v>
      </c>
      <c r="L1657">
        <v>284.06799999999998</v>
      </c>
      <c r="M1657">
        <v>-0.91979379999999999</v>
      </c>
      <c r="N1657">
        <v>0</v>
      </c>
      <c r="O1657">
        <v>-0.39213569999999998</v>
      </c>
      <c r="P1657">
        <v>-0.94847550000000003</v>
      </c>
      <c r="Q1657">
        <v>1.6194190000000001E-2</v>
      </c>
      <c r="R1657">
        <v>-0.31643700000000002</v>
      </c>
      <c r="S1657">
        <v>-3.0508730000000002</v>
      </c>
      <c r="T1657">
        <v>-1.8540500000000001E-2</v>
      </c>
      <c r="U1657">
        <v>-0.3539429</v>
      </c>
      <c r="V1657">
        <v>8.1134239999999996E-2</v>
      </c>
      <c r="W1657">
        <v>2.993548E-2</v>
      </c>
      <c r="X1657">
        <v>0.99625359999999996</v>
      </c>
      <c r="Y1657">
        <v>0.2835432</v>
      </c>
      <c r="Z1657">
        <v>3.1711489999999998E-3</v>
      </c>
      <c r="AA1657">
        <v>0.95895419999999998</v>
      </c>
      <c r="AB1657">
        <v>15</v>
      </c>
      <c r="AC1657">
        <v>-123.774199999999</v>
      </c>
      <c r="AD1657">
        <v>-0.75312769999999996</v>
      </c>
      <c r="AE1657">
        <v>-14.3248999999999</v>
      </c>
      <c r="AF1657">
        <v>35.362731403076999</v>
      </c>
      <c r="AG1657">
        <v>-0.75312769999999996</v>
      </c>
      <c r="AH1657">
        <v>119.472165096571</v>
      </c>
      <c r="AI1657">
        <v>90.346323893116804</v>
      </c>
      <c r="AJ1657">
        <v>73.511700228543702</v>
      </c>
      <c r="AK1657">
        <v>124.59810675319601</v>
      </c>
      <c r="AL1657">
        <v>88.284567178318895</v>
      </c>
      <c r="AM1657">
        <v>85.344144254500094</v>
      </c>
      <c r="AN1657">
        <v>1.0000000666880799</v>
      </c>
    </row>
    <row r="1658" spans="1:40" x14ac:dyDescent="0.25">
      <c r="A1658" t="str">
        <f>"20190312160631403"</f>
        <v>20190312160631403</v>
      </c>
      <c r="B1658" t="str">
        <f>"1552377991396325"</f>
        <v>1552377991396325</v>
      </c>
      <c r="C1658" t="s">
        <v>40</v>
      </c>
      <c r="D1658">
        <v>5.1261609999999997</v>
      </c>
      <c r="E1658">
        <v>0.58127390000000001</v>
      </c>
      <c r="F1658" t="s">
        <v>73</v>
      </c>
      <c r="G1658">
        <v>-342.22910000000002</v>
      </c>
      <c r="H1658">
        <v>0.2302189</v>
      </c>
      <c r="I1658">
        <v>269.69130000000001</v>
      </c>
      <c r="J1658">
        <v>-207.73050000000001</v>
      </c>
      <c r="K1658">
        <v>1.1069560000000001</v>
      </c>
      <c r="L1658">
        <v>284.02050000000003</v>
      </c>
      <c r="M1658">
        <v>-0.92287710000000001</v>
      </c>
      <c r="N1658">
        <v>0</v>
      </c>
      <c r="O1658">
        <v>-0.38482359999999999</v>
      </c>
      <c r="P1658">
        <v>-0.95090169999999996</v>
      </c>
      <c r="Q1658">
        <v>1.6733359999999999E-2</v>
      </c>
      <c r="R1658">
        <v>-0.30904090000000001</v>
      </c>
      <c r="S1658">
        <v>-3.0545040000000001</v>
      </c>
      <c r="T1658">
        <v>-1.988935E-2</v>
      </c>
      <c r="U1658">
        <v>-0.32617190000000001</v>
      </c>
      <c r="V1658">
        <v>8.0985790000000002E-2</v>
      </c>
      <c r="W1658">
        <v>3.046739E-2</v>
      </c>
      <c r="X1658">
        <v>0.99624950000000001</v>
      </c>
      <c r="Y1658">
        <v>0.28467300000000001</v>
      </c>
      <c r="Z1658">
        <v>3.360395E-3</v>
      </c>
      <c r="AA1658">
        <v>0.95861879999999999</v>
      </c>
      <c r="AB1658">
        <v>15</v>
      </c>
      <c r="AC1658">
        <v>-134.49860000000001</v>
      </c>
      <c r="AD1658">
        <v>-0.87673709999999905</v>
      </c>
      <c r="AE1658">
        <v>-14.3292</v>
      </c>
      <c r="AF1658">
        <v>38.536546606545997</v>
      </c>
      <c r="AG1658">
        <v>-0.87673709999999905</v>
      </c>
      <c r="AH1658">
        <v>129.64797226041401</v>
      </c>
      <c r="AI1658">
        <v>90.371394619211799</v>
      </c>
      <c r="AJ1658">
        <v>73.4459517357311</v>
      </c>
      <c r="AK1658">
        <v>135.256906675918</v>
      </c>
      <c r="AL1658">
        <v>88.254076979805504</v>
      </c>
      <c r="AM1658">
        <v>85.352606606973794</v>
      </c>
      <c r="AN1658">
        <v>1.00000001314279</v>
      </c>
    </row>
    <row r="1659" spans="1:40" x14ac:dyDescent="0.25">
      <c r="A1659" t="str">
        <f>"20190312160631425"</f>
        <v>20190312160631425</v>
      </c>
      <c r="B1659" t="str">
        <f>"1552377991416820"</f>
        <v>1552377991416820</v>
      </c>
      <c r="C1659" t="s">
        <v>40</v>
      </c>
      <c r="D1659">
        <v>6.7284769999999998</v>
      </c>
      <c r="E1659">
        <v>0.5811096</v>
      </c>
      <c r="F1659" t="s">
        <v>68</v>
      </c>
      <c r="G1659">
        <v>-367.27370000000002</v>
      </c>
      <c r="H1659">
        <v>0.17040250000000001</v>
      </c>
      <c r="I1659">
        <v>267.85000000000002</v>
      </c>
      <c r="J1659">
        <v>-207.8817</v>
      </c>
      <c r="K1659">
        <v>1.106975</v>
      </c>
      <c r="L1659">
        <v>283.96899999999999</v>
      </c>
      <c r="M1659">
        <v>-0.92624309999999999</v>
      </c>
      <c r="N1659">
        <v>0</v>
      </c>
      <c r="O1659">
        <v>-0.37664999999999998</v>
      </c>
      <c r="P1659">
        <v>-0.9533893</v>
      </c>
      <c r="Q1659">
        <v>1.706939E-2</v>
      </c>
      <c r="R1659">
        <v>-0.30126009999999998</v>
      </c>
      <c r="S1659">
        <v>-3.054611</v>
      </c>
      <c r="T1659">
        <v>-1.7929790000000001E-2</v>
      </c>
      <c r="U1659">
        <v>-0.30960079999999901</v>
      </c>
      <c r="V1659">
        <v>8.0318340000000002E-2</v>
      </c>
      <c r="W1659">
        <v>3.0800540000000001E-2</v>
      </c>
      <c r="X1659">
        <v>0.99629319999999999</v>
      </c>
      <c r="Y1659">
        <v>0.28134759999999998</v>
      </c>
      <c r="Z1659">
        <v>2.9764589999999999E-3</v>
      </c>
      <c r="AA1659">
        <v>0.95960129999999999</v>
      </c>
      <c r="AB1659">
        <v>15</v>
      </c>
      <c r="AC1659">
        <v>-159.392</v>
      </c>
      <c r="AD1659">
        <v>-0.93657250000000003</v>
      </c>
      <c r="AE1659">
        <v>-16.1189999999999</v>
      </c>
      <c r="AF1659">
        <v>45.108045480920502</v>
      </c>
      <c r="AG1659">
        <v>-0.93657250000000003</v>
      </c>
      <c r="AH1659">
        <v>153.71773421348499</v>
      </c>
      <c r="AI1659">
        <v>90.334963857091296</v>
      </c>
      <c r="AJ1659">
        <v>73.645819114933104</v>
      </c>
      <c r="AK1659">
        <v>160.20223077998699</v>
      </c>
      <c r="AL1659">
        <v>88.234979772024801</v>
      </c>
      <c r="AM1659">
        <v>85.390944006073894</v>
      </c>
      <c r="AN1659">
        <v>0.99999992468543997</v>
      </c>
    </row>
    <row r="1660" spans="1:40" x14ac:dyDescent="0.25">
      <c r="A1660" t="str">
        <f>"20190312160631449"</f>
        <v>20190312160631449</v>
      </c>
      <c r="B1660" t="str">
        <f>"1552377991436341"</f>
        <v>1552377991436341</v>
      </c>
      <c r="C1660" t="s">
        <v>40</v>
      </c>
      <c r="D1660">
        <v>6.9168479999999999</v>
      </c>
      <c r="E1660">
        <v>0.58086890000000002</v>
      </c>
      <c r="F1660" t="s">
        <v>68</v>
      </c>
      <c r="G1660">
        <v>-380.19040000000001</v>
      </c>
      <c r="H1660">
        <v>0.87205119999999903</v>
      </c>
      <c r="I1660">
        <v>267.85000000000002</v>
      </c>
      <c r="J1660">
        <v>-208.0282</v>
      </c>
      <c r="K1660">
        <v>1.106989</v>
      </c>
      <c r="L1660">
        <v>283.9205</v>
      </c>
      <c r="M1660">
        <v>-0.92942829999999999</v>
      </c>
      <c r="N1660">
        <v>0</v>
      </c>
      <c r="O1660">
        <v>-0.3687204</v>
      </c>
      <c r="P1660">
        <v>-0.9560073</v>
      </c>
      <c r="Q1660">
        <v>1.6971670000000001E-2</v>
      </c>
      <c r="R1660">
        <v>-0.29285229999999901</v>
      </c>
      <c r="S1660">
        <v>-3.0564119999999999</v>
      </c>
      <c r="T1660">
        <v>-4.1655299999999998E-3</v>
      </c>
      <c r="U1660">
        <v>-0.28591919999999998</v>
      </c>
      <c r="V1660">
        <v>8.0576599999999998E-2</v>
      </c>
      <c r="W1660">
        <v>3.0692830000000001E-2</v>
      </c>
      <c r="X1660">
        <v>0.99627569999999999</v>
      </c>
      <c r="Y1660">
        <v>0.28057860000000001</v>
      </c>
      <c r="Z1660">
        <v>6.8096729999999998E-4</v>
      </c>
      <c r="AA1660">
        <v>0.95983079999999998</v>
      </c>
      <c r="AB1660">
        <v>15</v>
      </c>
      <c r="AC1660">
        <v>-172.16220000000001</v>
      </c>
      <c r="AD1660">
        <v>-0.2349378</v>
      </c>
      <c r="AE1660">
        <v>-16.0704999999999</v>
      </c>
      <c r="AF1660">
        <v>48.548304749109199</v>
      </c>
      <c r="AG1660">
        <v>-0.2349378</v>
      </c>
      <c r="AH1660">
        <v>165.954920969049</v>
      </c>
      <c r="AI1660">
        <v>90.077849241426904</v>
      </c>
      <c r="AJ1660">
        <v>73.693737829531699</v>
      </c>
      <c r="AK1660">
        <v>172.91046493380799</v>
      </c>
      <c r="AL1660">
        <v>88.241154072217995</v>
      </c>
      <c r="AM1660">
        <v>85.376107086850894</v>
      </c>
      <c r="AN1660">
        <v>0.99999995434572797</v>
      </c>
    </row>
    <row r="1661" spans="1:40" x14ac:dyDescent="0.25">
      <c r="A1661" t="str">
        <f>"20190312160631471"</f>
        <v>20190312160631471</v>
      </c>
      <c r="B1661" t="str">
        <f>"1552377991466596"</f>
        <v>1552377991466596</v>
      </c>
      <c r="C1661" t="s">
        <v>40</v>
      </c>
      <c r="D1661">
        <v>6.3262989999999997</v>
      </c>
      <c r="E1661">
        <v>0.58109540000000004</v>
      </c>
      <c r="F1661" t="s">
        <v>74</v>
      </c>
      <c r="G1661">
        <v>-440.6841</v>
      </c>
      <c r="H1661">
        <v>2.0987499999999999</v>
      </c>
      <c r="I1661">
        <v>264.0446</v>
      </c>
      <c r="J1661">
        <v>-208.1662</v>
      </c>
      <c r="K1661">
        <v>1.107002</v>
      </c>
      <c r="L1661">
        <v>283.87599999999998</v>
      </c>
      <c r="M1661">
        <v>-0.93236039999999998</v>
      </c>
      <c r="N1661">
        <v>0</v>
      </c>
      <c r="O1661">
        <v>-0.36124329999999999</v>
      </c>
      <c r="P1661">
        <v>-0.95846120000000001</v>
      </c>
      <c r="Q1661">
        <v>1.7231340000000001E-2</v>
      </c>
      <c r="R1661">
        <v>-0.28470309999999999</v>
      </c>
      <c r="S1661">
        <v>-3.0578159999999999</v>
      </c>
      <c r="T1661">
        <v>1.303494E-2</v>
      </c>
      <c r="U1661">
        <v>-0.26123049999999998</v>
      </c>
      <c r="V1661">
        <v>8.1054680000000004E-2</v>
      </c>
      <c r="W1661">
        <v>3.094162E-2</v>
      </c>
      <c r="X1661">
        <v>0.99622929999999998</v>
      </c>
      <c r="Y1661">
        <v>0.28059289999999998</v>
      </c>
      <c r="Z1661">
        <v>-2.1015090000000001E-3</v>
      </c>
      <c r="AA1661">
        <v>0.95982460000000003</v>
      </c>
      <c r="AB1661">
        <v>15</v>
      </c>
      <c r="AC1661">
        <v>-232.5179</v>
      </c>
      <c r="AD1661">
        <v>0.99174799999999996</v>
      </c>
      <c r="AE1661">
        <v>-19.831399999999899</v>
      </c>
      <c r="AF1661">
        <v>65.511131029004403</v>
      </c>
      <c r="AG1661">
        <v>0.99174799999999996</v>
      </c>
      <c r="AH1661">
        <v>223.973620952939</v>
      </c>
      <c r="AI1661">
        <v>89.756500027652805</v>
      </c>
      <c r="AJ1661">
        <v>73.696073728240705</v>
      </c>
      <c r="AK1661">
        <v>233.359968151278</v>
      </c>
      <c r="AL1661">
        <v>88.226892817907796</v>
      </c>
      <c r="AM1661">
        <v>85.348576774195095</v>
      </c>
      <c r="AN1661">
        <v>1.0000000315883</v>
      </c>
    </row>
    <row r="1662" spans="1:40" x14ac:dyDescent="0.25">
      <c r="A1662" t="str">
        <f>"20190312160631493"</f>
        <v>20190312160631493</v>
      </c>
      <c r="B1662" t="str">
        <f>"1552377991487092"</f>
        <v>1552377991487092</v>
      </c>
      <c r="C1662" t="s">
        <v>40</v>
      </c>
      <c r="D1662">
        <v>6.5119629999999997</v>
      </c>
      <c r="E1662">
        <v>0.58069369999999998</v>
      </c>
      <c r="F1662" t="s">
        <v>74</v>
      </c>
      <c r="G1662">
        <v>-440.6841</v>
      </c>
      <c r="H1662">
        <v>3.6048969999999998</v>
      </c>
      <c r="I1662">
        <v>266.1155</v>
      </c>
      <c r="J1662">
        <v>-208.31460000000001</v>
      </c>
      <c r="K1662">
        <v>1.1070180000000001</v>
      </c>
      <c r="L1662">
        <v>283.82960000000003</v>
      </c>
      <c r="M1662">
        <v>-0.93543770000000004</v>
      </c>
      <c r="N1662">
        <v>0</v>
      </c>
      <c r="O1662">
        <v>-0.353197599999999</v>
      </c>
      <c r="P1662">
        <v>-0.96089259999999999</v>
      </c>
      <c r="Q1662">
        <v>1.7251679999999998E-2</v>
      </c>
      <c r="R1662">
        <v>-0.27638309999999999</v>
      </c>
      <c r="S1662">
        <v>-3.0600130000000001</v>
      </c>
      <c r="T1662">
        <v>3.2873270000000003E-2</v>
      </c>
      <c r="U1662">
        <v>-0.2337341</v>
      </c>
      <c r="V1662">
        <v>8.1107360000000003E-2</v>
      </c>
      <c r="W1662">
        <v>3.0954479999999999E-2</v>
      </c>
      <c r="X1662">
        <v>0.99622460000000002</v>
      </c>
      <c r="Y1662">
        <v>0.28092109999999998</v>
      </c>
      <c r="Z1662">
        <v>-5.2200659999999998E-3</v>
      </c>
      <c r="AA1662">
        <v>0.95971669999999998</v>
      </c>
      <c r="AB1662">
        <v>15</v>
      </c>
      <c r="AC1662">
        <v>-232.36949999999999</v>
      </c>
      <c r="AD1662">
        <v>2.4978790000000002</v>
      </c>
      <c r="AE1662">
        <v>-17.714099999999998</v>
      </c>
      <c r="AF1662">
        <v>65.501193121652193</v>
      </c>
      <c r="AG1662">
        <v>2.4978790000000002</v>
      </c>
      <c r="AH1662">
        <v>223.62131141694999</v>
      </c>
      <c r="AI1662">
        <v>89.385828176354195</v>
      </c>
      <c r="AJ1662">
        <v>73.674099698111704</v>
      </c>
      <c r="AK1662">
        <v>233.03033411917701</v>
      </c>
      <c r="AL1662">
        <v>88.226155618157605</v>
      </c>
      <c r="AM1662">
        <v>85.345545083015296</v>
      </c>
      <c r="AN1662">
        <v>1.0000000186617</v>
      </c>
    </row>
    <row r="1663" spans="1:40" x14ac:dyDescent="0.25">
      <c r="A1663" t="str">
        <f>"20190312160631516"</f>
        <v>20190312160631516</v>
      </c>
      <c r="B1663" t="str">
        <f>"1552377991506613"</f>
        <v>1552377991506613</v>
      </c>
      <c r="C1663" t="s">
        <v>40</v>
      </c>
      <c r="D1663">
        <v>6.255592</v>
      </c>
      <c r="E1663">
        <v>0.57944289999999998</v>
      </c>
      <c r="F1663" t="s">
        <v>74</v>
      </c>
      <c r="G1663">
        <v>-440.6841</v>
      </c>
      <c r="H1663">
        <v>4.456976</v>
      </c>
      <c r="I1663">
        <v>267.8408</v>
      </c>
      <c r="J1663">
        <v>-208.45849999999999</v>
      </c>
      <c r="K1663">
        <v>1.107032</v>
      </c>
      <c r="L1663">
        <v>283.78590000000003</v>
      </c>
      <c r="M1663">
        <v>-0.93834870000000004</v>
      </c>
      <c r="N1663">
        <v>0</v>
      </c>
      <c r="O1663">
        <v>-0.34539049999999999</v>
      </c>
      <c r="P1663">
        <v>-0.96320810000000001</v>
      </c>
      <c r="Q1663">
        <v>1.7337999999999999E-2</v>
      </c>
      <c r="R1663">
        <v>-0.26819769999999998</v>
      </c>
      <c r="S1663">
        <v>-3.06073</v>
      </c>
      <c r="T1663">
        <v>4.4125200000000003E-2</v>
      </c>
      <c r="U1663">
        <v>-0.21060180000000001</v>
      </c>
      <c r="V1663">
        <v>8.1280640000000001E-2</v>
      </c>
      <c r="W1663">
        <v>3.1032649999999998E-2</v>
      </c>
      <c r="X1663">
        <v>0.99620799999999998</v>
      </c>
      <c r="Y1663">
        <v>0.2801283</v>
      </c>
      <c r="Z1663">
        <v>-6.8968479999999997E-3</v>
      </c>
      <c r="AA1663">
        <v>0.95993779999999995</v>
      </c>
      <c r="AB1663">
        <v>15</v>
      </c>
      <c r="AC1663">
        <v>-232.22559999999999</v>
      </c>
      <c r="AD1663">
        <v>3.3499439999999998</v>
      </c>
      <c r="AE1663">
        <v>-15.9451</v>
      </c>
      <c r="AF1663">
        <v>65.239698062091705</v>
      </c>
      <c r="AG1663">
        <v>3.3499439999999998</v>
      </c>
      <c r="AH1663">
        <v>223.392748376996</v>
      </c>
      <c r="AI1663">
        <v>89.175313849931101</v>
      </c>
      <c r="AJ1663">
        <v>73.720064990607298</v>
      </c>
      <c r="AK1663">
        <v>232.748276804499</v>
      </c>
      <c r="AL1663">
        <v>88.221674574152402</v>
      </c>
      <c r="AM1663">
        <v>85.335567626800497</v>
      </c>
      <c r="AN1663">
        <v>0.99999997353441505</v>
      </c>
    </row>
    <row r="1664" spans="1:40" x14ac:dyDescent="0.25">
      <c r="A1664" t="str">
        <f>"20190312160631539"</f>
        <v>20190312160631539</v>
      </c>
      <c r="B1664" t="str">
        <f>"1552377991527108"</f>
        <v>1552377991527108</v>
      </c>
      <c r="C1664" t="s">
        <v>40</v>
      </c>
      <c r="D1664">
        <v>6.3576610000000002</v>
      </c>
      <c r="E1664">
        <v>0.57879539999999996</v>
      </c>
      <c r="F1664" t="s">
        <v>74</v>
      </c>
      <c r="G1664">
        <v>-440.6841</v>
      </c>
      <c r="H1664">
        <v>4.9151540000000002</v>
      </c>
      <c r="I1664">
        <v>269.05919999999998</v>
      </c>
      <c r="J1664">
        <v>-208.6069</v>
      </c>
      <c r="K1664">
        <v>1.107051</v>
      </c>
      <c r="L1664">
        <v>283.74239999999998</v>
      </c>
      <c r="M1664">
        <v>-0.94127490000000003</v>
      </c>
      <c r="N1664">
        <v>0</v>
      </c>
      <c r="O1664">
        <v>-0.337335099999999</v>
      </c>
      <c r="P1664">
        <v>-0.96537669999999998</v>
      </c>
      <c r="Q1664">
        <v>1.7672150000000001E-2</v>
      </c>
      <c r="R1664">
        <v>-0.26026149999999998</v>
      </c>
      <c r="S1664">
        <v>-3.0596619999999999</v>
      </c>
      <c r="T1664">
        <v>5.0173639999999999E-2</v>
      </c>
      <c r="U1664">
        <v>-0.1940308</v>
      </c>
      <c r="V1664">
        <v>8.0939430000000007E-2</v>
      </c>
      <c r="W1664">
        <v>3.13639E-2</v>
      </c>
      <c r="X1664">
        <v>0.99622540000000004</v>
      </c>
      <c r="Y1664">
        <v>0.27703499999999998</v>
      </c>
      <c r="Z1664">
        <v>-7.697331E-3</v>
      </c>
      <c r="AA1664">
        <v>0.96082900000000004</v>
      </c>
      <c r="AB1664">
        <v>15</v>
      </c>
      <c r="AC1664">
        <v>-232.0772</v>
      </c>
      <c r="AD1664">
        <v>3.808103</v>
      </c>
      <c r="AE1664">
        <v>-14.683199999999999</v>
      </c>
      <c r="AF1664">
        <v>64.456232572177399</v>
      </c>
      <c r="AG1664">
        <v>3.808103</v>
      </c>
      <c r="AH1664">
        <v>223.36478140143299</v>
      </c>
      <c r="AI1664">
        <v>89.0615546898687</v>
      </c>
      <c r="AJ1664">
        <v>73.903480524207396</v>
      </c>
      <c r="AK1664">
        <v>232.51007104288399</v>
      </c>
      <c r="AL1664">
        <v>88.202686090796504</v>
      </c>
      <c r="AM1664">
        <v>85.355143474886205</v>
      </c>
      <c r="AN1664">
        <v>0.99999996657854695</v>
      </c>
    </row>
    <row r="1665" spans="1:40" x14ac:dyDescent="0.25">
      <c r="A1665" t="str">
        <f>"20190312160631560"</f>
        <v>20190312160631560</v>
      </c>
      <c r="B1665" t="str">
        <f>"1552377991556388"</f>
        <v>1552377991556388</v>
      </c>
      <c r="C1665" t="s">
        <v>40</v>
      </c>
      <c r="D1665">
        <v>6.3347519999999999</v>
      </c>
      <c r="E1665">
        <v>0.5778913</v>
      </c>
      <c r="F1665" t="s">
        <v>74</v>
      </c>
      <c r="G1665">
        <v>-448.28190000000001</v>
      </c>
      <c r="H1665">
        <v>5.3113390000000003</v>
      </c>
      <c r="I1665">
        <v>270.11649999999997</v>
      </c>
      <c r="J1665">
        <v>-208.74449999999999</v>
      </c>
      <c r="K1665">
        <v>1.107075</v>
      </c>
      <c r="L1665">
        <v>283.70319999999998</v>
      </c>
      <c r="M1665">
        <v>-0.94391890000000001</v>
      </c>
      <c r="N1665">
        <v>0</v>
      </c>
      <c r="O1665">
        <v>-0.3298643</v>
      </c>
      <c r="P1665">
        <v>-0.96724880000000002</v>
      </c>
      <c r="Q1665">
        <v>1.838395E-2</v>
      </c>
      <c r="R1665">
        <v>-0.25316349999999999</v>
      </c>
      <c r="S1665">
        <v>-3.059723</v>
      </c>
      <c r="T1665">
        <v>5.3672669999999999E-2</v>
      </c>
      <c r="U1665">
        <v>-0.1739502</v>
      </c>
      <c r="V1665">
        <v>8.0360669999999995E-2</v>
      </c>
      <c r="W1665">
        <v>3.2075449999999998E-2</v>
      </c>
      <c r="X1665">
        <v>0.99624959999999996</v>
      </c>
      <c r="Y1665">
        <v>0.27569320000000003</v>
      </c>
      <c r="Z1665">
        <v>-8.101057E-3</v>
      </c>
      <c r="AA1665">
        <v>0.96121160000000005</v>
      </c>
      <c r="AB1665">
        <v>15</v>
      </c>
      <c r="AC1665">
        <v>-239.53739999999999</v>
      </c>
      <c r="AD1665">
        <v>4.2042640000000002</v>
      </c>
      <c r="AE1665">
        <v>-13.5867</v>
      </c>
      <c r="AF1665">
        <v>66.176613237885903</v>
      </c>
      <c r="AG1665">
        <v>4.2042640000000002</v>
      </c>
      <c r="AH1665">
        <v>230.53868413126901</v>
      </c>
      <c r="AI1665">
        <v>88.995775865837501</v>
      </c>
      <c r="AJ1665">
        <v>73.9837630863898</v>
      </c>
      <c r="AK1665">
        <v>239.88560785590099</v>
      </c>
      <c r="AL1665">
        <v>88.1618967554314</v>
      </c>
      <c r="AM1665">
        <v>85.388324432622895</v>
      </c>
      <c r="AN1665">
        <v>0.99999996863785501</v>
      </c>
    </row>
    <row r="1666" spans="1:40" x14ac:dyDescent="0.25">
      <c r="A1666" t="str">
        <f>"20190312160631581"</f>
        <v>20190312160631581</v>
      </c>
      <c r="B1666" t="str">
        <f>"1552377991576884"</f>
        <v>1552377991576884</v>
      </c>
      <c r="C1666" t="s">
        <v>40</v>
      </c>
      <c r="D1666">
        <v>6.3853119999999999</v>
      </c>
      <c r="E1666">
        <v>0.57779369999999997</v>
      </c>
      <c r="F1666" t="s">
        <v>75</v>
      </c>
      <c r="G1666">
        <v>-511.07600000000002</v>
      </c>
      <c r="H1666">
        <v>6.8857410000000003</v>
      </c>
      <c r="I1666">
        <v>268.04320000000001</v>
      </c>
      <c r="J1666">
        <v>-208.8777</v>
      </c>
      <c r="K1666">
        <v>1.1071040000000001</v>
      </c>
      <c r="L1666">
        <v>283.6662</v>
      </c>
      <c r="M1666">
        <v>-0.94641759999999997</v>
      </c>
      <c r="N1666">
        <v>0</v>
      </c>
      <c r="O1666">
        <v>-0.32262550000000001</v>
      </c>
      <c r="P1666">
        <v>-0.96889250000000005</v>
      </c>
      <c r="Q1666">
        <v>1.8794519999999999E-2</v>
      </c>
      <c r="R1666">
        <v>-0.24676679999999901</v>
      </c>
      <c r="S1666">
        <v>-3.0589900000000001</v>
      </c>
      <c r="T1666">
        <v>5.8469300000000002E-2</v>
      </c>
      <c r="U1666">
        <v>-0.15844730000000001</v>
      </c>
      <c r="V1666">
        <v>7.9312010000000002E-2</v>
      </c>
      <c r="W1666">
        <v>3.2490089999999999E-2</v>
      </c>
      <c r="X1666">
        <v>0.99632019999999999</v>
      </c>
      <c r="Y1666">
        <v>0.27315909999999999</v>
      </c>
      <c r="Z1666">
        <v>-8.6736939999999992E-3</v>
      </c>
      <c r="AA1666">
        <v>0.9619297</v>
      </c>
      <c r="AB1666">
        <v>15</v>
      </c>
      <c r="AC1666">
        <v>-302.19830000000002</v>
      </c>
      <c r="AD1666">
        <v>5.7786369999999998</v>
      </c>
      <c r="AE1666">
        <v>-15.6229999999999</v>
      </c>
      <c r="AF1666">
        <v>82.689382385934707</v>
      </c>
      <c r="AG1666">
        <v>5.7786369999999998</v>
      </c>
      <c r="AH1666">
        <v>290.97011515985201</v>
      </c>
      <c r="AI1666">
        <v>88.905585175921701</v>
      </c>
      <c r="AJ1666">
        <v>74.135638121508094</v>
      </c>
      <c r="AK1666">
        <v>302.54674766237798</v>
      </c>
      <c r="AL1666">
        <v>88.138127247465604</v>
      </c>
      <c r="AM1666">
        <v>85.4485707566907</v>
      </c>
      <c r="AN1666">
        <v>0.999999970903243</v>
      </c>
    </row>
    <row r="1667" spans="1:40" x14ac:dyDescent="0.25">
      <c r="A1667" t="str">
        <f>"20190312160631604"</f>
        <v>20190312160631604</v>
      </c>
      <c r="B1667" t="str">
        <f>"1552377991596405"</f>
        <v>1552377991596405</v>
      </c>
      <c r="C1667" t="s">
        <v>40</v>
      </c>
      <c r="D1667">
        <v>6.3944710000000002</v>
      </c>
      <c r="E1667">
        <v>0.5772929</v>
      </c>
      <c r="F1667" t="s">
        <v>43</v>
      </c>
      <c r="G1667">
        <v>-355.3929</v>
      </c>
      <c r="H1667">
        <v>3.8507600000000002</v>
      </c>
      <c r="I1667">
        <v>277.00850000000003</v>
      </c>
      <c r="J1667">
        <v>-209.02260000000001</v>
      </c>
      <c r="K1667">
        <v>1.107124</v>
      </c>
      <c r="L1667">
        <v>283.62740000000002</v>
      </c>
      <c r="M1667">
        <v>-0.94906440000000003</v>
      </c>
      <c r="N1667">
        <v>0</v>
      </c>
      <c r="O1667">
        <v>-0.3147547</v>
      </c>
      <c r="P1667">
        <v>-0.97065619999999997</v>
      </c>
      <c r="Q1667">
        <v>1.946612E-2</v>
      </c>
      <c r="R1667">
        <v>-0.2396826</v>
      </c>
      <c r="S1667">
        <v>-3.0597840000000001</v>
      </c>
      <c r="T1667">
        <v>5.7299139999999998E-2</v>
      </c>
      <c r="U1667">
        <v>-0.1390381</v>
      </c>
      <c r="V1667">
        <v>7.831515E-2</v>
      </c>
      <c r="W1667">
        <v>3.3164920000000001E-2</v>
      </c>
      <c r="X1667">
        <v>0.99637690000000001</v>
      </c>
      <c r="Y1667">
        <v>0.27127600000000002</v>
      </c>
      <c r="Z1667">
        <v>-8.3424969999999904E-3</v>
      </c>
      <c r="AA1667">
        <v>0.96246549999999997</v>
      </c>
      <c r="AB1667">
        <v>15</v>
      </c>
      <c r="AC1667">
        <v>-146.37029999999999</v>
      </c>
      <c r="AD1667">
        <v>2.7436359999999902</v>
      </c>
      <c r="AE1667">
        <v>-6.6188999999999902</v>
      </c>
      <c r="AF1667">
        <v>39.779133146727901</v>
      </c>
      <c r="AG1667">
        <v>2.7436359999999902</v>
      </c>
      <c r="AH1667">
        <v>140.963285869169</v>
      </c>
      <c r="AI1667">
        <v>88.926865781059902</v>
      </c>
      <c r="AJ1667">
        <v>74.2411994843456</v>
      </c>
      <c r="AK1667">
        <v>146.49421468248701</v>
      </c>
      <c r="AL1667">
        <v>88.099441636134898</v>
      </c>
      <c r="AM1667">
        <v>85.505795794151993</v>
      </c>
      <c r="AN1667">
        <v>1.00000005074586</v>
      </c>
    </row>
    <row r="1668" spans="1:40" x14ac:dyDescent="0.25">
      <c r="A1668" t="str">
        <f>"20190312160631626"</f>
        <v>20190312160631626</v>
      </c>
      <c r="B1668" t="str">
        <f>"1552377991616900"</f>
        <v>1552377991616900</v>
      </c>
      <c r="C1668" t="s">
        <v>40</v>
      </c>
      <c r="D1668">
        <v>6.4277150000000001</v>
      </c>
      <c r="E1668">
        <v>0.57680909999999996</v>
      </c>
      <c r="F1668" t="s">
        <v>75</v>
      </c>
      <c r="G1668">
        <v>-511.07600000000002</v>
      </c>
      <c r="H1668">
        <v>6.870552</v>
      </c>
      <c r="I1668">
        <v>271.7396</v>
      </c>
      <c r="J1668">
        <v>-209.1696</v>
      </c>
      <c r="K1668">
        <v>1.107145</v>
      </c>
      <c r="L1668">
        <v>283.58920000000001</v>
      </c>
      <c r="M1668">
        <v>-0.95167789999999997</v>
      </c>
      <c r="N1668">
        <v>0</v>
      </c>
      <c r="O1668">
        <v>-0.3067626</v>
      </c>
      <c r="P1668">
        <v>-0.97253449999999997</v>
      </c>
      <c r="Q1668">
        <v>2.006409E-2</v>
      </c>
      <c r="R1668">
        <v>-0.23189270000000001</v>
      </c>
      <c r="S1668">
        <v>-3.0597840000000001</v>
      </c>
      <c r="T1668">
        <v>5.8383940000000002E-2</v>
      </c>
      <c r="U1668">
        <v>-0.1204224</v>
      </c>
      <c r="V1668">
        <v>7.7923950000000006E-2</v>
      </c>
      <c r="W1668">
        <v>3.3760159999999997E-2</v>
      </c>
      <c r="X1668">
        <v>0.99638749999999998</v>
      </c>
      <c r="Y1668">
        <v>0.2690244</v>
      </c>
      <c r="Z1668">
        <v>-8.3354889999999997E-3</v>
      </c>
      <c r="AA1668">
        <v>0.96309730000000005</v>
      </c>
      <c r="AB1668">
        <v>14</v>
      </c>
      <c r="AC1668">
        <v>-301.90640000000002</v>
      </c>
      <c r="AD1668">
        <v>5.7634069999999999</v>
      </c>
      <c r="AE1668">
        <v>-11.849600000000001</v>
      </c>
      <c r="AF1668">
        <v>81.315375766052696</v>
      </c>
      <c r="AG1668">
        <v>5.7634069999999999</v>
      </c>
      <c r="AH1668">
        <v>290.876777290409</v>
      </c>
      <c r="AI1668">
        <v>88.9067974502575</v>
      </c>
      <c r="AJ1668">
        <v>74.3815238304921</v>
      </c>
      <c r="AK1668">
        <v>302.08393992907997</v>
      </c>
      <c r="AL1668">
        <v>88.065317631515498</v>
      </c>
      <c r="AM1668">
        <v>85.528201348611205</v>
      </c>
      <c r="AN1668">
        <v>0.99999997027153797</v>
      </c>
    </row>
    <row r="1669" spans="1:40" x14ac:dyDescent="0.25">
      <c r="A1669" t="str">
        <f>"20190312160631651"</f>
        <v>20190312160631651</v>
      </c>
      <c r="B1669" t="str">
        <f>"1552377991636420"</f>
        <v>1552377991636420</v>
      </c>
      <c r="C1669" t="s">
        <v>40</v>
      </c>
      <c r="D1669">
        <v>6.5805309999999997</v>
      </c>
      <c r="E1669">
        <v>0.5760383</v>
      </c>
      <c r="F1669" t="s">
        <v>75</v>
      </c>
      <c r="G1669">
        <v>-511.0761</v>
      </c>
      <c r="H1669">
        <v>7.1405050000000001</v>
      </c>
      <c r="I1669">
        <v>273.75459999999998</v>
      </c>
      <c r="J1669">
        <v>-209.3177</v>
      </c>
      <c r="K1669">
        <v>1.107159</v>
      </c>
      <c r="L1669">
        <v>283.5521</v>
      </c>
      <c r="M1669">
        <v>-0.95423820000000004</v>
      </c>
      <c r="N1669">
        <v>0</v>
      </c>
      <c r="O1669">
        <v>-0.29870340000000001</v>
      </c>
      <c r="P1669">
        <v>-0.97439889999999996</v>
      </c>
      <c r="Q1669">
        <v>1.9987330000000001E-2</v>
      </c>
      <c r="R1669">
        <v>-0.22393569999999999</v>
      </c>
      <c r="S1669">
        <v>-3.059723</v>
      </c>
      <c r="T1669">
        <v>6.1146859999999997E-2</v>
      </c>
      <c r="U1669">
        <v>-9.9670410000000001E-2</v>
      </c>
      <c r="V1669">
        <v>7.7640120000000007E-2</v>
      </c>
      <c r="W1669">
        <v>3.3681049999999997E-2</v>
      </c>
      <c r="X1669">
        <v>0.99641230000000003</v>
      </c>
      <c r="Y1669">
        <v>0.26739350000000001</v>
      </c>
      <c r="Z1669">
        <v>-8.5617750000000006E-3</v>
      </c>
      <c r="AA1669">
        <v>0.9635494</v>
      </c>
      <c r="AB1669">
        <v>14</v>
      </c>
      <c r="AC1669">
        <v>-301.75839999999999</v>
      </c>
      <c r="AD1669">
        <v>6.0333459999999999</v>
      </c>
      <c r="AE1669">
        <v>-9.7975000000000101</v>
      </c>
      <c r="AF1669">
        <v>80.763171238156204</v>
      </c>
      <c r="AG1669">
        <v>6.0333459999999999</v>
      </c>
      <c r="AH1669">
        <v>290.78974226478601</v>
      </c>
      <c r="AI1669">
        <v>88.854729022981502</v>
      </c>
      <c r="AJ1669">
        <v>74.478039656581402</v>
      </c>
      <c r="AK1669">
        <v>301.85719355155402</v>
      </c>
      <c r="AL1669">
        <v>88.069852814717507</v>
      </c>
      <c r="AM1669">
        <v>85.544534160656497</v>
      </c>
      <c r="AN1669">
        <v>0.99999993647700103</v>
      </c>
    </row>
    <row r="1670" spans="1:40" x14ac:dyDescent="0.25">
      <c r="A1670" t="str">
        <f>"20190312160631673"</f>
        <v>20190312160631673</v>
      </c>
      <c r="B1670" t="str">
        <f>"1552377991666676"</f>
        <v>1552377991666676</v>
      </c>
      <c r="C1670" t="s">
        <v>40</v>
      </c>
      <c r="D1670">
        <v>6.3134839999999999</v>
      </c>
      <c r="E1670">
        <v>0.5751328</v>
      </c>
      <c r="F1670" t="s">
        <v>43</v>
      </c>
      <c r="G1670">
        <v>-455.33409999999998</v>
      </c>
      <c r="H1670">
        <v>5.5934809999999997</v>
      </c>
      <c r="I1670">
        <v>277.0557</v>
      </c>
      <c r="J1670">
        <v>-209.46520000000001</v>
      </c>
      <c r="K1670">
        <v>1.107175</v>
      </c>
      <c r="L1670">
        <v>283.51650000000001</v>
      </c>
      <c r="M1670">
        <v>-0.95671329999999999</v>
      </c>
      <c r="N1670">
        <v>0</v>
      </c>
      <c r="O1670">
        <v>-0.29067920000000003</v>
      </c>
      <c r="P1670">
        <v>-0.97619829999999996</v>
      </c>
      <c r="Q1670">
        <v>1.9888220000000002E-2</v>
      </c>
      <c r="R1670">
        <v>-0.21596699999999999</v>
      </c>
      <c r="S1670">
        <v>-3.059113</v>
      </c>
      <c r="T1670">
        <v>5.5786370000000002E-2</v>
      </c>
      <c r="U1670">
        <v>-8.0780030000000003E-2</v>
      </c>
      <c r="V1670">
        <v>7.7411789999999994E-2</v>
      </c>
      <c r="W1670">
        <v>3.3579060000000001E-2</v>
      </c>
      <c r="X1670">
        <v>0.99643360000000003</v>
      </c>
      <c r="Y1670">
        <v>0.26525949999999998</v>
      </c>
      <c r="Z1670">
        <v>-7.6545099999999998E-3</v>
      </c>
      <c r="AA1670">
        <v>0.96414670000000002</v>
      </c>
      <c r="AB1670">
        <v>14</v>
      </c>
      <c r="AC1670">
        <v>-245.8689</v>
      </c>
      <c r="AD1670">
        <v>4.4863059999999999</v>
      </c>
      <c r="AE1670">
        <v>-6.4607999999999999</v>
      </c>
      <c r="AF1670">
        <v>65.272826361347796</v>
      </c>
      <c r="AG1670">
        <v>4.4863059999999999</v>
      </c>
      <c r="AH1670">
        <v>237.04953545667399</v>
      </c>
      <c r="AI1670">
        <v>88.954667822806002</v>
      </c>
      <c r="AJ1670">
        <v>74.604828954065994</v>
      </c>
      <c r="AK1670">
        <v>245.912893242606</v>
      </c>
      <c r="AL1670">
        <v>88.075699896777493</v>
      </c>
      <c r="AM1670">
        <v>85.557679189851001</v>
      </c>
      <c r="AN1670">
        <v>1.00000002885522</v>
      </c>
    </row>
    <row r="1671" spans="1:40" x14ac:dyDescent="0.25">
      <c r="A1671" t="str">
        <f>"20190312160631694"</f>
        <v>20190312160631694</v>
      </c>
      <c r="B1671" t="str">
        <f>"1552377991687173"</f>
        <v>1552377991687173</v>
      </c>
      <c r="C1671" t="s">
        <v>40</v>
      </c>
      <c r="D1671">
        <v>6.3250449999999896</v>
      </c>
      <c r="E1671">
        <v>0.57450489999999999</v>
      </c>
      <c r="F1671" t="s">
        <v>75</v>
      </c>
      <c r="G1671">
        <v>-511.07580000000002</v>
      </c>
      <c r="H1671">
        <v>6.1997589999999896</v>
      </c>
      <c r="I1671">
        <v>277.34960000000001</v>
      </c>
      <c r="J1671">
        <v>-209.59649999999999</v>
      </c>
      <c r="K1671">
        <v>1.107192</v>
      </c>
      <c r="L1671">
        <v>283.48590000000002</v>
      </c>
      <c r="M1671">
        <v>-0.95885640000000005</v>
      </c>
      <c r="N1671">
        <v>0</v>
      </c>
      <c r="O1671">
        <v>-0.28353040000000002</v>
      </c>
      <c r="P1671">
        <v>-0.97759779999999996</v>
      </c>
      <c r="Q1671">
        <v>2.0478980000000001E-2</v>
      </c>
      <c r="R1671">
        <v>-0.20948349999999999</v>
      </c>
      <c r="S1671">
        <v>-3.0582729999999998</v>
      </c>
      <c r="T1671">
        <v>5.16386E-2</v>
      </c>
      <c r="U1671">
        <v>-6.2530520000000006E-2</v>
      </c>
      <c r="V1671">
        <v>7.658682E-2</v>
      </c>
      <c r="W1671">
        <v>3.4172380000000002E-2</v>
      </c>
      <c r="X1671">
        <v>0.9964771</v>
      </c>
      <c r="Y1671">
        <v>0.263820099999999</v>
      </c>
      <c r="Z1671">
        <v>-6.9603080000000001E-3</v>
      </c>
      <c r="AA1671">
        <v>0.96454680000000004</v>
      </c>
      <c r="AB1671">
        <v>14</v>
      </c>
      <c r="AC1671">
        <v>-301.47930000000002</v>
      </c>
      <c r="AD1671">
        <v>5.0925669999999901</v>
      </c>
      <c r="AE1671">
        <v>-6.1363000000000003</v>
      </c>
      <c r="AF1671">
        <v>79.580174593786097</v>
      </c>
      <c r="AG1671">
        <v>5.0925669999999901</v>
      </c>
      <c r="AH1671">
        <v>290.76205395974398</v>
      </c>
      <c r="AI1671">
        <v>89.032180235363398</v>
      </c>
      <c r="AJ1671">
        <v>74.693275971454696</v>
      </c>
      <c r="AK1671">
        <v>301.49877354628802</v>
      </c>
      <c r="AL1671">
        <v>88.041685491806504</v>
      </c>
      <c r="AM1671">
        <v>85.605025196596799</v>
      </c>
      <c r="AN1671">
        <v>0.99999995168849198</v>
      </c>
    </row>
    <row r="1672" spans="1:40" x14ac:dyDescent="0.25">
      <c r="A1672" t="str">
        <f>"20190312160631716"</f>
        <v>20190312160631716</v>
      </c>
      <c r="B1672" t="str">
        <f>"1552377991706696"</f>
        <v>1552377991706696</v>
      </c>
      <c r="C1672" t="s">
        <v>40</v>
      </c>
      <c r="D1672">
        <v>6.3191800000000002</v>
      </c>
      <c r="E1672">
        <v>0.57437399999999905</v>
      </c>
      <c r="F1672" t="s">
        <v>75</v>
      </c>
      <c r="G1672">
        <v>-511.07580000000002</v>
      </c>
      <c r="H1672">
        <v>6.4519250000000001</v>
      </c>
      <c r="I1672">
        <v>278.82470000000001</v>
      </c>
      <c r="J1672">
        <v>-209.74</v>
      </c>
      <c r="K1672">
        <v>1.107213</v>
      </c>
      <c r="L1672">
        <v>283.45359999999999</v>
      </c>
      <c r="M1672">
        <v>-0.96113499999999996</v>
      </c>
      <c r="N1672">
        <v>0</v>
      </c>
      <c r="O1672">
        <v>-0.27570739999999999</v>
      </c>
      <c r="P1672">
        <v>-0.97895030000000005</v>
      </c>
      <c r="Q1672">
        <v>2.197E-2</v>
      </c>
      <c r="R1672">
        <v>-0.2029128</v>
      </c>
      <c r="S1672">
        <v>-3.0574650000000001</v>
      </c>
      <c r="T1672">
        <v>5.4204580000000002E-2</v>
      </c>
      <c r="U1672">
        <v>-4.7271729999999998E-2</v>
      </c>
      <c r="V1672">
        <v>7.5159909999999996E-2</v>
      </c>
      <c r="W1672">
        <v>3.5670170000000001E-2</v>
      </c>
      <c r="X1672">
        <v>0.99653329999999996</v>
      </c>
      <c r="Y1672">
        <v>0.26075949999999998</v>
      </c>
      <c r="Z1672">
        <v>-7.1479539999999998E-3</v>
      </c>
      <c r="AA1672">
        <v>0.96537729999999999</v>
      </c>
      <c r="AB1672">
        <v>14</v>
      </c>
      <c r="AC1672">
        <v>-301.33580000000001</v>
      </c>
      <c r="AD1672">
        <v>5.3447120000000004</v>
      </c>
      <c r="AE1672">
        <v>-4.6288999999999803</v>
      </c>
      <c r="AF1672">
        <v>78.614845069382099</v>
      </c>
      <c r="AG1672">
        <v>5.3447120000000004</v>
      </c>
      <c r="AH1672">
        <v>290.83894557126399</v>
      </c>
      <c r="AI1672">
        <v>88.983667077396007</v>
      </c>
      <c r="AJ1672">
        <v>74.874207348096704</v>
      </c>
      <c r="AK1672">
        <v>301.32399850103297</v>
      </c>
      <c r="AL1672">
        <v>87.955816149041297</v>
      </c>
      <c r="AM1672">
        <v>85.6868395610432</v>
      </c>
      <c r="AN1672">
        <v>0.99999999555396302</v>
      </c>
    </row>
    <row r="1673" spans="1:40" x14ac:dyDescent="0.25">
      <c r="A1673" t="str">
        <f>"20190312160631748"</f>
        <v>20190312160631748</v>
      </c>
      <c r="B1673" t="str">
        <f>"1552377991736948"</f>
        <v>1552377991736948</v>
      </c>
      <c r="C1673" t="s">
        <v>40</v>
      </c>
      <c r="D1673">
        <v>6.3690709999999999</v>
      </c>
      <c r="E1673">
        <v>0.57343580000000005</v>
      </c>
      <c r="F1673" t="s">
        <v>41</v>
      </c>
      <c r="G1673">
        <v>0</v>
      </c>
      <c r="H1673">
        <v>0</v>
      </c>
      <c r="I1673">
        <v>0</v>
      </c>
      <c r="J1673">
        <v>-209.94829999999999</v>
      </c>
      <c r="K1673">
        <v>1.107232</v>
      </c>
      <c r="L1673">
        <v>283.40899999999999</v>
      </c>
      <c r="M1673">
        <v>-0.96432050000000002</v>
      </c>
      <c r="N1673">
        <v>0</v>
      </c>
      <c r="O1673">
        <v>-0.26435029999999998</v>
      </c>
      <c r="P1673">
        <v>-0.98088500000000001</v>
      </c>
      <c r="Q1673">
        <v>2.1094970000000001E-2</v>
      </c>
      <c r="R1673">
        <v>-0.193442</v>
      </c>
      <c r="S1673">
        <v>-3.057312</v>
      </c>
      <c r="T1673">
        <v>6.3226099999999993E-2</v>
      </c>
      <c r="U1673">
        <v>-2.7771000000000001E-2</v>
      </c>
      <c r="V1673">
        <v>7.3031109999999996E-2</v>
      </c>
      <c r="W1673">
        <v>3.4807629999999999E-2</v>
      </c>
      <c r="X1673">
        <v>0.996722</v>
      </c>
      <c r="Y1673">
        <v>0.25549660000000002</v>
      </c>
      <c r="Z1673">
        <v>-8.0570880000000004E-3</v>
      </c>
      <c r="AA1673">
        <v>0.96677639999999998</v>
      </c>
      <c r="AB1673">
        <v>14</v>
      </c>
      <c r="AC1673">
        <v>-3.057312</v>
      </c>
      <c r="AD1673">
        <v>6.3226099999999993E-2</v>
      </c>
      <c r="AE1673">
        <v>-2.7771000000000001E-2</v>
      </c>
      <c r="AF1673">
        <v>0.78116720797183403</v>
      </c>
      <c r="AG1673">
        <v>6.3226099999999993E-2</v>
      </c>
      <c r="AH1673">
        <v>2.95460923526658</v>
      </c>
      <c r="AI1673">
        <v>88.814817903227706</v>
      </c>
      <c r="AJ1673">
        <v>75.190469894186293</v>
      </c>
      <c r="AK1673">
        <v>3.0567851543172502</v>
      </c>
      <c r="AL1673">
        <v>88.005266633998602</v>
      </c>
      <c r="AM1673">
        <v>85.809352845937795</v>
      </c>
      <c r="AN1673">
        <v>0.99999992970902196</v>
      </c>
    </row>
    <row r="1674" spans="1:40" x14ac:dyDescent="0.25">
      <c r="A1674" t="str">
        <f>"20190312160631770"</f>
        <v>20190312160631770</v>
      </c>
      <c r="B1674" t="str">
        <f>"1552377991767204"</f>
        <v>1552377991767204</v>
      </c>
      <c r="C1674" t="s">
        <v>40</v>
      </c>
      <c r="D1674">
        <v>6.4843089999999997</v>
      </c>
      <c r="E1674">
        <v>0.57269510000000001</v>
      </c>
      <c r="F1674" t="s">
        <v>41</v>
      </c>
      <c r="G1674">
        <v>0</v>
      </c>
      <c r="H1674">
        <v>0</v>
      </c>
      <c r="I1674">
        <v>0</v>
      </c>
      <c r="J1674">
        <v>-210.08670000000001</v>
      </c>
      <c r="K1674">
        <v>1.1072439999999999</v>
      </c>
      <c r="L1674">
        <v>283.38080000000002</v>
      </c>
      <c r="M1674">
        <v>-0.96635780000000004</v>
      </c>
      <c r="N1674">
        <v>0</v>
      </c>
      <c r="O1674">
        <v>-0.25680389999999997</v>
      </c>
      <c r="P1674">
        <v>-0.98226199999999997</v>
      </c>
      <c r="Q1674">
        <v>1.927046E-2</v>
      </c>
      <c r="R1674">
        <v>-0.18652179999999999</v>
      </c>
      <c r="S1674">
        <v>-3.056244</v>
      </c>
      <c r="T1674">
        <v>5.418837E-2</v>
      </c>
      <c r="U1674">
        <v>-5.4016109999999997E-3</v>
      </c>
      <c r="V1674">
        <v>7.2260660000000004E-2</v>
      </c>
      <c r="W1674">
        <v>3.2986210000000002E-2</v>
      </c>
      <c r="X1674">
        <v>0.99684019999999995</v>
      </c>
      <c r="Y1674">
        <v>0.25504179999999999</v>
      </c>
      <c r="Z1674">
        <v>-6.775054E-3</v>
      </c>
      <c r="AA1674">
        <v>0.96690620000000005</v>
      </c>
      <c r="AB1674">
        <v>14</v>
      </c>
      <c r="AC1674">
        <v>-3.056244</v>
      </c>
      <c r="AD1674">
        <v>5.418837E-2</v>
      </c>
      <c r="AE1674">
        <v>-5.4016109999999997E-3</v>
      </c>
      <c r="AF1674">
        <v>0.77947012627672596</v>
      </c>
      <c r="AG1674">
        <v>5.418837E-2</v>
      </c>
      <c r="AH1674">
        <v>2.9541856570671401</v>
      </c>
      <c r="AI1674">
        <v>88.983912772942205</v>
      </c>
      <c r="AJ1674">
        <v>75.219207661229206</v>
      </c>
      <c r="AK1674">
        <v>3.05576879911133</v>
      </c>
      <c r="AL1674">
        <v>88.109686547054295</v>
      </c>
      <c r="AM1674">
        <v>85.853897494587102</v>
      </c>
      <c r="AN1674">
        <v>1.0000000386849099</v>
      </c>
    </row>
    <row r="1675" spans="1:40" x14ac:dyDescent="0.25">
      <c r="A1675" t="str">
        <f>"20190312160631793"</f>
        <v>20190312160631793</v>
      </c>
      <c r="B1675" t="str">
        <f>"1552377991786724"</f>
        <v>1552377991786724</v>
      </c>
      <c r="C1675" t="s">
        <v>40</v>
      </c>
      <c r="D1675">
        <v>6.6454319999999996</v>
      </c>
      <c r="E1675">
        <v>0.57241509999999995</v>
      </c>
      <c r="F1675" t="s">
        <v>41</v>
      </c>
      <c r="G1675">
        <v>0</v>
      </c>
      <c r="H1675">
        <v>0</v>
      </c>
      <c r="I1675">
        <v>0</v>
      </c>
      <c r="J1675">
        <v>-210.2347</v>
      </c>
      <c r="K1675">
        <v>1.1072630000000001</v>
      </c>
      <c r="L1675">
        <v>283.35169999999999</v>
      </c>
      <c r="M1675">
        <v>-0.968468</v>
      </c>
      <c r="N1675">
        <v>0</v>
      </c>
      <c r="O1675">
        <v>-0.24872830000000001</v>
      </c>
      <c r="P1675">
        <v>-0.98350439999999995</v>
      </c>
      <c r="Q1675">
        <v>1.8899889999999999E-2</v>
      </c>
      <c r="R1675">
        <v>-0.17989579999999999</v>
      </c>
      <c r="S1675">
        <v>-3.0553279999999998</v>
      </c>
      <c r="T1675">
        <v>4.2487030000000002E-2</v>
      </c>
      <c r="U1675">
        <v>1.043701E-2</v>
      </c>
      <c r="V1675">
        <v>7.065623E-2</v>
      </c>
      <c r="W1675">
        <v>3.2624960000000001E-2</v>
      </c>
      <c r="X1675">
        <v>0.99696709999999999</v>
      </c>
      <c r="Y1675">
        <v>0.25201279999999998</v>
      </c>
      <c r="Z1675">
        <v>-5.1838520000000001E-3</v>
      </c>
      <c r="AA1675">
        <v>0.96770999999999996</v>
      </c>
      <c r="AB1675">
        <v>14</v>
      </c>
      <c r="AC1675">
        <v>-3.0553279999999998</v>
      </c>
      <c r="AD1675">
        <v>4.2487030000000002E-2</v>
      </c>
      <c r="AE1675">
        <v>1.043701E-2</v>
      </c>
      <c r="AF1675">
        <v>0.76998410114680804</v>
      </c>
      <c r="AG1675">
        <v>4.2487030000000002E-2</v>
      </c>
      <c r="AH1675">
        <v>2.9561213361815399</v>
      </c>
      <c r="AI1675">
        <v>89.203153623863599</v>
      </c>
      <c r="AJ1675">
        <v>75.4005051491107</v>
      </c>
      <c r="AK1675">
        <v>3.0550505753530199</v>
      </c>
      <c r="AL1675">
        <v>88.130395804615802</v>
      </c>
      <c r="AM1675">
        <v>85.946158813634895</v>
      </c>
      <c r="AN1675">
        <v>1.0000000446676101</v>
      </c>
    </row>
    <row r="1676" spans="1:40" x14ac:dyDescent="0.25">
      <c r="A1676" t="str">
        <f>"20190312160631816"</f>
        <v>20190312160631816</v>
      </c>
      <c r="B1676" t="str">
        <f>"1552377991806248"</f>
        <v>1552377991806248</v>
      </c>
      <c r="C1676" t="s">
        <v>40</v>
      </c>
      <c r="D1676">
        <v>6.6853530000000001</v>
      </c>
      <c r="E1676">
        <v>0.57220260000000001</v>
      </c>
      <c r="F1676" t="s">
        <v>41</v>
      </c>
      <c r="G1676">
        <v>0</v>
      </c>
      <c r="H1676">
        <v>0</v>
      </c>
      <c r="I1676">
        <v>0</v>
      </c>
      <c r="J1676">
        <v>-210.37610000000001</v>
      </c>
      <c r="K1676">
        <v>1.107283</v>
      </c>
      <c r="L1676">
        <v>283.3252</v>
      </c>
      <c r="M1676">
        <v>-0.97041429999999995</v>
      </c>
      <c r="N1676">
        <v>0</v>
      </c>
      <c r="O1676">
        <v>-0.24102309999999999</v>
      </c>
      <c r="P1676">
        <v>-0.98456010000000005</v>
      </c>
      <c r="Q1676">
        <v>2.0196140000000001E-2</v>
      </c>
      <c r="R1676">
        <v>-0.1738787</v>
      </c>
      <c r="S1676">
        <v>-3.054932</v>
      </c>
      <c r="T1676">
        <v>3.5279150000000002E-2</v>
      </c>
      <c r="U1676">
        <v>2.893066E-2</v>
      </c>
      <c r="V1676">
        <v>6.8829100000000004E-2</v>
      </c>
      <c r="W1676">
        <v>3.3932200000000003E-2</v>
      </c>
      <c r="X1676">
        <v>0.99705120000000003</v>
      </c>
      <c r="Y1676">
        <v>0.2501949</v>
      </c>
      <c r="Z1676">
        <v>-4.2080729999999997E-3</v>
      </c>
      <c r="AA1676">
        <v>0.9681864</v>
      </c>
      <c r="AB1676">
        <v>14</v>
      </c>
      <c r="AC1676">
        <v>-3.054932</v>
      </c>
      <c r="AD1676">
        <v>3.5279150000000002E-2</v>
      </c>
      <c r="AE1676">
        <v>2.893066E-2</v>
      </c>
      <c r="AF1676">
        <v>0.76435994002483598</v>
      </c>
      <c r="AG1676">
        <v>3.5279150000000002E-2</v>
      </c>
      <c r="AH1676">
        <v>2.9574840068494401</v>
      </c>
      <c r="AI1676">
        <v>89.338304280965104</v>
      </c>
      <c r="AJ1676">
        <v>75.509033015104094</v>
      </c>
      <c r="AK1676">
        <v>3.0548653631722802</v>
      </c>
      <c r="AL1676">
        <v>88.055454808684004</v>
      </c>
      <c r="AM1676">
        <v>86.050984801933893</v>
      </c>
      <c r="AN1676">
        <v>0.99999996731254404</v>
      </c>
    </row>
    <row r="1677" spans="1:40" x14ac:dyDescent="0.25">
      <c r="A1677" t="str">
        <f>"20190312160631837"</f>
        <v>20190312160631837</v>
      </c>
      <c r="B1677" t="str">
        <f>"1552377991826743"</f>
        <v>1552377991826743</v>
      </c>
      <c r="C1677" t="s">
        <v>40</v>
      </c>
      <c r="D1677">
        <v>6.589175</v>
      </c>
      <c r="E1677">
        <v>0.57178589999999996</v>
      </c>
      <c r="F1677" t="s">
        <v>41</v>
      </c>
      <c r="G1677">
        <v>0</v>
      </c>
      <c r="H1677">
        <v>0</v>
      </c>
      <c r="I1677">
        <v>0</v>
      </c>
      <c r="J1677">
        <v>-210.51570000000001</v>
      </c>
      <c r="K1677">
        <v>1.10731</v>
      </c>
      <c r="L1677">
        <v>283.30020000000002</v>
      </c>
      <c r="M1677">
        <v>-0.97226639999999998</v>
      </c>
      <c r="N1677">
        <v>0</v>
      </c>
      <c r="O1677">
        <v>-0.23344019999999999</v>
      </c>
      <c r="P1677">
        <v>-0.98545519999999998</v>
      </c>
      <c r="Q1677">
        <v>2.1360859999999999E-2</v>
      </c>
      <c r="R1677">
        <v>-0.16858779999999901</v>
      </c>
      <c r="S1677">
        <v>-3.0545499999999999</v>
      </c>
      <c r="T1677">
        <v>3.1513569999999998E-2</v>
      </c>
      <c r="U1677">
        <v>4.6173100000000002E-2</v>
      </c>
      <c r="V1677">
        <v>6.6400070000000005E-2</v>
      </c>
      <c r="W1677">
        <v>3.5112619999999997E-2</v>
      </c>
      <c r="X1677">
        <v>0.99717509999999998</v>
      </c>
      <c r="Y1677">
        <v>0.24810860000000001</v>
      </c>
      <c r="Z1677">
        <v>-3.6723720000000001E-3</v>
      </c>
      <c r="AA1677">
        <v>0.96872530000000001</v>
      </c>
      <c r="AB1677">
        <v>14</v>
      </c>
      <c r="AC1677">
        <v>-3.0545499999999999</v>
      </c>
      <c r="AD1677">
        <v>3.1513569999999998E-2</v>
      </c>
      <c r="AE1677">
        <v>4.6173100000000002E-2</v>
      </c>
      <c r="AF1677">
        <v>0.75794387675950203</v>
      </c>
      <c r="AG1677">
        <v>3.1513569999999998E-2</v>
      </c>
      <c r="AH1677">
        <v>2.95904424504872</v>
      </c>
      <c r="AI1677">
        <v>89.408909211074501</v>
      </c>
      <c r="AJ1677">
        <v>75.632876109973907</v>
      </c>
      <c r="AK1677">
        <v>3.0547364648308601</v>
      </c>
      <c r="AL1677">
        <v>87.987781491499305</v>
      </c>
      <c r="AM1677">
        <v>86.190402534641805</v>
      </c>
      <c r="AN1677">
        <v>1.00000002271963</v>
      </c>
    </row>
    <row r="1678" spans="1:40" x14ac:dyDescent="0.25">
      <c r="A1678" t="str">
        <f>"20190312160631861"</f>
        <v>20190312160631861</v>
      </c>
      <c r="B1678" t="str">
        <f>"1552377991856996"</f>
        <v>1552377991856996</v>
      </c>
      <c r="C1678" t="s">
        <v>40</v>
      </c>
      <c r="D1678">
        <v>6.4863949999999999</v>
      </c>
      <c r="E1678">
        <v>0.57128730000000005</v>
      </c>
      <c r="F1678" t="s">
        <v>41</v>
      </c>
      <c r="G1678">
        <v>0</v>
      </c>
      <c r="H1678">
        <v>0</v>
      </c>
      <c r="I1678">
        <v>0</v>
      </c>
      <c r="J1678">
        <v>-210.667</v>
      </c>
      <c r="K1678">
        <v>1.1073500000000001</v>
      </c>
      <c r="L1678">
        <v>283.27429999999998</v>
      </c>
      <c r="M1678">
        <v>-0.97419730000000004</v>
      </c>
      <c r="N1678">
        <v>0</v>
      </c>
      <c r="O1678">
        <v>-0.2252478</v>
      </c>
      <c r="P1678">
        <v>-0.98654739999999996</v>
      </c>
      <c r="Q1678">
        <v>2.109345E-2</v>
      </c>
      <c r="R1678">
        <v>-0.16210910000000001</v>
      </c>
      <c r="S1678">
        <v>-3.053696</v>
      </c>
      <c r="T1678">
        <v>3.4193750000000002E-2</v>
      </c>
      <c r="U1678">
        <v>5.9356689999999997E-2</v>
      </c>
      <c r="V1678">
        <v>6.4553150000000004E-2</v>
      </c>
      <c r="W1678">
        <v>3.4855280000000002E-2</v>
      </c>
      <c r="X1678">
        <v>0.99730540000000001</v>
      </c>
      <c r="Y1678">
        <v>0.2441333</v>
      </c>
      <c r="Z1678">
        <v>-3.873783E-3</v>
      </c>
      <c r="AA1678">
        <v>0.96973399999999998</v>
      </c>
      <c r="AB1678">
        <v>14</v>
      </c>
      <c r="AC1678">
        <v>-3.053696</v>
      </c>
      <c r="AD1678">
        <v>3.4193750000000002E-2</v>
      </c>
      <c r="AE1678">
        <v>5.9356689999999997E-2</v>
      </c>
      <c r="AF1678">
        <v>0.74564569106734602</v>
      </c>
      <c r="AG1678">
        <v>3.4193750000000002E-2</v>
      </c>
      <c r="AH1678">
        <v>2.96146196918686</v>
      </c>
      <c r="AI1678">
        <v>89.358498289968594</v>
      </c>
      <c r="AJ1678">
        <v>75.867649483555297</v>
      </c>
      <c r="AK1678">
        <v>3.0540814828826202</v>
      </c>
      <c r="AL1678">
        <v>88.002535033253594</v>
      </c>
      <c r="AM1678">
        <v>86.296550010016503</v>
      </c>
      <c r="AN1678">
        <v>1.00000003029398</v>
      </c>
    </row>
    <row r="1679" spans="1:40" x14ac:dyDescent="0.25">
      <c r="A1679" t="str">
        <f>"20190312160631883"</f>
        <v>20190312160631883</v>
      </c>
      <c r="B1679" t="str">
        <f>"1552377991876517"</f>
        <v>1552377991876517</v>
      </c>
      <c r="C1679" t="s">
        <v>40</v>
      </c>
      <c r="D1679">
        <v>6.5951240000000002</v>
      </c>
      <c r="E1679">
        <v>0.57069799999999904</v>
      </c>
      <c r="F1679" t="s">
        <v>41</v>
      </c>
      <c r="G1679">
        <v>0</v>
      </c>
      <c r="H1679">
        <v>0</v>
      </c>
      <c r="I1679">
        <v>0</v>
      </c>
      <c r="J1679">
        <v>-210.80600000000001</v>
      </c>
      <c r="K1679">
        <v>1.107389</v>
      </c>
      <c r="L1679">
        <v>283.2516</v>
      </c>
      <c r="M1679">
        <v>-0.97589990000000004</v>
      </c>
      <c r="N1679">
        <v>0</v>
      </c>
      <c r="O1679">
        <v>-0.21775359999999999</v>
      </c>
      <c r="P1679">
        <v>-0.98766310000000002</v>
      </c>
      <c r="Q1679">
        <v>1.9251109999999998E-2</v>
      </c>
      <c r="R1679">
        <v>-0.1554075</v>
      </c>
      <c r="S1679">
        <v>-3.0527039999999999</v>
      </c>
      <c r="T1679">
        <v>2.8633829999999999E-2</v>
      </c>
      <c r="U1679">
        <v>7.5500490000000003E-2</v>
      </c>
      <c r="V1679">
        <v>6.3650209999999999E-2</v>
      </c>
      <c r="W1679">
        <v>3.3015759999999998E-2</v>
      </c>
      <c r="X1679">
        <v>0.99742600000000003</v>
      </c>
      <c r="Y1679">
        <v>0.24182039999999999</v>
      </c>
      <c r="Z1679">
        <v>-3.165232E-3</v>
      </c>
      <c r="AA1679">
        <v>0.97031590000000001</v>
      </c>
      <c r="AB1679">
        <v>14</v>
      </c>
      <c r="AC1679">
        <v>-3.0527039999999999</v>
      </c>
      <c r="AD1679">
        <v>2.8633829999999999E-2</v>
      </c>
      <c r="AE1679">
        <v>7.5500490000000003E-2</v>
      </c>
      <c r="AF1679">
        <v>0.73842814868255802</v>
      </c>
      <c r="AG1679">
        <v>2.8633829999999999E-2</v>
      </c>
      <c r="AH1679">
        <v>2.9627329155101099</v>
      </c>
      <c r="AI1679">
        <v>89.462708404550597</v>
      </c>
      <c r="AJ1679">
        <v>76.004809153483095</v>
      </c>
      <c r="AK1679">
        <v>3.05350329222588</v>
      </c>
      <c r="AL1679">
        <v>88.107992475226396</v>
      </c>
      <c r="AM1679">
        <v>86.348651361228903</v>
      </c>
      <c r="AN1679">
        <v>1.0000000075587101</v>
      </c>
    </row>
    <row r="1680" spans="1:40" x14ac:dyDescent="0.25">
      <c r="A1680" t="str">
        <f>"20190312160631905"</f>
        <v>20190312160631905</v>
      </c>
      <c r="B1680" t="str">
        <f>"1552377991897013"</f>
        <v>1552377991897013</v>
      </c>
      <c r="C1680" t="s">
        <v>40</v>
      </c>
      <c r="D1680">
        <v>6.7247059999999896</v>
      </c>
      <c r="E1680">
        <v>0.57018539999999995</v>
      </c>
      <c r="F1680" t="s">
        <v>41</v>
      </c>
      <c r="G1680">
        <v>0</v>
      </c>
      <c r="H1680">
        <v>0</v>
      </c>
      <c r="I1680">
        <v>0</v>
      </c>
      <c r="J1680">
        <v>-210.95</v>
      </c>
      <c r="K1680">
        <v>1.1074440000000001</v>
      </c>
      <c r="L1680">
        <v>283.22919999999999</v>
      </c>
      <c r="M1680">
        <v>-0.97758920000000005</v>
      </c>
      <c r="N1680">
        <v>0</v>
      </c>
      <c r="O1680">
        <v>-0.21004030000000001</v>
      </c>
      <c r="P1680">
        <v>-0.98871120000000001</v>
      </c>
      <c r="Q1680">
        <v>1.9380979999999999E-2</v>
      </c>
      <c r="R1680">
        <v>-0.1485754</v>
      </c>
      <c r="S1680">
        <v>-3.0514679999999998</v>
      </c>
      <c r="T1680">
        <v>2.199864E-2</v>
      </c>
      <c r="U1680">
        <v>9.1583250000000005E-2</v>
      </c>
      <c r="V1680">
        <v>6.266555E-2</v>
      </c>
      <c r="W1680">
        <v>3.3147759999999998E-2</v>
      </c>
      <c r="X1680">
        <v>0.99748400000000004</v>
      </c>
      <c r="Y1680">
        <v>0.23928550000000001</v>
      </c>
      <c r="Z1680">
        <v>-2.3689929999999998E-3</v>
      </c>
      <c r="AA1680">
        <v>0.97094639999999999</v>
      </c>
      <c r="AB1680">
        <v>14</v>
      </c>
      <c r="AC1680">
        <v>-3.0514679999999998</v>
      </c>
      <c r="AD1680">
        <v>2.199864E-2</v>
      </c>
      <c r="AE1680">
        <v>9.1583250000000005E-2</v>
      </c>
      <c r="AF1680">
        <v>0.73049806294759101</v>
      </c>
      <c r="AG1680">
        <v>2.199864E-2</v>
      </c>
      <c r="AH1680">
        <v>2.9639921089288199</v>
      </c>
      <c r="AI1680">
        <v>89.587114942292601</v>
      </c>
      <c r="AJ1680">
        <v>76.154946459980494</v>
      </c>
      <c r="AK1680">
        <v>3.0527627785211799</v>
      </c>
      <c r="AL1680">
        <v>88.100425347756698</v>
      </c>
      <c r="AM1680">
        <v>86.405196415932906</v>
      </c>
      <c r="AN1680">
        <v>1.0000000377028999</v>
      </c>
    </row>
    <row r="1681" spans="1:40" x14ac:dyDescent="0.25">
      <c r="A1681" t="str">
        <f>"20190312160631928"</f>
        <v>20190312160631928</v>
      </c>
      <c r="B1681" t="str">
        <f>"1552377991916536"</f>
        <v>1552377991916536</v>
      </c>
      <c r="C1681" t="s">
        <v>40</v>
      </c>
      <c r="D1681">
        <v>6.6772530000000003</v>
      </c>
      <c r="E1681">
        <v>0.56976549999999904</v>
      </c>
      <c r="F1681" t="s">
        <v>76</v>
      </c>
      <c r="G1681">
        <v>-510.9547</v>
      </c>
      <c r="H1681">
        <v>3.2776179999999999</v>
      </c>
      <c r="I1681">
        <v>293.92700000000002</v>
      </c>
      <c r="J1681">
        <v>-211.08879999999999</v>
      </c>
      <c r="K1681">
        <v>1.1074930000000001</v>
      </c>
      <c r="L1681">
        <v>283.20859999999999</v>
      </c>
      <c r="M1681">
        <v>-0.97914330000000005</v>
      </c>
      <c r="N1681">
        <v>0</v>
      </c>
      <c r="O1681">
        <v>-0.20267279999999999</v>
      </c>
      <c r="P1681">
        <v>-0.98966399999999999</v>
      </c>
      <c r="Q1681">
        <v>1.996506E-2</v>
      </c>
      <c r="R1681">
        <v>-0.14200869999999999</v>
      </c>
      <c r="S1681">
        <v>-3.0501559999999999</v>
      </c>
      <c r="T1681">
        <v>2.2065040000000001E-2</v>
      </c>
      <c r="U1681">
        <v>0.1087646</v>
      </c>
      <c r="V1681">
        <v>6.1772220000000003E-2</v>
      </c>
      <c r="W1681">
        <v>3.3732039999999998E-2</v>
      </c>
      <c r="X1681">
        <v>0.99752010000000002</v>
      </c>
      <c r="Y1681">
        <v>0.23744950000000001</v>
      </c>
      <c r="Z1681">
        <v>-2.3180319999999998E-3</v>
      </c>
      <c r="AA1681">
        <v>0.97139719999999996</v>
      </c>
      <c r="AB1681">
        <v>14</v>
      </c>
      <c r="AC1681">
        <v>-299.86590000000001</v>
      </c>
      <c r="AD1681">
        <v>2.1701250000000001</v>
      </c>
      <c r="AE1681">
        <v>10.718400000000001</v>
      </c>
      <c r="AF1681">
        <v>71.272987134590295</v>
      </c>
      <c r="AG1681">
        <v>2.1701250000000001</v>
      </c>
      <c r="AH1681">
        <v>291.453573044167</v>
      </c>
      <c r="AI1681">
        <v>89.585601488386899</v>
      </c>
      <c r="AJ1681">
        <v>76.2583929964687</v>
      </c>
      <c r="AK1681">
        <v>300.04955153743299</v>
      </c>
      <c r="AL1681">
        <v>88.066929771888198</v>
      </c>
      <c r="AM1681">
        <v>86.456438601096906</v>
      </c>
      <c r="AN1681">
        <v>1.00000000379515</v>
      </c>
    </row>
    <row r="1682" spans="1:40" x14ac:dyDescent="0.25">
      <c r="A1682" t="str">
        <f>"20190312160631948"</f>
        <v>20190312160631948</v>
      </c>
      <c r="B1682" t="str">
        <f>"1552377991937028"</f>
        <v>1552377991937028</v>
      </c>
      <c r="C1682" t="s">
        <v>40</v>
      </c>
      <c r="D1682">
        <v>6.7252399999999897</v>
      </c>
      <c r="E1682">
        <v>0.55926980000000004</v>
      </c>
      <c r="F1682" t="s">
        <v>76</v>
      </c>
      <c r="G1682">
        <v>-510.9547</v>
      </c>
      <c r="H1682">
        <v>3.1931389999999999</v>
      </c>
      <c r="I1682">
        <v>295.58640000000003</v>
      </c>
      <c r="J1682">
        <v>-211.2192</v>
      </c>
      <c r="K1682">
        <v>1.1075600000000001</v>
      </c>
      <c r="L1682">
        <v>283.19009999999997</v>
      </c>
      <c r="M1682">
        <v>-0.98053650000000003</v>
      </c>
      <c r="N1682">
        <v>0</v>
      </c>
      <c r="O1682">
        <v>-0.1958222</v>
      </c>
      <c r="P1682">
        <v>-0.99056549999999999</v>
      </c>
      <c r="Q1682">
        <v>1.9627430000000001E-2</v>
      </c>
      <c r="R1682">
        <v>-0.1356271</v>
      </c>
      <c r="S1682">
        <v>-3.0489649999999999</v>
      </c>
      <c r="T1682">
        <v>2.1207210000000001E-2</v>
      </c>
      <c r="U1682">
        <v>0.12585450000000001</v>
      </c>
      <c r="V1682">
        <v>6.1221209999999998E-2</v>
      </c>
      <c r="W1682">
        <v>3.3392239999999997E-2</v>
      </c>
      <c r="X1682">
        <v>0.99756549999999999</v>
      </c>
      <c r="Y1682">
        <v>0.23610890000000001</v>
      </c>
      <c r="Z1682">
        <v>-2.1770869999999999E-3</v>
      </c>
      <c r="AA1682">
        <v>0.97172420000000004</v>
      </c>
      <c r="AB1682">
        <v>14</v>
      </c>
      <c r="AC1682">
        <v>-299.7355</v>
      </c>
      <c r="AD1682">
        <v>2.0855790000000001</v>
      </c>
      <c r="AE1682">
        <v>12.3963</v>
      </c>
      <c r="AF1682">
        <v>70.853616334453093</v>
      </c>
      <c r="AG1682">
        <v>2.0855790000000001</v>
      </c>
      <c r="AH1682">
        <v>291.48945884436199</v>
      </c>
      <c r="AI1682">
        <v>89.601659937408996</v>
      </c>
      <c r="AJ1682">
        <v>76.337828483931105</v>
      </c>
      <c r="AK1682">
        <v>299.984481606656</v>
      </c>
      <c r="AL1682">
        <v>88.086409849782896</v>
      </c>
      <c r="AM1682">
        <v>86.488127237374798</v>
      </c>
      <c r="AN1682">
        <v>1.0000000025181599</v>
      </c>
    </row>
    <row r="1683" spans="1:40" x14ac:dyDescent="0.25">
      <c r="A1683" t="str">
        <f>"20190312160631972"</f>
        <v>20190312160631972</v>
      </c>
      <c r="B1683" t="str">
        <f>"1552377991966308"</f>
        <v>1552377991966308</v>
      </c>
      <c r="C1683" t="s">
        <v>40</v>
      </c>
      <c r="D1683">
        <v>6.6781940000000004</v>
      </c>
      <c r="E1683">
        <v>0.55449459999999995</v>
      </c>
      <c r="F1683" t="s">
        <v>66</v>
      </c>
      <c r="G1683">
        <v>-227.85489999999999</v>
      </c>
      <c r="H1683" s="1">
        <v>2.6432189999999998E-6</v>
      </c>
      <c r="I1683">
        <v>283.56450000000001</v>
      </c>
      <c r="J1683">
        <v>-211.3647</v>
      </c>
      <c r="K1683">
        <v>1.107629</v>
      </c>
      <c r="L1683">
        <v>283.1705</v>
      </c>
      <c r="M1683">
        <v>-0.98201479999999997</v>
      </c>
      <c r="N1683">
        <v>0</v>
      </c>
      <c r="O1683">
        <v>-0.1882703</v>
      </c>
      <c r="P1683">
        <v>-0.99149509999999996</v>
      </c>
      <c r="Q1683">
        <v>1.9151109999999999E-2</v>
      </c>
      <c r="R1683">
        <v>-0.1287286</v>
      </c>
      <c r="S1683">
        <v>-3.0419619999999998</v>
      </c>
      <c r="T1683">
        <v>-0.20252429999999999</v>
      </c>
      <c r="U1683">
        <v>6.8450929999999993E-2</v>
      </c>
      <c r="V1683">
        <v>6.0479989999999997E-2</v>
      </c>
      <c r="W1683">
        <v>3.2912810000000001E-2</v>
      </c>
      <c r="X1683">
        <v>0.99762669999999998</v>
      </c>
      <c r="Y1683">
        <v>0.20945849999999999</v>
      </c>
      <c r="Z1683">
        <v>1.943431E-2</v>
      </c>
      <c r="AA1683">
        <v>0.97762439999999995</v>
      </c>
      <c r="AB1683">
        <v>14</v>
      </c>
      <c r="AC1683">
        <v>-16.490199999999898</v>
      </c>
      <c r="AD1683">
        <v>-1.1076263567810001</v>
      </c>
      <c r="AE1683">
        <v>0.39400000000000501</v>
      </c>
      <c r="AF1683">
        <v>3.4762056294338901</v>
      </c>
      <c r="AG1683">
        <v>-1.1076263567810001</v>
      </c>
      <c r="AH1683">
        <v>16.048699343554201</v>
      </c>
      <c r="AI1683">
        <v>93.858891475761197</v>
      </c>
      <c r="AJ1683">
        <v>77.778330242607595</v>
      </c>
      <c r="AK1683">
        <v>16.458177066253199</v>
      </c>
      <c r="AL1683">
        <v>88.113894377184195</v>
      </c>
      <c r="AM1683">
        <v>86.530754151743906</v>
      </c>
      <c r="AN1683">
        <v>1.0000000574026899</v>
      </c>
    </row>
    <row r="1684" spans="1:40" x14ac:dyDescent="0.25">
      <c r="A1684" t="str">
        <f>"20190312160631995"</f>
        <v>20190312160631995</v>
      </c>
      <c r="B1684" t="str">
        <f>"1552377991986805"</f>
        <v>1552377991986805</v>
      </c>
      <c r="C1684" t="s">
        <v>40</v>
      </c>
      <c r="D1684">
        <v>6.7060000000000004</v>
      </c>
      <c r="E1684">
        <v>0.55511739999999998</v>
      </c>
      <c r="F1684" t="s">
        <v>66</v>
      </c>
      <c r="G1684">
        <v>-239.09110000000001</v>
      </c>
      <c r="H1684" s="1">
        <v>3.3443209999999998E-6</v>
      </c>
      <c r="I1684">
        <v>283.62580000000003</v>
      </c>
      <c r="J1684">
        <v>-211.5153</v>
      </c>
      <c r="K1684">
        <v>1.1077090000000001</v>
      </c>
      <c r="L1684">
        <v>283.15120000000002</v>
      </c>
      <c r="M1684">
        <v>-0.98345640000000001</v>
      </c>
      <c r="N1684">
        <v>0</v>
      </c>
      <c r="O1684">
        <v>-0.18058979999999999</v>
      </c>
      <c r="P1684">
        <v>-0.99230569999999896</v>
      </c>
      <c r="Q1684">
        <v>1.8979360000000001E-2</v>
      </c>
      <c r="R1684">
        <v>-0.1223494</v>
      </c>
      <c r="S1684">
        <v>-3.0345610000000001</v>
      </c>
      <c r="T1684">
        <v>-0.12122620000000001</v>
      </c>
      <c r="U1684">
        <v>4.9835209999999998E-2</v>
      </c>
      <c r="V1684">
        <v>5.9090860000000002E-2</v>
      </c>
      <c r="W1684">
        <v>3.2740770000000002E-2</v>
      </c>
      <c r="X1684">
        <v>0.99771549999999998</v>
      </c>
      <c r="Y1684">
        <v>0.1964342</v>
      </c>
      <c r="Z1684">
        <v>1.110622E-2</v>
      </c>
      <c r="AA1684">
        <v>0.9804541</v>
      </c>
      <c r="AB1684">
        <v>14</v>
      </c>
      <c r="AC1684">
        <v>-27.575800000000001</v>
      </c>
      <c r="AD1684">
        <v>-1.1077056556789999</v>
      </c>
      <c r="AE1684">
        <v>0.47460000000000901</v>
      </c>
      <c r="AF1684">
        <v>5.4384308469232803</v>
      </c>
      <c r="AG1684">
        <v>-1.1077056556789999</v>
      </c>
      <c r="AH1684">
        <v>26.9930613723613</v>
      </c>
      <c r="AI1684">
        <v>92.303671036791499</v>
      </c>
      <c r="AJ1684">
        <v>78.608822017284893</v>
      </c>
      <c r="AK1684">
        <v>27.557737645685901</v>
      </c>
      <c r="AL1684">
        <v>88.123756662563395</v>
      </c>
      <c r="AM1684">
        <v>86.610550271629407</v>
      </c>
      <c r="AN1684">
        <v>0.99999995334798997</v>
      </c>
    </row>
    <row r="1685" spans="1:40" x14ac:dyDescent="0.25">
      <c r="A1685" t="str">
        <f>"20190312160632017"</f>
        <v>20190312160632017</v>
      </c>
      <c r="B1685" t="str">
        <f>"1552377992006328"</f>
        <v>1552377992006328</v>
      </c>
      <c r="C1685" t="s">
        <v>40</v>
      </c>
      <c r="D1685">
        <v>6.7629159999999997</v>
      </c>
      <c r="E1685">
        <v>0.55334569999999905</v>
      </c>
      <c r="F1685" t="s">
        <v>66</v>
      </c>
      <c r="G1685">
        <v>-235.52500000000001</v>
      </c>
      <c r="H1685" s="1">
        <v>1.441421E-6</v>
      </c>
      <c r="I1685">
        <v>283.74529999999999</v>
      </c>
      <c r="J1685">
        <v>-211.65020000000001</v>
      </c>
      <c r="K1685">
        <v>1.1077809999999999</v>
      </c>
      <c r="L1685">
        <v>283.13479999999998</v>
      </c>
      <c r="M1685">
        <v>-0.98467479999999996</v>
      </c>
      <c r="N1685">
        <v>0</v>
      </c>
      <c r="O1685">
        <v>-0.17382609999999901</v>
      </c>
      <c r="P1685">
        <v>-0.99292800000000003</v>
      </c>
      <c r="Q1685">
        <v>1.846182E-2</v>
      </c>
      <c r="R1685">
        <v>-0.1172748</v>
      </c>
      <c r="S1685">
        <v>-3.035202</v>
      </c>
      <c r="T1685">
        <v>-0.14003119999999999</v>
      </c>
      <c r="U1685">
        <v>7.5103760000000006E-2</v>
      </c>
      <c r="V1685">
        <v>5.7324890000000003E-2</v>
      </c>
      <c r="W1685">
        <v>3.2225110000000001E-2</v>
      </c>
      <c r="X1685">
        <v>0.99783529999999998</v>
      </c>
      <c r="Y1685">
        <v>0.1977563</v>
      </c>
      <c r="Z1685">
        <v>1.254715E-2</v>
      </c>
      <c r="AA1685">
        <v>0.98017089999999996</v>
      </c>
      <c r="AB1685">
        <v>14</v>
      </c>
      <c r="AC1685">
        <v>-23.8748</v>
      </c>
      <c r="AD1685">
        <v>-1.107779558579</v>
      </c>
      <c r="AE1685">
        <v>0.61050000000000104</v>
      </c>
      <c r="AF1685">
        <v>4.7414812461837297</v>
      </c>
      <c r="AG1685">
        <v>-1.107779558579</v>
      </c>
      <c r="AH1685">
        <v>23.3548857406875</v>
      </c>
      <c r="AI1685">
        <v>92.661430750312405</v>
      </c>
      <c r="AJ1685">
        <v>78.523851598952007</v>
      </c>
      <c r="AK1685">
        <v>23.8570641093762</v>
      </c>
      <c r="AL1685">
        <v>88.153317386921401</v>
      </c>
      <c r="AM1685">
        <v>86.712014478661999</v>
      </c>
      <c r="AN1685">
        <v>0.999999943327055</v>
      </c>
    </row>
    <row r="1686" spans="1:40" x14ac:dyDescent="0.25">
      <c r="A1686" t="str">
        <f>"20190312160632038"</f>
        <v>20190312160632038</v>
      </c>
      <c r="B1686" t="str">
        <f>"1552377992026824"</f>
        <v>1552377992026824</v>
      </c>
      <c r="C1686" t="s">
        <v>40</v>
      </c>
      <c r="D1686">
        <v>6.7685940000000002</v>
      </c>
      <c r="E1686">
        <v>0.55297079999999998</v>
      </c>
      <c r="F1686" t="s">
        <v>66</v>
      </c>
      <c r="G1686">
        <v>-236.18450000000001</v>
      </c>
      <c r="H1686" s="1">
        <v>1.7919379999999999E-6</v>
      </c>
      <c r="I1686">
        <v>283.75540000000001</v>
      </c>
      <c r="J1686">
        <v>-211.7842</v>
      </c>
      <c r="K1686">
        <v>1.1078490000000001</v>
      </c>
      <c r="L1686">
        <v>283.11930000000001</v>
      </c>
      <c r="M1686">
        <v>-0.98581989999999997</v>
      </c>
      <c r="N1686">
        <v>0</v>
      </c>
      <c r="O1686">
        <v>-0.1672112</v>
      </c>
      <c r="P1686">
        <v>-0.99352099999999999</v>
      </c>
      <c r="Q1686">
        <v>1.7599119999999999E-2</v>
      </c>
      <c r="R1686">
        <v>-0.1122778</v>
      </c>
      <c r="S1686">
        <v>-3.0329739999999998</v>
      </c>
      <c r="T1686">
        <v>-0.1369457</v>
      </c>
      <c r="U1686">
        <v>7.6721189999999995E-2</v>
      </c>
      <c r="V1686">
        <v>5.563655E-2</v>
      </c>
      <c r="W1686">
        <v>3.1361989999999999E-2</v>
      </c>
      <c r="X1686">
        <v>0.99795840000000002</v>
      </c>
      <c r="Y1686">
        <v>0.1917413</v>
      </c>
      <c r="Z1686">
        <v>1.184878E-2</v>
      </c>
      <c r="AA1686">
        <v>0.98137399999999997</v>
      </c>
      <c r="AB1686">
        <v>14</v>
      </c>
      <c r="AC1686">
        <v>-24.400300000000001</v>
      </c>
      <c r="AD1686">
        <v>-1.1078472080619901</v>
      </c>
      <c r="AE1686">
        <v>0.636099999999999</v>
      </c>
      <c r="AF1686">
        <v>4.6978753940210201</v>
      </c>
      <c r="AG1686">
        <v>-1.1078472080619901</v>
      </c>
      <c r="AH1686">
        <v>23.901090841735599</v>
      </c>
      <c r="AI1686">
        <v>92.604080270405305</v>
      </c>
      <c r="AJ1686">
        <v>78.879993036720293</v>
      </c>
      <c r="AK1686">
        <v>24.383590836442799</v>
      </c>
      <c r="AL1686">
        <v>88.202795611139607</v>
      </c>
      <c r="AM1686">
        <v>86.809042302192694</v>
      </c>
      <c r="AN1686">
        <v>0.99999998412161095</v>
      </c>
    </row>
    <row r="1687" spans="1:40" x14ac:dyDescent="0.25">
      <c r="A1687" t="str">
        <f>"20190312160632063"</f>
        <v>20190312160632063</v>
      </c>
      <c r="B1687" t="str">
        <f>"1552377992057077"</f>
        <v>1552377992057077</v>
      </c>
      <c r="C1687" t="s">
        <v>40</v>
      </c>
      <c r="D1687">
        <v>5.5638759999999996</v>
      </c>
      <c r="E1687">
        <v>0.55173240000000001</v>
      </c>
      <c r="F1687" t="s">
        <v>66</v>
      </c>
      <c r="G1687">
        <v>-235.22450000000001</v>
      </c>
      <c r="H1687" s="1">
        <v>1.278749E-6</v>
      </c>
      <c r="I1687">
        <v>283.80889999999999</v>
      </c>
      <c r="J1687">
        <v>-211.94110000000001</v>
      </c>
      <c r="K1687">
        <v>1.107925</v>
      </c>
      <c r="L1687">
        <v>283.10219999999998</v>
      </c>
      <c r="M1687">
        <v>-0.98708039999999997</v>
      </c>
      <c r="N1687">
        <v>0</v>
      </c>
      <c r="O1687">
        <v>-0.15960450000000001</v>
      </c>
      <c r="P1687">
        <v>-0.99418700000000004</v>
      </c>
      <c r="Q1687">
        <v>1.6978920000000002E-2</v>
      </c>
      <c r="R1687">
        <v>-0.1063206</v>
      </c>
      <c r="S1687">
        <v>-3.0321500000000001</v>
      </c>
      <c r="T1687">
        <v>-0.14330699999999999</v>
      </c>
      <c r="U1687">
        <v>8.9202879999999998E-2</v>
      </c>
      <c r="V1687">
        <v>5.3914410000000003E-2</v>
      </c>
      <c r="W1687">
        <v>3.0737629999999998E-2</v>
      </c>
      <c r="X1687">
        <v>0.99807239999999997</v>
      </c>
      <c r="Y1687">
        <v>0.18819340000000001</v>
      </c>
      <c r="Z1687">
        <v>1.196212E-2</v>
      </c>
      <c r="AA1687">
        <v>0.98205909999999996</v>
      </c>
      <c r="AB1687">
        <v>14</v>
      </c>
      <c r="AC1687">
        <v>-23.2834</v>
      </c>
      <c r="AD1687">
        <v>-1.107923721251</v>
      </c>
      <c r="AE1687">
        <v>0.70670000000001199</v>
      </c>
      <c r="AF1687">
        <v>4.4041806273680599</v>
      </c>
      <c r="AG1687">
        <v>-1.107923721251</v>
      </c>
      <c r="AH1687">
        <v>22.8204436611672</v>
      </c>
      <c r="AI1687">
        <v>92.729221839827702</v>
      </c>
      <c r="AJ1687">
        <v>79.076625576328794</v>
      </c>
      <c r="AK1687">
        <v>23.2679382598266</v>
      </c>
      <c r="AL1687">
        <v>88.238586161434</v>
      </c>
      <c r="AM1687">
        <v>86.907971043395193</v>
      </c>
      <c r="AN1687">
        <v>1.0000000405727101</v>
      </c>
    </row>
    <row r="1688" spans="1:40" x14ac:dyDescent="0.25">
      <c r="A1688" t="str">
        <f>"20190312160632085"</f>
        <v>20190312160632085</v>
      </c>
      <c r="B1688" t="str">
        <f>"1552377992076597"</f>
        <v>1552377992076597</v>
      </c>
      <c r="C1688" t="s">
        <v>40</v>
      </c>
      <c r="D1688">
        <v>6.7685929999999903</v>
      </c>
      <c r="E1688">
        <v>0.55049599999999999</v>
      </c>
      <c r="F1688" t="s">
        <v>66</v>
      </c>
      <c r="G1688">
        <v>-234.0813</v>
      </c>
      <c r="H1688" s="1">
        <v>6.70016699999999E-7</v>
      </c>
      <c r="I1688">
        <v>283.81700000000001</v>
      </c>
      <c r="J1688">
        <v>-212.0787</v>
      </c>
      <c r="K1688">
        <v>1.1079870000000001</v>
      </c>
      <c r="L1688">
        <v>283.08800000000002</v>
      </c>
      <c r="M1688">
        <v>-0.98811709999999997</v>
      </c>
      <c r="N1688">
        <v>0</v>
      </c>
      <c r="O1688">
        <v>-0.153058</v>
      </c>
      <c r="P1688">
        <v>-0.99469819999999998</v>
      </c>
      <c r="Q1688">
        <v>1.7060909999999999E-2</v>
      </c>
      <c r="R1688">
        <v>-0.10141409999999999</v>
      </c>
      <c r="S1688">
        <v>-3.0305939999999998</v>
      </c>
      <c r="T1688">
        <v>-0.1516546</v>
      </c>
      <c r="U1688">
        <v>9.783936E-2</v>
      </c>
      <c r="V1688">
        <v>5.221758E-2</v>
      </c>
      <c r="W1688">
        <v>3.081627E-2</v>
      </c>
      <c r="X1688">
        <v>0.99816009999999999</v>
      </c>
      <c r="Y1688">
        <v>0.18445890000000001</v>
      </c>
      <c r="Z1688">
        <v>1.2246409999999999E-2</v>
      </c>
      <c r="AA1688">
        <v>0.98276390000000002</v>
      </c>
      <c r="AB1688">
        <v>14</v>
      </c>
      <c r="AC1688">
        <v>-22.002600000000001</v>
      </c>
      <c r="AD1688">
        <v>-1.1079863299832999</v>
      </c>
      <c r="AE1688">
        <v>0.72900000000004095</v>
      </c>
      <c r="AF1688">
        <v>4.0780857655467697</v>
      </c>
      <c r="AG1688">
        <v>-1.1079863299832999</v>
      </c>
      <c r="AH1688">
        <v>21.577050178606498</v>
      </c>
      <c r="AI1688">
        <v>92.8885197109785</v>
      </c>
      <c r="AJ1688">
        <v>79.297282815456796</v>
      </c>
      <c r="AK1688">
        <v>21.986985050904298</v>
      </c>
      <c r="AL1688">
        <v>88.234078129031801</v>
      </c>
      <c r="AM1688">
        <v>87.005368052868107</v>
      </c>
      <c r="AN1688">
        <v>0.99999995169488798</v>
      </c>
    </row>
    <row r="1689" spans="1:40" x14ac:dyDescent="0.25">
      <c r="A1689" t="str">
        <f>"20190312160632106"</f>
        <v>20190312160632106</v>
      </c>
      <c r="B1689" t="str">
        <f>"1552377992097101"</f>
        <v>1552377992097101</v>
      </c>
      <c r="C1689" t="s">
        <v>40</v>
      </c>
      <c r="D1689">
        <v>6.68438</v>
      </c>
      <c r="E1689">
        <v>0.55043450000000005</v>
      </c>
      <c r="F1689" t="s">
        <v>66</v>
      </c>
      <c r="G1689">
        <v>-234.40360000000001</v>
      </c>
      <c r="H1689" s="1">
        <v>8.4009399999999995E-7</v>
      </c>
      <c r="I1689">
        <v>283.84930000000003</v>
      </c>
      <c r="J1689">
        <v>-212.21</v>
      </c>
      <c r="K1689">
        <v>1.10805</v>
      </c>
      <c r="L1689">
        <v>283.07510000000002</v>
      </c>
      <c r="M1689">
        <v>-0.98904539999999996</v>
      </c>
      <c r="N1689">
        <v>0</v>
      </c>
      <c r="O1689">
        <v>-0.146942299999999</v>
      </c>
      <c r="P1689">
        <v>-0.99511380000000005</v>
      </c>
      <c r="Q1689">
        <v>1.6931310000000001E-2</v>
      </c>
      <c r="R1689">
        <v>-9.7273280000000004E-2</v>
      </c>
      <c r="S1689">
        <v>-3.029099</v>
      </c>
      <c r="T1689">
        <v>-0.15033460000000001</v>
      </c>
      <c r="U1689">
        <v>0.103302</v>
      </c>
      <c r="V1689">
        <v>5.0190659999999998E-2</v>
      </c>
      <c r="W1689">
        <v>3.068568E-2</v>
      </c>
      <c r="X1689">
        <v>0.99826809999999999</v>
      </c>
      <c r="Y1689">
        <v>0.18018310000000001</v>
      </c>
      <c r="Z1689">
        <v>1.1738770000000001E-2</v>
      </c>
      <c r="AA1689">
        <v>0.98356299999999997</v>
      </c>
      <c r="AB1689">
        <v>14</v>
      </c>
      <c r="AC1689">
        <v>-22.1936</v>
      </c>
      <c r="AD1689">
        <v>-1.1080491599060001</v>
      </c>
      <c r="AE1689">
        <v>0.77420000000000699</v>
      </c>
      <c r="AF1689">
        <v>4.0172930391649597</v>
      </c>
      <c r="AG1689">
        <v>-1.1080491599060001</v>
      </c>
      <c r="AH1689">
        <v>21.7846325904815</v>
      </c>
      <c r="AI1689">
        <v>92.863570607692395</v>
      </c>
      <c r="AJ1689">
        <v>79.551499263620002</v>
      </c>
      <c r="AK1689">
        <v>22.179644573472299</v>
      </c>
      <c r="AL1689">
        <v>88.241563933715099</v>
      </c>
      <c r="AM1689">
        <v>87.121721576467806</v>
      </c>
      <c r="AN1689">
        <v>0.99999995639295303</v>
      </c>
    </row>
    <row r="1690" spans="1:40" x14ac:dyDescent="0.25">
      <c r="A1690" t="str">
        <f>"20190312160632128"</f>
        <v>20190312160632128</v>
      </c>
      <c r="B1690" t="str">
        <f>"1552377992116616"</f>
        <v>1552377992116616</v>
      </c>
      <c r="C1690" t="s">
        <v>40</v>
      </c>
      <c r="D1690">
        <v>6.7595589999999897</v>
      </c>
      <c r="E1690">
        <v>0.54972989999999999</v>
      </c>
      <c r="F1690" t="s">
        <v>66</v>
      </c>
      <c r="G1690">
        <v>-233.1962</v>
      </c>
      <c r="H1690" s="1">
        <v>1.9626969999999999E-7</v>
      </c>
      <c r="I1690">
        <v>283.87909999999999</v>
      </c>
      <c r="J1690">
        <v>-212.34219999999999</v>
      </c>
      <c r="K1690">
        <v>1.1081219999999901</v>
      </c>
      <c r="L1690">
        <v>283.06290000000001</v>
      </c>
      <c r="M1690">
        <v>-0.98992190000000002</v>
      </c>
      <c r="N1690">
        <v>0</v>
      </c>
      <c r="O1690">
        <v>-0.14091819999999999</v>
      </c>
      <c r="P1690">
        <v>-0.99545839999999997</v>
      </c>
      <c r="Q1690">
        <v>1.725699E-2</v>
      </c>
      <c r="R1690">
        <v>-9.3619530000000006E-2</v>
      </c>
      <c r="S1690">
        <v>-3.0287929999999998</v>
      </c>
      <c r="T1690">
        <v>-0.15991720000000001</v>
      </c>
      <c r="U1690">
        <v>0.1160278</v>
      </c>
      <c r="V1690">
        <v>4.7771620000000001E-2</v>
      </c>
      <c r="W1690">
        <v>3.101168E-2</v>
      </c>
      <c r="X1690">
        <v>0.99837679999999995</v>
      </c>
      <c r="Y1690">
        <v>0.1782832</v>
      </c>
      <c r="Z1690">
        <v>1.2121130000000001E-2</v>
      </c>
      <c r="AA1690">
        <v>0.98390449999999996</v>
      </c>
      <c r="AB1690">
        <v>14</v>
      </c>
      <c r="AC1690">
        <v>-20.853999999999999</v>
      </c>
      <c r="AD1690">
        <v>-1.10812180373029</v>
      </c>
      <c r="AE1690">
        <v>0.81619999999998005</v>
      </c>
      <c r="AF1690">
        <v>3.7365168003745199</v>
      </c>
      <c r="AG1690">
        <v>-1.10812180373029</v>
      </c>
      <c r="AH1690">
        <v>20.473114550139599</v>
      </c>
      <c r="AI1690">
        <v>93.047902787780004</v>
      </c>
      <c r="AJ1690">
        <v>79.656873240681307</v>
      </c>
      <c r="AK1690">
        <v>20.840775204260598</v>
      </c>
      <c r="AL1690">
        <v>88.222876769398297</v>
      </c>
      <c r="AM1690">
        <v>87.260527138694002</v>
      </c>
      <c r="AN1690">
        <v>1.0000000433760401</v>
      </c>
    </row>
    <row r="1691" spans="1:40" x14ac:dyDescent="0.25">
      <c r="A1691" t="str">
        <f>"20190312160632149"</f>
        <v>20190312160632149</v>
      </c>
      <c r="B1691" t="str">
        <f>"1552377992146869"</f>
        <v>1552377992146869</v>
      </c>
      <c r="C1691" t="s">
        <v>40</v>
      </c>
      <c r="D1691">
        <v>6.7307869999999896</v>
      </c>
      <c r="E1691">
        <v>0.54783409999999999</v>
      </c>
      <c r="F1691" t="s">
        <v>66</v>
      </c>
      <c r="G1691">
        <v>-233.08349999999999</v>
      </c>
      <c r="H1691" s="1">
        <v>1.3539239999999999E-7</v>
      </c>
      <c r="I1691">
        <v>283.8999</v>
      </c>
      <c r="J1691">
        <v>-212.4776</v>
      </c>
      <c r="K1691">
        <v>1.1082099999999999</v>
      </c>
      <c r="L1691">
        <v>283.05099999999999</v>
      </c>
      <c r="M1691">
        <v>-0.99075999999999997</v>
      </c>
      <c r="N1691">
        <v>0</v>
      </c>
      <c r="O1691">
        <v>-0.13490289999999999</v>
      </c>
      <c r="P1691">
        <v>-0.99582990000000005</v>
      </c>
      <c r="Q1691">
        <v>1.6774560000000001E-2</v>
      </c>
      <c r="R1691">
        <v>-8.9672909999999995E-2</v>
      </c>
      <c r="S1691">
        <v>-3.0279690000000001</v>
      </c>
      <c r="T1691">
        <v>-0.161772</v>
      </c>
      <c r="U1691">
        <v>0.12219240000000001</v>
      </c>
      <c r="V1691">
        <v>4.56557E-2</v>
      </c>
      <c r="W1691">
        <v>3.052697E-2</v>
      </c>
      <c r="X1691">
        <v>0.99849069999999995</v>
      </c>
      <c r="Y1691">
        <v>0.17431949999999999</v>
      </c>
      <c r="Z1691">
        <v>1.18397E-2</v>
      </c>
      <c r="AA1691">
        <v>0.98461790000000005</v>
      </c>
      <c r="AB1691">
        <v>14</v>
      </c>
      <c r="AC1691">
        <v>-20.605899999999899</v>
      </c>
      <c r="AD1691">
        <v>-1.1082098646076</v>
      </c>
      <c r="AE1691">
        <v>0.84890000000001398</v>
      </c>
      <c r="AF1691">
        <v>3.61078023330061</v>
      </c>
      <c r="AG1691">
        <v>-1.1082098646076</v>
      </c>
      <c r="AH1691">
        <v>20.244514117013001</v>
      </c>
      <c r="AI1691">
        <v>93.084729978130696</v>
      </c>
      <c r="AJ1691">
        <v>79.887154255182594</v>
      </c>
      <c r="AK1691">
        <v>20.593839244568901</v>
      </c>
      <c r="AL1691">
        <v>88.250661700426505</v>
      </c>
      <c r="AM1691">
        <v>87.381990483028304</v>
      </c>
      <c r="AN1691">
        <v>1.0000000084131799</v>
      </c>
    </row>
    <row r="1692" spans="1:40" x14ac:dyDescent="0.25">
      <c r="A1692" t="str">
        <f>"20190312160632173"</f>
        <v>20190312160632173</v>
      </c>
      <c r="B1692" t="str">
        <f>"1552377992166389"</f>
        <v>1552377992166389</v>
      </c>
      <c r="C1692" t="s">
        <v>40</v>
      </c>
      <c r="D1692">
        <v>6.7404650000000004</v>
      </c>
      <c r="E1692">
        <v>0.54640719999999898</v>
      </c>
      <c r="F1692" t="s">
        <v>66</v>
      </c>
      <c r="G1692">
        <v>-233.1267</v>
      </c>
      <c r="H1692" s="1">
        <v>1.60002299999999E-7</v>
      </c>
      <c r="I1692">
        <v>283.86320000000001</v>
      </c>
      <c r="J1692">
        <v>-212.6206</v>
      </c>
      <c r="K1692">
        <v>1.10832</v>
      </c>
      <c r="L1692">
        <v>283.03910000000002</v>
      </c>
      <c r="M1692">
        <v>-0.99158250000000003</v>
      </c>
      <c r="N1692">
        <v>0</v>
      </c>
      <c r="O1692">
        <v>-0.12872030000000001</v>
      </c>
      <c r="P1692">
        <v>-0.99617120000000003</v>
      </c>
      <c r="Q1692">
        <v>1.7213820000000001E-2</v>
      </c>
      <c r="R1692">
        <v>-8.5714470000000001E-2</v>
      </c>
      <c r="S1692">
        <v>-3.0260159999999998</v>
      </c>
      <c r="T1692">
        <v>-0.16240199999999999</v>
      </c>
      <c r="U1692">
        <v>0.1190186</v>
      </c>
      <c r="V1692">
        <v>4.3387960000000003E-2</v>
      </c>
      <c r="W1692">
        <v>3.0963069999999999E-2</v>
      </c>
      <c r="X1692">
        <v>0.99857839999999998</v>
      </c>
      <c r="Y1692">
        <v>0.16718279999999999</v>
      </c>
      <c r="Z1692">
        <v>1.1372500000000001E-2</v>
      </c>
      <c r="AA1692">
        <v>0.98586030000000002</v>
      </c>
      <c r="AB1692">
        <v>14</v>
      </c>
      <c r="AC1692">
        <v>-20.5061</v>
      </c>
      <c r="AD1692">
        <v>-1.1083198399976999</v>
      </c>
      <c r="AE1692">
        <v>0.82409999999998695</v>
      </c>
      <c r="AF1692">
        <v>3.4469987582350501</v>
      </c>
      <c r="AG1692">
        <v>-1.1083198399976999</v>
      </c>
      <c r="AH1692">
        <v>20.170558690375799</v>
      </c>
      <c r="AI1692">
        <v>93.100236941053296</v>
      </c>
      <c r="AJ1692">
        <v>80.302257577394201</v>
      </c>
      <c r="AK1692">
        <v>20.492964919427799</v>
      </c>
      <c r="AL1692">
        <v>88.225663220621101</v>
      </c>
      <c r="AM1692">
        <v>87.512078800836093</v>
      </c>
      <c r="AN1692">
        <v>1.00000002386167</v>
      </c>
    </row>
    <row r="1693" spans="1:40" x14ac:dyDescent="0.25">
      <c r="A1693" t="str">
        <f>"20190312160632195"</f>
        <v>20190312160632195</v>
      </c>
      <c r="B1693" t="str">
        <f>"1552377992186885"</f>
        <v>1552377992186885</v>
      </c>
      <c r="C1693" t="s">
        <v>40</v>
      </c>
      <c r="D1693">
        <v>6.8417469999999998</v>
      </c>
      <c r="E1693">
        <v>0.54509739999999995</v>
      </c>
      <c r="F1693" t="s">
        <v>66</v>
      </c>
      <c r="G1693">
        <v>-233.97630000000001</v>
      </c>
      <c r="H1693" s="1">
        <v>6.1127009999999898E-7</v>
      </c>
      <c r="I1693">
        <v>283.88220000000001</v>
      </c>
      <c r="J1693">
        <v>-212.76</v>
      </c>
      <c r="K1693">
        <v>1.10843799999999</v>
      </c>
      <c r="L1693">
        <v>283.02809999999999</v>
      </c>
      <c r="M1693">
        <v>-0.99232109999999996</v>
      </c>
      <c r="N1693">
        <v>0</v>
      </c>
      <c r="O1693">
        <v>-0.1229005</v>
      </c>
      <c r="P1693">
        <v>-0.99643970000000004</v>
      </c>
      <c r="Q1693">
        <v>1.7395620000000001E-2</v>
      </c>
      <c r="R1693">
        <v>-8.2494650000000003E-2</v>
      </c>
      <c r="S1693">
        <v>-3.0245359999999999</v>
      </c>
      <c r="T1693">
        <v>-0.15696779999999999</v>
      </c>
      <c r="U1693">
        <v>0.1194153</v>
      </c>
      <c r="V1693">
        <v>4.0747209999999999E-2</v>
      </c>
      <c r="W1693">
        <v>3.114227E-2</v>
      </c>
      <c r="X1693">
        <v>0.99868400000000002</v>
      </c>
      <c r="Y1693">
        <v>0.16158699999999901</v>
      </c>
      <c r="Z1693">
        <v>1.0552479999999999E-2</v>
      </c>
      <c r="AA1693">
        <v>0.98680199999999996</v>
      </c>
      <c r="AB1693">
        <v>14</v>
      </c>
      <c r="AC1693">
        <v>-21.2163</v>
      </c>
      <c r="AD1693">
        <v>-1.1084373887298899</v>
      </c>
      <c r="AE1693">
        <v>0.85410000000001596</v>
      </c>
      <c r="AF1693">
        <v>3.4459804541514898</v>
      </c>
      <c r="AG1693">
        <v>-1.1084373887298899</v>
      </c>
      <c r="AH1693">
        <v>20.893511728138499</v>
      </c>
      <c r="AI1693">
        <v>92.996389215868504</v>
      </c>
      <c r="AJ1693">
        <v>80.634483141059803</v>
      </c>
      <c r="AK1693">
        <v>21.204769441542901</v>
      </c>
      <c r="AL1693">
        <v>88.215390738562704</v>
      </c>
      <c r="AM1693">
        <v>87.663576318254599</v>
      </c>
      <c r="AN1693">
        <v>0.99999995397976704</v>
      </c>
    </row>
    <row r="1694" spans="1:40" x14ac:dyDescent="0.25">
      <c r="A1694" t="str">
        <f>"20190312160632219"</f>
        <v>20190312160632219</v>
      </c>
      <c r="B1694" t="str">
        <f>"1552377992206408"</f>
        <v>1552377992206408</v>
      </c>
      <c r="C1694" t="s">
        <v>40</v>
      </c>
      <c r="D1694">
        <v>6.5795240000000002</v>
      </c>
      <c r="E1694">
        <v>0.54366999999999999</v>
      </c>
      <c r="F1694" t="s">
        <v>66</v>
      </c>
      <c r="G1694">
        <v>-234.81880000000001</v>
      </c>
      <c r="H1694" s="1">
        <v>1.059063E-6</v>
      </c>
      <c r="I1694">
        <v>283.89519999999999</v>
      </c>
      <c r="J1694">
        <v>-212.9023</v>
      </c>
      <c r="K1694">
        <v>1.108552</v>
      </c>
      <c r="L1694">
        <v>283.01749999999998</v>
      </c>
      <c r="M1694">
        <v>-0.99301280000000003</v>
      </c>
      <c r="N1694">
        <v>0</v>
      </c>
      <c r="O1694">
        <v>-0.11718290000000001</v>
      </c>
      <c r="P1694">
        <v>-0.99666520000000003</v>
      </c>
      <c r="Q1694">
        <v>1.6874259999999999E-2</v>
      </c>
      <c r="R1694">
        <v>-7.9836630000000006E-2</v>
      </c>
      <c r="S1694">
        <v>-3.023209</v>
      </c>
      <c r="T1694">
        <v>-0.15191360000000001</v>
      </c>
      <c r="U1694">
        <v>0.11883539999999999</v>
      </c>
      <c r="V1694">
        <v>3.764733E-2</v>
      </c>
      <c r="W1694">
        <v>3.061848E-2</v>
      </c>
      <c r="X1694">
        <v>0.99882190000000004</v>
      </c>
      <c r="Y1694">
        <v>0.15576679999999901</v>
      </c>
      <c r="Z1694">
        <v>9.7857450000000002E-3</v>
      </c>
      <c r="AA1694">
        <v>0.9877454</v>
      </c>
      <c r="AB1694">
        <v>14</v>
      </c>
      <c r="AC1694">
        <v>-21.916499999999999</v>
      </c>
      <c r="AD1694">
        <v>-1.108550940937</v>
      </c>
      <c r="AE1694">
        <v>0.87770000000000403</v>
      </c>
      <c r="AF1694">
        <v>3.4313748550315899</v>
      </c>
      <c r="AG1694">
        <v>-1.108550940937</v>
      </c>
      <c r="AH1694">
        <v>21.6074202681542</v>
      </c>
      <c r="AI1694">
        <v>92.900652882835303</v>
      </c>
      <c r="AJ1694">
        <v>80.976472981185395</v>
      </c>
      <c r="AK1694">
        <v>21.906250916782501</v>
      </c>
      <c r="AL1694">
        <v>88.245416097450899</v>
      </c>
      <c r="AM1694">
        <v>87.841444492152704</v>
      </c>
      <c r="AN1694">
        <v>1.0000000003466201</v>
      </c>
    </row>
    <row r="1695" spans="1:40" x14ac:dyDescent="0.25">
      <c r="A1695" t="str">
        <f>"20190312160632239"</f>
        <v>20190312160632239</v>
      </c>
      <c r="B1695" t="str">
        <f>"1552377992226901"</f>
        <v>1552377992226901</v>
      </c>
      <c r="C1695" t="s">
        <v>40</v>
      </c>
      <c r="D1695">
        <v>6.8234579999999996</v>
      </c>
      <c r="E1695">
        <v>0.54270319999999905</v>
      </c>
      <c r="F1695" t="s">
        <v>66</v>
      </c>
      <c r="G1695">
        <v>-234.2654</v>
      </c>
      <c r="H1695" s="1">
        <v>7.671119E-7</v>
      </c>
      <c r="I1695">
        <v>283.83749999999998</v>
      </c>
      <c r="J1695">
        <v>-213.0273</v>
      </c>
      <c r="K1695">
        <v>1.1086339999999999</v>
      </c>
      <c r="L1695">
        <v>283.0086</v>
      </c>
      <c r="M1695">
        <v>-0.99357549999999994</v>
      </c>
      <c r="N1695">
        <v>0</v>
      </c>
      <c r="O1695">
        <v>-0.1123162</v>
      </c>
      <c r="P1695">
        <v>-0.99695750000000005</v>
      </c>
      <c r="Q1695">
        <v>1.7021379999999999E-2</v>
      </c>
      <c r="R1695">
        <v>-7.6067239999999994E-2</v>
      </c>
      <c r="S1695">
        <v>-3.0219879999999999</v>
      </c>
      <c r="T1695">
        <v>-0.1568136</v>
      </c>
      <c r="U1695">
        <v>0.1159973</v>
      </c>
      <c r="V1695">
        <v>3.6523769999999997E-2</v>
      </c>
      <c r="W1695">
        <v>3.0753829999999999E-2</v>
      </c>
      <c r="X1695">
        <v>0.99885950000000001</v>
      </c>
      <c r="Y1695">
        <v>0.15000550000000001</v>
      </c>
      <c r="Z1695">
        <v>9.7044950000000005E-3</v>
      </c>
      <c r="AA1695">
        <v>0.98863749999999995</v>
      </c>
      <c r="AB1695">
        <v>14</v>
      </c>
      <c r="AC1695">
        <v>-21.238099999999999</v>
      </c>
      <c r="AD1695">
        <v>-1.1086332328880999</v>
      </c>
      <c r="AE1695">
        <v>0.82889999999997599</v>
      </c>
      <c r="AF1695">
        <v>3.2005589862755501</v>
      </c>
      <c r="AG1695">
        <v>-1.1086332328880999</v>
      </c>
      <c r="AH1695">
        <v>20.953573663550898</v>
      </c>
      <c r="AI1695">
        <v>92.993979285914406</v>
      </c>
      <c r="AJ1695">
        <v>81.315466252905694</v>
      </c>
      <c r="AK1695">
        <v>21.225571717707499</v>
      </c>
      <c r="AL1695">
        <v>88.237657533845507</v>
      </c>
      <c r="AM1695">
        <v>87.9058856936919</v>
      </c>
      <c r="AN1695">
        <v>1.00000004228746</v>
      </c>
    </row>
    <row r="1696" spans="1:40" x14ac:dyDescent="0.25">
      <c r="A1696" t="str">
        <f>"20190312160632263"</f>
        <v>20190312160632263</v>
      </c>
      <c r="B1696" t="str">
        <f>"1552377992257157"</f>
        <v>1552377992257157</v>
      </c>
      <c r="C1696" t="s">
        <v>40</v>
      </c>
      <c r="D1696">
        <v>6.6805789999999901</v>
      </c>
      <c r="E1696">
        <v>0.54094519999999902</v>
      </c>
      <c r="F1696" t="s">
        <v>66</v>
      </c>
      <c r="G1696">
        <v>-235.08510000000001</v>
      </c>
      <c r="H1696" s="1">
        <v>1.201369E-6</v>
      </c>
      <c r="I1696">
        <v>283.88150000000002</v>
      </c>
      <c r="J1696">
        <v>-213.17619999999999</v>
      </c>
      <c r="K1696">
        <v>1.108722</v>
      </c>
      <c r="L1696">
        <v>282.99860000000001</v>
      </c>
      <c r="M1696">
        <v>-0.99419259999999998</v>
      </c>
      <c r="N1696">
        <v>0</v>
      </c>
      <c r="O1696">
        <v>-0.1067187</v>
      </c>
      <c r="P1696">
        <v>-0.99715679999999995</v>
      </c>
      <c r="Q1696">
        <v>1.7239350000000001E-2</v>
      </c>
      <c r="R1696">
        <v>-7.3356379999999999E-2</v>
      </c>
      <c r="S1696">
        <v>-3.0208740000000001</v>
      </c>
      <c r="T1696">
        <v>-0.15183039999999901</v>
      </c>
      <c r="U1696">
        <v>0.1195374</v>
      </c>
      <c r="V1696">
        <v>3.3606980000000002E-2</v>
      </c>
      <c r="W1696">
        <v>3.0964490000000001E-2</v>
      </c>
      <c r="X1696">
        <v>0.99895540000000005</v>
      </c>
      <c r="Y1696">
        <v>0.1456412</v>
      </c>
      <c r="Z1696">
        <v>9.0101790000000001E-3</v>
      </c>
      <c r="AA1696">
        <v>0.98929639999999996</v>
      </c>
      <c r="AB1696">
        <v>14</v>
      </c>
      <c r="AC1696">
        <v>-21.908899999999999</v>
      </c>
      <c r="AD1696">
        <v>-1.1087207986309999</v>
      </c>
      <c r="AE1696">
        <v>0.88290000000000601</v>
      </c>
      <c r="AF1696">
        <v>3.2079688826191899</v>
      </c>
      <c r="AG1696">
        <v>-1.1087207986309999</v>
      </c>
      <c r="AH1696">
        <v>21.634214119676901</v>
      </c>
      <c r="AI1696">
        <v>92.902079263348</v>
      </c>
      <c r="AJ1696">
        <v>81.565515426039994</v>
      </c>
      <c r="AK1696">
        <v>21.898848068727201</v>
      </c>
      <c r="AL1696">
        <v>88.225581885673094</v>
      </c>
      <c r="AM1696">
        <v>88.073175066062007</v>
      </c>
      <c r="AN1696">
        <v>1.0000000599674099</v>
      </c>
    </row>
    <row r="1697" spans="1:40" x14ac:dyDescent="0.25">
      <c r="A1697" t="str">
        <f>"20190312160632287"</f>
        <v>20190312160632287</v>
      </c>
      <c r="B1697" t="str">
        <f>"1552377992276676"</f>
        <v>1552377992276676</v>
      </c>
      <c r="C1697" t="s">
        <v>40</v>
      </c>
      <c r="D1697">
        <v>6.8003980000000004</v>
      </c>
      <c r="E1697">
        <v>0.54026909999999995</v>
      </c>
      <c r="F1697" t="s">
        <v>66</v>
      </c>
      <c r="G1697">
        <v>-235.40049999999999</v>
      </c>
      <c r="H1697" s="1">
        <v>1.371226E-6</v>
      </c>
      <c r="I1697">
        <v>283.83530000000002</v>
      </c>
      <c r="J1697">
        <v>-213.32169999999999</v>
      </c>
      <c r="K1697">
        <v>1.108792</v>
      </c>
      <c r="L1697">
        <v>282.98939999999999</v>
      </c>
      <c r="M1697">
        <v>-0.9947433</v>
      </c>
      <c r="N1697">
        <v>0</v>
      </c>
      <c r="O1697">
        <v>-0.1014606</v>
      </c>
      <c r="P1697">
        <v>-0.99733669999999996</v>
      </c>
      <c r="Q1697">
        <v>1.690202E-2</v>
      </c>
      <c r="R1697">
        <v>-7.0949059999999994E-2</v>
      </c>
      <c r="S1697">
        <v>-3.019501</v>
      </c>
      <c r="T1697">
        <v>-0.1506362</v>
      </c>
      <c r="U1697">
        <v>0.113678</v>
      </c>
      <c r="V1697">
        <v>3.0728889999999998E-2</v>
      </c>
      <c r="W1697">
        <v>3.061943E-2</v>
      </c>
      <c r="X1697">
        <v>0.99905869999999997</v>
      </c>
      <c r="Y1697">
        <v>0.1385276</v>
      </c>
      <c r="Z1697">
        <v>8.5051150000000006E-3</v>
      </c>
      <c r="AA1697">
        <v>0.99032209999999998</v>
      </c>
      <c r="AB1697">
        <v>14</v>
      </c>
      <c r="AC1697">
        <v>-22.078800000000001</v>
      </c>
      <c r="AD1697">
        <v>-1.1087906287739999</v>
      </c>
      <c r="AE1697">
        <v>0.84590000000002796</v>
      </c>
      <c r="AF1697">
        <v>3.07413511775585</v>
      </c>
      <c r="AG1697">
        <v>-1.1087906287739999</v>
      </c>
      <c r="AH1697">
        <v>21.824048050711099</v>
      </c>
      <c r="AI1697">
        <v>92.880079795209397</v>
      </c>
      <c r="AJ1697">
        <v>81.982068913373297</v>
      </c>
      <c r="AK1697">
        <v>22.067369501153099</v>
      </c>
      <c r="AL1697">
        <v>88.245361728271305</v>
      </c>
      <c r="AM1697">
        <v>88.238260867348501</v>
      </c>
      <c r="AN1697">
        <v>1.00000005010992</v>
      </c>
    </row>
    <row r="1698" spans="1:40" x14ac:dyDescent="0.25">
      <c r="A1698" t="str">
        <f>"20190312160632308"</f>
        <v>20190312160632308</v>
      </c>
      <c r="B1698" t="str">
        <f>"1552377992296197"</f>
        <v>1552377992296197</v>
      </c>
      <c r="C1698" t="s">
        <v>40</v>
      </c>
      <c r="D1698">
        <v>6.7409470000000002</v>
      </c>
      <c r="E1698">
        <v>0.53928779999999998</v>
      </c>
      <c r="F1698" t="s">
        <v>66</v>
      </c>
      <c r="G1698">
        <v>-235.06219999999999</v>
      </c>
      <c r="H1698" s="1">
        <v>1.1916500000000001E-6</v>
      </c>
      <c r="I1698">
        <v>283.82479999999998</v>
      </c>
      <c r="J1698">
        <v>-213.45140000000001</v>
      </c>
      <c r="K1698">
        <v>1.1088659999999999</v>
      </c>
      <c r="L1698">
        <v>282.98169999999999</v>
      </c>
      <c r="M1698">
        <v>-0.9951911</v>
      </c>
      <c r="N1698">
        <v>0</v>
      </c>
      <c r="O1698">
        <v>-9.6972680000000006E-2</v>
      </c>
      <c r="P1698">
        <v>-0.99745539999999999</v>
      </c>
      <c r="Q1698">
        <v>1.684124E-2</v>
      </c>
      <c r="R1698">
        <v>-6.9274810000000006E-2</v>
      </c>
      <c r="S1698">
        <v>-3.0188899999999999</v>
      </c>
      <c r="T1698">
        <v>-0.1539674</v>
      </c>
      <c r="U1698">
        <v>0.1159973</v>
      </c>
      <c r="V1698">
        <v>2.7892569999999998E-2</v>
      </c>
      <c r="W1698">
        <v>3.0552699999999999E-2</v>
      </c>
      <c r="X1698">
        <v>0.99914389999999997</v>
      </c>
      <c r="Y1698">
        <v>0.1348241</v>
      </c>
      <c r="Z1698">
        <v>8.3722420000000002E-3</v>
      </c>
      <c r="AA1698">
        <v>0.9908342</v>
      </c>
      <c r="AB1698">
        <v>13</v>
      </c>
      <c r="AC1698">
        <v>-21.610799999999902</v>
      </c>
      <c r="AD1698">
        <v>-1.1088648083499999</v>
      </c>
      <c r="AE1698">
        <v>0.84309999999999197</v>
      </c>
      <c r="AF1698">
        <v>2.9272878656714498</v>
      </c>
      <c r="AG1698">
        <v>-1.1088648083499999</v>
      </c>
      <c r="AH1698">
        <v>21.370984551740001</v>
      </c>
      <c r="AI1698">
        <v>92.9427826561611</v>
      </c>
      <c r="AJ1698">
        <v>82.2004549298737</v>
      </c>
      <c r="AK1698">
        <v>21.599017943471701</v>
      </c>
      <c r="AL1698">
        <v>88.249186773689402</v>
      </c>
      <c r="AM1698">
        <v>88.400919447938605</v>
      </c>
      <c r="AN1698">
        <v>0.99999999792285199</v>
      </c>
    </row>
    <row r="1699" spans="1:40" x14ac:dyDescent="0.25">
      <c r="A1699" t="str">
        <f>"20190312160632329"</f>
        <v>20190312160632329</v>
      </c>
      <c r="B1699" t="str">
        <f>"1552377992326959"</f>
        <v>1552377992326959</v>
      </c>
      <c r="C1699" t="s">
        <v>40</v>
      </c>
      <c r="D1699">
        <v>6.1751509999999996</v>
      </c>
      <c r="E1699">
        <v>0.53784799999999999</v>
      </c>
      <c r="F1699" t="s">
        <v>66</v>
      </c>
      <c r="G1699">
        <v>-235.44919999999999</v>
      </c>
      <c r="H1699" s="1">
        <v>1.3984170000000001E-6</v>
      </c>
      <c r="I1699">
        <v>283.80669999999998</v>
      </c>
      <c r="J1699">
        <v>-213.58090000000001</v>
      </c>
      <c r="K1699">
        <v>1.1089580000000001</v>
      </c>
      <c r="L1699">
        <v>282.97430000000003</v>
      </c>
      <c r="M1699">
        <v>-0.99559989999999998</v>
      </c>
      <c r="N1699">
        <v>0</v>
      </c>
      <c r="O1699">
        <v>-9.2686180000000007E-2</v>
      </c>
      <c r="P1699">
        <v>-0.99755139999999998</v>
      </c>
      <c r="Q1699">
        <v>1.7068110000000001E-2</v>
      </c>
      <c r="R1699">
        <v>-6.7823159999999993E-2</v>
      </c>
      <c r="S1699">
        <v>-3.0180820000000002</v>
      </c>
      <c r="T1699">
        <v>-0.1521351</v>
      </c>
      <c r="U1699">
        <v>0.1131897</v>
      </c>
      <c r="V1699">
        <v>2.5036320000000001E-2</v>
      </c>
      <c r="W1699">
        <v>3.0773849999999998E-2</v>
      </c>
      <c r="X1699">
        <v>0.99921269999999995</v>
      </c>
      <c r="Y1699">
        <v>0.1296641</v>
      </c>
      <c r="Z1699">
        <v>7.9297759999999995E-3</v>
      </c>
      <c r="AA1699">
        <v>0.99152620000000002</v>
      </c>
      <c r="AB1699">
        <v>13</v>
      </c>
      <c r="AC1699">
        <v>-21.868299999999898</v>
      </c>
      <c r="AD1699">
        <v>-1.1089566015829999</v>
      </c>
      <c r="AE1699">
        <v>0.83239999999994996</v>
      </c>
      <c r="AF1699">
        <v>2.8485832838301799</v>
      </c>
      <c r="AG1699">
        <v>-1.1089566015829999</v>
      </c>
      <c r="AH1699">
        <v>21.6414158461507</v>
      </c>
      <c r="AI1699">
        <v>92.908360999007797</v>
      </c>
      <c r="AJ1699">
        <v>82.501465582149095</v>
      </c>
      <c r="AK1699">
        <v>21.8562368969394</v>
      </c>
      <c r="AL1699">
        <v>88.236509737302697</v>
      </c>
      <c r="AM1699">
        <v>88.564694591003303</v>
      </c>
      <c r="AN1699">
        <v>0.99999993350212502</v>
      </c>
    </row>
    <row r="1700" spans="1:40" x14ac:dyDescent="0.25">
      <c r="A1700" t="str">
        <f>"20190312160632352"</f>
        <v>20190312160632352</v>
      </c>
      <c r="B1700" t="str">
        <f>"1552377992346478"</f>
        <v>1552377992346478</v>
      </c>
      <c r="C1700" t="s">
        <v>40</v>
      </c>
      <c r="D1700">
        <v>6.1809659999999997</v>
      </c>
      <c r="E1700">
        <v>0.53693029999999997</v>
      </c>
      <c r="F1700" t="s">
        <v>66</v>
      </c>
      <c r="G1700">
        <v>-235.84440000000001</v>
      </c>
      <c r="H1700" s="1">
        <v>1.61089E-6</v>
      </c>
      <c r="I1700">
        <v>283.75700000000001</v>
      </c>
      <c r="J1700">
        <v>-213.71279999999999</v>
      </c>
      <c r="K1700">
        <v>1.1090719999999901</v>
      </c>
      <c r="L1700">
        <v>282.96699999999998</v>
      </c>
      <c r="M1700">
        <v>-0.99597899999999995</v>
      </c>
      <c r="N1700">
        <v>0</v>
      </c>
      <c r="O1700">
        <v>-8.8523980000000002E-2</v>
      </c>
      <c r="P1700">
        <v>-0.99765060000000005</v>
      </c>
      <c r="Q1700">
        <v>1.688914E-2</v>
      </c>
      <c r="R1700">
        <v>-6.6393530000000006E-2</v>
      </c>
      <c r="S1700">
        <v>-3.017166</v>
      </c>
      <c r="T1700">
        <v>-0.15028629999999901</v>
      </c>
      <c r="U1700">
        <v>0.1060791</v>
      </c>
      <c r="V1700">
        <v>2.228229E-2</v>
      </c>
      <c r="W1700">
        <v>3.0587019999999999E-2</v>
      </c>
      <c r="X1700">
        <v>0.9992837</v>
      </c>
      <c r="Y1700">
        <v>0.1232143</v>
      </c>
      <c r="Z1700">
        <v>7.4689550000000002E-3</v>
      </c>
      <c r="AA1700">
        <v>0.99235189999999995</v>
      </c>
      <c r="AB1700">
        <v>13</v>
      </c>
      <c r="AC1700">
        <v>-22.131599999999999</v>
      </c>
      <c r="AD1700">
        <v>-1.10907038910999</v>
      </c>
      <c r="AE1700">
        <v>0.79000000000002002</v>
      </c>
      <c r="AF1700">
        <v>2.7393901407094199</v>
      </c>
      <c r="AG1700">
        <v>-1.10907038910999</v>
      </c>
      <c r="AH1700">
        <v>21.919778971606501</v>
      </c>
      <c r="AI1700">
        <v>92.874192121113396</v>
      </c>
      <c r="AJ1700">
        <v>82.876482126544104</v>
      </c>
      <c r="AK1700">
        <v>22.118114875257799</v>
      </c>
      <c r="AL1700">
        <v>88.2472194485931</v>
      </c>
      <c r="AM1700">
        <v>88.7226153653436</v>
      </c>
      <c r="AN1700">
        <v>0.99999998966290704</v>
      </c>
    </row>
    <row r="1701" spans="1:40" x14ac:dyDescent="0.25">
      <c r="A1701" t="str">
        <f>"20190312160632375"</f>
        <v>20190312160632375</v>
      </c>
      <c r="B1701" t="str">
        <f>"1552377992366975"</f>
        <v>1552377992366975</v>
      </c>
      <c r="C1701" t="s">
        <v>40</v>
      </c>
      <c r="D1701">
        <v>6.4908530000000004</v>
      </c>
      <c r="E1701">
        <v>0.53629380000000004</v>
      </c>
      <c r="F1701" t="s">
        <v>66</v>
      </c>
      <c r="G1701">
        <v>-236.06379999999999</v>
      </c>
      <c r="H1701" s="1">
        <v>1.7288059999999901E-6</v>
      </c>
      <c r="I1701">
        <v>283.73</v>
      </c>
      <c r="J1701">
        <v>-213.85659999999999</v>
      </c>
      <c r="K1701">
        <v>1.109197</v>
      </c>
      <c r="L1701">
        <v>282.95949999999999</v>
      </c>
      <c r="M1701">
        <v>-0.99635200000000002</v>
      </c>
      <c r="N1701">
        <v>0</v>
      </c>
      <c r="O1701">
        <v>-8.422615E-2</v>
      </c>
      <c r="P1701">
        <v>-0.99776699999999996</v>
      </c>
      <c r="Q1701">
        <v>1.810111E-2</v>
      </c>
      <c r="R1701">
        <v>-6.4293020000000006E-2</v>
      </c>
      <c r="S1701">
        <v>-3.0164339999999998</v>
      </c>
      <c r="T1701">
        <v>-0.14967720000000001</v>
      </c>
      <c r="U1701">
        <v>0.1029663</v>
      </c>
      <c r="V1701">
        <v>2.0066199999999999E-2</v>
      </c>
      <c r="W1701">
        <v>3.1787589999999998E-2</v>
      </c>
      <c r="X1701">
        <v>0.99929319999999999</v>
      </c>
      <c r="Y1701">
        <v>0.1179306</v>
      </c>
      <c r="Z1701">
        <v>7.0969859999999996E-3</v>
      </c>
      <c r="AA1701">
        <v>0.99299649999999995</v>
      </c>
      <c r="AB1701">
        <v>13</v>
      </c>
      <c r="AC1701">
        <v>-22.2072</v>
      </c>
      <c r="AD1701">
        <v>-1.1091952711939901</v>
      </c>
      <c r="AE1701">
        <v>0.77050000000002605</v>
      </c>
      <c r="AF1701">
        <v>2.63180721928993</v>
      </c>
      <c r="AG1701">
        <v>-1.1091952711939901</v>
      </c>
      <c r="AH1701">
        <v>22.008533141199599</v>
      </c>
      <c r="AI1701">
        <v>92.864799789543795</v>
      </c>
      <c r="AJ1701">
        <v>83.180881532941399</v>
      </c>
      <c r="AK1701">
        <v>22.193067710806101</v>
      </c>
      <c r="AL1701">
        <v>88.1783983936525</v>
      </c>
      <c r="AM1701">
        <v>88.849632841582505</v>
      </c>
      <c r="AN1701">
        <v>1.0000000014133399</v>
      </c>
    </row>
    <row r="1702" spans="1:40" x14ac:dyDescent="0.25">
      <c r="A1702" t="str">
        <f>"20190312160632398"</f>
        <v>20190312160632398</v>
      </c>
      <c r="B1702" t="str">
        <f>"1552377992386494"</f>
        <v>1552377992386494</v>
      </c>
      <c r="C1702" t="s">
        <v>40</v>
      </c>
      <c r="D1702">
        <v>6.7480130000000003</v>
      </c>
      <c r="E1702">
        <v>0.53597150000000005</v>
      </c>
      <c r="F1702" t="s">
        <v>66</v>
      </c>
      <c r="G1702">
        <v>-236.92689999999999</v>
      </c>
      <c r="H1702" s="1">
        <v>2.1870080000000002E-6</v>
      </c>
      <c r="I1702">
        <v>283.75529999999998</v>
      </c>
      <c r="J1702">
        <v>-213.988</v>
      </c>
      <c r="K1702">
        <v>1.1093090000000001</v>
      </c>
      <c r="L1702">
        <v>282.9529</v>
      </c>
      <c r="M1702">
        <v>-0.99665689999999996</v>
      </c>
      <c r="N1702">
        <v>0</v>
      </c>
      <c r="O1702">
        <v>-8.0542100000000005E-2</v>
      </c>
      <c r="P1702">
        <v>-0.99782400000000004</v>
      </c>
      <c r="Q1702">
        <v>1.9072510000000001E-2</v>
      </c>
      <c r="R1702">
        <v>-6.3120259999999997E-2</v>
      </c>
      <c r="S1702">
        <v>-3.016022</v>
      </c>
      <c r="T1702">
        <v>-0.1450071</v>
      </c>
      <c r="U1702">
        <v>0.1040344</v>
      </c>
      <c r="V1702">
        <v>1.753774E-2</v>
      </c>
      <c r="W1702">
        <v>3.2748869999999999E-2</v>
      </c>
      <c r="X1702">
        <v>0.99930969999999997</v>
      </c>
      <c r="Y1702">
        <v>0.114638</v>
      </c>
      <c r="Z1702">
        <v>6.6209809999999997E-3</v>
      </c>
      <c r="AA1702">
        <v>0.99338530000000003</v>
      </c>
      <c r="AB1702">
        <v>13</v>
      </c>
      <c r="AC1702">
        <v>-22.938899999999901</v>
      </c>
      <c r="AD1702">
        <v>-1.1093068129920001</v>
      </c>
      <c r="AE1702">
        <v>0.80239999999997702</v>
      </c>
      <c r="AF1702">
        <v>2.6413440140576698</v>
      </c>
      <c r="AG1702">
        <v>-1.1093068129920001</v>
      </c>
      <c r="AH1702">
        <v>22.746598727064701</v>
      </c>
      <c r="AI1702">
        <v>92.773384206456996</v>
      </c>
      <c r="AJ1702">
        <v>83.376455696667705</v>
      </c>
      <c r="AK1702">
        <v>22.926295240532198</v>
      </c>
      <c r="AL1702">
        <v>88.123292346471004</v>
      </c>
      <c r="AM1702">
        <v>88.994570611381604</v>
      </c>
      <c r="AN1702">
        <v>0.99999996866233598</v>
      </c>
    </row>
    <row r="1703" spans="1:40" x14ac:dyDescent="0.25">
      <c r="A1703" t="str">
        <f>"20190312160632418"</f>
        <v>20190312160632418</v>
      </c>
      <c r="B1703" t="str">
        <f>"1552377992406990"</f>
        <v>1552377992406990</v>
      </c>
      <c r="C1703" t="s">
        <v>40</v>
      </c>
      <c r="D1703">
        <v>6.8874929999999903</v>
      </c>
      <c r="E1703">
        <v>0.53535059999999901</v>
      </c>
      <c r="F1703" t="s">
        <v>66</v>
      </c>
      <c r="G1703">
        <v>-237.54300000000001</v>
      </c>
      <c r="H1703" s="1">
        <v>2.5139549999999998E-6</v>
      </c>
      <c r="I1703">
        <v>283.77539999999999</v>
      </c>
      <c r="J1703">
        <v>-214.1139</v>
      </c>
      <c r="K1703">
        <v>1.109394</v>
      </c>
      <c r="L1703">
        <v>282.94670000000002</v>
      </c>
      <c r="M1703">
        <v>-0.99692259999999999</v>
      </c>
      <c r="N1703">
        <v>0</v>
      </c>
      <c r="O1703">
        <v>-7.7186959999999999E-2</v>
      </c>
      <c r="P1703">
        <v>-0.99788809999999994</v>
      </c>
      <c r="Q1703">
        <v>1.9725929999999999E-2</v>
      </c>
      <c r="R1703">
        <v>-6.1890880000000002E-2</v>
      </c>
      <c r="S1703">
        <v>-3.0159150000000001</v>
      </c>
      <c r="T1703">
        <v>-0.14203270000000001</v>
      </c>
      <c r="U1703">
        <v>0.1053162</v>
      </c>
      <c r="V1703">
        <v>1.539797E-2</v>
      </c>
      <c r="W1703">
        <v>3.3391289999999997E-2</v>
      </c>
      <c r="X1703">
        <v>0.99932370000000004</v>
      </c>
      <c r="Y1703">
        <v>0.11173279999999999</v>
      </c>
      <c r="Z1703">
        <v>6.2595430000000002E-3</v>
      </c>
      <c r="AA1703">
        <v>0.99371860000000001</v>
      </c>
      <c r="AB1703">
        <v>13</v>
      </c>
      <c r="AC1703">
        <v>-23.429099999999998</v>
      </c>
      <c r="AD1703">
        <v>-1.109391486045</v>
      </c>
      <c r="AE1703">
        <v>0.82869999999996902</v>
      </c>
      <c r="AF1703">
        <v>2.6289307849428698</v>
      </c>
      <c r="AG1703">
        <v>-1.109391486045</v>
      </c>
      <c r="AH1703">
        <v>23.243169706043101</v>
      </c>
      <c r="AI1703">
        <v>92.715354158961404</v>
      </c>
      <c r="AJ1703">
        <v>83.546955469819295</v>
      </c>
      <c r="AK1703">
        <v>23.417663515501399</v>
      </c>
      <c r="AL1703">
        <v>88.086464242301503</v>
      </c>
      <c r="AM1703">
        <v>89.117234101339605</v>
      </c>
      <c r="AN1703">
        <v>0.99999996655483703</v>
      </c>
    </row>
    <row r="1704" spans="1:40" x14ac:dyDescent="0.25">
      <c r="A1704" t="str">
        <f>"20190312160632441"</f>
        <v>20190312160632441</v>
      </c>
      <c r="B1704" t="str">
        <f>"1552377992436271"</f>
        <v>1552377992436271</v>
      </c>
      <c r="C1704" t="s">
        <v>40</v>
      </c>
      <c r="D1704">
        <v>6.8803080000000003</v>
      </c>
      <c r="E1704">
        <v>0.53470269999999898</v>
      </c>
      <c r="F1704" t="s">
        <v>66</v>
      </c>
      <c r="G1704">
        <v>-238.2037</v>
      </c>
      <c r="H1704" s="1">
        <v>2.8655209999999999E-6</v>
      </c>
      <c r="I1704">
        <v>283.77659999999997</v>
      </c>
      <c r="J1704">
        <v>-214.24959999999999</v>
      </c>
      <c r="K1704">
        <v>1.1094630000000001</v>
      </c>
      <c r="L1704">
        <v>282.94040000000001</v>
      </c>
      <c r="M1704">
        <v>-0.9971816</v>
      </c>
      <c r="N1704">
        <v>0</v>
      </c>
      <c r="O1704">
        <v>-7.3768200000000006E-2</v>
      </c>
      <c r="P1704">
        <v>-0.99793379999999998</v>
      </c>
      <c r="Q1704">
        <v>2.0357759999999999E-2</v>
      </c>
      <c r="R1704">
        <v>-6.0939979999999998E-2</v>
      </c>
      <c r="S1704">
        <v>-3.0155180000000001</v>
      </c>
      <c r="T1704">
        <v>-0.13887160000000001</v>
      </c>
      <c r="U1704">
        <v>0.1038818</v>
      </c>
      <c r="V1704">
        <v>1.2917379999999999E-2</v>
      </c>
      <c r="W1704">
        <v>3.401274E-2</v>
      </c>
      <c r="X1704">
        <v>0.9993379</v>
      </c>
      <c r="Y1704">
        <v>0.10787389999999999</v>
      </c>
      <c r="Z1704">
        <v>5.8753410000000001E-3</v>
      </c>
      <c r="AA1704">
        <v>0.99414720000000001</v>
      </c>
      <c r="AB1704">
        <v>13</v>
      </c>
      <c r="AC1704">
        <v>-23.9541</v>
      </c>
      <c r="AD1704">
        <v>-1.1094601344789901</v>
      </c>
      <c r="AE1704">
        <v>0.83619999999996197</v>
      </c>
      <c r="AF1704">
        <v>2.59557625269378</v>
      </c>
      <c r="AG1704">
        <v>-1.1094601344789901</v>
      </c>
      <c r="AH1704">
        <v>23.7761899159614</v>
      </c>
      <c r="AI1704">
        <v>92.655879231929703</v>
      </c>
      <c r="AJ1704">
        <v>83.769860346382103</v>
      </c>
      <c r="AK1704">
        <v>23.9431644690799</v>
      </c>
      <c r="AL1704">
        <v>88.050837569435004</v>
      </c>
      <c r="AM1704">
        <v>89.259439533655694</v>
      </c>
      <c r="AN1704">
        <v>0.99999998178239002</v>
      </c>
    </row>
    <row r="1705" spans="1:40" x14ac:dyDescent="0.25">
      <c r="A1705" t="str">
        <f>"20190312160632464"</f>
        <v>20190312160632464</v>
      </c>
      <c r="B1705" t="str">
        <f>"1552377992456766"</f>
        <v>1552377992456766</v>
      </c>
      <c r="C1705" t="s">
        <v>40</v>
      </c>
      <c r="D1705">
        <v>6.6167280000000002</v>
      </c>
      <c r="E1705">
        <v>0.50621910000000003</v>
      </c>
      <c r="F1705" t="s">
        <v>66</v>
      </c>
      <c r="G1705">
        <v>-238.85050000000001</v>
      </c>
      <c r="H1705" s="1">
        <v>3.210017E-6</v>
      </c>
      <c r="I1705">
        <v>283.76929999999999</v>
      </c>
      <c r="J1705">
        <v>-214.38990000000001</v>
      </c>
      <c r="K1705">
        <v>1.1095280000000001</v>
      </c>
      <c r="L1705">
        <v>282.9341</v>
      </c>
      <c r="M1705">
        <v>-0.99742140000000001</v>
      </c>
      <c r="N1705">
        <v>0</v>
      </c>
      <c r="O1705">
        <v>-7.0455470000000006E-2</v>
      </c>
      <c r="P1705">
        <v>-0.99798430000000005</v>
      </c>
      <c r="Q1705">
        <v>2.0619169999999999E-2</v>
      </c>
      <c r="R1705">
        <v>-6.0019990000000002E-2</v>
      </c>
      <c r="S1705">
        <v>-3.0151819999999998</v>
      </c>
      <c r="T1705">
        <v>-0.13597999999999999</v>
      </c>
      <c r="U1705">
        <v>0.101593</v>
      </c>
      <c r="V1705">
        <v>1.051329E-2</v>
      </c>
      <c r="W1705">
        <v>3.4262929999999997E-2</v>
      </c>
      <c r="X1705">
        <v>0.99935759999999996</v>
      </c>
      <c r="Y1705">
        <v>0.1038361</v>
      </c>
      <c r="Z1705">
        <v>5.5137509999999999E-3</v>
      </c>
      <c r="AA1705">
        <v>0.99457910000000005</v>
      </c>
      <c r="AB1705">
        <v>13</v>
      </c>
      <c r="AC1705">
        <v>-24.460599999999999</v>
      </c>
      <c r="AD1705">
        <v>-1.1095247899830001</v>
      </c>
      <c r="AE1705">
        <v>0.83519999999998595</v>
      </c>
      <c r="AF1705">
        <v>2.5514244999749902</v>
      </c>
      <c r="AG1705">
        <v>-1.1095247899830001</v>
      </c>
      <c r="AH1705">
        <v>24.2910317388049</v>
      </c>
      <c r="AI1705">
        <v>92.60095393812</v>
      </c>
      <c r="AJ1705">
        <v>84.003886289655995</v>
      </c>
      <c r="AK1705">
        <v>24.449847344600901</v>
      </c>
      <c r="AL1705">
        <v>88.036494502392102</v>
      </c>
      <c r="AM1705">
        <v>89.397267879220493</v>
      </c>
      <c r="AN1705">
        <v>1.00000004515828</v>
      </c>
    </row>
    <row r="1706" spans="1:40" x14ac:dyDescent="0.25">
      <c r="A1706" t="str">
        <f>"20190312160632488"</f>
        <v>20190312160632488</v>
      </c>
      <c r="B1706" t="str">
        <f>"1552377992476286"</f>
        <v>1552377992476286</v>
      </c>
      <c r="C1706" t="s">
        <v>40</v>
      </c>
      <c r="D1706">
        <v>6.6241770000000004</v>
      </c>
      <c r="E1706">
        <v>0.50882859999999996</v>
      </c>
      <c r="F1706" t="s">
        <v>66</v>
      </c>
      <c r="G1706">
        <v>-247.4983</v>
      </c>
      <c r="H1706" s="1">
        <v>2.4534539999999999E-6</v>
      </c>
      <c r="I1706">
        <v>281.5684</v>
      </c>
      <c r="J1706">
        <v>-214.53280000000001</v>
      </c>
      <c r="K1706">
        <v>1.109605</v>
      </c>
      <c r="L1706">
        <v>282.92779999999999</v>
      </c>
      <c r="M1706">
        <v>-0.99763820000000003</v>
      </c>
      <c r="N1706">
        <v>0</v>
      </c>
      <c r="O1706">
        <v>-6.7318329999999996E-2</v>
      </c>
      <c r="P1706">
        <v>-0.99802639999999998</v>
      </c>
      <c r="Q1706">
        <v>2.105566E-2</v>
      </c>
      <c r="R1706">
        <v>-5.9160570000000003E-2</v>
      </c>
      <c r="S1706">
        <v>-3.0006870000000001</v>
      </c>
      <c r="T1706">
        <v>-0.1005586</v>
      </c>
      <c r="U1706">
        <v>-0.12377929999999999</v>
      </c>
      <c r="V1706">
        <v>8.2241720000000001E-3</v>
      </c>
      <c r="W1706">
        <v>3.468802E-2</v>
      </c>
      <c r="X1706">
        <v>0.99936440000000004</v>
      </c>
      <c r="Y1706">
        <v>2.6093350000000001E-2</v>
      </c>
      <c r="Z1706">
        <v>2.68943E-3</v>
      </c>
      <c r="AA1706">
        <v>0.99965590000000004</v>
      </c>
      <c r="AB1706">
        <v>13</v>
      </c>
      <c r="AC1706">
        <v>-32.965499999999899</v>
      </c>
      <c r="AD1706">
        <v>-1.109602546546</v>
      </c>
      <c r="AE1706">
        <v>-1.3593999999999899</v>
      </c>
      <c r="AF1706">
        <v>0.86209835512594402</v>
      </c>
      <c r="AG1706">
        <v>-1.109602546546</v>
      </c>
      <c r="AH1706">
        <v>32.9449644223386</v>
      </c>
      <c r="AI1706">
        <v>91.9283611249448</v>
      </c>
      <c r="AJ1706">
        <v>88.501035640444798</v>
      </c>
      <c r="AK1706">
        <v>32.974916408906502</v>
      </c>
      <c r="AL1706">
        <v>88.012124162652597</v>
      </c>
      <c r="AM1706">
        <v>89.528500606233393</v>
      </c>
      <c r="AN1706">
        <v>1.0000000498619801</v>
      </c>
    </row>
    <row r="1707" spans="1:40" x14ac:dyDescent="0.25">
      <c r="A1707" t="str">
        <f>"20190312160632510"</f>
        <v>20190312160632510</v>
      </c>
      <c r="B1707" t="str">
        <f>"1552377992506544"</f>
        <v>1552377992506544</v>
      </c>
      <c r="C1707" t="s">
        <v>40</v>
      </c>
      <c r="D1707">
        <v>6.4117220000000001</v>
      </c>
      <c r="E1707">
        <v>0.51269540000000002</v>
      </c>
      <c r="F1707" t="s">
        <v>66</v>
      </c>
      <c r="G1707">
        <v>-242.86369999999999</v>
      </c>
      <c r="H1707" s="1">
        <v>-1.287151E-8</v>
      </c>
      <c r="I1707">
        <v>281.98759999999999</v>
      </c>
      <c r="J1707">
        <v>-214.65819999999999</v>
      </c>
      <c r="K1707">
        <v>1.109685</v>
      </c>
      <c r="L1707">
        <v>282.92250000000001</v>
      </c>
      <c r="M1707">
        <v>-0.99780729999999995</v>
      </c>
      <c r="N1707">
        <v>0</v>
      </c>
      <c r="O1707">
        <v>-6.4767439999999996E-2</v>
      </c>
      <c r="P1707">
        <v>-0.99802809999999997</v>
      </c>
      <c r="Q1707">
        <v>2.1871789999999999E-2</v>
      </c>
      <c r="R1707">
        <v>-5.883592E-2</v>
      </c>
      <c r="S1707">
        <v>-3.0025179999999998</v>
      </c>
      <c r="T1707">
        <v>-0.1175961</v>
      </c>
      <c r="U1707">
        <v>-9.9639889999999995E-2</v>
      </c>
      <c r="V1707">
        <v>5.9869349999999997E-3</v>
      </c>
      <c r="W1707">
        <v>3.54948E-2</v>
      </c>
      <c r="X1707">
        <v>0.99935189999999996</v>
      </c>
      <c r="Y1707">
        <v>3.1566589999999999E-2</v>
      </c>
      <c r="Z1707">
        <v>3.1509839999999999E-3</v>
      </c>
      <c r="AA1707">
        <v>0.99949670000000002</v>
      </c>
      <c r="AB1707">
        <v>13</v>
      </c>
      <c r="AC1707">
        <v>-28.205500000000001</v>
      </c>
      <c r="AD1707">
        <v>-1.1096850128715099</v>
      </c>
      <c r="AE1707">
        <v>-0.93490000000002704</v>
      </c>
      <c r="AF1707">
        <v>0.89265084773424797</v>
      </c>
      <c r="AG1707">
        <v>-1.1096850128715099</v>
      </c>
      <c r="AH1707">
        <v>28.1632800140701</v>
      </c>
      <c r="AI1707">
        <v>92.255260479955396</v>
      </c>
      <c r="AJ1707">
        <v>88.184586116939897</v>
      </c>
      <c r="AK1707">
        <v>28.199265371897098</v>
      </c>
      <c r="AL1707">
        <v>87.965870429250799</v>
      </c>
      <c r="AM1707">
        <v>89.656755539181205</v>
      </c>
      <c r="AN1707">
        <v>0.99999997212567104</v>
      </c>
    </row>
    <row r="1708" spans="1:40" x14ac:dyDescent="0.25">
      <c r="A1708" t="str">
        <f>"20190312160632531"</f>
        <v>20190312160632531</v>
      </c>
      <c r="B1708" t="str">
        <f>"1552377992516303"</f>
        <v>1552377992516303</v>
      </c>
      <c r="C1708" t="s">
        <v>40</v>
      </c>
      <c r="D1708">
        <v>6.5948279999999997</v>
      </c>
      <c r="E1708">
        <v>0.51461029999999996</v>
      </c>
      <c r="F1708" t="s">
        <v>66</v>
      </c>
      <c r="G1708">
        <v>-238.57570000000001</v>
      </c>
      <c r="H1708" s="1">
        <v>3.1240309999999999E-6</v>
      </c>
      <c r="I1708">
        <v>282.39069999999998</v>
      </c>
      <c r="J1708">
        <v>-214.78800000000001</v>
      </c>
      <c r="K1708">
        <v>1.1097790000000001</v>
      </c>
      <c r="L1708">
        <v>282.9171</v>
      </c>
      <c r="M1708">
        <v>-0.99796309999999999</v>
      </c>
      <c r="N1708">
        <v>0</v>
      </c>
      <c r="O1708">
        <v>-6.2323280000000002E-2</v>
      </c>
      <c r="P1708">
        <v>-0.99805279999999996</v>
      </c>
      <c r="Q1708">
        <v>2.253465E-2</v>
      </c>
      <c r="R1708">
        <v>-5.816346E-2</v>
      </c>
      <c r="S1708">
        <v>-3.0050349999999999</v>
      </c>
      <c r="T1708">
        <v>-0.1394224</v>
      </c>
      <c r="U1708">
        <v>-6.6802979999999998E-2</v>
      </c>
      <c r="V1708">
        <v>4.2037350000000001E-3</v>
      </c>
      <c r="W1708">
        <v>3.6147169999999999E-2</v>
      </c>
      <c r="X1708">
        <v>0.99933760000000005</v>
      </c>
      <c r="Y1708">
        <v>4.0022080000000002E-2</v>
      </c>
      <c r="Z1708">
        <v>3.8158409999999999E-3</v>
      </c>
      <c r="AA1708">
        <v>0.99919150000000001</v>
      </c>
      <c r="AB1708">
        <v>13</v>
      </c>
      <c r="AC1708">
        <v>-23.787700000000001</v>
      </c>
      <c r="AD1708">
        <v>-1.109775875969</v>
      </c>
      <c r="AE1708">
        <v>-0.52640000000002296</v>
      </c>
      <c r="AF1708">
        <v>0.95521045382445602</v>
      </c>
      <c r="AG1708">
        <v>-1.109775875969</v>
      </c>
      <c r="AH1708">
        <v>23.722650588392401</v>
      </c>
      <c r="AI1708">
        <v>92.676251437768599</v>
      </c>
      <c r="AJ1708">
        <v>87.694187761211694</v>
      </c>
      <c r="AK1708">
        <v>23.767797130675199</v>
      </c>
      <c r="AL1708">
        <v>87.928468359290093</v>
      </c>
      <c r="AM1708">
        <v>89.758985498924204</v>
      </c>
      <c r="AN1708">
        <v>0.99999996403035896</v>
      </c>
    </row>
    <row r="1709" spans="1:40" x14ac:dyDescent="0.25">
      <c r="A1709" t="str">
        <f>"20190312160632554"</f>
        <v>20190312160632554</v>
      </c>
      <c r="B1709" t="str">
        <f>"1552377992546559"</f>
        <v>1552377992546559</v>
      </c>
      <c r="C1709" t="s">
        <v>40</v>
      </c>
      <c r="D1709">
        <v>6.5245730000000002</v>
      </c>
      <c r="E1709">
        <v>0.51408799999999999</v>
      </c>
      <c r="F1709" t="s">
        <v>66</v>
      </c>
      <c r="G1709">
        <v>-238.14779999999999</v>
      </c>
      <c r="H1709" s="1">
        <v>2.8902089999999999E-6</v>
      </c>
      <c r="I1709">
        <v>282.53149999999999</v>
      </c>
      <c r="J1709">
        <v>-214.91810000000001</v>
      </c>
      <c r="K1709">
        <v>1.1098779999999999</v>
      </c>
      <c r="L1709">
        <v>282.9117</v>
      </c>
      <c r="M1709">
        <v>-0.99810109999999996</v>
      </c>
      <c r="N1709">
        <v>0</v>
      </c>
      <c r="O1709">
        <v>-6.0076039999999997E-2</v>
      </c>
      <c r="P1709">
        <v>-0.9980909</v>
      </c>
      <c r="Q1709">
        <v>2.216974E-2</v>
      </c>
      <c r="R1709">
        <v>-5.7647999999999998E-2</v>
      </c>
      <c r="S1709">
        <v>-3.0061650000000002</v>
      </c>
      <c r="T1709">
        <v>-0.14281629999999901</v>
      </c>
      <c r="U1709">
        <v>-4.9621579999999998E-2</v>
      </c>
      <c r="V1709">
        <v>2.4602769999999999E-3</v>
      </c>
      <c r="W1709">
        <v>3.5772150000000003E-2</v>
      </c>
      <c r="X1709">
        <v>0.99935689999999999</v>
      </c>
      <c r="Y1709">
        <v>4.3482189999999997E-2</v>
      </c>
      <c r="Z1709">
        <v>3.883119E-3</v>
      </c>
      <c r="AA1709">
        <v>0.99904669999999896</v>
      </c>
      <c r="AB1709">
        <v>13</v>
      </c>
      <c r="AC1709">
        <v>-23.229699999999902</v>
      </c>
      <c r="AD1709">
        <v>-1.109875109791</v>
      </c>
      <c r="AE1709">
        <v>-0.38020000000000198</v>
      </c>
      <c r="AF1709">
        <v>1.0138506181140301</v>
      </c>
      <c r="AG1709">
        <v>-1.109875109791</v>
      </c>
      <c r="AH1709">
        <v>23.157728376698799</v>
      </c>
      <c r="AI1709">
        <v>92.741280162562703</v>
      </c>
      <c r="AJ1709">
        <v>87.493178532058394</v>
      </c>
      <c r="AK1709">
        <v>23.206466758301399</v>
      </c>
      <c r="AL1709">
        <v>87.949969314160498</v>
      </c>
      <c r="AM1709">
        <v>89.858946084474496</v>
      </c>
      <c r="AN1709">
        <v>0.99999995662807295</v>
      </c>
    </row>
    <row r="1710" spans="1:40" x14ac:dyDescent="0.25">
      <c r="A1710" t="str">
        <f>"20190312160632576"</f>
        <v>20190312160632576</v>
      </c>
      <c r="B1710" t="str">
        <f>"1552377992567056"</f>
        <v>1552377992567056</v>
      </c>
      <c r="C1710" t="s">
        <v>40</v>
      </c>
      <c r="D1710">
        <v>6.7165990000000004</v>
      </c>
      <c r="E1710">
        <v>0.51438279999999903</v>
      </c>
      <c r="F1710" t="s">
        <v>66</v>
      </c>
      <c r="G1710">
        <v>-237.08770000000001</v>
      </c>
      <c r="H1710" s="1">
        <v>2.3262030000000001E-6</v>
      </c>
      <c r="I1710">
        <v>282.52879999999999</v>
      </c>
      <c r="J1710">
        <v>-215.0506</v>
      </c>
      <c r="K1710">
        <v>1.1099680000000001</v>
      </c>
      <c r="L1710">
        <v>282.90620000000001</v>
      </c>
      <c r="M1710">
        <v>-0.99822319999999998</v>
      </c>
      <c r="N1710">
        <v>0</v>
      </c>
      <c r="O1710">
        <v>-5.8012790000000002E-2</v>
      </c>
      <c r="P1710">
        <v>-0.99811609999999995</v>
      </c>
      <c r="Q1710">
        <v>2.1755980000000001E-2</v>
      </c>
      <c r="R1710">
        <v>-5.7369980000000001E-2</v>
      </c>
      <c r="S1710">
        <v>-3.0060880000000001</v>
      </c>
      <c r="T1710">
        <v>-0.1504934</v>
      </c>
      <c r="U1710">
        <v>-5.1910400000000002E-2</v>
      </c>
      <c r="V1710">
        <v>6.6431520000000003E-4</v>
      </c>
      <c r="W1710">
        <v>3.5348499999999998E-2</v>
      </c>
      <c r="X1710">
        <v>0.99937480000000001</v>
      </c>
      <c r="Y1710">
        <v>4.0649299999999999E-2</v>
      </c>
      <c r="Z1710">
        <v>3.9177309999999998E-3</v>
      </c>
      <c r="AA1710">
        <v>0.99916579999999999</v>
      </c>
      <c r="AB1710">
        <v>13</v>
      </c>
      <c r="AC1710">
        <v>-22.037099999999999</v>
      </c>
      <c r="AD1710">
        <v>-1.1099656737970001</v>
      </c>
      <c r="AE1710">
        <v>-0.377400000000022</v>
      </c>
      <c r="AF1710">
        <v>0.89950629513773595</v>
      </c>
      <c r="AG1710">
        <v>-1.1099656737970001</v>
      </c>
      <c r="AH1710">
        <v>21.966164671254099</v>
      </c>
      <c r="AI1710">
        <v>92.890317235738905</v>
      </c>
      <c r="AJ1710">
        <v>87.655069213050396</v>
      </c>
      <c r="AK1710">
        <v>22.012576535622799</v>
      </c>
      <c r="AL1710">
        <v>87.974258070091096</v>
      </c>
      <c r="AM1710">
        <v>89.961913736848004</v>
      </c>
      <c r="AN1710">
        <v>0.99999997432098697</v>
      </c>
    </row>
    <row r="1711" spans="1:40" x14ac:dyDescent="0.25">
      <c r="A1711" t="str">
        <f>"20190312160632598"</f>
        <v>20190312160632598</v>
      </c>
      <c r="B1711" t="str">
        <f>"1552377992586575"</f>
        <v>1552377992586575</v>
      </c>
      <c r="C1711" t="s">
        <v>40</v>
      </c>
      <c r="D1711">
        <v>6.6408240000000003</v>
      </c>
      <c r="E1711">
        <v>0.51384849999999904</v>
      </c>
      <c r="F1711" t="s">
        <v>66</v>
      </c>
      <c r="G1711">
        <v>-235.9864</v>
      </c>
      <c r="H1711" s="1">
        <v>1.7383519999999999E-6</v>
      </c>
      <c r="I1711">
        <v>282.56950000000001</v>
      </c>
      <c r="J1711">
        <v>-215.17850000000001</v>
      </c>
      <c r="K1711">
        <v>1.1100399999999999</v>
      </c>
      <c r="L1711">
        <v>282.90089999999998</v>
      </c>
      <c r="M1711">
        <v>-0.99832609999999999</v>
      </c>
      <c r="N1711">
        <v>0</v>
      </c>
      <c r="O1711">
        <v>-5.6218419999999998E-2</v>
      </c>
      <c r="P1711">
        <v>-0.99810969999999999</v>
      </c>
      <c r="Q1711">
        <v>2.2113270000000001E-2</v>
      </c>
      <c r="R1711">
        <v>-5.7345189999999997E-2</v>
      </c>
      <c r="S1711">
        <v>-3.0063629999999999</v>
      </c>
      <c r="T1711">
        <v>-0.15939020000000001</v>
      </c>
      <c r="U1711">
        <v>-4.8339840000000002E-2</v>
      </c>
      <c r="V1711">
        <v>-1.1144359999999999E-3</v>
      </c>
      <c r="W1711">
        <v>3.5695900000000003E-2</v>
      </c>
      <c r="X1711">
        <v>0.99936210000000003</v>
      </c>
      <c r="Y1711">
        <v>4.0029629999999997E-2</v>
      </c>
      <c r="Z1711">
        <v>4.037367E-3</v>
      </c>
      <c r="AA1711">
        <v>0.99919029999999998</v>
      </c>
      <c r="AB1711">
        <v>13</v>
      </c>
      <c r="AC1711">
        <v>-20.807899999999901</v>
      </c>
      <c r="AD1711">
        <v>-1.110038261648</v>
      </c>
      <c r="AE1711">
        <v>-0.33139999999997299</v>
      </c>
      <c r="AF1711">
        <v>0.83663900395532098</v>
      </c>
      <c r="AG1711">
        <v>-1.110038261648</v>
      </c>
      <c r="AH1711">
        <v>20.7346249364976</v>
      </c>
      <c r="AI1711">
        <v>93.061945307438904</v>
      </c>
      <c r="AJ1711">
        <v>87.689377335598607</v>
      </c>
      <c r="AK1711">
        <v>20.7811650545028</v>
      </c>
      <c r="AL1711">
        <v>87.954341045517296</v>
      </c>
      <c r="AM1711">
        <v>90.063893210348297</v>
      </c>
      <c r="AN1711">
        <v>1.0000000230804</v>
      </c>
    </row>
    <row r="1712" spans="1:40" x14ac:dyDescent="0.25">
      <c r="A1712" t="str">
        <f>"20190312160632619"</f>
        <v>20190312160632619</v>
      </c>
      <c r="B1712" t="str">
        <f>"1552377992616831"</f>
        <v>1552377992616831</v>
      </c>
      <c r="C1712" t="s">
        <v>40</v>
      </c>
      <c r="D1712">
        <v>6.6049959999999999</v>
      </c>
      <c r="E1712">
        <v>0.513432</v>
      </c>
      <c r="F1712" t="s">
        <v>66</v>
      </c>
      <c r="G1712">
        <v>-237.3991</v>
      </c>
      <c r="H1712" s="1">
        <v>2.492658E-6</v>
      </c>
      <c r="I1712">
        <v>282.51080000000002</v>
      </c>
      <c r="J1712">
        <v>-215.30179999999999</v>
      </c>
      <c r="K1712">
        <v>1.1100730000000001</v>
      </c>
      <c r="L1712">
        <v>282.89580000000001</v>
      </c>
      <c r="M1712">
        <v>-0.99841429999999998</v>
      </c>
      <c r="N1712">
        <v>0</v>
      </c>
      <c r="O1712">
        <v>-5.463374E-2</v>
      </c>
      <c r="P1712">
        <v>-0.99811399999999995</v>
      </c>
      <c r="Q1712">
        <v>2.198058E-2</v>
      </c>
      <c r="R1712">
        <v>-5.7319290000000002E-2</v>
      </c>
      <c r="S1712">
        <v>-3.0059809999999998</v>
      </c>
      <c r="T1712">
        <v>-0.1501651</v>
      </c>
      <c r="U1712">
        <v>-5.2764890000000002E-2</v>
      </c>
      <c r="V1712">
        <v>-2.678906E-3</v>
      </c>
      <c r="W1712">
        <v>3.5554839999999997E-2</v>
      </c>
      <c r="X1712">
        <v>0.99936409999999998</v>
      </c>
      <c r="Y1712">
        <v>3.6991820000000002E-2</v>
      </c>
      <c r="Z1712">
        <v>3.64957E-3</v>
      </c>
      <c r="AA1712">
        <v>0.99930890000000006</v>
      </c>
      <c r="AB1712">
        <v>13</v>
      </c>
      <c r="AC1712">
        <v>-22.097300000000001</v>
      </c>
      <c r="AD1712">
        <v>-1.1100705073420001</v>
      </c>
      <c r="AE1712">
        <v>-0.38499999999999002</v>
      </c>
      <c r="AF1712">
        <v>0.82087343026572501</v>
      </c>
      <c r="AG1712">
        <v>-1.1100705073420001</v>
      </c>
      <c r="AH1712">
        <v>22.029749003316599</v>
      </c>
      <c r="AI1712">
        <v>92.882675086466506</v>
      </c>
      <c r="AJ1712">
        <v>87.866029542086096</v>
      </c>
      <c r="AK1712">
        <v>22.0729683293597</v>
      </c>
      <c r="AL1712">
        <v>87.962428200790399</v>
      </c>
      <c r="AM1712">
        <v>90.153587306038702</v>
      </c>
      <c r="AN1712">
        <v>0.99999996377679501</v>
      </c>
    </row>
    <row r="1713" spans="1:40" x14ac:dyDescent="0.25">
      <c r="A1713" t="str">
        <f>"20190312160632643"</f>
        <v>20190312160632643</v>
      </c>
      <c r="B1713" t="str">
        <f>"1552377992636350"</f>
        <v>1552377992636350</v>
      </c>
      <c r="C1713" t="s">
        <v>40</v>
      </c>
      <c r="D1713">
        <v>6.6450420000000001</v>
      </c>
      <c r="E1713">
        <v>0.5146366</v>
      </c>
      <c r="F1713" t="s">
        <v>66</v>
      </c>
      <c r="G1713">
        <v>-238.76840000000001</v>
      </c>
      <c r="H1713" s="1">
        <v>3.223685E-6</v>
      </c>
      <c r="I1713">
        <v>282.45740000000001</v>
      </c>
      <c r="J1713">
        <v>-215.4402</v>
      </c>
      <c r="K1713">
        <v>1.1100859999999999</v>
      </c>
      <c r="L1713">
        <v>282.89019999999999</v>
      </c>
      <c r="M1713">
        <v>-0.99850220000000001</v>
      </c>
      <c r="N1713">
        <v>0</v>
      </c>
      <c r="O1713">
        <v>-5.3003290000000002E-2</v>
      </c>
      <c r="P1713">
        <v>-0.99815370000000003</v>
      </c>
      <c r="Q1713">
        <v>2.0993640000000001E-2</v>
      </c>
      <c r="R1713">
        <v>-5.6994320000000001E-2</v>
      </c>
      <c r="S1713">
        <v>-3.005585</v>
      </c>
      <c r="T1713">
        <v>-0.14217659999999999</v>
      </c>
      <c r="U1713">
        <v>-5.6152340000000002E-2</v>
      </c>
      <c r="V1713">
        <v>-3.987605E-3</v>
      </c>
      <c r="W1713">
        <v>3.4559819999999998E-2</v>
      </c>
      <c r="X1713">
        <v>0.99939469999999997</v>
      </c>
      <c r="Y1713">
        <v>3.4248309999999997E-2</v>
      </c>
      <c r="Z1713">
        <v>3.314216E-3</v>
      </c>
      <c r="AA1713">
        <v>0.99940790000000002</v>
      </c>
      <c r="AB1713">
        <v>13</v>
      </c>
      <c r="AC1713">
        <v>-23.328199999999999</v>
      </c>
      <c r="AD1713">
        <v>-1.1100827763150001</v>
      </c>
      <c r="AE1713">
        <v>-0.43279999999998597</v>
      </c>
      <c r="AF1713">
        <v>0.802576898983281</v>
      </c>
      <c r="AG1713">
        <v>-1.1100827763150001</v>
      </c>
      <c r="AH1713">
        <v>23.2656802361651</v>
      </c>
      <c r="AI1713">
        <v>92.730078551929793</v>
      </c>
      <c r="AJ1713">
        <v>88.024298392216195</v>
      </c>
      <c r="AK1713">
        <v>23.3059711297456</v>
      </c>
      <c r="AL1713">
        <v>88.019473837323702</v>
      </c>
      <c r="AM1713">
        <v>90.228610102122005</v>
      </c>
      <c r="AN1713">
        <v>1.00000002427007</v>
      </c>
    </row>
    <row r="1714" spans="1:40" x14ac:dyDescent="0.25">
      <c r="A1714" t="str">
        <f>"20190312160632666"</f>
        <v>20190312160632666</v>
      </c>
      <c r="B1714" t="str">
        <f>"1552377992656847"</f>
        <v>1552377992656847</v>
      </c>
      <c r="C1714" t="s">
        <v>40</v>
      </c>
      <c r="D1714">
        <v>6.5511609999999996</v>
      </c>
      <c r="E1714">
        <v>0.51821539999999999</v>
      </c>
      <c r="F1714" t="s">
        <v>66</v>
      </c>
      <c r="G1714">
        <v>-236.74549999999999</v>
      </c>
      <c r="H1714" s="1">
        <v>2.1422859999999998E-6</v>
      </c>
      <c r="I1714">
        <v>282.56970000000001</v>
      </c>
      <c r="J1714">
        <v>-215.57490000000001</v>
      </c>
      <c r="K1714">
        <v>1.110087</v>
      </c>
      <c r="L1714">
        <v>282.88479999999998</v>
      </c>
      <c r="M1714">
        <v>-0.99857830000000003</v>
      </c>
      <c r="N1714">
        <v>0</v>
      </c>
      <c r="O1714">
        <v>-5.1549659999999997E-2</v>
      </c>
      <c r="P1714">
        <v>-0.99818470000000004</v>
      </c>
      <c r="Q1714">
        <v>2.0336259999999998E-2</v>
      </c>
      <c r="R1714">
        <v>-5.6689730000000001E-2</v>
      </c>
      <c r="S1714">
        <v>-3.0062709999999999</v>
      </c>
      <c r="T1714">
        <v>-0.15663740000000001</v>
      </c>
      <c r="U1714">
        <v>-4.5227049999999998E-2</v>
      </c>
      <c r="V1714">
        <v>-5.1376299999999998E-3</v>
      </c>
      <c r="W1714">
        <v>3.3895979999999999E-2</v>
      </c>
      <c r="X1714">
        <v>0.99941219999999997</v>
      </c>
      <c r="Y1714">
        <v>3.6406819999999999E-2</v>
      </c>
      <c r="Z1714">
        <v>3.6308080000000001E-3</v>
      </c>
      <c r="AA1714">
        <v>0.99933050000000001</v>
      </c>
      <c r="AB1714">
        <v>13</v>
      </c>
      <c r="AC1714">
        <v>-21.170599999999901</v>
      </c>
      <c r="AD1714">
        <v>-1.1100848577139999</v>
      </c>
      <c r="AE1714">
        <v>-0.31509999999997201</v>
      </c>
      <c r="AF1714">
        <v>0.77462735053503895</v>
      </c>
      <c r="AG1714">
        <v>-1.1100848577139999</v>
      </c>
      <c r="AH1714">
        <v>21.100689397191299</v>
      </c>
      <c r="AI1714">
        <v>93.009470334132402</v>
      </c>
      <c r="AJ1714">
        <v>87.8975589411139</v>
      </c>
      <c r="AK1714">
        <v>21.144063681333002</v>
      </c>
      <c r="AL1714">
        <v>88.057531395867798</v>
      </c>
      <c r="AM1714">
        <v>90.294535050455195</v>
      </c>
      <c r="AN1714">
        <v>1.0000000391054999</v>
      </c>
    </row>
    <row r="1715" spans="1:40" x14ac:dyDescent="0.25">
      <c r="A1715" t="str">
        <f>"20190312160632690"</f>
        <v>20190312160632690</v>
      </c>
      <c r="B1715" t="str">
        <f>"1552377992676367"</f>
        <v>1552377992676367</v>
      </c>
      <c r="C1715" t="s">
        <v>40</v>
      </c>
      <c r="D1715">
        <v>6.880198</v>
      </c>
      <c r="E1715">
        <v>0.51410869999999997</v>
      </c>
      <c r="F1715" t="s">
        <v>44</v>
      </c>
      <c r="G1715">
        <v>-216.33</v>
      </c>
      <c r="H1715">
        <v>0.99803850000000005</v>
      </c>
      <c r="I1715">
        <v>282.88380000000001</v>
      </c>
      <c r="J1715">
        <v>-215.7079</v>
      </c>
      <c r="K1715">
        <v>1.110093</v>
      </c>
      <c r="L1715">
        <v>282.87950000000001</v>
      </c>
      <c r="M1715">
        <v>-0.99864569999999997</v>
      </c>
      <c r="N1715">
        <v>0</v>
      </c>
      <c r="O1715">
        <v>-5.0232300000000001E-2</v>
      </c>
      <c r="P1715">
        <v>-0.9982297</v>
      </c>
      <c r="Q1715">
        <v>1.9560839999999999E-2</v>
      </c>
      <c r="R1715">
        <v>-5.6169110000000001E-2</v>
      </c>
      <c r="S1715">
        <v>-3.0143589999999998</v>
      </c>
      <c r="T1715">
        <v>-0.44729950000000002</v>
      </c>
      <c r="U1715">
        <v>-3.540039E-3</v>
      </c>
      <c r="V1715">
        <v>-5.9355399999999996E-3</v>
      </c>
      <c r="W1715">
        <v>3.3115360000000003E-2</v>
      </c>
      <c r="X1715">
        <v>0.99943389999999999</v>
      </c>
      <c r="Y1715">
        <v>4.7988790000000003E-2</v>
      </c>
      <c r="Z1715">
        <v>1.0952770000000001E-2</v>
      </c>
      <c r="AA1715">
        <v>0.9987878</v>
      </c>
      <c r="AB1715">
        <v>13</v>
      </c>
      <c r="AC1715">
        <v>-0.62210000000001697</v>
      </c>
      <c r="AD1715">
        <v>-0.112054499999999</v>
      </c>
      <c r="AE1715">
        <v>4.3000000000006297E-3</v>
      </c>
      <c r="AF1715">
        <v>3.44299498773235E-2</v>
      </c>
      <c r="AG1715">
        <v>-0.112054499999999</v>
      </c>
      <c r="AH1715">
        <v>0.60158152417727695</v>
      </c>
      <c r="AI1715">
        <v>100.534515124813</v>
      </c>
      <c r="AJ1715">
        <v>86.724398804655195</v>
      </c>
      <c r="AK1715">
        <v>0.61289637186906298</v>
      </c>
      <c r="AL1715">
        <v>88.102282658364004</v>
      </c>
      <c r="AM1715">
        <v>90.340270019787198</v>
      </c>
      <c r="AN1715">
        <v>0.99999998908611498</v>
      </c>
    </row>
    <row r="1716" spans="1:40" x14ac:dyDescent="0.25">
      <c r="A1716" t="str">
        <f>"20190312160632710"</f>
        <v>20190312160632710</v>
      </c>
      <c r="B1716" t="str">
        <f>"1552377992706624"</f>
        <v>1552377992706624</v>
      </c>
      <c r="C1716" t="s">
        <v>40</v>
      </c>
      <c r="D1716">
        <v>6.7011810000000001</v>
      </c>
      <c r="E1716">
        <v>0.51325109999999996</v>
      </c>
      <c r="F1716" t="s">
        <v>44</v>
      </c>
      <c r="G1716">
        <v>-216.46530000000001</v>
      </c>
      <c r="H1716">
        <v>1.038591</v>
      </c>
      <c r="I1716">
        <v>282.86930000000001</v>
      </c>
      <c r="J1716">
        <v>-215.828</v>
      </c>
      <c r="K1716">
        <v>1.1101049999999999</v>
      </c>
      <c r="L1716">
        <v>282.87490000000003</v>
      </c>
      <c r="M1716">
        <v>-0.99870040000000004</v>
      </c>
      <c r="N1716">
        <v>0</v>
      </c>
      <c r="O1716">
        <v>-4.9134400000000002E-2</v>
      </c>
      <c r="P1716">
        <v>-0.99828819999999996</v>
      </c>
      <c r="Q1716">
        <v>1.8837860000000001E-2</v>
      </c>
      <c r="R1716">
        <v>-5.5373789999999999E-2</v>
      </c>
      <c r="S1716">
        <v>-3.008575</v>
      </c>
      <c r="T1716">
        <v>-0.28414030000000001</v>
      </c>
      <c r="U1716">
        <v>-4.1503909999999998E-2</v>
      </c>
      <c r="V1716">
        <v>-6.2387850000000002E-3</v>
      </c>
      <c r="W1716">
        <v>3.2387619999999999E-2</v>
      </c>
      <c r="X1716">
        <v>0.99945589999999995</v>
      </c>
      <c r="Y1716">
        <v>3.4982939999999997E-2</v>
      </c>
      <c r="Z1716">
        <v>6.2767439999999999E-3</v>
      </c>
      <c r="AA1716">
        <v>0.99936820000000004</v>
      </c>
      <c r="AB1716">
        <v>13</v>
      </c>
      <c r="AC1716">
        <v>-0.63730000000000997</v>
      </c>
      <c r="AD1716">
        <v>-7.15139999999998E-2</v>
      </c>
      <c r="AE1716">
        <v>-5.6000000000153696E-3</v>
      </c>
      <c r="AF1716">
        <v>2.5403137472752899E-2</v>
      </c>
      <c r="AG1716">
        <v>-7.15139999999998E-2</v>
      </c>
      <c r="AH1716">
        <v>0.62888696461624105</v>
      </c>
      <c r="AI1716">
        <v>96.482291191692497</v>
      </c>
      <c r="AJ1716">
        <v>87.686862986881806</v>
      </c>
      <c r="AK1716">
        <v>0.63344959219632402</v>
      </c>
      <c r="AL1716">
        <v>88.144001469749199</v>
      </c>
      <c r="AM1716">
        <v>90.357646002350094</v>
      </c>
      <c r="AN1716">
        <v>0.99999998820617497</v>
      </c>
    </row>
    <row r="1717" spans="1:40" x14ac:dyDescent="0.25">
      <c r="A1717" t="str">
        <f>"20190312160632732"</f>
        <v>20190312160632732</v>
      </c>
      <c r="B1717" t="str">
        <f>"1552377992727124"</f>
        <v>1552377992727124</v>
      </c>
      <c r="C1717" t="s">
        <v>40</v>
      </c>
      <c r="D1717">
        <v>7.2239570000000004</v>
      </c>
      <c r="E1717">
        <v>0.51263249999999905</v>
      </c>
      <c r="F1717" t="s">
        <v>66</v>
      </c>
      <c r="G1717">
        <v>-231.08789999999999</v>
      </c>
      <c r="H1717" s="1">
        <v>-8.7082240000000004E-7</v>
      </c>
      <c r="I1717">
        <v>282.62470000000002</v>
      </c>
      <c r="J1717">
        <v>-215.95760000000001</v>
      </c>
      <c r="K1717">
        <v>1.1101259999999999</v>
      </c>
      <c r="L1717">
        <v>282.8698</v>
      </c>
      <c r="M1717">
        <v>-0.99875389999999997</v>
      </c>
      <c r="N1717">
        <v>0</v>
      </c>
      <c r="O1717">
        <v>-4.8031499999999998E-2</v>
      </c>
      <c r="P1717">
        <v>-0.99834719999999999</v>
      </c>
      <c r="Q1717">
        <v>1.8361530000000001E-2</v>
      </c>
      <c r="R1717">
        <v>-5.4454710000000003E-2</v>
      </c>
      <c r="S1717">
        <v>-3.0065460000000002</v>
      </c>
      <c r="T1717">
        <v>-0.21871650000000001</v>
      </c>
      <c r="U1717">
        <v>-4.9285889999999999E-2</v>
      </c>
      <c r="V1717">
        <v>-6.4237969999999898E-3</v>
      </c>
      <c r="W1717">
        <v>3.190627E-2</v>
      </c>
      <c r="X1717">
        <v>0.99947019999999998</v>
      </c>
      <c r="Y1717">
        <v>3.1447849999999999E-2</v>
      </c>
      <c r="Z1717">
        <v>4.6305390000000004E-3</v>
      </c>
      <c r="AA1717">
        <v>0.99949469999999996</v>
      </c>
      <c r="AB1717">
        <v>13</v>
      </c>
      <c r="AC1717">
        <v>-15.130299999999901</v>
      </c>
      <c r="AD1717">
        <v>-1.1101268708223999</v>
      </c>
      <c r="AE1717">
        <v>-0.245099999999979</v>
      </c>
      <c r="AF1717">
        <v>0.47940058733287699</v>
      </c>
      <c r="AG1717">
        <v>-1.1101268708223999</v>
      </c>
      <c r="AH1717">
        <v>15.0436438305475</v>
      </c>
      <c r="AI1717">
        <v>94.218287039567002</v>
      </c>
      <c r="AJ1717">
        <v>88.174754847286593</v>
      </c>
      <c r="AK1717">
        <v>15.092164400536699</v>
      </c>
      <c r="AL1717">
        <v>88.171595036722394</v>
      </c>
      <c r="AM1717">
        <v>90.368246485656698</v>
      </c>
      <c r="AN1717">
        <v>0.99999997796062401</v>
      </c>
    </row>
    <row r="1718" spans="1:40" x14ac:dyDescent="0.25">
      <c r="A1718" t="str">
        <f>"20190312160632755"</f>
        <v>20190312160632755</v>
      </c>
      <c r="B1718" t="str">
        <f>"1552377992746644"</f>
        <v>1552377992746644</v>
      </c>
      <c r="C1718" t="s">
        <v>40</v>
      </c>
      <c r="D1718">
        <v>6.6583479999999904</v>
      </c>
      <c r="E1718">
        <v>0.51259460000000001</v>
      </c>
      <c r="F1718" t="s">
        <v>66</v>
      </c>
      <c r="G1718">
        <v>-232.70590000000001</v>
      </c>
      <c r="H1718" s="1">
        <v>-7.8169359999999992E-9</v>
      </c>
      <c r="I1718">
        <v>282.58030000000002</v>
      </c>
      <c r="J1718">
        <v>-216.08760000000001</v>
      </c>
      <c r="K1718">
        <v>1.110141</v>
      </c>
      <c r="L1718">
        <v>282.8648</v>
      </c>
      <c r="M1718">
        <v>-0.998803</v>
      </c>
      <c r="N1718">
        <v>0</v>
      </c>
      <c r="O1718">
        <v>-4.7004539999999997E-2</v>
      </c>
      <c r="P1718">
        <v>-0.99834389999999995</v>
      </c>
      <c r="Q1718">
        <v>1.8378200000000001E-2</v>
      </c>
      <c r="R1718">
        <v>-5.4515149999999998E-2</v>
      </c>
      <c r="S1718">
        <v>-3.0057680000000002</v>
      </c>
      <c r="T1718">
        <v>-0.19922980000000001</v>
      </c>
      <c r="U1718">
        <v>-5.1971440000000001E-2</v>
      </c>
      <c r="V1718">
        <v>-7.5142159999999998E-3</v>
      </c>
      <c r="W1718">
        <v>3.1919129999999997E-2</v>
      </c>
      <c r="X1718">
        <v>0.99946219999999997</v>
      </c>
      <c r="Y1718">
        <v>2.9565069999999999E-2</v>
      </c>
      <c r="Z1718">
        <v>4.0897169999999997E-3</v>
      </c>
      <c r="AA1718">
        <v>0.99955450000000001</v>
      </c>
      <c r="AB1718">
        <v>13</v>
      </c>
      <c r="AC1718">
        <v>-16.618300000000001</v>
      </c>
      <c r="AD1718">
        <v>-1.11014100781693</v>
      </c>
      <c r="AE1718">
        <v>-0.28449999999997999</v>
      </c>
      <c r="AF1718">
        <v>0.494814122221095</v>
      </c>
      <c r="AG1718">
        <v>-1.11014100781693</v>
      </c>
      <c r="AH1718">
        <v>16.5395152505019</v>
      </c>
      <c r="AI1718">
        <v>93.838251208942097</v>
      </c>
      <c r="AJ1718">
        <v>88.286388284278104</v>
      </c>
      <c r="AK1718">
        <v>16.584113446137799</v>
      </c>
      <c r="AL1718">
        <v>88.170857862756193</v>
      </c>
      <c r="AM1718">
        <v>90.430756412378102</v>
      </c>
      <c r="AN1718">
        <v>0.99999999176544496</v>
      </c>
    </row>
    <row r="1719" spans="1:40" x14ac:dyDescent="0.25">
      <c r="A1719" t="str">
        <f>"20190312160632787"</f>
        <v>20190312160632787</v>
      </c>
      <c r="B1719" t="str">
        <f>"1552377992776900"</f>
        <v>1552377992776900</v>
      </c>
      <c r="C1719" t="s">
        <v>40</v>
      </c>
      <c r="D1719">
        <v>6.7192369999999997</v>
      </c>
      <c r="E1719">
        <v>0.51165249999999995</v>
      </c>
      <c r="F1719" t="s">
        <v>66</v>
      </c>
      <c r="G1719">
        <v>-233.2259</v>
      </c>
      <c r="H1719" s="1">
        <v>2.6940350000000001E-7</v>
      </c>
      <c r="I1719">
        <v>282.56760000000003</v>
      </c>
      <c r="J1719">
        <v>-216.27170000000001</v>
      </c>
      <c r="K1719">
        <v>1.1101559999999999</v>
      </c>
      <c r="L1719">
        <v>282.85770000000002</v>
      </c>
      <c r="M1719">
        <v>-0.99886459999999999</v>
      </c>
      <c r="N1719">
        <v>0</v>
      </c>
      <c r="O1719">
        <v>-4.5678129999999997E-2</v>
      </c>
      <c r="P1719">
        <v>-0.99833059999999996</v>
      </c>
      <c r="Q1719">
        <v>1.8341799999999998E-2</v>
      </c>
      <c r="R1719">
        <v>-5.4767929999999999E-2</v>
      </c>
      <c r="S1719">
        <v>-3.0057070000000001</v>
      </c>
      <c r="T1719">
        <v>-0.19469700000000001</v>
      </c>
      <c r="U1719">
        <v>-5.212402E-2</v>
      </c>
      <c r="V1719">
        <v>-9.0964649999999998E-3</v>
      </c>
      <c r="W1719">
        <v>3.1876710000000003E-2</v>
      </c>
      <c r="X1719">
        <v>0.99945039999999996</v>
      </c>
      <c r="Y1719">
        <v>2.8199760000000001E-2</v>
      </c>
      <c r="Z1719">
        <v>3.86703E-3</v>
      </c>
      <c r="AA1719">
        <v>0.99959480000000001</v>
      </c>
      <c r="AB1719">
        <v>13</v>
      </c>
      <c r="AC1719">
        <v>-16.954199999999901</v>
      </c>
      <c r="AD1719">
        <v>-1.1101557305965</v>
      </c>
      <c r="AE1719">
        <v>-0.29009999999999497</v>
      </c>
      <c r="AF1719">
        <v>0.48264112747465399</v>
      </c>
      <c r="AG1719">
        <v>-1.1101557305965</v>
      </c>
      <c r="AH1719">
        <v>16.877410335530801</v>
      </c>
      <c r="AI1719">
        <v>93.761824666282394</v>
      </c>
      <c r="AJ1719">
        <v>88.361966400293994</v>
      </c>
      <c r="AK1719">
        <v>16.920767353698501</v>
      </c>
      <c r="AL1719">
        <v>88.173289576978604</v>
      </c>
      <c r="AM1719">
        <v>90.521461257616295</v>
      </c>
      <c r="AN1719">
        <v>0.99999998618803998</v>
      </c>
    </row>
    <row r="1720" spans="1:40" x14ac:dyDescent="0.25">
      <c r="A1720" t="str">
        <f>"20190312160632809"</f>
        <v>20190312160632809</v>
      </c>
      <c r="B1720" t="str">
        <f>"1552377992796420"</f>
        <v>1552377992796420</v>
      </c>
      <c r="C1720" t="s">
        <v>40</v>
      </c>
      <c r="D1720">
        <v>6.6156139999999999</v>
      </c>
      <c r="E1720">
        <v>0.51066590000000001</v>
      </c>
      <c r="F1720" t="s">
        <v>66</v>
      </c>
      <c r="G1720">
        <v>-234.7764</v>
      </c>
      <c r="H1720" s="1">
        <v>1.0982750000000001E-6</v>
      </c>
      <c r="I1720">
        <v>282.48219999999998</v>
      </c>
      <c r="J1720">
        <v>-216.3965</v>
      </c>
      <c r="K1720">
        <v>1.1101490000000001</v>
      </c>
      <c r="L1720">
        <v>282.85300000000001</v>
      </c>
      <c r="M1720">
        <v>-0.99890270000000003</v>
      </c>
      <c r="N1720">
        <v>0</v>
      </c>
      <c r="O1720">
        <v>-4.4835470000000002E-2</v>
      </c>
      <c r="P1720">
        <v>-0.99841729999999995</v>
      </c>
      <c r="Q1720">
        <v>1.7137179999999998E-2</v>
      </c>
      <c r="R1720">
        <v>-5.3565519999999998E-2</v>
      </c>
      <c r="S1720">
        <v>-3.0050050000000001</v>
      </c>
      <c r="T1720">
        <v>-0.18027899999999999</v>
      </c>
      <c r="U1720">
        <v>-6.097412E-2</v>
      </c>
      <c r="V1720">
        <v>-8.7345979999999997E-3</v>
      </c>
      <c r="W1720">
        <v>3.0669470000000001E-2</v>
      </c>
      <c r="X1720">
        <v>0.99949140000000003</v>
      </c>
      <c r="Y1720">
        <v>2.4439639999999999E-2</v>
      </c>
      <c r="Z1720">
        <v>3.4187520000000002E-3</v>
      </c>
      <c r="AA1720">
        <v>0.99969549999999996</v>
      </c>
      <c r="AB1720">
        <v>13</v>
      </c>
      <c r="AC1720">
        <v>-18.3798999999999</v>
      </c>
      <c r="AD1720">
        <v>-1.110147901725</v>
      </c>
      <c r="AE1720">
        <v>-0.37080000000003099</v>
      </c>
      <c r="AF1720">
        <v>0.45207132787975601</v>
      </c>
      <c r="AG1720">
        <v>-1.110147901725</v>
      </c>
      <c r="AH1720">
        <v>18.311264539208999</v>
      </c>
      <c r="AI1720">
        <v>93.468341887926002</v>
      </c>
      <c r="AJ1720">
        <v>88.585760225705599</v>
      </c>
      <c r="AK1720">
        <v>18.350455195283001</v>
      </c>
      <c r="AL1720">
        <v>88.242493184455597</v>
      </c>
      <c r="AM1720">
        <v>90.500697516407897</v>
      </c>
      <c r="AN1720">
        <v>0.99999998413313096</v>
      </c>
    </row>
    <row r="1721" spans="1:40" x14ac:dyDescent="0.25">
      <c r="A1721" t="str">
        <f>"20190312160632831"</f>
        <v>20190312160632831</v>
      </c>
      <c r="B1721" t="str">
        <f>"1552377992826728"</f>
        <v>1552377992826728</v>
      </c>
      <c r="C1721" t="s">
        <v>40</v>
      </c>
      <c r="D1721">
        <v>6.324319</v>
      </c>
      <c r="E1721">
        <v>0.51033499999999998</v>
      </c>
      <c r="F1721" t="s">
        <v>66</v>
      </c>
      <c r="G1721">
        <v>-234.9991</v>
      </c>
      <c r="H1721" s="1">
        <v>1.2184099999999999E-6</v>
      </c>
      <c r="I1721">
        <v>282.44479999999999</v>
      </c>
      <c r="J1721">
        <v>-216.52440000000001</v>
      </c>
      <c r="K1721">
        <v>1.110128</v>
      </c>
      <c r="L1721">
        <v>282.84820000000002</v>
      </c>
      <c r="M1721">
        <v>-0.99893929999999997</v>
      </c>
      <c r="N1721">
        <v>0</v>
      </c>
      <c r="O1721">
        <v>-4.401269E-2</v>
      </c>
      <c r="P1721">
        <v>-0.99851160000000005</v>
      </c>
      <c r="Q1721">
        <v>1.6247859999999999E-2</v>
      </c>
      <c r="R1721">
        <v>-5.2064720000000002E-2</v>
      </c>
      <c r="S1721">
        <v>-3.0043030000000002</v>
      </c>
      <c r="T1721">
        <v>-0.1792878</v>
      </c>
      <c r="U1721">
        <v>-6.5917970000000006E-2</v>
      </c>
      <c r="V1721">
        <v>-8.0532829999999996E-3</v>
      </c>
      <c r="W1721">
        <v>2.9777720000000001E-2</v>
      </c>
      <c r="X1721">
        <v>0.99952410000000003</v>
      </c>
      <c r="Y1721">
        <v>2.1974210000000001E-2</v>
      </c>
      <c r="Z1721">
        <v>3.2782000000000002E-3</v>
      </c>
      <c r="AA1721">
        <v>0.99975320000000001</v>
      </c>
      <c r="AB1721">
        <v>13</v>
      </c>
      <c r="AC1721">
        <v>-18.474699999999899</v>
      </c>
      <c r="AD1721">
        <v>-1.11012678159</v>
      </c>
      <c r="AE1721">
        <v>-0.40340000000003301</v>
      </c>
      <c r="AF1721">
        <v>0.40871166809910398</v>
      </c>
      <c r="AG1721">
        <v>-1.11012678159</v>
      </c>
      <c r="AH1721">
        <v>18.408116211301898</v>
      </c>
      <c r="AI1721">
        <v>93.450272866705504</v>
      </c>
      <c r="AJ1721">
        <v>88.728082412122504</v>
      </c>
      <c r="AK1721">
        <v>18.4460881800896</v>
      </c>
      <c r="AL1721">
        <v>88.293610072784602</v>
      </c>
      <c r="AM1721">
        <v>90.461628832004394</v>
      </c>
      <c r="AN1721">
        <v>0.99999999722814303</v>
      </c>
    </row>
    <row r="1722" spans="1:40" x14ac:dyDescent="0.25">
      <c r="A1722" t="str">
        <f>"20190312160632856"</f>
        <v>20190312160632856</v>
      </c>
      <c r="B1722" t="str">
        <f>"1552377992847224"</f>
        <v>1552377992847224</v>
      </c>
      <c r="C1722" t="s">
        <v>40</v>
      </c>
      <c r="D1722">
        <v>6.203538</v>
      </c>
      <c r="E1722">
        <v>0.51051539999999995</v>
      </c>
      <c r="F1722" t="s">
        <v>66</v>
      </c>
      <c r="G1722">
        <v>-235.18510000000001</v>
      </c>
      <c r="H1722" s="1">
        <v>1.3171949999999999E-6</v>
      </c>
      <c r="I1722">
        <v>282.44900000000001</v>
      </c>
      <c r="J1722">
        <v>-216.65770000000001</v>
      </c>
      <c r="K1722">
        <v>1.110098</v>
      </c>
      <c r="L1722">
        <v>282.8433</v>
      </c>
      <c r="M1722">
        <v>-0.99897539999999996</v>
      </c>
      <c r="N1722">
        <v>0</v>
      </c>
      <c r="O1722">
        <v>-4.3187929999999999E-2</v>
      </c>
      <c r="P1722">
        <v>-0.99860479999999996</v>
      </c>
      <c r="Q1722">
        <v>1.475363E-2</v>
      </c>
      <c r="R1722">
        <v>-5.070177E-2</v>
      </c>
      <c r="S1722">
        <v>-3.0040279999999999</v>
      </c>
      <c r="T1722">
        <v>-0.17871010000000001</v>
      </c>
      <c r="U1722">
        <v>-6.4270019999999997E-2</v>
      </c>
      <c r="V1722">
        <v>-7.5121789999999999E-3</v>
      </c>
      <c r="W1722">
        <v>2.828108E-2</v>
      </c>
      <c r="X1722">
        <v>0.99957180000000001</v>
      </c>
      <c r="Y1722">
        <v>2.1697640000000001E-2</v>
      </c>
      <c r="Z1722">
        <v>3.210788E-3</v>
      </c>
      <c r="AA1722">
        <v>0.99975939999999996</v>
      </c>
      <c r="AB1722">
        <v>13</v>
      </c>
      <c r="AC1722">
        <v>-18.5274</v>
      </c>
      <c r="AD1722">
        <v>-1.1100966828049901</v>
      </c>
      <c r="AE1722">
        <v>-0.39429999999998699</v>
      </c>
      <c r="AF1722">
        <v>0.40484848069556501</v>
      </c>
      <c r="AG1722">
        <v>-1.1100966828049901</v>
      </c>
      <c r="AH1722">
        <v>18.460896360834699</v>
      </c>
      <c r="AI1722">
        <v>93.440359771000004</v>
      </c>
      <c r="AJ1722">
        <v>88.743701748939003</v>
      </c>
      <c r="AK1722">
        <v>18.498673233045</v>
      </c>
      <c r="AL1722">
        <v>88.379397424276306</v>
      </c>
      <c r="AM1722">
        <v>90.430592428126403</v>
      </c>
      <c r="AN1722">
        <v>1.0000000178372599</v>
      </c>
    </row>
    <row r="1723" spans="1:40" x14ac:dyDescent="0.25">
      <c r="A1723" t="str">
        <f>"20190312160632878"</f>
        <v>20190312160632878</v>
      </c>
      <c r="B1723" t="str">
        <f>"1552377992866744"</f>
        <v>1552377992866744</v>
      </c>
      <c r="C1723" t="s">
        <v>40</v>
      </c>
      <c r="D1723">
        <v>6.5812140000000001</v>
      </c>
      <c r="E1723">
        <v>0.51027109999999998</v>
      </c>
      <c r="F1723" t="s">
        <v>66</v>
      </c>
      <c r="G1723">
        <v>-234.72319999999999</v>
      </c>
      <c r="H1723" s="1">
        <v>1.06948E-6</v>
      </c>
      <c r="I1723">
        <v>282.49239999999998</v>
      </c>
      <c r="J1723">
        <v>-216.78989999999999</v>
      </c>
      <c r="K1723">
        <v>1.110077</v>
      </c>
      <c r="L1723">
        <v>282.83859999999999</v>
      </c>
      <c r="M1723">
        <v>-0.99900979999999995</v>
      </c>
      <c r="N1723">
        <v>0</v>
      </c>
      <c r="O1723">
        <v>-4.2387149999999998E-2</v>
      </c>
      <c r="P1723">
        <v>-0.99871529999999997</v>
      </c>
      <c r="Q1723">
        <v>1.400568E-2</v>
      </c>
      <c r="R1723">
        <v>-4.8700149999999998E-2</v>
      </c>
      <c r="S1723">
        <v>-3.0039669999999998</v>
      </c>
      <c r="T1723">
        <v>-0.18458939999999999</v>
      </c>
      <c r="U1723">
        <v>-5.8349610000000003E-2</v>
      </c>
      <c r="V1723">
        <v>-6.3083319999999998E-3</v>
      </c>
      <c r="W1723">
        <v>2.7530829999999999E-2</v>
      </c>
      <c r="X1723">
        <v>0.99960110000000002</v>
      </c>
      <c r="Y1723">
        <v>2.2856999999999999E-2</v>
      </c>
      <c r="Z1723">
        <v>3.3028509999999999E-3</v>
      </c>
      <c r="AA1723">
        <v>0.99973330000000005</v>
      </c>
      <c r="AB1723">
        <v>13</v>
      </c>
      <c r="AC1723">
        <v>-17.933299999999999</v>
      </c>
      <c r="AD1723">
        <v>-1.1100759305200001</v>
      </c>
      <c r="AE1723">
        <v>-0.34620000000001</v>
      </c>
      <c r="AF1723">
        <v>0.41274125690285302</v>
      </c>
      <c r="AG1723">
        <v>-1.1100759305200001</v>
      </c>
      <c r="AH1723">
        <v>17.863434676286602</v>
      </c>
      <c r="AI1723">
        <v>93.554975840576404</v>
      </c>
      <c r="AJ1723">
        <v>88.676395354930904</v>
      </c>
      <c r="AK1723">
        <v>17.902651265961399</v>
      </c>
      <c r="AL1723">
        <v>88.422400381816303</v>
      </c>
      <c r="AM1723">
        <v>90.361580235491999</v>
      </c>
      <c r="AN1723">
        <v>1.00000005038715</v>
      </c>
    </row>
    <row r="1724" spans="1:40" x14ac:dyDescent="0.25">
      <c r="A1724" t="str">
        <f>"20190312160632899"</f>
        <v>20190312160632899</v>
      </c>
      <c r="B1724" t="str">
        <f>"1552377992886265"</f>
        <v>1552377992886265</v>
      </c>
      <c r="C1724" t="s">
        <v>40</v>
      </c>
      <c r="D1724">
        <v>6.5492980000000003</v>
      </c>
      <c r="E1724">
        <v>0.51123299999999905</v>
      </c>
      <c r="F1724" t="s">
        <v>66</v>
      </c>
      <c r="G1724">
        <v>-235.2877</v>
      </c>
      <c r="H1724" s="1">
        <v>1.3694749999999999E-6</v>
      </c>
      <c r="I1724">
        <v>282.50200000000001</v>
      </c>
      <c r="J1724">
        <v>-216.9101</v>
      </c>
      <c r="K1724">
        <v>1.110052</v>
      </c>
      <c r="L1724">
        <v>282.83440000000002</v>
      </c>
      <c r="M1724">
        <v>-0.9990405</v>
      </c>
      <c r="N1724">
        <v>0</v>
      </c>
      <c r="O1724">
        <v>-4.1658779999999999E-2</v>
      </c>
      <c r="P1724">
        <v>-0.99885460000000004</v>
      </c>
      <c r="Q1724">
        <v>1.361741E-2</v>
      </c>
      <c r="R1724">
        <v>-4.5873190000000001E-2</v>
      </c>
      <c r="S1724">
        <v>-3.0036930000000002</v>
      </c>
      <c r="T1724">
        <v>-0.1802551</v>
      </c>
      <c r="U1724">
        <v>-5.4656980000000001E-2</v>
      </c>
      <c r="V1724">
        <v>-4.2063509999999997E-3</v>
      </c>
      <c r="W1724">
        <v>2.7139489999999999E-2</v>
      </c>
      <c r="X1724">
        <v>0.99962280000000003</v>
      </c>
      <c r="Y1724">
        <v>2.3361010000000001E-2</v>
      </c>
      <c r="Z1724">
        <v>3.1972599999999999E-3</v>
      </c>
      <c r="AA1724">
        <v>0.999722</v>
      </c>
      <c r="AB1724">
        <v>13</v>
      </c>
      <c r="AC1724">
        <v>-18.377600000000001</v>
      </c>
      <c r="AD1724">
        <v>-1.110050630525</v>
      </c>
      <c r="AE1724">
        <v>-0.33240000000000602</v>
      </c>
      <c r="AF1724">
        <v>0.43197141409324002</v>
      </c>
      <c r="AG1724">
        <v>-1.110050630525</v>
      </c>
      <c r="AH1724">
        <v>18.308715539790501</v>
      </c>
      <c r="AI1724">
        <v>93.468611748165003</v>
      </c>
      <c r="AJ1724">
        <v>88.6484279652677</v>
      </c>
      <c r="AK1724">
        <v>18.347421519709201</v>
      </c>
      <c r="AL1724">
        <v>88.444830804876801</v>
      </c>
      <c r="AM1724">
        <v>90.241095678277404</v>
      </c>
      <c r="AN1724">
        <v>0.99999999379301696</v>
      </c>
    </row>
    <row r="1725" spans="1:40" x14ac:dyDescent="0.25">
      <c r="A1725" t="str">
        <f>"20190312160632921"</f>
        <v>20190312160632921</v>
      </c>
      <c r="B1725" t="str">
        <f>"1552377992916520"</f>
        <v>1552377992916520</v>
      </c>
      <c r="C1725" t="s">
        <v>40</v>
      </c>
      <c r="D1725">
        <v>6.7025560000000004</v>
      </c>
      <c r="E1725">
        <v>0.51439880000000004</v>
      </c>
      <c r="F1725" t="s">
        <v>66</v>
      </c>
      <c r="G1725">
        <v>-234.52510000000001</v>
      </c>
      <c r="H1725" s="1">
        <v>9.5895479999999999E-7</v>
      </c>
      <c r="I1725">
        <v>282.60980000000001</v>
      </c>
      <c r="J1725">
        <v>-217.0318</v>
      </c>
      <c r="K1725">
        <v>1.1100369999999999</v>
      </c>
      <c r="L1725">
        <v>282.83019999999999</v>
      </c>
      <c r="M1725">
        <v>-0.99907109999999999</v>
      </c>
      <c r="N1725">
        <v>0</v>
      </c>
      <c r="O1725">
        <v>-4.0917660000000002E-2</v>
      </c>
      <c r="P1725">
        <v>-0.99896070000000003</v>
      </c>
      <c r="Q1725">
        <v>1.2230670000000001E-2</v>
      </c>
      <c r="R1725">
        <v>-4.391014E-2</v>
      </c>
      <c r="S1725">
        <v>-3.0042420000000001</v>
      </c>
      <c r="T1725">
        <v>-0.18931970000000001</v>
      </c>
      <c r="U1725">
        <v>-3.8299560000000003E-2</v>
      </c>
      <c r="V1725">
        <v>-2.9819249999999999E-3</v>
      </c>
      <c r="W1725">
        <v>2.5750950000000002E-2</v>
      </c>
      <c r="X1725">
        <v>0.99966390000000005</v>
      </c>
      <c r="Y1725">
        <v>2.804456E-2</v>
      </c>
      <c r="Z1725">
        <v>3.458133E-3</v>
      </c>
      <c r="AA1725">
        <v>0.99960070000000001</v>
      </c>
      <c r="AB1725">
        <v>13</v>
      </c>
      <c r="AC1725">
        <v>-17.493300000000001</v>
      </c>
      <c r="AD1725">
        <v>-1.1100360410451999</v>
      </c>
      <c r="AE1725">
        <v>-0.220399999999983</v>
      </c>
      <c r="AF1725">
        <v>0.49364753523979699</v>
      </c>
      <c r="AG1725">
        <v>-1.1100360410451999</v>
      </c>
      <c r="AH1725">
        <v>17.417545048325699</v>
      </c>
      <c r="AI1725">
        <v>93.645120871952898</v>
      </c>
      <c r="AJ1725">
        <v>88.376559341549196</v>
      </c>
      <c r="AK1725">
        <v>17.4598609218951</v>
      </c>
      <c r="AL1725">
        <v>88.524416074685504</v>
      </c>
      <c r="AM1725">
        <v>90.170908652987407</v>
      </c>
      <c r="AN1725">
        <v>0.99999995813290798</v>
      </c>
    </row>
    <row r="1726" spans="1:40" x14ac:dyDescent="0.25">
      <c r="A1726" t="str">
        <f>"20190312160632944"</f>
        <v>20190312160632944</v>
      </c>
      <c r="B1726" t="str">
        <f>"1552377992936546"</f>
        <v>1552377992936546</v>
      </c>
      <c r="C1726" t="s">
        <v>40</v>
      </c>
      <c r="D1726">
        <v>6.6375759999999904</v>
      </c>
      <c r="E1726">
        <v>0.51615789999999995</v>
      </c>
      <c r="F1726" t="s">
        <v>44</v>
      </c>
      <c r="G1726">
        <v>-217.83840000000001</v>
      </c>
      <c r="H1726">
        <v>1.046287</v>
      </c>
      <c r="I1726">
        <v>282.82909999999998</v>
      </c>
      <c r="J1726">
        <v>-217.15950000000001</v>
      </c>
      <c r="K1726">
        <v>1.110017</v>
      </c>
      <c r="L1726">
        <v>282.82580000000002</v>
      </c>
      <c r="M1726">
        <v>-0.99910299999999996</v>
      </c>
      <c r="N1726">
        <v>0</v>
      </c>
      <c r="O1726">
        <v>-4.0133969999999998E-2</v>
      </c>
      <c r="P1726">
        <v>-0.99900979999999995</v>
      </c>
      <c r="Q1726">
        <v>1.1652529999999999E-2</v>
      </c>
      <c r="R1726">
        <v>-4.2937700000000002E-2</v>
      </c>
      <c r="S1726">
        <v>-3.005798</v>
      </c>
      <c r="T1726">
        <v>-0.2377552</v>
      </c>
      <c r="U1726">
        <v>-5.3100589999999998E-3</v>
      </c>
      <c r="V1726">
        <v>-2.7917720000000001E-3</v>
      </c>
      <c r="W1726">
        <v>2.5170830000000002E-2</v>
      </c>
      <c r="X1726">
        <v>0.99967930000000005</v>
      </c>
      <c r="Y1726">
        <v>3.812799E-2</v>
      </c>
      <c r="Z1726">
        <v>4.6748069999999996E-3</v>
      </c>
      <c r="AA1726">
        <v>0.99926190000000004</v>
      </c>
      <c r="AB1726">
        <v>13</v>
      </c>
      <c r="AC1726">
        <v>-0.67889999999999795</v>
      </c>
      <c r="AD1726">
        <v>-6.3729999999999801E-2</v>
      </c>
      <c r="AE1726">
        <v>3.2999999999674301E-3</v>
      </c>
      <c r="AF1726">
        <v>3.0279957297361201E-2</v>
      </c>
      <c r="AG1726">
        <v>-6.3729999999999801E-2</v>
      </c>
      <c r="AH1726">
        <v>0.67229630275908803</v>
      </c>
      <c r="AI1726">
        <v>95.409692394745804</v>
      </c>
      <c r="AJ1726">
        <v>87.421163783248701</v>
      </c>
      <c r="AK1726">
        <v>0.67598868882361396</v>
      </c>
      <c r="AL1726">
        <v>88.5576653920224</v>
      </c>
      <c r="AM1726">
        <v>90.160007651584706</v>
      </c>
      <c r="AN1726">
        <v>1.0000000337611299</v>
      </c>
    </row>
    <row r="1727" spans="1:40" x14ac:dyDescent="0.25">
      <c r="A1727" t="str">
        <f>"20190312160632966"</f>
        <v>20190312160632966</v>
      </c>
      <c r="B1727" t="str">
        <f>"1552377992957042"</f>
        <v>1552377992957042</v>
      </c>
      <c r="C1727" t="s">
        <v>40</v>
      </c>
      <c r="D1727">
        <v>6.6832759999999896</v>
      </c>
      <c r="E1727">
        <v>0.51770369999999999</v>
      </c>
      <c r="F1727" t="s">
        <v>44</v>
      </c>
      <c r="G1727">
        <v>-217.94569999999999</v>
      </c>
      <c r="H1727">
        <v>1.040333</v>
      </c>
      <c r="I1727">
        <v>282.82920000000001</v>
      </c>
      <c r="J1727">
        <v>-217.2852</v>
      </c>
      <c r="K1727">
        <v>1.109998</v>
      </c>
      <c r="L1727">
        <v>282.82170000000002</v>
      </c>
      <c r="M1727">
        <v>-0.99913399999999997</v>
      </c>
      <c r="N1727">
        <v>0</v>
      </c>
      <c r="O1727">
        <v>-3.9356729999999999E-2</v>
      </c>
      <c r="P1727">
        <v>-0.99904280000000001</v>
      </c>
      <c r="Q1727">
        <v>1.167615E-2</v>
      </c>
      <c r="R1727">
        <v>-4.2161589999999999E-2</v>
      </c>
      <c r="S1727">
        <v>-3.0066069999999998</v>
      </c>
      <c r="T1727">
        <v>-0.26652959999999998</v>
      </c>
      <c r="U1727">
        <v>1.254272E-2</v>
      </c>
      <c r="V1727">
        <v>-2.7917710000000002E-3</v>
      </c>
      <c r="W1727">
        <v>2.5191809999999999E-2</v>
      </c>
      <c r="X1727">
        <v>0.99967870000000003</v>
      </c>
      <c r="Y1727">
        <v>4.3204689999999997E-2</v>
      </c>
      <c r="Z1727">
        <v>5.3930109999999996E-3</v>
      </c>
      <c r="AA1727">
        <v>0.99905169999999999</v>
      </c>
      <c r="AB1727">
        <v>13</v>
      </c>
      <c r="AC1727">
        <v>-0.66049999999998399</v>
      </c>
      <c r="AD1727">
        <v>-6.9665000000000005E-2</v>
      </c>
      <c r="AE1727">
        <v>7.4999999999931797E-3</v>
      </c>
      <c r="AF1727">
        <v>3.3123243355622299E-2</v>
      </c>
      <c r="AG1727">
        <v>-6.9665000000000005E-2</v>
      </c>
      <c r="AH1727">
        <v>0.65243582548740697</v>
      </c>
      <c r="AI1727">
        <v>96.086985996454402</v>
      </c>
      <c r="AJ1727">
        <v>87.093669633697999</v>
      </c>
      <c r="AK1727">
        <v>0.65698011222169395</v>
      </c>
      <c r="AL1727">
        <v>88.556462842069806</v>
      </c>
      <c r="AM1727">
        <v>90.160007690305903</v>
      </c>
      <c r="AN1727">
        <v>0.99999996225503995</v>
      </c>
    </row>
    <row r="1728" spans="1:40" x14ac:dyDescent="0.25">
      <c r="A1728" t="str">
        <f>"20190312160632991"</f>
        <v>20190312160632991</v>
      </c>
      <c r="B1728" t="str">
        <f>"1552377992986322"</f>
        <v>1552377992986322</v>
      </c>
      <c r="C1728" t="s">
        <v>40</v>
      </c>
      <c r="D1728">
        <v>6.6640490000000003</v>
      </c>
      <c r="E1728">
        <v>0.51962079999999999</v>
      </c>
      <c r="F1728" t="s">
        <v>44</v>
      </c>
      <c r="G1728">
        <v>-218.0556</v>
      </c>
      <c r="H1728">
        <v>1.035949</v>
      </c>
      <c r="I1728">
        <v>282.82909999999998</v>
      </c>
      <c r="J1728">
        <v>-217.4205</v>
      </c>
      <c r="K1728">
        <v>1.109982</v>
      </c>
      <c r="L1728">
        <v>282.81729999999999</v>
      </c>
      <c r="M1728">
        <v>-0.99916680000000002</v>
      </c>
      <c r="N1728">
        <v>0</v>
      </c>
      <c r="O1728">
        <v>-3.8512640000000001E-2</v>
      </c>
      <c r="P1728">
        <v>-0.999108</v>
      </c>
      <c r="Q1728">
        <v>1.0787430000000001E-2</v>
      </c>
      <c r="R1728">
        <v>-4.0830789999999999E-2</v>
      </c>
      <c r="S1728">
        <v>-3.007431</v>
      </c>
      <c r="T1728">
        <v>-0.28913070000000002</v>
      </c>
      <c r="U1728">
        <v>2.7984620000000002E-2</v>
      </c>
      <c r="V1728">
        <v>-2.304174E-3</v>
      </c>
      <c r="W1728">
        <v>2.4300390000000002E-2</v>
      </c>
      <c r="X1728">
        <v>0.99970199999999998</v>
      </c>
      <c r="Y1728">
        <v>4.7416189999999997E-2</v>
      </c>
      <c r="Z1728">
        <v>5.9677519999999998E-3</v>
      </c>
      <c r="AA1728">
        <v>0.99885740000000001</v>
      </c>
      <c r="AB1728">
        <v>13</v>
      </c>
      <c r="AC1728">
        <v>-0.635099999999994</v>
      </c>
      <c r="AD1728">
        <v>-7.4033000000000002E-2</v>
      </c>
      <c r="AE1728">
        <v>1.17999999999938E-2</v>
      </c>
      <c r="AF1728">
        <v>3.5767007196567703E-2</v>
      </c>
      <c r="AG1728">
        <v>-7.4033000000000002E-2</v>
      </c>
      <c r="AH1728">
        <v>0.62567529493224905</v>
      </c>
      <c r="AI1728">
        <v>96.737246080569903</v>
      </c>
      <c r="AJ1728">
        <v>86.7282220528149</v>
      </c>
      <c r="AK1728">
        <v>0.63105446562191103</v>
      </c>
      <c r="AL1728">
        <v>88.607553082708407</v>
      </c>
      <c r="AM1728">
        <v>90.132058565137598</v>
      </c>
      <c r="AN1728">
        <v>0.99999995348798598</v>
      </c>
    </row>
    <row r="1729" spans="1:40" x14ac:dyDescent="0.25">
      <c r="A1729" t="str">
        <f>"20190312160633010"</f>
        <v>20190312160633010</v>
      </c>
      <c r="B1729" t="str">
        <f>"1552377993006818"</f>
        <v>1552377993006818</v>
      </c>
      <c r="C1729" t="s">
        <v>40</v>
      </c>
      <c r="D1729">
        <v>6.6912240000000001</v>
      </c>
      <c r="E1729">
        <v>0.5206655</v>
      </c>
      <c r="F1729" t="s">
        <v>44</v>
      </c>
      <c r="G1729">
        <v>-218.16460000000001</v>
      </c>
      <c r="H1729">
        <v>1.030262</v>
      </c>
      <c r="I1729">
        <v>282.82940000000002</v>
      </c>
      <c r="J1729">
        <v>-217.52869999999999</v>
      </c>
      <c r="K1729">
        <v>1.1099749999999999</v>
      </c>
      <c r="L1729">
        <v>282.81400000000002</v>
      </c>
      <c r="M1729">
        <v>-0.99919290000000005</v>
      </c>
      <c r="N1729">
        <v>0</v>
      </c>
      <c r="O1729">
        <v>-3.7832060000000001E-2</v>
      </c>
      <c r="P1729">
        <v>-0.99916919999999998</v>
      </c>
      <c r="Q1729">
        <v>1.061691E-2</v>
      </c>
      <c r="R1729">
        <v>-3.9351560000000001E-2</v>
      </c>
      <c r="S1729">
        <v>-3.0081020000000001</v>
      </c>
      <c r="T1729">
        <v>-0.322333799999999</v>
      </c>
      <c r="U1729">
        <v>4.79126E-2</v>
      </c>
      <c r="V1729">
        <v>-1.5038079999999999E-3</v>
      </c>
      <c r="W1729">
        <v>2.4128299999999998E-2</v>
      </c>
      <c r="X1729">
        <v>0.99970780000000004</v>
      </c>
      <c r="Y1729">
        <v>5.3223979999999997E-2</v>
      </c>
      <c r="Z1729">
        <v>6.885319E-3</v>
      </c>
      <c r="AA1729">
        <v>0.99855890000000003</v>
      </c>
      <c r="AB1729">
        <v>12</v>
      </c>
      <c r="AC1729">
        <v>-0.63590000000002</v>
      </c>
      <c r="AD1729">
        <v>-7.9712999999999895E-2</v>
      </c>
      <c r="AE1729">
        <v>1.53999999999996E-2</v>
      </c>
      <c r="AF1729">
        <v>3.8838629263596602E-2</v>
      </c>
      <c r="AG1729">
        <v>-7.9712999999999895E-2</v>
      </c>
      <c r="AH1729">
        <v>0.625045939484139</v>
      </c>
      <c r="AI1729">
        <v>97.253939292867003</v>
      </c>
      <c r="AJ1729">
        <v>86.444369861075103</v>
      </c>
      <c r="AK1729">
        <v>0.63130422773626704</v>
      </c>
      <c r="AL1729">
        <v>88.6174161542381</v>
      </c>
      <c r="AM1729">
        <v>90.086186970442895</v>
      </c>
      <c r="AN1729">
        <v>1.0000000608401101</v>
      </c>
    </row>
    <row r="1730" spans="1:40" x14ac:dyDescent="0.25">
      <c r="A1730" t="str">
        <f>"20190312160633033"</f>
        <v>20190312160633033</v>
      </c>
      <c r="B1730" t="str">
        <f>"1552377993026338"</f>
        <v>1552377993026338</v>
      </c>
      <c r="C1730" t="s">
        <v>40</v>
      </c>
      <c r="D1730">
        <v>6.9764259999999902</v>
      </c>
      <c r="E1730">
        <v>0.52156729999999996</v>
      </c>
      <c r="F1730" t="s">
        <v>44</v>
      </c>
      <c r="G1730">
        <v>-218.274</v>
      </c>
      <c r="H1730">
        <v>1.0258529999999999</v>
      </c>
      <c r="I1730">
        <v>282.82920000000001</v>
      </c>
      <c r="J1730">
        <v>-217.65530000000001</v>
      </c>
      <c r="K1730">
        <v>1.10997099999999</v>
      </c>
      <c r="L1730">
        <v>282.81020000000001</v>
      </c>
      <c r="M1730">
        <v>-0.99922279999999997</v>
      </c>
      <c r="N1730">
        <v>0</v>
      </c>
      <c r="O1730">
        <v>-3.7031359999999999E-2</v>
      </c>
      <c r="P1730">
        <v>-0.9992624</v>
      </c>
      <c r="Q1730">
        <v>1.105796E-2</v>
      </c>
      <c r="R1730">
        <v>-3.677122E-2</v>
      </c>
      <c r="S1730">
        <v>-3.0085139999999999</v>
      </c>
      <c r="T1730">
        <v>-0.33970129999999998</v>
      </c>
      <c r="U1730">
        <v>6.0485839999999999E-2</v>
      </c>
      <c r="V1730">
        <v>2.7724640000000001E-4</v>
      </c>
      <c r="W1730">
        <v>2.4565429999999999E-2</v>
      </c>
      <c r="X1730">
        <v>0.99969819999999998</v>
      </c>
      <c r="Y1730">
        <v>5.6520010000000002E-2</v>
      </c>
      <c r="Z1730">
        <v>7.3482299999999999E-3</v>
      </c>
      <c r="AA1730">
        <v>0.9983744</v>
      </c>
      <c r="AB1730">
        <v>12</v>
      </c>
      <c r="AC1730">
        <v>-0.61869999999998904</v>
      </c>
      <c r="AD1730">
        <v>-8.4117999999999596E-2</v>
      </c>
      <c r="AE1730">
        <v>1.9000000000005401E-2</v>
      </c>
      <c r="AF1730">
        <v>4.1140594473558403E-2</v>
      </c>
      <c r="AG1730">
        <v>-8.4117999999999596E-2</v>
      </c>
      <c r="AH1730">
        <v>0.60637368846439899</v>
      </c>
      <c r="AI1730">
        <v>97.879952400072796</v>
      </c>
      <c r="AJ1730">
        <v>86.118605463994399</v>
      </c>
      <c r="AK1730">
        <v>0.61356127363088897</v>
      </c>
      <c r="AL1730">
        <v>88.592362959257898</v>
      </c>
      <c r="AM1730">
        <v>89.984110156247198</v>
      </c>
      <c r="AN1730">
        <v>1.0000000141499401</v>
      </c>
    </row>
    <row r="1731" spans="1:40" x14ac:dyDescent="0.25">
      <c r="A1731" t="str">
        <f>"20190312160633055"</f>
        <v>20190312160633055</v>
      </c>
      <c r="B1731" t="str">
        <f>"1552377993046834"</f>
        <v>1552377993046834</v>
      </c>
      <c r="C1731" t="s">
        <v>40</v>
      </c>
      <c r="D1731">
        <v>6.8633479999999896</v>
      </c>
      <c r="E1731">
        <v>0.5226075</v>
      </c>
      <c r="F1731" t="s">
        <v>44</v>
      </c>
      <c r="G1731">
        <v>-218.38460000000001</v>
      </c>
      <c r="H1731">
        <v>1.0242819999999999</v>
      </c>
      <c r="I1731">
        <v>282.82859999999999</v>
      </c>
      <c r="J1731">
        <v>-217.7801</v>
      </c>
      <c r="K1731">
        <v>1.1099669999999999</v>
      </c>
      <c r="L1731">
        <v>282.80650000000003</v>
      </c>
      <c r="M1731">
        <v>-0.99925200000000003</v>
      </c>
      <c r="N1731">
        <v>0</v>
      </c>
      <c r="O1731">
        <v>-3.6236900000000002E-2</v>
      </c>
      <c r="P1731">
        <v>-0.99932529999999997</v>
      </c>
      <c r="Q1731">
        <v>1.140444E-2</v>
      </c>
      <c r="R1731">
        <v>-3.4915710000000003E-2</v>
      </c>
      <c r="S1731">
        <v>-3.0089109999999999</v>
      </c>
      <c r="T1731">
        <v>-0.35364060000000003</v>
      </c>
      <c r="U1731">
        <v>7.5439450000000005E-2</v>
      </c>
      <c r="V1731">
        <v>1.339542E-3</v>
      </c>
      <c r="W1731">
        <v>2.4908179999999999E-2</v>
      </c>
      <c r="X1731">
        <v>0.99968889999999999</v>
      </c>
      <c r="Y1731">
        <v>6.0610209999999998E-2</v>
      </c>
      <c r="Z1731">
        <v>7.7928859999999997E-3</v>
      </c>
      <c r="AA1731">
        <v>0.99813110000000005</v>
      </c>
      <c r="AB1731">
        <v>12</v>
      </c>
      <c r="AC1731">
        <v>-0.60450000000000104</v>
      </c>
      <c r="AD1731">
        <v>-8.5684999999999997E-2</v>
      </c>
      <c r="AE1731">
        <v>2.2099999999966199E-2</v>
      </c>
      <c r="AF1731">
        <v>4.3127340371387997E-2</v>
      </c>
      <c r="AG1731">
        <v>-8.5684999999999997E-2</v>
      </c>
      <c r="AH1731">
        <v>0.59143492012251497</v>
      </c>
      <c r="AI1731">
        <v>98.221924151855504</v>
      </c>
      <c r="AJ1731">
        <v>85.829382557891407</v>
      </c>
      <c r="AK1731">
        <v>0.59916371005997604</v>
      </c>
      <c r="AL1731">
        <v>88.572718877181799</v>
      </c>
      <c r="AM1731">
        <v>89.923226058480907</v>
      </c>
      <c r="AN1731">
        <v>1.00000005429344</v>
      </c>
    </row>
    <row r="1732" spans="1:40" x14ac:dyDescent="0.25">
      <c r="A1732" t="str">
        <f>"20190312160633080"</f>
        <v>20190312160633080</v>
      </c>
      <c r="B1732" t="str">
        <f>"1552377993066354"</f>
        <v>1552377993066354</v>
      </c>
      <c r="C1732" t="s">
        <v>40</v>
      </c>
      <c r="D1732">
        <v>6.9724250000000003</v>
      </c>
      <c r="E1732">
        <v>0.52363369999999998</v>
      </c>
      <c r="F1732" t="s">
        <v>44</v>
      </c>
      <c r="G1732">
        <v>-218.5994</v>
      </c>
      <c r="H1732">
        <v>1.0099629999999999</v>
      </c>
      <c r="I1732">
        <v>282.83100000000002</v>
      </c>
      <c r="J1732">
        <v>-217.91130000000001</v>
      </c>
      <c r="K1732">
        <v>1.1099619999999999</v>
      </c>
      <c r="L1732">
        <v>282.80279999999999</v>
      </c>
      <c r="M1732">
        <v>-0.999282</v>
      </c>
      <c r="N1732">
        <v>0</v>
      </c>
      <c r="O1732">
        <v>-3.5400059999999997E-2</v>
      </c>
      <c r="P1732">
        <v>-0.99939370000000005</v>
      </c>
      <c r="Q1732">
        <v>1.197256E-2</v>
      </c>
      <c r="R1732">
        <v>-3.2696080000000002E-2</v>
      </c>
      <c r="S1732">
        <v>-3.0093380000000001</v>
      </c>
      <c r="T1732">
        <v>-0.3673691</v>
      </c>
      <c r="U1732">
        <v>8.9416499999999996E-2</v>
      </c>
      <c r="V1732">
        <v>2.723287E-3</v>
      </c>
      <c r="W1732">
        <v>2.547257E-2</v>
      </c>
      <c r="X1732">
        <v>0.9996718</v>
      </c>
      <c r="Y1732">
        <v>6.4329109999999995E-2</v>
      </c>
      <c r="Z1732">
        <v>8.2160250000000001E-3</v>
      </c>
      <c r="AA1732">
        <v>0.99789490000000003</v>
      </c>
      <c r="AB1732">
        <v>12</v>
      </c>
      <c r="AC1732">
        <v>-0.68809999999999105</v>
      </c>
      <c r="AD1732">
        <v>-9.9999000000000102E-2</v>
      </c>
      <c r="AE1732">
        <v>2.8199999999969801E-2</v>
      </c>
      <c r="AF1732">
        <v>5.14583597644587E-2</v>
      </c>
      <c r="AG1732">
        <v>-9.9999000000000102E-2</v>
      </c>
      <c r="AH1732">
        <v>0.67249124852918596</v>
      </c>
      <c r="AI1732">
        <v>98.433571046681195</v>
      </c>
      <c r="AJ1732">
        <v>85.624310907121796</v>
      </c>
      <c r="AK1732">
        <v>0.68183006837407201</v>
      </c>
      <c r="AL1732">
        <v>88.540371351860102</v>
      </c>
      <c r="AM1732">
        <v>89.843916307809295</v>
      </c>
      <c r="AN1732">
        <v>0.999999987914864</v>
      </c>
    </row>
    <row r="1733" spans="1:40" x14ac:dyDescent="0.25">
      <c r="A1733" t="str">
        <f>"20190312160633100"</f>
        <v>20190312160633100</v>
      </c>
      <c r="B1733" t="str">
        <f>"1552377993096610"</f>
        <v>1552377993096610</v>
      </c>
      <c r="C1733" t="s">
        <v>40</v>
      </c>
      <c r="D1733">
        <v>6.4775720000000003</v>
      </c>
      <c r="E1733">
        <v>0.55478090000000002</v>
      </c>
      <c r="F1733" t="s">
        <v>44</v>
      </c>
      <c r="G1733">
        <v>-218.7097</v>
      </c>
      <c r="H1733">
        <v>1.009436</v>
      </c>
      <c r="I1733">
        <v>282.83080000000001</v>
      </c>
      <c r="J1733">
        <v>-218.03020000000001</v>
      </c>
      <c r="K1733">
        <v>1.10996299999999</v>
      </c>
      <c r="L1733">
        <v>282.79950000000002</v>
      </c>
      <c r="M1733">
        <v>-0.99930870000000005</v>
      </c>
      <c r="N1733">
        <v>0</v>
      </c>
      <c r="O1733">
        <v>-3.4643100000000003E-2</v>
      </c>
      <c r="P1733">
        <v>-0.99944200000000005</v>
      </c>
      <c r="Q1733">
        <v>1.1602380000000001E-2</v>
      </c>
      <c r="R1733">
        <v>-3.132762E-2</v>
      </c>
      <c r="S1733">
        <v>-3.0097659999999999</v>
      </c>
      <c r="T1733">
        <v>-0.37907089999999999</v>
      </c>
      <c r="U1733">
        <v>0.1045532</v>
      </c>
      <c r="V1733">
        <v>3.3348200000000001E-3</v>
      </c>
      <c r="W1733">
        <v>2.509933E-2</v>
      </c>
      <c r="X1733">
        <v>0.9996794</v>
      </c>
      <c r="Y1733">
        <v>6.8507470000000001E-2</v>
      </c>
      <c r="Z1733">
        <v>8.6410219999999999E-3</v>
      </c>
      <c r="AA1733">
        <v>0.99761319999999998</v>
      </c>
      <c r="AB1733">
        <v>12</v>
      </c>
      <c r="AC1733">
        <v>-0.67949999999999</v>
      </c>
      <c r="AD1733">
        <v>-0.10052699999999901</v>
      </c>
      <c r="AE1733">
        <v>3.12999999999874E-2</v>
      </c>
      <c r="AF1733">
        <v>5.3651551352532599E-2</v>
      </c>
      <c r="AG1733">
        <v>-0.10052699999999901</v>
      </c>
      <c r="AH1733">
        <v>0.66351599128704897</v>
      </c>
      <c r="AI1733">
        <v>98.587556644288796</v>
      </c>
      <c r="AJ1733">
        <v>85.3771512519194</v>
      </c>
      <c r="AK1733">
        <v>0.67322926064244104</v>
      </c>
      <c r="AL1733">
        <v>88.561763286367196</v>
      </c>
      <c r="AM1733">
        <v>89.808868320499499</v>
      </c>
      <c r="AN1733">
        <v>1.0000000000876199</v>
      </c>
    </row>
    <row r="1734" spans="1:40" x14ac:dyDescent="0.25">
      <c r="A1734" t="str">
        <f>"20190312160633123"</f>
        <v>20190312160633123</v>
      </c>
      <c r="B1734" t="str">
        <f>"1552377993117106"</f>
        <v>1552377993117106</v>
      </c>
      <c r="C1734" t="s">
        <v>40</v>
      </c>
      <c r="D1734">
        <v>6.6981539999999997</v>
      </c>
      <c r="E1734">
        <v>0.55585010000000001</v>
      </c>
      <c r="F1734" t="s">
        <v>44</v>
      </c>
      <c r="G1734">
        <v>-218.77500000000001</v>
      </c>
      <c r="H1734">
        <v>0.91052500000000003</v>
      </c>
      <c r="I1734">
        <v>282.89069999999998</v>
      </c>
      <c r="J1734">
        <v>-218.15299999999999</v>
      </c>
      <c r="K1734">
        <v>1.10996299999999</v>
      </c>
      <c r="L1734">
        <v>282.79610000000002</v>
      </c>
      <c r="M1734">
        <v>-0.99933550000000004</v>
      </c>
      <c r="N1734">
        <v>0</v>
      </c>
      <c r="O1734">
        <v>-3.3862669999999997E-2</v>
      </c>
      <c r="P1734">
        <v>-0.99947589999999997</v>
      </c>
      <c r="Q1734">
        <v>1.202634E-2</v>
      </c>
      <c r="R1734">
        <v>-3.0062309999999998E-2</v>
      </c>
      <c r="S1734">
        <v>-3.0226899999999999</v>
      </c>
      <c r="T1734">
        <v>-0.80927209999999905</v>
      </c>
      <c r="U1734">
        <v>0.37045289999999997</v>
      </c>
      <c r="V1734">
        <v>3.8199110000000001E-3</v>
      </c>
      <c r="W1734">
        <v>2.5519759999999999E-2</v>
      </c>
      <c r="X1734">
        <v>0.99966699999999997</v>
      </c>
      <c r="Y1734">
        <v>0.1488438</v>
      </c>
      <c r="Z1734">
        <v>2.8392779999999999E-2</v>
      </c>
      <c r="AA1734">
        <v>0.98845300000000003</v>
      </c>
      <c r="AB1734">
        <v>12</v>
      </c>
      <c r="AC1734">
        <v>-0.62200000000001399</v>
      </c>
      <c r="AD1734">
        <v>-0.199437999999999</v>
      </c>
      <c r="AE1734">
        <v>9.4599999999957093E-2</v>
      </c>
      <c r="AF1734">
        <v>0.105053839360166</v>
      </c>
      <c r="AG1734">
        <v>-0.199437999999999</v>
      </c>
      <c r="AH1734">
        <v>0.561969678673365</v>
      </c>
      <c r="AI1734">
        <v>109.231220839255</v>
      </c>
      <c r="AJ1734">
        <v>79.411419889148306</v>
      </c>
      <c r="AK1734">
        <v>0.60549297663685298</v>
      </c>
      <c r="AL1734">
        <v>88.537666673737405</v>
      </c>
      <c r="AM1734">
        <v>89.781063380928103</v>
      </c>
      <c r="AN1734">
        <v>0.99999998037975202</v>
      </c>
    </row>
    <row r="1735" spans="1:40" x14ac:dyDescent="0.25">
      <c r="A1735" t="str">
        <f>"20190312160633144"</f>
        <v>20190312160633144</v>
      </c>
      <c r="B1735" t="str">
        <f>"1552377993137133"</f>
        <v>1552377993137133</v>
      </c>
      <c r="C1735" t="s">
        <v>40</v>
      </c>
      <c r="D1735">
        <v>6.4621380000000004</v>
      </c>
      <c r="E1735">
        <v>0.55272779999999999</v>
      </c>
      <c r="F1735" t="s">
        <v>44</v>
      </c>
      <c r="G1735">
        <v>-218.8904</v>
      </c>
      <c r="H1735">
        <v>0.92212700000000003</v>
      </c>
      <c r="I1735">
        <v>282.88929999999999</v>
      </c>
      <c r="J1735">
        <v>-218.27629999999999</v>
      </c>
      <c r="K1735">
        <v>1.109958</v>
      </c>
      <c r="L1735">
        <v>282.79289999999997</v>
      </c>
      <c r="M1735">
        <v>-0.99936170000000002</v>
      </c>
      <c r="N1735">
        <v>0</v>
      </c>
      <c r="O1735">
        <v>-3.3080930000000001E-2</v>
      </c>
      <c r="P1735">
        <v>-0.99949120000000002</v>
      </c>
      <c r="Q1735">
        <v>1.2414339999999999E-2</v>
      </c>
      <c r="R1735">
        <v>-2.938584E-2</v>
      </c>
      <c r="S1735">
        <v>-3.0222929999999999</v>
      </c>
      <c r="T1735">
        <v>-0.76973190000000002</v>
      </c>
      <c r="U1735">
        <v>0.38067630000000002</v>
      </c>
      <c r="V1735">
        <v>3.7144190000000001E-3</v>
      </c>
      <c r="W1735">
        <v>2.5904920000000001E-2</v>
      </c>
      <c r="X1735">
        <v>0.99965749999999998</v>
      </c>
      <c r="Y1735">
        <v>0.1519045</v>
      </c>
      <c r="Z1735">
        <v>2.7234009999999999E-2</v>
      </c>
      <c r="AA1735">
        <v>0.98801989999999995</v>
      </c>
      <c r="AB1735">
        <v>12</v>
      </c>
      <c r="AC1735">
        <v>-0.61410000000000697</v>
      </c>
      <c r="AD1735">
        <v>-0.187831</v>
      </c>
      <c r="AE1735">
        <v>9.6400000000016903E-2</v>
      </c>
      <c r="AF1735">
        <v>0.10690348510846499</v>
      </c>
      <c r="AG1735">
        <v>-0.187831</v>
      </c>
      <c r="AH1735">
        <v>0.55949139331710596</v>
      </c>
      <c r="AI1735">
        <v>108.250072602725</v>
      </c>
      <c r="AJ1735">
        <v>79.182729408002402</v>
      </c>
      <c r="AK1735">
        <v>0.59978284310677998</v>
      </c>
      <c r="AL1735">
        <v>88.515591345861495</v>
      </c>
      <c r="AM1735">
        <v>89.787107531704194</v>
      </c>
      <c r="AN1735">
        <v>0.99999998954748104</v>
      </c>
    </row>
    <row r="1736" spans="1:40" x14ac:dyDescent="0.25">
      <c r="A1736" t="str">
        <f>"20190312160633167"</f>
        <v>20190312160633167</v>
      </c>
      <c r="B1736" t="str">
        <f>"1552377993156653"</f>
        <v>1552377993156653</v>
      </c>
      <c r="C1736" t="s">
        <v>40</v>
      </c>
      <c r="D1736">
        <v>6.6537240000000004</v>
      </c>
      <c r="E1736">
        <v>0.55024640000000002</v>
      </c>
      <c r="F1736" t="s">
        <v>44</v>
      </c>
      <c r="G1736">
        <v>-219.0035</v>
      </c>
      <c r="H1736">
        <v>0.93054499999999996</v>
      </c>
      <c r="I1736">
        <v>282.87900000000002</v>
      </c>
      <c r="J1736">
        <v>-218.398</v>
      </c>
      <c r="K1736">
        <v>1.1099559999999999</v>
      </c>
      <c r="L1736">
        <v>282.78989999999999</v>
      </c>
      <c r="M1736">
        <v>-0.99938689999999997</v>
      </c>
      <c r="N1736">
        <v>0</v>
      </c>
      <c r="O1736">
        <v>-3.2310289999999998E-2</v>
      </c>
      <c r="P1736">
        <v>-0.99950870000000003</v>
      </c>
      <c r="Q1736">
        <v>1.2618600000000001E-2</v>
      </c>
      <c r="R1736">
        <v>-2.86924E-2</v>
      </c>
      <c r="S1736">
        <v>-3.0212859999999999</v>
      </c>
      <c r="T1736">
        <v>-0.74541020000000002</v>
      </c>
      <c r="U1736">
        <v>0.3571472</v>
      </c>
      <c r="V1736">
        <v>3.6371250000000002E-3</v>
      </c>
      <c r="W1736">
        <v>2.610608E-2</v>
      </c>
      <c r="X1736">
        <v>0.9996526</v>
      </c>
      <c r="Y1736">
        <v>0.14419580000000001</v>
      </c>
      <c r="Z1736">
        <v>2.5298129999999999E-2</v>
      </c>
      <c r="AA1736">
        <v>0.98922569999999999</v>
      </c>
      <c r="AB1736">
        <v>12</v>
      </c>
      <c r="AC1736">
        <v>-0.60550000000000603</v>
      </c>
      <c r="AD1736">
        <v>-0.17941099999999899</v>
      </c>
      <c r="AE1736">
        <v>8.9100000000030294E-2</v>
      </c>
      <c r="AF1736">
        <v>0.10002367291537299</v>
      </c>
      <c r="AG1736">
        <v>-0.17941099999999899</v>
      </c>
      <c r="AH1736">
        <v>0.55464195954798201</v>
      </c>
      <c r="AI1736">
        <v>107.658179549948</v>
      </c>
      <c r="AJ1736">
        <v>79.777204023728999</v>
      </c>
      <c r="AK1736">
        <v>0.59145646108205396</v>
      </c>
      <c r="AL1736">
        <v>88.504061900509598</v>
      </c>
      <c r="AM1736">
        <v>89.791536587296903</v>
      </c>
      <c r="AN1736">
        <v>1.00000003838899</v>
      </c>
    </row>
    <row r="1737" spans="1:40" x14ac:dyDescent="0.25">
      <c r="A1737" t="str">
        <f>"20190312160633188"</f>
        <v>20190312160633188</v>
      </c>
      <c r="B1737" t="str">
        <f>"1552377993177150"</f>
        <v>1552377993177150</v>
      </c>
      <c r="C1737" t="s">
        <v>40</v>
      </c>
      <c r="D1737">
        <v>6.4559709999999999</v>
      </c>
      <c r="E1737">
        <v>0.54863300000000004</v>
      </c>
      <c r="F1737" t="s">
        <v>44</v>
      </c>
      <c r="G1737">
        <v>-219.1163</v>
      </c>
      <c r="H1737">
        <v>0.93857840000000003</v>
      </c>
      <c r="I1737">
        <v>282.87049999999999</v>
      </c>
      <c r="J1737">
        <v>-218.51230000000001</v>
      </c>
      <c r="K1737">
        <v>1.1099559999999999</v>
      </c>
      <c r="L1737">
        <v>282.78699999999998</v>
      </c>
      <c r="M1737">
        <v>-0.99940989999999996</v>
      </c>
      <c r="N1737">
        <v>0</v>
      </c>
      <c r="O1737">
        <v>-3.1588159999999997E-2</v>
      </c>
      <c r="P1737">
        <v>-0.99953939999999997</v>
      </c>
      <c r="Q1737">
        <v>1.239294E-2</v>
      </c>
      <c r="R1737">
        <v>-2.7707309999999999E-2</v>
      </c>
      <c r="S1737">
        <v>-3.0202789999999999</v>
      </c>
      <c r="T1737">
        <v>-0.72056019999999998</v>
      </c>
      <c r="U1737">
        <v>0.3383179</v>
      </c>
      <c r="V1737">
        <v>3.9000770000000001E-3</v>
      </c>
      <c r="W1737">
        <v>2.5877750000000001E-2</v>
      </c>
      <c r="X1737">
        <v>0.99965749999999998</v>
      </c>
      <c r="Y1737">
        <v>0.1379542</v>
      </c>
      <c r="Z1737">
        <v>2.3592439999999999E-2</v>
      </c>
      <c r="AA1737">
        <v>0.99015759999999997</v>
      </c>
      <c r="AB1737">
        <v>12</v>
      </c>
      <c r="AC1737">
        <v>-0.60399999999998499</v>
      </c>
      <c r="AD1737">
        <v>-0.17137759999999999</v>
      </c>
      <c r="AE1737">
        <v>8.3499999999958094E-2</v>
      </c>
      <c r="AF1737">
        <v>9.5032031402027303E-2</v>
      </c>
      <c r="AG1737">
        <v>-0.17137759999999999</v>
      </c>
      <c r="AH1737">
        <v>0.55705483089277896</v>
      </c>
      <c r="AI1737">
        <v>106.87087200837</v>
      </c>
      <c r="AJ1737">
        <v>80.318698327446796</v>
      </c>
      <c r="AK1737">
        <v>0.59051795349094904</v>
      </c>
      <c r="AL1737">
        <v>88.517148599265099</v>
      </c>
      <c r="AM1737">
        <v>89.776466621684506</v>
      </c>
      <c r="AN1737">
        <v>0.99999999292595898</v>
      </c>
    </row>
    <row r="1738" spans="1:40" x14ac:dyDescent="0.25">
      <c r="A1738" t="str">
        <f>"20190312160633211"</f>
        <v>20190312160633211</v>
      </c>
      <c r="B1738" t="str">
        <f>"1552377993206428"</f>
        <v>1552377993206428</v>
      </c>
      <c r="C1738" t="s">
        <v>40</v>
      </c>
      <c r="D1738">
        <v>6.5705030000000004</v>
      </c>
      <c r="E1738">
        <v>0.54886109999999999</v>
      </c>
      <c r="F1738" t="s">
        <v>44</v>
      </c>
      <c r="G1738">
        <v>-219.22730000000001</v>
      </c>
      <c r="H1738">
        <v>0.94278930000000005</v>
      </c>
      <c r="I1738">
        <v>282.86450000000002</v>
      </c>
      <c r="J1738">
        <v>-218.6353</v>
      </c>
      <c r="K1738">
        <v>1.1099559999999999</v>
      </c>
      <c r="L1738">
        <v>282.78410000000002</v>
      </c>
      <c r="M1738">
        <v>-0.99943409999999999</v>
      </c>
      <c r="N1738">
        <v>0</v>
      </c>
      <c r="O1738">
        <v>-3.0811069999999999E-2</v>
      </c>
      <c r="P1738">
        <v>-0.99957969999999896</v>
      </c>
      <c r="Q1738">
        <v>1.1727980000000001E-2</v>
      </c>
      <c r="R1738">
        <v>-2.6508420000000001E-2</v>
      </c>
      <c r="S1738">
        <v>-3.0192260000000002</v>
      </c>
      <c r="T1738">
        <v>-0.70581839999999996</v>
      </c>
      <c r="U1738">
        <v>0.32723999999999998</v>
      </c>
      <c r="V1738">
        <v>4.3213230000000002E-3</v>
      </c>
      <c r="W1738">
        <v>2.5209450000000001E-2</v>
      </c>
      <c r="X1738">
        <v>0.99967280000000003</v>
      </c>
      <c r="Y1738">
        <v>0.133942899999999</v>
      </c>
      <c r="Z1738">
        <v>2.2494429999999999E-2</v>
      </c>
      <c r="AA1738">
        <v>0.99073370000000005</v>
      </c>
      <c r="AB1738">
        <v>12</v>
      </c>
      <c r="AC1738">
        <v>-0.59200000000001296</v>
      </c>
      <c r="AD1738">
        <v>-0.167166699999999</v>
      </c>
      <c r="AE1738">
        <v>8.0399999999997293E-2</v>
      </c>
      <c r="AF1738">
        <v>9.1444260126959095E-2</v>
      </c>
      <c r="AG1738">
        <v>-0.167166699999999</v>
      </c>
      <c r="AH1738">
        <v>0.54645802366899998</v>
      </c>
      <c r="AI1738">
        <v>106.789311853024</v>
      </c>
      <c r="AJ1738">
        <v>80.500148023536198</v>
      </c>
      <c r="AK1738">
        <v>0.57872543570443402</v>
      </c>
      <c r="AL1738">
        <v>88.555451803710199</v>
      </c>
      <c r="AM1738">
        <v>89.7523269337252</v>
      </c>
      <c r="AN1738">
        <v>0.99999994863080499</v>
      </c>
    </row>
    <row r="1739" spans="1:40" x14ac:dyDescent="0.25">
      <c r="A1739" t="str">
        <f>"20190312160633234"</f>
        <v>20190312160633234</v>
      </c>
      <c r="B1739" t="str">
        <f>"1552377993226925"</f>
        <v>1552377993226925</v>
      </c>
      <c r="C1739" t="s">
        <v>40</v>
      </c>
      <c r="D1739">
        <v>6.404623</v>
      </c>
      <c r="E1739">
        <v>0.54848409999999903</v>
      </c>
      <c r="F1739" t="s">
        <v>44</v>
      </c>
      <c r="G1739">
        <v>-219.3365</v>
      </c>
      <c r="H1739">
        <v>0.94351110000000005</v>
      </c>
      <c r="I1739">
        <v>282.86149999999998</v>
      </c>
      <c r="J1739">
        <v>-218.76249999999999</v>
      </c>
      <c r="K1739">
        <v>1.1099540000000001</v>
      </c>
      <c r="L1739">
        <v>282.78109999999998</v>
      </c>
      <c r="M1739">
        <v>-0.99945879999999998</v>
      </c>
      <c r="N1739">
        <v>0</v>
      </c>
      <c r="O1739">
        <v>-3.0007989999999998E-2</v>
      </c>
      <c r="P1739">
        <v>-0.99960499999999997</v>
      </c>
      <c r="Q1739">
        <v>1.156221E-2</v>
      </c>
      <c r="R1739">
        <v>-2.5616139999999999E-2</v>
      </c>
      <c r="S1739">
        <v>-3.018478</v>
      </c>
      <c r="T1739">
        <v>-0.71645979999999998</v>
      </c>
      <c r="U1739">
        <v>0.3322754</v>
      </c>
      <c r="V1739">
        <v>4.4103789999999999E-3</v>
      </c>
      <c r="W1739">
        <v>2.5040699999999999E-2</v>
      </c>
      <c r="X1739">
        <v>0.99967669999999997</v>
      </c>
      <c r="Y1739">
        <v>0.13467560000000001</v>
      </c>
      <c r="Z1739">
        <v>2.2726030000000001E-2</v>
      </c>
      <c r="AA1739">
        <v>0.99062910000000004</v>
      </c>
      <c r="AB1739">
        <v>12</v>
      </c>
      <c r="AC1739">
        <v>-0.57400000000001195</v>
      </c>
      <c r="AD1739">
        <v>-0.1664429</v>
      </c>
      <c r="AE1739">
        <v>8.0399999999997293E-2</v>
      </c>
      <c r="AF1739">
        <v>9.0155297861084893E-2</v>
      </c>
      <c r="AG1739">
        <v>-0.1664429</v>
      </c>
      <c r="AH1739">
        <v>0.52780339309899305</v>
      </c>
      <c r="AI1739">
        <v>107.26775322263801</v>
      </c>
      <c r="AJ1739">
        <v>80.306728108168102</v>
      </c>
      <c r="AK1739">
        <v>0.56072064208448902</v>
      </c>
      <c r="AL1739">
        <v>88.565123588652497</v>
      </c>
      <c r="AM1739">
        <v>89.747223814181297</v>
      </c>
      <c r="AN1739">
        <v>0.999999996311151</v>
      </c>
    </row>
    <row r="1740" spans="1:40" x14ac:dyDescent="0.25">
      <c r="A1740" t="str">
        <f>"20190312160633256"</f>
        <v>20190312160633256</v>
      </c>
      <c r="B1740" t="str">
        <f>"1552377993246447"</f>
        <v>1552377993246447</v>
      </c>
      <c r="C1740" t="s">
        <v>40</v>
      </c>
      <c r="D1740">
        <v>6.7780469999999999</v>
      </c>
      <c r="E1740">
        <v>0.53989480000000001</v>
      </c>
      <c r="F1740" t="s">
        <v>44</v>
      </c>
      <c r="G1740">
        <v>-219.54599999999999</v>
      </c>
      <c r="H1740">
        <v>0.92589960000000004</v>
      </c>
      <c r="I1740">
        <v>282.86750000000001</v>
      </c>
      <c r="J1740">
        <v>-218.8819</v>
      </c>
      <c r="K1740">
        <v>1.109947</v>
      </c>
      <c r="L1740">
        <v>282.77839999999998</v>
      </c>
      <c r="M1740">
        <v>-0.99948119999999996</v>
      </c>
      <c r="N1740">
        <v>0</v>
      </c>
      <c r="O1740">
        <v>-2.9253899999999999E-2</v>
      </c>
      <c r="P1740">
        <v>-0.99961659999999997</v>
      </c>
      <c r="Q1740">
        <v>1.14176E-2</v>
      </c>
      <c r="R1740">
        <v>-2.5229720000000001E-2</v>
      </c>
      <c r="S1740">
        <v>-3.0178989999999999</v>
      </c>
      <c r="T1740">
        <v>-0.70898530000000004</v>
      </c>
      <c r="U1740">
        <v>0.33224490000000001</v>
      </c>
      <c r="V1740">
        <v>4.0423869999999997E-3</v>
      </c>
      <c r="W1740">
        <v>2.48934E-2</v>
      </c>
      <c r="X1740">
        <v>0.99968190000000001</v>
      </c>
      <c r="Y1740">
        <v>0.13406699999999999</v>
      </c>
      <c r="Z1740">
        <v>2.2254699999999999E-2</v>
      </c>
      <c r="AA1740">
        <v>0.9907224</v>
      </c>
      <c r="AB1740">
        <v>12</v>
      </c>
      <c r="AC1740">
        <v>-0.66409999999999003</v>
      </c>
      <c r="AD1740">
        <v>-0.1840474</v>
      </c>
      <c r="AE1740">
        <v>8.9100000000030294E-2</v>
      </c>
      <c r="AF1740">
        <v>0.100880002868285</v>
      </c>
      <c r="AG1740">
        <v>-0.1840474</v>
      </c>
      <c r="AH1740">
        <v>0.61482221739819598</v>
      </c>
      <c r="AI1740">
        <v>106.457171447135</v>
      </c>
      <c r="AJ1740">
        <v>80.681939949079194</v>
      </c>
      <c r="AK1740">
        <v>0.64965881771272804</v>
      </c>
      <c r="AL1740">
        <v>88.573565839343303</v>
      </c>
      <c r="AM1740">
        <v>89.768315849384393</v>
      </c>
      <c r="AN1740">
        <v>0.99999996172191297</v>
      </c>
    </row>
    <row r="1741" spans="1:40" x14ac:dyDescent="0.25">
      <c r="A1741" t="str">
        <f>"20190312160633302"</f>
        <v>20190312160633302</v>
      </c>
      <c r="B1741" t="str">
        <f>"1552377993297197"</f>
        <v>1552377993297197</v>
      </c>
      <c r="C1741" t="s">
        <v>40</v>
      </c>
      <c r="D1741">
        <v>7.6943539999999997</v>
      </c>
      <c r="E1741">
        <v>0.53989480000000001</v>
      </c>
      <c r="F1741" t="s">
        <v>44</v>
      </c>
      <c r="G1741">
        <v>-219.5994</v>
      </c>
      <c r="H1741">
        <v>0.79713639999999997</v>
      </c>
      <c r="I1741">
        <v>282.84570000000002</v>
      </c>
      <c r="J1741">
        <v>-219.12559999999999</v>
      </c>
      <c r="K1741">
        <v>1.10995</v>
      </c>
      <c r="L1741">
        <v>282.77330000000001</v>
      </c>
      <c r="M1741">
        <v>-0.99952510000000006</v>
      </c>
      <c r="N1741">
        <v>0</v>
      </c>
      <c r="O1741">
        <v>-2.7713419999999999E-2</v>
      </c>
      <c r="P1741">
        <v>-0.99967030000000001</v>
      </c>
      <c r="Q1741">
        <v>9.9340209999999995E-3</v>
      </c>
      <c r="R1741">
        <v>-2.3685040000000001E-2</v>
      </c>
      <c r="S1741">
        <v>-3.0233759999999998</v>
      </c>
      <c r="T1741">
        <v>-1.318136</v>
      </c>
      <c r="U1741">
        <v>0.28359990000000002</v>
      </c>
      <c r="V1741">
        <v>4.0459249999999997E-3</v>
      </c>
      <c r="W1741">
        <v>2.3404669999999999E-2</v>
      </c>
      <c r="X1741">
        <v>0.99971790000000005</v>
      </c>
      <c r="Y1741">
        <v>0.10865039999999999</v>
      </c>
      <c r="Z1741">
        <v>3.4149970000000002E-2</v>
      </c>
      <c r="AA1741">
        <v>0.99349330000000002</v>
      </c>
      <c r="AB1741">
        <v>12</v>
      </c>
      <c r="AC1741">
        <v>-0.47380000000001099</v>
      </c>
      <c r="AD1741">
        <v>-0.31281359999999903</v>
      </c>
      <c r="AE1741">
        <v>7.2400000000015993E-2</v>
      </c>
      <c r="AF1741">
        <v>5.9962899121105098E-2</v>
      </c>
      <c r="AG1741">
        <v>-0.31281359999999903</v>
      </c>
      <c r="AH1741">
        <v>0.33073522627804403</v>
      </c>
      <c r="AI1741">
        <v>132.94251816817501</v>
      </c>
      <c r="AJ1741">
        <v>79.723794642850706</v>
      </c>
      <c r="AK1741">
        <v>0.459166296146784</v>
      </c>
      <c r="AL1741">
        <v>88.658888748980402</v>
      </c>
      <c r="AM1741">
        <v>89.768121425925401</v>
      </c>
      <c r="AN1741">
        <v>1.00000001383366</v>
      </c>
    </row>
    <row r="1742" spans="1:40" x14ac:dyDescent="0.25">
      <c r="A1742" t="str">
        <f>"20190312160633323"</f>
        <v>20190312160633323</v>
      </c>
      <c r="B1742" t="str">
        <f>"1552377993316718"</f>
        <v>1552377993316718</v>
      </c>
      <c r="C1742" t="s">
        <v>40</v>
      </c>
      <c r="D1742">
        <v>6.3904040000000002</v>
      </c>
      <c r="E1742">
        <v>0.52720119999999904</v>
      </c>
      <c r="F1742" t="s">
        <v>44</v>
      </c>
      <c r="G1742">
        <v>-219.81870000000001</v>
      </c>
      <c r="H1742">
        <v>0.80644199999999999</v>
      </c>
      <c r="I1742">
        <v>282.83920000000001</v>
      </c>
      <c r="J1742">
        <v>-219.24369999999999</v>
      </c>
      <c r="K1742">
        <v>1.1099490000000001</v>
      </c>
      <c r="L1742">
        <v>282.77089999999998</v>
      </c>
      <c r="M1742">
        <v>-0.99954549999999998</v>
      </c>
      <c r="N1742">
        <v>0</v>
      </c>
      <c r="O1742">
        <v>-2.6965889999999999E-2</v>
      </c>
      <c r="P1742">
        <v>-0.99969520000000001</v>
      </c>
      <c r="Q1742">
        <v>9.4763199999999999E-3</v>
      </c>
      <c r="R1742">
        <v>-2.2801849999999999E-2</v>
      </c>
      <c r="S1742">
        <v>-3.0209350000000001</v>
      </c>
      <c r="T1742">
        <v>-1.3228580000000001</v>
      </c>
      <c r="U1742">
        <v>0.28750609999999999</v>
      </c>
      <c r="V1742">
        <v>4.1812719999999998E-3</v>
      </c>
      <c r="W1742">
        <v>2.2943689999999999E-2</v>
      </c>
      <c r="X1742">
        <v>0.99972799999999995</v>
      </c>
      <c r="Y1742">
        <v>0.1091744</v>
      </c>
      <c r="Z1742">
        <v>3.4082599999999998E-2</v>
      </c>
      <c r="AA1742">
        <v>0.99343809999999999</v>
      </c>
      <c r="AB1742">
        <v>12</v>
      </c>
      <c r="AC1742">
        <v>-0.57500000000001705</v>
      </c>
      <c r="AD1742">
        <v>-0.30350700000000003</v>
      </c>
      <c r="AE1742">
        <v>6.8300000000021996E-2</v>
      </c>
      <c r="AF1742">
        <v>6.5724899579267804E-2</v>
      </c>
      <c r="AG1742">
        <v>-0.30350700000000003</v>
      </c>
      <c r="AH1742">
        <v>0.44946446289306902</v>
      </c>
      <c r="AI1742">
        <v>123.749174074702</v>
      </c>
      <c r="AJ1742">
        <v>81.680638298517906</v>
      </c>
      <c r="AK1742">
        <v>0.54630995311952701</v>
      </c>
      <c r="AL1742">
        <v>88.685308014428003</v>
      </c>
      <c r="AM1742">
        <v>89.760366978099398</v>
      </c>
      <c r="AN1742">
        <v>0.99999998496517595</v>
      </c>
    </row>
    <row r="1743" spans="1:40" x14ac:dyDescent="0.25">
      <c r="A1743" t="str">
        <f>"20190312160633336"</f>
        <v>20190312160633336</v>
      </c>
      <c r="B1743" t="str">
        <f>"1552377993326477"</f>
        <v>1552377993326477</v>
      </c>
      <c r="C1743" t="s">
        <v>40</v>
      </c>
      <c r="D1743">
        <v>6.5465109999999997</v>
      </c>
      <c r="E1743">
        <v>0.52426110000000004</v>
      </c>
      <c r="F1743" t="s">
        <v>44</v>
      </c>
      <c r="G1743">
        <v>-219.94280000000001</v>
      </c>
      <c r="H1743">
        <v>0.84941219999999995</v>
      </c>
      <c r="I1743">
        <v>282.8134</v>
      </c>
      <c r="J1743">
        <v>-219.3125</v>
      </c>
      <c r="K1743">
        <v>1.109947</v>
      </c>
      <c r="L1743">
        <v>282.76949999999999</v>
      </c>
      <c r="M1743">
        <v>-0.99955729999999998</v>
      </c>
      <c r="N1743">
        <v>0</v>
      </c>
      <c r="O1743">
        <v>-2.6530560000000002E-2</v>
      </c>
      <c r="P1743">
        <v>-0.9997028</v>
      </c>
      <c r="Q1743">
        <v>9.39568E-3</v>
      </c>
      <c r="R1743">
        <v>-2.250361E-2</v>
      </c>
      <c r="S1743">
        <v>-3.0157470000000002</v>
      </c>
      <c r="T1743">
        <v>-1.1237870000000001</v>
      </c>
      <c r="U1743">
        <v>0.18298339999999999</v>
      </c>
      <c r="V1743">
        <v>4.0440040000000003E-3</v>
      </c>
      <c r="W1743">
        <v>2.2861699999999999E-2</v>
      </c>
      <c r="X1743">
        <v>0.99973049999999997</v>
      </c>
      <c r="Y1743">
        <v>7.9900730000000003E-2</v>
      </c>
      <c r="Z1743">
        <v>2.3950289999999999E-2</v>
      </c>
      <c r="AA1743">
        <v>0.99651500000000004</v>
      </c>
      <c r="AB1743">
        <v>12</v>
      </c>
      <c r="AC1743">
        <v>-0.63030000000000497</v>
      </c>
      <c r="AD1743">
        <v>-0.26053480000000001</v>
      </c>
      <c r="AE1743">
        <v>4.3900000000007801E-2</v>
      </c>
      <c r="AF1743">
        <v>5.1800447485405299E-2</v>
      </c>
      <c r="AG1743">
        <v>-0.26053480000000001</v>
      </c>
      <c r="AH1743">
        <v>0.53751721960132604</v>
      </c>
      <c r="AI1743">
        <v>115.755691560568</v>
      </c>
      <c r="AJ1743">
        <v>84.495413632111607</v>
      </c>
      <c r="AK1743">
        <v>0.59957187203759599</v>
      </c>
      <c r="AL1743">
        <v>88.690007002672004</v>
      </c>
      <c r="AM1743">
        <v>89.768234441411806</v>
      </c>
      <c r="AN1743">
        <v>1.0000000419627399</v>
      </c>
    </row>
    <row r="1744" spans="1:40" x14ac:dyDescent="0.25">
      <c r="A1744" t="str">
        <f>"20190312160633347"</f>
        <v>20190312160633347</v>
      </c>
      <c r="B1744" t="str">
        <f>"1552377993336237"</f>
        <v>1552377993336237</v>
      </c>
      <c r="C1744" t="s">
        <v>40</v>
      </c>
      <c r="D1744">
        <v>10.06672</v>
      </c>
      <c r="E1744">
        <v>0.52426110000000004</v>
      </c>
      <c r="F1744" t="s">
        <v>44</v>
      </c>
      <c r="G1744">
        <v>-220.05500000000001</v>
      </c>
      <c r="H1744">
        <v>0.86216870000000001</v>
      </c>
      <c r="I1744">
        <v>282.8082</v>
      </c>
      <c r="J1744">
        <v>-219.37960000000001</v>
      </c>
      <c r="K1744">
        <v>1.1099490000000001</v>
      </c>
      <c r="L1744">
        <v>282.76819999999998</v>
      </c>
      <c r="M1744">
        <v>-0.99956849999999997</v>
      </c>
      <c r="N1744">
        <v>0</v>
      </c>
      <c r="O1744">
        <v>-2.6105239999999998E-2</v>
      </c>
      <c r="P1744">
        <v>-0.99971160000000003</v>
      </c>
      <c r="Q1744">
        <v>9.3972980000000001E-3</v>
      </c>
      <c r="R1744">
        <v>-2.2107330000000001E-2</v>
      </c>
      <c r="S1744">
        <v>-3.0138850000000001</v>
      </c>
      <c r="T1744">
        <v>-1.0056149999999999</v>
      </c>
      <c r="U1744">
        <v>0.1567993</v>
      </c>
      <c r="V1744">
        <v>4.0148839999999998E-3</v>
      </c>
      <c r="W1744">
        <v>2.2861699999999999E-2</v>
      </c>
      <c r="X1744">
        <v>0.99973060000000002</v>
      </c>
      <c r="Y1744">
        <v>7.2669159999999997E-2</v>
      </c>
      <c r="Z1744">
        <v>2.027282E-2</v>
      </c>
      <c r="AA1744">
        <v>0.99715010000000004</v>
      </c>
      <c r="AB1744">
        <v>12</v>
      </c>
      <c r="AC1744">
        <v>-0.675399999999996</v>
      </c>
      <c r="AD1744">
        <v>-0.24778030000000001</v>
      </c>
      <c r="AE1744">
        <v>4.0000000000020401E-2</v>
      </c>
      <c r="AF1744">
        <v>5.0805458213168203E-2</v>
      </c>
      <c r="AG1744">
        <v>-0.24778030000000001</v>
      </c>
      <c r="AH1744">
        <v>0.59440445385721896</v>
      </c>
      <c r="AI1744">
        <v>112.555082103883</v>
      </c>
      <c r="AJ1744">
        <v>85.114638702520594</v>
      </c>
      <c r="AK1744">
        <v>0.64598214094326001</v>
      </c>
      <c r="AL1744">
        <v>88.690006979920796</v>
      </c>
      <c r="AM1744">
        <v>89.769903340184896</v>
      </c>
      <c r="AN1744">
        <v>1.00000002459839</v>
      </c>
    </row>
    <row r="1745" spans="1:40" x14ac:dyDescent="0.25">
      <c r="A1745" t="str">
        <f>"20190312160633367"</f>
        <v>20190312160633367</v>
      </c>
      <c r="B1745" t="str">
        <f>"1552377993356739"</f>
        <v>1552377993356739</v>
      </c>
      <c r="C1745" t="s">
        <v>40</v>
      </c>
      <c r="D1745">
        <v>6.3738210000000004</v>
      </c>
      <c r="E1745">
        <v>0.51081920000000003</v>
      </c>
      <c r="F1745" t="s">
        <v>44</v>
      </c>
      <c r="G1745">
        <v>-220.06280000000001</v>
      </c>
      <c r="H1745">
        <v>0.88198469999999995</v>
      </c>
      <c r="I1745">
        <v>282.80419999999998</v>
      </c>
      <c r="J1745">
        <v>-219.48099999999999</v>
      </c>
      <c r="K1745">
        <v>1.1099479999999999</v>
      </c>
      <c r="L1745">
        <v>282.76639999999998</v>
      </c>
      <c r="M1745">
        <v>-0.99958519999999895</v>
      </c>
      <c r="N1745">
        <v>0</v>
      </c>
      <c r="O1745">
        <v>-2.5463199999999998E-2</v>
      </c>
      <c r="P1745">
        <v>-0.99973429999999996</v>
      </c>
      <c r="Q1745">
        <v>9.0455129999999998E-3</v>
      </c>
      <c r="R1745">
        <v>-2.1210260000000002E-2</v>
      </c>
      <c r="S1745">
        <v>-3.0138240000000001</v>
      </c>
      <c r="T1745">
        <v>-1.0055879999999999</v>
      </c>
      <c r="U1745">
        <v>0.1583252</v>
      </c>
      <c r="V1745">
        <v>4.2697459999999996E-3</v>
      </c>
      <c r="W1745">
        <v>2.2507019999999999E-2</v>
      </c>
      <c r="X1745">
        <v>0.9997376</v>
      </c>
      <c r="Y1745">
        <v>7.2573479999999996E-2</v>
      </c>
      <c r="Z1745">
        <v>2.0048469999999999E-2</v>
      </c>
      <c r="AA1745">
        <v>0.99716159999999998</v>
      </c>
      <c r="AB1745">
        <v>12</v>
      </c>
      <c r="AC1745">
        <v>-0.58180000000001497</v>
      </c>
      <c r="AD1745">
        <v>-0.22796330000000001</v>
      </c>
      <c r="AE1745">
        <v>3.7800000000004198E-2</v>
      </c>
      <c r="AF1745">
        <v>4.5627935603760099E-2</v>
      </c>
      <c r="AG1745">
        <v>-0.22796330000000001</v>
      </c>
      <c r="AH1745">
        <v>0.50365025477480996</v>
      </c>
      <c r="AI1745">
        <v>114.264716719097</v>
      </c>
      <c r="AJ1745">
        <v>84.823449421693795</v>
      </c>
      <c r="AK1745">
        <v>0.55471862578164999</v>
      </c>
      <c r="AL1745">
        <v>88.710333887723905</v>
      </c>
      <c r="AM1745">
        <v>89.755298852435999</v>
      </c>
      <c r="AN1745">
        <v>1.00000003276697</v>
      </c>
    </row>
    <row r="1746" spans="1:40" x14ac:dyDescent="0.25">
      <c r="A1746" t="str">
        <f>"20190312160633380"</f>
        <v>20190312160633380</v>
      </c>
      <c r="B1746" t="str">
        <f>"1552377993376254"</f>
        <v>1552377993376254</v>
      </c>
      <c r="C1746" t="s">
        <v>40</v>
      </c>
      <c r="D1746">
        <v>10.05001</v>
      </c>
      <c r="E1746">
        <v>0.50820880000000002</v>
      </c>
      <c r="F1746" t="s">
        <v>66</v>
      </c>
      <c r="G1746">
        <v>-237.54220000000001</v>
      </c>
      <c r="H1746" s="1">
        <v>2.5500350000000001E-6</v>
      </c>
      <c r="I1746">
        <v>282.94110000000001</v>
      </c>
      <c r="J1746">
        <v>-219.54679999999999</v>
      </c>
      <c r="K1746">
        <v>1.1099479999999999</v>
      </c>
      <c r="L1746">
        <v>282.76519999999999</v>
      </c>
      <c r="M1746">
        <v>-0.99959569999999998</v>
      </c>
      <c r="N1746">
        <v>0</v>
      </c>
      <c r="O1746">
        <v>-2.5046220000000001E-2</v>
      </c>
      <c r="P1746">
        <v>-0.99974079999999999</v>
      </c>
      <c r="Q1746">
        <v>8.7633309999999992E-3</v>
      </c>
      <c r="R1746">
        <v>-2.1017419999999998E-2</v>
      </c>
      <c r="S1746">
        <v>-3.003082</v>
      </c>
      <c r="T1746">
        <v>-0.1845531</v>
      </c>
      <c r="U1746">
        <v>2.9052729999999999E-2</v>
      </c>
      <c r="V1746">
        <v>4.0452709999999996E-3</v>
      </c>
      <c r="W1746">
        <v>2.222385E-2</v>
      </c>
      <c r="X1746">
        <v>0.99974479999999999</v>
      </c>
      <c r="Y1746">
        <v>3.4605610000000002E-2</v>
      </c>
      <c r="Z1746">
        <v>2.6000929999999999E-3</v>
      </c>
      <c r="AA1746">
        <v>0.9993976</v>
      </c>
      <c r="AB1746">
        <v>12</v>
      </c>
      <c r="AC1746">
        <v>-17.9954</v>
      </c>
      <c r="AD1746">
        <v>-1.1099454499650001</v>
      </c>
      <c r="AE1746">
        <v>0.17590000000001199</v>
      </c>
      <c r="AF1746">
        <v>0.62422782662558496</v>
      </c>
      <c r="AG1746">
        <v>-1.1099454499650001</v>
      </c>
      <c r="AH1746">
        <v>17.917190965737099</v>
      </c>
      <c r="AI1746">
        <v>93.542721155836702</v>
      </c>
      <c r="AJ1746">
        <v>88.004644825591399</v>
      </c>
      <c r="AK1746">
        <v>17.962387686054502</v>
      </c>
      <c r="AL1746">
        <v>88.726562305449207</v>
      </c>
      <c r="AM1746">
        <v>89.768165145374297</v>
      </c>
      <c r="AN1746">
        <v>0.99999996442666195</v>
      </c>
    </row>
    <row r="1747" spans="1:40" x14ac:dyDescent="0.25">
      <c r="A1747" t="str">
        <f>"20190312160633392"</f>
        <v>20190312160633392</v>
      </c>
      <c r="B1747" t="str">
        <f>"1552377993386990"</f>
        <v>1552377993386990</v>
      </c>
      <c r="C1747" t="s">
        <v>40</v>
      </c>
      <c r="D1747">
        <v>6.3965040000000002</v>
      </c>
      <c r="E1747">
        <v>0.50742010000000004</v>
      </c>
      <c r="F1747" t="s">
        <v>66</v>
      </c>
      <c r="G1747">
        <v>-247.5531</v>
      </c>
      <c r="H1747" s="1">
        <v>2.4826059999999999E-6</v>
      </c>
      <c r="I1747">
        <v>282.83069999999998</v>
      </c>
      <c r="J1747">
        <v>-219.6198</v>
      </c>
      <c r="K1747">
        <v>1.1099460000000001</v>
      </c>
      <c r="L1747">
        <v>282.76389999999998</v>
      </c>
      <c r="M1747">
        <v>-0.99960709999999997</v>
      </c>
      <c r="N1747">
        <v>0</v>
      </c>
      <c r="O1747">
        <v>-2.458407E-2</v>
      </c>
      <c r="P1747">
        <v>-0.99976019999999999</v>
      </c>
      <c r="Q1747">
        <v>8.2694829999999993E-3</v>
      </c>
      <c r="R1747">
        <v>-2.0268060000000001E-2</v>
      </c>
      <c r="S1747">
        <v>-3.0019840000000002</v>
      </c>
      <c r="T1747">
        <v>-0.1189746</v>
      </c>
      <c r="U1747">
        <v>7.019043E-3</v>
      </c>
      <c r="V1747">
        <v>4.3320119999999997E-3</v>
      </c>
      <c r="W1747">
        <v>2.172806E-2</v>
      </c>
      <c r="X1747">
        <v>0.99975449999999999</v>
      </c>
      <c r="Y1747">
        <v>2.6883250000000001E-2</v>
      </c>
      <c r="Z1747">
        <v>1.5064620000000001E-3</v>
      </c>
      <c r="AA1747">
        <v>0.99963740000000001</v>
      </c>
      <c r="AB1747">
        <v>12</v>
      </c>
      <c r="AC1747">
        <v>-27.933299999999999</v>
      </c>
      <c r="AD1747">
        <v>-1.10994351739399</v>
      </c>
      <c r="AE1747">
        <v>6.6800000000000595E-2</v>
      </c>
      <c r="AF1747">
        <v>0.75236834334018698</v>
      </c>
      <c r="AG1747">
        <v>-1.10994351739399</v>
      </c>
      <c r="AH1747">
        <v>27.8791952361955</v>
      </c>
      <c r="AI1747">
        <v>92.279061562648096</v>
      </c>
      <c r="AJ1747">
        <v>88.454149408498594</v>
      </c>
      <c r="AK1747">
        <v>27.911423463409601</v>
      </c>
      <c r="AL1747">
        <v>88.754975847104006</v>
      </c>
      <c r="AM1747">
        <v>89.751734599827699</v>
      </c>
      <c r="AN1747">
        <v>0.99999996759479004</v>
      </c>
    </row>
    <row r="1748" spans="1:40" x14ac:dyDescent="0.25">
      <c r="A1748" t="str">
        <f>"20190312160633412"</f>
        <v>20190312160633412</v>
      </c>
      <c r="B1748" t="str">
        <f>"1552377993406509"</f>
        <v>1552377993406509</v>
      </c>
      <c r="C1748" t="s">
        <v>40</v>
      </c>
      <c r="D1748">
        <v>6.6815020000000001</v>
      </c>
      <c r="E1748">
        <v>0.50662850000000004</v>
      </c>
      <c r="F1748" t="s">
        <v>66</v>
      </c>
      <c r="G1748">
        <v>-254.44049999999999</v>
      </c>
      <c r="H1748" s="1">
        <v>8.2622559999999898E-7</v>
      </c>
      <c r="I1748">
        <v>282.7876</v>
      </c>
      <c r="J1748">
        <v>-219.71899999999999</v>
      </c>
      <c r="K1748">
        <v>1.109944</v>
      </c>
      <c r="L1748">
        <v>282.76220000000001</v>
      </c>
      <c r="M1748">
        <v>-0.99962249999999997</v>
      </c>
      <c r="N1748">
        <v>0</v>
      </c>
      <c r="O1748">
        <v>-2.395539E-2</v>
      </c>
      <c r="P1748">
        <v>-0.99978420000000001</v>
      </c>
      <c r="Q1748">
        <v>7.5791649999999997E-3</v>
      </c>
      <c r="R1748">
        <v>-1.9358449999999999E-2</v>
      </c>
      <c r="S1748">
        <v>-3.001541</v>
      </c>
      <c r="T1748">
        <v>-9.5677020000000002E-2</v>
      </c>
      <c r="U1748">
        <v>2.0446779999999999E-3</v>
      </c>
      <c r="V1748">
        <v>4.6129020000000003E-3</v>
      </c>
      <c r="W1748">
        <v>2.1035379999999999E-2</v>
      </c>
      <c r="X1748">
        <v>0.99976810000000005</v>
      </c>
      <c r="Y1748">
        <v>2.4613900000000001E-2</v>
      </c>
      <c r="Z1748">
        <v>1.1556190000000001E-3</v>
      </c>
      <c r="AA1748">
        <v>0.99969640000000004</v>
      </c>
      <c r="AB1748">
        <v>12</v>
      </c>
      <c r="AC1748">
        <v>-34.721499999999899</v>
      </c>
      <c r="AD1748">
        <v>-1.1099431737743899</v>
      </c>
      <c r="AE1748">
        <v>2.53999999999905E-2</v>
      </c>
      <c r="AF1748">
        <v>0.856359961307809</v>
      </c>
      <c r="AG1748">
        <v>-1.1099431737743899</v>
      </c>
      <c r="AH1748">
        <v>34.675491042172403</v>
      </c>
      <c r="AI1748">
        <v>91.832821565209997</v>
      </c>
      <c r="AJ1748">
        <v>88.585287809372403</v>
      </c>
      <c r="AK1748">
        <v>34.703818309346303</v>
      </c>
      <c r="AL1748">
        <v>88.794672616040003</v>
      </c>
      <c r="AM1748">
        <v>89.735640754696007</v>
      </c>
      <c r="AN1748">
        <v>1.0000000099271</v>
      </c>
    </row>
    <row r="1749" spans="1:40" x14ac:dyDescent="0.25">
      <c r="A1749" t="str">
        <f>"20190312160633425"</f>
        <v>20190312160633425</v>
      </c>
      <c r="B1749" t="str">
        <f>"1552377993416269"</f>
        <v>1552377993416269</v>
      </c>
      <c r="C1749" t="s">
        <v>40</v>
      </c>
      <c r="D1749">
        <v>6.528003</v>
      </c>
      <c r="E1749">
        <v>0.50643320000000003</v>
      </c>
      <c r="F1749" t="s">
        <v>66</v>
      </c>
      <c r="G1749">
        <v>-343.96910000000003</v>
      </c>
      <c r="H1749" s="1">
        <v>5.7538299999999998E-7</v>
      </c>
      <c r="I1749">
        <v>282.61059999999998</v>
      </c>
      <c r="J1749">
        <v>-219.7901</v>
      </c>
      <c r="K1749">
        <v>1.109944</v>
      </c>
      <c r="L1749">
        <v>282.76100000000002</v>
      </c>
      <c r="M1749">
        <v>-0.99963310000000005</v>
      </c>
      <c r="N1749">
        <v>0</v>
      </c>
      <c r="O1749">
        <v>-2.3505160000000001E-2</v>
      </c>
      <c r="P1749">
        <v>-0.99979260000000003</v>
      </c>
      <c r="Q1749">
        <v>7.2239289999999996E-3</v>
      </c>
      <c r="R1749">
        <v>-1.9033729999999999E-2</v>
      </c>
      <c r="S1749">
        <v>-3.0007779999999999</v>
      </c>
      <c r="T1749">
        <v>-2.680635E-2</v>
      </c>
      <c r="U1749">
        <v>-3.6621090000000002E-3</v>
      </c>
      <c r="V1749">
        <v>4.4867470000000001E-3</v>
      </c>
      <c r="W1749">
        <v>2.0678780000000001E-2</v>
      </c>
      <c r="X1749">
        <v>0.99977609999999995</v>
      </c>
      <c r="Y1749">
        <v>2.22854E-2</v>
      </c>
      <c r="Z1749">
        <v>3.0951140000000003E-4</v>
      </c>
      <c r="AA1749">
        <v>0.99975159999999996</v>
      </c>
      <c r="AB1749">
        <v>12</v>
      </c>
      <c r="AC1749">
        <v>-124.179</v>
      </c>
      <c r="AD1749">
        <v>-1.1099434246169999</v>
      </c>
      <c r="AE1749">
        <v>-0.15039999999998999</v>
      </c>
      <c r="AF1749">
        <v>2.7685320839064498</v>
      </c>
      <c r="AG1749">
        <v>-1.1099434246169999</v>
      </c>
      <c r="AH1749">
        <v>124.138302862947</v>
      </c>
      <c r="AI1749">
        <v>90.512151119977105</v>
      </c>
      <c r="AJ1749">
        <v>88.722401474084705</v>
      </c>
      <c r="AK1749">
        <v>124.174131694159</v>
      </c>
      <c r="AL1749">
        <v>88.815108720512896</v>
      </c>
      <c r="AM1749">
        <v>89.742872488086803</v>
      </c>
      <c r="AN1749">
        <v>0.99999999648606996</v>
      </c>
    </row>
    <row r="1750" spans="1:40" x14ac:dyDescent="0.25">
      <c r="A1750" t="str">
        <f>"20190312160633446"</f>
        <v>20190312160633446</v>
      </c>
      <c r="B1750" t="str">
        <f>"1552377993436765"</f>
        <v>1552377993436765</v>
      </c>
      <c r="C1750" t="s">
        <v>40</v>
      </c>
      <c r="D1750">
        <v>6.4439219999999997</v>
      </c>
      <c r="E1750">
        <v>0.5072314</v>
      </c>
      <c r="F1750" t="s">
        <v>41</v>
      </c>
      <c r="G1750">
        <v>0</v>
      </c>
      <c r="H1750">
        <v>0</v>
      </c>
      <c r="I1750">
        <v>0</v>
      </c>
      <c r="J1750">
        <v>-219.9014</v>
      </c>
      <c r="K1750">
        <v>1.1099429999999999</v>
      </c>
      <c r="L1750">
        <v>282.7593</v>
      </c>
      <c r="M1750">
        <v>-0.99964949999999997</v>
      </c>
      <c r="N1750">
        <v>0</v>
      </c>
      <c r="O1750">
        <v>-2.2800549999999999E-2</v>
      </c>
      <c r="P1750">
        <v>-0.99979879999999999</v>
      </c>
      <c r="Q1750">
        <v>7.634938E-3</v>
      </c>
      <c r="R1750">
        <v>-1.8547000000000001E-2</v>
      </c>
      <c r="S1750">
        <v>-3.0005190000000002</v>
      </c>
      <c r="T1750">
        <v>-4.0388110000000001E-4</v>
      </c>
      <c r="U1750">
        <v>-5.2185060000000004E-3</v>
      </c>
      <c r="V1750">
        <v>4.2688819999999999E-3</v>
      </c>
      <c r="W1750">
        <v>2.108639E-2</v>
      </c>
      <c r="X1750">
        <v>0.99976860000000001</v>
      </c>
      <c r="Y1750">
        <v>2.106384E-2</v>
      </c>
      <c r="Z1750" s="1">
        <v>4.4867349999999997E-6</v>
      </c>
      <c r="AA1750">
        <v>0.99977819999999995</v>
      </c>
      <c r="AB1750">
        <v>12</v>
      </c>
      <c r="AC1750">
        <v>-3.0005190000000002</v>
      </c>
      <c r="AD1750">
        <v>-4.0388110000000001E-4</v>
      </c>
      <c r="AE1750">
        <v>-5.2185060000000004E-3</v>
      </c>
      <c r="AF1750">
        <v>6.3202525895679595E-2</v>
      </c>
      <c r="AG1750">
        <v>-4.0388110000000001E-4</v>
      </c>
      <c r="AH1750">
        <v>2.9998577660693102</v>
      </c>
      <c r="AI1750">
        <v>90.0077122150322</v>
      </c>
      <c r="AJ1750">
        <v>88.793041999791399</v>
      </c>
      <c r="AK1750">
        <v>3.0005235108303898</v>
      </c>
      <c r="AL1750">
        <v>88.791749366076303</v>
      </c>
      <c r="AM1750">
        <v>89.755355953943393</v>
      </c>
      <c r="AN1750">
        <v>1.00000005637135</v>
      </c>
    </row>
    <row r="1751" spans="1:40" x14ac:dyDescent="0.25">
      <c r="A1751" t="str">
        <f>"20190312160633459"</f>
        <v>20190312160633459</v>
      </c>
      <c r="B1751" t="str">
        <f>"1552377993446526"</f>
        <v>1552377993446526</v>
      </c>
      <c r="C1751" t="s">
        <v>40</v>
      </c>
      <c r="D1751">
        <v>6.2690519999999896</v>
      </c>
      <c r="E1751">
        <v>0.50807460000000004</v>
      </c>
      <c r="F1751" t="s">
        <v>41</v>
      </c>
      <c r="G1751">
        <v>0</v>
      </c>
      <c r="H1751">
        <v>0</v>
      </c>
      <c r="I1751">
        <v>0</v>
      </c>
      <c r="J1751">
        <v>-219.9691</v>
      </c>
      <c r="K1751">
        <v>1.109942</v>
      </c>
      <c r="L1751">
        <v>282.75819999999999</v>
      </c>
      <c r="M1751">
        <v>-0.99965919999999997</v>
      </c>
      <c r="N1751">
        <v>0</v>
      </c>
      <c r="O1751">
        <v>-2.2372010000000001E-2</v>
      </c>
      <c r="P1751">
        <v>-0.99980000000000002</v>
      </c>
      <c r="Q1751">
        <v>8.2192319999999999E-3</v>
      </c>
      <c r="R1751">
        <v>-1.823613E-2</v>
      </c>
      <c r="S1751">
        <v>-3.0005190000000002</v>
      </c>
      <c r="T1751">
        <v>1.440716E-2</v>
      </c>
      <c r="U1751">
        <v>2.2888180000000002E-3</v>
      </c>
      <c r="V1751">
        <v>4.1514179999999996E-3</v>
      </c>
      <c r="W1751">
        <v>2.1668949999999999E-2</v>
      </c>
      <c r="X1751">
        <v>0.9997566</v>
      </c>
      <c r="Y1751">
        <v>2.3136130000000001E-2</v>
      </c>
      <c r="Z1751">
        <v>-1.6296750000000001E-4</v>
      </c>
      <c r="AA1751">
        <v>0.99973230000000002</v>
      </c>
      <c r="AB1751">
        <v>12</v>
      </c>
      <c r="AC1751">
        <v>-3.0005190000000002</v>
      </c>
      <c r="AD1751">
        <v>1.440716E-2</v>
      </c>
      <c r="AE1751">
        <v>2.2888180000000002E-3</v>
      </c>
      <c r="AF1751">
        <v>6.9420360736908604E-2</v>
      </c>
      <c r="AG1751">
        <v>1.440716E-2</v>
      </c>
      <c r="AH1751">
        <v>2.9996475131923899</v>
      </c>
      <c r="AI1751">
        <v>89.724886957996105</v>
      </c>
      <c r="AJ1751">
        <v>88.674249627723498</v>
      </c>
      <c r="AK1751">
        <v>3.00048528677369</v>
      </c>
      <c r="AL1751">
        <v>88.758363461466502</v>
      </c>
      <c r="AM1751">
        <v>89.762084728120101</v>
      </c>
      <c r="AN1751">
        <v>1.0000000184545299</v>
      </c>
    </row>
    <row r="1752" spans="1:40" x14ac:dyDescent="0.25">
      <c r="A1752" t="str">
        <f>"20190312160633479"</f>
        <v>20190312160633479</v>
      </c>
      <c r="B1752" t="str">
        <f>"1552377993476781"</f>
        <v>1552377993476781</v>
      </c>
      <c r="C1752" t="s">
        <v>40</v>
      </c>
      <c r="D1752">
        <v>6.3532979999999997</v>
      </c>
      <c r="E1752">
        <v>0.50784849999999904</v>
      </c>
      <c r="F1752" t="s">
        <v>41</v>
      </c>
      <c r="G1752">
        <v>0</v>
      </c>
      <c r="H1752">
        <v>0</v>
      </c>
      <c r="I1752">
        <v>0</v>
      </c>
      <c r="J1752">
        <v>-220.0772</v>
      </c>
      <c r="K1752">
        <v>1.1099460000000001</v>
      </c>
      <c r="L1752">
        <v>282.75659999999999</v>
      </c>
      <c r="M1752">
        <v>-0.99967419999999996</v>
      </c>
      <c r="N1752">
        <v>0</v>
      </c>
      <c r="O1752">
        <v>-2.1688989999999998E-2</v>
      </c>
      <c r="P1752">
        <v>-0.99978900000000004</v>
      </c>
      <c r="Q1752">
        <v>8.6346819999999994E-3</v>
      </c>
      <c r="R1752">
        <v>-1.8635180000000001E-2</v>
      </c>
      <c r="S1752">
        <v>-3.0007779999999999</v>
      </c>
      <c r="T1752">
        <v>-2.7287010000000002E-4</v>
      </c>
      <c r="U1752">
        <v>1.043701E-2</v>
      </c>
      <c r="V1752">
        <v>3.0690729999999999E-3</v>
      </c>
      <c r="W1752">
        <v>2.2082750000000002E-2</v>
      </c>
      <c r="X1752">
        <v>0.99975139999999996</v>
      </c>
      <c r="Y1752">
        <v>2.5168090000000001E-2</v>
      </c>
      <c r="Z1752" s="1">
        <v>3.116625E-6</v>
      </c>
      <c r="AA1752">
        <v>0.99968330000000005</v>
      </c>
      <c r="AB1752">
        <v>12</v>
      </c>
      <c r="AC1752">
        <v>-3.0007779999999999</v>
      </c>
      <c r="AD1752">
        <v>-2.7287010000000002E-4</v>
      </c>
      <c r="AE1752">
        <v>1.043701E-2</v>
      </c>
      <c r="AF1752">
        <v>7.5524291370035898E-2</v>
      </c>
      <c r="AG1752">
        <v>-2.7287010000000002E-4</v>
      </c>
      <c r="AH1752">
        <v>2.9998455741852101</v>
      </c>
      <c r="AI1752">
        <v>90.005210052395299</v>
      </c>
      <c r="AJ1752">
        <v>88.557822681290105</v>
      </c>
      <c r="AK1752">
        <v>3.00079613802798</v>
      </c>
      <c r="AL1752">
        <v>88.734648724760603</v>
      </c>
      <c r="AM1752">
        <v>89.824111896678104</v>
      </c>
      <c r="AN1752">
        <v>0.99999996442929995</v>
      </c>
    </row>
    <row r="1753" spans="1:40" x14ac:dyDescent="0.25">
      <c r="A1753" t="str">
        <f>"20190312160633504"</f>
        <v>20190312160633504</v>
      </c>
      <c r="B1753" t="str">
        <f>"1552377993496301"</f>
        <v>1552377993496301</v>
      </c>
      <c r="C1753" t="s">
        <v>40</v>
      </c>
      <c r="D1753">
        <v>6.3967650000000003</v>
      </c>
      <c r="E1753">
        <v>0.5084168</v>
      </c>
      <c r="F1753" t="s">
        <v>41</v>
      </c>
      <c r="G1753">
        <v>0</v>
      </c>
      <c r="H1753">
        <v>0</v>
      </c>
      <c r="I1753">
        <v>0</v>
      </c>
      <c r="J1753">
        <v>-220.20230000000001</v>
      </c>
      <c r="K1753">
        <v>1.1099479999999999</v>
      </c>
      <c r="L1753">
        <v>282.75479999999999</v>
      </c>
      <c r="M1753">
        <v>-0.9996912</v>
      </c>
      <c r="N1753">
        <v>0</v>
      </c>
      <c r="O1753">
        <v>-2.0898079999999999E-2</v>
      </c>
      <c r="P1753">
        <v>-0.99979359999999995</v>
      </c>
      <c r="Q1753">
        <v>8.6673410000000003E-3</v>
      </c>
      <c r="R1753">
        <v>-1.8378479999999999E-2</v>
      </c>
      <c r="S1753">
        <v>-3.0007480000000002</v>
      </c>
      <c r="T1753">
        <v>2.3902649999999999E-3</v>
      </c>
      <c r="U1753">
        <v>7.5378419999999899E-3</v>
      </c>
      <c r="V1753">
        <v>2.5347490000000002E-3</v>
      </c>
      <c r="W1753">
        <v>2.2112779999999999E-2</v>
      </c>
      <c r="X1753">
        <v>0.99975230000000004</v>
      </c>
      <c r="Y1753">
        <v>2.3411319999999999E-2</v>
      </c>
      <c r="Z1753" s="1">
        <v>-2.5971379999999999E-5</v>
      </c>
      <c r="AA1753">
        <v>0.99972589999999995</v>
      </c>
      <c r="AB1753">
        <v>12</v>
      </c>
      <c r="AC1753">
        <v>-3.0007480000000002</v>
      </c>
      <c r="AD1753">
        <v>2.3902649999999999E-3</v>
      </c>
      <c r="AE1753">
        <v>7.5378419999999899E-3</v>
      </c>
      <c r="AF1753">
        <v>7.0251691665784002E-2</v>
      </c>
      <c r="AG1753">
        <v>2.3902649999999999E-3</v>
      </c>
      <c r="AH1753">
        <v>2.99993310786448</v>
      </c>
      <c r="AI1753">
        <v>89.954360805285603</v>
      </c>
      <c r="AJ1753">
        <v>88.658506789197503</v>
      </c>
      <c r="AK1753">
        <v>3.0007565154823999</v>
      </c>
      <c r="AL1753">
        <v>88.732927796144295</v>
      </c>
      <c r="AM1753">
        <v>89.854733908949996</v>
      </c>
      <c r="AN1753">
        <v>1.0000000306735499</v>
      </c>
    </row>
    <row r="1754" spans="1:40" x14ac:dyDescent="0.25">
      <c r="A1754" t="str">
        <f>"20190312160633526"</f>
        <v>20190312160633526</v>
      </c>
      <c r="B1754" t="str">
        <f>"1552377993516797"</f>
        <v>1552377993516797</v>
      </c>
      <c r="C1754" t="s">
        <v>40</v>
      </c>
      <c r="D1754">
        <v>6.0675489999999996</v>
      </c>
      <c r="E1754">
        <v>0.50867559999999901</v>
      </c>
      <c r="F1754" t="s">
        <v>66</v>
      </c>
      <c r="G1754">
        <v>-386.9468</v>
      </c>
      <c r="H1754" s="1">
        <v>2.1599639999999999E-6</v>
      </c>
      <c r="I1754">
        <v>283.4975</v>
      </c>
      <c r="J1754">
        <v>-220.32329999999999</v>
      </c>
      <c r="K1754">
        <v>1.1099460000000001</v>
      </c>
      <c r="L1754">
        <v>282.75319999999999</v>
      </c>
      <c r="M1754">
        <v>-0.99970689999999995</v>
      </c>
      <c r="N1754">
        <v>0</v>
      </c>
      <c r="O1754">
        <v>-2.0133990000000001E-2</v>
      </c>
      <c r="P1754">
        <v>-0.99978929999999999</v>
      </c>
      <c r="Q1754">
        <v>8.7770709999999991E-3</v>
      </c>
      <c r="R1754">
        <v>-1.8556719999999999E-2</v>
      </c>
      <c r="S1754">
        <v>-3.0010379999999999</v>
      </c>
      <c r="T1754">
        <v>-1.997662E-2</v>
      </c>
      <c r="U1754">
        <v>1.33667E-2</v>
      </c>
      <c r="V1754">
        <v>1.5921399999999999E-3</v>
      </c>
      <c r="W1754">
        <v>2.2219559999999999E-2</v>
      </c>
      <c r="X1754">
        <v>0.99975190000000003</v>
      </c>
      <c r="Y1754">
        <v>2.4587700000000001E-2</v>
      </c>
      <c r="Z1754">
        <v>2.1586150000000001E-4</v>
      </c>
      <c r="AA1754">
        <v>0.99969759999999996</v>
      </c>
      <c r="AB1754">
        <v>12</v>
      </c>
      <c r="AC1754">
        <v>-166.62350000000001</v>
      </c>
      <c r="AD1754">
        <v>-1.10994384003599</v>
      </c>
      <c r="AE1754">
        <v>0.74430000000000895</v>
      </c>
      <c r="AF1754">
        <v>4.0990662984132804</v>
      </c>
      <c r="AG1754">
        <v>-1.10994384003599</v>
      </c>
      <c r="AH1754">
        <v>166.567339546369</v>
      </c>
      <c r="AI1754">
        <v>90.381676919650005</v>
      </c>
      <c r="AJ1754">
        <v>88.590289032727</v>
      </c>
      <c r="AK1754">
        <v>166.621465974232</v>
      </c>
      <c r="AL1754">
        <v>88.7268082774129</v>
      </c>
      <c r="AM1754">
        <v>89.908754536725297</v>
      </c>
      <c r="AN1754">
        <v>1.0000000526549899</v>
      </c>
    </row>
    <row r="1755" spans="1:40" x14ac:dyDescent="0.25">
      <c r="A1755" t="str">
        <f>"20190312160633548"</f>
        <v>20190312160633548</v>
      </c>
      <c r="B1755" t="str">
        <f>"1552377993536317"</f>
        <v>1552377993536317</v>
      </c>
      <c r="C1755" t="s">
        <v>40</v>
      </c>
      <c r="D1755">
        <v>6.4207409999999996</v>
      </c>
      <c r="E1755">
        <v>0.50854339999999998</v>
      </c>
      <c r="F1755" t="s">
        <v>66</v>
      </c>
      <c r="G1755">
        <v>-337.25869999999998</v>
      </c>
      <c r="H1755" s="1">
        <v>2.3815469999999998E-6</v>
      </c>
      <c r="I1755">
        <v>283.3442</v>
      </c>
      <c r="J1755">
        <v>-220.4342</v>
      </c>
      <c r="K1755">
        <v>1.10995</v>
      </c>
      <c r="L1755">
        <v>282.7518</v>
      </c>
      <c r="M1755">
        <v>-0.99972090000000002</v>
      </c>
      <c r="N1755">
        <v>0</v>
      </c>
      <c r="O1755">
        <v>-1.943462E-2</v>
      </c>
      <c r="P1755">
        <v>-0.99977990000000005</v>
      </c>
      <c r="Q1755">
        <v>9.4323619999999997E-3</v>
      </c>
      <c r="R1755">
        <v>-1.8745640000000001E-2</v>
      </c>
      <c r="S1755">
        <v>-3.0011749999999999</v>
      </c>
      <c r="T1755">
        <v>-2.848697E-2</v>
      </c>
      <c r="U1755">
        <v>1.516724E-2</v>
      </c>
      <c r="V1755">
        <v>7.0383139999999995E-4</v>
      </c>
      <c r="W1755">
        <v>2.287266E-2</v>
      </c>
      <c r="X1755">
        <v>0.99973820000000002</v>
      </c>
      <c r="Y1755">
        <v>2.4486899999999999E-2</v>
      </c>
      <c r="Z1755">
        <v>3.006878E-4</v>
      </c>
      <c r="AA1755">
        <v>0.99970009999999998</v>
      </c>
      <c r="AB1755">
        <v>12</v>
      </c>
      <c r="AC1755">
        <v>-116.82449999999901</v>
      </c>
      <c r="AD1755">
        <v>-1.1099476184529999</v>
      </c>
      <c r="AE1755">
        <v>0.59239999999999704</v>
      </c>
      <c r="AF1755">
        <v>2.8626742955990601</v>
      </c>
      <c r="AG1755">
        <v>-1.1099476184529999</v>
      </c>
      <c r="AH1755">
        <v>116.78037592008199</v>
      </c>
      <c r="AI1755">
        <v>90.544391997831795</v>
      </c>
      <c r="AJ1755">
        <v>88.595771655784702</v>
      </c>
      <c r="AK1755">
        <v>116.820730557012</v>
      </c>
      <c r="AL1755">
        <v>88.689378901985705</v>
      </c>
      <c r="AM1755">
        <v>89.959662877694996</v>
      </c>
      <c r="AN1755">
        <v>1.00000006124667</v>
      </c>
    </row>
    <row r="1756" spans="1:40" x14ac:dyDescent="0.25">
      <c r="A1756" t="str">
        <f>"20190312160633591"</f>
        <v>20190312160633591</v>
      </c>
      <c r="B1756" t="str">
        <f>"1552377993587069"</f>
        <v>1552377993587069</v>
      </c>
      <c r="C1756" t="s">
        <v>40</v>
      </c>
      <c r="D1756">
        <v>6.9269149999999904</v>
      </c>
      <c r="E1756">
        <v>0.50854069999999996</v>
      </c>
      <c r="F1756" t="s">
        <v>77</v>
      </c>
      <c r="G1756">
        <v>-316.3449</v>
      </c>
      <c r="H1756" s="1">
        <v>5.1555079999999901E-6</v>
      </c>
      <c r="I1756">
        <v>283.18869999999998</v>
      </c>
      <c r="J1756">
        <v>-220.66579999999999</v>
      </c>
      <c r="K1756">
        <v>1.109958</v>
      </c>
      <c r="L1756">
        <v>282.7491</v>
      </c>
      <c r="M1756">
        <v>-0.99974819999999998</v>
      </c>
      <c r="N1756">
        <v>0</v>
      </c>
      <c r="O1756">
        <v>-1.7973179999999998E-2</v>
      </c>
      <c r="P1756">
        <v>-0.99975499999999995</v>
      </c>
      <c r="Q1756">
        <v>1.158581E-2</v>
      </c>
      <c r="R1756">
        <v>-1.8862520000000001E-2</v>
      </c>
      <c r="S1756">
        <v>-3.001236</v>
      </c>
      <c r="T1756">
        <v>-3.473234E-2</v>
      </c>
      <c r="U1756">
        <v>1.3671880000000001E-2</v>
      </c>
      <c r="V1756">
        <v>-8.745475E-4</v>
      </c>
      <c r="W1756">
        <v>2.5020199999999999E-2</v>
      </c>
      <c r="X1756">
        <v>0.99968650000000003</v>
      </c>
      <c r="Y1756">
        <v>2.2526529999999999E-2</v>
      </c>
      <c r="Z1756">
        <v>3.3834339999999998E-4</v>
      </c>
      <c r="AA1756">
        <v>0.99974620000000003</v>
      </c>
      <c r="AB1756">
        <v>12</v>
      </c>
      <c r="AC1756">
        <v>-95.679100000000005</v>
      </c>
      <c r="AD1756">
        <v>-1.1099528444919999</v>
      </c>
      <c r="AE1756">
        <v>0.439599999999984</v>
      </c>
      <c r="AF1756">
        <v>2.1590513309390098</v>
      </c>
      <c r="AG1756">
        <v>-1.1099528444919999</v>
      </c>
      <c r="AH1756">
        <v>95.6428692009288</v>
      </c>
      <c r="AI1756">
        <v>90.664728732190397</v>
      </c>
      <c r="AJ1756">
        <v>88.706819195048496</v>
      </c>
      <c r="AK1756">
        <v>95.673674158321205</v>
      </c>
      <c r="AL1756">
        <v>88.566298434861807</v>
      </c>
      <c r="AM1756">
        <v>90.050123581693796</v>
      </c>
      <c r="AN1756">
        <v>0.99999993676180698</v>
      </c>
    </row>
    <row r="1757" spans="1:40" x14ac:dyDescent="0.25">
      <c r="A1757" t="str">
        <f>"20190312160633614"</f>
        <v>20190312160633614</v>
      </c>
      <c r="B1757" t="str">
        <f>"1552377993606590"</f>
        <v>1552377993606590</v>
      </c>
      <c r="C1757" t="s">
        <v>40</v>
      </c>
      <c r="D1757">
        <v>6.3335119999999998</v>
      </c>
      <c r="E1757">
        <v>0.50812219999999997</v>
      </c>
      <c r="F1757" t="s">
        <v>77</v>
      </c>
      <c r="G1757">
        <v>-299.17599999999999</v>
      </c>
      <c r="H1757" s="1">
        <v>3.9653220000000001E-6</v>
      </c>
      <c r="I1757">
        <v>283.10750000000002</v>
      </c>
      <c r="J1757">
        <v>-220.7808</v>
      </c>
      <c r="K1757">
        <v>1.1099669999999999</v>
      </c>
      <c r="L1757">
        <v>282.74790000000002</v>
      </c>
      <c r="M1757">
        <v>-0.99976100000000001</v>
      </c>
      <c r="N1757">
        <v>0</v>
      </c>
      <c r="O1757">
        <v>-1.725022E-2</v>
      </c>
      <c r="P1757">
        <v>-0.99975080000000005</v>
      </c>
      <c r="Q1757">
        <v>1.216923E-2</v>
      </c>
      <c r="R1757">
        <v>-1.8726340000000001E-2</v>
      </c>
      <c r="S1757">
        <v>-3.001465</v>
      </c>
      <c r="T1757">
        <v>-4.2433859999999997E-2</v>
      </c>
      <c r="U1757">
        <v>1.370239E-2</v>
      </c>
      <c r="V1757">
        <v>-1.4603750000000001E-3</v>
      </c>
      <c r="W1757">
        <v>2.56008E-2</v>
      </c>
      <c r="X1757">
        <v>0.99967119999999998</v>
      </c>
      <c r="Y1757">
        <v>2.18122E-2</v>
      </c>
      <c r="Z1757">
        <v>3.9805940000000001E-4</v>
      </c>
      <c r="AA1757">
        <v>0.99976200000000004</v>
      </c>
      <c r="AB1757">
        <v>12</v>
      </c>
      <c r="AC1757">
        <v>-78.395199999999903</v>
      </c>
      <c r="AD1757">
        <v>-1.1099630346779901</v>
      </c>
      <c r="AE1757">
        <v>0.35959999999999998</v>
      </c>
      <c r="AF1757">
        <v>1.71165978858948</v>
      </c>
      <c r="AG1757">
        <v>-1.1099630346779901</v>
      </c>
      <c r="AH1757">
        <v>78.361620840858393</v>
      </c>
      <c r="AI1757">
        <v>90.811325503912599</v>
      </c>
      <c r="AJ1757">
        <v>88.748682224149405</v>
      </c>
      <c r="AK1757">
        <v>78.3881714162072</v>
      </c>
      <c r="AL1757">
        <v>88.533021965576907</v>
      </c>
      <c r="AM1757">
        <v>90.083700785302298</v>
      </c>
      <c r="AN1757">
        <v>1.0000000208826101</v>
      </c>
    </row>
    <row r="1758" spans="1:40" x14ac:dyDescent="0.25">
      <c r="A1758" t="str">
        <f>"20190312160633637"</f>
        <v>20190312160633637</v>
      </c>
      <c r="B1758" t="str">
        <f>"1552377993627089"</f>
        <v>1552377993627089</v>
      </c>
      <c r="C1758" t="s">
        <v>40</v>
      </c>
      <c r="D1758">
        <v>6.4150340000000003</v>
      </c>
      <c r="E1758">
        <v>0.50823240000000003</v>
      </c>
      <c r="F1758" t="s">
        <v>77</v>
      </c>
      <c r="G1758">
        <v>-300.33960000000002</v>
      </c>
      <c r="H1758" s="1">
        <v>4.0430250000000001E-6</v>
      </c>
      <c r="I1758">
        <v>283.03019999999998</v>
      </c>
      <c r="J1758">
        <v>-220.9016</v>
      </c>
      <c r="K1758">
        <v>1.1099749999999999</v>
      </c>
      <c r="L1758">
        <v>282.74669999999998</v>
      </c>
      <c r="M1758">
        <v>-0.99977380000000005</v>
      </c>
      <c r="N1758">
        <v>0</v>
      </c>
      <c r="O1758">
        <v>-1.6496899999999998E-2</v>
      </c>
      <c r="P1758">
        <v>-0.99971699999999997</v>
      </c>
      <c r="Q1758">
        <v>1.343746E-2</v>
      </c>
      <c r="R1758">
        <v>-1.9641280000000001E-2</v>
      </c>
      <c r="S1758">
        <v>-3.001465</v>
      </c>
      <c r="T1758">
        <v>-4.1874889999999998E-2</v>
      </c>
      <c r="U1758">
        <v>1.0650629999999999E-2</v>
      </c>
      <c r="V1758">
        <v>-3.1291270000000002E-3</v>
      </c>
      <c r="W1758">
        <v>2.6866370000000001E-2</v>
      </c>
      <c r="X1758">
        <v>0.99963409999999997</v>
      </c>
      <c r="Y1758">
        <v>2.00427E-2</v>
      </c>
      <c r="Z1758">
        <v>3.6996449999999998E-4</v>
      </c>
      <c r="AA1758">
        <v>0.99979910000000005</v>
      </c>
      <c r="AB1758">
        <v>12</v>
      </c>
      <c r="AC1758">
        <v>-79.438000000000002</v>
      </c>
      <c r="AD1758">
        <v>-1.109970956975</v>
      </c>
      <c r="AE1758">
        <v>0.28350000000000303</v>
      </c>
      <c r="AF1758">
        <v>1.5937490886415799</v>
      </c>
      <c r="AG1758">
        <v>-1.109970956975</v>
      </c>
      <c r="AH1758">
        <v>79.407007439325199</v>
      </c>
      <c r="AI1758">
        <v>90.800681308983499</v>
      </c>
      <c r="AJ1758">
        <v>88.850191679676698</v>
      </c>
      <c r="AK1758">
        <v>79.430755392051495</v>
      </c>
      <c r="AL1758">
        <v>88.460485090078507</v>
      </c>
      <c r="AM1758">
        <v>90.179350809541504</v>
      </c>
      <c r="AN1758">
        <v>0.99999996357778298</v>
      </c>
    </row>
    <row r="1759" spans="1:40" x14ac:dyDescent="0.25">
      <c r="A1759" t="str">
        <f>"20190312160633659"</f>
        <v>20190312160633659</v>
      </c>
      <c r="B1759" t="str">
        <f>"1552377993646609"</f>
        <v>1552377993646609</v>
      </c>
      <c r="C1759" t="s">
        <v>40</v>
      </c>
      <c r="D1759">
        <v>6.3246560000000001</v>
      </c>
      <c r="E1759">
        <v>0.50844630000000002</v>
      </c>
      <c r="F1759" t="s">
        <v>77</v>
      </c>
      <c r="G1759">
        <v>-288.01659999999998</v>
      </c>
      <c r="H1759" s="1">
        <v>5.1901350000000004E-6</v>
      </c>
      <c r="I1759">
        <v>282.95690000000002</v>
      </c>
      <c r="J1759">
        <v>-221.01419999999999</v>
      </c>
      <c r="K1759">
        <v>1.109982</v>
      </c>
      <c r="L1759">
        <v>282.7457</v>
      </c>
      <c r="M1759">
        <v>-0.99978509999999998</v>
      </c>
      <c r="N1759">
        <v>0</v>
      </c>
      <c r="O1759">
        <v>-1.5804780000000001E-2</v>
      </c>
      <c r="P1759">
        <v>-0.99969390000000002</v>
      </c>
      <c r="Q1759">
        <v>1.476946E-2</v>
      </c>
      <c r="R1759">
        <v>-1.9860249999999999E-2</v>
      </c>
      <c r="S1759">
        <v>-3.0017399999999999</v>
      </c>
      <c r="T1759">
        <v>-4.964375E-2</v>
      </c>
      <c r="U1759">
        <v>9.399414E-3</v>
      </c>
      <c r="V1759">
        <v>-4.0403560000000002E-3</v>
      </c>
      <c r="W1759">
        <v>2.819528E-2</v>
      </c>
      <c r="X1759">
        <v>0.99959430000000005</v>
      </c>
      <c r="Y1759">
        <v>1.8932299999999999E-2</v>
      </c>
      <c r="Z1759">
        <v>4.179265E-4</v>
      </c>
      <c r="AA1759">
        <v>0.99982070000000001</v>
      </c>
      <c r="AB1759">
        <v>12</v>
      </c>
      <c r="AC1759">
        <v>-67.002399999999994</v>
      </c>
      <c r="AD1759">
        <v>-1.109976809865</v>
      </c>
      <c r="AE1759">
        <v>0.21120000000001901</v>
      </c>
      <c r="AF1759">
        <v>1.2698786047483901</v>
      </c>
      <c r="AG1759">
        <v>-1.109976809865</v>
      </c>
      <c r="AH1759">
        <v>66.9723117152204</v>
      </c>
      <c r="AI1759">
        <v>90.949343640065194</v>
      </c>
      <c r="AJ1759">
        <v>88.913730690397102</v>
      </c>
      <c r="AK1759">
        <v>66.993545783678897</v>
      </c>
      <c r="AL1759">
        <v>88.384315385219097</v>
      </c>
      <c r="AM1759">
        <v>90.231588041108097</v>
      </c>
      <c r="AN1759">
        <v>1.0000000314416799</v>
      </c>
    </row>
    <row r="1760" spans="1:40" x14ac:dyDescent="0.25">
      <c r="A1760" t="str">
        <f>"20190312160633672"</f>
        <v>20190312160633672</v>
      </c>
      <c r="B1760" t="str">
        <f>"1552377993667102"</f>
        <v>1552377993667102</v>
      </c>
      <c r="C1760" t="s">
        <v>40</v>
      </c>
      <c r="D1760">
        <v>6.3757000000000001</v>
      </c>
      <c r="E1760">
        <v>0.50870000000000004</v>
      </c>
      <c r="F1760" t="s">
        <v>77</v>
      </c>
      <c r="G1760">
        <v>-282.53280000000001</v>
      </c>
      <c r="H1760" s="1">
        <v>7.6210209999999902E-6</v>
      </c>
      <c r="I1760">
        <v>282.9615</v>
      </c>
      <c r="J1760">
        <v>-221.08789999999999</v>
      </c>
      <c r="K1760">
        <v>1.1099920000000001</v>
      </c>
      <c r="L1760">
        <v>282.74509999999998</v>
      </c>
      <c r="M1760">
        <v>-0.99979189999999996</v>
      </c>
      <c r="N1760">
        <v>0</v>
      </c>
      <c r="O1760">
        <v>-1.535677E-2</v>
      </c>
      <c r="P1760">
        <v>-0.99970219999999999</v>
      </c>
      <c r="Q1760">
        <v>1.46395E-2</v>
      </c>
      <c r="R1760">
        <v>-1.9526140000000001E-2</v>
      </c>
      <c r="S1760">
        <v>-3.0019230000000001</v>
      </c>
      <c r="T1760">
        <v>-5.4163459999999997E-2</v>
      </c>
      <c r="U1760">
        <v>1.0528559999999999E-2</v>
      </c>
      <c r="V1760">
        <v>-4.155242E-3</v>
      </c>
      <c r="W1760">
        <v>2.806326E-2</v>
      </c>
      <c r="X1760">
        <v>0.99959750000000003</v>
      </c>
      <c r="Y1760">
        <v>1.8859339999999999E-2</v>
      </c>
      <c r="Z1760">
        <v>4.4720079999999998E-4</v>
      </c>
      <c r="AA1760">
        <v>0.99982199999999999</v>
      </c>
      <c r="AB1760">
        <v>12</v>
      </c>
      <c r="AC1760">
        <v>-61.444899999999997</v>
      </c>
      <c r="AD1760">
        <v>-1.109984378979</v>
      </c>
      <c r="AE1760">
        <v>0.21640000000002099</v>
      </c>
      <c r="AF1760">
        <v>1.1596763261643099</v>
      </c>
      <c r="AG1760">
        <v>-1.109984378979</v>
      </c>
      <c r="AH1760">
        <v>61.414288164884503</v>
      </c>
      <c r="AI1760">
        <v>91.035250381178699</v>
      </c>
      <c r="AJ1760">
        <v>88.918221385138693</v>
      </c>
      <c r="AK1760">
        <v>61.435264346322398</v>
      </c>
      <c r="AL1760">
        <v>88.391882497178898</v>
      </c>
      <c r="AM1760">
        <v>90.238172322505704</v>
      </c>
      <c r="AN1760">
        <v>0.99999998730207795</v>
      </c>
    </row>
    <row r="1761" spans="1:40" x14ac:dyDescent="0.25">
      <c r="A1761" t="str">
        <f>"20190312160633694"</f>
        <v>20190312160633694</v>
      </c>
      <c r="B1761" t="str">
        <f>"1552377993686622"</f>
        <v>1552377993686622</v>
      </c>
      <c r="C1761" t="s">
        <v>40</v>
      </c>
      <c r="D1761">
        <v>7.6644329999999998</v>
      </c>
      <c r="E1761">
        <v>0.50858320000000001</v>
      </c>
      <c r="F1761" t="s">
        <v>66</v>
      </c>
      <c r="G1761">
        <v>-271.30590000000001</v>
      </c>
      <c r="H1761" s="1">
        <v>-7.7023809999999998E-7</v>
      </c>
      <c r="I1761">
        <v>282.97789999999998</v>
      </c>
      <c r="J1761">
        <v>-221.1934</v>
      </c>
      <c r="K1761">
        <v>1.110001</v>
      </c>
      <c r="L1761">
        <v>282.74419999999998</v>
      </c>
      <c r="M1761">
        <v>-0.99980159999999996</v>
      </c>
      <c r="N1761">
        <v>0</v>
      </c>
      <c r="O1761">
        <v>-1.4728110000000001E-2</v>
      </c>
      <c r="P1761">
        <v>-0.99973299999999998</v>
      </c>
      <c r="Q1761">
        <v>1.425216E-2</v>
      </c>
      <c r="R1761">
        <v>-1.8193540000000001E-2</v>
      </c>
      <c r="S1761">
        <v>-3.0021209999999998</v>
      </c>
      <c r="T1761">
        <v>-6.6357369999999999E-2</v>
      </c>
      <c r="U1761">
        <v>1.3916019999999999E-2</v>
      </c>
      <c r="V1761">
        <v>-3.4512739999999998E-3</v>
      </c>
      <c r="W1761">
        <v>2.76724E-2</v>
      </c>
      <c r="X1761">
        <v>0.99961109999999997</v>
      </c>
      <c r="Y1761">
        <v>1.9355799999999999E-2</v>
      </c>
      <c r="Z1761">
        <v>5.3941269999999999E-4</v>
      </c>
      <c r="AA1761">
        <v>0.99981249999999999</v>
      </c>
      <c r="AB1761">
        <v>12</v>
      </c>
      <c r="AC1761">
        <v>-50.112499999999997</v>
      </c>
      <c r="AD1761">
        <v>-1.1100017702381</v>
      </c>
      <c r="AE1761">
        <v>0.23369999999999799</v>
      </c>
      <c r="AF1761">
        <v>0.97132688349143104</v>
      </c>
      <c r="AG1761">
        <v>-1.1100017702381</v>
      </c>
      <c r="AH1761">
        <v>50.079051513248302</v>
      </c>
      <c r="AI1761">
        <v>91.269513882560702</v>
      </c>
      <c r="AJ1761">
        <v>88.888837708181001</v>
      </c>
      <c r="AK1761">
        <v>50.100768260687403</v>
      </c>
      <c r="AL1761">
        <v>88.414285866446093</v>
      </c>
      <c r="AM1761">
        <v>90.197819580445994</v>
      </c>
      <c r="AN1761">
        <v>1.0000000121285899</v>
      </c>
    </row>
    <row r="1762" spans="1:40" x14ac:dyDescent="0.25">
      <c r="A1762" t="str">
        <f>"20190312160633715"</f>
        <v>20190312160633715</v>
      </c>
      <c r="B1762" t="str">
        <f>"1552377993707118"</f>
        <v>1552377993707118</v>
      </c>
      <c r="C1762" t="s">
        <v>40</v>
      </c>
      <c r="D1762">
        <v>6.3466899999999997</v>
      </c>
      <c r="E1762">
        <v>0.50836840000000005</v>
      </c>
      <c r="F1762" t="s">
        <v>66</v>
      </c>
      <c r="G1762">
        <v>-271.55739999999997</v>
      </c>
      <c r="H1762" s="1">
        <v>-6.3842649999999999E-7</v>
      </c>
      <c r="I1762">
        <v>283.02429999999998</v>
      </c>
      <c r="J1762">
        <v>-221.3056</v>
      </c>
      <c r="K1762">
        <v>1.1100179999999999</v>
      </c>
      <c r="L1762">
        <v>282.74329999999998</v>
      </c>
      <c r="M1762">
        <v>-0.9998108</v>
      </c>
      <c r="N1762">
        <v>0</v>
      </c>
      <c r="O1762">
        <v>-1.4084030000000001E-2</v>
      </c>
      <c r="P1762">
        <v>-0.99973610000000002</v>
      </c>
      <c r="Q1762">
        <v>1.4644920000000001E-2</v>
      </c>
      <c r="R1762">
        <v>-1.7699220000000002E-2</v>
      </c>
      <c r="S1762">
        <v>-3.0020449999999999</v>
      </c>
      <c r="T1762">
        <v>-6.6163780000000005E-2</v>
      </c>
      <c r="U1762">
        <v>1.6693119999999999E-2</v>
      </c>
      <c r="V1762">
        <v>-3.6023330000000001E-3</v>
      </c>
      <c r="W1762">
        <v>2.8061820000000001E-2</v>
      </c>
      <c r="X1762">
        <v>0.99959969999999998</v>
      </c>
      <c r="Y1762">
        <v>1.9636839999999999E-2</v>
      </c>
      <c r="Z1762">
        <v>5.2675520000000002E-4</v>
      </c>
      <c r="AA1762">
        <v>0.99980709999999995</v>
      </c>
      <c r="AB1762">
        <v>12</v>
      </c>
      <c r="AC1762">
        <v>-50.251799999999903</v>
      </c>
      <c r="AD1762">
        <v>-1.1100186384265001</v>
      </c>
      <c r="AE1762">
        <v>0.28100000000000502</v>
      </c>
      <c r="AF1762">
        <v>0.98830148360229197</v>
      </c>
      <c r="AG1762">
        <v>-1.1100186384265001</v>
      </c>
      <c r="AH1762">
        <v>50.218354652741397</v>
      </c>
      <c r="AI1762">
        <v>91.266005671221606</v>
      </c>
      <c r="AJ1762">
        <v>88.872559733868897</v>
      </c>
      <c r="AK1762">
        <v>50.240342606601097</v>
      </c>
      <c r="AL1762">
        <v>88.391965058272305</v>
      </c>
      <c r="AM1762">
        <v>90.206480237834199</v>
      </c>
      <c r="AN1762">
        <v>1.00000000139242</v>
      </c>
    </row>
    <row r="1763" spans="1:40" x14ac:dyDescent="0.25">
      <c r="A1763" t="str">
        <f>"20190312160633748"</f>
        <v>20190312160633748</v>
      </c>
      <c r="B1763" t="str">
        <f>"1552377993736398"</f>
        <v>1552377993736398</v>
      </c>
      <c r="C1763" t="s">
        <v>40</v>
      </c>
      <c r="D1763">
        <v>6.5631559999999904</v>
      </c>
      <c r="E1763">
        <v>0.50798980000000005</v>
      </c>
      <c r="F1763" t="s">
        <v>66</v>
      </c>
      <c r="G1763">
        <v>-271.15820000000002</v>
      </c>
      <c r="H1763" s="1">
        <v>-8.5069850000000003E-7</v>
      </c>
      <c r="I1763">
        <v>283.02010000000001</v>
      </c>
      <c r="J1763">
        <v>-221.4718</v>
      </c>
      <c r="K1763">
        <v>1.1100380000000001</v>
      </c>
      <c r="L1763">
        <v>282.74209999999999</v>
      </c>
      <c r="M1763">
        <v>-0.99982320000000002</v>
      </c>
      <c r="N1763">
        <v>0</v>
      </c>
      <c r="O1763">
        <v>-1.319175E-2</v>
      </c>
      <c r="P1763">
        <v>-0.99973520000000005</v>
      </c>
      <c r="Q1763">
        <v>1.523367E-2</v>
      </c>
      <c r="R1763">
        <v>-1.7256839999999999E-2</v>
      </c>
      <c r="S1763">
        <v>-3.0020899999999999</v>
      </c>
      <c r="T1763">
        <v>-6.6844700000000007E-2</v>
      </c>
      <c r="U1763">
        <v>1.6662599999999899E-2</v>
      </c>
      <c r="V1763">
        <v>-4.0546030000000004E-3</v>
      </c>
      <c r="W1763">
        <v>2.8645239999999999E-2</v>
      </c>
      <c r="X1763">
        <v>0.99958139999999995</v>
      </c>
      <c r="Y1763">
        <v>1.8734589999999999E-2</v>
      </c>
      <c r="Z1763">
        <v>5.0225750000000005E-4</v>
      </c>
      <c r="AA1763">
        <v>0.9998243</v>
      </c>
      <c r="AB1763">
        <v>11</v>
      </c>
      <c r="AC1763">
        <v>-49.686399999999999</v>
      </c>
      <c r="AD1763">
        <v>-1.1100388506984999</v>
      </c>
      <c r="AE1763">
        <v>0.27800000000002001</v>
      </c>
      <c r="AF1763">
        <v>0.93301955235364797</v>
      </c>
      <c r="AG1763">
        <v>-1.1100388506984999</v>
      </c>
      <c r="AH1763">
        <v>49.6536259975124</v>
      </c>
      <c r="AI1763">
        <v>91.280444845561505</v>
      </c>
      <c r="AJ1763">
        <v>88.923506771989594</v>
      </c>
      <c r="AK1763">
        <v>49.674795283282002</v>
      </c>
      <c r="AL1763">
        <v>88.358524078309699</v>
      </c>
      <c r="AM1763">
        <v>90.232407651237295</v>
      </c>
      <c r="AN1763">
        <v>0.99999998240305199</v>
      </c>
    </row>
    <row r="1764" spans="1:40" x14ac:dyDescent="0.25">
      <c r="A1764" t="str">
        <f>"20190312160633769"</f>
        <v>20190312160633769</v>
      </c>
      <c r="B1764" t="str">
        <f>"1552377993756894"</f>
        <v>1552377993756894</v>
      </c>
      <c r="C1764" t="s">
        <v>40</v>
      </c>
      <c r="D1764">
        <v>6.3816110000000004</v>
      </c>
      <c r="E1764">
        <v>0.50825299999999995</v>
      </c>
      <c r="F1764" t="s">
        <v>66</v>
      </c>
      <c r="G1764">
        <v>-271.18470000000002</v>
      </c>
      <c r="H1764" s="1">
        <v>-8.3518980000000002E-7</v>
      </c>
      <c r="I1764">
        <v>282.98820000000001</v>
      </c>
      <c r="J1764">
        <v>-221.5823</v>
      </c>
      <c r="K1764">
        <v>1.110055</v>
      </c>
      <c r="L1764">
        <v>282.74130000000002</v>
      </c>
      <c r="M1764">
        <v>-0.99983029999999995</v>
      </c>
      <c r="N1764">
        <v>0</v>
      </c>
      <c r="O1764">
        <v>-1.2633220000000001E-2</v>
      </c>
      <c r="P1764">
        <v>-0.99973330000000005</v>
      </c>
      <c r="Q1764">
        <v>1.549935E-2</v>
      </c>
      <c r="R1764">
        <v>-1.712118E-2</v>
      </c>
      <c r="S1764">
        <v>-3.002075</v>
      </c>
      <c r="T1764">
        <v>-6.7033289999999995E-2</v>
      </c>
      <c r="U1764">
        <v>1.486206E-2</v>
      </c>
      <c r="V1764">
        <v>-4.4783000000000002E-3</v>
      </c>
      <c r="W1764">
        <v>2.8907390000000002E-2</v>
      </c>
      <c r="X1764">
        <v>0.99957200000000002</v>
      </c>
      <c r="Y1764">
        <v>1.7576809999999998E-2</v>
      </c>
      <c r="Z1764">
        <v>4.7828250000000002E-4</v>
      </c>
      <c r="AA1764">
        <v>0.9998454</v>
      </c>
      <c r="AB1764">
        <v>11</v>
      </c>
      <c r="AC1764">
        <v>-49.602400000000003</v>
      </c>
      <c r="AD1764">
        <v>-1.1100558351898</v>
      </c>
      <c r="AE1764">
        <v>0.24689999999998199</v>
      </c>
      <c r="AF1764">
        <v>0.87313738242442296</v>
      </c>
      <c r="AG1764">
        <v>-1.1100558351898</v>
      </c>
      <c r="AH1764">
        <v>49.570496050210402</v>
      </c>
      <c r="AI1764">
        <v>91.282638508184206</v>
      </c>
      <c r="AJ1764">
        <v>88.990893410787606</v>
      </c>
      <c r="AK1764">
        <v>49.590610719265698</v>
      </c>
      <c r="AL1764">
        <v>88.343497692702002</v>
      </c>
      <c r="AM1764">
        <v>90.256695838460402</v>
      </c>
      <c r="AN1764">
        <v>0.99999993777574903</v>
      </c>
    </row>
    <row r="1765" spans="1:40" x14ac:dyDescent="0.25">
      <c r="A1765" t="str">
        <f>"20190312160633793"</f>
        <v>20190312160633793</v>
      </c>
      <c r="B1765" t="str">
        <f>"1552377993787149"</f>
        <v>1552377993787149</v>
      </c>
      <c r="C1765" t="s">
        <v>40</v>
      </c>
      <c r="D1765">
        <v>5.9004130000000004</v>
      </c>
      <c r="E1765">
        <v>0.50739279999999998</v>
      </c>
      <c r="F1765" t="s">
        <v>66</v>
      </c>
      <c r="G1765">
        <v>-266.1345</v>
      </c>
      <c r="H1765" s="1">
        <v>1.727663E-6</v>
      </c>
      <c r="I1765">
        <v>283.00130000000001</v>
      </c>
      <c r="J1765">
        <v>-221.6995</v>
      </c>
      <c r="K1765">
        <v>1.110074</v>
      </c>
      <c r="L1765">
        <v>282.7405</v>
      </c>
      <c r="M1765">
        <v>-0.99983719999999998</v>
      </c>
      <c r="N1765">
        <v>0</v>
      </c>
      <c r="O1765">
        <v>-1.2076480000000001E-2</v>
      </c>
      <c r="P1765">
        <v>-0.99974019999999997</v>
      </c>
      <c r="Q1765">
        <v>1.517634E-2</v>
      </c>
      <c r="R1765">
        <v>-1.7009590000000002E-2</v>
      </c>
      <c r="S1765">
        <v>-3.002243</v>
      </c>
      <c r="T1765">
        <v>-7.4803350000000005E-2</v>
      </c>
      <c r="U1765">
        <v>1.7517089999999999E-2</v>
      </c>
      <c r="V1765">
        <v>-4.9249510000000003E-3</v>
      </c>
      <c r="W1765">
        <v>2.8580890000000001E-2</v>
      </c>
      <c r="X1765">
        <v>0.99957940000000001</v>
      </c>
      <c r="Y1765">
        <v>1.79022E-2</v>
      </c>
      <c r="Z1765">
        <v>5.2385789999999995E-4</v>
      </c>
      <c r="AA1765">
        <v>0.99983960000000005</v>
      </c>
      <c r="AB1765">
        <v>11</v>
      </c>
      <c r="AC1765">
        <v>-44.435000000000002</v>
      </c>
      <c r="AD1765">
        <v>-1.110072272337</v>
      </c>
      <c r="AE1765">
        <v>0.26080000000001702</v>
      </c>
      <c r="AF1765">
        <v>0.79695024008334003</v>
      </c>
      <c r="AG1765">
        <v>-1.110072272337</v>
      </c>
      <c r="AH1765">
        <v>44.400899722955003</v>
      </c>
      <c r="AI1765">
        <v>91.431929835677096</v>
      </c>
      <c r="AJ1765">
        <v>88.971710417768904</v>
      </c>
      <c r="AK1765">
        <v>44.421923487652897</v>
      </c>
      <c r="AL1765">
        <v>88.362212682177301</v>
      </c>
      <c r="AM1765">
        <v>90.282295356718805</v>
      </c>
      <c r="AN1765">
        <v>1.0000000496599499</v>
      </c>
    </row>
    <row r="1766" spans="1:40" x14ac:dyDescent="0.25">
      <c r="A1766" t="str">
        <f>"20190312160633815"</f>
        <v>20190312160633815</v>
      </c>
      <c r="B1766" t="str">
        <f>"1552377993806670"</f>
        <v>1552377993806670</v>
      </c>
      <c r="C1766" t="s">
        <v>40</v>
      </c>
      <c r="D1766">
        <v>6.5343650000000002</v>
      </c>
      <c r="E1766">
        <v>0.50752149999999996</v>
      </c>
      <c r="F1766" t="s">
        <v>66</v>
      </c>
      <c r="G1766">
        <v>-265.197</v>
      </c>
      <c r="H1766" s="1">
        <v>1.2287810000000001E-6</v>
      </c>
      <c r="I1766">
        <v>282.90100000000001</v>
      </c>
      <c r="J1766">
        <v>-221.81540000000001</v>
      </c>
      <c r="K1766">
        <v>1.110085</v>
      </c>
      <c r="L1766">
        <v>282.73970000000003</v>
      </c>
      <c r="M1766">
        <v>-0.99984329999999999</v>
      </c>
      <c r="N1766">
        <v>0</v>
      </c>
      <c r="O1766">
        <v>-1.1569660000000001E-2</v>
      </c>
      <c r="P1766">
        <v>-0.99975970000000003</v>
      </c>
      <c r="Q1766">
        <v>1.4433700000000001E-2</v>
      </c>
      <c r="R1766">
        <v>-1.6501399999999999E-2</v>
      </c>
      <c r="S1766">
        <v>-3.0021360000000001</v>
      </c>
      <c r="T1766">
        <v>-7.661569E-2</v>
      </c>
      <c r="U1766">
        <v>1.107788E-2</v>
      </c>
      <c r="V1766">
        <v>-4.9250539999999999E-3</v>
      </c>
      <c r="W1766">
        <v>2.7834459999999998E-2</v>
      </c>
      <c r="X1766">
        <v>0.99960039999999994</v>
      </c>
      <c r="Y1766">
        <v>1.525162E-2</v>
      </c>
      <c r="Z1766">
        <v>4.8981769999999897E-4</v>
      </c>
      <c r="AA1766">
        <v>0.99988359999999998</v>
      </c>
      <c r="AB1766">
        <v>11</v>
      </c>
      <c r="AC1766">
        <v>-43.381599999999899</v>
      </c>
      <c r="AD1766">
        <v>-1.1100837712189999</v>
      </c>
      <c r="AE1766">
        <v>0.16129999999998201</v>
      </c>
      <c r="AF1766">
        <v>0.66281062741915497</v>
      </c>
      <c r="AG1766">
        <v>-1.1100837712189999</v>
      </c>
      <c r="AH1766">
        <v>43.3484459337961</v>
      </c>
      <c r="AI1766">
        <v>91.466760500044899</v>
      </c>
      <c r="AJ1766">
        <v>89.1239987585503</v>
      </c>
      <c r="AK1766">
        <v>43.367722660778298</v>
      </c>
      <c r="AL1766">
        <v>88.404996893530495</v>
      </c>
      <c r="AM1766">
        <v>90.282295329923599</v>
      </c>
      <c r="AN1766">
        <v>0.99999998650027699</v>
      </c>
    </row>
    <row r="1767" spans="1:40" x14ac:dyDescent="0.25">
      <c r="A1767" t="str">
        <f>"20190312160633838"</f>
        <v>20190312160633838</v>
      </c>
      <c r="B1767" t="str">
        <f>"1552377993827170"</f>
        <v>1552377993827170</v>
      </c>
      <c r="C1767" t="s">
        <v>40</v>
      </c>
      <c r="D1767">
        <v>6.4791790000000002</v>
      </c>
      <c r="E1767">
        <v>0.5076079</v>
      </c>
      <c r="F1767" t="s">
        <v>66</v>
      </c>
      <c r="G1767">
        <v>-264.50490000000002</v>
      </c>
      <c r="H1767" s="1">
        <v>8.6049190000000001E-7</v>
      </c>
      <c r="I1767">
        <v>282.92939999999999</v>
      </c>
      <c r="J1767">
        <v>-221.93119999999999</v>
      </c>
      <c r="K1767">
        <v>1.110098</v>
      </c>
      <c r="L1767">
        <v>282.73899999999998</v>
      </c>
      <c r="M1767">
        <v>-0.99984870000000003</v>
      </c>
      <c r="N1767">
        <v>0</v>
      </c>
      <c r="O1767">
        <v>-1.1107880000000001E-2</v>
      </c>
      <c r="P1767">
        <v>-0.99976759999999998</v>
      </c>
      <c r="Q1767">
        <v>1.4156749999999999E-2</v>
      </c>
      <c r="R1767">
        <v>-1.62677E-2</v>
      </c>
      <c r="S1767">
        <v>-3.002075</v>
      </c>
      <c r="T1767">
        <v>-7.8065040000000002E-2</v>
      </c>
      <c r="U1767">
        <v>1.333618E-2</v>
      </c>
      <c r="V1767">
        <v>-5.1538859999999999E-3</v>
      </c>
      <c r="W1767">
        <v>2.7553709999999999E-2</v>
      </c>
      <c r="X1767">
        <v>0.99960700000000002</v>
      </c>
      <c r="Y1767">
        <v>1.554176E-2</v>
      </c>
      <c r="Z1767">
        <v>4.908553E-4</v>
      </c>
      <c r="AA1767">
        <v>0.99987910000000002</v>
      </c>
      <c r="AB1767">
        <v>11</v>
      </c>
      <c r="AC1767">
        <v>-42.573700000000002</v>
      </c>
      <c r="AD1767">
        <v>-1.1100971395081001</v>
      </c>
      <c r="AE1767">
        <v>0.19039999999995399</v>
      </c>
      <c r="AF1767">
        <v>0.66288349863405105</v>
      </c>
      <c r="AG1767">
        <v>-1.1100971395081001</v>
      </c>
      <c r="AH1767">
        <v>42.540035839106302</v>
      </c>
      <c r="AI1767">
        <v>91.494632827910095</v>
      </c>
      <c r="AJ1767">
        <v>89.107256202676496</v>
      </c>
      <c r="AK1767">
        <v>42.559680207731297</v>
      </c>
      <c r="AL1767">
        <v>88.421088817294304</v>
      </c>
      <c r="AM1767">
        <v>90.295409395166004</v>
      </c>
      <c r="AN1767">
        <v>0.99999996196233099</v>
      </c>
    </row>
    <row r="1768" spans="1:40" x14ac:dyDescent="0.25">
      <c r="A1768" t="str">
        <f>"20190312160633859"</f>
        <v>20190312160633859</v>
      </c>
      <c r="B1768" t="str">
        <f>"1552377993846686"</f>
        <v>1552377993846686</v>
      </c>
      <c r="C1768" t="s">
        <v>40</v>
      </c>
      <c r="D1768">
        <v>6.4820900000000004</v>
      </c>
      <c r="E1768">
        <v>0.50771089999999997</v>
      </c>
      <c r="F1768" t="s">
        <v>66</v>
      </c>
      <c r="G1768">
        <v>-261.17399999999998</v>
      </c>
      <c r="H1768" s="1">
        <v>-9.1206939999999998E-7</v>
      </c>
      <c r="I1768">
        <v>282.9341</v>
      </c>
      <c r="J1768">
        <v>-222.0361</v>
      </c>
      <c r="K1768">
        <v>1.110107</v>
      </c>
      <c r="L1768">
        <v>282.73829999999998</v>
      </c>
      <c r="M1768">
        <v>-0.99985290000000004</v>
      </c>
      <c r="N1768">
        <v>0</v>
      </c>
      <c r="O1768">
        <v>-1.071659E-2</v>
      </c>
      <c r="P1768">
        <v>-0.9997914</v>
      </c>
      <c r="Q1768">
        <v>1.3660210000000001E-2</v>
      </c>
      <c r="R1768">
        <v>-1.519525E-2</v>
      </c>
      <c r="S1768">
        <v>-3.0021360000000001</v>
      </c>
      <c r="T1768">
        <v>-8.4924340000000001E-2</v>
      </c>
      <c r="U1768">
        <v>1.49231E-2</v>
      </c>
      <c r="V1768">
        <v>-4.4737659999999997E-3</v>
      </c>
      <c r="W1768">
        <v>2.70537E-2</v>
      </c>
      <c r="X1768">
        <v>0.99962399999999996</v>
      </c>
      <c r="Y1768">
        <v>1.5677340000000001E-2</v>
      </c>
      <c r="Z1768">
        <v>5.2480750000000003E-4</v>
      </c>
      <c r="AA1768">
        <v>0.99987700000000002</v>
      </c>
      <c r="AB1768">
        <v>11</v>
      </c>
      <c r="AC1768">
        <v>-39.137900000000002</v>
      </c>
      <c r="AD1768">
        <v>-1.1101079120694</v>
      </c>
      <c r="AE1768">
        <v>0.19580000000001899</v>
      </c>
      <c r="AF1768">
        <v>0.61475662556618804</v>
      </c>
      <c r="AG1768">
        <v>-1.1101079120694</v>
      </c>
      <c r="AH1768">
        <v>39.102096110594502</v>
      </c>
      <c r="AI1768">
        <v>91.625988669609995</v>
      </c>
      <c r="AJ1768">
        <v>89.099279529341999</v>
      </c>
      <c r="AK1768">
        <v>39.122681215981203</v>
      </c>
      <c r="AL1768">
        <v>88.449748070425997</v>
      </c>
      <c r="AM1768">
        <v>90.256422613867102</v>
      </c>
      <c r="AN1768">
        <v>1.0000000293209499</v>
      </c>
    </row>
    <row r="1769" spans="1:40" x14ac:dyDescent="0.25">
      <c r="A1769" t="str">
        <f>"20190312160633882"</f>
        <v>20190312160633882</v>
      </c>
      <c r="B1769" t="str">
        <f>"1552377993876941"</f>
        <v>1552377993876941</v>
      </c>
      <c r="C1769" t="s">
        <v>40</v>
      </c>
      <c r="D1769">
        <v>6.6153909999999998</v>
      </c>
      <c r="E1769">
        <v>0.50766959999999905</v>
      </c>
      <c r="F1769" t="s">
        <v>66</v>
      </c>
      <c r="G1769">
        <v>-258.2398</v>
      </c>
      <c r="H1769" s="1">
        <v>2.8480230000000001E-6</v>
      </c>
      <c r="I1769">
        <v>282.96690000000001</v>
      </c>
      <c r="J1769">
        <v>-222.15199999999999</v>
      </c>
      <c r="K1769">
        <v>1.110114</v>
      </c>
      <c r="L1769">
        <v>282.73750000000001</v>
      </c>
      <c r="M1769">
        <v>-0.99985710000000005</v>
      </c>
      <c r="N1769">
        <v>0</v>
      </c>
      <c r="O1769">
        <v>-1.031455E-2</v>
      </c>
      <c r="P1769">
        <v>-0.99979960000000001</v>
      </c>
      <c r="Q1769">
        <v>1.37339E-2</v>
      </c>
      <c r="R1769">
        <v>-1.4573579999999999E-2</v>
      </c>
      <c r="S1769">
        <v>-3.002167</v>
      </c>
      <c r="T1769">
        <v>-9.2054609999999995E-2</v>
      </c>
      <c r="U1769">
        <v>1.895142E-2</v>
      </c>
      <c r="V1769">
        <v>-4.2549720000000001E-3</v>
      </c>
      <c r="W1769">
        <v>2.7123769999999998E-2</v>
      </c>
      <c r="X1769">
        <v>0.99962300000000004</v>
      </c>
      <c r="Y1769">
        <v>1.6614730000000001E-2</v>
      </c>
      <c r="Z1769">
        <v>5.7088560000000002E-4</v>
      </c>
      <c r="AA1769">
        <v>0.99986180000000002</v>
      </c>
      <c r="AB1769">
        <v>11</v>
      </c>
      <c r="AC1769">
        <v>-36.087799999999902</v>
      </c>
      <c r="AD1769">
        <v>-1.1101111519769999</v>
      </c>
      <c r="AE1769">
        <v>0.22939999999999799</v>
      </c>
      <c r="AF1769">
        <v>0.601081844727683</v>
      </c>
      <c r="AG1769">
        <v>-1.1101111519769999</v>
      </c>
      <c r="AH1769">
        <v>36.049402687164502</v>
      </c>
      <c r="AI1769">
        <v>91.763573155063497</v>
      </c>
      <c r="AJ1769">
        <v>89.044748061610306</v>
      </c>
      <c r="AK1769">
        <v>36.071499556507902</v>
      </c>
      <c r="AL1769">
        <v>88.445731793759805</v>
      </c>
      <c r="AM1769">
        <v>90.243882408853494</v>
      </c>
      <c r="AN1769">
        <v>0.99999997290736597</v>
      </c>
    </row>
    <row r="1770" spans="1:40" x14ac:dyDescent="0.25">
      <c r="A1770" t="str">
        <f>"20190312160633905"</f>
        <v>20190312160633905</v>
      </c>
      <c r="B1770" t="str">
        <f>"1552377993896462"</f>
        <v>1552377993896462</v>
      </c>
      <c r="C1770" t="s">
        <v>40</v>
      </c>
      <c r="D1770">
        <v>6.4639059999999997</v>
      </c>
      <c r="E1770">
        <v>0.50785670000000005</v>
      </c>
      <c r="F1770" t="s">
        <v>66</v>
      </c>
      <c r="G1770">
        <v>-258.58390000000003</v>
      </c>
      <c r="H1770" s="1">
        <v>3.0311169999999999E-6</v>
      </c>
      <c r="I1770">
        <v>282.98419999999999</v>
      </c>
      <c r="J1770">
        <v>-222.2698</v>
      </c>
      <c r="K1770">
        <v>1.1101219999999901</v>
      </c>
      <c r="L1770">
        <v>282.73680000000002</v>
      </c>
      <c r="M1770">
        <v>-0.99986109999999995</v>
      </c>
      <c r="N1770">
        <v>0</v>
      </c>
      <c r="O1770">
        <v>-9.9364369999999994E-3</v>
      </c>
      <c r="P1770">
        <v>-0.99980539999999996</v>
      </c>
      <c r="Q1770">
        <v>1.366827E-2</v>
      </c>
      <c r="R1770">
        <v>-1.42358E-2</v>
      </c>
      <c r="S1770">
        <v>-3.002151</v>
      </c>
      <c r="T1770">
        <v>-9.1478110000000001E-2</v>
      </c>
      <c r="U1770">
        <v>2.0324709999999999E-2</v>
      </c>
      <c r="V1770">
        <v>-4.2959720000000003E-3</v>
      </c>
      <c r="W1770">
        <v>2.705465E-2</v>
      </c>
      <c r="X1770">
        <v>0.99962470000000003</v>
      </c>
      <c r="Y1770">
        <v>1.6694299999999999E-2</v>
      </c>
      <c r="Z1770">
        <v>5.5700680000000003E-4</v>
      </c>
      <c r="AA1770">
        <v>0.99986050000000004</v>
      </c>
      <c r="AB1770">
        <v>11</v>
      </c>
      <c r="AC1770">
        <v>-36.314100000000003</v>
      </c>
      <c r="AD1770">
        <v>-1.11011896888299</v>
      </c>
      <c r="AE1770">
        <v>0.24739999999997001</v>
      </c>
      <c r="AF1770">
        <v>0.60768499138613297</v>
      </c>
      <c r="AG1770">
        <v>-1.11011896888299</v>
      </c>
      <c r="AH1770">
        <v>36.275949426816098</v>
      </c>
      <c r="AI1770">
        <v>91.752576417329706</v>
      </c>
      <c r="AJ1770">
        <v>89.040286208454901</v>
      </c>
      <c r="AK1770">
        <v>36.298018568384002</v>
      </c>
      <c r="AL1770">
        <v>88.449693535513603</v>
      </c>
      <c r="AM1770">
        <v>90.246231960031906</v>
      </c>
      <c r="AN1770">
        <v>0.99999997515606798</v>
      </c>
    </row>
    <row r="1771" spans="1:40" x14ac:dyDescent="0.25">
      <c r="A1771" t="str">
        <f>"20190312160633929"</f>
        <v>20190312160633929</v>
      </c>
      <c r="B1771" t="str">
        <f>"1552377993916958"</f>
        <v>1552377993916958</v>
      </c>
      <c r="C1771" t="s">
        <v>40</v>
      </c>
      <c r="D1771">
        <v>6.422199</v>
      </c>
      <c r="E1771">
        <v>0.50795820000000003</v>
      </c>
      <c r="F1771" t="s">
        <v>66</v>
      </c>
      <c r="G1771">
        <v>-257.1755</v>
      </c>
      <c r="H1771" s="1">
        <v>2.2816829999999999E-6</v>
      </c>
      <c r="I1771">
        <v>283.00189999999998</v>
      </c>
      <c r="J1771">
        <v>-222.3888</v>
      </c>
      <c r="K1771">
        <v>1.110131</v>
      </c>
      <c r="L1771">
        <v>282.73610000000002</v>
      </c>
      <c r="M1771">
        <v>-0.99986450000000004</v>
      </c>
      <c r="N1771">
        <v>0</v>
      </c>
      <c r="O1771">
        <v>-9.5862069999999994E-3</v>
      </c>
      <c r="P1771">
        <v>-0.9998127</v>
      </c>
      <c r="Q1771">
        <v>1.32307E-2</v>
      </c>
      <c r="R1771">
        <v>-1.4122559999999999E-2</v>
      </c>
      <c r="S1771">
        <v>-3.0022129999999998</v>
      </c>
      <c r="T1771">
        <v>-9.548044E-2</v>
      </c>
      <c r="U1771">
        <v>2.2796629999999998E-2</v>
      </c>
      <c r="V1771">
        <v>-4.5334019999999997E-3</v>
      </c>
      <c r="W1771">
        <v>2.661326E-2</v>
      </c>
      <c r="X1771">
        <v>0.99963550000000001</v>
      </c>
      <c r="Y1771">
        <v>1.7165980000000001E-2</v>
      </c>
      <c r="Z1771">
        <v>5.7771370000000001E-4</v>
      </c>
      <c r="AA1771">
        <v>0.99985250000000003</v>
      </c>
      <c r="AB1771">
        <v>11</v>
      </c>
      <c r="AC1771">
        <v>-34.786700000000003</v>
      </c>
      <c r="AD1771">
        <v>-1.1101287183170001</v>
      </c>
      <c r="AE1771">
        <v>0.26579999999995602</v>
      </c>
      <c r="AF1771">
        <v>0.59868049269387502</v>
      </c>
      <c r="AG1771">
        <v>-1.1101287183170001</v>
      </c>
      <c r="AH1771">
        <v>34.747168467813601</v>
      </c>
      <c r="AI1771">
        <v>91.829634925714203</v>
      </c>
      <c r="AJ1771">
        <v>89.012913185635</v>
      </c>
      <c r="AK1771">
        <v>34.770052065451203</v>
      </c>
      <c r="AL1771">
        <v>88.474992430399197</v>
      </c>
      <c r="AM1771">
        <v>90.259837731611398</v>
      </c>
      <c r="AN1771">
        <v>0.99999997510088501</v>
      </c>
    </row>
    <row r="1772" spans="1:40" x14ac:dyDescent="0.25">
      <c r="A1772" t="str">
        <f>"20190312160633949"</f>
        <v>20190312160633949</v>
      </c>
      <c r="B1772" t="str">
        <f>"1552377993936477"</f>
        <v>1552377993936477</v>
      </c>
      <c r="C1772" t="s">
        <v>40</v>
      </c>
      <c r="D1772">
        <v>6.5127379999999997</v>
      </c>
      <c r="E1772">
        <v>0.50788310000000003</v>
      </c>
      <c r="F1772" t="s">
        <v>66</v>
      </c>
      <c r="G1772">
        <v>-256.0652</v>
      </c>
      <c r="H1772" s="1">
        <v>1.6908179999999901E-6</v>
      </c>
      <c r="I1772">
        <v>283.0052</v>
      </c>
      <c r="J1772">
        <v>-222.48929999999999</v>
      </c>
      <c r="K1772">
        <v>1.1101399999999999</v>
      </c>
      <c r="L1772">
        <v>282.7355</v>
      </c>
      <c r="M1772">
        <v>-0.99986710000000001</v>
      </c>
      <c r="N1772">
        <v>0</v>
      </c>
      <c r="O1772">
        <v>-9.3161849999999994E-3</v>
      </c>
      <c r="P1772">
        <v>-0.99982890000000002</v>
      </c>
      <c r="Q1772">
        <v>1.305006E-2</v>
      </c>
      <c r="R1772">
        <v>-1.3121529999999999E-2</v>
      </c>
      <c r="S1772">
        <v>-3.0022129999999998</v>
      </c>
      <c r="T1772">
        <v>-9.896684E-2</v>
      </c>
      <c r="U1772">
        <v>2.3986819999999999E-2</v>
      </c>
      <c r="V1772">
        <v>-3.802218E-3</v>
      </c>
      <c r="W1772">
        <v>2.6429270000000001E-2</v>
      </c>
      <c r="X1772">
        <v>0.99964339999999996</v>
      </c>
      <c r="Y1772">
        <v>1.7291379999999999E-2</v>
      </c>
      <c r="Z1772">
        <v>5.9196349999999999E-4</v>
      </c>
      <c r="AA1772">
        <v>0.99985029999999997</v>
      </c>
      <c r="AB1772">
        <v>11</v>
      </c>
      <c r="AC1772">
        <v>-33.575899999999997</v>
      </c>
      <c r="AD1772">
        <v>-1.1101383091819901</v>
      </c>
      <c r="AE1772">
        <v>0.2697</v>
      </c>
      <c r="AF1772">
        <v>0.58187951915467195</v>
      </c>
      <c r="AG1772">
        <v>-1.1101383091819901</v>
      </c>
      <c r="AH1772">
        <v>33.535271530821603</v>
      </c>
      <c r="AI1772">
        <v>91.895719213539195</v>
      </c>
      <c r="AJ1772">
        <v>89.005945264832704</v>
      </c>
      <c r="AK1772">
        <v>33.558686319435402</v>
      </c>
      <c r="AL1772">
        <v>88.485537945215398</v>
      </c>
      <c r="AM1772">
        <v>90.217927706654706</v>
      </c>
      <c r="AN1772">
        <v>0.99999994516900403</v>
      </c>
    </row>
    <row r="1773" spans="1:40" x14ac:dyDescent="0.25">
      <c r="A1773" t="str">
        <f>"20190312160633971"</f>
        <v>20190312160633971</v>
      </c>
      <c r="B1773" t="str">
        <f>"1552377993966734"</f>
        <v>1552377993966734</v>
      </c>
      <c r="C1773" t="s">
        <v>40</v>
      </c>
      <c r="D1773">
        <v>6.7006309999999996</v>
      </c>
      <c r="E1773">
        <v>0.50761809999999996</v>
      </c>
      <c r="F1773" t="s">
        <v>66</v>
      </c>
      <c r="G1773">
        <v>-255.66829999999999</v>
      </c>
      <c r="H1773" s="1">
        <v>1.47958499999999E-6</v>
      </c>
      <c r="I1773">
        <v>283.02519999999998</v>
      </c>
      <c r="J1773">
        <v>-222.5985</v>
      </c>
      <c r="K1773">
        <v>1.110147</v>
      </c>
      <c r="L1773">
        <v>282.73469999999998</v>
      </c>
      <c r="M1773">
        <v>-0.99986960000000003</v>
      </c>
      <c r="N1773">
        <v>0</v>
      </c>
      <c r="O1773">
        <v>-9.0460620000000005E-3</v>
      </c>
      <c r="P1773">
        <v>-0.9998184</v>
      </c>
      <c r="Q1773">
        <v>1.4146300000000001E-2</v>
      </c>
      <c r="R1773">
        <v>-1.276968E-2</v>
      </c>
      <c r="S1773">
        <v>-3.0021819999999999</v>
      </c>
      <c r="T1773">
        <v>-0.10045030000000001</v>
      </c>
      <c r="U1773">
        <v>2.62145999999999E-2</v>
      </c>
      <c r="V1773">
        <v>-3.721551E-3</v>
      </c>
      <c r="W1773">
        <v>2.7522250000000002E-2</v>
      </c>
      <c r="X1773">
        <v>0.99961420000000001</v>
      </c>
      <c r="Y1773">
        <v>1.7762679999999999E-2</v>
      </c>
      <c r="Z1773">
        <v>5.9968230000000003E-4</v>
      </c>
      <c r="AA1773">
        <v>0.99984200000000001</v>
      </c>
      <c r="AB1773">
        <v>11</v>
      </c>
      <c r="AC1773">
        <v>-33.069799999999901</v>
      </c>
      <c r="AD1773">
        <v>-1.1101455204149999</v>
      </c>
      <c r="AE1773">
        <v>0.29050000000000797</v>
      </c>
      <c r="AF1773">
        <v>0.58900263007570897</v>
      </c>
      <c r="AG1773">
        <v>-1.1101455204149999</v>
      </c>
      <c r="AH1773">
        <v>33.028600515729401</v>
      </c>
      <c r="AI1773">
        <v>91.9247747371315</v>
      </c>
      <c r="AJ1773">
        <v>88.978346416805195</v>
      </c>
      <c r="AK1773">
        <v>33.052500649759899</v>
      </c>
      <c r="AL1773">
        <v>88.4228919862948</v>
      </c>
      <c r="AM1773">
        <v>90.213310475568406</v>
      </c>
      <c r="AN1773">
        <v>0.99999993651427199</v>
      </c>
    </row>
    <row r="1774" spans="1:40" x14ac:dyDescent="0.25">
      <c r="A1774" t="str">
        <f>"20190312160633996"</f>
        <v>20190312160633996</v>
      </c>
      <c r="B1774" t="str">
        <f>"1552377993987230"</f>
        <v>1552377993987230</v>
      </c>
      <c r="C1774" t="s">
        <v>40</v>
      </c>
      <c r="D1774">
        <v>6.4850199999999996</v>
      </c>
      <c r="E1774">
        <v>0.50749480000000002</v>
      </c>
      <c r="F1774" t="s">
        <v>66</v>
      </c>
      <c r="G1774">
        <v>-256.95080000000002</v>
      </c>
      <c r="H1774" s="1">
        <v>2.16207E-6</v>
      </c>
      <c r="I1774">
        <v>283.02319999999997</v>
      </c>
      <c r="J1774">
        <v>-222.71950000000001</v>
      </c>
      <c r="K1774">
        <v>1.1101620000000001</v>
      </c>
      <c r="L1774">
        <v>282.73399999999998</v>
      </c>
      <c r="M1774">
        <v>-0.99987219999999999</v>
      </c>
      <c r="N1774">
        <v>0</v>
      </c>
      <c r="O1774">
        <v>-8.7760670000000002E-3</v>
      </c>
      <c r="P1774">
        <v>-0.99981730000000002</v>
      </c>
      <c r="Q1774">
        <v>1.4137800000000001E-2</v>
      </c>
      <c r="R1774">
        <v>-1.287341E-2</v>
      </c>
      <c r="S1774">
        <v>-3.002243</v>
      </c>
      <c r="T1774">
        <v>-9.7022059999999993E-2</v>
      </c>
      <c r="U1774">
        <v>2.5207520000000001E-2</v>
      </c>
      <c r="V1774">
        <v>-4.0962009999999998E-3</v>
      </c>
      <c r="W1774">
        <v>2.751033E-2</v>
      </c>
      <c r="X1774">
        <v>0.99961310000000003</v>
      </c>
      <c r="Y1774">
        <v>1.7158610000000001E-2</v>
      </c>
      <c r="Z1774">
        <v>5.6073440000000004E-4</v>
      </c>
      <c r="AA1774">
        <v>0.99985259999999998</v>
      </c>
      <c r="AB1774">
        <v>11</v>
      </c>
      <c r="AC1774">
        <v>-34.231299999999997</v>
      </c>
      <c r="AD1774">
        <v>-1.1101598379299999</v>
      </c>
      <c r="AE1774">
        <v>0.28919999999993701</v>
      </c>
      <c r="AF1774">
        <v>0.58901240219852502</v>
      </c>
      <c r="AG1774">
        <v>-1.1101598379299999</v>
      </c>
      <c r="AH1774">
        <v>34.191483940793297</v>
      </c>
      <c r="AI1774">
        <v>91.859401862774703</v>
      </c>
      <c r="AJ1774">
        <v>89.013070419045903</v>
      </c>
      <c r="AK1774">
        <v>34.214572400502398</v>
      </c>
      <c r="AL1774">
        <v>88.423575268900294</v>
      </c>
      <c r="AM1774">
        <v>90.234784553839503</v>
      </c>
      <c r="AN1774">
        <v>0.99999997340547497</v>
      </c>
    </row>
    <row r="1775" spans="1:40" x14ac:dyDescent="0.25">
      <c r="A1775" t="str">
        <f>"20190312160634016"</f>
        <v>20190312160634016</v>
      </c>
      <c r="B1775" t="str">
        <f>"1552377994006750"</f>
        <v>1552377994006750</v>
      </c>
      <c r="C1775" t="s">
        <v>40</v>
      </c>
      <c r="D1775">
        <v>6.515625</v>
      </c>
      <c r="E1775">
        <v>0.50742379999999998</v>
      </c>
      <c r="F1775" t="s">
        <v>66</v>
      </c>
      <c r="G1775">
        <v>-257.31670000000003</v>
      </c>
      <c r="H1775" s="1">
        <v>2.356777E-6</v>
      </c>
      <c r="I1775">
        <v>283.01010000000002</v>
      </c>
      <c r="J1775">
        <v>-222.82550000000001</v>
      </c>
      <c r="K1775">
        <v>1.110168</v>
      </c>
      <c r="L1775">
        <v>282.73329999999999</v>
      </c>
      <c r="M1775">
        <v>-0.99987389999999998</v>
      </c>
      <c r="N1775">
        <v>0</v>
      </c>
      <c r="O1775">
        <v>-8.5646850000000007E-3</v>
      </c>
      <c r="P1775">
        <v>-0.99981880000000001</v>
      </c>
      <c r="Q1775">
        <v>1.416069E-2</v>
      </c>
      <c r="R1775">
        <v>-1.272855E-2</v>
      </c>
      <c r="S1775">
        <v>-3.0022129999999998</v>
      </c>
      <c r="T1775">
        <v>-9.6335409999999996E-2</v>
      </c>
      <c r="U1775">
        <v>2.39563E-2</v>
      </c>
      <c r="V1775">
        <v>-4.1624540000000003E-3</v>
      </c>
      <c r="W1775">
        <v>2.752988E-2</v>
      </c>
      <c r="X1775">
        <v>0.99961230000000001</v>
      </c>
      <c r="Y1775">
        <v>1.6531259999999999E-2</v>
      </c>
      <c r="Z1775">
        <v>5.3993040000000002E-4</v>
      </c>
      <c r="AA1775">
        <v>0.99986319999999995</v>
      </c>
      <c r="AB1775">
        <v>11</v>
      </c>
      <c r="AC1775">
        <v>-34.491199999999999</v>
      </c>
      <c r="AD1775">
        <v>-1.110165643223</v>
      </c>
      <c r="AE1775">
        <v>0.27680000000003702</v>
      </c>
      <c r="AF1775">
        <v>0.57163035661161399</v>
      </c>
      <c r="AG1775">
        <v>-1.110165643223</v>
      </c>
      <c r="AH1775">
        <v>34.4518740256173</v>
      </c>
      <c r="AI1775">
        <v>91.845387535207806</v>
      </c>
      <c r="AJ1775">
        <v>89.049427563382594</v>
      </c>
      <c r="AK1775">
        <v>34.474495687348302</v>
      </c>
      <c r="AL1775">
        <v>88.422454730760805</v>
      </c>
      <c r="AM1775">
        <v>90.2385821665018</v>
      </c>
      <c r="AN1775">
        <v>0.99999998531370304</v>
      </c>
    </row>
    <row r="1776" spans="1:40" x14ac:dyDescent="0.25">
      <c r="A1776" t="str">
        <f>"20190312160634037"</f>
        <v>20190312160634037</v>
      </c>
      <c r="B1776" t="str">
        <f>"1552377994027261"</f>
        <v>1552377994027261</v>
      </c>
      <c r="C1776" t="s">
        <v>40</v>
      </c>
      <c r="D1776">
        <v>6.3068749999999998</v>
      </c>
      <c r="E1776">
        <v>0.50738209999999995</v>
      </c>
      <c r="F1776" t="s">
        <v>66</v>
      </c>
      <c r="G1776">
        <v>-257.37119999999999</v>
      </c>
      <c r="H1776" s="1">
        <v>2.3857910000000001E-6</v>
      </c>
      <c r="I1776">
        <v>283.00369999999998</v>
      </c>
      <c r="J1776">
        <v>-222.93199999999999</v>
      </c>
      <c r="K1776">
        <v>1.1101730000000001</v>
      </c>
      <c r="L1776">
        <v>282.73270000000002</v>
      </c>
      <c r="M1776">
        <v>-0.99987559999999998</v>
      </c>
      <c r="N1776">
        <v>0</v>
      </c>
      <c r="O1776">
        <v>-8.3705480000000002E-3</v>
      </c>
      <c r="P1776">
        <v>-0.99981560000000003</v>
      </c>
      <c r="Q1776">
        <v>1.456053E-2</v>
      </c>
      <c r="R1776">
        <v>-1.2527659999999999E-2</v>
      </c>
      <c r="S1776">
        <v>-3.0022129999999998</v>
      </c>
      <c r="T1776">
        <v>-9.647965E-2</v>
      </c>
      <c r="U1776">
        <v>2.3498539999999998E-2</v>
      </c>
      <c r="V1776">
        <v>-4.1562109999999999E-3</v>
      </c>
      <c r="W1776">
        <v>2.792646E-2</v>
      </c>
      <c r="X1776">
        <v>0.99960139999999997</v>
      </c>
      <c r="Y1776">
        <v>1.6184919999999998E-2</v>
      </c>
      <c r="Z1776">
        <v>5.2893739999999997E-4</v>
      </c>
      <c r="AA1776">
        <v>0.99986889999999995</v>
      </c>
      <c r="AB1776">
        <v>11</v>
      </c>
      <c r="AC1776">
        <v>-34.4391999999999</v>
      </c>
      <c r="AD1776">
        <v>-1.11017061420899</v>
      </c>
      <c r="AE1776">
        <v>0.270999999999958</v>
      </c>
      <c r="AF1776">
        <v>0.55871070261280997</v>
      </c>
      <c r="AG1776">
        <v>-1.11017061420899</v>
      </c>
      <c r="AH1776">
        <v>34.399980508707898</v>
      </c>
      <c r="AI1776">
        <v>91.848188330105401</v>
      </c>
      <c r="AJ1776">
        <v>89.069506714514006</v>
      </c>
      <c r="AK1776">
        <v>34.422424310924796</v>
      </c>
      <c r="AL1776">
        <v>88.399723749600199</v>
      </c>
      <c r="AM1776">
        <v>90.238226934063206</v>
      </c>
      <c r="AN1776">
        <v>1.0000000600699801</v>
      </c>
    </row>
    <row r="1777" spans="1:40" x14ac:dyDescent="0.25">
      <c r="A1777" t="str">
        <f>"20190312160634059"</f>
        <v>20190312160634059</v>
      </c>
      <c r="B1777" t="str">
        <f>"1552377994046766"</f>
        <v>1552377994046766</v>
      </c>
      <c r="C1777" t="s">
        <v>40</v>
      </c>
      <c r="D1777">
        <v>6.5146639999999998</v>
      </c>
      <c r="E1777">
        <v>0.50744040000000001</v>
      </c>
      <c r="F1777" t="s">
        <v>66</v>
      </c>
      <c r="G1777">
        <v>-257.8272</v>
      </c>
      <c r="H1777" s="1">
        <v>2.6284530000000001E-6</v>
      </c>
      <c r="I1777">
        <v>283.0086</v>
      </c>
      <c r="J1777">
        <v>-223.0376</v>
      </c>
      <c r="K1777">
        <v>1.1101700000000001</v>
      </c>
      <c r="L1777">
        <v>282.73200000000003</v>
      </c>
      <c r="M1777">
        <v>-0.99987720000000002</v>
      </c>
      <c r="N1777">
        <v>0</v>
      </c>
      <c r="O1777">
        <v>-8.1960469999999997E-3</v>
      </c>
      <c r="P1777">
        <v>-0.99980159999999996</v>
      </c>
      <c r="Q1777">
        <v>1.5149350000000001E-2</v>
      </c>
      <c r="R1777">
        <v>-1.2939000000000001E-2</v>
      </c>
      <c r="S1777">
        <v>-3.002243</v>
      </c>
      <c r="T1777">
        <v>-9.5514660000000001E-2</v>
      </c>
      <c r="U1777">
        <v>2.3742679999999999E-2</v>
      </c>
      <c r="V1777">
        <v>-4.7424090000000004E-3</v>
      </c>
      <c r="W1777">
        <v>2.8512249999999999E-2</v>
      </c>
      <c r="X1777">
        <v>0.99958219999999998</v>
      </c>
      <c r="Y1777">
        <v>1.609203E-2</v>
      </c>
      <c r="Z1777">
        <v>5.1661640000000004E-4</v>
      </c>
      <c r="AA1777">
        <v>0.99987040000000005</v>
      </c>
      <c r="AB1777">
        <v>11</v>
      </c>
      <c r="AC1777">
        <v>-34.7896</v>
      </c>
      <c r="AD1777">
        <v>-1.110167371547</v>
      </c>
      <c r="AE1777">
        <v>0.27659999999997298</v>
      </c>
      <c r="AF1777">
        <v>0.56118192513434095</v>
      </c>
      <c r="AG1777">
        <v>-1.110167371547</v>
      </c>
      <c r="AH1777">
        <v>34.750779374508603</v>
      </c>
      <c r="AI1777">
        <v>91.829541566239598</v>
      </c>
      <c r="AJ1777">
        <v>89.074824741903001</v>
      </c>
      <c r="AK1777">
        <v>34.7730364489747</v>
      </c>
      <c r="AL1777">
        <v>88.366146997484293</v>
      </c>
      <c r="AM1777">
        <v>90.2718315529374</v>
      </c>
      <c r="AN1777">
        <v>1.0000000067000101</v>
      </c>
    </row>
    <row r="1778" spans="1:40" x14ac:dyDescent="0.25">
      <c r="A1778" t="str">
        <f>"20190312160634082"</f>
        <v>20190312160634082</v>
      </c>
      <c r="B1778" t="str">
        <f>"1552377994077022"</f>
        <v>1552377994077022</v>
      </c>
      <c r="C1778" t="s">
        <v>40</v>
      </c>
      <c r="D1778">
        <v>6.3955570000000002</v>
      </c>
      <c r="E1778">
        <v>0.50758829999999999</v>
      </c>
      <c r="F1778" t="s">
        <v>66</v>
      </c>
      <c r="G1778">
        <v>-258.12009999999998</v>
      </c>
      <c r="H1778" s="1">
        <v>2.784349E-6</v>
      </c>
      <c r="I1778">
        <v>283.00049999999999</v>
      </c>
      <c r="J1778">
        <v>-223.1514</v>
      </c>
      <c r="K1778">
        <v>1.110168</v>
      </c>
      <c r="L1778">
        <v>282.73129999999998</v>
      </c>
      <c r="M1778">
        <v>-0.99987859999999995</v>
      </c>
      <c r="N1778">
        <v>0</v>
      </c>
      <c r="O1778">
        <v>-8.0282189999999996E-3</v>
      </c>
      <c r="P1778">
        <v>-0.99981699999999996</v>
      </c>
      <c r="Q1778">
        <v>1.4336430000000001E-2</v>
      </c>
      <c r="R1778">
        <v>-1.267895E-2</v>
      </c>
      <c r="S1778">
        <v>-3.002335</v>
      </c>
      <c r="T1778">
        <v>-9.5007179999999997E-2</v>
      </c>
      <c r="U1778">
        <v>2.2979739999999999E-2</v>
      </c>
      <c r="V1778">
        <v>-4.6500480000000004E-3</v>
      </c>
      <c r="W1778">
        <v>2.7696709999999999E-2</v>
      </c>
      <c r="X1778">
        <v>0.99960550000000004</v>
      </c>
      <c r="Y1778">
        <v>1.5670320000000001E-2</v>
      </c>
      <c r="Z1778">
        <v>5.0187729999999996E-4</v>
      </c>
      <c r="AA1778">
        <v>0.99987709999999996</v>
      </c>
      <c r="AB1778">
        <v>11</v>
      </c>
      <c r="AC1778">
        <v>-34.968699999999899</v>
      </c>
      <c r="AD1778">
        <v>-1.110165215651</v>
      </c>
      <c r="AE1778">
        <v>0.26920000000001199</v>
      </c>
      <c r="AF1778">
        <v>0.54939903544444602</v>
      </c>
      <c r="AG1778">
        <v>-1.110165215651</v>
      </c>
      <c r="AH1778">
        <v>34.930207511485897</v>
      </c>
      <c r="AI1778">
        <v>91.820158634837696</v>
      </c>
      <c r="AJ1778">
        <v>89.098898836337398</v>
      </c>
      <c r="AK1778">
        <v>34.952163064703903</v>
      </c>
      <c r="AL1778">
        <v>88.412892362500401</v>
      </c>
      <c r="AM1778">
        <v>90.266531349739296</v>
      </c>
      <c r="AN1778">
        <v>0.99999994316073604</v>
      </c>
    </row>
    <row r="1779" spans="1:40" x14ac:dyDescent="0.25">
      <c r="A1779" t="str">
        <f>"20190312160634108"</f>
        <v>20190312160634108</v>
      </c>
      <c r="B1779" t="str">
        <f>"1552377994096542"</f>
        <v>1552377994096542</v>
      </c>
      <c r="C1779" t="s">
        <v>40</v>
      </c>
      <c r="D1779">
        <v>6.3869069999999999</v>
      </c>
      <c r="E1779">
        <v>0.50750379999999995</v>
      </c>
      <c r="F1779" t="s">
        <v>66</v>
      </c>
      <c r="G1779">
        <v>-255.91409999999999</v>
      </c>
      <c r="H1779" s="1">
        <v>1.610414E-6</v>
      </c>
      <c r="I1779">
        <v>283.00439999999998</v>
      </c>
      <c r="J1779">
        <v>-223.27510000000001</v>
      </c>
      <c r="K1779">
        <v>1.1101719999999999</v>
      </c>
      <c r="L1779">
        <v>282.73050000000001</v>
      </c>
      <c r="M1779">
        <v>-0.99987979999999999</v>
      </c>
      <c r="N1779">
        <v>0</v>
      </c>
      <c r="O1779">
        <v>-7.8694739999999996E-3</v>
      </c>
      <c r="P1779">
        <v>-0.99983200000000005</v>
      </c>
      <c r="Q1779">
        <v>1.367811E-2</v>
      </c>
      <c r="R1779">
        <v>-1.2208409999999999E-2</v>
      </c>
      <c r="S1779">
        <v>-3.002319</v>
      </c>
      <c r="T1779">
        <v>-0.10173359999999999</v>
      </c>
      <c r="U1779">
        <v>2.502441E-2</v>
      </c>
      <c r="V1779">
        <v>-4.3383980000000003E-3</v>
      </c>
      <c r="W1779">
        <v>2.703463E-2</v>
      </c>
      <c r="X1779">
        <v>0.99962510000000004</v>
      </c>
      <c r="Y1779">
        <v>1.6190570000000001E-2</v>
      </c>
      <c r="Z1779">
        <v>5.4082510000000002E-4</v>
      </c>
      <c r="AA1779">
        <v>0.9998688</v>
      </c>
      <c r="AB1779">
        <v>11</v>
      </c>
      <c r="AC1779">
        <v>-32.638999999999903</v>
      </c>
      <c r="AD1779">
        <v>-1.110170389586</v>
      </c>
      <c r="AE1779">
        <v>0.273899999999969</v>
      </c>
      <c r="AF1779">
        <v>0.53015289617997696</v>
      </c>
      <c r="AG1779">
        <v>-1.110170389586</v>
      </c>
      <c r="AH1779">
        <v>32.598122557873502</v>
      </c>
      <c r="AI1779">
        <v>91.950268846073897</v>
      </c>
      <c r="AJ1779">
        <v>89.068263954067206</v>
      </c>
      <c r="AK1779">
        <v>32.621329443868198</v>
      </c>
      <c r="AL1779">
        <v>88.4508410811912</v>
      </c>
      <c r="AM1779">
        <v>90.248663558548699</v>
      </c>
      <c r="AN1779">
        <v>1.0000000167332199</v>
      </c>
    </row>
    <row r="1780" spans="1:40" x14ac:dyDescent="0.25">
      <c r="A1780" t="str">
        <f>"20190312160634129"</f>
        <v>20190312160634129</v>
      </c>
      <c r="B1780" t="str">
        <f>"1552377994117038"</f>
        <v>1552377994117038</v>
      </c>
      <c r="C1780" t="s">
        <v>40</v>
      </c>
      <c r="D1780">
        <v>6.4345540000000003</v>
      </c>
      <c r="E1780">
        <v>0.50744959999999995</v>
      </c>
      <c r="F1780" t="s">
        <v>66</v>
      </c>
      <c r="G1780">
        <v>-255.08340000000001</v>
      </c>
      <c r="H1780" s="1">
        <v>1.1683469999999999E-6</v>
      </c>
      <c r="I1780">
        <v>283.00020000000001</v>
      </c>
      <c r="J1780">
        <v>-223.3784</v>
      </c>
      <c r="K1780">
        <v>1.1101760000000001</v>
      </c>
      <c r="L1780">
        <v>282.72980000000001</v>
      </c>
      <c r="M1780">
        <v>-0.99988069999999896</v>
      </c>
      <c r="N1780">
        <v>0</v>
      </c>
      <c r="O1780">
        <v>-7.757005E-3</v>
      </c>
      <c r="P1780">
        <v>-0.99982919999999997</v>
      </c>
      <c r="Q1780">
        <v>1.4030910000000001E-2</v>
      </c>
      <c r="R1780">
        <v>-1.203718E-2</v>
      </c>
      <c r="S1780">
        <v>-3.0022280000000001</v>
      </c>
      <c r="T1780">
        <v>-0.1047835</v>
      </c>
      <c r="U1780">
        <v>2.5451660000000001E-2</v>
      </c>
      <c r="V1780">
        <v>-4.2802029999999998E-3</v>
      </c>
      <c r="W1780">
        <v>2.7384499999999999E-2</v>
      </c>
      <c r="X1780">
        <v>0.99961580000000005</v>
      </c>
      <c r="Y1780">
        <v>1.6219850000000001E-2</v>
      </c>
      <c r="Z1780">
        <v>5.536324E-4</v>
      </c>
      <c r="AA1780">
        <v>0.99986830000000004</v>
      </c>
      <c r="AB1780">
        <v>11</v>
      </c>
      <c r="AC1780">
        <v>-31.704999999999998</v>
      </c>
      <c r="AD1780">
        <v>-1.110174831653</v>
      </c>
      <c r="AE1780">
        <v>0.27039999999999498</v>
      </c>
      <c r="AF1780">
        <v>0.51571737198711598</v>
      </c>
      <c r="AG1780">
        <v>-1.110174831653</v>
      </c>
      <c r="AH1780">
        <v>31.663128812313399</v>
      </c>
      <c r="AI1780">
        <v>92.007819920719399</v>
      </c>
      <c r="AJ1780">
        <v>89.066869970747106</v>
      </c>
      <c r="AK1780">
        <v>31.686782398182299</v>
      </c>
      <c r="AL1780">
        <v>88.430787539194</v>
      </c>
      <c r="AM1780">
        <v>90.245330324539594</v>
      </c>
      <c r="AN1780">
        <v>0.99999998929380496</v>
      </c>
    </row>
    <row r="1781" spans="1:40" x14ac:dyDescent="0.25">
      <c r="A1781" t="str">
        <f>"20190312160634150"</f>
        <v>20190312160634150</v>
      </c>
      <c r="B1781" t="str">
        <f>"1552377994147294"</f>
        <v>1552377994147294</v>
      </c>
      <c r="C1781" t="s">
        <v>40</v>
      </c>
      <c r="D1781">
        <v>6.5420879999999997</v>
      </c>
      <c r="E1781">
        <v>0.50751069999999998</v>
      </c>
      <c r="F1781" t="s">
        <v>66</v>
      </c>
      <c r="G1781">
        <v>-255.43989999999999</v>
      </c>
      <c r="H1781" s="1">
        <v>1.358069E-6</v>
      </c>
      <c r="I1781">
        <v>283.00099999999998</v>
      </c>
      <c r="J1781">
        <v>-223.47909999999999</v>
      </c>
      <c r="K1781">
        <v>1.110179</v>
      </c>
      <c r="L1781">
        <v>282.72919999999999</v>
      </c>
      <c r="M1781">
        <v>-0.99988149999999998</v>
      </c>
      <c r="N1781">
        <v>0</v>
      </c>
      <c r="O1781">
        <v>-7.6656579999999997E-3</v>
      </c>
      <c r="P1781">
        <v>-0.99982550000000003</v>
      </c>
      <c r="Q1781">
        <v>1.434323E-2</v>
      </c>
      <c r="R1781">
        <v>-1.1978559999999999E-2</v>
      </c>
      <c r="S1781">
        <v>-3.0022739999999999</v>
      </c>
      <c r="T1781">
        <v>-0.1039578</v>
      </c>
      <c r="U1781">
        <v>2.5390630000000001E-2</v>
      </c>
      <c r="V1781">
        <v>-4.313056E-3</v>
      </c>
      <c r="W1781">
        <v>2.7694320000000001E-2</v>
      </c>
      <c r="X1781">
        <v>0.99960709999999997</v>
      </c>
      <c r="Y1781">
        <v>1.6108399999999998E-2</v>
      </c>
      <c r="Z1781">
        <v>5.4417240000000002E-4</v>
      </c>
      <c r="AA1781">
        <v>0.99987009999999998</v>
      </c>
      <c r="AB1781">
        <v>11</v>
      </c>
      <c r="AC1781">
        <v>-31.960799999999999</v>
      </c>
      <c r="AD1781">
        <v>-1.1101776419310001</v>
      </c>
      <c r="AE1781">
        <v>0.271799999999984</v>
      </c>
      <c r="AF1781">
        <v>0.516191638017788</v>
      </c>
      <c r="AG1781">
        <v>-1.1101776419310001</v>
      </c>
      <c r="AH1781">
        <v>31.919267269703202</v>
      </c>
      <c r="AI1781">
        <v>91.991729832713105</v>
      </c>
      <c r="AJ1781">
        <v>89.073505536243005</v>
      </c>
      <c r="AK1781">
        <v>31.942738943906299</v>
      </c>
      <c r="AL1781">
        <v>88.413029388369097</v>
      </c>
      <c r="AM1781">
        <v>90.247215503041602</v>
      </c>
      <c r="AN1781">
        <v>0.99999996609136499</v>
      </c>
    </row>
    <row r="1782" spans="1:40" x14ac:dyDescent="0.25">
      <c r="A1782" t="str">
        <f>"20190312160634172"</f>
        <v>20190312160634172</v>
      </c>
      <c r="B1782" t="str">
        <f>"1552377994166814"</f>
        <v>1552377994166814</v>
      </c>
      <c r="C1782" t="s">
        <v>40</v>
      </c>
      <c r="D1782">
        <v>6.8242070000000004</v>
      </c>
      <c r="E1782">
        <v>0.5074362</v>
      </c>
      <c r="F1782" t="s">
        <v>66</v>
      </c>
      <c r="G1782">
        <v>-255.4555</v>
      </c>
      <c r="H1782" s="1">
        <v>1.3663369999999999E-6</v>
      </c>
      <c r="I1782">
        <v>283.00799999999998</v>
      </c>
      <c r="J1782">
        <v>-223.58709999999999</v>
      </c>
      <c r="K1782">
        <v>1.1101840000000001</v>
      </c>
      <c r="L1782">
        <v>282.72840000000002</v>
      </c>
      <c r="M1782">
        <v>-0.99988220000000005</v>
      </c>
      <c r="N1782">
        <v>0</v>
      </c>
      <c r="O1782">
        <v>-7.5873190000000004E-3</v>
      </c>
      <c r="P1782">
        <v>-0.99983250000000001</v>
      </c>
      <c r="Q1782">
        <v>1.3838120000000001E-2</v>
      </c>
      <c r="R1782">
        <v>-1.1992320000000001E-2</v>
      </c>
      <c r="S1782">
        <v>-3.002335</v>
      </c>
      <c r="T1782">
        <v>-0.1042372</v>
      </c>
      <c r="U1782">
        <v>2.6184079999999998E-2</v>
      </c>
      <c r="V1782">
        <v>-4.4060640000000003E-3</v>
      </c>
      <c r="W1782">
        <v>2.7186209999999999E-2</v>
      </c>
      <c r="X1782">
        <v>0.99962070000000003</v>
      </c>
      <c r="Y1782">
        <v>1.629398E-2</v>
      </c>
      <c r="Z1782">
        <v>5.4612379999999998E-4</v>
      </c>
      <c r="AA1782">
        <v>0.99986710000000001</v>
      </c>
      <c r="AB1782">
        <v>11</v>
      </c>
      <c r="AC1782">
        <v>-31.868400000000001</v>
      </c>
      <c r="AD1782">
        <v>-1.1101826336630001</v>
      </c>
      <c r="AE1782">
        <v>0.27959999999995899</v>
      </c>
      <c r="AF1782">
        <v>0.52077723621216199</v>
      </c>
      <c r="AG1782">
        <v>-1.1101826336630001</v>
      </c>
      <c r="AH1782">
        <v>31.8267396141554</v>
      </c>
      <c r="AI1782">
        <v>91.997518337005204</v>
      </c>
      <c r="AJ1782">
        <v>89.062559486793006</v>
      </c>
      <c r="AK1782">
        <v>31.850354297512801</v>
      </c>
      <c r="AL1782">
        <v>88.442153004484197</v>
      </c>
      <c r="AM1782">
        <v>90.252543026183105</v>
      </c>
      <c r="AN1782">
        <v>1.00000002364131</v>
      </c>
    </row>
    <row r="1783" spans="1:40" x14ac:dyDescent="0.25">
      <c r="A1783" t="str">
        <f>"20190312160634195"</f>
        <v>20190312160634195</v>
      </c>
      <c r="B1783" t="str">
        <f>"1552377994186336"</f>
        <v>1552377994186336</v>
      </c>
      <c r="C1783" t="s">
        <v>40</v>
      </c>
      <c r="D1783">
        <v>6.4048870000000004</v>
      </c>
      <c r="E1783">
        <v>0.50728209999999996</v>
      </c>
      <c r="F1783" t="s">
        <v>66</v>
      </c>
      <c r="G1783">
        <v>-255.06299999999999</v>
      </c>
      <c r="H1783" s="1">
        <v>1.157488E-6</v>
      </c>
      <c r="I1783">
        <v>282.99880000000002</v>
      </c>
      <c r="J1783">
        <v>-223.69890000000001</v>
      </c>
      <c r="K1783">
        <v>1.110187</v>
      </c>
      <c r="L1783">
        <v>282.72770000000003</v>
      </c>
      <c r="M1783">
        <v>-0.99988259999999995</v>
      </c>
      <c r="N1783">
        <v>0</v>
      </c>
      <c r="O1783">
        <v>-7.5262469999999998E-3</v>
      </c>
      <c r="P1783">
        <v>-0.99984910000000005</v>
      </c>
      <c r="Q1783">
        <v>1.3240969999999999E-2</v>
      </c>
      <c r="R1783">
        <v>-1.1257110000000001E-2</v>
      </c>
      <c r="S1783">
        <v>-3.0022739999999999</v>
      </c>
      <c r="T1783">
        <v>-0.105893</v>
      </c>
      <c r="U1783">
        <v>2.5787350000000001E-2</v>
      </c>
      <c r="V1783">
        <v>-3.732132E-3</v>
      </c>
      <c r="W1783">
        <v>2.658609E-2</v>
      </c>
      <c r="X1783">
        <v>0.99963959999999996</v>
      </c>
      <c r="Y1783">
        <v>1.6100659999999999E-2</v>
      </c>
      <c r="Z1783">
        <v>5.4924360000000003E-4</v>
      </c>
      <c r="AA1783">
        <v>0.99987020000000004</v>
      </c>
      <c r="AB1783">
        <v>11</v>
      </c>
      <c r="AC1783">
        <v>-31.364099999999901</v>
      </c>
      <c r="AD1783">
        <v>-1.1101858425119999</v>
      </c>
      <c r="AE1783">
        <v>0.27109999999998902</v>
      </c>
      <c r="AF1783">
        <v>0.50653271124729204</v>
      </c>
      <c r="AG1783">
        <v>-1.1101858425119999</v>
      </c>
      <c r="AH1783">
        <v>31.321929827116001</v>
      </c>
      <c r="AI1783">
        <v>92.029697422696799</v>
      </c>
      <c r="AJ1783">
        <v>89.073503546554605</v>
      </c>
      <c r="AK1783">
        <v>31.345691507562201</v>
      </c>
      <c r="AL1783">
        <v>88.476549805824703</v>
      </c>
      <c r="AM1783">
        <v>90.213911512362799</v>
      </c>
      <c r="AN1783">
        <v>1.0000000394394499</v>
      </c>
    </row>
    <row r="1784" spans="1:40" x14ac:dyDescent="0.25">
      <c r="A1784" t="str">
        <f>"20190312160634217"</f>
        <v>20190312160634217</v>
      </c>
      <c r="B1784" t="str">
        <f>"1552377994206830"</f>
        <v>1552377994206830</v>
      </c>
      <c r="C1784" t="s">
        <v>40</v>
      </c>
      <c r="D1784">
        <v>6.6352409999999997</v>
      </c>
      <c r="E1784">
        <v>0.50719340000000002</v>
      </c>
      <c r="F1784" t="s">
        <v>66</v>
      </c>
      <c r="G1784">
        <v>-254.20230000000001</v>
      </c>
      <c r="H1784" s="1">
        <v>6.9946919999999895E-7</v>
      </c>
      <c r="I1784">
        <v>282.9984</v>
      </c>
      <c r="J1784">
        <v>-223.80940000000001</v>
      </c>
      <c r="K1784">
        <v>1.110185</v>
      </c>
      <c r="L1784">
        <v>282.7269</v>
      </c>
      <c r="M1784">
        <v>-0.99988310000000002</v>
      </c>
      <c r="N1784">
        <v>0</v>
      </c>
      <c r="O1784">
        <v>-7.4839549999999996E-3</v>
      </c>
      <c r="P1784">
        <v>-0.99984320000000004</v>
      </c>
      <c r="Q1784">
        <v>1.344089E-2</v>
      </c>
      <c r="R1784">
        <v>-1.155318E-2</v>
      </c>
      <c r="S1784">
        <v>-3.0021819999999999</v>
      </c>
      <c r="T1784">
        <v>-0.1092658</v>
      </c>
      <c r="U1784">
        <v>2.6641850000000002E-2</v>
      </c>
      <c r="V1784">
        <v>-4.0705430000000003E-3</v>
      </c>
      <c r="W1784">
        <v>2.678295E-2</v>
      </c>
      <c r="X1784">
        <v>0.99963299999999999</v>
      </c>
      <c r="Y1784">
        <v>1.634211E-2</v>
      </c>
      <c r="Z1784">
        <v>5.6959610000000005E-4</v>
      </c>
      <c r="AA1784">
        <v>0.99986629999999999</v>
      </c>
      <c r="AB1784">
        <v>11</v>
      </c>
      <c r="AC1784">
        <v>-30.392900000000001</v>
      </c>
      <c r="AD1784">
        <v>-1.1101843005308001</v>
      </c>
      <c r="AE1784">
        <v>0.27150000000000302</v>
      </c>
      <c r="AF1784">
        <v>0.498306886143352</v>
      </c>
      <c r="AG1784">
        <v>-1.1101843005308001</v>
      </c>
      <c r="AH1784">
        <v>30.349525184341399</v>
      </c>
      <c r="AI1784">
        <v>92.094660955620498</v>
      </c>
      <c r="AJ1784">
        <v>89.059348832511006</v>
      </c>
      <c r="AK1784">
        <v>30.373911467720099</v>
      </c>
      <c r="AL1784">
        <v>88.465266503985603</v>
      </c>
      <c r="AM1784">
        <v>90.233309269668993</v>
      </c>
      <c r="AN1784">
        <v>1.0000000152099999</v>
      </c>
    </row>
    <row r="1785" spans="1:40" x14ac:dyDescent="0.25">
      <c r="A1785" t="str">
        <f>"20190312160634238"</f>
        <v>20190312160634238</v>
      </c>
      <c r="B1785" t="str">
        <f>"1552377994226350"</f>
        <v>1552377994226350</v>
      </c>
      <c r="C1785" t="s">
        <v>40</v>
      </c>
      <c r="D1785">
        <v>6.5516480000000001</v>
      </c>
      <c r="E1785">
        <v>0.50710679999999997</v>
      </c>
      <c r="F1785" t="s">
        <v>66</v>
      </c>
      <c r="G1785">
        <v>-254.51920000000001</v>
      </c>
      <c r="H1785" s="1">
        <v>8.6809119999999899E-7</v>
      </c>
      <c r="I1785">
        <v>282.98630000000003</v>
      </c>
      <c r="J1785">
        <v>-223.90799999999999</v>
      </c>
      <c r="K1785">
        <v>1.110185</v>
      </c>
      <c r="L1785">
        <v>282.72620000000001</v>
      </c>
      <c r="M1785">
        <v>-0.99988319999999997</v>
      </c>
      <c r="N1785">
        <v>0</v>
      </c>
      <c r="O1785">
        <v>-7.455199E-3</v>
      </c>
      <c r="P1785">
        <v>-0.9998397</v>
      </c>
      <c r="Q1785">
        <v>1.3686540000000001E-2</v>
      </c>
      <c r="R1785">
        <v>-1.1550299999999999E-2</v>
      </c>
      <c r="S1785">
        <v>-3.002243</v>
      </c>
      <c r="T1785">
        <v>-0.10853359999999999</v>
      </c>
      <c r="U1785">
        <v>2.5360110000000002E-2</v>
      </c>
      <c r="V1785">
        <v>-4.0967319999999996E-3</v>
      </c>
      <c r="W1785">
        <v>2.7026049999999999E-2</v>
      </c>
      <c r="X1785">
        <v>0.99962629999999997</v>
      </c>
      <c r="Y1785">
        <v>1.5886870000000001E-2</v>
      </c>
      <c r="Z1785">
        <v>5.5650610000000005E-4</v>
      </c>
      <c r="AA1785">
        <v>0.99987360000000003</v>
      </c>
      <c r="AB1785">
        <v>11</v>
      </c>
      <c r="AC1785">
        <v>-30.6112</v>
      </c>
      <c r="AD1785">
        <v>-1.1101841319087999</v>
      </c>
      <c r="AE1785">
        <v>0.26010000000002198</v>
      </c>
      <c r="AF1785">
        <v>0.48768426097337297</v>
      </c>
      <c r="AG1785">
        <v>-1.1101841319087999</v>
      </c>
      <c r="AH1785">
        <v>30.568206006240299</v>
      </c>
      <c r="AI1785">
        <v>92.079704558006199</v>
      </c>
      <c r="AJ1785">
        <v>89.085982358956997</v>
      </c>
      <c r="AK1785">
        <v>30.592246782233701</v>
      </c>
      <c r="AL1785">
        <v>88.451332778711404</v>
      </c>
      <c r="AM1785">
        <v>90.234811888481005</v>
      </c>
      <c r="AN1785">
        <v>0.99999996512168499</v>
      </c>
    </row>
    <row r="1786" spans="1:40" x14ac:dyDescent="0.25">
      <c r="A1786" t="str">
        <f>"20190312160634261"</f>
        <v>20190312160634261</v>
      </c>
      <c r="B1786" t="str">
        <f>"1552377994256606"</f>
        <v>1552377994256606</v>
      </c>
      <c r="C1786" t="s">
        <v>40</v>
      </c>
      <c r="D1786">
        <v>6.949497</v>
      </c>
      <c r="E1786">
        <v>0.50699810000000001</v>
      </c>
      <c r="F1786" t="s">
        <v>66</v>
      </c>
      <c r="G1786">
        <v>-254.58340000000001</v>
      </c>
      <c r="H1786" s="1">
        <v>9.022509E-7</v>
      </c>
      <c r="I1786">
        <v>282.97809999999998</v>
      </c>
      <c r="J1786">
        <v>-224.01920000000001</v>
      </c>
      <c r="K1786">
        <v>1.1101799999999999</v>
      </c>
      <c r="L1786">
        <v>282.72539999999998</v>
      </c>
      <c r="M1786">
        <v>-0.99988370000000004</v>
      </c>
      <c r="N1786">
        <v>0</v>
      </c>
      <c r="O1786">
        <v>-7.4293639999999999E-3</v>
      </c>
      <c r="P1786">
        <v>-0.99985219999999997</v>
      </c>
      <c r="Q1786">
        <v>1.30612E-2</v>
      </c>
      <c r="R1786">
        <v>-1.120438E-2</v>
      </c>
      <c r="S1786">
        <v>-3.0022579999999999</v>
      </c>
      <c r="T1786">
        <v>-0.1086559</v>
      </c>
      <c r="U1786">
        <v>2.4658200000000002E-2</v>
      </c>
      <c r="V1786">
        <v>-3.7760039999999999E-3</v>
      </c>
      <c r="W1786">
        <v>2.6397799999999999E-2</v>
      </c>
      <c r="X1786">
        <v>0.99964439999999999</v>
      </c>
      <c r="Y1786">
        <v>1.5627390000000001E-2</v>
      </c>
      <c r="Z1786">
        <v>5.5150190000000001E-4</v>
      </c>
      <c r="AA1786">
        <v>0.99987780000000004</v>
      </c>
      <c r="AB1786">
        <v>11</v>
      </c>
      <c r="AC1786">
        <v>-30.5642</v>
      </c>
      <c r="AD1786">
        <v>-1.1101790977491</v>
      </c>
      <c r="AE1786">
        <v>0.25270000000000398</v>
      </c>
      <c r="AF1786">
        <v>0.47915360677940699</v>
      </c>
      <c r="AG1786">
        <v>-1.1101790977491</v>
      </c>
      <c r="AH1786">
        <v>30.521213358589598</v>
      </c>
      <c r="AI1786">
        <v>92.082902759701796</v>
      </c>
      <c r="AJ1786">
        <v>89.100585418224497</v>
      </c>
      <c r="AK1786">
        <v>30.545155928371301</v>
      </c>
      <c r="AL1786">
        <v>88.487341777335203</v>
      </c>
      <c r="AM1786">
        <v>90.216425024390304</v>
      </c>
      <c r="AN1786">
        <v>1.0000000142512</v>
      </c>
    </row>
    <row r="1787" spans="1:40" x14ac:dyDescent="0.25">
      <c r="A1787" t="str">
        <f>"20190312160634283"</f>
        <v>20190312160634283</v>
      </c>
      <c r="B1787" t="str">
        <f>"1552377994277102"</f>
        <v>1552377994277102</v>
      </c>
      <c r="C1787" t="s">
        <v>40</v>
      </c>
      <c r="D1787">
        <v>6.4477710000000004</v>
      </c>
      <c r="E1787">
        <v>0.50691819999999999</v>
      </c>
      <c r="F1787" t="s">
        <v>66</v>
      </c>
      <c r="G1787">
        <v>-253.75380000000001</v>
      </c>
      <c r="H1787" s="1">
        <v>4.6079630000000002E-7</v>
      </c>
      <c r="I1787">
        <v>282.9699</v>
      </c>
      <c r="J1787">
        <v>-224.1268</v>
      </c>
      <c r="K1787">
        <v>1.110174</v>
      </c>
      <c r="L1787">
        <v>282.72460000000001</v>
      </c>
      <c r="M1787">
        <v>-0.99988359999999998</v>
      </c>
      <c r="N1787">
        <v>0</v>
      </c>
      <c r="O1787">
        <v>-7.4070689999999996E-3</v>
      </c>
      <c r="P1787">
        <v>-0.99985579999999996</v>
      </c>
      <c r="Q1787">
        <v>1.315479E-2</v>
      </c>
      <c r="R1787">
        <v>-1.074285E-2</v>
      </c>
      <c r="S1787">
        <v>-3.0021819999999999</v>
      </c>
      <c r="T1787">
        <v>-0.1120903</v>
      </c>
      <c r="U1787">
        <v>2.4688720000000001E-2</v>
      </c>
      <c r="V1787">
        <v>-3.3365080000000002E-3</v>
      </c>
      <c r="W1787">
        <v>2.648789E-2</v>
      </c>
      <c r="X1787">
        <v>0.99964359999999997</v>
      </c>
      <c r="Y1787">
        <v>1.561453E-2</v>
      </c>
      <c r="Z1787">
        <v>5.6786420000000002E-4</v>
      </c>
      <c r="AA1787">
        <v>0.99987789999999999</v>
      </c>
      <c r="AB1787">
        <v>11</v>
      </c>
      <c r="AC1787">
        <v>-29.626999999999999</v>
      </c>
      <c r="AD1787">
        <v>-1.1101735392037</v>
      </c>
      <c r="AE1787">
        <v>0.245299999999986</v>
      </c>
      <c r="AF1787">
        <v>0.46411040255164099</v>
      </c>
      <c r="AG1787">
        <v>-1.1101735392037</v>
      </c>
      <c r="AH1787">
        <v>29.582834781174601</v>
      </c>
      <c r="AI1787">
        <v>92.148901828040096</v>
      </c>
      <c r="AJ1787">
        <v>89.101188707574394</v>
      </c>
      <c r="AK1787">
        <v>29.607296354837601</v>
      </c>
      <c r="AL1787">
        <v>88.482178224760702</v>
      </c>
      <c r="AM1787">
        <v>90.191235273083507</v>
      </c>
      <c r="AN1787">
        <v>1.0000000338116199</v>
      </c>
    </row>
    <row r="1788" spans="1:40" x14ac:dyDescent="0.25">
      <c r="A1788" t="str">
        <f>"20190312160634308"</f>
        <v>20190312160634308</v>
      </c>
      <c r="B1788" t="str">
        <f>"1552377994296622"</f>
        <v>1552377994296622</v>
      </c>
      <c r="C1788" t="s">
        <v>40</v>
      </c>
      <c r="D1788">
        <v>6.8788070000000001</v>
      </c>
      <c r="E1788">
        <v>0.50681330000000002</v>
      </c>
      <c r="F1788" t="s">
        <v>66</v>
      </c>
      <c r="G1788">
        <v>-253.9188</v>
      </c>
      <c r="H1788" s="1">
        <v>5.4859909999999899E-7</v>
      </c>
      <c r="I1788">
        <v>282.976</v>
      </c>
      <c r="J1788">
        <v>-224.2414</v>
      </c>
      <c r="K1788">
        <v>1.1101650000000001</v>
      </c>
      <c r="L1788">
        <v>282.72379999999998</v>
      </c>
      <c r="M1788">
        <v>-0.999884</v>
      </c>
      <c r="N1788">
        <v>0</v>
      </c>
      <c r="O1788">
        <v>-7.38258199999999E-3</v>
      </c>
      <c r="P1788">
        <v>-0.99984810000000002</v>
      </c>
      <c r="Q1788">
        <v>1.3602329999999999E-2</v>
      </c>
      <c r="R1788">
        <v>-1.0925870000000001E-2</v>
      </c>
      <c r="S1788">
        <v>-3.002167</v>
      </c>
      <c r="T1788">
        <v>-0.11187329999999999</v>
      </c>
      <c r="U1788">
        <v>2.5329589999999999E-2</v>
      </c>
      <c r="V1788">
        <v>-3.5433399999999999E-3</v>
      </c>
      <c r="W1788">
        <v>2.6927860000000001E-2</v>
      </c>
      <c r="X1788">
        <v>0.99963109999999999</v>
      </c>
      <c r="Y1788">
        <v>1.5803459999999998E-2</v>
      </c>
      <c r="Z1788">
        <v>5.6937419999999995E-4</v>
      </c>
      <c r="AA1788">
        <v>0.99987490000000001</v>
      </c>
      <c r="AB1788">
        <v>11</v>
      </c>
      <c r="AC1788">
        <v>-29.677399999999999</v>
      </c>
      <c r="AD1788">
        <v>-1.1101644514008999</v>
      </c>
      <c r="AE1788">
        <v>0.25220000000001602</v>
      </c>
      <c r="AF1788">
        <v>0.47064985942322002</v>
      </c>
      <c r="AG1788">
        <v>-1.1101644514008999</v>
      </c>
      <c r="AH1788">
        <v>29.633265057906701</v>
      </c>
      <c r="AI1788">
        <v>92.145224113119696</v>
      </c>
      <c r="AJ1788">
        <v>89.090077201350795</v>
      </c>
      <c r="AK1788">
        <v>29.657787752822799</v>
      </c>
      <c r="AL1788">
        <v>88.456960754345502</v>
      </c>
      <c r="AM1788">
        <v>90.203092497931905</v>
      </c>
      <c r="AN1788">
        <v>1.0000000004948699</v>
      </c>
    </row>
    <row r="1789" spans="1:40" x14ac:dyDescent="0.25">
      <c r="A1789" t="str">
        <f>"20190312160634330"</f>
        <v>20190312160634330</v>
      </c>
      <c r="B1789" t="str">
        <f>"1552377994317118"</f>
        <v>1552377994317118</v>
      </c>
      <c r="C1789" t="s">
        <v>40</v>
      </c>
      <c r="D1789">
        <v>6.572845</v>
      </c>
      <c r="E1789">
        <v>0.50670859999999995</v>
      </c>
      <c r="F1789" t="s">
        <v>66</v>
      </c>
      <c r="G1789">
        <v>-254.4238</v>
      </c>
      <c r="H1789" s="1">
        <v>8.1734689999999997E-7</v>
      </c>
      <c r="I1789">
        <v>282.96769999999998</v>
      </c>
      <c r="J1789">
        <v>-224.3492</v>
      </c>
      <c r="K1789">
        <v>1.1101589999999999</v>
      </c>
      <c r="L1789">
        <v>282.72309999999999</v>
      </c>
      <c r="M1789">
        <v>-0.99988429999999995</v>
      </c>
      <c r="N1789">
        <v>0</v>
      </c>
      <c r="O1789">
        <v>-7.3569849999999999E-3</v>
      </c>
      <c r="P1789">
        <v>-0.99984450000000002</v>
      </c>
      <c r="Q1789">
        <v>1.3797469999999999E-2</v>
      </c>
      <c r="R1789">
        <v>-1.0981660000000001E-2</v>
      </c>
      <c r="S1789">
        <v>-3.0022129999999998</v>
      </c>
      <c r="T1789">
        <v>-0.1104267</v>
      </c>
      <c r="U1789">
        <v>2.426147E-2</v>
      </c>
      <c r="V1789">
        <v>-3.6243550000000001E-3</v>
      </c>
      <c r="W1789">
        <v>2.7109459999999998E-2</v>
      </c>
      <c r="X1789">
        <v>0.99962589999999996</v>
      </c>
      <c r="Y1789">
        <v>1.5422709999999999E-2</v>
      </c>
      <c r="Z1789">
        <v>5.5406789999999997E-4</v>
      </c>
      <c r="AA1789">
        <v>0.99988089999999996</v>
      </c>
      <c r="AB1789">
        <v>11</v>
      </c>
      <c r="AC1789">
        <v>-30.0746</v>
      </c>
      <c r="AD1789">
        <v>-1.1101581826531</v>
      </c>
      <c r="AE1789">
        <v>0.24459999999999099</v>
      </c>
      <c r="AF1789">
        <v>0.46523748016222399</v>
      </c>
      <c r="AG1789">
        <v>-1.1101581826531</v>
      </c>
      <c r="AH1789">
        <v>30.031068488970799</v>
      </c>
      <c r="AI1789">
        <v>92.116834663416</v>
      </c>
      <c r="AJ1789">
        <v>89.112452095180004</v>
      </c>
      <c r="AK1789">
        <v>30.055182110456698</v>
      </c>
      <c r="AL1789">
        <v>88.446552039098904</v>
      </c>
      <c r="AM1789">
        <v>90.207737049442301</v>
      </c>
      <c r="AN1789">
        <v>0.99999999936073303</v>
      </c>
    </row>
    <row r="1790" spans="1:40" x14ac:dyDescent="0.25">
      <c r="A1790" t="str">
        <f>"20190312160634352"</f>
        <v>20190312160634352</v>
      </c>
      <c r="B1790" t="str">
        <f>"1552377994346398"</f>
        <v>1552377994346398</v>
      </c>
      <c r="C1790" t="s">
        <v>40</v>
      </c>
      <c r="D1790">
        <v>6.6489750000000001</v>
      </c>
      <c r="E1790">
        <v>0.50627879999999903</v>
      </c>
      <c r="F1790" t="s">
        <v>66</v>
      </c>
      <c r="G1790">
        <v>-254.70150000000001</v>
      </c>
      <c r="H1790" s="1">
        <v>9.6510150000000002E-7</v>
      </c>
      <c r="I1790">
        <v>282.9572</v>
      </c>
      <c r="J1790">
        <v>-224.4511</v>
      </c>
      <c r="K1790">
        <v>1.110152</v>
      </c>
      <c r="L1790">
        <v>282.72239999999999</v>
      </c>
      <c r="M1790">
        <v>-0.99988480000000002</v>
      </c>
      <c r="N1790">
        <v>0</v>
      </c>
      <c r="O1790">
        <v>-7.3290029999999997E-3</v>
      </c>
      <c r="P1790">
        <v>-0.99984300000000004</v>
      </c>
      <c r="Q1790">
        <v>1.3987680000000001E-2</v>
      </c>
      <c r="R1790">
        <v>-1.088014E-2</v>
      </c>
      <c r="S1790">
        <v>-3.002243</v>
      </c>
      <c r="T1790">
        <v>-0.1098095</v>
      </c>
      <c r="U1790">
        <v>2.3162840000000001E-2</v>
      </c>
      <c r="V1790">
        <v>-3.550456E-3</v>
      </c>
      <c r="W1790">
        <v>2.7282020000000001E-2</v>
      </c>
      <c r="X1790">
        <v>0.99962150000000005</v>
      </c>
      <c r="Y1790">
        <v>1.5029219999999999E-2</v>
      </c>
      <c r="Z1790">
        <v>5.4275180000000001E-4</v>
      </c>
      <c r="AA1790">
        <v>0.99988690000000002</v>
      </c>
      <c r="AB1790">
        <v>11</v>
      </c>
      <c r="AC1790">
        <v>-30.250399999999999</v>
      </c>
      <c r="AD1790">
        <v>-1.1101510348985</v>
      </c>
      <c r="AE1790">
        <v>0.234800000000007</v>
      </c>
      <c r="AF1790">
        <v>0.45590457871760998</v>
      </c>
      <c r="AG1790">
        <v>-1.1101510348985</v>
      </c>
      <c r="AH1790">
        <v>30.207185930942501</v>
      </c>
      <c r="AI1790">
        <v>92.104503275977507</v>
      </c>
      <c r="AJ1790">
        <v>89.135324118350894</v>
      </c>
      <c r="AK1790">
        <v>30.2310166248459</v>
      </c>
      <c r="AL1790">
        <v>88.436661467146493</v>
      </c>
      <c r="AM1790">
        <v>90.203502314353003</v>
      </c>
      <c r="AN1790">
        <v>1.00000002880766</v>
      </c>
    </row>
    <row r="1791" spans="1:40" x14ac:dyDescent="0.25">
      <c r="A1791" t="str">
        <f>"20190312160634373"</f>
        <v>20190312160634373</v>
      </c>
      <c r="B1791" t="str">
        <f>"1552377994366894"</f>
        <v>1552377994366894</v>
      </c>
      <c r="C1791" t="s">
        <v>40</v>
      </c>
      <c r="D1791">
        <v>6.5093920000000001</v>
      </c>
      <c r="E1791">
        <v>0.50587570000000004</v>
      </c>
      <c r="F1791" t="s">
        <v>66</v>
      </c>
      <c r="G1791">
        <v>-254.2225</v>
      </c>
      <c r="H1791" s="1">
        <v>7.1019029999999996E-7</v>
      </c>
      <c r="I1791">
        <v>282.92149999999998</v>
      </c>
      <c r="J1791">
        <v>-224.55439999999999</v>
      </c>
      <c r="K1791">
        <v>1.110147</v>
      </c>
      <c r="L1791">
        <v>282.72160000000002</v>
      </c>
      <c r="M1791">
        <v>-0.99988540000000004</v>
      </c>
      <c r="N1791">
        <v>0</v>
      </c>
      <c r="O1791">
        <v>-7.2966059999999998E-3</v>
      </c>
      <c r="P1791">
        <v>-0.99984150000000005</v>
      </c>
      <c r="Q1791">
        <v>1.4308599999999999E-2</v>
      </c>
      <c r="R1791">
        <v>-1.0613529999999999E-2</v>
      </c>
      <c r="S1791">
        <v>-3.0022579999999999</v>
      </c>
      <c r="T1791">
        <v>-0.1119521</v>
      </c>
      <c r="U1791">
        <v>2.0080569999999999E-2</v>
      </c>
      <c r="V1791">
        <v>-3.3154370000000001E-3</v>
      </c>
      <c r="W1791">
        <v>2.7582309999999999E-2</v>
      </c>
      <c r="X1791">
        <v>0.99961409999999995</v>
      </c>
      <c r="Y1791">
        <v>1.3970460000000001E-2</v>
      </c>
      <c r="Z1791">
        <v>5.3239239999999897E-4</v>
      </c>
      <c r="AA1791">
        <v>0.99990219999999996</v>
      </c>
      <c r="AB1791">
        <v>11</v>
      </c>
      <c r="AC1791">
        <v>-29.668099999999999</v>
      </c>
      <c r="AD1791">
        <v>-1.1101462898096901</v>
      </c>
      <c r="AE1791">
        <v>0.199899999999956</v>
      </c>
      <c r="AF1791">
        <v>0.41580798502951699</v>
      </c>
      <c r="AG1791">
        <v>-1.1101462898096901</v>
      </c>
      <c r="AH1791">
        <v>29.624374064325401</v>
      </c>
      <c r="AI1791">
        <v>92.145891476924803</v>
      </c>
      <c r="AJ1791">
        <v>89.195848720992799</v>
      </c>
      <c r="AK1791">
        <v>29.648083576654098</v>
      </c>
      <c r="AL1791">
        <v>88.419449693735501</v>
      </c>
      <c r="AM1791">
        <v>90.1900331845913</v>
      </c>
      <c r="AN1791">
        <v>1.00000006243312</v>
      </c>
    </row>
    <row r="1792" spans="1:40" x14ac:dyDescent="0.25">
      <c r="A1792" t="str">
        <f>"20190312160634397"</f>
        <v>20190312160634397</v>
      </c>
      <c r="B1792" t="str">
        <f>"1552377994386416"</f>
        <v>1552377994386416</v>
      </c>
      <c r="C1792" t="s">
        <v>40</v>
      </c>
      <c r="D1792">
        <v>6.5759259999999902</v>
      </c>
      <c r="E1792">
        <v>0.50532849999999996</v>
      </c>
      <c r="F1792" t="s">
        <v>66</v>
      </c>
      <c r="G1792">
        <v>-253.88630000000001</v>
      </c>
      <c r="H1792" s="1">
        <v>5.3131319999999897E-7</v>
      </c>
      <c r="I1792">
        <v>282.8931</v>
      </c>
      <c r="J1792">
        <v>-224.66419999999999</v>
      </c>
      <c r="K1792">
        <v>1.1101369999999999</v>
      </c>
      <c r="L1792">
        <v>282.72089999999997</v>
      </c>
      <c r="M1792">
        <v>-0.99988600000000005</v>
      </c>
      <c r="N1792">
        <v>0</v>
      </c>
      <c r="O1792">
        <v>-7.2585599999999998E-3</v>
      </c>
      <c r="P1792">
        <v>-0.99982300000000002</v>
      </c>
      <c r="Q1792">
        <v>1.524786E-2</v>
      </c>
      <c r="R1792">
        <v>-1.1037180000000001E-2</v>
      </c>
      <c r="S1792">
        <v>-3.0022890000000002</v>
      </c>
      <c r="T1792">
        <v>-0.1136297</v>
      </c>
      <c r="U1792">
        <v>1.7547610000000002E-2</v>
      </c>
      <c r="V1792">
        <v>-3.7776929999999999E-3</v>
      </c>
      <c r="W1792">
        <v>2.8490330000000001E-2</v>
      </c>
      <c r="X1792">
        <v>0.99958689999999994</v>
      </c>
      <c r="Y1792">
        <v>1.308899E-2</v>
      </c>
      <c r="Z1792">
        <v>5.2224610000000001E-4</v>
      </c>
      <c r="AA1792">
        <v>0.99991419999999998</v>
      </c>
      <c r="AB1792">
        <v>11</v>
      </c>
      <c r="AC1792">
        <v>-29.222100000000001</v>
      </c>
      <c r="AD1792">
        <v>-1.1101364686868</v>
      </c>
      <c r="AE1792">
        <v>0.17220000000003199</v>
      </c>
      <c r="AF1792">
        <v>0.38377058017579602</v>
      </c>
      <c r="AG1792">
        <v>-1.1101364686868</v>
      </c>
      <c r="AH1792">
        <v>29.177971499972401</v>
      </c>
      <c r="AI1792">
        <v>92.178697590848699</v>
      </c>
      <c r="AJ1792">
        <v>89.246446357142304</v>
      </c>
      <c r="AK1792">
        <v>29.201604471167599</v>
      </c>
      <c r="AL1792">
        <v>88.367403371873607</v>
      </c>
      <c r="AM1792">
        <v>90.216534285036403</v>
      </c>
      <c r="AN1792">
        <v>0.99999997025975995</v>
      </c>
    </row>
    <row r="1793" spans="1:40" x14ac:dyDescent="0.25">
      <c r="A1793" t="str">
        <f>"20190312160634417"</f>
        <v>20190312160634417</v>
      </c>
      <c r="B1793" t="str">
        <f>"1552377994406910"</f>
        <v>1552377994406910</v>
      </c>
      <c r="C1793" t="s">
        <v>40</v>
      </c>
      <c r="D1793">
        <v>6.6776859999999996</v>
      </c>
      <c r="E1793">
        <v>0.5048977</v>
      </c>
      <c r="F1793" t="s">
        <v>66</v>
      </c>
      <c r="G1793">
        <v>-254.0984</v>
      </c>
      <c r="H1793" s="1">
        <v>6.4415579999999998E-7</v>
      </c>
      <c r="I1793">
        <v>282.83839999999998</v>
      </c>
      <c r="J1793">
        <v>-224.76419999999999</v>
      </c>
      <c r="K1793">
        <v>1.1101270000000001</v>
      </c>
      <c r="L1793">
        <v>282.72019999999998</v>
      </c>
      <c r="M1793">
        <v>-0.99988659999999996</v>
      </c>
      <c r="N1793">
        <v>0</v>
      </c>
      <c r="O1793">
        <v>-7.2213269999999996E-3</v>
      </c>
      <c r="P1793">
        <v>-0.99981869999999995</v>
      </c>
      <c r="Q1793">
        <v>1.548945E-2</v>
      </c>
      <c r="R1793">
        <v>-1.107707E-2</v>
      </c>
      <c r="S1793">
        <v>-3.0023960000000001</v>
      </c>
      <c r="T1793">
        <v>-0.11323809999999999</v>
      </c>
      <c r="U1793">
        <v>1.1993409999999999E-2</v>
      </c>
      <c r="V1793">
        <v>-3.85441E-3</v>
      </c>
      <c r="W1793">
        <v>2.8694330000000001E-2</v>
      </c>
      <c r="X1793">
        <v>0.99958080000000005</v>
      </c>
      <c r="Y1793">
        <v>1.1203279999999999E-2</v>
      </c>
      <c r="Z1793">
        <v>4.8347899999999998E-4</v>
      </c>
      <c r="AA1793">
        <v>0.99993710000000002</v>
      </c>
      <c r="AB1793">
        <v>11</v>
      </c>
      <c r="AC1793">
        <v>-29.334199999999999</v>
      </c>
      <c r="AD1793">
        <v>-1.1101263558442001</v>
      </c>
      <c r="AE1793">
        <v>0.118200000000001</v>
      </c>
      <c r="AF1793">
        <v>0.32957526546490701</v>
      </c>
      <c r="AG1793">
        <v>-1.1101263558442001</v>
      </c>
      <c r="AH1793">
        <v>29.290632713387101</v>
      </c>
      <c r="AI1793">
        <v>92.170356179797906</v>
      </c>
      <c r="AJ1793">
        <v>89.355340832639996</v>
      </c>
      <c r="AK1793">
        <v>29.313515059304802</v>
      </c>
      <c r="AL1793">
        <v>88.355710298086194</v>
      </c>
      <c r="AM1793">
        <v>90.220932946054404</v>
      </c>
      <c r="AN1793">
        <v>0.99999999838961795</v>
      </c>
    </row>
    <row r="1794" spans="1:40" x14ac:dyDescent="0.25">
      <c r="A1794" t="str">
        <f>"20190312160634430"</f>
        <v>20190312160634430</v>
      </c>
      <c r="B1794" t="str">
        <f>"1552377994426430"</f>
        <v>1552377994426430</v>
      </c>
      <c r="C1794" t="s">
        <v>40</v>
      </c>
      <c r="D1794">
        <v>6.8120900000000004</v>
      </c>
      <c r="E1794">
        <v>0.47710789999999997</v>
      </c>
      <c r="F1794" t="s">
        <v>66</v>
      </c>
      <c r="G1794">
        <v>-253.85300000000001</v>
      </c>
      <c r="H1794" s="1">
        <v>5.1358219999999996E-7</v>
      </c>
      <c r="I1794">
        <v>282.80290000000002</v>
      </c>
      <c r="J1794">
        <v>-224.828</v>
      </c>
      <c r="K1794">
        <v>1.1101190000000001</v>
      </c>
      <c r="L1794">
        <v>282.71969999999999</v>
      </c>
      <c r="M1794">
        <v>-0.99988719999999998</v>
      </c>
      <c r="N1794">
        <v>0</v>
      </c>
      <c r="O1794">
        <v>-7.1977669999999999E-3</v>
      </c>
      <c r="P1794">
        <v>-0.99981569999999997</v>
      </c>
      <c r="Q1794">
        <v>1.585514E-2</v>
      </c>
      <c r="R1794">
        <v>-1.083694E-2</v>
      </c>
      <c r="S1794">
        <v>-3.0023960000000001</v>
      </c>
      <c r="T1794">
        <v>-0.11458169999999999</v>
      </c>
      <c r="U1794">
        <v>8.5449219999999999E-3</v>
      </c>
      <c r="V1794">
        <v>-3.6379810000000002E-3</v>
      </c>
      <c r="W1794">
        <v>2.9032269999999999E-2</v>
      </c>
      <c r="X1794">
        <v>0.99957189999999996</v>
      </c>
      <c r="Y1794">
        <v>1.0031770000000001E-2</v>
      </c>
      <c r="Z1794">
        <v>4.6596700000000002E-4</v>
      </c>
      <c r="AA1794">
        <v>0.99994959999999999</v>
      </c>
      <c r="AB1794">
        <v>11</v>
      </c>
      <c r="AC1794">
        <v>-29.024999999999899</v>
      </c>
      <c r="AD1794">
        <v>-1.1101184864178</v>
      </c>
      <c r="AE1794">
        <v>8.32000000000334E-2</v>
      </c>
      <c r="AF1794">
        <v>0.29170447561266499</v>
      </c>
      <c r="AG1794">
        <v>-1.1101184864178</v>
      </c>
      <c r="AH1794">
        <v>28.981254756739901</v>
      </c>
      <c r="AI1794">
        <v>92.193514627460004</v>
      </c>
      <c r="AJ1794">
        <v>89.423321347532706</v>
      </c>
      <c r="AK1794">
        <v>29.003975276331399</v>
      </c>
      <c r="AL1794">
        <v>88.336339770117803</v>
      </c>
      <c r="AM1794">
        <v>90.208529308299603</v>
      </c>
      <c r="AN1794">
        <v>1.00000004543835</v>
      </c>
    </row>
    <row r="1795" spans="1:40" x14ac:dyDescent="0.25">
      <c r="A1795" t="str">
        <f>"20190312160634450"</f>
        <v>20190312160634450</v>
      </c>
      <c r="B1795" t="str">
        <f>"1552377994446926"</f>
        <v>1552377994446926</v>
      </c>
      <c r="C1795" t="s">
        <v>40</v>
      </c>
      <c r="D1795">
        <v>6.6599929999999903</v>
      </c>
      <c r="E1795">
        <v>0.4801667</v>
      </c>
      <c r="F1795" t="s">
        <v>66</v>
      </c>
      <c r="G1795">
        <v>-246.71520000000001</v>
      </c>
      <c r="H1795" s="1">
        <v>2.0367290000000001E-6</v>
      </c>
      <c r="I1795">
        <v>281.1755</v>
      </c>
      <c r="J1795">
        <v>-224.92140000000001</v>
      </c>
      <c r="K1795">
        <v>1.110109</v>
      </c>
      <c r="L1795">
        <v>282.71910000000003</v>
      </c>
      <c r="M1795">
        <v>-0.99988809999999995</v>
      </c>
      <c r="N1795">
        <v>0</v>
      </c>
      <c r="O1795">
        <v>-7.1631330000000003E-3</v>
      </c>
      <c r="P1795">
        <v>-0.99983109999999997</v>
      </c>
      <c r="Q1795">
        <v>1.544446E-2</v>
      </c>
      <c r="R1795">
        <v>-9.966562E-3</v>
      </c>
      <c r="S1795">
        <v>-3.0006560000000002</v>
      </c>
      <c r="T1795">
        <v>-0.15219269999999999</v>
      </c>
      <c r="U1795">
        <v>-0.21170040000000001</v>
      </c>
      <c r="V1795">
        <v>-2.802003E-3</v>
      </c>
      <c r="W1795">
        <v>2.857755E-2</v>
      </c>
      <c r="X1795">
        <v>0.99958769999999997</v>
      </c>
      <c r="Y1795">
        <v>-6.3157039999999998E-2</v>
      </c>
      <c r="Z1795">
        <v>-1.2360089999999999E-3</v>
      </c>
      <c r="AA1795">
        <v>0.99800279999999997</v>
      </c>
      <c r="AB1795">
        <v>11</v>
      </c>
      <c r="AC1795">
        <v>-21.793800000000001</v>
      </c>
      <c r="AD1795">
        <v>-1.1101069632709999</v>
      </c>
      <c r="AE1795">
        <v>-1.5436000000000201</v>
      </c>
      <c r="AF1795">
        <v>-1.3838624464307201</v>
      </c>
      <c r="AG1795">
        <v>-1.1101069632709999</v>
      </c>
      <c r="AH1795">
        <v>21.748153500570499</v>
      </c>
      <c r="AI1795">
        <v>92.916167009882699</v>
      </c>
      <c r="AJ1795">
        <v>93.640894116188505</v>
      </c>
      <c r="AK1795">
        <v>21.820393979599</v>
      </c>
      <c r="AL1795">
        <v>88.362404126843003</v>
      </c>
      <c r="AM1795">
        <v>90.160608744570894</v>
      </c>
      <c r="AN1795">
        <v>1.00000004878805</v>
      </c>
    </row>
    <row r="1796" spans="1:40" x14ac:dyDescent="0.25">
      <c r="A1796" t="str">
        <f>"20190312160634474"</f>
        <v>20190312160634474</v>
      </c>
      <c r="B1796" t="str">
        <f>"1552377994466446"</f>
        <v>1552377994466446</v>
      </c>
      <c r="C1796" t="s">
        <v>40</v>
      </c>
      <c r="D1796">
        <v>6.6337099999999998</v>
      </c>
      <c r="E1796">
        <v>0.48166399999999998</v>
      </c>
      <c r="F1796" t="s">
        <v>66</v>
      </c>
      <c r="G1796">
        <v>-242.76130000000001</v>
      </c>
      <c r="H1796" s="1">
        <v>-6.7348990000000007E-8</v>
      </c>
      <c r="I1796">
        <v>281.62369999999999</v>
      </c>
      <c r="J1796">
        <v>-225.0317</v>
      </c>
      <c r="K1796">
        <v>1.1101000000000001</v>
      </c>
      <c r="L1796">
        <v>282.71839999999997</v>
      </c>
      <c r="M1796">
        <v>-0.99988909999999998</v>
      </c>
      <c r="N1796">
        <v>0</v>
      </c>
      <c r="O1796">
        <v>-7.1230479999999999E-3</v>
      </c>
      <c r="P1796">
        <v>-0.99983449999999996</v>
      </c>
      <c r="Q1796">
        <v>1.5723230000000001E-2</v>
      </c>
      <c r="R1796">
        <v>-9.1645040000000004E-3</v>
      </c>
      <c r="S1796">
        <v>-3.0015559999999999</v>
      </c>
      <c r="T1796">
        <v>-0.186775</v>
      </c>
      <c r="U1796">
        <v>-0.18429570000000001</v>
      </c>
      <c r="V1796">
        <v>-2.0398399999999998E-3</v>
      </c>
      <c r="W1796">
        <v>2.879872E-2</v>
      </c>
      <c r="X1796">
        <v>0.99958309999999995</v>
      </c>
      <c r="Y1796">
        <v>-5.4082329999999998E-2</v>
      </c>
      <c r="Z1796">
        <v>-1.237056E-3</v>
      </c>
      <c r="AA1796">
        <v>0.99853570000000003</v>
      </c>
      <c r="AB1796">
        <v>11</v>
      </c>
      <c r="AC1796">
        <v>-17.729600000000001</v>
      </c>
      <c r="AD1796">
        <v>-1.11010006734899</v>
      </c>
      <c r="AE1796">
        <v>-1.09469999999998</v>
      </c>
      <c r="AF1796">
        <v>-0.96460538738659096</v>
      </c>
      <c r="AG1796">
        <v>-1.11010006734899</v>
      </c>
      <c r="AH1796">
        <v>17.667946682269601</v>
      </c>
      <c r="AI1796">
        <v>93.589909905946499</v>
      </c>
      <c r="AJ1796">
        <v>93.125037855039693</v>
      </c>
      <c r="AK1796">
        <v>17.729047511934301</v>
      </c>
      <c r="AL1796">
        <v>88.349726639805198</v>
      </c>
      <c r="AM1796">
        <v>90.1169228057623</v>
      </c>
      <c r="AN1796">
        <v>0.99999995051323498</v>
      </c>
    </row>
    <row r="1797" spans="1:40" x14ac:dyDescent="0.25">
      <c r="A1797" t="str">
        <f>"20190312160634497"</f>
        <v>20190312160634497</v>
      </c>
      <c r="B1797" t="str">
        <f>"1552377994486942"</f>
        <v>1552377994486942</v>
      </c>
      <c r="C1797" t="s">
        <v>40</v>
      </c>
      <c r="D1797">
        <v>6.8033989999999998</v>
      </c>
      <c r="E1797">
        <v>0.4817458</v>
      </c>
      <c r="F1797" t="s">
        <v>66</v>
      </c>
      <c r="G1797">
        <v>-241.86689999999999</v>
      </c>
      <c r="H1797" s="1">
        <v>-5.4329209999999998E-7</v>
      </c>
      <c r="I1797">
        <v>281.76459999999997</v>
      </c>
      <c r="J1797">
        <v>-225.13939999999999</v>
      </c>
      <c r="K1797">
        <v>1.11009</v>
      </c>
      <c r="L1797">
        <v>282.71769999999998</v>
      </c>
      <c r="M1797">
        <v>-0.99989030000000001</v>
      </c>
      <c r="N1797">
        <v>0</v>
      </c>
      <c r="O1797">
        <v>-7.085666E-3</v>
      </c>
      <c r="P1797">
        <v>-0.9998302</v>
      </c>
      <c r="Q1797">
        <v>1.6265780000000001E-2</v>
      </c>
      <c r="R1797">
        <v>-8.6639639999999997E-3</v>
      </c>
      <c r="S1797">
        <v>-3.0020600000000002</v>
      </c>
      <c r="T1797">
        <v>-0.19795270000000001</v>
      </c>
      <c r="U1797">
        <v>-0.17007449999999999</v>
      </c>
      <c r="V1797">
        <v>-1.576526E-3</v>
      </c>
      <c r="W1797">
        <v>2.927631E-2</v>
      </c>
      <c r="X1797">
        <v>0.99957010000000002</v>
      </c>
      <c r="Y1797">
        <v>-4.9393979999999997E-2</v>
      </c>
      <c r="Z1797">
        <v>-1.159074E-3</v>
      </c>
      <c r="AA1797">
        <v>0.99877870000000002</v>
      </c>
      <c r="AB1797">
        <v>11</v>
      </c>
      <c r="AC1797">
        <v>-16.7274999999999</v>
      </c>
      <c r="AD1797">
        <v>-1.1100905432921</v>
      </c>
      <c r="AE1797">
        <v>-0.95310000000000605</v>
      </c>
      <c r="AF1797">
        <v>-0.83089309006528</v>
      </c>
      <c r="AG1797">
        <v>-1.1100905432921</v>
      </c>
      <c r="AH1797">
        <v>16.660696407618101</v>
      </c>
      <c r="AI1797">
        <v>93.807225653507402</v>
      </c>
      <c r="AJ1797">
        <v>92.855058181675503</v>
      </c>
      <c r="AK1797">
        <v>16.718298033240199</v>
      </c>
      <c r="AL1797">
        <v>88.322351263278605</v>
      </c>
      <c r="AM1797">
        <v>90.090367059992403</v>
      </c>
      <c r="AN1797">
        <v>0.99999998628772702</v>
      </c>
    </row>
    <row r="1798" spans="1:40" x14ac:dyDescent="0.25">
      <c r="A1798" t="str">
        <f>"20190312160634520"</f>
        <v>20190312160634520</v>
      </c>
      <c r="B1798" t="str">
        <f>"1552377994517198"</f>
        <v>1552377994517198</v>
      </c>
      <c r="C1798" t="s">
        <v>40</v>
      </c>
      <c r="D1798">
        <v>6.1087350000000002</v>
      </c>
      <c r="E1798">
        <v>0.48153689999999999</v>
      </c>
      <c r="F1798" t="s">
        <v>66</v>
      </c>
      <c r="G1798">
        <v>-243.2371</v>
      </c>
      <c r="H1798" s="1">
        <v>1.858495E-7</v>
      </c>
      <c r="I1798">
        <v>281.70639999999997</v>
      </c>
      <c r="J1798">
        <v>-225.24799999999999</v>
      </c>
      <c r="K1798">
        <v>1.1100749999999999</v>
      </c>
      <c r="L1798">
        <v>282.71690000000001</v>
      </c>
      <c r="M1798">
        <v>-0.99989130000000004</v>
      </c>
      <c r="N1798">
        <v>0</v>
      </c>
      <c r="O1798">
        <v>-7.0508799999999998E-3</v>
      </c>
      <c r="P1798">
        <v>-0.99981710000000001</v>
      </c>
      <c r="Q1798">
        <v>1.6877710000000001E-2</v>
      </c>
      <c r="R1798">
        <v>-9.0106709999999996E-3</v>
      </c>
      <c r="S1798">
        <v>-3.0020449999999999</v>
      </c>
      <c r="T1798">
        <v>-0.18414140000000001</v>
      </c>
      <c r="U1798">
        <v>-0.16775509999999999</v>
      </c>
      <c r="V1798">
        <v>-1.958277E-3</v>
      </c>
      <c r="W1798">
        <v>2.9818230000000001E-2</v>
      </c>
      <c r="X1798">
        <v>0.99955340000000004</v>
      </c>
      <c r="Y1798">
        <v>-4.867341E-2</v>
      </c>
      <c r="Z1798">
        <v>-1.058458E-3</v>
      </c>
      <c r="AA1798">
        <v>0.99881419999999999</v>
      </c>
      <c r="AB1798">
        <v>11</v>
      </c>
      <c r="AC1798">
        <v>-17.989100000000001</v>
      </c>
      <c r="AD1798">
        <v>-1.1100748141504999</v>
      </c>
      <c r="AE1798">
        <v>-1.0105000000000299</v>
      </c>
      <c r="AF1798">
        <v>-0.88028376697328903</v>
      </c>
      <c r="AG1798">
        <v>-1.1100748141504999</v>
      </c>
      <c r="AH1798">
        <v>17.927725997410601</v>
      </c>
      <c r="AI1798">
        <v>93.538946410193304</v>
      </c>
      <c r="AJ1798">
        <v>92.811068687854601</v>
      </c>
      <c r="AK1798">
        <v>17.983618241100402</v>
      </c>
      <c r="AL1798">
        <v>88.291287961137897</v>
      </c>
      <c r="AM1798">
        <v>90.112250994959396</v>
      </c>
      <c r="AN1798">
        <v>0.99999998057035</v>
      </c>
    </row>
    <row r="1799" spans="1:40" x14ac:dyDescent="0.25">
      <c r="A1799" t="str">
        <f>"20190312160634543"</f>
        <v>20190312160634543</v>
      </c>
      <c r="B1799" t="str">
        <f>"1552377994536718"</f>
        <v>1552377994536718</v>
      </c>
      <c r="C1799" t="s">
        <v>40</v>
      </c>
      <c r="D1799">
        <v>6.3702699999999997</v>
      </c>
      <c r="E1799">
        <v>0.48153689999999999</v>
      </c>
      <c r="F1799" t="s">
        <v>66</v>
      </c>
      <c r="G1799">
        <v>-244.91820000000001</v>
      </c>
      <c r="H1799" s="1">
        <v>1.080414E-6</v>
      </c>
      <c r="I1799">
        <v>281.60169999999999</v>
      </c>
      <c r="J1799">
        <v>-225.35489999999999</v>
      </c>
      <c r="K1799">
        <v>1.1100669999999999</v>
      </c>
      <c r="L1799">
        <v>282.71620000000001</v>
      </c>
      <c r="M1799">
        <v>-0.99989249999999996</v>
      </c>
      <c r="N1799">
        <v>0</v>
      </c>
      <c r="O1799">
        <v>-7.010568E-3</v>
      </c>
      <c r="P1799">
        <v>-0.99981690000000001</v>
      </c>
      <c r="Q1799">
        <v>1.6664829999999999E-2</v>
      </c>
      <c r="R1799">
        <v>-9.4076290000000007E-3</v>
      </c>
      <c r="S1799">
        <v>-3.0018919999999998</v>
      </c>
      <c r="T1799">
        <v>-0.1694099</v>
      </c>
      <c r="U1799">
        <v>-0.1701965</v>
      </c>
      <c r="V1799">
        <v>-2.395838E-3</v>
      </c>
      <c r="W1799">
        <v>2.953797E-2</v>
      </c>
      <c r="X1799">
        <v>0.99956080000000003</v>
      </c>
      <c r="Y1799">
        <v>-4.9536770000000001E-2</v>
      </c>
      <c r="Z1799">
        <v>-1.0005420000000001E-3</v>
      </c>
      <c r="AA1799">
        <v>0.99877179999999999</v>
      </c>
      <c r="AB1799">
        <v>11</v>
      </c>
      <c r="AC1799">
        <v>-19.563300000000002</v>
      </c>
      <c r="AD1799">
        <v>-1.1100659195860001</v>
      </c>
      <c r="AE1799">
        <v>-1.11450000000002</v>
      </c>
      <c r="AF1799">
        <v>-0.97418496698574597</v>
      </c>
      <c r="AG1799">
        <v>-1.1100659195860001</v>
      </c>
      <c r="AH1799">
        <v>19.5080265881844</v>
      </c>
      <c r="AI1799">
        <v>93.2527471068057</v>
      </c>
      <c r="AJ1799">
        <v>92.858841623590493</v>
      </c>
      <c r="AK1799">
        <v>19.563854018598601</v>
      </c>
      <c r="AL1799">
        <v>88.307352806808396</v>
      </c>
      <c r="AM1799">
        <v>90.137331458896</v>
      </c>
      <c r="AN1799">
        <v>1.00000001230404</v>
      </c>
    </row>
    <row r="1800" spans="1:40" x14ac:dyDescent="0.25">
      <c r="A1800" t="str">
        <f>"20190312160634564"</f>
        <v>20190312160634564</v>
      </c>
      <c r="B1800" t="str">
        <f>"1552377994557214"</f>
        <v>1552377994557214</v>
      </c>
      <c r="C1800" t="s">
        <v>40</v>
      </c>
      <c r="D1800">
        <v>6.6385500000000004</v>
      </c>
      <c r="E1800">
        <v>0.48222229999999999</v>
      </c>
      <c r="F1800" t="s">
        <v>66</v>
      </c>
      <c r="G1800">
        <v>-244.96719999999999</v>
      </c>
      <c r="H1800" s="1">
        <v>1.1065159999999999E-6</v>
      </c>
      <c r="I1800">
        <v>281.59449999999998</v>
      </c>
      <c r="J1800">
        <v>-225.4554</v>
      </c>
      <c r="K1800">
        <v>1.1100669999999999</v>
      </c>
      <c r="L1800">
        <v>282.71559999999999</v>
      </c>
      <c r="M1800">
        <v>-0.9998937</v>
      </c>
      <c r="N1800">
        <v>0</v>
      </c>
      <c r="O1800">
        <v>-6.9726579999999996E-3</v>
      </c>
      <c r="P1800">
        <v>-0.9998264</v>
      </c>
      <c r="Q1800">
        <v>1.6297740000000002E-2</v>
      </c>
      <c r="R1800">
        <v>-9.0545750000000005E-3</v>
      </c>
      <c r="S1800">
        <v>-3.0017849999999999</v>
      </c>
      <c r="T1800">
        <v>-0.16990229999999901</v>
      </c>
      <c r="U1800">
        <v>-0.17169189999999901</v>
      </c>
      <c r="V1800">
        <v>-2.0808129999999999E-3</v>
      </c>
      <c r="W1800">
        <v>2.9109010000000001E-2</v>
      </c>
      <c r="X1800">
        <v>0.99957410000000002</v>
      </c>
      <c r="Y1800">
        <v>-5.0071280000000003E-2</v>
      </c>
      <c r="Z1800">
        <v>-1.0207129999999999E-3</v>
      </c>
      <c r="AA1800">
        <v>0.99874510000000005</v>
      </c>
      <c r="AB1800">
        <v>11</v>
      </c>
      <c r="AC1800">
        <v>-19.511799999999901</v>
      </c>
      <c r="AD1800">
        <v>-1.110065893484</v>
      </c>
      <c r="AE1800">
        <v>-1.12110000000001</v>
      </c>
      <c r="AF1800">
        <v>-0.98184499504337897</v>
      </c>
      <c r="AG1800">
        <v>-1.110065893484</v>
      </c>
      <c r="AH1800">
        <v>19.4563760002215</v>
      </c>
      <c r="AI1800">
        <v>93.261277680827405</v>
      </c>
      <c r="AJ1800">
        <v>92.888918962509607</v>
      </c>
      <c r="AK1800">
        <v>19.512735147696802</v>
      </c>
      <c r="AL1800">
        <v>88.3319409953709</v>
      </c>
      <c r="AM1800">
        <v>90.119272428768895</v>
      </c>
      <c r="AN1800">
        <v>1.0000000228183601</v>
      </c>
    </row>
    <row r="1801" spans="1:40" x14ac:dyDescent="0.25">
      <c r="A1801" t="str">
        <f>"20190312160634587"</f>
        <v>20190312160634587</v>
      </c>
      <c r="B1801" t="str">
        <f>"1552377994576738"</f>
        <v>1552377994576738</v>
      </c>
      <c r="C1801" t="s">
        <v>40</v>
      </c>
      <c r="D1801">
        <v>6.4630039999999997</v>
      </c>
      <c r="E1801">
        <v>0.48200599999999999</v>
      </c>
      <c r="F1801" t="s">
        <v>66</v>
      </c>
      <c r="G1801">
        <v>-244.45570000000001</v>
      </c>
      <c r="H1801" s="1">
        <v>8.3431639999999999E-7</v>
      </c>
      <c r="I1801">
        <v>281.6669</v>
      </c>
      <c r="J1801">
        <v>-225.56290000000001</v>
      </c>
      <c r="K1801">
        <v>1.1100650000000001</v>
      </c>
      <c r="L1801">
        <v>282.7149</v>
      </c>
      <c r="M1801">
        <v>-0.99989470000000003</v>
      </c>
      <c r="N1801">
        <v>0</v>
      </c>
      <c r="O1801">
        <v>-6.936233E-3</v>
      </c>
      <c r="P1801">
        <v>-0.99981220000000004</v>
      </c>
      <c r="Q1801">
        <v>1.7130949999999999E-2</v>
      </c>
      <c r="R1801">
        <v>-9.0777459999999994E-3</v>
      </c>
      <c r="S1801">
        <v>-3.001862</v>
      </c>
      <c r="T1801">
        <v>-0.17537920000000001</v>
      </c>
      <c r="U1801">
        <v>-0.16567989999999999</v>
      </c>
      <c r="V1801">
        <v>-2.1403440000000002E-3</v>
      </c>
      <c r="W1801">
        <v>2.98759E-2</v>
      </c>
      <c r="X1801">
        <v>0.99955130000000003</v>
      </c>
      <c r="Y1801">
        <v>-4.811095E-2</v>
      </c>
      <c r="Z1801">
        <v>-9.9854429999999997E-4</v>
      </c>
      <c r="AA1801">
        <v>0.99884150000000005</v>
      </c>
      <c r="AB1801">
        <v>11</v>
      </c>
      <c r="AC1801">
        <v>-18.892799999999902</v>
      </c>
      <c r="AD1801">
        <v>-1.1100641656835999</v>
      </c>
      <c r="AE1801">
        <v>-1.048</v>
      </c>
      <c r="AF1801">
        <v>-0.91377436535226897</v>
      </c>
      <c r="AG1801">
        <v>-1.1100641656835999</v>
      </c>
      <c r="AH1801">
        <v>18.834792064878499</v>
      </c>
      <c r="AI1801">
        <v>93.368980244398003</v>
      </c>
      <c r="AJ1801">
        <v>92.777540388667305</v>
      </c>
      <c r="AK1801">
        <v>18.889590206511102</v>
      </c>
      <c r="AL1801">
        <v>88.287982232700699</v>
      </c>
      <c r="AM1801">
        <v>90.122687540374798</v>
      </c>
      <c r="AN1801">
        <v>0.99999997590246803</v>
      </c>
    </row>
    <row r="1802" spans="1:40" x14ac:dyDescent="0.25">
      <c r="A1802" t="str">
        <f>"20190312160634608"</f>
        <v>20190312160634608</v>
      </c>
      <c r="B1802" t="str">
        <f>"1552377994597231"</f>
        <v>1552377994597231</v>
      </c>
      <c r="C1802" t="s">
        <v>40</v>
      </c>
      <c r="D1802">
        <v>6.580152</v>
      </c>
      <c r="E1802">
        <v>0.48152050000000002</v>
      </c>
      <c r="F1802" t="s">
        <v>66</v>
      </c>
      <c r="G1802">
        <v>-245.66980000000001</v>
      </c>
      <c r="H1802" s="1">
        <v>1.4803809999999999E-6</v>
      </c>
      <c r="I1802">
        <v>281.59289999999999</v>
      </c>
      <c r="J1802">
        <v>-225.66460000000001</v>
      </c>
      <c r="K1802">
        <v>1.1100540000000001</v>
      </c>
      <c r="L1802">
        <v>282.71420000000001</v>
      </c>
      <c r="M1802">
        <v>-0.9998958</v>
      </c>
      <c r="N1802">
        <v>0</v>
      </c>
      <c r="O1802">
        <v>-6.9042080000000002E-3</v>
      </c>
      <c r="P1802">
        <v>-0.99980519999999995</v>
      </c>
      <c r="Q1802">
        <v>1.7471400000000002E-2</v>
      </c>
      <c r="R1802">
        <v>-9.1854520000000002E-3</v>
      </c>
      <c r="S1802">
        <v>-3.0018769999999999</v>
      </c>
      <c r="T1802">
        <v>-0.16572799999999999</v>
      </c>
      <c r="U1802">
        <v>-0.16751099999999999</v>
      </c>
      <c r="V1802">
        <v>-2.2804520000000001E-3</v>
      </c>
      <c r="W1802">
        <v>3.0150440000000001E-2</v>
      </c>
      <c r="X1802">
        <v>0.99954279999999995</v>
      </c>
      <c r="Y1802">
        <v>-4.8756519999999998E-2</v>
      </c>
      <c r="Z1802">
        <v>-9.6321799999999995E-4</v>
      </c>
      <c r="AA1802">
        <v>0.99881019999999998</v>
      </c>
      <c r="AB1802">
        <v>11</v>
      </c>
      <c r="AC1802">
        <v>-20.005199999999999</v>
      </c>
      <c r="AD1802">
        <v>-1.1100525196189901</v>
      </c>
      <c r="AE1802">
        <v>-1.12130000000001</v>
      </c>
      <c r="AF1802">
        <v>-0.98013378540151697</v>
      </c>
      <c r="AG1802">
        <v>-1.1100525196189901</v>
      </c>
      <c r="AH1802">
        <v>19.951229164214201</v>
      </c>
      <c r="AI1802">
        <v>93.180728549679301</v>
      </c>
      <c r="AJ1802">
        <v>92.812479222573998</v>
      </c>
      <c r="AK1802">
        <v>20.006109666714</v>
      </c>
      <c r="AL1802">
        <v>88.272245251686599</v>
      </c>
      <c r="AM1802">
        <v>90.130719813376302</v>
      </c>
      <c r="AN1802">
        <v>1.0000000292626701</v>
      </c>
    </row>
    <row r="1803" spans="1:40" x14ac:dyDescent="0.25">
      <c r="A1803" t="str">
        <f>"20190312160634630"</f>
        <v>20190312160634630</v>
      </c>
      <c r="B1803" t="str">
        <f>"1552377994626511"</f>
        <v>1552377994626511</v>
      </c>
      <c r="C1803" t="s">
        <v>40</v>
      </c>
      <c r="D1803">
        <v>6.473509</v>
      </c>
      <c r="E1803">
        <v>0.48179460000000002</v>
      </c>
      <c r="F1803" t="s">
        <v>66</v>
      </c>
      <c r="G1803">
        <v>-247.29300000000001</v>
      </c>
      <c r="H1803" s="1">
        <v>2.344204E-6</v>
      </c>
      <c r="I1803">
        <v>281.4778</v>
      </c>
      <c r="J1803">
        <v>-225.76429999999999</v>
      </c>
      <c r="K1803">
        <v>1.1100350000000001</v>
      </c>
      <c r="L1803">
        <v>282.71359999999999</v>
      </c>
      <c r="M1803">
        <v>-0.99989680000000003</v>
      </c>
      <c r="N1803">
        <v>0</v>
      </c>
      <c r="O1803">
        <v>-6.8666600000000001E-3</v>
      </c>
      <c r="P1803">
        <v>-0.99980959999999997</v>
      </c>
      <c r="Q1803">
        <v>1.7178889999999999E-2</v>
      </c>
      <c r="R1803">
        <v>-9.2488329999999997E-3</v>
      </c>
      <c r="S1803">
        <v>-3.0016780000000001</v>
      </c>
      <c r="T1803">
        <v>-0.15405739999999901</v>
      </c>
      <c r="U1803">
        <v>-0.17160029999999901</v>
      </c>
      <c r="V1803">
        <v>-2.3810440000000001E-3</v>
      </c>
      <c r="W1803">
        <v>2.9787729999999998E-2</v>
      </c>
      <c r="X1803">
        <v>0.99955340000000004</v>
      </c>
      <c r="Y1803">
        <v>-5.0160789999999997E-2</v>
      </c>
      <c r="Z1803">
        <v>-9.3341300000000002E-4</v>
      </c>
      <c r="AA1803">
        <v>0.99874070000000004</v>
      </c>
      <c r="AB1803">
        <v>11</v>
      </c>
      <c r="AC1803">
        <v>-21.528700000000001</v>
      </c>
      <c r="AD1803">
        <v>-1.1100326557960001</v>
      </c>
      <c r="AE1803">
        <v>-1.23579999999998</v>
      </c>
      <c r="AF1803">
        <v>-1.0850536892762099</v>
      </c>
      <c r="AG1803">
        <v>-1.1100326557960001</v>
      </c>
      <c r="AH1803">
        <v>21.479762550736901</v>
      </c>
      <c r="AI1803">
        <v>92.954543042860195</v>
      </c>
      <c r="AJ1803">
        <v>92.891847479350503</v>
      </c>
      <c r="AK1803">
        <v>21.535777516532399</v>
      </c>
      <c r="AL1803">
        <v>88.293036273174806</v>
      </c>
      <c r="AM1803">
        <v>90.136484467956393</v>
      </c>
      <c r="AN1803">
        <v>0.99999998884032104</v>
      </c>
    </row>
    <row r="1804" spans="1:40" x14ac:dyDescent="0.25">
      <c r="A1804" t="str">
        <f>"20190312160634653"</f>
        <v>20190312160634653</v>
      </c>
      <c r="B1804" t="str">
        <f>"1552377994647006"</f>
        <v>1552377994647006</v>
      </c>
      <c r="C1804" t="s">
        <v>40</v>
      </c>
      <c r="D1804">
        <v>6.4199489999999999</v>
      </c>
      <c r="E1804">
        <v>0.48150150000000003</v>
      </c>
      <c r="F1804" t="s">
        <v>66</v>
      </c>
      <c r="G1804">
        <v>-247.17670000000001</v>
      </c>
      <c r="H1804" s="1">
        <v>2.2823090000000002E-6</v>
      </c>
      <c r="I1804">
        <v>281.50420000000003</v>
      </c>
      <c r="J1804">
        <v>-225.87430000000001</v>
      </c>
      <c r="K1804">
        <v>1.1100239999999999</v>
      </c>
      <c r="L1804">
        <v>282.71289999999999</v>
      </c>
      <c r="M1804">
        <v>-0.99989830000000002</v>
      </c>
      <c r="N1804">
        <v>0</v>
      </c>
      <c r="O1804">
        <v>-6.824648E-3</v>
      </c>
      <c r="P1804">
        <v>-0.9998049</v>
      </c>
      <c r="Q1804">
        <v>1.7635580000000001E-2</v>
      </c>
      <c r="R1804">
        <v>-8.8968959999999996E-3</v>
      </c>
      <c r="S1804">
        <v>-3.0016630000000002</v>
      </c>
      <c r="T1804">
        <v>-0.15560769999999999</v>
      </c>
      <c r="U1804">
        <v>-0.16952509999999901</v>
      </c>
      <c r="V1804">
        <v>-2.0712149999999999E-3</v>
      </c>
      <c r="W1804">
        <v>3.0160449999999998E-2</v>
      </c>
      <c r="X1804">
        <v>0.99954299999999996</v>
      </c>
      <c r="Y1804">
        <v>-4.9514450000000002E-2</v>
      </c>
      <c r="Z1804">
        <v>-9.2826289999999999E-4</v>
      </c>
      <c r="AA1804">
        <v>0.99877300000000002</v>
      </c>
      <c r="AB1804">
        <v>11</v>
      </c>
      <c r="AC1804">
        <v>-21.302399999999999</v>
      </c>
      <c r="AD1804">
        <v>-1.1100217176910001</v>
      </c>
      <c r="AE1804">
        <v>-1.2086999999999599</v>
      </c>
      <c r="AF1804">
        <v>-1.0604090556151999</v>
      </c>
      <c r="AG1804">
        <v>-1.1100217176910001</v>
      </c>
      <c r="AH1804">
        <v>21.252632922711499</v>
      </c>
      <c r="AI1804">
        <v>92.986124919242002</v>
      </c>
      <c r="AJ1804">
        <v>92.856428171397795</v>
      </c>
      <c r="AK1804">
        <v>21.308003701109602</v>
      </c>
      <c r="AL1804">
        <v>88.271671540393299</v>
      </c>
      <c r="AM1804">
        <v>90.118725965877701</v>
      </c>
      <c r="AN1804">
        <v>1.0000000757623799</v>
      </c>
    </row>
    <row r="1805" spans="1:40" x14ac:dyDescent="0.25">
      <c r="A1805" t="str">
        <f>"20190312160634676"</f>
        <v>20190312160634676</v>
      </c>
      <c r="B1805" t="str">
        <f>"1552377994666530"</f>
        <v>1552377994666530</v>
      </c>
      <c r="C1805" t="s">
        <v>40</v>
      </c>
      <c r="D1805">
        <v>6.4318280000000003</v>
      </c>
      <c r="E1805">
        <v>0.4816299</v>
      </c>
      <c r="F1805" t="s">
        <v>66</v>
      </c>
      <c r="G1805">
        <v>-248.1799</v>
      </c>
      <c r="H1805" s="1">
        <v>2.8161279999999999E-6</v>
      </c>
      <c r="I1805">
        <v>281.4427</v>
      </c>
      <c r="J1805">
        <v>-225.97989999999999</v>
      </c>
      <c r="K1805">
        <v>1.1100159999999999</v>
      </c>
      <c r="L1805">
        <v>282.7122</v>
      </c>
      <c r="M1805">
        <v>-0.9998996</v>
      </c>
      <c r="N1805">
        <v>0</v>
      </c>
      <c r="O1805">
        <v>-6.7866100000000002E-3</v>
      </c>
      <c r="P1805">
        <v>-0.99980349999999996</v>
      </c>
      <c r="Q1805">
        <v>1.7517850000000001E-2</v>
      </c>
      <c r="R1805">
        <v>-9.2892229999999992E-3</v>
      </c>
      <c r="S1805">
        <v>-3.0016780000000001</v>
      </c>
      <c r="T1805">
        <v>-0.14937639999999999</v>
      </c>
      <c r="U1805">
        <v>-0.170929</v>
      </c>
      <c r="V1805">
        <v>-2.5011410000000001E-3</v>
      </c>
      <c r="W1805">
        <v>2.9959309999999999E-2</v>
      </c>
      <c r="X1805">
        <v>0.99954799999999999</v>
      </c>
      <c r="Y1805">
        <v>-5.0021570000000001E-2</v>
      </c>
      <c r="Z1805">
        <v>-9.0561220000000004E-4</v>
      </c>
      <c r="AA1805">
        <v>0.99874770000000002</v>
      </c>
      <c r="AB1805">
        <v>11</v>
      </c>
      <c r="AC1805">
        <v>-22.2</v>
      </c>
      <c r="AD1805">
        <v>-1.110013183872</v>
      </c>
      <c r="AE1805">
        <v>-1.2694999999999901</v>
      </c>
      <c r="AF1805">
        <v>-1.1160153497589</v>
      </c>
      <c r="AG1805">
        <v>-1.110013183872</v>
      </c>
      <c r="AH1805">
        <v>22.1529018869136</v>
      </c>
      <c r="AI1805">
        <v>92.864887624866199</v>
      </c>
      <c r="AJ1805">
        <v>92.883999476499895</v>
      </c>
      <c r="AK1805">
        <v>22.208752363437402</v>
      </c>
      <c r="AL1805">
        <v>88.283201110190902</v>
      </c>
      <c r="AM1805">
        <v>90.143369327109497</v>
      </c>
      <c r="AN1805">
        <v>1.00000001013298</v>
      </c>
    </row>
    <row r="1806" spans="1:40" x14ac:dyDescent="0.25">
      <c r="A1806" t="str">
        <f>"20190312160634710"</f>
        <v>20190312160634710</v>
      </c>
      <c r="B1806" t="str">
        <f>"1552377994706542"</f>
        <v>1552377994706542</v>
      </c>
      <c r="C1806" t="s">
        <v>40</v>
      </c>
      <c r="D1806">
        <v>6.3627630000000002</v>
      </c>
      <c r="E1806">
        <v>0.48159220000000003</v>
      </c>
      <c r="F1806" t="s">
        <v>66</v>
      </c>
      <c r="G1806">
        <v>-248.15029999999999</v>
      </c>
      <c r="H1806" s="1">
        <v>2.800374E-6</v>
      </c>
      <c r="I1806">
        <v>281.44909999999999</v>
      </c>
      <c r="J1806">
        <v>-226.13669999999999</v>
      </c>
      <c r="K1806">
        <v>1.110007</v>
      </c>
      <c r="L1806">
        <v>282.71129999999999</v>
      </c>
      <c r="M1806">
        <v>-0.9999015</v>
      </c>
      <c r="N1806">
        <v>0</v>
      </c>
      <c r="O1806">
        <v>-6.7326039999999997E-3</v>
      </c>
      <c r="P1806">
        <v>-0.99981509999999996</v>
      </c>
      <c r="Q1806">
        <v>1.69236E-2</v>
      </c>
      <c r="R1806">
        <v>-9.1675320000000008E-3</v>
      </c>
      <c r="S1806">
        <v>-3.0016479999999999</v>
      </c>
      <c r="T1806">
        <v>-0.1502851</v>
      </c>
      <c r="U1806">
        <v>-0.17102049999999999</v>
      </c>
      <c r="V1806">
        <v>-2.4335120000000001E-3</v>
      </c>
      <c r="W1806">
        <v>2.9241989999999999E-2</v>
      </c>
      <c r="X1806">
        <v>0.99956940000000005</v>
      </c>
      <c r="Y1806">
        <v>-5.0105650000000002E-2</v>
      </c>
      <c r="Z1806">
        <v>-9.1592530000000004E-4</v>
      </c>
      <c r="AA1806">
        <v>0.99874350000000001</v>
      </c>
      <c r="AB1806">
        <v>11</v>
      </c>
      <c r="AC1806">
        <v>-22.0136</v>
      </c>
      <c r="AD1806">
        <v>-1.1100041996259999</v>
      </c>
      <c r="AE1806">
        <v>-1.2622</v>
      </c>
      <c r="AF1806">
        <v>-1.1111354527555199</v>
      </c>
      <c r="AG1806">
        <v>-1.1100041996259999</v>
      </c>
      <c r="AH1806">
        <v>21.9659333709984</v>
      </c>
      <c r="AI1806">
        <v>92.889178329205507</v>
      </c>
      <c r="AJ1806">
        <v>92.895809326420903</v>
      </c>
      <c r="AK1806">
        <v>22.022010811383701</v>
      </c>
      <c r="AL1806">
        <v>88.324318520848394</v>
      </c>
      <c r="AM1806">
        <v>90.139489755813202</v>
      </c>
      <c r="AN1806">
        <v>1.00000000068808</v>
      </c>
    </row>
    <row r="1807" spans="1:40" x14ac:dyDescent="0.25">
      <c r="A1807" t="str">
        <f>"20190312160634732"</f>
        <v>20190312160634732</v>
      </c>
      <c r="B1807" t="str">
        <f>"1552377994727039"</f>
        <v>1552377994727039</v>
      </c>
      <c r="C1807" t="s">
        <v>40</v>
      </c>
      <c r="D1807">
        <v>6.3622040000000002</v>
      </c>
      <c r="E1807">
        <v>0.48143760000000002</v>
      </c>
      <c r="F1807" t="s">
        <v>66</v>
      </c>
      <c r="G1807">
        <v>-249.05779999999999</v>
      </c>
      <c r="H1807" s="1">
        <v>3.2833380000000002E-6</v>
      </c>
      <c r="I1807">
        <v>281.40570000000002</v>
      </c>
      <c r="J1807">
        <v>-226.24600000000001</v>
      </c>
      <c r="K1807">
        <v>1.109993</v>
      </c>
      <c r="L1807">
        <v>282.71050000000002</v>
      </c>
      <c r="M1807">
        <v>-0.99990279999999998</v>
      </c>
      <c r="N1807">
        <v>0</v>
      </c>
      <c r="O1807">
        <v>-6.6944509999999997E-3</v>
      </c>
      <c r="P1807">
        <v>-0.99982009999999999</v>
      </c>
      <c r="Q1807">
        <v>1.6661329999999999E-2</v>
      </c>
      <c r="R1807">
        <v>-9.0933709999999994E-3</v>
      </c>
      <c r="S1807">
        <v>-3.0014500000000002</v>
      </c>
      <c r="T1807">
        <v>-0.14535139999999999</v>
      </c>
      <c r="U1807">
        <v>-0.17095949999999999</v>
      </c>
      <c r="V1807">
        <v>-2.3973129999999999E-3</v>
      </c>
      <c r="W1807">
        <v>2.8898340000000002E-2</v>
      </c>
      <c r="X1807">
        <v>0.99957949999999995</v>
      </c>
      <c r="Y1807">
        <v>-5.0130679999999997E-2</v>
      </c>
      <c r="Z1807">
        <v>-8.8840160000000002E-4</v>
      </c>
      <c r="AA1807">
        <v>0.99874229999999997</v>
      </c>
      <c r="AB1807">
        <v>11</v>
      </c>
      <c r="AC1807">
        <v>-22.811800000000002</v>
      </c>
      <c r="AD1807">
        <v>-1.1099897166620001</v>
      </c>
      <c r="AE1807">
        <v>-1.3048</v>
      </c>
      <c r="AF1807">
        <v>-1.14933450193176</v>
      </c>
      <c r="AG1807">
        <v>-1.1099897166620001</v>
      </c>
      <c r="AH1807">
        <v>22.766297319598699</v>
      </c>
      <c r="AI1807">
        <v>92.787748308331302</v>
      </c>
      <c r="AJ1807">
        <v>92.890068436330395</v>
      </c>
      <c r="AK1807">
        <v>22.822299196461199</v>
      </c>
      <c r="AL1807">
        <v>88.344016570787701</v>
      </c>
      <c r="AM1807">
        <v>90.137413436068002</v>
      </c>
      <c r="AN1807">
        <v>1.0000000189923099</v>
      </c>
    </row>
    <row r="1808" spans="1:40" x14ac:dyDescent="0.25">
      <c r="A1808" t="str">
        <f>"20190312160634787"</f>
        <v>20190312160634787</v>
      </c>
      <c r="B1808" t="str">
        <f>"1552377994776814"</f>
        <v>1552377994776814</v>
      </c>
      <c r="C1808" t="s">
        <v>40</v>
      </c>
      <c r="D1808">
        <v>6.1904560000000002</v>
      </c>
      <c r="E1808">
        <v>0.48151539999999998</v>
      </c>
      <c r="F1808" t="s">
        <v>66</v>
      </c>
      <c r="G1808">
        <v>-249.91220000000001</v>
      </c>
      <c r="H1808" s="1">
        <v>3.737977E-6</v>
      </c>
      <c r="I1808">
        <v>281.35359999999997</v>
      </c>
      <c r="J1808">
        <v>-226.5017</v>
      </c>
      <c r="K1808">
        <v>1.109977</v>
      </c>
      <c r="L1808">
        <v>282.709</v>
      </c>
      <c r="M1808">
        <v>-0.9999053</v>
      </c>
      <c r="N1808">
        <v>0</v>
      </c>
      <c r="O1808">
        <v>-6.6068000000000003E-3</v>
      </c>
      <c r="P1808">
        <v>-0.99978730000000005</v>
      </c>
      <c r="Q1808">
        <v>1.7248010000000001E-2</v>
      </c>
      <c r="R1808">
        <v>-1.132526E-2</v>
      </c>
      <c r="S1808">
        <v>-3.001328</v>
      </c>
      <c r="T1808">
        <v>-0.140767899999999</v>
      </c>
      <c r="U1808">
        <v>-0.17208860000000001</v>
      </c>
      <c r="V1808">
        <v>-4.7170349999999996E-3</v>
      </c>
      <c r="W1808">
        <v>2.9324920000000001E-2</v>
      </c>
      <c r="X1808">
        <v>0.99955879999999997</v>
      </c>
      <c r="Y1808">
        <v>-5.0597589999999998E-2</v>
      </c>
      <c r="Z1808">
        <v>-8.7548429999999896E-4</v>
      </c>
      <c r="AA1808">
        <v>0.99871869999999996</v>
      </c>
      <c r="AB1808">
        <v>11</v>
      </c>
      <c r="AC1808">
        <v>-23.410499999999999</v>
      </c>
      <c r="AD1808">
        <v>-1.1099732620230001</v>
      </c>
      <c r="AE1808">
        <v>-1.3554000000000299</v>
      </c>
      <c r="AF1808">
        <v>-1.1980064838498199</v>
      </c>
      <c r="AG1808">
        <v>-1.1099732620230001</v>
      </c>
      <c r="AH1808">
        <v>23.366591004744901</v>
      </c>
      <c r="AI1808">
        <v>92.716090627382101</v>
      </c>
      <c r="AJ1808">
        <v>92.934988102968106</v>
      </c>
      <c r="AK1808">
        <v>23.423595696664002</v>
      </c>
      <c r="AL1808">
        <v>88.319564938762099</v>
      </c>
      <c r="AM1808">
        <v>90.2703834842535</v>
      </c>
      <c r="AN1808">
        <v>0.99999999800481798</v>
      </c>
    </row>
    <row r="1809" spans="1:40" x14ac:dyDescent="0.25">
      <c r="A1809" t="str">
        <f>"20190312160634809"</f>
        <v>20190312160634809</v>
      </c>
      <c r="B1809" t="str">
        <f>"1552377994797310"</f>
        <v>1552377994797310</v>
      </c>
      <c r="C1809" t="s">
        <v>40</v>
      </c>
      <c r="D1809">
        <v>6.256621</v>
      </c>
      <c r="E1809">
        <v>0.48139500000000002</v>
      </c>
      <c r="F1809" t="s">
        <v>66</v>
      </c>
      <c r="G1809">
        <v>-251.10429999999999</v>
      </c>
      <c r="H1809" s="1">
        <v>-9.4911990000000003E-7</v>
      </c>
      <c r="I1809">
        <v>281.25130000000001</v>
      </c>
      <c r="J1809">
        <v>-226.60300000000001</v>
      </c>
      <c r="K1809">
        <v>1.1099749999999999</v>
      </c>
      <c r="L1809">
        <v>282.70830000000001</v>
      </c>
      <c r="M1809">
        <v>-0.99990599999999996</v>
      </c>
      <c r="N1809">
        <v>0</v>
      </c>
      <c r="O1809">
        <v>-6.5726229999999997E-3</v>
      </c>
      <c r="P1809">
        <v>-0.9997743</v>
      </c>
      <c r="Q1809">
        <v>1.7486700000000001E-2</v>
      </c>
      <c r="R1809">
        <v>-1.2068819999999999E-2</v>
      </c>
      <c r="S1809">
        <v>-3.0009610000000002</v>
      </c>
      <c r="T1809">
        <v>-0.13539219999999999</v>
      </c>
      <c r="U1809">
        <v>-0.17779539999999999</v>
      </c>
      <c r="V1809">
        <v>-5.4948590000000004E-3</v>
      </c>
      <c r="W1809">
        <v>2.9511760000000001E-2</v>
      </c>
      <c r="X1809">
        <v>0.99954929999999997</v>
      </c>
      <c r="Y1809">
        <v>-5.2532990000000002E-2</v>
      </c>
      <c r="Z1809">
        <v>-8.8728009999999998E-4</v>
      </c>
      <c r="AA1809">
        <v>0.99861880000000003</v>
      </c>
      <c r="AB1809">
        <v>11</v>
      </c>
      <c r="AC1809">
        <v>-24.501300000000001</v>
      </c>
      <c r="AD1809">
        <v>-1.1099759491198999</v>
      </c>
      <c r="AE1809">
        <v>-1.4569999999999901</v>
      </c>
      <c r="AF1809">
        <v>-1.2932741739273499</v>
      </c>
      <c r="AG1809">
        <v>-1.1099759491198999</v>
      </c>
      <c r="AH1809">
        <v>24.4603237473296</v>
      </c>
      <c r="AI1809">
        <v>92.594602356998394</v>
      </c>
      <c r="AJ1809">
        <v>93.0265429286152</v>
      </c>
      <c r="AK1809">
        <v>24.519625660289901</v>
      </c>
      <c r="AL1809">
        <v>88.3088551130692</v>
      </c>
      <c r="AM1809">
        <v>90.314971015729199</v>
      </c>
      <c r="AN1809">
        <v>0.99999997029210796</v>
      </c>
    </row>
    <row r="1810" spans="1:40" x14ac:dyDescent="0.25">
      <c r="A1810" t="str">
        <f>"20190312160634831"</f>
        <v>20190312160634831</v>
      </c>
      <c r="B1810" t="str">
        <f>"1552377994826591"</f>
        <v>1552377994826591</v>
      </c>
      <c r="C1810" t="s">
        <v>40</v>
      </c>
      <c r="D1810">
        <v>6.1593099999999996</v>
      </c>
      <c r="E1810">
        <v>0.48153249999999997</v>
      </c>
      <c r="F1810" t="s">
        <v>66</v>
      </c>
      <c r="G1810">
        <v>-251.23679999999999</v>
      </c>
      <c r="H1810" s="1">
        <v>-8.7864009999999897E-7</v>
      </c>
      <c r="I1810">
        <v>281.22070000000002</v>
      </c>
      <c r="J1810">
        <v>-226.7097</v>
      </c>
      <c r="K1810">
        <v>1.109985</v>
      </c>
      <c r="L1810">
        <v>282.70760000000001</v>
      </c>
      <c r="M1810">
        <v>-0.99990699999999999</v>
      </c>
      <c r="N1810">
        <v>0</v>
      </c>
      <c r="O1810">
        <v>-6.5369209999999898E-3</v>
      </c>
      <c r="P1810">
        <v>-0.9997549</v>
      </c>
      <c r="Q1810">
        <v>1.8295809999999999E-2</v>
      </c>
      <c r="R1810">
        <v>-1.247725E-2</v>
      </c>
      <c r="S1810">
        <v>-3.000839</v>
      </c>
      <c r="T1810">
        <v>-0.13521540000000001</v>
      </c>
      <c r="U1810">
        <v>-0.1812134</v>
      </c>
      <c r="V1810">
        <v>-5.9394119999999998E-3</v>
      </c>
      <c r="W1810">
        <v>3.0272449999999999E-2</v>
      </c>
      <c r="X1810">
        <v>0.99952410000000003</v>
      </c>
      <c r="Y1810">
        <v>-5.3703290000000001E-2</v>
      </c>
      <c r="Z1810">
        <v>-9.1406460000000001E-4</v>
      </c>
      <c r="AA1810">
        <v>0.99855649999999996</v>
      </c>
      <c r="AB1810">
        <v>11</v>
      </c>
      <c r="AC1810">
        <v>-24.527099999999901</v>
      </c>
      <c r="AD1810">
        <v>-1.1099858786401</v>
      </c>
      <c r="AE1810">
        <v>-1.4868999999999899</v>
      </c>
      <c r="AF1810">
        <v>-1.3238236841242901</v>
      </c>
      <c r="AG1810">
        <v>-1.1099858786401</v>
      </c>
      <c r="AH1810">
        <v>24.486330501585201</v>
      </c>
      <c r="AI1810">
        <v>92.591709147889603</v>
      </c>
      <c r="AJ1810">
        <v>93.094613921505697</v>
      </c>
      <c r="AK1810">
        <v>24.547198602494198</v>
      </c>
      <c r="AL1810">
        <v>88.265251458436595</v>
      </c>
      <c r="AM1810">
        <v>90.340461260594594</v>
      </c>
      <c r="AN1810">
        <v>1.0000000621623499</v>
      </c>
    </row>
    <row r="1811" spans="1:40" x14ac:dyDescent="0.25">
      <c r="A1811" t="str">
        <f>"20190312160634853"</f>
        <v>20190312160634853</v>
      </c>
      <c r="B1811" t="str">
        <f>"1552377994846617"</f>
        <v>1552377994846617</v>
      </c>
      <c r="C1811" t="s">
        <v>40</v>
      </c>
      <c r="D1811">
        <v>6.2604989999999896</v>
      </c>
      <c r="E1811">
        <v>0.48159239999999998</v>
      </c>
      <c r="F1811" t="s">
        <v>66</v>
      </c>
      <c r="G1811">
        <v>-252.82380000000001</v>
      </c>
      <c r="H1811" s="1">
        <v>-3.4113330000000002E-8</v>
      </c>
      <c r="I1811">
        <v>281.12720000000002</v>
      </c>
      <c r="J1811">
        <v>-226.8135</v>
      </c>
      <c r="K1811">
        <v>1.109996</v>
      </c>
      <c r="L1811">
        <v>282.70699999999999</v>
      </c>
      <c r="M1811">
        <v>-0.99990769999999995</v>
      </c>
      <c r="N1811">
        <v>0</v>
      </c>
      <c r="O1811">
        <v>-6.500914E-3</v>
      </c>
      <c r="P1811">
        <v>-0.99973369999999995</v>
      </c>
      <c r="Q1811">
        <v>1.9183309999999999E-2</v>
      </c>
      <c r="R1811">
        <v>-1.284011E-2</v>
      </c>
      <c r="S1811">
        <v>-3.0008089999999998</v>
      </c>
      <c r="T1811">
        <v>-0.12755</v>
      </c>
      <c r="U1811">
        <v>-0.1816101</v>
      </c>
      <c r="V1811">
        <v>-6.3376930000000001E-3</v>
      </c>
      <c r="W1811">
        <v>3.1118440000000001E-2</v>
      </c>
      <c r="X1811">
        <v>0.99949560000000004</v>
      </c>
      <c r="Y1811">
        <v>-5.3876460000000001E-2</v>
      </c>
      <c r="Z1811">
        <v>-8.6750320000000001E-4</v>
      </c>
      <c r="AA1811">
        <v>0.99854730000000003</v>
      </c>
      <c r="AB1811">
        <v>11</v>
      </c>
      <c r="AC1811">
        <v>-26.010300000000001</v>
      </c>
      <c r="AD1811">
        <v>-1.1099960341133299</v>
      </c>
      <c r="AE1811">
        <v>-1.5797999999999699</v>
      </c>
      <c r="AF1811">
        <v>-1.40810886436266</v>
      </c>
      <c r="AG1811">
        <v>-1.1099960341133299</v>
      </c>
      <c r="AH1811">
        <v>25.9728937895207</v>
      </c>
      <c r="AI1811">
        <v>92.443559921618601</v>
      </c>
      <c r="AJ1811">
        <v>93.103227183395603</v>
      </c>
      <c r="AK1811">
        <v>26.034709016452702</v>
      </c>
      <c r="AL1811">
        <v>88.216756821657498</v>
      </c>
      <c r="AM1811">
        <v>90.363301443430501</v>
      </c>
      <c r="AN1811">
        <v>0.999999989039977</v>
      </c>
    </row>
    <row r="1812" spans="1:40" x14ac:dyDescent="0.25">
      <c r="A1812" t="str">
        <f>"20190312160634877"</f>
        <v>20190312160634877</v>
      </c>
      <c r="B1812" t="str">
        <f>"1552377994867116"</f>
        <v>1552377994867116</v>
      </c>
      <c r="C1812" t="s">
        <v>40</v>
      </c>
      <c r="D1812">
        <v>7.850911</v>
      </c>
      <c r="E1812">
        <v>0.48187029999999997</v>
      </c>
      <c r="F1812" t="s">
        <v>66</v>
      </c>
      <c r="G1812">
        <v>-254.2029</v>
      </c>
      <c r="H1812" s="1">
        <v>6.9980219999999904E-7</v>
      </c>
      <c r="I1812">
        <v>281.04629999999997</v>
      </c>
      <c r="J1812">
        <v>-226.9246</v>
      </c>
      <c r="K1812">
        <v>1.1100030000000001</v>
      </c>
      <c r="L1812">
        <v>282.7063</v>
      </c>
      <c r="M1812">
        <v>-0.99990840000000003</v>
      </c>
      <c r="N1812">
        <v>0</v>
      </c>
      <c r="O1812">
        <v>-6.4623040000000003E-3</v>
      </c>
      <c r="P1812">
        <v>-0.99973290000000004</v>
      </c>
      <c r="Q1812">
        <v>1.9489599999999999E-2</v>
      </c>
      <c r="R1812">
        <v>-1.24365E-2</v>
      </c>
      <c r="S1812">
        <v>-3.0008089999999998</v>
      </c>
      <c r="T1812">
        <v>-0.1216122</v>
      </c>
      <c r="U1812">
        <v>-0.18194579999999999</v>
      </c>
      <c r="V1812">
        <v>-5.9730460000000001E-3</v>
      </c>
      <c r="W1812">
        <v>3.1386289999999997E-2</v>
      </c>
      <c r="X1812">
        <v>0.99948950000000003</v>
      </c>
      <c r="Y1812">
        <v>-5.4030040000000001E-2</v>
      </c>
      <c r="Z1812">
        <v>-8.318202E-4</v>
      </c>
      <c r="AA1812">
        <v>0.99853899999999995</v>
      </c>
      <c r="AB1812">
        <v>11</v>
      </c>
      <c r="AC1812">
        <v>-27.278300000000002</v>
      </c>
      <c r="AD1812">
        <v>-1.1100023001978001</v>
      </c>
      <c r="AE1812">
        <v>-1.6600000000000199</v>
      </c>
      <c r="AF1812">
        <v>-1.48122859967459</v>
      </c>
      <c r="AG1812">
        <v>-1.1100023001978001</v>
      </c>
      <c r="AH1812">
        <v>27.243514585654498</v>
      </c>
      <c r="AI1812">
        <v>92.329715988888395</v>
      </c>
      <c r="AJ1812">
        <v>93.112104680542998</v>
      </c>
      <c r="AK1812">
        <v>27.306322166299001</v>
      </c>
      <c r="AL1812">
        <v>88.2014026998622</v>
      </c>
      <c r="AM1812">
        <v>90.3424010483525</v>
      </c>
      <c r="AN1812">
        <v>1.00000001854436</v>
      </c>
    </row>
    <row r="1813" spans="1:40" x14ac:dyDescent="0.25">
      <c r="A1813" t="str">
        <f>"20190312160634898"</f>
        <v>20190312160634898</v>
      </c>
      <c r="B1813" t="str">
        <f>"1552377994886633"</f>
        <v>1552377994886633</v>
      </c>
      <c r="C1813" t="s">
        <v>40</v>
      </c>
      <c r="D1813">
        <v>6.253933</v>
      </c>
      <c r="E1813">
        <v>0.4820855</v>
      </c>
      <c r="F1813" t="s">
        <v>66</v>
      </c>
      <c r="G1813">
        <v>-254.21180000000001</v>
      </c>
      <c r="H1813" s="1">
        <v>7.0449739999999998E-7</v>
      </c>
      <c r="I1813">
        <v>281.0847</v>
      </c>
      <c r="J1813">
        <v>-227.0224</v>
      </c>
      <c r="K1813">
        <v>1.1100019999999999</v>
      </c>
      <c r="L1813">
        <v>282.70569999999998</v>
      </c>
      <c r="M1813">
        <v>-0.99990900000000005</v>
      </c>
      <c r="N1813">
        <v>0</v>
      </c>
      <c r="O1813">
        <v>-6.4276869999999996E-3</v>
      </c>
      <c r="P1813">
        <v>-0.99974719999999995</v>
      </c>
      <c r="Q1813">
        <v>1.925033E-2</v>
      </c>
      <c r="R1813">
        <v>-1.162288E-2</v>
      </c>
      <c r="S1813">
        <v>-3.0009769999999998</v>
      </c>
      <c r="T1813">
        <v>-0.1220753</v>
      </c>
      <c r="U1813">
        <v>-0.17834469999999999</v>
      </c>
      <c r="V1813">
        <v>-5.1943329999999998E-3</v>
      </c>
      <c r="W1813">
        <v>3.111796E-2</v>
      </c>
      <c r="X1813">
        <v>0.99950220000000001</v>
      </c>
      <c r="Y1813">
        <v>-5.2867919999999999E-2</v>
      </c>
      <c r="Z1813">
        <v>-8.1276869999999998E-4</v>
      </c>
      <c r="AA1813">
        <v>0.99860119999999997</v>
      </c>
      <c r="AB1813">
        <v>11</v>
      </c>
      <c r="AC1813">
        <v>-27.189399999999999</v>
      </c>
      <c r="AD1813">
        <v>-1.1100012955026</v>
      </c>
      <c r="AE1813">
        <v>-1.62099999999998</v>
      </c>
      <c r="AF1813">
        <v>-1.44379147140779</v>
      </c>
      <c r="AG1813">
        <v>-1.1100012955026</v>
      </c>
      <c r="AH1813">
        <v>27.154161723583499</v>
      </c>
      <c r="AI1813">
        <v>92.3375216893497</v>
      </c>
      <c r="AJ1813">
        <v>93.043560540338703</v>
      </c>
      <c r="AK1813">
        <v>27.215163707011801</v>
      </c>
      <c r="AL1813">
        <v>88.216784317562897</v>
      </c>
      <c r="AM1813">
        <v>90.297758903399398</v>
      </c>
      <c r="AN1813">
        <v>0.99999997816735797</v>
      </c>
    </row>
    <row r="1814" spans="1:40" x14ac:dyDescent="0.25">
      <c r="A1814" t="str">
        <f>"20190312160634921"</f>
        <v>20190312160634921</v>
      </c>
      <c r="B1814" t="str">
        <f>"1552377994916889"</f>
        <v>1552377994916889</v>
      </c>
      <c r="C1814" t="s">
        <v>40</v>
      </c>
      <c r="D1814">
        <v>6.1292910000000003</v>
      </c>
      <c r="E1814">
        <v>0.48232629999999999</v>
      </c>
      <c r="F1814" t="s">
        <v>66</v>
      </c>
      <c r="G1814">
        <v>-254.6994</v>
      </c>
      <c r="H1814" s="1">
        <v>9.6400440000000008E-7</v>
      </c>
      <c r="I1814">
        <v>281.09780000000001</v>
      </c>
      <c r="J1814">
        <v>-227.13290000000001</v>
      </c>
      <c r="K1814">
        <v>1.1100019999999999</v>
      </c>
      <c r="L1814">
        <v>282.70510000000002</v>
      </c>
      <c r="M1814">
        <v>-0.99990950000000001</v>
      </c>
      <c r="N1814">
        <v>0</v>
      </c>
      <c r="O1814">
        <v>-6.3885399999999998E-3</v>
      </c>
      <c r="P1814">
        <v>-0.9997509</v>
      </c>
      <c r="Q1814">
        <v>1.9129569999999999E-2</v>
      </c>
      <c r="R1814">
        <v>-1.150001E-2</v>
      </c>
      <c r="S1814">
        <v>-3.0010680000000001</v>
      </c>
      <c r="T1814">
        <v>-0.1203593</v>
      </c>
      <c r="U1814">
        <v>-0.1743469</v>
      </c>
      <c r="V1814">
        <v>-5.1104749999999997E-3</v>
      </c>
      <c r="W1814">
        <v>3.0968300000000001E-2</v>
      </c>
      <c r="X1814">
        <v>0.99950729999999999</v>
      </c>
      <c r="Y1814">
        <v>-5.1581549999999997E-2</v>
      </c>
      <c r="Z1814">
        <v>-7.7716410000000004E-4</v>
      </c>
      <c r="AA1814">
        <v>0.99866849999999996</v>
      </c>
      <c r="AB1814">
        <v>11</v>
      </c>
      <c r="AC1814">
        <v>-27.566499999999898</v>
      </c>
      <c r="AD1814">
        <v>-1.1100010359955901</v>
      </c>
      <c r="AE1814">
        <v>-1.6073</v>
      </c>
      <c r="AF1814">
        <v>-1.4288363321929201</v>
      </c>
      <c r="AG1814">
        <v>-1.1100010359955901</v>
      </c>
      <c r="AH1814">
        <v>27.5317183922173</v>
      </c>
      <c r="AI1814">
        <v>92.305653857904005</v>
      </c>
      <c r="AJ1814">
        <v>92.970861088429501</v>
      </c>
      <c r="AK1814">
        <v>27.5911071396648</v>
      </c>
      <c r="AL1814">
        <v>88.225363373411795</v>
      </c>
      <c r="AM1814">
        <v>90.292950433922101</v>
      </c>
      <c r="AN1814">
        <v>0.99999999765645198</v>
      </c>
    </row>
    <row r="1815" spans="1:40" x14ac:dyDescent="0.25">
      <c r="A1815" t="str">
        <f>"20190312160634966"</f>
        <v>20190312160634966</v>
      </c>
      <c r="B1815" t="str">
        <f>"1552377994956442"</f>
        <v>1552377994956442</v>
      </c>
      <c r="C1815" t="s">
        <v>40</v>
      </c>
      <c r="D1815">
        <v>6.3367570000000004</v>
      </c>
      <c r="E1815">
        <v>0.48237089999999999</v>
      </c>
      <c r="F1815" t="s">
        <v>66</v>
      </c>
      <c r="G1815">
        <v>-255.24979999999999</v>
      </c>
      <c r="H1815" s="1">
        <v>1.2568829999999999E-6</v>
      </c>
      <c r="I1815">
        <v>281.09570000000002</v>
      </c>
      <c r="J1815">
        <v>-227.34229999999999</v>
      </c>
      <c r="K1815">
        <v>1.110004</v>
      </c>
      <c r="L1815">
        <v>282.70389999999998</v>
      </c>
      <c r="M1815">
        <v>-0.99991050000000004</v>
      </c>
      <c r="N1815">
        <v>0</v>
      </c>
      <c r="O1815">
        <v>-6.3154480000000004E-3</v>
      </c>
      <c r="P1815">
        <v>-0.99973400000000001</v>
      </c>
      <c r="Q1815">
        <v>1.932675E-2</v>
      </c>
      <c r="R1815">
        <v>-1.2594620000000001E-2</v>
      </c>
      <c r="S1815">
        <v>-3.0010379999999999</v>
      </c>
      <c r="T1815">
        <v>-0.1184752</v>
      </c>
      <c r="U1815">
        <v>-0.171783399999999</v>
      </c>
      <c r="V1815">
        <v>-6.2781180000000001E-3</v>
      </c>
      <c r="W1815">
        <v>3.112082E-2</v>
      </c>
      <c r="X1815">
        <v>0.99949589999999999</v>
      </c>
      <c r="Y1815">
        <v>-5.0806560000000001E-2</v>
      </c>
      <c r="Z1815">
        <v>-7.5263749999999996E-4</v>
      </c>
      <c r="AA1815">
        <v>0.99870820000000005</v>
      </c>
      <c r="AB1815">
        <v>11</v>
      </c>
      <c r="AC1815">
        <v>-27.907499999999999</v>
      </c>
      <c r="AD1815">
        <v>-1.1100027431170001</v>
      </c>
      <c r="AE1815">
        <v>-1.6081999999999499</v>
      </c>
      <c r="AF1815">
        <v>-1.4296530745903899</v>
      </c>
      <c r="AG1815">
        <v>-1.1100027431170001</v>
      </c>
      <c r="AH1815">
        <v>27.873151228128101</v>
      </c>
      <c r="AI1815">
        <v>92.277515111990496</v>
      </c>
      <c r="AJ1815">
        <v>92.936207940970206</v>
      </c>
      <c r="AK1815">
        <v>27.931855888743101</v>
      </c>
      <c r="AL1815">
        <v>88.216620388269405</v>
      </c>
      <c r="AM1815">
        <v>90.3598863527818</v>
      </c>
      <c r="AN1815">
        <v>0.99999998715995198</v>
      </c>
    </row>
    <row r="1816" spans="1:40" x14ac:dyDescent="0.25">
      <c r="A1816" t="str">
        <f>"20190312160634989"</f>
        <v>20190312160634989</v>
      </c>
      <c r="B1816" t="str">
        <f>"1552377994976931"</f>
        <v>1552377994976931</v>
      </c>
      <c r="C1816" t="s">
        <v>40</v>
      </c>
      <c r="D1816">
        <v>6.3501320000000003</v>
      </c>
      <c r="E1816">
        <v>0.48261979999999999</v>
      </c>
      <c r="F1816" t="s">
        <v>66</v>
      </c>
      <c r="G1816">
        <v>-255.4623</v>
      </c>
      <c r="H1816" s="1">
        <v>1.369976E-6</v>
      </c>
      <c r="I1816">
        <v>281.06529999999998</v>
      </c>
      <c r="J1816">
        <v>-227.45169999999999</v>
      </c>
      <c r="K1816">
        <v>1.110012</v>
      </c>
      <c r="L1816">
        <v>282.70319999999998</v>
      </c>
      <c r="M1816">
        <v>-0.99991110000000005</v>
      </c>
      <c r="N1816">
        <v>0</v>
      </c>
      <c r="O1816">
        <v>-6.2774299999999996E-3</v>
      </c>
      <c r="P1816">
        <v>-0.99976089999999995</v>
      </c>
      <c r="Q1816">
        <v>1.8044709999999999E-2</v>
      </c>
      <c r="R1816">
        <v>-1.2370819999999999E-2</v>
      </c>
      <c r="S1816">
        <v>-3.0008849999999998</v>
      </c>
      <c r="T1816">
        <v>-0.11845600000000001</v>
      </c>
      <c r="U1816">
        <v>-0.17486570000000001</v>
      </c>
      <c r="V1816">
        <v>-6.0920089999999998E-3</v>
      </c>
      <c r="W1816">
        <v>2.9820139999999998E-2</v>
      </c>
      <c r="X1816">
        <v>0.99953669999999994</v>
      </c>
      <c r="Y1816">
        <v>-5.1868949999999997E-2</v>
      </c>
      <c r="Z1816">
        <v>-7.7497280000000002E-4</v>
      </c>
      <c r="AA1816">
        <v>0.99865360000000003</v>
      </c>
      <c r="AB1816">
        <v>11</v>
      </c>
      <c r="AC1816">
        <v>-28.0106</v>
      </c>
      <c r="AD1816">
        <v>-1.110010630024</v>
      </c>
      <c r="AE1816">
        <v>-1.6378999999999999</v>
      </c>
      <c r="AF1816">
        <v>-1.4597364208014401</v>
      </c>
      <c r="AG1816">
        <v>-1.110010630024</v>
      </c>
      <c r="AH1816">
        <v>27.976545964349999</v>
      </c>
      <c r="AI1816">
        <v>92.269019281581805</v>
      </c>
      <c r="AJ1816">
        <v>92.986821921368701</v>
      </c>
      <c r="AK1816">
        <v>28.036584637083902</v>
      </c>
      <c r="AL1816">
        <v>88.291178483347394</v>
      </c>
      <c r="AM1816">
        <v>90.349203868697003</v>
      </c>
      <c r="AN1816">
        <v>0.99999998398508205</v>
      </c>
    </row>
    <row r="1817" spans="1:40" x14ac:dyDescent="0.25">
      <c r="A1817" t="str">
        <f>"20190312160635010"</f>
        <v>20190312160635010</v>
      </c>
      <c r="B1817" t="str">
        <f>"1552377995007187"</f>
        <v>1552377995007187</v>
      </c>
      <c r="C1817" t="s">
        <v>40</v>
      </c>
      <c r="D1817">
        <v>6.2618289999999996</v>
      </c>
      <c r="E1817">
        <v>0.52112939999999996</v>
      </c>
      <c r="F1817" t="s">
        <v>66</v>
      </c>
      <c r="G1817">
        <v>-254.65170000000001</v>
      </c>
      <c r="H1817" s="1">
        <v>9.3860249999999996E-7</v>
      </c>
      <c r="I1817">
        <v>281.14120000000003</v>
      </c>
      <c r="J1817">
        <v>-227.55080000000001</v>
      </c>
      <c r="K1817">
        <v>1.110017</v>
      </c>
      <c r="L1817">
        <v>282.70260000000002</v>
      </c>
      <c r="M1817">
        <v>-0.99991149999999995</v>
      </c>
      <c r="N1817">
        <v>0</v>
      </c>
      <c r="O1817">
        <v>-6.2434860000000003E-3</v>
      </c>
      <c r="P1817">
        <v>-0.99978199999999995</v>
      </c>
      <c r="Q1817">
        <v>1.727217E-2</v>
      </c>
      <c r="R1817">
        <v>-1.17456E-2</v>
      </c>
      <c r="S1817">
        <v>-3.0007779999999999</v>
      </c>
      <c r="T1817">
        <v>-0.1224597</v>
      </c>
      <c r="U1817">
        <v>-0.17233280000000001</v>
      </c>
      <c r="V1817">
        <v>-5.5006559999999996E-3</v>
      </c>
      <c r="W1817">
        <v>2.9033699999999999E-2</v>
      </c>
      <c r="X1817">
        <v>0.99956330000000004</v>
      </c>
      <c r="Y1817">
        <v>-5.1062940000000001E-2</v>
      </c>
      <c r="Z1817">
        <v>-7.8614979999999896E-4</v>
      </c>
      <c r="AA1817">
        <v>0.99869509999999995</v>
      </c>
      <c r="AB1817">
        <v>11</v>
      </c>
      <c r="AC1817">
        <v>-27.100899999999999</v>
      </c>
      <c r="AD1817">
        <v>-1.1100160613975001</v>
      </c>
      <c r="AE1817">
        <v>-1.5613999999999899</v>
      </c>
      <c r="AF1817">
        <v>-1.3898299168280901</v>
      </c>
      <c r="AG1817">
        <v>-1.1100160613975001</v>
      </c>
      <c r="AH1817">
        <v>27.064866877991101</v>
      </c>
      <c r="AI1817">
        <v>92.345478440476199</v>
      </c>
      <c r="AJ1817">
        <v>92.939659860859706</v>
      </c>
      <c r="AK1817">
        <v>27.123251685180598</v>
      </c>
      <c r="AL1817">
        <v>88.336257730029502</v>
      </c>
      <c r="AM1817">
        <v>90.315298882989694</v>
      </c>
      <c r="AN1817">
        <v>1.0000000018295001</v>
      </c>
    </row>
    <row r="1818" spans="1:40" x14ac:dyDescent="0.25">
      <c r="A1818" t="str">
        <f>"20190312160635032"</f>
        <v>20190312160635032</v>
      </c>
      <c r="B1818" t="str">
        <f>"1552377995026707"</f>
        <v>1552377995026707</v>
      </c>
      <c r="C1818" t="s">
        <v>40</v>
      </c>
      <c r="D1818">
        <v>6.2655830000000003</v>
      </c>
      <c r="E1818">
        <v>0.52251179999999997</v>
      </c>
      <c r="F1818" t="s">
        <v>66</v>
      </c>
      <c r="G1818">
        <v>-244.5993</v>
      </c>
      <c r="H1818" s="1">
        <v>9.1075639999999995E-7</v>
      </c>
      <c r="I1818">
        <v>283.48329999999999</v>
      </c>
      <c r="J1818">
        <v>-227.65459999999999</v>
      </c>
      <c r="K1818">
        <v>1.110012</v>
      </c>
      <c r="L1818">
        <v>282.702</v>
      </c>
      <c r="M1818">
        <v>-0.99991169999999996</v>
      </c>
      <c r="N1818">
        <v>0</v>
      </c>
      <c r="O1818">
        <v>-6.2076459999999998E-3</v>
      </c>
      <c r="P1818">
        <v>-0.99978120000000004</v>
      </c>
      <c r="Q1818">
        <v>1.7711569999999999E-2</v>
      </c>
      <c r="R1818">
        <v>-1.113833E-2</v>
      </c>
      <c r="S1818">
        <v>-3.0056609999999999</v>
      </c>
      <c r="T1818">
        <v>-0.19569590000000001</v>
      </c>
      <c r="U1818">
        <v>0.13763429999999999</v>
      </c>
      <c r="V1818">
        <v>-4.929592E-3</v>
      </c>
      <c r="W1818">
        <v>2.9459329999999999E-2</v>
      </c>
      <c r="X1818">
        <v>0.99955380000000005</v>
      </c>
      <c r="Y1818">
        <v>5.1821819999999998E-2</v>
      </c>
      <c r="Z1818">
        <v>2.0879480000000001E-3</v>
      </c>
      <c r="AA1818">
        <v>0.99865420000000005</v>
      </c>
      <c r="AB1818">
        <v>11</v>
      </c>
      <c r="AC1818">
        <v>-16.944700000000001</v>
      </c>
      <c r="AD1818">
        <v>-1.1100110892435999</v>
      </c>
      <c r="AE1818">
        <v>0.781299999999987</v>
      </c>
      <c r="AF1818">
        <v>0.88269903222520396</v>
      </c>
      <c r="AG1818">
        <v>-1.1100110892435999</v>
      </c>
      <c r="AH1818">
        <v>16.867294376786202</v>
      </c>
      <c r="AI1818">
        <v>93.759989125261399</v>
      </c>
      <c r="AJ1818">
        <v>87.004330693171596</v>
      </c>
      <c r="AK1818">
        <v>16.926810148190899</v>
      </c>
      <c r="AL1818">
        <v>88.311860447292801</v>
      </c>
      <c r="AM1818">
        <v>90.282568608539293</v>
      </c>
      <c r="AN1818">
        <v>0.99999997604788704</v>
      </c>
    </row>
    <row r="1819" spans="1:40" x14ac:dyDescent="0.25">
      <c r="A1819" t="str">
        <f>"20190312160635054"</f>
        <v>20190312160635054</v>
      </c>
      <c r="B1819" t="str">
        <f>"1552377995046734"</f>
        <v>1552377995046734</v>
      </c>
      <c r="C1819" t="s">
        <v>40</v>
      </c>
      <c r="D1819">
        <v>6.2893359999999996</v>
      </c>
      <c r="E1819">
        <v>0.52239799999999903</v>
      </c>
      <c r="F1819" t="s">
        <v>66</v>
      </c>
      <c r="G1819">
        <v>-243.98419999999999</v>
      </c>
      <c r="H1819" s="1">
        <v>5.8339090000000002E-7</v>
      </c>
      <c r="I1819">
        <v>283.52229999999997</v>
      </c>
      <c r="J1819">
        <v>-227.7603</v>
      </c>
      <c r="K1819">
        <v>1.1100139999999901</v>
      </c>
      <c r="L1819">
        <v>282.70139999999998</v>
      </c>
      <c r="M1819">
        <v>-0.99991200000000002</v>
      </c>
      <c r="N1819">
        <v>0</v>
      </c>
      <c r="O1819">
        <v>-6.1715549999999996E-3</v>
      </c>
      <c r="P1819">
        <v>-0.99978409999999995</v>
      </c>
      <c r="Q1819">
        <v>1.783709E-2</v>
      </c>
      <c r="R1819">
        <v>-1.066402E-2</v>
      </c>
      <c r="S1819">
        <v>-3.0059659999999999</v>
      </c>
      <c r="T1819">
        <v>-0.20433190000000001</v>
      </c>
      <c r="U1819">
        <v>0.151001</v>
      </c>
      <c r="V1819">
        <v>-4.491559E-3</v>
      </c>
      <c r="W1819">
        <v>2.9569910000000001E-2</v>
      </c>
      <c r="X1819">
        <v>0.99955260000000001</v>
      </c>
      <c r="Y1819">
        <v>5.6190190000000001E-2</v>
      </c>
      <c r="Z1819">
        <v>2.3251880000000002E-3</v>
      </c>
      <c r="AA1819">
        <v>0.99841740000000001</v>
      </c>
      <c r="AB1819">
        <v>11</v>
      </c>
      <c r="AC1819">
        <v>-16.223899999999901</v>
      </c>
      <c r="AD1819">
        <v>-1.11001341660909</v>
      </c>
      <c r="AE1819">
        <v>0.82089999999999397</v>
      </c>
      <c r="AF1819">
        <v>0.91673759798197196</v>
      </c>
      <c r="AG1819">
        <v>-1.11001341660909</v>
      </c>
      <c r="AH1819">
        <v>16.1431500243276</v>
      </c>
      <c r="AI1819">
        <v>93.927195922752006</v>
      </c>
      <c r="AJ1819">
        <v>86.749776733348099</v>
      </c>
      <c r="AK1819">
        <v>16.2072153782368</v>
      </c>
      <c r="AL1819">
        <v>88.305521919934506</v>
      </c>
      <c r="AM1819">
        <v>90.257460829996603</v>
      </c>
      <c r="AN1819">
        <v>0.99999997692320897</v>
      </c>
    </row>
    <row r="1820" spans="1:40" x14ac:dyDescent="0.25">
      <c r="A1820" t="str">
        <f>"20190312160635076"</f>
        <v>20190312160635076</v>
      </c>
      <c r="B1820" t="str">
        <f>"1552377995067230"</f>
        <v>1552377995067230</v>
      </c>
      <c r="C1820" t="s">
        <v>40</v>
      </c>
      <c r="D1820">
        <v>6.3070940000000002</v>
      </c>
      <c r="E1820">
        <v>0.522289</v>
      </c>
      <c r="F1820" t="s">
        <v>44</v>
      </c>
      <c r="G1820">
        <v>-228.5907</v>
      </c>
      <c r="H1820">
        <v>1.052753</v>
      </c>
      <c r="I1820">
        <v>282.7432</v>
      </c>
      <c r="J1820">
        <v>-227.8664</v>
      </c>
      <c r="K1820">
        <v>1.1100080000000001</v>
      </c>
      <c r="L1820">
        <v>282.70080000000002</v>
      </c>
      <c r="M1820">
        <v>-0.99991269999999999</v>
      </c>
      <c r="N1820">
        <v>0</v>
      </c>
      <c r="O1820">
        <v>-6.1350190000000002E-3</v>
      </c>
      <c r="P1820">
        <v>-0.99980630000000004</v>
      </c>
      <c r="Q1820">
        <v>1.6965830000000001E-2</v>
      </c>
      <c r="R1820">
        <v>-9.9945269999999996E-3</v>
      </c>
      <c r="S1820">
        <v>-3.0059809999999998</v>
      </c>
      <c r="T1820">
        <v>-0.207201</v>
      </c>
      <c r="U1820">
        <v>0.15148929999999999</v>
      </c>
      <c r="V1820">
        <v>-3.8577500000000001E-3</v>
      </c>
      <c r="W1820">
        <v>2.8668119999999998E-2</v>
      </c>
      <c r="X1820">
        <v>0.99958150000000001</v>
      </c>
      <c r="Y1820">
        <v>5.6310979999999997E-2</v>
      </c>
      <c r="Z1820">
        <v>2.3593809999999998E-3</v>
      </c>
      <c r="AA1820">
        <v>0.99841049999999998</v>
      </c>
      <c r="AB1820">
        <v>11</v>
      </c>
      <c r="AC1820">
        <v>-0.72429999999999894</v>
      </c>
      <c r="AD1820">
        <v>-5.7254999999999799E-2</v>
      </c>
      <c r="AE1820">
        <v>4.23999999999864E-2</v>
      </c>
      <c r="AF1820">
        <v>4.6553196889501901E-2</v>
      </c>
      <c r="AG1820">
        <v>-5.7254999999999799E-2</v>
      </c>
      <c r="AH1820">
        <v>0.71954535481742699</v>
      </c>
      <c r="AI1820">
        <v>94.540049094725205</v>
      </c>
      <c r="AJ1820">
        <v>86.298232803979204</v>
      </c>
      <c r="AK1820">
        <v>0.72331932976035496</v>
      </c>
      <c r="AL1820">
        <v>88.357212574188196</v>
      </c>
      <c r="AM1820">
        <v>90.221124236513702</v>
      </c>
      <c r="AN1820">
        <v>0.99999995924082197</v>
      </c>
    </row>
    <row r="1821" spans="1:40" x14ac:dyDescent="0.25">
      <c r="A1821" t="str">
        <f>"20190312160635098"</f>
        <v>20190312160635098</v>
      </c>
      <c r="B1821" t="str">
        <f>"1552377995086749"</f>
        <v>1552377995086749</v>
      </c>
      <c r="C1821" t="s">
        <v>40</v>
      </c>
      <c r="D1821">
        <v>6.3411589999999904</v>
      </c>
      <c r="E1821">
        <v>0.52255680000000004</v>
      </c>
      <c r="F1821" t="s">
        <v>44</v>
      </c>
      <c r="G1821">
        <v>-228.6842</v>
      </c>
      <c r="H1821">
        <v>1.0517559999999999</v>
      </c>
      <c r="I1821">
        <v>282.74250000000001</v>
      </c>
      <c r="J1821">
        <v>-227.96629999999999</v>
      </c>
      <c r="K1821">
        <v>1.1099939999999999</v>
      </c>
      <c r="L1821">
        <v>282.7002</v>
      </c>
      <c r="M1821">
        <v>-0.99991350000000001</v>
      </c>
      <c r="N1821">
        <v>0</v>
      </c>
      <c r="O1821">
        <v>-6.1005460000000001E-3</v>
      </c>
      <c r="P1821">
        <v>-0.99982979999999999</v>
      </c>
      <c r="Q1821">
        <v>1.5829389999999999E-2</v>
      </c>
      <c r="R1821">
        <v>-9.4869499999999992E-3</v>
      </c>
      <c r="S1821">
        <v>-3.005722</v>
      </c>
      <c r="T1821">
        <v>-0.21428040000000001</v>
      </c>
      <c r="U1821">
        <v>0.1526489</v>
      </c>
      <c r="V1821">
        <v>-3.385037E-3</v>
      </c>
      <c r="W1821">
        <v>2.7486500000000001E-2</v>
      </c>
      <c r="X1821">
        <v>0.99961639999999996</v>
      </c>
      <c r="Y1821">
        <v>5.6654019999999999E-2</v>
      </c>
      <c r="Z1821">
        <v>2.4497299999999998E-3</v>
      </c>
      <c r="AA1821">
        <v>0.99839089999999997</v>
      </c>
      <c r="AB1821">
        <v>11</v>
      </c>
      <c r="AC1821">
        <v>-0.71790000000001397</v>
      </c>
      <c r="AD1821">
        <v>-5.8238000000000199E-2</v>
      </c>
      <c r="AE1821">
        <v>4.2300000000011502E-2</v>
      </c>
      <c r="AF1821">
        <v>4.6374959199430799E-2</v>
      </c>
      <c r="AG1821">
        <v>-5.8238000000000199E-2</v>
      </c>
      <c r="AH1821">
        <v>0.71295293255034398</v>
      </c>
      <c r="AI1821">
        <v>94.660068353576804</v>
      </c>
      <c r="AJ1821">
        <v>86.278363691815102</v>
      </c>
      <c r="AK1821">
        <v>0.716829258273464</v>
      </c>
      <c r="AL1821">
        <v>88.424941117479804</v>
      </c>
      <c r="AM1821">
        <v>90.194022019094504</v>
      </c>
      <c r="AN1821">
        <v>0.99999995665334895</v>
      </c>
    </row>
    <row r="1822" spans="1:40" x14ac:dyDescent="0.25">
      <c r="A1822" t="str">
        <f>"20190312160635121"</f>
        <v>20190312160635121</v>
      </c>
      <c r="B1822" t="str">
        <f>"1552377995117007"</f>
        <v>1552377995117007</v>
      </c>
      <c r="C1822" t="s">
        <v>40</v>
      </c>
      <c r="D1822">
        <v>6.449306</v>
      </c>
      <c r="E1822">
        <v>0.5219878</v>
      </c>
      <c r="F1822" t="s">
        <v>44</v>
      </c>
      <c r="G1822">
        <v>-228.77719999999999</v>
      </c>
      <c r="H1822">
        <v>1.050087</v>
      </c>
      <c r="I1822">
        <v>282.74259999999998</v>
      </c>
      <c r="J1822">
        <v>-228.07849999999999</v>
      </c>
      <c r="K1822">
        <v>1.109974</v>
      </c>
      <c r="L1822">
        <v>282.69959999999998</v>
      </c>
      <c r="M1822">
        <v>-0.99991459999999999</v>
      </c>
      <c r="N1822">
        <v>0</v>
      </c>
      <c r="O1822">
        <v>-6.0612490000000003E-3</v>
      </c>
      <c r="P1822">
        <v>-0.99983149999999998</v>
      </c>
      <c r="Q1822">
        <v>1.538234E-2</v>
      </c>
      <c r="R1822">
        <v>-1.00445E-2</v>
      </c>
      <c r="S1822">
        <v>-3.005493</v>
      </c>
      <c r="T1822">
        <v>-0.2221543</v>
      </c>
      <c r="U1822">
        <v>0.15631099999999901</v>
      </c>
      <c r="V1822">
        <v>-3.9813879999999998E-3</v>
      </c>
      <c r="W1822">
        <v>2.6962179999999999E-2</v>
      </c>
      <c r="X1822">
        <v>0.99962850000000003</v>
      </c>
      <c r="Y1822">
        <v>5.7816960000000001E-2</v>
      </c>
      <c r="Z1822">
        <v>2.579614E-3</v>
      </c>
      <c r="AA1822">
        <v>0.99832390000000004</v>
      </c>
      <c r="AB1822">
        <v>11</v>
      </c>
      <c r="AC1822">
        <v>-0.69870000000000199</v>
      </c>
      <c r="AD1822">
        <v>-5.9887000000000003E-2</v>
      </c>
      <c r="AE1822">
        <v>4.3000000000006297E-2</v>
      </c>
      <c r="AF1822">
        <v>4.6891298982833202E-2</v>
      </c>
      <c r="AG1822">
        <v>-5.9887000000000003E-2</v>
      </c>
      <c r="AH1822">
        <v>0.69335198493907402</v>
      </c>
      <c r="AI1822">
        <v>94.925370136320893</v>
      </c>
      <c r="AJ1822">
        <v>86.130985863951395</v>
      </c>
      <c r="AK1822">
        <v>0.69751144915926</v>
      </c>
      <c r="AL1822">
        <v>88.454993608500004</v>
      </c>
      <c r="AM1822">
        <v>90.228200299203607</v>
      </c>
      <c r="AN1822">
        <v>0.999999974306504</v>
      </c>
    </row>
    <row r="1823" spans="1:40" x14ac:dyDescent="0.25">
      <c r="A1823" t="str">
        <f>"20190312160635145"</f>
        <v>20190312160635145</v>
      </c>
      <c r="B1823" t="str">
        <f>"1552377995136526"</f>
        <v>1552377995136526</v>
      </c>
      <c r="C1823" t="s">
        <v>40</v>
      </c>
      <c r="D1823">
        <v>6.2136149999999999</v>
      </c>
      <c r="E1823">
        <v>0.52195009999999997</v>
      </c>
      <c r="F1823" t="s">
        <v>44</v>
      </c>
      <c r="G1823">
        <v>-228.87090000000001</v>
      </c>
      <c r="H1823">
        <v>1.0490029999999999</v>
      </c>
      <c r="I1823">
        <v>282.73939999999999</v>
      </c>
      <c r="J1823">
        <v>-228.1902</v>
      </c>
      <c r="K1823">
        <v>1.109945</v>
      </c>
      <c r="L1823">
        <v>282.69900000000001</v>
      </c>
      <c r="M1823">
        <v>-0.99991609999999997</v>
      </c>
      <c r="N1823">
        <v>0</v>
      </c>
      <c r="O1823">
        <v>-6.0223289999999999E-3</v>
      </c>
      <c r="P1823">
        <v>-0.99983129999999998</v>
      </c>
      <c r="Q1823">
        <v>1.497191E-2</v>
      </c>
      <c r="R1823">
        <v>-1.0653670000000001E-2</v>
      </c>
      <c r="S1823">
        <v>-3.005585</v>
      </c>
      <c r="T1823">
        <v>-0.23138729999999999</v>
      </c>
      <c r="U1823">
        <v>0.1505127</v>
      </c>
      <c r="V1823">
        <v>-4.630187E-3</v>
      </c>
      <c r="W1823">
        <v>2.6436890000000001E-2</v>
      </c>
      <c r="X1823">
        <v>0.99963970000000002</v>
      </c>
      <c r="Y1823">
        <v>5.5846659999999999E-2</v>
      </c>
      <c r="Z1823">
        <v>2.6078910000000002E-3</v>
      </c>
      <c r="AA1823">
        <v>0.99843599999999999</v>
      </c>
      <c r="AB1823">
        <v>11</v>
      </c>
      <c r="AC1823">
        <v>-0.68070000000000097</v>
      </c>
      <c r="AD1823">
        <v>-6.0942000000000003E-2</v>
      </c>
      <c r="AE1823">
        <v>4.0399999999976899E-2</v>
      </c>
      <c r="AF1823">
        <v>4.4146330479386299E-2</v>
      </c>
      <c r="AG1823">
        <v>-6.0942000000000003E-2</v>
      </c>
      <c r="AH1823">
        <v>0.67505255359278005</v>
      </c>
      <c r="AI1823">
        <v>95.147594716285496</v>
      </c>
      <c r="AJ1823">
        <v>86.258362761672402</v>
      </c>
      <c r="AK1823">
        <v>0.67923396261592195</v>
      </c>
      <c r="AL1823">
        <v>88.485101189095602</v>
      </c>
      <c r="AM1823">
        <v>90.265383894111494</v>
      </c>
      <c r="AN1823">
        <v>0.99999993880030602</v>
      </c>
    </row>
    <row r="1824" spans="1:40" x14ac:dyDescent="0.25">
      <c r="A1824" t="str">
        <f>"20190312160635167"</f>
        <v>20190312160635167</v>
      </c>
      <c r="B1824" t="str">
        <f>"1552377995157023"</f>
        <v>1552377995157023</v>
      </c>
      <c r="C1824" t="s">
        <v>40</v>
      </c>
      <c r="D1824">
        <v>6.5757529999999997</v>
      </c>
      <c r="E1824">
        <v>0.52749569999999901</v>
      </c>
      <c r="F1824" t="s">
        <v>44</v>
      </c>
      <c r="G1824">
        <v>-228.96789999999999</v>
      </c>
      <c r="H1824">
        <v>1.0511699999999999</v>
      </c>
      <c r="I1824">
        <v>282.7373</v>
      </c>
      <c r="J1824">
        <v>-228.2937</v>
      </c>
      <c r="K1824">
        <v>1.1099139999999901</v>
      </c>
      <c r="L1824">
        <v>282.69839999999999</v>
      </c>
      <c r="M1824">
        <v>-0.99991819999999998</v>
      </c>
      <c r="N1824">
        <v>0</v>
      </c>
      <c r="O1824">
        <v>-5.9865169999999898E-3</v>
      </c>
      <c r="P1824">
        <v>-0.99983449999999996</v>
      </c>
      <c r="Q1824">
        <v>1.4594330000000001E-2</v>
      </c>
      <c r="R1824">
        <v>-1.0877899999999999E-2</v>
      </c>
      <c r="S1824">
        <v>-3.0054780000000001</v>
      </c>
      <c r="T1824">
        <v>-0.22718640000000001</v>
      </c>
      <c r="U1824">
        <v>0.14816279999999901</v>
      </c>
      <c r="V1824">
        <v>-4.8900369999999999E-3</v>
      </c>
      <c r="W1824">
        <v>2.5902060000000001E-2</v>
      </c>
      <c r="X1824">
        <v>0.99965250000000005</v>
      </c>
      <c r="Y1824">
        <v>5.5042859999999999E-2</v>
      </c>
      <c r="Z1824">
        <v>2.5277989999999998E-3</v>
      </c>
      <c r="AA1824">
        <v>0.99848079999999995</v>
      </c>
      <c r="AB1824">
        <v>11</v>
      </c>
      <c r="AC1824">
        <v>-0.67419999999998403</v>
      </c>
      <c r="AD1824">
        <v>-5.8743999999999602E-2</v>
      </c>
      <c r="AE1824">
        <v>3.89000000000123E-2</v>
      </c>
      <c r="AF1824">
        <v>4.2613229206192503E-2</v>
      </c>
      <c r="AG1824">
        <v>-5.8743999999999602E-2</v>
      </c>
      <c r="AH1824">
        <v>0.66889371312857204</v>
      </c>
      <c r="AI1824">
        <v>95.008886145777893</v>
      </c>
      <c r="AJ1824">
        <v>86.3547824314238</v>
      </c>
      <c r="AK1824">
        <v>0.67281910221270302</v>
      </c>
      <c r="AL1824">
        <v>88.515755245148</v>
      </c>
      <c r="AM1824">
        <v>90.280273642080104</v>
      </c>
      <c r="AN1824">
        <v>0.99999997496517701</v>
      </c>
    </row>
    <row r="1825" spans="1:40" x14ac:dyDescent="0.25">
      <c r="A1825" t="str">
        <f>"20190312160635210"</f>
        <v>20190312160635210</v>
      </c>
      <c r="B1825" t="str">
        <f>"1552377995206798"</f>
        <v>1552377995206798</v>
      </c>
      <c r="C1825" t="s">
        <v>40</v>
      </c>
      <c r="D1825">
        <v>6.5392679999999999</v>
      </c>
      <c r="E1825">
        <v>0.56433049999999996</v>
      </c>
      <c r="F1825" t="s">
        <v>44</v>
      </c>
      <c r="G1825">
        <v>-229.0102</v>
      </c>
      <c r="H1825">
        <v>0.94883629999999997</v>
      </c>
      <c r="I1825">
        <v>282.74610000000001</v>
      </c>
      <c r="J1825">
        <v>-228.50020000000001</v>
      </c>
      <c r="K1825">
        <v>1.1098300000000001</v>
      </c>
      <c r="L1825">
        <v>282.69729999999998</v>
      </c>
      <c r="M1825">
        <v>-0.99992360000000002</v>
      </c>
      <c r="N1825">
        <v>0</v>
      </c>
      <c r="O1825">
        <v>-5.9145069999999899E-3</v>
      </c>
      <c r="P1825">
        <v>-0.99983789999999995</v>
      </c>
      <c r="Q1825">
        <v>1.4417050000000001E-2</v>
      </c>
      <c r="R1825">
        <v>-1.0785589999999999E-2</v>
      </c>
      <c r="S1825">
        <v>-3.0125730000000002</v>
      </c>
      <c r="T1825">
        <v>-0.67742590000000003</v>
      </c>
      <c r="U1825">
        <v>0.1998596</v>
      </c>
      <c r="V1825">
        <v>-4.870096E-3</v>
      </c>
      <c r="W1825">
        <v>2.5267120000000001E-2</v>
      </c>
      <c r="X1825">
        <v>0.99966889999999997</v>
      </c>
      <c r="Y1825">
        <v>7.0204349999999999E-2</v>
      </c>
      <c r="Z1825">
        <v>9.1000260000000006E-3</v>
      </c>
      <c r="AA1825">
        <v>0.99749109999999996</v>
      </c>
      <c r="AB1825">
        <v>11</v>
      </c>
      <c r="AC1825">
        <v>-0.50999999999999002</v>
      </c>
      <c r="AD1825">
        <v>-0.16099369999999899</v>
      </c>
      <c r="AE1825">
        <v>4.88000000000283E-2</v>
      </c>
      <c r="AF1825">
        <v>4.7158967004290703E-2</v>
      </c>
      <c r="AG1825">
        <v>-0.16099369999999899</v>
      </c>
      <c r="AH1825">
        <v>0.46389472224913703</v>
      </c>
      <c r="AI1825">
        <v>109.048176722782</v>
      </c>
      <c r="AJ1825">
        <v>84.195322857986596</v>
      </c>
      <c r="AK1825">
        <v>0.49329631352687597</v>
      </c>
      <c r="AL1825">
        <v>88.552146617158996</v>
      </c>
      <c r="AM1825">
        <v>90.279126157821395</v>
      </c>
      <c r="AN1825">
        <v>1.0000000274076699</v>
      </c>
    </row>
    <row r="1826" spans="1:40" x14ac:dyDescent="0.25">
      <c r="A1826" t="str">
        <f>"20190312160635234"</f>
        <v>20190312160635234</v>
      </c>
      <c r="B1826" t="str">
        <f>"1552377995227293"</f>
        <v>1552377995227293</v>
      </c>
      <c r="C1826" t="s">
        <v>40</v>
      </c>
      <c r="D1826">
        <v>6.4699280000000003</v>
      </c>
      <c r="E1826">
        <v>0.56619949999999997</v>
      </c>
      <c r="F1826" t="s">
        <v>44</v>
      </c>
      <c r="G1826">
        <v>-229.1241</v>
      </c>
      <c r="H1826">
        <v>0.75945879999999999</v>
      </c>
      <c r="I1826">
        <v>282.80290000000002</v>
      </c>
      <c r="J1826">
        <v>-228.6138</v>
      </c>
      <c r="K1826">
        <v>1.1097790000000001</v>
      </c>
      <c r="L1826">
        <v>282.69670000000002</v>
      </c>
      <c r="M1826">
        <v>-0.99992709999999996</v>
      </c>
      <c r="N1826">
        <v>0</v>
      </c>
      <c r="O1826">
        <v>-5.8751799999999998E-3</v>
      </c>
      <c r="P1826">
        <v>-0.99982260000000001</v>
      </c>
      <c r="Q1826">
        <v>1.5403129999999999E-2</v>
      </c>
      <c r="R1826">
        <v>-1.086517E-2</v>
      </c>
      <c r="S1826">
        <v>-3.030548</v>
      </c>
      <c r="T1826">
        <v>-1.7016450000000001</v>
      </c>
      <c r="U1826">
        <v>0.51211549999999995</v>
      </c>
      <c r="V1826">
        <v>-4.9887000000000004E-3</v>
      </c>
      <c r="W1826">
        <v>2.5962599999999999E-2</v>
      </c>
      <c r="X1826">
        <v>0.9996505</v>
      </c>
      <c r="Y1826">
        <v>0.15009739999999999</v>
      </c>
      <c r="Z1826">
        <v>4.2088059999999997E-2</v>
      </c>
      <c r="AA1826">
        <v>0.98777499999999996</v>
      </c>
      <c r="AB1826">
        <v>11</v>
      </c>
      <c r="AC1826">
        <v>-0.51029999999999998</v>
      </c>
      <c r="AD1826">
        <v>-0.35032020000000003</v>
      </c>
      <c r="AE1826">
        <v>0.106200000000001</v>
      </c>
      <c r="AF1826">
        <v>7.5218871942170806E-2</v>
      </c>
      <c r="AG1826">
        <v>-0.35032020000000003</v>
      </c>
      <c r="AH1826">
        <v>0.351079151479951</v>
      </c>
      <c r="AI1826">
        <v>134.29520277545799</v>
      </c>
      <c r="AJ1826">
        <v>77.907173829518598</v>
      </c>
      <c r="AK1826">
        <v>0.50163601528217105</v>
      </c>
      <c r="AL1826">
        <v>88.512285477926099</v>
      </c>
      <c r="AM1826">
        <v>90.285929014649994</v>
      </c>
      <c r="AN1826">
        <v>1.0000000329383401</v>
      </c>
    </row>
    <row r="1827" spans="1:40" x14ac:dyDescent="0.25">
      <c r="A1827" t="str">
        <f>"20190312160635256"</f>
        <v>20190312160635256</v>
      </c>
      <c r="B1827" t="str">
        <f>"1552377995246814"</f>
        <v>1552377995246814</v>
      </c>
      <c r="C1827" t="s">
        <v>40</v>
      </c>
      <c r="D1827">
        <v>6.3784489999999998</v>
      </c>
      <c r="E1827">
        <v>0.56092439999999999</v>
      </c>
      <c r="F1827" t="s">
        <v>44</v>
      </c>
      <c r="G1827">
        <v>-229.2287</v>
      </c>
      <c r="H1827">
        <v>0.77869250000000001</v>
      </c>
      <c r="I1827">
        <v>282.8039</v>
      </c>
      <c r="J1827">
        <v>-228.72290000000001</v>
      </c>
      <c r="K1827">
        <v>1.1097429999999999</v>
      </c>
      <c r="L1827">
        <v>282.6961</v>
      </c>
      <c r="M1827">
        <v>-0.99993010000000004</v>
      </c>
      <c r="N1827">
        <v>0</v>
      </c>
      <c r="O1827">
        <v>-5.8368500000000002E-3</v>
      </c>
      <c r="P1827">
        <v>-0.99981759999999997</v>
      </c>
      <c r="Q1827">
        <v>1.582414E-2</v>
      </c>
      <c r="R1827">
        <v>-1.072441E-2</v>
      </c>
      <c r="S1827">
        <v>-3.0314329999999998</v>
      </c>
      <c r="T1827">
        <v>-1.6322159999999999</v>
      </c>
      <c r="U1827">
        <v>0.52825929999999999</v>
      </c>
      <c r="V1827">
        <v>-4.8861970000000001E-3</v>
      </c>
      <c r="W1827">
        <v>2.6116090000000002E-2</v>
      </c>
      <c r="X1827">
        <v>0.99964699999999995</v>
      </c>
      <c r="Y1827">
        <v>0.15605050000000001</v>
      </c>
      <c r="Z1827">
        <v>4.2023049999999999E-2</v>
      </c>
      <c r="AA1827">
        <v>0.98685469999999997</v>
      </c>
      <c r="AB1827">
        <v>11</v>
      </c>
      <c r="AC1827">
        <v>-0.50579999999999303</v>
      </c>
      <c r="AD1827">
        <v>-0.33105049999999903</v>
      </c>
      <c r="AE1827">
        <v>0.107799999999997</v>
      </c>
      <c r="AF1827">
        <v>7.8559419244685402E-2</v>
      </c>
      <c r="AG1827">
        <v>-0.33105049999999903</v>
      </c>
      <c r="AH1827">
        <v>0.35832983970055698</v>
      </c>
      <c r="AI1827">
        <v>132.064277937649</v>
      </c>
      <c r="AJ1827">
        <v>77.634246922539404</v>
      </c>
      <c r="AK1827">
        <v>0.49413185479397997</v>
      </c>
      <c r="AL1827">
        <v>88.503488153889705</v>
      </c>
      <c r="AM1827">
        <v>90.280055095880996</v>
      </c>
      <c r="AN1827">
        <v>1.0000000248434999</v>
      </c>
    </row>
    <row r="1828" spans="1:40" x14ac:dyDescent="0.25">
      <c r="A1828" t="str">
        <f>"20190312160635277"</f>
        <v>20190312160635277</v>
      </c>
      <c r="B1828" t="str">
        <f>"1552377995267311"</f>
        <v>1552377995267311</v>
      </c>
      <c r="C1828" t="s">
        <v>40</v>
      </c>
      <c r="D1828">
        <v>6.3869769999999999</v>
      </c>
      <c r="E1828">
        <v>0.55761859999999996</v>
      </c>
      <c r="F1828" t="s">
        <v>44</v>
      </c>
      <c r="G1828">
        <v>-229.45820000000001</v>
      </c>
      <c r="H1828">
        <v>0.86259079999999999</v>
      </c>
      <c r="I1828">
        <v>282.81150000000002</v>
      </c>
      <c r="J1828">
        <v>-228.82830000000001</v>
      </c>
      <c r="K1828">
        <v>1.109715</v>
      </c>
      <c r="L1828">
        <v>282.69549999999998</v>
      </c>
      <c r="M1828">
        <v>-0.99993270000000001</v>
      </c>
      <c r="N1828">
        <v>0</v>
      </c>
      <c r="O1828">
        <v>-5.8002679999999999E-3</v>
      </c>
      <c r="P1828">
        <v>-0.9998224</v>
      </c>
      <c r="Q1828">
        <v>1.57255E-2</v>
      </c>
      <c r="R1828">
        <v>-1.0400919999999999E-2</v>
      </c>
      <c r="S1828">
        <v>-3.0216980000000002</v>
      </c>
      <c r="T1828">
        <v>-1.0155989999999999</v>
      </c>
      <c r="U1828">
        <v>0.4738464</v>
      </c>
      <c r="V1828">
        <v>-4.5992809999999898E-3</v>
      </c>
      <c r="W1828">
        <v>2.578337E-2</v>
      </c>
      <c r="X1828">
        <v>0.99965700000000002</v>
      </c>
      <c r="Y1828">
        <v>0.15216679999999999</v>
      </c>
      <c r="Z1828">
        <v>2.663511E-2</v>
      </c>
      <c r="AA1828">
        <v>0.98799590000000004</v>
      </c>
      <c r="AB1828">
        <v>11</v>
      </c>
      <c r="AC1828">
        <v>-0.62989999999999202</v>
      </c>
      <c r="AD1828">
        <v>-0.24712419999999899</v>
      </c>
      <c r="AE1828">
        <v>0.116000000000042</v>
      </c>
      <c r="AF1828">
        <v>0.10414752477478301</v>
      </c>
      <c r="AG1828">
        <v>-0.24712419999999899</v>
      </c>
      <c r="AH1828">
        <v>0.54768363757266403</v>
      </c>
      <c r="AI1828">
        <v>113.90644851867</v>
      </c>
      <c r="AJ1828">
        <v>79.233184826790094</v>
      </c>
      <c r="AK1828">
        <v>0.60981509001268497</v>
      </c>
      <c r="AL1828">
        <v>88.522558029659393</v>
      </c>
      <c r="AM1828">
        <v>90.263607948260102</v>
      </c>
      <c r="AN1828">
        <v>1.00000002660163</v>
      </c>
    </row>
    <row r="1829" spans="1:40" x14ac:dyDescent="0.25">
      <c r="A1829" t="str">
        <f>"20190312160635299"</f>
        <v>20190312160635299</v>
      </c>
      <c r="B1829" t="str">
        <f>"1552377995296590"</f>
        <v>1552377995296590</v>
      </c>
      <c r="C1829" t="s">
        <v>40</v>
      </c>
      <c r="D1829">
        <v>6.2467110000000003</v>
      </c>
      <c r="E1829">
        <v>0.55388340000000003</v>
      </c>
      <c r="F1829" t="s">
        <v>44</v>
      </c>
      <c r="G1829">
        <v>-229.56790000000001</v>
      </c>
      <c r="H1829">
        <v>0.88950560000000001</v>
      </c>
      <c r="I1829">
        <v>282.8048</v>
      </c>
      <c r="J1829">
        <v>-228.93620000000001</v>
      </c>
      <c r="K1829">
        <v>1.1096919999999999</v>
      </c>
      <c r="L1829">
        <v>282.69499999999999</v>
      </c>
      <c r="M1829">
        <v>-0.99993500000000002</v>
      </c>
      <c r="N1829">
        <v>0</v>
      </c>
      <c r="O1829">
        <v>-5.7623889999999997E-3</v>
      </c>
      <c r="P1829">
        <v>-0.99982510000000002</v>
      </c>
      <c r="Q1829">
        <v>1.5949519999999998E-2</v>
      </c>
      <c r="R1829">
        <v>-9.7793800000000007E-3</v>
      </c>
      <c r="S1829">
        <v>-3.0193180000000002</v>
      </c>
      <c r="T1829">
        <v>-0.89902380000000004</v>
      </c>
      <c r="U1829">
        <v>0.4458008</v>
      </c>
      <c r="V1829">
        <v>-4.0158310000000001E-3</v>
      </c>
      <c r="W1829">
        <v>2.5795289999999998E-2</v>
      </c>
      <c r="X1829">
        <v>0.99965919999999997</v>
      </c>
      <c r="Y1829">
        <v>0.1453438</v>
      </c>
      <c r="Z1829">
        <v>2.2743030000000001E-2</v>
      </c>
      <c r="AA1829">
        <v>0.98911979999999999</v>
      </c>
      <c r="AB1829">
        <v>11</v>
      </c>
      <c r="AC1829">
        <v>-0.63169999999999504</v>
      </c>
      <c r="AD1829">
        <v>-0.22018639999999901</v>
      </c>
      <c r="AE1829">
        <v>0.109800000000006</v>
      </c>
      <c r="AF1829">
        <v>0.10147167313560899</v>
      </c>
      <c r="AG1829">
        <v>-0.22018639999999901</v>
      </c>
      <c r="AH1829">
        <v>0.56448570976263102</v>
      </c>
      <c r="AI1829">
        <v>111.00239752212499</v>
      </c>
      <c r="AJ1829">
        <v>79.809373611731701</v>
      </c>
      <c r="AK1829">
        <v>0.61434735103206894</v>
      </c>
      <c r="AL1829">
        <v>88.521874827017399</v>
      </c>
      <c r="AM1829">
        <v>90.230167370865999</v>
      </c>
      <c r="AN1829">
        <v>1.0000000200147201</v>
      </c>
    </row>
    <row r="1830" spans="1:40" x14ac:dyDescent="0.25">
      <c r="A1830" t="str">
        <f>"20190312160635321"</f>
        <v>20190312160635321</v>
      </c>
      <c r="B1830" t="str">
        <f>"1552377995317086"</f>
        <v>1552377995317086</v>
      </c>
      <c r="C1830" t="s">
        <v>40</v>
      </c>
      <c r="D1830">
        <v>6.4260440000000001</v>
      </c>
      <c r="E1830">
        <v>0.5540775</v>
      </c>
      <c r="F1830" t="s">
        <v>44</v>
      </c>
      <c r="G1830">
        <v>-229.67930000000001</v>
      </c>
      <c r="H1830">
        <v>0.91895369999999998</v>
      </c>
      <c r="I1830">
        <v>282.79730000000001</v>
      </c>
      <c r="J1830">
        <v>-229.05</v>
      </c>
      <c r="K1830">
        <v>1.109674</v>
      </c>
      <c r="L1830">
        <v>282.69439999999997</v>
      </c>
      <c r="M1830">
        <v>-0.99993710000000002</v>
      </c>
      <c r="N1830">
        <v>0</v>
      </c>
      <c r="O1830">
        <v>-5.7229409999999996E-3</v>
      </c>
      <c r="P1830">
        <v>-0.99982340000000003</v>
      </c>
      <c r="Q1830">
        <v>1.6089450000000002E-2</v>
      </c>
      <c r="R1830">
        <v>-9.7242500000000003E-3</v>
      </c>
      <c r="S1830">
        <v>-3.016937</v>
      </c>
      <c r="T1830">
        <v>-0.77442040000000001</v>
      </c>
      <c r="U1830">
        <v>0.41525269999999997</v>
      </c>
      <c r="V1830">
        <v>-4.0005830000000003E-3</v>
      </c>
      <c r="W1830">
        <v>2.5738560000000001E-2</v>
      </c>
      <c r="X1830">
        <v>0.99966069999999996</v>
      </c>
      <c r="Y1830">
        <v>0.13746439999999999</v>
      </c>
      <c r="Z1830">
        <v>1.8723159999999999E-2</v>
      </c>
      <c r="AA1830">
        <v>0.99032969999999998</v>
      </c>
      <c r="AB1830">
        <v>11</v>
      </c>
      <c r="AC1830">
        <v>-0.62929999999999997</v>
      </c>
      <c r="AD1830">
        <v>-0.19072030000000001</v>
      </c>
      <c r="AE1830">
        <v>0.10290000000003301</v>
      </c>
      <c r="AF1830">
        <v>9.7754966968443296E-2</v>
      </c>
      <c r="AG1830">
        <v>-0.19072030000000001</v>
      </c>
      <c r="AH1830">
        <v>0.57707666174765304</v>
      </c>
      <c r="AI1830">
        <v>108.048289088722</v>
      </c>
      <c r="AJ1830">
        <v>80.385545472598395</v>
      </c>
      <c r="AK1830">
        <v>0.61558731300515501</v>
      </c>
      <c r="AL1830">
        <v>88.525126261587502</v>
      </c>
      <c r="AM1830">
        <v>90.229293096976605</v>
      </c>
      <c r="AN1830">
        <v>0.99999999662985095</v>
      </c>
    </row>
    <row r="1831" spans="1:40" x14ac:dyDescent="0.25">
      <c r="A1831" t="str">
        <f>"20190312160635346"</f>
        <v>20190312160635346</v>
      </c>
      <c r="B1831" t="str">
        <f>"1552377995336606"</f>
        <v>1552377995336606</v>
      </c>
      <c r="C1831" t="s">
        <v>40</v>
      </c>
      <c r="D1831">
        <v>6.4939929999999997</v>
      </c>
      <c r="E1831">
        <v>0.55545</v>
      </c>
      <c r="F1831" t="s">
        <v>44</v>
      </c>
      <c r="G1831">
        <v>-229.78399999999999</v>
      </c>
      <c r="H1831">
        <v>0.93004439999999999</v>
      </c>
      <c r="I1831">
        <v>282.79599999999999</v>
      </c>
      <c r="J1831">
        <v>-229.17009999999999</v>
      </c>
      <c r="K1831">
        <v>1.1096619999999999</v>
      </c>
      <c r="L1831">
        <v>282.69369999999998</v>
      </c>
      <c r="M1831">
        <v>-0.99993900000000002</v>
      </c>
      <c r="N1831">
        <v>0</v>
      </c>
      <c r="O1831">
        <v>-5.6813410000000003E-3</v>
      </c>
      <c r="P1831">
        <v>-0.99983350000000004</v>
      </c>
      <c r="Q1831">
        <v>1.5789210000000001E-2</v>
      </c>
      <c r="R1831">
        <v>-9.1738940000000001E-3</v>
      </c>
      <c r="S1831">
        <v>-3.0164789999999999</v>
      </c>
      <c r="T1831">
        <v>-0.73826550000000002</v>
      </c>
      <c r="U1831">
        <v>0.41659550000000001</v>
      </c>
      <c r="V1831">
        <v>-3.4915359999999999E-3</v>
      </c>
      <c r="W1831">
        <v>2.526283E-2</v>
      </c>
      <c r="X1831">
        <v>0.99967470000000003</v>
      </c>
      <c r="Y1831">
        <v>0.1382631</v>
      </c>
      <c r="Z1831">
        <v>1.7962309999999999E-2</v>
      </c>
      <c r="AA1831">
        <v>0.99023260000000002</v>
      </c>
      <c r="AB1831">
        <v>11</v>
      </c>
      <c r="AC1831">
        <v>-0.61390000000002898</v>
      </c>
      <c r="AD1831">
        <v>-0.17961759999999999</v>
      </c>
      <c r="AE1831">
        <v>0.10230000000001301</v>
      </c>
      <c r="AF1831">
        <v>9.7652534105071506E-2</v>
      </c>
      <c r="AG1831">
        <v>-0.17961759999999999</v>
      </c>
      <c r="AH1831">
        <v>0.56615247708704897</v>
      </c>
      <c r="AI1831">
        <v>107.36151410162699</v>
      </c>
      <c r="AJ1831">
        <v>80.213658054969002</v>
      </c>
      <c r="AK1831">
        <v>0.60193614857283995</v>
      </c>
      <c r="AL1831">
        <v>88.552392387682602</v>
      </c>
      <c r="AM1831">
        <v>90.200114560635399</v>
      </c>
      <c r="AN1831">
        <v>0.99999995361166805</v>
      </c>
    </row>
    <row r="1832" spans="1:40" x14ac:dyDescent="0.25">
      <c r="A1832" t="str">
        <f>"20190312160635368"</f>
        <v>20190312160635368</v>
      </c>
      <c r="B1832" t="str">
        <f>"1552377995357102"</f>
        <v>1552377995357102</v>
      </c>
      <c r="C1832" t="s">
        <v>40</v>
      </c>
      <c r="D1832">
        <v>6.4426059999999996</v>
      </c>
      <c r="E1832">
        <v>0.55572860000000002</v>
      </c>
      <c r="F1832" t="s">
        <v>44</v>
      </c>
      <c r="G1832">
        <v>-229.88550000000001</v>
      </c>
      <c r="H1832">
        <v>0.93314699999999995</v>
      </c>
      <c r="I1832">
        <v>282.79539999999997</v>
      </c>
      <c r="J1832">
        <v>-229.28120000000001</v>
      </c>
      <c r="K1832">
        <v>1.109653</v>
      </c>
      <c r="L1832">
        <v>282.69310000000002</v>
      </c>
      <c r="M1832">
        <v>-0.99994050000000001</v>
      </c>
      <c r="N1832">
        <v>0</v>
      </c>
      <c r="O1832">
        <v>-5.6431679999999996E-3</v>
      </c>
      <c r="P1832">
        <v>-0.99984779999999995</v>
      </c>
      <c r="Q1832">
        <v>1.531909E-2</v>
      </c>
      <c r="R1832">
        <v>-8.3612269999999902E-3</v>
      </c>
      <c r="S1832">
        <v>-3.0161899999999999</v>
      </c>
      <c r="T1832">
        <v>-0.74413629999999997</v>
      </c>
      <c r="U1832">
        <v>0.42883300000000002</v>
      </c>
      <c r="V1832">
        <v>-2.7164910000000001E-3</v>
      </c>
      <c r="W1832">
        <v>2.4658869999999999E-2</v>
      </c>
      <c r="X1832">
        <v>0.99969229999999998</v>
      </c>
      <c r="Y1832">
        <v>0.14200489999999999</v>
      </c>
      <c r="Z1832">
        <v>1.8541229999999999E-2</v>
      </c>
      <c r="AA1832">
        <v>0.98969229999999997</v>
      </c>
      <c r="AB1832">
        <v>11</v>
      </c>
      <c r="AC1832">
        <v>-0.60429999999999495</v>
      </c>
      <c r="AD1832">
        <v>-0.176506</v>
      </c>
      <c r="AE1832">
        <v>0.102299999999956</v>
      </c>
      <c r="AF1832">
        <v>9.7613055946636607E-2</v>
      </c>
      <c r="AG1832">
        <v>-0.176506</v>
      </c>
      <c r="AH1832">
        <v>0.55747808931666998</v>
      </c>
      <c r="AI1832">
        <v>107.32115394407199</v>
      </c>
      <c r="AJ1832">
        <v>80.068330632433302</v>
      </c>
      <c r="AK1832">
        <v>0.59284441196270599</v>
      </c>
      <c r="AL1832">
        <v>88.587007694030206</v>
      </c>
      <c r="AM1832">
        <v>90.155690992421796</v>
      </c>
      <c r="AN1832">
        <v>1.00000006693615</v>
      </c>
    </row>
    <row r="1833" spans="1:40" x14ac:dyDescent="0.25">
      <c r="A1833" t="str">
        <f>"20190312160635390"</f>
        <v>20190312160635390</v>
      </c>
      <c r="B1833" t="str">
        <f>"1552377995386382"</f>
        <v>1552377995386382</v>
      </c>
      <c r="C1833" t="s">
        <v>40</v>
      </c>
      <c r="D1833">
        <v>7.7504839999999904</v>
      </c>
      <c r="E1833">
        <v>0.55524640000000003</v>
      </c>
      <c r="F1833" t="s">
        <v>44</v>
      </c>
      <c r="G1833">
        <v>-229.98869999999999</v>
      </c>
      <c r="H1833">
        <v>0.93870889999999996</v>
      </c>
      <c r="I1833">
        <v>282.79469999999998</v>
      </c>
      <c r="J1833">
        <v>-229.3877</v>
      </c>
      <c r="K1833">
        <v>1.109656</v>
      </c>
      <c r="L1833">
        <v>282.69260000000003</v>
      </c>
      <c r="M1833">
        <v>-0.99994170000000004</v>
      </c>
      <c r="N1833">
        <v>0</v>
      </c>
      <c r="O1833">
        <v>-5.6062389999999998E-3</v>
      </c>
      <c r="P1833">
        <v>-0.99986319999999995</v>
      </c>
      <c r="Q1833">
        <v>1.463325E-2</v>
      </c>
      <c r="R1833">
        <v>-7.7364139999999996E-3</v>
      </c>
      <c r="S1833">
        <v>-3.015228</v>
      </c>
      <c r="T1833">
        <v>-0.72865530000000001</v>
      </c>
      <c r="U1833">
        <v>0.43200680000000002</v>
      </c>
      <c r="V1833">
        <v>-2.1287720000000001E-3</v>
      </c>
      <c r="W1833">
        <v>2.3875179999999999E-2</v>
      </c>
      <c r="X1833">
        <v>0.99971270000000001</v>
      </c>
      <c r="Y1833">
        <v>0.14317569999999999</v>
      </c>
      <c r="Z1833">
        <v>1.8300540000000001E-2</v>
      </c>
      <c r="AA1833">
        <v>0.98952810000000002</v>
      </c>
      <c r="AB1833">
        <v>11</v>
      </c>
      <c r="AC1833">
        <v>-0.60099999999999898</v>
      </c>
      <c r="AD1833">
        <v>-0.17094709999999999</v>
      </c>
      <c r="AE1833">
        <v>0.10209999999994999</v>
      </c>
      <c r="AF1833">
        <v>9.7778998301708497E-2</v>
      </c>
      <c r="AG1833">
        <v>-0.17094709999999999</v>
      </c>
      <c r="AH1833">
        <v>0.55664605083470298</v>
      </c>
      <c r="AI1833">
        <v>106.82904231498701</v>
      </c>
      <c r="AJ1833">
        <v>80.037211554553195</v>
      </c>
      <c r="AK1833">
        <v>0.590456153678803</v>
      </c>
      <c r="AL1833">
        <v>88.631922983339294</v>
      </c>
      <c r="AM1833">
        <v>90.122004518696301</v>
      </c>
      <c r="AN1833">
        <v>1.0000000192157701</v>
      </c>
    </row>
    <row r="1834" spans="1:40" x14ac:dyDescent="0.25">
      <c r="A1834" t="str">
        <f>"20190312160635411"</f>
        <v>20190312160635411</v>
      </c>
      <c r="B1834" t="str">
        <f>"1552377995406878"</f>
        <v>1552377995406878</v>
      </c>
      <c r="C1834" t="s">
        <v>40</v>
      </c>
      <c r="D1834">
        <v>6.188059</v>
      </c>
      <c r="E1834">
        <v>0.55414629999999998</v>
      </c>
      <c r="F1834" t="s">
        <v>44</v>
      </c>
      <c r="G1834">
        <v>-230.09289999999999</v>
      </c>
      <c r="H1834">
        <v>0.94572650000000003</v>
      </c>
      <c r="I1834">
        <v>282.79320000000001</v>
      </c>
      <c r="J1834">
        <v>-229.49879999999999</v>
      </c>
      <c r="K1834">
        <v>1.1096649999999999</v>
      </c>
      <c r="L1834">
        <v>282.69200000000001</v>
      </c>
      <c r="M1834">
        <v>-0.99994260000000001</v>
      </c>
      <c r="N1834">
        <v>0</v>
      </c>
      <c r="O1834">
        <v>-5.5678630000000002E-3</v>
      </c>
      <c r="P1834">
        <v>-0.99985690000000005</v>
      </c>
      <c r="Q1834">
        <v>1.499022E-2</v>
      </c>
      <c r="R1834">
        <v>-7.8614210000000004E-3</v>
      </c>
      <c r="S1834">
        <v>-3.0140229999999999</v>
      </c>
      <c r="T1834">
        <v>-0.70062119999999894</v>
      </c>
      <c r="U1834">
        <v>0.4291992</v>
      </c>
      <c r="V1834">
        <v>-2.292264E-3</v>
      </c>
      <c r="W1834">
        <v>2.4154999999999999E-2</v>
      </c>
      <c r="X1834">
        <v>0.99970559999999997</v>
      </c>
      <c r="Y1834">
        <v>0.14261480000000001</v>
      </c>
      <c r="Z1834">
        <v>1.7549929999999998E-2</v>
      </c>
      <c r="AA1834">
        <v>0.98962269999999997</v>
      </c>
      <c r="AB1834">
        <v>11</v>
      </c>
      <c r="AC1834">
        <v>-0.59409999999999696</v>
      </c>
      <c r="AD1834">
        <v>-0.16393849999999999</v>
      </c>
      <c r="AE1834">
        <v>0.10120000000000499</v>
      </c>
      <c r="AF1834">
        <v>9.7305979761948699E-2</v>
      </c>
      <c r="AG1834">
        <v>-0.16393849999999999</v>
      </c>
      <c r="AH1834">
        <v>0.55263347292392395</v>
      </c>
      <c r="AI1834">
        <v>106.286003800419</v>
      </c>
      <c r="AJ1834">
        <v>80.013898007668004</v>
      </c>
      <c r="AK1834">
        <v>0.58459220049162497</v>
      </c>
      <c r="AL1834">
        <v>88.615885830378602</v>
      </c>
      <c r="AM1834">
        <v>90.131375499506305</v>
      </c>
      <c r="AN1834">
        <v>1.0000000025853</v>
      </c>
    </row>
    <row r="1835" spans="1:40" x14ac:dyDescent="0.25">
      <c r="A1835" t="str">
        <f>"20190312160635434"</f>
        <v>20190312160635434</v>
      </c>
      <c r="B1835" t="str">
        <f>"1552377995426399"</f>
        <v>1552377995426399</v>
      </c>
      <c r="C1835" t="s">
        <v>40</v>
      </c>
      <c r="D1835">
        <v>6.2737059999999998</v>
      </c>
      <c r="E1835">
        <v>0.55338160000000003</v>
      </c>
      <c r="F1835" t="s">
        <v>44</v>
      </c>
      <c r="G1835">
        <v>-230.1978</v>
      </c>
      <c r="H1835">
        <v>0.95320340000000003</v>
      </c>
      <c r="I1835">
        <v>282.78980000000001</v>
      </c>
      <c r="J1835">
        <v>-229.61539999999999</v>
      </c>
      <c r="K1835">
        <v>1.109674</v>
      </c>
      <c r="L1835">
        <v>282.69139999999999</v>
      </c>
      <c r="M1835">
        <v>-0.99994320000000003</v>
      </c>
      <c r="N1835">
        <v>0</v>
      </c>
      <c r="O1835">
        <v>-5.527311E-3</v>
      </c>
      <c r="P1835">
        <v>-0.9998513</v>
      </c>
      <c r="Q1835">
        <v>1.551687E-2</v>
      </c>
      <c r="R1835">
        <v>-7.5394999999999898E-3</v>
      </c>
      <c r="S1835">
        <v>-3.0138400000000001</v>
      </c>
      <c r="T1835">
        <v>-0.67464749999999996</v>
      </c>
      <c r="U1835">
        <v>0.42077639999999999</v>
      </c>
      <c r="V1835">
        <v>-2.0109899999999998E-3</v>
      </c>
      <c r="W1835">
        <v>2.4624549999999999E-2</v>
      </c>
      <c r="X1835">
        <v>0.99969479999999999</v>
      </c>
      <c r="Y1835">
        <v>0.14020669999999999</v>
      </c>
      <c r="Z1835">
        <v>1.6645320000000002E-2</v>
      </c>
      <c r="AA1835">
        <v>0.98998229999999998</v>
      </c>
      <c r="AB1835">
        <v>11</v>
      </c>
      <c r="AC1835">
        <v>-0.58240000000000602</v>
      </c>
      <c r="AD1835">
        <v>-0.15647059999999999</v>
      </c>
      <c r="AE1835">
        <v>9.8400000000026397E-2</v>
      </c>
      <c r="AF1835">
        <v>9.4954079700162605E-2</v>
      </c>
      <c r="AG1835">
        <v>-0.15647059999999999</v>
      </c>
      <c r="AH1835">
        <v>0.54369214170121205</v>
      </c>
      <c r="AI1835">
        <v>105.828113385248</v>
      </c>
      <c r="AJ1835">
        <v>80.093392534250995</v>
      </c>
      <c r="AK1835">
        <v>0.57367279076466204</v>
      </c>
      <c r="AL1835">
        <v>88.588974662446901</v>
      </c>
      <c r="AM1835">
        <v>90.115256260437903</v>
      </c>
      <c r="AN1835">
        <v>1.0000000528452599</v>
      </c>
    </row>
    <row r="1836" spans="1:40" x14ac:dyDescent="0.25">
      <c r="A1836" t="str">
        <f>"20190312160635456"</f>
        <v>20190312160635456</v>
      </c>
      <c r="B1836" t="str">
        <f>"1552377995446896"</f>
        <v>1552377995446896</v>
      </c>
      <c r="C1836" t="s">
        <v>40</v>
      </c>
      <c r="D1836">
        <v>6.2773779999999997</v>
      </c>
      <c r="E1836">
        <v>0.55325489999999999</v>
      </c>
      <c r="F1836" t="s">
        <v>44</v>
      </c>
      <c r="G1836">
        <v>-230.39529999999999</v>
      </c>
      <c r="H1836">
        <v>0.9382412</v>
      </c>
      <c r="I1836">
        <v>282.79910000000001</v>
      </c>
      <c r="J1836">
        <v>-229.7312</v>
      </c>
      <c r="K1836">
        <v>1.1096809999999999</v>
      </c>
      <c r="L1836">
        <v>282.6909</v>
      </c>
      <c r="M1836">
        <v>-0.99994400000000006</v>
      </c>
      <c r="N1836">
        <v>0</v>
      </c>
      <c r="O1836">
        <v>-5.4875710000000001E-3</v>
      </c>
      <c r="P1836">
        <v>-0.9998667</v>
      </c>
      <c r="Q1836">
        <v>1.4841109999999999E-2</v>
      </c>
      <c r="R1836">
        <v>-6.8366260000000002E-3</v>
      </c>
      <c r="S1836">
        <v>-3.0138699999999998</v>
      </c>
      <c r="T1836">
        <v>-0.66264780000000001</v>
      </c>
      <c r="U1836">
        <v>0.41546630000000001</v>
      </c>
      <c r="V1836">
        <v>-1.347935E-3</v>
      </c>
      <c r="W1836">
        <v>2.3912840000000001E-2</v>
      </c>
      <c r="X1836">
        <v>0.99971310000000002</v>
      </c>
      <c r="Y1836">
        <v>0.13861519999999999</v>
      </c>
      <c r="Z1836">
        <v>1.6177159999999999E-2</v>
      </c>
      <c r="AA1836">
        <v>0.99021420000000004</v>
      </c>
      <c r="AB1836">
        <v>11</v>
      </c>
      <c r="AC1836">
        <v>-0.66409999999999003</v>
      </c>
      <c r="AD1836">
        <v>-0.171439799999999</v>
      </c>
      <c r="AE1836">
        <v>0.10820000000001</v>
      </c>
      <c r="AF1836">
        <v>0.105024621866769</v>
      </c>
      <c r="AG1836">
        <v>-0.171439799999999</v>
      </c>
      <c r="AH1836">
        <v>0.62304797267837597</v>
      </c>
      <c r="AI1836">
        <v>105.18085247480001</v>
      </c>
      <c r="AJ1836">
        <v>80.431835308279105</v>
      </c>
      <c r="AK1836">
        <v>0.65468355140551104</v>
      </c>
      <c r="AL1836">
        <v>88.629764529110801</v>
      </c>
      <c r="AM1836">
        <v>90.077253103672206</v>
      </c>
      <c r="AN1836">
        <v>0.99999996157861903</v>
      </c>
    </row>
    <row r="1837" spans="1:40" x14ac:dyDescent="0.25">
      <c r="A1837" t="str">
        <f>"20190312160635479"</f>
        <v>20190312160635479</v>
      </c>
      <c r="B1837" t="str">
        <f>"1552377995467390"</f>
        <v>1552377995467390</v>
      </c>
      <c r="C1837" t="s">
        <v>40</v>
      </c>
      <c r="D1837">
        <v>6.334746</v>
      </c>
      <c r="E1837">
        <v>0.55281289999999905</v>
      </c>
      <c r="F1837" t="s">
        <v>44</v>
      </c>
      <c r="G1837">
        <v>-230.49969999999999</v>
      </c>
      <c r="H1837">
        <v>0.94212680000000004</v>
      </c>
      <c r="I1837">
        <v>282.79669999999999</v>
      </c>
      <c r="J1837">
        <v>-229.8415</v>
      </c>
      <c r="K1837">
        <v>1.1096900000000001</v>
      </c>
      <c r="L1837">
        <v>282.69029999999998</v>
      </c>
      <c r="M1837">
        <v>-0.99994400000000006</v>
      </c>
      <c r="N1837">
        <v>0</v>
      </c>
      <c r="O1837">
        <v>-5.4496980000000002E-3</v>
      </c>
      <c r="P1837">
        <v>-0.99987380000000003</v>
      </c>
      <c r="Q1837">
        <v>1.4714659999999999E-2</v>
      </c>
      <c r="R1837">
        <v>-5.9849300000000003E-3</v>
      </c>
      <c r="S1837">
        <v>-3.012985</v>
      </c>
      <c r="T1837">
        <v>-0.65694549999999996</v>
      </c>
      <c r="U1837">
        <v>0.4150085</v>
      </c>
      <c r="V1837">
        <v>-5.3420870000000001E-4</v>
      </c>
      <c r="W1837">
        <v>2.3767920000000001E-2</v>
      </c>
      <c r="X1837">
        <v>0.99971739999999998</v>
      </c>
      <c r="Y1837">
        <v>0.1385276</v>
      </c>
      <c r="Z1837">
        <v>1.602831E-2</v>
      </c>
      <c r="AA1837">
        <v>0.99022889999999997</v>
      </c>
      <c r="AB1837">
        <v>11</v>
      </c>
      <c r="AC1837">
        <v>-0.65819999999999301</v>
      </c>
      <c r="AD1837">
        <v>-0.1675632</v>
      </c>
      <c r="AE1837">
        <v>0.106400000000007</v>
      </c>
      <c r="AF1837">
        <v>0.10345161043765901</v>
      </c>
      <c r="AG1837">
        <v>-0.1675632</v>
      </c>
      <c r="AH1837">
        <v>0.61854347885514804</v>
      </c>
      <c r="AI1837">
        <v>104.95932297721301</v>
      </c>
      <c r="AJ1837">
        <v>80.5051423977837</v>
      </c>
      <c r="AK1837">
        <v>0.64913457536216201</v>
      </c>
      <c r="AL1837">
        <v>88.638070300781706</v>
      </c>
      <c r="AM1837">
        <v>90.030616553213804</v>
      </c>
      <c r="AN1837">
        <v>1.0000000396314099</v>
      </c>
    </row>
    <row r="1838" spans="1:40" x14ac:dyDescent="0.25">
      <c r="A1838" t="str">
        <f>"20190312160635502"</f>
        <v>20190312160635502</v>
      </c>
      <c r="B1838" t="str">
        <f>"1552377995496670"</f>
        <v>1552377995496670</v>
      </c>
      <c r="C1838" t="s">
        <v>40</v>
      </c>
      <c r="D1838">
        <v>6.4121920000000001</v>
      </c>
      <c r="E1838">
        <v>0.55250569999999999</v>
      </c>
      <c r="F1838" t="s">
        <v>44</v>
      </c>
      <c r="G1838">
        <v>-230.60470000000001</v>
      </c>
      <c r="H1838">
        <v>0.94622240000000002</v>
      </c>
      <c r="I1838">
        <v>282.79520000000002</v>
      </c>
      <c r="J1838">
        <v>-229.96190000000001</v>
      </c>
      <c r="K1838">
        <v>1.109701</v>
      </c>
      <c r="L1838">
        <v>282.68970000000002</v>
      </c>
      <c r="M1838">
        <v>-0.99994450000000001</v>
      </c>
      <c r="N1838">
        <v>0</v>
      </c>
      <c r="O1838">
        <v>-5.4090479999999996E-3</v>
      </c>
      <c r="P1838">
        <v>-0.99987360000000003</v>
      </c>
      <c r="Q1838">
        <v>1.4830029999999999E-2</v>
      </c>
      <c r="R1838">
        <v>-5.756466E-3</v>
      </c>
      <c r="S1838">
        <v>-3.0123600000000001</v>
      </c>
      <c r="T1838">
        <v>-0.64533469999999904</v>
      </c>
      <c r="U1838">
        <v>0.41363529999999998</v>
      </c>
      <c r="V1838">
        <v>-3.463869E-4</v>
      </c>
      <c r="W1838">
        <v>2.388471E-2</v>
      </c>
      <c r="X1838">
        <v>0.99971469999999996</v>
      </c>
      <c r="Y1838">
        <v>0.13819400000000001</v>
      </c>
      <c r="Z1838">
        <v>1.571117E-2</v>
      </c>
      <c r="AA1838">
        <v>0.99028059999999996</v>
      </c>
      <c r="AB1838">
        <v>11</v>
      </c>
      <c r="AC1838">
        <v>-0.64279999999999404</v>
      </c>
      <c r="AD1838">
        <v>-0.1634786</v>
      </c>
      <c r="AE1838">
        <v>0.10550000000000601</v>
      </c>
      <c r="AF1838">
        <v>0.102518565702557</v>
      </c>
      <c r="AG1838">
        <v>-0.1634786</v>
      </c>
      <c r="AH1838">
        <v>0.60416739440735701</v>
      </c>
      <c r="AI1838">
        <v>104.93702954274799</v>
      </c>
      <c r="AJ1838">
        <v>80.369457982281304</v>
      </c>
      <c r="AK1838">
        <v>0.634234617027993</v>
      </c>
      <c r="AL1838">
        <v>88.6313768277832</v>
      </c>
      <c r="AM1838">
        <v>90.0198521704786</v>
      </c>
      <c r="AN1838">
        <v>1.00000004037587</v>
      </c>
    </row>
    <row r="1839" spans="1:40" x14ac:dyDescent="0.25">
      <c r="A1839" t="str">
        <f>"20190312160635524"</f>
        <v>20190312160635524</v>
      </c>
      <c r="B1839" t="str">
        <f>"1552377995517167"</f>
        <v>1552377995517167</v>
      </c>
      <c r="C1839" t="s">
        <v>40</v>
      </c>
      <c r="D1839">
        <v>6.596622</v>
      </c>
      <c r="E1839">
        <v>0.55201080000000002</v>
      </c>
      <c r="F1839" t="s">
        <v>44</v>
      </c>
      <c r="G1839">
        <v>-230.70939999999999</v>
      </c>
      <c r="H1839">
        <v>0.94923849999999999</v>
      </c>
      <c r="I1839">
        <v>282.7921</v>
      </c>
      <c r="J1839">
        <v>-230.08109999999999</v>
      </c>
      <c r="K1839">
        <v>1.109712</v>
      </c>
      <c r="L1839">
        <v>282.68900000000002</v>
      </c>
      <c r="M1839">
        <v>-0.99994430000000001</v>
      </c>
      <c r="N1839">
        <v>0</v>
      </c>
      <c r="O1839">
        <v>-5.3682840000000001E-3</v>
      </c>
      <c r="P1839">
        <v>-0.99988509999999997</v>
      </c>
      <c r="Q1839">
        <v>1.427786E-2</v>
      </c>
      <c r="R1839">
        <v>-5.0943170000000001E-3</v>
      </c>
      <c r="S1839">
        <v>-3.0123600000000001</v>
      </c>
      <c r="T1839">
        <v>-0.64662649999999999</v>
      </c>
      <c r="U1839">
        <v>0.41253659999999998</v>
      </c>
      <c r="V1839">
        <v>2.754244E-4</v>
      </c>
      <c r="W1839">
        <v>2.336129E-2</v>
      </c>
      <c r="X1839">
        <v>0.99972709999999998</v>
      </c>
      <c r="Y1839">
        <v>0.137796</v>
      </c>
      <c r="Z1839">
        <v>1.5691650000000001E-2</v>
      </c>
      <c r="AA1839">
        <v>0.99033629999999995</v>
      </c>
      <c r="AB1839">
        <v>12</v>
      </c>
      <c r="AC1839">
        <v>-0.62829999999999497</v>
      </c>
      <c r="AD1839">
        <v>-0.16047349999999999</v>
      </c>
      <c r="AE1839">
        <v>0.103099999999983</v>
      </c>
      <c r="AF1839">
        <v>0.100112095265298</v>
      </c>
      <c r="AG1839">
        <v>-0.16047349999999999</v>
      </c>
      <c r="AH1839">
        <v>0.59024325111709697</v>
      </c>
      <c r="AI1839">
        <v>105.005314260685</v>
      </c>
      <c r="AJ1839">
        <v>80.373585340160005</v>
      </c>
      <c r="AK1839">
        <v>0.61980744696231205</v>
      </c>
      <c r="AL1839">
        <v>88.661374968186607</v>
      </c>
      <c r="AM1839">
        <v>89.984215036987905</v>
      </c>
      <c r="AN1839">
        <v>1.0000000501017301</v>
      </c>
    </row>
    <row r="1840" spans="1:40" x14ac:dyDescent="0.25">
      <c r="A1840" t="str">
        <f>"20190312160635548"</f>
        <v>20190312160635548</v>
      </c>
      <c r="B1840" t="str">
        <f>"1552377995536687"</f>
        <v>1552377995536687</v>
      </c>
      <c r="C1840" t="s">
        <v>40</v>
      </c>
      <c r="D1840">
        <v>7.3124830000000003</v>
      </c>
      <c r="E1840">
        <v>0.5517801</v>
      </c>
      <c r="F1840" t="s">
        <v>44</v>
      </c>
      <c r="G1840">
        <v>-230.815</v>
      </c>
      <c r="H1840">
        <v>0.95335840000000005</v>
      </c>
      <c r="I1840">
        <v>282.78949999999998</v>
      </c>
      <c r="J1840">
        <v>-230.2013</v>
      </c>
      <c r="K1840">
        <v>1.109723</v>
      </c>
      <c r="L1840">
        <v>282.6884</v>
      </c>
      <c r="M1840">
        <v>-0.99994419999999995</v>
      </c>
      <c r="N1840">
        <v>0</v>
      </c>
      <c r="O1840">
        <v>-5.3276570000000004E-3</v>
      </c>
      <c r="P1840">
        <v>-0.99989360000000005</v>
      </c>
      <c r="Q1840">
        <v>1.390953E-2</v>
      </c>
      <c r="R1840">
        <v>-4.4390380000000002E-3</v>
      </c>
      <c r="S1840">
        <v>-3.0115970000000001</v>
      </c>
      <c r="T1840">
        <v>-0.64168409999999998</v>
      </c>
      <c r="U1840">
        <v>0.41101070000000001</v>
      </c>
      <c r="V1840">
        <v>8.9002699999999896E-4</v>
      </c>
      <c r="W1840">
        <v>2.3051909999999998E-2</v>
      </c>
      <c r="X1840">
        <v>0.99973389999999995</v>
      </c>
      <c r="Y1840">
        <v>0.137354</v>
      </c>
      <c r="Z1840">
        <v>1.5523769999999999E-2</v>
      </c>
      <c r="AA1840">
        <v>0.99040039999999996</v>
      </c>
      <c r="AB1840">
        <v>12</v>
      </c>
      <c r="AC1840">
        <v>-0.61369999999999403</v>
      </c>
      <c r="AD1840">
        <v>-0.15636459999999899</v>
      </c>
      <c r="AE1840">
        <v>0.101099999999974</v>
      </c>
      <c r="AF1840">
        <v>9.8164052765651405E-2</v>
      </c>
      <c r="AG1840">
        <v>-0.15636459999999899</v>
      </c>
      <c r="AH1840">
        <v>0.57670343695090198</v>
      </c>
      <c r="AI1840">
        <v>104.96479174703001</v>
      </c>
      <c r="AJ1840">
        <v>80.339936445010594</v>
      </c>
      <c r="AK1840">
        <v>0.60553523727320802</v>
      </c>
      <c r="AL1840">
        <v>88.6791058799014</v>
      </c>
      <c r="AM1840">
        <v>89.948991649397499</v>
      </c>
      <c r="AN1840">
        <v>1.0000000267559499</v>
      </c>
    </row>
    <row r="1841" spans="1:40" x14ac:dyDescent="0.25">
      <c r="A1841" t="str">
        <f>"20190312160635570"</f>
        <v>20190312160635570</v>
      </c>
      <c r="B1841" t="str">
        <f>"1552377995557183"</f>
        <v>1552377995557183</v>
      </c>
      <c r="C1841" t="s">
        <v>40</v>
      </c>
      <c r="D1841">
        <v>7.156352</v>
      </c>
      <c r="E1841">
        <v>0.55136790000000002</v>
      </c>
      <c r="F1841" t="s">
        <v>44</v>
      </c>
      <c r="G1841">
        <v>-230.92070000000001</v>
      </c>
      <c r="H1841">
        <v>0.95709659999999996</v>
      </c>
      <c r="I1841">
        <v>282.7867</v>
      </c>
      <c r="J1841">
        <v>-230.31809999999999</v>
      </c>
      <c r="K1841">
        <v>1.109739</v>
      </c>
      <c r="L1841">
        <v>282.68790000000001</v>
      </c>
      <c r="M1841">
        <v>-0.99994360000000004</v>
      </c>
      <c r="N1841">
        <v>0</v>
      </c>
      <c r="O1841">
        <v>-5.2872839999999997E-3</v>
      </c>
      <c r="P1841">
        <v>-0.99990100000000004</v>
      </c>
      <c r="Q1841">
        <v>1.332737E-2</v>
      </c>
      <c r="R1841">
        <v>-4.5385290000000003E-3</v>
      </c>
      <c r="S1841">
        <v>-3.011047</v>
      </c>
      <c r="T1841">
        <v>-0.63894459999999997</v>
      </c>
      <c r="U1841">
        <v>0.41085820000000001</v>
      </c>
      <c r="V1841">
        <v>7.5011779999999996E-4</v>
      </c>
      <c r="W1841">
        <v>2.25566E-2</v>
      </c>
      <c r="X1841">
        <v>0.99974529999999995</v>
      </c>
      <c r="Y1841">
        <v>0.1373161</v>
      </c>
      <c r="Z1841">
        <v>1.5449320000000001E-2</v>
      </c>
      <c r="AA1841">
        <v>0.99040680000000003</v>
      </c>
      <c r="AB1841">
        <v>12</v>
      </c>
      <c r="AC1841">
        <v>-0.60260000000002301</v>
      </c>
      <c r="AD1841">
        <v>-0.15264239999999901</v>
      </c>
      <c r="AE1841">
        <v>9.8799999999982901E-2</v>
      </c>
      <c r="AF1841">
        <v>9.5987168962745895E-2</v>
      </c>
      <c r="AG1841">
        <v>-0.15264239999999901</v>
      </c>
      <c r="AH1841">
        <v>0.56666164704866795</v>
      </c>
      <c r="AI1841">
        <v>104.873701326679</v>
      </c>
      <c r="AJ1841">
        <v>80.385892178792801</v>
      </c>
      <c r="AK1841">
        <v>0.594658440719673</v>
      </c>
      <c r="AL1841">
        <v>88.707492417280093</v>
      </c>
      <c r="AM1841">
        <v>89.957010474555304</v>
      </c>
      <c r="AN1841">
        <v>1.00000001387618</v>
      </c>
    </row>
    <row r="1842" spans="1:40" x14ac:dyDescent="0.25">
      <c r="A1842" t="str">
        <f>"20190312160635592"</f>
        <v>20190312160635592</v>
      </c>
      <c r="B1842" t="str">
        <f>"1552377995586464"</f>
        <v>1552377995586464</v>
      </c>
      <c r="C1842" t="s">
        <v>40</v>
      </c>
      <c r="D1842">
        <v>6.2845870000000001</v>
      </c>
      <c r="E1842">
        <v>0.55106869999999997</v>
      </c>
      <c r="F1842" t="s">
        <v>44</v>
      </c>
      <c r="G1842">
        <v>-231.02619999999999</v>
      </c>
      <c r="H1842">
        <v>0.96016380000000001</v>
      </c>
      <c r="I1842">
        <v>282.78359999999998</v>
      </c>
      <c r="J1842">
        <v>-230.42910000000001</v>
      </c>
      <c r="K1842">
        <v>1.1097619999999999</v>
      </c>
      <c r="L1842">
        <v>282.68729999999999</v>
      </c>
      <c r="M1842">
        <v>-0.99994260000000001</v>
      </c>
      <c r="N1842">
        <v>0</v>
      </c>
      <c r="O1842">
        <v>-5.2489290000000003E-3</v>
      </c>
      <c r="P1842">
        <v>-0.99990040000000002</v>
      </c>
      <c r="Q1842">
        <v>1.31764E-2</v>
      </c>
      <c r="R1842">
        <v>-5.0693989999999996E-3</v>
      </c>
      <c r="S1842">
        <v>-3.0106350000000002</v>
      </c>
      <c r="T1842">
        <v>-0.63597939999999997</v>
      </c>
      <c r="U1842">
        <v>0.40692139999999999</v>
      </c>
      <c r="V1842">
        <v>1.81001E-4</v>
      </c>
      <c r="W1842">
        <v>2.2516080000000001E-2</v>
      </c>
      <c r="X1842">
        <v>0.99974640000000004</v>
      </c>
      <c r="Y1842">
        <v>0.13607929999999999</v>
      </c>
      <c r="Z1842">
        <v>1.524588E-2</v>
      </c>
      <c r="AA1842">
        <v>0.99058060000000003</v>
      </c>
      <c r="AB1842">
        <v>12</v>
      </c>
      <c r="AC1842">
        <v>-0.59709999999998298</v>
      </c>
      <c r="AD1842">
        <v>-0.14959819999999999</v>
      </c>
      <c r="AE1842">
        <v>9.6299999999985106E-2</v>
      </c>
      <c r="AF1842">
        <v>9.3700394093504405E-2</v>
      </c>
      <c r="AG1842">
        <v>-0.14959819999999999</v>
      </c>
      <c r="AH1842">
        <v>0.56219162819257396</v>
      </c>
      <c r="AI1842">
        <v>104.707100344569</v>
      </c>
      <c r="AJ1842">
        <v>80.537500354654995</v>
      </c>
      <c r="AK1842">
        <v>0.58925275740240302</v>
      </c>
      <c r="AL1842">
        <v>88.709814530839495</v>
      </c>
      <c r="AM1842">
        <v>89.989626776075994</v>
      </c>
      <c r="AN1842">
        <v>0.99999993546644195</v>
      </c>
    </row>
    <row r="1843" spans="1:40" x14ac:dyDescent="0.25">
      <c r="A1843" t="str">
        <f>"20190312160635613"</f>
        <v>20190312160635613</v>
      </c>
      <c r="B1843" t="str">
        <f>"1552377995606958"</f>
        <v>1552377995606958</v>
      </c>
      <c r="C1843" t="s">
        <v>40</v>
      </c>
      <c r="D1843">
        <v>6.0799989999999999</v>
      </c>
      <c r="E1843">
        <v>0.56676380000000004</v>
      </c>
      <c r="F1843" t="s">
        <v>44</v>
      </c>
      <c r="G1843">
        <v>-231.1317</v>
      </c>
      <c r="H1843">
        <v>0.96271589999999996</v>
      </c>
      <c r="I1843">
        <v>282.78160000000003</v>
      </c>
      <c r="J1843">
        <v>-230.54239999999999</v>
      </c>
      <c r="K1843">
        <v>1.109783</v>
      </c>
      <c r="L1843">
        <v>282.68680000000001</v>
      </c>
      <c r="M1843">
        <v>-0.99994159999999999</v>
      </c>
      <c r="N1843">
        <v>0</v>
      </c>
      <c r="O1843">
        <v>-5.2094979999999999E-3</v>
      </c>
      <c r="P1843">
        <v>-0.99989930000000005</v>
      </c>
      <c r="Q1843">
        <v>1.302773E-2</v>
      </c>
      <c r="R1843">
        <v>-5.6353419999999998E-3</v>
      </c>
      <c r="S1843">
        <v>-3.0106660000000001</v>
      </c>
      <c r="T1843">
        <v>-0.63005549999999999</v>
      </c>
      <c r="U1843">
        <v>0.40332030000000002</v>
      </c>
      <c r="V1843">
        <v>-4.2457950000000002E-4</v>
      </c>
      <c r="W1843">
        <v>2.2500820000000001E-2</v>
      </c>
      <c r="X1843">
        <v>0.99974669999999999</v>
      </c>
      <c r="Y1843">
        <v>0.13495550000000001</v>
      </c>
      <c r="Z1843">
        <v>1.498391E-2</v>
      </c>
      <c r="AA1843">
        <v>0.99073829999999996</v>
      </c>
      <c r="AB1843">
        <v>12</v>
      </c>
      <c r="AC1843">
        <v>-0.58930000000000804</v>
      </c>
      <c r="AD1843">
        <v>-0.14706710000000001</v>
      </c>
      <c r="AE1843">
        <v>9.4800000000020604E-2</v>
      </c>
      <c r="AF1843">
        <v>9.2267239720839098E-2</v>
      </c>
      <c r="AG1843">
        <v>-0.14706710000000001</v>
      </c>
      <c r="AH1843">
        <v>0.55509797503390201</v>
      </c>
      <c r="AI1843">
        <v>104.64681600349201</v>
      </c>
      <c r="AJ1843">
        <v>80.562695105899095</v>
      </c>
      <c r="AK1843">
        <v>0.58161476710521298</v>
      </c>
      <c r="AL1843">
        <v>88.710689124999007</v>
      </c>
      <c r="AM1843">
        <v>90.024332775447206</v>
      </c>
      <c r="AN1843">
        <v>0.99999996566465599</v>
      </c>
    </row>
    <row r="1844" spans="1:40" x14ac:dyDescent="0.25">
      <c r="A1844" t="str">
        <f>"20190312160635636"</f>
        <v>20190312160635636</v>
      </c>
      <c r="B1844" t="str">
        <f>"1552377995626482"</f>
        <v>1552377995626482</v>
      </c>
      <c r="C1844" t="s">
        <v>40</v>
      </c>
      <c r="D1844">
        <v>6.8664050000000003</v>
      </c>
      <c r="E1844">
        <v>0.54881669999999905</v>
      </c>
      <c r="F1844" t="s">
        <v>44</v>
      </c>
      <c r="G1844">
        <v>-231.21289999999999</v>
      </c>
      <c r="H1844">
        <v>0.91037699999999999</v>
      </c>
      <c r="I1844">
        <v>282.80500000000001</v>
      </c>
      <c r="J1844">
        <v>-230.66149999999999</v>
      </c>
      <c r="K1844">
        <v>1.1098079999999999</v>
      </c>
      <c r="L1844">
        <v>282.68619999999999</v>
      </c>
      <c r="M1844">
        <v>-0.9999403</v>
      </c>
      <c r="N1844">
        <v>0</v>
      </c>
      <c r="O1844">
        <v>-5.1684130000000002E-3</v>
      </c>
      <c r="P1844">
        <v>-0.99990460000000003</v>
      </c>
      <c r="Q1844">
        <v>1.2506669999999999E-2</v>
      </c>
      <c r="R1844">
        <v>-5.8775609999999999E-3</v>
      </c>
      <c r="S1844">
        <v>-3.014999</v>
      </c>
      <c r="T1844">
        <v>-0.89668559999999997</v>
      </c>
      <c r="U1844">
        <v>0.53094479999999999</v>
      </c>
      <c r="V1844">
        <v>-7.0775470000000002E-4</v>
      </c>
      <c r="W1844">
        <v>2.2140429999999999E-2</v>
      </c>
      <c r="X1844">
        <v>0.99975460000000005</v>
      </c>
      <c r="Y1844">
        <v>0.1711126</v>
      </c>
      <c r="Z1844">
        <v>2.6221479999999998E-2</v>
      </c>
      <c r="AA1844">
        <v>0.98490250000000001</v>
      </c>
      <c r="AB1844">
        <v>12</v>
      </c>
      <c r="AC1844">
        <v>-0.551400000000001</v>
      </c>
      <c r="AD1844">
        <v>-0.199430999999999</v>
      </c>
      <c r="AE1844">
        <v>0.118800000000021</v>
      </c>
      <c r="AF1844">
        <v>0.108130921761561</v>
      </c>
      <c r="AG1844">
        <v>-0.199430999999999</v>
      </c>
      <c r="AH1844">
        <v>0.48957646452513898</v>
      </c>
      <c r="AI1844">
        <v>111.691066170859</v>
      </c>
      <c r="AJ1844">
        <v>77.545248489153906</v>
      </c>
      <c r="AK1844">
        <v>0.53958329720159004</v>
      </c>
      <c r="AL1844">
        <v>88.731343115499897</v>
      </c>
      <c r="AM1844">
        <v>90.0405613042103</v>
      </c>
      <c r="AN1844">
        <v>0.99999997988922995</v>
      </c>
    </row>
    <row r="1845" spans="1:40" x14ac:dyDescent="0.25">
      <c r="A1845" t="str">
        <f>"20190312160635657"</f>
        <v>20190312160635657</v>
      </c>
      <c r="B1845" t="str">
        <f>"1552377995646974"</f>
        <v>1552377995646974</v>
      </c>
      <c r="C1845" t="s">
        <v>40</v>
      </c>
      <c r="D1845">
        <v>9.0252090000000003</v>
      </c>
      <c r="E1845">
        <v>0.55268779999999995</v>
      </c>
      <c r="F1845" t="s">
        <v>44</v>
      </c>
      <c r="G1845">
        <v>-231.44200000000001</v>
      </c>
      <c r="H1845">
        <v>0.95535210000000004</v>
      </c>
      <c r="I1845">
        <v>282.78559999999999</v>
      </c>
      <c r="J1845">
        <v>-230.7747</v>
      </c>
      <c r="K1845">
        <v>1.109831</v>
      </c>
      <c r="L1845">
        <v>282.6857</v>
      </c>
      <c r="M1845">
        <v>-0.99993880000000002</v>
      </c>
      <c r="N1845">
        <v>0</v>
      </c>
      <c r="O1845">
        <v>-5.1291710000000001E-3</v>
      </c>
      <c r="P1845">
        <v>-0.99990840000000003</v>
      </c>
      <c r="Q1845">
        <v>1.219253E-2</v>
      </c>
      <c r="R1845">
        <v>-5.8683989999999998E-3</v>
      </c>
      <c r="S1845">
        <v>-3.0099640000000001</v>
      </c>
      <c r="T1845">
        <v>-0.59577609999999903</v>
      </c>
      <c r="U1845">
        <v>0.382019</v>
      </c>
      <c r="V1845">
        <v>-7.3826719999999998E-4</v>
      </c>
      <c r="W1845">
        <v>2.1995500000000001E-2</v>
      </c>
      <c r="X1845">
        <v>0.99975780000000003</v>
      </c>
      <c r="Y1845">
        <v>0.128443899999999</v>
      </c>
      <c r="Z1845">
        <v>1.3542459999999999E-2</v>
      </c>
      <c r="AA1845">
        <v>0.99162430000000001</v>
      </c>
      <c r="AB1845">
        <v>12</v>
      </c>
      <c r="AC1845">
        <v>-0.667300000000011</v>
      </c>
      <c r="AD1845">
        <v>-0.154478899999999</v>
      </c>
      <c r="AE1845">
        <v>9.9899999999990996E-2</v>
      </c>
      <c r="AF1845">
        <v>9.8175506452156405E-2</v>
      </c>
      <c r="AG1845">
        <v>-0.154478899999999</v>
      </c>
      <c r="AH1845">
        <v>0.63356916506246197</v>
      </c>
      <c r="AI1845">
        <v>103.54706252383301</v>
      </c>
      <c r="AJ1845">
        <v>81.191714511222997</v>
      </c>
      <c r="AK1845">
        <v>0.65947861794776297</v>
      </c>
      <c r="AL1845">
        <v>88.739649044667303</v>
      </c>
      <c r="AM1845">
        <v>90.042309834466096</v>
      </c>
      <c r="AN1845">
        <v>1.00000000285977</v>
      </c>
    </row>
    <row r="1846" spans="1:40" x14ac:dyDescent="0.25">
      <c r="A1846" t="str">
        <f>"20190312160635670"</f>
        <v>20190312160635670</v>
      </c>
      <c r="B1846" t="str">
        <f>"1552377995666495"</f>
        <v>1552377995666495</v>
      </c>
      <c r="C1846" t="s">
        <v>40</v>
      </c>
      <c r="D1846">
        <v>8.7892309999999991</v>
      </c>
      <c r="E1846">
        <v>0.51236800000000005</v>
      </c>
      <c r="F1846" t="s">
        <v>44</v>
      </c>
      <c r="G1846">
        <v>-231.55</v>
      </c>
      <c r="H1846">
        <v>0.96196899999999996</v>
      </c>
      <c r="I1846">
        <v>282.7919</v>
      </c>
      <c r="J1846">
        <v>-230.84180000000001</v>
      </c>
      <c r="K1846">
        <v>1.1098440000000001</v>
      </c>
      <c r="L1846">
        <v>282.68540000000002</v>
      </c>
      <c r="M1846">
        <v>-0.99993790000000005</v>
      </c>
      <c r="N1846">
        <v>0</v>
      </c>
      <c r="O1846">
        <v>-5.105839E-3</v>
      </c>
      <c r="P1846">
        <v>-0.99990670000000004</v>
      </c>
      <c r="Q1846">
        <v>1.243006E-2</v>
      </c>
      <c r="R1846">
        <v>-5.6877369999999896E-3</v>
      </c>
      <c r="S1846">
        <v>-3.0096889999999998</v>
      </c>
      <c r="T1846">
        <v>-0.57393649999999996</v>
      </c>
      <c r="U1846">
        <v>0.41256710000000002</v>
      </c>
      <c r="V1846">
        <v>-5.80468E-4</v>
      </c>
      <c r="W1846">
        <v>2.233779E-2</v>
      </c>
      <c r="X1846">
        <v>0.99975029999999998</v>
      </c>
      <c r="Y1846">
        <v>0.1383287</v>
      </c>
      <c r="Z1846">
        <v>1.3973090000000001E-2</v>
      </c>
      <c r="AA1846">
        <v>0.99028780000000005</v>
      </c>
      <c r="AB1846">
        <v>12</v>
      </c>
      <c r="AC1846">
        <v>-0.70820000000000505</v>
      </c>
      <c r="AD1846">
        <v>-0.14787499999999901</v>
      </c>
      <c r="AE1846">
        <v>0.106499999999982</v>
      </c>
      <c r="AF1846">
        <v>0.105611983074585</v>
      </c>
      <c r="AG1846">
        <v>-0.14787499999999901</v>
      </c>
      <c r="AH1846">
        <v>0.67871019678</v>
      </c>
      <c r="AI1846">
        <v>102.149524090668</v>
      </c>
      <c r="AJ1846">
        <v>81.155313692899</v>
      </c>
      <c r="AK1846">
        <v>0.70261542667884302</v>
      </c>
      <c r="AL1846">
        <v>88.720032433336101</v>
      </c>
      <c r="AM1846">
        <v>90.033266669492505</v>
      </c>
      <c r="AN1846">
        <v>0.99999998807763602</v>
      </c>
    </row>
    <row r="1847" spans="1:40" x14ac:dyDescent="0.25">
      <c r="A1847" t="str">
        <f>"20190312160635691"</f>
        <v>20190312160635691</v>
      </c>
      <c r="B1847" t="str">
        <f>"1552377995686990"</f>
        <v>1552377995686990</v>
      </c>
      <c r="C1847" t="s">
        <v>40</v>
      </c>
      <c r="D1847">
        <v>6.4168279999999998</v>
      </c>
      <c r="E1847">
        <v>0.51379140000000001</v>
      </c>
      <c r="F1847" t="s">
        <v>77</v>
      </c>
      <c r="G1847">
        <v>-306.36500000000001</v>
      </c>
      <c r="H1847" s="1">
        <v>2.821629E-6</v>
      </c>
      <c r="I1847">
        <v>284.77569999999997</v>
      </c>
      <c r="J1847">
        <v>-230.9502</v>
      </c>
      <c r="K1847">
        <v>1.109866</v>
      </c>
      <c r="L1847">
        <v>282.6848</v>
      </c>
      <c r="M1847">
        <v>-0.9999363</v>
      </c>
      <c r="N1847">
        <v>0</v>
      </c>
      <c r="O1847">
        <v>-5.0684140000000003E-3</v>
      </c>
      <c r="P1847">
        <v>-0.99990429999999997</v>
      </c>
      <c r="Q1847">
        <v>1.260463E-2</v>
      </c>
      <c r="R1847">
        <v>-5.7274509999999997E-3</v>
      </c>
      <c r="S1847">
        <v>-3.0012970000000001</v>
      </c>
      <c r="T1847">
        <v>-4.4105169999999999E-2</v>
      </c>
      <c r="U1847">
        <v>8.306885E-2</v>
      </c>
      <c r="V1847">
        <v>-6.576911E-4</v>
      </c>
      <c r="W1847">
        <v>2.2683410000000001E-2</v>
      </c>
      <c r="X1847">
        <v>0.99974249999999998</v>
      </c>
      <c r="Y1847">
        <v>3.2729349999999997E-2</v>
      </c>
      <c r="Z1847">
        <v>3.1489480000000003E-4</v>
      </c>
      <c r="AA1847">
        <v>0.99946420000000002</v>
      </c>
      <c r="AB1847">
        <v>12</v>
      </c>
      <c r="AC1847">
        <v>-75.4148</v>
      </c>
      <c r="AD1847">
        <v>-1.109863178371</v>
      </c>
      <c r="AE1847">
        <v>2.0908999999999698</v>
      </c>
      <c r="AF1847">
        <v>2.47259089677237</v>
      </c>
      <c r="AG1847">
        <v>-1.109863178371</v>
      </c>
      <c r="AH1847">
        <v>75.386918116296599</v>
      </c>
      <c r="AI1847">
        <v>90.843007182304703</v>
      </c>
      <c r="AJ1847">
        <v>88.121447873722801</v>
      </c>
      <c r="AK1847">
        <v>75.435621062537294</v>
      </c>
      <c r="AL1847">
        <v>88.700224885397802</v>
      </c>
      <c r="AM1847">
        <v>90.037692624667997</v>
      </c>
      <c r="AN1847">
        <v>1.00000001797653</v>
      </c>
    </row>
    <row r="1848" spans="1:40" x14ac:dyDescent="0.25">
      <c r="A1848" t="str">
        <f>"20190312160635714"</f>
        <v>20190312160635714</v>
      </c>
      <c r="B1848" t="str">
        <f>"1552377995706512"</f>
        <v>1552377995706512</v>
      </c>
      <c r="C1848" t="s">
        <v>40</v>
      </c>
      <c r="D1848">
        <v>6.3923249999999996</v>
      </c>
      <c r="E1848">
        <v>0.51375959999999998</v>
      </c>
      <c r="F1848" t="s">
        <v>77</v>
      </c>
      <c r="G1848">
        <v>-299.93830000000003</v>
      </c>
      <c r="H1848" s="1">
        <v>3.9476960000000002E-6</v>
      </c>
      <c r="I1848">
        <v>284.85579999999999</v>
      </c>
      <c r="J1848">
        <v>-231.06790000000001</v>
      </c>
      <c r="K1848">
        <v>1.10989</v>
      </c>
      <c r="L1848">
        <v>282.68430000000001</v>
      </c>
      <c r="M1848">
        <v>-0.99993489999999996</v>
      </c>
      <c r="N1848">
        <v>0</v>
      </c>
      <c r="O1848">
        <v>-5.0269090000000004E-3</v>
      </c>
      <c r="P1848">
        <v>-0.99989740000000005</v>
      </c>
      <c r="Q1848">
        <v>1.313393E-2</v>
      </c>
      <c r="R1848">
        <v>-5.7589210000000002E-3</v>
      </c>
      <c r="S1848">
        <v>-3.0014500000000002</v>
      </c>
      <c r="T1848">
        <v>-4.8286559999999999E-2</v>
      </c>
      <c r="U1848">
        <v>9.4451900000000005E-2</v>
      </c>
      <c r="V1848">
        <v>-7.3061640000000004E-4</v>
      </c>
      <c r="W1848">
        <v>2.3400379999999998E-2</v>
      </c>
      <c r="X1848">
        <v>0.99972589999999995</v>
      </c>
      <c r="Y1848">
        <v>3.6472119999999997E-2</v>
      </c>
      <c r="Z1848">
        <v>3.7413749999999998E-4</v>
      </c>
      <c r="AA1848">
        <v>0.99933459999999996</v>
      </c>
      <c r="AB1848">
        <v>12</v>
      </c>
      <c r="AC1848">
        <v>-68.870400000000004</v>
      </c>
      <c r="AD1848">
        <v>-1.1098860523039999</v>
      </c>
      <c r="AE1848">
        <v>2.17149999999998</v>
      </c>
      <c r="AF1848">
        <v>2.5170429018818798</v>
      </c>
      <c r="AG1848">
        <v>-1.1098860523039999</v>
      </c>
      <c r="AH1848">
        <v>68.840752231744901</v>
      </c>
      <c r="AI1848">
        <v>90.923055340881604</v>
      </c>
      <c r="AJ1848">
        <v>87.906011833869599</v>
      </c>
      <c r="AK1848">
        <v>68.895693042827503</v>
      </c>
      <c r="AL1848">
        <v>88.659134587747502</v>
      </c>
      <c r="AM1848">
        <v>90.041872706019106</v>
      </c>
      <c r="AN1848">
        <v>0.99999999335763901</v>
      </c>
    </row>
    <row r="1849" spans="1:40" x14ac:dyDescent="0.25">
      <c r="A1849" t="str">
        <f>"20190312160635737"</f>
        <v>20190312160635737</v>
      </c>
      <c r="B1849" t="str">
        <f>"1552377995727006"</f>
        <v>1552377995727006</v>
      </c>
      <c r="C1849" t="s">
        <v>40</v>
      </c>
      <c r="D1849">
        <v>6.141337</v>
      </c>
      <c r="E1849">
        <v>0.51309910000000003</v>
      </c>
      <c r="F1849" t="s">
        <v>77</v>
      </c>
      <c r="G1849">
        <v>-311.1293</v>
      </c>
      <c r="H1849" s="1">
        <v>2.6673470000000001E-6</v>
      </c>
      <c r="I1849">
        <v>285.19319999999999</v>
      </c>
      <c r="J1849">
        <v>-231.1883</v>
      </c>
      <c r="K1849">
        <v>1.1099129999999999</v>
      </c>
      <c r="L1849">
        <v>282.68369999999999</v>
      </c>
      <c r="M1849">
        <v>-0.99993299999999996</v>
      </c>
      <c r="N1849">
        <v>0</v>
      </c>
      <c r="O1849">
        <v>-4.9834049999999998E-3</v>
      </c>
      <c r="P1849">
        <v>-0.99989090000000003</v>
      </c>
      <c r="Q1849">
        <v>1.3732340000000001E-2</v>
      </c>
      <c r="R1849">
        <v>-5.4720810000000002E-3</v>
      </c>
      <c r="S1849">
        <v>-3.001404</v>
      </c>
      <c r="T1849">
        <v>-4.1608329999999999E-2</v>
      </c>
      <c r="U1849">
        <v>9.4055180000000002E-2</v>
      </c>
      <c r="V1849">
        <v>-4.8653349999999999E-4</v>
      </c>
      <c r="W1849">
        <v>2.4188370000000001E-2</v>
      </c>
      <c r="X1849">
        <v>0.99970729999999997</v>
      </c>
      <c r="Y1849">
        <v>3.6298570000000002E-2</v>
      </c>
      <c r="Z1849">
        <v>3.2059839999999998E-4</v>
      </c>
      <c r="AA1849">
        <v>0.99934100000000003</v>
      </c>
      <c r="AB1849">
        <v>12</v>
      </c>
      <c r="AC1849">
        <v>-79.941000000000003</v>
      </c>
      <c r="AD1849">
        <v>-1.109910332653</v>
      </c>
      <c r="AE1849">
        <v>2.5095000000000001</v>
      </c>
      <c r="AF1849">
        <v>2.9073090735476201</v>
      </c>
      <c r="AG1849">
        <v>-1.109910332653</v>
      </c>
      <c r="AH1849">
        <v>79.912111315117698</v>
      </c>
      <c r="AI1849">
        <v>90.795211786315505</v>
      </c>
      <c r="AJ1849">
        <v>87.916422159528494</v>
      </c>
      <c r="AK1849">
        <v>79.972682097297593</v>
      </c>
      <c r="AL1849">
        <v>88.613973307585894</v>
      </c>
      <c r="AM1849">
        <v>90.027884475726907</v>
      </c>
      <c r="AN1849">
        <v>0.99999999981569598</v>
      </c>
    </row>
    <row r="1850" spans="1:40" x14ac:dyDescent="0.25">
      <c r="A1850" t="str">
        <f>"20190312160635760"</f>
        <v>20190312160635760</v>
      </c>
      <c r="B1850" t="str">
        <f>"1552377995746526"</f>
        <v>1552377995746526</v>
      </c>
      <c r="C1850" t="s">
        <v>40</v>
      </c>
      <c r="D1850">
        <v>6.4649489999999998</v>
      </c>
      <c r="E1850">
        <v>0.51224259999999999</v>
      </c>
      <c r="F1850" t="s">
        <v>77</v>
      </c>
      <c r="G1850">
        <v>-313.41669999999999</v>
      </c>
      <c r="H1850" s="1">
        <v>3.68674E-6</v>
      </c>
      <c r="I1850">
        <v>285.13600000000002</v>
      </c>
      <c r="J1850">
        <v>-231.30690000000001</v>
      </c>
      <c r="K1850">
        <v>1.109931</v>
      </c>
      <c r="L1850">
        <v>282.6832</v>
      </c>
      <c r="M1850">
        <v>-0.99993120000000002</v>
      </c>
      <c r="N1850">
        <v>0</v>
      </c>
      <c r="O1850">
        <v>-4.9413110000000003E-3</v>
      </c>
      <c r="P1850">
        <v>-0.99987470000000001</v>
      </c>
      <c r="Q1850">
        <v>1.489998E-2</v>
      </c>
      <c r="R1850">
        <v>-5.3878219999999996E-3</v>
      </c>
      <c r="S1850">
        <v>-3.0013580000000002</v>
      </c>
      <c r="T1850">
        <v>-4.0511970000000001E-2</v>
      </c>
      <c r="U1850">
        <v>8.950806E-2</v>
      </c>
      <c r="V1850">
        <v>-4.4456930000000001E-4</v>
      </c>
      <c r="W1850">
        <v>2.5535499999999999E-2</v>
      </c>
      <c r="X1850">
        <v>0.99967379999999995</v>
      </c>
      <c r="Y1850">
        <v>3.474468E-2</v>
      </c>
      <c r="Z1850">
        <v>3.0111109999999999E-4</v>
      </c>
      <c r="AA1850">
        <v>0.99939619999999996</v>
      </c>
      <c r="AB1850">
        <v>12</v>
      </c>
      <c r="AC1850">
        <v>-82.109799999999893</v>
      </c>
      <c r="AD1850">
        <v>-1.10992731326</v>
      </c>
      <c r="AE1850">
        <v>2.4527999999999599</v>
      </c>
      <c r="AF1850">
        <v>2.8580013078264601</v>
      </c>
      <c r="AG1850">
        <v>-1.10992731326</v>
      </c>
      <c r="AH1850">
        <v>82.081691683812295</v>
      </c>
      <c r="AI1850">
        <v>90.774250215293307</v>
      </c>
      <c r="AJ1850">
        <v>88.005824658350505</v>
      </c>
      <c r="AK1850">
        <v>82.138932424232806</v>
      </c>
      <c r="AL1850">
        <v>88.536764547856194</v>
      </c>
      <c r="AM1850">
        <v>90.025480254570894</v>
      </c>
      <c r="AN1850">
        <v>0.99999998290427605</v>
      </c>
    </row>
    <row r="1851" spans="1:40" x14ac:dyDescent="0.25">
      <c r="A1851" t="str">
        <f>"20190312160635791"</f>
        <v>20190312160635791</v>
      </c>
      <c r="B1851" t="str">
        <f>"1552377995786543"</f>
        <v>1552377995786543</v>
      </c>
      <c r="C1851" t="s">
        <v>40</v>
      </c>
      <c r="D1851">
        <v>6.5222910000000001</v>
      </c>
      <c r="E1851">
        <v>0.5062506</v>
      </c>
      <c r="F1851" t="s">
        <v>77</v>
      </c>
      <c r="G1851">
        <v>-414.82130000000001</v>
      </c>
      <c r="H1851" s="1">
        <v>2.7891530000000001E-6</v>
      </c>
      <c r="I1851">
        <v>287.72550000000001</v>
      </c>
      <c r="J1851">
        <v>-231.4725</v>
      </c>
      <c r="K1851">
        <v>1.1099509999999999</v>
      </c>
      <c r="L1851">
        <v>282.6825</v>
      </c>
      <c r="M1851">
        <v>-0.99992910000000002</v>
      </c>
      <c r="N1851">
        <v>0</v>
      </c>
      <c r="O1851">
        <v>-4.883185E-3</v>
      </c>
      <c r="P1851">
        <v>-0.99986120000000001</v>
      </c>
      <c r="Q1851">
        <v>1.5412739999999999E-2</v>
      </c>
      <c r="R1851">
        <v>-6.3327899999999996E-3</v>
      </c>
      <c r="S1851">
        <v>-3.0011139999999998</v>
      </c>
      <c r="T1851">
        <v>-1.8151279999999999E-2</v>
      </c>
      <c r="U1851">
        <v>8.2458500000000004E-2</v>
      </c>
      <c r="V1851">
        <v>-1.4484329999999901E-3</v>
      </c>
      <c r="W1851">
        <v>2.6277680000000001E-2</v>
      </c>
      <c r="X1851">
        <v>0.99965360000000003</v>
      </c>
      <c r="Y1851">
        <v>3.2346229999999997E-2</v>
      </c>
      <c r="Z1851">
        <v>1.2732929999999999E-4</v>
      </c>
      <c r="AA1851">
        <v>0.9994767</v>
      </c>
      <c r="AB1851">
        <v>12</v>
      </c>
      <c r="AC1851">
        <v>-183.34880000000001</v>
      </c>
      <c r="AD1851">
        <v>-1.109948210847</v>
      </c>
      <c r="AE1851">
        <v>5.0430000000000001</v>
      </c>
      <c r="AF1851">
        <v>5.9381013278226797</v>
      </c>
      <c r="AG1851">
        <v>-1.109948210847</v>
      </c>
      <c r="AH1851">
        <v>183.31527330896</v>
      </c>
      <c r="AI1851">
        <v>90.346731791403101</v>
      </c>
      <c r="AJ1851">
        <v>88.144676037355893</v>
      </c>
      <c r="AK1851">
        <v>183.414782557866</v>
      </c>
      <c r="AL1851">
        <v>88.494226463736098</v>
      </c>
      <c r="AM1851">
        <v>90.083017797096304</v>
      </c>
      <c r="AN1851">
        <v>0.99999996720864803</v>
      </c>
    </row>
    <row r="1852" spans="1:40" x14ac:dyDescent="0.25">
      <c r="A1852" t="str">
        <f>"20190312160635813"</f>
        <v>20190312160635813</v>
      </c>
      <c r="B1852" t="str">
        <f>"1552377995807039"</f>
        <v>1552377995807039</v>
      </c>
      <c r="C1852" t="s">
        <v>40</v>
      </c>
      <c r="D1852">
        <v>6.4122750000000002</v>
      </c>
      <c r="E1852">
        <v>0.50913450000000005</v>
      </c>
      <c r="F1852" t="s">
        <v>41</v>
      </c>
      <c r="G1852">
        <v>0</v>
      </c>
      <c r="H1852">
        <v>0</v>
      </c>
      <c r="I1852">
        <v>0</v>
      </c>
      <c r="J1852">
        <v>-231.59110000000001</v>
      </c>
      <c r="K1852">
        <v>1.109953</v>
      </c>
      <c r="L1852">
        <v>282.68189999999998</v>
      </c>
      <c r="M1852">
        <v>-0.99992769999999997</v>
      </c>
      <c r="N1852">
        <v>0</v>
      </c>
      <c r="O1852">
        <v>-4.8416930000000002E-3</v>
      </c>
      <c r="P1852">
        <v>-0.99985659999999998</v>
      </c>
      <c r="Q1852">
        <v>1.5501940000000001E-2</v>
      </c>
      <c r="R1852">
        <v>-6.840413E-3</v>
      </c>
      <c r="S1852">
        <v>-2.9969640000000002</v>
      </c>
      <c r="T1852">
        <v>0.2354012</v>
      </c>
      <c r="U1852">
        <v>2.7221680000000002E-2</v>
      </c>
      <c r="V1852">
        <v>-1.9970690000000002E-3</v>
      </c>
      <c r="W1852">
        <v>2.651649E-2</v>
      </c>
      <c r="X1852">
        <v>0.99964640000000005</v>
      </c>
      <c r="Y1852">
        <v>1.386677E-2</v>
      </c>
      <c r="Z1852">
        <v>-9.234747E-4</v>
      </c>
      <c r="AA1852">
        <v>0.9999034</v>
      </c>
      <c r="AB1852">
        <v>12</v>
      </c>
      <c r="AC1852">
        <v>-2.9969640000000002</v>
      </c>
      <c r="AD1852">
        <v>0.2354012</v>
      </c>
      <c r="AE1852">
        <v>2.7221680000000002E-2</v>
      </c>
      <c r="AF1852">
        <v>4.1476747350228299E-2</v>
      </c>
      <c r="AG1852">
        <v>0.2354012</v>
      </c>
      <c r="AH1852">
        <v>2.97842301330726</v>
      </c>
      <c r="AI1852">
        <v>85.481428669297102</v>
      </c>
      <c r="AJ1852">
        <v>89.202165387473201</v>
      </c>
      <c r="AK1852">
        <v>2.9879989443991599</v>
      </c>
      <c r="AL1852">
        <v>88.480538966903694</v>
      </c>
      <c r="AM1852">
        <v>90.114463947322903</v>
      </c>
      <c r="AN1852">
        <v>1.00000001877973</v>
      </c>
    </row>
    <row r="1853" spans="1:40" x14ac:dyDescent="0.25">
      <c r="A1853" t="str">
        <f>"20190312160635837"</f>
        <v>20190312160635837</v>
      </c>
      <c r="B1853" t="str">
        <f>"1552377995826562"</f>
        <v>1552377995826562</v>
      </c>
      <c r="C1853" t="s">
        <v>40</v>
      </c>
      <c r="D1853">
        <v>6.4752049999999999</v>
      </c>
      <c r="E1853">
        <v>0.50895849999999998</v>
      </c>
      <c r="F1853" t="s">
        <v>41</v>
      </c>
      <c r="G1853">
        <v>0</v>
      </c>
      <c r="H1853">
        <v>0</v>
      </c>
      <c r="I1853">
        <v>0</v>
      </c>
      <c r="J1853">
        <v>-231.70849999999999</v>
      </c>
      <c r="K1853">
        <v>1.1099600000000001</v>
      </c>
      <c r="L1853">
        <v>282.68150000000003</v>
      </c>
      <c r="M1853">
        <v>-0.99992630000000005</v>
      </c>
      <c r="N1853">
        <v>0</v>
      </c>
      <c r="O1853">
        <v>-4.8012050000000002E-3</v>
      </c>
      <c r="P1853">
        <v>-0.99985769999999996</v>
      </c>
      <c r="Q1853">
        <v>1.5322219999999999E-2</v>
      </c>
      <c r="R1853">
        <v>-7.0801669999999896E-3</v>
      </c>
      <c r="S1853">
        <v>-2.997055</v>
      </c>
      <c r="T1853">
        <v>0.23707810000000001</v>
      </c>
      <c r="U1853">
        <v>4.8583979999999999E-2</v>
      </c>
      <c r="V1853">
        <v>-2.2773530000000002E-3</v>
      </c>
      <c r="W1853">
        <v>2.6474069999999999E-2</v>
      </c>
      <c r="X1853">
        <v>0.9996469</v>
      </c>
      <c r="Y1853">
        <v>2.0928780000000001E-2</v>
      </c>
      <c r="Z1853">
        <v>-1.2056289999999999E-3</v>
      </c>
      <c r="AA1853">
        <v>0.99978020000000001</v>
      </c>
      <c r="AB1853">
        <v>12</v>
      </c>
      <c r="AC1853">
        <v>-2.997055</v>
      </c>
      <c r="AD1853">
        <v>0.23707810000000001</v>
      </c>
      <c r="AE1853">
        <v>4.8583979999999999E-2</v>
      </c>
      <c r="AF1853">
        <v>6.2582290981831795E-2</v>
      </c>
      <c r="AG1853">
        <v>0.23707810000000001</v>
      </c>
      <c r="AH1853">
        <v>2.97815657485455</v>
      </c>
      <c r="AI1853">
        <v>85.449530518630795</v>
      </c>
      <c r="AJ1853">
        <v>88.796176961902702</v>
      </c>
      <c r="AK1853">
        <v>2.9882334502166201</v>
      </c>
      <c r="AL1853">
        <v>88.482970269318699</v>
      </c>
      <c r="AM1853">
        <v>90.130528579268301</v>
      </c>
      <c r="AN1853">
        <v>0.99999999369933001</v>
      </c>
    </row>
    <row r="1854" spans="1:40" x14ac:dyDescent="0.25">
      <c r="A1854" t="str">
        <f>"20190312160635858"</f>
        <v>20190312160635858</v>
      </c>
      <c r="B1854" t="str">
        <f>"1552377995847058"</f>
        <v>1552377995847058</v>
      </c>
      <c r="C1854" t="s">
        <v>40</v>
      </c>
      <c r="D1854">
        <v>6.4811500000000004</v>
      </c>
      <c r="E1854">
        <v>0.51039250000000003</v>
      </c>
      <c r="F1854" t="s">
        <v>77</v>
      </c>
      <c r="G1854">
        <v>-282.41210000000001</v>
      </c>
      <c r="H1854" s="1">
        <v>7.5499359999999996E-6</v>
      </c>
      <c r="I1854">
        <v>283.56450000000001</v>
      </c>
      <c r="J1854">
        <v>-231.82210000000001</v>
      </c>
      <c r="K1854">
        <v>1.1099749999999999</v>
      </c>
      <c r="L1854">
        <v>282.68090000000001</v>
      </c>
      <c r="M1854">
        <v>-0.99992490000000001</v>
      </c>
      <c r="N1854">
        <v>0</v>
      </c>
      <c r="O1854">
        <v>-4.7643310000000001E-3</v>
      </c>
      <c r="P1854">
        <v>-0.99986759999999997</v>
      </c>
      <c r="Q1854">
        <v>1.489332E-2</v>
      </c>
      <c r="R1854">
        <v>-6.5637489999999998E-3</v>
      </c>
      <c r="S1854">
        <v>-3.0017849999999999</v>
      </c>
      <c r="T1854">
        <v>-6.5712090000000001E-2</v>
      </c>
      <c r="U1854">
        <v>5.2276610000000001E-2</v>
      </c>
      <c r="V1854">
        <v>-1.79736E-3</v>
      </c>
      <c r="W1854">
        <v>2.618997E-2</v>
      </c>
      <c r="X1854">
        <v>0.99965539999999997</v>
      </c>
      <c r="Y1854">
        <v>2.21698E-2</v>
      </c>
      <c r="Z1854">
        <v>3.4689520000000002E-4</v>
      </c>
      <c r="AA1854">
        <v>0.99975409999999998</v>
      </c>
      <c r="AB1854">
        <v>12</v>
      </c>
      <c r="AC1854">
        <v>-50.59</v>
      </c>
      <c r="AD1854">
        <v>-1.109967450064</v>
      </c>
      <c r="AE1854">
        <v>0.88360000000000105</v>
      </c>
      <c r="AF1854">
        <v>1.1240918878596</v>
      </c>
      <c r="AG1854">
        <v>-1.109967450064</v>
      </c>
      <c r="AH1854">
        <v>50.560883976224197</v>
      </c>
      <c r="AI1854">
        <v>91.257306594385497</v>
      </c>
      <c r="AJ1854">
        <v>88.726384755895793</v>
      </c>
      <c r="AK1854">
        <v>50.5855572151752</v>
      </c>
      <c r="AL1854">
        <v>88.4992537039886</v>
      </c>
      <c r="AM1854">
        <v>90.103016530792203</v>
      </c>
      <c r="AN1854">
        <v>1.0000000318903599</v>
      </c>
    </row>
    <row r="1855" spans="1:40" x14ac:dyDescent="0.25">
      <c r="A1855" t="str">
        <f>"20190312160635881"</f>
        <v>20190312160635881</v>
      </c>
      <c r="B1855" t="str">
        <f>"1552377995866575"</f>
        <v>1552377995866575</v>
      </c>
      <c r="C1855" t="s">
        <v>40</v>
      </c>
      <c r="D1855">
        <v>6.4790269999999897</v>
      </c>
      <c r="E1855">
        <v>0.50995210000000002</v>
      </c>
      <c r="F1855" t="s">
        <v>66</v>
      </c>
      <c r="G1855">
        <v>-274.92930000000001</v>
      </c>
      <c r="H1855" s="1">
        <v>1.129986E-6</v>
      </c>
      <c r="I1855">
        <v>283.61779999999999</v>
      </c>
      <c r="J1855">
        <v>-231.9393</v>
      </c>
      <c r="K1855">
        <v>1.1099920000000001</v>
      </c>
      <c r="L1855">
        <v>282.68040000000002</v>
      </c>
      <c r="M1855">
        <v>-0.99992309999999995</v>
      </c>
      <c r="N1855">
        <v>0</v>
      </c>
      <c r="O1855">
        <v>-4.7298649999999998E-3</v>
      </c>
      <c r="P1855">
        <v>-0.99985979999999997</v>
      </c>
      <c r="Q1855">
        <v>1.558111E-2</v>
      </c>
      <c r="R1855">
        <v>-6.1318529999999996E-3</v>
      </c>
      <c r="S1855">
        <v>-3.0019840000000002</v>
      </c>
      <c r="T1855">
        <v>-7.7298519999999996E-2</v>
      </c>
      <c r="U1855">
        <v>6.5246579999999998E-2</v>
      </c>
      <c r="V1855">
        <v>-1.40026E-3</v>
      </c>
      <c r="W1855">
        <v>2.7047979999999999E-2</v>
      </c>
      <c r="X1855">
        <v>0.99963310000000005</v>
      </c>
      <c r="Y1855">
        <v>2.6447849999999998E-2</v>
      </c>
      <c r="Z1855">
        <v>4.6217289999999999E-4</v>
      </c>
      <c r="AA1855">
        <v>0.99965009999999999</v>
      </c>
      <c r="AB1855">
        <v>12</v>
      </c>
      <c r="AC1855">
        <v>-42.99</v>
      </c>
      <c r="AD1855">
        <v>-1.109990870014</v>
      </c>
      <c r="AE1855">
        <v>0.93739999999996804</v>
      </c>
      <c r="AF1855">
        <v>1.13998015499799</v>
      </c>
      <c r="AG1855">
        <v>-1.109990870014</v>
      </c>
      <c r="AH1855">
        <v>42.956461275550303</v>
      </c>
      <c r="AI1855">
        <v>91.479667388642397</v>
      </c>
      <c r="AJ1855">
        <v>88.479839287851206</v>
      </c>
      <c r="AK1855">
        <v>42.985918622301803</v>
      </c>
      <c r="AL1855">
        <v>88.4500757904149</v>
      </c>
      <c r="AM1855">
        <v>90.080258382547299</v>
      </c>
      <c r="AN1855">
        <v>0.99999994428287697</v>
      </c>
    </row>
    <row r="1856" spans="1:40" x14ac:dyDescent="0.25">
      <c r="A1856" t="str">
        <f>"20190312160635903"</f>
        <v>20190312160635903</v>
      </c>
      <c r="B1856" t="str">
        <f>"1552377995896831"</f>
        <v>1552377995896831</v>
      </c>
      <c r="C1856" t="s">
        <v>40</v>
      </c>
      <c r="D1856">
        <v>6.5355210000000001</v>
      </c>
      <c r="E1856">
        <v>0.50965799999999895</v>
      </c>
      <c r="F1856" t="s">
        <v>66</v>
      </c>
      <c r="G1856">
        <v>-279.00819999999999</v>
      </c>
      <c r="H1856" s="1">
        <v>3.2983389999999998E-6</v>
      </c>
      <c r="I1856">
        <v>283.66950000000003</v>
      </c>
      <c r="J1856">
        <v>-232.0565</v>
      </c>
      <c r="K1856">
        <v>1.1100179999999999</v>
      </c>
      <c r="L1856">
        <v>282.67989999999998</v>
      </c>
      <c r="M1856">
        <v>-0.99992099999999995</v>
      </c>
      <c r="N1856">
        <v>0</v>
      </c>
      <c r="O1856">
        <v>-4.6912880000000001E-3</v>
      </c>
      <c r="P1856">
        <v>-0.99985179999999996</v>
      </c>
      <c r="Q1856">
        <v>1.6188649999999999E-2</v>
      </c>
      <c r="R1856">
        <v>-5.849234E-3</v>
      </c>
      <c r="S1856">
        <v>-3.0019230000000001</v>
      </c>
      <c r="T1856">
        <v>-7.0791960000000001E-2</v>
      </c>
      <c r="U1856">
        <v>6.3079830000000003E-2</v>
      </c>
      <c r="V1856">
        <v>-1.155707E-3</v>
      </c>
      <c r="W1856">
        <v>2.7847810000000001E-2</v>
      </c>
      <c r="X1856">
        <v>0.99961149999999999</v>
      </c>
      <c r="Y1856">
        <v>2.5690399999999999E-2</v>
      </c>
      <c r="Z1856">
        <v>4.1345459999999999E-4</v>
      </c>
      <c r="AA1856">
        <v>0.99966980000000005</v>
      </c>
      <c r="AB1856">
        <v>12</v>
      </c>
      <c r="AC1856">
        <v>-46.951699999999903</v>
      </c>
      <c r="AD1856">
        <v>-1.110014701661</v>
      </c>
      <c r="AE1856">
        <v>0.98960000000005199</v>
      </c>
      <c r="AF1856">
        <v>1.2091924836870001</v>
      </c>
      <c r="AG1856">
        <v>-1.110014701661</v>
      </c>
      <c r="AH1856">
        <v>46.920327075503899</v>
      </c>
      <c r="AI1856">
        <v>91.354768883933701</v>
      </c>
      <c r="AJ1856">
        <v>88.5237465620948</v>
      </c>
      <c r="AK1856">
        <v>46.949029510446501</v>
      </c>
      <c r="AL1856">
        <v>88.404231709506405</v>
      </c>
      <c r="AM1856">
        <v>90.066242839292698</v>
      </c>
      <c r="AN1856">
        <v>0.99999999355635805</v>
      </c>
    </row>
    <row r="1857" spans="1:40" x14ac:dyDescent="0.25">
      <c r="A1857" t="str">
        <f>"20190312160635926"</f>
        <v>20190312160635926</v>
      </c>
      <c r="B1857" t="str">
        <f>"1552377995917344"</f>
        <v>1552377995917344</v>
      </c>
      <c r="C1857" t="s">
        <v>40</v>
      </c>
      <c r="D1857">
        <v>6.2559230000000001</v>
      </c>
      <c r="E1857">
        <v>0.50965799999999895</v>
      </c>
      <c r="F1857" t="s">
        <v>77</v>
      </c>
      <c r="G1857">
        <v>-282.37400000000002</v>
      </c>
      <c r="H1857" s="1">
        <v>7.5365359999999999E-6</v>
      </c>
      <c r="I1857">
        <v>283.71120000000002</v>
      </c>
      <c r="J1857">
        <v>-232.17439999999999</v>
      </c>
      <c r="K1857">
        <v>1.1100570000000001</v>
      </c>
      <c r="L1857">
        <v>282.67939999999999</v>
      </c>
      <c r="M1857">
        <v>-0.99991890000000005</v>
      </c>
      <c r="N1857">
        <v>0</v>
      </c>
      <c r="O1857">
        <v>-4.6494489999999999E-3</v>
      </c>
      <c r="P1857">
        <v>-0.99985279999999999</v>
      </c>
      <c r="Q1857">
        <v>1.639819E-2</v>
      </c>
      <c r="R1857">
        <v>-5.0425879999999998E-3</v>
      </c>
      <c r="S1857">
        <v>-3.001862</v>
      </c>
      <c r="T1857">
        <v>-6.6221479999999999E-2</v>
      </c>
      <c r="U1857">
        <v>6.1523439999999999E-2</v>
      </c>
      <c r="V1857">
        <v>-3.9210550000000002E-4</v>
      </c>
      <c r="W1857">
        <v>2.8257250000000001E-2</v>
      </c>
      <c r="X1857">
        <v>0.99960059999999995</v>
      </c>
      <c r="Y1857">
        <v>2.5132129999999999E-2</v>
      </c>
      <c r="Z1857">
        <v>3.796987E-4</v>
      </c>
      <c r="AA1857">
        <v>0.99968409999999996</v>
      </c>
      <c r="AB1857">
        <v>12</v>
      </c>
      <c r="AC1857">
        <v>-50.199599999999997</v>
      </c>
      <c r="AD1857">
        <v>-1.1100494634639999</v>
      </c>
      <c r="AE1857">
        <v>1.03180000000003</v>
      </c>
      <c r="AF1857">
        <v>1.2645876459201799</v>
      </c>
      <c r="AG1857">
        <v>-1.1100494634639999</v>
      </c>
      <c r="AH1857">
        <v>50.169738443328697</v>
      </c>
      <c r="AI1857">
        <v>91.267110224962707</v>
      </c>
      <c r="AJ1857">
        <v>88.556097796908205</v>
      </c>
      <c r="AK1857">
        <v>50.197948635353299</v>
      </c>
      <c r="AL1857">
        <v>88.380763287887305</v>
      </c>
      <c r="AM1857">
        <v>90.022474965622806</v>
      </c>
      <c r="AN1857">
        <v>0.99999999272232198</v>
      </c>
    </row>
    <row r="1858" spans="1:40" x14ac:dyDescent="0.25">
      <c r="A1858" t="str">
        <f>"20190312160635949"</f>
        <v>20190312160635949</v>
      </c>
      <c r="B1858" t="str">
        <f>"1552377995936846"</f>
        <v>1552377995936846</v>
      </c>
      <c r="C1858" t="s">
        <v>40</v>
      </c>
      <c r="D1858">
        <v>6.0773890000000002</v>
      </c>
      <c r="E1858">
        <v>0.51770989999999995</v>
      </c>
      <c r="F1858" t="s">
        <v>77</v>
      </c>
      <c r="G1858">
        <v>-282.9393</v>
      </c>
      <c r="H1858" s="1">
        <v>7.2755960000000002E-6</v>
      </c>
      <c r="I1858">
        <v>283.76069999999999</v>
      </c>
      <c r="J1858">
        <v>-232.29079999999999</v>
      </c>
      <c r="K1858">
        <v>1.1100890000000001</v>
      </c>
      <c r="L1858">
        <v>282.67899999999997</v>
      </c>
      <c r="M1858">
        <v>-0.9999169</v>
      </c>
      <c r="N1858">
        <v>0</v>
      </c>
      <c r="O1858">
        <v>-4.6073039999999996E-3</v>
      </c>
      <c r="P1858">
        <v>-0.99985639999999998</v>
      </c>
      <c r="Q1858">
        <v>1.6390459999999999E-2</v>
      </c>
      <c r="R1858">
        <v>-4.3239230000000003E-3</v>
      </c>
      <c r="S1858">
        <v>-3.001862</v>
      </c>
      <c r="T1858">
        <v>-6.5640089999999998E-2</v>
      </c>
      <c r="U1858">
        <v>6.3934329999999998E-2</v>
      </c>
      <c r="V1858">
        <v>2.8485069999999998E-4</v>
      </c>
      <c r="W1858">
        <v>2.8436469999999998E-2</v>
      </c>
      <c r="X1858">
        <v>0.99959560000000003</v>
      </c>
      <c r="Y1858">
        <v>2.5892479999999999E-2</v>
      </c>
      <c r="Z1858">
        <v>3.8375280000000001E-4</v>
      </c>
      <c r="AA1858">
        <v>0.99966469999999996</v>
      </c>
      <c r="AB1858">
        <v>12</v>
      </c>
      <c r="AC1858">
        <v>-50.648499999999999</v>
      </c>
      <c r="AD1858">
        <v>-1.110081724404</v>
      </c>
      <c r="AE1858">
        <v>1.0816999999999499</v>
      </c>
      <c r="AF1858">
        <v>1.3144273452752799</v>
      </c>
      <c r="AG1858">
        <v>-1.110081724404</v>
      </c>
      <c r="AH1858">
        <v>50.618673618888103</v>
      </c>
      <c r="AI1858">
        <v>91.2558879407853</v>
      </c>
      <c r="AJ1858">
        <v>88.512520904873298</v>
      </c>
      <c r="AK1858">
        <v>50.647903407904103</v>
      </c>
      <c r="AL1858">
        <v>88.3704906851153</v>
      </c>
      <c r="AM1858">
        <v>89.983672654762003</v>
      </c>
      <c r="AN1858">
        <v>1.00000003875267</v>
      </c>
    </row>
    <row r="1859" spans="1:40" x14ac:dyDescent="0.25">
      <c r="A1859" t="str">
        <f>"20190312160635971"</f>
        <v>20190312160635971</v>
      </c>
      <c r="B1859" t="str">
        <f>"1552377995956367"</f>
        <v>1552377995956367</v>
      </c>
      <c r="C1859" t="s">
        <v>40</v>
      </c>
      <c r="D1859">
        <v>6.4135289999999996</v>
      </c>
      <c r="E1859">
        <v>0.51036669999999995</v>
      </c>
      <c r="F1859" t="s">
        <v>44</v>
      </c>
      <c r="G1859">
        <v>-233.05439999999999</v>
      </c>
      <c r="H1859">
        <v>1.051253</v>
      </c>
      <c r="I1859">
        <v>282.71289999999999</v>
      </c>
      <c r="J1859">
        <v>-232.40440000000001</v>
      </c>
      <c r="K1859">
        <v>1.1101110000000001</v>
      </c>
      <c r="L1859">
        <v>282.67849999999999</v>
      </c>
      <c r="M1859">
        <v>-0.99991490000000005</v>
      </c>
      <c r="N1859">
        <v>0</v>
      </c>
      <c r="O1859">
        <v>-4.5674019999999999E-3</v>
      </c>
      <c r="P1859">
        <v>-0.99985069999999998</v>
      </c>
      <c r="Q1859">
        <v>1.682123E-2</v>
      </c>
      <c r="R1859">
        <v>-3.9855639999999996E-3</v>
      </c>
      <c r="S1859">
        <v>-3.004807</v>
      </c>
      <c r="T1859">
        <v>-0.23163249999999999</v>
      </c>
      <c r="U1859">
        <v>0.1330566</v>
      </c>
      <c r="V1859">
        <v>5.8349580000000001E-4</v>
      </c>
      <c r="W1859">
        <v>2.9031319999999999E-2</v>
      </c>
      <c r="X1859">
        <v>0.99957839999999998</v>
      </c>
      <c r="Y1859">
        <v>4.8643159999999998E-2</v>
      </c>
      <c r="Z1859">
        <v>2.2226250000000002E-3</v>
      </c>
      <c r="AA1859">
        <v>0.99881370000000003</v>
      </c>
      <c r="AB1859">
        <v>12</v>
      </c>
      <c r="AC1859">
        <v>-0.64999999999997704</v>
      </c>
      <c r="AD1859">
        <v>-5.8858000000000001E-2</v>
      </c>
      <c r="AE1859">
        <v>3.4400000000005003E-2</v>
      </c>
      <c r="AF1859">
        <v>3.7065605698884403E-2</v>
      </c>
      <c r="AG1859">
        <v>-5.8858000000000001E-2</v>
      </c>
      <c r="AH1859">
        <v>0.64456577056728404</v>
      </c>
      <c r="AI1859">
        <v>95.208890361115607</v>
      </c>
      <c r="AJ1859">
        <v>86.708843974669406</v>
      </c>
      <c r="AK1859">
        <v>0.64830791748737904</v>
      </c>
      <c r="AL1859">
        <v>88.336394261399093</v>
      </c>
      <c r="AM1859">
        <v>89.966554056283798</v>
      </c>
      <c r="AN1859">
        <v>1.0000000678774199</v>
      </c>
    </row>
    <row r="1860" spans="1:40" x14ac:dyDescent="0.25">
      <c r="A1860" t="str">
        <f>"20190312160635994"</f>
        <v>20190312160635994</v>
      </c>
      <c r="B1860" t="str">
        <f>"1552377995986626"</f>
        <v>1552377995986626</v>
      </c>
      <c r="C1860" t="s">
        <v>40</v>
      </c>
      <c r="D1860">
        <v>6.4816760000000002</v>
      </c>
      <c r="E1860">
        <v>0.50848950000000004</v>
      </c>
      <c r="F1860" t="s">
        <v>66</v>
      </c>
      <c r="G1860">
        <v>-274.81270000000001</v>
      </c>
      <c r="H1860" s="1">
        <v>1.063905E-6</v>
      </c>
      <c r="I1860">
        <v>283.7097</v>
      </c>
      <c r="J1860">
        <v>-232.5232</v>
      </c>
      <c r="K1860">
        <v>1.110133</v>
      </c>
      <c r="L1860">
        <v>282.678</v>
      </c>
      <c r="M1860">
        <v>-0.99991339999999995</v>
      </c>
      <c r="N1860">
        <v>0</v>
      </c>
      <c r="O1860">
        <v>-4.5280240000000003E-3</v>
      </c>
      <c r="P1860">
        <v>-0.99983250000000001</v>
      </c>
      <c r="Q1860">
        <v>1.7797090000000002E-2</v>
      </c>
      <c r="R1860">
        <v>-4.3385460000000004E-3</v>
      </c>
      <c r="S1860">
        <v>-3.0020600000000002</v>
      </c>
      <c r="T1860">
        <v>-7.8584189999999998E-2</v>
      </c>
      <c r="U1860">
        <v>7.2998049999999995E-2</v>
      </c>
      <c r="V1860">
        <v>1.912715E-4</v>
      </c>
      <c r="W1860">
        <v>3.0160449999999998E-2</v>
      </c>
      <c r="X1860">
        <v>0.99954500000000002</v>
      </c>
      <c r="Y1860">
        <v>2.8824160000000001E-2</v>
      </c>
      <c r="Z1860">
        <v>4.9564279999999997E-4</v>
      </c>
      <c r="AA1860">
        <v>0.99958440000000004</v>
      </c>
      <c r="AB1860">
        <v>12</v>
      </c>
      <c r="AC1860">
        <v>-42.289499999999997</v>
      </c>
      <c r="AD1860">
        <v>-1.1101319360949999</v>
      </c>
      <c r="AE1860">
        <v>1.0317000000000001</v>
      </c>
      <c r="AF1860">
        <v>1.22235008958241</v>
      </c>
      <c r="AG1860">
        <v>-1.1101319360949999</v>
      </c>
      <c r="AH1860">
        <v>42.2552935553948</v>
      </c>
      <c r="AI1860">
        <v>91.5043007215708</v>
      </c>
      <c r="AJ1860">
        <v>88.343024753400599</v>
      </c>
      <c r="AK1860">
        <v>42.287543864708297</v>
      </c>
      <c r="AL1860">
        <v>88.271671319816903</v>
      </c>
      <c r="AM1860">
        <v>89.9890359618052</v>
      </c>
      <c r="AN1860">
        <v>0.999999948176993</v>
      </c>
    </row>
    <row r="1861" spans="1:40" x14ac:dyDescent="0.25">
      <c r="A1861" t="str">
        <f>"20190312160636015"</f>
        <v>20190312160636015</v>
      </c>
      <c r="B1861" t="str">
        <f>"1552377996007119"</f>
        <v>1552377996007119</v>
      </c>
      <c r="C1861" t="s">
        <v>40</v>
      </c>
      <c r="D1861">
        <v>6.530767</v>
      </c>
      <c r="E1861">
        <v>0.50921939999999999</v>
      </c>
      <c r="F1861" t="s">
        <v>66</v>
      </c>
      <c r="G1861">
        <v>-276.9393</v>
      </c>
      <c r="H1861" s="1">
        <v>2.203816E-6</v>
      </c>
      <c r="I1861">
        <v>283.52190000000002</v>
      </c>
      <c r="J1861">
        <v>-232.63239999999999</v>
      </c>
      <c r="K1861">
        <v>1.110141</v>
      </c>
      <c r="L1861">
        <v>282.67759999999998</v>
      </c>
      <c r="M1861">
        <v>-0.99991209999999997</v>
      </c>
      <c r="N1861">
        <v>0</v>
      </c>
      <c r="O1861">
        <v>-4.491826E-3</v>
      </c>
      <c r="P1861">
        <v>-0.99982479999999996</v>
      </c>
      <c r="Q1861">
        <v>1.826332E-2</v>
      </c>
      <c r="R1861">
        <v>-4.1764300000000001E-3</v>
      </c>
      <c r="S1861">
        <v>-3.0021059999999999</v>
      </c>
      <c r="T1861">
        <v>-7.5034139999999999E-2</v>
      </c>
      <c r="U1861">
        <v>5.7037350000000001E-2</v>
      </c>
      <c r="V1861">
        <v>3.1728099999999999E-4</v>
      </c>
      <c r="W1861">
        <v>3.075193E-2</v>
      </c>
      <c r="X1861">
        <v>0.99952700000000005</v>
      </c>
      <c r="Y1861">
        <v>2.347813E-2</v>
      </c>
      <c r="Z1861">
        <v>4.0558199999999998E-4</v>
      </c>
      <c r="AA1861">
        <v>0.99972430000000001</v>
      </c>
      <c r="AB1861">
        <v>11</v>
      </c>
      <c r="AC1861">
        <v>-44.306899999999999</v>
      </c>
      <c r="AD1861">
        <v>-1.1101387961839999</v>
      </c>
      <c r="AE1861">
        <v>0.84430000000003202</v>
      </c>
      <c r="AF1861">
        <v>1.0426715162825799</v>
      </c>
      <c r="AG1861">
        <v>-1.1101387961839999</v>
      </c>
      <c r="AH1861">
        <v>44.2748751347753</v>
      </c>
      <c r="AI1861">
        <v>91.435923269229505</v>
      </c>
      <c r="AJ1861">
        <v>88.650936073301693</v>
      </c>
      <c r="AK1861">
        <v>44.3010625181564</v>
      </c>
      <c r="AL1861">
        <v>88.237766377723503</v>
      </c>
      <c r="AM1861">
        <v>89.981812535720195</v>
      </c>
      <c r="AN1861">
        <v>1.00000000279747</v>
      </c>
    </row>
    <row r="1862" spans="1:40" x14ac:dyDescent="0.25">
      <c r="A1862" t="str">
        <f>"20190312160636038"</f>
        <v>20190312160636038</v>
      </c>
      <c r="B1862" t="str">
        <f>"1552377996026642"</f>
        <v>1552377996026642</v>
      </c>
      <c r="C1862" t="s">
        <v>40</v>
      </c>
      <c r="D1862">
        <v>6.5312469999999996</v>
      </c>
      <c r="E1862">
        <v>0.50904070000000001</v>
      </c>
      <c r="F1862" t="s">
        <v>66</v>
      </c>
      <c r="G1862">
        <v>-273.3383</v>
      </c>
      <c r="H1862" s="1">
        <v>2.86950099999999E-7</v>
      </c>
      <c r="I1862">
        <v>283.53489999999999</v>
      </c>
      <c r="J1862">
        <v>-232.74590000000001</v>
      </c>
      <c r="K1862">
        <v>1.110142</v>
      </c>
      <c r="L1862">
        <v>282.6771</v>
      </c>
      <c r="M1862">
        <v>-0.99991070000000004</v>
      </c>
      <c r="N1862">
        <v>0</v>
      </c>
      <c r="O1862">
        <v>-4.4532010000000004E-3</v>
      </c>
      <c r="P1862">
        <v>-0.99981489999999995</v>
      </c>
      <c r="Q1862">
        <v>1.884106E-2</v>
      </c>
      <c r="R1862">
        <v>-3.9323830000000002E-3</v>
      </c>
      <c r="S1862">
        <v>-3.0022739999999999</v>
      </c>
      <c r="T1862">
        <v>-8.1878660000000006E-2</v>
      </c>
      <c r="U1862">
        <v>6.3232419999999998E-2</v>
      </c>
      <c r="V1862">
        <v>5.2268159999999998E-4</v>
      </c>
      <c r="W1862">
        <v>3.1445870000000001E-2</v>
      </c>
      <c r="X1862">
        <v>0.99950530000000004</v>
      </c>
      <c r="Y1862">
        <v>2.5498070000000001E-2</v>
      </c>
      <c r="Z1862">
        <v>4.6901469999999999E-4</v>
      </c>
      <c r="AA1862">
        <v>0.99967470000000003</v>
      </c>
      <c r="AB1862">
        <v>11</v>
      </c>
      <c r="AC1862">
        <v>-40.592399999999998</v>
      </c>
      <c r="AD1862">
        <v>-1.1101417130498901</v>
      </c>
      <c r="AE1862">
        <v>0.85779999999999701</v>
      </c>
      <c r="AF1862">
        <v>1.03779609652466</v>
      </c>
      <c r="AG1862">
        <v>-1.1101417130498901</v>
      </c>
      <c r="AH1862">
        <v>40.5578558352071</v>
      </c>
      <c r="AI1862">
        <v>91.567384625614096</v>
      </c>
      <c r="AJ1862">
        <v>88.534233065254099</v>
      </c>
      <c r="AK1862">
        <v>40.586316725104098</v>
      </c>
      <c r="AL1862">
        <v>88.197987262650699</v>
      </c>
      <c r="AM1862">
        <v>89.970037730686101</v>
      </c>
      <c r="AN1862">
        <v>0.99999998033210002</v>
      </c>
    </row>
    <row r="1863" spans="1:40" x14ac:dyDescent="0.25">
      <c r="A1863" t="str">
        <f>"20190312160636059"</f>
        <v>20190312160636059</v>
      </c>
      <c r="B1863" t="str">
        <f>"1552377996047139"</f>
        <v>1552377996047139</v>
      </c>
      <c r="C1863" t="s">
        <v>40</v>
      </c>
      <c r="D1863">
        <v>6.4122979999999998</v>
      </c>
      <c r="E1863">
        <v>0.48016500000000001</v>
      </c>
      <c r="F1863" t="s">
        <v>66</v>
      </c>
      <c r="G1863">
        <v>-274.17959999999999</v>
      </c>
      <c r="H1863" s="1">
        <v>7.3440830000000005E-7</v>
      </c>
      <c r="I1863">
        <v>283.54000000000002</v>
      </c>
      <c r="J1863">
        <v>-232.85419999999999</v>
      </c>
      <c r="K1863">
        <v>1.1101510000000001</v>
      </c>
      <c r="L1863">
        <v>282.67669999999998</v>
      </c>
      <c r="M1863">
        <v>-0.99990959999999995</v>
      </c>
      <c r="N1863">
        <v>0</v>
      </c>
      <c r="O1863">
        <v>-4.415431E-3</v>
      </c>
      <c r="P1863">
        <v>-0.99981529999999996</v>
      </c>
      <c r="Q1863">
        <v>1.8832129999999999E-2</v>
      </c>
      <c r="R1863">
        <v>-3.9017639999999998E-3</v>
      </c>
      <c r="S1863">
        <v>-3.002319</v>
      </c>
      <c r="T1863">
        <v>-8.0441830000000006E-2</v>
      </c>
      <c r="U1863">
        <v>6.2530520000000006E-2</v>
      </c>
      <c r="V1863">
        <v>5.1562299999999999E-4</v>
      </c>
      <c r="W1863">
        <v>3.1534039999999999E-2</v>
      </c>
      <c r="X1863">
        <v>0.99950249999999996</v>
      </c>
      <c r="Y1863">
        <v>2.5226889999999998E-2</v>
      </c>
      <c r="Z1863">
        <v>4.561379E-4</v>
      </c>
      <c r="AA1863">
        <v>0.99968170000000001</v>
      </c>
      <c r="AB1863">
        <v>11</v>
      </c>
      <c r="AC1863">
        <v>-41.325400000000002</v>
      </c>
      <c r="AD1863">
        <v>-1.1101502655916999</v>
      </c>
      <c r="AE1863">
        <v>0.86330000000003704</v>
      </c>
      <c r="AF1863">
        <v>1.0450219369945399</v>
      </c>
      <c r="AG1863">
        <v>-1.1101502655916999</v>
      </c>
      <c r="AH1863">
        <v>41.291399811878499</v>
      </c>
      <c r="AI1863">
        <v>91.539576270246101</v>
      </c>
      <c r="AJ1863">
        <v>88.550241262870301</v>
      </c>
      <c r="AK1863">
        <v>41.319537786444201</v>
      </c>
      <c r="AL1863">
        <v>88.192932940446099</v>
      </c>
      <c r="AM1863">
        <v>89.970442275933095</v>
      </c>
      <c r="AN1863">
        <v>0.99999995452602297</v>
      </c>
    </row>
    <row r="1864" spans="1:40" x14ac:dyDescent="0.25">
      <c r="A1864" t="str">
        <f>"20190312160636081"</f>
        <v>20190312160636081</v>
      </c>
      <c r="B1864" t="str">
        <f>"1552377996077391"</f>
        <v>1552377996077391</v>
      </c>
      <c r="C1864" t="s">
        <v>40</v>
      </c>
      <c r="D1864">
        <v>6.4588710000000003</v>
      </c>
      <c r="E1864">
        <v>0.4793808</v>
      </c>
      <c r="F1864" t="s">
        <v>66</v>
      </c>
      <c r="G1864">
        <v>-257.40550000000002</v>
      </c>
      <c r="H1864" s="1">
        <v>2.4040569999999999E-6</v>
      </c>
      <c r="I1864">
        <v>281.31200000000001</v>
      </c>
      <c r="J1864">
        <v>-232.96770000000001</v>
      </c>
      <c r="K1864">
        <v>1.1101570000000001</v>
      </c>
      <c r="L1864">
        <v>282.67630000000003</v>
      </c>
      <c r="M1864">
        <v>-0.99990860000000004</v>
      </c>
      <c r="N1864">
        <v>0</v>
      </c>
      <c r="O1864">
        <v>-4.3754680000000004E-3</v>
      </c>
      <c r="P1864">
        <v>-0.9998032</v>
      </c>
      <c r="Q1864">
        <v>1.9505160000000001E-2</v>
      </c>
      <c r="R1864">
        <v>-3.6187760000000002E-3</v>
      </c>
      <c r="S1864">
        <v>-3.0024570000000002</v>
      </c>
      <c r="T1864">
        <v>-0.13576350000000001</v>
      </c>
      <c r="U1864">
        <v>-0.16690060000000001</v>
      </c>
      <c r="V1864">
        <v>7.5850579999999998E-4</v>
      </c>
      <c r="W1864">
        <v>3.229659E-2</v>
      </c>
      <c r="X1864">
        <v>0.99947799999999998</v>
      </c>
      <c r="Y1864">
        <v>-5.1085150000000003E-2</v>
      </c>
      <c r="Z1864">
        <v>-9.558883E-4</v>
      </c>
      <c r="AA1864">
        <v>0.99869379999999996</v>
      </c>
      <c r="AB1864">
        <v>11</v>
      </c>
      <c r="AC1864">
        <v>-24.437799999999999</v>
      </c>
      <c r="AD1864">
        <v>-1.1101545959429999</v>
      </c>
      <c r="AE1864">
        <v>-1.3643000000000101</v>
      </c>
      <c r="AF1864">
        <v>-1.25476997578439</v>
      </c>
      <c r="AG1864">
        <v>-1.1101545959429999</v>
      </c>
      <c r="AH1864">
        <v>24.3933522660924</v>
      </c>
      <c r="AI1864">
        <v>92.602327911244799</v>
      </c>
      <c r="AJ1864">
        <v>92.944643056320601</v>
      </c>
      <c r="AK1864">
        <v>24.450818507704302</v>
      </c>
      <c r="AL1864">
        <v>88.149219780072997</v>
      </c>
      <c r="AM1864">
        <v>89.956518129730696</v>
      </c>
      <c r="AN1864">
        <v>0.99999995877033698</v>
      </c>
    </row>
    <row r="1865" spans="1:40" x14ac:dyDescent="0.25">
      <c r="A1865" t="str">
        <f>"20190312160636104"</f>
        <v>20190312160636104</v>
      </c>
      <c r="B1865" t="str">
        <f>"1552377996096911"</f>
        <v>1552377996096911</v>
      </c>
      <c r="C1865" t="s">
        <v>40</v>
      </c>
      <c r="D1865">
        <v>6.4223730000000003</v>
      </c>
      <c r="E1865">
        <v>0.48047719999999999</v>
      </c>
      <c r="F1865" t="s">
        <v>66</v>
      </c>
      <c r="G1865">
        <v>-251.57859999999999</v>
      </c>
      <c r="H1865" s="1">
        <v>-6.9672370000000004E-7</v>
      </c>
      <c r="I1865">
        <v>281.6139</v>
      </c>
      <c r="J1865">
        <v>-233.08439999999999</v>
      </c>
      <c r="K1865">
        <v>1.1101650000000001</v>
      </c>
      <c r="L1865">
        <v>282.67579999999998</v>
      </c>
      <c r="M1865">
        <v>-0.99990780000000001</v>
      </c>
      <c r="N1865">
        <v>0</v>
      </c>
      <c r="O1865">
        <v>-4.3342600000000004E-3</v>
      </c>
      <c r="P1865">
        <v>-0.99978469999999997</v>
      </c>
      <c r="Q1865">
        <v>2.0483370000000001E-2</v>
      </c>
      <c r="R1865">
        <v>-3.3474070000000002E-3</v>
      </c>
      <c r="S1865">
        <v>-3.0034640000000001</v>
      </c>
      <c r="T1865">
        <v>-0.1791594</v>
      </c>
      <c r="U1865">
        <v>-0.17144779999999901</v>
      </c>
      <c r="V1865">
        <v>9.8853190000000005E-4</v>
      </c>
      <c r="W1865">
        <v>3.3353649999999999E-2</v>
      </c>
      <c r="X1865">
        <v>0.99944310000000003</v>
      </c>
      <c r="Y1865">
        <v>-5.2576989999999997E-2</v>
      </c>
      <c r="Z1865">
        <v>-1.3073539999999999E-3</v>
      </c>
      <c r="AA1865">
        <v>0.99861599999999995</v>
      </c>
      <c r="AB1865">
        <v>11</v>
      </c>
      <c r="AC1865">
        <v>-18.494199999999999</v>
      </c>
      <c r="AD1865">
        <v>-1.1101656967236999</v>
      </c>
      <c r="AE1865">
        <v>-1.0618999999999801</v>
      </c>
      <c r="AF1865">
        <v>-0.97821147446639001</v>
      </c>
      <c r="AG1865">
        <v>-1.1101656967236999</v>
      </c>
      <c r="AH1865">
        <v>18.4324292405576</v>
      </c>
      <c r="AI1865">
        <v>93.441868663900493</v>
      </c>
      <c r="AJ1865">
        <v>93.037844819484803</v>
      </c>
      <c r="AK1865">
        <v>18.491722831340599</v>
      </c>
      <c r="AL1865">
        <v>88.088622076756295</v>
      </c>
      <c r="AM1865">
        <v>89.943329753024898</v>
      </c>
      <c r="AN1865">
        <v>0.99999997665062401</v>
      </c>
    </row>
    <row r="1866" spans="1:40" x14ac:dyDescent="0.25">
      <c r="A1866" t="str">
        <f>"20190312160636127"</f>
        <v>20190312160636127</v>
      </c>
      <c r="B1866" t="str">
        <f>"1552377996116431"</f>
        <v>1552377996116431</v>
      </c>
      <c r="C1866" t="s">
        <v>40</v>
      </c>
      <c r="D1866">
        <v>6.3600589999999997</v>
      </c>
      <c r="E1866">
        <v>0.47990470000000002</v>
      </c>
      <c r="F1866" t="s">
        <v>66</v>
      </c>
      <c r="G1866">
        <v>-251.2869</v>
      </c>
      <c r="H1866" s="1">
        <v>-8.5198769999999896E-7</v>
      </c>
      <c r="I1866">
        <v>281.69510000000002</v>
      </c>
      <c r="J1866">
        <v>-233.19749999999999</v>
      </c>
      <c r="K1866">
        <v>1.110168</v>
      </c>
      <c r="L1866">
        <v>282.67540000000002</v>
      </c>
      <c r="M1866">
        <v>-0.99990699999999999</v>
      </c>
      <c r="N1866">
        <v>0</v>
      </c>
      <c r="O1866">
        <v>-4.2954719999999998E-3</v>
      </c>
      <c r="P1866">
        <v>-0.99979419999999997</v>
      </c>
      <c r="Q1866">
        <v>2.0141450000000002E-2</v>
      </c>
      <c r="R1866">
        <v>-2.4388930000000001E-3</v>
      </c>
      <c r="S1866">
        <v>-3.0038450000000001</v>
      </c>
      <c r="T1866">
        <v>-0.18320449999999999</v>
      </c>
      <c r="U1866">
        <v>-0.1618347</v>
      </c>
      <c r="V1866">
        <v>1.8584820000000001E-3</v>
      </c>
      <c r="W1866">
        <v>3.307914E-2</v>
      </c>
      <c r="X1866">
        <v>0.99945099999999998</v>
      </c>
      <c r="Y1866">
        <v>-4.9424120000000002E-2</v>
      </c>
      <c r="Z1866">
        <v>-1.2431390000000001E-3</v>
      </c>
      <c r="AA1866">
        <v>0.99877709999999997</v>
      </c>
      <c r="AB1866">
        <v>11</v>
      </c>
      <c r="AC1866">
        <v>-18.089400000000001</v>
      </c>
      <c r="AD1866">
        <v>-1.1101688519877</v>
      </c>
      <c r="AE1866">
        <v>-0.98029999999999895</v>
      </c>
      <c r="AF1866">
        <v>-0.89920505882706503</v>
      </c>
      <c r="AG1866">
        <v>-1.1101688519877</v>
      </c>
      <c r="AH1866">
        <v>18.025750388239601</v>
      </c>
      <c r="AI1866">
        <v>93.519911804074397</v>
      </c>
      <c r="AJ1866">
        <v>92.855802486221805</v>
      </c>
      <c r="AK1866">
        <v>18.082276451732099</v>
      </c>
      <c r="AL1866">
        <v>88.104359055441293</v>
      </c>
      <c r="AM1866">
        <v>89.893458456522097</v>
      </c>
      <c r="AN1866">
        <v>0.99999999242974102</v>
      </c>
    </row>
    <row r="1867" spans="1:40" x14ac:dyDescent="0.25">
      <c r="A1867" t="str">
        <f>"20190312160636148"</f>
        <v>20190312160636148</v>
      </c>
      <c r="B1867" t="str">
        <f>"1552377996136927"</f>
        <v>1552377996136927</v>
      </c>
      <c r="C1867" t="s">
        <v>40</v>
      </c>
      <c r="D1867">
        <v>6.3528070000000003</v>
      </c>
      <c r="E1867">
        <v>0.47944360000000003</v>
      </c>
      <c r="F1867" t="s">
        <v>66</v>
      </c>
      <c r="G1867">
        <v>-252.01259999999999</v>
      </c>
      <c r="H1867" s="1">
        <v>-4.6580089999999998E-7</v>
      </c>
      <c r="I1867">
        <v>281.64749999999998</v>
      </c>
      <c r="J1867">
        <v>-233.30430000000001</v>
      </c>
      <c r="K1867">
        <v>1.1101620000000001</v>
      </c>
      <c r="L1867">
        <v>282.67500000000001</v>
      </c>
      <c r="M1867">
        <v>-0.99990650000000003</v>
      </c>
      <c r="N1867">
        <v>0</v>
      </c>
      <c r="O1867">
        <v>-4.2593529999999996E-3</v>
      </c>
      <c r="P1867">
        <v>-0.99980460000000004</v>
      </c>
      <c r="Q1867">
        <v>1.9692339999999999E-2</v>
      </c>
      <c r="R1867">
        <v>-1.817269E-3</v>
      </c>
      <c r="S1867">
        <v>-3.003784</v>
      </c>
      <c r="T1867">
        <v>-0.17723610000000001</v>
      </c>
      <c r="U1867">
        <v>-0.16409299999999999</v>
      </c>
      <c r="V1867">
        <v>2.4439459999999998E-3</v>
      </c>
      <c r="W1867">
        <v>3.2685480000000003E-2</v>
      </c>
      <c r="X1867">
        <v>0.99946270000000004</v>
      </c>
      <c r="Y1867">
        <v>-5.0213889999999997E-2</v>
      </c>
      <c r="Z1867">
        <v>-1.228102E-3</v>
      </c>
      <c r="AA1867">
        <v>0.99873780000000001</v>
      </c>
      <c r="AB1867">
        <v>11</v>
      </c>
      <c r="AC1867">
        <v>-18.708299999999898</v>
      </c>
      <c r="AD1867">
        <v>-1.1101624658008999</v>
      </c>
      <c r="AE1867">
        <v>-1.0275000000000301</v>
      </c>
      <c r="AF1867">
        <v>-0.94448287957684895</v>
      </c>
      <c r="AG1867">
        <v>-1.1101624658008999</v>
      </c>
      <c r="AH1867">
        <v>18.6470425486831</v>
      </c>
      <c r="AI1867">
        <v>93.402763895278895</v>
      </c>
      <c r="AJ1867">
        <v>92.899584582433505</v>
      </c>
      <c r="AK1867">
        <v>18.703922166826001</v>
      </c>
      <c r="AL1867">
        <v>88.126926332219</v>
      </c>
      <c r="AM1867">
        <v>89.859897210701604</v>
      </c>
      <c r="AN1867">
        <v>1.0000000010830801</v>
      </c>
    </row>
    <row r="1868" spans="1:40" x14ac:dyDescent="0.25">
      <c r="A1868" t="str">
        <f>"20190312160636196"</f>
        <v>20190312160636196</v>
      </c>
      <c r="B1868" t="str">
        <f>"1552377996186703"</f>
        <v>1552377996186703</v>
      </c>
      <c r="C1868" t="s">
        <v>40</v>
      </c>
      <c r="D1868">
        <v>6.3730929999999999</v>
      </c>
      <c r="E1868">
        <v>0.47907</v>
      </c>
      <c r="F1868" t="s">
        <v>66</v>
      </c>
      <c r="G1868">
        <v>-253.1943</v>
      </c>
      <c r="H1868" s="1">
        <v>1.630486E-7</v>
      </c>
      <c r="I1868">
        <v>281.57319999999999</v>
      </c>
      <c r="J1868">
        <v>-233.54130000000001</v>
      </c>
      <c r="K1868">
        <v>1.110168</v>
      </c>
      <c r="L1868">
        <v>282.67410000000001</v>
      </c>
      <c r="M1868">
        <v>-0.9999055</v>
      </c>
      <c r="N1868">
        <v>0</v>
      </c>
      <c r="O1868">
        <v>-4.1778650000000002E-3</v>
      </c>
      <c r="P1868">
        <v>-0.99981640000000005</v>
      </c>
      <c r="Q1868">
        <v>1.915209E-2</v>
      </c>
      <c r="R1868">
        <v>-4.6263659999999998E-4</v>
      </c>
      <c r="S1868">
        <v>-3.0036010000000002</v>
      </c>
      <c r="T1868">
        <v>-0.16764660000000001</v>
      </c>
      <c r="U1868">
        <v>-0.1663818</v>
      </c>
      <c r="V1868">
        <v>3.71711E-3</v>
      </c>
      <c r="W1868">
        <v>3.2244160000000001E-2</v>
      </c>
      <c r="X1868">
        <v>0.9994731</v>
      </c>
      <c r="Y1868">
        <v>-5.1064270000000002E-2</v>
      </c>
      <c r="Z1868">
        <v>-1.1900439999999999E-3</v>
      </c>
      <c r="AA1868">
        <v>0.99869470000000005</v>
      </c>
      <c r="AB1868">
        <v>11</v>
      </c>
      <c r="AC1868">
        <v>-19.652999999999899</v>
      </c>
      <c r="AD1868">
        <v>-1.1101678369513901</v>
      </c>
      <c r="AE1868">
        <v>-1.10090000000002</v>
      </c>
      <c r="AF1868">
        <v>-1.0155453518998701</v>
      </c>
      <c r="AG1868">
        <v>-1.1101678369513901</v>
      </c>
      <c r="AH1868">
        <v>19.5950969343934</v>
      </c>
      <c r="AI1868">
        <v>93.238311335558393</v>
      </c>
      <c r="AJ1868">
        <v>92.966785545550096</v>
      </c>
      <c r="AK1868">
        <v>19.652776619507001</v>
      </c>
      <c r="AL1868">
        <v>88.152225421378404</v>
      </c>
      <c r="AM1868">
        <v>89.786913991906701</v>
      </c>
      <c r="AN1868">
        <v>0.99999999019223296</v>
      </c>
    </row>
    <row r="1869" spans="1:40" x14ac:dyDescent="0.25">
      <c r="A1869" t="str">
        <f>"20190312160636215"</f>
        <v>20190312160636215</v>
      </c>
      <c r="B1869" t="str">
        <f>"1552377996207199"</f>
        <v>1552377996207199</v>
      </c>
      <c r="C1869" t="s">
        <v>40</v>
      </c>
      <c r="D1869">
        <v>6.3009700000000004</v>
      </c>
      <c r="E1869">
        <v>0.47878320000000002</v>
      </c>
      <c r="F1869" t="s">
        <v>66</v>
      </c>
      <c r="G1869">
        <v>-253.26939999999999</v>
      </c>
      <c r="H1869" s="1">
        <v>2.030312E-7</v>
      </c>
      <c r="I1869">
        <v>281.58870000000002</v>
      </c>
      <c r="J1869">
        <v>-233.64580000000001</v>
      </c>
      <c r="K1869">
        <v>1.1101749999999999</v>
      </c>
      <c r="L1869">
        <v>282.6737</v>
      </c>
      <c r="M1869">
        <v>-0.9999053</v>
      </c>
      <c r="N1869">
        <v>0</v>
      </c>
      <c r="O1869">
        <v>-4.1420889999999998E-3</v>
      </c>
      <c r="P1869">
        <v>-0.99980469999999999</v>
      </c>
      <c r="Q1869">
        <v>1.9767170000000001E-2</v>
      </c>
      <c r="R1869">
        <v>3.4516069999999998E-4</v>
      </c>
      <c r="S1869">
        <v>-3.003708</v>
      </c>
      <c r="T1869">
        <v>-0.16902899999999901</v>
      </c>
      <c r="U1869">
        <v>-0.1652527</v>
      </c>
      <c r="V1869">
        <v>4.4891710000000001E-3</v>
      </c>
      <c r="W1869">
        <v>3.2893270000000002E-2</v>
      </c>
      <c r="X1869">
        <v>0.99944880000000003</v>
      </c>
      <c r="Y1869">
        <v>-5.0723020000000001E-2</v>
      </c>
      <c r="Z1869">
        <v>-1.1922339999999999E-3</v>
      </c>
      <c r="AA1869">
        <v>0.99871209999999999</v>
      </c>
      <c r="AB1869">
        <v>11</v>
      </c>
      <c r="AC1869">
        <v>-19.6235999999999</v>
      </c>
      <c r="AD1869">
        <v>-1.1101747969687901</v>
      </c>
      <c r="AE1869">
        <v>-1.08499999999997</v>
      </c>
      <c r="AF1869">
        <v>-1.00050856849742</v>
      </c>
      <c r="AG1869">
        <v>-1.1101747969687901</v>
      </c>
      <c r="AH1869">
        <v>19.5654965764761</v>
      </c>
      <c r="AI1869">
        <v>93.243335048896697</v>
      </c>
      <c r="AJ1869">
        <v>92.927348636754402</v>
      </c>
      <c r="AK1869">
        <v>19.622491222053299</v>
      </c>
      <c r="AL1869">
        <v>88.115014457259704</v>
      </c>
      <c r="AM1869">
        <v>89.742649326206703</v>
      </c>
      <c r="AN1869">
        <v>1.0000000118445</v>
      </c>
    </row>
    <row r="1870" spans="1:40" x14ac:dyDescent="0.25">
      <c r="A1870" t="str">
        <f>"20190312160636238"</f>
        <v>20190312160636238</v>
      </c>
      <c r="B1870" t="str">
        <f>"1552377996226719"</f>
        <v>1552377996226719</v>
      </c>
      <c r="C1870" t="s">
        <v>40</v>
      </c>
      <c r="D1870">
        <v>6.2852550000000003</v>
      </c>
      <c r="E1870">
        <v>0.47861179999999898</v>
      </c>
      <c r="F1870" t="s">
        <v>66</v>
      </c>
      <c r="G1870">
        <v>-253.75020000000001</v>
      </c>
      <c r="H1870" s="1">
        <v>4.5888609999999999E-7</v>
      </c>
      <c r="I1870">
        <v>281.5677</v>
      </c>
      <c r="J1870">
        <v>-233.7561</v>
      </c>
      <c r="K1870">
        <v>1.1101799999999999</v>
      </c>
      <c r="L1870">
        <v>282.67329999999998</v>
      </c>
      <c r="M1870">
        <v>-0.99990489999999999</v>
      </c>
      <c r="N1870">
        <v>0</v>
      </c>
      <c r="O1870">
        <v>-4.103672E-3</v>
      </c>
      <c r="P1870">
        <v>-0.99979479999999998</v>
      </c>
      <c r="Q1870">
        <v>2.0207240000000001E-2</v>
      </c>
      <c r="R1870">
        <v>1.5189649999999999E-3</v>
      </c>
      <c r="S1870">
        <v>-3.0039220000000002</v>
      </c>
      <c r="T1870">
        <v>-0.1658781</v>
      </c>
      <c r="U1870">
        <v>-0.1652527</v>
      </c>
      <c r="V1870">
        <v>5.6245039999999998E-3</v>
      </c>
      <c r="W1870">
        <v>3.3363660000000003E-2</v>
      </c>
      <c r="X1870">
        <v>0.99942739999999997</v>
      </c>
      <c r="Y1870">
        <v>-5.0760109999999997E-2</v>
      </c>
      <c r="Z1870">
        <v>-1.173101E-3</v>
      </c>
      <c r="AA1870">
        <v>0.99871019999999999</v>
      </c>
      <c r="AB1870">
        <v>11</v>
      </c>
      <c r="AC1870">
        <v>-19.9941</v>
      </c>
      <c r="AD1870">
        <v>-1.1101795411138999</v>
      </c>
      <c r="AE1870">
        <v>-1.1055999999999799</v>
      </c>
      <c r="AF1870">
        <v>-1.0203979846262801</v>
      </c>
      <c r="AG1870">
        <v>-1.1101795411138999</v>
      </c>
      <c r="AH1870">
        <v>19.937188752914398</v>
      </c>
      <c r="AI1870">
        <v>93.183000946586802</v>
      </c>
      <c r="AJ1870">
        <v>92.9298779445474</v>
      </c>
      <c r="AK1870">
        <v>19.994129289115701</v>
      </c>
      <c r="AL1870">
        <v>88.088048172504898</v>
      </c>
      <c r="AM1870">
        <v>89.677558430973605</v>
      </c>
      <c r="AN1870">
        <v>0.999999948362299</v>
      </c>
    </row>
    <row r="1871" spans="1:40" x14ac:dyDescent="0.25">
      <c r="A1871" t="str">
        <f>"20190312160636260"</f>
        <v>20190312160636260</v>
      </c>
      <c r="B1871" t="str">
        <f>"1552377996247216"</f>
        <v>1552377996247216</v>
      </c>
      <c r="C1871" t="s">
        <v>40</v>
      </c>
      <c r="D1871">
        <v>6.3999389999999998</v>
      </c>
      <c r="E1871">
        <v>0.47843980000000003</v>
      </c>
      <c r="F1871" t="s">
        <v>66</v>
      </c>
      <c r="G1871">
        <v>-254.63550000000001</v>
      </c>
      <c r="H1871" s="1">
        <v>9.2999870000000004E-7</v>
      </c>
      <c r="I1871">
        <v>281.53879999999998</v>
      </c>
      <c r="J1871">
        <v>-233.86240000000001</v>
      </c>
      <c r="K1871">
        <v>1.1101810000000001</v>
      </c>
      <c r="L1871">
        <v>282.67290000000003</v>
      </c>
      <c r="M1871">
        <v>-0.99990480000000004</v>
      </c>
      <c r="N1871">
        <v>0</v>
      </c>
      <c r="O1871">
        <v>-4.0679540000000004E-3</v>
      </c>
      <c r="P1871">
        <v>-0.99978710000000004</v>
      </c>
      <c r="Q1871">
        <v>2.036526E-2</v>
      </c>
      <c r="R1871">
        <v>3.3192460000000001E-3</v>
      </c>
      <c r="S1871">
        <v>-3.004089</v>
      </c>
      <c r="T1871">
        <v>-0.15973019999999999</v>
      </c>
      <c r="U1871">
        <v>-0.16323850000000001</v>
      </c>
      <c r="V1871">
        <v>7.3889680000000001E-3</v>
      </c>
      <c r="W1871">
        <v>3.3547130000000001E-2</v>
      </c>
      <c r="X1871">
        <v>0.99940980000000001</v>
      </c>
      <c r="Y1871">
        <v>-5.0131090000000003E-2</v>
      </c>
      <c r="Z1871">
        <v>-1.11484E-3</v>
      </c>
      <c r="AA1871">
        <v>0.99874200000000002</v>
      </c>
      <c r="AB1871">
        <v>11</v>
      </c>
      <c r="AC1871">
        <v>-20.773099999999999</v>
      </c>
      <c r="AD1871">
        <v>-1.11018007000129</v>
      </c>
      <c r="AE1871">
        <v>-1.1341000000000401</v>
      </c>
      <c r="AF1871">
        <v>-1.0465988709883201</v>
      </c>
      <c r="AG1871">
        <v>-1.11018007000129</v>
      </c>
      <c r="AH1871">
        <v>20.718542108899001</v>
      </c>
      <c r="AI1871">
        <v>93.063298934269596</v>
      </c>
      <c r="AJ1871">
        <v>92.891842944000601</v>
      </c>
      <c r="AK1871">
        <v>20.7746445481698</v>
      </c>
      <c r="AL1871">
        <v>88.077530283604005</v>
      </c>
      <c r="AM1871">
        <v>89.576401024023596</v>
      </c>
      <c r="AN1871">
        <v>0.99999997755768999</v>
      </c>
    </row>
    <row r="1872" spans="1:40" x14ac:dyDescent="0.25">
      <c r="A1872" t="str">
        <f>"20190312160636284"</f>
        <v>20190312160636284</v>
      </c>
      <c r="B1872" t="str">
        <f>"1552377996276496"</f>
        <v>1552377996276496</v>
      </c>
      <c r="C1872" t="s">
        <v>40</v>
      </c>
      <c r="D1872">
        <v>6.373151</v>
      </c>
      <c r="E1872">
        <v>0.47825040000000002</v>
      </c>
      <c r="F1872" t="s">
        <v>66</v>
      </c>
      <c r="G1872">
        <v>-255.346</v>
      </c>
      <c r="H1872" s="1">
        <v>1.308067E-6</v>
      </c>
      <c r="I1872">
        <v>281.53280000000001</v>
      </c>
      <c r="J1872">
        <v>-233.97989999999999</v>
      </c>
      <c r="K1872">
        <v>1.110188</v>
      </c>
      <c r="L1872">
        <v>282.67239999999998</v>
      </c>
      <c r="M1872">
        <v>-0.99990480000000004</v>
      </c>
      <c r="N1872">
        <v>0</v>
      </c>
      <c r="O1872">
        <v>-4.0284120000000003E-3</v>
      </c>
      <c r="P1872">
        <v>-0.99977179999999999</v>
      </c>
      <c r="Q1872">
        <v>2.0980849999999999E-2</v>
      </c>
      <c r="R1872">
        <v>4.0842329999999996E-3</v>
      </c>
      <c r="S1872">
        <v>-3.004318</v>
      </c>
      <c r="T1872">
        <v>-0.1552502</v>
      </c>
      <c r="U1872">
        <v>-0.15942379999999901</v>
      </c>
      <c r="V1872">
        <v>8.114596E-3</v>
      </c>
      <c r="W1872">
        <v>3.4186210000000002E-2</v>
      </c>
      <c r="X1872">
        <v>0.99938260000000001</v>
      </c>
      <c r="Y1872">
        <v>-4.8907100000000002E-2</v>
      </c>
      <c r="Z1872">
        <v>-1.0540269999999999E-3</v>
      </c>
      <c r="AA1872">
        <v>0.99880279999999999</v>
      </c>
      <c r="AB1872">
        <v>11</v>
      </c>
      <c r="AC1872">
        <v>-21.3660999999999</v>
      </c>
      <c r="AD1872">
        <v>-1.1101866919329999</v>
      </c>
      <c r="AE1872">
        <v>-1.13959999999997</v>
      </c>
      <c r="AF1872">
        <v>-1.05068314952911</v>
      </c>
      <c r="AG1872">
        <v>-1.1101866919329999</v>
      </c>
      <c r="AH1872">
        <v>21.313138488539099</v>
      </c>
      <c r="AI1872">
        <v>92.978192630159498</v>
      </c>
      <c r="AJ1872">
        <v>92.822250442371598</v>
      </c>
      <c r="AK1872">
        <v>21.367880610937899</v>
      </c>
      <c r="AL1872">
        <v>88.040892844866093</v>
      </c>
      <c r="AM1872">
        <v>89.534790893595599</v>
      </c>
      <c r="AN1872">
        <v>1.00000006240258</v>
      </c>
    </row>
    <row r="1873" spans="1:40" x14ac:dyDescent="0.25">
      <c r="A1873" t="str">
        <f>"20190312160636306"</f>
        <v>20190312160636306</v>
      </c>
      <c r="B1873" t="str">
        <f>"1552377996296991"</f>
        <v>1552377996296991</v>
      </c>
      <c r="C1873" t="s">
        <v>40</v>
      </c>
      <c r="D1873">
        <v>6.4076709999999997</v>
      </c>
      <c r="E1873">
        <v>0.47811310000000001</v>
      </c>
      <c r="F1873" t="s">
        <v>66</v>
      </c>
      <c r="G1873">
        <v>-255.6516</v>
      </c>
      <c r="H1873" s="1">
        <v>1.4707040000000001E-6</v>
      </c>
      <c r="I1873">
        <v>281.52850000000001</v>
      </c>
      <c r="J1873">
        <v>-234.0924</v>
      </c>
      <c r="K1873">
        <v>1.1101920000000001</v>
      </c>
      <c r="L1873">
        <v>282.6721</v>
      </c>
      <c r="M1873">
        <v>-0.99990469999999998</v>
      </c>
      <c r="N1873">
        <v>0</v>
      </c>
      <c r="O1873">
        <v>-3.9903930000000001E-3</v>
      </c>
      <c r="P1873">
        <v>-0.99973860000000003</v>
      </c>
      <c r="Q1873">
        <v>2.2367930000000001E-2</v>
      </c>
      <c r="R1873">
        <v>4.8018050000000001E-3</v>
      </c>
      <c r="S1873">
        <v>-3.004562</v>
      </c>
      <c r="T1873">
        <v>-0.15391659999999999</v>
      </c>
      <c r="U1873">
        <v>-0.15859989999999999</v>
      </c>
      <c r="V1873">
        <v>8.7940569999999992E-3</v>
      </c>
      <c r="W1873">
        <v>3.5592020000000002E-2</v>
      </c>
      <c r="X1873">
        <v>0.99932770000000004</v>
      </c>
      <c r="Y1873">
        <v>-4.8668929999999999E-2</v>
      </c>
      <c r="Z1873">
        <v>-1.0407610000000001E-3</v>
      </c>
      <c r="AA1873">
        <v>0.99881439999999999</v>
      </c>
      <c r="AB1873">
        <v>11</v>
      </c>
      <c r="AC1873">
        <v>-21.559200000000001</v>
      </c>
      <c r="AD1873">
        <v>-1.1101905292959999</v>
      </c>
      <c r="AE1873">
        <v>-1.14359999999999</v>
      </c>
      <c r="AF1873">
        <v>-1.0547645923952</v>
      </c>
      <c r="AG1873">
        <v>-1.1101905292959999</v>
      </c>
      <c r="AH1873">
        <v>21.5067220730337</v>
      </c>
      <c r="AI1873">
        <v>92.951480195534998</v>
      </c>
      <c r="AJ1873">
        <v>92.8077350071474</v>
      </c>
      <c r="AK1873">
        <v>21.5611721778623</v>
      </c>
      <c r="AL1873">
        <v>87.960296647272799</v>
      </c>
      <c r="AM1873">
        <v>89.495811688984404</v>
      </c>
      <c r="AN1873">
        <v>0.99999998965674397</v>
      </c>
    </row>
    <row r="1874" spans="1:40" x14ac:dyDescent="0.25">
      <c r="A1874" t="str">
        <f>"20190312160636328"</f>
        <v>20190312160636328</v>
      </c>
      <c r="B1874" t="str">
        <f>"1552377996316511"</f>
        <v>1552377996316511</v>
      </c>
      <c r="C1874" t="s">
        <v>40</v>
      </c>
      <c r="D1874">
        <v>6.3768630000000002</v>
      </c>
      <c r="E1874">
        <v>0.47794799999999998</v>
      </c>
      <c r="F1874" t="s">
        <v>66</v>
      </c>
      <c r="G1874">
        <v>-256.24079999999998</v>
      </c>
      <c r="H1874" s="1">
        <v>1.7842800000000001E-6</v>
      </c>
      <c r="I1874">
        <v>281.5127</v>
      </c>
      <c r="J1874">
        <v>-234.1994</v>
      </c>
      <c r="K1874">
        <v>1.1101939999999999</v>
      </c>
      <c r="L1874">
        <v>282.67169999999999</v>
      </c>
      <c r="M1874">
        <v>-0.99990460000000003</v>
      </c>
      <c r="N1874">
        <v>0</v>
      </c>
      <c r="O1874">
        <v>-3.9536650000000003E-3</v>
      </c>
      <c r="P1874">
        <v>-0.99974189999999996</v>
      </c>
      <c r="Q1874">
        <v>2.2214060000000001E-2</v>
      </c>
      <c r="R1874">
        <v>4.7829109999999999E-3</v>
      </c>
      <c r="S1874">
        <v>-3.0049290000000002</v>
      </c>
      <c r="T1874">
        <v>-0.150621799999999</v>
      </c>
      <c r="U1874">
        <v>-0.1572876</v>
      </c>
      <c r="V1874">
        <v>8.7382580000000005E-3</v>
      </c>
      <c r="W1874">
        <v>3.5453819999999997E-2</v>
      </c>
      <c r="X1874">
        <v>0.99933309999999997</v>
      </c>
      <c r="Y1874">
        <v>-4.8267160000000003E-2</v>
      </c>
      <c r="Z1874">
        <v>-1.0101800000000001E-3</v>
      </c>
      <c r="AA1874">
        <v>0.998834</v>
      </c>
      <c r="AB1874">
        <v>11</v>
      </c>
      <c r="AC1874">
        <v>-22.0413999999999</v>
      </c>
      <c r="AD1874">
        <v>-1.1101922157199999</v>
      </c>
      <c r="AE1874">
        <v>-1.15899999999999</v>
      </c>
      <c r="AF1874">
        <v>-1.06913409625032</v>
      </c>
      <c r="AG1874">
        <v>-1.1101922157199999</v>
      </c>
      <c r="AH1874">
        <v>21.9901754680889</v>
      </c>
      <c r="AI1874">
        <v>92.886766978540393</v>
      </c>
      <c r="AJ1874">
        <v>92.7834554554981</v>
      </c>
      <c r="AK1874">
        <v>22.044123742824301</v>
      </c>
      <c r="AL1874">
        <v>87.968219920653496</v>
      </c>
      <c r="AM1874">
        <v>89.499013347859403</v>
      </c>
      <c r="AN1874">
        <v>0.99999998763053799</v>
      </c>
    </row>
    <row r="1875" spans="1:40" x14ac:dyDescent="0.25">
      <c r="A1875" t="str">
        <f>"20190312160636349"</f>
        <v>20190312160636349</v>
      </c>
      <c r="B1875" t="str">
        <f>"1552377996337007"</f>
        <v>1552377996337007</v>
      </c>
      <c r="C1875" t="s">
        <v>40</v>
      </c>
      <c r="D1875">
        <v>6.4163489999999896</v>
      </c>
      <c r="E1875">
        <v>0.4778869</v>
      </c>
      <c r="F1875" t="s">
        <v>66</v>
      </c>
      <c r="G1875">
        <v>-256.10849999999999</v>
      </c>
      <c r="H1875" s="1">
        <v>1.7138560000000001E-6</v>
      </c>
      <c r="I1875">
        <v>281.5127</v>
      </c>
      <c r="J1875">
        <v>-234.30269999999999</v>
      </c>
      <c r="K1875">
        <v>1.110204</v>
      </c>
      <c r="L1875">
        <v>282.67129999999997</v>
      </c>
      <c r="M1875">
        <v>-0.99990460000000003</v>
      </c>
      <c r="N1875">
        <v>0</v>
      </c>
      <c r="O1875">
        <v>-3.9183480000000003E-3</v>
      </c>
      <c r="P1875">
        <v>-0.99974609999999997</v>
      </c>
      <c r="Q1875">
        <v>2.2030549999999999E-2</v>
      </c>
      <c r="R1875">
        <v>4.7528910000000004E-3</v>
      </c>
      <c r="S1875">
        <v>-3.0049440000000001</v>
      </c>
      <c r="T1875">
        <v>-0.1522684</v>
      </c>
      <c r="U1875">
        <v>-0.1589661</v>
      </c>
      <c r="V1875">
        <v>8.6728689999999997E-3</v>
      </c>
      <c r="W1875">
        <v>3.5282750000000002E-2</v>
      </c>
      <c r="X1875">
        <v>0.9993398</v>
      </c>
      <c r="Y1875">
        <v>-4.8856520000000001E-2</v>
      </c>
      <c r="Z1875">
        <v>-1.037889E-3</v>
      </c>
      <c r="AA1875">
        <v>0.99880530000000001</v>
      </c>
      <c r="AB1875">
        <v>11</v>
      </c>
      <c r="AC1875">
        <v>-21.805800000000001</v>
      </c>
      <c r="AD1875">
        <v>-1.110202286144</v>
      </c>
      <c r="AE1875">
        <v>-1.1585999999999701</v>
      </c>
      <c r="AF1875">
        <v>-1.0703741355259699</v>
      </c>
      <c r="AG1875">
        <v>-1.110202286144</v>
      </c>
      <c r="AH1875">
        <v>21.753942024792401</v>
      </c>
      <c r="AI1875">
        <v>92.918004748144497</v>
      </c>
      <c r="AJ1875">
        <v>92.816891783373293</v>
      </c>
      <c r="AK1875">
        <v>21.808536024322901</v>
      </c>
      <c r="AL1875">
        <v>87.978027799463604</v>
      </c>
      <c r="AM1875">
        <v>89.502765410845996</v>
      </c>
      <c r="AN1875">
        <v>1.0000000634841399</v>
      </c>
    </row>
    <row r="1876" spans="1:40" x14ac:dyDescent="0.25">
      <c r="A1876" t="str">
        <f>"20190312160636374"</f>
        <v>20190312160636374</v>
      </c>
      <c r="B1876" t="str">
        <f>"1552377996367263"</f>
        <v>1552377996367263</v>
      </c>
      <c r="C1876" t="s">
        <v>40</v>
      </c>
      <c r="D1876">
        <v>6.3839870000000003</v>
      </c>
      <c r="E1876">
        <v>0.4725896</v>
      </c>
      <c r="F1876" t="s">
        <v>66</v>
      </c>
      <c r="G1876">
        <v>-255.87219999999999</v>
      </c>
      <c r="H1876" s="1">
        <v>1.5881000000000001E-6</v>
      </c>
      <c r="I1876">
        <v>281.52519999999998</v>
      </c>
      <c r="J1876">
        <v>-234.42070000000001</v>
      </c>
      <c r="K1876">
        <v>1.1102099999999999</v>
      </c>
      <c r="L1876">
        <v>282.67090000000002</v>
      </c>
      <c r="M1876">
        <v>-0.99990449999999997</v>
      </c>
      <c r="N1876">
        <v>0</v>
      </c>
      <c r="O1876">
        <v>-3.8771890000000001E-3</v>
      </c>
      <c r="P1876">
        <v>-0.99974669999999999</v>
      </c>
      <c r="Q1876">
        <v>2.2088750000000001E-2</v>
      </c>
      <c r="R1876">
        <v>4.328648E-3</v>
      </c>
      <c r="S1876">
        <v>-3.0049290000000002</v>
      </c>
      <c r="T1876">
        <v>-0.15466649999999901</v>
      </c>
      <c r="U1876">
        <v>-0.159668</v>
      </c>
      <c r="V1876">
        <v>8.2074179999999993E-3</v>
      </c>
      <c r="W1876">
        <v>3.5353750000000003E-2</v>
      </c>
      <c r="X1876">
        <v>0.99934109999999998</v>
      </c>
      <c r="Y1876">
        <v>-4.9128320000000003E-2</v>
      </c>
      <c r="Z1876">
        <v>-1.063313E-3</v>
      </c>
      <c r="AA1876">
        <v>0.99879189999999995</v>
      </c>
      <c r="AB1876">
        <v>11</v>
      </c>
      <c r="AC1876">
        <v>-21.4514999999999</v>
      </c>
      <c r="AD1876">
        <v>-1.1102084119</v>
      </c>
      <c r="AE1876">
        <v>-1.1457000000000299</v>
      </c>
      <c r="AF1876">
        <v>-1.05968225004255</v>
      </c>
      <c r="AG1876">
        <v>-1.1102084119</v>
      </c>
      <c r="AH1876">
        <v>21.398627757688399</v>
      </c>
      <c r="AI1876">
        <v>92.966341095113194</v>
      </c>
      <c r="AJ1876">
        <v>92.835030486122093</v>
      </c>
      <c r="AK1876">
        <v>21.4535954819005</v>
      </c>
      <c r="AL1876">
        <v>87.973957013088395</v>
      </c>
      <c r="AM1876">
        <v>89.529450115038898</v>
      </c>
      <c r="AN1876">
        <v>0.999999941749247</v>
      </c>
    </row>
    <row r="1877" spans="1:40" x14ac:dyDescent="0.25">
      <c r="A1877" t="str">
        <f>"20190312160636396"</f>
        <v>20190312160636396</v>
      </c>
      <c r="B1877" t="str">
        <f>"1552377996386785"</f>
        <v>1552377996386785</v>
      </c>
      <c r="C1877" t="s">
        <v>40</v>
      </c>
      <c r="D1877">
        <v>6.6849460000000001</v>
      </c>
      <c r="E1877">
        <v>0.47704429999999998</v>
      </c>
      <c r="F1877" t="s">
        <v>66</v>
      </c>
      <c r="G1877">
        <v>-245.42760000000001</v>
      </c>
      <c r="H1877" s="1">
        <v>1.351487E-6</v>
      </c>
      <c r="I1877">
        <v>281.9325</v>
      </c>
      <c r="J1877">
        <v>-234.5308</v>
      </c>
      <c r="K1877">
        <v>1.110212</v>
      </c>
      <c r="L1877">
        <v>282.6705</v>
      </c>
      <c r="M1877">
        <v>-0.99990449999999997</v>
      </c>
      <c r="N1877">
        <v>0</v>
      </c>
      <c r="O1877">
        <v>-3.8395819999999998E-3</v>
      </c>
      <c r="P1877">
        <v>-0.99974790000000002</v>
      </c>
      <c r="Q1877">
        <v>2.2187620000000002E-2</v>
      </c>
      <c r="R1877">
        <v>3.440977E-3</v>
      </c>
      <c r="S1877">
        <v>-3.0083470000000001</v>
      </c>
      <c r="T1877">
        <v>-0.30343870000000001</v>
      </c>
      <c r="U1877">
        <v>-0.20181270000000001</v>
      </c>
      <c r="V1877">
        <v>7.2822700000000004E-3</v>
      </c>
      <c r="W1877">
        <v>3.5461439999999997E-2</v>
      </c>
      <c r="X1877">
        <v>0.99934449999999997</v>
      </c>
      <c r="Y1877">
        <v>-6.2804180000000001E-2</v>
      </c>
      <c r="Z1877">
        <v>-2.7699629999999999E-3</v>
      </c>
      <c r="AA1877">
        <v>0.99802199999999996</v>
      </c>
      <c r="AB1877">
        <v>11</v>
      </c>
      <c r="AC1877">
        <v>-10.896800000000001</v>
      </c>
      <c r="AD1877">
        <v>-1.1102106485130001</v>
      </c>
      <c r="AE1877">
        <v>-0.73799999999999899</v>
      </c>
      <c r="AF1877">
        <v>-0.68903196518277099</v>
      </c>
      <c r="AG1877">
        <v>-1.1102106485130001</v>
      </c>
      <c r="AH1877">
        <v>10.7880805707339</v>
      </c>
      <c r="AI1877">
        <v>95.863809236860007</v>
      </c>
      <c r="AJ1877">
        <v>93.654502949468295</v>
      </c>
      <c r="AK1877">
        <v>10.866922983704301</v>
      </c>
      <c r="AL1877">
        <v>87.967783051692507</v>
      </c>
      <c r="AM1877">
        <v>89.582490371281295</v>
      </c>
      <c r="AN1877">
        <v>0.99999998743173801</v>
      </c>
    </row>
    <row r="1878" spans="1:40" x14ac:dyDescent="0.25">
      <c r="A1878" t="str">
        <f>"20190312160636418"</f>
        <v>20190312160636418</v>
      </c>
      <c r="B1878" t="str">
        <f>"1552377996407279"</f>
        <v>1552377996407279</v>
      </c>
      <c r="C1878" t="s">
        <v>40</v>
      </c>
      <c r="D1878">
        <v>6.4314960000000001</v>
      </c>
      <c r="E1878">
        <v>0.48502729999999999</v>
      </c>
      <c r="F1878" t="s">
        <v>66</v>
      </c>
      <c r="G1878">
        <v>-247.5136</v>
      </c>
      <c r="H1878" s="1">
        <v>2.461553E-6</v>
      </c>
      <c r="I1878">
        <v>281.94</v>
      </c>
      <c r="J1878">
        <v>-234.63829999999999</v>
      </c>
      <c r="K1878">
        <v>1.1102050000000001</v>
      </c>
      <c r="L1878">
        <v>282.67020000000002</v>
      </c>
      <c r="M1878">
        <v>-0.99990449999999997</v>
      </c>
      <c r="N1878">
        <v>0</v>
      </c>
      <c r="O1878">
        <v>-3.8027960000000002E-3</v>
      </c>
      <c r="P1878">
        <v>-0.99975320000000001</v>
      </c>
      <c r="Q1878">
        <v>2.2023239999999999E-2</v>
      </c>
      <c r="R1878">
        <v>2.868734E-3</v>
      </c>
      <c r="S1878">
        <v>-3.0070800000000002</v>
      </c>
      <c r="T1878">
        <v>-0.25714720000000002</v>
      </c>
      <c r="U1878">
        <v>-0.16918949999999999</v>
      </c>
      <c r="V1878">
        <v>6.673165E-3</v>
      </c>
      <c r="W1878">
        <v>3.5304660000000002E-2</v>
      </c>
      <c r="X1878">
        <v>0.99935430000000003</v>
      </c>
      <c r="Y1878">
        <v>-5.2201259999999999E-2</v>
      </c>
      <c r="Z1878">
        <v>-1.9017870000000001E-3</v>
      </c>
      <c r="AA1878">
        <v>0.99863480000000004</v>
      </c>
      <c r="AB1878">
        <v>11</v>
      </c>
      <c r="AC1878">
        <v>-12.875299999999999</v>
      </c>
      <c r="AD1878">
        <v>-1.11020253844699</v>
      </c>
      <c r="AE1878">
        <v>-0.73020000000002405</v>
      </c>
      <c r="AF1878">
        <v>-0.676216605435773</v>
      </c>
      <c r="AG1878">
        <v>-1.11020253844699</v>
      </c>
      <c r="AH1878">
        <v>12.7832433284141</v>
      </c>
      <c r="AI1878">
        <v>94.956689084460095</v>
      </c>
      <c r="AJ1878">
        <v>93.028048362721407</v>
      </c>
      <c r="AK1878">
        <v>12.849168399833699</v>
      </c>
      <c r="AL1878">
        <v>87.976771504606901</v>
      </c>
      <c r="AM1878">
        <v>89.617414456610902</v>
      </c>
      <c r="AN1878">
        <v>0.99999998353866104</v>
      </c>
    </row>
    <row r="1879" spans="1:40" x14ac:dyDescent="0.25">
      <c r="A1879" t="str">
        <f>"20190312160636439"</f>
        <v>20190312160636439</v>
      </c>
      <c r="B1879" t="str">
        <f>"1552377996426799"</f>
        <v>1552377996426799</v>
      </c>
      <c r="C1879" t="s">
        <v>40</v>
      </c>
      <c r="D1879">
        <v>6.3484259999999999</v>
      </c>
      <c r="E1879">
        <v>0.48895379999999999</v>
      </c>
      <c r="F1879" t="s">
        <v>66</v>
      </c>
      <c r="G1879">
        <v>-248.3623</v>
      </c>
      <c r="H1879" s="1">
        <v>2.9132080000000001E-6</v>
      </c>
      <c r="I1879">
        <v>282.18079999999998</v>
      </c>
      <c r="J1879">
        <v>-234.7415</v>
      </c>
      <c r="K1879">
        <v>1.1102030000000001</v>
      </c>
      <c r="L1879">
        <v>282.66980000000001</v>
      </c>
      <c r="M1879">
        <v>-0.99990460000000003</v>
      </c>
      <c r="N1879">
        <v>0</v>
      </c>
      <c r="O1879">
        <v>-3.7680220000000002E-3</v>
      </c>
      <c r="P1879">
        <v>-0.99976069999999995</v>
      </c>
      <c r="Q1879">
        <v>2.1750990000000001E-2</v>
      </c>
      <c r="R1879">
        <v>2.3605660000000001E-3</v>
      </c>
      <c r="S1879">
        <v>-3.0064090000000001</v>
      </c>
      <c r="T1879">
        <v>-0.2432028</v>
      </c>
      <c r="U1879">
        <v>-0.10720830000000001</v>
      </c>
      <c r="V1879">
        <v>6.1304109999999997E-3</v>
      </c>
      <c r="W1879">
        <v>3.5038279999999998E-2</v>
      </c>
      <c r="X1879">
        <v>0.99936720000000001</v>
      </c>
      <c r="Y1879">
        <v>-3.177965E-2</v>
      </c>
      <c r="Z1879">
        <v>-9.7866089999999999E-4</v>
      </c>
      <c r="AA1879">
        <v>0.99949440000000001</v>
      </c>
      <c r="AB1879">
        <v>11</v>
      </c>
      <c r="AC1879">
        <v>-13.620799999999999</v>
      </c>
      <c r="AD1879">
        <v>-1.1102000867919899</v>
      </c>
      <c r="AE1879">
        <v>-0.48900000000003202</v>
      </c>
      <c r="AF1879">
        <v>-0.43478375161820998</v>
      </c>
      <c r="AG1879">
        <v>-1.1102000867919899</v>
      </c>
      <c r="AH1879">
        <v>13.532756800881</v>
      </c>
      <c r="AI1879">
        <v>94.687519756336002</v>
      </c>
      <c r="AJ1879">
        <v>91.840179964752906</v>
      </c>
      <c r="AK1879">
        <v>13.585178974720099</v>
      </c>
      <c r="AL1879">
        <v>87.992043500275599</v>
      </c>
      <c r="AM1879">
        <v>89.648535321822806</v>
      </c>
      <c r="AN1879">
        <v>1.0000000317201101</v>
      </c>
    </row>
    <row r="1880" spans="1:40" x14ac:dyDescent="0.25">
      <c r="A1880" t="str">
        <f>"20190312160636452"</f>
        <v>20190312160636452</v>
      </c>
      <c r="B1880" t="str">
        <f>"1552377996447295"</f>
        <v>1552377996447295</v>
      </c>
      <c r="C1880" t="s">
        <v>40</v>
      </c>
      <c r="D1880">
        <v>6.5069790000000003</v>
      </c>
      <c r="E1880">
        <v>0.4889675</v>
      </c>
      <c r="F1880" t="s">
        <v>66</v>
      </c>
      <c r="G1880">
        <v>-248.6146</v>
      </c>
      <c r="H1880" s="1">
        <v>3.047475E-6</v>
      </c>
      <c r="I1880">
        <v>282.31119999999999</v>
      </c>
      <c r="J1880">
        <v>-234.8058</v>
      </c>
      <c r="K1880">
        <v>1.1102019999999999</v>
      </c>
      <c r="L1880">
        <v>282.6696</v>
      </c>
      <c r="M1880">
        <v>-0.99990469999999998</v>
      </c>
      <c r="N1880">
        <v>0</v>
      </c>
      <c r="O1880">
        <v>-3.7459889999999999E-3</v>
      </c>
      <c r="P1880">
        <v>-0.99976169999999998</v>
      </c>
      <c r="Q1880">
        <v>2.1732910000000001E-2</v>
      </c>
      <c r="R1880">
        <v>2.1671920000000001E-3</v>
      </c>
      <c r="S1880">
        <v>-3.006119</v>
      </c>
      <c r="T1880">
        <v>-0.24056649999999999</v>
      </c>
      <c r="U1880">
        <v>-7.7697749999999996E-2</v>
      </c>
      <c r="V1880">
        <v>5.9151899999999999E-3</v>
      </c>
      <c r="W1880">
        <v>3.5023510000000001E-2</v>
      </c>
      <c r="X1880">
        <v>0.99936899999999995</v>
      </c>
      <c r="Y1880">
        <v>-2.2034229999999998E-2</v>
      </c>
      <c r="Z1880">
        <v>-5.8082900000000005E-4</v>
      </c>
      <c r="AA1880">
        <v>0.99975709999999995</v>
      </c>
      <c r="AB1880">
        <v>11</v>
      </c>
      <c r="AC1880">
        <v>-13.8087999999999</v>
      </c>
      <c r="AD1880">
        <v>-1.110198952525</v>
      </c>
      <c r="AE1880">
        <v>-0.35840000000001698</v>
      </c>
      <c r="AF1880">
        <v>-0.30469712120501902</v>
      </c>
      <c r="AG1880">
        <v>-1.110198952525</v>
      </c>
      <c r="AH1880">
        <v>13.7214126420974</v>
      </c>
      <c r="AI1880">
        <v>94.624587715684001</v>
      </c>
      <c r="AJ1880">
        <v>91.272098643335497</v>
      </c>
      <c r="AK1880">
        <v>13.769624066929699</v>
      </c>
      <c r="AL1880">
        <v>87.992890248968394</v>
      </c>
      <c r="AM1880">
        <v>89.660874547555494</v>
      </c>
      <c r="AN1880">
        <v>1.0000000169432199</v>
      </c>
    </row>
    <row r="1881" spans="1:40" x14ac:dyDescent="0.25">
      <c r="A1881" t="str">
        <f>"20190312160636472"</f>
        <v>20190312160636472</v>
      </c>
      <c r="B1881" t="str">
        <f>"1552377996466815"</f>
        <v>1552377996466815</v>
      </c>
      <c r="C1881" t="s">
        <v>40</v>
      </c>
      <c r="D1881">
        <v>6.3550519999999997</v>
      </c>
      <c r="E1881">
        <v>0.4900156</v>
      </c>
      <c r="F1881" t="s">
        <v>66</v>
      </c>
      <c r="G1881">
        <v>-250.2552</v>
      </c>
      <c r="H1881" s="1">
        <v>-1.4009669999999999E-6</v>
      </c>
      <c r="I1881">
        <v>282.26569999999998</v>
      </c>
      <c r="J1881">
        <v>-234.90379999999999</v>
      </c>
      <c r="K1881">
        <v>1.110201</v>
      </c>
      <c r="L1881">
        <v>282.66930000000002</v>
      </c>
      <c r="M1881">
        <v>-0.99990469999999998</v>
      </c>
      <c r="N1881">
        <v>0</v>
      </c>
      <c r="O1881">
        <v>-3.7120460000000001E-3</v>
      </c>
      <c r="P1881">
        <v>-0.99975809999999998</v>
      </c>
      <c r="Q1881">
        <v>2.1948909999999999E-2</v>
      </c>
      <c r="R1881">
        <v>1.497162E-3</v>
      </c>
      <c r="S1881">
        <v>-3.0055689999999999</v>
      </c>
      <c r="T1881">
        <v>-0.21598200000000001</v>
      </c>
      <c r="U1881">
        <v>-7.8582760000000001E-2</v>
      </c>
      <c r="V1881">
        <v>5.2111190000000002E-3</v>
      </c>
      <c r="W1881">
        <v>3.5243190000000001E-2</v>
      </c>
      <c r="X1881">
        <v>0.99936519999999995</v>
      </c>
      <c r="Y1881">
        <v>-2.2377399999999999E-2</v>
      </c>
      <c r="Z1881">
        <v>-5.3647370000000001E-4</v>
      </c>
      <c r="AA1881">
        <v>0.99974940000000001</v>
      </c>
      <c r="AB1881">
        <v>11</v>
      </c>
      <c r="AC1881">
        <v>-15.3514</v>
      </c>
      <c r="AD1881">
        <v>-1.110202400967</v>
      </c>
      <c r="AE1881">
        <v>-0.40360000000003898</v>
      </c>
      <c r="AF1881">
        <v>-0.344804965396588</v>
      </c>
      <c r="AG1881">
        <v>-1.110202400967</v>
      </c>
      <c r="AH1881">
        <v>15.2729688519647</v>
      </c>
      <c r="AI1881">
        <v>94.156500972307498</v>
      </c>
      <c r="AJ1881">
        <v>91.293298904757094</v>
      </c>
      <c r="AK1881">
        <v>15.317147821587399</v>
      </c>
      <c r="AL1881">
        <v>87.980295744242596</v>
      </c>
      <c r="AM1881">
        <v>89.701237926664106</v>
      </c>
      <c r="AN1881">
        <v>1.00000002058682</v>
      </c>
    </row>
    <row r="1882" spans="1:40" x14ac:dyDescent="0.25">
      <c r="A1882" t="str">
        <f>"20190312160636497"</f>
        <v>20190312160636497</v>
      </c>
      <c r="B1882" t="str">
        <f>"1552377996487317"</f>
        <v>1552377996487317</v>
      </c>
      <c r="C1882" t="s">
        <v>40</v>
      </c>
      <c r="D1882">
        <v>6.5819890000000001</v>
      </c>
      <c r="E1882">
        <v>0.49165999999999999</v>
      </c>
      <c r="F1882" t="s">
        <v>66</v>
      </c>
      <c r="G1882">
        <v>-251.69329999999999</v>
      </c>
      <c r="H1882" s="1">
        <v>-6.3571040000000004E-7</v>
      </c>
      <c r="I1882">
        <v>282.26609999999999</v>
      </c>
      <c r="J1882">
        <v>-235.01750000000001</v>
      </c>
      <c r="K1882">
        <v>1.110206</v>
      </c>
      <c r="L1882">
        <v>282.66890000000001</v>
      </c>
      <c r="M1882">
        <v>-0.99990489999999999</v>
      </c>
      <c r="N1882">
        <v>0</v>
      </c>
      <c r="O1882">
        <v>-3.673211E-3</v>
      </c>
      <c r="P1882">
        <v>-0.99974390000000002</v>
      </c>
      <c r="Q1882">
        <v>2.261463E-2</v>
      </c>
      <c r="R1882">
        <v>8.7317839999999998E-4</v>
      </c>
      <c r="S1882">
        <v>-3.005188</v>
      </c>
      <c r="T1882">
        <v>-0.19871710000000001</v>
      </c>
      <c r="U1882">
        <v>-7.2174070000000007E-2</v>
      </c>
      <c r="V1882">
        <v>4.5480700000000004E-3</v>
      </c>
      <c r="W1882">
        <v>3.5912729999999997E-2</v>
      </c>
      <c r="X1882">
        <v>0.99934460000000003</v>
      </c>
      <c r="Y1882">
        <v>-2.0300639999999998E-2</v>
      </c>
      <c r="Z1882">
        <v>-4.277498E-4</v>
      </c>
      <c r="AA1882">
        <v>0.99979379999999995</v>
      </c>
      <c r="AB1882">
        <v>11</v>
      </c>
      <c r="AC1882">
        <v>-16.675799999999899</v>
      </c>
      <c r="AD1882">
        <v>-1.1102066357103999</v>
      </c>
      <c r="AE1882">
        <v>-0.40280000000001298</v>
      </c>
      <c r="AF1882">
        <v>-0.340031875428148</v>
      </c>
      <c r="AG1882">
        <v>-1.1102066357103999</v>
      </c>
      <c r="AH1882">
        <v>16.6036170122965</v>
      </c>
      <c r="AI1882">
        <v>93.824608372221604</v>
      </c>
      <c r="AJ1882">
        <v>91.173218363227804</v>
      </c>
      <c r="AK1882">
        <v>16.644166495841802</v>
      </c>
      <c r="AL1882">
        <v>87.941909623417502</v>
      </c>
      <c r="AM1882">
        <v>89.739245684756696</v>
      </c>
      <c r="AN1882">
        <v>1.0000000193329599</v>
      </c>
    </row>
    <row r="1883" spans="1:40" x14ac:dyDescent="0.25">
      <c r="A1883" t="str">
        <f>"20190312160636540"</f>
        <v>20190312160636540</v>
      </c>
      <c r="B1883" t="str">
        <f>"1552377996537088"</f>
        <v>1552377996537088</v>
      </c>
      <c r="C1883" t="s">
        <v>40</v>
      </c>
      <c r="D1883">
        <v>6.359661</v>
      </c>
      <c r="E1883">
        <v>0.4940698</v>
      </c>
      <c r="F1883" t="s">
        <v>66</v>
      </c>
      <c r="G1883">
        <v>-252.44370000000001</v>
      </c>
      <c r="H1883" s="1">
        <v>-2.3637609999999999E-7</v>
      </c>
      <c r="I1883">
        <v>282.3159</v>
      </c>
      <c r="J1883">
        <v>-235.23159999999999</v>
      </c>
      <c r="K1883">
        <v>1.110225</v>
      </c>
      <c r="L1883">
        <v>282.66820000000001</v>
      </c>
      <c r="M1883">
        <v>-0.99990500000000004</v>
      </c>
      <c r="N1883">
        <v>0</v>
      </c>
      <c r="O1883">
        <v>-3.5990969999999999E-3</v>
      </c>
      <c r="P1883">
        <v>-0.99971010000000005</v>
      </c>
      <c r="Q1883">
        <v>2.404454E-2</v>
      </c>
      <c r="R1883">
        <v>1.2739089999999999E-3</v>
      </c>
      <c r="S1883">
        <v>-3.0051730000000001</v>
      </c>
      <c r="T1883">
        <v>-0.19145690000000001</v>
      </c>
      <c r="U1883">
        <v>-6.0882569999999997E-2</v>
      </c>
      <c r="V1883">
        <v>4.8747080000000002E-3</v>
      </c>
      <c r="W1883">
        <v>3.7346089999999998E-2</v>
      </c>
      <c r="X1883">
        <v>0.99929049999999997</v>
      </c>
      <c r="Y1883">
        <v>-1.6629890000000001E-2</v>
      </c>
      <c r="Z1883">
        <v>-3.0008960000000001E-4</v>
      </c>
      <c r="AA1883">
        <v>0.99986169999999996</v>
      </c>
      <c r="AB1883">
        <v>11</v>
      </c>
      <c r="AC1883">
        <v>-17.2121</v>
      </c>
      <c r="AD1883">
        <v>-1.1102252363761</v>
      </c>
      <c r="AE1883">
        <v>-0.35230000000001299</v>
      </c>
      <c r="AF1883">
        <v>-0.28914172094711499</v>
      </c>
      <c r="AG1883">
        <v>-1.1102252363761</v>
      </c>
      <c r="AH1883">
        <v>17.1419658251641</v>
      </c>
      <c r="AI1883">
        <v>93.705146276494801</v>
      </c>
      <c r="AJ1883">
        <v>90.966343626948401</v>
      </c>
      <c r="AK1883">
        <v>17.180314181101899</v>
      </c>
      <c r="AL1883">
        <v>87.859728944440803</v>
      </c>
      <c r="AM1883">
        <v>89.720503718056406</v>
      </c>
      <c r="AN1883">
        <v>0.99999999830331099</v>
      </c>
    </row>
    <row r="1884" spans="1:40" x14ac:dyDescent="0.25">
      <c r="A1884" t="str">
        <f>"20190312160636564"</f>
        <v>20190312160636564</v>
      </c>
      <c r="B1884" t="str">
        <f>"1552377996556607"</f>
        <v>1552377996556607</v>
      </c>
      <c r="C1884" t="s">
        <v>40</v>
      </c>
      <c r="D1884">
        <v>6.0404819999999999</v>
      </c>
      <c r="E1884">
        <v>0.49402509999999999</v>
      </c>
      <c r="F1884" t="s">
        <v>66</v>
      </c>
      <c r="G1884">
        <v>-251.7285</v>
      </c>
      <c r="H1884" s="1">
        <v>-6.1698489999999899E-7</v>
      </c>
      <c r="I1884">
        <v>282.4468</v>
      </c>
      <c r="J1884">
        <v>-235.34119999999999</v>
      </c>
      <c r="K1884">
        <v>1.1102339999999999</v>
      </c>
      <c r="L1884">
        <v>282.6678</v>
      </c>
      <c r="M1884">
        <v>-0.99990509999999999</v>
      </c>
      <c r="N1884">
        <v>0</v>
      </c>
      <c r="O1884">
        <v>-3.5617909999999999E-3</v>
      </c>
      <c r="P1884">
        <v>-0.99969929999999996</v>
      </c>
      <c r="Q1884">
        <v>2.4487829999999999E-2</v>
      </c>
      <c r="R1884">
        <v>1.369262E-3</v>
      </c>
      <c r="S1884">
        <v>-3.005798</v>
      </c>
      <c r="T1884">
        <v>-0.20228769999999999</v>
      </c>
      <c r="U1884">
        <v>-4.0344240000000003E-2</v>
      </c>
      <c r="V1884">
        <v>4.9328289999999997E-3</v>
      </c>
      <c r="W1884">
        <v>3.7789709999999997E-2</v>
      </c>
      <c r="X1884">
        <v>0.99927350000000004</v>
      </c>
      <c r="Y1884">
        <v>-9.8448479999999998E-3</v>
      </c>
      <c r="Z1884" s="1">
        <v>-9.1442429999999999E-5</v>
      </c>
      <c r="AA1884">
        <v>0.99995149999999999</v>
      </c>
      <c r="AB1884">
        <v>11</v>
      </c>
      <c r="AC1884">
        <v>-16.3873</v>
      </c>
      <c r="AD1884">
        <v>-1.1102346169849</v>
      </c>
      <c r="AE1884">
        <v>-0.221000000000003</v>
      </c>
      <c r="AF1884">
        <v>-0.16188238242904099</v>
      </c>
      <c r="AG1884">
        <v>-1.1102346169849</v>
      </c>
      <c r="AH1884">
        <v>16.313119306588501</v>
      </c>
      <c r="AI1884">
        <v>93.893228368205797</v>
      </c>
      <c r="AJ1884">
        <v>90.568552995737704</v>
      </c>
      <c r="AK1884">
        <v>16.351657051243599</v>
      </c>
      <c r="AL1884">
        <v>87.834293355001506</v>
      </c>
      <c r="AM1884">
        <v>89.717166534423995</v>
      </c>
      <c r="AN1884">
        <v>0.99999996139303704</v>
      </c>
    </row>
    <row r="1885" spans="1:40" x14ac:dyDescent="0.25">
      <c r="A1885" t="str">
        <f>"20190312160636585"</f>
        <v>20190312160636585</v>
      </c>
      <c r="B1885" t="str">
        <f>"1552377996577103"</f>
        <v>1552377996577103</v>
      </c>
      <c r="C1885" t="s">
        <v>40</v>
      </c>
      <c r="D1885">
        <v>6.3047620000000002</v>
      </c>
      <c r="E1885">
        <v>0.4940677</v>
      </c>
      <c r="F1885" t="s">
        <v>66</v>
      </c>
      <c r="G1885">
        <v>-252.69450000000001</v>
      </c>
      <c r="H1885" s="1">
        <v>-1.02933899999999E-7</v>
      </c>
      <c r="I1885">
        <v>282.43509999999998</v>
      </c>
      <c r="J1885">
        <v>-235.44820000000001</v>
      </c>
      <c r="K1885">
        <v>1.110241</v>
      </c>
      <c r="L1885">
        <v>282.66750000000002</v>
      </c>
      <c r="M1885">
        <v>-0.9999053</v>
      </c>
      <c r="N1885">
        <v>0</v>
      </c>
      <c r="O1885">
        <v>-3.5254359999999998E-3</v>
      </c>
      <c r="P1885">
        <v>-0.99968420000000002</v>
      </c>
      <c r="Q1885">
        <v>2.5105990000000002E-2</v>
      </c>
      <c r="R1885">
        <v>1.060332E-3</v>
      </c>
      <c r="S1885">
        <v>-3.005646</v>
      </c>
      <c r="T1885">
        <v>-0.19229599999999999</v>
      </c>
      <c r="U1885">
        <v>-4.0313719999999997E-2</v>
      </c>
      <c r="V1885">
        <v>4.5874920000000003E-3</v>
      </c>
      <c r="W1885">
        <v>3.8408200000000003E-2</v>
      </c>
      <c r="X1885">
        <v>0.99925160000000002</v>
      </c>
      <c r="Y1885">
        <v>-9.8729709999999995E-3</v>
      </c>
      <c r="Z1885" s="1">
        <v>-9.0162049999999998E-5</v>
      </c>
      <c r="AA1885">
        <v>0.99995120000000004</v>
      </c>
      <c r="AB1885">
        <v>11</v>
      </c>
      <c r="AC1885">
        <v>-17.246299999999898</v>
      </c>
      <c r="AD1885">
        <v>-1.1102411029338899</v>
      </c>
      <c r="AE1885">
        <v>-0.23240000000004099</v>
      </c>
      <c r="AF1885">
        <v>-0.17088439436950001</v>
      </c>
      <c r="AG1885">
        <v>-1.1102411029338899</v>
      </c>
      <c r="AH1885">
        <v>17.1758446458532</v>
      </c>
      <c r="AI1885">
        <v>93.698253018033995</v>
      </c>
      <c r="AJ1885">
        <v>90.570023294406496</v>
      </c>
      <c r="AK1885">
        <v>17.212538339285398</v>
      </c>
      <c r="AL1885">
        <v>87.798830819044696</v>
      </c>
      <c r="AM1885">
        <v>89.736961058102906</v>
      </c>
      <c r="AN1885">
        <v>0.99999999750632496</v>
      </c>
    </row>
    <row r="1886" spans="1:40" x14ac:dyDescent="0.25">
      <c r="A1886" t="str">
        <f>"20190312160636609"</f>
        <v>20190312160636609</v>
      </c>
      <c r="B1886" t="str">
        <f>"1552377996596624"</f>
        <v>1552377996596624</v>
      </c>
      <c r="C1886" t="s">
        <v>40</v>
      </c>
      <c r="D1886">
        <v>6.3250080000000004</v>
      </c>
      <c r="E1886">
        <v>0.49409439999999999</v>
      </c>
      <c r="F1886" t="s">
        <v>66</v>
      </c>
      <c r="G1886">
        <v>-253.90360000000001</v>
      </c>
      <c r="H1886" s="1">
        <v>5.4050720000000002E-7</v>
      </c>
      <c r="I1886">
        <v>282.41660000000002</v>
      </c>
      <c r="J1886">
        <v>-235.55680000000001</v>
      </c>
      <c r="K1886">
        <v>1.110247</v>
      </c>
      <c r="L1886">
        <v>282.66719999999998</v>
      </c>
      <c r="M1886">
        <v>-0.99990540000000006</v>
      </c>
      <c r="N1886">
        <v>0</v>
      </c>
      <c r="O1886">
        <v>-3.4884830000000001E-3</v>
      </c>
      <c r="P1886">
        <v>-0.99967720000000004</v>
      </c>
      <c r="Q1886">
        <v>2.538694E-2</v>
      </c>
      <c r="R1886">
        <v>1.0582230000000001E-3</v>
      </c>
      <c r="S1886">
        <v>-3.0055390000000002</v>
      </c>
      <c r="T1886">
        <v>-0.18080779999999999</v>
      </c>
      <c r="U1886">
        <v>-4.0863040000000003E-2</v>
      </c>
      <c r="V1886">
        <v>4.5484810000000001E-3</v>
      </c>
      <c r="W1886">
        <v>3.8689319999999999E-2</v>
      </c>
      <c r="X1886">
        <v>0.99924089999999999</v>
      </c>
      <c r="Y1886">
        <v>-1.009416E-2</v>
      </c>
      <c r="Z1886" s="1">
        <v>-9.36564E-5</v>
      </c>
      <c r="AA1886">
        <v>0.99994899999999998</v>
      </c>
      <c r="AB1886">
        <v>11</v>
      </c>
      <c r="AC1886">
        <v>-18.346800000000002</v>
      </c>
      <c r="AD1886">
        <v>-1.1102464594928001</v>
      </c>
      <c r="AE1886">
        <v>-0.25059999999996302</v>
      </c>
      <c r="AF1886">
        <v>-0.185909635538902</v>
      </c>
      <c r="AG1886">
        <v>-1.1102464594928001</v>
      </c>
      <c r="AH1886">
        <v>18.280631480919201</v>
      </c>
      <c r="AI1886">
        <v>93.475324098526897</v>
      </c>
      <c r="AJ1886">
        <v>90.582664242342005</v>
      </c>
      <c r="AK1886">
        <v>18.3152585822471</v>
      </c>
      <c r="AL1886">
        <v>87.782711774618093</v>
      </c>
      <c r="AM1886">
        <v>89.739195058399702</v>
      </c>
      <c r="AN1886">
        <v>0.99999996419713899</v>
      </c>
    </row>
    <row r="1887" spans="1:40" x14ac:dyDescent="0.25">
      <c r="A1887" t="str">
        <f>"20190312160636653"</f>
        <v>20190312160636653</v>
      </c>
      <c r="B1887" t="str">
        <f>"1552377996647375"</f>
        <v>1552377996647375</v>
      </c>
      <c r="C1887" t="s">
        <v>40</v>
      </c>
      <c r="D1887">
        <v>6.4766389999999996</v>
      </c>
      <c r="E1887">
        <v>0.49391489999999999</v>
      </c>
      <c r="F1887" t="s">
        <v>66</v>
      </c>
      <c r="G1887">
        <v>-254.98169999999999</v>
      </c>
      <c r="H1887" s="1">
        <v>1.1142000000000001E-6</v>
      </c>
      <c r="I1887">
        <v>282.40089999999998</v>
      </c>
      <c r="J1887">
        <v>-235.76439999999999</v>
      </c>
      <c r="K1887">
        <v>1.110239</v>
      </c>
      <c r="L1887">
        <v>282.66660000000002</v>
      </c>
      <c r="M1887">
        <v>-0.99990559999999995</v>
      </c>
      <c r="N1887">
        <v>0</v>
      </c>
      <c r="O1887">
        <v>-3.4168419999999998E-3</v>
      </c>
      <c r="P1887">
        <v>-0.99967550000000005</v>
      </c>
      <c r="Q1887">
        <v>2.544275E-2</v>
      </c>
      <c r="R1887">
        <v>1.2894270000000001E-3</v>
      </c>
      <c r="S1887">
        <v>-3.0053709999999998</v>
      </c>
      <c r="T1887">
        <v>-0.17177509999999999</v>
      </c>
      <c r="U1887">
        <v>-4.1198730000000003E-2</v>
      </c>
      <c r="V1887">
        <v>4.7079920000000003E-3</v>
      </c>
      <c r="W1887">
        <v>3.8744109999999998E-2</v>
      </c>
      <c r="X1887">
        <v>0.99923810000000002</v>
      </c>
      <c r="Y1887">
        <v>-1.027898E-2</v>
      </c>
      <c r="Z1887" s="1">
        <v>-9.8358930000000007E-5</v>
      </c>
      <c r="AA1887">
        <v>0.99994720000000004</v>
      </c>
      <c r="AB1887">
        <v>11</v>
      </c>
      <c r="AC1887">
        <v>-19.217299999999899</v>
      </c>
      <c r="AD1887">
        <v>-1.1102378857999999</v>
      </c>
      <c r="AE1887">
        <v>-0.26570000000003802</v>
      </c>
      <c r="AF1887">
        <v>-0.19936486224039399</v>
      </c>
      <c r="AG1887">
        <v>-1.1102378857999999</v>
      </c>
      <c r="AH1887">
        <v>19.154177050947599</v>
      </c>
      <c r="AI1887">
        <v>93.317157116246094</v>
      </c>
      <c r="AJ1887">
        <v>90.596337430187802</v>
      </c>
      <c r="AK1887">
        <v>19.1873623255102</v>
      </c>
      <c r="AL1887">
        <v>87.779570320273805</v>
      </c>
      <c r="AM1887">
        <v>89.730048248198401</v>
      </c>
      <c r="AN1887">
        <v>1.0000000258699799</v>
      </c>
    </row>
    <row r="1888" spans="1:40" x14ac:dyDescent="0.25">
      <c r="A1888" t="str">
        <f>"20190312160636674"</f>
        <v>20190312160636674</v>
      </c>
      <c r="B1888" t="str">
        <f>"1552377996666896"</f>
        <v>1552377996666896</v>
      </c>
      <c r="C1888" t="s">
        <v>40</v>
      </c>
      <c r="D1888">
        <v>6.4314210000000003</v>
      </c>
      <c r="E1888">
        <v>0.4940466</v>
      </c>
      <c r="F1888" t="s">
        <v>66</v>
      </c>
      <c r="G1888">
        <v>-256.50619999999998</v>
      </c>
      <c r="H1888" s="1">
        <v>1.9254860000000001E-6</v>
      </c>
      <c r="I1888">
        <v>282.3759</v>
      </c>
      <c r="J1888">
        <v>-235.8699</v>
      </c>
      <c r="K1888">
        <v>1.1102379999999901</v>
      </c>
      <c r="L1888">
        <v>282.66629999999998</v>
      </c>
      <c r="M1888">
        <v>-0.99990590000000001</v>
      </c>
      <c r="N1888">
        <v>0</v>
      </c>
      <c r="O1888">
        <v>-3.3807099999999999E-3</v>
      </c>
      <c r="P1888">
        <v>-0.99967600000000001</v>
      </c>
      <c r="Q1888">
        <v>2.5429690000000001E-2</v>
      </c>
      <c r="R1888">
        <v>1.160922E-3</v>
      </c>
      <c r="S1888">
        <v>-3.0051269999999999</v>
      </c>
      <c r="T1888">
        <v>-0.16085389999999999</v>
      </c>
      <c r="U1888">
        <v>-4.2114260000000001E-2</v>
      </c>
      <c r="V1888">
        <v>4.5433920000000003E-3</v>
      </c>
      <c r="W1888">
        <v>3.8728859999999997E-2</v>
      </c>
      <c r="X1888">
        <v>0.9992394</v>
      </c>
      <c r="Y1888">
        <v>-1.062164E-2</v>
      </c>
      <c r="Z1888">
        <v>-1.032184E-4</v>
      </c>
      <c r="AA1888">
        <v>0.99994360000000004</v>
      </c>
      <c r="AB1888">
        <v>11</v>
      </c>
      <c r="AC1888">
        <v>-20.636299999999899</v>
      </c>
      <c r="AD1888">
        <v>-1.1102360745140001</v>
      </c>
      <c r="AE1888">
        <v>-0.29039999999997601</v>
      </c>
      <c r="AF1888">
        <v>-0.219990201698091</v>
      </c>
      <c r="AG1888">
        <v>-1.1102360745140001</v>
      </c>
      <c r="AH1888">
        <v>20.5776146807179</v>
      </c>
      <c r="AI1888">
        <v>93.088142193942403</v>
      </c>
      <c r="AJ1888">
        <v>90.612511708520898</v>
      </c>
      <c r="AK1888">
        <v>20.608717713096301</v>
      </c>
      <c r="AL1888">
        <v>87.780444619233606</v>
      </c>
      <c r="AM1888">
        <v>89.739486461025805</v>
      </c>
      <c r="AN1888">
        <v>0.99999997276006203</v>
      </c>
    </row>
    <row r="1889" spans="1:40" x14ac:dyDescent="0.25">
      <c r="A1889" t="str">
        <f>"20190312160636697"</f>
        <v>20190312160636697</v>
      </c>
      <c r="B1889" t="str">
        <f>"1552377996687392"</f>
        <v>1552377996687392</v>
      </c>
      <c r="C1889" t="s">
        <v>40</v>
      </c>
      <c r="D1889">
        <v>6.6106160000000003</v>
      </c>
      <c r="E1889">
        <v>0.49410549999999998</v>
      </c>
      <c r="F1889" t="s">
        <v>66</v>
      </c>
      <c r="G1889">
        <v>-257.20940000000002</v>
      </c>
      <c r="H1889" s="1">
        <v>2.299671E-6</v>
      </c>
      <c r="I1889">
        <v>282.37220000000002</v>
      </c>
      <c r="J1889">
        <v>-235.97630000000001</v>
      </c>
      <c r="K1889">
        <v>1.110233</v>
      </c>
      <c r="L1889">
        <v>282.66590000000002</v>
      </c>
      <c r="M1889">
        <v>-0.99990599999999996</v>
      </c>
      <c r="N1889">
        <v>0</v>
      </c>
      <c r="O1889">
        <v>-3.343702E-3</v>
      </c>
      <c r="P1889">
        <v>-0.99967039999999996</v>
      </c>
      <c r="Q1889">
        <v>2.5623440000000001E-2</v>
      </c>
      <c r="R1889">
        <v>1.5991720000000001E-3</v>
      </c>
      <c r="S1889">
        <v>-3.0049899999999998</v>
      </c>
      <c r="T1889">
        <v>-0.1563418</v>
      </c>
      <c r="U1889">
        <v>-4.1412350000000001E-2</v>
      </c>
      <c r="V1889">
        <v>4.9445729999999999E-3</v>
      </c>
      <c r="W1889">
        <v>3.8913740000000002E-2</v>
      </c>
      <c r="X1889">
        <v>0.99923030000000002</v>
      </c>
      <c r="Y1889">
        <v>-1.042655E-2</v>
      </c>
      <c r="Z1889" s="1">
        <v>-9.718463E-5</v>
      </c>
      <c r="AA1889">
        <v>0.99994559999999999</v>
      </c>
      <c r="AB1889">
        <v>11</v>
      </c>
      <c r="AC1889">
        <v>-21.2331</v>
      </c>
      <c r="AD1889">
        <v>-1.110230700329</v>
      </c>
      <c r="AE1889">
        <v>-0.29370000000000102</v>
      </c>
      <c r="AF1889">
        <v>-0.22208784794487099</v>
      </c>
      <c r="AG1889">
        <v>-1.110230700329</v>
      </c>
      <c r="AH1889">
        <v>21.1760789367477</v>
      </c>
      <c r="AI1889">
        <v>93.001020962127001</v>
      </c>
      <c r="AJ1889">
        <v>90.600877523251796</v>
      </c>
      <c r="AK1889">
        <v>21.206325809897599</v>
      </c>
      <c r="AL1889">
        <v>87.769843755953005</v>
      </c>
      <c r="AM1889">
        <v>89.716480923304303</v>
      </c>
      <c r="AN1889">
        <v>0.99999996020051396</v>
      </c>
    </row>
    <row r="1890" spans="1:40" x14ac:dyDescent="0.25">
      <c r="A1890" t="str">
        <f>"20190312160636717"</f>
        <v>20190312160636717</v>
      </c>
      <c r="B1890" t="str">
        <f>"1552377996706911"</f>
        <v>1552377996706911</v>
      </c>
      <c r="C1890" t="s">
        <v>40</v>
      </c>
      <c r="D1890">
        <v>6.472391</v>
      </c>
      <c r="E1890">
        <v>0.49418679999999898</v>
      </c>
      <c r="F1890" t="s">
        <v>66</v>
      </c>
      <c r="G1890">
        <v>-257.63350000000003</v>
      </c>
      <c r="H1890" s="1">
        <v>2.52537E-6</v>
      </c>
      <c r="I1890">
        <v>282.37869999999998</v>
      </c>
      <c r="J1890">
        <v>-236.07259999999999</v>
      </c>
      <c r="K1890">
        <v>1.110225</v>
      </c>
      <c r="L1890">
        <v>282.66559999999998</v>
      </c>
      <c r="M1890">
        <v>-0.99990639999999997</v>
      </c>
      <c r="N1890">
        <v>0</v>
      </c>
      <c r="O1890">
        <v>-3.3111769999999998E-3</v>
      </c>
      <c r="P1890">
        <v>-0.99967689999999998</v>
      </c>
      <c r="Q1890">
        <v>2.5360779999999999E-2</v>
      </c>
      <c r="R1890">
        <v>1.69895299999999E-3</v>
      </c>
      <c r="S1890">
        <v>-3.0049899999999998</v>
      </c>
      <c r="T1890">
        <v>-0.1540473</v>
      </c>
      <c r="U1890">
        <v>-3.9855960000000003E-2</v>
      </c>
      <c r="V1890">
        <v>5.0118159999999997E-3</v>
      </c>
      <c r="W1890">
        <v>3.8636429999999999E-2</v>
      </c>
      <c r="X1890">
        <v>0.99924080000000004</v>
      </c>
      <c r="Y1890">
        <v>-9.9421360000000007E-3</v>
      </c>
      <c r="Z1890" s="1">
        <v>-8.5018980000000006E-5</v>
      </c>
      <c r="AA1890">
        <v>0.99995060000000002</v>
      </c>
      <c r="AB1890">
        <v>11</v>
      </c>
      <c r="AC1890">
        <v>-21.5609</v>
      </c>
      <c r="AD1890">
        <v>-1.11022247463</v>
      </c>
      <c r="AE1890">
        <v>-0.28690000000000199</v>
      </c>
      <c r="AF1890">
        <v>-0.214930399312906</v>
      </c>
      <c r="AG1890">
        <v>-1.11022247463</v>
      </c>
      <c r="AH1890">
        <v>21.504722870416899</v>
      </c>
      <c r="AI1890">
        <v>92.955233103570094</v>
      </c>
      <c r="AJ1890">
        <v>90.572627456188698</v>
      </c>
      <c r="AK1890">
        <v>21.534435092501301</v>
      </c>
      <c r="AL1890">
        <v>87.785744571066203</v>
      </c>
      <c r="AM1890">
        <v>89.712628330840403</v>
      </c>
      <c r="AN1890">
        <v>1.0000000342037001</v>
      </c>
    </row>
    <row r="1891" spans="1:40" x14ac:dyDescent="0.25">
      <c r="A1891" t="str">
        <f>"20190312160636742"</f>
        <v>20190312160636742</v>
      </c>
      <c r="B1891" t="str">
        <f>"1552377996737167"</f>
        <v>1552377996737167</v>
      </c>
      <c r="C1891" t="s">
        <v>40</v>
      </c>
      <c r="D1891">
        <v>7.5466399999999902</v>
      </c>
      <c r="E1891">
        <v>0.49476700000000001</v>
      </c>
      <c r="F1891" t="s">
        <v>66</v>
      </c>
      <c r="G1891">
        <v>-257.85789999999997</v>
      </c>
      <c r="H1891" s="1">
        <v>2.6447930000000001E-6</v>
      </c>
      <c r="I1891">
        <v>282.38400000000001</v>
      </c>
      <c r="J1891">
        <v>-236.18289999999999</v>
      </c>
      <c r="K1891">
        <v>1.1102190000000001</v>
      </c>
      <c r="L1891">
        <v>282.6653</v>
      </c>
      <c r="M1891">
        <v>-0.99990690000000004</v>
      </c>
      <c r="N1891">
        <v>0</v>
      </c>
      <c r="O1891">
        <v>-3.2736589999999999E-3</v>
      </c>
      <c r="P1891">
        <v>-0.99967689999999998</v>
      </c>
      <c r="Q1891">
        <v>2.536252E-2</v>
      </c>
      <c r="R1891">
        <v>1.74897299999999E-3</v>
      </c>
      <c r="S1891">
        <v>-3.0049130000000002</v>
      </c>
      <c r="T1891">
        <v>-0.15313650000000001</v>
      </c>
      <c r="U1891">
        <v>-3.8848880000000002E-2</v>
      </c>
      <c r="V1891">
        <v>5.0244010000000004E-3</v>
      </c>
      <c r="W1891">
        <v>3.860736E-2</v>
      </c>
      <c r="X1891">
        <v>0.99924179999999996</v>
      </c>
      <c r="Y1891">
        <v>-9.6453609999999999E-3</v>
      </c>
      <c r="Z1891" s="1">
        <v>-7.8873299999999996E-5</v>
      </c>
      <c r="AA1891">
        <v>0.99995350000000005</v>
      </c>
      <c r="AB1891">
        <v>11</v>
      </c>
      <c r="AC1891">
        <v>-21.674999999999901</v>
      </c>
      <c r="AD1891">
        <v>-1.1102163552069999</v>
      </c>
      <c r="AE1891">
        <v>-0.281299999999987</v>
      </c>
      <c r="AF1891">
        <v>-0.20978540767302201</v>
      </c>
      <c r="AG1891">
        <v>-1.1102163552069999</v>
      </c>
      <c r="AH1891">
        <v>21.619094569248599</v>
      </c>
      <c r="AI1891">
        <v>92.939618731472393</v>
      </c>
      <c r="AJ1891">
        <v>90.555964135129202</v>
      </c>
      <c r="AK1891">
        <v>21.648599037045201</v>
      </c>
      <c r="AL1891">
        <v>87.787411269365606</v>
      </c>
      <c r="AM1891">
        <v>89.711907022110395</v>
      </c>
      <c r="AN1891">
        <v>0.99999997385940798</v>
      </c>
    </row>
    <row r="1892" spans="1:40" x14ac:dyDescent="0.25">
      <c r="A1892" t="str">
        <f>"20190312160636764"</f>
        <v>20190312160636764</v>
      </c>
      <c r="B1892" t="str">
        <f>"1552377996757194"</f>
        <v>1552377996757194</v>
      </c>
      <c r="C1892" t="s">
        <v>40</v>
      </c>
      <c r="D1892">
        <v>6.5084499999999998</v>
      </c>
      <c r="E1892">
        <v>0.49474659999999898</v>
      </c>
      <c r="F1892" t="s">
        <v>66</v>
      </c>
      <c r="G1892">
        <v>-257.49349999999998</v>
      </c>
      <c r="H1892" s="1">
        <v>2.4508560000000002E-6</v>
      </c>
      <c r="I1892">
        <v>282.42219999999998</v>
      </c>
      <c r="J1892">
        <v>-236.28710000000001</v>
      </c>
      <c r="K1892">
        <v>1.110209</v>
      </c>
      <c r="L1892">
        <v>282.66500000000002</v>
      </c>
      <c r="M1892">
        <v>-0.99990789999999996</v>
      </c>
      <c r="N1892">
        <v>0</v>
      </c>
      <c r="O1892">
        <v>-3.238164E-3</v>
      </c>
      <c r="P1892">
        <v>-0.99967600000000001</v>
      </c>
      <c r="Q1892">
        <v>2.5387489999999999E-2</v>
      </c>
      <c r="R1892">
        <v>2.0045729999999999E-3</v>
      </c>
      <c r="S1892">
        <v>-3.0050349999999999</v>
      </c>
      <c r="T1892">
        <v>-0.15655339999999901</v>
      </c>
      <c r="U1892">
        <v>-3.4271240000000001E-2</v>
      </c>
      <c r="V1892">
        <v>5.244688E-3</v>
      </c>
      <c r="W1892">
        <v>3.8582100000000001E-2</v>
      </c>
      <c r="X1892">
        <v>0.99924170000000001</v>
      </c>
      <c r="Y1892">
        <v>-8.1588990000000007E-3</v>
      </c>
      <c r="Z1892" s="1">
        <v>-4.3783689999999998E-5</v>
      </c>
      <c r="AA1892">
        <v>0.99996669999999999</v>
      </c>
      <c r="AB1892">
        <v>11</v>
      </c>
      <c r="AC1892">
        <v>-21.206399999999899</v>
      </c>
      <c r="AD1892">
        <v>-1.1102065491439901</v>
      </c>
      <c r="AE1892">
        <v>-0.24280000000004501</v>
      </c>
      <c r="AF1892">
        <v>-0.173647095259787</v>
      </c>
      <c r="AG1892">
        <v>-1.1102065491439901</v>
      </c>
      <c r="AH1892">
        <v>21.149117678979</v>
      </c>
      <c r="AI1892">
        <v>93.004838308414605</v>
      </c>
      <c r="AJ1892">
        <v>90.470422561834795</v>
      </c>
      <c r="AK1892">
        <v>21.178949230185101</v>
      </c>
      <c r="AL1892">
        <v>87.788859764338895</v>
      </c>
      <c r="AM1892">
        <v>89.699276233288302</v>
      </c>
      <c r="AN1892">
        <v>1.0000000301057499</v>
      </c>
    </row>
    <row r="1893" spans="1:40" x14ac:dyDescent="0.25">
      <c r="A1893" t="str">
        <f>"20190312160636789"</f>
        <v>20190312160636789</v>
      </c>
      <c r="B1893" t="str">
        <f>"1552377996776713"</f>
        <v>1552377996776713</v>
      </c>
      <c r="C1893" t="s">
        <v>40</v>
      </c>
      <c r="D1893">
        <v>6.3541359999999996</v>
      </c>
      <c r="E1893">
        <v>0.49474230000000002</v>
      </c>
      <c r="F1893" t="s">
        <v>66</v>
      </c>
      <c r="G1893">
        <v>-258.0883</v>
      </c>
      <c r="H1893" s="1">
        <v>2.7674189999999999E-6</v>
      </c>
      <c r="I1893">
        <v>282.42169999999999</v>
      </c>
      <c r="J1893">
        <v>-236.40350000000001</v>
      </c>
      <c r="K1893">
        <v>1.1101799999999999</v>
      </c>
      <c r="L1893">
        <v>282.66469999999998</v>
      </c>
      <c r="M1893">
        <v>-0.99990889999999999</v>
      </c>
      <c r="N1893">
        <v>0</v>
      </c>
      <c r="O1893">
        <v>-3.2002889999999998E-3</v>
      </c>
      <c r="P1893">
        <v>-0.99968500000000005</v>
      </c>
      <c r="Q1893">
        <v>2.497251E-2</v>
      </c>
      <c r="R1893">
        <v>2.5133030000000002E-3</v>
      </c>
      <c r="S1893">
        <v>-3.0049440000000001</v>
      </c>
      <c r="T1893">
        <v>-0.15302349999999901</v>
      </c>
      <c r="U1893">
        <v>-3.3538819999999997E-2</v>
      </c>
      <c r="V1893">
        <v>5.7156059999999998E-3</v>
      </c>
      <c r="W1893">
        <v>3.8084659999999999E-2</v>
      </c>
      <c r="X1893">
        <v>0.99925819999999999</v>
      </c>
      <c r="Y1893">
        <v>-7.9539369999999995E-3</v>
      </c>
      <c r="Z1893" s="1">
        <v>-3.9511670000000001E-5</v>
      </c>
      <c r="AA1893">
        <v>0.99996830000000003</v>
      </c>
      <c r="AB1893">
        <v>10</v>
      </c>
      <c r="AC1893">
        <v>-21.684799999999999</v>
      </c>
      <c r="AD1893">
        <v>-1.110177232581</v>
      </c>
      <c r="AE1893">
        <v>-0.242999999999995</v>
      </c>
      <c r="AF1893">
        <v>-0.173141407541758</v>
      </c>
      <c r="AG1893">
        <v>-1.110177232581</v>
      </c>
      <c r="AH1893">
        <v>21.6287838631517</v>
      </c>
      <c r="AI1893">
        <v>92.938244893887799</v>
      </c>
      <c r="AJ1893">
        <v>90.458650845909503</v>
      </c>
      <c r="AK1893">
        <v>21.657949183467899</v>
      </c>
      <c r="AL1893">
        <v>87.817381939459807</v>
      </c>
      <c r="AM1893">
        <v>89.672280367699997</v>
      </c>
      <c r="AN1893">
        <v>1.0000000298732501</v>
      </c>
    </row>
    <row r="1894" spans="1:40" x14ac:dyDescent="0.25">
      <c r="A1894" t="str">
        <f>"20190312160636819"</f>
        <v>20190312160636819</v>
      </c>
      <c r="B1894" t="str">
        <f>"1552377996797209"</f>
        <v>1552377996797209</v>
      </c>
      <c r="C1894" t="s">
        <v>40</v>
      </c>
      <c r="D1894">
        <v>6.5197969999999996</v>
      </c>
      <c r="E1894">
        <v>0.4949616</v>
      </c>
      <c r="F1894" t="s">
        <v>66</v>
      </c>
      <c r="G1894">
        <v>-258.56349999999998</v>
      </c>
      <c r="H1894" s="1">
        <v>3.020289E-6</v>
      </c>
      <c r="I1894">
        <v>282.42630000000003</v>
      </c>
      <c r="J1894">
        <v>-236.5463</v>
      </c>
      <c r="K1894">
        <v>1.1101540000000001</v>
      </c>
      <c r="L1894">
        <v>282.66430000000003</v>
      </c>
      <c r="M1894">
        <v>-0.99991099999999999</v>
      </c>
      <c r="N1894">
        <v>0</v>
      </c>
      <c r="O1894">
        <v>-3.1518739999999998E-3</v>
      </c>
      <c r="P1894">
        <v>-0.99969319999999895</v>
      </c>
      <c r="Q1894">
        <v>2.4630369999999999E-2</v>
      </c>
      <c r="R1894">
        <v>2.6667639999999999E-3</v>
      </c>
      <c r="S1894">
        <v>-3.004791</v>
      </c>
      <c r="T1894">
        <v>-0.15053429999999901</v>
      </c>
      <c r="U1894">
        <v>-3.2318119999999999E-2</v>
      </c>
      <c r="V1894">
        <v>5.8205829999999998E-3</v>
      </c>
      <c r="W1894">
        <v>3.7591479999999997E-2</v>
      </c>
      <c r="X1894">
        <v>0.99927619999999895</v>
      </c>
      <c r="Y1894">
        <v>-7.5973219999999897E-3</v>
      </c>
      <c r="Z1894" s="1">
        <v>-3.2369159999999999E-5</v>
      </c>
      <c r="AA1894">
        <v>0.99997119999999995</v>
      </c>
      <c r="AB1894">
        <v>10</v>
      </c>
      <c r="AC1894">
        <v>-22.0171999999999</v>
      </c>
      <c r="AD1894">
        <v>-1.1101509797110001</v>
      </c>
      <c r="AE1894">
        <v>-0.23799999999999899</v>
      </c>
      <c r="AF1894">
        <v>-0.16817004376087299</v>
      </c>
      <c r="AG1894">
        <v>-1.1101509797110001</v>
      </c>
      <c r="AH1894">
        <v>21.962011642167599</v>
      </c>
      <c r="AI1894">
        <v>92.893679058649298</v>
      </c>
      <c r="AJ1894">
        <v>90.438723264005901</v>
      </c>
      <c r="AK1894">
        <v>21.9906951170734</v>
      </c>
      <c r="AL1894">
        <v>87.845659173362804</v>
      </c>
      <c r="AM1894">
        <v>89.666267375679894</v>
      </c>
      <c r="AN1894">
        <v>0.99999996122074397</v>
      </c>
    </row>
    <row r="1895" spans="1:40" x14ac:dyDescent="0.25">
      <c r="A1895" t="str">
        <f>"20190312160636842"</f>
        <v>20190312160636842</v>
      </c>
      <c r="B1895" t="str">
        <f>"1552377996837225"</f>
        <v>1552377996837225</v>
      </c>
      <c r="C1895" t="s">
        <v>40</v>
      </c>
      <c r="D1895">
        <v>6.4590079999999999</v>
      </c>
      <c r="E1895">
        <v>0.49494660000000001</v>
      </c>
      <c r="F1895" t="s">
        <v>66</v>
      </c>
      <c r="G1895">
        <v>-258.46460000000002</v>
      </c>
      <c r="H1895" s="1">
        <v>2.967631E-6</v>
      </c>
      <c r="I1895">
        <v>282.44749999999999</v>
      </c>
      <c r="J1895">
        <v>-236.65170000000001</v>
      </c>
      <c r="K1895">
        <v>1.110128</v>
      </c>
      <c r="L1895">
        <v>282.66399999999999</v>
      </c>
      <c r="M1895">
        <v>-0.99991300000000005</v>
      </c>
      <c r="N1895">
        <v>0</v>
      </c>
      <c r="O1895">
        <v>-3.1133689999999999E-3</v>
      </c>
      <c r="P1895">
        <v>-0.99969149999999996</v>
      </c>
      <c r="Q1895">
        <v>2.4688660000000001E-2</v>
      </c>
      <c r="R1895">
        <v>2.6728749999999999E-3</v>
      </c>
      <c r="S1895">
        <v>-3.0047450000000002</v>
      </c>
      <c r="T1895">
        <v>-0.15218889999999999</v>
      </c>
      <c r="U1895">
        <v>-2.972412E-2</v>
      </c>
      <c r="V1895">
        <v>5.7878319999999997E-3</v>
      </c>
      <c r="W1895">
        <v>3.7496179999999997E-2</v>
      </c>
      <c r="X1895">
        <v>0.99927999999999995</v>
      </c>
      <c r="Y1895">
        <v>-6.7736960000000001E-3</v>
      </c>
      <c r="Z1895" s="1">
        <v>-1.38302E-5</v>
      </c>
      <c r="AA1895">
        <v>0.99997709999999995</v>
      </c>
      <c r="AB1895">
        <v>10</v>
      </c>
      <c r="AC1895">
        <v>-21.812899999999999</v>
      </c>
      <c r="AD1895">
        <v>-1.110125032369</v>
      </c>
      <c r="AE1895">
        <v>-0.216499999999996</v>
      </c>
      <c r="AF1895">
        <v>-0.148197954183372</v>
      </c>
      <c r="AG1895">
        <v>-1.110125032369</v>
      </c>
      <c r="AH1895">
        <v>21.7571207402179</v>
      </c>
      <c r="AI1895">
        <v>92.920832100137304</v>
      </c>
      <c r="AJ1895">
        <v>90.390262392434494</v>
      </c>
      <c r="AK1895">
        <v>21.785927639775601</v>
      </c>
      <c r="AL1895">
        <v>87.851123376536805</v>
      </c>
      <c r="AM1895">
        <v>89.668146427521293</v>
      </c>
      <c r="AN1895">
        <v>0.999999990456926</v>
      </c>
    </row>
    <row r="1896" spans="1:40" x14ac:dyDescent="0.25">
      <c r="A1896" t="str">
        <f>"20190312160636864"</f>
        <v>20190312160636864</v>
      </c>
      <c r="B1896" t="str">
        <f>"1552377996857254"</f>
        <v>1552377996857254</v>
      </c>
      <c r="C1896" t="s">
        <v>40</v>
      </c>
      <c r="D1896">
        <v>6.6081919999999998</v>
      </c>
      <c r="E1896">
        <v>0.49531609999999998</v>
      </c>
      <c r="F1896" t="s">
        <v>66</v>
      </c>
      <c r="G1896">
        <v>-259.21800000000002</v>
      </c>
      <c r="H1896" s="1">
        <v>3.368553E-6</v>
      </c>
      <c r="I1896">
        <v>282.43849999999998</v>
      </c>
      <c r="J1896">
        <v>-236.75839999999999</v>
      </c>
      <c r="K1896">
        <v>1.110096</v>
      </c>
      <c r="L1896">
        <v>282.66379999999998</v>
      </c>
      <c r="M1896">
        <v>-0.99991549999999996</v>
      </c>
      <c r="N1896">
        <v>0</v>
      </c>
      <c r="O1896">
        <v>-3.0739890000000001E-3</v>
      </c>
      <c r="P1896">
        <v>-0.99968889999999999</v>
      </c>
      <c r="Q1896">
        <v>2.4847600000000001E-2</v>
      </c>
      <c r="R1896">
        <v>2.2362110000000001E-3</v>
      </c>
      <c r="S1896">
        <v>-3.0046539999999999</v>
      </c>
      <c r="T1896">
        <v>-0.1478109</v>
      </c>
      <c r="U1896">
        <v>-3.0029299999999998E-2</v>
      </c>
      <c r="V1896">
        <v>5.3118499999999999E-3</v>
      </c>
      <c r="W1896">
        <v>3.7474739999999999E-2</v>
      </c>
      <c r="X1896">
        <v>0.99928340000000004</v>
      </c>
      <c r="Y1896">
        <v>-6.9149909999999997E-3</v>
      </c>
      <c r="Z1896" s="1">
        <v>-1.8843030000000001E-5</v>
      </c>
      <c r="AA1896">
        <v>0.99997610000000003</v>
      </c>
      <c r="AB1896">
        <v>10</v>
      </c>
      <c r="AC1896">
        <v>-22.459599999999998</v>
      </c>
      <c r="AD1896">
        <v>-1.1100926314470001</v>
      </c>
      <c r="AE1896">
        <v>-0.225300000000004</v>
      </c>
      <c r="AF1896">
        <v>-0.155872114546975</v>
      </c>
      <c r="AG1896">
        <v>-1.1100926314470001</v>
      </c>
      <c r="AH1896">
        <v>22.4054566117705</v>
      </c>
      <c r="AI1896">
        <v>92.836367981823201</v>
      </c>
      <c r="AJ1896">
        <v>90.398593538520004</v>
      </c>
      <c r="AK1896">
        <v>22.433481400540899</v>
      </c>
      <c r="AL1896">
        <v>87.852352559427501</v>
      </c>
      <c r="AM1896">
        <v>89.695438031000506</v>
      </c>
      <c r="AN1896">
        <v>0.99999994270202297</v>
      </c>
    </row>
    <row r="1897" spans="1:40" x14ac:dyDescent="0.25">
      <c r="A1897" t="str">
        <f>"20190312160636888"</f>
        <v>20190312160636888</v>
      </c>
      <c r="B1897" t="str">
        <f>"1552377996876772"</f>
        <v>1552377996876772</v>
      </c>
      <c r="C1897" t="s">
        <v>40</v>
      </c>
      <c r="D1897">
        <v>6.5174200000000004</v>
      </c>
      <c r="E1897">
        <v>0.4955253</v>
      </c>
      <c r="F1897" t="s">
        <v>66</v>
      </c>
      <c r="G1897">
        <v>-259.33890000000002</v>
      </c>
      <c r="H1897" s="1">
        <v>3.4329269999999999E-6</v>
      </c>
      <c r="I1897">
        <v>282.45159999999998</v>
      </c>
      <c r="J1897">
        <v>-236.86840000000001</v>
      </c>
      <c r="K1897">
        <v>1.1100639999999999</v>
      </c>
      <c r="L1897">
        <v>282.6635</v>
      </c>
      <c r="M1897">
        <v>-0.99991819999999998</v>
      </c>
      <c r="N1897">
        <v>0</v>
      </c>
      <c r="O1897">
        <v>-3.034583E-3</v>
      </c>
      <c r="P1897">
        <v>-0.99967899999999998</v>
      </c>
      <c r="Q1897">
        <v>2.5300409999999999E-2</v>
      </c>
      <c r="R1897">
        <v>1.3536589999999999E-3</v>
      </c>
      <c r="S1897">
        <v>-3.0046539999999999</v>
      </c>
      <c r="T1897">
        <v>-0.14771289999999901</v>
      </c>
      <c r="U1897">
        <v>-2.8228759999999999E-2</v>
      </c>
      <c r="V1897">
        <v>4.3897229999999999E-3</v>
      </c>
      <c r="W1897">
        <v>3.7723949999999999E-2</v>
      </c>
      <c r="X1897">
        <v>0.99927849999999996</v>
      </c>
      <c r="Y1897">
        <v>-6.355861E-3</v>
      </c>
      <c r="Z1897" s="1">
        <v>-7.0319509999999999E-6</v>
      </c>
      <c r="AA1897">
        <v>0.99997979999999997</v>
      </c>
      <c r="AB1897">
        <v>11</v>
      </c>
      <c r="AC1897">
        <v>-22.470500000000001</v>
      </c>
      <c r="AD1897">
        <v>-1.1100605670729999</v>
      </c>
      <c r="AE1897">
        <v>-0.21190000000001399</v>
      </c>
      <c r="AF1897">
        <v>-0.14335534383943699</v>
      </c>
      <c r="AG1897">
        <v>-1.1100605670729999</v>
      </c>
      <c r="AH1897">
        <v>22.4163387665015</v>
      </c>
      <c r="AI1897">
        <v>92.834922156092603</v>
      </c>
      <c r="AJ1897">
        <v>90.366408818489802</v>
      </c>
      <c r="AK1897">
        <v>22.444264944785701</v>
      </c>
      <c r="AL1897">
        <v>87.838063775011406</v>
      </c>
      <c r="AM1897">
        <v>89.748307420508795</v>
      </c>
      <c r="AN1897">
        <v>0.99999994331693298</v>
      </c>
    </row>
    <row r="1898" spans="1:40" x14ac:dyDescent="0.25">
      <c r="A1898" t="str">
        <f>"20190312160636908"</f>
        <v>20190312160636908</v>
      </c>
      <c r="B1898" t="str">
        <f>"1552377996897272"</f>
        <v>1552377996897272</v>
      </c>
      <c r="C1898" t="s">
        <v>40</v>
      </c>
      <c r="D1898">
        <v>6.4085890000000001</v>
      </c>
      <c r="E1898">
        <v>0.49561939999999999</v>
      </c>
      <c r="F1898" t="s">
        <v>66</v>
      </c>
      <c r="G1898">
        <v>-259.30939999999998</v>
      </c>
      <c r="H1898" s="1">
        <v>3.4172219999999998E-6</v>
      </c>
      <c r="I1898">
        <v>282.44600000000003</v>
      </c>
      <c r="J1898">
        <v>-236.96690000000001</v>
      </c>
      <c r="K1898">
        <v>1.110036</v>
      </c>
      <c r="L1898">
        <v>282.66320000000002</v>
      </c>
      <c r="M1898">
        <v>-0.9999207</v>
      </c>
      <c r="N1898">
        <v>0</v>
      </c>
      <c r="O1898">
        <v>-3.0007530000000001E-3</v>
      </c>
      <c r="P1898">
        <v>-0.99968120000000005</v>
      </c>
      <c r="Q1898">
        <v>2.523094E-2</v>
      </c>
      <c r="R1898">
        <v>1.0499540000000001E-3</v>
      </c>
      <c r="S1898">
        <v>-3.0047760000000001</v>
      </c>
      <c r="T1898">
        <v>-0.148633399999999</v>
      </c>
      <c r="U1898">
        <v>-2.9113770000000001E-2</v>
      </c>
      <c r="V1898">
        <v>4.0522639999999999E-3</v>
      </c>
      <c r="W1898">
        <v>3.7464740000000003E-2</v>
      </c>
      <c r="X1898">
        <v>0.99928980000000001</v>
      </c>
      <c r="Y1898">
        <v>-6.683329E-3</v>
      </c>
      <c r="Z1898" s="1">
        <v>-1.6842339999999999E-5</v>
      </c>
      <c r="AA1898">
        <v>0.99997760000000002</v>
      </c>
      <c r="AB1898">
        <v>11</v>
      </c>
      <c r="AC1898">
        <v>-22.342499999999902</v>
      </c>
      <c r="AD1898">
        <v>-1.110032582778</v>
      </c>
      <c r="AE1898">
        <v>-0.21720000000004799</v>
      </c>
      <c r="AF1898">
        <v>-0.14978000739316299</v>
      </c>
      <c r="AG1898">
        <v>-1.110032582778</v>
      </c>
      <c r="AH1898">
        <v>22.288041567141601</v>
      </c>
      <c r="AI1898">
        <v>92.851136210257707</v>
      </c>
      <c r="AJ1898">
        <v>90.385033071193206</v>
      </c>
      <c r="AK1898">
        <v>22.316169099647801</v>
      </c>
      <c r="AL1898">
        <v>87.852926184713098</v>
      </c>
      <c r="AM1898">
        <v>89.767658639138006</v>
      </c>
      <c r="AN1898">
        <v>1.00000006598541</v>
      </c>
    </row>
    <row r="1899" spans="1:40" x14ac:dyDescent="0.25">
      <c r="A1899" t="str">
        <f>"20190312160636930"</f>
        <v>20190312160636930</v>
      </c>
      <c r="B1899" t="str">
        <f>"1552377996916788"</f>
        <v>1552377996916788</v>
      </c>
      <c r="C1899" t="s">
        <v>40</v>
      </c>
      <c r="D1899">
        <v>6.6156610000000002</v>
      </c>
      <c r="E1899">
        <v>0.49592740000000002</v>
      </c>
      <c r="F1899" t="s">
        <v>66</v>
      </c>
      <c r="G1899">
        <v>-259.17989999999998</v>
      </c>
      <c r="H1899" s="1">
        <v>3.3482870000000001E-6</v>
      </c>
      <c r="I1899">
        <v>282.44600000000003</v>
      </c>
      <c r="J1899">
        <v>-237.0719</v>
      </c>
      <c r="K1899">
        <v>1.110004</v>
      </c>
      <c r="L1899">
        <v>282.66289999999998</v>
      </c>
      <c r="M1899">
        <v>-0.99992320000000001</v>
      </c>
      <c r="N1899">
        <v>0</v>
      </c>
      <c r="O1899">
        <v>-2.9654389999999998E-3</v>
      </c>
      <c r="P1899">
        <v>-0.99969090000000005</v>
      </c>
      <c r="Q1899">
        <v>2.4848220000000001E-2</v>
      </c>
      <c r="R1899">
        <v>8.6409799999999999E-4</v>
      </c>
      <c r="S1899">
        <v>-3.004791</v>
      </c>
      <c r="T1899">
        <v>-0.1501565</v>
      </c>
      <c r="U1899">
        <v>-2.938843E-2</v>
      </c>
      <c r="V1899">
        <v>3.8311479999999999E-3</v>
      </c>
      <c r="W1899">
        <v>3.688197E-2</v>
      </c>
      <c r="X1899">
        <v>0.99931230000000004</v>
      </c>
      <c r="Y1899">
        <v>-6.8097039999999998E-3</v>
      </c>
      <c r="Z1899" s="1">
        <v>-2.193423E-5</v>
      </c>
      <c r="AA1899">
        <v>0.9999768</v>
      </c>
      <c r="AB1899">
        <v>11</v>
      </c>
      <c r="AC1899">
        <v>-22.107999999999901</v>
      </c>
      <c r="AD1899">
        <v>-1.1100006517130001</v>
      </c>
      <c r="AE1899">
        <v>-0.216900000000009</v>
      </c>
      <c r="AF1899">
        <v>-0.15095387775248101</v>
      </c>
      <c r="AG1899">
        <v>-1.1100006517130001</v>
      </c>
      <c r="AH1899">
        <v>22.0529591069511</v>
      </c>
      <c r="AI1899">
        <v>92.881392916855305</v>
      </c>
      <c r="AJ1899">
        <v>90.392187051872696</v>
      </c>
      <c r="AK1899">
        <v>22.081392480839401</v>
      </c>
      <c r="AL1899">
        <v>87.886339431192297</v>
      </c>
      <c r="AM1899">
        <v>89.780341405123593</v>
      </c>
      <c r="AN1899">
        <v>1.0000000151686801</v>
      </c>
    </row>
    <row r="1900" spans="1:40" x14ac:dyDescent="0.25">
      <c r="A1900" t="str">
        <f>"20190312160636953"</f>
        <v>20190312160636953</v>
      </c>
      <c r="B1900" t="str">
        <f>"1552377996947045"</f>
        <v>1552377996947045</v>
      </c>
      <c r="C1900" t="s">
        <v>40</v>
      </c>
      <c r="D1900">
        <v>6.6233490000000002</v>
      </c>
      <c r="E1900">
        <v>0.49585899999999999</v>
      </c>
      <c r="F1900" t="s">
        <v>66</v>
      </c>
      <c r="G1900">
        <v>-259.09840000000003</v>
      </c>
      <c r="H1900" s="1">
        <v>3.3049419999999998E-6</v>
      </c>
      <c r="I1900">
        <v>282.46019999999999</v>
      </c>
      <c r="J1900">
        <v>-237.18270000000001</v>
      </c>
      <c r="K1900">
        <v>1.109977</v>
      </c>
      <c r="L1900">
        <v>282.6626</v>
      </c>
      <c r="M1900">
        <v>-0.99992570000000003</v>
      </c>
      <c r="N1900">
        <v>0</v>
      </c>
      <c r="O1900">
        <v>-2.9275130000000001E-3</v>
      </c>
      <c r="P1900">
        <v>-0.999691</v>
      </c>
      <c r="Q1900">
        <v>2.4851040000000001E-2</v>
      </c>
      <c r="R1900">
        <v>6.4740279999999999E-4</v>
      </c>
      <c r="S1900">
        <v>-3.0047000000000001</v>
      </c>
      <c r="T1900">
        <v>-0.151418</v>
      </c>
      <c r="U1900">
        <v>-2.7648929999999999E-2</v>
      </c>
      <c r="V1900">
        <v>3.576653E-3</v>
      </c>
      <c r="W1900">
        <v>3.6682300000000001E-2</v>
      </c>
      <c r="X1900">
        <v>0.9993206</v>
      </c>
      <c r="Y1900">
        <v>-6.26963E-3</v>
      </c>
      <c r="Z1900" s="1">
        <v>-1.043019E-5</v>
      </c>
      <c r="AA1900">
        <v>0.99998030000000004</v>
      </c>
      <c r="AB1900">
        <v>11</v>
      </c>
      <c r="AC1900">
        <v>-21.915700000000001</v>
      </c>
      <c r="AD1900">
        <v>-1.1099736950579999</v>
      </c>
      <c r="AE1900">
        <v>-0.20240000000001099</v>
      </c>
      <c r="AF1900">
        <v>-0.13788248291878</v>
      </c>
      <c r="AG1900">
        <v>-1.1099736950579999</v>
      </c>
      <c r="AH1900">
        <v>21.860128670544601</v>
      </c>
      <c r="AI1900">
        <v>92.906706366697904</v>
      </c>
      <c r="AJ1900">
        <v>90.361387606399703</v>
      </c>
      <c r="AK1900">
        <v>21.888724921191301</v>
      </c>
      <c r="AL1900">
        <v>87.897787441687598</v>
      </c>
      <c r="AM1900">
        <v>89.794934431791702</v>
      </c>
      <c r="AN1900">
        <v>1.0000000225821599</v>
      </c>
    </row>
    <row r="1901" spans="1:40" x14ac:dyDescent="0.25">
      <c r="A1901" t="str">
        <f>"20190312160636979"</f>
        <v>20190312160636979</v>
      </c>
      <c r="B1901" t="str">
        <f>"1552377996966564"</f>
        <v>1552377996966564</v>
      </c>
      <c r="C1901" t="s">
        <v>40</v>
      </c>
      <c r="D1901">
        <v>6.6506360000000004</v>
      </c>
      <c r="E1901">
        <v>0.49583539999999998</v>
      </c>
      <c r="F1901" t="s">
        <v>66</v>
      </c>
      <c r="G1901">
        <v>-259.43579999999997</v>
      </c>
      <c r="H1901" s="1">
        <v>3.4844780000000001E-6</v>
      </c>
      <c r="I1901">
        <v>282.4504</v>
      </c>
      <c r="J1901">
        <v>-237.29859999999999</v>
      </c>
      <c r="K1901">
        <v>1.1099570000000001</v>
      </c>
      <c r="L1901">
        <v>282.66230000000002</v>
      </c>
      <c r="M1901">
        <v>-0.99992820000000004</v>
      </c>
      <c r="N1901">
        <v>0</v>
      </c>
      <c r="O1901">
        <v>-2.8882199999999999E-3</v>
      </c>
      <c r="P1901">
        <v>-0.99968699999999999</v>
      </c>
      <c r="Q1901">
        <v>2.5001929999999999E-2</v>
      </c>
      <c r="R1901">
        <v>1.0067139999999999E-3</v>
      </c>
      <c r="S1901">
        <v>-3.0046689999999998</v>
      </c>
      <c r="T1901">
        <v>-0.14987149999999999</v>
      </c>
      <c r="U1901">
        <v>-2.8656009999999999E-2</v>
      </c>
      <c r="V1901">
        <v>3.8966119999999998E-3</v>
      </c>
      <c r="W1901">
        <v>3.6637990000000002E-2</v>
      </c>
      <c r="X1901">
        <v>0.99932100000000001</v>
      </c>
      <c r="Y1901">
        <v>-6.6437319999999899E-3</v>
      </c>
      <c r="Z1901" s="1">
        <v>-2.1607049999999998E-5</v>
      </c>
      <c r="AA1901">
        <v>0.99997789999999998</v>
      </c>
      <c r="AB1901">
        <v>11</v>
      </c>
      <c r="AC1901">
        <v>-22.137199999999901</v>
      </c>
      <c r="AD1901">
        <v>-1.1099535155219999</v>
      </c>
      <c r="AE1901">
        <v>-0.21190000000001399</v>
      </c>
      <c r="AF1901">
        <v>-0.147586689964537</v>
      </c>
      <c r="AG1901">
        <v>-1.1099535155219999</v>
      </c>
      <c r="AH1901">
        <v>22.082210256426901</v>
      </c>
      <c r="AI1901">
        <v>92.877463653428805</v>
      </c>
      <c r="AJ1901">
        <v>90.382931257475406</v>
      </c>
      <c r="AK1901">
        <v>22.110580916084398</v>
      </c>
      <c r="AL1901">
        <v>87.900327864200605</v>
      </c>
      <c r="AM1901">
        <v>89.776590014104698</v>
      </c>
      <c r="AN1901">
        <v>0.99999999346865898</v>
      </c>
    </row>
    <row r="1902" spans="1:40" x14ac:dyDescent="0.25">
      <c r="A1902" t="str">
        <f>"20190312160637000"</f>
        <v>20190312160637000</v>
      </c>
      <c r="B1902" t="str">
        <f>"1552377996987061"</f>
        <v>1552377996987061</v>
      </c>
      <c r="C1902" t="s">
        <v>40</v>
      </c>
      <c r="D1902">
        <v>6.6505380000000001</v>
      </c>
      <c r="E1902">
        <v>0.49585079999999998</v>
      </c>
      <c r="F1902" t="s">
        <v>66</v>
      </c>
      <c r="G1902">
        <v>-259.9796</v>
      </c>
      <c r="H1902" s="1">
        <v>-1.547638E-6</v>
      </c>
      <c r="I1902">
        <v>282.45249999999999</v>
      </c>
      <c r="J1902">
        <v>-237.4006</v>
      </c>
      <c r="K1902">
        <v>1.109939</v>
      </c>
      <c r="L1902">
        <v>282.66210000000001</v>
      </c>
      <c r="M1902">
        <v>-0.99992999999999999</v>
      </c>
      <c r="N1902">
        <v>0</v>
      </c>
      <c r="O1902">
        <v>-2.8527299999999999E-3</v>
      </c>
      <c r="P1902">
        <v>-0.99969229999999998</v>
      </c>
      <c r="Q1902">
        <v>2.4787699999999999E-2</v>
      </c>
      <c r="R1902">
        <v>8.208375E-4</v>
      </c>
      <c r="S1902">
        <v>-3.0046390000000001</v>
      </c>
      <c r="T1902">
        <v>-0.14704059999999999</v>
      </c>
      <c r="U1902">
        <v>-2.7801510000000001E-2</v>
      </c>
      <c r="V1902">
        <v>3.6752299999999998E-3</v>
      </c>
      <c r="W1902">
        <v>3.6263440000000001E-2</v>
      </c>
      <c r="X1902">
        <v>0.99933550000000004</v>
      </c>
      <c r="Y1902">
        <v>-6.3953959999999898E-3</v>
      </c>
      <c r="Z1902" s="1">
        <v>-1.6862960000000002E-5</v>
      </c>
      <c r="AA1902">
        <v>0.99997959999999997</v>
      </c>
      <c r="AB1902">
        <v>11</v>
      </c>
      <c r="AC1902">
        <v>-22.579000000000001</v>
      </c>
      <c r="AD1902">
        <v>-1.109940547638</v>
      </c>
      <c r="AE1902">
        <v>-0.20960000000002299</v>
      </c>
      <c r="AF1902">
        <v>-0.144833147607699</v>
      </c>
      <c r="AG1902">
        <v>-1.109940547638</v>
      </c>
      <c r="AH1902">
        <v>22.525078518059399</v>
      </c>
      <c r="AI1902">
        <v>92.820953573475407</v>
      </c>
      <c r="AJ1902">
        <v>90.3683988816328</v>
      </c>
      <c r="AK1902">
        <v>22.552873584194899</v>
      </c>
      <c r="AL1902">
        <v>87.921802268439706</v>
      </c>
      <c r="AM1902">
        <v>89.789285762004297</v>
      </c>
      <c r="AN1902">
        <v>0.99999999297821796</v>
      </c>
    </row>
    <row r="1903" spans="1:40" x14ac:dyDescent="0.25">
      <c r="A1903" t="str">
        <f>"20190312160637043"</f>
        <v>20190312160637043</v>
      </c>
      <c r="B1903" t="str">
        <f>"1552377997036837"</f>
        <v>1552377997036837</v>
      </c>
      <c r="C1903" t="s">
        <v>40</v>
      </c>
      <c r="D1903">
        <v>6.4466729999999997</v>
      </c>
      <c r="E1903">
        <v>0.495921</v>
      </c>
      <c r="F1903" t="s">
        <v>66</v>
      </c>
      <c r="G1903">
        <v>-260.33670000000001</v>
      </c>
      <c r="H1903" s="1">
        <v>-1.3576339999999901E-6</v>
      </c>
      <c r="I1903">
        <v>282.44619999999998</v>
      </c>
      <c r="J1903">
        <v>-237.61189999999999</v>
      </c>
      <c r="K1903">
        <v>1.109904</v>
      </c>
      <c r="L1903">
        <v>282.66160000000002</v>
      </c>
      <c r="M1903">
        <v>-0.99993379999999998</v>
      </c>
      <c r="N1903">
        <v>0</v>
      </c>
      <c r="O1903">
        <v>-2.7793929999999998E-3</v>
      </c>
      <c r="P1903">
        <v>-0.99971310000000002</v>
      </c>
      <c r="Q1903">
        <v>2.3881980000000001E-2</v>
      </c>
      <c r="R1903">
        <v>1.955577E-3</v>
      </c>
      <c r="S1903">
        <v>-3.0045470000000001</v>
      </c>
      <c r="T1903">
        <v>-0.14539859999999999</v>
      </c>
      <c r="U1903">
        <v>-2.8289789999999999E-2</v>
      </c>
      <c r="V1903">
        <v>4.7367970000000001E-3</v>
      </c>
      <c r="W1903">
        <v>3.5055429999999999E-2</v>
      </c>
      <c r="X1903">
        <v>0.99937419999999999</v>
      </c>
      <c r="Y1903">
        <v>-6.6312569999999998E-3</v>
      </c>
      <c r="Z1903" s="1">
        <v>-2.592641E-5</v>
      </c>
      <c r="AA1903">
        <v>0.99997800000000003</v>
      </c>
      <c r="AB1903">
        <v>11</v>
      </c>
      <c r="AC1903">
        <v>-22.724799999999998</v>
      </c>
      <c r="AD1903">
        <v>-1.1099053576339999</v>
      </c>
      <c r="AE1903">
        <v>-0.215400000000045</v>
      </c>
      <c r="AF1903">
        <v>-0.151871829017936</v>
      </c>
      <c r="AG1903">
        <v>-1.1099053576339999</v>
      </c>
      <c r="AH1903">
        <v>22.671234515632602</v>
      </c>
      <c r="AI1903">
        <v>92.802702995918196</v>
      </c>
      <c r="AJ1903">
        <v>90.383811682844794</v>
      </c>
      <c r="AK1903">
        <v>22.698894894205001</v>
      </c>
      <c r="AL1903">
        <v>87.991060322503799</v>
      </c>
      <c r="AM1903">
        <v>89.728433609569507</v>
      </c>
      <c r="AN1903">
        <v>1.00000005602197</v>
      </c>
    </row>
    <row r="1904" spans="1:40" x14ac:dyDescent="0.25">
      <c r="A1904" t="str">
        <f>"20190312160637065"</f>
        <v>20190312160637065</v>
      </c>
      <c r="B1904" t="str">
        <f>"1552377997057332"</f>
        <v>1552377997057332</v>
      </c>
      <c r="C1904" t="s">
        <v>40</v>
      </c>
      <c r="D1904">
        <v>6.573588</v>
      </c>
      <c r="E1904">
        <v>0.49599019999999999</v>
      </c>
      <c r="F1904" t="s">
        <v>66</v>
      </c>
      <c r="G1904">
        <v>-260.81020000000001</v>
      </c>
      <c r="H1904" s="1">
        <v>-1.105668E-6</v>
      </c>
      <c r="I1904">
        <v>282.47190000000001</v>
      </c>
      <c r="J1904">
        <v>-237.71639999999999</v>
      </c>
      <c r="K1904">
        <v>1.1098920000000001</v>
      </c>
      <c r="L1904">
        <v>282.66129999999998</v>
      </c>
      <c r="M1904">
        <v>-0.99993540000000003</v>
      </c>
      <c r="N1904">
        <v>0</v>
      </c>
      <c r="O1904">
        <v>-2.7428610000000001E-3</v>
      </c>
      <c r="P1904">
        <v>-0.99971529999999997</v>
      </c>
      <c r="Q1904">
        <v>2.3699899999999999E-2</v>
      </c>
      <c r="R1904">
        <v>2.8402950000000001E-3</v>
      </c>
      <c r="S1904">
        <v>-3.0043639999999998</v>
      </c>
      <c r="T1904">
        <v>-0.14374210000000001</v>
      </c>
      <c r="U1904">
        <v>-2.4566649999999999E-2</v>
      </c>
      <c r="V1904">
        <v>5.5849699999999999E-3</v>
      </c>
      <c r="W1904">
        <v>3.4732810000000003E-2</v>
      </c>
      <c r="X1904">
        <v>0.99938099999999996</v>
      </c>
      <c r="Y1904">
        <v>-5.4306750000000003E-3</v>
      </c>
      <c r="Z1904" s="1">
        <v>1.3235549999999999E-6</v>
      </c>
      <c r="AA1904">
        <v>0.99998529999999997</v>
      </c>
      <c r="AB1904">
        <v>11</v>
      </c>
      <c r="AC1904">
        <v>-23.093800000000002</v>
      </c>
      <c r="AD1904">
        <v>-1.1098931056679999</v>
      </c>
      <c r="AE1904">
        <v>-0.189399999999977</v>
      </c>
      <c r="AF1904">
        <v>-0.12576188683705899</v>
      </c>
      <c r="AG1904">
        <v>-1.1098931056679999</v>
      </c>
      <c r="AH1904">
        <v>23.041016439503</v>
      </c>
      <c r="AI1904">
        <v>92.757783196975794</v>
      </c>
      <c r="AJ1904">
        <v>90.312727253317803</v>
      </c>
      <c r="AK1904">
        <v>23.068075717832201</v>
      </c>
      <c r="AL1904">
        <v>88.009556181578404</v>
      </c>
      <c r="AM1904">
        <v>89.679809923781093</v>
      </c>
      <c r="AN1904">
        <v>0.99999997157069798</v>
      </c>
    </row>
    <row r="1905" spans="1:40" x14ac:dyDescent="0.25">
      <c r="A1905" t="str">
        <f>"20190312160637089"</f>
        <v>20190312160637089</v>
      </c>
      <c r="B1905" t="str">
        <f>"1552377997076852"</f>
        <v>1552377997076852</v>
      </c>
      <c r="C1905" t="s">
        <v>40</v>
      </c>
      <c r="D1905">
        <v>7.3634719999999998</v>
      </c>
      <c r="E1905">
        <v>0.49610769999999998</v>
      </c>
      <c r="F1905" t="s">
        <v>66</v>
      </c>
      <c r="G1905">
        <v>-261.15809999999999</v>
      </c>
      <c r="H1905" s="1">
        <v>-9.2050369999999999E-7</v>
      </c>
      <c r="I1905">
        <v>282.49400000000003</v>
      </c>
      <c r="J1905">
        <v>-237.8272</v>
      </c>
      <c r="K1905">
        <v>1.1098840000000001</v>
      </c>
      <c r="L1905">
        <v>282.66109999999998</v>
      </c>
      <c r="M1905">
        <v>-0.99993699999999996</v>
      </c>
      <c r="N1905">
        <v>0</v>
      </c>
      <c r="O1905">
        <v>-2.7040419999999998E-3</v>
      </c>
      <c r="P1905">
        <v>-0.99969759999999996</v>
      </c>
      <c r="Q1905">
        <v>2.4305159999999999E-2</v>
      </c>
      <c r="R1905">
        <v>3.7650629999999999E-3</v>
      </c>
      <c r="S1905">
        <v>-3.0042879999999998</v>
      </c>
      <c r="T1905">
        <v>-0.14224400000000001</v>
      </c>
      <c r="U1905">
        <v>-2.1453860000000002E-2</v>
      </c>
      <c r="V1905">
        <v>6.4708930000000001E-3</v>
      </c>
      <c r="W1905">
        <v>3.51922E-2</v>
      </c>
      <c r="X1905">
        <v>0.99935960000000001</v>
      </c>
      <c r="Y1905">
        <v>-4.4347989999999997E-3</v>
      </c>
      <c r="Z1905" s="1">
        <v>2.303506E-5</v>
      </c>
      <c r="AA1905">
        <v>0.99999020000000005</v>
      </c>
      <c r="AB1905">
        <v>11</v>
      </c>
      <c r="AC1905">
        <v>-23.3308999999999</v>
      </c>
      <c r="AD1905">
        <v>-1.1098849205037</v>
      </c>
      <c r="AE1905">
        <v>-0.16709999999994801</v>
      </c>
      <c r="AF1905">
        <v>-0.103773080475086</v>
      </c>
      <c r="AG1905">
        <v>-1.1098849205037</v>
      </c>
      <c r="AH1905">
        <v>23.278588807265201</v>
      </c>
      <c r="AI1905">
        <v>92.729674521477406</v>
      </c>
      <c r="AJ1905">
        <v>90.255415833062798</v>
      </c>
      <c r="AK1905">
        <v>23.305263573852301</v>
      </c>
      <c r="AL1905">
        <v>87.983219001161899</v>
      </c>
      <c r="AM1905">
        <v>89.629012742488996</v>
      </c>
      <c r="AN1905">
        <v>0.99999998675460799</v>
      </c>
    </row>
    <row r="1906" spans="1:40" x14ac:dyDescent="0.25">
      <c r="A1906" t="str">
        <f>"20190312160637111"</f>
        <v>20190312160637111</v>
      </c>
      <c r="B1906" t="str">
        <f>"1552377997097348"</f>
        <v>1552377997097348</v>
      </c>
      <c r="C1906" t="s">
        <v>40</v>
      </c>
      <c r="D1906">
        <v>6.6045660000000002</v>
      </c>
      <c r="E1906">
        <v>0.49628119999999998</v>
      </c>
      <c r="F1906" t="s">
        <v>66</v>
      </c>
      <c r="G1906">
        <v>-261.928</v>
      </c>
      <c r="H1906" s="1">
        <v>-5.1081990000000003E-7</v>
      </c>
      <c r="I1906">
        <v>282.51929999999999</v>
      </c>
      <c r="J1906">
        <v>-237.93389999999999</v>
      </c>
      <c r="K1906">
        <v>1.109874</v>
      </c>
      <c r="L1906">
        <v>282.66090000000003</v>
      </c>
      <c r="M1906">
        <v>-0.99993869999999896</v>
      </c>
      <c r="N1906">
        <v>0</v>
      </c>
      <c r="O1906">
        <v>-2.6667010000000001E-3</v>
      </c>
      <c r="P1906">
        <v>-0.99967470000000003</v>
      </c>
      <c r="Q1906">
        <v>2.5144880000000001E-2</v>
      </c>
      <c r="R1906">
        <v>4.2801250000000001E-3</v>
      </c>
      <c r="S1906">
        <v>-3.004318</v>
      </c>
      <c r="T1906">
        <v>-0.13835420000000001</v>
      </c>
      <c r="U1906">
        <v>-1.766968E-2</v>
      </c>
      <c r="V1906">
        <v>6.9484059999999999E-3</v>
      </c>
      <c r="W1906">
        <v>3.5892710000000001E-2</v>
      </c>
      <c r="X1906">
        <v>0.99933150000000004</v>
      </c>
      <c r="Y1906">
        <v>-3.2139159999999998E-3</v>
      </c>
      <c r="Z1906" s="1">
        <v>4.8783550000000002E-5</v>
      </c>
      <c r="AA1906">
        <v>0.99999479999999996</v>
      </c>
      <c r="AB1906">
        <v>11</v>
      </c>
      <c r="AC1906">
        <v>-23.9941</v>
      </c>
      <c r="AD1906">
        <v>-1.1098745108199</v>
      </c>
      <c r="AE1906">
        <v>-0.141600000000039</v>
      </c>
      <c r="AF1906">
        <v>-7.7445013060988499E-2</v>
      </c>
      <c r="AG1906">
        <v>-1.1098745108199</v>
      </c>
      <c r="AH1906">
        <v>23.943164555641399</v>
      </c>
      <c r="AI1906">
        <v>92.654006106527106</v>
      </c>
      <c r="AJ1906">
        <v>90.185324580129802</v>
      </c>
      <c r="AK1906">
        <v>23.968999730867701</v>
      </c>
      <c r="AL1906">
        <v>87.9430573993872</v>
      </c>
      <c r="AM1906">
        <v>89.6016257641012</v>
      </c>
      <c r="AN1906">
        <v>1.00000000693466</v>
      </c>
    </row>
    <row r="1907" spans="1:40" x14ac:dyDescent="0.25">
      <c r="A1907" t="str">
        <f>"20190312160637132"</f>
        <v>20190312160637132</v>
      </c>
      <c r="B1907" t="str">
        <f>"1552377997126628"</f>
        <v>1552377997126628</v>
      </c>
      <c r="C1907" t="s">
        <v>40</v>
      </c>
      <c r="D1907">
        <v>6.6281429999999997</v>
      </c>
      <c r="E1907">
        <v>0.49668329999999999</v>
      </c>
      <c r="F1907" t="s">
        <v>66</v>
      </c>
      <c r="G1907">
        <v>-262.63940000000002</v>
      </c>
      <c r="H1907" s="1">
        <v>-1.3221379999999901E-7</v>
      </c>
      <c r="I1907">
        <v>282.54090000000002</v>
      </c>
      <c r="J1907">
        <v>-238.04079999999999</v>
      </c>
      <c r="K1907">
        <v>1.109853</v>
      </c>
      <c r="L1907">
        <v>282.66059999999999</v>
      </c>
      <c r="M1907">
        <v>-0.9999403</v>
      </c>
      <c r="N1907">
        <v>0</v>
      </c>
      <c r="O1907">
        <v>-2.6297310000000002E-3</v>
      </c>
      <c r="P1907">
        <v>-0.99966359999999999</v>
      </c>
      <c r="Q1907">
        <v>2.5574489999999998E-2</v>
      </c>
      <c r="R1907">
        <v>4.344662E-3</v>
      </c>
      <c r="S1907">
        <v>-3.0044400000000002</v>
      </c>
      <c r="T1907">
        <v>-0.13497210000000001</v>
      </c>
      <c r="U1907">
        <v>-1.45874E-2</v>
      </c>
      <c r="V1907">
        <v>6.9758750000000003E-3</v>
      </c>
      <c r="W1907">
        <v>3.6184349999999997E-2</v>
      </c>
      <c r="X1907">
        <v>0.99932080000000001</v>
      </c>
      <c r="Y1907">
        <v>-2.2257660000000001E-3</v>
      </c>
      <c r="Z1907" s="1">
        <v>6.8114790000000007E-5</v>
      </c>
      <c r="AA1907">
        <v>0.99999749999999998</v>
      </c>
      <c r="AB1907">
        <v>11</v>
      </c>
      <c r="AC1907">
        <v>-24.598600000000001</v>
      </c>
      <c r="AD1907">
        <v>-1.1098531322138001</v>
      </c>
      <c r="AE1907">
        <v>-0.119699999999966</v>
      </c>
      <c r="AF1907">
        <v>-5.4896497465785503E-2</v>
      </c>
      <c r="AG1907">
        <v>-1.1098531322138001</v>
      </c>
      <c r="AH1907">
        <v>24.5488572124403</v>
      </c>
      <c r="AI1907">
        <v>92.588571415364697</v>
      </c>
      <c r="AJ1907">
        <v>90.128125409045396</v>
      </c>
      <c r="AK1907">
        <v>24.573993937439301</v>
      </c>
      <c r="AL1907">
        <v>87.9263368147341</v>
      </c>
      <c r="AM1907">
        <v>89.600046647718202</v>
      </c>
      <c r="AN1907">
        <v>1.0000000156647799</v>
      </c>
    </row>
    <row r="1908" spans="1:40" x14ac:dyDescent="0.25">
      <c r="A1908" t="str">
        <f>"20190312160637154"</f>
        <v>20190312160637154</v>
      </c>
      <c r="B1908" t="str">
        <f>"1552377997147125"</f>
        <v>1552377997147125</v>
      </c>
      <c r="C1908" t="s">
        <v>40</v>
      </c>
      <c r="D1908">
        <v>6.9227509999999999</v>
      </c>
      <c r="E1908">
        <v>0.49675550000000002</v>
      </c>
      <c r="F1908" t="s">
        <v>66</v>
      </c>
      <c r="G1908">
        <v>-263.10950000000003</v>
      </c>
      <c r="H1908" s="1">
        <v>1.17918E-7</v>
      </c>
      <c r="I1908">
        <v>282.56920000000002</v>
      </c>
      <c r="J1908">
        <v>-238.15039999999999</v>
      </c>
      <c r="K1908">
        <v>1.1098349999999999</v>
      </c>
      <c r="L1908">
        <v>282.66039999999998</v>
      </c>
      <c r="M1908">
        <v>-0.99994170000000004</v>
      </c>
      <c r="N1908">
        <v>0</v>
      </c>
      <c r="O1908">
        <v>-2.592057E-3</v>
      </c>
      <c r="P1908">
        <v>-0.99969220000000003</v>
      </c>
      <c r="Q1908">
        <v>2.4481269999999999E-2</v>
      </c>
      <c r="R1908">
        <v>4.0457189999999997E-3</v>
      </c>
      <c r="S1908">
        <v>-3.0044559999999998</v>
      </c>
      <c r="T1908">
        <v>-0.13301459999999901</v>
      </c>
      <c r="U1908">
        <v>-1.095581E-2</v>
      </c>
      <c r="V1908">
        <v>6.6394849999999997E-3</v>
      </c>
      <c r="W1908">
        <v>3.4954880000000001E-2</v>
      </c>
      <c r="X1908">
        <v>0.9993668</v>
      </c>
      <c r="Y1908">
        <v>-1.0558080000000001E-3</v>
      </c>
      <c r="Z1908" s="1">
        <v>9.1346119999999997E-5</v>
      </c>
      <c r="AA1908">
        <v>0.99999950000000004</v>
      </c>
      <c r="AB1908">
        <v>11</v>
      </c>
      <c r="AC1908">
        <v>-24.959099999999999</v>
      </c>
      <c r="AD1908">
        <v>-1.1098348820819901</v>
      </c>
      <c r="AE1908">
        <v>-9.1199999999957898E-2</v>
      </c>
      <c r="AF1908">
        <v>-2.64484349861842E-2</v>
      </c>
      <c r="AG1908">
        <v>-1.1098348820819901</v>
      </c>
      <c r="AH1908">
        <v>24.910000216336499</v>
      </c>
      <c r="AI1908">
        <v>92.551055517581403</v>
      </c>
      <c r="AJ1908">
        <v>90.0608343282547</v>
      </c>
      <c r="AK1908">
        <v>24.9347256604736</v>
      </c>
      <c r="AL1908">
        <v>87.996824760694096</v>
      </c>
      <c r="AM1908">
        <v>89.619350100687598</v>
      </c>
      <c r="AN1908">
        <v>0.99999996366955901</v>
      </c>
    </row>
    <row r="1909" spans="1:40" x14ac:dyDescent="0.25">
      <c r="A1909" t="str">
        <f>"20190312160637178"</f>
        <v>20190312160637178</v>
      </c>
      <c r="B1909" t="str">
        <f>"1552377997166644"</f>
        <v>1552377997166644</v>
      </c>
      <c r="C1909" t="s">
        <v>40</v>
      </c>
      <c r="D1909">
        <v>6.6212229999999996</v>
      </c>
      <c r="E1909">
        <v>0.4967992</v>
      </c>
      <c r="F1909" t="s">
        <v>66</v>
      </c>
      <c r="G1909">
        <v>-262.66289999999998</v>
      </c>
      <c r="H1909" s="1">
        <v>-1.1973959999999999E-7</v>
      </c>
      <c r="I1909">
        <v>282.56549999999999</v>
      </c>
      <c r="J1909">
        <v>-238.2628</v>
      </c>
      <c r="K1909">
        <v>1.109823</v>
      </c>
      <c r="L1909">
        <v>282.6601</v>
      </c>
      <c r="M1909">
        <v>-0.99994329999999998</v>
      </c>
      <c r="N1909">
        <v>0</v>
      </c>
      <c r="O1909">
        <v>-2.5533610000000001E-3</v>
      </c>
      <c r="P1909">
        <v>-0.99969370000000002</v>
      </c>
      <c r="Q1909">
        <v>2.4474010000000001E-2</v>
      </c>
      <c r="R1909">
        <v>3.7572009999999999E-3</v>
      </c>
      <c r="S1909">
        <v>-3.0042879999999998</v>
      </c>
      <c r="T1909">
        <v>-0.13602330000000001</v>
      </c>
      <c r="U1909">
        <v>-1.1627200000000001E-2</v>
      </c>
      <c r="V1909">
        <v>6.3123069999999996E-3</v>
      </c>
      <c r="W1909">
        <v>3.4818590000000003E-2</v>
      </c>
      <c r="X1909">
        <v>0.99937370000000003</v>
      </c>
      <c r="Y1909">
        <v>-1.3179470000000001E-3</v>
      </c>
      <c r="Z1909" s="1">
        <v>8.5732749999999997E-5</v>
      </c>
      <c r="AA1909">
        <v>0.99999910000000003</v>
      </c>
      <c r="AB1909">
        <v>11</v>
      </c>
      <c r="AC1909">
        <v>-24.400099999999899</v>
      </c>
      <c r="AD1909">
        <v>-1.1098231197396</v>
      </c>
      <c r="AE1909">
        <v>-9.4600000000014006E-2</v>
      </c>
      <c r="AF1909">
        <v>-3.2227426250291201E-2</v>
      </c>
      <c r="AG1909">
        <v>-1.1098231197396</v>
      </c>
      <c r="AH1909">
        <v>24.3498870484596</v>
      </c>
      <c r="AI1909">
        <v>92.609628037566196</v>
      </c>
      <c r="AJ1909">
        <v>90.075831745209896</v>
      </c>
      <c r="AK1909">
        <v>24.375187081063601</v>
      </c>
      <c r="AL1909">
        <v>88.004638403382501</v>
      </c>
      <c r="AM1909">
        <v>89.638109607451298</v>
      </c>
      <c r="AN1909">
        <v>0.99999998584047001</v>
      </c>
    </row>
    <row r="1910" spans="1:40" x14ac:dyDescent="0.25">
      <c r="A1910" t="str">
        <f>"20190312160637199"</f>
        <v>20190312160637199</v>
      </c>
      <c r="B1910" t="str">
        <f>"1552377997187143"</f>
        <v>1552377997187143</v>
      </c>
      <c r="C1910" t="s">
        <v>40</v>
      </c>
      <c r="D1910">
        <v>6.9352660000000004</v>
      </c>
      <c r="E1910">
        <v>0.53245769999999903</v>
      </c>
      <c r="F1910" t="s">
        <v>66</v>
      </c>
      <c r="G1910">
        <v>-262.86070000000001</v>
      </c>
      <c r="H1910" s="1">
        <v>-1.447188E-8</v>
      </c>
      <c r="I1910">
        <v>282.55790000000002</v>
      </c>
      <c r="J1910">
        <v>-238.37010000000001</v>
      </c>
      <c r="K1910">
        <v>1.10981</v>
      </c>
      <c r="L1910">
        <v>282.65989999999999</v>
      </c>
      <c r="M1910">
        <v>-0.99994439999999996</v>
      </c>
      <c r="N1910">
        <v>0</v>
      </c>
      <c r="O1910">
        <v>-2.516669E-3</v>
      </c>
      <c r="P1910">
        <v>-0.99968500000000005</v>
      </c>
      <c r="Q1910">
        <v>2.488634E-2</v>
      </c>
      <c r="R1910">
        <v>3.2936480000000001E-3</v>
      </c>
      <c r="S1910">
        <v>-3.0042719999999998</v>
      </c>
      <c r="T1910">
        <v>-0.13554869999999999</v>
      </c>
      <c r="U1910">
        <v>-1.248169E-2</v>
      </c>
      <c r="V1910">
        <v>5.8121730000000003E-3</v>
      </c>
      <c r="W1910">
        <v>3.5119770000000002E-2</v>
      </c>
      <c r="X1910">
        <v>0.99936619999999998</v>
      </c>
      <c r="Y1910">
        <v>-1.6387120000000001E-3</v>
      </c>
      <c r="Z1910" s="1">
        <v>7.6546890000000003E-5</v>
      </c>
      <c r="AA1910">
        <v>0.99999859999999896</v>
      </c>
      <c r="AB1910">
        <v>11</v>
      </c>
      <c r="AC1910">
        <v>-24.490600000000001</v>
      </c>
      <c r="AD1910">
        <v>-1.1098100144718801</v>
      </c>
      <c r="AE1910">
        <v>-0.101999999999975</v>
      </c>
      <c r="AF1910">
        <v>-4.0278999076270999E-2</v>
      </c>
      <c r="AG1910">
        <v>-1.1098100144718801</v>
      </c>
      <c r="AH1910">
        <v>24.440590835563899</v>
      </c>
      <c r="AI1910">
        <v>92.599924603318399</v>
      </c>
      <c r="AJ1910">
        <v>90.094425481619794</v>
      </c>
      <c r="AK1910">
        <v>24.4658084080097</v>
      </c>
      <c r="AL1910">
        <v>87.987371509294306</v>
      </c>
      <c r="AM1910">
        <v>89.666779576754095</v>
      </c>
      <c r="AN1910">
        <v>0.99999999065113698</v>
      </c>
    </row>
    <row r="1911" spans="1:40" x14ac:dyDescent="0.25">
      <c r="A1911" t="str">
        <f>"20190312160637222"</f>
        <v>20190312160637222</v>
      </c>
      <c r="B1911" t="str">
        <f>"1552377997216420"</f>
        <v>1552377997216420</v>
      </c>
      <c r="C1911" t="s">
        <v>40</v>
      </c>
      <c r="D1911">
        <v>6.6475530000000003</v>
      </c>
      <c r="E1911">
        <v>0.5338598</v>
      </c>
      <c r="F1911" t="s">
        <v>44</v>
      </c>
      <c r="G1911">
        <v>-239.13749999999999</v>
      </c>
      <c r="H1911">
        <v>0.97635890000000003</v>
      </c>
      <c r="I1911">
        <v>282.73009999999999</v>
      </c>
      <c r="J1911">
        <v>-238.4785</v>
      </c>
      <c r="K1911">
        <v>1.1097969999999999</v>
      </c>
      <c r="L1911">
        <v>282.65960000000001</v>
      </c>
      <c r="M1911">
        <v>-0.99994559999999999</v>
      </c>
      <c r="N1911">
        <v>0</v>
      </c>
      <c r="O1911">
        <v>-2.4795429999999999E-3</v>
      </c>
      <c r="P1911">
        <v>-0.99969819999999998</v>
      </c>
      <c r="Q1911">
        <v>2.441229E-2</v>
      </c>
      <c r="R1911">
        <v>2.7866810000000001E-3</v>
      </c>
      <c r="S1911">
        <v>-3.013077</v>
      </c>
      <c r="T1911">
        <v>-0.52410109999999999</v>
      </c>
      <c r="U1911">
        <v>0.27474979999999999</v>
      </c>
      <c r="V1911">
        <v>5.2679800000000002E-3</v>
      </c>
      <c r="W1911">
        <v>3.4541710000000003E-2</v>
      </c>
      <c r="X1911">
        <v>0.99938939999999998</v>
      </c>
      <c r="Y1911">
        <v>9.1872969999999998E-2</v>
      </c>
      <c r="Z1911">
        <v>8.3419440000000004E-3</v>
      </c>
      <c r="AA1911">
        <v>0.99573579999999995</v>
      </c>
      <c r="AB1911">
        <v>11</v>
      </c>
      <c r="AC1911">
        <v>-0.65899999999999104</v>
      </c>
      <c r="AD1911">
        <v>-0.133438099999999</v>
      </c>
      <c r="AE1911">
        <v>7.04999999999813E-2</v>
      </c>
      <c r="AF1911">
        <v>6.9323741249082402E-2</v>
      </c>
      <c r="AG1911">
        <v>-0.133438099999999</v>
      </c>
      <c r="AH1911">
        <v>0.63315715588893096</v>
      </c>
      <c r="AI1911">
        <v>101.832249932865</v>
      </c>
      <c r="AJ1911">
        <v>83.751631459585198</v>
      </c>
      <c r="AK1911">
        <v>0.65076838559178596</v>
      </c>
      <c r="AL1911">
        <v>88.020512089336293</v>
      </c>
      <c r="AM1911">
        <v>89.697985364788394</v>
      </c>
      <c r="AN1911">
        <v>1.0000000270876801</v>
      </c>
    </row>
    <row r="1912" spans="1:40" x14ac:dyDescent="0.25">
      <c r="A1912" t="str">
        <f>"20190312160637244"</f>
        <v>20190312160637244</v>
      </c>
      <c r="B1912" t="str">
        <f>"1552377997236917"</f>
        <v>1552377997236917</v>
      </c>
      <c r="C1912" t="s">
        <v>40</v>
      </c>
      <c r="D1912">
        <v>6.8911319999999998</v>
      </c>
      <c r="E1912">
        <v>0.53470740000000005</v>
      </c>
      <c r="F1912" t="s">
        <v>44</v>
      </c>
      <c r="G1912">
        <v>-239.23490000000001</v>
      </c>
      <c r="H1912">
        <v>0.9728348</v>
      </c>
      <c r="I1912">
        <v>282.73140000000001</v>
      </c>
      <c r="J1912">
        <v>-238.59030000000001</v>
      </c>
      <c r="K1912">
        <v>1.109777</v>
      </c>
      <c r="L1912">
        <v>282.65940000000001</v>
      </c>
      <c r="M1912">
        <v>-0.99994680000000002</v>
      </c>
      <c r="N1912">
        <v>0</v>
      </c>
      <c r="O1912">
        <v>-2.4410059999999999E-3</v>
      </c>
      <c r="P1912">
        <v>-0.99972150000000004</v>
      </c>
      <c r="Q1912">
        <v>2.345096E-2</v>
      </c>
      <c r="R1912">
        <v>2.6894509999999998E-3</v>
      </c>
      <c r="S1912">
        <v>-3.0134280000000002</v>
      </c>
      <c r="T1912">
        <v>-0.54567189999999999</v>
      </c>
      <c r="U1912">
        <v>0.28515629999999997</v>
      </c>
      <c r="V1912">
        <v>5.1323669999999997E-3</v>
      </c>
      <c r="W1912">
        <v>3.3478979999999998E-2</v>
      </c>
      <c r="X1912">
        <v>0.99942620000000004</v>
      </c>
      <c r="Y1912">
        <v>9.5065800000000006E-2</v>
      </c>
      <c r="Z1912">
        <v>8.9567980000000002E-3</v>
      </c>
      <c r="AA1912">
        <v>0.9954307</v>
      </c>
      <c r="AB1912">
        <v>11</v>
      </c>
      <c r="AC1912">
        <v>-0.64459999999999695</v>
      </c>
      <c r="AD1912">
        <v>-0.13694219999999999</v>
      </c>
      <c r="AE1912">
        <v>7.2000000000002701E-2</v>
      </c>
      <c r="AF1912">
        <v>7.0433629269281095E-2</v>
      </c>
      <c r="AG1912">
        <v>-0.13694219999999999</v>
      </c>
      <c r="AH1912">
        <v>0.61692189752543602</v>
      </c>
      <c r="AI1912">
        <v>102.437137200892</v>
      </c>
      <c r="AJ1912">
        <v>83.486774311739097</v>
      </c>
      <c r="AK1912">
        <v>0.63585115390259905</v>
      </c>
      <c r="AL1912">
        <v>88.081437144794407</v>
      </c>
      <c r="AM1912">
        <v>89.705770788180303</v>
      </c>
      <c r="AN1912">
        <v>0.99999995626964999</v>
      </c>
    </row>
    <row r="1913" spans="1:40" x14ac:dyDescent="0.25">
      <c r="A1913" t="str">
        <f>"20190312160637266"</f>
        <v>20190312160637266</v>
      </c>
      <c r="B1913" t="str">
        <f>"1552377997257413"</f>
        <v>1552377997257413</v>
      </c>
      <c r="C1913" t="s">
        <v>40</v>
      </c>
      <c r="D1913">
        <v>6.574325</v>
      </c>
      <c r="E1913">
        <v>0.53490319999999902</v>
      </c>
      <c r="F1913" t="s">
        <v>44</v>
      </c>
      <c r="G1913">
        <v>-239.3349</v>
      </c>
      <c r="H1913">
        <v>0.97400500000000001</v>
      </c>
      <c r="I1913">
        <v>282.73149999999998</v>
      </c>
      <c r="J1913">
        <v>-238.70070000000001</v>
      </c>
      <c r="K1913">
        <v>1.109764</v>
      </c>
      <c r="L1913">
        <v>282.6592</v>
      </c>
      <c r="M1913">
        <v>-0.99994780000000005</v>
      </c>
      <c r="N1913">
        <v>0</v>
      </c>
      <c r="O1913">
        <v>-2.402623E-3</v>
      </c>
      <c r="P1913">
        <v>-0.99971829999999995</v>
      </c>
      <c r="Q1913">
        <v>2.356919E-2</v>
      </c>
      <c r="R1913">
        <v>2.8003189999999999E-3</v>
      </c>
      <c r="S1913">
        <v>-3.0129389999999998</v>
      </c>
      <c r="T1913">
        <v>-0.54945250000000001</v>
      </c>
      <c r="U1913">
        <v>0.29107670000000002</v>
      </c>
      <c r="V1913">
        <v>5.2046469999999997E-3</v>
      </c>
      <c r="W1913">
        <v>3.3500429999999998E-2</v>
      </c>
      <c r="X1913">
        <v>0.99942520000000001</v>
      </c>
      <c r="Y1913">
        <v>9.6929199999999993E-2</v>
      </c>
      <c r="Z1913">
        <v>9.1796770000000007E-3</v>
      </c>
      <c r="AA1913">
        <v>0.99524900000000005</v>
      </c>
      <c r="AB1913">
        <v>11</v>
      </c>
      <c r="AC1913">
        <v>-0.63419999999999199</v>
      </c>
      <c r="AD1913">
        <v>-0.13575899999999999</v>
      </c>
      <c r="AE1913">
        <v>7.2299999999984196E-2</v>
      </c>
      <c r="AF1913">
        <v>7.0628703797683198E-2</v>
      </c>
      <c r="AG1913">
        <v>-0.13575899999999999</v>
      </c>
      <c r="AH1913">
        <v>0.60658541607479299</v>
      </c>
      <c r="AI1913">
        <v>102.533417982507</v>
      </c>
      <c r="AJ1913">
        <v>83.358583832851494</v>
      </c>
      <c r="AK1913">
        <v>0.62559154955591501</v>
      </c>
      <c r="AL1913">
        <v>88.080207638156907</v>
      </c>
      <c r="AM1913">
        <v>89.701626883852498</v>
      </c>
      <c r="AN1913">
        <v>1.0000000487778</v>
      </c>
    </row>
    <row r="1914" spans="1:40" x14ac:dyDescent="0.25">
      <c r="A1914" t="str">
        <f>"20190312160637288"</f>
        <v>20190312160637288</v>
      </c>
      <c r="B1914" t="str">
        <f>"1552377997276932"</f>
        <v>1552377997276932</v>
      </c>
      <c r="C1914" t="s">
        <v>40</v>
      </c>
      <c r="D1914">
        <v>6.6800069999999998</v>
      </c>
      <c r="E1914">
        <v>0.53625100000000003</v>
      </c>
      <c r="F1914" t="s">
        <v>44</v>
      </c>
      <c r="G1914">
        <v>-239.4359</v>
      </c>
      <c r="H1914">
        <v>0.97624949999999999</v>
      </c>
      <c r="I1914">
        <v>282.73070000000001</v>
      </c>
      <c r="J1914">
        <v>-238.80930000000001</v>
      </c>
      <c r="K1914">
        <v>1.1097549999999901</v>
      </c>
      <c r="L1914">
        <v>282.65899999999999</v>
      </c>
      <c r="M1914">
        <v>-0.99994879999999997</v>
      </c>
      <c r="N1914">
        <v>0</v>
      </c>
      <c r="O1914">
        <v>-2.3646280000000001E-3</v>
      </c>
      <c r="P1914">
        <v>-0.99971690000000002</v>
      </c>
      <c r="Q1914">
        <v>2.3633700000000001E-2</v>
      </c>
      <c r="R1914">
        <v>2.8219669999999999E-3</v>
      </c>
      <c r="S1914">
        <v>-3.0129239999999999</v>
      </c>
      <c r="T1914">
        <v>-0.54709149999999995</v>
      </c>
      <c r="U1914">
        <v>0.2932129</v>
      </c>
      <c r="V1914">
        <v>5.1884330000000001E-3</v>
      </c>
      <c r="W1914">
        <v>3.3474209999999997E-2</v>
      </c>
      <c r="X1914">
        <v>0.99942609999999998</v>
      </c>
      <c r="Y1914">
        <v>9.7594700000000006E-2</v>
      </c>
      <c r="Z1914">
        <v>9.1935690000000004E-3</v>
      </c>
      <c r="AA1914">
        <v>0.99518379999999995</v>
      </c>
      <c r="AB1914">
        <v>11</v>
      </c>
      <c r="AC1914">
        <v>-0.62659999999999605</v>
      </c>
      <c r="AD1914">
        <v>-0.133505499999999</v>
      </c>
      <c r="AE1914">
        <v>7.1700000000021094E-2</v>
      </c>
      <c r="AF1914">
        <v>7.0042971894567901E-2</v>
      </c>
      <c r="AG1914">
        <v>-0.133505499999999</v>
      </c>
      <c r="AH1914">
        <v>0.59956272111561104</v>
      </c>
      <c r="AI1914">
        <v>102.471199324417</v>
      </c>
      <c r="AJ1914">
        <v>83.336714007215505</v>
      </c>
      <c r="AK1914">
        <v>0.61822746056255795</v>
      </c>
      <c r="AL1914">
        <v>88.081710655934003</v>
      </c>
      <c r="AM1914">
        <v>89.702556654633199</v>
      </c>
      <c r="AN1914">
        <v>0.99999998596666395</v>
      </c>
    </row>
    <row r="1915" spans="1:40" x14ac:dyDescent="0.25">
      <c r="A1915" t="str">
        <f>"20190312160637311"</f>
        <v>20190312160637311</v>
      </c>
      <c r="B1915" t="str">
        <f>"1552377997297429"</f>
        <v>1552377997297429</v>
      </c>
      <c r="C1915" t="s">
        <v>40</v>
      </c>
      <c r="D1915">
        <v>7.0326959999999996</v>
      </c>
      <c r="E1915">
        <v>0.5361262</v>
      </c>
      <c r="F1915" t="s">
        <v>44</v>
      </c>
      <c r="G1915">
        <v>-239.5361</v>
      </c>
      <c r="H1915">
        <v>0.97609570000000001</v>
      </c>
      <c r="I1915">
        <v>282.73250000000002</v>
      </c>
      <c r="J1915">
        <v>-238.9222</v>
      </c>
      <c r="K1915">
        <v>1.1097440000000001</v>
      </c>
      <c r="L1915">
        <v>282.65879999999999</v>
      </c>
      <c r="M1915">
        <v>-0.99994989999999995</v>
      </c>
      <c r="N1915">
        <v>0</v>
      </c>
      <c r="O1915">
        <v>-2.3255519999999998E-3</v>
      </c>
      <c r="P1915">
        <v>-0.99970250000000005</v>
      </c>
      <c r="Q1915">
        <v>2.4223069999999999E-2</v>
      </c>
      <c r="R1915">
        <v>2.9251450000000001E-3</v>
      </c>
      <c r="S1915">
        <v>-3.0131070000000002</v>
      </c>
      <c r="T1915">
        <v>-0.55415449999999999</v>
      </c>
      <c r="U1915">
        <v>0.30422969999999999</v>
      </c>
      <c r="V1915">
        <v>5.2524950000000003E-3</v>
      </c>
      <c r="W1915">
        <v>3.397033E-2</v>
      </c>
      <c r="X1915">
        <v>0.99940899999999999</v>
      </c>
      <c r="Y1915">
        <v>0.10105500000000001</v>
      </c>
      <c r="Z1915">
        <v>9.6158040000000004E-3</v>
      </c>
      <c r="AA1915">
        <v>0.99483440000000001</v>
      </c>
      <c r="AB1915">
        <v>11</v>
      </c>
      <c r="AC1915">
        <v>-0.613900000000001</v>
      </c>
      <c r="AD1915">
        <v>-0.1336483</v>
      </c>
      <c r="AE1915">
        <v>7.3700000000030699E-2</v>
      </c>
      <c r="AF1915">
        <v>7.1774127986646105E-2</v>
      </c>
      <c r="AG1915">
        <v>-0.1336483</v>
      </c>
      <c r="AH1915">
        <v>0.58633258569875801</v>
      </c>
      <c r="AI1915">
        <v>102.74856440257</v>
      </c>
      <c r="AJ1915">
        <v>83.021031665903493</v>
      </c>
      <c r="AK1915">
        <v>0.605639574824272</v>
      </c>
      <c r="AL1915">
        <v>88.053268847347297</v>
      </c>
      <c r="AM1915">
        <v>89.698879012879402</v>
      </c>
      <c r="AN1915">
        <v>0.99999996065251595</v>
      </c>
    </row>
    <row r="1916" spans="1:40" x14ac:dyDescent="0.25">
      <c r="A1916" t="str">
        <f>"20190312160637332"</f>
        <v>20190312160637332</v>
      </c>
      <c r="B1916" t="str">
        <f>"1552377997326708"</f>
        <v>1552377997326708</v>
      </c>
      <c r="C1916" t="s">
        <v>40</v>
      </c>
      <c r="D1916">
        <v>6.7506659999999998</v>
      </c>
      <c r="E1916">
        <v>0.53635690000000003</v>
      </c>
      <c r="F1916" t="s">
        <v>44</v>
      </c>
      <c r="G1916">
        <v>-239.63810000000001</v>
      </c>
      <c r="H1916">
        <v>0.97877650000000005</v>
      </c>
      <c r="I1916">
        <v>282.73099999999999</v>
      </c>
      <c r="J1916">
        <v>-239.03569999999999</v>
      </c>
      <c r="K1916">
        <v>1.109728</v>
      </c>
      <c r="L1916">
        <v>282.65859999999998</v>
      </c>
      <c r="M1916">
        <v>-0.99995080000000003</v>
      </c>
      <c r="N1916">
        <v>0</v>
      </c>
      <c r="O1916">
        <v>-2.2861079999999998E-3</v>
      </c>
      <c r="P1916">
        <v>-0.99969710000000001</v>
      </c>
      <c r="Q1916">
        <v>2.4408920000000001E-2</v>
      </c>
      <c r="R1916">
        <v>3.1956520000000002E-3</v>
      </c>
      <c r="S1916">
        <v>-3.0133510000000001</v>
      </c>
      <c r="T1916">
        <v>-0.55126830000000004</v>
      </c>
      <c r="U1916">
        <v>0.30343629999999999</v>
      </c>
      <c r="V1916">
        <v>5.4835329999999996E-3</v>
      </c>
      <c r="W1916">
        <v>3.405992E-2</v>
      </c>
      <c r="X1916">
        <v>0.99940469999999904</v>
      </c>
      <c r="Y1916">
        <v>0.1007716</v>
      </c>
      <c r="Z1916">
        <v>9.5331140000000005E-3</v>
      </c>
      <c r="AA1916">
        <v>0.99486390000000002</v>
      </c>
      <c r="AB1916">
        <v>11</v>
      </c>
      <c r="AC1916">
        <v>-0.60240000000001703</v>
      </c>
      <c r="AD1916">
        <v>-0.1309515</v>
      </c>
      <c r="AE1916">
        <v>7.2400000000015993E-2</v>
      </c>
      <c r="AF1916">
        <v>7.0493274384008098E-2</v>
      </c>
      <c r="AG1916">
        <v>-0.1309515</v>
      </c>
      <c r="AH1916">
        <v>0.57542803490476802</v>
      </c>
      <c r="AI1916">
        <v>102.728564205231</v>
      </c>
      <c r="AJ1916">
        <v>83.015734880140897</v>
      </c>
      <c r="AK1916">
        <v>0.59433578088483896</v>
      </c>
      <c r="AL1916">
        <v>88.048132726915298</v>
      </c>
      <c r="AM1916">
        <v>89.685632712201794</v>
      </c>
      <c r="AN1916">
        <v>0.99999995083332704</v>
      </c>
    </row>
    <row r="1917" spans="1:40" x14ac:dyDescent="0.25">
      <c r="A1917" t="str">
        <f>"20190312160637355"</f>
        <v>20190312160637355</v>
      </c>
      <c r="B1917" t="str">
        <f>"1552377997347208"</f>
        <v>1552377997347208</v>
      </c>
      <c r="C1917" t="s">
        <v>40</v>
      </c>
      <c r="D1917">
        <v>6.9510789999999902</v>
      </c>
      <c r="E1917">
        <v>0.53728319999999996</v>
      </c>
      <c r="F1917" t="s">
        <v>44</v>
      </c>
      <c r="G1917">
        <v>-239.74039999999999</v>
      </c>
      <c r="H1917">
        <v>0.98111890000000002</v>
      </c>
      <c r="I1917">
        <v>282.7303</v>
      </c>
      <c r="J1917">
        <v>-239.1523</v>
      </c>
      <c r="K1917">
        <v>1.109707</v>
      </c>
      <c r="L1917">
        <v>282.6583</v>
      </c>
      <c r="M1917">
        <v>-0.99995199999999995</v>
      </c>
      <c r="N1917">
        <v>0</v>
      </c>
      <c r="O1917">
        <v>-2.2453270000000001E-3</v>
      </c>
      <c r="P1917">
        <v>-0.99969540000000001</v>
      </c>
      <c r="Q1917">
        <v>2.4454569999999998E-2</v>
      </c>
      <c r="R1917">
        <v>3.3502380000000002E-3</v>
      </c>
      <c r="S1917">
        <v>-3.013382</v>
      </c>
      <c r="T1917">
        <v>-0.54999980000000004</v>
      </c>
      <c r="U1917">
        <v>0.30624390000000001</v>
      </c>
      <c r="V1917">
        <v>5.5973280000000004E-3</v>
      </c>
      <c r="W1917">
        <v>3.4002730000000002E-2</v>
      </c>
      <c r="X1917">
        <v>0.99940600000000002</v>
      </c>
      <c r="Y1917">
        <v>0.10164189999999999</v>
      </c>
      <c r="Z1917">
        <v>9.5822159999999993E-3</v>
      </c>
      <c r="AA1917">
        <v>0.99477490000000002</v>
      </c>
      <c r="AB1917">
        <v>11</v>
      </c>
      <c r="AC1917">
        <v>-0.58809999999999696</v>
      </c>
      <c r="AD1917">
        <v>-0.12858809999999901</v>
      </c>
      <c r="AE1917">
        <v>7.2000000000002701E-2</v>
      </c>
      <c r="AF1917">
        <v>7.0022180742770695E-2</v>
      </c>
      <c r="AG1917">
        <v>-0.12858809999999901</v>
      </c>
      <c r="AH1917">
        <v>0.56148964271477197</v>
      </c>
      <c r="AI1917">
        <v>102.803143107331</v>
      </c>
      <c r="AJ1917">
        <v>82.891464215518994</v>
      </c>
      <c r="AK1917">
        <v>0.58026599429360404</v>
      </c>
      <c r="AL1917">
        <v>88.051411339543705</v>
      </c>
      <c r="AM1917">
        <v>89.679109473215703</v>
      </c>
      <c r="AN1917">
        <v>0.99999993428209399</v>
      </c>
    </row>
    <row r="1918" spans="1:40" x14ac:dyDescent="0.25">
      <c r="A1918" t="str">
        <f>"20190312160637377"</f>
        <v>20190312160637377</v>
      </c>
      <c r="B1918" t="str">
        <f>"1552377997366728"</f>
        <v>1552377997366728</v>
      </c>
      <c r="C1918" t="s">
        <v>40</v>
      </c>
      <c r="D1918">
        <v>6.3807400000000003</v>
      </c>
      <c r="E1918">
        <v>0.53817559999999998</v>
      </c>
      <c r="F1918" t="s">
        <v>44</v>
      </c>
      <c r="G1918">
        <v>-239.93719999999999</v>
      </c>
      <c r="H1918">
        <v>0.96686640000000001</v>
      </c>
      <c r="I1918">
        <v>282.74040000000002</v>
      </c>
      <c r="J1918">
        <v>-239.26089999999999</v>
      </c>
      <c r="K1918">
        <v>1.109691</v>
      </c>
      <c r="L1918">
        <v>282.65809999999999</v>
      </c>
      <c r="M1918">
        <v>-0.99995310000000004</v>
      </c>
      <c r="N1918">
        <v>0</v>
      </c>
      <c r="O1918">
        <v>-2.2076460000000002E-3</v>
      </c>
      <c r="P1918">
        <v>-0.99968749999999995</v>
      </c>
      <c r="Q1918">
        <v>2.4787690000000001E-2</v>
      </c>
      <c r="R1918">
        <v>3.2788800000000001E-3</v>
      </c>
      <c r="S1918">
        <v>-3.01329</v>
      </c>
      <c r="T1918">
        <v>-0.54840140000000004</v>
      </c>
      <c r="U1918">
        <v>0.314422599999999</v>
      </c>
      <c r="V1918">
        <v>5.4882899999999998E-3</v>
      </c>
      <c r="W1918">
        <v>3.4231949999999997E-2</v>
      </c>
      <c r="X1918">
        <v>0.99939880000000003</v>
      </c>
      <c r="Y1918">
        <v>0.1042474</v>
      </c>
      <c r="Z1918">
        <v>9.7815530000000001E-3</v>
      </c>
      <c r="AA1918">
        <v>0.99450329999999998</v>
      </c>
      <c r="AB1918">
        <v>11</v>
      </c>
      <c r="AC1918">
        <v>-0.67629999999999701</v>
      </c>
      <c r="AD1918">
        <v>-0.142824599999999</v>
      </c>
      <c r="AE1918">
        <v>8.2300000000032E-2</v>
      </c>
      <c r="AF1918">
        <v>8.0265362937813098E-2</v>
      </c>
      <c r="AG1918">
        <v>-0.142824599999999</v>
      </c>
      <c r="AH1918">
        <v>0.64765333014054405</v>
      </c>
      <c r="AI1918">
        <v>102.34466500642399</v>
      </c>
      <c r="AJ1918">
        <v>82.935208011094304</v>
      </c>
      <c r="AK1918">
        <v>0.66805406285332603</v>
      </c>
      <c r="AL1918">
        <v>88.038270389678303</v>
      </c>
      <c r="AM1918">
        <v>89.685358144591007</v>
      </c>
      <c r="AN1918">
        <v>0.99999995458468205</v>
      </c>
    </row>
    <row r="1919" spans="1:40" x14ac:dyDescent="0.25">
      <c r="A1919" t="str">
        <f>"20190312160637400"</f>
        <v>20190312160637400</v>
      </c>
      <c r="B1919" t="str">
        <f>"1552377997396981"</f>
        <v>1552377997396981</v>
      </c>
      <c r="C1919" t="s">
        <v>40</v>
      </c>
      <c r="D1919">
        <v>6.9452420000000004</v>
      </c>
      <c r="E1919">
        <v>0.56554869999999902</v>
      </c>
      <c r="F1919" t="s">
        <v>44</v>
      </c>
      <c r="G1919">
        <v>-240.04060000000001</v>
      </c>
      <c r="H1919">
        <v>0.9683522</v>
      </c>
      <c r="I1919">
        <v>282.74149999999997</v>
      </c>
      <c r="J1919">
        <v>-239.38239999999999</v>
      </c>
      <c r="K1919">
        <v>1.1096710000000001</v>
      </c>
      <c r="L1919">
        <v>282.65789999999998</v>
      </c>
      <c r="M1919">
        <v>-0.99995420000000002</v>
      </c>
      <c r="N1919">
        <v>0</v>
      </c>
      <c r="O1919">
        <v>-2.1657180000000001E-3</v>
      </c>
      <c r="P1919">
        <v>-0.99967720000000004</v>
      </c>
      <c r="Q1919">
        <v>2.5260890000000001E-2</v>
      </c>
      <c r="R1919">
        <v>2.7312339999999999E-3</v>
      </c>
      <c r="S1919">
        <v>-3.0134280000000002</v>
      </c>
      <c r="T1919">
        <v>-0.546319</v>
      </c>
      <c r="U1919">
        <v>0.32168580000000002</v>
      </c>
      <c r="V1919">
        <v>4.8987559999999998E-3</v>
      </c>
      <c r="W1919">
        <v>3.4585079999999997E-2</v>
      </c>
      <c r="X1919">
        <v>0.99938979999999999</v>
      </c>
      <c r="Y1919">
        <v>0.10654859999999999</v>
      </c>
      <c r="Z1919">
        <v>9.9421890000000006E-3</v>
      </c>
      <c r="AA1919">
        <v>0.99425779999999997</v>
      </c>
      <c r="AB1919">
        <v>11</v>
      </c>
      <c r="AC1919">
        <v>-0.65820000000002199</v>
      </c>
      <c r="AD1919">
        <v>-0.141318799999999</v>
      </c>
      <c r="AE1919">
        <v>8.3599999999989905E-2</v>
      </c>
      <c r="AF1919">
        <v>8.1335448831545504E-2</v>
      </c>
      <c r="AG1919">
        <v>-0.141318799999999</v>
      </c>
      <c r="AH1919">
        <v>0.62946104292666805</v>
      </c>
      <c r="AI1919">
        <v>102.552518835622</v>
      </c>
      <c r="AJ1919">
        <v>82.637354221841804</v>
      </c>
      <c r="AK1919">
        <v>0.65023662080230304</v>
      </c>
      <c r="AL1919">
        <v>88.018025729198897</v>
      </c>
      <c r="AM1919">
        <v>89.719152831322901</v>
      </c>
      <c r="AN1919">
        <v>1.00000004895649</v>
      </c>
    </row>
    <row r="1920" spans="1:40" x14ac:dyDescent="0.25">
      <c r="A1920" t="str">
        <f>"20190312160637423"</f>
        <v>20190312160637423</v>
      </c>
      <c r="B1920" t="str">
        <f>"1552377997417477"</f>
        <v>1552377997417477</v>
      </c>
      <c r="C1920" t="s">
        <v>40</v>
      </c>
      <c r="D1920">
        <v>6.9101749999999997</v>
      </c>
      <c r="E1920">
        <v>0.54625619999999997</v>
      </c>
      <c r="F1920" t="s">
        <v>44</v>
      </c>
      <c r="G1920">
        <v>-240.1103</v>
      </c>
      <c r="H1920">
        <v>0.89120319999999997</v>
      </c>
      <c r="I1920">
        <v>282.78910000000002</v>
      </c>
      <c r="J1920">
        <v>-239.49770000000001</v>
      </c>
      <c r="K1920">
        <v>1.109653</v>
      </c>
      <c r="L1920">
        <v>282.65769999999998</v>
      </c>
      <c r="M1920">
        <v>-0.99995540000000005</v>
      </c>
      <c r="N1920">
        <v>0</v>
      </c>
      <c r="O1920">
        <v>-2.1265609999999999E-3</v>
      </c>
      <c r="P1920">
        <v>-0.99967150000000005</v>
      </c>
      <c r="Q1920">
        <v>2.5523290000000001E-2</v>
      </c>
      <c r="R1920">
        <v>2.3910229999999999E-3</v>
      </c>
      <c r="S1920">
        <v>-3.0224299999999999</v>
      </c>
      <c r="T1920">
        <v>-0.90720670000000003</v>
      </c>
      <c r="U1920">
        <v>0.5435181</v>
      </c>
      <c r="V1920">
        <v>4.5195770000000003E-3</v>
      </c>
      <c r="W1920">
        <v>3.4731860000000003E-2</v>
      </c>
      <c r="X1920">
        <v>0.99938640000000001</v>
      </c>
      <c r="Y1920">
        <v>0.17165649999999999</v>
      </c>
      <c r="Z1920">
        <v>2.5638299999999999E-2</v>
      </c>
      <c r="AA1920">
        <v>0.98482320000000001</v>
      </c>
      <c r="AB1920">
        <v>11</v>
      </c>
      <c r="AC1920">
        <v>-0.61259999999998604</v>
      </c>
      <c r="AD1920">
        <v>-0.2184498</v>
      </c>
      <c r="AE1920">
        <v>0.13140000000004101</v>
      </c>
      <c r="AF1920">
        <v>0.118318870102919</v>
      </c>
      <c r="AG1920">
        <v>-0.2184498</v>
      </c>
      <c r="AH1920">
        <v>0.54594991437014995</v>
      </c>
      <c r="AI1920">
        <v>111.35797638912101</v>
      </c>
      <c r="AJ1920">
        <v>77.771897990386904</v>
      </c>
      <c r="AK1920">
        <v>0.59981745485042803</v>
      </c>
      <c r="AL1920">
        <v>88.009610607637299</v>
      </c>
      <c r="AM1920">
        <v>89.74089008819</v>
      </c>
      <c r="AN1920">
        <v>0.99999995259013796</v>
      </c>
    </row>
    <row r="1921" spans="1:40" x14ac:dyDescent="0.25">
      <c r="A1921" t="str">
        <f>"20190312160637444"</f>
        <v>20190312160637444</v>
      </c>
      <c r="B1921" t="str">
        <f>"1552377997436997"</f>
        <v>1552377997436997</v>
      </c>
      <c r="C1921" t="s">
        <v>40</v>
      </c>
      <c r="D1921">
        <v>6.9172989999999999</v>
      </c>
      <c r="E1921">
        <v>0.54546799999999995</v>
      </c>
      <c r="F1921" t="s">
        <v>44</v>
      </c>
      <c r="G1921">
        <v>-240.24719999999999</v>
      </c>
      <c r="H1921">
        <v>0.96748210000000001</v>
      </c>
      <c r="I1921">
        <v>282.75319999999999</v>
      </c>
      <c r="J1921">
        <v>-239.61150000000001</v>
      </c>
      <c r="K1921">
        <v>1.109637</v>
      </c>
      <c r="L1921">
        <v>282.65750000000003</v>
      </c>
      <c r="M1921">
        <v>-0.99995639999999997</v>
      </c>
      <c r="N1921">
        <v>0</v>
      </c>
      <c r="O1921">
        <v>-2.087771E-3</v>
      </c>
      <c r="P1921">
        <v>-0.99966619999999995</v>
      </c>
      <c r="Q1921">
        <v>2.5756169999999998E-2</v>
      </c>
      <c r="R1921">
        <v>2.0326659999999998E-3</v>
      </c>
      <c r="S1921">
        <v>-3.0146480000000002</v>
      </c>
      <c r="T1921">
        <v>-0.57188490000000003</v>
      </c>
      <c r="U1921">
        <v>0.3837585</v>
      </c>
      <c r="V1921">
        <v>4.122382E-3</v>
      </c>
      <c r="W1921">
        <v>3.4850039999999999E-2</v>
      </c>
      <c r="X1921">
        <v>0.99938400000000005</v>
      </c>
      <c r="Y1921">
        <v>0.12609960000000001</v>
      </c>
      <c r="Z1921">
        <v>1.21996E-2</v>
      </c>
      <c r="AA1921">
        <v>0.99194260000000001</v>
      </c>
      <c r="AB1921">
        <v>12</v>
      </c>
      <c r="AC1921">
        <v>-0.63569999999998505</v>
      </c>
      <c r="AD1921">
        <v>-0.142154899999999</v>
      </c>
      <c r="AE1921">
        <v>9.5699999999965202E-2</v>
      </c>
      <c r="AF1921">
        <v>9.2503836077779594E-2</v>
      </c>
      <c r="AG1921">
        <v>-0.142154899999999</v>
      </c>
      <c r="AH1921">
        <v>0.60587312525992298</v>
      </c>
      <c r="AI1921">
        <v>103.05830995111999</v>
      </c>
      <c r="AJ1921">
        <v>81.319200620350898</v>
      </c>
      <c r="AK1921">
        <v>0.62916390487323803</v>
      </c>
      <c r="AL1921">
        <v>88.0028352839945</v>
      </c>
      <c r="AM1921">
        <v>89.7636606644338</v>
      </c>
      <c r="AN1921">
        <v>0.99999994938867598</v>
      </c>
    </row>
    <row r="1922" spans="1:40" x14ac:dyDescent="0.25">
      <c r="A1922" t="str">
        <f>"20190312160637467"</f>
        <v>20190312160637467</v>
      </c>
      <c r="B1922" t="str">
        <f>"1552377997457493"</f>
        <v>1552377997457493</v>
      </c>
      <c r="C1922" t="s">
        <v>40</v>
      </c>
      <c r="D1922">
        <v>6.6639520000000001</v>
      </c>
      <c r="E1922">
        <v>0.54536830000000003</v>
      </c>
      <c r="F1922" t="s">
        <v>44</v>
      </c>
      <c r="G1922">
        <v>-240.3535</v>
      </c>
      <c r="H1922">
        <v>0.97184979999999999</v>
      </c>
      <c r="I1922">
        <v>282.75020000000001</v>
      </c>
      <c r="J1922">
        <v>-239.72720000000001</v>
      </c>
      <c r="K1922">
        <v>1.109618</v>
      </c>
      <c r="L1922">
        <v>282.65730000000002</v>
      </c>
      <c r="M1922">
        <v>-0.99995769999999995</v>
      </c>
      <c r="N1922">
        <v>0</v>
      </c>
      <c r="O1922">
        <v>-2.0482650000000001E-3</v>
      </c>
      <c r="P1922">
        <v>-0.99965329999999997</v>
      </c>
      <c r="Q1922">
        <v>2.6264530000000001E-2</v>
      </c>
      <c r="R1922">
        <v>1.9168799999999999E-3</v>
      </c>
      <c r="S1922">
        <v>-3.0146639999999998</v>
      </c>
      <c r="T1922">
        <v>-0.55997629999999998</v>
      </c>
      <c r="U1922">
        <v>0.37576290000000001</v>
      </c>
      <c r="V1922">
        <v>3.9671120000000001E-3</v>
      </c>
      <c r="W1922">
        <v>3.524128E-2</v>
      </c>
      <c r="X1922">
        <v>0.99937089999999995</v>
      </c>
      <c r="Y1922">
        <v>0.1236034</v>
      </c>
      <c r="Z1922">
        <v>1.1715440000000001E-2</v>
      </c>
      <c r="AA1922">
        <v>0.99226250000000005</v>
      </c>
      <c r="AB1922">
        <v>12</v>
      </c>
      <c r="AC1922">
        <v>-0.62629999999998598</v>
      </c>
      <c r="AD1922">
        <v>-0.13776820000000001</v>
      </c>
      <c r="AE1922">
        <v>9.2899999999985994E-2</v>
      </c>
      <c r="AF1922">
        <v>8.9925110290712096E-2</v>
      </c>
      <c r="AG1922">
        <v>-0.13776820000000001</v>
      </c>
      <c r="AH1922">
        <v>0.59780485564256003</v>
      </c>
      <c r="AI1922">
        <v>102.838048000464</v>
      </c>
      <c r="AJ1922">
        <v>81.445391492916897</v>
      </c>
      <c r="AK1922">
        <v>0.62003003783837596</v>
      </c>
      <c r="AL1922">
        <v>87.980405085958694</v>
      </c>
      <c r="AM1922">
        <v>89.772559336520999</v>
      </c>
      <c r="AN1922">
        <v>0.99999994078023202</v>
      </c>
    </row>
    <row r="1923" spans="1:40" x14ac:dyDescent="0.25">
      <c r="A1923" t="str">
        <f>"20190312160637488"</f>
        <v>20190312160637488</v>
      </c>
      <c r="B1923" t="str">
        <f>"1552377997477013"</f>
        <v>1552377997477013</v>
      </c>
      <c r="C1923" t="s">
        <v>40</v>
      </c>
      <c r="D1923">
        <v>6.3508319999999996</v>
      </c>
      <c r="E1923">
        <v>0.54566250000000005</v>
      </c>
      <c r="F1923" t="s">
        <v>44</v>
      </c>
      <c r="G1923">
        <v>-240.46</v>
      </c>
      <c r="H1923">
        <v>0.97539949999999997</v>
      </c>
      <c r="I1923">
        <v>282.7484</v>
      </c>
      <c r="J1923">
        <v>-239.83969999999999</v>
      </c>
      <c r="K1923">
        <v>1.1096029999999999</v>
      </c>
      <c r="L1923">
        <v>282.65710000000001</v>
      </c>
      <c r="M1923">
        <v>-0.99995880000000004</v>
      </c>
      <c r="N1923">
        <v>0</v>
      </c>
      <c r="O1923">
        <v>-2.0090300000000002E-3</v>
      </c>
      <c r="P1923">
        <v>-0.99965199999999999</v>
      </c>
      <c r="Q1923">
        <v>2.6340309999999999E-2</v>
      </c>
      <c r="R1923">
        <v>1.5876219999999999E-3</v>
      </c>
      <c r="S1923">
        <v>-3.0148320000000002</v>
      </c>
      <c r="T1923">
        <v>-0.55226989999999998</v>
      </c>
      <c r="U1923">
        <v>0.37493900000000002</v>
      </c>
      <c r="V1923">
        <v>3.5986870000000002E-3</v>
      </c>
      <c r="W1923">
        <v>3.520554E-2</v>
      </c>
      <c r="X1923">
        <v>0.99937359999999997</v>
      </c>
      <c r="Y1923">
        <v>0.123353</v>
      </c>
      <c r="Z1923">
        <v>1.1526639999999999E-2</v>
      </c>
      <c r="AA1923">
        <v>0.99229590000000001</v>
      </c>
      <c r="AB1923">
        <v>12</v>
      </c>
      <c r="AC1923">
        <v>-0.62030000000001395</v>
      </c>
      <c r="AD1923">
        <v>-0.1342035</v>
      </c>
      <c r="AE1923">
        <v>9.1299999999989695E-2</v>
      </c>
      <c r="AF1923">
        <v>8.8491738862574901E-2</v>
      </c>
      <c r="AG1923">
        <v>-0.1342035</v>
      </c>
      <c r="AH1923">
        <v>0.59294884261751002</v>
      </c>
      <c r="AI1923">
        <v>102.617826021398</v>
      </c>
      <c r="AJ1923">
        <v>81.511820659307105</v>
      </c>
      <c r="AK1923">
        <v>0.61435307211783097</v>
      </c>
      <c r="AL1923">
        <v>87.9824542009856</v>
      </c>
      <c r="AM1923">
        <v>89.793682076762806</v>
      </c>
      <c r="AN1923">
        <v>0.99999998648588695</v>
      </c>
    </row>
    <row r="1924" spans="1:40" x14ac:dyDescent="0.25">
      <c r="A1924" t="str">
        <f>"20190312160637512"</f>
        <v>20190312160637512</v>
      </c>
      <c r="B1924" t="str">
        <f>"1552377997507269"</f>
        <v>1552377997507269</v>
      </c>
      <c r="C1924" t="s">
        <v>40</v>
      </c>
      <c r="D1924">
        <v>6.6594249999999997</v>
      </c>
      <c r="E1924">
        <v>0.5462167</v>
      </c>
      <c r="F1924" t="s">
        <v>44</v>
      </c>
      <c r="G1924">
        <v>-240.56659999999999</v>
      </c>
      <c r="H1924">
        <v>0.97798960000000001</v>
      </c>
      <c r="I1924">
        <v>282.74810000000002</v>
      </c>
      <c r="J1924">
        <v>-239.96420000000001</v>
      </c>
      <c r="K1924">
        <v>1.1095759999999999</v>
      </c>
      <c r="L1924">
        <v>282.65690000000001</v>
      </c>
      <c r="M1924">
        <v>-0.99995990000000001</v>
      </c>
      <c r="N1924">
        <v>0</v>
      </c>
      <c r="O1924">
        <v>-1.96569E-3</v>
      </c>
      <c r="P1924">
        <v>-0.99966580000000005</v>
      </c>
      <c r="Q1924">
        <v>2.576844E-2</v>
      </c>
      <c r="R1924">
        <v>2.1411529999999998E-3</v>
      </c>
      <c r="S1924">
        <v>-3.0148470000000001</v>
      </c>
      <c r="T1924">
        <v>-0.54600859999999996</v>
      </c>
      <c r="U1924">
        <v>0.37646479999999999</v>
      </c>
      <c r="V1924">
        <v>4.10882E-3</v>
      </c>
      <c r="W1924">
        <v>3.4508839999999999E-2</v>
      </c>
      <c r="X1924">
        <v>0.99939599999999995</v>
      </c>
      <c r="Y1924">
        <v>0.12384290000000001</v>
      </c>
      <c r="Z1924">
        <v>1.143371E-2</v>
      </c>
      <c r="AA1924">
        <v>0.99223600000000001</v>
      </c>
      <c r="AB1924">
        <v>12</v>
      </c>
      <c r="AC1924">
        <v>-0.60239999999998795</v>
      </c>
      <c r="AD1924">
        <v>-0.13158639999999999</v>
      </c>
      <c r="AE1924">
        <v>9.1200000000014797E-2</v>
      </c>
      <c r="AF1924">
        <v>8.8266748828419797E-2</v>
      </c>
      <c r="AG1924">
        <v>-0.13158639999999999</v>
      </c>
      <c r="AH1924">
        <v>0.57538060836409899</v>
      </c>
      <c r="AI1924">
        <v>102.737640048659</v>
      </c>
      <c r="AJ1924">
        <v>81.278483863319494</v>
      </c>
      <c r="AK1924">
        <v>0.59679883050751703</v>
      </c>
      <c r="AL1924">
        <v>88.022396577518293</v>
      </c>
      <c r="AM1924">
        <v>89.764441003983094</v>
      </c>
      <c r="AN1924">
        <v>1.0000000536279601</v>
      </c>
    </row>
    <row r="1925" spans="1:40" x14ac:dyDescent="0.25">
      <c r="A1925" t="str">
        <f>"20190312160637535"</f>
        <v>20190312160637535</v>
      </c>
      <c r="B1925" t="str">
        <f>"1552377997526789"</f>
        <v>1552377997526789</v>
      </c>
      <c r="C1925" t="s">
        <v>40</v>
      </c>
      <c r="D1925">
        <v>6.6100019999999997</v>
      </c>
      <c r="E1925">
        <v>0.54562489999999997</v>
      </c>
      <c r="F1925" t="s">
        <v>44</v>
      </c>
      <c r="G1925">
        <v>-240.67410000000001</v>
      </c>
      <c r="H1925">
        <v>0.98131749999999995</v>
      </c>
      <c r="I1925">
        <v>282.74689999999998</v>
      </c>
      <c r="J1925">
        <v>-240.08709999999999</v>
      </c>
      <c r="K1925">
        <v>1.1095549999999901</v>
      </c>
      <c r="L1925">
        <v>282.6567</v>
      </c>
      <c r="M1925">
        <v>-0.99996099999999999</v>
      </c>
      <c r="N1925">
        <v>0</v>
      </c>
      <c r="O1925">
        <v>-1.922593E-3</v>
      </c>
      <c r="P1925">
        <v>-0.99966869999999997</v>
      </c>
      <c r="Q1925">
        <v>2.5630739999999999E-2</v>
      </c>
      <c r="R1925">
        <v>2.3669960000000001E-3</v>
      </c>
      <c r="S1925">
        <v>-3.0141909999999998</v>
      </c>
      <c r="T1925">
        <v>-0.54457440000000001</v>
      </c>
      <c r="U1925">
        <v>0.38211060000000002</v>
      </c>
      <c r="V1925">
        <v>4.2915459999999898E-3</v>
      </c>
      <c r="W1925">
        <v>3.4245299999999999E-2</v>
      </c>
      <c r="X1925">
        <v>0.99940430000000002</v>
      </c>
      <c r="Y1925">
        <v>0.12563830000000001</v>
      </c>
      <c r="Z1925">
        <v>1.155784E-2</v>
      </c>
      <c r="AA1925">
        <v>0.99200880000000002</v>
      </c>
      <c r="AB1925">
        <v>12</v>
      </c>
      <c r="AC1925">
        <v>-0.58700000000001695</v>
      </c>
      <c r="AD1925">
        <v>-0.12823749999999901</v>
      </c>
      <c r="AE1925">
        <v>9.01999999999816E-2</v>
      </c>
      <c r="AF1925">
        <v>8.7259946285627901E-2</v>
      </c>
      <c r="AG1925">
        <v>-0.12823749999999901</v>
      </c>
      <c r="AH1925">
        <v>0.56068364148745298</v>
      </c>
      <c r="AI1925">
        <v>102.734675733054</v>
      </c>
      <c r="AJ1925">
        <v>81.153945961730201</v>
      </c>
      <c r="AK1925">
        <v>0.58174332867997003</v>
      </c>
      <c r="AL1925">
        <v>88.037505242141293</v>
      </c>
      <c r="AM1925">
        <v>89.753967476355996</v>
      </c>
      <c r="AN1925">
        <v>1.0000000563988201</v>
      </c>
    </row>
    <row r="1926" spans="1:40" x14ac:dyDescent="0.25">
      <c r="A1926" t="str">
        <f>"20190312160637558"</f>
        <v>20190312160637558</v>
      </c>
      <c r="B1926" t="str">
        <f>"1552377997547296"</f>
        <v>1552377997547296</v>
      </c>
      <c r="C1926" t="s">
        <v>40</v>
      </c>
      <c r="D1926">
        <v>6.67523</v>
      </c>
      <c r="E1926">
        <v>0.54518140000000004</v>
      </c>
      <c r="F1926" t="s">
        <v>44</v>
      </c>
      <c r="G1926">
        <v>-240.88069999999999</v>
      </c>
      <c r="H1926">
        <v>0.96588110000000005</v>
      </c>
      <c r="I1926">
        <v>282.75630000000001</v>
      </c>
      <c r="J1926">
        <v>-240.20740000000001</v>
      </c>
      <c r="K1926">
        <v>1.10954</v>
      </c>
      <c r="L1926">
        <v>282.65660000000003</v>
      </c>
      <c r="M1926">
        <v>-0.99996229999999997</v>
      </c>
      <c r="N1926">
        <v>0</v>
      </c>
      <c r="O1926">
        <v>-1.8809250000000001E-3</v>
      </c>
      <c r="P1926">
        <v>-0.9996583</v>
      </c>
      <c r="Q1926">
        <v>2.601914E-2</v>
      </c>
      <c r="R1926">
        <v>2.5721559999999999E-3</v>
      </c>
      <c r="S1926">
        <v>-3.014084</v>
      </c>
      <c r="T1926">
        <v>-0.54570269999999899</v>
      </c>
      <c r="U1926">
        <v>0.3780212</v>
      </c>
      <c r="V1926">
        <v>4.4550479999999996E-3</v>
      </c>
      <c r="W1926">
        <v>3.4505969999999997E-2</v>
      </c>
      <c r="X1926">
        <v>0.99939449999999996</v>
      </c>
      <c r="Y1926">
        <v>0.1242897</v>
      </c>
      <c r="Z1926">
        <v>1.145468E-2</v>
      </c>
      <c r="AA1926">
        <v>0.9921799</v>
      </c>
      <c r="AB1926">
        <v>12</v>
      </c>
      <c r="AC1926">
        <v>-0.67329999999998302</v>
      </c>
      <c r="AD1926">
        <v>-0.14365890000000001</v>
      </c>
      <c r="AE1926">
        <v>9.9699999999984301E-2</v>
      </c>
      <c r="AF1926">
        <v>9.6660275075360999E-2</v>
      </c>
      <c r="AG1926">
        <v>-0.14365890000000001</v>
      </c>
      <c r="AH1926">
        <v>0.64440435586339095</v>
      </c>
      <c r="AI1926">
        <v>102.432906160851</v>
      </c>
      <c r="AJ1926">
        <v>81.469267285968201</v>
      </c>
      <c r="AK1926">
        <v>0.66726161449806598</v>
      </c>
      <c r="AL1926">
        <v>88.022560885697899</v>
      </c>
      <c r="AM1926">
        <v>89.7445915930316</v>
      </c>
      <c r="AN1926">
        <v>0.999999938024284</v>
      </c>
    </row>
    <row r="1927" spans="1:40" x14ac:dyDescent="0.25">
      <c r="A1927" t="str">
        <f>"20190312160637577"</f>
        <v>20190312160637577</v>
      </c>
      <c r="B1927" t="str">
        <f>"1552377997566805"</f>
        <v>1552377997566805</v>
      </c>
      <c r="C1927" t="s">
        <v>40</v>
      </c>
      <c r="D1927">
        <v>6.6717360000000001</v>
      </c>
      <c r="E1927">
        <v>0.5446839</v>
      </c>
      <c r="F1927" t="s">
        <v>44</v>
      </c>
      <c r="G1927">
        <v>-240.9897</v>
      </c>
      <c r="H1927">
        <v>0.96815899999999999</v>
      </c>
      <c r="I1927">
        <v>282.75420000000003</v>
      </c>
      <c r="J1927">
        <v>-240.3177</v>
      </c>
      <c r="K1927">
        <v>1.109524</v>
      </c>
      <c r="L1927">
        <v>282.65640000000002</v>
      </c>
      <c r="M1927">
        <v>-0.99996339999999995</v>
      </c>
      <c r="N1927">
        <v>0</v>
      </c>
      <c r="O1927">
        <v>-1.8427630000000001E-3</v>
      </c>
      <c r="P1927">
        <v>-0.99966140000000003</v>
      </c>
      <c r="Q1927">
        <v>2.589205E-2</v>
      </c>
      <c r="R1927">
        <v>2.6687289999999999E-3</v>
      </c>
      <c r="S1927">
        <v>-3.014221</v>
      </c>
      <c r="T1927">
        <v>-0.54488040000000004</v>
      </c>
      <c r="U1927">
        <v>0.3751526</v>
      </c>
      <c r="V1927">
        <v>4.5135749999999997E-3</v>
      </c>
      <c r="W1927">
        <v>3.4261979999999997E-2</v>
      </c>
      <c r="X1927">
        <v>0.99940269999999998</v>
      </c>
      <c r="Y1927">
        <v>0.1233382</v>
      </c>
      <c r="Z1927">
        <v>1.134603E-2</v>
      </c>
      <c r="AA1927">
        <v>0.99229990000000001</v>
      </c>
      <c r="AB1927">
        <v>12</v>
      </c>
      <c r="AC1927">
        <v>-0.67199999999999704</v>
      </c>
      <c r="AD1927">
        <v>-0.14136499999999899</v>
      </c>
      <c r="AE1927">
        <v>9.7800000000006507E-2</v>
      </c>
      <c r="AF1927">
        <v>9.4924618844875602E-2</v>
      </c>
      <c r="AG1927">
        <v>-0.14136499999999899</v>
      </c>
      <c r="AH1927">
        <v>0.64391435305133005</v>
      </c>
      <c r="AI1927">
        <v>102.253908972856</v>
      </c>
      <c r="AJ1927">
        <v>81.613966661594802</v>
      </c>
      <c r="AK1927">
        <v>0.66604837703680198</v>
      </c>
      <c r="AL1927">
        <v>88.036548888834403</v>
      </c>
      <c r="AM1927">
        <v>89.741238401917101</v>
      </c>
      <c r="AN1927">
        <v>1.00000000620004</v>
      </c>
    </row>
    <row r="1928" spans="1:40" x14ac:dyDescent="0.25">
      <c r="A1928" t="str">
        <f>"20190312160637591"</f>
        <v>20190312160637591</v>
      </c>
      <c r="B1928" t="str">
        <f>"1552377997587300"</f>
        <v>1552377997587300</v>
      </c>
      <c r="C1928" t="s">
        <v>40</v>
      </c>
      <c r="D1928">
        <v>6.6692929999999997</v>
      </c>
      <c r="E1928">
        <v>0.54425849999999998</v>
      </c>
      <c r="F1928" t="s">
        <v>44</v>
      </c>
      <c r="G1928">
        <v>-241.0984</v>
      </c>
      <c r="H1928">
        <v>0.96842159999999999</v>
      </c>
      <c r="I1928">
        <v>282.75259999999997</v>
      </c>
      <c r="J1928">
        <v>-240.39250000000001</v>
      </c>
      <c r="K1928">
        <v>1.109513</v>
      </c>
      <c r="L1928">
        <v>282.65629999999999</v>
      </c>
      <c r="M1928">
        <v>-0.99996410000000002</v>
      </c>
      <c r="N1928">
        <v>0</v>
      </c>
      <c r="O1928">
        <v>-1.816923E-3</v>
      </c>
      <c r="P1928">
        <v>-0.99966560000000004</v>
      </c>
      <c r="Q1928">
        <v>2.572027E-2</v>
      </c>
      <c r="R1928">
        <v>2.7534360000000002E-3</v>
      </c>
      <c r="S1928">
        <v>-3.0141140000000002</v>
      </c>
      <c r="T1928">
        <v>-0.54478349999999998</v>
      </c>
      <c r="U1928">
        <v>0.37139889999999998</v>
      </c>
      <c r="V1928">
        <v>4.5724800000000003E-3</v>
      </c>
      <c r="W1928">
        <v>3.4010350000000002E-2</v>
      </c>
      <c r="X1928">
        <v>0.99941100000000005</v>
      </c>
      <c r="Y1928">
        <v>0.122119699999999</v>
      </c>
      <c r="Z1928">
        <v>1.123183E-2</v>
      </c>
      <c r="AA1928">
        <v>0.9924518</v>
      </c>
      <c r="AB1928">
        <v>12</v>
      </c>
      <c r="AC1928">
        <v>-0.70589999999998498</v>
      </c>
      <c r="AD1928">
        <v>-0.14109139999999901</v>
      </c>
      <c r="AE1928">
        <v>9.6299999999985106E-2</v>
      </c>
      <c r="AF1928">
        <v>9.38997140084874E-2</v>
      </c>
      <c r="AG1928">
        <v>-0.14109139999999901</v>
      </c>
      <c r="AH1928">
        <v>0.679090019963558</v>
      </c>
      <c r="AI1928">
        <v>101.629505695519</v>
      </c>
      <c r="AJ1928">
        <v>82.127468513653298</v>
      </c>
      <c r="AK1928">
        <v>0.69991942011844499</v>
      </c>
      <c r="AL1928">
        <v>88.0509745805889</v>
      </c>
      <c r="AM1928">
        <v>89.737863623711306</v>
      </c>
      <c r="AN1928">
        <v>0.99999997920073602</v>
      </c>
    </row>
    <row r="1929" spans="1:40" x14ac:dyDescent="0.25">
      <c r="A1929" t="str">
        <f>"20190312160637613"</f>
        <v>20190312160637613</v>
      </c>
      <c r="B1929" t="str">
        <f>"1552377997606821"</f>
        <v>1552377997606821</v>
      </c>
      <c r="C1929" t="s">
        <v>40</v>
      </c>
      <c r="D1929">
        <v>6.7006889999999997</v>
      </c>
      <c r="E1929">
        <v>0.54382280000000005</v>
      </c>
      <c r="F1929" t="s">
        <v>44</v>
      </c>
      <c r="G1929">
        <v>-241.10409999999999</v>
      </c>
      <c r="H1929">
        <v>0.98065720000000001</v>
      </c>
      <c r="I1929">
        <v>282.7432</v>
      </c>
      <c r="J1929">
        <v>-240.51050000000001</v>
      </c>
      <c r="K1929">
        <v>1.1094949999999999</v>
      </c>
      <c r="L1929">
        <v>282.65609999999998</v>
      </c>
      <c r="M1929">
        <v>-0.99996499999999999</v>
      </c>
      <c r="N1929">
        <v>0</v>
      </c>
      <c r="O1929">
        <v>-1.7764879999999999E-3</v>
      </c>
      <c r="P1929">
        <v>-0.99966630000000001</v>
      </c>
      <c r="Q1929">
        <v>2.5660700000000002E-2</v>
      </c>
      <c r="R1929">
        <v>2.946597E-3</v>
      </c>
      <c r="S1929">
        <v>-3.0140229999999999</v>
      </c>
      <c r="T1929">
        <v>-0.54579160000000004</v>
      </c>
      <c r="U1929">
        <v>0.36825560000000002</v>
      </c>
      <c r="V1929">
        <v>4.7250230000000001E-3</v>
      </c>
      <c r="W1929">
        <v>3.3829739999999997E-2</v>
      </c>
      <c r="X1929">
        <v>0.99941650000000004</v>
      </c>
      <c r="Y1929">
        <v>0.12107320000000001</v>
      </c>
      <c r="Z1929">
        <v>1.115243E-2</v>
      </c>
      <c r="AA1929">
        <v>0.99258100000000005</v>
      </c>
      <c r="AB1929">
        <v>12</v>
      </c>
      <c r="AC1929">
        <v>-0.59359999999998003</v>
      </c>
      <c r="AD1929">
        <v>-0.1288378</v>
      </c>
      <c r="AE1929">
        <v>8.71000000000208E-2</v>
      </c>
      <c r="AF1929">
        <v>8.4268338477516705E-2</v>
      </c>
      <c r="AG1929">
        <v>-0.1288378</v>
      </c>
      <c r="AH1929">
        <v>0.56728371329552196</v>
      </c>
      <c r="AI1929">
        <v>102.661211365973</v>
      </c>
      <c r="AJ1929">
        <v>81.550666118241907</v>
      </c>
      <c r="AK1929">
        <v>0.58780195895297704</v>
      </c>
      <c r="AL1929">
        <v>88.061328884252802</v>
      </c>
      <c r="AM1929">
        <v>89.729120082604993</v>
      </c>
      <c r="AN1929">
        <v>1.0000000588115301</v>
      </c>
    </row>
    <row r="1930" spans="1:40" x14ac:dyDescent="0.25">
      <c r="A1930" t="str">
        <f>"20190312160637638"</f>
        <v>20190312160637638</v>
      </c>
      <c r="B1930" t="str">
        <f>"1552377997627316"</f>
        <v>1552377997627316</v>
      </c>
      <c r="C1930" t="s">
        <v>40</v>
      </c>
      <c r="D1930">
        <v>6.6658739999999996</v>
      </c>
      <c r="E1930">
        <v>0.54347190000000001</v>
      </c>
      <c r="F1930" t="s">
        <v>44</v>
      </c>
      <c r="G1930">
        <v>-241.2141</v>
      </c>
      <c r="H1930">
        <v>0.98204060000000004</v>
      </c>
      <c r="I1930">
        <v>282.74160000000001</v>
      </c>
      <c r="J1930">
        <v>-240.6387</v>
      </c>
      <c r="K1930">
        <v>1.109475</v>
      </c>
      <c r="L1930">
        <v>282.65589999999997</v>
      </c>
      <c r="M1930">
        <v>-0.99996609999999997</v>
      </c>
      <c r="N1930">
        <v>0</v>
      </c>
      <c r="O1930">
        <v>-1.732227E-3</v>
      </c>
      <c r="P1930">
        <v>-0.99966200000000005</v>
      </c>
      <c r="Q1930">
        <v>2.5798519999999998E-2</v>
      </c>
      <c r="R1930">
        <v>3.209333E-3</v>
      </c>
      <c r="S1930">
        <v>-3.0139309999999999</v>
      </c>
      <c r="T1930">
        <v>-0.5460739</v>
      </c>
      <c r="U1930">
        <v>0.36523440000000001</v>
      </c>
      <c r="V1930">
        <v>4.9437680000000003E-3</v>
      </c>
      <c r="W1930">
        <v>3.3840219999999997E-2</v>
      </c>
      <c r="X1930">
        <v>0.99941500000000005</v>
      </c>
      <c r="Y1930">
        <v>0.1200668</v>
      </c>
      <c r="Z1930">
        <v>1.1061059999999999E-2</v>
      </c>
      <c r="AA1930">
        <v>0.99270420000000004</v>
      </c>
      <c r="AB1930">
        <v>12</v>
      </c>
      <c r="AC1930">
        <v>-0.57540000000000102</v>
      </c>
      <c r="AD1930">
        <v>-0.1274344</v>
      </c>
      <c r="AE1930">
        <v>8.5700000000031196E-2</v>
      </c>
      <c r="AF1930">
        <v>8.2726978081855904E-2</v>
      </c>
      <c r="AG1930">
        <v>-0.1274344</v>
      </c>
      <c r="AH1930">
        <v>0.54891120882037203</v>
      </c>
      <c r="AI1930">
        <v>102.92914382516901</v>
      </c>
      <c r="AJ1930">
        <v>81.429395540103599</v>
      </c>
      <c r="AK1930">
        <v>0.56954964171225497</v>
      </c>
      <c r="AL1930">
        <v>88.060727911672998</v>
      </c>
      <c r="AM1930">
        <v>89.716579468045595</v>
      </c>
      <c r="AN1930">
        <v>0.99999997177834199</v>
      </c>
    </row>
    <row r="1931" spans="1:40" x14ac:dyDescent="0.25">
      <c r="A1931" t="str">
        <f>"20190312160637657"</f>
        <v>20190312160637657</v>
      </c>
      <c r="B1931" t="str">
        <f>"1552377997646837"</f>
        <v>1552377997646837</v>
      </c>
      <c r="C1931" t="s">
        <v>40</v>
      </c>
      <c r="D1931">
        <v>6.6600710000000003</v>
      </c>
      <c r="E1931">
        <v>0.54335649999999902</v>
      </c>
      <c r="F1931" t="s">
        <v>44</v>
      </c>
      <c r="G1931">
        <v>-241.42740000000001</v>
      </c>
      <c r="H1931">
        <v>0.96656249999999999</v>
      </c>
      <c r="I1931">
        <v>282.75110000000001</v>
      </c>
      <c r="J1931">
        <v>-240.75360000000001</v>
      </c>
      <c r="K1931">
        <v>1.109453</v>
      </c>
      <c r="L1931">
        <v>282.6558</v>
      </c>
      <c r="M1931">
        <v>-0.99996719999999895</v>
      </c>
      <c r="N1931">
        <v>0</v>
      </c>
      <c r="O1931">
        <v>-1.6931730000000001E-3</v>
      </c>
      <c r="P1931">
        <v>-0.99966980000000005</v>
      </c>
      <c r="Q1931">
        <v>2.5404400000000001E-2</v>
      </c>
      <c r="R1931">
        <v>3.8629620000000002E-3</v>
      </c>
      <c r="S1931">
        <v>-3.0139469999999999</v>
      </c>
      <c r="T1931">
        <v>-0.54619869999999904</v>
      </c>
      <c r="U1931">
        <v>0.3630371</v>
      </c>
      <c r="V1931">
        <v>5.558164E-3</v>
      </c>
      <c r="W1931">
        <v>3.3338399999999997E-2</v>
      </c>
      <c r="X1931">
        <v>0.99942869999999995</v>
      </c>
      <c r="Y1931">
        <v>0.1193256</v>
      </c>
      <c r="Z1931">
        <v>1.099058E-2</v>
      </c>
      <c r="AA1931">
        <v>0.99279430000000002</v>
      </c>
      <c r="AB1931">
        <v>12</v>
      </c>
      <c r="AC1931">
        <v>-0.67379999999999995</v>
      </c>
      <c r="AD1931">
        <v>-0.1428905</v>
      </c>
      <c r="AE1931">
        <v>9.5300000000008794E-2</v>
      </c>
      <c r="AF1931">
        <v>9.2368220043355598E-2</v>
      </c>
      <c r="AG1931">
        <v>-0.1428905</v>
      </c>
      <c r="AH1931">
        <v>0.64519102768296099</v>
      </c>
      <c r="AI1931">
        <v>102.365590264294</v>
      </c>
      <c r="AJ1931">
        <v>81.852660415023607</v>
      </c>
      <c r="AK1931">
        <v>0.66724886306896303</v>
      </c>
      <c r="AL1931">
        <v>88.089496433682697</v>
      </c>
      <c r="AM1931">
        <v>89.681361906112699</v>
      </c>
      <c r="AN1931">
        <v>1.0000000342426401</v>
      </c>
    </row>
    <row r="1932" spans="1:40" x14ac:dyDescent="0.25">
      <c r="A1932" t="str">
        <f>"20190312160637679"</f>
        <v>20190312160637679</v>
      </c>
      <c r="B1932" t="str">
        <f>"1552377997667338"</f>
        <v>1552377997667338</v>
      </c>
      <c r="C1932" t="s">
        <v>40</v>
      </c>
      <c r="D1932">
        <v>6.7076140000000004</v>
      </c>
      <c r="E1932">
        <v>0.54321140000000001</v>
      </c>
      <c r="F1932" t="s">
        <v>44</v>
      </c>
      <c r="G1932">
        <v>-241.53890000000001</v>
      </c>
      <c r="H1932">
        <v>0.9667211</v>
      </c>
      <c r="I1932">
        <v>282.75069999999999</v>
      </c>
      <c r="J1932">
        <v>-240.8716</v>
      </c>
      <c r="K1932">
        <v>1.109442</v>
      </c>
      <c r="L1932">
        <v>282.65559999999999</v>
      </c>
      <c r="M1932">
        <v>-0.99996810000000003</v>
      </c>
      <c r="N1932">
        <v>0</v>
      </c>
      <c r="O1932">
        <v>-1.652354E-3</v>
      </c>
      <c r="P1932">
        <v>-0.99966580000000005</v>
      </c>
      <c r="Q1932">
        <v>2.5549450000000001E-2</v>
      </c>
      <c r="R1932">
        <v>3.999491E-3</v>
      </c>
      <c r="S1932">
        <v>-3.0134889999999999</v>
      </c>
      <c r="T1932">
        <v>-0.54771780000000003</v>
      </c>
      <c r="U1932">
        <v>0.36428830000000001</v>
      </c>
      <c r="V1932">
        <v>5.6539729999999996E-3</v>
      </c>
      <c r="W1932">
        <v>3.337938E-2</v>
      </c>
      <c r="X1932">
        <v>0.99942679999999995</v>
      </c>
      <c r="Y1932">
        <v>0.1196928</v>
      </c>
      <c r="Z1932">
        <v>1.1047680000000001E-2</v>
      </c>
      <c r="AA1932">
        <v>0.99274949999999995</v>
      </c>
      <c r="AB1932">
        <v>12</v>
      </c>
      <c r="AC1932">
        <v>-0.667300000000011</v>
      </c>
      <c r="AD1932">
        <v>-0.14272090000000001</v>
      </c>
      <c r="AE1932">
        <v>9.51000000000021E-2</v>
      </c>
      <c r="AF1932">
        <v>9.20745164274724E-2</v>
      </c>
      <c r="AG1932">
        <v>-0.14272090000000001</v>
      </c>
      <c r="AH1932">
        <v>0.63851520958852004</v>
      </c>
      <c r="AI1932">
        <v>102.474712537868</v>
      </c>
      <c r="AJ1932">
        <v>81.7944558334856</v>
      </c>
      <c r="AK1932">
        <v>0.66071827941115302</v>
      </c>
      <c r="AL1932">
        <v>88.087147155231705</v>
      </c>
      <c r="AM1932">
        <v>89.675868873486394</v>
      </c>
      <c r="AN1932">
        <v>1.00000003948905</v>
      </c>
    </row>
    <row r="1933" spans="1:40" x14ac:dyDescent="0.25">
      <c r="A1933" t="str">
        <f>"20190312160637705"</f>
        <v>20190312160637705</v>
      </c>
      <c r="B1933" t="str">
        <f>"1552377997696613"</f>
        <v>1552377997696613</v>
      </c>
      <c r="C1933" t="s">
        <v>40</v>
      </c>
      <c r="D1933">
        <v>6.4913439999999998</v>
      </c>
      <c r="E1933">
        <v>0.54310419999999904</v>
      </c>
      <c r="F1933" t="s">
        <v>44</v>
      </c>
      <c r="G1933">
        <v>-241.6515</v>
      </c>
      <c r="H1933">
        <v>0.9676749</v>
      </c>
      <c r="I1933">
        <v>282.74979999999999</v>
      </c>
      <c r="J1933">
        <v>-241.01920000000001</v>
      </c>
      <c r="K1933">
        <v>1.109426</v>
      </c>
      <c r="L1933">
        <v>282.65550000000002</v>
      </c>
      <c r="M1933">
        <v>-0.99996910000000006</v>
      </c>
      <c r="N1933">
        <v>0</v>
      </c>
      <c r="O1933">
        <v>-1.600984E-3</v>
      </c>
      <c r="P1933">
        <v>-0.99965959999999998</v>
      </c>
      <c r="Q1933">
        <v>2.5838150000000001E-2</v>
      </c>
      <c r="R1933">
        <v>3.6360820000000001E-3</v>
      </c>
      <c r="S1933">
        <v>-3.0135190000000001</v>
      </c>
      <c r="T1933">
        <v>-0.54782339999999996</v>
      </c>
      <c r="U1933">
        <v>0.36346440000000002</v>
      </c>
      <c r="V1933">
        <v>5.2391720000000003E-3</v>
      </c>
      <c r="W1933">
        <v>3.3545709999999999E-2</v>
      </c>
      <c r="X1933">
        <v>0.99942339999999996</v>
      </c>
      <c r="Y1933">
        <v>0.1193782</v>
      </c>
      <c r="Z1933">
        <v>1.1012340000000001E-2</v>
      </c>
      <c r="AA1933">
        <v>0.9927878</v>
      </c>
      <c r="AB1933">
        <v>12</v>
      </c>
      <c r="AC1933">
        <v>-0.63229999999998598</v>
      </c>
      <c r="AD1933">
        <v>-0.14175109999999999</v>
      </c>
      <c r="AE1933">
        <v>9.4299999999975598E-2</v>
      </c>
      <c r="AF1933">
        <v>9.0845811160052706E-2</v>
      </c>
      <c r="AG1933">
        <v>-0.14175109999999999</v>
      </c>
      <c r="AH1933">
        <v>0.60252528334676303</v>
      </c>
      <c r="AI1933">
        <v>103.09592363078799</v>
      </c>
      <c r="AJ1933">
        <v>81.425806492060801</v>
      </c>
      <c r="AK1933">
        <v>0.62560614833026895</v>
      </c>
      <c r="AL1933">
        <v>88.077611632636803</v>
      </c>
      <c r="AM1933">
        <v>89.699647122474005</v>
      </c>
      <c r="AN1933">
        <v>0.99999994802510295</v>
      </c>
    </row>
    <row r="1934" spans="1:40" x14ac:dyDescent="0.25">
      <c r="A1934" t="str">
        <f>"20190312160637724"</f>
        <v>20190312160637724</v>
      </c>
      <c r="B1934" t="str">
        <f>"1552377997717110"</f>
        <v>1552377997717110</v>
      </c>
      <c r="C1934" t="s">
        <v>40</v>
      </c>
      <c r="D1934">
        <v>6.5521760000000002</v>
      </c>
      <c r="E1934">
        <v>0.54238160000000002</v>
      </c>
      <c r="F1934" t="s">
        <v>44</v>
      </c>
      <c r="G1934">
        <v>-241.7671</v>
      </c>
      <c r="H1934">
        <v>0.97355000000000003</v>
      </c>
      <c r="I1934">
        <v>282.74520000000001</v>
      </c>
      <c r="J1934">
        <v>-241.13120000000001</v>
      </c>
      <c r="K1934">
        <v>1.1094189999999999</v>
      </c>
      <c r="L1934">
        <v>282.65530000000001</v>
      </c>
      <c r="M1934">
        <v>-0.99996969999999996</v>
      </c>
      <c r="N1934">
        <v>0</v>
      </c>
      <c r="O1934">
        <v>-1.5622639999999901E-3</v>
      </c>
      <c r="P1934">
        <v>-0.99965820000000005</v>
      </c>
      <c r="Q1934">
        <v>2.596238E-2</v>
      </c>
      <c r="R1934">
        <v>3.110762E-3</v>
      </c>
      <c r="S1934">
        <v>-3.0138240000000001</v>
      </c>
      <c r="T1934">
        <v>-0.54748850000000004</v>
      </c>
      <c r="U1934">
        <v>0.36154170000000002</v>
      </c>
      <c r="V1934">
        <v>4.6751739999999998E-3</v>
      </c>
      <c r="W1934">
        <v>3.3581439999999997E-2</v>
      </c>
      <c r="X1934">
        <v>0.99942509999999996</v>
      </c>
      <c r="Y1934">
        <v>0.1187173</v>
      </c>
      <c r="Z1934">
        <v>1.0938750000000001E-2</v>
      </c>
      <c r="AA1934">
        <v>0.99286779999999997</v>
      </c>
      <c r="AB1934">
        <v>13</v>
      </c>
      <c r="AC1934">
        <v>-0.63589999999999203</v>
      </c>
      <c r="AD1934">
        <v>-0.13586899999999999</v>
      </c>
      <c r="AE1934">
        <v>8.9899999999999994E-2</v>
      </c>
      <c r="AF1934">
        <v>8.6999459731455897E-2</v>
      </c>
      <c r="AG1934">
        <v>-0.13586899999999999</v>
      </c>
      <c r="AH1934">
        <v>0.60852264649284404</v>
      </c>
      <c r="AI1934">
        <v>102.463660010325</v>
      </c>
      <c r="AJ1934">
        <v>81.863655227984296</v>
      </c>
      <c r="AK1934">
        <v>0.62954674365706897</v>
      </c>
      <c r="AL1934">
        <v>88.075563497425605</v>
      </c>
      <c r="AM1934">
        <v>89.7319801305255</v>
      </c>
      <c r="AN1934">
        <v>1.0000000504372</v>
      </c>
    </row>
    <row r="1935" spans="1:40" x14ac:dyDescent="0.25">
      <c r="A1935" t="str">
        <f>"20190312160637746"</f>
        <v>20190312160637746</v>
      </c>
      <c r="B1935" t="str">
        <f>"1552377997736630"</f>
        <v>1552377997736630</v>
      </c>
      <c r="C1935" t="s">
        <v>40</v>
      </c>
      <c r="D1935">
        <v>6.5699899999999998</v>
      </c>
      <c r="E1935">
        <v>0.49756650000000002</v>
      </c>
      <c r="F1935" t="s">
        <v>44</v>
      </c>
      <c r="G1935">
        <v>-241.8809</v>
      </c>
      <c r="H1935">
        <v>0.97395310000000002</v>
      </c>
      <c r="I1935">
        <v>282.74369999999999</v>
      </c>
      <c r="J1935">
        <v>-241.25640000000001</v>
      </c>
      <c r="K1935">
        <v>1.1094079999999999</v>
      </c>
      <c r="L1935">
        <v>282.65519999999998</v>
      </c>
      <c r="M1935">
        <v>-0.99997060000000004</v>
      </c>
      <c r="N1935">
        <v>0</v>
      </c>
      <c r="O1935">
        <v>-1.5186329999999999E-3</v>
      </c>
      <c r="P1935">
        <v>-0.99965490000000001</v>
      </c>
      <c r="Q1935">
        <v>2.6134859999999999E-2</v>
      </c>
      <c r="R1935">
        <v>2.6554339999999999E-3</v>
      </c>
      <c r="S1935">
        <v>-3.0140530000000001</v>
      </c>
      <c r="T1935">
        <v>-0.54472039999999999</v>
      </c>
      <c r="U1935">
        <v>0.35449219999999998</v>
      </c>
      <c r="V1935">
        <v>4.1761990000000002E-3</v>
      </c>
      <c r="W1935">
        <v>3.3658649999999998E-2</v>
      </c>
      <c r="X1935">
        <v>0.9994246</v>
      </c>
      <c r="Y1935">
        <v>0.1164311</v>
      </c>
      <c r="Z1935">
        <v>1.0672940000000001E-2</v>
      </c>
      <c r="AA1935">
        <v>0.99314139999999995</v>
      </c>
      <c r="AB1935">
        <v>13</v>
      </c>
      <c r="AC1935">
        <v>-0.62449999999998296</v>
      </c>
      <c r="AD1935">
        <v>-0.13545489999999999</v>
      </c>
      <c r="AE1935">
        <v>8.8500000000010404E-2</v>
      </c>
      <c r="AF1935">
        <v>8.5504829377406402E-2</v>
      </c>
      <c r="AG1935">
        <v>-0.13545489999999999</v>
      </c>
      <c r="AH1935">
        <v>0.59683868434468501</v>
      </c>
      <c r="AI1935">
        <v>102.661849738602</v>
      </c>
      <c r="AJ1935">
        <v>81.847116802767104</v>
      </c>
      <c r="AK1935">
        <v>0.61796077619147005</v>
      </c>
      <c r="AL1935">
        <v>88.071136971728905</v>
      </c>
      <c r="AM1935">
        <v>89.760585056179195</v>
      </c>
      <c r="AN1935">
        <v>0.99999993822153299</v>
      </c>
    </row>
    <row r="1936" spans="1:40" x14ac:dyDescent="0.25">
      <c r="A1936" t="str">
        <f>"20190312160637768"</f>
        <v>20190312160637768</v>
      </c>
      <c r="B1936" t="str">
        <f>"1552377997757128"</f>
        <v>1552377997757128</v>
      </c>
      <c r="C1936" t="s">
        <v>40</v>
      </c>
      <c r="D1936">
        <v>6.7189839999999998</v>
      </c>
      <c r="E1936">
        <v>0.49373909999999999</v>
      </c>
      <c r="F1936" t="s">
        <v>41</v>
      </c>
      <c r="G1936">
        <v>0</v>
      </c>
      <c r="H1936">
        <v>0</v>
      </c>
      <c r="I1936">
        <v>0</v>
      </c>
      <c r="J1936">
        <v>-241.38310000000001</v>
      </c>
      <c r="K1936">
        <v>1.1093980000000001</v>
      </c>
      <c r="L1936">
        <v>282.65499999999997</v>
      </c>
      <c r="M1936">
        <v>-0.99997130000000001</v>
      </c>
      <c r="N1936">
        <v>0</v>
      </c>
      <c r="O1936">
        <v>-1.4747810000000001E-3</v>
      </c>
      <c r="P1936">
        <v>-0.99966310000000003</v>
      </c>
      <c r="Q1936">
        <v>2.5866839999999999E-2</v>
      </c>
      <c r="R1936">
        <v>2.1544989999999998E-3</v>
      </c>
      <c r="S1936">
        <v>-3.0001370000000001</v>
      </c>
      <c r="T1936">
        <v>3.570628E-2</v>
      </c>
      <c r="U1936">
        <v>-1.1047360000000001E-2</v>
      </c>
      <c r="V1936">
        <v>3.631488E-3</v>
      </c>
      <c r="W1936">
        <v>3.3298840000000003E-2</v>
      </c>
      <c r="X1936">
        <v>0.99943879999999996</v>
      </c>
      <c r="Y1936">
        <v>-2.2073940000000001E-3</v>
      </c>
      <c r="Z1936" s="1">
        <v>-4.4167789999999998E-6</v>
      </c>
      <c r="AA1936">
        <v>0.99999760000000004</v>
      </c>
      <c r="AB1936">
        <v>13</v>
      </c>
      <c r="AC1936">
        <v>-3.0001370000000001</v>
      </c>
      <c r="AD1936">
        <v>3.570628E-2</v>
      </c>
      <c r="AE1936">
        <v>-1.1047360000000001E-2</v>
      </c>
      <c r="AF1936">
        <v>-6.6217428278611103E-3</v>
      </c>
      <c r="AG1936">
        <v>3.570628E-2</v>
      </c>
      <c r="AH1936">
        <v>2.99972513411721</v>
      </c>
      <c r="AI1936">
        <v>89.318031666919097</v>
      </c>
      <c r="AJ1936">
        <v>90.126477355040393</v>
      </c>
      <c r="AK1936">
        <v>2.9999449438554802</v>
      </c>
      <c r="AL1936">
        <v>88.091764167694194</v>
      </c>
      <c r="AM1936">
        <v>89.7918151465786</v>
      </c>
      <c r="AN1936">
        <v>0.99999995769793804</v>
      </c>
    </row>
    <row r="1937" spans="1:40" x14ac:dyDescent="0.25">
      <c r="A1937" t="str">
        <f>"20190312160637790"</f>
        <v>20190312160637790</v>
      </c>
      <c r="B1937" t="str">
        <f>"1552377997787382"</f>
        <v>1552377997787382</v>
      </c>
      <c r="C1937" t="s">
        <v>40</v>
      </c>
      <c r="D1937">
        <v>6.6336089999999999</v>
      </c>
      <c r="E1937">
        <v>0.49772379999999999</v>
      </c>
      <c r="F1937" t="s">
        <v>75</v>
      </c>
      <c r="G1937">
        <v>-511.95920000000001</v>
      </c>
      <c r="H1937">
        <v>1.7249030000000001</v>
      </c>
      <c r="I1937">
        <v>278.81650000000002</v>
      </c>
      <c r="J1937">
        <v>-241.51060000000001</v>
      </c>
      <c r="K1937">
        <v>1.1093839999999999</v>
      </c>
      <c r="L1937">
        <v>282.6549</v>
      </c>
      <c r="M1937">
        <v>-0.99997199999999997</v>
      </c>
      <c r="N1937">
        <v>0</v>
      </c>
      <c r="O1937">
        <v>-1.4314320000000001E-3</v>
      </c>
      <c r="P1937">
        <v>-0.99965409999999999</v>
      </c>
      <c r="Q1937">
        <v>2.6224750000000002E-2</v>
      </c>
      <c r="R1937">
        <v>2.081734E-3</v>
      </c>
      <c r="S1937">
        <v>-3.0009160000000001</v>
      </c>
      <c r="T1937">
        <v>6.8273539999999999E-3</v>
      </c>
      <c r="U1937">
        <v>-4.2572020000000002E-2</v>
      </c>
      <c r="V1937">
        <v>3.5155289999999999E-3</v>
      </c>
      <c r="W1937">
        <v>3.3571919999999998E-2</v>
      </c>
      <c r="X1937">
        <v>0.99943009999999999</v>
      </c>
      <c r="Y1937">
        <v>-1.2753550000000001E-2</v>
      </c>
      <c r="Z1937" s="1">
        <v>1.1250439999999999E-5</v>
      </c>
      <c r="AA1937">
        <v>0.99991870000000005</v>
      </c>
      <c r="AB1937">
        <v>13</v>
      </c>
      <c r="AC1937">
        <v>-270.4486</v>
      </c>
      <c r="AD1937">
        <v>0.61551899999999904</v>
      </c>
      <c r="AE1937">
        <v>-3.8383999999999698</v>
      </c>
      <c r="AF1937">
        <v>-3.45123897054444</v>
      </c>
      <c r="AG1937">
        <v>0.61551899999999904</v>
      </c>
      <c r="AH1937">
        <v>270.45241685866898</v>
      </c>
      <c r="AI1937">
        <v>89.869612150862096</v>
      </c>
      <c r="AJ1937">
        <v>90.731110843323293</v>
      </c>
      <c r="AK1937">
        <v>270.47513693270702</v>
      </c>
      <c r="AL1937">
        <v>88.076109123021794</v>
      </c>
      <c r="AM1937">
        <v>89.798460999208004</v>
      </c>
      <c r="AN1937">
        <v>0.99999997877132196</v>
      </c>
    </row>
    <row r="1938" spans="1:40" x14ac:dyDescent="0.25">
      <c r="A1938" t="str">
        <f>"20190312160637815"</f>
        <v>20190312160637815</v>
      </c>
      <c r="B1938" t="str">
        <f>"1552377997806901"</f>
        <v>1552377997806901</v>
      </c>
      <c r="C1938" t="s">
        <v>40</v>
      </c>
      <c r="D1938">
        <v>6.4050580000000004</v>
      </c>
      <c r="E1938">
        <v>0.49674190000000001</v>
      </c>
      <c r="F1938" t="s">
        <v>77</v>
      </c>
      <c r="G1938">
        <v>-294.08179999999999</v>
      </c>
      <c r="H1938" s="1">
        <v>3.1171959999999999E-6</v>
      </c>
      <c r="I1938">
        <v>282.47269999999997</v>
      </c>
      <c r="J1938">
        <v>-241.6524</v>
      </c>
      <c r="K1938">
        <v>1.10938</v>
      </c>
      <c r="L1938">
        <v>282.65469999999999</v>
      </c>
      <c r="M1938">
        <v>-0.9999728</v>
      </c>
      <c r="N1938">
        <v>0</v>
      </c>
      <c r="O1938">
        <v>-1.3833090000000001E-3</v>
      </c>
      <c r="P1938">
        <v>-0.99965470000000001</v>
      </c>
      <c r="Q1938">
        <v>2.6223900000000001E-2</v>
      </c>
      <c r="R1938">
        <v>1.7868560000000001E-3</v>
      </c>
      <c r="S1938">
        <v>-3.0027010000000001</v>
      </c>
      <c r="T1938">
        <v>-6.3364390000000007E-2</v>
      </c>
      <c r="U1938">
        <v>-1.0406489999999999E-2</v>
      </c>
      <c r="V1938">
        <v>3.1723350000000001E-3</v>
      </c>
      <c r="W1938">
        <v>3.3483270000000002E-2</v>
      </c>
      <c r="X1938">
        <v>0.99943419999999905</v>
      </c>
      <c r="Y1938">
        <v>-2.0821949999999998E-3</v>
      </c>
      <c r="Z1938" s="1">
        <v>7.2214239999999998E-6</v>
      </c>
      <c r="AA1938">
        <v>0.9999979</v>
      </c>
      <c r="AB1938">
        <v>13</v>
      </c>
      <c r="AC1938">
        <v>-52.429400000000001</v>
      </c>
      <c r="AD1938">
        <v>-1.10937688280399</v>
      </c>
      <c r="AE1938">
        <v>-0.18200000000001601</v>
      </c>
      <c r="AF1938">
        <v>-0.10942287116978899</v>
      </c>
      <c r="AG1938">
        <v>-1.10937688280399</v>
      </c>
      <c r="AH1938">
        <v>52.406138504093903</v>
      </c>
      <c r="AI1938">
        <v>91.212701118552999</v>
      </c>
      <c r="AJ1938">
        <v>90.119632160817602</v>
      </c>
      <c r="AK1938">
        <v>52.417993507412199</v>
      </c>
      <c r="AL1938">
        <v>88.081191208647695</v>
      </c>
      <c r="AM1938">
        <v>89.818136305237999</v>
      </c>
      <c r="AN1938">
        <v>0.99999995660444096</v>
      </c>
    </row>
    <row r="1939" spans="1:40" x14ac:dyDescent="0.25">
      <c r="A1939" t="str">
        <f>"20190312160637847"</f>
        <v>20190312160637847</v>
      </c>
      <c r="B1939" t="str">
        <f>"1552377997837157"</f>
        <v>1552377997837157</v>
      </c>
      <c r="C1939" t="s">
        <v>40</v>
      </c>
      <c r="D1939">
        <v>6.544073</v>
      </c>
      <c r="E1939">
        <v>0.49799680000000002</v>
      </c>
      <c r="F1939" t="s">
        <v>77</v>
      </c>
      <c r="G1939">
        <v>-295.74889999999999</v>
      </c>
      <c r="H1939" s="1">
        <v>3.4267499999999998E-6</v>
      </c>
      <c r="I1939">
        <v>282.31439999999998</v>
      </c>
      <c r="J1939">
        <v>-241.84469999999999</v>
      </c>
      <c r="K1939">
        <v>1.109359</v>
      </c>
      <c r="L1939">
        <v>282.65449999999998</v>
      </c>
      <c r="M1939">
        <v>-0.99997369999999997</v>
      </c>
      <c r="N1939">
        <v>0</v>
      </c>
      <c r="O1939">
        <v>-1.3177E-3</v>
      </c>
      <c r="P1939">
        <v>-0.9996526</v>
      </c>
      <c r="Q1939">
        <v>2.6294910000000001E-2</v>
      </c>
      <c r="R1939">
        <v>1.8427649999999999E-3</v>
      </c>
      <c r="S1939">
        <v>-3.0026860000000002</v>
      </c>
      <c r="T1939">
        <v>-6.1577199999999901E-2</v>
      </c>
      <c r="U1939">
        <v>-1.8890379999999998E-2</v>
      </c>
      <c r="V1939">
        <v>3.1625999999999998E-3</v>
      </c>
      <c r="W1939">
        <v>3.3442760000000002E-2</v>
      </c>
      <c r="X1939">
        <v>0.99943559999999998</v>
      </c>
      <c r="Y1939">
        <v>-4.9725569999999998E-3</v>
      </c>
      <c r="Z1939" s="1">
        <v>-2.3961079999999999E-5</v>
      </c>
      <c r="AA1939">
        <v>0.99998770000000003</v>
      </c>
      <c r="AB1939">
        <v>13</v>
      </c>
      <c r="AC1939">
        <v>-53.904200000000003</v>
      </c>
      <c r="AD1939">
        <v>-1.10935557325</v>
      </c>
      <c r="AE1939">
        <v>-0.34010000000000601</v>
      </c>
      <c r="AF1939">
        <v>-0.26895442500476202</v>
      </c>
      <c r="AG1939">
        <v>-1.10935557325</v>
      </c>
      <c r="AH1939">
        <v>53.881781080130999</v>
      </c>
      <c r="AI1939">
        <v>91.179464018111801</v>
      </c>
      <c r="AJ1939">
        <v>90.285993245653003</v>
      </c>
      <c r="AK1939">
        <v>53.893871067476603</v>
      </c>
      <c r="AL1939">
        <v>88.083513585910296</v>
      </c>
      <c r="AM1939">
        <v>89.818694643783004</v>
      </c>
      <c r="AN1939">
        <v>0.99999996939126801</v>
      </c>
    </row>
    <row r="1940" spans="1:40" x14ac:dyDescent="0.25">
      <c r="A1940" t="str">
        <f>"20190312160637868"</f>
        <v>20190312160637868</v>
      </c>
      <c r="B1940" t="str">
        <f>"1552377997856681"</f>
        <v>1552377997856681</v>
      </c>
      <c r="C1940" t="s">
        <v>40</v>
      </c>
      <c r="D1940">
        <v>6.6933049999999996</v>
      </c>
      <c r="E1940">
        <v>0.4986255</v>
      </c>
      <c r="F1940" t="s">
        <v>66</v>
      </c>
      <c r="G1940">
        <v>-276.27210000000002</v>
      </c>
      <c r="H1940" s="1">
        <v>1.890871E-6</v>
      </c>
      <c r="I1940">
        <v>282.55799999999999</v>
      </c>
      <c r="J1940">
        <v>-241.9692</v>
      </c>
      <c r="K1940">
        <v>1.109348</v>
      </c>
      <c r="L1940">
        <v>282.65440000000001</v>
      </c>
      <c r="M1940">
        <v>-0.99997429999999998</v>
      </c>
      <c r="N1940">
        <v>0</v>
      </c>
      <c r="O1940">
        <v>-1.2747749999999999E-3</v>
      </c>
      <c r="P1940">
        <v>-0.99966140000000003</v>
      </c>
      <c r="Q1940">
        <v>2.5954370000000001E-2</v>
      </c>
      <c r="R1940">
        <v>1.9251769999999999E-3</v>
      </c>
      <c r="S1940">
        <v>-3.0036160000000001</v>
      </c>
      <c r="T1940">
        <v>-9.6785780000000002E-2</v>
      </c>
      <c r="U1940">
        <v>-8.4228519999999998E-3</v>
      </c>
      <c r="V1940">
        <v>3.2022859999999999E-3</v>
      </c>
      <c r="W1940">
        <v>3.3031480000000002E-2</v>
      </c>
      <c r="X1940">
        <v>0.99944920000000004</v>
      </c>
      <c r="Y1940">
        <v>-1.52929E-3</v>
      </c>
      <c r="Z1940" s="1">
        <v>1.6434679999999999E-5</v>
      </c>
      <c r="AA1940">
        <v>0.99999879999999997</v>
      </c>
      <c r="AB1940">
        <v>13</v>
      </c>
      <c r="AC1940">
        <v>-34.302900000000001</v>
      </c>
      <c r="AD1940">
        <v>-1.109346109129</v>
      </c>
      <c r="AE1940">
        <v>-9.6400000000016903E-2</v>
      </c>
      <c r="AF1940">
        <v>-5.2615326312155999E-2</v>
      </c>
      <c r="AG1940">
        <v>-1.109346109129</v>
      </c>
      <c r="AH1940">
        <v>34.267156743144199</v>
      </c>
      <c r="AI1940">
        <v>91.854212325719104</v>
      </c>
      <c r="AJ1940">
        <v>90.087974435372502</v>
      </c>
      <c r="AK1940">
        <v>34.285149094347197</v>
      </c>
      <c r="AL1940">
        <v>88.107091314471703</v>
      </c>
      <c r="AM1940">
        <v>89.816422040518503</v>
      </c>
      <c r="AN1940">
        <v>1.00000001834362</v>
      </c>
    </row>
    <row r="1941" spans="1:40" x14ac:dyDescent="0.25">
      <c r="A1941" t="str">
        <f>"20190312160637890"</f>
        <v>20190312160637890</v>
      </c>
      <c r="B1941" t="str">
        <f>"1552377997877174"</f>
        <v>1552377997877174</v>
      </c>
      <c r="C1941" t="s">
        <v>40</v>
      </c>
      <c r="D1941">
        <v>6.6989169999999998</v>
      </c>
      <c r="E1941">
        <v>0.4981276</v>
      </c>
      <c r="F1941" t="s">
        <v>66</v>
      </c>
      <c r="G1941">
        <v>-276.57139999999998</v>
      </c>
      <c r="H1941" s="1">
        <v>2.0475139999999998E-6</v>
      </c>
      <c r="I1941">
        <v>282.61790000000002</v>
      </c>
      <c r="J1941">
        <v>-242.0994</v>
      </c>
      <c r="K1941">
        <v>1.109332</v>
      </c>
      <c r="L1941">
        <v>282.65429999999998</v>
      </c>
      <c r="M1941">
        <v>-0.9999749</v>
      </c>
      <c r="N1941">
        <v>0</v>
      </c>
      <c r="O1941">
        <v>-1.230021E-3</v>
      </c>
      <c r="P1941">
        <v>-0.99964770000000003</v>
      </c>
      <c r="Q1941">
        <v>2.6467609999999999E-2</v>
      </c>
      <c r="R1941">
        <v>2.0801040000000002E-3</v>
      </c>
      <c r="S1941">
        <v>-3.0035249999999998</v>
      </c>
      <c r="T1941">
        <v>-9.6293210000000004E-2</v>
      </c>
      <c r="U1941">
        <v>-3.1738280000000001E-3</v>
      </c>
      <c r="V1941">
        <v>3.312476E-3</v>
      </c>
      <c r="W1941">
        <v>3.3461350000000001E-2</v>
      </c>
      <c r="X1941">
        <v>0.9994345</v>
      </c>
      <c r="Y1941">
        <v>1.7263000000000001E-4</v>
      </c>
      <c r="Z1941" s="1">
        <v>4.219192E-5</v>
      </c>
      <c r="AA1941">
        <v>1</v>
      </c>
      <c r="AB1941">
        <v>13</v>
      </c>
      <c r="AC1941">
        <v>-34.471999999999902</v>
      </c>
      <c r="AD1941">
        <v>-1.1093299524860001</v>
      </c>
      <c r="AE1941">
        <v>-3.6399999999957799E-2</v>
      </c>
      <c r="AF1941">
        <v>5.9961341309502699E-3</v>
      </c>
      <c r="AG1941">
        <v>-1.1093299524860001</v>
      </c>
      <c r="AH1941">
        <v>34.436356733547697</v>
      </c>
      <c r="AI1941">
        <v>91.845083422230402</v>
      </c>
      <c r="AJ1941">
        <v>89.9900235330269</v>
      </c>
      <c r="AK1941">
        <v>34.4542205539069</v>
      </c>
      <c r="AL1941">
        <v>88.082447875692495</v>
      </c>
      <c r="AM1941">
        <v>89.810102413317495</v>
      </c>
      <c r="AN1941">
        <v>0.99999997711566102</v>
      </c>
    </row>
    <row r="1942" spans="1:40" x14ac:dyDescent="0.25">
      <c r="A1942" t="str">
        <f>"20190312160637915"</f>
        <v>20190312160637915</v>
      </c>
      <c r="B1942" t="str">
        <f>"1552377997906454"</f>
        <v>1552377997906454</v>
      </c>
      <c r="C1942" t="s">
        <v>40</v>
      </c>
      <c r="D1942">
        <v>6.7114229999999999</v>
      </c>
      <c r="E1942">
        <v>0.4986428</v>
      </c>
      <c r="F1942" t="s">
        <v>66</v>
      </c>
      <c r="G1942">
        <v>-279.35410000000002</v>
      </c>
      <c r="H1942" s="1">
        <v>3.5304390000000001E-6</v>
      </c>
      <c r="I1942">
        <v>282.57029999999997</v>
      </c>
      <c r="J1942">
        <v>-242.2441</v>
      </c>
      <c r="K1942">
        <v>1.1093150000000001</v>
      </c>
      <c r="L1942">
        <v>282.6542</v>
      </c>
      <c r="M1942">
        <v>-0.99997570000000002</v>
      </c>
      <c r="N1942">
        <v>0</v>
      </c>
      <c r="O1942">
        <v>-1.180167E-3</v>
      </c>
      <c r="P1942">
        <v>-0.99963999999999997</v>
      </c>
      <c r="Q1942">
        <v>2.6699049999999998E-2</v>
      </c>
      <c r="R1942">
        <v>2.729272E-3</v>
      </c>
      <c r="S1942">
        <v>-3.0034480000000001</v>
      </c>
      <c r="T1942">
        <v>-8.9433189999999996E-2</v>
      </c>
      <c r="U1942">
        <v>-6.7749019999999898E-3</v>
      </c>
      <c r="V1942">
        <v>3.9118089999999996E-3</v>
      </c>
      <c r="W1942">
        <v>3.3581449999999999E-2</v>
      </c>
      <c r="X1942">
        <v>0.99942830000000005</v>
      </c>
      <c r="Y1942">
        <v>-1.075555E-3</v>
      </c>
      <c r="Z1942" s="1">
        <v>1.9124869999999998E-5</v>
      </c>
      <c r="AA1942">
        <v>0.99999939999999998</v>
      </c>
      <c r="AB1942">
        <v>13</v>
      </c>
      <c r="AC1942">
        <v>-37.11</v>
      </c>
      <c r="AD1942">
        <v>-1.109311469561</v>
      </c>
      <c r="AE1942">
        <v>-8.3900000000028202E-2</v>
      </c>
      <c r="AF1942">
        <v>-4.0067108136744897E-2</v>
      </c>
      <c r="AG1942">
        <v>-1.109311469561</v>
      </c>
      <c r="AH1942">
        <v>37.076942765029003</v>
      </c>
      <c r="AI1942">
        <v>91.713730115829193</v>
      </c>
      <c r="AJ1942">
        <v>90.0619165208536</v>
      </c>
      <c r="AK1942">
        <v>37.093555533419703</v>
      </c>
      <c r="AL1942">
        <v>88.075562772057097</v>
      </c>
      <c r="AM1942">
        <v>89.775742790721694</v>
      </c>
      <c r="AN1942">
        <v>0.999999971437322</v>
      </c>
    </row>
    <row r="1943" spans="1:40" x14ac:dyDescent="0.25">
      <c r="A1943" t="str">
        <f>"20190312160637936"</f>
        <v>20190312160637936</v>
      </c>
      <c r="B1943" t="str">
        <f>"1552377997926949"</f>
        <v>1552377997926949</v>
      </c>
      <c r="C1943" t="s">
        <v>40</v>
      </c>
      <c r="D1943">
        <v>6.3494970000000004</v>
      </c>
      <c r="E1943">
        <v>0.49853950000000002</v>
      </c>
      <c r="F1943" t="s">
        <v>66</v>
      </c>
      <c r="G1943">
        <v>-277.1182</v>
      </c>
      <c r="H1943" s="1">
        <v>2.3373570000000001E-6</v>
      </c>
      <c r="I1943">
        <v>282.6447</v>
      </c>
      <c r="J1943">
        <v>-242.38159999999999</v>
      </c>
      <c r="K1943">
        <v>1.109291</v>
      </c>
      <c r="L1943">
        <v>282.65410000000003</v>
      </c>
      <c r="M1943">
        <v>-0.99997650000000005</v>
      </c>
      <c r="N1943">
        <v>0</v>
      </c>
      <c r="O1943">
        <v>-1.1318089999999999E-3</v>
      </c>
      <c r="P1943">
        <v>-0.99962720000000005</v>
      </c>
      <c r="Q1943">
        <v>2.7152679999999998E-2</v>
      </c>
      <c r="R1943">
        <v>2.9010389999999998E-3</v>
      </c>
      <c r="S1943">
        <v>-3.0036320000000001</v>
      </c>
      <c r="T1943">
        <v>-9.5542790000000002E-2</v>
      </c>
      <c r="U1943">
        <v>-8.2397459999999998E-4</v>
      </c>
      <c r="V1943">
        <v>4.0353189999999999E-3</v>
      </c>
      <c r="W1943">
        <v>3.390551E-2</v>
      </c>
      <c r="X1943">
        <v>0.99941690000000005</v>
      </c>
      <c r="Y1943">
        <v>8.5650339999999905E-4</v>
      </c>
      <c r="Z1943" s="1">
        <v>4.9612379999999998E-5</v>
      </c>
      <c r="AA1943">
        <v>0.99999959999999999</v>
      </c>
      <c r="AB1943">
        <v>14</v>
      </c>
      <c r="AC1943">
        <v>-34.736600000000003</v>
      </c>
      <c r="AD1943">
        <v>-1.1092886626430001</v>
      </c>
      <c r="AE1943">
        <v>-9.4000000000278305E-3</v>
      </c>
      <c r="AF1943">
        <v>2.9885623952378901E-2</v>
      </c>
      <c r="AG1943">
        <v>-1.1092886626430001</v>
      </c>
      <c r="AH1943">
        <v>34.701200146904597</v>
      </c>
      <c r="AI1943">
        <v>91.830942407394403</v>
      </c>
      <c r="AJ1943">
        <v>89.950655317683797</v>
      </c>
      <c r="AK1943">
        <v>34.718938724032498</v>
      </c>
      <c r="AL1943">
        <v>88.056984984268297</v>
      </c>
      <c r="AM1943">
        <v>89.768659614159304</v>
      </c>
      <c r="AN1943">
        <v>1.0000000037067001</v>
      </c>
    </row>
    <row r="1944" spans="1:40" x14ac:dyDescent="0.25">
      <c r="A1944" t="str">
        <f>"20190312160637959"</f>
        <v>20190312160637959</v>
      </c>
      <c r="B1944" t="str">
        <f>"1552377997946469"</f>
        <v>1552377997946469</v>
      </c>
      <c r="C1944" t="s">
        <v>40</v>
      </c>
      <c r="D1944">
        <v>7.0174830000000004</v>
      </c>
      <c r="E1944">
        <v>0.49814789999999998</v>
      </c>
      <c r="F1944" t="s">
        <v>66</v>
      </c>
      <c r="G1944">
        <v>-278.28440000000001</v>
      </c>
      <c r="H1944" s="1">
        <v>2.958133E-6</v>
      </c>
      <c r="I1944">
        <v>282.64060000000001</v>
      </c>
      <c r="J1944">
        <v>-242.51509999999999</v>
      </c>
      <c r="K1944">
        <v>1.1092569999999999</v>
      </c>
      <c r="L1944">
        <v>282.654</v>
      </c>
      <c r="M1944">
        <v>-0.99997760000000002</v>
      </c>
      <c r="N1944">
        <v>0</v>
      </c>
      <c r="O1944">
        <v>-1.086168E-3</v>
      </c>
      <c r="P1944">
        <v>-0.99962430000000002</v>
      </c>
      <c r="Q1944">
        <v>2.714132E-2</v>
      </c>
      <c r="R1944">
        <v>3.8469699999999999E-3</v>
      </c>
      <c r="S1944">
        <v>-3.003647</v>
      </c>
      <c r="T1944">
        <v>-9.28036E-2</v>
      </c>
      <c r="U1944">
        <v>-1.12915E-3</v>
      </c>
      <c r="V1944">
        <v>4.9354960000000002E-3</v>
      </c>
      <c r="W1944">
        <v>3.3755390000000003E-2</v>
      </c>
      <c r="X1944">
        <v>0.99941800000000003</v>
      </c>
      <c r="Y1944">
        <v>7.0940819999999998E-4</v>
      </c>
      <c r="Z1944" s="1">
        <v>4.4508680000000002E-5</v>
      </c>
      <c r="AA1944">
        <v>0.99999979999999999</v>
      </c>
      <c r="AB1944">
        <v>14</v>
      </c>
      <c r="AC1944">
        <v>-35.769300000000001</v>
      </c>
      <c r="AD1944">
        <v>-1.1092540418669901</v>
      </c>
      <c r="AE1944">
        <v>-1.339999999999E-2</v>
      </c>
      <c r="AF1944">
        <v>2.5427870254131801E-2</v>
      </c>
      <c r="AG1944">
        <v>-1.1092540418669901</v>
      </c>
      <c r="AH1944">
        <v>35.734927057931301</v>
      </c>
      <c r="AI1944">
        <v>91.777956830243397</v>
      </c>
      <c r="AJ1944">
        <v>89.959230100027497</v>
      </c>
      <c r="AK1944">
        <v>35.752148228346499</v>
      </c>
      <c r="AL1944">
        <v>88.065591265950403</v>
      </c>
      <c r="AM1944">
        <v>89.717054533892195</v>
      </c>
      <c r="AN1944">
        <v>1.0000000620994001</v>
      </c>
    </row>
    <row r="1945" spans="1:40" x14ac:dyDescent="0.25">
      <c r="A1945" t="str">
        <f>"20190312160637979"</f>
        <v>20190312160637979</v>
      </c>
      <c r="B1945" t="str">
        <f>"1552377997966965"</f>
        <v>1552377997966965</v>
      </c>
      <c r="C1945" t="s">
        <v>40</v>
      </c>
      <c r="D1945">
        <v>6.6457289999999896</v>
      </c>
      <c r="E1945">
        <v>0.49712990000000001</v>
      </c>
      <c r="F1945" t="s">
        <v>66</v>
      </c>
      <c r="G1945">
        <v>-279.20760000000001</v>
      </c>
      <c r="H1945" s="1">
        <v>3.4496099999999998E-6</v>
      </c>
      <c r="I1945">
        <v>282.63569999999999</v>
      </c>
      <c r="J1945">
        <v>-242.6473</v>
      </c>
      <c r="K1945">
        <v>1.109224</v>
      </c>
      <c r="L1945">
        <v>282.65390000000002</v>
      </c>
      <c r="M1945">
        <v>-0.99997860000000005</v>
      </c>
      <c r="N1945">
        <v>0</v>
      </c>
      <c r="O1945">
        <v>-1.040876E-3</v>
      </c>
      <c r="P1945">
        <v>-0.99962240000000002</v>
      </c>
      <c r="Q1945">
        <v>2.7194940000000001E-2</v>
      </c>
      <c r="R1945">
        <v>3.9803030000000001E-3</v>
      </c>
      <c r="S1945">
        <v>-3.0036010000000002</v>
      </c>
      <c r="T1945">
        <v>-9.0802190000000005E-2</v>
      </c>
      <c r="U1945">
        <v>-1.495361E-3</v>
      </c>
      <c r="V1945">
        <v>5.0237279999999999E-3</v>
      </c>
      <c r="W1945">
        <v>3.3665319999999999E-2</v>
      </c>
      <c r="X1945">
        <v>0.99942050000000004</v>
      </c>
      <c r="Y1945">
        <v>5.4231829999999996E-4</v>
      </c>
      <c r="Z1945" s="1">
        <v>3.9655859999999998E-5</v>
      </c>
      <c r="AA1945">
        <v>0.99999990000000005</v>
      </c>
      <c r="AB1945">
        <v>14</v>
      </c>
      <c r="AC1945">
        <v>-36.560299999999998</v>
      </c>
      <c r="AD1945">
        <v>-1.1092205503899999</v>
      </c>
      <c r="AE1945">
        <v>-1.8200000000035702E-2</v>
      </c>
      <c r="AF1945">
        <v>1.9837282555607599E-2</v>
      </c>
      <c r="AG1945">
        <v>-1.1092205503899999</v>
      </c>
      <c r="AH1945">
        <v>36.526676919702098</v>
      </c>
      <c r="AI1945">
        <v>91.739389589257101</v>
      </c>
      <c r="AJ1945">
        <v>89.968883223124806</v>
      </c>
      <c r="AK1945">
        <v>36.543520500130903</v>
      </c>
      <c r="AL1945">
        <v>88.070754641357397</v>
      </c>
      <c r="AM1945">
        <v>89.711997114751995</v>
      </c>
      <c r="AN1945">
        <v>0.99999996371698396</v>
      </c>
    </row>
    <row r="1946" spans="1:40" x14ac:dyDescent="0.25">
      <c r="A1946" t="str">
        <f>"20190312160638003"</f>
        <v>20190312160638003</v>
      </c>
      <c r="B1946" t="str">
        <f>"1552377997997221"</f>
        <v>1552377997997221</v>
      </c>
      <c r="C1946" t="s">
        <v>40</v>
      </c>
      <c r="D1946">
        <v>6.6210519999999997</v>
      </c>
      <c r="E1946">
        <v>0.49565959999999998</v>
      </c>
      <c r="F1946" t="s">
        <v>66</v>
      </c>
      <c r="G1946">
        <v>-279.25709999999998</v>
      </c>
      <c r="H1946" s="1">
        <v>3.4798990000000001E-6</v>
      </c>
      <c r="I1946">
        <v>282.54610000000002</v>
      </c>
      <c r="J1946">
        <v>-242.7912</v>
      </c>
      <c r="K1946">
        <v>1.1092</v>
      </c>
      <c r="L1946">
        <v>282.65379999999999</v>
      </c>
      <c r="M1946">
        <v>-0.99997970000000003</v>
      </c>
      <c r="N1946">
        <v>0</v>
      </c>
      <c r="O1946">
        <v>-9.9102210000000007E-4</v>
      </c>
      <c r="P1946">
        <v>-0.99961429999999996</v>
      </c>
      <c r="Q1946">
        <v>2.7555710000000001E-2</v>
      </c>
      <c r="R1946">
        <v>3.5390740000000001E-3</v>
      </c>
      <c r="S1946">
        <v>-3.003647</v>
      </c>
      <c r="T1946">
        <v>-9.1005799999999998E-2</v>
      </c>
      <c r="U1946">
        <v>-8.8500980000000007E-3</v>
      </c>
      <c r="V1946">
        <v>4.532922E-3</v>
      </c>
      <c r="W1946">
        <v>3.386691E-2</v>
      </c>
      <c r="X1946">
        <v>0.99941610000000003</v>
      </c>
      <c r="Y1946">
        <v>-1.9549569999999998E-3</v>
      </c>
      <c r="Z1946" s="1">
        <v>4.108406E-7</v>
      </c>
      <c r="AA1946">
        <v>0.9999981</v>
      </c>
      <c r="AB1946">
        <v>14</v>
      </c>
      <c r="AC1946">
        <v>-36.465899999999898</v>
      </c>
      <c r="AD1946">
        <v>-1.1091965201009999</v>
      </c>
      <c r="AE1946">
        <v>-0.107699999999965</v>
      </c>
      <c r="AF1946">
        <v>-7.1494571092272696E-2</v>
      </c>
      <c r="AG1946">
        <v>-1.1091965201009999</v>
      </c>
      <c r="AH1946">
        <v>36.432281392673303</v>
      </c>
      <c r="AI1946">
        <v>91.743852688622397</v>
      </c>
      <c r="AJ1946">
        <v>90.112436876494698</v>
      </c>
      <c r="AK1946">
        <v>36.4492325827147</v>
      </c>
      <c r="AL1946">
        <v>88.059197919299606</v>
      </c>
      <c r="AM1946">
        <v>89.740132744941704</v>
      </c>
      <c r="AN1946">
        <v>1.000000027957</v>
      </c>
    </row>
    <row r="1947" spans="1:40" x14ac:dyDescent="0.25">
      <c r="A1947" t="str">
        <f>"20190312160638027"</f>
        <v>20190312160638027</v>
      </c>
      <c r="B1947" t="str">
        <f>"1552377998016740"</f>
        <v>1552377998016740</v>
      </c>
      <c r="C1947" t="s">
        <v>40</v>
      </c>
      <c r="D1947">
        <v>6.5121659999999997</v>
      </c>
      <c r="E1947">
        <v>0.4547176</v>
      </c>
      <c r="F1947" t="s">
        <v>66</v>
      </c>
      <c r="G1947">
        <v>-278.53440000000001</v>
      </c>
      <c r="H1947" s="1">
        <v>3.1019380000000001E-6</v>
      </c>
      <c r="I1947">
        <v>282.39339999999999</v>
      </c>
      <c r="J1947">
        <v>-242.9434</v>
      </c>
      <c r="K1947">
        <v>1.1091770000000001</v>
      </c>
      <c r="L1947">
        <v>282.65370000000001</v>
      </c>
      <c r="M1947">
        <v>-0.99998069999999895</v>
      </c>
      <c r="N1947">
        <v>0</v>
      </c>
      <c r="O1947">
        <v>-9.38659E-4</v>
      </c>
      <c r="P1947">
        <v>-0.99962289999999998</v>
      </c>
      <c r="Q1947">
        <v>2.7333260000000002E-2</v>
      </c>
      <c r="R1947">
        <v>2.6912429999999998E-3</v>
      </c>
      <c r="S1947">
        <v>-3.0038149999999999</v>
      </c>
      <c r="T1947">
        <v>-9.3215699999999999E-2</v>
      </c>
      <c r="U1947">
        <v>-2.1881100000000001E-2</v>
      </c>
      <c r="V1947">
        <v>3.6325189999999999E-3</v>
      </c>
      <c r="W1947">
        <v>3.3480410000000002E-2</v>
      </c>
      <c r="X1947">
        <v>0.99943280000000001</v>
      </c>
      <c r="Y1947">
        <v>-6.3429879999999999E-3</v>
      </c>
      <c r="Z1947" s="1">
        <v>-6.9272199999999997E-5</v>
      </c>
      <c r="AA1947">
        <v>0.99997990000000003</v>
      </c>
      <c r="AB1947">
        <v>14</v>
      </c>
      <c r="AC1947">
        <v>-35.591000000000001</v>
      </c>
      <c r="AD1947">
        <v>-1.1091738980620001</v>
      </c>
      <c r="AE1947">
        <v>-0.26030000000002901</v>
      </c>
      <c r="AF1947">
        <v>-0.22667130620744699</v>
      </c>
      <c r="AG1947">
        <v>-1.1091738980620001</v>
      </c>
      <c r="AH1947">
        <v>35.556697027405598</v>
      </c>
      <c r="AI1947">
        <v>91.786698333077993</v>
      </c>
      <c r="AJ1947">
        <v>90.365251396757202</v>
      </c>
      <c r="AK1947">
        <v>35.574715039138603</v>
      </c>
      <c r="AL1947">
        <v>88.081355302358801</v>
      </c>
      <c r="AM1947">
        <v>89.791754792078905</v>
      </c>
      <c r="AN1947">
        <v>1.00000002738194</v>
      </c>
    </row>
    <row r="1948" spans="1:40" x14ac:dyDescent="0.25">
      <c r="A1948" t="str">
        <f>"20190312160638069"</f>
        <v>20190312160638069</v>
      </c>
      <c r="B1948" t="str">
        <f>"1552377998056756"</f>
        <v>1552377998056756</v>
      </c>
      <c r="C1948" t="s">
        <v>40</v>
      </c>
      <c r="D1948">
        <v>6.2454710000000002</v>
      </c>
      <c r="E1948">
        <v>0.45393169999999999</v>
      </c>
      <c r="F1948" t="s">
        <v>66</v>
      </c>
      <c r="G1948">
        <v>-259.83240000000001</v>
      </c>
      <c r="H1948" s="1">
        <v>3.6955079999999998E-6</v>
      </c>
      <c r="I1948">
        <v>280.68959999999998</v>
      </c>
      <c r="J1948">
        <v>-243.21510000000001</v>
      </c>
      <c r="K1948">
        <v>1.109145</v>
      </c>
      <c r="L1948">
        <v>282.65359999999998</v>
      </c>
      <c r="M1948">
        <v>-0.9999825</v>
      </c>
      <c r="N1948">
        <v>0</v>
      </c>
      <c r="O1948">
        <v>-8.4452949999999996E-4</v>
      </c>
      <c r="P1948">
        <v>-0.99961670000000002</v>
      </c>
      <c r="Q1948">
        <v>2.7636810000000001E-2</v>
      </c>
      <c r="R1948">
        <v>1.7015330000000001E-3</v>
      </c>
      <c r="S1948">
        <v>-3.0074920000000001</v>
      </c>
      <c r="T1948">
        <v>-0.19751550000000001</v>
      </c>
      <c r="U1948">
        <v>-0.34976200000000002</v>
      </c>
      <c r="V1948">
        <v>2.5487550000000002E-3</v>
      </c>
      <c r="W1948">
        <v>3.3518060000000002E-2</v>
      </c>
      <c r="X1948">
        <v>0.99943490000000001</v>
      </c>
      <c r="Y1948">
        <v>-0.1144379</v>
      </c>
      <c r="Z1948">
        <v>-3.6859969999999999E-3</v>
      </c>
      <c r="AA1948">
        <v>0.99342359999999996</v>
      </c>
      <c r="AB1948">
        <v>14</v>
      </c>
      <c r="AC1948">
        <v>-16.6173</v>
      </c>
      <c r="AD1948">
        <v>-1.109141304492</v>
      </c>
      <c r="AE1948">
        <v>-1.96399999999999</v>
      </c>
      <c r="AF1948">
        <v>-1.9414352181479</v>
      </c>
      <c r="AG1948">
        <v>-1.109141304492</v>
      </c>
      <c r="AH1948">
        <v>16.546253850259099</v>
      </c>
      <c r="AI1948">
        <v>93.808906241805502</v>
      </c>
      <c r="AJ1948">
        <v>96.692134077349493</v>
      </c>
      <c r="AK1948">
        <v>16.696642824735999</v>
      </c>
      <c r="AL1948">
        <v>88.079196925149205</v>
      </c>
      <c r="AM1948">
        <v>89.853884842385298</v>
      </c>
      <c r="AN1948">
        <v>1.00000003791811</v>
      </c>
    </row>
    <row r="1949" spans="1:40" x14ac:dyDescent="0.25">
      <c r="A1949" t="str">
        <f>"20190312160638091"</f>
        <v>20190312160638091</v>
      </c>
      <c r="B1949" t="str">
        <f>"1552377998077253"</f>
        <v>1552377998077253</v>
      </c>
      <c r="C1949" t="s">
        <v>40</v>
      </c>
      <c r="D1949">
        <v>6.4634280000000004</v>
      </c>
      <c r="E1949">
        <v>0.4550709</v>
      </c>
      <c r="F1949" t="s">
        <v>66</v>
      </c>
      <c r="G1949">
        <v>-265.6721</v>
      </c>
      <c r="H1949" s="1">
        <v>1.4816389999999999E-6</v>
      </c>
      <c r="I1949">
        <v>279.96589999999998</v>
      </c>
      <c r="J1949">
        <v>-243.36089999999999</v>
      </c>
      <c r="K1949">
        <v>1.109132</v>
      </c>
      <c r="L1949">
        <v>282.65350000000001</v>
      </c>
      <c r="M1949">
        <v>-0.99998310000000001</v>
      </c>
      <c r="N1949">
        <v>0</v>
      </c>
      <c r="O1949">
        <v>-7.9458419999999896E-4</v>
      </c>
      <c r="P1949">
        <v>-0.99960800000000005</v>
      </c>
      <c r="Q1949">
        <v>2.7961699999999999E-2</v>
      </c>
      <c r="R1949">
        <v>1.5082069999999999E-3</v>
      </c>
      <c r="S1949">
        <v>-3.0058590000000001</v>
      </c>
      <c r="T1949">
        <v>-0.14845849999999999</v>
      </c>
      <c r="U1949">
        <v>-0.35974119999999998</v>
      </c>
      <c r="V1949">
        <v>2.305601E-3</v>
      </c>
      <c r="W1949">
        <v>3.372108E-2</v>
      </c>
      <c r="X1949">
        <v>0.9994286</v>
      </c>
      <c r="Y1949">
        <v>-0.1179023</v>
      </c>
      <c r="Z1949">
        <v>-2.8603980000000001E-3</v>
      </c>
      <c r="AA1949">
        <v>0.99302109999999999</v>
      </c>
      <c r="AB1949">
        <v>14</v>
      </c>
      <c r="AC1949">
        <v>-22.311199999999999</v>
      </c>
      <c r="AD1949">
        <v>-1.1091305183610001</v>
      </c>
      <c r="AE1949">
        <v>-2.68760000000003</v>
      </c>
      <c r="AF1949">
        <v>-2.6633829446888502</v>
      </c>
      <c r="AG1949">
        <v>-1.1091305183610001</v>
      </c>
      <c r="AH1949">
        <v>22.259107128439101</v>
      </c>
      <c r="AI1949">
        <v>92.832413904182701</v>
      </c>
      <c r="AJ1949">
        <v>96.823208731237003</v>
      </c>
      <c r="AK1949">
        <v>22.445303058148902</v>
      </c>
      <c r="AL1949">
        <v>88.067558038827798</v>
      </c>
      <c r="AM1949">
        <v>89.867823502149307</v>
      </c>
      <c r="AN1949">
        <v>0.99999997676514796</v>
      </c>
    </row>
    <row r="1950" spans="1:40" x14ac:dyDescent="0.25">
      <c r="A1950" t="str">
        <f>"20190312160638116"</f>
        <v>20190312160638116</v>
      </c>
      <c r="B1950" t="str">
        <f>"1552377998106537"</f>
        <v>1552377998106537</v>
      </c>
      <c r="C1950" t="s">
        <v>40</v>
      </c>
      <c r="D1950">
        <v>6.4130839999999996</v>
      </c>
      <c r="E1950">
        <v>0.45519189999999998</v>
      </c>
      <c r="F1950" t="s">
        <v>66</v>
      </c>
      <c r="G1950">
        <v>-262.58330000000001</v>
      </c>
      <c r="H1950" s="1">
        <v>-1.621122E-7</v>
      </c>
      <c r="I1950">
        <v>280.41070000000002</v>
      </c>
      <c r="J1950">
        <v>-243.51349999999999</v>
      </c>
      <c r="K1950">
        <v>1.1091200000000001</v>
      </c>
      <c r="L1950">
        <v>282.65350000000001</v>
      </c>
      <c r="M1950">
        <v>-0.99998370000000003</v>
      </c>
      <c r="N1950">
        <v>0</v>
      </c>
      <c r="O1950">
        <v>-7.4241050000000005E-4</v>
      </c>
      <c r="P1950">
        <v>-0.99962130000000005</v>
      </c>
      <c r="Q1950">
        <v>2.74592E-2</v>
      </c>
      <c r="R1950">
        <v>1.850153E-3</v>
      </c>
      <c r="S1950">
        <v>-3.0065770000000001</v>
      </c>
      <c r="T1950">
        <v>-0.17347989999999999</v>
      </c>
      <c r="U1950">
        <v>-0.35079959999999999</v>
      </c>
      <c r="V1950">
        <v>2.5953399999999998E-3</v>
      </c>
      <c r="W1950">
        <v>3.3106780000000002E-2</v>
      </c>
      <c r="X1950">
        <v>0.99944849999999996</v>
      </c>
      <c r="Y1950">
        <v>-0.11496629999999999</v>
      </c>
      <c r="Z1950">
        <v>-3.2601990000000001E-3</v>
      </c>
      <c r="AA1950">
        <v>0.99336400000000002</v>
      </c>
      <c r="AB1950">
        <v>14</v>
      </c>
      <c r="AC1950">
        <v>-19.069800000000001</v>
      </c>
      <c r="AD1950">
        <v>-1.1091201621122</v>
      </c>
      <c r="AE1950">
        <v>-2.2427999999999799</v>
      </c>
      <c r="AF1950">
        <v>-2.2212302682728402</v>
      </c>
      <c r="AG1950">
        <v>-1.1091201621122</v>
      </c>
      <c r="AH1950">
        <v>19.008038397929099</v>
      </c>
      <c r="AI1950">
        <v>93.3169060402616</v>
      </c>
      <c r="AJ1950">
        <v>96.665207233956806</v>
      </c>
      <c r="AK1950">
        <v>19.169494911860401</v>
      </c>
      <c r="AL1950">
        <v>88.102774640352905</v>
      </c>
      <c r="AM1950">
        <v>89.851216251603603</v>
      </c>
      <c r="AN1950">
        <v>1.0000000494119601</v>
      </c>
    </row>
    <row r="1951" spans="1:40" x14ac:dyDescent="0.25">
      <c r="A1951" t="str">
        <f>"20190312160638137"</f>
        <v>20190312160638137</v>
      </c>
      <c r="B1951" t="str">
        <f>"1552377998127040"</f>
        <v>1552377998127040</v>
      </c>
      <c r="C1951" t="s">
        <v>40</v>
      </c>
      <c r="D1951">
        <v>6.4310960000000001</v>
      </c>
      <c r="E1951">
        <v>0.45602890000000001</v>
      </c>
      <c r="F1951" t="s">
        <v>66</v>
      </c>
      <c r="G1951">
        <v>-262.67559999999997</v>
      </c>
      <c r="H1951" s="1">
        <v>-1.129784E-7</v>
      </c>
      <c r="I1951">
        <v>280.42939999999999</v>
      </c>
      <c r="J1951">
        <v>-243.65729999999999</v>
      </c>
      <c r="K1951">
        <v>1.1091059999999999</v>
      </c>
      <c r="L1951">
        <v>282.65339999999998</v>
      </c>
      <c r="M1951">
        <v>-0.9999844</v>
      </c>
      <c r="N1951">
        <v>0</v>
      </c>
      <c r="O1951">
        <v>-6.9268490000000003E-4</v>
      </c>
      <c r="P1951">
        <v>-0.99961800000000001</v>
      </c>
      <c r="Q1951">
        <v>2.7562940000000001E-2</v>
      </c>
      <c r="R1951">
        <v>2.1443999999999999E-3</v>
      </c>
      <c r="S1951">
        <v>-3.0065770000000001</v>
      </c>
      <c r="T1951">
        <v>-0.17402409999999999</v>
      </c>
      <c r="U1951">
        <v>-0.34896850000000001</v>
      </c>
      <c r="V1951">
        <v>2.8399419999999998E-3</v>
      </c>
      <c r="W1951">
        <v>3.3118219999999997E-2</v>
      </c>
      <c r="X1951">
        <v>0.99944739999999999</v>
      </c>
      <c r="Y1951">
        <v>-0.11441850000000001</v>
      </c>
      <c r="Z1951">
        <v>-3.2575999999999998E-3</v>
      </c>
      <c r="AA1951">
        <v>0.99342730000000001</v>
      </c>
      <c r="AB1951">
        <v>15</v>
      </c>
      <c r="AC1951">
        <v>-19.018299999999901</v>
      </c>
      <c r="AD1951">
        <v>-1.1091061129783999</v>
      </c>
      <c r="AE1951">
        <v>-2.2239999999999802</v>
      </c>
      <c r="AF1951">
        <v>-2.2034328607257598</v>
      </c>
      <c r="AG1951">
        <v>-1.1091061129783999</v>
      </c>
      <c r="AH1951">
        <v>18.956236126222201</v>
      </c>
      <c r="AI1951">
        <v>93.326144296498498</v>
      </c>
      <c r="AJ1951">
        <v>96.630186566807296</v>
      </c>
      <c r="AK1951">
        <v>19.1160697010307</v>
      </c>
      <c r="AL1951">
        <v>88.102118711007805</v>
      </c>
      <c r="AM1951">
        <v>89.837193780554301</v>
      </c>
      <c r="AN1951">
        <v>0.99999999356664504</v>
      </c>
    </row>
    <row r="1952" spans="1:40" x14ac:dyDescent="0.25">
      <c r="A1952" t="str">
        <f>"20190312160638159"</f>
        <v>20190312160638159</v>
      </c>
      <c r="B1952" t="str">
        <f>"1552377998146549"</f>
        <v>1552377998146549</v>
      </c>
      <c r="C1952" t="s">
        <v>40</v>
      </c>
      <c r="D1952">
        <v>6.6034050000000004</v>
      </c>
      <c r="E1952">
        <v>0.45738430000000002</v>
      </c>
      <c r="F1952" t="s">
        <v>66</v>
      </c>
      <c r="G1952">
        <v>-262.62049999999999</v>
      </c>
      <c r="H1952" s="1">
        <v>-1.4230460000000001E-7</v>
      </c>
      <c r="I1952">
        <v>280.50099999999998</v>
      </c>
      <c r="J1952">
        <v>-243.8022</v>
      </c>
      <c r="K1952">
        <v>1.1090930000000001</v>
      </c>
      <c r="L1952">
        <v>282.65339999999998</v>
      </c>
      <c r="M1952">
        <v>-0.99998469999999995</v>
      </c>
      <c r="N1952">
        <v>0</v>
      </c>
      <c r="O1952">
        <v>-6.4287090000000001E-4</v>
      </c>
      <c r="P1952">
        <v>-0.99960979999999999</v>
      </c>
      <c r="Q1952">
        <v>2.785901E-2</v>
      </c>
      <c r="R1952">
        <v>2.0552740000000002E-3</v>
      </c>
      <c r="S1952">
        <v>-3.0067439999999999</v>
      </c>
      <c r="T1952">
        <v>-0.17585709999999999</v>
      </c>
      <c r="U1952">
        <v>-0.34127809999999997</v>
      </c>
      <c r="V1952">
        <v>2.7010200000000002E-3</v>
      </c>
      <c r="W1952">
        <v>3.3333149999999999E-2</v>
      </c>
      <c r="X1952">
        <v>0.99944069999999996</v>
      </c>
      <c r="Y1952">
        <v>-0.11195339999999999</v>
      </c>
      <c r="Z1952">
        <v>-3.223255E-3</v>
      </c>
      <c r="AA1952">
        <v>0.99370829999999999</v>
      </c>
      <c r="AB1952">
        <v>15</v>
      </c>
      <c r="AC1952">
        <v>-18.818299999999901</v>
      </c>
      <c r="AD1952">
        <v>-1.1090931423046</v>
      </c>
      <c r="AE1952">
        <v>-2.1524000000000001</v>
      </c>
      <c r="AF1952">
        <v>-2.1329882409390799</v>
      </c>
      <c r="AG1952">
        <v>-1.1090931423046</v>
      </c>
      <c r="AH1952">
        <v>18.755373146239201</v>
      </c>
      <c r="AI1952">
        <v>93.362601450870201</v>
      </c>
      <c r="AJ1952">
        <v>96.488188209912707</v>
      </c>
      <c r="AK1952">
        <v>18.908827258425099</v>
      </c>
      <c r="AL1952">
        <v>88.089797440795394</v>
      </c>
      <c r="AM1952">
        <v>89.845156726540196</v>
      </c>
      <c r="AN1952">
        <v>1.00000005360722</v>
      </c>
    </row>
    <row r="1953" spans="1:40" x14ac:dyDescent="0.25">
      <c r="A1953" t="str">
        <f>"20190312160638180"</f>
        <v>20190312160638180</v>
      </c>
      <c r="B1953" t="str">
        <f>"1552377998176805"</f>
        <v>1552377998176805</v>
      </c>
      <c r="C1953" t="s">
        <v>40</v>
      </c>
      <c r="D1953">
        <v>6.4431520000000004</v>
      </c>
      <c r="E1953">
        <v>0.4581152</v>
      </c>
      <c r="F1953" t="s">
        <v>66</v>
      </c>
      <c r="G1953">
        <v>-262.97480000000002</v>
      </c>
      <c r="H1953" s="1">
        <v>4.625309E-8</v>
      </c>
      <c r="I1953">
        <v>280.54430000000002</v>
      </c>
      <c r="J1953">
        <v>-243.95009999999999</v>
      </c>
      <c r="K1953">
        <v>1.109086</v>
      </c>
      <c r="L1953">
        <v>282.6533</v>
      </c>
      <c r="M1953">
        <v>-0.99998529999999997</v>
      </c>
      <c r="N1953">
        <v>0</v>
      </c>
      <c r="O1953">
        <v>-5.924875E-4</v>
      </c>
      <c r="P1953">
        <v>-0.99961690000000003</v>
      </c>
      <c r="Q1953">
        <v>2.7626149999999999E-2</v>
      </c>
      <c r="R1953">
        <v>1.838274E-3</v>
      </c>
      <c r="S1953">
        <v>-3.0066989999999998</v>
      </c>
      <c r="T1953">
        <v>-0.17393140000000001</v>
      </c>
      <c r="U1953">
        <v>-0.33074949999999997</v>
      </c>
      <c r="V1953">
        <v>2.433522E-3</v>
      </c>
      <c r="W1953">
        <v>3.3027670000000002E-2</v>
      </c>
      <c r="X1953">
        <v>0.99945150000000005</v>
      </c>
      <c r="Y1953">
        <v>-0.1085773</v>
      </c>
      <c r="Z1953">
        <v>-3.0943089999999999E-3</v>
      </c>
      <c r="AA1953">
        <v>0.99408319999999994</v>
      </c>
      <c r="AB1953">
        <v>15</v>
      </c>
      <c r="AC1953">
        <v>-19.024699999999999</v>
      </c>
      <c r="AD1953">
        <v>-1.10908595374691</v>
      </c>
      <c r="AE1953">
        <v>-2.10899999999998</v>
      </c>
      <c r="AF1953">
        <v>-2.0907084321831602</v>
      </c>
      <c r="AG1953">
        <v>-1.10908595374691</v>
      </c>
      <c r="AH1953">
        <v>18.962284144331601</v>
      </c>
      <c r="AI1953">
        <v>93.327245128632896</v>
      </c>
      <c r="AJ1953">
        <v>96.291798901051905</v>
      </c>
      <c r="AK1953">
        <v>19.109404840851798</v>
      </c>
      <c r="AL1953">
        <v>88.1073097430383</v>
      </c>
      <c r="AM1953">
        <v>89.860493216115202</v>
      </c>
      <c r="AN1953">
        <v>1.0000000249336001</v>
      </c>
    </row>
    <row r="1954" spans="1:40" x14ac:dyDescent="0.25">
      <c r="A1954" t="str">
        <f>"20190312160638204"</f>
        <v>20190312160638204</v>
      </c>
      <c r="B1954" t="str">
        <f>"1552377998197302"</f>
        <v>1552377998197302</v>
      </c>
      <c r="C1954" t="s">
        <v>40</v>
      </c>
      <c r="D1954">
        <v>6.7346869999999903</v>
      </c>
      <c r="E1954">
        <v>0.45815440000000002</v>
      </c>
      <c r="F1954" t="s">
        <v>66</v>
      </c>
      <c r="G1954">
        <v>-262.34789999999998</v>
      </c>
      <c r="H1954" s="1">
        <v>-2.873485E-7</v>
      </c>
      <c r="I1954">
        <v>280.66140000000001</v>
      </c>
      <c r="J1954">
        <v>-244.10730000000001</v>
      </c>
      <c r="K1954">
        <v>1.109078</v>
      </c>
      <c r="L1954">
        <v>282.6533</v>
      </c>
      <c r="M1954">
        <v>-0.99998569999999998</v>
      </c>
      <c r="N1954">
        <v>0</v>
      </c>
      <c r="O1954">
        <v>-5.3842669999999997E-4</v>
      </c>
      <c r="P1954">
        <v>-0.99961880000000003</v>
      </c>
      <c r="Q1954">
        <v>2.7547930000000002E-2</v>
      </c>
      <c r="R1954">
        <v>1.885882E-3</v>
      </c>
      <c r="S1954">
        <v>-3.0067599999999999</v>
      </c>
      <c r="T1954">
        <v>-0.18125810000000001</v>
      </c>
      <c r="U1954">
        <v>-0.32553100000000001</v>
      </c>
      <c r="V1954">
        <v>2.4271430000000001E-3</v>
      </c>
      <c r="W1954">
        <v>3.2883259999999997E-2</v>
      </c>
      <c r="X1954">
        <v>0.99945620000000002</v>
      </c>
      <c r="Y1954">
        <v>-0.1069112</v>
      </c>
      <c r="Z1954">
        <v>-3.1778800000000001E-3</v>
      </c>
      <c r="AA1954">
        <v>0.99426349999999997</v>
      </c>
      <c r="AB1954">
        <v>15</v>
      </c>
      <c r="AC1954">
        <v>-18.240599999999901</v>
      </c>
      <c r="AD1954">
        <v>-1.1090782873484999</v>
      </c>
      <c r="AE1954">
        <v>-1.99189999999998</v>
      </c>
      <c r="AF1954">
        <v>-1.9748633697884299</v>
      </c>
      <c r="AG1954">
        <v>-1.1090782873484999</v>
      </c>
      <c r="AH1954">
        <v>18.175268241129601</v>
      </c>
      <c r="AI1954">
        <v>93.471549932912595</v>
      </c>
      <c r="AJ1954">
        <v>96.201238110588903</v>
      </c>
      <c r="AK1954">
        <v>18.315854214691001</v>
      </c>
      <c r="AL1954">
        <v>88.115588177638102</v>
      </c>
      <c r="AM1954">
        <v>89.860859558627993</v>
      </c>
      <c r="AN1954">
        <v>0.99999994776490297</v>
      </c>
    </row>
    <row r="1955" spans="1:40" x14ac:dyDescent="0.25">
      <c r="A1955" t="str">
        <f>"20190312160638227"</f>
        <v>20190312160638227</v>
      </c>
      <c r="B1955" t="str">
        <f>"1552377998216821"</f>
        <v>1552377998216821</v>
      </c>
      <c r="C1955" t="s">
        <v>40</v>
      </c>
      <c r="D1955">
        <v>6.4502009999999999</v>
      </c>
      <c r="E1955">
        <v>0.45815489999999998</v>
      </c>
      <c r="F1955" t="s">
        <v>66</v>
      </c>
      <c r="G1955">
        <v>-262.89879999999999</v>
      </c>
      <c r="H1955" s="1">
        <v>5.8051909999999903E-9</v>
      </c>
      <c r="I1955">
        <v>280.62310000000002</v>
      </c>
      <c r="J1955">
        <v>-244.26759999999999</v>
      </c>
      <c r="K1955">
        <v>1.1090719999999901</v>
      </c>
      <c r="L1955">
        <v>282.6533</v>
      </c>
      <c r="M1955">
        <v>-0.99998589999999998</v>
      </c>
      <c r="N1955">
        <v>0</v>
      </c>
      <c r="O1955">
        <v>-4.8319820000000002E-4</v>
      </c>
      <c r="P1955">
        <v>-0.99962019999999996</v>
      </c>
      <c r="Q1955">
        <v>2.74836E-2</v>
      </c>
      <c r="R1955">
        <v>2.0753770000000002E-3</v>
      </c>
      <c r="S1955">
        <v>-3.0066380000000001</v>
      </c>
      <c r="T1955">
        <v>-0.1774521</v>
      </c>
      <c r="U1955">
        <v>-0.32482909999999998</v>
      </c>
      <c r="V1955">
        <v>2.5615339999999999E-3</v>
      </c>
      <c r="W1955">
        <v>3.2760310000000001E-2</v>
      </c>
      <c r="X1955">
        <v>0.99946000000000002</v>
      </c>
      <c r="Y1955">
        <v>-0.1067491</v>
      </c>
      <c r="Z1955">
        <v>-3.109915E-3</v>
      </c>
      <c r="AA1955">
        <v>0.99428110000000003</v>
      </c>
      <c r="AB1955">
        <v>15</v>
      </c>
      <c r="AC1955">
        <v>-18.6312</v>
      </c>
      <c r="AD1955">
        <v>-1.1090719941948</v>
      </c>
      <c r="AE1955">
        <v>-2.0301999999999798</v>
      </c>
      <c r="AF1955">
        <v>-2.0141436208912999</v>
      </c>
      <c r="AG1955">
        <v>-1.1090719941948</v>
      </c>
      <c r="AH1955">
        <v>18.5671573529056</v>
      </c>
      <c r="AI1955">
        <v>93.398496426179193</v>
      </c>
      <c r="AJ1955">
        <v>96.191170031291406</v>
      </c>
      <c r="AK1955">
        <v>18.7089857389822</v>
      </c>
      <c r="AL1955">
        <v>88.122636675111806</v>
      </c>
      <c r="AM1955">
        <v>89.853155938270604</v>
      </c>
      <c r="AN1955">
        <v>1.00000004548386</v>
      </c>
    </row>
    <row r="1956" spans="1:40" x14ac:dyDescent="0.25">
      <c r="A1956" t="str">
        <f>"20190312160638250"</f>
        <v>20190312160638250</v>
      </c>
      <c r="B1956" t="str">
        <f>"1552377998237317"</f>
        <v>1552377998237317</v>
      </c>
      <c r="C1956" t="s">
        <v>40</v>
      </c>
      <c r="D1956">
        <v>6.3966629999999904</v>
      </c>
      <c r="E1956">
        <v>0.45807769999999998</v>
      </c>
      <c r="F1956" t="s">
        <v>66</v>
      </c>
      <c r="G1956">
        <v>-263.49860000000001</v>
      </c>
      <c r="H1956" s="1">
        <v>3.2501200000000003E-7</v>
      </c>
      <c r="I1956">
        <v>280.57769999999999</v>
      </c>
      <c r="J1956">
        <v>-244.4213</v>
      </c>
      <c r="K1956">
        <v>1.1090709999999999</v>
      </c>
      <c r="L1956">
        <v>282.6533</v>
      </c>
      <c r="M1956">
        <v>-0.99998640000000005</v>
      </c>
      <c r="N1956">
        <v>0</v>
      </c>
      <c r="O1956">
        <v>-4.3062029999999999E-4</v>
      </c>
      <c r="P1956">
        <v>-0.99960669999999996</v>
      </c>
      <c r="Q1956">
        <v>2.7975420000000001E-2</v>
      </c>
      <c r="R1956">
        <v>2.1021479999999999E-3</v>
      </c>
      <c r="S1956">
        <v>-3.0065770000000001</v>
      </c>
      <c r="T1956">
        <v>-0.17339179999999901</v>
      </c>
      <c r="U1956">
        <v>-0.32449339999999999</v>
      </c>
      <c r="V1956">
        <v>2.5358220000000001E-3</v>
      </c>
      <c r="W1956">
        <v>3.3203999999999997E-2</v>
      </c>
      <c r="X1956">
        <v>0.99944540000000004</v>
      </c>
      <c r="Y1956">
        <v>-0.10670200000000001</v>
      </c>
      <c r="Z1956">
        <v>-3.0406230000000001E-3</v>
      </c>
      <c r="AA1956">
        <v>0.99428640000000001</v>
      </c>
      <c r="AB1956">
        <v>15</v>
      </c>
      <c r="AC1956">
        <v>-19.077300000000001</v>
      </c>
      <c r="AD1956">
        <v>-1.1090706749879999</v>
      </c>
      <c r="AE1956">
        <v>-2.0756000000000001</v>
      </c>
      <c r="AF1956">
        <v>-2.06050211165828</v>
      </c>
      <c r="AG1956">
        <v>-1.1090706749879999</v>
      </c>
      <c r="AH1956">
        <v>19.014678994543399</v>
      </c>
      <c r="AI1956">
        <v>93.318728637608203</v>
      </c>
      <c r="AJ1956">
        <v>96.184653259295402</v>
      </c>
      <c r="AK1956">
        <v>19.158124229156599</v>
      </c>
      <c r="AL1956">
        <v>88.097201228190102</v>
      </c>
      <c r="AM1956">
        <v>89.854627790148498</v>
      </c>
      <c r="AN1956">
        <v>1.0000000217951801</v>
      </c>
    </row>
    <row r="1957" spans="1:40" x14ac:dyDescent="0.25">
      <c r="A1957" t="str">
        <f>"20190312160638271"</f>
        <v>20190312160638271</v>
      </c>
      <c r="B1957" t="str">
        <f>"1552377998266597"</f>
        <v>1552377998266597</v>
      </c>
      <c r="C1957" t="s">
        <v>40</v>
      </c>
      <c r="D1957">
        <v>6.5525469999999997</v>
      </c>
      <c r="E1957">
        <v>0.45820080000000002</v>
      </c>
      <c r="F1957" t="s">
        <v>66</v>
      </c>
      <c r="G1957">
        <v>-264.61489999999998</v>
      </c>
      <c r="H1957" s="1">
        <v>9.1904770000000004E-7</v>
      </c>
      <c r="I1957">
        <v>280.47089999999997</v>
      </c>
      <c r="J1957">
        <v>-244.5694</v>
      </c>
      <c r="K1957">
        <v>1.1090719999999901</v>
      </c>
      <c r="L1957">
        <v>282.65320000000003</v>
      </c>
      <c r="M1957">
        <v>-0.99998659999999995</v>
      </c>
      <c r="N1957">
        <v>0</v>
      </c>
      <c r="O1957">
        <v>-3.7985379999999998E-4</v>
      </c>
      <c r="P1957">
        <v>-0.99960910000000003</v>
      </c>
      <c r="Q1957">
        <v>2.789295E-2</v>
      </c>
      <c r="R1957">
        <v>2.0722309999999999E-3</v>
      </c>
      <c r="S1957">
        <v>-3.0064850000000001</v>
      </c>
      <c r="T1957">
        <v>-0.16512180000000001</v>
      </c>
      <c r="U1957">
        <v>-0.32492070000000001</v>
      </c>
      <c r="V1957">
        <v>2.4552200000000001E-3</v>
      </c>
      <c r="W1957">
        <v>3.3082E-2</v>
      </c>
      <c r="X1957">
        <v>0.99944960000000005</v>
      </c>
      <c r="Y1957">
        <v>-0.1069112</v>
      </c>
      <c r="Z1957">
        <v>-2.9043879999999999E-3</v>
      </c>
      <c r="AA1957">
        <v>0.99426429999999999</v>
      </c>
      <c r="AB1957">
        <v>15</v>
      </c>
      <c r="AC1957">
        <v>-20.045499999999901</v>
      </c>
      <c r="AD1957">
        <v>-1.1090710809522999</v>
      </c>
      <c r="AE1957">
        <v>-2.1823000000000499</v>
      </c>
      <c r="AF1957">
        <v>-2.1681261573162298</v>
      </c>
      <c r="AG1957">
        <v>-1.1090710809522999</v>
      </c>
      <c r="AH1957">
        <v>19.985864354937799</v>
      </c>
      <c r="AI1957">
        <v>93.157755195449695</v>
      </c>
      <c r="AJ1957">
        <v>96.191404789879201</v>
      </c>
      <c r="AK1957">
        <v>20.133692748987201</v>
      </c>
      <c r="AL1957">
        <v>88.104195066501603</v>
      </c>
      <c r="AM1957">
        <v>89.859249069887696</v>
      </c>
      <c r="AN1957">
        <v>0.99999997488470305</v>
      </c>
    </row>
    <row r="1958" spans="1:40" x14ac:dyDescent="0.25">
      <c r="A1958" t="str">
        <f>"20190312160638293"</f>
        <v>20190312160638293</v>
      </c>
      <c r="B1958" t="str">
        <f>"1552377998287094"</f>
        <v>1552377998287094</v>
      </c>
      <c r="C1958" t="s">
        <v>40</v>
      </c>
      <c r="D1958">
        <v>6.3470389999999997</v>
      </c>
      <c r="E1958">
        <v>0.45833770000000001</v>
      </c>
      <c r="F1958" t="s">
        <v>66</v>
      </c>
      <c r="G1958">
        <v>-265.63069999999999</v>
      </c>
      <c r="H1958" s="1">
        <v>1.4596040000000001E-6</v>
      </c>
      <c r="I1958">
        <v>280.38330000000002</v>
      </c>
      <c r="J1958">
        <v>-244.72659999999999</v>
      </c>
      <c r="K1958">
        <v>1.1090660000000001</v>
      </c>
      <c r="L1958">
        <v>282.6533</v>
      </c>
      <c r="M1958">
        <v>-0.99998679999999995</v>
      </c>
      <c r="N1958">
        <v>0</v>
      </c>
      <c r="O1958">
        <v>-3.2599080000000002E-4</v>
      </c>
      <c r="P1958">
        <v>-0.99958990000000003</v>
      </c>
      <c r="Q1958">
        <v>2.859633E-2</v>
      </c>
      <c r="R1958">
        <v>1.680923E-3</v>
      </c>
      <c r="S1958">
        <v>-3.0062869999999999</v>
      </c>
      <c r="T1958">
        <v>-0.15830849999999999</v>
      </c>
      <c r="U1958">
        <v>-0.32400509999999999</v>
      </c>
      <c r="V1958">
        <v>2.010197E-3</v>
      </c>
      <c r="W1958">
        <v>3.374634E-2</v>
      </c>
      <c r="X1958">
        <v>0.99942839999999999</v>
      </c>
      <c r="Y1958">
        <v>-0.1066855</v>
      </c>
      <c r="Z1958">
        <v>-2.7818470000000001E-3</v>
      </c>
      <c r="AA1958">
        <v>0.99428890000000003</v>
      </c>
      <c r="AB1958">
        <v>15</v>
      </c>
      <c r="AC1958">
        <v>-20.9041</v>
      </c>
      <c r="AD1958">
        <v>-1.10906454039599</v>
      </c>
      <c r="AE1958">
        <v>-2.26999999999998</v>
      </c>
      <c r="AF1958">
        <v>-2.2569064982397</v>
      </c>
      <c r="AG1958">
        <v>-1.10906454039599</v>
      </c>
      <c r="AH1958">
        <v>20.846842673345801</v>
      </c>
      <c r="AI1958">
        <v>93.0276411158017</v>
      </c>
      <c r="AJ1958">
        <v>96.178851373180606</v>
      </c>
      <c r="AK1958">
        <v>20.997964199983599</v>
      </c>
      <c r="AL1958">
        <v>88.066109951803597</v>
      </c>
      <c r="AM1958">
        <v>89.884758479171595</v>
      </c>
      <c r="AN1958">
        <v>0.99999999154096697</v>
      </c>
    </row>
    <row r="1959" spans="1:40" x14ac:dyDescent="0.25">
      <c r="A1959" t="str">
        <f>"20190312160638316"</f>
        <v>20190312160638316</v>
      </c>
      <c r="B1959" t="str">
        <f>"1552377998306613"</f>
        <v>1552377998306613</v>
      </c>
      <c r="C1959" t="s">
        <v>40</v>
      </c>
      <c r="D1959">
        <v>6.4760679999999997</v>
      </c>
      <c r="E1959">
        <v>0.45868779999999998</v>
      </c>
      <c r="F1959" t="s">
        <v>66</v>
      </c>
      <c r="G1959">
        <v>-266.25110000000001</v>
      </c>
      <c r="H1959" s="1">
        <v>1.78974E-6</v>
      </c>
      <c r="I1959">
        <v>280.33249999999998</v>
      </c>
      <c r="J1959">
        <v>-244.88570000000001</v>
      </c>
      <c r="K1959">
        <v>1.1090610000000001</v>
      </c>
      <c r="L1959">
        <v>282.6533</v>
      </c>
      <c r="M1959">
        <v>-0.99998690000000001</v>
      </c>
      <c r="N1959">
        <v>0</v>
      </c>
      <c r="O1959">
        <v>-2.7165289999999998E-4</v>
      </c>
      <c r="P1959">
        <v>-0.99957669999999998</v>
      </c>
      <c r="Q1959">
        <v>2.9064510000000002E-2</v>
      </c>
      <c r="R1959">
        <v>1.321341E-3</v>
      </c>
      <c r="S1959">
        <v>-3.0062259999999998</v>
      </c>
      <c r="T1959">
        <v>-0.15489790000000001</v>
      </c>
      <c r="U1959">
        <v>-0.3241272</v>
      </c>
      <c r="V1959">
        <v>1.596084E-3</v>
      </c>
      <c r="W1959">
        <v>3.4177150000000003E-2</v>
      </c>
      <c r="X1959">
        <v>0.99941449999999998</v>
      </c>
      <c r="Y1959">
        <v>-0.1067876</v>
      </c>
      <c r="Z1959">
        <v>-2.7274550000000002E-3</v>
      </c>
      <c r="AA1959">
        <v>0.99427810000000005</v>
      </c>
      <c r="AB1959">
        <v>16</v>
      </c>
      <c r="AC1959">
        <v>-21.365399999999902</v>
      </c>
      <c r="AD1959">
        <v>-1.1090592102600001</v>
      </c>
      <c r="AE1959">
        <v>-2.3208000000000202</v>
      </c>
      <c r="AF1959">
        <v>-2.30884709577973</v>
      </c>
      <c r="AG1959">
        <v>-1.1090592102600001</v>
      </c>
      <c r="AH1959">
        <v>21.309280196902002</v>
      </c>
      <c r="AI1959">
        <v>92.962013805596598</v>
      </c>
      <c r="AJ1959">
        <v>96.183838369274</v>
      </c>
      <c r="AK1959">
        <v>21.462670145013</v>
      </c>
      <c r="AL1959">
        <v>88.041412094377606</v>
      </c>
      <c r="AM1959">
        <v>89.908497626157498</v>
      </c>
      <c r="AN1959">
        <v>0.99999998393825296</v>
      </c>
    </row>
    <row r="1960" spans="1:40" x14ac:dyDescent="0.25">
      <c r="A1960" t="str">
        <f>"20190312160638337"</f>
        <v>20190312160638337</v>
      </c>
      <c r="B1960" t="str">
        <f>"1552377998327113"</f>
        <v>1552377998327113</v>
      </c>
      <c r="C1960" t="s">
        <v>40</v>
      </c>
      <c r="D1960">
        <v>6.3771800000000001</v>
      </c>
      <c r="E1960">
        <v>0.45884540000000001</v>
      </c>
      <c r="F1960" t="s">
        <v>66</v>
      </c>
      <c r="G1960">
        <v>-266.49079999999998</v>
      </c>
      <c r="H1960" s="1">
        <v>1.9172879999999999E-6</v>
      </c>
      <c r="I1960">
        <v>280.33429999999998</v>
      </c>
      <c r="J1960">
        <v>-245.0369</v>
      </c>
      <c r="K1960">
        <v>1.109056</v>
      </c>
      <c r="L1960">
        <v>282.6533</v>
      </c>
      <c r="M1960">
        <v>-0.99998719999999996</v>
      </c>
      <c r="N1960">
        <v>0</v>
      </c>
      <c r="O1960">
        <v>-2.1994770000000001E-4</v>
      </c>
      <c r="P1960">
        <v>-0.99957130000000005</v>
      </c>
      <c r="Q1960">
        <v>2.924237E-2</v>
      </c>
      <c r="R1960">
        <v>1.5721939999999901E-3</v>
      </c>
      <c r="S1960">
        <v>-3.006195</v>
      </c>
      <c r="T1960">
        <v>-0.1543176</v>
      </c>
      <c r="U1960">
        <v>-0.32266240000000002</v>
      </c>
      <c r="V1960">
        <v>1.795505E-3</v>
      </c>
      <c r="W1960">
        <v>3.4321070000000002E-2</v>
      </c>
      <c r="X1960">
        <v>0.99940929999999994</v>
      </c>
      <c r="Y1960">
        <v>-0.1063627</v>
      </c>
      <c r="Z1960">
        <v>-2.7091239999999998E-3</v>
      </c>
      <c r="AA1960">
        <v>0.99432370000000003</v>
      </c>
      <c r="AB1960">
        <v>16</v>
      </c>
      <c r="AC1960">
        <v>-21.453899999999901</v>
      </c>
      <c r="AD1960">
        <v>-1.1090540827119999</v>
      </c>
      <c r="AE1960">
        <v>-2.3190000000000102</v>
      </c>
      <c r="AF1960">
        <v>-2.3081841147144102</v>
      </c>
      <c r="AG1960">
        <v>-1.1090540827119999</v>
      </c>
      <c r="AH1960">
        <v>21.397887354965199</v>
      </c>
      <c r="AI1960">
        <v>92.949907335008604</v>
      </c>
      <c r="AJ1960">
        <v>96.156673900563504</v>
      </c>
      <c r="AK1960">
        <v>21.550575354769101</v>
      </c>
      <c r="AL1960">
        <v>88.033161383556106</v>
      </c>
      <c r="AM1960">
        <v>89.8970644480559</v>
      </c>
      <c r="AN1960">
        <v>1.00000005430531</v>
      </c>
    </row>
    <row r="1961" spans="1:40" x14ac:dyDescent="0.25">
      <c r="A1961" t="str">
        <f>"20190312160638360"</f>
        <v>20190312160638360</v>
      </c>
      <c r="B1961" t="str">
        <f>"1552377998346629"</f>
        <v>1552377998346629</v>
      </c>
      <c r="C1961" t="s">
        <v>40</v>
      </c>
      <c r="D1961">
        <v>6.3638070000000004</v>
      </c>
      <c r="E1961">
        <v>0.45905770000000001</v>
      </c>
      <c r="F1961" t="s">
        <v>66</v>
      </c>
      <c r="G1961">
        <v>-266.2715</v>
      </c>
      <c r="H1961" s="1">
        <v>1.8005909999999999E-6</v>
      </c>
      <c r="I1961">
        <v>280.38979999999998</v>
      </c>
      <c r="J1961">
        <v>-245.19630000000001</v>
      </c>
      <c r="K1961">
        <v>1.1090500000000001</v>
      </c>
      <c r="L1961">
        <v>282.6533</v>
      </c>
      <c r="M1961">
        <v>-0.99998719999999996</v>
      </c>
      <c r="N1961">
        <v>0</v>
      </c>
      <c r="O1961">
        <v>-1.6538499999999999E-4</v>
      </c>
      <c r="P1961">
        <v>-0.99956730000000005</v>
      </c>
      <c r="Q1961">
        <v>2.9376630000000001E-2</v>
      </c>
      <c r="R1961">
        <v>1.4286730000000001E-3</v>
      </c>
      <c r="S1961">
        <v>-3.0063930000000001</v>
      </c>
      <c r="T1961">
        <v>-0.15701950000000001</v>
      </c>
      <c r="U1961">
        <v>-0.3204651</v>
      </c>
      <c r="V1961">
        <v>1.597291E-3</v>
      </c>
      <c r="W1961">
        <v>3.4422099999999997E-2</v>
      </c>
      <c r="X1961">
        <v>0.99940609999999996</v>
      </c>
      <c r="Y1961">
        <v>-0.1056874</v>
      </c>
      <c r="Z1961">
        <v>-2.7416860000000001E-3</v>
      </c>
      <c r="AA1961">
        <v>0.99439560000000005</v>
      </c>
      <c r="AB1961">
        <v>16</v>
      </c>
      <c r="AC1961">
        <v>-21.075199999999899</v>
      </c>
      <c r="AD1961">
        <v>-1.109048199409</v>
      </c>
      <c r="AE1961">
        <v>-2.2635000000000201</v>
      </c>
      <c r="AF1961">
        <v>-2.2538441859585698</v>
      </c>
      <c r="AG1961">
        <v>-1.109048199409</v>
      </c>
      <c r="AH1961">
        <v>21.018034230322399</v>
      </c>
      <c r="AI1961">
        <v>93.003310241686805</v>
      </c>
      <c r="AJ1961">
        <v>96.120656387510607</v>
      </c>
      <c r="AK1961">
        <v>21.1676064879852</v>
      </c>
      <c r="AL1961">
        <v>88.027369246949505</v>
      </c>
      <c r="AM1961">
        <v>89.908427660156704</v>
      </c>
      <c r="AN1961">
        <v>0.99999999251207905</v>
      </c>
    </row>
    <row r="1962" spans="1:40" x14ac:dyDescent="0.25">
      <c r="A1962" t="str">
        <f>"20190312160638382"</f>
        <v>20190312160638382</v>
      </c>
      <c r="B1962" t="str">
        <f>"1552377998376886"</f>
        <v>1552377998376886</v>
      </c>
      <c r="C1962" t="s">
        <v>40</v>
      </c>
      <c r="D1962">
        <v>6.3098919999999996</v>
      </c>
      <c r="E1962">
        <v>0.45930729999999997</v>
      </c>
      <c r="F1962" t="s">
        <v>66</v>
      </c>
      <c r="G1962">
        <v>-265.92630000000003</v>
      </c>
      <c r="H1962" s="1">
        <v>1.6168799999999901E-6</v>
      </c>
      <c r="I1962">
        <v>280.45229999999998</v>
      </c>
      <c r="J1962">
        <v>-245.36019999999999</v>
      </c>
      <c r="K1962">
        <v>1.1090370000000001</v>
      </c>
      <c r="L1962">
        <v>282.65339999999998</v>
      </c>
      <c r="M1962">
        <v>-0.99998750000000003</v>
      </c>
      <c r="N1962">
        <v>0</v>
      </c>
      <c r="O1962">
        <v>-1.0939210000000001E-4</v>
      </c>
      <c r="P1962">
        <v>-0.99957320000000005</v>
      </c>
      <c r="Q1962">
        <v>2.9160930000000002E-2</v>
      </c>
      <c r="R1962">
        <v>1.945343E-3</v>
      </c>
      <c r="S1962">
        <v>-3.0064850000000001</v>
      </c>
      <c r="T1962">
        <v>-0.16084609999999999</v>
      </c>
      <c r="U1962">
        <v>-0.31921389999999999</v>
      </c>
      <c r="V1962">
        <v>2.0583469999999999E-3</v>
      </c>
      <c r="W1962">
        <v>3.4172859999999999E-2</v>
      </c>
      <c r="X1962">
        <v>0.99941380000000002</v>
      </c>
      <c r="Y1962">
        <v>-0.1053241</v>
      </c>
      <c r="Z1962">
        <v>-2.8016859999999998E-3</v>
      </c>
      <c r="AA1962">
        <v>0.99443400000000004</v>
      </c>
      <c r="AB1962">
        <v>16</v>
      </c>
      <c r="AC1962">
        <v>-20.566099999999999</v>
      </c>
      <c r="AD1962">
        <v>-1.1090353831199999</v>
      </c>
      <c r="AE1962">
        <v>-2.2010999999999901</v>
      </c>
      <c r="AF1962">
        <v>-2.19254657890622</v>
      </c>
      <c r="AG1962">
        <v>-1.1090353831199999</v>
      </c>
      <c r="AH1962">
        <v>20.507381571130701</v>
      </c>
      <c r="AI1962">
        <v>93.078021557999705</v>
      </c>
      <c r="AJ1962">
        <v>96.1025958340404</v>
      </c>
      <c r="AK1962">
        <v>20.6540533282365</v>
      </c>
      <c r="AL1962">
        <v>88.041658033909798</v>
      </c>
      <c r="AM1962">
        <v>89.8819963971644</v>
      </c>
      <c r="AN1962">
        <v>0.99999998239169496</v>
      </c>
    </row>
    <row r="1963" spans="1:40" x14ac:dyDescent="0.25">
      <c r="A1963" t="str">
        <f>"20190312160638406"</f>
        <v>20190312160638406</v>
      </c>
      <c r="B1963" t="str">
        <f>"1552377998397384"</f>
        <v>1552377998397384</v>
      </c>
      <c r="C1963" t="s">
        <v>40</v>
      </c>
      <c r="D1963">
        <v>6.5024369999999996</v>
      </c>
      <c r="E1963">
        <v>0.4593216</v>
      </c>
      <c r="F1963" t="s">
        <v>66</v>
      </c>
      <c r="G1963">
        <v>-265.45679999999999</v>
      </c>
      <c r="H1963" s="1">
        <v>1.3670560000000001E-6</v>
      </c>
      <c r="I1963">
        <v>280.54570000000001</v>
      </c>
      <c r="J1963">
        <v>-245.53129999999999</v>
      </c>
      <c r="K1963">
        <v>1.1090260000000001</v>
      </c>
      <c r="L1963">
        <v>282.65339999999998</v>
      </c>
      <c r="M1963">
        <v>-0.99998759999999998</v>
      </c>
      <c r="N1963">
        <v>0</v>
      </c>
      <c r="O1963" s="1">
        <v>-5.0535680000000003E-5</v>
      </c>
      <c r="P1963">
        <v>-0.99957379999999996</v>
      </c>
      <c r="Q1963">
        <v>2.91305E-2</v>
      </c>
      <c r="R1963">
        <v>1.9407039999999999E-3</v>
      </c>
      <c r="S1963">
        <v>-3.0067599999999999</v>
      </c>
      <c r="T1963">
        <v>-0.16592850000000001</v>
      </c>
      <c r="U1963">
        <v>-0.31533810000000001</v>
      </c>
      <c r="V1963">
        <v>1.9948000000000001E-3</v>
      </c>
      <c r="W1963">
        <v>3.4107579999999998E-2</v>
      </c>
      <c r="X1963">
        <v>0.99941619999999998</v>
      </c>
      <c r="Y1963">
        <v>-0.1040975</v>
      </c>
      <c r="Z1963">
        <v>-2.859524E-3</v>
      </c>
      <c r="AA1963">
        <v>0.99456299999999997</v>
      </c>
      <c r="AB1963">
        <v>16</v>
      </c>
      <c r="AC1963">
        <v>-19.9255</v>
      </c>
      <c r="AD1963">
        <v>-1.1090246329440001</v>
      </c>
      <c r="AE1963">
        <v>-2.1076999999999599</v>
      </c>
      <c r="AF1963">
        <v>-2.10025869183624</v>
      </c>
      <c r="AG1963">
        <v>-1.1090246329440001</v>
      </c>
      <c r="AH1963">
        <v>19.864748922997599</v>
      </c>
      <c r="AI1963">
        <v>93.177760967699797</v>
      </c>
      <c r="AJ1963">
        <v>96.035342069701002</v>
      </c>
      <c r="AK1963">
        <v>20.0062308289904</v>
      </c>
      <c r="AL1963">
        <v>88.0454005645569</v>
      </c>
      <c r="AM1963">
        <v>89.885639767300304</v>
      </c>
      <c r="AN1963">
        <v>1.0000000235314599</v>
      </c>
    </row>
    <row r="1964" spans="1:40" x14ac:dyDescent="0.25">
      <c r="A1964" t="str">
        <f>"20190312160638428"</f>
        <v>20190312160638428</v>
      </c>
      <c r="B1964" t="str">
        <f>"1552377998416902"</f>
        <v>1552377998416902</v>
      </c>
      <c r="C1964" t="s">
        <v>40</v>
      </c>
      <c r="D1964">
        <v>6.3121349999999996</v>
      </c>
      <c r="E1964">
        <v>0.45930840000000001</v>
      </c>
      <c r="F1964" t="s">
        <v>66</v>
      </c>
      <c r="G1964">
        <v>-265.9744</v>
      </c>
      <c r="H1964" s="1">
        <v>1.6425040000000001E-6</v>
      </c>
      <c r="I1964">
        <v>280.5104</v>
      </c>
      <c r="J1964">
        <v>-245.6979</v>
      </c>
      <c r="K1964">
        <v>1.1090199999999999</v>
      </c>
      <c r="L1964">
        <v>282.65339999999998</v>
      </c>
      <c r="M1964">
        <v>-0.99998779999999998</v>
      </c>
      <c r="N1964">
        <v>0</v>
      </c>
      <c r="O1964" s="1">
        <v>6.4706030000000002E-6</v>
      </c>
      <c r="P1964">
        <v>-0.99956690000000004</v>
      </c>
      <c r="Q1964">
        <v>2.9379160000000001E-2</v>
      </c>
      <c r="R1964">
        <v>1.718266E-3</v>
      </c>
      <c r="S1964">
        <v>-3.006653</v>
      </c>
      <c r="T1964">
        <v>-0.1631087</v>
      </c>
      <c r="U1964">
        <v>-0.31518550000000001</v>
      </c>
      <c r="V1964">
        <v>1.7153209999999999E-3</v>
      </c>
      <c r="W1964">
        <v>3.4322499999999999E-2</v>
      </c>
      <c r="X1964">
        <v>0.99940929999999994</v>
      </c>
      <c r="Y1964">
        <v>-0.1041131</v>
      </c>
      <c r="Z1964">
        <v>-2.8146109999999998E-3</v>
      </c>
      <c r="AA1964">
        <v>0.99456149999999999</v>
      </c>
      <c r="AB1964">
        <v>16</v>
      </c>
      <c r="AC1964">
        <v>-20.276499999999999</v>
      </c>
      <c r="AD1964">
        <v>-1.109018357496</v>
      </c>
      <c r="AE1964">
        <v>-2.14299999999997</v>
      </c>
      <c r="AF1964">
        <v>-2.1368095146858299</v>
      </c>
      <c r="AG1964">
        <v>-1.109018357496</v>
      </c>
      <c r="AH1964">
        <v>20.216675692949401</v>
      </c>
      <c r="AI1964">
        <v>93.122546708962801</v>
      </c>
      <c r="AJ1964">
        <v>96.033498791306201</v>
      </c>
      <c r="AK1964">
        <v>20.3595150407176</v>
      </c>
      <c r="AL1964">
        <v>88.033079221905197</v>
      </c>
      <c r="AM1964">
        <v>89.901661354056699</v>
      </c>
      <c r="AN1964">
        <v>0.99999996262943502</v>
      </c>
    </row>
    <row r="1965" spans="1:40" x14ac:dyDescent="0.25">
      <c r="A1965" t="str">
        <f>"20190312160638452"</f>
        <v>20190312160638452</v>
      </c>
      <c r="B1965" t="str">
        <f>"1552377998447159"</f>
        <v>1552377998447159</v>
      </c>
      <c r="C1965" t="s">
        <v>40</v>
      </c>
      <c r="D1965">
        <v>6.3091900000000001</v>
      </c>
      <c r="E1965">
        <v>0.4593892</v>
      </c>
      <c r="F1965" t="s">
        <v>66</v>
      </c>
      <c r="G1965">
        <v>-266.56779999999998</v>
      </c>
      <c r="H1965" s="1">
        <v>1.9582550000000002E-6</v>
      </c>
      <c r="I1965">
        <v>280.4588</v>
      </c>
      <c r="J1965">
        <v>-245.86510000000001</v>
      </c>
      <c r="K1965">
        <v>1.1090100000000001</v>
      </c>
      <c r="L1965">
        <v>282.65350000000001</v>
      </c>
      <c r="M1965">
        <v>-0.99998799999999999</v>
      </c>
      <c r="N1965">
        <v>0</v>
      </c>
      <c r="O1965" s="1">
        <v>6.3549199999999998E-5</v>
      </c>
      <c r="P1965">
        <v>-0.99957070000000003</v>
      </c>
      <c r="Q1965">
        <v>2.925351E-2</v>
      </c>
      <c r="R1965">
        <v>1.7199310000000001E-3</v>
      </c>
      <c r="S1965">
        <v>-3.006561</v>
      </c>
      <c r="T1965">
        <v>-0.159767299999999</v>
      </c>
      <c r="U1965">
        <v>-0.316162099999999</v>
      </c>
      <c r="V1965">
        <v>1.6599989999999999E-3</v>
      </c>
      <c r="W1965">
        <v>3.4158090000000002E-2</v>
      </c>
      <c r="X1965">
        <v>0.99941500000000005</v>
      </c>
      <c r="Y1965">
        <v>-0.10449799999999999</v>
      </c>
      <c r="Z1965">
        <v>-2.7702849999999999E-3</v>
      </c>
      <c r="AA1965">
        <v>0.99452130000000005</v>
      </c>
      <c r="AB1965">
        <v>16</v>
      </c>
      <c r="AC1965">
        <v>-20.702699999999901</v>
      </c>
      <c r="AD1965">
        <v>-1.1090080417449999</v>
      </c>
      <c r="AE1965">
        <v>-2.1947000000000099</v>
      </c>
      <c r="AF1965">
        <v>-2.1898017158577501</v>
      </c>
      <c r="AG1965">
        <v>-1.1090080417449999</v>
      </c>
      <c r="AH1965">
        <v>20.643979674958899</v>
      </c>
      <c r="AI1965">
        <v>93.057888371981207</v>
      </c>
      <c r="AJ1965">
        <v>96.054984299545296</v>
      </c>
      <c r="AK1965">
        <v>20.7893969900896</v>
      </c>
      <c r="AL1965">
        <v>88.042504696998904</v>
      </c>
      <c r="AM1965">
        <v>89.904833478353495</v>
      </c>
      <c r="AN1965">
        <v>0.99999993646706198</v>
      </c>
    </row>
    <row r="1966" spans="1:40" x14ac:dyDescent="0.25">
      <c r="A1966" t="str">
        <f>"20190312160638495"</f>
        <v>20190312160638495</v>
      </c>
      <c r="B1966" t="str">
        <f>"1552377998486706"</f>
        <v>1552377998486706</v>
      </c>
      <c r="C1966" t="s">
        <v>40</v>
      </c>
      <c r="D1966">
        <v>6.3896490000000004</v>
      </c>
      <c r="E1966">
        <v>0.45971289999999998</v>
      </c>
      <c r="F1966" t="s">
        <v>66</v>
      </c>
      <c r="G1966">
        <v>-266.72089999999997</v>
      </c>
      <c r="H1966" s="1">
        <v>2.0397199999999998E-6</v>
      </c>
      <c r="I1966">
        <v>280.4631</v>
      </c>
      <c r="J1966">
        <v>-246.19120000000001</v>
      </c>
      <c r="K1966">
        <v>1.108981</v>
      </c>
      <c r="L1966">
        <v>282.65370000000001</v>
      </c>
      <c r="M1966">
        <v>-0.99998849999999995</v>
      </c>
      <c r="N1966">
        <v>0</v>
      </c>
      <c r="O1966">
        <v>1.750945E-4</v>
      </c>
      <c r="P1966">
        <v>-0.99957680000000004</v>
      </c>
      <c r="Q1966">
        <v>2.893416E-2</v>
      </c>
      <c r="R1966">
        <v>3.0201379999999999E-3</v>
      </c>
      <c r="S1966">
        <v>-3.006516</v>
      </c>
      <c r="T1966">
        <v>-0.1598715</v>
      </c>
      <c r="U1966">
        <v>-0.31576539999999997</v>
      </c>
      <c r="V1966">
        <v>2.8486990000000001E-3</v>
      </c>
      <c r="W1966">
        <v>3.3729189999999999E-2</v>
      </c>
      <c r="X1966">
        <v>0.99942699999999995</v>
      </c>
      <c r="Y1966">
        <v>-0.1044804</v>
      </c>
      <c r="Z1966">
        <v>-2.777594E-3</v>
      </c>
      <c r="AA1966">
        <v>0.99452300000000005</v>
      </c>
      <c r="AB1966">
        <v>17</v>
      </c>
      <c r="AC1966">
        <v>-20.529699999999899</v>
      </c>
      <c r="AD1966">
        <v>-1.10897896028</v>
      </c>
      <c r="AE1966">
        <v>-2.1906000000000101</v>
      </c>
      <c r="AF1966">
        <v>-2.1878823319639098</v>
      </c>
      <c r="AG1966">
        <v>-1.10897896028</v>
      </c>
      <c r="AH1966">
        <v>20.470256875716199</v>
      </c>
      <c r="AI1966">
        <v>93.083447537383805</v>
      </c>
      <c r="AJ1966">
        <v>96.100672355996295</v>
      </c>
      <c r="AK1966">
        <v>20.616694206168699</v>
      </c>
      <c r="AL1966">
        <v>88.067093248793299</v>
      </c>
      <c r="AM1966">
        <v>89.836688434684703</v>
      </c>
      <c r="AN1966">
        <v>1.0000000508365201</v>
      </c>
    </row>
    <row r="1967" spans="1:40" x14ac:dyDescent="0.25">
      <c r="A1967" t="str">
        <f>"20190312160638563"</f>
        <v>20190312160638563</v>
      </c>
      <c r="B1967" t="str">
        <f>"1552377998556976"</f>
        <v>1552377998556976</v>
      </c>
      <c r="C1967" t="s">
        <v>40</v>
      </c>
      <c r="D1967">
        <v>6.383222</v>
      </c>
      <c r="E1967">
        <v>0.49864409999999998</v>
      </c>
      <c r="F1967" t="s">
        <v>66</v>
      </c>
      <c r="G1967">
        <v>-266.65960000000001</v>
      </c>
      <c r="H1967" s="1">
        <v>2.0071350000000001E-6</v>
      </c>
      <c r="I1967">
        <v>280.54989999999998</v>
      </c>
      <c r="J1967">
        <v>-246.71960000000001</v>
      </c>
      <c r="K1967">
        <v>1.1089370000000001</v>
      </c>
      <c r="L1967">
        <v>282.65410000000003</v>
      </c>
      <c r="M1967">
        <v>-0.99998960000000003</v>
      </c>
      <c r="N1967">
        <v>0</v>
      </c>
      <c r="O1967">
        <v>3.5558410000000002E-4</v>
      </c>
      <c r="P1967">
        <v>-0.99956299999999998</v>
      </c>
      <c r="Q1967">
        <v>2.9312169999999999E-2</v>
      </c>
      <c r="R1967">
        <v>3.8549130000000002E-3</v>
      </c>
      <c r="S1967">
        <v>-3.0069119999999998</v>
      </c>
      <c r="T1967">
        <v>-0.1629148</v>
      </c>
      <c r="U1967">
        <v>-0.30905149999999998</v>
      </c>
      <c r="V1967">
        <v>3.5030870000000002E-3</v>
      </c>
      <c r="W1967">
        <v>3.3899310000000002E-2</v>
      </c>
      <c r="X1967">
        <v>0.9994191</v>
      </c>
      <c r="Y1967">
        <v>-0.1024463</v>
      </c>
      <c r="Z1967">
        <v>-2.7851719999999998E-3</v>
      </c>
      <c r="AA1967">
        <v>0.99473460000000002</v>
      </c>
      <c r="AB1967">
        <v>17</v>
      </c>
      <c r="AC1967">
        <v>-19.940000000000001</v>
      </c>
      <c r="AD1967">
        <v>-1.1089349928650001</v>
      </c>
      <c r="AE1967">
        <v>-2.10420000000004</v>
      </c>
      <c r="AF1967">
        <v>-2.1048519471923601</v>
      </c>
      <c r="AG1967">
        <v>-1.1089349928650001</v>
      </c>
      <c r="AH1967">
        <v>19.878446142135001</v>
      </c>
      <c r="AI1967">
        <v>93.175267209266394</v>
      </c>
      <c r="AJ1967">
        <v>96.044306784623103</v>
      </c>
      <c r="AK1967">
        <v>20.020308678033999</v>
      </c>
      <c r="AL1967">
        <v>88.057340388286804</v>
      </c>
      <c r="AM1967">
        <v>89.799172060652296</v>
      </c>
      <c r="AN1967">
        <v>0.99999998614090702</v>
      </c>
    </row>
    <row r="1968" spans="1:40" x14ac:dyDescent="0.25">
      <c r="A1968" t="str">
        <f>"20190312160638584"</f>
        <v>20190312160638584</v>
      </c>
      <c r="B1968" t="str">
        <f>"1552377998577472"</f>
        <v>1552377998577472</v>
      </c>
      <c r="C1968" t="s">
        <v>40</v>
      </c>
      <c r="D1968">
        <v>6.4324159999999999</v>
      </c>
      <c r="E1968">
        <v>0.49910290000000002</v>
      </c>
      <c r="F1968" t="s">
        <v>77</v>
      </c>
      <c r="G1968">
        <v>-281.07639999999998</v>
      </c>
      <c r="H1968" s="1">
        <v>8.3228889999999995E-6</v>
      </c>
      <c r="I1968">
        <v>282.69029999999998</v>
      </c>
      <c r="J1968">
        <v>-246.8827</v>
      </c>
      <c r="K1968">
        <v>1.1089290000000001</v>
      </c>
      <c r="L1968">
        <v>282.6542</v>
      </c>
      <c r="M1968">
        <v>-0.99998969999999998</v>
      </c>
      <c r="N1968">
        <v>0</v>
      </c>
      <c r="O1968">
        <v>4.1101799999999997E-4</v>
      </c>
      <c r="P1968">
        <v>-0.99956889999999998</v>
      </c>
      <c r="Q1968">
        <v>2.9144380000000001E-2</v>
      </c>
      <c r="R1968">
        <v>3.620247E-3</v>
      </c>
      <c r="S1968">
        <v>-3.0041660000000001</v>
      </c>
      <c r="T1968">
        <v>-9.696507E-2</v>
      </c>
      <c r="U1968">
        <v>3.1738280000000001E-3</v>
      </c>
      <c r="V1968">
        <v>3.2133079999999998E-3</v>
      </c>
      <c r="W1968">
        <v>3.3678189999999997E-2</v>
      </c>
      <c r="X1968">
        <v>0.99942759999999997</v>
      </c>
      <c r="Y1968">
        <v>6.4533099999999996E-4</v>
      </c>
      <c r="Z1968" s="1">
        <v>-2.851133E-6</v>
      </c>
      <c r="AA1968">
        <v>0.99999979999999999</v>
      </c>
      <c r="AB1968">
        <v>17</v>
      </c>
      <c r="AC1968">
        <v>-34.1936999999999</v>
      </c>
      <c r="AD1968">
        <v>-1.1089206771110001</v>
      </c>
      <c r="AE1968">
        <v>3.60999999999762E-2</v>
      </c>
      <c r="AF1968">
        <v>2.20224652892155E-2</v>
      </c>
      <c r="AG1968">
        <v>-1.1089206771110001</v>
      </c>
      <c r="AH1968">
        <v>34.157786847657398</v>
      </c>
      <c r="AI1968">
        <v>91.859434111178899</v>
      </c>
      <c r="AJ1968">
        <v>89.963059839141707</v>
      </c>
      <c r="AK1968">
        <v>34.175789564940601</v>
      </c>
      <c r="AL1968">
        <v>88.070016967245493</v>
      </c>
      <c r="AM1968">
        <v>89.8157862037326</v>
      </c>
      <c r="AN1968">
        <v>1.0000000367358599</v>
      </c>
    </row>
    <row r="1969" spans="1:40" x14ac:dyDescent="0.25">
      <c r="A1969" t="str">
        <f>"20190312160638606"</f>
        <v>20190312160638606</v>
      </c>
      <c r="B1969" t="str">
        <f>"1552377998596992"</f>
        <v>1552377998596992</v>
      </c>
      <c r="C1969" t="s">
        <v>40</v>
      </c>
      <c r="D1969">
        <v>6.3846400000000001</v>
      </c>
      <c r="E1969">
        <v>0.49936399999999997</v>
      </c>
      <c r="F1969" t="s">
        <v>77</v>
      </c>
      <c r="G1969">
        <v>-280.82440000000003</v>
      </c>
      <c r="H1969" s="1">
        <v>8.4279150000000004E-6</v>
      </c>
      <c r="I1969">
        <v>282.72280000000001</v>
      </c>
      <c r="J1969">
        <v>-247.0608</v>
      </c>
      <c r="K1969">
        <v>1.1089209999999901</v>
      </c>
      <c r="L1969">
        <v>282.65429999999998</v>
      </c>
      <c r="M1969">
        <v>-0.99998989999999999</v>
      </c>
      <c r="N1969">
        <v>0</v>
      </c>
      <c r="O1969">
        <v>4.718085E-4</v>
      </c>
      <c r="P1969">
        <v>-0.99956540000000005</v>
      </c>
      <c r="Q1969">
        <v>2.9332819999999999E-2</v>
      </c>
      <c r="R1969">
        <v>2.9732109999999999E-3</v>
      </c>
      <c r="S1969">
        <v>-3.0041500000000001</v>
      </c>
      <c r="T1969">
        <v>-9.8149539999999993E-2</v>
      </c>
      <c r="U1969">
        <v>6.0729979999999996E-3</v>
      </c>
      <c r="V1969">
        <v>2.505363E-3</v>
      </c>
      <c r="W1969">
        <v>3.3816869999999999E-2</v>
      </c>
      <c r="X1969">
        <v>0.99942489999999995</v>
      </c>
      <c r="Y1969">
        <v>1.549145E-3</v>
      </c>
      <c r="Z1969" s="1">
        <v>9.8888900000000005E-6</v>
      </c>
      <c r="AA1969">
        <v>0.99999879999999997</v>
      </c>
      <c r="AB1969">
        <v>17</v>
      </c>
      <c r="AC1969">
        <v>-33.763599999999997</v>
      </c>
      <c r="AD1969">
        <v>-1.1089125720849899</v>
      </c>
      <c r="AE1969">
        <v>6.8500000000028594E-2</v>
      </c>
      <c r="AF1969">
        <v>5.2513234455174598E-2</v>
      </c>
      <c r="AG1969">
        <v>-1.1089125720849899</v>
      </c>
      <c r="AH1969">
        <v>33.727247427132198</v>
      </c>
      <c r="AI1969">
        <v>91.8831377733095</v>
      </c>
      <c r="AJ1969">
        <v>89.910790695919502</v>
      </c>
      <c r="AK1969">
        <v>33.745513238700603</v>
      </c>
      <c r="AL1969">
        <v>88.062066577674102</v>
      </c>
      <c r="AM1969">
        <v>89.856370973583395</v>
      </c>
      <c r="AN1969">
        <v>0.99999999414018403</v>
      </c>
    </row>
    <row r="1970" spans="1:40" x14ac:dyDescent="0.25">
      <c r="A1970" t="str">
        <f>"20190312160638629"</f>
        <v>20190312160638629</v>
      </c>
      <c r="B1970" t="str">
        <f>"1552377998617488"</f>
        <v>1552377998617488</v>
      </c>
      <c r="C1970" t="s">
        <v>40</v>
      </c>
      <c r="D1970">
        <v>6.3813370000000003</v>
      </c>
      <c r="E1970">
        <v>0.49933569999999999</v>
      </c>
      <c r="F1970" t="s">
        <v>77</v>
      </c>
      <c r="G1970">
        <v>-281.25959999999998</v>
      </c>
      <c r="H1970" s="1">
        <v>8.2348809999999994E-6</v>
      </c>
      <c r="I1970">
        <v>282.72309999999999</v>
      </c>
      <c r="J1970">
        <v>-247.23679999999999</v>
      </c>
      <c r="K1970">
        <v>1.1089180000000001</v>
      </c>
      <c r="L1970">
        <v>282.65449999999998</v>
      </c>
      <c r="M1970">
        <v>-0.99999000000000005</v>
      </c>
      <c r="N1970">
        <v>0</v>
      </c>
      <c r="O1970">
        <v>5.315653E-4</v>
      </c>
      <c r="P1970">
        <v>-0.99956449999999997</v>
      </c>
      <c r="Q1970">
        <v>2.9392339999999999E-2</v>
      </c>
      <c r="R1970">
        <v>2.6744519999999999E-3</v>
      </c>
      <c r="S1970">
        <v>-3.0041500000000001</v>
      </c>
      <c r="T1970">
        <v>-9.7410919999999998E-2</v>
      </c>
      <c r="U1970">
        <v>6.0424800000000002E-3</v>
      </c>
      <c r="V1970">
        <v>2.1469499999999999E-3</v>
      </c>
      <c r="W1970">
        <v>3.3835459999999998E-2</v>
      </c>
      <c r="X1970">
        <v>0.99942509999999996</v>
      </c>
      <c r="Y1970">
        <v>1.4793059999999999E-3</v>
      </c>
      <c r="Z1970" s="1">
        <v>6.7453859999999999E-6</v>
      </c>
      <c r="AA1970">
        <v>0.99999890000000002</v>
      </c>
      <c r="AB1970">
        <v>18</v>
      </c>
      <c r="AC1970">
        <v>-34.022799999999897</v>
      </c>
      <c r="AD1970">
        <v>-1.1089097651189901</v>
      </c>
      <c r="AE1970">
        <v>6.8600000000003505E-2</v>
      </c>
      <c r="AF1970">
        <v>5.0460867124682202E-2</v>
      </c>
      <c r="AG1970">
        <v>-1.1089097651189901</v>
      </c>
      <c r="AH1970">
        <v>33.986727278798597</v>
      </c>
      <c r="AI1970">
        <v>91.868766216379697</v>
      </c>
      <c r="AJ1970">
        <v>89.914931715294301</v>
      </c>
      <c r="AK1970">
        <v>34.004850511209703</v>
      </c>
      <c r="AL1970">
        <v>88.061000829517596</v>
      </c>
      <c r="AM1970">
        <v>89.876918255698897</v>
      </c>
      <c r="AN1970">
        <v>0.99999998912886201</v>
      </c>
    </row>
    <row r="1971" spans="1:40" x14ac:dyDescent="0.25">
      <c r="A1971" t="str">
        <f>"20190312160638652"</f>
        <v>20190312160638652</v>
      </c>
      <c r="B1971" t="str">
        <f>"1552377998646768"</f>
        <v>1552377998646768</v>
      </c>
      <c r="C1971" t="s">
        <v>40</v>
      </c>
      <c r="D1971">
        <v>6.9813020000000003</v>
      </c>
      <c r="E1971">
        <v>0.49934919999999999</v>
      </c>
      <c r="F1971" t="s">
        <v>77</v>
      </c>
      <c r="G1971">
        <v>-281.40260000000001</v>
      </c>
      <c r="H1971" s="1">
        <v>8.1733080000000004E-6</v>
      </c>
      <c r="I1971">
        <v>282.71420000000001</v>
      </c>
      <c r="J1971">
        <v>-247.41849999999999</v>
      </c>
      <c r="K1971">
        <v>1.1089100000000001</v>
      </c>
      <c r="L1971">
        <v>282.65460000000002</v>
      </c>
      <c r="M1971">
        <v>-0.99999009999999999</v>
      </c>
      <c r="N1971">
        <v>0</v>
      </c>
      <c r="O1971">
        <v>5.9398749999999998E-4</v>
      </c>
      <c r="P1971">
        <v>-0.99956460000000003</v>
      </c>
      <c r="Q1971">
        <v>2.9430700000000001E-2</v>
      </c>
      <c r="R1971">
        <v>2.1458900000000001E-3</v>
      </c>
      <c r="S1971">
        <v>-3.0041660000000001</v>
      </c>
      <c r="T1971">
        <v>-9.7505449999999994E-2</v>
      </c>
      <c r="U1971">
        <v>5.2490230000000002E-3</v>
      </c>
      <c r="V1971">
        <v>1.556034E-3</v>
      </c>
      <c r="W1971">
        <v>3.3839260000000003E-2</v>
      </c>
      <c r="X1971">
        <v>0.99942609999999998</v>
      </c>
      <c r="Y1971">
        <v>1.1529589999999901E-3</v>
      </c>
      <c r="Z1971" s="1">
        <v>-5.6829230000000005E-7</v>
      </c>
      <c r="AA1971">
        <v>0.99999930000000004</v>
      </c>
      <c r="AB1971">
        <v>18</v>
      </c>
      <c r="AC1971">
        <v>-33.984099999999998</v>
      </c>
      <c r="AD1971">
        <v>-1.1089018266920001</v>
      </c>
      <c r="AE1971">
        <v>5.9599999999989002E-2</v>
      </c>
      <c r="AF1971">
        <v>3.9371742923634899E-2</v>
      </c>
      <c r="AG1971">
        <v>-1.1089018266920001</v>
      </c>
      <c r="AH1971">
        <v>33.947984483134803</v>
      </c>
      <c r="AI1971">
        <v>91.870884831709503</v>
      </c>
      <c r="AJ1971">
        <v>89.933550290995598</v>
      </c>
      <c r="AK1971">
        <v>33.966113464194599</v>
      </c>
      <c r="AL1971">
        <v>88.060783046627805</v>
      </c>
      <c r="AM1971">
        <v>89.910794696134403</v>
      </c>
      <c r="AN1971">
        <v>1.00000002306018</v>
      </c>
    </row>
    <row r="1972" spans="1:40" x14ac:dyDescent="0.25">
      <c r="A1972" t="str">
        <f>"20190312160638674"</f>
        <v>20190312160638674</v>
      </c>
      <c r="B1972" t="str">
        <f>"1552377998667264"</f>
        <v>1552377998667264</v>
      </c>
      <c r="C1972" t="s">
        <v>40</v>
      </c>
      <c r="D1972">
        <v>6.3339439999999998</v>
      </c>
      <c r="E1972">
        <v>0.4991524</v>
      </c>
      <c r="F1972" t="s">
        <v>77</v>
      </c>
      <c r="G1972">
        <v>-281.10629999999998</v>
      </c>
      <c r="H1972" s="1">
        <v>8.3085440000000005E-6</v>
      </c>
      <c r="I1972">
        <v>282.69569999999999</v>
      </c>
      <c r="J1972">
        <v>-247.59309999999999</v>
      </c>
      <c r="K1972">
        <v>1.108905</v>
      </c>
      <c r="L1972">
        <v>282.65480000000002</v>
      </c>
      <c r="M1972">
        <v>-0.99999020000000005</v>
      </c>
      <c r="N1972">
        <v>0</v>
      </c>
      <c r="O1972">
        <v>6.5299650000000004E-4</v>
      </c>
      <c r="P1972">
        <v>-0.9995617</v>
      </c>
      <c r="Q1972">
        <v>2.9555479999999999E-2</v>
      </c>
      <c r="R1972">
        <v>1.7220390000000001E-3</v>
      </c>
      <c r="S1972">
        <v>-3.0042110000000002</v>
      </c>
      <c r="T1972">
        <v>-9.8889950000000004E-2</v>
      </c>
      <c r="U1972">
        <v>3.6621090000000002E-3</v>
      </c>
      <c r="V1972">
        <v>1.0731829999999999E-3</v>
      </c>
      <c r="W1972">
        <v>3.3937439999999999E-2</v>
      </c>
      <c r="X1972">
        <v>0.99942339999999996</v>
      </c>
      <c r="Y1972">
        <v>5.6603559999999999E-4</v>
      </c>
      <c r="Z1972" s="1">
        <v>-1.2175529999999999E-5</v>
      </c>
      <c r="AA1972">
        <v>0.99999979999999999</v>
      </c>
      <c r="AB1972">
        <v>18</v>
      </c>
      <c r="AC1972">
        <v>-33.513199999999898</v>
      </c>
      <c r="AD1972">
        <v>-1.1088966914559999</v>
      </c>
      <c r="AE1972">
        <v>4.0899999999964999E-2</v>
      </c>
      <c r="AF1972">
        <v>1.8994982753886901E-2</v>
      </c>
      <c r="AG1972">
        <v>-1.1088966914559999</v>
      </c>
      <c r="AH1972">
        <v>33.476568154693297</v>
      </c>
      <c r="AI1972">
        <v>91.897203662933705</v>
      </c>
      <c r="AJ1972">
        <v>89.967489731268302</v>
      </c>
      <c r="AK1972">
        <v>33.494934364729197</v>
      </c>
      <c r="AL1972">
        <v>88.055154502465896</v>
      </c>
      <c r="AM1972">
        <v>89.938475692172105</v>
      </c>
      <c r="AN1972">
        <v>1.00000001701153</v>
      </c>
    </row>
    <row r="1973" spans="1:40" x14ac:dyDescent="0.25">
      <c r="A1973" t="str">
        <f>"20190312160638696"</f>
        <v>20190312160638696</v>
      </c>
      <c r="B1973" t="str">
        <f>"1552377998686784"</f>
        <v>1552377998686784</v>
      </c>
      <c r="C1973" t="s">
        <v>40</v>
      </c>
      <c r="D1973">
        <v>6.3734390000000003</v>
      </c>
      <c r="E1973">
        <v>0.49910539999999998</v>
      </c>
      <c r="F1973" t="s">
        <v>77</v>
      </c>
      <c r="G1973">
        <v>-281.03769999999997</v>
      </c>
      <c r="H1973" s="1">
        <v>8.3450069999999997E-6</v>
      </c>
      <c r="I1973">
        <v>282.66629999999998</v>
      </c>
      <c r="J1973">
        <v>-247.77430000000001</v>
      </c>
      <c r="K1973">
        <v>1.108905</v>
      </c>
      <c r="L1973">
        <v>282.65499999999997</v>
      </c>
      <c r="M1973">
        <v>-0.9999903</v>
      </c>
      <c r="N1973">
        <v>0</v>
      </c>
      <c r="O1973">
        <v>7.1443509999999995E-4</v>
      </c>
      <c r="P1973">
        <v>-0.99956270000000003</v>
      </c>
      <c r="Q1973">
        <v>2.95056E-2</v>
      </c>
      <c r="R1973">
        <v>1.9777660000000002E-3</v>
      </c>
      <c r="S1973">
        <v>-3.0042719999999998</v>
      </c>
      <c r="T1973">
        <v>-9.9610450000000003E-2</v>
      </c>
      <c r="U1973">
        <v>1.037598E-3</v>
      </c>
      <c r="V1973">
        <v>1.267605E-3</v>
      </c>
      <c r="W1973">
        <v>3.3867380000000002E-2</v>
      </c>
      <c r="X1973">
        <v>0.99942549999999997</v>
      </c>
      <c r="Y1973">
        <v>-3.6847280000000001E-4</v>
      </c>
      <c r="Z1973" s="1">
        <v>-2.9788619999999999E-5</v>
      </c>
      <c r="AA1973">
        <v>0.99999990000000005</v>
      </c>
      <c r="AB1973">
        <v>18</v>
      </c>
      <c r="AC1973">
        <v>-33.263399999999898</v>
      </c>
      <c r="AD1973">
        <v>-1.1088966549929999</v>
      </c>
      <c r="AE1973">
        <v>1.1300000000005601E-2</v>
      </c>
      <c r="AF1973">
        <v>-1.24509305655489E-2</v>
      </c>
      <c r="AG1973">
        <v>-1.1088966549929999</v>
      </c>
      <c r="AH1973">
        <v>33.226473515500999</v>
      </c>
      <c r="AI1973">
        <v>91.911473412904002</v>
      </c>
      <c r="AJ1973">
        <v>90.021470401867603</v>
      </c>
      <c r="AK1973">
        <v>33.244974794597397</v>
      </c>
      <c r="AL1973">
        <v>88.059170858708299</v>
      </c>
      <c r="AM1973">
        <v>89.927329873367498</v>
      </c>
      <c r="AN1973">
        <v>0.99999996815037395</v>
      </c>
    </row>
    <row r="1974" spans="1:40" x14ac:dyDescent="0.25">
      <c r="A1974" t="str">
        <f>"20190312160638718"</f>
        <v>20190312160638718</v>
      </c>
      <c r="B1974" t="str">
        <f>"1552377998707280"</f>
        <v>1552377998707280</v>
      </c>
      <c r="C1974" t="s">
        <v>40</v>
      </c>
      <c r="D1974">
        <v>6.367292</v>
      </c>
      <c r="E1974">
        <v>0.49909769999999998</v>
      </c>
      <c r="F1974" t="s">
        <v>77</v>
      </c>
      <c r="G1974">
        <v>-281.07249999999999</v>
      </c>
      <c r="H1974" s="1">
        <v>8.3287649999999999E-6</v>
      </c>
      <c r="I1974">
        <v>282.67020000000002</v>
      </c>
      <c r="J1974">
        <v>-247.94919999999999</v>
      </c>
      <c r="K1974">
        <v>1.1089020000000001</v>
      </c>
      <c r="L1974">
        <v>282.65519999999998</v>
      </c>
      <c r="M1974">
        <v>-0.9999903</v>
      </c>
      <c r="N1974">
        <v>0</v>
      </c>
      <c r="O1974">
        <v>7.7395209999999999E-4</v>
      </c>
      <c r="P1974">
        <v>-0.99956420000000001</v>
      </c>
      <c r="Q1974">
        <v>2.9460719999999999E-2</v>
      </c>
      <c r="R1974">
        <v>1.922354E-3</v>
      </c>
      <c r="S1974">
        <v>-3.0042719999999998</v>
      </c>
      <c r="T1974">
        <v>-0.1000481</v>
      </c>
      <c r="U1974">
        <v>1.373291E-3</v>
      </c>
      <c r="V1974">
        <v>1.1527110000000001E-3</v>
      </c>
      <c r="W1974">
        <v>3.3808770000000002E-2</v>
      </c>
      <c r="X1974">
        <v>0.99942770000000003</v>
      </c>
      <c r="Y1974">
        <v>-3.1624240000000003E-4</v>
      </c>
      <c r="Z1974" s="1">
        <v>-3.1031470000000001E-5</v>
      </c>
      <c r="AA1974">
        <v>0.99999990000000005</v>
      </c>
      <c r="AB1974">
        <v>18</v>
      </c>
      <c r="AC1974">
        <v>-33.1233</v>
      </c>
      <c r="AD1974">
        <v>-1.1088936712349999</v>
      </c>
      <c r="AE1974">
        <v>1.5000000000043199E-2</v>
      </c>
      <c r="AF1974">
        <v>-1.0624185918517401E-2</v>
      </c>
      <c r="AG1974">
        <v>-1.1088936712349999</v>
      </c>
      <c r="AH1974">
        <v>33.086219985203897</v>
      </c>
      <c r="AI1974">
        <v>91.919565034456397</v>
      </c>
      <c r="AJ1974">
        <v>90.018398021691297</v>
      </c>
      <c r="AK1974">
        <v>33.1047989112868</v>
      </c>
      <c r="AL1974">
        <v>88.062531036821099</v>
      </c>
      <c r="AM1974">
        <v>89.933916734534805</v>
      </c>
      <c r="AN1974">
        <v>1.0000000445994199</v>
      </c>
    </row>
    <row r="1975" spans="1:40" x14ac:dyDescent="0.25">
      <c r="A1975" t="str">
        <f>"20190312160638740"</f>
        <v>20190312160638740</v>
      </c>
      <c r="B1975" t="str">
        <f>"1552377998726800"</f>
        <v>1552377998726800</v>
      </c>
      <c r="C1975" t="s">
        <v>40</v>
      </c>
      <c r="D1975">
        <v>6.3802789999999998</v>
      </c>
      <c r="E1975">
        <v>0.49901220000000002</v>
      </c>
      <c r="F1975" t="s">
        <v>77</v>
      </c>
      <c r="G1975">
        <v>-280.94959999999998</v>
      </c>
      <c r="H1975" s="1">
        <v>8.3841100000000006E-6</v>
      </c>
      <c r="I1975">
        <v>282.66629999999998</v>
      </c>
      <c r="J1975">
        <v>-248.13319999999999</v>
      </c>
      <c r="K1975">
        <v>1.1089020000000001</v>
      </c>
      <c r="L1975">
        <v>282.65539999999999</v>
      </c>
      <c r="M1975">
        <v>-0.9999903</v>
      </c>
      <c r="N1975">
        <v>0</v>
      </c>
      <c r="O1975">
        <v>8.3596179999999895E-4</v>
      </c>
      <c r="P1975">
        <v>-0.99956</v>
      </c>
      <c r="Q1975">
        <v>2.9601639999999999E-2</v>
      </c>
      <c r="R1975">
        <v>1.9157359999999999E-3</v>
      </c>
      <c r="S1975">
        <v>-3.0043030000000002</v>
      </c>
      <c r="T1975">
        <v>-0.1009521</v>
      </c>
      <c r="U1975">
        <v>1.00708E-3</v>
      </c>
      <c r="V1975">
        <v>1.0841220000000001E-3</v>
      </c>
      <c r="W1975">
        <v>3.3941249999999999E-2</v>
      </c>
      <c r="X1975">
        <v>0.99942330000000001</v>
      </c>
      <c r="Y1975">
        <v>-5.0000320000000002E-4</v>
      </c>
      <c r="Z1975" s="1">
        <v>-3.6481069999999997E-5</v>
      </c>
      <c r="AA1975">
        <v>0.99999990000000005</v>
      </c>
      <c r="AB1975">
        <v>18</v>
      </c>
      <c r="AC1975">
        <v>-32.816399999999902</v>
      </c>
      <c r="AD1975">
        <v>-1.10889361589</v>
      </c>
      <c r="AE1975">
        <v>1.08999999999923E-2</v>
      </c>
      <c r="AF1975">
        <v>-1.6514660363364599E-2</v>
      </c>
      <c r="AG1975">
        <v>-1.10889361589</v>
      </c>
      <c r="AH1975">
        <v>32.7789699446407</v>
      </c>
      <c r="AI1975">
        <v>91.937543971462802</v>
      </c>
      <c r="AJ1975">
        <v>90.028866686794899</v>
      </c>
      <c r="AK1975">
        <v>32.797725354314203</v>
      </c>
      <c r="AL1975">
        <v>88.054936159816293</v>
      </c>
      <c r="AM1975">
        <v>89.937848566554294</v>
      </c>
      <c r="AN1975">
        <v>1.0000000581774799</v>
      </c>
    </row>
    <row r="1976" spans="1:40" x14ac:dyDescent="0.25">
      <c r="A1976" t="str">
        <f>"20190312160638762"</f>
        <v>20190312160638762</v>
      </c>
      <c r="B1976" t="str">
        <f>"1552377998757056"</f>
        <v>1552377998757056</v>
      </c>
      <c r="C1976" t="s">
        <v>40</v>
      </c>
      <c r="D1976">
        <v>6.3004819999999997</v>
      </c>
      <c r="E1976">
        <v>0.4818769</v>
      </c>
      <c r="F1976" t="s">
        <v>77</v>
      </c>
      <c r="G1976">
        <v>-280.89589999999998</v>
      </c>
      <c r="H1976" s="1">
        <v>8.4095550000000002E-6</v>
      </c>
      <c r="I1976">
        <v>282.65839999999997</v>
      </c>
      <c r="J1976">
        <v>-248.3175</v>
      </c>
      <c r="K1976">
        <v>1.1088979999999999</v>
      </c>
      <c r="L1976">
        <v>282.65559999999999</v>
      </c>
      <c r="M1976">
        <v>-0.9999903</v>
      </c>
      <c r="N1976">
        <v>0</v>
      </c>
      <c r="O1976">
        <v>8.9848899999999895E-4</v>
      </c>
      <c r="P1976">
        <v>-0.99955280000000002</v>
      </c>
      <c r="Q1976">
        <v>2.985413E-2</v>
      </c>
      <c r="R1976">
        <v>1.799918E-3</v>
      </c>
      <c r="S1976">
        <v>-3.0043489999999999</v>
      </c>
      <c r="T1976">
        <v>-0.101686</v>
      </c>
      <c r="U1976">
        <v>2.7465820000000001E-4</v>
      </c>
      <c r="V1976">
        <v>9.0592720000000002E-4</v>
      </c>
      <c r="W1976">
        <v>3.4193830000000001E-2</v>
      </c>
      <c r="X1976">
        <v>0.99941480000000005</v>
      </c>
      <c r="Y1976">
        <v>-8.061012E-4</v>
      </c>
      <c r="Z1976" s="1">
        <v>-4.403993E-5</v>
      </c>
      <c r="AA1976">
        <v>0.99999970000000005</v>
      </c>
      <c r="AB1976">
        <v>18</v>
      </c>
      <c r="AC1976">
        <v>-32.578399999999903</v>
      </c>
      <c r="AD1976">
        <v>-1.108889590445</v>
      </c>
      <c r="AE1976">
        <v>2.7999999999792601E-3</v>
      </c>
      <c r="AF1976">
        <v>-2.6440973932670801E-2</v>
      </c>
      <c r="AG1976">
        <v>-1.108889590445</v>
      </c>
      <c r="AH1976">
        <v>32.540689148243302</v>
      </c>
      <c r="AI1976">
        <v>91.951713323802494</v>
      </c>
      <c r="AJ1976">
        <v>90.046555740483697</v>
      </c>
      <c r="AK1976">
        <v>32.559588226688298</v>
      </c>
      <c r="AL1976">
        <v>88.040455854868299</v>
      </c>
      <c r="AM1976">
        <v>89.948063816055395</v>
      </c>
      <c r="AN1976">
        <v>0.99999999058660005</v>
      </c>
    </row>
    <row r="1977" spans="1:40" x14ac:dyDescent="0.25">
      <c r="A1977" t="str">
        <f>"20190312160638785"</f>
        <v>20190312160638785</v>
      </c>
      <c r="B1977" t="str">
        <f>"1552377998777552"</f>
        <v>1552377998777552</v>
      </c>
      <c r="C1977" t="s">
        <v>40</v>
      </c>
      <c r="D1977">
        <v>6.4550179999999999</v>
      </c>
      <c r="E1977">
        <v>0.47983500000000001</v>
      </c>
      <c r="F1977" t="s">
        <v>66</v>
      </c>
      <c r="G1977">
        <v>-266.37040000000002</v>
      </c>
      <c r="H1977" s="1">
        <v>1.853213E-6</v>
      </c>
      <c r="I1977">
        <v>281.84339999999997</v>
      </c>
      <c r="J1977">
        <v>-248.5087</v>
      </c>
      <c r="K1977">
        <v>1.1089020000000001</v>
      </c>
      <c r="L1977">
        <v>282.6558</v>
      </c>
      <c r="M1977">
        <v>-0.99999020000000005</v>
      </c>
      <c r="N1977">
        <v>0</v>
      </c>
      <c r="O1977">
        <v>9.6320490000000004E-4</v>
      </c>
      <c r="P1977">
        <v>-0.99955240000000001</v>
      </c>
      <c r="Q1977">
        <v>2.9858599999999999E-2</v>
      </c>
      <c r="R1977">
        <v>1.9472549999999999E-3</v>
      </c>
      <c r="S1977">
        <v>-3.0070950000000001</v>
      </c>
      <c r="T1977">
        <v>-0.18471090000000001</v>
      </c>
      <c r="U1977">
        <v>-0.1352844</v>
      </c>
      <c r="V1977">
        <v>9.886001000000001E-4</v>
      </c>
      <c r="W1977">
        <v>3.4206699999999902E-2</v>
      </c>
      <c r="X1977">
        <v>0.99941429999999998</v>
      </c>
      <c r="Y1977">
        <v>-4.5817179999999999E-2</v>
      </c>
      <c r="Z1977">
        <v>-1.4642069999999999E-3</v>
      </c>
      <c r="AA1977">
        <v>0.99894879999999997</v>
      </c>
      <c r="AB1977">
        <v>19</v>
      </c>
      <c r="AC1977">
        <v>-17.861699999999999</v>
      </c>
      <c r="AD1977">
        <v>-1.1089001467870001</v>
      </c>
      <c r="AE1977">
        <v>-0.81240000000002499</v>
      </c>
      <c r="AF1977">
        <v>-0.82642558981904901</v>
      </c>
      <c r="AG1977">
        <v>-1.1089001467870001</v>
      </c>
      <c r="AH1977">
        <v>17.792474217492099</v>
      </c>
      <c r="AI1977">
        <v>93.562464918528704</v>
      </c>
      <c r="AJ1977">
        <v>92.659365415942801</v>
      </c>
      <c r="AK1977">
        <v>17.8461418119204</v>
      </c>
      <c r="AL1977">
        <v>88.039718063344694</v>
      </c>
      <c r="AM1977">
        <v>89.943324210108102</v>
      </c>
      <c r="AN1977">
        <v>1.0000000093497601</v>
      </c>
    </row>
    <row r="1978" spans="1:40" x14ac:dyDescent="0.25">
      <c r="A1978" t="str">
        <f>"20190312160638806"</f>
        <v>20190312160638806</v>
      </c>
      <c r="B1978" t="str">
        <f>"1552377998797076"</f>
        <v>1552377998797076</v>
      </c>
      <c r="C1978" t="s">
        <v>40</v>
      </c>
      <c r="D1978">
        <v>6.2531480000000004</v>
      </c>
      <c r="E1978">
        <v>0.47867340000000003</v>
      </c>
      <c r="F1978" t="s">
        <v>66</v>
      </c>
      <c r="G1978">
        <v>-266.70530000000002</v>
      </c>
      <c r="H1978" s="1">
        <v>2.0314179999999998E-6</v>
      </c>
      <c r="I1978">
        <v>281.74009999999998</v>
      </c>
      <c r="J1978">
        <v>-248.6942</v>
      </c>
      <c r="K1978">
        <v>1.1089009999999999</v>
      </c>
      <c r="L1978">
        <v>282.65609999999998</v>
      </c>
      <c r="M1978">
        <v>-0.99999000000000005</v>
      </c>
      <c r="N1978">
        <v>0</v>
      </c>
      <c r="O1978">
        <v>1.0259990000000001E-3</v>
      </c>
      <c r="P1978">
        <v>-0.99956100000000003</v>
      </c>
      <c r="Q1978">
        <v>2.9569580000000002E-2</v>
      </c>
      <c r="R1978">
        <v>1.9383429999999999E-3</v>
      </c>
      <c r="S1978">
        <v>-3.007126</v>
      </c>
      <c r="T1978">
        <v>-0.18325420000000001</v>
      </c>
      <c r="U1978">
        <v>-0.15133669999999999</v>
      </c>
      <c r="V1978">
        <v>9.1704830000000005E-4</v>
      </c>
      <c r="W1978">
        <v>3.3932200000000003E-2</v>
      </c>
      <c r="X1978">
        <v>0.99942370000000003</v>
      </c>
      <c r="Y1978">
        <v>-5.1190479999999997E-2</v>
      </c>
      <c r="Z1978">
        <v>-1.619774E-3</v>
      </c>
      <c r="AA1978">
        <v>0.99868760000000001</v>
      </c>
      <c r="AB1978">
        <v>19</v>
      </c>
      <c r="AC1978">
        <v>-18.011099999999999</v>
      </c>
      <c r="AD1978">
        <v>-1.1088989685820001</v>
      </c>
      <c r="AE1978">
        <v>-0.91599999999999604</v>
      </c>
      <c r="AF1978">
        <v>-0.93095930932334103</v>
      </c>
      <c r="AG1978">
        <v>-1.1088989685820001</v>
      </c>
      <c r="AH1978">
        <v>17.942314715386999</v>
      </c>
      <c r="AI1978">
        <v>93.531846050806095</v>
      </c>
      <c r="AJ1978">
        <v>92.970199235931403</v>
      </c>
      <c r="AK1978">
        <v>18.0006388637774</v>
      </c>
      <c r="AL1978">
        <v>88.055454840461294</v>
      </c>
      <c r="AM1978">
        <v>89.947426719565001</v>
      </c>
      <c r="AN1978">
        <v>0.99999998364805698</v>
      </c>
    </row>
    <row r="1979" spans="1:40" x14ac:dyDescent="0.25">
      <c r="A1979" t="str">
        <f>"20190312160638819"</f>
        <v>20190312160638819</v>
      </c>
      <c r="B1979" t="str">
        <f>"1552377998806833"</f>
        <v>1552377998806833</v>
      </c>
      <c r="C1979" t="s">
        <v>40</v>
      </c>
      <c r="D1979">
        <v>6.25488</v>
      </c>
      <c r="E1979">
        <v>0.47849969999999997</v>
      </c>
      <c r="F1979" t="s">
        <v>66</v>
      </c>
      <c r="G1979">
        <v>-268.18810000000002</v>
      </c>
      <c r="H1979" s="1">
        <v>2.8205229999999999E-6</v>
      </c>
      <c r="I1979">
        <v>281.61410000000001</v>
      </c>
      <c r="J1979">
        <v>-248.79580000000001</v>
      </c>
      <c r="K1979">
        <v>1.1089</v>
      </c>
      <c r="L1979">
        <v>282.65620000000001</v>
      </c>
      <c r="M1979">
        <v>-0.99998989999999999</v>
      </c>
      <c r="N1979">
        <v>0</v>
      </c>
      <c r="O1979">
        <v>1.060666E-3</v>
      </c>
      <c r="P1979">
        <v>-0.9995695</v>
      </c>
      <c r="Q1979">
        <v>2.9274789999999998E-2</v>
      </c>
      <c r="R1979">
        <v>2.059221E-3</v>
      </c>
      <c r="S1979">
        <v>-3.0066830000000002</v>
      </c>
      <c r="T1979">
        <v>-0.171033399999999</v>
      </c>
      <c r="U1979">
        <v>-0.1607056</v>
      </c>
      <c r="V1979">
        <v>1.003138E-3</v>
      </c>
      <c r="W1979">
        <v>3.364864E-2</v>
      </c>
      <c r="X1979">
        <v>0.99943320000000002</v>
      </c>
      <c r="Y1979">
        <v>-5.4343089999999997E-2</v>
      </c>
      <c r="Z1979">
        <v>-1.6035349999999999E-3</v>
      </c>
      <c r="AA1979">
        <v>0.99852099999999999</v>
      </c>
      <c r="AB1979">
        <v>19</v>
      </c>
      <c r="AC1979">
        <v>-19.392299999999999</v>
      </c>
      <c r="AD1979">
        <v>-1.108897179477</v>
      </c>
      <c r="AE1979">
        <v>-1.0421</v>
      </c>
      <c r="AF1979">
        <v>-1.05921489342146</v>
      </c>
      <c r="AG1979">
        <v>-1.108897179477</v>
      </c>
      <c r="AH1979">
        <v>19.328166106162701</v>
      </c>
      <c r="AI1979">
        <v>93.278669934437701</v>
      </c>
      <c r="AJ1979">
        <v>93.136764153172507</v>
      </c>
      <c r="AK1979">
        <v>19.388903893013499</v>
      </c>
      <c r="AL1979">
        <v>88.071710906740506</v>
      </c>
      <c r="AM1979">
        <v>89.942491850012203</v>
      </c>
      <c r="AN1979">
        <v>0.99999997926096795</v>
      </c>
    </row>
    <row r="1980" spans="1:40" x14ac:dyDescent="0.25">
      <c r="A1980" t="str">
        <f>"20190312160638841"</f>
        <v>20190312160638841</v>
      </c>
      <c r="B1980" t="str">
        <f>"1552377998817569"</f>
        <v>1552377998817569</v>
      </c>
      <c r="C1980" t="s">
        <v>40</v>
      </c>
      <c r="D1980">
        <v>6.7162329999999999</v>
      </c>
      <c r="E1980">
        <v>0.4782344</v>
      </c>
      <c r="F1980" t="s">
        <v>66</v>
      </c>
      <c r="G1980">
        <v>-268.05369999999999</v>
      </c>
      <c r="H1980" s="1">
        <v>2.7490069999999998E-6</v>
      </c>
      <c r="I1980">
        <v>281.62099999999998</v>
      </c>
      <c r="J1980">
        <v>-248.9862</v>
      </c>
      <c r="K1980">
        <v>1.1089009999999999</v>
      </c>
      <c r="L1980">
        <v>282.65649999999999</v>
      </c>
      <c r="M1980">
        <v>-0.99998989999999999</v>
      </c>
      <c r="N1980">
        <v>0</v>
      </c>
      <c r="O1980">
        <v>1.125341E-3</v>
      </c>
      <c r="P1980">
        <v>-0.9995522</v>
      </c>
      <c r="Q1980">
        <v>2.982624E-2</v>
      </c>
      <c r="R1980">
        <v>2.470599E-3</v>
      </c>
      <c r="S1980">
        <v>-3.0067140000000001</v>
      </c>
      <c r="T1980">
        <v>-0.17313039999999999</v>
      </c>
      <c r="U1980">
        <v>-0.16162109999999999</v>
      </c>
      <c r="V1980">
        <v>1.349935E-3</v>
      </c>
      <c r="W1980">
        <v>3.422671E-2</v>
      </c>
      <c r="X1980">
        <v>0.9994132</v>
      </c>
      <c r="Y1980">
        <v>-5.4707390000000002E-2</v>
      </c>
      <c r="Z1980">
        <v>-1.6373239999999999E-3</v>
      </c>
      <c r="AA1980">
        <v>0.99850110000000003</v>
      </c>
      <c r="AB1980">
        <v>19</v>
      </c>
      <c r="AC1980">
        <v>-19.0674999999999</v>
      </c>
      <c r="AD1980">
        <v>-1.1088982509930001</v>
      </c>
      <c r="AE1980">
        <v>-1.0355000000000101</v>
      </c>
      <c r="AF1980">
        <v>-1.0534046662905601</v>
      </c>
      <c r="AG1980">
        <v>-1.1088982509930001</v>
      </c>
      <c r="AH1980">
        <v>19.0022427303164</v>
      </c>
      <c r="AI1980">
        <v>93.3346665632792</v>
      </c>
      <c r="AJ1980">
        <v>93.172990115943406</v>
      </c>
      <c r="AK1980">
        <v>19.063697057598301</v>
      </c>
      <c r="AL1980">
        <v>88.038570918413996</v>
      </c>
      <c r="AM1980">
        <v>89.922609055915004</v>
      </c>
      <c r="AN1980">
        <v>1.0000000171680801</v>
      </c>
    </row>
    <row r="1981" spans="1:40" x14ac:dyDescent="0.25">
      <c r="A1981" t="str">
        <f>"20190312160638864"</f>
        <v>20190312160638864</v>
      </c>
      <c r="B1981" t="str">
        <f>"1552377998856608"</f>
        <v>1552377998856608</v>
      </c>
      <c r="C1981" t="s">
        <v>40</v>
      </c>
      <c r="D1981">
        <v>6.1448799999999997</v>
      </c>
      <c r="E1981">
        <v>0.47771059999999999</v>
      </c>
      <c r="F1981" t="s">
        <v>66</v>
      </c>
      <c r="G1981">
        <v>-268.82389999999998</v>
      </c>
      <c r="H1981" s="1">
        <v>3.1588589999999999E-6</v>
      </c>
      <c r="I1981">
        <v>281.58370000000002</v>
      </c>
      <c r="J1981">
        <v>-249.18029999999999</v>
      </c>
      <c r="K1981">
        <v>1.1089089999999999</v>
      </c>
      <c r="L1981">
        <v>282.65679999999998</v>
      </c>
      <c r="M1981">
        <v>-0.99998940000000003</v>
      </c>
      <c r="N1981">
        <v>0</v>
      </c>
      <c r="O1981">
        <v>1.1914860000000001E-3</v>
      </c>
      <c r="P1981">
        <v>-0.99953800000000004</v>
      </c>
      <c r="Q1981">
        <v>3.022145E-2</v>
      </c>
      <c r="R1981">
        <v>3.246035E-3</v>
      </c>
      <c r="S1981">
        <v>-3.0067599999999999</v>
      </c>
      <c r="T1981">
        <v>-0.1680731</v>
      </c>
      <c r="U1981">
        <v>-0.16259770000000001</v>
      </c>
      <c r="V1981">
        <v>2.0594509999999999E-3</v>
      </c>
      <c r="W1981">
        <v>3.465704E-2</v>
      </c>
      <c r="X1981">
        <v>0.99939719999999999</v>
      </c>
      <c r="Y1981">
        <v>-5.5100570000000001E-2</v>
      </c>
      <c r="Z1981">
        <v>-1.6041979999999901E-3</v>
      </c>
      <c r="AA1981">
        <v>0.99847949999999996</v>
      </c>
      <c r="AB1981">
        <v>19</v>
      </c>
      <c r="AC1981">
        <v>-19.6435999999999</v>
      </c>
      <c r="AD1981">
        <v>-1.108905841141</v>
      </c>
      <c r="AE1981">
        <v>-1.07309999999995</v>
      </c>
      <c r="AF1981">
        <v>-1.0930316958600801</v>
      </c>
      <c r="AG1981">
        <v>-1.108905841141</v>
      </c>
      <c r="AH1981">
        <v>19.580096360022999</v>
      </c>
      <c r="AI1981">
        <v>93.236417919619697</v>
      </c>
      <c r="AJ1981">
        <v>93.195141119920805</v>
      </c>
      <c r="AK1981">
        <v>19.641908357398901</v>
      </c>
      <c r="AL1981">
        <v>88.013900269031794</v>
      </c>
      <c r="AM1981">
        <v>89.881931144703799</v>
      </c>
      <c r="AN1981">
        <v>1.0000000575639001</v>
      </c>
    </row>
    <row r="1982" spans="1:40" x14ac:dyDescent="0.25">
      <c r="A1982" t="str">
        <f>"20190312160638885"</f>
        <v>20190312160638885</v>
      </c>
      <c r="B1982" t="str">
        <f>"1552377998877108"</f>
        <v>1552377998877108</v>
      </c>
      <c r="C1982" t="s">
        <v>40</v>
      </c>
      <c r="D1982">
        <v>6.2629599999999996</v>
      </c>
      <c r="E1982">
        <v>0.4774041</v>
      </c>
      <c r="F1982" t="s">
        <v>66</v>
      </c>
      <c r="G1982">
        <v>-269.32389999999998</v>
      </c>
      <c r="H1982" s="1">
        <v>3.4249220000000002E-6</v>
      </c>
      <c r="I1982">
        <v>281.55470000000003</v>
      </c>
      <c r="J1982">
        <v>-249.3663</v>
      </c>
      <c r="K1982">
        <v>1.10891299999999</v>
      </c>
      <c r="L1982">
        <v>282.65710000000001</v>
      </c>
      <c r="M1982">
        <v>-0.99998929999999997</v>
      </c>
      <c r="N1982">
        <v>0</v>
      </c>
      <c r="O1982">
        <v>1.2549410000000001E-3</v>
      </c>
      <c r="P1982">
        <v>-0.99956100000000003</v>
      </c>
      <c r="Q1982">
        <v>2.9470110000000001E-2</v>
      </c>
      <c r="R1982">
        <v>3.1170859999999998E-3</v>
      </c>
      <c r="S1982">
        <v>-3.0069119999999998</v>
      </c>
      <c r="T1982">
        <v>-0.16553039999999999</v>
      </c>
      <c r="U1982">
        <v>-0.16452030000000001</v>
      </c>
      <c r="V1982">
        <v>1.867128E-3</v>
      </c>
      <c r="W1982">
        <v>3.3945059999999999E-2</v>
      </c>
      <c r="X1982">
        <v>0.99942200000000003</v>
      </c>
      <c r="Y1982">
        <v>-5.5799219999999997E-2</v>
      </c>
      <c r="Z1982">
        <v>-1.602549E-3</v>
      </c>
      <c r="AA1982">
        <v>0.99844069999999996</v>
      </c>
      <c r="AB1982">
        <v>19</v>
      </c>
      <c r="AC1982">
        <v>-19.9575999999999</v>
      </c>
      <c r="AD1982">
        <v>-1.10890957507799</v>
      </c>
      <c r="AE1982">
        <v>-1.1023999999999801</v>
      </c>
      <c r="AF1982">
        <v>-1.12398549120255</v>
      </c>
      <c r="AG1982">
        <v>-1.10890957507799</v>
      </c>
      <c r="AH1982">
        <v>19.8949663803539</v>
      </c>
      <c r="AI1982">
        <v>93.185193746111494</v>
      </c>
      <c r="AJ1982">
        <v>93.233543488642496</v>
      </c>
      <c r="AK1982">
        <v>19.957522669548599</v>
      </c>
      <c r="AL1982">
        <v>88.054717708823304</v>
      </c>
      <c r="AM1982">
        <v>89.892959700955004</v>
      </c>
      <c r="AN1982">
        <v>1.0000000436746801</v>
      </c>
    </row>
    <row r="1983" spans="1:40" x14ac:dyDescent="0.25">
      <c r="A1983" t="str">
        <f>"20190312160638908"</f>
        <v>20190312160638908</v>
      </c>
      <c r="B1983" t="str">
        <f>"1552377998896624"</f>
        <v>1552377998896624</v>
      </c>
      <c r="C1983" t="s">
        <v>40</v>
      </c>
      <c r="D1983">
        <v>5.9386159999999997</v>
      </c>
      <c r="E1983">
        <v>0.47714570000000001</v>
      </c>
      <c r="F1983" t="s">
        <v>66</v>
      </c>
      <c r="G1983">
        <v>-269.4359</v>
      </c>
      <c r="H1983" s="1">
        <v>3.4845280000000002E-6</v>
      </c>
      <c r="I1983">
        <v>281.54039999999998</v>
      </c>
      <c r="J1983">
        <v>-249.5583</v>
      </c>
      <c r="K1983">
        <v>1.1089169999999999</v>
      </c>
      <c r="L1983">
        <v>282.6574</v>
      </c>
      <c r="M1983">
        <v>-0.99998889999999996</v>
      </c>
      <c r="N1983">
        <v>0</v>
      </c>
      <c r="O1983">
        <v>1.320178E-3</v>
      </c>
      <c r="P1983">
        <v>-0.99956809999999996</v>
      </c>
      <c r="Q1983">
        <v>2.924206E-2</v>
      </c>
      <c r="R1983">
        <v>2.920363E-3</v>
      </c>
      <c r="S1983">
        <v>-3.006729</v>
      </c>
      <c r="T1983">
        <v>-0.1661311</v>
      </c>
      <c r="U1983">
        <v>-0.16729740000000001</v>
      </c>
      <c r="V1983">
        <v>1.6050369999999999E-3</v>
      </c>
      <c r="W1983">
        <v>3.3758719999999999E-2</v>
      </c>
      <c r="X1983">
        <v>0.99942869999999995</v>
      </c>
      <c r="Y1983">
        <v>-5.678482E-2</v>
      </c>
      <c r="Z1983">
        <v>-1.6391979999999999E-3</v>
      </c>
      <c r="AA1983">
        <v>0.99838510000000003</v>
      </c>
      <c r="AB1983">
        <v>19</v>
      </c>
      <c r="AC1983">
        <v>-19.877600000000001</v>
      </c>
      <c r="AD1983">
        <v>-1.108913515472</v>
      </c>
      <c r="AE1983">
        <v>-1.11700000000001</v>
      </c>
      <c r="AF1983">
        <v>-1.1397054395406001</v>
      </c>
      <c r="AG1983">
        <v>-1.108913515472</v>
      </c>
      <c r="AH1983">
        <v>19.8146350386885</v>
      </c>
      <c r="AI1983">
        <v>93.1979061615624</v>
      </c>
      <c r="AJ1983">
        <v>93.2919325381649</v>
      </c>
      <c r="AK1983">
        <v>19.878339452533101</v>
      </c>
      <c r="AL1983">
        <v>88.065400197231597</v>
      </c>
      <c r="AM1983">
        <v>89.907985665207306</v>
      </c>
      <c r="AN1983">
        <v>0.99999997685174902</v>
      </c>
    </row>
    <row r="1984" spans="1:40" x14ac:dyDescent="0.25">
      <c r="A1984" t="str">
        <f>"20190312160638952"</f>
        <v>20190312160638952</v>
      </c>
      <c r="B1984" t="str">
        <f>"1552377998947376"</f>
        <v>1552377998947376</v>
      </c>
      <c r="C1984" t="s">
        <v>40</v>
      </c>
      <c r="D1984">
        <v>6.2630749999999997</v>
      </c>
      <c r="E1984">
        <v>0.4765817</v>
      </c>
      <c r="F1984" t="s">
        <v>66</v>
      </c>
      <c r="G1984">
        <v>-269.5138</v>
      </c>
      <c r="H1984" s="1">
        <v>3.5260000000000002E-6</v>
      </c>
      <c r="I1984">
        <v>281.53160000000003</v>
      </c>
      <c r="J1984">
        <v>-249.94229999999999</v>
      </c>
      <c r="K1984">
        <v>1.108919</v>
      </c>
      <c r="L1984">
        <v>282.65809999999999</v>
      </c>
      <c r="M1984">
        <v>-0.9999884</v>
      </c>
      <c r="N1984">
        <v>0</v>
      </c>
      <c r="O1984">
        <v>1.4497620000000001E-3</v>
      </c>
      <c r="P1984">
        <v>-0.99958309999999995</v>
      </c>
      <c r="Q1984">
        <v>2.884809E-2</v>
      </c>
      <c r="R1984">
        <v>1.3512349999999999E-3</v>
      </c>
      <c r="S1984">
        <v>-3.0066989999999998</v>
      </c>
      <c r="T1984">
        <v>-0.1670797</v>
      </c>
      <c r="U1984">
        <v>-0.16961670000000001</v>
      </c>
      <c r="V1984" s="1">
        <v>-9.3562799999999998E-5</v>
      </c>
      <c r="W1984">
        <v>3.3447049999999999E-2</v>
      </c>
      <c r="X1984">
        <v>0.99944049999999995</v>
      </c>
      <c r="Y1984">
        <v>-5.7679870000000001E-2</v>
      </c>
      <c r="Z1984">
        <v>-1.680544E-3</v>
      </c>
      <c r="AA1984">
        <v>0.99833369999999999</v>
      </c>
      <c r="AB1984">
        <v>19</v>
      </c>
      <c r="AC1984">
        <v>-19.5715</v>
      </c>
      <c r="AD1984">
        <v>-1.108915474</v>
      </c>
      <c r="AE1984">
        <v>-1.1264999999999601</v>
      </c>
      <c r="AF1984">
        <v>-1.1511896455978501</v>
      </c>
      <c r="AG1984">
        <v>-1.108915474</v>
      </c>
      <c r="AH1984">
        <v>19.5074279113466</v>
      </c>
      <c r="AI1984">
        <v>93.247884917193403</v>
      </c>
      <c r="AJ1984">
        <v>93.377272541551804</v>
      </c>
      <c r="AK1984">
        <v>19.572804470616699</v>
      </c>
      <c r="AL1984">
        <v>88.083267733948901</v>
      </c>
      <c r="AM1984">
        <v>90.005363754564399</v>
      </c>
      <c r="AN1984">
        <v>1.0000000134739699</v>
      </c>
    </row>
    <row r="1985" spans="1:40" x14ac:dyDescent="0.25">
      <c r="A1985" t="str">
        <f>"20190312160638974"</f>
        <v>20190312160638974</v>
      </c>
      <c r="B1985" t="str">
        <f>"1552377998966896"</f>
        <v>1552377998966896</v>
      </c>
      <c r="C1985" t="s">
        <v>40</v>
      </c>
      <c r="D1985">
        <v>6.5256169999999996</v>
      </c>
      <c r="E1985">
        <v>0.47654970000000002</v>
      </c>
      <c r="F1985" t="s">
        <v>66</v>
      </c>
      <c r="G1985">
        <v>-269.40890000000002</v>
      </c>
      <c r="H1985" s="1">
        <v>3.4701419999999999E-6</v>
      </c>
      <c r="I1985">
        <v>281.49689999999998</v>
      </c>
      <c r="J1985">
        <v>-250.14840000000001</v>
      </c>
      <c r="K1985">
        <v>1.1089230000000001</v>
      </c>
      <c r="L1985">
        <v>282.65839999999997</v>
      </c>
      <c r="M1985">
        <v>-0.99998819999999999</v>
      </c>
      <c r="N1985">
        <v>0</v>
      </c>
      <c r="O1985">
        <v>1.519231E-3</v>
      </c>
      <c r="P1985">
        <v>-0.99956909999999999</v>
      </c>
      <c r="Q1985">
        <v>2.9342139999999999E-2</v>
      </c>
      <c r="R1985">
        <v>1.041445E-3</v>
      </c>
      <c r="S1985">
        <v>-3.0064389999999999</v>
      </c>
      <c r="T1985">
        <v>-0.1712621</v>
      </c>
      <c r="U1985">
        <v>-0.17932129999999999</v>
      </c>
      <c r="V1985">
        <v>-4.7257460000000001E-4</v>
      </c>
      <c r="W1985">
        <v>3.3981289999999997E-2</v>
      </c>
      <c r="X1985">
        <v>0.99942240000000004</v>
      </c>
      <c r="Y1985">
        <v>-6.0955490000000001E-2</v>
      </c>
      <c r="Z1985">
        <v>-1.8196239999999999E-3</v>
      </c>
      <c r="AA1985">
        <v>0.99813879999999999</v>
      </c>
      <c r="AB1985">
        <v>20</v>
      </c>
      <c r="AC1985">
        <v>-19.2605</v>
      </c>
      <c r="AD1985">
        <v>-1.1089195298579999</v>
      </c>
      <c r="AE1985">
        <v>-1.16149999999998</v>
      </c>
      <c r="AF1985">
        <v>-1.18684016848818</v>
      </c>
      <c r="AG1985">
        <v>-1.1089195298579999</v>
      </c>
      <c r="AH1985">
        <v>19.195313985100501</v>
      </c>
      <c r="AI1985">
        <v>93.300033016036593</v>
      </c>
      <c r="AJ1985">
        <v>93.538075859428901</v>
      </c>
      <c r="AK1985">
        <v>19.263913701421998</v>
      </c>
      <c r="AL1985">
        <v>88.0526406822854</v>
      </c>
      <c r="AM1985">
        <v>90.027092176508205</v>
      </c>
      <c r="AN1985">
        <v>1.0000000425092801</v>
      </c>
    </row>
    <row r="1986" spans="1:40" x14ac:dyDescent="0.25">
      <c r="A1986" t="str">
        <f>"20190312160638997"</f>
        <v>20190312160638997</v>
      </c>
      <c r="B1986" t="str">
        <f>"1552377998987392"</f>
        <v>1552377998987392</v>
      </c>
      <c r="C1986" t="s">
        <v>40</v>
      </c>
      <c r="D1986">
        <v>6.2631110000000003</v>
      </c>
      <c r="E1986">
        <v>0.47644520000000001</v>
      </c>
      <c r="F1986" t="s">
        <v>66</v>
      </c>
      <c r="G1986">
        <v>-269.74919999999997</v>
      </c>
      <c r="H1986" s="1">
        <v>3.6512759999999999E-6</v>
      </c>
      <c r="I1986">
        <v>281.48259999999999</v>
      </c>
      <c r="J1986">
        <v>-250.34530000000001</v>
      </c>
      <c r="K1986">
        <v>1.1089150000000001</v>
      </c>
      <c r="L1986">
        <v>282.65879999999999</v>
      </c>
      <c r="M1986">
        <v>-0.99998779999999998</v>
      </c>
      <c r="N1986">
        <v>0</v>
      </c>
      <c r="O1986">
        <v>1.5856679999999999E-3</v>
      </c>
      <c r="P1986">
        <v>-0.99956129999999999</v>
      </c>
      <c r="Q1986">
        <v>2.9604080000000001E-2</v>
      </c>
      <c r="R1986">
        <v>1.0668640000000001E-3</v>
      </c>
      <c r="S1986">
        <v>-3.0064850000000001</v>
      </c>
      <c r="T1986">
        <v>-0.170092299999999</v>
      </c>
      <c r="U1986">
        <v>-0.18035889999999999</v>
      </c>
      <c r="V1986">
        <v>-5.1355360000000002E-4</v>
      </c>
      <c r="W1986">
        <v>3.4280079999999997E-2</v>
      </c>
      <c r="X1986">
        <v>0.99941210000000003</v>
      </c>
      <c r="Y1986">
        <v>-6.1364759999999997E-2</v>
      </c>
      <c r="Z1986">
        <v>-1.8224789999999999E-3</v>
      </c>
      <c r="AA1986">
        <v>0.99811380000000005</v>
      </c>
      <c r="AB1986">
        <v>20</v>
      </c>
      <c r="AC1986">
        <v>-19.403899999999901</v>
      </c>
      <c r="AD1986">
        <v>-1.1089113487240001</v>
      </c>
      <c r="AE1986">
        <v>-1.1761999999999899</v>
      </c>
      <c r="AF1986">
        <v>-1.2030522223600699</v>
      </c>
      <c r="AG1986">
        <v>-1.1089113487240001</v>
      </c>
      <c r="AH1986">
        <v>19.3390803993431</v>
      </c>
      <c r="AI1986">
        <v>93.275453666543001</v>
      </c>
      <c r="AJ1986">
        <v>93.559688603323295</v>
      </c>
      <c r="AK1986">
        <v>19.4081696643788</v>
      </c>
      <c r="AL1986">
        <v>88.035511147906504</v>
      </c>
      <c r="AM1986">
        <v>90.029441760054596</v>
      </c>
      <c r="AN1986">
        <v>0.99999996662425705</v>
      </c>
    </row>
    <row r="1987" spans="1:40" x14ac:dyDescent="0.25">
      <c r="A1987" t="str">
        <f>"20190312160639018"</f>
        <v>20190312160639018</v>
      </c>
      <c r="B1987" t="str">
        <f>"1552377999006912"</f>
        <v>1552377999006912</v>
      </c>
      <c r="C1987" t="s">
        <v>40</v>
      </c>
      <c r="D1987">
        <v>6.1900599999999999</v>
      </c>
      <c r="E1987">
        <v>0.47640769999999999</v>
      </c>
      <c r="F1987" t="s">
        <v>66</v>
      </c>
      <c r="G1987">
        <v>-270.5625</v>
      </c>
      <c r="H1987" s="1">
        <v>-1.0987369999999999E-6</v>
      </c>
      <c r="I1987">
        <v>281.44240000000002</v>
      </c>
      <c r="J1987">
        <v>-250.53620000000001</v>
      </c>
      <c r="K1987">
        <v>1.1089070000000001</v>
      </c>
      <c r="L1987">
        <v>282.6592</v>
      </c>
      <c r="M1987">
        <v>-0.99998759999999998</v>
      </c>
      <c r="N1987">
        <v>0</v>
      </c>
      <c r="O1987">
        <v>1.650145E-3</v>
      </c>
      <c r="P1987">
        <v>-0.99959089999999995</v>
      </c>
      <c r="Q1987">
        <v>2.8583979999999998E-2</v>
      </c>
      <c r="R1987">
        <v>1.123726E-3</v>
      </c>
      <c r="S1987">
        <v>-3.0064090000000001</v>
      </c>
      <c r="T1987">
        <v>-0.1649021</v>
      </c>
      <c r="U1987">
        <v>-0.1808777</v>
      </c>
      <c r="V1987">
        <v>-5.2119589999999999E-4</v>
      </c>
      <c r="W1987">
        <v>3.3293589999999998E-2</v>
      </c>
      <c r="X1987">
        <v>0.99944549999999999</v>
      </c>
      <c r="Y1987">
        <v>-6.1607809999999999E-2</v>
      </c>
      <c r="Z1987">
        <v>-1.7771729999999999E-3</v>
      </c>
      <c r="AA1987">
        <v>0.99809890000000001</v>
      </c>
      <c r="AB1987">
        <v>20</v>
      </c>
      <c r="AC1987">
        <v>-20.0262999999999</v>
      </c>
      <c r="AD1987">
        <v>-1.1089080987369999</v>
      </c>
      <c r="AE1987">
        <v>-1.2167999999999699</v>
      </c>
      <c r="AF1987">
        <v>-1.24603855117622</v>
      </c>
      <c r="AG1987">
        <v>-1.1089080987369999</v>
      </c>
      <c r="AH1987">
        <v>19.963280071461799</v>
      </c>
      <c r="AI1987">
        <v>93.173201242995304</v>
      </c>
      <c r="AJ1987">
        <v>93.571570142185294</v>
      </c>
      <c r="AK1987">
        <v>20.032844043072998</v>
      </c>
      <c r="AL1987">
        <v>88.092065258488901</v>
      </c>
      <c r="AM1987">
        <v>90.029878890507305</v>
      </c>
      <c r="AN1987">
        <v>1.00000002112525</v>
      </c>
    </row>
    <row r="1988" spans="1:40" x14ac:dyDescent="0.25">
      <c r="A1988" t="str">
        <f>"20190312160639576"</f>
        <v>20190312160639576</v>
      </c>
      <c r="B1988" t="str">
        <f>"1552377999567140"</f>
        <v>1552377999567140</v>
      </c>
      <c r="C1988" t="s">
        <v>40</v>
      </c>
      <c r="D1988">
        <v>6.4208600000000002</v>
      </c>
      <c r="E1988">
        <v>0.49161719999999998</v>
      </c>
      <c r="F1988" t="s">
        <v>66</v>
      </c>
      <c r="G1988">
        <v>-270.24459999999999</v>
      </c>
      <c r="H1988" s="1">
        <v>-1.2692529999999901E-6</v>
      </c>
      <c r="I1988">
        <v>281.47340000000003</v>
      </c>
      <c r="J1988">
        <v>-255.94880000000001</v>
      </c>
      <c r="K1988">
        <v>1.1088420000000001</v>
      </c>
      <c r="L1988">
        <v>282.67790000000002</v>
      </c>
      <c r="M1988">
        <v>-0.99997440000000004</v>
      </c>
      <c r="N1988">
        <v>0</v>
      </c>
      <c r="O1988">
        <v>4.7561799999999996E-3</v>
      </c>
      <c r="P1988">
        <v>-0.99969669999999999</v>
      </c>
      <c r="Q1988">
        <v>2.4214220000000002E-2</v>
      </c>
      <c r="R1988">
        <v>4.5177630000000002E-3</v>
      </c>
      <c r="S1988">
        <v>-3.0062869999999999</v>
      </c>
      <c r="T1988">
        <v>-0.16915079999999999</v>
      </c>
      <c r="U1988">
        <v>-0.1808777</v>
      </c>
      <c r="V1988">
        <v>-2.2717709999999999E-4</v>
      </c>
      <c r="W1988">
        <v>2.9571819999999999E-2</v>
      </c>
      <c r="X1988">
        <v>0.99956259999999997</v>
      </c>
      <c r="Y1988">
        <v>-6.46954E-2</v>
      </c>
      <c r="Z1988">
        <v>-2.0841589999999999E-3</v>
      </c>
      <c r="AA1988">
        <v>0.99790290000000004</v>
      </c>
      <c r="AB1988">
        <v>23</v>
      </c>
      <c r="AC1988">
        <v>-14.2957999999999</v>
      </c>
      <c r="AD1988">
        <v>-1.1088432692529999</v>
      </c>
      <c r="AE1988">
        <v>-1.2044999999999899</v>
      </c>
      <c r="AF1988">
        <v>-1.26492433076615</v>
      </c>
      <c r="AG1988">
        <v>-1.1088432692529999</v>
      </c>
      <c r="AH1988">
        <v>14.205051154962</v>
      </c>
      <c r="AI1988">
        <v>94.4459241566678</v>
      </c>
      <c r="AJ1988">
        <v>95.0886243917858</v>
      </c>
      <c r="AK1988">
        <v>14.3043016352921</v>
      </c>
      <c r="AL1988">
        <v>88.3054124215369</v>
      </c>
      <c r="AM1988">
        <v>90.013021984623904</v>
      </c>
      <c r="AN1988">
        <v>0.99999996773315203</v>
      </c>
    </row>
    <row r="1989" spans="1:40" x14ac:dyDescent="0.25">
      <c r="A1989" t="str">
        <f>"20190312160639611"</f>
        <v>20190312160639611</v>
      </c>
      <c r="B1989" t="str">
        <f>"1552377999607153"</f>
        <v>1552377999607153</v>
      </c>
      <c r="C1989" t="s">
        <v>40</v>
      </c>
      <c r="D1989">
        <v>6.291919</v>
      </c>
      <c r="E1989">
        <v>0.49302760000000001</v>
      </c>
      <c r="F1989" t="s">
        <v>75</v>
      </c>
      <c r="G1989">
        <v>-511.96120000000002</v>
      </c>
      <c r="H1989">
        <v>7.9222099999999998</v>
      </c>
      <c r="I1989">
        <v>278.1114</v>
      </c>
      <c r="J1989">
        <v>-256.30029999999999</v>
      </c>
      <c r="K1989">
        <v>1.108824</v>
      </c>
      <c r="L1989">
        <v>282.68</v>
      </c>
      <c r="M1989">
        <v>-0.99997259999999999</v>
      </c>
      <c r="N1989">
        <v>0</v>
      </c>
      <c r="O1989">
        <v>5.0698089999999998E-3</v>
      </c>
      <c r="P1989">
        <v>-0.99972000000000005</v>
      </c>
      <c r="Q1989">
        <v>2.314824E-2</v>
      </c>
      <c r="R1989">
        <v>4.9154130000000004E-3</v>
      </c>
      <c r="S1989">
        <v>-2.9992070000000002</v>
      </c>
      <c r="T1989">
        <v>7.9820039999999995E-2</v>
      </c>
      <c r="U1989">
        <v>-5.3497309999999999E-2</v>
      </c>
      <c r="V1989">
        <v>-1.4281809999999999E-4</v>
      </c>
      <c r="W1989">
        <v>2.854276E-2</v>
      </c>
      <c r="X1989">
        <v>0.99959249999999999</v>
      </c>
      <c r="Y1989">
        <v>-2.289327E-2</v>
      </c>
      <c r="Z1989">
        <v>4.394542E-4</v>
      </c>
      <c r="AA1989">
        <v>0.99973780000000001</v>
      </c>
      <c r="AB1989">
        <v>23</v>
      </c>
      <c r="AC1989">
        <v>-255.6609</v>
      </c>
      <c r="AD1989">
        <v>6.8133860000000004</v>
      </c>
      <c r="AE1989">
        <v>-4.5686</v>
      </c>
      <c r="AF1989">
        <v>-5.8605510787841197</v>
      </c>
      <c r="AG1989">
        <v>6.8133860000000004</v>
      </c>
      <c r="AH1989">
        <v>255.45308016181201</v>
      </c>
      <c r="AI1989">
        <v>88.472584037131199</v>
      </c>
      <c r="AJ1989">
        <v>91.314237237155794</v>
      </c>
      <c r="AK1989">
        <v>255.61111957794199</v>
      </c>
      <c r="AL1989">
        <v>88.3643980787906</v>
      </c>
      <c r="AM1989">
        <v>90.008186210193003</v>
      </c>
      <c r="AN1989">
        <v>0.99999993780083596</v>
      </c>
    </row>
    <row r="1990" spans="1:40" x14ac:dyDescent="0.25">
      <c r="A1990" t="str">
        <f>"20190312160639623"</f>
        <v>20190312160639623</v>
      </c>
      <c r="B1990" t="str">
        <f>"1552377999616914"</f>
        <v>1552377999616914</v>
      </c>
      <c r="C1990" t="s">
        <v>40</v>
      </c>
      <c r="D1990">
        <v>6.2419289999999998</v>
      </c>
      <c r="E1990">
        <v>0.49470900000000001</v>
      </c>
      <c r="F1990" t="s">
        <v>75</v>
      </c>
      <c r="G1990">
        <v>-511.96140000000003</v>
      </c>
      <c r="H1990">
        <v>8.4482210000000002</v>
      </c>
      <c r="I1990">
        <v>279.16789999999997</v>
      </c>
      <c r="J1990">
        <v>-256.43770000000001</v>
      </c>
      <c r="K1990">
        <v>1.1088169999999999</v>
      </c>
      <c r="L1990">
        <v>282.68079999999998</v>
      </c>
      <c r="M1990">
        <v>-0.99997190000000002</v>
      </c>
      <c r="N1990">
        <v>0</v>
      </c>
      <c r="O1990">
        <v>5.2039870000000002E-3</v>
      </c>
      <c r="P1990">
        <v>-0.99972680000000003</v>
      </c>
      <c r="Q1990">
        <v>2.2818149999999999E-2</v>
      </c>
      <c r="R1990">
        <v>5.0663359999999899E-3</v>
      </c>
      <c r="S1990">
        <v>-2.9990540000000001</v>
      </c>
      <c r="T1990">
        <v>8.6096290000000006E-2</v>
      </c>
      <c r="U1990">
        <v>-4.1198730000000003E-2</v>
      </c>
      <c r="V1990">
        <v>-1.2566009999999999E-4</v>
      </c>
      <c r="W1990">
        <v>2.822674E-2</v>
      </c>
      <c r="X1990">
        <v>0.99960150000000003</v>
      </c>
      <c r="Y1990">
        <v>-1.8929390000000001E-2</v>
      </c>
      <c r="Z1990">
        <v>4.2100230000000001E-4</v>
      </c>
      <c r="AA1990">
        <v>0.99982070000000001</v>
      </c>
      <c r="AB1990">
        <v>23</v>
      </c>
      <c r="AC1990">
        <v>-255.52369999999999</v>
      </c>
      <c r="AD1990">
        <v>7.3394039999999903</v>
      </c>
      <c r="AE1990">
        <v>-3.5129000000000001</v>
      </c>
      <c r="AF1990">
        <v>-4.83862264623908</v>
      </c>
      <c r="AG1990">
        <v>7.3394039999999903</v>
      </c>
      <c r="AH1990">
        <v>255.29138040142701</v>
      </c>
      <c r="AI1990">
        <v>88.353545553391399</v>
      </c>
      <c r="AJ1990">
        <v>91.085816005019495</v>
      </c>
      <c r="AK1990">
        <v>255.44269029951499</v>
      </c>
      <c r="AL1990">
        <v>88.382512029543093</v>
      </c>
      <c r="AM1990">
        <v>90.007202663606705</v>
      </c>
      <c r="AN1990">
        <v>0.999999961721868</v>
      </c>
    </row>
    <row r="1991" spans="1:40" x14ac:dyDescent="0.25">
      <c r="A1991" t="str">
        <f>"20190312160639635"</f>
        <v>20190312160639635</v>
      </c>
      <c r="B1991" t="str">
        <f>"1552377999626674"</f>
        <v>1552377999626674</v>
      </c>
      <c r="C1991" t="s">
        <v>40</v>
      </c>
      <c r="D1991">
        <v>6.4455039999999997</v>
      </c>
      <c r="E1991">
        <v>0.49470900000000001</v>
      </c>
      <c r="F1991" t="s">
        <v>75</v>
      </c>
      <c r="G1991">
        <v>-519.91279999999995</v>
      </c>
      <c r="H1991">
        <v>6.9744419999999998</v>
      </c>
      <c r="I1991">
        <v>280.31369999999998</v>
      </c>
      <c r="J1991">
        <v>-256.56180000000001</v>
      </c>
      <c r="K1991">
        <v>1.108808</v>
      </c>
      <c r="L1991">
        <v>282.6816</v>
      </c>
      <c r="M1991">
        <v>-0.99997119999999995</v>
      </c>
      <c r="N1991">
        <v>0</v>
      </c>
      <c r="O1991">
        <v>5.3291090000000003E-3</v>
      </c>
      <c r="P1991">
        <v>-0.99972300000000003</v>
      </c>
      <c r="Q1991">
        <v>2.301543E-2</v>
      </c>
      <c r="R1991">
        <v>4.9585569999999997E-3</v>
      </c>
      <c r="S1991">
        <v>-2.9994200000000002</v>
      </c>
      <c r="T1991">
        <v>6.6775559999999998E-2</v>
      </c>
      <c r="U1991">
        <v>-2.6947019999999999E-2</v>
      </c>
      <c r="V1991">
        <v>-3.5778509999999998E-4</v>
      </c>
      <c r="W1991">
        <v>2.8436940000000001E-2</v>
      </c>
      <c r="X1991">
        <v>0.99959549999999997</v>
      </c>
      <c r="Y1991">
        <v>-1.43077E-2</v>
      </c>
      <c r="Z1991">
        <v>2.7786789999999998E-4</v>
      </c>
      <c r="AA1991">
        <v>0.99989760000000005</v>
      </c>
      <c r="AB1991">
        <v>23</v>
      </c>
      <c r="AC1991">
        <v>-263.35099999999898</v>
      </c>
      <c r="AD1991">
        <v>5.865634</v>
      </c>
      <c r="AE1991">
        <v>-2.3679000000000201</v>
      </c>
      <c r="AF1991">
        <v>-3.7694432200858801</v>
      </c>
      <c r="AG1991">
        <v>5.865634</v>
      </c>
      <c r="AH1991">
        <v>263.204079169853</v>
      </c>
      <c r="AI1991">
        <v>88.723477193559901</v>
      </c>
      <c r="AJ1991">
        <v>90.820498012935204</v>
      </c>
      <c r="AK1991">
        <v>263.29641405849401</v>
      </c>
      <c r="AL1991">
        <v>88.370463642257405</v>
      </c>
      <c r="AM1991">
        <v>90.020507870760895</v>
      </c>
      <c r="AN1991">
        <v>0.99999997559349496</v>
      </c>
    </row>
    <row r="1992" spans="1:40" x14ac:dyDescent="0.25">
      <c r="A1992" t="str">
        <f>"20190312160639649"</f>
        <v>20190312160639649</v>
      </c>
      <c r="B1992" t="str">
        <f>"1552377999637409"</f>
        <v>1552377999637409</v>
      </c>
      <c r="C1992" t="s">
        <v>40</v>
      </c>
      <c r="D1992">
        <v>6.0331099999999998</v>
      </c>
      <c r="E1992">
        <v>0.49533199999999999</v>
      </c>
      <c r="F1992" t="s">
        <v>75</v>
      </c>
      <c r="G1992">
        <v>-516.29700000000003</v>
      </c>
      <c r="H1992">
        <v>6.9405970000000003</v>
      </c>
      <c r="I1992">
        <v>280.31369999999998</v>
      </c>
      <c r="J1992">
        <v>-256.70119999999997</v>
      </c>
      <c r="K1992">
        <v>1.1087990000000001</v>
      </c>
      <c r="L1992">
        <v>282.6825</v>
      </c>
      <c r="M1992">
        <v>-0.99997029999999998</v>
      </c>
      <c r="N1992">
        <v>0</v>
      </c>
      <c r="O1992">
        <v>5.4807650000000003E-3</v>
      </c>
      <c r="P1992">
        <v>-0.99971189999999999</v>
      </c>
      <c r="Q1992">
        <v>2.351644E-2</v>
      </c>
      <c r="R1992">
        <v>4.8243920000000003E-3</v>
      </c>
      <c r="S1992">
        <v>-2.9994200000000002</v>
      </c>
      <c r="T1992">
        <v>6.7346329999999996E-2</v>
      </c>
      <c r="U1992">
        <v>-2.734375E-2</v>
      </c>
      <c r="V1992">
        <v>-6.4280890000000001E-4</v>
      </c>
      <c r="W1992">
        <v>2.895315E-2</v>
      </c>
      <c r="X1992">
        <v>0.99958060000000004</v>
      </c>
      <c r="Y1992">
        <v>-1.4591389999999999E-2</v>
      </c>
      <c r="Z1992">
        <v>2.8683140000000001E-4</v>
      </c>
      <c r="AA1992">
        <v>0.99989349999999999</v>
      </c>
      <c r="AB1992">
        <v>23</v>
      </c>
      <c r="AC1992">
        <v>-259.5958</v>
      </c>
      <c r="AD1992">
        <v>5.831798</v>
      </c>
      <c r="AE1992">
        <v>-2.3688000000000198</v>
      </c>
      <c r="AF1992">
        <v>-3.7896565065900298</v>
      </c>
      <c r="AG1992">
        <v>5.831798</v>
      </c>
      <c r="AH1992">
        <v>259.447992498384</v>
      </c>
      <c r="AI1992">
        <v>88.712475933141704</v>
      </c>
      <c r="AJ1992">
        <v>90.836837786384194</v>
      </c>
      <c r="AK1992">
        <v>259.54119552740002</v>
      </c>
      <c r="AL1992">
        <v>88.340874904451098</v>
      </c>
      <c r="AM1992">
        <v>90.036845685006696</v>
      </c>
      <c r="AN1992">
        <v>1.0000000369972799</v>
      </c>
    </row>
    <row r="1993" spans="1:40" x14ac:dyDescent="0.25">
      <c r="A1993" t="str">
        <f>"20190312160639668"</f>
        <v>20190312160639668</v>
      </c>
      <c r="B1993" t="str">
        <f>"1552377999656930"</f>
        <v>1552377999656930</v>
      </c>
      <c r="C1993" t="s">
        <v>40</v>
      </c>
      <c r="D1993">
        <v>6.3336209999999999</v>
      </c>
      <c r="E1993">
        <v>0.49613940000000001</v>
      </c>
      <c r="F1993" t="s">
        <v>41</v>
      </c>
      <c r="G1993">
        <v>0</v>
      </c>
      <c r="H1993">
        <v>0</v>
      </c>
      <c r="I1993">
        <v>0</v>
      </c>
      <c r="J1993">
        <v>-256.89870000000002</v>
      </c>
      <c r="K1993">
        <v>1.108786</v>
      </c>
      <c r="L1993">
        <v>282.68380000000002</v>
      </c>
      <c r="M1993">
        <v>-0.99996879999999999</v>
      </c>
      <c r="N1993">
        <v>0</v>
      </c>
      <c r="O1993">
        <v>5.7070599999999999E-3</v>
      </c>
      <c r="P1993">
        <v>-0.99969830000000004</v>
      </c>
      <c r="Q1993">
        <v>2.4070959999999999E-2</v>
      </c>
      <c r="R1993">
        <v>4.8932689999999996E-3</v>
      </c>
      <c r="S1993">
        <v>-2.9994510000000001</v>
      </c>
      <c r="T1993">
        <v>6.6250680000000006E-2</v>
      </c>
      <c r="U1993">
        <v>-2.2796629999999998E-2</v>
      </c>
      <c r="V1993">
        <v>-7.9865570000000002E-4</v>
      </c>
      <c r="W1993">
        <v>2.9527970000000001E-2</v>
      </c>
      <c r="X1993">
        <v>0.9995636</v>
      </c>
      <c r="Y1993">
        <v>-1.330227E-2</v>
      </c>
      <c r="Z1993">
        <v>2.7292780000000001E-4</v>
      </c>
      <c r="AA1993">
        <v>0.99991149999999995</v>
      </c>
      <c r="AB1993">
        <v>23</v>
      </c>
      <c r="AC1993">
        <v>-2.9994510000000001</v>
      </c>
      <c r="AD1993">
        <v>6.6250680000000006E-2</v>
      </c>
      <c r="AE1993">
        <v>-2.2796629999999998E-2</v>
      </c>
      <c r="AF1993">
        <v>-3.9895098684295603E-2</v>
      </c>
      <c r="AG1993">
        <v>6.6250680000000006E-2</v>
      </c>
      <c r="AH1993">
        <v>2.9978096142013699</v>
      </c>
      <c r="AI1993">
        <v>88.734098848429795</v>
      </c>
      <c r="AJ1993">
        <v>90.762451970897601</v>
      </c>
      <c r="AK1993">
        <v>2.9988069718635901</v>
      </c>
      <c r="AL1993">
        <v>88.307925933975199</v>
      </c>
      <c r="AM1993">
        <v>90.045779569360306</v>
      </c>
      <c r="AN1993">
        <v>0.99999996465410301</v>
      </c>
    </row>
    <row r="1994" spans="1:40" x14ac:dyDescent="0.25">
      <c r="A1994" t="str">
        <f>"20190312160639691"</f>
        <v>20190312160639691</v>
      </c>
      <c r="B1994" t="str">
        <f>"1552377999687185"</f>
        <v>1552377999687185</v>
      </c>
      <c r="C1994" t="s">
        <v>40</v>
      </c>
      <c r="D1994">
        <v>6.2814750000000004</v>
      </c>
      <c r="E1994">
        <v>0.49648959999999998</v>
      </c>
      <c r="F1994" t="s">
        <v>41</v>
      </c>
      <c r="G1994">
        <v>0</v>
      </c>
      <c r="H1994">
        <v>0</v>
      </c>
      <c r="I1994">
        <v>0</v>
      </c>
      <c r="J1994">
        <v>-257.13749999999999</v>
      </c>
      <c r="K1994">
        <v>1.108771</v>
      </c>
      <c r="L1994">
        <v>282.68549999999999</v>
      </c>
      <c r="M1994">
        <v>-0.99996700000000005</v>
      </c>
      <c r="N1994">
        <v>0</v>
      </c>
      <c r="O1994">
        <v>5.9979079999999997E-3</v>
      </c>
      <c r="P1994">
        <v>-0.99969430000000004</v>
      </c>
      <c r="Q1994">
        <v>2.405119E-2</v>
      </c>
      <c r="R1994">
        <v>5.7303550000000003E-3</v>
      </c>
      <c r="S1994">
        <v>-2.9994510000000001</v>
      </c>
      <c r="T1994">
        <v>6.3970330000000006E-2</v>
      </c>
      <c r="U1994">
        <v>-1.580811E-2</v>
      </c>
      <c r="V1994">
        <v>-2.5100879999999999E-4</v>
      </c>
      <c r="W1994">
        <v>2.9533210000000001E-2</v>
      </c>
      <c r="X1994">
        <v>0.9995638</v>
      </c>
      <c r="Y1994">
        <v>-1.126416E-2</v>
      </c>
      <c r="Z1994">
        <v>2.480087E-4</v>
      </c>
      <c r="AA1994">
        <v>0.99993650000000001</v>
      </c>
      <c r="AB1994">
        <v>24</v>
      </c>
      <c r="AC1994">
        <v>-2.9994510000000001</v>
      </c>
      <c r="AD1994">
        <v>6.3970330000000006E-2</v>
      </c>
      <c r="AE1994">
        <v>-1.580811E-2</v>
      </c>
      <c r="AF1994">
        <v>-3.3783160831979499E-2</v>
      </c>
      <c r="AG1994">
        <v>6.3970330000000006E-2</v>
      </c>
      <c r="AH1994">
        <v>2.9979386368123802</v>
      </c>
      <c r="AI1994">
        <v>88.777679714897005</v>
      </c>
      <c r="AJ1994">
        <v>90.6456271599952</v>
      </c>
      <c r="AK1994">
        <v>2.99881136038407</v>
      </c>
      <c r="AL1994">
        <v>88.307625686897495</v>
      </c>
      <c r="AM1994">
        <v>90.014388020612898</v>
      </c>
      <c r="AN1994">
        <v>1.00000003188438</v>
      </c>
    </row>
    <row r="1995" spans="1:40" x14ac:dyDescent="0.25">
      <c r="A1995" t="str">
        <f>"20190312160639711"</f>
        <v>20190312160639711</v>
      </c>
      <c r="B1995" t="str">
        <f>"1552377999706705"</f>
        <v>1552377999706705</v>
      </c>
      <c r="C1995" t="s">
        <v>40</v>
      </c>
      <c r="D1995">
        <v>4.5203110000000004</v>
      </c>
      <c r="E1995">
        <v>0.49648959999999998</v>
      </c>
      <c r="F1995" t="s">
        <v>41</v>
      </c>
      <c r="G1995">
        <v>0</v>
      </c>
      <c r="H1995">
        <v>0</v>
      </c>
      <c r="I1995">
        <v>0</v>
      </c>
      <c r="J1995">
        <v>-257.35579999999999</v>
      </c>
      <c r="K1995">
        <v>1.108762</v>
      </c>
      <c r="L1995">
        <v>282.68709999999999</v>
      </c>
      <c r="M1995">
        <v>-0.99996510000000005</v>
      </c>
      <c r="N1995">
        <v>0</v>
      </c>
      <c r="O1995">
        <v>6.2775840000000001E-3</v>
      </c>
      <c r="P1995">
        <v>-0.99970029999999999</v>
      </c>
      <c r="Q1995">
        <v>2.3487290000000001E-2</v>
      </c>
      <c r="R1995">
        <v>6.894E-3</v>
      </c>
      <c r="S1995">
        <v>-2.9992369999999999</v>
      </c>
      <c r="T1995">
        <v>7.3215840000000004E-2</v>
      </c>
      <c r="U1995">
        <v>-1.0803220000000001E-2</v>
      </c>
      <c r="V1995">
        <v>6.334143E-4</v>
      </c>
      <c r="W1995">
        <v>2.8991759999999998E-2</v>
      </c>
      <c r="X1995">
        <v>0.99957940000000001</v>
      </c>
      <c r="Y1995">
        <v>-9.8747239999999997E-3</v>
      </c>
      <c r="Z1995">
        <v>2.737339E-4</v>
      </c>
      <c r="AA1995">
        <v>0.99995120000000004</v>
      </c>
      <c r="AB1995">
        <v>24</v>
      </c>
      <c r="AC1995">
        <v>-2.9992369999999999</v>
      </c>
      <c r="AD1995">
        <v>7.3215840000000004E-2</v>
      </c>
      <c r="AE1995">
        <v>-1.0803220000000001E-2</v>
      </c>
      <c r="AF1995">
        <v>-2.9613608296514399E-2</v>
      </c>
      <c r="AG1995">
        <v>7.3215840000000004E-2</v>
      </c>
      <c r="AH1995">
        <v>2.9973239369734501</v>
      </c>
      <c r="AI1995">
        <v>88.600778543533707</v>
      </c>
      <c r="AJ1995">
        <v>90.566064797030194</v>
      </c>
      <c r="AK1995">
        <v>2.9983642720952401</v>
      </c>
      <c r="AL1995">
        <v>88.338661641089899</v>
      </c>
      <c r="AM1995">
        <v>89.963692767962598</v>
      </c>
      <c r="AN1995">
        <v>0.99999995013296505</v>
      </c>
    </row>
    <row r="1996" spans="1:40" x14ac:dyDescent="0.25">
      <c r="A1996" t="str">
        <f>"20190312160639756"</f>
        <v>20190312160639756</v>
      </c>
      <c r="B1996" t="str">
        <f>"1552377999746724"</f>
        <v>1552377999746724</v>
      </c>
      <c r="C1996" t="s">
        <v>40</v>
      </c>
      <c r="D1996">
        <v>5.2546720000000002</v>
      </c>
      <c r="E1996">
        <v>0.52463539999999997</v>
      </c>
      <c r="F1996" t="s">
        <v>41</v>
      </c>
      <c r="G1996">
        <v>0</v>
      </c>
      <c r="H1996">
        <v>0</v>
      </c>
      <c r="I1996">
        <v>0</v>
      </c>
      <c r="J1996">
        <v>-257.84460000000001</v>
      </c>
      <c r="K1996">
        <v>1.1087590000000001</v>
      </c>
      <c r="L1996">
        <v>282.6909</v>
      </c>
      <c r="M1996">
        <v>-0.99996070000000004</v>
      </c>
      <c r="N1996">
        <v>0</v>
      </c>
      <c r="O1996">
        <v>6.9308520000000004E-3</v>
      </c>
      <c r="P1996">
        <v>-0.99964310000000001</v>
      </c>
      <c r="Q1996">
        <v>2.5401079999999999E-2</v>
      </c>
      <c r="R1996">
        <v>8.2956929999999998E-3</v>
      </c>
      <c r="S1996">
        <v>-2.999298</v>
      </c>
      <c r="T1996">
        <v>7.152915E-2</v>
      </c>
      <c r="U1996">
        <v>-7.4157709999999998E-3</v>
      </c>
      <c r="V1996">
        <v>1.384496E-3</v>
      </c>
      <c r="W1996">
        <v>3.0955920000000001E-2</v>
      </c>
      <c r="X1996">
        <v>0.99951979999999996</v>
      </c>
      <c r="Y1996">
        <v>-9.3987299999999992E-3</v>
      </c>
      <c r="Z1996">
        <v>2.773268E-4</v>
      </c>
      <c r="AA1996">
        <v>0.99995579999999995</v>
      </c>
      <c r="AB1996">
        <v>24</v>
      </c>
      <c r="AC1996">
        <v>-2.999298</v>
      </c>
      <c r="AD1996">
        <v>7.152915E-2</v>
      </c>
      <c r="AE1996">
        <v>-7.4157709999999998E-3</v>
      </c>
      <c r="AF1996">
        <v>-2.8187569296603401E-2</v>
      </c>
      <c r="AG1996">
        <v>7.152915E-2</v>
      </c>
      <c r="AH1996">
        <v>2.9974697383181201</v>
      </c>
      <c r="AI1996">
        <v>88.6330605459776</v>
      </c>
      <c r="AJ1996">
        <v>90.538781469912706</v>
      </c>
      <c r="AK1996">
        <v>2.9984555675373099</v>
      </c>
      <c r="AL1996">
        <v>88.226073054118203</v>
      </c>
      <c r="AM1996">
        <v>89.920636162665801</v>
      </c>
      <c r="AN1996">
        <v>1.0000000082021301</v>
      </c>
    </row>
    <row r="1997" spans="1:40" x14ac:dyDescent="0.25">
      <c r="A1997" t="str">
        <f>"20190312160639767"</f>
        <v>20190312160639767</v>
      </c>
      <c r="B1997" t="str">
        <f>"1552377999757457"</f>
        <v>1552377999757457</v>
      </c>
      <c r="C1997" t="s">
        <v>40</v>
      </c>
      <c r="D1997">
        <v>8.2815449999999995</v>
      </c>
      <c r="E1997">
        <v>0.52463539999999997</v>
      </c>
      <c r="F1997" t="s">
        <v>66</v>
      </c>
      <c r="G1997">
        <v>-260.04329999999999</v>
      </c>
      <c r="H1997" s="1">
        <v>-1.5137279999999999E-6</v>
      </c>
      <c r="I1997">
        <v>282.87459999999999</v>
      </c>
      <c r="J1997">
        <v>-257.97039999999998</v>
      </c>
      <c r="K1997">
        <v>1.1087579999999999</v>
      </c>
      <c r="L1997">
        <v>282.69200000000001</v>
      </c>
      <c r="M1997">
        <v>-0.9999593</v>
      </c>
      <c r="N1997">
        <v>0</v>
      </c>
      <c r="O1997">
        <v>7.103196E-3</v>
      </c>
      <c r="P1997">
        <v>-0.99963150000000001</v>
      </c>
      <c r="Q1997">
        <v>2.5951189999999999E-2</v>
      </c>
      <c r="R1997">
        <v>7.9683069999999905E-3</v>
      </c>
      <c r="S1997">
        <v>-3.0379330000000002</v>
      </c>
      <c r="T1997">
        <v>-1.5319259999999999</v>
      </c>
      <c r="U1997">
        <v>0.2538147</v>
      </c>
      <c r="V1997">
        <v>8.8508879999999997E-4</v>
      </c>
      <c r="W1997">
        <v>3.1519739999999997E-2</v>
      </c>
      <c r="X1997">
        <v>0.99950269999999997</v>
      </c>
      <c r="Y1997">
        <v>6.8824079999999996E-2</v>
      </c>
      <c r="Z1997">
        <v>1.2972910000000001E-2</v>
      </c>
      <c r="AA1997">
        <v>0.99754449999999995</v>
      </c>
      <c r="AB1997">
        <v>24</v>
      </c>
      <c r="AC1997">
        <v>-2.0729000000000002</v>
      </c>
      <c r="AD1997">
        <v>-1.108759513728</v>
      </c>
      <c r="AE1997">
        <v>0.182599999999979</v>
      </c>
      <c r="AF1997">
        <v>0.13075108915560699</v>
      </c>
      <c r="AG1997">
        <v>-1.108759513728</v>
      </c>
      <c r="AH1997">
        <v>1.6155069513437199</v>
      </c>
      <c r="AI1997">
        <v>124.37548750990899</v>
      </c>
      <c r="AJ1997">
        <v>85.372850635515505</v>
      </c>
      <c r="AK1997">
        <v>1.9637480022746301</v>
      </c>
      <c r="AL1997">
        <v>88.193752691754497</v>
      </c>
      <c r="AM1997">
        <v>89.949262928975699</v>
      </c>
      <c r="AN1997">
        <v>0.99999996234957</v>
      </c>
    </row>
    <row r="1998" spans="1:40" x14ac:dyDescent="0.25">
      <c r="A1998" t="str">
        <f>"20190312160639788"</f>
        <v>20190312160639788</v>
      </c>
      <c r="B1998" t="str">
        <f>"1552377999776977"</f>
        <v>1552377999776977</v>
      </c>
      <c r="C1998" t="s">
        <v>40</v>
      </c>
      <c r="D1998">
        <v>9.3711350000000007</v>
      </c>
      <c r="E1998">
        <v>0.48766340000000002</v>
      </c>
      <c r="F1998" t="s">
        <v>44</v>
      </c>
      <c r="G1998">
        <v>-258.64370000000002</v>
      </c>
      <c r="H1998">
        <v>0.7696944</v>
      </c>
      <c r="I1998">
        <v>282.74829999999997</v>
      </c>
      <c r="J1998">
        <v>-258.19670000000002</v>
      </c>
      <c r="K1998">
        <v>1.1087629999999999</v>
      </c>
      <c r="L1998">
        <v>282.69389999999999</v>
      </c>
      <c r="M1998">
        <v>-0.99995699999999998</v>
      </c>
      <c r="N1998">
        <v>0</v>
      </c>
      <c r="O1998">
        <v>7.4125409999999999E-3</v>
      </c>
      <c r="P1998">
        <v>-0.99963150000000001</v>
      </c>
      <c r="Q1998">
        <v>2.622118E-2</v>
      </c>
      <c r="R1998">
        <v>7.0383199999999998E-3</v>
      </c>
      <c r="S1998">
        <v>-3.0388489999999999</v>
      </c>
      <c r="T1998">
        <v>-1.5301849999999999</v>
      </c>
      <c r="U1998">
        <v>0.25341799999999998</v>
      </c>
      <c r="V1998">
        <v>-3.5393589999999997E-4</v>
      </c>
      <c r="W1998">
        <v>3.181428E-2</v>
      </c>
      <c r="X1998">
        <v>0.99949370000000004</v>
      </c>
      <c r="Y1998">
        <v>6.8461159999999993E-2</v>
      </c>
      <c r="Z1998">
        <v>1.272349E-2</v>
      </c>
      <c r="AA1998">
        <v>0.99757269999999998</v>
      </c>
      <c r="AB1998">
        <v>24</v>
      </c>
      <c r="AC1998">
        <v>-0.44700000000000201</v>
      </c>
      <c r="AD1998">
        <v>-0.339068599999999</v>
      </c>
      <c r="AE1998">
        <v>5.4399999999986903E-2</v>
      </c>
      <c r="AF1998">
        <v>3.2600761290989301E-2</v>
      </c>
      <c r="AG1998">
        <v>-0.339068599999999</v>
      </c>
      <c r="AH1998">
        <v>0.28550988341217398</v>
      </c>
      <c r="AI1998">
        <v>139.718284784932</v>
      </c>
      <c r="AJ1998">
        <v>83.485931015967097</v>
      </c>
      <c r="AK1998">
        <v>0.44446171788889199</v>
      </c>
      <c r="AL1998">
        <v>88.176868329072093</v>
      </c>
      <c r="AM1998">
        <v>90.020289304915593</v>
      </c>
      <c r="AN1998">
        <v>0.99999996501111399</v>
      </c>
    </row>
    <row r="1999" spans="1:40" x14ac:dyDescent="0.25">
      <c r="A1999" t="str">
        <f>"20190312160639801"</f>
        <v>20190312160639801</v>
      </c>
      <c r="B1999" t="str">
        <f>"1552377999797473"</f>
        <v>1552377999797473</v>
      </c>
      <c r="C1999" t="s">
        <v>40</v>
      </c>
      <c r="D1999">
        <v>9.4392490000000002</v>
      </c>
      <c r="E1999">
        <v>0.48796620000000002</v>
      </c>
      <c r="F1999" t="s">
        <v>44</v>
      </c>
      <c r="G1999">
        <v>-258.93950000000001</v>
      </c>
      <c r="H1999">
        <v>0.95502030000000004</v>
      </c>
      <c r="I1999">
        <v>282.67869999999999</v>
      </c>
      <c r="J1999">
        <v>-258.32780000000002</v>
      </c>
      <c r="K1999">
        <v>1.1087640000000001</v>
      </c>
      <c r="L1999">
        <v>282.69510000000002</v>
      </c>
      <c r="M1999">
        <v>-0.9999555</v>
      </c>
      <c r="N1999">
        <v>0</v>
      </c>
      <c r="O1999">
        <v>7.5910190000000001E-3</v>
      </c>
      <c r="P1999">
        <v>-0.99964149999999996</v>
      </c>
      <c r="Q1999">
        <v>2.599307E-2</v>
      </c>
      <c r="R1999">
        <v>6.4109149999999997E-3</v>
      </c>
      <c r="S1999">
        <v>-3.0179140000000002</v>
      </c>
      <c r="T1999">
        <v>-0.62469359999999996</v>
      </c>
      <c r="U1999">
        <v>-6.2103270000000002E-2</v>
      </c>
      <c r="V1999">
        <v>-1.159867E-3</v>
      </c>
      <c r="W1999">
        <v>3.1600280000000001E-2</v>
      </c>
      <c r="X1999">
        <v>0.9994999</v>
      </c>
      <c r="Y1999">
        <v>-2.742087E-2</v>
      </c>
      <c r="Z1999">
        <v>-4.3626489999999997E-3</v>
      </c>
      <c r="AA1999">
        <v>0.99961449999999996</v>
      </c>
      <c r="AB1999">
        <v>24</v>
      </c>
      <c r="AC1999">
        <v>-0.61169999999998403</v>
      </c>
      <c r="AD1999">
        <v>-0.15374369999999901</v>
      </c>
      <c r="AE1999">
        <v>-1.6400000000032802E-2</v>
      </c>
      <c r="AF1999">
        <v>-1.9793546779826501E-2</v>
      </c>
      <c r="AG1999">
        <v>-0.15374369999999901</v>
      </c>
      <c r="AH1999">
        <v>0.57524517387079299</v>
      </c>
      <c r="AI1999">
        <v>104.955038964645</v>
      </c>
      <c r="AJ1999">
        <v>91.970706553977095</v>
      </c>
      <c r="AK1999">
        <v>0.59576498709260695</v>
      </c>
      <c r="AL1999">
        <v>88.189135833455197</v>
      </c>
      <c r="AM1999">
        <v>90.0664887050674</v>
      </c>
      <c r="AN1999">
        <v>0.99999998654377298</v>
      </c>
    </row>
    <row r="2000" spans="1:40" x14ac:dyDescent="0.25">
      <c r="A2000" t="str">
        <f>"20190312160639813"</f>
        <v>20190312160639813</v>
      </c>
      <c r="B2000" t="str">
        <f>"1552377999807233"</f>
        <v>1552377999807233</v>
      </c>
      <c r="C2000" t="s">
        <v>40</v>
      </c>
      <c r="D2000">
        <v>6.2827960000000003</v>
      </c>
      <c r="E2000">
        <v>0.4889714</v>
      </c>
      <c r="F2000" t="s">
        <v>44</v>
      </c>
      <c r="G2000">
        <v>-259.17700000000002</v>
      </c>
      <c r="H2000">
        <v>0.99673769999999995</v>
      </c>
      <c r="I2000">
        <v>282.67649999999998</v>
      </c>
      <c r="J2000">
        <v>-258.46260000000001</v>
      </c>
      <c r="K2000">
        <v>1.1087629999999999</v>
      </c>
      <c r="L2000">
        <v>282.69630000000001</v>
      </c>
      <c r="M2000">
        <v>-0.99995400000000001</v>
      </c>
      <c r="N2000">
        <v>0</v>
      </c>
      <c r="O2000">
        <v>7.7745030000000003E-3</v>
      </c>
      <c r="P2000">
        <v>-0.99964280000000005</v>
      </c>
      <c r="Q2000">
        <v>2.614325E-2</v>
      </c>
      <c r="R2000">
        <v>5.5492060000000001E-3</v>
      </c>
      <c r="S2000">
        <v>-3.0118710000000002</v>
      </c>
      <c r="T2000">
        <v>-0.3974453</v>
      </c>
      <c r="U2000">
        <v>-6.6436770000000006E-2</v>
      </c>
      <c r="V2000">
        <v>-2.2050350000000002E-3</v>
      </c>
      <c r="W2000">
        <v>3.1765189999999999E-2</v>
      </c>
      <c r="X2000">
        <v>0.99949290000000002</v>
      </c>
      <c r="Y2000">
        <v>-2.9502E-2</v>
      </c>
      <c r="Z2000">
        <v>-2.959302E-3</v>
      </c>
      <c r="AA2000">
        <v>0.99956040000000002</v>
      </c>
      <c r="AB2000">
        <v>24</v>
      </c>
      <c r="AC2000">
        <v>-0.71440000000001103</v>
      </c>
      <c r="AD2000">
        <v>-0.112025299999999</v>
      </c>
      <c r="AE2000">
        <v>-1.9800000000032E-2</v>
      </c>
      <c r="AF2000">
        <v>-2.4745580266282999E-2</v>
      </c>
      <c r="AG2000">
        <v>-0.112025299999999</v>
      </c>
      <c r="AH2000">
        <v>0.69709639063175399</v>
      </c>
      <c r="AI2000">
        <v>99.123881610969605</v>
      </c>
      <c r="AJ2000">
        <v>92.033036238492201</v>
      </c>
      <c r="AK2000">
        <v>0.706473912762972</v>
      </c>
      <c r="AL2000">
        <v>88.179682416396005</v>
      </c>
      <c r="AM2000">
        <v>90.126403093218698</v>
      </c>
      <c r="AN2000">
        <v>0.99999997331274804</v>
      </c>
    </row>
    <row r="2001" spans="1:40" x14ac:dyDescent="0.25">
      <c r="A2001" t="str">
        <f>"20190312160639825"</f>
        <v>20190312160639825</v>
      </c>
      <c r="B2001" t="str">
        <f>"1552377999816994"</f>
        <v>1552377999816994</v>
      </c>
      <c r="C2001" t="s">
        <v>40</v>
      </c>
      <c r="D2001">
        <v>6.247064</v>
      </c>
      <c r="E2001">
        <v>0.48813990000000002</v>
      </c>
      <c r="F2001" t="s">
        <v>44</v>
      </c>
      <c r="G2001">
        <v>-259.18880000000001</v>
      </c>
      <c r="H2001">
        <v>1.0223089999999999</v>
      </c>
      <c r="I2001">
        <v>282.68150000000003</v>
      </c>
      <c r="J2001">
        <v>-258.60250000000002</v>
      </c>
      <c r="K2001">
        <v>1.1087640000000001</v>
      </c>
      <c r="L2001">
        <v>282.69760000000002</v>
      </c>
      <c r="M2001">
        <v>-0.99995239999999996</v>
      </c>
      <c r="N2001">
        <v>0</v>
      </c>
      <c r="O2001">
        <v>7.9634110000000001E-3</v>
      </c>
      <c r="P2001">
        <v>-0.99966370000000004</v>
      </c>
      <c r="Q2001">
        <v>2.5364680000000001E-2</v>
      </c>
      <c r="R2001">
        <v>5.4179980000000003E-3</v>
      </c>
      <c r="S2001">
        <v>-3.0108030000000001</v>
      </c>
      <c r="T2001">
        <v>-0.35858820000000002</v>
      </c>
      <c r="U2001">
        <v>-6.1889649999999997E-2</v>
      </c>
      <c r="V2001">
        <v>-2.5258450000000001E-3</v>
      </c>
      <c r="W2001">
        <v>3.10012E-2</v>
      </c>
      <c r="X2001">
        <v>0.99951610000000002</v>
      </c>
      <c r="Y2001">
        <v>-2.825683E-2</v>
      </c>
      <c r="Z2001">
        <v>-2.6216360000000001E-3</v>
      </c>
      <c r="AA2001">
        <v>0.99959730000000002</v>
      </c>
      <c r="AB2001">
        <v>24</v>
      </c>
      <c r="AC2001">
        <v>-0.58629999999999405</v>
      </c>
      <c r="AD2001">
        <v>-8.6454999999999907E-2</v>
      </c>
      <c r="AE2001">
        <v>-1.60999999999944E-2</v>
      </c>
      <c r="AF2001">
        <v>-2.0326856395853798E-2</v>
      </c>
      <c r="AG2001">
        <v>-8.6454999999999907E-2</v>
      </c>
      <c r="AH2001">
        <v>0.57368828826864504</v>
      </c>
      <c r="AI2001">
        <v>98.564708474646693</v>
      </c>
      <c r="AJ2001">
        <v>92.029248463688603</v>
      </c>
      <c r="AK2001">
        <v>0.58052209278592104</v>
      </c>
      <c r="AL2001">
        <v>88.223477341793298</v>
      </c>
      <c r="AM2001">
        <v>90.144790014028501</v>
      </c>
      <c r="AN2001">
        <v>0.99999994422680505</v>
      </c>
    </row>
    <row r="2002" spans="1:40" x14ac:dyDescent="0.25">
      <c r="A2002" t="str">
        <f>"20190312160639846"</f>
        <v>20190312160639846</v>
      </c>
      <c r="B2002" t="str">
        <f>"1552377999837490"</f>
        <v>1552377999837490</v>
      </c>
      <c r="C2002" t="s">
        <v>40</v>
      </c>
      <c r="D2002">
        <v>6.3244939999999996</v>
      </c>
      <c r="E2002">
        <v>0.48919499999999999</v>
      </c>
      <c r="F2002" t="s">
        <v>44</v>
      </c>
      <c r="G2002">
        <v>-259.40899999999999</v>
      </c>
      <c r="H2002">
        <v>1.0241579999999999</v>
      </c>
      <c r="I2002">
        <v>282.67899999999997</v>
      </c>
      <c r="J2002">
        <v>-258.82119999999998</v>
      </c>
      <c r="K2002">
        <v>1.1087659999999999</v>
      </c>
      <c r="L2002">
        <v>282.69959999999998</v>
      </c>
      <c r="M2002">
        <v>-0.99995000000000001</v>
      </c>
      <c r="N2002">
        <v>0</v>
      </c>
      <c r="O2002">
        <v>8.2573209999999998E-3</v>
      </c>
      <c r="P2002">
        <v>-0.99966820000000001</v>
      </c>
      <c r="Q2002">
        <v>2.5197580000000001E-2</v>
      </c>
      <c r="R2002">
        <v>5.3390800000000004E-3</v>
      </c>
      <c r="S2002">
        <v>-3.0093990000000002</v>
      </c>
      <c r="T2002">
        <v>-0.31579230000000003</v>
      </c>
      <c r="U2002">
        <v>-7.0098880000000002E-2</v>
      </c>
      <c r="V2002">
        <v>-2.8990410000000002E-3</v>
      </c>
      <c r="W2002">
        <v>3.085678E-2</v>
      </c>
      <c r="X2002">
        <v>0.99951959999999995</v>
      </c>
      <c r="Y2002">
        <v>-3.1324200000000003E-2</v>
      </c>
      <c r="Z2002">
        <v>-2.5028110000000002E-3</v>
      </c>
      <c r="AA2002">
        <v>0.99950609999999995</v>
      </c>
      <c r="AB2002">
        <v>24</v>
      </c>
      <c r="AC2002">
        <v>-0.58780000000001498</v>
      </c>
      <c r="AD2002">
        <v>-8.4608000000000003E-2</v>
      </c>
      <c r="AE2002">
        <v>-2.0599999999944801E-2</v>
      </c>
      <c r="AF2002">
        <v>-2.4936998360101801E-2</v>
      </c>
      <c r="AG2002">
        <v>-8.4608000000000003E-2</v>
      </c>
      <c r="AH2002">
        <v>0.57569676691673499</v>
      </c>
      <c r="AI2002">
        <v>98.352972774057093</v>
      </c>
      <c r="AJ2002">
        <v>92.4802851778106</v>
      </c>
      <c r="AK2002">
        <v>0.58241491652394395</v>
      </c>
      <c r="AL2002">
        <v>88.231756036870095</v>
      </c>
      <c r="AM2002">
        <v>90.166182182076895</v>
      </c>
      <c r="AN2002">
        <v>0.99999998804742396</v>
      </c>
    </row>
    <row r="2003" spans="1:40" x14ac:dyDescent="0.25">
      <c r="A2003" t="str">
        <f>"20190312160639868"</f>
        <v>20190312160639868</v>
      </c>
      <c r="B2003" t="str">
        <f>"1552377999857008"</f>
        <v>1552377999857008</v>
      </c>
      <c r="C2003" t="s">
        <v>40</v>
      </c>
      <c r="D2003">
        <v>6.3678990000000004</v>
      </c>
      <c r="E2003">
        <v>0.49080990000000002</v>
      </c>
      <c r="F2003" t="s">
        <v>44</v>
      </c>
      <c r="G2003">
        <v>-259.63470000000001</v>
      </c>
      <c r="H2003">
        <v>1.0320180000000001</v>
      </c>
      <c r="I2003">
        <v>282.68279999999999</v>
      </c>
      <c r="J2003">
        <v>-259.06360000000001</v>
      </c>
      <c r="K2003">
        <v>1.1087720000000001</v>
      </c>
      <c r="L2003">
        <v>282.702</v>
      </c>
      <c r="M2003">
        <v>-0.99994709999999998</v>
      </c>
      <c r="N2003">
        <v>0</v>
      </c>
      <c r="O2003">
        <v>8.5804360000000003E-3</v>
      </c>
      <c r="P2003">
        <v>-0.9996427</v>
      </c>
      <c r="Q2003">
        <v>2.606727E-2</v>
      </c>
      <c r="R2003">
        <v>5.9134259999999899E-3</v>
      </c>
      <c r="S2003">
        <v>-3.0084840000000002</v>
      </c>
      <c r="T2003">
        <v>-0.28407100000000002</v>
      </c>
      <c r="U2003">
        <v>-6.3293459999999996E-2</v>
      </c>
      <c r="V2003">
        <v>-2.646364E-3</v>
      </c>
      <c r="W2003">
        <v>3.1751840000000003E-2</v>
      </c>
      <c r="X2003">
        <v>0.9994923</v>
      </c>
      <c r="Y2003">
        <v>-2.9442510000000002E-2</v>
      </c>
      <c r="Z2003">
        <v>-2.1951230000000002E-3</v>
      </c>
      <c r="AA2003">
        <v>0.99956409999999996</v>
      </c>
      <c r="AB2003">
        <v>24</v>
      </c>
      <c r="AC2003">
        <v>-0.57110000000000105</v>
      </c>
      <c r="AD2003">
        <v>-7.6753999999999697E-2</v>
      </c>
      <c r="AE2003">
        <v>-1.9200000000011999E-2</v>
      </c>
      <c r="AF2003">
        <v>-2.3672556336332699E-2</v>
      </c>
      <c r="AG2003">
        <v>-7.6753999999999697E-2</v>
      </c>
      <c r="AH2003">
        <v>0.56079628499703504</v>
      </c>
      <c r="AI2003">
        <v>97.786578423539694</v>
      </c>
      <c r="AJ2003">
        <v>92.417157266531007</v>
      </c>
      <c r="AK2003">
        <v>0.56651923154114803</v>
      </c>
      <c r="AL2003">
        <v>88.180447786397195</v>
      </c>
      <c r="AM2003">
        <v>90.151702153123594</v>
      </c>
      <c r="AN2003">
        <v>1.0000000201725401</v>
      </c>
    </row>
    <row r="2004" spans="1:40" x14ac:dyDescent="0.25">
      <c r="A2004" t="str">
        <f>"20190312160639891"</f>
        <v>20190312160639891</v>
      </c>
      <c r="B2004" t="str">
        <f>"1552377999887265"</f>
        <v>1552377999887265</v>
      </c>
      <c r="C2004" t="s">
        <v>40</v>
      </c>
      <c r="D2004">
        <v>6.4471400000000001</v>
      </c>
      <c r="E2004">
        <v>0.49014809999999998</v>
      </c>
      <c r="F2004" t="s">
        <v>66</v>
      </c>
      <c r="G2004">
        <v>-271.71719999999999</v>
      </c>
      <c r="H2004" s="1">
        <v>-5.302882E-7</v>
      </c>
      <c r="I2004">
        <v>282.4957</v>
      </c>
      <c r="J2004">
        <v>-259.31549999999999</v>
      </c>
      <c r="K2004">
        <v>1.108773</v>
      </c>
      <c r="L2004">
        <v>282.7045</v>
      </c>
      <c r="M2004">
        <v>-0.9999439</v>
      </c>
      <c r="N2004">
        <v>0</v>
      </c>
      <c r="O2004">
        <v>8.9148719999999904E-3</v>
      </c>
      <c r="P2004">
        <v>-0.99963159999999895</v>
      </c>
      <c r="Q2004">
        <v>2.6286239999999999E-2</v>
      </c>
      <c r="R2004">
        <v>6.7573249999999998E-3</v>
      </c>
      <c r="S2004">
        <v>-3.0082399999999998</v>
      </c>
      <c r="T2004">
        <v>-0.263598</v>
      </c>
      <c r="U2004">
        <v>-4.9041750000000002E-2</v>
      </c>
      <c r="V2004">
        <v>-2.1368670000000002E-3</v>
      </c>
      <c r="W2004">
        <v>3.1996810000000001E-2</v>
      </c>
      <c r="X2004">
        <v>0.99948570000000003</v>
      </c>
      <c r="Y2004">
        <v>-2.5083250000000001E-2</v>
      </c>
      <c r="Z2004">
        <v>-1.8764319999999999E-3</v>
      </c>
      <c r="AA2004">
        <v>0.99968360000000001</v>
      </c>
      <c r="AB2004">
        <v>25</v>
      </c>
      <c r="AC2004">
        <v>-12.4017</v>
      </c>
      <c r="AD2004">
        <v>-1.1087735302882</v>
      </c>
      <c r="AE2004">
        <v>-0.20879999999999599</v>
      </c>
      <c r="AF2004">
        <v>-0.316821365455773</v>
      </c>
      <c r="AG2004">
        <v>-1.1087735302882</v>
      </c>
      <c r="AH2004">
        <v>12.3010482478337</v>
      </c>
      <c r="AI2004">
        <v>95.1488246567571</v>
      </c>
      <c r="AJ2004">
        <v>91.4753632769402</v>
      </c>
      <c r="AK2004">
        <v>12.3549804740684</v>
      </c>
      <c r="AL2004">
        <v>88.166404891486707</v>
      </c>
      <c r="AM2004">
        <v>90.122496273771105</v>
      </c>
      <c r="AN2004">
        <v>1.0000000132776199</v>
      </c>
    </row>
    <row r="2005" spans="1:40" x14ac:dyDescent="0.25">
      <c r="A2005" t="str">
        <f>"20190312160639912"</f>
        <v>20190312160639912</v>
      </c>
      <c r="B2005" t="str">
        <f>"1552377999906786"</f>
        <v>1552377999906786</v>
      </c>
      <c r="C2005" t="s">
        <v>40</v>
      </c>
      <c r="D2005">
        <v>6.5123519999999999</v>
      </c>
      <c r="E2005">
        <v>0.49007859999999998</v>
      </c>
      <c r="F2005" t="s">
        <v>66</v>
      </c>
      <c r="G2005">
        <v>-274.27730000000003</v>
      </c>
      <c r="H2005" s="1">
        <v>8.3424869999999899E-7</v>
      </c>
      <c r="I2005">
        <v>282.44560000000001</v>
      </c>
      <c r="J2005">
        <v>-259.55399999999997</v>
      </c>
      <c r="K2005">
        <v>1.10877</v>
      </c>
      <c r="L2005">
        <v>282.70699999999999</v>
      </c>
      <c r="M2005">
        <v>-0.99994099999999997</v>
      </c>
      <c r="N2005">
        <v>0</v>
      </c>
      <c r="O2005">
        <v>9.2304789999999998E-3</v>
      </c>
      <c r="P2005">
        <v>-0.99965360000000003</v>
      </c>
      <c r="Q2005">
        <v>2.4981969999999999E-2</v>
      </c>
      <c r="R2005">
        <v>8.2782459999999995E-3</v>
      </c>
      <c r="S2005">
        <v>-3.0073240000000001</v>
      </c>
      <c r="T2005">
        <v>-0.2228637</v>
      </c>
      <c r="U2005">
        <v>-5.2032469999999997E-2</v>
      </c>
      <c r="V2005">
        <v>-9.3207849999999998E-4</v>
      </c>
      <c r="W2005">
        <v>3.0717129999999999E-2</v>
      </c>
      <c r="X2005">
        <v>0.99952770000000002</v>
      </c>
      <c r="Y2005">
        <v>-2.6430080000000002E-2</v>
      </c>
      <c r="Z2005">
        <v>-1.660985E-3</v>
      </c>
      <c r="AA2005">
        <v>0.99964929999999996</v>
      </c>
      <c r="AB2005">
        <v>25</v>
      </c>
      <c r="AC2005">
        <v>-14.723299999999901</v>
      </c>
      <c r="AD2005">
        <v>-1.1087691657512999</v>
      </c>
      <c r="AE2005">
        <v>-0.26139999999997998</v>
      </c>
      <c r="AF2005">
        <v>-0.39505449195500603</v>
      </c>
      <c r="AG2005">
        <v>-1.1087691657512999</v>
      </c>
      <c r="AH2005">
        <v>14.637275668185</v>
      </c>
      <c r="AI2005">
        <v>94.330294128281295</v>
      </c>
      <c r="AJ2005">
        <v>91.546015933241193</v>
      </c>
      <c r="AK2005">
        <v>14.6845250553423</v>
      </c>
      <c r="AL2005">
        <v>88.239761238170999</v>
      </c>
      <c r="AM2005">
        <v>90.053429383442705</v>
      </c>
      <c r="AN2005">
        <v>1.00000001695652</v>
      </c>
    </row>
    <row r="2006" spans="1:40" x14ac:dyDescent="0.25">
      <c r="A2006" t="str">
        <f>"20190312160639935"</f>
        <v>20190312160639935</v>
      </c>
      <c r="B2006" t="str">
        <f>"1552377999927284"</f>
        <v>1552377999927284</v>
      </c>
      <c r="C2006" t="s">
        <v>40</v>
      </c>
      <c r="D2006">
        <v>6.3427600000000002</v>
      </c>
      <c r="E2006">
        <v>0.4899559</v>
      </c>
      <c r="F2006" t="s">
        <v>66</v>
      </c>
      <c r="G2006">
        <v>-275.54289999999997</v>
      </c>
      <c r="H2006" s="1">
        <v>1.507639E-6</v>
      </c>
      <c r="I2006">
        <v>282.44850000000002</v>
      </c>
      <c r="J2006">
        <v>-259.80540000000002</v>
      </c>
      <c r="K2006">
        <v>1.1087670000000001</v>
      </c>
      <c r="L2006">
        <v>282.7097</v>
      </c>
      <c r="M2006">
        <v>-0.99993770000000004</v>
      </c>
      <c r="N2006">
        <v>0</v>
      </c>
      <c r="O2006">
        <v>9.5630090000000008E-3</v>
      </c>
      <c r="P2006">
        <v>-0.99966880000000002</v>
      </c>
      <c r="Q2006">
        <v>2.3839200000000001E-2</v>
      </c>
      <c r="R2006">
        <v>9.7003809999999992E-3</v>
      </c>
      <c r="S2006">
        <v>-3.0066220000000001</v>
      </c>
      <c r="T2006">
        <v>-0.20849680000000001</v>
      </c>
      <c r="U2006">
        <v>-4.8614499999999998E-2</v>
      </c>
      <c r="V2006">
        <v>1.569013E-4</v>
      </c>
      <c r="W2006">
        <v>2.9600419999999999E-2</v>
      </c>
      <c r="X2006">
        <v>0.99956179999999994</v>
      </c>
      <c r="Y2006">
        <v>-2.564367E-2</v>
      </c>
      <c r="Z2006">
        <v>-1.55035E-3</v>
      </c>
      <c r="AA2006">
        <v>0.99966999999999995</v>
      </c>
      <c r="AB2006">
        <v>25</v>
      </c>
      <c r="AC2006">
        <v>-15.737499999999899</v>
      </c>
      <c r="AD2006">
        <v>-1.108765492361</v>
      </c>
      <c r="AE2006">
        <v>-0.26119999999997301</v>
      </c>
      <c r="AF2006">
        <v>-0.40965554570240398</v>
      </c>
      <c r="AG2006">
        <v>-1.108765492361</v>
      </c>
      <c r="AH2006">
        <v>15.656588818765</v>
      </c>
      <c r="AI2006">
        <v>94.049418152233898</v>
      </c>
      <c r="AJ2006">
        <v>91.498805391746203</v>
      </c>
      <c r="AK2006">
        <v>15.70114492714</v>
      </c>
      <c r="AL2006">
        <v>88.303773100549506</v>
      </c>
      <c r="AM2006">
        <v>89.991006276734197</v>
      </c>
      <c r="AN2006">
        <v>1.0000000007507099</v>
      </c>
    </row>
    <row r="2007" spans="1:40" x14ac:dyDescent="0.25">
      <c r="A2007" t="str">
        <f>"20190312160639957"</f>
        <v>20190312160639957</v>
      </c>
      <c r="B2007" t="str">
        <f>"1552377999946801"</f>
        <v>1552377999946801</v>
      </c>
      <c r="C2007" t="s">
        <v>40</v>
      </c>
      <c r="D2007">
        <v>6.3286860000000003</v>
      </c>
      <c r="E2007">
        <v>0.48967369999999999</v>
      </c>
      <c r="F2007" t="s">
        <v>66</v>
      </c>
      <c r="G2007">
        <v>-276.07029999999997</v>
      </c>
      <c r="H2007" s="1">
        <v>1.7877010000000001E-6</v>
      </c>
      <c r="I2007">
        <v>282.46230000000003</v>
      </c>
      <c r="J2007">
        <v>-260.05720000000002</v>
      </c>
      <c r="K2007">
        <v>1.1087610000000001</v>
      </c>
      <c r="L2007">
        <v>282.71249999999998</v>
      </c>
      <c r="M2007">
        <v>-0.9999344</v>
      </c>
      <c r="N2007">
        <v>0</v>
      </c>
      <c r="O2007">
        <v>9.8954799999999999E-3</v>
      </c>
      <c r="P2007">
        <v>-0.99966869999999997</v>
      </c>
      <c r="Q2007">
        <v>2.3816319999999998E-2</v>
      </c>
      <c r="R2007">
        <v>9.7719190000000004E-3</v>
      </c>
      <c r="S2007">
        <v>-3.006348</v>
      </c>
      <c r="T2007">
        <v>-0.20494000000000001</v>
      </c>
      <c r="U2007">
        <v>-4.5715329999999998E-2</v>
      </c>
      <c r="V2007">
        <v>-1.037301E-4</v>
      </c>
      <c r="W2007">
        <v>2.9604220000000001E-2</v>
      </c>
      <c r="X2007">
        <v>0.9995617</v>
      </c>
      <c r="Y2007">
        <v>-2.5017259999999999E-2</v>
      </c>
      <c r="Z2007">
        <v>-1.525425E-3</v>
      </c>
      <c r="AA2007">
        <v>0.99968590000000002</v>
      </c>
      <c r="AB2007">
        <v>25</v>
      </c>
      <c r="AC2007">
        <v>-16.013099999999898</v>
      </c>
      <c r="AD2007">
        <v>-1.108759212299</v>
      </c>
      <c r="AE2007">
        <v>-0.25019999999994902</v>
      </c>
      <c r="AF2007">
        <v>-0.40669834563778001</v>
      </c>
      <c r="AG2007">
        <v>-1.108759212299</v>
      </c>
      <c r="AH2007">
        <v>15.9334691458312</v>
      </c>
      <c r="AI2007">
        <v>93.979321463603398</v>
      </c>
      <c r="AJ2007">
        <v>91.462144869512102</v>
      </c>
      <c r="AK2007">
        <v>15.977177146053</v>
      </c>
      <c r="AL2007">
        <v>88.303555290638201</v>
      </c>
      <c r="AM2007">
        <v>90.005945903006406</v>
      </c>
      <c r="AN2007">
        <v>1.00000000635431</v>
      </c>
    </row>
    <row r="2008" spans="1:40" x14ac:dyDescent="0.25">
      <c r="A2008" t="str">
        <f>"20190312160639979"</f>
        <v>20190312160639979</v>
      </c>
      <c r="B2008" t="str">
        <f>"1552377999967572"</f>
        <v>1552377999967572</v>
      </c>
      <c r="C2008" t="s">
        <v>40</v>
      </c>
      <c r="D2008">
        <v>6.4362539999999999</v>
      </c>
      <c r="E2008">
        <v>0.48946149999999999</v>
      </c>
      <c r="F2008" t="s">
        <v>66</v>
      </c>
      <c r="G2008">
        <v>-277.28109999999998</v>
      </c>
      <c r="H2008" s="1">
        <v>2.4329859999999999E-6</v>
      </c>
      <c r="I2008">
        <v>282.43950000000001</v>
      </c>
      <c r="J2008">
        <v>-260.29820000000001</v>
      </c>
      <c r="K2008">
        <v>1.1087560000000001</v>
      </c>
      <c r="L2008">
        <v>282.71510000000001</v>
      </c>
      <c r="M2008">
        <v>-0.99993100000000001</v>
      </c>
      <c r="N2008">
        <v>0</v>
      </c>
      <c r="O2008">
        <v>1.0213409999999999E-2</v>
      </c>
      <c r="P2008">
        <v>-0.99968170000000001</v>
      </c>
      <c r="Q2008">
        <v>2.3381740000000002E-2</v>
      </c>
      <c r="R2008">
        <v>9.5132050000000003E-3</v>
      </c>
      <c r="S2008">
        <v>-3.0060730000000002</v>
      </c>
      <c r="T2008">
        <v>-0.19351090000000001</v>
      </c>
      <c r="U2008">
        <v>-4.7637939999999997E-2</v>
      </c>
      <c r="V2008">
        <v>-6.8045849999999995E-4</v>
      </c>
      <c r="W2008">
        <v>2.9195280000000001E-2</v>
      </c>
      <c r="X2008">
        <v>0.9995735</v>
      </c>
      <c r="Y2008">
        <v>-2.5981819999999999E-2</v>
      </c>
      <c r="Z2008">
        <v>-1.4921170000000001E-3</v>
      </c>
      <c r="AA2008">
        <v>0.99966129999999997</v>
      </c>
      <c r="AB2008">
        <v>25</v>
      </c>
      <c r="AC2008">
        <v>-16.982899999999901</v>
      </c>
      <c r="AD2008">
        <v>-1.1087535670140001</v>
      </c>
      <c r="AE2008">
        <v>-0.27559999999999701</v>
      </c>
      <c r="AF2008">
        <v>-0.44713652802826898</v>
      </c>
      <c r="AG2008">
        <v>-1.1087535670140001</v>
      </c>
      <c r="AH2008">
        <v>16.9071545287375</v>
      </c>
      <c r="AI2008">
        <v>93.750717295016301</v>
      </c>
      <c r="AJ2008">
        <v>91.514924675540001</v>
      </c>
      <c r="AK2008">
        <v>16.949369894060101</v>
      </c>
      <c r="AL2008">
        <v>88.326995956481198</v>
      </c>
      <c r="AM2008">
        <v>90.039004029379797</v>
      </c>
      <c r="AN2008">
        <v>1.0000000046501401</v>
      </c>
    </row>
    <row r="2009" spans="1:40" x14ac:dyDescent="0.25">
      <c r="A2009" t="str">
        <f>"20190312160640001"</f>
        <v>20190312160640001</v>
      </c>
      <c r="B2009" t="str">
        <f>"1552377999996852"</f>
        <v>1552377999996852</v>
      </c>
      <c r="C2009" t="s">
        <v>40</v>
      </c>
      <c r="D2009">
        <v>6.1822330000000001</v>
      </c>
      <c r="E2009">
        <v>0.4896239</v>
      </c>
      <c r="F2009" t="s">
        <v>66</v>
      </c>
      <c r="G2009">
        <v>-278.31130000000002</v>
      </c>
      <c r="H2009" s="1">
        <v>2.9823650000000001E-6</v>
      </c>
      <c r="I2009">
        <v>282.41390000000001</v>
      </c>
      <c r="J2009">
        <v>-260.5539</v>
      </c>
      <c r="K2009">
        <v>1.1087560000000001</v>
      </c>
      <c r="L2009">
        <v>282.71809999999999</v>
      </c>
      <c r="M2009">
        <v>-0.99992729999999996</v>
      </c>
      <c r="N2009">
        <v>0</v>
      </c>
      <c r="O2009">
        <v>1.055095E-2</v>
      </c>
      <c r="P2009">
        <v>-0.99967899999999998</v>
      </c>
      <c r="Q2009">
        <v>2.3520309999999999E-2</v>
      </c>
      <c r="R2009">
        <v>9.4268159999999993E-3</v>
      </c>
      <c r="S2009">
        <v>-3.005798</v>
      </c>
      <c r="T2009">
        <v>-0.1850145</v>
      </c>
      <c r="U2009">
        <v>-5.026245E-2</v>
      </c>
      <c r="V2009">
        <v>-1.10418E-3</v>
      </c>
      <c r="W2009">
        <v>2.9361149999999999E-2</v>
      </c>
      <c r="X2009">
        <v>0.99956829999999997</v>
      </c>
      <c r="Y2009">
        <v>-2.7196789999999998E-2</v>
      </c>
      <c r="Z2009">
        <v>-1.4849609999999999E-3</v>
      </c>
      <c r="AA2009">
        <v>0.99962899999999999</v>
      </c>
      <c r="AB2009">
        <v>25</v>
      </c>
      <c r="AC2009">
        <v>-17.757400000000001</v>
      </c>
      <c r="AD2009">
        <v>-1.10875301763499</v>
      </c>
      <c r="AE2009">
        <v>-0.30419999999997999</v>
      </c>
      <c r="AF2009">
        <v>-0.48963535622534599</v>
      </c>
      <c r="AG2009">
        <v>-1.10875301763499</v>
      </c>
      <c r="AH2009">
        <v>17.6842778384182</v>
      </c>
      <c r="AI2009">
        <v>93.586212806724703</v>
      </c>
      <c r="AJ2009">
        <v>91.585977905776105</v>
      </c>
      <c r="AK2009">
        <v>17.725765391162899</v>
      </c>
      <c r="AL2009">
        <v>88.317488291387406</v>
      </c>
      <c r="AM2009">
        <v>90.063292151311103</v>
      </c>
      <c r="AN2009">
        <v>1.0000000413538399</v>
      </c>
    </row>
    <row r="2010" spans="1:40" x14ac:dyDescent="0.25">
      <c r="A2010" t="str">
        <f>"20190312160640025"</f>
        <v>20190312160640025</v>
      </c>
      <c r="B2010" t="str">
        <f>"1552378000017349"</f>
        <v>1552378000017349</v>
      </c>
      <c r="C2010" t="s">
        <v>40</v>
      </c>
      <c r="D2010">
        <v>6.3867050000000001</v>
      </c>
      <c r="E2010">
        <v>0.48961900000000003</v>
      </c>
      <c r="F2010" t="s">
        <v>77</v>
      </c>
      <c r="G2010">
        <v>-280.36489999999998</v>
      </c>
      <c r="H2010" s="1">
        <v>8.7001739999999905E-6</v>
      </c>
      <c r="I2010">
        <v>282.39139999999998</v>
      </c>
      <c r="J2010">
        <v>-260.81569999999999</v>
      </c>
      <c r="K2010">
        <v>1.1087499999999999</v>
      </c>
      <c r="L2010">
        <v>282.72129999999999</v>
      </c>
      <c r="M2010">
        <v>-0.99992360000000002</v>
      </c>
      <c r="N2010">
        <v>0</v>
      </c>
      <c r="O2010">
        <v>1.089647E-2</v>
      </c>
      <c r="P2010">
        <v>-0.99967779999999995</v>
      </c>
      <c r="Q2010">
        <v>2.3636770000000001E-2</v>
      </c>
      <c r="R2010">
        <v>9.2738370000000001E-3</v>
      </c>
      <c r="S2010">
        <v>-3.0054020000000001</v>
      </c>
      <c r="T2010">
        <v>-0.16820109999999999</v>
      </c>
      <c r="U2010">
        <v>-4.9560550000000002E-2</v>
      </c>
      <c r="V2010">
        <v>-1.6027299999999999E-3</v>
      </c>
      <c r="W2010">
        <v>2.9504610000000001E-2</v>
      </c>
      <c r="X2010">
        <v>0.99956330000000004</v>
      </c>
      <c r="Y2010">
        <v>-2.732265E-2</v>
      </c>
      <c r="Z2010">
        <v>-1.3732550000000001E-3</v>
      </c>
      <c r="AA2010">
        <v>0.99962569999999995</v>
      </c>
      <c r="AB2010">
        <v>25</v>
      </c>
      <c r="AC2010">
        <v>-19.5491999999999</v>
      </c>
      <c r="AD2010">
        <v>-1.108741299826</v>
      </c>
      <c r="AE2010">
        <v>-0.32990000000000902</v>
      </c>
      <c r="AF2010">
        <v>-0.54116108807833896</v>
      </c>
      <c r="AG2010">
        <v>-1.108741299826</v>
      </c>
      <c r="AH2010">
        <v>19.481796464439601</v>
      </c>
      <c r="AI2010">
        <v>93.256030778533997</v>
      </c>
      <c r="AJ2010">
        <v>91.591140492119607</v>
      </c>
      <c r="AK2010">
        <v>19.5208236525778</v>
      </c>
      <c r="AL2010">
        <v>88.309264906381003</v>
      </c>
      <c r="AM2010">
        <v>90.091869705501793</v>
      </c>
      <c r="AN2010">
        <v>0.99999994073079501</v>
      </c>
    </row>
    <row r="2011" spans="1:40" x14ac:dyDescent="0.25">
      <c r="A2011" t="str">
        <f>"20190312160640046"</f>
        <v>20190312160640046</v>
      </c>
      <c r="B2011" t="str">
        <f>"1552378000036868"</f>
        <v>1552378000036868</v>
      </c>
      <c r="C2011" t="s">
        <v>40</v>
      </c>
      <c r="D2011">
        <v>6.3425419999999999</v>
      </c>
      <c r="E2011">
        <v>0.48979669999999997</v>
      </c>
      <c r="F2011" t="s">
        <v>77</v>
      </c>
      <c r="G2011">
        <v>-281.39019999999999</v>
      </c>
      <c r="H2011" s="1">
        <v>8.2485519999999996E-6</v>
      </c>
      <c r="I2011">
        <v>282.37670000000003</v>
      </c>
      <c r="J2011">
        <v>-261.06360000000001</v>
      </c>
      <c r="K2011">
        <v>1.108751</v>
      </c>
      <c r="L2011">
        <v>282.72430000000003</v>
      </c>
      <c r="M2011">
        <v>-0.99991969999999997</v>
      </c>
      <c r="N2011">
        <v>0</v>
      </c>
      <c r="O2011">
        <v>1.12237E-2</v>
      </c>
      <c r="P2011">
        <v>-0.99969050000000004</v>
      </c>
      <c r="Q2011">
        <v>2.3228349999999998E-2</v>
      </c>
      <c r="R2011">
        <v>8.915002E-3</v>
      </c>
      <c r="S2011">
        <v>-3.0052189999999999</v>
      </c>
      <c r="T2011">
        <v>-0.16194929999999999</v>
      </c>
      <c r="U2011">
        <v>-5.0323489999999999E-2</v>
      </c>
      <c r="V2011">
        <v>-2.288624E-3</v>
      </c>
      <c r="W2011">
        <v>2.9122829999999999E-2</v>
      </c>
      <c r="X2011">
        <v>0.99957320000000005</v>
      </c>
      <c r="Y2011">
        <v>-2.7907520000000002E-2</v>
      </c>
      <c r="Z2011">
        <v>-1.3557329999999901E-3</v>
      </c>
      <c r="AA2011">
        <v>0.99960959999999999</v>
      </c>
      <c r="AB2011">
        <v>25</v>
      </c>
      <c r="AC2011">
        <v>-20.3265999999999</v>
      </c>
      <c r="AD2011">
        <v>-1.1087427514479999</v>
      </c>
      <c r="AE2011">
        <v>-0.34759999999999902</v>
      </c>
      <c r="AF2011">
        <v>-0.57401434371388504</v>
      </c>
      <c r="AG2011">
        <v>-1.1087427514479999</v>
      </c>
      <c r="AH2011">
        <v>20.261152634065301</v>
      </c>
      <c r="AI2011">
        <v>93.130995612888</v>
      </c>
      <c r="AJ2011">
        <v>91.622800288889906</v>
      </c>
      <c r="AK2011">
        <v>20.299583961662101</v>
      </c>
      <c r="AL2011">
        <v>88.331148759714097</v>
      </c>
      <c r="AM2011">
        <v>90.131184256396494</v>
      </c>
      <c r="AN2011">
        <v>0.99999997959263098</v>
      </c>
    </row>
    <row r="2012" spans="1:40" x14ac:dyDescent="0.25">
      <c r="A2012" t="str">
        <f>"20190312160640068"</f>
        <v>20190312160640068</v>
      </c>
      <c r="B2012" t="str">
        <f>"1552378000057367"</f>
        <v>1552378000057367</v>
      </c>
      <c r="C2012" t="s">
        <v>40</v>
      </c>
      <c r="D2012">
        <v>6.1961700000000004</v>
      </c>
      <c r="E2012">
        <v>0.4897743</v>
      </c>
      <c r="F2012" t="s">
        <v>77</v>
      </c>
      <c r="G2012">
        <v>-282.2201</v>
      </c>
      <c r="H2012" s="1">
        <v>7.8813390000000003E-6</v>
      </c>
      <c r="I2012">
        <v>282.37259999999998</v>
      </c>
      <c r="J2012">
        <v>-261.3152</v>
      </c>
      <c r="K2012">
        <v>1.108749</v>
      </c>
      <c r="L2012">
        <v>282.72750000000002</v>
      </c>
      <c r="M2012">
        <v>-0.99991580000000002</v>
      </c>
      <c r="N2012">
        <v>0</v>
      </c>
      <c r="O2012">
        <v>1.155551E-2</v>
      </c>
      <c r="P2012">
        <v>-0.99969819999999998</v>
      </c>
      <c r="Q2012">
        <v>2.3104590000000001E-2</v>
      </c>
      <c r="R2012">
        <v>8.3758289999999996E-3</v>
      </c>
      <c r="S2012">
        <v>-3.0050349999999999</v>
      </c>
      <c r="T2012">
        <v>-0.15748409999999999</v>
      </c>
      <c r="U2012">
        <v>-4.995728E-2</v>
      </c>
      <c r="V2012">
        <v>-3.1599179999999998E-3</v>
      </c>
      <c r="W2012">
        <v>2.9026070000000001E-2</v>
      </c>
      <c r="X2012">
        <v>0.99957359999999995</v>
      </c>
      <c r="Y2012">
        <v>-2.8120800000000001E-2</v>
      </c>
      <c r="Z2012">
        <v>-1.3414480000000001E-3</v>
      </c>
      <c r="AA2012">
        <v>0.99960360000000004</v>
      </c>
      <c r="AB2012">
        <v>25</v>
      </c>
      <c r="AC2012">
        <v>-20.904900000000001</v>
      </c>
      <c r="AD2012">
        <v>-1.1087411186609999</v>
      </c>
      <c r="AE2012">
        <v>-0.35490000000004301</v>
      </c>
      <c r="AF2012">
        <v>-0.59477469797512195</v>
      </c>
      <c r="AG2012">
        <v>-1.1087411186609999</v>
      </c>
      <c r="AH2012">
        <v>20.840795560379402</v>
      </c>
      <c r="AI2012">
        <v>93.044057219814206</v>
      </c>
      <c r="AJ2012">
        <v>91.634718429515701</v>
      </c>
      <c r="AK2012">
        <v>20.878740943818698</v>
      </c>
      <c r="AL2012">
        <v>88.336694977979505</v>
      </c>
      <c r="AM2012">
        <v>90.181126594277004</v>
      </c>
      <c r="AN2012">
        <v>0.999999939819184</v>
      </c>
    </row>
    <row r="2013" spans="1:40" x14ac:dyDescent="0.25">
      <c r="A2013" t="str">
        <f>"20190312160640092"</f>
        <v>20190312160640092</v>
      </c>
      <c r="B2013" t="str">
        <f>"1552378000087096"</f>
        <v>1552378000087096</v>
      </c>
      <c r="C2013" t="s">
        <v>40</v>
      </c>
      <c r="D2013">
        <v>4.549823</v>
      </c>
      <c r="E2013">
        <v>0.48954599999999998</v>
      </c>
      <c r="F2013" t="s">
        <v>77</v>
      </c>
      <c r="G2013">
        <v>-283.57089999999999</v>
      </c>
      <c r="H2013" s="1">
        <v>7.288671E-6</v>
      </c>
      <c r="I2013">
        <v>282.34190000000001</v>
      </c>
      <c r="J2013">
        <v>-261.59390000000002</v>
      </c>
      <c r="K2013">
        <v>1.108749</v>
      </c>
      <c r="L2013">
        <v>282.73110000000003</v>
      </c>
      <c r="M2013">
        <v>-0.9999112</v>
      </c>
      <c r="N2013">
        <v>0</v>
      </c>
      <c r="O2013">
        <v>1.1923319999999999E-2</v>
      </c>
      <c r="P2013">
        <v>-0.99969850000000005</v>
      </c>
      <c r="Q2013">
        <v>2.3175000000000001E-2</v>
      </c>
      <c r="R2013">
        <v>8.1108350000000003E-3</v>
      </c>
      <c r="S2013">
        <v>-3.0048219999999999</v>
      </c>
      <c r="T2013">
        <v>-0.14969479999999999</v>
      </c>
      <c r="U2013">
        <v>-5.2062990000000003E-2</v>
      </c>
      <c r="V2013">
        <v>-3.7924E-3</v>
      </c>
      <c r="W2013">
        <v>2.9125689999999999E-2</v>
      </c>
      <c r="X2013">
        <v>0.99956860000000003</v>
      </c>
      <c r="Y2013">
        <v>-2.9193409999999999E-2</v>
      </c>
      <c r="Z2013">
        <v>-1.3202779999999901E-3</v>
      </c>
      <c r="AA2013">
        <v>0.99957289999999999</v>
      </c>
      <c r="AB2013">
        <v>26</v>
      </c>
      <c r="AC2013">
        <v>-21.976999999999901</v>
      </c>
      <c r="AD2013">
        <v>-1.1087417113289999</v>
      </c>
      <c r="AE2013">
        <v>-0.38920000000001598</v>
      </c>
      <c r="AF2013">
        <v>-0.64956302072003802</v>
      </c>
      <c r="AG2013">
        <v>-1.1087417113289999</v>
      </c>
      <c r="AH2013">
        <v>21.915036140297701</v>
      </c>
      <c r="AI2013">
        <v>92.895011753374206</v>
      </c>
      <c r="AJ2013">
        <v>91.697753371852201</v>
      </c>
      <c r="AK2013">
        <v>21.952677497992902</v>
      </c>
      <c r="AL2013">
        <v>88.330984920265607</v>
      </c>
      <c r="AM2013">
        <v>90.217381249903497</v>
      </c>
      <c r="AN2013">
        <v>1.00000003711084</v>
      </c>
    </row>
    <row r="2014" spans="1:40" x14ac:dyDescent="0.25">
      <c r="A2014" t="str">
        <f>"20190312160640179"</f>
        <v>20190312160640179</v>
      </c>
      <c r="B2014" t="str">
        <f>"1552378000177394"</f>
        <v>1552378000177394</v>
      </c>
      <c r="C2014" t="s">
        <v>40</v>
      </c>
      <c r="D2014">
        <v>9.6756820000000001</v>
      </c>
      <c r="E2014">
        <v>0.44933849999999997</v>
      </c>
      <c r="F2014" t="s">
        <v>77</v>
      </c>
      <c r="G2014">
        <v>-284.59840000000003</v>
      </c>
      <c r="H2014" s="1">
        <v>6.8389949999999997E-6</v>
      </c>
      <c r="I2014">
        <v>282.31310000000002</v>
      </c>
      <c r="J2014">
        <v>-262.60430000000002</v>
      </c>
      <c r="K2014">
        <v>1.1087549999999999</v>
      </c>
      <c r="L2014">
        <v>282.74509999999998</v>
      </c>
      <c r="M2014">
        <v>-0.9998939</v>
      </c>
      <c r="N2014">
        <v>0</v>
      </c>
      <c r="O2014">
        <v>1.325404E-2</v>
      </c>
      <c r="P2014">
        <v>-0.99966379999999999</v>
      </c>
      <c r="Q2014">
        <v>2.3941830000000001E-2</v>
      </c>
      <c r="R2014">
        <v>9.9667799999999997E-3</v>
      </c>
      <c r="S2014">
        <v>-3.0047299999999999</v>
      </c>
      <c r="T2014">
        <v>-0.1448188</v>
      </c>
      <c r="U2014">
        <v>-5.4595949999999997E-2</v>
      </c>
      <c r="V2014">
        <v>-3.2656370000000001E-3</v>
      </c>
      <c r="W2014">
        <v>2.9996970000000001E-2</v>
      </c>
      <c r="X2014">
        <v>0.99954469999999995</v>
      </c>
      <c r="Y2014">
        <v>-3.1365730000000001E-2</v>
      </c>
      <c r="Z2014">
        <v>-1.3937629999999999E-3</v>
      </c>
      <c r="AA2014">
        <v>0.99950700000000003</v>
      </c>
      <c r="AB2014">
        <v>26</v>
      </c>
      <c r="AC2014">
        <v>-21.9941</v>
      </c>
      <c r="AD2014">
        <v>-1.1087481610049901</v>
      </c>
      <c r="AE2014">
        <v>-0.43199999999995897</v>
      </c>
      <c r="AF2014">
        <v>-0.72164485821608804</v>
      </c>
      <c r="AG2014">
        <v>-1.1087481610049901</v>
      </c>
      <c r="AH2014">
        <v>21.930731393898999</v>
      </c>
      <c r="AI2014">
        <v>92.8926655544293</v>
      </c>
      <c r="AJ2014">
        <v>91.8846745372757</v>
      </c>
      <c r="AK2014">
        <v>21.9705956509437</v>
      </c>
      <c r="AL2014">
        <v>88.281042440785399</v>
      </c>
      <c r="AM2014">
        <v>90.187191780209602</v>
      </c>
      <c r="AN2014">
        <v>1.0000000449461399</v>
      </c>
    </row>
    <row r="2015" spans="1:40" x14ac:dyDescent="0.25">
      <c r="A2015" t="str">
        <f>"20190312160640203"</f>
        <v>20190312160640203</v>
      </c>
      <c r="B2015" t="str">
        <f>"1552378000196914"</f>
        <v>1552378000196914</v>
      </c>
      <c r="C2015" t="s">
        <v>40</v>
      </c>
      <c r="D2015">
        <v>6.3008709999999999</v>
      </c>
      <c r="E2015">
        <v>0.42847809999999997</v>
      </c>
      <c r="F2015" t="s">
        <v>44</v>
      </c>
      <c r="G2015">
        <v>-263.45240000000001</v>
      </c>
      <c r="H2015">
        <v>0.89843269999999997</v>
      </c>
      <c r="I2015">
        <v>282.6447</v>
      </c>
      <c r="J2015">
        <v>-262.88229999999999</v>
      </c>
      <c r="K2015">
        <v>1.108757</v>
      </c>
      <c r="L2015">
        <v>282.74919999999997</v>
      </c>
      <c r="M2015">
        <v>-0.99988880000000002</v>
      </c>
      <c r="N2015">
        <v>0</v>
      </c>
      <c r="O2015">
        <v>1.36199999999999E-2</v>
      </c>
      <c r="P2015">
        <v>-0.99965870000000001</v>
      </c>
      <c r="Q2015">
        <v>2.3872730000000002E-2</v>
      </c>
      <c r="R2015">
        <v>1.0617E-2</v>
      </c>
      <c r="S2015">
        <v>-3.0225219999999999</v>
      </c>
      <c r="T2015">
        <v>-0.74959299999999995</v>
      </c>
      <c r="U2015">
        <v>-0.35818480000000003</v>
      </c>
      <c r="V2015">
        <v>-2.9810990000000001E-3</v>
      </c>
      <c r="W2015">
        <v>2.9956460000000001E-2</v>
      </c>
      <c r="X2015">
        <v>0.99954679999999996</v>
      </c>
      <c r="Y2015">
        <v>-0.1269933</v>
      </c>
      <c r="Z2015">
        <v>-1.877757E-2</v>
      </c>
      <c r="AA2015">
        <v>0.99172579999999999</v>
      </c>
      <c r="AB2015">
        <v>26</v>
      </c>
      <c r="AC2015">
        <v>-0.57010000000002403</v>
      </c>
      <c r="AD2015">
        <v>-0.21032429999999999</v>
      </c>
      <c r="AE2015">
        <v>-0.104499999999973</v>
      </c>
      <c r="AF2015">
        <v>-9.9193294700873902E-2</v>
      </c>
      <c r="AG2015">
        <v>-0.21032429999999999</v>
      </c>
      <c r="AH2015">
        <v>0.50245923908955803</v>
      </c>
      <c r="AI2015">
        <v>112.326184941728</v>
      </c>
      <c r="AJ2015">
        <v>101.167482236214</v>
      </c>
      <c r="AK2015">
        <v>0.55366136566547797</v>
      </c>
      <c r="AL2015">
        <v>88.283364529349399</v>
      </c>
      <c r="AM2015">
        <v>90.170881327995502</v>
      </c>
      <c r="AN2015">
        <v>1.0000000409186001</v>
      </c>
    </row>
    <row r="2016" spans="1:40" x14ac:dyDescent="0.25">
      <c r="A2016" t="str">
        <f>"20190312160640225"</f>
        <v>20190312160640225</v>
      </c>
      <c r="B2016" t="str">
        <f>"1552378000217414"</f>
        <v>1552378000217414</v>
      </c>
      <c r="C2016" t="s">
        <v>40</v>
      </c>
      <c r="D2016">
        <v>6.1087160000000003</v>
      </c>
      <c r="E2016">
        <v>0.43334630000000002</v>
      </c>
      <c r="F2016" t="s">
        <v>66</v>
      </c>
      <c r="G2016">
        <v>-275.57760000000002</v>
      </c>
      <c r="H2016" s="1">
        <v>1.6109450000000001E-6</v>
      </c>
      <c r="I2016">
        <v>280.50700000000001</v>
      </c>
      <c r="J2016">
        <v>-263.14150000000001</v>
      </c>
      <c r="K2016">
        <v>1.1087480000000001</v>
      </c>
      <c r="L2016">
        <v>282.75310000000002</v>
      </c>
      <c r="M2016">
        <v>-0.999884</v>
      </c>
      <c r="N2016">
        <v>0</v>
      </c>
      <c r="O2016">
        <v>1.3960820000000001E-2</v>
      </c>
      <c r="P2016">
        <v>-0.9996505</v>
      </c>
      <c r="Q2016">
        <v>2.400447E-2</v>
      </c>
      <c r="R2016">
        <v>1.108872E-2</v>
      </c>
      <c r="S2016">
        <v>-3.0129700000000001</v>
      </c>
      <c r="T2016">
        <v>-0.26313999999999999</v>
      </c>
      <c r="U2016">
        <v>-0.53213500000000002</v>
      </c>
      <c r="V2016">
        <v>-2.8500140000000001E-3</v>
      </c>
      <c r="W2016">
        <v>3.0114700000000001E-2</v>
      </c>
      <c r="X2016">
        <v>0.99954240000000005</v>
      </c>
      <c r="Y2016">
        <v>-0.18691240000000001</v>
      </c>
      <c r="Z2016">
        <v>-9.2923859999999997E-3</v>
      </c>
      <c r="AA2016">
        <v>0.9823326</v>
      </c>
      <c r="AB2016">
        <v>26</v>
      </c>
      <c r="AC2016">
        <v>-12.4361</v>
      </c>
      <c r="AD2016">
        <v>-1.108746389055</v>
      </c>
      <c r="AE2016">
        <v>-2.24610000000001</v>
      </c>
      <c r="AF2016">
        <v>-2.4010203733077602</v>
      </c>
      <c r="AG2016">
        <v>-1.108746389055</v>
      </c>
      <c r="AH2016">
        <v>12.3087819176582</v>
      </c>
      <c r="AI2016">
        <v>95.052458589858006</v>
      </c>
      <c r="AJ2016">
        <v>101.037831864095</v>
      </c>
      <c r="AK2016">
        <v>12.589691405461499</v>
      </c>
      <c r="AL2016">
        <v>88.274293905975497</v>
      </c>
      <c r="AM2016">
        <v>90.163368088465504</v>
      </c>
      <c r="AN2016">
        <v>1.0000000135668199</v>
      </c>
    </row>
    <row r="2017" spans="1:40" x14ac:dyDescent="0.25">
      <c r="A2017" t="str">
        <f>"20190312160640247"</f>
        <v>20190312160640247</v>
      </c>
      <c r="B2017" t="str">
        <f>"1552378000236930"</f>
        <v>1552378000236930</v>
      </c>
      <c r="C2017" t="s">
        <v>40</v>
      </c>
      <c r="D2017">
        <v>5.9845899999999999</v>
      </c>
      <c r="E2017">
        <v>0.43677870000000002</v>
      </c>
      <c r="F2017" t="s">
        <v>77</v>
      </c>
      <c r="G2017">
        <v>-281.79239999999999</v>
      </c>
      <c r="H2017" s="1">
        <v>8.6241529999999993E-6</v>
      </c>
      <c r="I2017">
        <v>279.69569999999999</v>
      </c>
      <c r="J2017">
        <v>-263.4024</v>
      </c>
      <c r="K2017">
        <v>1.108751</v>
      </c>
      <c r="L2017">
        <v>282.75709999999998</v>
      </c>
      <c r="M2017">
        <v>-0.99987890000000001</v>
      </c>
      <c r="N2017">
        <v>0</v>
      </c>
      <c r="O2017">
        <v>1.4303720000000001E-2</v>
      </c>
      <c r="P2017">
        <v>-0.99963900000000006</v>
      </c>
      <c r="Q2017">
        <v>2.4369020000000002E-2</v>
      </c>
      <c r="R2017">
        <v>1.1321929999999999E-2</v>
      </c>
      <c r="S2017">
        <v>-3.0108640000000002</v>
      </c>
      <c r="T2017">
        <v>-0.1789869</v>
      </c>
      <c r="U2017">
        <v>-0.49356080000000002</v>
      </c>
      <c r="V2017">
        <v>-2.9591249999999999E-3</v>
      </c>
      <c r="W2017">
        <v>3.0506470000000001E-2</v>
      </c>
      <c r="X2017">
        <v>0.99953020000000004</v>
      </c>
      <c r="Y2017">
        <v>-0.17554</v>
      </c>
      <c r="Z2017">
        <v>-6.0227800000000001E-3</v>
      </c>
      <c r="AA2017">
        <v>0.98445389999999999</v>
      </c>
      <c r="AB2017">
        <v>26</v>
      </c>
      <c r="AC2017">
        <v>-18.389999999999901</v>
      </c>
      <c r="AD2017">
        <v>-1.1087423758470001</v>
      </c>
      <c r="AE2017">
        <v>-3.0613999999999901</v>
      </c>
      <c r="AF2017">
        <v>-3.3124213567356899</v>
      </c>
      <c r="AG2017">
        <v>-1.1087423758470001</v>
      </c>
      <c r="AH2017">
        <v>18.279674452736401</v>
      </c>
      <c r="AI2017">
        <v>93.415499436266799</v>
      </c>
      <c r="AJ2017">
        <v>100.270995001784</v>
      </c>
      <c r="AK2017">
        <v>18.6104256533423</v>
      </c>
      <c r="AL2017">
        <v>88.251836815584696</v>
      </c>
      <c r="AM2017">
        <v>90.1696245678407</v>
      </c>
      <c r="AN2017">
        <v>1.0000000109223299</v>
      </c>
    </row>
    <row r="2018" spans="1:40" x14ac:dyDescent="0.25">
      <c r="A2018" t="str">
        <f>"20190312160640269"</f>
        <v>20190312160640269</v>
      </c>
      <c r="B2018" t="str">
        <f>"1552378000257427"</f>
        <v>1552378000257427</v>
      </c>
      <c r="C2018" t="s">
        <v>40</v>
      </c>
      <c r="D2018">
        <v>6.6196970000000004</v>
      </c>
      <c r="E2018">
        <v>0.43759910000000002</v>
      </c>
      <c r="F2018" t="s">
        <v>77</v>
      </c>
      <c r="G2018">
        <v>-283.70299999999997</v>
      </c>
      <c r="H2018">
        <v>2.393545E-2</v>
      </c>
      <c r="I2018">
        <v>279.61630000000002</v>
      </c>
      <c r="J2018">
        <v>-263.65780000000001</v>
      </c>
      <c r="K2018">
        <v>1.108752</v>
      </c>
      <c r="L2018">
        <v>282.7611</v>
      </c>
      <c r="M2018">
        <v>-0.99987389999999998</v>
      </c>
      <c r="N2018">
        <v>0</v>
      </c>
      <c r="O2018">
        <v>1.463922E-2</v>
      </c>
      <c r="P2018">
        <v>-0.99962899999999999</v>
      </c>
      <c r="Q2018">
        <v>2.456415E-2</v>
      </c>
      <c r="R2018">
        <v>1.177665E-2</v>
      </c>
      <c r="S2018">
        <v>-3.0102540000000002</v>
      </c>
      <c r="T2018">
        <v>-0.1608607</v>
      </c>
      <c r="U2018">
        <v>-0.4657288</v>
      </c>
      <c r="V2018">
        <v>-2.838999E-3</v>
      </c>
      <c r="W2018">
        <v>3.0727620000000001E-2</v>
      </c>
      <c r="X2018">
        <v>0.99952379999999996</v>
      </c>
      <c r="Y2018">
        <v>-0.16709270000000001</v>
      </c>
      <c r="Z2018">
        <v>-5.2123309999999997E-3</v>
      </c>
      <c r="AA2018">
        <v>0.98592740000000001</v>
      </c>
      <c r="AB2018">
        <v>26</v>
      </c>
      <c r="AC2018">
        <v>-20.045199999999902</v>
      </c>
      <c r="AD2018">
        <v>-1.08481655</v>
      </c>
      <c r="AE2018">
        <v>-3.1447999999999698</v>
      </c>
      <c r="AF2018">
        <v>-3.4281155166224102</v>
      </c>
      <c r="AG2018">
        <v>-1.08481655</v>
      </c>
      <c r="AH2018">
        <v>19.940015887631098</v>
      </c>
      <c r="AI2018">
        <v>93.0691109411528</v>
      </c>
      <c r="AJ2018">
        <v>99.755007356891994</v>
      </c>
      <c r="AK2018">
        <v>20.261614855224199</v>
      </c>
      <c r="AL2018">
        <v>88.239159956305599</v>
      </c>
      <c r="AM2018">
        <v>90.162739719966297</v>
      </c>
      <c r="AN2018">
        <v>1.00000003665631</v>
      </c>
    </row>
    <row r="2019" spans="1:40" x14ac:dyDescent="0.25">
      <c r="A2019" t="str">
        <f>"20190312160640292"</f>
        <v>20190312160640292</v>
      </c>
      <c r="B2019" t="str">
        <f>"1552378000286707"</f>
        <v>1552378000286707</v>
      </c>
      <c r="C2019" t="s">
        <v>40</v>
      </c>
      <c r="D2019">
        <v>6.0489540000000002</v>
      </c>
      <c r="E2019">
        <v>0.44194650000000002</v>
      </c>
      <c r="F2019" t="s">
        <v>77</v>
      </c>
      <c r="G2019">
        <v>-295.15710000000001</v>
      </c>
      <c r="H2019" s="1">
        <v>4.1443929999999997E-6</v>
      </c>
      <c r="I2019">
        <v>277.95650000000001</v>
      </c>
      <c r="J2019">
        <v>-263.94119999999998</v>
      </c>
      <c r="K2019">
        <v>1.108743</v>
      </c>
      <c r="L2019">
        <v>282.76569999999998</v>
      </c>
      <c r="M2019">
        <v>-0.99986819999999998</v>
      </c>
      <c r="N2019">
        <v>0</v>
      </c>
      <c r="O2019">
        <v>1.5011149999999999E-2</v>
      </c>
      <c r="P2019">
        <v>-0.99963020000000002</v>
      </c>
      <c r="Q2019">
        <v>2.3939470000000001E-2</v>
      </c>
      <c r="R2019">
        <v>1.2908650000000001E-2</v>
      </c>
      <c r="S2019">
        <v>-3.009125</v>
      </c>
      <c r="T2019">
        <v>-0.1059184</v>
      </c>
      <c r="U2019">
        <v>-0.45898440000000001</v>
      </c>
      <c r="V2019">
        <v>-2.0797960000000001E-3</v>
      </c>
      <c r="W2019">
        <v>3.0128990000000001E-2</v>
      </c>
      <c r="X2019">
        <v>0.99954379999999998</v>
      </c>
      <c r="Y2019">
        <v>-0.16550039999999999</v>
      </c>
      <c r="Z2019">
        <v>-3.4204270000000002E-3</v>
      </c>
      <c r="AA2019">
        <v>0.98620379999999996</v>
      </c>
      <c r="AB2019">
        <v>26</v>
      </c>
      <c r="AC2019">
        <v>-31.215900000000001</v>
      </c>
      <c r="AD2019">
        <v>-1.1087388556069999</v>
      </c>
      <c r="AE2019">
        <v>-4.8091999999999704</v>
      </c>
      <c r="AF2019">
        <v>-5.2707584318403997</v>
      </c>
      <c r="AG2019">
        <v>-1.1087388556069999</v>
      </c>
      <c r="AH2019">
        <v>31.1018625886284</v>
      </c>
      <c r="AI2019">
        <v>92.012974737627999</v>
      </c>
      <c r="AJ2019">
        <v>99.618396007413594</v>
      </c>
      <c r="AK2019">
        <v>31.564791346984599</v>
      </c>
      <c r="AL2019">
        <v>88.273474658934902</v>
      </c>
      <c r="AM2019">
        <v>90.119217748212506</v>
      </c>
      <c r="AN2019">
        <v>0.99999994485412902</v>
      </c>
    </row>
    <row r="2020" spans="1:40" x14ac:dyDescent="0.25">
      <c r="A2020" t="str">
        <f>"20190312160640315"</f>
        <v>20190312160640315</v>
      </c>
      <c r="B2020" t="str">
        <f>"1552378000307203"</f>
        <v>1552378000307203</v>
      </c>
      <c r="C2020" t="s">
        <v>40</v>
      </c>
      <c r="D2020">
        <v>6.0321360000000004</v>
      </c>
      <c r="E2020">
        <v>0.44292930000000003</v>
      </c>
      <c r="F2020" t="s">
        <v>77</v>
      </c>
      <c r="G2020">
        <v>-286.69529999999997</v>
      </c>
      <c r="H2020" s="1">
        <v>6.4706429999999996E-6</v>
      </c>
      <c r="I2020">
        <v>279.58969999999999</v>
      </c>
      <c r="J2020">
        <v>-264.21890000000002</v>
      </c>
      <c r="K2020">
        <v>1.108743</v>
      </c>
      <c r="L2020">
        <v>282.77030000000002</v>
      </c>
      <c r="M2020">
        <v>-0.99986260000000005</v>
      </c>
      <c r="N2020">
        <v>0</v>
      </c>
      <c r="O2020">
        <v>1.537547E-2</v>
      </c>
      <c r="P2020">
        <v>-0.99963279999999999</v>
      </c>
      <c r="Q2020">
        <v>2.3238580000000002E-2</v>
      </c>
      <c r="R2020">
        <v>1.395337E-2</v>
      </c>
      <c r="S2020">
        <v>-3.01004</v>
      </c>
      <c r="T2020">
        <v>-0.1466702</v>
      </c>
      <c r="U2020">
        <v>-0.4201355</v>
      </c>
      <c r="V2020">
        <v>-1.399211E-3</v>
      </c>
      <c r="W2020">
        <v>2.9449329999999999E-2</v>
      </c>
      <c r="X2020">
        <v>0.99956529999999999</v>
      </c>
      <c r="Y2020">
        <v>-0.15325339999999901</v>
      </c>
      <c r="Z2020">
        <v>-4.4589490000000002E-3</v>
      </c>
      <c r="AA2020">
        <v>0.98817690000000002</v>
      </c>
      <c r="AB2020">
        <v>27</v>
      </c>
      <c r="AC2020">
        <v>-22.476399999999899</v>
      </c>
      <c r="AD2020">
        <v>-1.108736529357</v>
      </c>
      <c r="AE2020">
        <v>-3.1806000000000201</v>
      </c>
      <c r="AF2020">
        <v>-3.51742478311309</v>
      </c>
      <c r="AG2020">
        <v>-1.108736529357</v>
      </c>
      <c r="AH2020">
        <v>22.371470060313001</v>
      </c>
      <c r="AI2020">
        <v>92.8028965976103</v>
      </c>
      <c r="AJ2020">
        <v>98.935359021831403</v>
      </c>
      <c r="AK2020">
        <v>22.673425997318301</v>
      </c>
      <c r="AL2020">
        <v>88.312433702498495</v>
      </c>
      <c r="AM2020">
        <v>90.080203697131907</v>
      </c>
      <c r="AN2020">
        <v>1.0000000048964801</v>
      </c>
    </row>
    <row r="2021" spans="1:40" x14ac:dyDescent="0.25">
      <c r="A2021" t="str">
        <f>"20190312160640336"</f>
        <v>20190312160640336</v>
      </c>
      <c r="B2021" t="str">
        <f>"1552378000326722"</f>
        <v>1552378000326722</v>
      </c>
      <c r="C2021" t="s">
        <v>40</v>
      </c>
      <c r="D2021">
        <v>8.0370460000000001</v>
      </c>
      <c r="E2021">
        <v>0.44391649999999999</v>
      </c>
      <c r="F2021" t="s">
        <v>77</v>
      </c>
      <c r="G2021">
        <v>-286.9588</v>
      </c>
      <c r="H2021" s="1">
        <v>6.3368150000000002E-6</v>
      </c>
      <c r="I2021">
        <v>279.67759999999998</v>
      </c>
      <c r="J2021">
        <v>-264.46899999999999</v>
      </c>
      <c r="K2021">
        <v>1.108743</v>
      </c>
      <c r="L2021">
        <v>282.77440000000001</v>
      </c>
      <c r="M2021">
        <v>-0.99985729999999995</v>
      </c>
      <c r="N2021">
        <v>0</v>
      </c>
      <c r="O2021">
        <v>1.5703129999999999E-2</v>
      </c>
      <c r="P2021">
        <v>-0.99962010000000001</v>
      </c>
      <c r="Q2021">
        <v>2.303875E-2</v>
      </c>
      <c r="R2021">
        <v>1.51264E-2</v>
      </c>
      <c r="S2021">
        <v>-3.0102229999999999</v>
      </c>
      <c r="T2021">
        <v>-0.1467705</v>
      </c>
      <c r="U2021">
        <v>-0.40939330000000002</v>
      </c>
      <c r="V2021">
        <v>-5.5414929999999998E-4</v>
      </c>
      <c r="W2021">
        <v>2.926629E-2</v>
      </c>
      <c r="X2021">
        <v>0.99957149999999995</v>
      </c>
      <c r="Y2021">
        <v>-0.15011050000000001</v>
      </c>
      <c r="Z2021">
        <v>-4.4024759999999998E-3</v>
      </c>
      <c r="AA2021">
        <v>0.98865939999999997</v>
      </c>
      <c r="AB2021">
        <v>27</v>
      </c>
      <c r="AC2021">
        <v>-22.489799999999999</v>
      </c>
      <c r="AD2021">
        <v>-1.108736663185</v>
      </c>
      <c r="AE2021">
        <v>-3.09680000000002</v>
      </c>
      <c r="AF2021">
        <v>-3.4413768114962999</v>
      </c>
      <c r="AG2021">
        <v>-1.108736663185</v>
      </c>
      <c r="AH2021">
        <v>22.385003338813998</v>
      </c>
      <c r="AI2021">
        <v>92.802688247550094</v>
      </c>
      <c r="AJ2021">
        <v>98.739986580825999</v>
      </c>
      <c r="AK2021">
        <v>22.675112917595602</v>
      </c>
      <c r="AL2021">
        <v>88.322925641495402</v>
      </c>
      <c r="AM2021">
        <v>90.031764023741502</v>
      </c>
      <c r="AN2021">
        <v>1.00000000321203</v>
      </c>
    </row>
    <row r="2022" spans="1:40" x14ac:dyDescent="0.25">
      <c r="A2022" t="str">
        <f>"20190312160640358"</f>
        <v>20190312160640358</v>
      </c>
      <c r="B2022" t="str">
        <f>"1552378000347219"</f>
        <v>1552378000347219</v>
      </c>
      <c r="C2022" t="s">
        <v>40</v>
      </c>
      <c r="D2022">
        <v>6.1390849999999997</v>
      </c>
      <c r="E2022">
        <v>0.44516650000000002</v>
      </c>
      <c r="F2022" t="s">
        <v>77</v>
      </c>
      <c r="G2022">
        <v>-286.2783</v>
      </c>
      <c r="H2022" s="1">
        <v>6.5943959999999998E-6</v>
      </c>
      <c r="I2022">
        <v>279.89139999999998</v>
      </c>
      <c r="J2022">
        <v>-264.73239999999998</v>
      </c>
      <c r="K2022">
        <v>1.1087480000000001</v>
      </c>
      <c r="L2022">
        <v>282.779</v>
      </c>
      <c r="M2022">
        <v>-0.99985179999999996</v>
      </c>
      <c r="N2022">
        <v>0</v>
      </c>
      <c r="O2022">
        <v>1.604742E-2</v>
      </c>
      <c r="P2022">
        <v>-0.99958689999999994</v>
      </c>
      <c r="Q2022">
        <v>2.389879E-2</v>
      </c>
      <c r="R2022">
        <v>1.597223E-2</v>
      </c>
      <c r="S2022">
        <v>-3.0106809999999999</v>
      </c>
      <c r="T2022">
        <v>-0.153056</v>
      </c>
      <c r="U2022">
        <v>-0.39797969999999999</v>
      </c>
      <c r="V2022" s="1">
        <v>-5.1175329999999898E-5</v>
      </c>
      <c r="W2022">
        <v>3.0142809999999999E-2</v>
      </c>
      <c r="X2022">
        <v>0.99954560000000003</v>
      </c>
      <c r="Y2022">
        <v>-0.146735</v>
      </c>
      <c r="Z2022">
        <v>-4.523282E-3</v>
      </c>
      <c r="AA2022">
        <v>0.98916550000000003</v>
      </c>
      <c r="AB2022">
        <v>27</v>
      </c>
      <c r="AC2022">
        <v>-21.5459</v>
      </c>
      <c r="AD2022">
        <v>-1.1087414056039999</v>
      </c>
      <c r="AE2022">
        <v>-2.8876000000000199</v>
      </c>
      <c r="AF2022">
        <v>-3.2246026384120401</v>
      </c>
      <c r="AG2022">
        <v>-1.1087414056039999</v>
      </c>
      <c r="AH2022">
        <v>21.4410103264509</v>
      </c>
      <c r="AI2022">
        <v>92.927337071196305</v>
      </c>
      <c r="AJ2022">
        <v>98.552850825140098</v>
      </c>
      <c r="AK2022">
        <v>21.710465068697399</v>
      </c>
      <c r="AL2022">
        <v>88.2726825650509</v>
      </c>
      <c r="AM2022">
        <v>90.002933463387393</v>
      </c>
      <c r="AN2022">
        <v>0.99999999904648496</v>
      </c>
    </row>
    <row r="2023" spans="1:40" x14ac:dyDescent="0.25">
      <c r="A2023" t="str">
        <f>"20190312160640380"</f>
        <v>20190312160640380</v>
      </c>
      <c r="B2023" t="str">
        <f>"1552378000377005"</f>
        <v>1552378000377005</v>
      </c>
      <c r="C2023" t="s">
        <v>40</v>
      </c>
      <c r="D2023">
        <v>6.0556519999999896</v>
      </c>
      <c r="E2023">
        <v>0.44604769999999999</v>
      </c>
      <c r="F2023" t="s">
        <v>77</v>
      </c>
      <c r="G2023">
        <v>-285.95139999999998</v>
      </c>
      <c r="H2023" s="1">
        <v>6.7035009999999997E-6</v>
      </c>
      <c r="I2023">
        <v>280.065</v>
      </c>
      <c r="J2023">
        <v>-265.00450000000001</v>
      </c>
      <c r="K2023">
        <v>1.108743</v>
      </c>
      <c r="L2023">
        <v>282.78370000000001</v>
      </c>
      <c r="M2023">
        <v>-0.99984600000000001</v>
      </c>
      <c r="N2023">
        <v>0</v>
      </c>
      <c r="O2023">
        <v>1.640136E-2</v>
      </c>
      <c r="P2023">
        <v>-0.99957399999999996</v>
      </c>
      <c r="Q2023">
        <v>2.4274270000000001E-2</v>
      </c>
      <c r="R2023">
        <v>1.6219750000000002E-2</v>
      </c>
      <c r="S2023">
        <v>-3.0111690000000002</v>
      </c>
      <c r="T2023">
        <v>-0.1573406</v>
      </c>
      <c r="U2023">
        <v>-0.38513180000000002</v>
      </c>
      <c r="V2023">
        <v>-1.5710809999999999E-4</v>
      </c>
      <c r="W2023">
        <v>3.0536500000000001E-2</v>
      </c>
      <c r="X2023">
        <v>0.99953369999999997</v>
      </c>
      <c r="Y2023">
        <v>-0.1429058</v>
      </c>
      <c r="Z2023">
        <v>-4.5690990000000001E-3</v>
      </c>
      <c r="AA2023">
        <v>0.98972579999999999</v>
      </c>
      <c r="AB2023">
        <v>27</v>
      </c>
      <c r="AC2023">
        <v>-20.9468999999999</v>
      </c>
      <c r="AD2023">
        <v>-1.108736296499</v>
      </c>
      <c r="AE2023">
        <v>-2.7187000000000099</v>
      </c>
      <c r="AF2023">
        <v>-3.0534854960942401</v>
      </c>
      <c r="AG2023">
        <v>-1.108736296499</v>
      </c>
      <c r="AH2023">
        <v>20.842065808208599</v>
      </c>
      <c r="AI2023">
        <v>93.012992304791595</v>
      </c>
      <c r="AJ2023">
        <v>98.334873792076095</v>
      </c>
      <c r="AK2023">
        <v>21.0937141585765</v>
      </c>
      <c r="AL2023">
        <v>88.250115507229907</v>
      </c>
      <c r="AM2023">
        <v>90.009005830401904</v>
      </c>
      <c r="AN2023">
        <v>1.0000000599754399</v>
      </c>
    </row>
    <row r="2024" spans="1:40" x14ac:dyDescent="0.25">
      <c r="A2024" t="str">
        <f>"20190312160640393"</f>
        <v>20190312160640393</v>
      </c>
      <c r="B2024" t="str">
        <f>"1552378000386765"</f>
        <v>1552378000386765</v>
      </c>
      <c r="C2024" t="s">
        <v>40</v>
      </c>
      <c r="D2024">
        <v>6.1882760000000001</v>
      </c>
      <c r="E2024">
        <v>0.44616729999999999</v>
      </c>
      <c r="F2024" t="s">
        <v>77</v>
      </c>
      <c r="G2024">
        <v>-286.47719999999998</v>
      </c>
      <c r="H2024" s="1">
        <v>6.46444899999999E-6</v>
      </c>
      <c r="I2024">
        <v>280.09339999999997</v>
      </c>
      <c r="J2024">
        <v>-265.1576</v>
      </c>
      <c r="K2024">
        <v>1.108741</v>
      </c>
      <c r="L2024">
        <v>282.78640000000001</v>
      </c>
      <c r="M2024">
        <v>-0.99984260000000003</v>
      </c>
      <c r="N2024">
        <v>0</v>
      </c>
      <c r="O2024">
        <v>1.6599280000000001E-2</v>
      </c>
      <c r="P2024">
        <v>-0.99956829999999997</v>
      </c>
      <c r="Q2024">
        <v>2.4531219999999999E-2</v>
      </c>
      <c r="R2024">
        <v>1.618265E-2</v>
      </c>
      <c r="S2024">
        <v>-3.0111690000000002</v>
      </c>
      <c r="T2024">
        <v>-0.15548090000000001</v>
      </c>
      <c r="U2024">
        <v>-0.37725829999999999</v>
      </c>
      <c r="V2024">
        <v>-3.9207599999999999E-4</v>
      </c>
      <c r="W2024">
        <v>3.0803879999999999E-2</v>
      </c>
      <c r="X2024">
        <v>0.99952540000000001</v>
      </c>
      <c r="Y2024">
        <v>-0.14056189999999999</v>
      </c>
      <c r="Z2024">
        <v>-4.4658379999999998E-3</v>
      </c>
      <c r="AA2024">
        <v>0.99006179999999999</v>
      </c>
      <c r="AB2024">
        <v>27</v>
      </c>
      <c r="AC2024">
        <v>-21.319599999999902</v>
      </c>
      <c r="AD2024">
        <v>-1.1087345355510001</v>
      </c>
      <c r="AE2024">
        <v>-2.69300000000004</v>
      </c>
      <c r="AF2024">
        <v>-3.03843731836109</v>
      </c>
      <c r="AG2024">
        <v>-1.1087345355510001</v>
      </c>
      <c r="AH2024">
        <v>21.215482318364501</v>
      </c>
      <c r="AI2024">
        <v>92.961429450754096</v>
      </c>
      <c r="AJ2024">
        <v>98.150359100065003</v>
      </c>
      <c r="AK2024">
        <v>21.460617036999899</v>
      </c>
      <c r="AL2024">
        <v>88.234788497447795</v>
      </c>
      <c r="AM2024">
        <v>90.022474965514803</v>
      </c>
      <c r="AN2024">
        <v>1.0000000289958999</v>
      </c>
    </row>
    <row r="2025" spans="1:40" x14ac:dyDescent="0.25">
      <c r="A2025" t="str">
        <f>"20190312160640415"</f>
        <v>20190312160640415</v>
      </c>
      <c r="B2025" t="str">
        <f>"1552378000407264"</f>
        <v>1552378000407264</v>
      </c>
      <c r="C2025" t="s">
        <v>40</v>
      </c>
      <c r="D2025">
        <v>6.0293919999999996</v>
      </c>
      <c r="E2025">
        <v>0.44610630000000001</v>
      </c>
      <c r="F2025" t="s">
        <v>77</v>
      </c>
      <c r="G2025">
        <v>-287.01990000000001</v>
      </c>
      <c r="H2025" s="1">
        <v>6.232422E-6</v>
      </c>
      <c r="I2025">
        <v>280.05169999999998</v>
      </c>
      <c r="J2025">
        <v>-265.4194</v>
      </c>
      <c r="K2025">
        <v>1.1087359999999999</v>
      </c>
      <c r="L2025">
        <v>282.79109999999997</v>
      </c>
      <c r="M2025">
        <v>-0.99983690000000003</v>
      </c>
      <c r="N2025">
        <v>0</v>
      </c>
      <c r="O2025">
        <v>1.6935390000000002E-2</v>
      </c>
      <c r="P2025">
        <v>-0.99958069999999999</v>
      </c>
      <c r="Q2025">
        <v>2.426242E-2</v>
      </c>
      <c r="R2025">
        <v>1.5812840000000002E-2</v>
      </c>
      <c r="S2025">
        <v>-3.011139</v>
      </c>
      <c r="T2025">
        <v>-0.15270839999999999</v>
      </c>
      <c r="U2025">
        <v>-0.37664789999999998</v>
      </c>
      <c r="V2025">
        <v>-1.0984219999999999E-3</v>
      </c>
      <c r="W2025">
        <v>3.055366E-2</v>
      </c>
      <c r="X2025">
        <v>0.99953250000000005</v>
      </c>
      <c r="Y2025">
        <v>-0.140705</v>
      </c>
      <c r="Z2025">
        <v>-4.406994E-3</v>
      </c>
      <c r="AA2025">
        <v>0.99004170000000002</v>
      </c>
      <c r="AB2025">
        <v>27</v>
      </c>
      <c r="AC2025">
        <v>-21.6005</v>
      </c>
      <c r="AD2025">
        <v>-1.1087297675779999</v>
      </c>
      <c r="AE2025">
        <v>-2.7393999999999799</v>
      </c>
      <c r="AF2025">
        <v>-3.0967973635725801</v>
      </c>
      <c r="AG2025">
        <v>-1.1087297675779999</v>
      </c>
      <c r="AH2025">
        <v>21.495272148865801</v>
      </c>
      <c r="AI2025">
        <v>92.922587820672803</v>
      </c>
      <c r="AJ2025">
        <v>98.1981233375882</v>
      </c>
      <c r="AK2025">
        <v>21.7454859766883</v>
      </c>
      <c r="AL2025">
        <v>88.249131704976605</v>
      </c>
      <c r="AM2025">
        <v>90.062964355225702</v>
      </c>
      <c r="AN2025">
        <v>0.99999997561326703</v>
      </c>
    </row>
    <row r="2026" spans="1:40" x14ac:dyDescent="0.25">
      <c r="A2026" t="str">
        <f>"20190312160640437"</f>
        <v>20190312160640437</v>
      </c>
      <c r="B2026" t="str">
        <f>"1552378000426781"</f>
        <v>1552378000426781</v>
      </c>
      <c r="C2026" t="s">
        <v>40</v>
      </c>
      <c r="D2026">
        <v>5.974234</v>
      </c>
      <c r="E2026">
        <v>0.44638729999999999</v>
      </c>
      <c r="F2026" t="s">
        <v>77</v>
      </c>
      <c r="G2026">
        <v>-287.69709999999998</v>
      </c>
      <c r="H2026" s="1">
        <v>5.9443019999999996E-6</v>
      </c>
      <c r="I2026">
        <v>279.99270000000001</v>
      </c>
      <c r="J2026">
        <v>-265.69130000000001</v>
      </c>
      <c r="K2026">
        <v>1.1087340000000001</v>
      </c>
      <c r="L2026">
        <v>282.79610000000002</v>
      </c>
      <c r="M2026">
        <v>-0.99983080000000002</v>
      </c>
      <c r="N2026">
        <v>0</v>
      </c>
      <c r="O2026">
        <v>1.7280139999999999E-2</v>
      </c>
      <c r="P2026">
        <v>-0.99958380000000002</v>
      </c>
      <c r="Q2026">
        <v>2.4428269999999998E-2</v>
      </c>
      <c r="R2026">
        <v>1.535391E-2</v>
      </c>
      <c r="S2026">
        <v>-3.0108950000000001</v>
      </c>
      <c r="T2026">
        <v>-0.14984800000000001</v>
      </c>
      <c r="U2026">
        <v>-0.37820429999999999</v>
      </c>
      <c r="V2026">
        <v>-1.9015060000000001E-3</v>
      </c>
      <c r="W2026">
        <v>3.0739059999999999E-2</v>
      </c>
      <c r="X2026">
        <v>0.99952560000000001</v>
      </c>
      <c r="Y2026">
        <v>-0.141566</v>
      </c>
      <c r="Z2026">
        <v>-4.363174E-3</v>
      </c>
      <c r="AA2026">
        <v>0.9899192</v>
      </c>
      <c r="AB2026">
        <v>27</v>
      </c>
      <c r="AC2026">
        <v>-22.005799999999901</v>
      </c>
      <c r="AD2026">
        <v>-1.1087280556979999</v>
      </c>
      <c r="AE2026">
        <v>-2.8034000000000101</v>
      </c>
      <c r="AF2026">
        <v>-3.1753204677990499</v>
      </c>
      <c r="AG2026">
        <v>-1.1087280556979999</v>
      </c>
      <c r="AH2026">
        <v>21.8993664467617</v>
      </c>
      <c r="AI2026">
        <v>92.868369844287002</v>
      </c>
      <c r="AJ2026">
        <v>98.250162586880407</v>
      </c>
      <c r="AK2026">
        <v>22.156132079951799</v>
      </c>
      <c r="AL2026">
        <v>88.238504057095099</v>
      </c>
      <c r="AM2026">
        <v>90.108999846612605</v>
      </c>
      <c r="AN2026">
        <v>0.99999996529505497</v>
      </c>
    </row>
    <row r="2027" spans="1:40" x14ac:dyDescent="0.25">
      <c r="A2027" t="str">
        <f>"20190312160640449"</f>
        <v>20190312160640449</v>
      </c>
      <c r="B2027" t="str">
        <f>"1552378000437517"</f>
        <v>1552378000437517</v>
      </c>
      <c r="C2027" t="s">
        <v>40</v>
      </c>
      <c r="D2027">
        <v>5.9231569999999998</v>
      </c>
      <c r="E2027">
        <v>0.44626379999999999</v>
      </c>
      <c r="F2027" t="s">
        <v>77</v>
      </c>
      <c r="G2027">
        <v>-287.38389999999998</v>
      </c>
      <c r="H2027" s="1">
        <v>6.0657309999999899E-6</v>
      </c>
      <c r="I2027">
        <v>280.07729999999998</v>
      </c>
      <c r="J2027">
        <v>-265.83819999999997</v>
      </c>
      <c r="K2027">
        <v>1.1087359999999999</v>
      </c>
      <c r="L2027">
        <v>282.79880000000003</v>
      </c>
      <c r="M2027">
        <v>-0.99982749999999998</v>
      </c>
      <c r="N2027">
        <v>0</v>
      </c>
      <c r="O2027">
        <v>1.7465419999999999E-2</v>
      </c>
      <c r="P2027">
        <v>-0.99960760000000004</v>
      </c>
      <c r="Q2027">
        <v>2.365459E-2</v>
      </c>
      <c r="R2027">
        <v>1.500919E-2</v>
      </c>
      <c r="S2027">
        <v>-3.0107729999999999</v>
      </c>
      <c r="T2027">
        <v>-0.15388350000000001</v>
      </c>
      <c r="U2027">
        <v>-0.37734990000000002</v>
      </c>
      <c r="V2027">
        <v>-2.4325060000000001E-3</v>
      </c>
      <c r="W2027">
        <v>2.9976949999999999E-2</v>
      </c>
      <c r="X2027">
        <v>0.99954759999999998</v>
      </c>
      <c r="Y2027">
        <v>-0.14146710000000001</v>
      </c>
      <c r="Z2027">
        <v>-4.4876990000000004E-3</v>
      </c>
      <c r="AA2027">
        <v>0.98993279999999995</v>
      </c>
      <c r="AB2027">
        <v>27</v>
      </c>
      <c r="AC2027">
        <v>-21.5457</v>
      </c>
      <c r="AD2027">
        <v>-1.108729934269</v>
      </c>
      <c r="AE2027">
        <v>-2.7215000000000402</v>
      </c>
      <c r="AF2027">
        <v>-3.0893447373451899</v>
      </c>
      <c r="AG2027">
        <v>-1.108729934269</v>
      </c>
      <c r="AH2027">
        <v>21.438999853824701</v>
      </c>
      <c r="AI2027">
        <v>92.930233405268694</v>
      </c>
      <c r="AJ2027">
        <v>98.199836795645993</v>
      </c>
      <c r="AK2027">
        <v>21.688800052229801</v>
      </c>
      <c r="AL2027">
        <v>88.282189888918495</v>
      </c>
      <c r="AM2027">
        <v>90.139435132753704</v>
      </c>
      <c r="AN2027">
        <v>0.99999996964125004</v>
      </c>
    </row>
    <row r="2028" spans="1:40" x14ac:dyDescent="0.25">
      <c r="A2028" t="str">
        <f>"20190312160640538"</f>
        <v>20190312160640538</v>
      </c>
      <c r="B2028" t="str">
        <f>"1552378000527309"</f>
        <v>1552378000527309</v>
      </c>
      <c r="C2028" t="s">
        <v>40</v>
      </c>
      <c r="D2028">
        <v>4.5485009999999999</v>
      </c>
      <c r="E2028">
        <v>0.49544899999999997</v>
      </c>
      <c r="F2028" t="s">
        <v>77</v>
      </c>
      <c r="G2028">
        <v>-286.32170000000002</v>
      </c>
      <c r="H2028" s="1">
        <v>6.5077579999999999E-6</v>
      </c>
      <c r="I2028">
        <v>280.2176</v>
      </c>
      <c r="J2028">
        <v>-266.93380000000002</v>
      </c>
      <c r="K2028">
        <v>1.1087549999999999</v>
      </c>
      <c r="L2028">
        <v>282.81990000000002</v>
      </c>
      <c r="M2028">
        <v>-0.99980259999999999</v>
      </c>
      <c r="N2028">
        <v>0</v>
      </c>
      <c r="O2028">
        <v>1.8805849999999999E-2</v>
      </c>
      <c r="P2028">
        <v>-0.99953610000000004</v>
      </c>
      <c r="Q2028">
        <v>2.5160490000000001E-2</v>
      </c>
      <c r="R2028">
        <v>1.7165159999999999E-2</v>
      </c>
      <c r="S2028">
        <v>-3.010742</v>
      </c>
      <c r="T2028">
        <v>-0.16296479999999999</v>
      </c>
      <c r="U2028">
        <v>-0.37939450000000002</v>
      </c>
      <c r="V2028">
        <v>-1.6159739999999901E-3</v>
      </c>
      <c r="W2028">
        <v>3.1569779999999999E-2</v>
      </c>
      <c r="X2028">
        <v>0.99950019999999995</v>
      </c>
      <c r="Y2028">
        <v>-0.14342759999999999</v>
      </c>
      <c r="Z2028">
        <v>-4.8770769999999996E-3</v>
      </c>
      <c r="AA2028">
        <v>0.9896488</v>
      </c>
      <c r="AB2028">
        <v>28</v>
      </c>
      <c r="AC2028">
        <v>-19.387899999999998</v>
      </c>
      <c r="AD2028">
        <v>-1.1087484922419999</v>
      </c>
      <c r="AE2028">
        <v>-2.6023000000000098</v>
      </c>
      <c r="AF2028">
        <v>-2.95695384295915</v>
      </c>
      <c r="AG2028">
        <v>-1.1087484922419999</v>
      </c>
      <c r="AH2028">
        <v>19.273614255693602</v>
      </c>
      <c r="AI2028">
        <v>93.254417014379499</v>
      </c>
      <c r="AJ2028">
        <v>98.722296689398405</v>
      </c>
      <c r="AK2028">
        <v>19.5306196964079</v>
      </c>
      <c r="AL2028">
        <v>88.190884171971106</v>
      </c>
      <c r="AM2028">
        <v>90.092634708155103</v>
      </c>
      <c r="AN2028">
        <v>0.99999995609062697</v>
      </c>
    </row>
    <row r="2029" spans="1:40" x14ac:dyDescent="0.25">
      <c r="A2029" t="str">
        <f>"20190312160640559"</f>
        <v>20190312160640559</v>
      </c>
      <c r="B2029" t="str">
        <f>"1552378000557564"</f>
        <v>1552378000557564</v>
      </c>
      <c r="C2029" t="s">
        <v>40</v>
      </c>
      <c r="D2029">
        <v>6.5079190000000002</v>
      </c>
      <c r="E2029">
        <v>0.51249869999999997</v>
      </c>
      <c r="F2029" t="s">
        <v>44</v>
      </c>
      <c r="G2029">
        <v>-267.74029999999999</v>
      </c>
      <c r="H2029">
        <v>0.76090590000000002</v>
      </c>
      <c r="I2029">
        <v>282.83030000000002</v>
      </c>
      <c r="J2029">
        <v>-267.20589999999999</v>
      </c>
      <c r="K2029">
        <v>1.1087549999999999</v>
      </c>
      <c r="L2029">
        <v>282.8254</v>
      </c>
      <c r="M2029">
        <v>-0.99979649999999998</v>
      </c>
      <c r="N2029">
        <v>0</v>
      </c>
      <c r="O2029">
        <v>1.912117E-2</v>
      </c>
      <c r="P2029">
        <v>-0.99952929999999995</v>
      </c>
      <c r="Q2029">
        <v>2.4901889999999999E-2</v>
      </c>
      <c r="R2029">
        <v>1.7922629999999998E-2</v>
      </c>
      <c r="S2029">
        <v>-3.03363</v>
      </c>
      <c r="T2029">
        <v>-1.308422</v>
      </c>
      <c r="U2029">
        <v>3.8513180000000001E-2</v>
      </c>
      <c r="V2029">
        <v>-1.173222E-3</v>
      </c>
      <c r="W2029">
        <v>3.1334340000000002E-2</v>
      </c>
      <c r="X2029">
        <v>0.99950830000000002</v>
      </c>
      <c r="Y2029">
        <v>-4.3394319999999998E-3</v>
      </c>
      <c r="Z2029">
        <v>-8.7907009999999997E-3</v>
      </c>
      <c r="AA2029">
        <v>0.99995199999999995</v>
      </c>
      <c r="AB2029">
        <v>28</v>
      </c>
      <c r="AC2029">
        <v>-0.53440000000000498</v>
      </c>
      <c r="AD2029">
        <v>-0.34784909999999902</v>
      </c>
      <c r="AE2029">
        <v>4.9000000000205502E-3</v>
      </c>
      <c r="AF2029">
        <v>-3.7364812907295301E-3</v>
      </c>
      <c r="AG2029">
        <v>-0.34784909999999902</v>
      </c>
      <c r="AH2029">
        <v>0.37536901941442902</v>
      </c>
      <c r="AI2029">
        <v>132.81941539514</v>
      </c>
      <c r="AJ2029">
        <v>90.570312217217307</v>
      </c>
      <c r="AK2029">
        <v>0.51177617998437197</v>
      </c>
      <c r="AL2029">
        <v>88.204380700041696</v>
      </c>
      <c r="AM2029">
        <v>90.067253706807193</v>
      </c>
      <c r="AN2029">
        <v>1.0000000295409901</v>
      </c>
    </row>
    <row r="2030" spans="1:40" x14ac:dyDescent="0.25">
      <c r="A2030" t="str">
        <f>"20190312160640581"</f>
        <v>20190312160640581</v>
      </c>
      <c r="B2030" t="str">
        <f>"1552378000577085"</f>
        <v>1552378000577085</v>
      </c>
      <c r="C2030" t="s">
        <v>40</v>
      </c>
      <c r="D2030">
        <v>6.1687110000000001</v>
      </c>
      <c r="E2030">
        <v>0.50938309999999998</v>
      </c>
      <c r="F2030" t="s">
        <v>44</v>
      </c>
      <c r="G2030">
        <v>-268.05829999999997</v>
      </c>
      <c r="H2030">
        <v>0.93024899999999999</v>
      </c>
      <c r="I2030">
        <v>282.87240000000003</v>
      </c>
      <c r="J2030">
        <v>-267.4853</v>
      </c>
      <c r="K2030">
        <v>1.108765</v>
      </c>
      <c r="L2030">
        <v>282.83109999999999</v>
      </c>
      <c r="M2030">
        <v>-0.99979039999999997</v>
      </c>
      <c r="N2030">
        <v>0</v>
      </c>
      <c r="O2030">
        <v>1.9432120000000001E-2</v>
      </c>
      <c r="P2030">
        <v>-0.99949100000000002</v>
      </c>
      <c r="Q2030">
        <v>2.538172E-2</v>
      </c>
      <c r="R2030">
        <v>1.9331129999999998E-2</v>
      </c>
      <c r="S2030">
        <v>-3.0141909999999998</v>
      </c>
      <c r="T2030">
        <v>-0.63133739999999905</v>
      </c>
      <c r="U2030">
        <v>0.16488649999999999</v>
      </c>
      <c r="V2030" s="1">
        <v>-7.5958999999999996E-5</v>
      </c>
      <c r="W2030">
        <v>3.183859E-2</v>
      </c>
      <c r="X2030">
        <v>0.99949299999999996</v>
      </c>
      <c r="Y2030">
        <v>3.4873870000000001E-2</v>
      </c>
      <c r="Z2030">
        <v>-4.1247970000000001E-4</v>
      </c>
      <c r="AA2030">
        <v>0.99939160000000005</v>
      </c>
      <c r="AB2030">
        <v>28</v>
      </c>
      <c r="AC2030">
        <v>-0.57299999999997897</v>
      </c>
      <c r="AD2030">
        <v>-0.17851600000000001</v>
      </c>
      <c r="AE2030">
        <v>4.1300000000035197E-2</v>
      </c>
      <c r="AF2030">
        <v>2.7501806453208499E-2</v>
      </c>
      <c r="AG2030">
        <v>-0.17851600000000001</v>
      </c>
      <c r="AH2030">
        <v>0.52317671729453297</v>
      </c>
      <c r="AI2030">
        <v>108.816288164513</v>
      </c>
      <c r="AJ2030">
        <v>86.990905014189195</v>
      </c>
      <c r="AK2030">
        <v>0.55347826437293302</v>
      </c>
      <c r="AL2030">
        <v>88.175474788765897</v>
      </c>
      <c r="AM2030">
        <v>90.004354337756894</v>
      </c>
      <c r="AN2030">
        <v>0.99999997931597795</v>
      </c>
    </row>
    <row r="2031" spans="1:40" x14ac:dyDescent="0.25">
      <c r="A2031" t="str">
        <f>"20190312160640594"</f>
        <v>20190312160640594</v>
      </c>
      <c r="B2031" t="str">
        <f>"1552378000586846"</f>
        <v>1552378000586846</v>
      </c>
      <c r="C2031" t="s">
        <v>40</v>
      </c>
      <c r="D2031">
        <v>6.2196660000000001</v>
      </c>
      <c r="E2031">
        <v>0.50877689999999998</v>
      </c>
      <c r="F2031" t="s">
        <v>44</v>
      </c>
      <c r="G2031">
        <v>-268.33589999999998</v>
      </c>
      <c r="H2031">
        <v>0.9866258</v>
      </c>
      <c r="I2031">
        <v>282.87099999999998</v>
      </c>
      <c r="J2031">
        <v>-267.64109999999999</v>
      </c>
      <c r="K2031">
        <v>1.108771</v>
      </c>
      <c r="L2031">
        <v>282.83429999999998</v>
      </c>
      <c r="M2031">
        <v>-0.99978699999999998</v>
      </c>
      <c r="N2031">
        <v>0</v>
      </c>
      <c r="O2031">
        <v>1.9600309999999999E-2</v>
      </c>
      <c r="P2031">
        <v>-0.99947699999999995</v>
      </c>
      <c r="Q2031">
        <v>2.5592770000000001E-2</v>
      </c>
      <c r="R2031">
        <v>1.976727E-2</v>
      </c>
      <c r="S2031">
        <v>-3.0097659999999999</v>
      </c>
      <c r="T2031">
        <v>-0.43221910000000002</v>
      </c>
      <c r="U2031">
        <v>0.14096069999999999</v>
      </c>
      <c r="V2031">
        <v>1.920352E-4</v>
      </c>
      <c r="W2031">
        <v>3.2063059999999997E-2</v>
      </c>
      <c r="X2031">
        <v>0.99948590000000004</v>
      </c>
      <c r="Y2031">
        <v>2.7117970000000002E-2</v>
      </c>
      <c r="Z2031">
        <v>-8.6227859999999995E-4</v>
      </c>
      <c r="AA2031">
        <v>0.99963190000000002</v>
      </c>
      <c r="AB2031">
        <v>28</v>
      </c>
      <c r="AC2031">
        <v>-0.69479999999998598</v>
      </c>
      <c r="AD2031">
        <v>-0.122145199999999</v>
      </c>
      <c r="AE2031">
        <v>3.6699999999996097E-2</v>
      </c>
      <c r="AF2031">
        <v>2.2384494479186501E-2</v>
      </c>
      <c r="AG2031">
        <v>-0.122145199999999</v>
      </c>
      <c r="AH2031">
        <v>0.67459529263207796</v>
      </c>
      <c r="AI2031">
        <v>100.257509590197</v>
      </c>
      <c r="AJ2031">
        <v>88.099502514418205</v>
      </c>
      <c r="AK2031">
        <v>0.68592953305531801</v>
      </c>
      <c r="AL2031">
        <v>88.1626072027031</v>
      </c>
      <c r="AM2031">
        <v>89.988991534205098</v>
      </c>
      <c r="AN2031">
        <v>1.00000007049644</v>
      </c>
    </row>
    <row r="2032" spans="1:40" x14ac:dyDescent="0.25">
      <c r="A2032" t="str">
        <f>"20190312160640616"</f>
        <v>20190312160640616</v>
      </c>
      <c r="B2032" t="str">
        <f>"1552378000607345"</f>
        <v>1552378000607345</v>
      </c>
      <c r="C2032" t="s">
        <v>40</v>
      </c>
      <c r="D2032">
        <v>5.7188319999999999</v>
      </c>
      <c r="E2032">
        <v>0.50715489999999996</v>
      </c>
      <c r="F2032" t="s">
        <v>44</v>
      </c>
      <c r="G2032">
        <v>-268.5908</v>
      </c>
      <c r="H2032">
        <v>0.99401989999999996</v>
      </c>
      <c r="I2032">
        <v>282.8775</v>
      </c>
      <c r="J2032">
        <v>-267.911</v>
      </c>
      <c r="K2032">
        <v>1.108781</v>
      </c>
      <c r="L2032">
        <v>282.83980000000003</v>
      </c>
      <c r="M2032">
        <v>-0.99978140000000004</v>
      </c>
      <c r="N2032">
        <v>0</v>
      </c>
      <c r="O2032">
        <v>1.9875049999999998E-2</v>
      </c>
      <c r="P2032">
        <v>-0.99947240000000004</v>
      </c>
      <c r="Q2032">
        <v>2.5339850000000001E-2</v>
      </c>
      <c r="R2032">
        <v>2.0310519999999999E-2</v>
      </c>
      <c r="S2032">
        <v>-3.0081790000000002</v>
      </c>
      <c r="T2032">
        <v>-0.36365950000000002</v>
      </c>
      <c r="U2032">
        <v>0.1360779</v>
      </c>
      <c r="V2032">
        <v>4.5949439999999999E-4</v>
      </c>
      <c r="W2032">
        <v>3.1835250000000002E-2</v>
      </c>
      <c r="X2032">
        <v>0.99949299999999996</v>
      </c>
      <c r="Y2032">
        <v>2.5286340000000001E-2</v>
      </c>
      <c r="Z2032">
        <v>-8.7031629999999999E-4</v>
      </c>
      <c r="AA2032">
        <v>0.99967989999999995</v>
      </c>
      <c r="AB2032">
        <v>28</v>
      </c>
      <c r="AC2032">
        <v>-0.67979999999999996</v>
      </c>
      <c r="AD2032">
        <v>-0.11476109999999901</v>
      </c>
      <c r="AE2032">
        <v>3.7699999999972499E-2</v>
      </c>
      <c r="AF2032">
        <v>2.3513166013485302E-2</v>
      </c>
      <c r="AG2032">
        <v>-0.11476109999999901</v>
      </c>
      <c r="AH2032">
        <v>0.66161750501519201</v>
      </c>
      <c r="AI2032">
        <v>99.8342641773786</v>
      </c>
      <c r="AJ2032">
        <v>87.964626971007306</v>
      </c>
      <c r="AK2032">
        <v>0.67190825414763</v>
      </c>
      <c r="AL2032">
        <v>88.175666247065493</v>
      </c>
      <c r="AM2032">
        <v>89.973659557420405</v>
      </c>
      <c r="AN2032">
        <v>0.99999997566333199</v>
      </c>
    </row>
    <row r="2033" spans="1:40" x14ac:dyDescent="0.25">
      <c r="A2033" t="str">
        <f>"20190312160640627"</f>
        <v>20190312160640627</v>
      </c>
      <c r="B2033" t="str">
        <f>"1552378000617101"</f>
        <v>1552378000617101</v>
      </c>
      <c r="C2033" t="s">
        <v>40</v>
      </c>
      <c r="D2033">
        <v>6.2043530000000002</v>
      </c>
      <c r="E2033">
        <v>0.50715489999999996</v>
      </c>
      <c r="F2033" t="s">
        <v>44</v>
      </c>
      <c r="G2033">
        <v>-268.85550000000001</v>
      </c>
      <c r="H2033">
        <v>1.0195019999999999</v>
      </c>
      <c r="I2033">
        <v>282.87880000000001</v>
      </c>
      <c r="J2033">
        <v>-268.06060000000002</v>
      </c>
      <c r="K2033">
        <v>1.108787</v>
      </c>
      <c r="L2033">
        <v>282.84300000000002</v>
      </c>
      <c r="M2033">
        <v>-0.99977839999999996</v>
      </c>
      <c r="N2033">
        <v>0</v>
      </c>
      <c r="O2033">
        <v>2.001932E-2</v>
      </c>
      <c r="P2033">
        <v>-0.99946599999999997</v>
      </c>
      <c r="Q2033">
        <v>2.5428289999999999E-2</v>
      </c>
      <c r="R2033">
        <v>2.0526019999999999E-2</v>
      </c>
      <c r="S2033">
        <v>-3.0063170000000001</v>
      </c>
      <c r="T2033">
        <v>-0.28424640000000001</v>
      </c>
      <c r="U2033">
        <v>0.1236877</v>
      </c>
      <c r="V2033">
        <v>5.3057250000000005E-4</v>
      </c>
      <c r="W2033">
        <v>3.1937720000000003E-2</v>
      </c>
      <c r="X2033">
        <v>0.99948970000000004</v>
      </c>
      <c r="Y2033">
        <v>2.1091990000000001E-2</v>
      </c>
      <c r="Z2033">
        <v>-8.9308339999999995E-4</v>
      </c>
      <c r="AA2033">
        <v>0.99977709999999997</v>
      </c>
      <c r="AB2033">
        <v>28</v>
      </c>
      <c r="AC2033">
        <v>-0.79489999999998395</v>
      </c>
      <c r="AD2033">
        <v>-8.9285000000000003E-2</v>
      </c>
      <c r="AE2033">
        <v>3.5799999999994697E-2</v>
      </c>
      <c r="AF2033">
        <v>1.9631949276197502E-2</v>
      </c>
      <c r="AG2033">
        <v>-8.9285000000000003E-2</v>
      </c>
      <c r="AH2033">
        <v>0.785566515974635</v>
      </c>
      <c r="AI2033">
        <v>96.482224722571203</v>
      </c>
      <c r="AJ2033">
        <v>88.568429617395594</v>
      </c>
      <c r="AK2033">
        <v>0.79086786233726203</v>
      </c>
      <c r="AL2033">
        <v>88.169792169224195</v>
      </c>
      <c r="AM2033">
        <v>89.969584917062903</v>
      </c>
      <c r="AN2033">
        <v>0.99999997993603296</v>
      </c>
    </row>
    <row r="2034" spans="1:40" x14ac:dyDescent="0.25">
      <c r="A2034" t="str">
        <f>"20190312160640640"</f>
        <v>20190312160640640</v>
      </c>
      <c r="B2034" t="str">
        <f>"1552378000636621"</f>
        <v>1552378000636621</v>
      </c>
      <c r="C2034" t="s">
        <v>40</v>
      </c>
      <c r="D2034">
        <v>6.3944660000000004</v>
      </c>
      <c r="E2034">
        <v>0.50635019999999997</v>
      </c>
      <c r="F2034" t="s">
        <v>44</v>
      </c>
      <c r="G2034">
        <v>-268.86219999999997</v>
      </c>
      <c r="H2034">
        <v>1.033104</v>
      </c>
      <c r="I2034">
        <v>282.87630000000001</v>
      </c>
      <c r="J2034">
        <v>-268.21809999999999</v>
      </c>
      <c r="K2034">
        <v>1.1087940000000001</v>
      </c>
      <c r="L2034">
        <v>282.84629999999999</v>
      </c>
      <c r="M2034">
        <v>-0.99977539999999998</v>
      </c>
      <c r="N2034">
        <v>0</v>
      </c>
      <c r="O2034">
        <v>2.0166750000000001E-2</v>
      </c>
      <c r="P2034">
        <v>-0.9994537</v>
      </c>
      <c r="Q2034">
        <v>2.5809639999999998E-2</v>
      </c>
      <c r="R2034">
        <v>2.0642210000000001E-2</v>
      </c>
      <c r="S2034">
        <v>-3.0062259999999998</v>
      </c>
      <c r="T2034">
        <v>-0.28393570000000001</v>
      </c>
      <c r="U2034">
        <v>0.12469479999999999</v>
      </c>
      <c r="V2034">
        <v>4.9915089999999897E-4</v>
      </c>
      <c r="W2034">
        <v>3.2333290000000001E-2</v>
      </c>
      <c r="X2034">
        <v>0.99947699999999995</v>
      </c>
      <c r="Y2034">
        <v>2.128E-2</v>
      </c>
      <c r="Z2034">
        <v>-8.9715819999999996E-4</v>
      </c>
      <c r="AA2034">
        <v>0.99977309999999997</v>
      </c>
      <c r="AB2034">
        <v>28</v>
      </c>
      <c r="AC2034">
        <v>-0.64409999999998002</v>
      </c>
      <c r="AD2034">
        <v>-7.5689999999999993E-2</v>
      </c>
      <c r="AE2034">
        <v>3.00000000000295E-2</v>
      </c>
      <c r="AF2034">
        <v>1.6773096596595202E-2</v>
      </c>
      <c r="AG2034">
        <v>-7.5689999999999993E-2</v>
      </c>
      <c r="AH2034">
        <v>0.63581291956867803</v>
      </c>
      <c r="AI2034">
        <v>96.786456581210601</v>
      </c>
      <c r="AJ2034">
        <v>88.488856123109997</v>
      </c>
      <c r="AK2034">
        <v>0.64052196024795705</v>
      </c>
      <c r="AL2034">
        <v>88.147115969466796</v>
      </c>
      <c r="AM2034">
        <v>89.971385797239407</v>
      </c>
      <c r="AN2034">
        <v>0.99999998216142205</v>
      </c>
    </row>
    <row r="2035" spans="1:40" x14ac:dyDescent="0.25">
      <c r="A2035" t="str">
        <f>"20190312160640652"</f>
        <v>20190312160640652</v>
      </c>
      <c r="B2035" t="str">
        <f>"1552378000647357"</f>
        <v>1552378000647357</v>
      </c>
      <c r="C2035" t="s">
        <v>40</v>
      </c>
      <c r="D2035">
        <v>6.1270949999999997</v>
      </c>
      <c r="E2035">
        <v>0.50670090000000001</v>
      </c>
      <c r="F2035" t="s">
        <v>44</v>
      </c>
      <c r="G2035">
        <v>-269.12079999999997</v>
      </c>
      <c r="H2035">
        <v>1.0428649999999999</v>
      </c>
      <c r="I2035">
        <v>282.88189999999997</v>
      </c>
      <c r="J2035">
        <v>-268.36759999999998</v>
      </c>
      <c r="K2035">
        <v>1.10880499999999</v>
      </c>
      <c r="L2035">
        <v>282.8494</v>
      </c>
      <c r="M2035">
        <v>-0.99977260000000001</v>
      </c>
      <c r="N2035">
        <v>0</v>
      </c>
      <c r="O2035">
        <v>2.0301840000000002E-2</v>
      </c>
      <c r="P2035">
        <v>-0.99945550000000005</v>
      </c>
      <c r="Q2035">
        <v>2.594745E-2</v>
      </c>
      <c r="R2035">
        <v>2.039583E-2</v>
      </c>
      <c r="S2035">
        <v>-3.004883</v>
      </c>
      <c r="T2035">
        <v>-0.21956690000000001</v>
      </c>
      <c r="U2035">
        <v>0.1177979</v>
      </c>
      <c r="V2035">
        <v>1.173927E-4</v>
      </c>
      <c r="W2035">
        <v>3.2485319999999998E-2</v>
      </c>
      <c r="X2035">
        <v>0.99947220000000003</v>
      </c>
      <c r="Y2035">
        <v>1.888107E-2</v>
      </c>
      <c r="Z2035">
        <v>-7.9208429999999997E-4</v>
      </c>
      <c r="AA2035">
        <v>0.99982139999999997</v>
      </c>
      <c r="AB2035">
        <v>28</v>
      </c>
      <c r="AC2035">
        <v>-0.75319999999999199</v>
      </c>
      <c r="AD2035">
        <v>-6.5939999999999804E-2</v>
      </c>
      <c r="AE2035">
        <v>3.24999999999704E-2</v>
      </c>
      <c r="AF2035">
        <v>1.70710340574729E-2</v>
      </c>
      <c r="AG2035">
        <v>-6.5939999999999804E-2</v>
      </c>
      <c r="AH2035">
        <v>0.74798240936168103</v>
      </c>
      <c r="AI2035">
        <v>95.036703655794497</v>
      </c>
      <c r="AJ2035">
        <v>88.692578300489302</v>
      </c>
      <c r="AK2035">
        <v>0.75107735188747204</v>
      </c>
      <c r="AL2035">
        <v>88.138400736039898</v>
      </c>
      <c r="AM2035">
        <v>89.993270341861702</v>
      </c>
      <c r="AN2035">
        <v>0.99999999418469399</v>
      </c>
    </row>
    <row r="2036" spans="1:40" x14ac:dyDescent="0.25">
      <c r="A2036" t="str">
        <f>"20190312160640663"</f>
        <v>20190312160640663</v>
      </c>
      <c r="B2036" t="str">
        <f>"1552378000657117"</f>
        <v>1552378000657117</v>
      </c>
      <c r="C2036" t="s">
        <v>40</v>
      </c>
      <c r="D2036">
        <v>6.1810720000000003</v>
      </c>
      <c r="E2036">
        <v>0.50648579999999999</v>
      </c>
      <c r="F2036" t="s">
        <v>77</v>
      </c>
      <c r="G2036">
        <v>-284.3732</v>
      </c>
      <c r="H2036" s="1">
        <v>6.6962140000000003E-6</v>
      </c>
      <c r="I2036">
        <v>283.4873</v>
      </c>
      <c r="J2036">
        <v>-268.51389999999998</v>
      </c>
      <c r="K2036">
        <v>1.1088129999999901</v>
      </c>
      <c r="L2036">
        <v>282.85250000000002</v>
      </c>
      <c r="M2036">
        <v>-0.99976989999999999</v>
      </c>
      <c r="N2036">
        <v>0</v>
      </c>
      <c r="O2036">
        <v>2.0427870000000001E-2</v>
      </c>
      <c r="P2036">
        <v>-0.99945700000000004</v>
      </c>
      <c r="Q2036">
        <v>2.5924880000000001E-2</v>
      </c>
      <c r="R2036">
        <v>2.034886E-2</v>
      </c>
      <c r="S2036">
        <v>-3.004578</v>
      </c>
      <c r="T2036">
        <v>-0.20814469999999999</v>
      </c>
      <c r="U2036">
        <v>0.119751</v>
      </c>
      <c r="V2036" s="1">
        <v>-5.6062900000000002E-5</v>
      </c>
      <c r="W2036">
        <v>3.2476749999999999E-2</v>
      </c>
      <c r="X2036">
        <v>0.99947249999999999</v>
      </c>
      <c r="Y2036">
        <v>1.9406590000000001E-2</v>
      </c>
      <c r="Z2036">
        <v>-7.4158470000000002E-4</v>
      </c>
      <c r="AA2036">
        <v>0.99981140000000002</v>
      </c>
      <c r="AB2036">
        <v>28</v>
      </c>
      <c r="AC2036">
        <v>-15.859299999999999</v>
      </c>
      <c r="AD2036">
        <v>-1.1088063037860001</v>
      </c>
      <c r="AE2036">
        <v>0.63479999999998404</v>
      </c>
      <c r="AF2036">
        <v>0.309179973795003</v>
      </c>
      <c r="AG2036">
        <v>-1.1088063037860001</v>
      </c>
      <c r="AH2036">
        <v>15.7918889419899</v>
      </c>
      <c r="AI2036">
        <v>94.015587797831003</v>
      </c>
      <c r="AJ2036">
        <v>88.878383405381001</v>
      </c>
      <c r="AK2036">
        <v>15.8337866611766</v>
      </c>
      <c r="AL2036">
        <v>88.138892050184793</v>
      </c>
      <c r="AM2036">
        <v>90.003213862866502</v>
      </c>
      <c r="AN2036">
        <v>1.00000001034493</v>
      </c>
    </row>
    <row r="2037" spans="1:40" x14ac:dyDescent="0.25">
      <c r="A2037" t="str">
        <f>"20190312160640678"</f>
        <v>20190312160640678</v>
      </c>
      <c r="B2037" t="str">
        <f>"1552378000666877"</f>
        <v>1552378000666877</v>
      </c>
      <c r="C2037" t="s">
        <v>40</v>
      </c>
      <c r="D2037">
        <v>5.7368610000000002</v>
      </c>
      <c r="E2037">
        <v>0.50673069999999998</v>
      </c>
      <c r="F2037" t="s">
        <v>44</v>
      </c>
      <c r="G2037">
        <v>-269.39190000000002</v>
      </c>
      <c r="H2037">
        <v>1.0507310000000001</v>
      </c>
      <c r="I2037">
        <v>282.88709999999998</v>
      </c>
      <c r="J2037">
        <v>-268.70330000000001</v>
      </c>
      <c r="K2037">
        <v>1.108822</v>
      </c>
      <c r="L2037">
        <v>282.85649999999998</v>
      </c>
      <c r="M2037">
        <v>-0.9997665</v>
      </c>
      <c r="N2037">
        <v>0</v>
      </c>
      <c r="O2037">
        <v>2.0586790000000001E-2</v>
      </c>
      <c r="P2037">
        <v>-0.99948099999999995</v>
      </c>
      <c r="Q2037">
        <v>2.5269130000000001E-2</v>
      </c>
      <c r="R2037">
        <v>1.9988570000000001E-2</v>
      </c>
      <c r="S2037">
        <v>-3.0043639999999998</v>
      </c>
      <c r="T2037">
        <v>-0.19883439999999999</v>
      </c>
      <c r="U2037">
        <v>0.1176758</v>
      </c>
      <c r="V2037">
        <v>-5.7650569999999996E-4</v>
      </c>
      <c r="W2037">
        <v>3.1839060000000002E-2</v>
      </c>
      <c r="X2037">
        <v>0.99949279999999996</v>
      </c>
      <c r="Y2037">
        <v>1.856294E-2</v>
      </c>
      <c r="Z2037">
        <v>-7.4692429999999896E-4</v>
      </c>
      <c r="AA2037">
        <v>0.99982740000000003</v>
      </c>
      <c r="AB2037">
        <v>28</v>
      </c>
      <c r="AC2037">
        <v>-0.68860000000000798</v>
      </c>
      <c r="AD2037">
        <v>-5.8091000000000101E-2</v>
      </c>
      <c r="AE2037">
        <v>3.0599999999992598E-2</v>
      </c>
      <c r="AF2037">
        <v>1.6301360753450199E-2</v>
      </c>
      <c r="AG2037">
        <v>-5.8091000000000101E-2</v>
      </c>
      <c r="AH2037">
        <v>0.68422415056427699</v>
      </c>
      <c r="AI2037">
        <v>94.851435026449195</v>
      </c>
      <c r="AJ2037">
        <v>88.635209653492893</v>
      </c>
      <c r="AK2037">
        <v>0.68687916467077503</v>
      </c>
      <c r="AL2037">
        <v>88.175447806593098</v>
      </c>
      <c r="AM2037">
        <v>90.0330481018093</v>
      </c>
      <c r="AN2037">
        <v>0.999999957676171</v>
      </c>
    </row>
    <row r="2038" spans="1:40" x14ac:dyDescent="0.25">
      <c r="A2038" t="str">
        <f>"20190312160640695"</f>
        <v>20190312160640695</v>
      </c>
      <c r="B2038" t="str">
        <f>"1552378000687373"</f>
        <v>1552378000687373</v>
      </c>
      <c r="C2038" t="s">
        <v>40</v>
      </c>
      <c r="D2038">
        <v>5.7410370000000004</v>
      </c>
      <c r="E2038">
        <v>0.50619759999999903</v>
      </c>
      <c r="F2038" t="s">
        <v>44</v>
      </c>
      <c r="G2038">
        <v>-269.63459999999998</v>
      </c>
      <c r="H2038">
        <v>1.0490679999999999</v>
      </c>
      <c r="I2038">
        <v>282.89350000000002</v>
      </c>
      <c r="J2038">
        <v>-268.91090000000003</v>
      </c>
      <c r="K2038">
        <v>1.1088309999999999</v>
      </c>
      <c r="L2038">
        <v>282.86099999999999</v>
      </c>
      <c r="M2038">
        <v>-0.99976299999999996</v>
      </c>
      <c r="N2038">
        <v>0</v>
      </c>
      <c r="O2038">
        <v>2.0753690000000002E-2</v>
      </c>
      <c r="P2038">
        <v>-0.99949310000000002</v>
      </c>
      <c r="Q2038">
        <v>2.4534050000000002E-2</v>
      </c>
      <c r="R2038">
        <v>2.029854E-2</v>
      </c>
      <c r="S2038">
        <v>-3.004089</v>
      </c>
      <c r="T2038">
        <v>-0.19302569999999999</v>
      </c>
      <c r="U2038">
        <v>0.1182251</v>
      </c>
      <c r="V2038">
        <v>-4.349666E-4</v>
      </c>
      <c r="W2038">
        <v>3.1123680000000001E-2</v>
      </c>
      <c r="X2038">
        <v>0.9995155</v>
      </c>
      <c r="Y2038">
        <v>1.85822E-2</v>
      </c>
      <c r="Z2038">
        <v>-7.3529949999999998E-4</v>
      </c>
      <c r="AA2038">
        <v>0.99982709999999997</v>
      </c>
      <c r="AB2038">
        <v>28</v>
      </c>
      <c r="AC2038">
        <v>-0.72369999999995105</v>
      </c>
      <c r="AD2038">
        <v>-5.9762999999999698E-2</v>
      </c>
      <c r="AE2038">
        <v>3.2500000000027202E-2</v>
      </c>
      <c r="AF2038">
        <v>1.7355116044559499E-2</v>
      </c>
      <c r="AG2038">
        <v>-5.9762999999999698E-2</v>
      </c>
      <c r="AH2038">
        <v>0.71932313566269002</v>
      </c>
      <c r="AI2038">
        <v>94.747980403111995</v>
      </c>
      <c r="AJ2038">
        <v>88.6178923291384</v>
      </c>
      <c r="AK2038">
        <v>0.72201010361457196</v>
      </c>
      <c r="AL2038">
        <v>88.2164565616294</v>
      </c>
      <c r="AM2038">
        <v>90.024933829276193</v>
      </c>
      <c r="AN2038">
        <v>1.0000000536964599</v>
      </c>
    </row>
    <row r="2039" spans="1:40" x14ac:dyDescent="0.25">
      <c r="A2039" t="str">
        <f>"20190312160640718"</f>
        <v>20190312160640718</v>
      </c>
      <c r="B2039" t="str">
        <f>"1552378000706893"</f>
        <v>1552378000706893</v>
      </c>
      <c r="C2039" t="s">
        <v>40</v>
      </c>
      <c r="D2039">
        <v>6.296081</v>
      </c>
      <c r="E2039">
        <v>0.50617509999999999</v>
      </c>
      <c r="F2039" t="s">
        <v>44</v>
      </c>
      <c r="G2039">
        <v>-269.8897</v>
      </c>
      <c r="H2039">
        <v>1.048673</v>
      </c>
      <c r="I2039">
        <v>282.89819999999997</v>
      </c>
      <c r="J2039">
        <v>-269.20479999999998</v>
      </c>
      <c r="K2039">
        <v>1.108843</v>
      </c>
      <c r="L2039">
        <v>282.8673</v>
      </c>
      <c r="M2039">
        <v>-0.99975809999999998</v>
      </c>
      <c r="N2039">
        <v>0</v>
      </c>
      <c r="O2039">
        <v>2.0979379999999999E-2</v>
      </c>
      <c r="P2039">
        <v>-0.99949310000000002</v>
      </c>
      <c r="Q2039">
        <v>2.4495119999999999E-2</v>
      </c>
      <c r="R2039">
        <v>2.0336099999999999E-2</v>
      </c>
      <c r="S2039">
        <v>-3.0037539999999998</v>
      </c>
      <c r="T2039">
        <v>-0.18464410000000001</v>
      </c>
      <c r="U2039">
        <v>0.1140747</v>
      </c>
      <c r="V2039">
        <v>-6.2322629999999896E-4</v>
      </c>
      <c r="W2039">
        <v>3.1113200000000001E-2</v>
      </c>
      <c r="X2039">
        <v>0.99951570000000001</v>
      </c>
      <c r="Y2039">
        <v>1.6984470000000002E-2</v>
      </c>
      <c r="Z2039">
        <v>-7.6642880000000004E-4</v>
      </c>
      <c r="AA2039">
        <v>0.99985550000000001</v>
      </c>
      <c r="AB2039">
        <v>28</v>
      </c>
      <c r="AC2039">
        <v>-0.68490000000002704</v>
      </c>
      <c r="AD2039">
        <v>-6.0170000000000001E-2</v>
      </c>
      <c r="AE2039">
        <v>3.0899999999974101E-2</v>
      </c>
      <c r="AF2039">
        <v>1.6397806758124502E-2</v>
      </c>
      <c r="AG2039">
        <v>-6.0170000000000001E-2</v>
      </c>
      <c r="AH2039">
        <v>0.68015871713411102</v>
      </c>
      <c r="AI2039">
        <v>95.054029209023795</v>
      </c>
      <c r="AJ2039">
        <v>88.618935356807896</v>
      </c>
      <c r="AK2039">
        <v>0.68301185748125703</v>
      </c>
      <c r="AL2039">
        <v>88.217057264847099</v>
      </c>
      <c r="AM2039">
        <v>90.035725533920001</v>
      </c>
      <c r="AN2039">
        <v>1.00000002708587</v>
      </c>
    </row>
    <row r="2040" spans="1:40" x14ac:dyDescent="0.25">
      <c r="A2040" t="str">
        <f>"20190312160640739"</f>
        <v>20190312160640739</v>
      </c>
      <c r="B2040" t="str">
        <f>"1552378000727389"</f>
        <v>1552378000727389</v>
      </c>
      <c r="C2040" t="s">
        <v>40</v>
      </c>
      <c r="D2040">
        <v>5.4291519999999904</v>
      </c>
      <c r="E2040">
        <v>0.50594119999999998</v>
      </c>
      <c r="F2040" t="s">
        <v>77</v>
      </c>
      <c r="G2040">
        <v>-288.19560000000001</v>
      </c>
      <c r="H2040" s="1">
        <v>4.980408E-6</v>
      </c>
      <c r="I2040">
        <v>283.58760000000001</v>
      </c>
      <c r="J2040">
        <v>-269.46980000000002</v>
      </c>
      <c r="K2040">
        <v>1.108846</v>
      </c>
      <c r="L2040">
        <v>282.87310000000002</v>
      </c>
      <c r="M2040">
        <v>-0.99975380000000003</v>
      </c>
      <c r="N2040">
        <v>0</v>
      </c>
      <c r="O2040">
        <v>2.1175909999999999E-2</v>
      </c>
      <c r="P2040">
        <v>-0.99949339999999998</v>
      </c>
      <c r="Q2040">
        <v>2.4515559999999999E-2</v>
      </c>
      <c r="R2040">
        <v>2.030558E-2</v>
      </c>
      <c r="S2040">
        <v>-3.0035099999999999</v>
      </c>
      <c r="T2040">
        <v>-0.17536969999999999</v>
      </c>
      <c r="U2040">
        <v>0.1139221</v>
      </c>
      <c r="V2040">
        <v>-8.5056629999999997E-4</v>
      </c>
      <c r="W2040">
        <v>3.1158950000000001E-2</v>
      </c>
      <c r="X2040">
        <v>0.99951409999999996</v>
      </c>
      <c r="Y2040">
        <v>1.6740290000000001E-2</v>
      </c>
      <c r="Z2040">
        <v>-7.4663639999999999E-4</v>
      </c>
      <c r="AA2040">
        <v>0.99985959999999996</v>
      </c>
      <c r="AB2040">
        <v>29</v>
      </c>
      <c r="AC2040">
        <v>-18.7257999999999</v>
      </c>
      <c r="AD2040">
        <v>-1.108841019592</v>
      </c>
      <c r="AE2040">
        <v>0.71449999999998604</v>
      </c>
      <c r="AF2040">
        <v>0.31668640791408798</v>
      </c>
      <c r="AG2040">
        <v>-1.108841019592</v>
      </c>
      <c r="AH2040">
        <v>18.671357837924901</v>
      </c>
      <c r="AI2040">
        <v>93.398160720019405</v>
      </c>
      <c r="AJ2040">
        <v>89.0282948296488</v>
      </c>
      <c r="AK2040">
        <v>18.706935136454799</v>
      </c>
      <c r="AL2040">
        <v>88.214434698572802</v>
      </c>
      <c r="AM2040">
        <v>90.048757538710305</v>
      </c>
      <c r="AN2040">
        <v>1.00000001986347</v>
      </c>
    </row>
    <row r="2041" spans="1:40" x14ac:dyDescent="0.25">
      <c r="A2041" t="str">
        <f>"20190312160640750"</f>
        <v>20190312160640750</v>
      </c>
      <c r="B2041" t="str">
        <f>"1552378000746909"</f>
        <v>1552378000746909</v>
      </c>
      <c r="C2041" t="s">
        <v>40</v>
      </c>
      <c r="D2041">
        <v>6.2782859999999996</v>
      </c>
      <c r="E2041">
        <v>0.50560130000000003</v>
      </c>
      <c r="F2041" t="s">
        <v>77</v>
      </c>
      <c r="G2041">
        <v>-289.26459999999997</v>
      </c>
      <c r="H2041" s="1">
        <v>4.5014120000000001E-6</v>
      </c>
      <c r="I2041">
        <v>283.61149999999998</v>
      </c>
      <c r="J2041">
        <v>-269.63119999999998</v>
      </c>
      <c r="K2041">
        <v>1.10884</v>
      </c>
      <c r="L2041">
        <v>282.8766</v>
      </c>
      <c r="M2041">
        <v>-0.99975119999999895</v>
      </c>
      <c r="N2041">
        <v>0</v>
      </c>
      <c r="O2041">
        <v>2.1293980000000001E-2</v>
      </c>
      <c r="P2041">
        <v>-0.99948760000000003</v>
      </c>
      <c r="Q2041">
        <v>2.4468670000000001E-2</v>
      </c>
      <c r="R2041">
        <v>2.065148E-2</v>
      </c>
      <c r="S2041">
        <v>-3.0033569999999998</v>
      </c>
      <c r="T2041">
        <v>-0.1682382</v>
      </c>
      <c r="U2041">
        <v>0.11203</v>
      </c>
      <c r="V2041">
        <v>-6.2274940000000005E-4</v>
      </c>
      <c r="W2041">
        <v>3.1127499999999999E-2</v>
      </c>
      <c r="X2041">
        <v>0.99951520000000005</v>
      </c>
      <c r="Y2041">
        <v>1.5995860000000001E-2</v>
      </c>
      <c r="Z2041">
        <v>-7.4380029999999997E-4</v>
      </c>
      <c r="AA2041">
        <v>0.99987179999999998</v>
      </c>
      <c r="AB2041">
        <v>29</v>
      </c>
      <c r="AC2041">
        <v>-19.633399999999899</v>
      </c>
      <c r="AD2041">
        <v>-1.108835498588</v>
      </c>
      <c r="AE2041">
        <v>0.73489999999998101</v>
      </c>
      <c r="AF2041">
        <v>0.31564552237036297</v>
      </c>
      <c r="AG2041">
        <v>-1.108835498588</v>
      </c>
      <c r="AH2041">
        <v>19.5822242907442</v>
      </c>
      <c r="AI2041">
        <v>93.240469355011797</v>
      </c>
      <c r="AJ2041">
        <v>89.076530330517201</v>
      </c>
      <c r="AK2041">
        <v>19.616132555418101</v>
      </c>
      <c r="AL2041">
        <v>88.216237439984198</v>
      </c>
      <c r="AM2041">
        <v>90.035698214191498</v>
      </c>
      <c r="AN2041">
        <v>0.99999997205205204</v>
      </c>
    </row>
    <row r="2042" spans="1:40" x14ac:dyDescent="0.25">
      <c r="A2042" t="str">
        <f>"20190312160640772"</f>
        <v>20190312160640772</v>
      </c>
      <c r="B2042" t="str">
        <f>"1552378000767405"</f>
        <v>1552378000767405</v>
      </c>
      <c r="C2042" t="s">
        <v>40</v>
      </c>
      <c r="D2042">
        <v>6.2210109999999998</v>
      </c>
      <c r="E2042">
        <v>0.50556880000000004</v>
      </c>
      <c r="F2042" t="s">
        <v>77</v>
      </c>
      <c r="G2042">
        <v>-290.35160000000002</v>
      </c>
      <c r="H2042" s="1">
        <v>2.3536830000000002E-6</v>
      </c>
      <c r="I2042">
        <v>283.63749999999999</v>
      </c>
      <c r="J2042">
        <v>-269.90370000000001</v>
      </c>
      <c r="K2042">
        <v>1.1088370000000001</v>
      </c>
      <c r="L2042">
        <v>282.88260000000002</v>
      </c>
      <c r="M2042">
        <v>-0.99974669999999999</v>
      </c>
      <c r="N2042">
        <v>0</v>
      </c>
      <c r="O2042">
        <v>2.1491659999999999E-2</v>
      </c>
      <c r="P2042">
        <v>-0.99948809999999999</v>
      </c>
      <c r="Q2042">
        <v>2.4289080000000001E-2</v>
      </c>
      <c r="R2042">
        <v>2.0823870000000001E-2</v>
      </c>
      <c r="S2042">
        <v>-3.0032350000000001</v>
      </c>
      <c r="T2042">
        <v>-0.16071589999999999</v>
      </c>
      <c r="U2042">
        <v>0.1102905</v>
      </c>
      <c r="V2042">
        <v>-6.4848919999999999E-4</v>
      </c>
      <c r="W2042">
        <v>3.0974499999999999E-2</v>
      </c>
      <c r="X2042">
        <v>0.99951990000000002</v>
      </c>
      <c r="Y2042">
        <v>1.5221989999999999E-2</v>
      </c>
      <c r="Z2042">
        <v>-7.4187910000000001E-4</v>
      </c>
      <c r="AA2042">
        <v>0.99988390000000005</v>
      </c>
      <c r="AB2042">
        <v>29</v>
      </c>
      <c r="AC2042">
        <v>-20.447900000000001</v>
      </c>
      <c r="AD2042">
        <v>-1.108834646317</v>
      </c>
      <c r="AE2042">
        <v>0.75489999999996305</v>
      </c>
      <c r="AF2042">
        <v>0.31433343539738801</v>
      </c>
      <c r="AG2042">
        <v>-1.108834646317</v>
      </c>
      <c r="AH2042">
        <v>20.399496167309302</v>
      </c>
      <c r="AI2042">
        <v>93.110938002779093</v>
      </c>
      <c r="AJ2042">
        <v>89.117205941179904</v>
      </c>
      <c r="AK2042">
        <v>20.432027889114401</v>
      </c>
      <c r="AL2042">
        <v>88.225007858437706</v>
      </c>
      <c r="AM2042">
        <v>90.037173536020902</v>
      </c>
      <c r="AN2042">
        <v>0.99999993534224896</v>
      </c>
    </row>
    <row r="2043" spans="1:40" x14ac:dyDescent="0.25">
      <c r="A2043" t="str">
        <f>"20190312160640795"</f>
        <v>20190312160640795</v>
      </c>
      <c r="B2043" t="str">
        <f>"1552378000786925"</f>
        <v>1552378000786925</v>
      </c>
      <c r="C2043" t="s">
        <v>40</v>
      </c>
      <c r="D2043">
        <v>6.2502509999999996</v>
      </c>
      <c r="E2043">
        <v>0.50602579999999997</v>
      </c>
      <c r="F2043" t="s">
        <v>77</v>
      </c>
      <c r="G2043">
        <v>-291.04289999999997</v>
      </c>
      <c r="H2043" s="1">
        <v>2.4744220000000002E-6</v>
      </c>
      <c r="I2043">
        <v>283.6592</v>
      </c>
      <c r="J2043">
        <v>-270.19819999999999</v>
      </c>
      <c r="K2043">
        <v>1.1088359999999999</v>
      </c>
      <c r="L2043">
        <v>282.88920000000002</v>
      </c>
      <c r="M2043">
        <v>-0.99974200000000002</v>
      </c>
      <c r="N2043">
        <v>0</v>
      </c>
      <c r="O2043">
        <v>2.1703819999999999E-2</v>
      </c>
      <c r="P2043">
        <v>-0.99950059999999996</v>
      </c>
      <c r="Q2043">
        <v>2.3643850000000001E-2</v>
      </c>
      <c r="R2043">
        <v>2.0966039999999998E-2</v>
      </c>
      <c r="S2043">
        <v>-3.0030519999999998</v>
      </c>
      <c r="T2043">
        <v>-0.1575223</v>
      </c>
      <c r="U2043">
        <v>0.110321</v>
      </c>
      <c r="V2043">
        <v>-7.1951749999999998E-4</v>
      </c>
      <c r="W2043">
        <v>3.0358719999999999E-2</v>
      </c>
      <c r="X2043">
        <v>0.99953879999999995</v>
      </c>
      <c r="Y2043">
        <v>1.5022399999999899E-2</v>
      </c>
      <c r="Z2043">
        <v>-7.4354450000000002E-4</v>
      </c>
      <c r="AA2043">
        <v>0.99988690000000002</v>
      </c>
      <c r="AB2043">
        <v>29</v>
      </c>
      <c r="AC2043">
        <v>-20.8446999999999</v>
      </c>
      <c r="AD2043">
        <v>-1.108833525578</v>
      </c>
      <c r="AE2043">
        <v>0.76999999999998103</v>
      </c>
      <c r="AF2043">
        <v>0.31650445111276099</v>
      </c>
      <c r="AG2043">
        <v>-1.108833525578</v>
      </c>
      <c r="AH2043">
        <v>20.7977307310829</v>
      </c>
      <c r="AI2043">
        <v>93.051489304963198</v>
      </c>
      <c r="AJ2043">
        <v>89.128127499274896</v>
      </c>
      <c r="AK2043">
        <v>20.8296733151927</v>
      </c>
      <c r="AL2043">
        <v>88.260306155340302</v>
      </c>
      <c r="AM2043">
        <v>90.041244330800396</v>
      </c>
      <c r="AN2043">
        <v>0.99999999114545501</v>
      </c>
    </row>
    <row r="2044" spans="1:40" x14ac:dyDescent="0.25">
      <c r="A2044" t="str">
        <f>"20190312160640807"</f>
        <v>20190312160640807</v>
      </c>
      <c r="B2044" t="str">
        <f>"1552378000797661"</f>
        <v>1552378000797661</v>
      </c>
      <c r="C2044" t="s">
        <v>40</v>
      </c>
      <c r="D2044">
        <v>6.2328250000000001</v>
      </c>
      <c r="E2044">
        <v>0.50631700000000002</v>
      </c>
      <c r="F2044" t="s">
        <v>77</v>
      </c>
      <c r="G2044">
        <v>-291.9502</v>
      </c>
      <c r="H2044" s="1">
        <v>2.6301430000000002E-6</v>
      </c>
      <c r="I2044">
        <v>283.71879999999999</v>
      </c>
      <c r="J2044">
        <v>-270.35939999999999</v>
      </c>
      <c r="K2044">
        <v>1.108835</v>
      </c>
      <c r="L2044">
        <v>282.89280000000002</v>
      </c>
      <c r="M2044">
        <v>-0.99973920000000005</v>
      </c>
      <c r="N2044">
        <v>0</v>
      </c>
      <c r="O2044">
        <v>2.1820349999999999E-2</v>
      </c>
      <c r="P2044">
        <v>-0.99949779999999999</v>
      </c>
      <c r="Q2044">
        <v>2.369804E-2</v>
      </c>
      <c r="R2044">
        <v>2.1039019999999999E-2</v>
      </c>
      <c r="S2044">
        <v>-3.0027159999999999</v>
      </c>
      <c r="T2044">
        <v>-0.15306689999999901</v>
      </c>
      <c r="U2044">
        <v>0.1145325</v>
      </c>
      <c r="V2044">
        <v>-7.6241130000000005E-4</v>
      </c>
      <c r="W2044">
        <v>3.042831E-2</v>
      </c>
      <c r="X2044">
        <v>0.9995366</v>
      </c>
      <c r="Y2044">
        <v>1.6308320000000001E-2</v>
      </c>
      <c r="Z2044">
        <v>-6.9578879999999997E-4</v>
      </c>
      <c r="AA2044">
        <v>0.99986679999999994</v>
      </c>
      <c r="AB2044">
        <v>29</v>
      </c>
      <c r="AC2044">
        <v>-21.590800000000002</v>
      </c>
      <c r="AD2044">
        <v>-1.108832369857</v>
      </c>
      <c r="AE2044">
        <v>0.82599999999996498</v>
      </c>
      <c r="AF2044">
        <v>0.353742182922818</v>
      </c>
      <c r="AG2044">
        <v>-1.108832369857</v>
      </c>
      <c r="AH2044">
        <v>21.546935953268299</v>
      </c>
      <c r="AI2044">
        <v>92.945517826320796</v>
      </c>
      <c r="AJ2044">
        <v>89.059443368862802</v>
      </c>
      <c r="AK2044">
        <v>21.5783477525659</v>
      </c>
      <c r="AL2044">
        <v>88.256317008204405</v>
      </c>
      <c r="AM2044">
        <v>90.043703193331098</v>
      </c>
      <c r="AN2044">
        <v>0.99999993903000095</v>
      </c>
    </row>
    <row r="2045" spans="1:40" x14ac:dyDescent="0.25">
      <c r="A2045" t="str">
        <f>"20190312160640829"</f>
        <v>20190312160640829</v>
      </c>
      <c r="B2045" t="str">
        <f>"1552378000826941"</f>
        <v>1552378000826941</v>
      </c>
      <c r="C2045" t="s">
        <v>40</v>
      </c>
      <c r="D2045">
        <v>6.2293900000000004</v>
      </c>
      <c r="E2045">
        <v>0.50729519999999995</v>
      </c>
      <c r="F2045" t="s">
        <v>77</v>
      </c>
      <c r="G2045">
        <v>-292.60570000000001</v>
      </c>
      <c r="H2045" s="1">
        <v>2.742884E-6</v>
      </c>
      <c r="I2045">
        <v>283.75920000000002</v>
      </c>
      <c r="J2045">
        <v>-270.65370000000001</v>
      </c>
      <c r="K2045">
        <v>1.1088370000000001</v>
      </c>
      <c r="L2045">
        <v>282.89940000000001</v>
      </c>
      <c r="M2045">
        <v>-0.99973449999999997</v>
      </c>
      <c r="N2045">
        <v>0</v>
      </c>
      <c r="O2045">
        <v>2.2032989999999999E-2</v>
      </c>
      <c r="P2045">
        <v>-0.99949469999999996</v>
      </c>
      <c r="Q2045">
        <v>2.361255E-2</v>
      </c>
      <c r="R2045">
        <v>2.1281769999999998E-2</v>
      </c>
      <c r="S2045">
        <v>-3.0025940000000002</v>
      </c>
      <c r="T2045">
        <v>-0.14965999999999999</v>
      </c>
      <c r="U2045">
        <v>0.1169434</v>
      </c>
      <c r="V2045">
        <v>-7.3238579999999995E-4</v>
      </c>
      <c r="W2045">
        <v>3.0372070000000001E-2</v>
      </c>
      <c r="X2045">
        <v>0.99953840000000005</v>
      </c>
      <c r="Y2045">
        <v>1.6898050000000001E-2</v>
      </c>
      <c r="Z2045">
        <v>-6.7623779999999897E-4</v>
      </c>
      <c r="AA2045">
        <v>0.999857</v>
      </c>
      <c r="AB2045">
        <v>29</v>
      </c>
      <c r="AC2045">
        <v>-21.952000000000002</v>
      </c>
      <c r="AD2045">
        <v>-1.1088342571159999</v>
      </c>
      <c r="AE2045">
        <v>0.859800000000007</v>
      </c>
      <c r="AF2045">
        <v>0.37495686041881399</v>
      </c>
      <c r="AG2045">
        <v>-1.1088342571159999</v>
      </c>
      <c r="AH2045">
        <v>21.9097993013349</v>
      </c>
      <c r="AI2045">
        <v>92.896790024051199</v>
      </c>
      <c r="AJ2045">
        <v>89.019555207412196</v>
      </c>
      <c r="AK2045">
        <v>21.9410439925201</v>
      </c>
      <c r="AL2045">
        <v>88.259540929741107</v>
      </c>
      <c r="AM2045">
        <v>90.041981986690601</v>
      </c>
      <c r="AN2045">
        <v>1.0000000060498</v>
      </c>
    </row>
    <row r="2046" spans="1:40" x14ac:dyDescent="0.25">
      <c r="A2046" t="str">
        <f>"20190312160640850"</f>
        <v>20190312160640850</v>
      </c>
      <c r="B2046" t="str">
        <f>"1552378000836701"</f>
        <v>1552378000836701</v>
      </c>
      <c r="C2046" t="s">
        <v>40</v>
      </c>
      <c r="D2046">
        <v>6.3602259999999999</v>
      </c>
      <c r="E2046">
        <v>0.50706859999999998</v>
      </c>
      <c r="F2046" t="s">
        <v>77</v>
      </c>
      <c r="G2046">
        <v>-293.60039999999998</v>
      </c>
      <c r="H2046" s="1">
        <v>2.9106550000000002E-6</v>
      </c>
      <c r="I2046">
        <v>283.85860000000002</v>
      </c>
      <c r="J2046">
        <v>-270.90730000000002</v>
      </c>
      <c r="K2046">
        <v>1.108841</v>
      </c>
      <c r="L2046">
        <v>282.90519999999998</v>
      </c>
      <c r="M2046">
        <v>-0.99973020000000001</v>
      </c>
      <c r="N2046">
        <v>0</v>
      </c>
      <c r="O2046">
        <v>2.2217440000000001E-2</v>
      </c>
      <c r="P2046">
        <v>-0.99948459999999995</v>
      </c>
      <c r="Q2046">
        <v>2.374919E-2</v>
      </c>
      <c r="R2046">
        <v>2.160142E-2</v>
      </c>
      <c r="S2046">
        <v>-3.0022579999999999</v>
      </c>
      <c r="T2046">
        <v>-0.14507579999999901</v>
      </c>
      <c r="U2046">
        <v>0.1254883</v>
      </c>
      <c r="V2046">
        <v>-5.9702360000000001E-4</v>
      </c>
      <c r="W2046">
        <v>3.0533640000000001E-2</v>
      </c>
      <c r="X2046">
        <v>0.99953349999999996</v>
      </c>
      <c r="Y2046">
        <v>1.9555719999999999E-2</v>
      </c>
      <c r="Z2046">
        <v>-6.0033020000000001E-4</v>
      </c>
      <c r="AA2046">
        <v>0.99980860000000005</v>
      </c>
      <c r="AB2046">
        <v>29</v>
      </c>
      <c r="AC2046">
        <v>-22.693099999999902</v>
      </c>
      <c r="AD2046">
        <v>-1.1088380893449901</v>
      </c>
      <c r="AE2046">
        <v>0.95340000000004399</v>
      </c>
      <c r="AF2046">
        <v>0.447902994741954</v>
      </c>
      <c r="AG2046">
        <v>-1.1088380893449901</v>
      </c>
      <c r="AH2046">
        <v>22.6546874056503</v>
      </c>
      <c r="AI2046">
        <v>92.801570282910603</v>
      </c>
      <c r="AJ2046">
        <v>88.867359863373693</v>
      </c>
      <c r="AK2046">
        <v>22.686229313149699</v>
      </c>
      <c r="AL2046">
        <v>88.2502792371845</v>
      </c>
      <c r="AM2046">
        <v>90.034222893461504</v>
      </c>
      <c r="AN2046">
        <v>0.99999993861553704</v>
      </c>
    </row>
    <row r="2047" spans="1:40" x14ac:dyDescent="0.25">
      <c r="A2047" t="str">
        <f>"20190312160640862"</f>
        <v>20190312160640862</v>
      </c>
      <c r="B2047" t="str">
        <f>"1552378000857197"</f>
        <v>1552378000857197</v>
      </c>
      <c r="C2047" t="s">
        <v>40</v>
      </c>
      <c r="D2047">
        <v>6.3229889999999997</v>
      </c>
      <c r="E2047">
        <v>0.50633430000000001</v>
      </c>
      <c r="F2047" t="s">
        <v>77</v>
      </c>
      <c r="G2047">
        <v>-294.09930000000003</v>
      </c>
      <c r="H2047" s="1">
        <v>2.9983359999999999E-6</v>
      </c>
      <c r="I2047">
        <v>283.86770000000001</v>
      </c>
      <c r="J2047">
        <v>-271.0641</v>
      </c>
      <c r="K2047">
        <v>1.1088439999999999</v>
      </c>
      <c r="L2047">
        <v>282.90879999999999</v>
      </c>
      <c r="M2047">
        <v>-0.99972749999999999</v>
      </c>
      <c r="N2047">
        <v>0</v>
      </c>
      <c r="O2047">
        <v>2.2331420000000001E-2</v>
      </c>
      <c r="P2047">
        <v>-0.99948689999999996</v>
      </c>
      <c r="Q2047">
        <v>2.3689749999999999E-2</v>
      </c>
      <c r="R2047">
        <v>2.1563579999999999E-2</v>
      </c>
      <c r="S2047">
        <v>-3.0022890000000002</v>
      </c>
      <c r="T2047">
        <v>-0.14354359999999999</v>
      </c>
      <c r="U2047">
        <v>0.1246033</v>
      </c>
      <c r="V2047">
        <v>-7.4858809999999896E-4</v>
      </c>
      <c r="W2047">
        <v>3.0489789999999999E-2</v>
      </c>
      <c r="X2047">
        <v>0.99953479999999995</v>
      </c>
      <c r="Y2047">
        <v>1.9147620000000001E-2</v>
      </c>
      <c r="Z2047">
        <v>-6.091836E-4</v>
      </c>
      <c r="AA2047">
        <v>0.9998165</v>
      </c>
      <c r="AB2047">
        <v>29</v>
      </c>
      <c r="AC2047">
        <v>-23.0352</v>
      </c>
      <c r="AD2047">
        <v>-1.108841001664</v>
      </c>
      <c r="AE2047">
        <v>0.95890000000002795</v>
      </c>
      <c r="AF2047">
        <v>0.44321502311122002</v>
      </c>
      <c r="AG2047">
        <v>-1.108841001664</v>
      </c>
      <c r="AH2047">
        <v>22.997672446325701</v>
      </c>
      <c r="AI2047">
        <v>92.759887078693694</v>
      </c>
      <c r="AJ2047">
        <v>88.895922748675602</v>
      </c>
      <c r="AK2047">
        <v>23.0286540178138</v>
      </c>
      <c r="AL2047">
        <v>88.252792938433501</v>
      </c>
      <c r="AM2047">
        <v>90.042910892851793</v>
      </c>
      <c r="AN2047">
        <v>1.00000000204471</v>
      </c>
    </row>
    <row r="2048" spans="1:40" x14ac:dyDescent="0.25">
      <c r="A2048" t="str">
        <f>"20190312160640873"</f>
        <v>20190312160640873</v>
      </c>
      <c r="B2048" t="str">
        <f>"1552378000866957"</f>
        <v>1552378000866957</v>
      </c>
      <c r="C2048" t="s">
        <v>40</v>
      </c>
      <c r="D2048">
        <v>6.2781549999999999</v>
      </c>
      <c r="E2048">
        <v>0.46775640000000002</v>
      </c>
      <c r="F2048" t="s">
        <v>77</v>
      </c>
      <c r="G2048">
        <v>-294.32960000000003</v>
      </c>
      <c r="H2048" s="1">
        <v>3.0426720000000002E-6</v>
      </c>
      <c r="I2048">
        <v>283.82799999999997</v>
      </c>
      <c r="J2048">
        <v>-271.2278</v>
      </c>
      <c r="K2048">
        <v>1.108846</v>
      </c>
      <c r="L2048">
        <v>282.9126</v>
      </c>
      <c r="M2048">
        <v>-0.99972470000000002</v>
      </c>
      <c r="N2048">
        <v>0</v>
      </c>
      <c r="O2048">
        <v>2.2450749999999998E-2</v>
      </c>
      <c r="P2048">
        <v>-0.99948550000000003</v>
      </c>
      <c r="Q2048">
        <v>2.3767099999999999E-2</v>
      </c>
      <c r="R2048">
        <v>2.1540630000000002E-2</v>
      </c>
      <c r="S2048">
        <v>-3.00238</v>
      </c>
      <c r="T2048">
        <v>-0.1430942</v>
      </c>
      <c r="U2048">
        <v>0.1186218</v>
      </c>
      <c r="V2048">
        <v>-8.9061710000000005E-4</v>
      </c>
      <c r="W2048">
        <v>3.058321E-2</v>
      </c>
      <c r="X2048">
        <v>0.99953179999999997</v>
      </c>
      <c r="Y2048">
        <v>1.7040860000000001E-2</v>
      </c>
      <c r="Z2048">
        <v>-6.6312679999999896E-4</v>
      </c>
      <c r="AA2048">
        <v>0.99985460000000004</v>
      </c>
      <c r="AB2048">
        <v>29</v>
      </c>
      <c r="AC2048">
        <v>-23.101800000000001</v>
      </c>
      <c r="AD2048">
        <v>-1.1088429573280001</v>
      </c>
      <c r="AE2048">
        <v>0.91539999999997601</v>
      </c>
      <c r="AF2048">
        <v>0.39559452085317298</v>
      </c>
      <c r="AG2048">
        <v>-1.1088429573280001</v>
      </c>
      <c r="AH2048">
        <v>23.063478023978501</v>
      </c>
      <c r="AI2048">
        <v>92.752135481899302</v>
      </c>
      <c r="AJ2048">
        <v>89.017334939643504</v>
      </c>
      <c r="AK2048">
        <v>23.0935065828359</v>
      </c>
      <c r="AL2048">
        <v>88.247437817727601</v>
      </c>
      <c r="AM2048">
        <v>90.051052490263501</v>
      </c>
      <c r="AN2048">
        <v>0.99999997257198103</v>
      </c>
    </row>
    <row r="2049" spans="1:40" x14ac:dyDescent="0.25">
      <c r="A2049" t="str">
        <f>"20190312160640885"</f>
        <v>20190312160640885</v>
      </c>
      <c r="B2049" t="str">
        <f>"1552378000876717"</f>
        <v>1552378000876717</v>
      </c>
      <c r="C2049" t="s">
        <v>40</v>
      </c>
      <c r="D2049">
        <v>6.3272899999999996</v>
      </c>
      <c r="E2049">
        <v>0.46611350000000001</v>
      </c>
      <c r="F2049" t="s">
        <v>77</v>
      </c>
      <c r="G2049">
        <v>-285.73759999999999</v>
      </c>
      <c r="H2049" s="1">
        <v>6.3968089999999999E-6</v>
      </c>
      <c r="I2049">
        <v>282.00799999999998</v>
      </c>
      <c r="J2049">
        <v>-271.38720000000001</v>
      </c>
      <c r="K2049">
        <v>1.1088480000000001</v>
      </c>
      <c r="L2049">
        <v>282.91629999999998</v>
      </c>
      <c r="M2049">
        <v>-0.99972209999999995</v>
      </c>
      <c r="N2049">
        <v>0</v>
      </c>
      <c r="O2049">
        <v>2.2566510000000001E-2</v>
      </c>
      <c r="P2049">
        <v>-0.99948239999999999</v>
      </c>
      <c r="Q2049">
        <v>2.3855769999999998E-2</v>
      </c>
      <c r="R2049">
        <v>2.158641E-2</v>
      </c>
      <c r="S2049">
        <v>-3.0110169999999998</v>
      </c>
      <c r="T2049">
        <v>-0.23010220000000001</v>
      </c>
      <c r="U2049">
        <v>-0.18771360000000001</v>
      </c>
      <c r="V2049">
        <v>-9.611528E-4</v>
      </c>
      <c r="W2049">
        <v>3.0687590000000001E-2</v>
      </c>
      <c r="X2049">
        <v>0.99952859999999999</v>
      </c>
      <c r="Y2049">
        <v>-8.4418129999999994E-2</v>
      </c>
      <c r="Z2049">
        <v>-4.9384099999999998E-3</v>
      </c>
      <c r="AA2049">
        <v>0.99641820000000003</v>
      </c>
      <c r="AB2049">
        <v>29</v>
      </c>
      <c r="AC2049">
        <v>-14.350399999999899</v>
      </c>
      <c r="AD2049">
        <v>-1.108841603191</v>
      </c>
      <c r="AE2049">
        <v>-0.908299999999997</v>
      </c>
      <c r="AF2049">
        <v>-1.22463215923612</v>
      </c>
      <c r="AG2049">
        <v>-1.108841603191</v>
      </c>
      <c r="AH2049">
        <v>14.2415577781578</v>
      </c>
      <c r="AI2049">
        <v>94.435739471834495</v>
      </c>
      <c r="AJ2049">
        <v>94.914776555059703</v>
      </c>
      <c r="AK2049">
        <v>14.3370576331062</v>
      </c>
      <c r="AL2049">
        <v>88.241454589192003</v>
      </c>
      <c r="AM2049">
        <v>90.055095954165793</v>
      </c>
      <c r="AN2049">
        <v>1.00000003710633</v>
      </c>
    </row>
    <row r="2050" spans="1:40" x14ac:dyDescent="0.25">
      <c r="A2050" t="str">
        <f>"20190312160640918"</f>
        <v>20190312160640918</v>
      </c>
      <c r="B2050" t="str">
        <f>"1552378000906974"</f>
        <v>1552378000906974</v>
      </c>
      <c r="C2050" t="s">
        <v>40</v>
      </c>
      <c r="D2050">
        <v>6.294524</v>
      </c>
      <c r="E2050">
        <v>0.46347909999999998</v>
      </c>
      <c r="F2050" t="s">
        <v>77</v>
      </c>
      <c r="G2050">
        <v>-284.24189999999999</v>
      </c>
      <c r="H2050" s="1">
        <v>7.0489149999999997E-6</v>
      </c>
      <c r="I2050">
        <v>282.06209999999999</v>
      </c>
      <c r="J2050">
        <v>-271.80829999999997</v>
      </c>
      <c r="K2050">
        <v>1.1088480000000001</v>
      </c>
      <c r="L2050">
        <v>282.92610000000002</v>
      </c>
      <c r="M2050">
        <v>-0.99971489999999996</v>
      </c>
      <c r="N2050">
        <v>0</v>
      </c>
      <c r="O2050">
        <v>2.28709E-2</v>
      </c>
      <c r="P2050">
        <v>-0.99948320000000002</v>
      </c>
      <c r="Q2050">
        <v>2.423898E-2</v>
      </c>
      <c r="R2050">
        <v>2.1119010000000001E-2</v>
      </c>
      <c r="S2050">
        <v>-3.0120849999999999</v>
      </c>
      <c r="T2050">
        <v>-0.2598203</v>
      </c>
      <c r="U2050">
        <v>-0.20013429999999999</v>
      </c>
      <c r="V2050">
        <v>-1.73228799999999E-3</v>
      </c>
      <c r="W2050">
        <v>3.1112239999999999E-2</v>
      </c>
      <c r="X2050">
        <v>0.99951440000000003</v>
      </c>
      <c r="Y2050">
        <v>-8.8688779999999995E-2</v>
      </c>
      <c r="Z2050">
        <v>-5.781151E-3</v>
      </c>
      <c r="AA2050">
        <v>0.9960426</v>
      </c>
      <c r="AB2050">
        <v>29</v>
      </c>
      <c r="AC2050">
        <v>-12.4336</v>
      </c>
      <c r="AD2050">
        <v>-1.1088409510849999</v>
      </c>
      <c r="AE2050">
        <v>-0.86400000000003196</v>
      </c>
      <c r="AF2050">
        <v>-1.1391320343206199</v>
      </c>
      <c r="AG2050">
        <v>-1.1088409510849999</v>
      </c>
      <c r="AH2050">
        <v>12.313127825080199</v>
      </c>
      <c r="AI2050">
        <v>95.124044628230095</v>
      </c>
      <c r="AJ2050">
        <v>95.285594865973906</v>
      </c>
      <c r="AK2050">
        <v>12.415323873471101</v>
      </c>
      <c r="AL2050">
        <v>88.217112254357701</v>
      </c>
      <c r="AM2050">
        <v>90.099300912447902</v>
      </c>
      <c r="AN2050">
        <v>1.00000000405344</v>
      </c>
    </row>
    <row r="2051" spans="1:40" x14ac:dyDescent="0.25">
      <c r="A2051" t="str">
        <f>"20190312160640961"</f>
        <v>20190312160640961</v>
      </c>
      <c r="B2051" t="str">
        <f>"1552378000956749"</f>
        <v>1552378000956749</v>
      </c>
      <c r="C2051" t="s">
        <v>40</v>
      </c>
      <c r="D2051">
        <v>6.4569619999999999</v>
      </c>
      <c r="E2051">
        <v>0.46238240000000003</v>
      </c>
      <c r="F2051" t="s">
        <v>77</v>
      </c>
      <c r="G2051">
        <v>-285.20089999999999</v>
      </c>
      <c r="H2051" s="1">
        <v>6.6491579999999999E-6</v>
      </c>
      <c r="I2051">
        <v>281.93860000000001</v>
      </c>
      <c r="J2051">
        <v>-272.37900000000002</v>
      </c>
      <c r="K2051">
        <v>1.1088610000000001</v>
      </c>
      <c r="L2051">
        <v>282.93959999999998</v>
      </c>
      <c r="M2051">
        <v>-0.99970530000000002</v>
      </c>
      <c r="N2051">
        <v>0</v>
      </c>
      <c r="O2051">
        <v>2.3268899999999999E-2</v>
      </c>
      <c r="P2051">
        <v>-0.99949520000000003</v>
      </c>
      <c r="Q2051">
        <v>2.4049959999999999E-2</v>
      </c>
      <c r="R2051">
        <v>2.0765949999999998E-2</v>
      </c>
      <c r="S2051">
        <v>-3.0122680000000002</v>
      </c>
      <c r="T2051">
        <v>-0.2494006</v>
      </c>
      <c r="U2051">
        <v>-0.2221069</v>
      </c>
      <c r="V2051">
        <v>-2.4839049999999998E-3</v>
      </c>
      <c r="W2051">
        <v>3.097927E-2</v>
      </c>
      <c r="X2051">
        <v>0.99951699999999999</v>
      </c>
      <c r="Y2051">
        <v>-9.6313930000000006E-2</v>
      </c>
      <c r="Z2051">
        <v>-5.8959669999999898E-3</v>
      </c>
      <c r="AA2051">
        <v>0.99533360000000004</v>
      </c>
      <c r="AB2051">
        <v>29</v>
      </c>
      <c r="AC2051">
        <v>-12.8218999999999</v>
      </c>
      <c r="AD2051">
        <v>-1.1088543508419999</v>
      </c>
      <c r="AE2051">
        <v>-1.0009999999999699</v>
      </c>
      <c r="AF2051">
        <v>-1.28950183321705</v>
      </c>
      <c r="AG2051">
        <v>-1.1088543508419999</v>
      </c>
      <c r="AH2051">
        <v>12.7007220630995</v>
      </c>
      <c r="AI2051">
        <v>94.964244014351394</v>
      </c>
      <c r="AJ2051">
        <v>95.797363457648302</v>
      </c>
      <c r="AK2051">
        <v>12.814082638775</v>
      </c>
      <c r="AL2051">
        <v>88.224734646143105</v>
      </c>
      <c r="AM2051">
        <v>90.142385752559093</v>
      </c>
      <c r="AN2051">
        <v>1.00000005912138</v>
      </c>
    </row>
    <row r="2052" spans="1:40" x14ac:dyDescent="0.25">
      <c r="A2052" t="str">
        <f>"20190312160640974"</f>
        <v>20190312160640974</v>
      </c>
      <c r="B2052" t="str">
        <f>"1552378000967485"</f>
        <v>1552378000967485</v>
      </c>
      <c r="C2052" t="s">
        <v>40</v>
      </c>
      <c r="D2052">
        <v>6.3142880000000003</v>
      </c>
      <c r="E2052">
        <v>0.46235929999999997</v>
      </c>
      <c r="F2052" t="s">
        <v>77</v>
      </c>
      <c r="G2052">
        <v>-286.5822</v>
      </c>
      <c r="H2052" s="1">
        <v>6.0568030000000001E-6</v>
      </c>
      <c r="I2052">
        <v>281.84109999999998</v>
      </c>
      <c r="J2052">
        <v>-272.5446</v>
      </c>
      <c r="K2052">
        <v>1.108865</v>
      </c>
      <c r="L2052">
        <v>282.9436</v>
      </c>
      <c r="M2052">
        <v>-0.9997026</v>
      </c>
      <c r="N2052">
        <v>0</v>
      </c>
      <c r="O2052">
        <v>2.337962E-2</v>
      </c>
      <c r="P2052">
        <v>-0.99948729999999997</v>
      </c>
      <c r="Q2052">
        <v>2.4394829999999999E-2</v>
      </c>
      <c r="R2052">
        <v>2.0745050000000001E-2</v>
      </c>
      <c r="S2052">
        <v>-3.012054</v>
      </c>
      <c r="T2052">
        <v>-0.2351539</v>
      </c>
      <c r="U2052">
        <v>-0.23297119999999999</v>
      </c>
      <c r="V2052">
        <v>-2.6154189999999999E-3</v>
      </c>
      <c r="W2052">
        <v>3.134054E-2</v>
      </c>
      <c r="X2052">
        <v>0.99950530000000004</v>
      </c>
      <c r="Y2052">
        <v>-0.100032</v>
      </c>
      <c r="Z2052">
        <v>-5.7131959999999898E-3</v>
      </c>
      <c r="AA2052">
        <v>0.99496779999999996</v>
      </c>
      <c r="AB2052">
        <v>30</v>
      </c>
      <c r="AC2052">
        <v>-14.0375999999999</v>
      </c>
      <c r="AD2052">
        <v>-1.108858943197</v>
      </c>
      <c r="AE2052">
        <v>-1.10250000000002</v>
      </c>
      <c r="AF2052">
        <v>-1.4215843308907601</v>
      </c>
      <c r="AG2052">
        <v>-1.108858943197</v>
      </c>
      <c r="AH2052">
        <v>13.9216511041961</v>
      </c>
      <c r="AI2052">
        <v>94.530532315566006</v>
      </c>
      <c r="AJ2052">
        <v>95.830446489217195</v>
      </c>
      <c r="AK2052">
        <v>14.0379072383567</v>
      </c>
      <c r="AL2052">
        <v>88.204025161871996</v>
      </c>
      <c r="AM2052">
        <v>90.149926296876004</v>
      </c>
      <c r="AN2052">
        <v>0.99999995729606195</v>
      </c>
    </row>
    <row r="2053" spans="1:40" x14ac:dyDescent="0.25">
      <c r="A2053" t="str">
        <f>"20190312160640987"</f>
        <v>20190312160640987</v>
      </c>
      <c r="B2053" t="str">
        <f>"1552378000977245"</f>
        <v>1552378000977245</v>
      </c>
      <c r="C2053" t="s">
        <v>40</v>
      </c>
      <c r="D2053">
        <v>6.3091499999999998</v>
      </c>
      <c r="E2053">
        <v>0.46234540000000002</v>
      </c>
      <c r="F2053" t="s">
        <v>77</v>
      </c>
      <c r="G2053">
        <v>-286.59320000000002</v>
      </c>
      <c r="H2053" s="1">
        <v>6.0484730000000001E-6</v>
      </c>
      <c r="I2053">
        <v>281.85759999999999</v>
      </c>
      <c r="J2053">
        <v>-272.71559999999999</v>
      </c>
      <c r="K2053">
        <v>1.1088720000000001</v>
      </c>
      <c r="L2053">
        <v>282.9477</v>
      </c>
      <c r="M2053">
        <v>-0.99970000000000003</v>
      </c>
      <c r="N2053">
        <v>0</v>
      </c>
      <c r="O2053">
        <v>2.348598E-2</v>
      </c>
      <c r="P2053">
        <v>-0.99948680000000001</v>
      </c>
      <c r="Q2053">
        <v>2.4546200000000001E-2</v>
      </c>
      <c r="R2053">
        <v>2.058859E-2</v>
      </c>
      <c r="S2053">
        <v>-3.0121769999999999</v>
      </c>
      <c r="T2053">
        <v>-0.2377503</v>
      </c>
      <c r="U2053">
        <v>-0.2328491</v>
      </c>
      <c r="V2053">
        <v>-2.8784879999999998E-3</v>
      </c>
      <c r="W2053">
        <v>3.150878E-2</v>
      </c>
      <c r="X2053">
        <v>0.99949929999999998</v>
      </c>
      <c r="Y2053">
        <v>-0.10008590000000001</v>
      </c>
      <c r="Z2053">
        <v>-5.7863530000000002E-3</v>
      </c>
      <c r="AA2053">
        <v>0.99496200000000001</v>
      </c>
      <c r="AB2053">
        <v>30</v>
      </c>
      <c r="AC2053">
        <v>-13.877599999999999</v>
      </c>
      <c r="AD2053">
        <v>-1.1088659515269901</v>
      </c>
      <c r="AE2053">
        <v>-1.0901000000000001</v>
      </c>
      <c r="AF2053">
        <v>-1.40680946396389</v>
      </c>
      <c r="AG2053">
        <v>-1.1088659515269901</v>
      </c>
      <c r="AH2053">
        <v>13.760851338986599</v>
      </c>
      <c r="AI2053">
        <v>94.583222399282207</v>
      </c>
      <c r="AJ2053">
        <v>95.837224615142802</v>
      </c>
      <c r="AK2053">
        <v>13.876949453681901</v>
      </c>
      <c r="AL2053">
        <v>88.194380979050493</v>
      </c>
      <c r="AM2053">
        <v>90.165007377011904</v>
      </c>
      <c r="AN2053">
        <v>0.99999996980537098</v>
      </c>
    </row>
    <row r="2054" spans="1:40" x14ac:dyDescent="0.25">
      <c r="A2054" t="str">
        <f>"20190312160641007"</f>
        <v>20190312160641007</v>
      </c>
      <c r="B2054" t="str">
        <f>"1552378000996765"</f>
        <v>1552378000996765</v>
      </c>
      <c r="C2054" t="s">
        <v>40</v>
      </c>
      <c r="D2054">
        <v>6.2744720000000003</v>
      </c>
      <c r="E2054">
        <v>0.46200819999999998</v>
      </c>
      <c r="F2054" t="s">
        <v>77</v>
      </c>
      <c r="G2054">
        <v>-286.61270000000002</v>
      </c>
      <c r="H2054" s="1">
        <v>6.0370199999999997E-6</v>
      </c>
      <c r="I2054">
        <v>281.87130000000002</v>
      </c>
      <c r="J2054">
        <v>-272.98349999999999</v>
      </c>
      <c r="K2054">
        <v>1.108886</v>
      </c>
      <c r="L2054">
        <v>282.95409999999998</v>
      </c>
      <c r="M2054">
        <v>-0.99969609999999998</v>
      </c>
      <c r="N2054">
        <v>0</v>
      </c>
      <c r="O2054">
        <v>2.3641249999999999E-2</v>
      </c>
      <c r="P2054">
        <v>-0.99947969999999997</v>
      </c>
      <c r="Q2054">
        <v>2.4701250000000001E-2</v>
      </c>
      <c r="R2054">
        <v>2.0743270000000001E-2</v>
      </c>
      <c r="S2054">
        <v>-3.012238</v>
      </c>
      <c r="T2054">
        <v>-0.24035039999999999</v>
      </c>
      <c r="U2054">
        <v>-0.23330690000000001</v>
      </c>
      <c r="V2054">
        <v>-2.8794250000000001E-3</v>
      </c>
      <c r="W2054">
        <v>3.1689410000000001E-2</v>
      </c>
      <c r="X2054">
        <v>0.99949359999999998</v>
      </c>
      <c r="Y2054">
        <v>-0.10037939999999999</v>
      </c>
      <c r="Z2054">
        <v>-5.8733120000000003E-3</v>
      </c>
      <c r="AA2054">
        <v>0.99493189999999998</v>
      </c>
      <c r="AB2054">
        <v>30</v>
      </c>
      <c r="AC2054">
        <v>-13.629200000000001</v>
      </c>
      <c r="AD2054">
        <v>-1.1088799629799999</v>
      </c>
      <c r="AE2054">
        <v>-1.08279999999996</v>
      </c>
      <c r="AF2054">
        <v>-1.39553665621086</v>
      </c>
      <c r="AG2054">
        <v>-1.1088799629799999</v>
      </c>
      <c r="AH2054">
        <v>13.510915979772999</v>
      </c>
      <c r="AI2054">
        <v>94.667194484058996</v>
      </c>
      <c r="AJ2054">
        <v>95.8971438807759</v>
      </c>
      <c r="AK2054">
        <v>13.627985469012399</v>
      </c>
      <c r="AL2054">
        <v>88.184026495459506</v>
      </c>
      <c r="AM2054">
        <v>90.165062030925498</v>
      </c>
      <c r="AN2054">
        <v>0.99999998311771898</v>
      </c>
    </row>
    <row r="2055" spans="1:40" x14ac:dyDescent="0.25">
      <c r="A2055" t="str">
        <f>"20190312160641028"</f>
        <v>20190312160641028</v>
      </c>
      <c r="B2055" t="str">
        <f>"1552378001017265"</f>
        <v>1552378001017265</v>
      </c>
      <c r="C2055" t="s">
        <v>40</v>
      </c>
      <c r="D2055">
        <v>6.3691690000000003</v>
      </c>
      <c r="E2055">
        <v>0.46154630000000002</v>
      </c>
      <c r="F2055" t="s">
        <v>77</v>
      </c>
      <c r="G2055">
        <v>-287.12990000000002</v>
      </c>
      <c r="H2055" s="1">
        <v>5.812515E-6</v>
      </c>
      <c r="I2055">
        <v>281.84769999999997</v>
      </c>
      <c r="J2055">
        <v>-273.26549999999997</v>
      </c>
      <c r="K2055">
        <v>1.108908</v>
      </c>
      <c r="L2055">
        <v>282.96100000000001</v>
      </c>
      <c r="M2055">
        <v>-0.99969269999999999</v>
      </c>
      <c r="N2055">
        <v>0</v>
      </c>
      <c r="O2055">
        <v>2.3783120000000001E-2</v>
      </c>
      <c r="P2055">
        <v>-0.99946800000000002</v>
      </c>
      <c r="Q2055">
        <v>2.5018039999999998E-2</v>
      </c>
      <c r="R2055">
        <v>2.093151E-2</v>
      </c>
      <c r="S2055">
        <v>-3.0122680000000002</v>
      </c>
      <c r="T2055">
        <v>-0.23611869999999999</v>
      </c>
      <c r="U2055">
        <v>-0.23559569999999999</v>
      </c>
      <c r="V2055">
        <v>-2.8341170000000001E-3</v>
      </c>
      <c r="W2055">
        <v>3.2033510000000001E-2</v>
      </c>
      <c r="X2055">
        <v>0.9994828</v>
      </c>
      <c r="Y2055">
        <v>-0.1012817</v>
      </c>
      <c r="Z2055">
        <v>-5.8163440000000002E-3</v>
      </c>
      <c r="AA2055">
        <v>0.99484079999999997</v>
      </c>
      <c r="AB2055">
        <v>30</v>
      </c>
      <c r="AC2055">
        <v>-13.8644</v>
      </c>
      <c r="AD2055">
        <v>-1.108902187485</v>
      </c>
      <c r="AE2055">
        <v>-1.1133000000000299</v>
      </c>
      <c r="AF2055">
        <v>-1.4336195475659499</v>
      </c>
      <c r="AG2055">
        <v>-1.108902187485</v>
      </c>
      <c r="AH2055">
        <v>13.7466243746305</v>
      </c>
      <c r="AI2055">
        <v>94.587135187166098</v>
      </c>
      <c r="AJ2055">
        <v>95.953787998519402</v>
      </c>
      <c r="AK2055">
        <v>13.8655908913309</v>
      </c>
      <c r="AL2055">
        <v>88.164301075320495</v>
      </c>
      <c r="AM2055">
        <v>90.162466535225093</v>
      </c>
      <c r="AN2055">
        <v>1.00000002273896</v>
      </c>
    </row>
    <row r="2056" spans="1:40" x14ac:dyDescent="0.25">
      <c r="A2056" t="str">
        <f>"20190312160641051"</f>
        <v>20190312160641051</v>
      </c>
      <c r="B2056" t="str">
        <f>"1552378001047517"</f>
        <v>1552378001047517</v>
      </c>
      <c r="C2056" t="s">
        <v>40</v>
      </c>
      <c r="D2056">
        <v>6.163176</v>
      </c>
      <c r="E2056">
        <v>0.46076289999999998</v>
      </c>
      <c r="F2056" t="s">
        <v>77</v>
      </c>
      <c r="G2056">
        <v>-288.11070000000001</v>
      </c>
      <c r="H2056" s="1">
        <v>5.3908589999999998E-6</v>
      </c>
      <c r="I2056">
        <v>281.78339999999997</v>
      </c>
      <c r="J2056">
        <v>-273.5686</v>
      </c>
      <c r="K2056">
        <v>1.1089230000000001</v>
      </c>
      <c r="L2056">
        <v>282.9683</v>
      </c>
      <c r="M2056">
        <v>-0.99968950000000001</v>
      </c>
      <c r="N2056">
        <v>0</v>
      </c>
      <c r="O2056">
        <v>2.3906759999999999E-2</v>
      </c>
      <c r="P2056">
        <v>-0.99946009999999996</v>
      </c>
      <c r="Q2056">
        <v>2.5498730000000001E-2</v>
      </c>
      <c r="R2056">
        <v>2.0731280000000001E-2</v>
      </c>
      <c r="S2056">
        <v>-3.0122680000000002</v>
      </c>
      <c r="T2056">
        <v>-0.2250084</v>
      </c>
      <c r="U2056">
        <v>-0.23895259999999999</v>
      </c>
      <c r="V2056">
        <v>-3.1595759999999999E-3</v>
      </c>
      <c r="W2056">
        <v>3.2542979999999999E-2</v>
      </c>
      <c r="X2056">
        <v>0.9994653</v>
      </c>
      <c r="Y2056">
        <v>-0.1025377</v>
      </c>
      <c r="Z2056">
        <v>-5.5991849999999996E-3</v>
      </c>
      <c r="AA2056">
        <v>0.99471339999999997</v>
      </c>
      <c r="AB2056">
        <v>30</v>
      </c>
      <c r="AC2056">
        <v>-14.5421</v>
      </c>
      <c r="AD2056">
        <v>-1.10891760914099</v>
      </c>
      <c r="AE2056">
        <v>-1.18490000000002</v>
      </c>
      <c r="AF2056">
        <v>-1.52342423063952</v>
      </c>
      <c r="AG2056">
        <v>-1.10891760914099</v>
      </c>
      <c r="AH2056">
        <v>14.4262812216387</v>
      </c>
      <c r="AI2056">
        <v>94.371350250561903</v>
      </c>
      <c r="AJ2056">
        <v>96.028128505354005</v>
      </c>
      <c r="AK2056">
        <v>14.5488181491202</v>
      </c>
      <c r="AL2056">
        <v>88.135095244691399</v>
      </c>
      <c r="AM2056">
        <v>90.181126615206907</v>
      </c>
      <c r="AN2056">
        <v>0.99999995718593404</v>
      </c>
    </row>
    <row r="2057" spans="1:40" x14ac:dyDescent="0.25">
      <c r="A2057" t="str">
        <f>"20190312160641063"</f>
        <v>20190312160641063</v>
      </c>
      <c r="B2057" t="str">
        <f>"1552378001057278"</f>
        <v>1552378001057278</v>
      </c>
      <c r="C2057" t="s">
        <v>40</v>
      </c>
      <c r="D2057">
        <v>6.1684060000000001</v>
      </c>
      <c r="E2057">
        <v>0.46076289999999998</v>
      </c>
      <c r="F2057" t="s">
        <v>77</v>
      </c>
      <c r="G2057">
        <v>-289.0736</v>
      </c>
      <c r="H2057" s="1">
        <v>4.9802469999999996E-6</v>
      </c>
      <c r="I2057">
        <v>281.70400000000001</v>
      </c>
      <c r="J2057">
        <v>-273.73230000000001</v>
      </c>
      <c r="K2057">
        <v>1.1089370000000001</v>
      </c>
      <c r="L2057">
        <v>282.97230000000002</v>
      </c>
      <c r="M2057">
        <v>-0.99968800000000002</v>
      </c>
      <c r="N2057">
        <v>0</v>
      </c>
      <c r="O2057">
        <v>2.3958509999999999E-2</v>
      </c>
      <c r="P2057">
        <v>-0.99947079999999999</v>
      </c>
      <c r="Q2057">
        <v>2.5524950000000001E-2</v>
      </c>
      <c r="R2057">
        <v>2.01718E-2</v>
      </c>
      <c r="S2057">
        <v>-3.012146</v>
      </c>
      <c r="T2057">
        <v>-0.21542800000000001</v>
      </c>
      <c r="U2057">
        <v>-0.2456055</v>
      </c>
      <c r="V2057">
        <v>-3.7715019999999999E-3</v>
      </c>
      <c r="W2057">
        <v>3.2584920000000003E-2</v>
      </c>
      <c r="X2057">
        <v>0.99946179999999996</v>
      </c>
      <c r="Y2057">
        <v>-0.1047983</v>
      </c>
      <c r="Z2057">
        <v>-5.4454539999999997E-3</v>
      </c>
      <c r="AA2057">
        <v>0.99447859999999999</v>
      </c>
      <c r="AB2057">
        <v>30</v>
      </c>
      <c r="AC2057">
        <v>-15.341299999999899</v>
      </c>
      <c r="AD2057">
        <v>-1.1089320197529999</v>
      </c>
      <c r="AE2057">
        <v>-1.26830000000001</v>
      </c>
      <c r="AF2057">
        <v>-1.6270561365323299</v>
      </c>
      <c r="AG2057">
        <v>-1.1089320197529999</v>
      </c>
      <c r="AH2057">
        <v>15.227485412149701</v>
      </c>
      <c r="AI2057">
        <v>94.141683420924494</v>
      </c>
      <c r="AJ2057">
        <v>96.098911480456096</v>
      </c>
      <c r="AK2057">
        <v>15.3542617495304</v>
      </c>
      <c r="AL2057">
        <v>88.132690962581293</v>
      </c>
      <c r="AM2057">
        <v>90.216206483683095</v>
      </c>
      <c r="AN2057">
        <v>0.99999994544898896</v>
      </c>
    </row>
    <row r="2058" spans="1:40" x14ac:dyDescent="0.25">
      <c r="A2058" t="str">
        <f>"20190312160641074"</f>
        <v>20190312160641074</v>
      </c>
      <c r="B2058" t="str">
        <f>"1552378001067038"</f>
        <v>1552378001067038</v>
      </c>
      <c r="C2058" t="s">
        <v>40</v>
      </c>
      <c r="D2058">
        <v>6.6312369999999996</v>
      </c>
      <c r="E2058">
        <v>0.46076289999999998</v>
      </c>
      <c r="F2058" t="s">
        <v>77</v>
      </c>
      <c r="G2058">
        <v>-289.23719999999997</v>
      </c>
      <c r="H2058" s="1">
        <v>4.908795E-6</v>
      </c>
      <c r="I2058">
        <v>281.69869999999997</v>
      </c>
      <c r="J2058">
        <v>-273.88780000000003</v>
      </c>
      <c r="K2058">
        <v>1.108949</v>
      </c>
      <c r="L2058">
        <v>282.976</v>
      </c>
      <c r="M2058">
        <v>-0.99968679999999999</v>
      </c>
      <c r="N2058">
        <v>0</v>
      </c>
      <c r="O2058">
        <v>2.4003179999999999E-2</v>
      </c>
      <c r="P2058">
        <v>-0.99948510000000002</v>
      </c>
      <c r="Q2058">
        <v>2.5475390000000001E-2</v>
      </c>
      <c r="R2058">
        <v>1.9502820000000001E-2</v>
      </c>
      <c r="S2058">
        <v>-3.012054</v>
      </c>
      <c r="T2058">
        <v>-0.21542529999999999</v>
      </c>
      <c r="U2058">
        <v>-0.24740599999999999</v>
      </c>
      <c r="V2058">
        <v>-4.4868529999999998E-3</v>
      </c>
      <c r="W2058">
        <v>3.2550610000000001E-2</v>
      </c>
      <c r="X2058">
        <v>0.99946000000000002</v>
      </c>
      <c r="Y2058">
        <v>-0.105434</v>
      </c>
      <c r="Z2058">
        <v>-5.4712709999999998E-3</v>
      </c>
      <c r="AA2058">
        <v>0.99441120000000005</v>
      </c>
      <c r="AB2058">
        <v>30</v>
      </c>
      <c r="AC2058">
        <v>-15.3493999999999</v>
      </c>
      <c r="AD2058">
        <v>-1.1089440912049999</v>
      </c>
      <c r="AE2058">
        <v>-1.2773000000000201</v>
      </c>
      <c r="AF2058">
        <v>-1.63689047655402</v>
      </c>
      <c r="AG2058">
        <v>-1.1089440912049999</v>
      </c>
      <c r="AH2058">
        <v>15.2353419375473</v>
      </c>
      <c r="AI2058">
        <v>94.139341996353195</v>
      </c>
      <c r="AJ2058">
        <v>96.132354693881297</v>
      </c>
      <c r="AK2058">
        <v>15.363099016267499</v>
      </c>
      <c r="AL2058">
        <v>88.134657893999801</v>
      </c>
      <c r="AM2058">
        <v>90.257214909252596</v>
      </c>
      <c r="AN2058">
        <v>0.99999998283060698</v>
      </c>
    </row>
    <row r="2059" spans="1:40" x14ac:dyDescent="0.25">
      <c r="A2059" t="str">
        <f>"20190312160641085"</f>
        <v>20190312160641085</v>
      </c>
      <c r="B2059" t="str">
        <f>"1552378001067038"</f>
        <v>1552378001067038</v>
      </c>
      <c r="C2059" t="s">
        <v>40</v>
      </c>
      <c r="D2059">
        <v>6.6312369999999996</v>
      </c>
      <c r="E2059">
        <v>0.46076289999999998</v>
      </c>
      <c r="F2059" t="s">
        <v>77</v>
      </c>
      <c r="G2059">
        <v>-289.38080000000002</v>
      </c>
      <c r="H2059" s="1">
        <v>4.8460989999999998E-6</v>
      </c>
      <c r="I2059">
        <v>281.69400000000002</v>
      </c>
      <c r="J2059">
        <v>-274.04570000000001</v>
      </c>
      <c r="K2059">
        <v>1.1089610000000001</v>
      </c>
      <c r="L2059">
        <v>282.97989999999999</v>
      </c>
      <c r="M2059">
        <v>-0.99968599999999996</v>
      </c>
      <c r="N2059">
        <v>0</v>
      </c>
      <c r="O2059">
        <v>2.403431E-2</v>
      </c>
      <c r="P2059">
        <v>-0.99950410000000001</v>
      </c>
      <c r="Q2059">
        <v>2.5183919999999999E-2</v>
      </c>
      <c r="R2059">
        <v>1.890408E-2</v>
      </c>
      <c r="S2059">
        <v>-3.0119020000000001</v>
      </c>
      <c r="T2059">
        <v>-0.2155823</v>
      </c>
      <c r="U2059">
        <v>-0.24923709999999999</v>
      </c>
      <c r="V2059">
        <v>-5.1178899999999999E-3</v>
      </c>
      <c r="W2059">
        <v>3.2274190000000001E-2</v>
      </c>
      <c r="X2059">
        <v>0.99946590000000002</v>
      </c>
      <c r="Y2059">
        <v>-0.1060673</v>
      </c>
      <c r="Z2059">
        <v>-5.5002119999999896E-3</v>
      </c>
      <c r="AA2059">
        <v>0.9943438</v>
      </c>
      <c r="AB2059">
        <v>30</v>
      </c>
      <c r="AC2059">
        <v>-15.335100000000001</v>
      </c>
      <c r="AD2059">
        <v>-1.108956153901</v>
      </c>
      <c r="AE2059">
        <v>-1.2858999999999601</v>
      </c>
      <c r="AF2059">
        <v>-1.6455610530597899</v>
      </c>
      <c r="AG2059">
        <v>-1.108956153901</v>
      </c>
      <c r="AH2059">
        <v>15.220723336518301</v>
      </c>
      <c r="AI2059">
        <v>94.143052693244002</v>
      </c>
      <c r="AJ2059">
        <v>96.170463270639502</v>
      </c>
      <c r="AK2059">
        <v>15.3495300845809</v>
      </c>
      <c r="AL2059">
        <v>88.150503860067104</v>
      </c>
      <c r="AM2059">
        <v>90.293387632448102</v>
      </c>
      <c r="AN2059">
        <v>0.99999995070050696</v>
      </c>
    </row>
    <row r="2060" spans="1:40" x14ac:dyDescent="0.25">
      <c r="A2060" t="str">
        <f>"20190312160641196"</f>
        <v>20190312160641196</v>
      </c>
      <c r="B2060" t="str">
        <f>"1552378001187085"</f>
        <v>1552378001187085</v>
      </c>
      <c r="C2060" t="s">
        <v>40</v>
      </c>
      <c r="D2060">
        <v>5.6386979999999998</v>
      </c>
      <c r="E2060">
        <v>0.47747539999999999</v>
      </c>
      <c r="F2060" t="s">
        <v>77</v>
      </c>
      <c r="G2060">
        <v>-289.47320000000002</v>
      </c>
      <c r="H2060" s="1">
        <v>4.8054749999999999E-6</v>
      </c>
      <c r="I2060">
        <v>281.69240000000002</v>
      </c>
      <c r="J2060">
        <v>-275.53840000000002</v>
      </c>
      <c r="K2060">
        <v>1.1090199999999999</v>
      </c>
      <c r="L2060">
        <v>283.01589999999999</v>
      </c>
      <c r="M2060">
        <v>-0.99968310000000005</v>
      </c>
      <c r="N2060">
        <v>0</v>
      </c>
      <c r="O2060">
        <v>2.4112939999999999E-2</v>
      </c>
      <c r="P2060">
        <v>-0.99949089999999996</v>
      </c>
      <c r="Q2060">
        <v>2.453021E-2</v>
      </c>
      <c r="R2060">
        <v>2.0414620000000001E-2</v>
      </c>
      <c r="S2060">
        <v>-3.0116879999999999</v>
      </c>
      <c r="T2060">
        <v>-0.21648629999999999</v>
      </c>
      <c r="U2060">
        <v>-0.25134279999999998</v>
      </c>
      <c r="V2060">
        <v>-3.6905810000000001E-3</v>
      </c>
      <c r="W2060">
        <v>3.1761850000000001E-2</v>
      </c>
      <c r="X2060">
        <v>0.99948870000000001</v>
      </c>
      <c r="Y2060">
        <v>-0.1068368</v>
      </c>
      <c r="Z2060">
        <v>-5.5566640000000002E-3</v>
      </c>
      <c r="AA2060">
        <v>0.99426099999999995</v>
      </c>
      <c r="AB2060">
        <v>30</v>
      </c>
      <c r="AC2060">
        <v>-13.9347999999999</v>
      </c>
      <c r="AD2060">
        <v>-1.109015194525</v>
      </c>
      <c r="AE2060">
        <v>-1.3234999999999599</v>
      </c>
      <c r="AF2060">
        <v>-1.64878302009216</v>
      </c>
      <c r="AG2060">
        <v>-1.109015194525</v>
      </c>
      <c r="AH2060">
        <v>13.8121308185637</v>
      </c>
      <c r="AI2060">
        <v>94.558367643929003</v>
      </c>
      <c r="AJ2060">
        <v>96.807305294818207</v>
      </c>
      <c r="AK2060">
        <v>13.954331151945199</v>
      </c>
      <c r="AL2060">
        <v>88.1798740177491</v>
      </c>
      <c r="AM2060">
        <v>90.211561925857396</v>
      </c>
      <c r="AN2060">
        <v>1.00000004846561</v>
      </c>
    </row>
    <row r="2061" spans="1:40" x14ac:dyDescent="0.25">
      <c r="A2061" t="str">
        <f>"20190312160641207"</f>
        <v>20190312160641207</v>
      </c>
      <c r="B2061" t="str">
        <f>"1552378001196846"</f>
        <v>1552378001196846</v>
      </c>
      <c r="C2061" t="s">
        <v>40</v>
      </c>
      <c r="D2061">
        <v>6.557709</v>
      </c>
      <c r="E2061">
        <v>0.47509479999999998</v>
      </c>
      <c r="F2061" t="s">
        <v>66</v>
      </c>
      <c r="G2061">
        <v>-278.20440000000002</v>
      </c>
      <c r="H2061" s="1">
        <v>2.9027440000000001E-6</v>
      </c>
      <c r="I2061">
        <v>282.93369999999999</v>
      </c>
      <c r="J2061">
        <v>-275.69670000000002</v>
      </c>
      <c r="K2061">
        <v>1.10902099999999</v>
      </c>
      <c r="L2061">
        <v>283.0197</v>
      </c>
      <c r="M2061">
        <v>-0.99968299999999999</v>
      </c>
      <c r="N2061">
        <v>0</v>
      </c>
      <c r="O2061">
        <v>2.4111210000000001E-2</v>
      </c>
      <c r="P2061">
        <v>-0.99949379999999999</v>
      </c>
      <c r="Q2061">
        <v>2.43506E-2</v>
      </c>
      <c r="R2061">
        <v>2.0479420000000002E-2</v>
      </c>
      <c r="S2061">
        <v>-3.034424</v>
      </c>
      <c r="T2061">
        <v>-1.262262</v>
      </c>
      <c r="U2061">
        <v>-9.3475340000000004E-2</v>
      </c>
      <c r="V2061">
        <v>-3.6243540000000002E-3</v>
      </c>
      <c r="W2061">
        <v>3.1597430000000003E-2</v>
      </c>
      <c r="X2061">
        <v>0.99949410000000005</v>
      </c>
      <c r="Y2061">
        <v>-4.882744E-2</v>
      </c>
      <c r="Z2061">
        <v>-1.937678E-2</v>
      </c>
      <c r="AA2061">
        <v>0.99861929999999999</v>
      </c>
      <c r="AB2061">
        <v>31</v>
      </c>
      <c r="AC2061">
        <v>-2.5076999999999998</v>
      </c>
      <c r="AD2061">
        <v>-1.10901809725599</v>
      </c>
      <c r="AE2061">
        <v>-8.6000000000012705E-2</v>
      </c>
      <c r="AF2061">
        <v>-0.122508173282563</v>
      </c>
      <c r="AG2061">
        <v>-1.10901809725599</v>
      </c>
      <c r="AH2061">
        <v>2.0955328754226898</v>
      </c>
      <c r="AI2061">
        <v>117.84872810276001</v>
      </c>
      <c r="AJ2061">
        <v>93.345793847639399</v>
      </c>
      <c r="AK2061">
        <v>2.3740655897720302</v>
      </c>
      <c r="AL2061">
        <v>88.189299222840305</v>
      </c>
      <c r="AM2061">
        <v>90.207764385479706</v>
      </c>
      <c r="AN2061">
        <v>0.99999999472966605</v>
      </c>
    </row>
    <row r="2062" spans="1:40" x14ac:dyDescent="0.25">
      <c r="A2062" t="str">
        <f>"20190312160641219"</f>
        <v>20190312160641219</v>
      </c>
      <c r="B2062" t="str">
        <f>"1552378001217342"</f>
        <v>1552378001217342</v>
      </c>
      <c r="C2062" t="s">
        <v>40</v>
      </c>
      <c r="D2062">
        <v>6.4331069999999997</v>
      </c>
      <c r="E2062">
        <v>0.46112330000000001</v>
      </c>
      <c r="F2062" t="s">
        <v>44</v>
      </c>
      <c r="G2062">
        <v>-276.42059999999998</v>
      </c>
      <c r="H2062">
        <v>0.84500710000000001</v>
      </c>
      <c r="I2062">
        <v>282.99239999999998</v>
      </c>
      <c r="J2062">
        <v>-275.84969999999998</v>
      </c>
      <c r="K2062">
        <v>1.109022</v>
      </c>
      <c r="L2062">
        <v>283.02339999999998</v>
      </c>
      <c r="M2062">
        <v>-0.99968290000000004</v>
      </c>
      <c r="N2062">
        <v>0</v>
      </c>
      <c r="O2062">
        <v>2.4109479999999999E-2</v>
      </c>
      <c r="P2062">
        <v>-0.99950220000000001</v>
      </c>
      <c r="Q2062">
        <v>2.3959999999999999E-2</v>
      </c>
      <c r="R2062">
        <v>2.0520190000000001E-2</v>
      </c>
      <c r="S2062">
        <v>-3.0308229999999998</v>
      </c>
      <c r="T2062">
        <v>-1.105361</v>
      </c>
      <c r="U2062">
        <v>-0.1152039</v>
      </c>
      <c r="V2062">
        <v>-3.5819789999999999E-3</v>
      </c>
      <c r="W2062">
        <v>3.1221390000000002E-2</v>
      </c>
      <c r="X2062">
        <v>0.99950609999999995</v>
      </c>
      <c r="Y2062">
        <v>-5.6854750000000003E-2</v>
      </c>
      <c r="Z2062">
        <v>-1.8556980000000001E-2</v>
      </c>
      <c r="AA2062">
        <v>0.99821000000000004</v>
      </c>
      <c r="AB2062">
        <v>31</v>
      </c>
      <c r="AC2062">
        <v>-0.57089999999999397</v>
      </c>
      <c r="AD2062">
        <v>-0.264014899999999</v>
      </c>
      <c r="AE2062">
        <v>-3.1000000000005901E-2</v>
      </c>
      <c r="AF2062">
        <v>-3.6889358199307901E-2</v>
      </c>
      <c r="AG2062">
        <v>-0.264014899999999</v>
      </c>
      <c r="AH2062">
        <v>0.46980734111175998</v>
      </c>
      <c r="AI2062">
        <v>119.25928398290201</v>
      </c>
      <c r="AJ2062">
        <v>94.489663304141104</v>
      </c>
      <c r="AK2062">
        <v>0.54017000095605805</v>
      </c>
      <c r="AL2062">
        <v>88.210855417660895</v>
      </c>
      <c r="AM2062">
        <v>90.205332814271202</v>
      </c>
      <c r="AN2062">
        <v>1.0000000248521399</v>
      </c>
    </row>
    <row r="2063" spans="1:40" x14ac:dyDescent="0.25">
      <c r="A2063" t="str">
        <f>"20190312160641240"</f>
        <v>20190312160641240</v>
      </c>
      <c r="B2063" t="str">
        <f>"1552378001236862"</f>
        <v>1552378001236862</v>
      </c>
      <c r="C2063" t="s">
        <v>40</v>
      </c>
      <c r="D2063">
        <v>6.4088849999999997</v>
      </c>
      <c r="E2063">
        <v>0.46056079999999999</v>
      </c>
      <c r="F2063" t="s">
        <v>77</v>
      </c>
      <c r="G2063">
        <v>-283.75200000000001</v>
      </c>
      <c r="H2063" s="1">
        <v>7.1971239999999999E-6</v>
      </c>
      <c r="I2063">
        <v>282.3965</v>
      </c>
      <c r="J2063">
        <v>-276.14260000000002</v>
      </c>
      <c r="K2063">
        <v>1.109024</v>
      </c>
      <c r="L2063">
        <v>283.03050000000002</v>
      </c>
      <c r="M2063">
        <v>-0.99968279999999998</v>
      </c>
      <c r="N2063">
        <v>0</v>
      </c>
      <c r="O2063">
        <v>2.410704E-2</v>
      </c>
      <c r="P2063">
        <v>-0.99951639999999997</v>
      </c>
      <c r="Q2063">
        <v>2.388492E-2</v>
      </c>
      <c r="R2063">
        <v>1.991971E-2</v>
      </c>
      <c r="S2063">
        <v>-3.0165410000000001</v>
      </c>
      <c r="T2063">
        <v>-0.42334709999999998</v>
      </c>
      <c r="U2063">
        <v>-0.2393188</v>
      </c>
      <c r="V2063">
        <v>-4.1801190000000004E-3</v>
      </c>
      <c r="W2063">
        <v>3.117373E-2</v>
      </c>
      <c r="X2063">
        <v>0.99950519999999998</v>
      </c>
      <c r="Y2063">
        <v>-0.1018688</v>
      </c>
      <c r="Z2063">
        <v>-1.046455E-2</v>
      </c>
      <c r="AA2063">
        <v>0.99474280000000004</v>
      </c>
      <c r="AB2063">
        <v>31</v>
      </c>
      <c r="AC2063">
        <v>-7.6093999999999902</v>
      </c>
      <c r="AD2063">
        <v>-1.1090168028759999</v>
      </c>
      <c r="AE2063">
        <v>-0.634000000000014</v>
      </c>
      <c r="AF2063">
        <v>-0.80037710041066201</v>
      </c>
      <c r="AG2063">
        <v>-1.1090168028759999</v>
      </c>
      <c r="AH2063">
        <v>7.4350645797653199</v>
      </c>
      <c r="AI2063">
        <v>98.435680223110396</v>
      </c>
      <c r="AJ2063">
        <v>96.144171479530698</v>
      </c>
      <c r="AK2063">
        <v>7.5598086667060498</v>
      </c>
      <c r="AL2063">
        <v>88.213587348111801</v>
      </c>
      <c r="AM2063">
        <v>90.239620344364099</v>
      </c>
      <c r="AN2063">
        <v>0.99999995983200196</v>
      </c>
    </row>
    <row r="2064" spans="1:40" x14ac:dyDescent="0.25">
      <c r="A2064" t="str">
        <f>"20190312160641264"</f>
        <v>20190312160641264</v>
      </c>
      <c r="B2064" t="str">
        <f>"1552378001257357"</f>
        <v>1552378001257357</v>
      </c>
      <c r="C2064" t="s">
        <v>40</v>
      </c>
      <c r="D2064">
        <v>8.3700609999999998</v>
      </c>
      <c r="E2064">
        <v>0.45908850000000001</v>
      </c>
      <c r="F2064" t="s">
        <v>77</v>
      </c>
      <c r="G2064">
        <v>-287.75279999999998</v>
      </c>
      <c r="H2064" s="1">
        <v>5.4894590000000001E-6</v>
      </c>
      <c r="I2064">
        <v>282.07440000000003</v>
      </c>
      <c r="J2064">
        <v>-276.4624</v>
      </c>
      <c r="K2064">
        <v>1.1090260000000001</v>
      </c>
      <c r="L2064">
        <v>283.03820000000002</v>
      </c>
      <c r="M2064">
        <v>-0.99968270000000004</v>
      </c>
      <c r="N2064">
        <v>0</v>
      </c>
      <c r="O2064">
        <v>2.4105430000000001E-2</v>
      </c>
      <c r="P2064">
        <v>-0.99953139999999996</v>
      </c>
      <c r="Q2064">
        <v>2.38307E-2</v>
      </c>
      <c r="R2064">
        <v>1.9217129999999999E-2</v>
      </c>
      <c r="S2064">
        <v>-3.0132750000000001</v>
      </c>
      <c r="T2064">
        <v>-0.28783229999999999</v>
      </c>
      <c r="U2064">
        <v>-0.24813840000000001</v>
      </c>
      <c r="V2064">
        <v>-4.8816789999999999E-3</v>
      </c>
      <c r="W2064">
        <v>3.1149900000000001E-2</v>
      </c>
      <c r="X2064">
        <v>0.99950280000000002</v>
      </c>
      <c r="Y2064">
        <v>-0.1054853</v>
      </c>
      <c r="Z2064">
        <v>-7.31214E-3</v>
      </c>
      <c r="AA2064">
        <v>0.99439390000000005</v>
      </c>
      <c r="AB2064">
        <v>31</v>
      </c>
      <c r="AC2064">
        <v>-11.290399999999901</v>
      </c>
      <c r="AD2064">
        <v>-1.109020510541</v>
      </c>
      <c r="AE2064">
        <v>-0.963799999999992</v>
      </c>
      <c r="AF2064">
        <v>-1.2239631500161501</v>
      </c>
      <c r="AG2064">
        <v>-1.109020510541</v>
      </c>
      <c r="AH2064">
        <v>11.157015780086599</v>
      </c>
      <c r="AI2064">
        <v>95.642986622564095</v>
      </c>
      <c r="AJ2064">
        <v>96.260510157714606</v>
      </c>
      <c r="AK2064">
        <v>11.2786086643034</v>
      </c>
      <c r="AL2064">
        <v>88.214953436604404</v>
      </c>
      <c r="AM2064">
        <v>90.279836514352496</v>
      </c>
      <c r="AN2064">
        <v>0.99999999713385401</v>
      </c>
    </row>
    <row r="2065" spans="1:40" x14ac:dyDescent="0.25">
      <c r="A2065" t="str">
        <f>"20190312160641276"</f>
        <v>20190312160641276</v>
      </c>
      <c r="B2065" t="str">
        <f>"1552378001267117"</f>
        <v>1552378001267117</v>
      </c>
      <c r="C2065" t="s">
        <v>40</v>
      </c>
      <c r="D2065">
        <v>6.4341489999999997</v>
      </c>
      <c r="E2065">
        <v>0.45930609999999999</v>
      </c>
      <c r="F2065" t="s">
        <v>77</v>
      </c>
      <c r="G2065">
        <v>-292.5401</v>
      </c>
      <c r="H2065" s="1">
        <v>2.9172569999999999E-6</v>
      </c>
      <c r="I2065">
        <v>281.63159999999999</v>
      </c>
      <c r="J2065">
        <v>-276.64179999999999</v>
      </c>
      <c r="K2065">
        <v>1.1090279999999999</v>
      </c>
      <c r="L2065">
        <v>283.04250000000002</v>
      </c>
      <c r="M2065">
        <v>-0.99968250000000003</v>
      </c>
      <c r="N2065">
        <v>0</v>
      </c>
      <c r="O2065">
        <v>2.4105000000000001E-2</v>
      </c>
      <c r="P2065">
        <v>-0.99953630000000004</v>
      </c>
      <c r="Q2065">
        <v>2.3863410000000002E-2</v>
      </c>
      <c r="R2065">
        <v>1.8922649999999999E-2</v>
      </c>
      <c r="S2065">
        <v>-3.0113829999999999</v>
      </c>
      <c r="T2065">
        <v>-0.20772170000000001</v>
      </c>
      <c r="U2065">
        <v>-0.26345829999999998</v>
      </c>
      <c r="V2065">
        <v>-5.1757330000000001E-3</v>
      </c>
      <c r="W2065">
        <v>3.1199459999999998E-2</v>
      </c>
      <c r="X2065">
        <v>0.99949980000000005</v>
      </c>
      <c r="Y2065">
        <v>-0.1108248</v>
      </c>
      <c r="Z2065">
        <v>-5.4684629999999998E-3</v>
      </c>
      <c r="AA2065">
        <v>0.99382490000000001</v>
      </c>
      <c r="AB2065">
        <v>31</v>
      </c>
      <c r="AC2065">
        <v>-15.898300000000001</v>
      </c>
      <c r="AD2065">
        <v>-1.1090250827429999</v>
      </c>
      <c r="AE2065">
        <v>-1.41090000000002</v>
      </c>
      <c r="AF2065">
        <v>-1.7851102027355601</v>
      </c>
      <c r="AG2065">
        <v>-1.1090250827429999</v>
      </c>
      <c r="AH2065">
        <v>15.7834657378154</v>
      </c>
      <c r="AI2065">
        <v>93.993901648460806</v>
      </c>
      <c r="AJ2065">
        <v>96.452733095700097</v>
      </c>
      <c r="AK2065">
        <v>15.9227618762216</v>
      </c>
      <c r="AL2065">
        <v>88.2121125220322</v>
      </c>
      <c r="AM2065">
        <v>90.296693412229104</v>
      </c>
      <c r="AN2065">
        <v>1.0000000223582</v>
      </c>
    </row>
    <row r="2066" spans="1:40" x14ac:dyDescent="0.25">
      <c r="A2066" t="str">
        <f>"20190312160641297"</f>
        <v>20190312160641297</v>
      </c>
      <c r="B2066" t="str">
        <f>"1552378001286638"</f>
        <v>1552378001286638</v>
      </c>
      <c r="C2066" t="s">
        <v>40</v>
      </c>
      <c r="D2066">
        <v>6.4565149999999996</v>
      </c>
      <c r="E2066">
        <v>0.46127859999999998</v>
      </c>
      <c r="F2066" t="s">
        <v>77</v>
      </c>
      <c r="G2066">
        <v>-294.91590000000002</v>
      </c>
      <c r="H2066" s="1">
        <v>3.3549599999999998E-6</v>
      </c>
      <c r="I2066">
        <v>281.44540000000001</v>
      </c>
      <c r="J2066">
        <v>-276.92160000000001</v>
      </c>
      <c r="K2066">
        <v>1.109035</v>
      </c>
      <c r="L2066">
        <v>283.04930000000002</v>
      </c>
      <c r="M2066">
        <v>-0.99968239999999997</v>
      </c>
      <c r="N2066">
        <v>0</v>
      </c>
      <c r="O2066">
        <v>2.410489E-2</v>
      </c>
      <c r="P2066">
        <v>-0.99952980000000002</v>
      </c>
      <c r="Q2066">
        <v>2.414616E-2</v>
      </c>
      <c r="R2066">
        <v>1.8903530000000002E-2</v>
      </c>
      <c r="S2066">
        <v>-3.0107729999999999</v>
      </c>
      <c r="T2066">
        <v>-0.18271889999999999</v>
      </c>
      <c r="U2066">
        <v>-0.26312259999999998</v>
      </c>
      <c r="V2066">
        <v>-5.1947460000000001E-3</v>
      </c>
      <c r="W2066">
        <v>3.1507830000000001E-2</v>
      </c>
      <c r="X2066">
        <v>0.99948999999999999</v>
      </c>
      <c r="Y2066">
        <v>-0.1108041</v>
      </c>
      <c r="Z2066">
        <v>-4.8118839999999998E-3</v>
      </c>
      <c r="AA2066">
        <v>0.99383060000000001</v>
      </c>
      <c r="AB2066">
        <v>31</v>
      </c>
      <c r="AC2066">
        <v>-17.994299999999999</v>
      </c>
      <c r="AD2066">
        <v>-1.10903164504</v>
      </c>
      <c r="AE2066">
        <v>-1.6039000000000101</v>
      </c>
      <c r="AF2066">
        <v>-2.02954770904813</v>
      </c>
      <c r="AG2066">
        <v>-1.10903164504</v>
      </c>
      <c r="AH2066">
        <v>17.883014217157399</v>
      </c>
      <c r="AI2066">
        <v>93.526127922424294</v>
      </c>
      <c r="AJ2066">
        <v>96.474808447136795</v>
      </c>
      <c r="AK2066">
        <v>18.031949772114402</v>
      </c>
      <c r="AL2066">
        <v>88.194435481537198</v>
      </c>
      <c r="AM2066">
        <v>90.297786212437998</v>
      </c>
      <c r="AN2066">
        <v>0.99999999441865595</v>
      </c>
    </row>
    <row r="2067" spans="1:40" x14ac:dyDescent="0.25">
      <c r="A2067" t="str">
        <f>"20190312160641312"</f>
        <v>20190312160641312</v>
      </c>
      <c r="B2067" t="str">
        <f>"1552378001307134"</f>
        <v>1552378001307134</v>
      </c>
      <c r="C2067" t="s">
        <v>40</v>
      </c>
      <c r="D2067">
        <v>6.5517440000000002</v>
      </c>
      <c r="E2067">
        <v>0.46389190000000002</v>
      </c>
      <c r="F2067" t="s">
        <v>77</v>
      </c>
      <c r="G2067">
        <v>-297.11849999999998</v>
      </c>
      <c r="H2067" s="1">
        <v>3.750803E-6</v>
      </c>
      <c r="I2067">
        <v>281.38659999999999</v>
      </c>
      <c r="J2067">
        <v>-277.11939999999998</v>
      </c>
      <c r="K2067">
        <v>1.1090370000000001</v>
      </c>
      <c r="L2067">
        <v>283.05399999999997</v>
      </c>
      <c r="M2067">
        <v>-0.99968210000000002</v>
      </c>
      <c r="N2067">
        <v>0</v>
      </c>
      <c r="O2067">
        <v>2.410499E-2</v>
      </c>
      <c r="P2067">
        <v>-0.99952859999999999</v>
      </c>
      <c r="Q2067">
        <v>2.3956930000000001E-2</v>
      </c>
      <c r="R2067">
        <v>1.9196120000000001E-2</v>
      </c>
      <c r="S2067">
        <v>-3.0100709999999999</v>
      </c>
      <c r="T2067">
        <v>-0.16528590000000001</v>
      </c>
      <c r="U2067">
        <v>-0.24780269999999999</v>
      </c>
      <c r="V2067">
        <v>-4.9021439999999998E-3</v>
      </c>
      <c r="W2067">
        <v>3.1337209999999997E-2</v>
      </c>
      <c r="X2067">
        <v>0.99949690000000002</v>
      </c>
      <c r="Y2067">
        <v>-0.105853</v>
      </c>
      <c r="Z2067">
        <v>-4.2198369999999997E-3</v>
      </c>
      <c r="AA2067">
        <v>0.99437279999999995</v>
      </c>
      <c r="AB2067">
        <v>31</v>
      </c>
      <c r="AC2067">
        <v>-19.999099999999999</v>
      </c>
      <c r="AD2067">
        <v>-1.1090332491969901</v>
      </c>
      <c r="AE2067">
        <v>-1.66740000000004</v>
      </c>
      <c r="AF2067">
        <v>-2.1424638141513399</v>
      </c>
      <c r="AG2067">
        <v>-1.1090332491969901</v>
      </c>
      <c r="AH2067">
        <v>19.8923449038898</v>
      </c>
      <c r="AI2067">
        <v>93.172726305043597</v>
      </c>
      <c r="AJ2067">
        <v>96.147227247640004</v>
      </c>
      <c r="AK2067">
        <v>20.0381010007955</v>
      </c>
      <c r="AL2067">
        <v>88.204216221479598</v>
      </c>
      <c r="AM2067">
        <v>90.281011286429404</v>
      </c>
      <c r="AN2067">
        <v>1.0000000524279899</v>
      </c>
    </row>
    <row r="2068" spans="1:40" x14ac:dyDescent="0.25">
      <c r="A2068" t="str">
        <f>"20190312160641332"</f>
        <v>20190312160641332</v>
      </c>
      <c r="B2068" t="str">
        <f>"1552378001327629"</f>
        <v>1552378001327629</v>
      </c>
      <c r="C2068" t="s">
        <v>40</v>
      </c>
      <c r="D2068">
        <v>6.4772639999999999</v>
      </c>
      <c r="E2068">
        <v>0.46560750000000001</v>
      </c>
      <c r="F2068" t="s">
        <v>77</v>
      </c>
      <c r="G2068">
        <v>-295.80509999999998</v>
      </c>
      <c r="H2068" s="1">
        <v>3.4946119999999999E-6</v>
      </c>
      <c r="I2068">
        <v>281.65230000000003</v>
      </c>
      <c r="J2068">
        <v>-277.39929999999998</v>
      </c>
      <c r="K2068">
        <v>1.1090420000000001</v>
      </c>
      <c r="L2068">
        <v>283.06079999999997</v>
      </c>
      <c r="M2068">
        <v>-0.99968199999999996</v>
      </c>
      <c r="N2068">
        <v>0</v>
      </c>
      <c r="O2068">
        <v>2.4105250000000002E-2</v>
      </c>
      <c r="P2068">
        <v>-0.99952010000000002</v>
      </c>
      <c r="Q2068">
        <v>2.3927199999999999E-2</v>
      </c>
      <c r="R2068">
        <v>1.9682229999999998E-2</v>
      </c>
      <c r="S2068">
        <v>-3.01004</v>
      </c>
      <c r="T2068">
        <v>-0.17865159999999999</v>
      </c>
      <c r="U2068">
        <v>-0.22579959999999999</v>
      </c>
      <c r="V2068">
        <v>-4.4160149999999997E-3</v>
      </c>
      <c r="W2068">
        <v>3.1333390000000003E-2</v>
      </c>
      <c r="X2068">
        <v>0.99949929999999998</v>
      </c>
      <c r="Y2068">
        <v>-9.8607100000000003E-2</v>
      </c>
      <c r="Z2068">
        <v>-4.347287E-3</v>
      </c>
      <c r="AA2068">
        <v>0.99511689999999997</v>
      </c>
      <c r="AB2068">
        <v>31</v>
      </c>
      <c r="AC2068">
        <v>-18.405799999999999</v>
      </c>
      <c r="AD2068">
        <v>-1.1090385053880001</v>
      </c>
      <c r="AE2068">
        <v>-1.4084999999999399</v>
      </c>
      <c r="AF2068">
        <v>-1.8451193069256899</v>
      </c>
      <c r="AG2068">
        <v>-1.1090385053880001</v>
      </c>
      <c r="AH2068">
        <v>18.300442692207699</v>
      </c>
      <c r="AI2068">
        <v>93.450530968646206</v>
      </c>
      <c r="AJ2068">
        <v>95.757319562455805</v>
      </c>
      <c r="AK2068">
        <v>18.426628405489801</v>
      </c>
      <c r="AL2068">
        <v>88.204435224350405</v>
      </c>
      <c r="AM2068">
        <v>90.253144124676794</v>
      </c>
      <c r="AN2068">
        <v>1.0000000666089199</v>
      </c>
    </row>
    <row r="2069" spans="1:40" x14ac:dyDescent="0.25">
      <c r="A2069" t="str">
        <f>"20190312160641353"</f>
        <v>20190312160641353</v>
      </c>
      <c r="B2069" t="str">
        <f>"1552378001347150"</f>
        <v>1552378001347150</v>
      </c>
      <c r="C2069" t="s">
        <v>40</v>
      </c>
      <c r="D2069">
        <v>6.492083</v>
      </c>
      <c r="E2069">
        <v>0.46622259999999999</v>
      </c>
      <c r="F2069" t="s">
        <v>77</v>
      </c>
      <c r="G2069">
        <v>-293.72640000000001</v>
      </c>
      <c r="H2069" s="1">
        <v>3.1025500000000001E-6</v>
      </c>
      <c r="I2069">
        <v>281.91910000000001</v>
      </c>
      <c r="J2069">
        <v>-277.70159999999998</v>
      </c>
      <c r="K2069">
        <v>1.109046</v>
      </c>
      <c r="L2069">
        <v>283.06810000000002</v>
      </c>
      <c r="M2069">
        <v>-0.99968179999999995</v>
      </c>
      <c r="N2069">
        <v>0</v>
      </c>
      <c r="O2069">
        <v>2.4105129999999999E-2</v>
      </c>
      <c r="P2069">
        <v>-0.99951409999999996</v>
      </c>
      <c r="Q2069">
        <v>2.3974390000000002E-2</v>
      </c>
      <c r="R2069">
        <v>1.992789E-2</v>
      </c>
      <c r="S2069">
        <v>-3.0104679999999999</v>
      </c>
      <c r="T2069">
        <v>-0.2044898</v>
      </c>
      <c r="U2069">
        <v>-0.21051030000000001</v>
      </c>
      <c r="V2069">
        <v>-4.1705570000000001E-3</v>
      </c>
      <c r="W2069">
        <v>3.1408690000000003E-2</v>
      </c>
      <c r="X2069">
        <v>0.999498</v>
      </c>
      <c r="Y2069">
        <v>-9.3512780000000004E-2</v>
      </c>
      <c r="Z2069">
        <v>-4.8022469999999999E-3</v>
      </c>
      <c r="AA2069">
        <v>0.99560649999999995</v>
      </c>
      <c r="AB2069">
        <v>31</v>
      </c>
      <c r="AC2069">
        <v>-16.024799999999999</v>
      </c>
      <c r="AD2069">
        <v>-1.10904289745</v>
      </c>
      <c r="AE2069">
        <v>-1.149</v>
      </c>
      <c r="AF2069">
        <v>-1.52767693127894</v>
      </c>
      <c r="AG2069">
        <v>-1.10904289745</v>
      </c>
      <c r="AH2069">
        <v>15.916599487967799</v>
      </c>
      <c r="AI2069">
        <v>93.967660153975203</v>
      </c>
      <c r="AJ2069">
        <v>95.482461099062405</v>
      </c>
      <c r="AK2069">
        <v>16.0281599759649</v>
      </c>
      <c r="AL2069">
        <v>88.200118744223502</v>
      </c>
      <c r="AM2069">
        <v>90.239073942633695</v>
      </c>
      <c r="AN2069">
        <v>1.0000000756786001</v>
      </c>
    </row>
    <row r="2070" spans="1:40" x14ac:dyDescent="0.25">
      <c r="A2070" t="str">
        <f>"20190312160641376"</f>
        <v>20190312160641376</v>
      </c>
      <c r="B2070" t="str">
        <f>"1552378001367656"</f>
        <v>1552378001367656</v>
      </c>
      <c r="C2070" t="s">
        <v>40</v>
      </c>
      <c r="D2070">
        <v>6.4205449999999997</v>
      </c>
      <c r="E2070">
        <v>0.46677639999999998</v>
      </c>
      <c r="F2070" t="s">
        <v>77</v>
      </c>
      <c r="G2070">
        <v>-293.6481</v>
      </c>
      <c r="H2070" s="1">
        <v>3.082887E-6</v>
      </c>
      <c r="I2070">
        <v>281.98520000000002</v>
      </c>
      <c r="J2070">
        <v>-278.0172</v>
      </c>
      <c r="K2070">
        <v>1.109049</v>
      </c>
      <c r="L2070">
        <v>283.07569999999998</v>
      </c>
      <c r="M2070">
        <v>-0.99968159999999895</v>
      </c>
      <c r="N2070">
        <v>0</v>
      </c>
      <c r="O2070">
        <v>2.4105020000000001E-2</v>
      </c>
      <c r="P2070">
        <v>-0.99949849999999996</v>
      </c>
      <c r="Q2070">
        <v>2.44949E-2</v>
      </c>
      <c r="R2070">
        <v>2.0067390000000001E-2</v>
      </c>
      <c r="S2070">
        <v>-3.0105590000000002</v>
      </c>
      <c r="T2070">
        <v>-0.2093768</v>
      </c>
      <c r="U2070">
        <v>-0.20443729999999999</v>
      </c>
      <c r="V2070">
        <v>-4.0308430000000001E-3</v>
      </c>
      <c r="W2070">
        <v>3.1958210000000001E-2</v>
      </c>
      <c r="X2070">
        <v>0.99948110000000001</v>
      </c>
      <c r="Y2070">
        <v>-9.1503249999999994E-2</v>
      </c>
      <c r="Z2070">
        <v>-4.847199E-3</v>
      </c>
      <c r="AA2070">
        <v>0.99579300000000004</v>
      </c>
      <c r="AB2070">
        <v>31</v>
      </c>
      <c r="AC2070">
        <v>-15.630899999999899</v>
      </c>
      <c r="AD2070">
        <v>-1.109045917113</v>
      </c>
      <c r="AE2070">
        <v>-1.0904999999999601</v>
      </c>
      <c r="AF2070">
        <v>-1.4596640996586501</v>
      </c>
      <c r="AG2070">
        <v>-1.109045917113</v>
      </c>
      <c r="AH2070">
        <v>15.522306637862201</v>
      </c>
      <c r="AI2070">
        <v>94.068864304571207</v>
      </c>
      <c r="AJ2070">
        <v>95.372099435706801</v>
      </c>
      <c r="AK2070">
        <v>15.6301825162063</v>
      </c>
      <c r="AL2070">
        <v>88.168617656278101</v>
      </c>
      <c r="AM2070">
        <v>90.231068941363304</v>
      </c>
      <c r="AN2070">
        <v>1.00000002206945</v>
      </c>
    </row>
    <row r="2071" spans="1:40" x14ac:dyDescent="0.25">
      <c r="A2071" t="str">
        <f>"20190312160641397"</f>
        <v>20190312160641397</v>
      </c>
      <c r="B2071" t="str">
        <f>"1552378001387166"</f>
        <v>1552378001387166</v>
      </c>
      <c r="C2071" t="s">
        <v>40</v>
      </c>
      <c r="D2071">
        <v>6.42577</v>
      </c>
      <c r="E2071">
        <v>0.46728039999999998</v>
      </c>
      <c r="F2071" t="s">
        <v>77</v>
      </c>
      <c r="G2071">
        <v>-293.03710000000001</v>
      </c>
      <c r="H2071" s="1">
        <v>2.965938E-6</v>
      </c>
      <c r="I2071">
        <v>282.0831</v>
      </c>
      <c r="J2071">
        <v>-278.32249999999999</v>
      </c>
      <c r="K2071">
        <v>1.1090439999999999</v>
      </c>
      <c r="L2071">
        <v>283.0831</v>
      </c>
      <c r="M2071">
        <v>-0.9996815</v>
      </c>
      <c r="N2071">
        <v>0</v>
      </c>
      <c r="O2071">
        <v>2.4104730000000001E-2</v>
      </c>
      <c r="P2071">
        <v>-0.9994942</v>
      </c>
      <c r="Q2071">
        <v>2.4437690000000001E-2</v>
      </c>
      <c r="R2071">
        <v>2.0363880000000001E-2</v>
      </c>
      <c r="S2071">
        <v>-3.0109560000000002</v>
      </c>
      <c r="T2071">
        <v>-0.22232399999999999</v>
      </c>
      <c r="U2071">
        <v>-0.1989746</v>
      </c>
      <c r="V2071">
        <v>-3.7339309999999998E-3</v>
      </c>
      <c r="W2071">
        <v>3.1929140000000002E-2</v>
      </c>
      <c r="X2071">
        <v>0.99948320000000002</v>
      </c>
      <c r="Y2071">
        <v>-8.966499E-2</v>
      </c>
      <c r="Z2071">
        <v>-5.0780490000000003E-3</v>
      </c>
      <c r="AA2071">
        <v>0.99595900000000004</v>
      </c>
      <c r="AB2071">
        <v>31</v>
      </c>
      <c r="AC2071">
        <v>-14.714600000000001</v>
      </c>
      <c r="AD2071">
        <v>-1.1090410340620001</v>
      </c>
      <c r="AE2071">
        <v>-1</v>
      </c>
      <c r="AF2071">
        <v>-1.3467952845272</v>
      </c>
      <c r="AG2071">
        <v>-1.1090410340620001</v>
      </c>
      <c r="AH2071">
        <v>14.603642016925001</v>
      </c>
      <c r="AI2071">
        <v>94.324582598847897</v>
      </c>
      <c r="AJ2071">
        <v>95.269098437339096</v>
      </c>
      <c r="AK2071">
        <v>14.7074875390787</v>
      </c>
      <c r="AL2071">
        <v>88.170284127166596</v>
      </c>
      <c r="AM2071">
        <v>90.214048112076597</v>
      </c>
      <c r="AN2071">
        <v>1.0000000396520401</v>
      </c>
    </row>
    <row r="2072" spans="1:40" x14ac:dyDescent="0.25">
      <c r="A2072" t="str">
        <f>"20190312160641410"</f>
        <v>20190312160641410</v>
      </c>
      <c r="B2072" t="str">
        <f>"1552378001396926"</f>
        <v>1552378001396926</v>
      </c>
      <c r="C2072" t="s">
        <v>40</v>
      </c>
      <c r="D2072">
        <v>6.5105459999999997</v>
      </c>
      <c r="E2072">
        <v>0.46747729999999998</v>
      </c>
      <c r="F2072" t="s">
        <v>77</v>
      </c>
      <c r="G2072">
        <v>-293.88060000000002</v>
      </c>
      <c r="H2072" s="1">
        <v>3.1161219999999999E-6</v>
      </c>
      <c r="I2072">
        <v>282.07679999999999</v>
      </c>
      <c r="J2072">
        <v>-278.50170000000003</v>
      </c>
      <c r="K2072">
        <v>1.1090450000000001</v>
      </c>
      <c r="L2072">
        <v>283.0874</v>
      </c>
      <c r="M2072">
        <v>-0.99968140000000005</v>
      </c>
      <c r="N2072">
        <v>0</v>
      </c>
      <c r="O2072">
        <v>2.4104489999999999E-2</v>
      </c>
      <c r="P2072">
        <v>-0.99949069999999995</v>
      </c>
      <c r="Q2072">
        <v>2.4330729999999998E-2</v>
      </c>
      <c r="R2072">
        <v>2.0658559999999999E-2</v>
      </c>
      <c r="S2072">
        <v>-3.010742</v>
      </c>
      <c r="T2072">
        <v>-0.21461710000000001</v>
      </c>
      <c r="U2072">
        <v>-0.19473270000000001</v>
      </c>
      <c r="V2072">
        <v>-3.4389310000000001E-3</v>
      </c>
      <c r="W2072">
        <v>3.1838579999999998E-2</v>
      </c>
      <c r="X2072">
        <v>0.99948709999999996</v>
      </c>
      <c r="Y2072">
        <v>-8.8296440000000004E-2</v>
      </c>
      <c r="Z2072">
        <v>-4.8543520000000001E-3</v>
      </c>
      <c r="AA2072">
        <v>0.99608240000000003</v>
      </c>
      <c r="AB2072">
        <v>31</v>
      </c>
      <c r="AC2072">
        <v>-15.3788999999999</v>
      </c>
      <c r="AD2072">
        <v>-1.1090418838779901</v>
      </c>
      <c r="AE2072">
        <v>-1.0106000000000099</v>
      </c>
      <c r="AF2072">
        <v>-1.37390301733669</v>
      </c>
      <c r="AG2072">
        <v>-1.1090418838779901</v>
      </c>
      <c r="AH2072">
        <v>15.2709952570036</v>
      </c>
      <c r="AI2072">
        <v>94.137109170891307</v>
      </c>
      <c r="AJ2072">
        <v>95.140953695035705</v>
      </c>
      <c r="AK2072">
        <v>15.3727316876562</v>
      </c>
      <c r="AL2072">
        <v>88.175475385610895</v>
      </c>
      <c r="AM2072">
        <v>90.197136566156601</v>
      </c>
      <c r="AN2072">
        <v>0.99999999224462399</v>
      </c>
    </row>
    <row r="2073" spans="1:40" x14ac:dyDescent="0.25">
      <c r="A2073" t="str">
        <f>"20190312160641424"</f>
        <v>20190312160641424</v>
      </c>
      <c r="B2073" t="str">
        <f>"1552378001417422"</f>
        <v>1552378001417422</v>
      </c>
      <c r="C2073" t="s">
        <v>40</v>
      </c>
      <c r="D2073">
        <v>6.4472839999999998</v>
      </c>
      <c r="E2073">
        <v>0.46823330000000002</v>
      </c>
      <c r="F2073" t="s">
        <v>77</v>
      </c>
      <c r="G2073">
        <v>-294.27120000000002</v>
      </c>
      <c r="H2073" s="1">
        <v>3.1852559999999999E-6</v>
      </c>
      <c r="I2073">
        <v>282.07859999999999</v>
      </c>
      <c r="J2073">
        <v>-278.68049999999999</v>
      </c>
      <c r="K2073">
        <v>1.1090469999999999</v>
      </c>
      <c r="L2073">
        <v>283.0917</v>
      </c>
      <c r="M2073">
        <v>-0.99968120000000005</v>
      </c>
      <c r="N2073">
        <v>0</v>
      </c>
      <c r="O2073">
        <v>2.4104239999999999E-2</v>
      </c>
      <c r="P2073">
        <v>-0.99949160000000004</v>
      </c>
      <c r="Q2073">
        <v>2.4094560000000001E-2</v>
      </c>
      <c r="R2073">
        <v>2.0883769999999999E-2</v>
      </c>
      <c r="S2073">
        <v>-3.0106510000000002</v>
      </c>
      <c r="T2073">
        <v>-0.21173330000000001</v>
      </c>
      <c r="U2073">
        <v>-0.1925964</v>
      </c>
      <c r="V2073">
        <v>-3.2140020000000001E-3</v>
      </c>
      <c r="W2073">
        <v>3.1618880000000002E-2</v>
      </c>
      <c r="X2073">
        <v>0.99949489999999996</v>
      </c>
      <c r="Y2073">
        <v>-8.7603520000000004E-2</v>
      </c>
      <c r="Z2073">
        <v>-4.7652079999999999E-3</v>
      </c>
      <c r="AA2073">
        <v>0.99614400000000003</v>
      </c>
      <c r="AB2073">
        <v>31</v>
      </c>
      <c r="AC2073">
        <v>-15.5907</v>
      </c>
      <c r="AD2073">
        <v>-1.1090438147439901</v>
      </c>
      <c r="AE2073">
        <v>-1.0130999999999999</v>
      </c>
      <c r="AF2073">
        <v>-1.38165618123066</v>
      </c>
      <c r="AG2073">
        <v>-1.1090438147439901</v>
      </c>
      <c r="AH2073">
        <v>15.483728137147301</v>
      </c>
      <c r="AI2073">
        <v>94.080735138966602</v>
      </c>
      <c r="AJ2073">
        <v>95.0991565886101</v>
      </c>
      <c r="AK2073">
        <v>15.584761435814199</v>
      </c>
      <c r="AL2073">
        <v>88.188069749050996</v>
      </c>
      <c r="AM2073">
        <v>90.184241175453394</v>
      </c>
      <c r="AN2073">
        <v>1.0000000692536499</v>
      </c>
    </row>
    <row r="2074" spans="1:40" x14ac:dyDescent="0.25">
      <c r="A2074" t="str">
        <f>"20190312160641443"</f>
        <v>20190312160641443</v>
      </c>
      <c r="B2074" t="str">
        <f>"1552378001436942"</f>
        <v>1552378001436942</v>
      </c>
      <c r="C2074" t="s">
        <v>40</v>
      </c>
      <c r="D2074">
        <v>6.3942509999999997</v>
      </c>
      <c r="E2074">
        <v>0.46848499999999998</v>
      </c>
      <c r="F2074" t="s">
        <v>77</v>
      </c>
      <c r="G2074">
        <v>-293.88220000000001</v>
      </c>
      <c r="H2074" s="1">
        <v>3.109797E-6</v>
      </c>
      <c r="I2074">
        <v>282.1524</v>
      </c>
      <c r="J2074">
        <v>-278.95679999999999</v>
      </c>
      <c r="K2074">
        <v>1.1090530000000001</v>
      </c>
      <c r="L2074">
        <v>283.09840000000003</v>
      </c>
      <c r="M2074">
        <v>-0.99968109999999999</v>
      </c>
      <c r="N2074">
        <v>0</v>
      </c>
      <c r="O2074">
        <v>2.4104029999999999E-2</v>
      </c>
      <c r="P2074">
        <v>-0.99948329999999996</v>
      </c>
      <c r="Q2074">
        <v>2.40386E-2</v>
      </c>
      <c r="R2074">
        <v>2.1346299999999999E-2</v>
      </c>
      <c r="S2074">
        <v>-3.010742</v>
      </c>
      <c r="T2074">
        <v>-0.21964919999999999</v>
      </c>
      <c r="U2074">
        <v>-0.18603520000000001</v>
      </c>
      <c r="V2074">
        <v>-2.750752E-3</v>
      </c>
      <c r="W2074">
        <v>3.1587900000000002E-2</v>
      </c>
      <c r="X2074">
        <v>0.99949719999999997</v>
      </c>
      <c r="Y2074">
        <v>-8.5423659999999998E-2</v>
      </c>
      <c r="Z2074">
        <v>-4.8637209999999997E-3</v>
      </c>
      <c r="AA2074">
        <v>0.99633280000000002</v>
      </c>
      <c r="AB2074">
        <v>31</v>
      </c>
      <c r="AC2074">
        <v>-14.9254</v>
      </c>
      <c r="AD2074">
        <v>-1.1090498902029999</v>
      </c>
      <c r="AE2074">
        <v>-0.94600000000002604</v>
      </c>
      <c r="AF2074">
        <v>-1.2983575333056301</v>
      </c>
      <c r="AG2074">
        <v>-1.1090498902029999</v>
      </c>
      <c r="AH2074">
        <v>14.8167779944419</v>
      </c>
      <c r="AI2074">
        <v>94.2643807293462</v>
      </c>
      <c r="AJ2074">
        <v>95.007895450031199</v>
      </c>
      <c r="AK2074">
        <v>14.914846096417699</v>
      </c>
      <c r="AL2074">
        <v>88.189845547327806</v>
      </c>
      <c r="AM2074">
        <v>90.157685366374096</v>
      </c>
      <c r="AN2074">
        <v>1.0000000074354001</v>
      </c>
    </row>
    <row r="2075" spans="1:40" x14ac:dyDescent="0.25">
      <c r="A2075" t="str">
        <f>"20190312160641456"</f>
        <v>20190312160641456</v>
      </c>
      <c r="B2075" t="str">
        <f>"1552378001446702"</f>
        <v>1552378001446702</v>
      </c>
      <c r="C2075" t="s">
        <v>40</v>
      </c>
      <c r="D2075">
        <v>6.3789889999999998</v>
      </c>
      <c r="E2075">
        <v>0.46849809999999997</v>
      </c>
      <c r="F2075" t="s">
        <v>77</v>
      </c>
      <c r="G2075">
        <v>-294.51850000000002</v>
      </c>
      <c r="H2075" s="1">
        <v>3.222519E-6</v>
      </c>
      <c r="I2075">
        <v>282.154</v>
      </c>
      <c r="J2075">
        <v>-279.14179999999999</v>
      </c>
      <c r="K2075">
        <v>1.1090530000000001</v>
      </c>
      <c r="L2075">
        <v>283.1028</v>
      </c>
      <c r="M2075">
        <v>-0.99968080000000004</v>
      </c>
      <c r="N2075">
        <v>0</v>
      </c>
      <c r="O2075">
        <v>2.4103780000000002E-2</v>
      </c>
      <c r="P2075">
        <v>-0.99946829999999998</v>
      </c>
      <c r="Q2075">
        <v>2.4318079999999999E-2</v>
      </c>
      <c r="R2075">
        <v>2.1721959999999998E-2</v>
      </c>
      <c r="S2075">
        <v>-3.0105590000000002</v>
      </c>
      <c r="T2075">
        <v>-0.2145561</v>
      </c>
      <c r="U2075">
        <v>-0.1827087</v>
      </c>
      <c r="V2075">
        <v>-2.374695E-3</v>
      </c>
      <c r="W2075">
        <v>3.1884339999999997E-2</v>
      </c>
      <c r="X2075">
        <v>0.99948879999999996</v>
      </c>
      <c r="Y2075">
        <v>-8.4346299999999999E-2</v>
      </c>
      <c r="Z2075">
        <v>-4.7133510000000002E-3</v>
      </c>
      <c r="AA2075">
        <v>0.99642529999999996</v>
      </c>
      <c r="AB2075">
        <v>31</v>
      </c>
      <c r="AC2075">
        <v>-15.3767</v>
      </c>
      <c r="AD2075">
        <v>-1.109049777481</v>
      </c>
      <c r="AE2075">
        <v>-0.94880000000000497</v>
      </c>
      <c r="AF2075">
        <v>-1.31237039358779</v>
      </c>
      <c r="AG2075">
        <v>-1.109049777481</v>
      </c>
      <c r="AH2075">
        <v>15.2702264835614</v>
      </c>
      <c r="AI2075">
        <v>94.138794755885101</v>
      </c>
      <c r="AJ2075">
        <v>94.912105901350102</v>
      </c>
      <c r="AK2075">
        <v>15.3665911743027</v>
      </c>
      <c r="AL2075">
        <v>88.172852315114397</v>
      </c>
      <c r="AM2075">
        <v>90.136129334430294</v>
      </c>
      <c r="AN2075">
        <v>1.0000000558194999</v>
      </c>
    </row>
    <row r="2076" spans="1:40" x14ac:dyDescent="0.25">
      <c r="A2076" t="str">
        <f>"20190312160641468"</f>
        <v>20190312160641468</v>
      </c>
      <c r="B2076" t="str">
        <f>"1552378001457439"</f>
        <v>1552378001457439</v>
      </c>
      <c r="C2076" t="s">
        <v>40</v>
      </c>
      <c r="D2076">
        <v>6.3901589999999997</v>
      </c>
      <c r="E2076">
        <v>0.468663</v>
      </c>
      <c r="F2076" t="s">
        <v>77</v>
      </c>
      <c r="G2076">
        <v>-294.96620000000001</v>
      </c>
      <c r="H2076" s="1">
        <v>3.302342E-6</v>
      </c>
      <c r="I2076">
        <v>282.14929999999998</v>
      </c>
      <c r="J2076">
        <v>-279.315</v>
      </c>
      <c r="K2076">
        <v>1.109056</v>
      </c>
      <c r="L2076">
        <v>283.10700000000003</v>
      </c>
      <c r="M2076">
        <v>-0.99968080000000004</v>
      </c>
      <c r="N2076">
        <v>0</v>
      </c>
      <c r="O2076">
        <v>2.4103719999999999E-2</v>
      </c>
      <c r="P2076">
        <v>-0.99946400000000002</v>
      </c>
      <c r="Q2076">
        <v>2.4253759999999999E-2</v>
      </c>
      <c r="R2076">
        <v>2.199253E-2</v>
      </c>
      <c r="S2076">
        <v>-3.0106809999999999</v>
      </c>
      <c r="T2076">
        <v>-0.21100350000000001</v>
      </c>
      <c r="U2076">
        <v>-0.181427</v>
      </c>
      <c r="V2076">
        <v>-2.1039930000000002E-3</v>
      </c>
      <c r="W2076">
        <v>3.1835250000000002E-2</v>
      </c>
      <c r="X2076">
        <v>0.99949089999999996</v>
      </c>
      <c r="Y2076">
        <v>-8.3931149999999996E-2</v>
      </c>
      <c r="Z2076">
        <v>-4.6208489999999998E-3</v>
      </c>
      <c r="AA2076">
        <v>0.99646089999999998</v>
      </c>
      <c r="AB2076">
        <v>31</v>
      </c>
      <c r="AC2076">
        <v>-15.651199999999999</v>
      </c>
      <c r="AD2076">
        <v>-1.109052697658</v>
      </c>
      <c r="AE2076">
        <v>-0.95770000000004496</v>
      </c>
      <c r="AF2076">
        <v>-1.3280411802832699</v>
      </c>
      <c r="AG2076">
        <v>-1.109052697658</v>
      </c>
      <c r="AH2076">
        <v>15.545800023528701</v>
      </c>
      <c r="AI2076">
        <v>94.065864734509702</v>
      </c>
      <c r="AJ2076">
        <v>94.882788880640007</v>
      </c>
      <c r="AK2076">
        <v>15.6417898475289</v>
      </c>
      <c r="AL2076">
        <v>88.175666263294204</v>
      </c>
      <c r="AM2076">
        <v>90.120611144094795</v>
      </c>
      <c r="AN2076">
        <v>0.99999998455595795</v>
      </c>
    </row>
    <row r="2077" spans="1:40" x14ac:dyDescent="0.25">
      <c r="A2077" t="str">
        <f>"20190312160641487"</f>
        <v>20190312160641487</v>
      </c>
      <c r="B2077" t="str">
        <f>"1552378001476958"</f>
        <v>1552378001476958</v>
      </c>
      <c r="C2077" t="s">
        <v>40</v>
      </c>
      <c r="D2077">
        <v>6.4474070000000001</v>
      </c>
      <c r="E2077">
        <v>0.4686476</v>
      </c>
      <c r="F2077" t="s">
        <v>77</v>
      </c>
      <c r="G2077">
        <v>-294.9538</v>
      </c>
      <c r="H2077" s="1">
        <v>3.2978710000000001E-6</v>
      </c>
      <c r="I2077">
        <v>282.17540000000002</v>
      </c>
      <c r="J2077">
        <v>-279.58609999999999</v>
      </c>
      <c r="K2077">
        <v>1.109054</v>
      </c>
      <c r="L2077">
        <v>283.11360000000002</v>
      </c>
      <c r="M2077">
        <v>-0.99968060000000003</v>
      </c>
      <c r="N2077">
        <v>0</v>
      </c>
      <c r="O2077">
        <v>2.4103619999999999E-2</v>
      </c>
      <c r="P2077">
        <v>-0.99946049999999997</v>
      </c>
      <c r="Q2077">
        <v>2.3801360000000001E-2</v>
      </c>
      <c r="R2077">
        <v>2.2636099999999999E-2</v>
      </c>
      <c r="S2077">
        <v>-3.0107729999999999</v>
      </c>
      <c r="T2077">
        <v>-0.2135137</v>
      </c>
      <c r="U2077">
        <v>-0.17935179999999901</v>
      </c>
      <c r="V2077">
        <v>-1.4610859999999999E-3</v>
      </c>
      <c r="W2077">
        <v>3.1407259999999999E-2</v>
      </c>
      <c r="X2077">
        <v>0.99950559999999999</v>
      </c>
      <c r="Y2077">
        <v>-8.3240259999999996E-2</v>
      </c>
      <c r="Z2077">
        <v>-4.6511820000000002E-3</v>
      </c>
      <c r="AA2077">
        <v>0.99651869999999998</v>
      </c>
      <c r="AB2077">
        <v>31</v>
      </c>
      <c r="AC2077">
        <v>-15.367699999999999</v>
      </c>
      <c r="AD2077">
        <v>-1.1090507021289999</v>
      </c>
      <c r="AE2077">
        <v>-0.93819999999999404</v>
      </c>
      <c r="AF2077">
        <v>-1.30160150716997</v>
      </c>
      <c r="AG2077">
        <v>-1.1090507021289999</v>
      </c>
      <c r="AH2077">
        <v>15.26143126297</v>
      </c>
      <c r="AI2077">
        <v>94.141405231629605</v>
      </c>
      <c r="AJ2077">
        <v>94.874787782585102</v>
      </c>
      <c r="AK2077">
        <v>15.356934724668101</v>
      </c>
      <c r="AL2077">
        <v>88.200200577037705</v>
      </c>
      <c r="AM2077">
        <v>90.0837554103515</v>
      </c>
      <c r="AN2077">
        <v>0.99999999759218305</v>
      </c>
    </row>
    <row r="2078" spans="1:40" x14ac:dyDescent="0.25">
      <c r="A2078" t="str">
        <f>"20190312160641510"</f>
        <v>20190312160641510</v>
      </c>
      <c r="B2078" t="str">
        <f>"1552378001497454"</f>
        <v>1552378001497454</v>
      </c>
      <c r="C2078" t="s">
        <v>40</v>
      </c>
      <c r="D2078">
        <v>6.4607570000000001</v>
      </c>
      <c r="E2078">
        <v>0.46865240000000002</v>
      </c>
      <c r="F2078" t="s">
        <v>77</v>
      </c>
      <c r="G2078">
        <v>-295.548</v>
      </c>
      <c r="H2078" s="1">
        <v>3.403512E-6</v>
      </c>
      <c r="I2078">
        <v>282.17250000000001</v>
      </c>
      <c r="J2078">
        <v>-279.89030000000002</v>
      </c>
      <c r="K2078">
        <v>1.1090519999999999</v>
      </c>
      <c r="L2078">
        <v>283.12090000000001</v>
      </c>
      <c r="M2078">
        <v>-0.99968029999999997</v>
      </c>
      <c r="N2078">
        <v>0</v>
      </c>
      <c r="O2078">
        <v>2.4103340000000001E-2</v>
      </c>
      <c r="P2078">
        <v>-0.99945620000000002</v>
      </c>
      <c r="Q2078">
        <v>2.4052480000000001E-2</v>
      </c>
      <c r="R2078">
        <v>2.255627E-2</v>
      </c>
      <c r="S2078">
        <v>-3.0106510000000002</v>
      </c>
      <c r="T2078">
        <v>-0.20918410000000001</v>
      </c>
      <c r="U2078">
        <v>-0.17749019999999999</v>
      </c>
      <c r="V2078">
        <v>-1.5401879999999901E-3</v>
      </c>
      <c r="W2078">
        <v>3.168559E-2</v>
      </c>
      <c r="X2078">
        <v>0.99949670000000002</v>
      </c>
      <c r="Y2078">
        <v>-8.2640539999999998E-2</v>
      </c>
      <c r="Z2078">
        <v>-4.5365470000000001E-3</v>
      </c>
      <c r="AA2078">
        <v>0.99656909999999999</v>
      </c>
      <c r="AB2078">
        <v>32</v>
      </c>
      <c r="AC2078">
        <v>-15.657699999999901</v>
      </c>
      <c r="AD2078">
        <v>-1.1090485964879999</v>
      </c>
      <c r="AE2078">
        <v>-0.94839999999999203</v>
      </c>
      <c r="AF2078">
        <v>-1.3189453436882601</v>
      </c>
      <c r="AG2078">
        <v>-1.1090485964879999</v>
      </c>
      <c r="AH2078">
        <v>15.5525483512872</v>
      </c>
      <c r="AI2078">
        <v>94.064304346012307</v>
      </c>
      <c r="AJ2078">
        <v>94.847412196417096</v>
      </c>
      <c r="AK2078">
        <v>15.6477271777129</v>
      </c>
      <c r="AL2078">
        <v>88.184245507881897</v>
      </c>
      <c r="AM2078">
        <v>90.088290638886306</v>
      </c>
      <c r="AN2078">
        <v>1.0000000010518</v>
      </c>
    </row>
    <row r="2079" spans="1:40" x14ac:dyDescent="0.25">
      <c r="A2079" t="str">
        <f>"20190312160641535"</f>
        <v>20190312160641535</v>
      </c>
      <c r="B2079" t="str">
        <f>"1552378001526733"</f>
        <v>1552378001526733</v>
      </c>
      <c r="C2079" t="s">
        <v>40</v>
      </c>
      <c r="D2079">
        <v>6.4948769999999998</v>
      </c>
      <c r="E2079">
        <v>0.46865780000000001</v>
      </c>
      <c r="F2079" t="s">
        <v>77</v>
      </c>
      <c r="G2079">
        <v>-296.27019999999999</v>
      </c>
      <c r="H2079" s="1">
        <v>3.5334279999999998E-6</v>
      </c>
      <c r="I2079">
        <v>282.15190000000001</v>
      </c>
      <c r="J2079">
        <v>-280.2448</v>
      </c>
      <c r="K2079">
        <v>1.1090530000000001</v>
      </c>
      <c r="L2079">
        <v>283.12939999999998</v>
      </c>
      <c r="M2079">
        <v>-0.99968009999999996</v>
      </c>
      <c r="N2079">
        <v>0</v>
      </c>
      <c r="O2079">
        <v>2.4103030000000001E-2</v>
      </c>
      <c r="P2079">
        <v>-0.99946520000000005</v>
      </c>
      <c r="Q2079">
        <v>2.373573E-2</v>
      </c>
      <c r="R2079">
        <v>2.2505420000000002E-2</v>
      </c>
      <c r="S2079">
        <v>-3.010529</v>
      </c>
      <c r="T2079">
        <v>-0.20383680000000001</v>
      </c>
      <c r="U2079">
        <v>-0.1781006</v>
      </c>
      <c r="V2079">
        <v>-1.5907219999999999E-3</v>
      </c>
      <c r="W2079">
        <v>3.1401070000000003E-2</v>
      </c>
      <c r="X2079">
        <v>0.99950559999999999</v>
      </c>
      <c r="Y2079">
        <v>-8.2856390000000002E-2</v>
      </c>
      <c r="Z2079">
        <v>-4.4282749999999997E-3</v>
      </c>
      <c r="AA2079">
        <v>0.99655159999999998</v>
      </c>
      <c r="AB2079">
        <v>32</v>
      </c>
      <c r="AC2079">
        <v>-16.025399999999902</v>
      </c>
      <c r="AD2079">
        <v>-1.1090494665719901</v>
      </c>
      <c r="AE2079">
        <v>-0.97749999999996295</v>
      </c>
      <c r="AF2079">
        <v>-1.3570128123590199</v>
      </c>
      <c r="AG2079">
        <v>-1.1090494665719901</v>
      </c>
      <c r="AH2079">
        <v>15.9212117065141</v>
      </c>
      <c r="AI2079">
        <v>93.970358335889699</v>
      </c>
      <c r="AJ2079">
        <v>94.871717438693494</v>
      </c>
      <c r="AK2079">
        <v>16.0173798324149</v>
      </c>
      <c r="AL2079">
        <v>88.200555419086996</v>
      </c>
      <c r="AM2079">
        <v>90.091186662713795</v>
      </c>
      <c r="AN2079">
        <v>1.0000000010124901</v>
      </c>
    </row>
    <row r="2080" spans="1:40" x14ac:dyDescent="0.25">
      <c r="A2080" t="str">
        <f>"20190312160641556"</f>
        <v>20190312160641556</v>
      </c>
      <c r="B2080" t="str">
        <f>"1552378001547231"</f>
        <v>1552378001547231</v>
      </c>
      <c r="C2080" t="s">
        <v>40</v>
      </c>
      <c r="D2080">
        <v>6.5080119999999999</v>
      </c>
      <c r="E2080">
        <v>0.5072333</v>
      </c>
      <c r="F2080" t="s">
        <v>77</v>
      </c>
      <c r="G2080">
        <v>-296.39330000000001</v>
      </c>
      <c r="H2080" s="1">
        <v>3.5533400000000002E-6</v>
      </c>
      <c r="I2080">
        <v>282.1739</v>
      </c>
      <c r="J2080">
        <v>-280.54509999999999</v>
      </c>
      <c r="K2080">
        <v>1.109054</v>
      </c>
      <c r="L2080">
        <v>283.13670000000002</v>
      </c>
      <c r="M2080">
        <v>-0.99968000000000001</v>
      </c>
      <c r="N2080">
        <v>0</v>
      </c>
      <c r="O2080">
        <v>2.410263E-2</v>
      </c>
      <c r="P2080">
        <v>-0.99947240000000004</v>
      </c>
      <c r="Q2080">
        <v>2.393663E-2</v>
      </c>
      <c r="R2080">
        <v>2.1957790000000001E-2</v>
      </c>
      <c r="S2080">
        <v>-3.010529</v>
      </c>
      <c r="T2080">
        <v>-0.20675750000000001</v>
      </c>
      <c r="U2080">
        <v>-0.17813109999999999</v>
      </c>
      <c r="V2080">
        <v>-2.1378450000000002E-3</v>
      </c>
      <c r="W2080">
        <v>3.1628410000000003E-2</v>
      </c>
      <c r="X2080">
        <v>0.99949739999999998</v>
      </c>
      <c r="Y2080">
        <v>-8.2859020000000005E-2</v>
      </c>
      <c r="Z2080">
        <v>-4.4916409999999898E-3</v>
      </c>
      <c r="AA2080">
        <v>0.99655119999999997</v>
      </c>
      <c r="AB2080">
        <v>32</v>
      </c>
      <c r="AC2080">
        <v>-15.8482</v>
      </c>
      <c r="AD2080">
        <v>-1.10905044666</v>
      </c>
      <c r="AE2080">
        <v>-0.96280000000001498</v>
      </c>
      <c r="AF2080">
        <v>-1.33798662531354</v>
      </c>
      <c r="AG2080">
        <v>-1.10905044666</v>
      </c>
      <c r="AH2080">
        <v>15.743573945339</v>
      </c>
      <c r="AI2080">
        <v>94.015097945358903</v>
      </c>
      <c r="AJ2080">
        <v>94.857678274007498</v>
      </c>
      <c r="AK2080">
        <v>15.8392020529795</v>
      </c>
      <c r="AL2080">
        <v>88.1875233027543</v>
      </c>
      <c r="AM2080">
        <v>90.122550903041898</v>
      </c>
      <c r="AN2080">
        <v>0.99999998965356596</v>
      </c>
    </row>
    <row r="2081" spans="1:40" x14ac:dyDescent="0.25">
      <c r="A2081" t="str">
        <f>"20190312160641577"</f>
        <v>20190312160641577</v>
      </c>
      <c r="B2081" t="str">
        <f>"1552378001566749"</f>
        <v>1552378001566749</v>
      </c>
      <c r="C2081" t="s">
        <v>40</v>
      </c>
      <c r="D2081">
        <v>6.6225180000000003</v>
      </c>
      <c r="E2081">
        <v>0.56873180000000001</v>
      </c>
      <c r="F2081" t="s">
        <v>66</v>
      </c>
      <c r="G2081">
        <v>-351.18509999999998</v>
      </c>
      <c r="H2081" s="1">
        <v>-9.061338E-7</v>
      </c>
      <c r="I2081">
        <v>286.09010000000001</v>
      </c>
      <c r="J2081">
        <v>-280.8537</v>
      </c>
      <c r="K2081">
        <v>1.1090580000000001</v>
      </c>
      <c r="L2081">
        <v>283.14409999999998</v>
      </c>
      <c r="M2081">
        <v>-0.99967969999999895</v>
      </c>
      <c r="N2081">
        <v>0</v>
      </c>
      <c r="O2081">
        <v>2.4102169999999999E-2</v>
      </c>
      <c r="P2081">
        <v>-0.99947039999999998</v>
      </c>
      <c r="Q2081">
        <v>2.4412400000000001E-2</v>
      </c>
      <c r="R2081">
        <v>2.15184E-2</v>
      </c>
      <c r="S2081">
        <v>-2.9999690000000001</v>
      </c>
      <c r="T2081">
        <v>-4.7099830000000002E-2</v>
      </c>
      <c r="U2081">
        <v>0.12542719999999999</v>
      </c>
      <c r="V2081">
        <v>-2.5767490000000001E-3</v>
      </c>
      <c r="W2081">
        <v>3.2130730000000003E-2</v>
      </c>
      <c r="X2081">
        <v>0.99948040000000005</v>
      </c>
      <c r="Y2081">
        <v>1.7679830000000001E-2</v>
      </c>
      <c r="Z2081">
        <v>-2.394357E-4</v>
      </c>
      <c r="AA2081">
        <v>0.9998437</v>
      </c>
      <c r="AB2081">
        <v>32</v>
      </c>
      <c r="AC2081">
        <v>-70.331399999999903</v>
      </c>
      <c r="AD2081">
        <v>-1.1090589061338001</v>
      </c>
      <c r="AE2081">
        <v>2.9460000000000202</v>
      </c>
      <c r="AF2081">
        <v>1.24964407985346</v>
      </c>
      <c r="AG2081">
        <v>-1.1090589061338001</v>
      </c>
      <c r="AH2081">
        <v>70.364508269319501</v>
      </c>
      <c r="AI2081">
        <v>90.902857401212401</v>
      </c>
      <c r="AJ2081">
        <v>88.982558006668597</v>
      </c>
      <c r="AK2081">
        <v>70.3843423352575</v>
      </c>
      <c r="AL2081">
        <v>88.158727955059604</v>
      </c>
      <c r="AM2081">
        <v>90.147713267288097</v>
      </c>
      <c r="AN2081">
        <v>1.0000000467149499</v>
      </c>
    </row>
    <row r="2082" spans="1:40" x14ac:dyDescent="0.25">
      <c r="A2082" t="str">
        <f>"20190312160641597"</f>
        <v>20190312160641597</v>
      </c>
      <c r="B2082" t="str">
        <f>"1552378001587246"</f>
        <v>1552378001587246</v>
      </c>
      <c r="C2082" t="s">
        <v>40</v>
      </c>
      <c r="D2082">
        <v>6.6179699999999997</v>
      </c>
      <c r="E2082">
        <v>0.56933369999999905</v>
      </c>
      <c r="F2082" t="s">
        <v>78</v>
      </c>
      <c r="G2082">
        <v>-440.1995</v>
      </c>
      <c r="H2082">
        <v>4.7042539999999997</v>
      </c>
      <c r="I2082">
        <v>315.8306</v>
      </c>
      <c r="J2082">
        <v>-281.15260000000001</v>
      </c>
      <c r="K2082">
        <v>1.1090629999999999</v>
      </c>
      <c r="L2082">
        <v>283.15140000000002</v>
      </c>
      <c r="M2082">
        <v>-0.9996796</v>
      </c>
      <c r="N2082">
        <v>0</v>
      </c>
      <c r="O2082">
        <v>2.4101589999999999E-2</v>
      </c>
      <c r="P2082">
        <v>-0.99948009999999998</v>
      </c>
      <c r="Q2082">
        <v>2.4086509999999998E-2</v>
      </c>
      <c r="R2082">
        <v>2.144016E-2</v>
      </c>
      <c r="S2082">
        <v>-2.986755</v>
      </c>
      <c r="T2082">
        <v>6.738806E-2</v>
      </c>
      <c r="U2082">
        <v>0.61267090000000002</v>
      </c>
      <c r="V2082">
        <v>-2.6544590000000001E-3</v>
      </c>
      <c r="W2082">
        <v>3.1831909999999998E-2</v>
      </c>
      <c r="X2082">
        <v>0.99948970000000004</v>
      </c>
      <c r="Y2082">
        <v>0.1772387</v>
      </c>
      <c r="Z2082">
        <v>-1.4408439999999999E-3</v>
      </c>
      <c r="AA2082">
        <v>0.98416689999999996</v>
      </c>
      <c r="AB2082">
        <v>32</v>
      </c>
      <c r="AC2082">
        <v>-159.04689999999999</v>
      </c>
      <c r="AD2082">
        <v>3.5951909999999998</v>
      </c>
      <c r="AE2082">
        <v>32.679199999999902</v>
      </c>
      <c r="AF2082">
        <v>28.822178138464199</v>
      </c>
      <c r="AG2082">
        <v>3.5951909999999998</v>
      </c>
      <c r="AH2082">
        <v>159.710039638496</v>
      </c>
      <c r="AI2082">
        <v>88.730940297002505</v>
      </c>
      <c r="AJ2082">
        <v>79.770185191581206</v>
      </c>
      <c r="AK2082">
        <v>162.329726520751</v>
      </c>
      <c r="AL2082">
        <v>88.175857735483604</v>
      </c>
      <c r="AM2082">
        <v>90.152166590623494</v>
      </c>
      <c r="AN2082">
        <v>0.99999998852645999</v>
      </c>
    </row>
    <row r="2083" spans="1:40" x14ac:dyDescent="0.25">
      <c r="A2083" t="str">
        <f>"20190312160641620"</f>
        <v>20190312160641620</v>
      </c>
      <c r="B2083" t="str">
        <f>"1552378001617502"</f>
        <v>1552378001617502</v>
      </c>
      <c r="C2083" t="s">
        <v>40</v>
      </c>
      <c r="D2083">
        <v>6.6885440000000003</v>
      </c>
      <c r="E2083">
        <v>0.57021899999999903</v>
      </c>
      <c r="F2083" t="s">
        <v>78</v>
      </c>
      <c r="G2083">
        <v>-440.8725</v>
      </c>
      <c r="H2083">
        <v>4.3748339999999999</v>
      </c>
      <c r="I2083">
        <v>316.1662</v>
      </c>
      <c r="J2083">
        <v>-281.46929999999998</v>
      </c>
      <c r="K2083">
        <v>1.10907</v>
      </c>
      <c r="L2083">
        <v>283.15899999999999</v>
      </c>
      <c r="M2083">
        <v>-0.99967930000000005</v>
      </c>
      <c r="N2083">
        <v>0</v>
      </c>
      <c r="O2083">
        <v>2.4100940000000001E-2</v>
      </c>
      <c r="P2083">
        <v>-0.99947070000000005</v>
      </c>
      <c r="Q2083">
        <v>2.4513610000000002E-2</v>
      </c>
      <c r="R2083">
        <v>2.139108E-2</v>
      </c>
      <c r="S2083">
        <v>-2.9868769999999998</v>
      </c>
      <c r="T2083">
        <v>6.1072469999999997E-2</v>
      </c>
      <c r="U2083">
        <v>0.61740109999999904</v>
      </c>
      <c r="V2083">
        <v>-2.7030320000000002E-3</v>
      </c>
      <c r="W2083">
        <v>3.2287049999999998E-2</v>
      </c>
      <c r="X2083">
        <v>0.999475</v>
      </c>
      <c r="Y2083">
        <v>0.1787328</v>
      </c>
      <c r="Z2083">
        <v>-1.3207080000000001E-3</v>
      </c>
      <c r="AA2083">
        <v>0.98389669999999896</v>
      </c>
      <c r="AB2083">
        <v>32</v>
      </c>
      <c r="AC2083">
        <v>-159.4032</v>
      </c>
      <c r="AD2083">
        <v>3.2657639999999999</v>
      </c>
      <c r="AE2083">
        <v>33.007199999999997</v>
      </c>
      <c r="AF2083">
        <v>29.143998930862601</v>
      </c>
      <c r="AG2083">
        <v>3.2657639999999999</v>
      </c>
      <c r="AH2083">
        <v>160.087992023249</v>
      </c>
      <c r="AI2083">
        <v>88.8502317033076</v>
      </c>
      <c r="AJ2083">
        <v>79.682303817370098</v>
      </c>
      <c r="AK2083">
        <v>162.751967970349</v>
      </c>
      <c r="AL2083">
        <v>88.149766776303906</v>
      </c>
      <c r="AM2083">
        <v>90.154953298390296</v>
      </c>
      <c r="AN2083">
        <v>1.00000001780234</v>
      </c>
    </row>
    <row r="2084" spans="1:40" x14ac:dyDescent="0.25">
      <c r="A2084" t="str">
        <f>"20190312160641632"</f>
        <v>20190312160641632</v>
      </c>
      <c r="B2084" t="str">
        <f>"1552378001627262"</f>
        <v>1552378001627262</v>
      </c>
      <c r="C2084" t="s">
        <v>40</v>
      </c>
      <c r="D2084">
        <v>6.6193980000000003</v>
      </c>
      <c r="E2084">
        <v>0.57020559999999998</v>
      </c>
      <c r="F2084" t="s">
        <v>78</v>
      </c>
      <c r="G2084">
        <v>-440.8725</v>
      </c>
      <c r="H2084">
        <v>4.2829470000000001</v>
      </c>
      <c r="I2084">
        <v>316.4794</v>
      </c>
      <c r="J2084">
        <v>-281.6429</v>
      </c>
      <c r="K2084">
        <v>1.109075</v>
      </c>
      <c r="L2084">
        <v>283.16320000000002</v>
      </c>
      <c r="M2084">
        <v>-0.99967919999999999</v>
      </c>
      <c r="N2084">
        <v>0</v>
      </c>
      <c r="O2084">
        <v>2.410058E-2</v>
      </c>
      <c r="P2084">
        <v>-0.99946950000000001</v>
      </c>
      <c r="Q2084">
        <v>2.455179E-2</v>
      </c>
      <c r="R2084">
        <v>2.1406950000000001E-2</v>
      </c>
      <c r="S2084">
        <v>-2.986755</v>
      </c>
      <c r="T2084">
        <v>5.9469460000000002E-2</v>
      </c>
      <c r="U2084">
        <v>0.62432860000000001</v>
      </c>
      <c r="V2084">
        <v>-2.686824E-3</v>
      </c>
      <c r="W2084">
        <v>3.2340430000000003E-2</v>
      </c>
      <c r="X2084">
        <v>0.99947330000000001</v>
      </c>
      <c r="Y2084">
        <v>0.18092939999999999</v>
      </c>
      <c r="Z2084">
        <v>-1.3074429999999999E-3</v>
      </c>
      <c r="AA2084">
        <v>0.98349520000000001</v>
      </c>
      <c r="AB2084">
        <v>32</v>
      </c>
      <c r="AC2084">
        <v>-159.2296</v>
      </c>
      <c r="AD2084">
        <v>3.1738719999999998</v>
      </c>
      <c r="AE2084">
        <v>33.316199999999903</v>
      </c>
      <c r="AF2084">
        <v>29.4576672601228</v>
      </c>
      <c r="AG2084">
        <v>3.1738719999999998</v>
      </c>
      <c r="AH2084">
        <v>159.92543609045299</v>
      </c>
      <c r="AI2084">
        <v>88.881865221192996</v>
      </c>
      <c r="AJ2084">
        <v>79.563315205158901</v>
      </c>
      <c r="AK2084">
        <v>162.646772893292</v>
      </c>
      <c r="AL2084">
        <v>88.146706696469195</v>
      </c>
      <c r="AM2084">
        <v>90.1540244293314</v>
      </c>
      <c r="AN2084">
        <v>0.99999999992433997</v>
      </c>
    </row>
    <row r="2085" spans="1:40" x14ac:dyDescent="0.25">
      <c r="A2085" t="str">
        <f>"20190312160641643"</f>
        <v>20190312160641643</v>
      </c>
      <c r="B2085" t="str">
        <f>"1552378001637022"</f>
        <v>1552378001637022</v>
      </c>
      <c r="C2085" t="s">
        <v>40</v>
      </c>
      <c r="D2085">
        <v>6.6129600000000002</v>
      </c>
      <c r="E2085">
        <v>0.57009100000000001</v>
      </c>
      <c r="F2085" t="s">
        <v>78</v>
      </c>
      <c r="G2085">
        <v>-440.8725</v>
      </c>
      <c r="H2085">
        <v>4.3971489999999998</v>
      </c>
      <c r="I2085">
        <v>316.44810000000001</v>
      </c>
      <c r="J2085">
        <v>-281.80470000000003</v>
      </c>
      <c r="K2085">
        <v>1.1090739999999999</v>
      </c>
      <c r="L2085">
        <v>283.1671</v>
      </c>
      <c r="M2085">
        <v>-0.99967899999999998</v>
      </c>
      <c r="N2085">
        <v>0</v>
      </c>
      <c r="O2085">
        <v>2.410064E-2</v>
      </c>
      <c r="P2085">
        <v>-0.99945830000000002</v>
      </c>
      <c r="Q2085">
        <v>2.5382479999999999E-2</v>
      </c>
      <c r="R2085">
        <v>2.0946280000000001E-2</v>
      </c>
      <c r="S2085">
        <v>-2.986694</v>
      </c>
      <c r="T2085">
        <v>6.1675069999999999E-2</v>
      </c>
      <c r="U2085">
        <v>0.62432860000000001</v>
      </c>
      <c r="V2085">
        <v>-3.1466409999999999E-3</v>
      </c>
      <c r="W2085">
        <v>3.3184940000000003E-2</v>
      </c>
      <c r="X2085">
        <v>0.9994442</v>
      </c>
      <c r="Y2085">
        <v>0.18093110000000001</v>
      </c>
      <c r="Z2085">
        <v>-1.355967E-3</v>
      </c>
      <c r="AA2085">
        <v>0.9834948</v>
      </c>
      <c r="AB2085">
        <v>32</v>
      </c>
      <c r="AC2085">
        <v>-159.06779999999901</v>
      </c>
      <c r="AD2085">
        <v>3.2880750000000001</v>
      </c>
      <c r="AE2085">
        <v>33.280999999999999</v>
      </c>
      <c r="AF2085">
        <v>29.425533884512799</v>
      </c>
      <c r="AG2085">
        <v>3.2880750000000001</v>
      </c>
      <c r="AH2085">
        <v>159.75831217594001</v>
      </c>
      <c r="AI2085">
        <v>88.840429830729306</v>
      </c>
      <c r="AJ2085">
        <v>79.563783404686106</v>
      </c>
      <c r="AK2085">
        <v>162.47889644781401</v>
      </c>
      <c r="AL2085">
        <v>88.098293704213404</v>
      </c>
      <c r="AM2085">
        <v>90.180388913406802</v>
      </c>
      <c r="AN2085">
        <v>0.99999992525300996</v>
      </c>
    </row>
    <row r="2086" spans="1:40" x14ac:dyDescent="0.25">
      <c r="A2086" t="str">
        <f>"20190312160641655"</f>
        <v>20190312160641655</v>
      </c>
      <c r="B2086" t="str">
        <f>"1552378001646782"</f>
        <v>1552378001646782</v>
      </c>
      <c r="C2086" t="s">
        <v>40</v>
      </c>
      <c r="D2086">
        <v>6.6066269999999996</v>
      </c>
      <c r="E2086">
        <v>0.57015119999999997</v>
      </c>
      <c r="F2086" t="s">
        <v>78</v>
      </c>
      <c r="G2086">
        <v>-440.1995</v>
      </c>
      <c r="H2086">
        <v>4.665794</v>
      </c>
      <c r="I2086">
        <v>316.13940000000002</v>
      </c>
      <c r="J2086">
        <v>-281.9742</v>
      </c>
      <c r="K2086">
        <v>1.109076</v>
      </c>
      <c r="L2086">
        <v>283.1712</v>
      </c>
      <c r="M2086">
        <v>-0.99967899999999998</v>
      </c>
      <c r="N2086">
        <v>0</v>
      </c>
      <c r="O2086">
        <v>2.410058E-2</v>
      </c>
      <c r="P2086">
        <v>-0.99945669999999998</v>
      </c>
      <c r="Q2086">
        <v>2.563122E-2</v>
      </c>
      <c r="R2086">
        <v>2.0729109999999999E-2</v>
      </c>
      <c r="S2086">
        <v>-2.9868769999999998</v>
      </c>
      <c r="T2086">
        <v>6.7069889999999993E-2</v>
      </c>
      <c r="U2086">
        <v>0.62176509999999996</v>
      </c>
      <c r="V2086">
        <v>-3.3639289999999999E-3</v>
      </c>
      <c r="W2086">
        <v>3.3448480000000003E-2</v>
      </c>
      <c r="X2086">
        <v>0.99943479999999996</v>
      </c>
      <c r="Y2086">
        <v>0.1801046</v>
      </c>
      <c r="Z2086">
        <v>-1.465406E-3</v>
      </c>
      <c r="AA2086">
        <v>0.98364640000000003</v>
      </c>
      <c r="AB2086">
        <v>32</v>
      </c>
      <c r="AC2086">
        <v>-158.2253</v>
      </c>
      <c r="AD2086">
        <v>3.556718</v>
      </c>
      <c r="AE2086">
        <v>32.968200000000003</v>
      </c>
      <c r="AF2086">
        <v>29.131078122942998</v>
      </c>
      <c r="AG2086">
        <v>3.556718</v>
      </c>
      <c r="AH2086">
        <v>158.89696642637301</v>
      </c>
      <c r="AI2086">
        <v>88.738730971214494</v>
      </c>
      <c r="AJ2086">
        <v>79.611153483568998</v>
      </c>
      <c r="AK2086">
        <v>161.58439248590901</v>
      </c>
      <c r="AL2086">
        <v>88.083185764066101</v>
      </c>
      <c r="AM2086">
        <v>90.192847203691201</v>
      </c>
      <c r="AN2086">
        <v>1.00000001814183</v>
      </c>
    </row>
    <row r="2087" spans="1:40" x14ac:dyDescent="0.25">
      <c r="A2087" t="str">
        <f>"20190312160641678"</f>
        <v>20190312160641678</v>
      </c>
      <c r="B2087" t="str">
        <f>"1552378001667281"</f>
        <v>1552378001667281</v>
      </c>
      <c r="C2087" t="s">
        <v>40</v>
      </c>
      <c r="D2087">
        <v>6.5513170000000001</v>
      </c>
      <c r="E2087">
        <v>0.56976300000000002</v>
      </c>
      <c r="F2087" t="s">
        <v>78</v>
      </c>
      <c r="G2087">
        <v>-440.19959999999998</v>
      </c>
      <c r="H2087">
        <v>4.9923859999999998</v>
      </c>
      <c r="I2087">
        <v>316.10210000000001</v>
      </c>
      <c r="J2087">
        <v>-282.2894</v>
      </c>
      <c r="K2087">
        <v>1.109083</v>
      </c>
      <c r="L2087">
        <v>283.17880000000002</v>
      </c>
      <c r="M2087">
        <v>-0.99967890000000004</v>
      </c>
      <c r="N2087">
        <v>0</v>
      </c>
      <c r="O2087">
        <v>2.410035E-2</v>
      </c>
      <c r="P2087">
        <v>-0.99944569999999999</v>
      </c>
      <c r="Q2087">
        <v>2.6244630000000001E-2</v>
      </c>
      <c r="R2087">
        <v>2.0485219999999998E-2</v>
      </c>
      <c r="S2087">
        <v>-2.986847</v>
      </c>
      <c r="T2087">
        <v>7.3306079999999996E-2</v>
      </c>
      <c r="U2087">
        <v>0.6216431</v>
      </c>
      <c r="V2087">
        <v>-3.6073770000000002E-3</v>
      </c>
      <c r="W2087">
        <v>3.4088979999999998E-2</v>
      </c>
      <c r="X2087">
        <v>0.99941230000000003</v>
      </c>
      <c r="Y2087">
        <v>0.1800609</v>
      </c>
      <c r="Z2087">
        <v>-1.6011199999999999E-3</v>
      </c>
      <c r="AA2087">
        <v>0.98365409999999998</v>
      </c>
      <c r="AB2087">
        <v>32</v>
      </c>
      <c r="AC2087">
        <v>-157.91019999999901</v>
      </c>
      <c r="AD2087">
        <v>3.8833030000000002</v>
      </c>
      <c r="AE2087">
        <v>32.923299999999898</v>
      </c>
      <c r="AF2087">
        <v>29.0910688018425</v>
      </c>
      <c r="AG2087">
        <v>3.8833030000000002</v>
      </c>
      <c r="AH2087">
        <v>158.56591934547799</v>
      </c>
      <c r="AI2087">
        <v>88.6201195422057</v>
      </c>
      <c r="AJ2087">
        <v>79.603923284930602</v>
      </c>
      <c r="AK2087">
        <v>161.25917370524999</v>
      </c>
      <c r="AL2087">
        <v>88.046466856852206</v>
      </c>
      <c r="AM2087">
        <v>90.206808120744398</v>
      </c>
      <c r="AN2087">
        <v>1.0000000085587699</v>
      </c>
    </row>
    <row r="2088" spans="1:40" x14ac:dyDescent="0.25">
      <c r="A2088" t="str">
        <f>"20190312160641698"</f>
        <v>20190312160641698</v>
      </c>
      <c r="B2088" t="str">
        <f>"1552378001686798"</f>
        <v>1552378001686798</v>
      </c>
      <c r="C2088" t="s">
        <v>40</v>
      </c>
      <c r="D2088">
        <v>6.5968020000000003</v>
      </c>
      <c r="E2088">
        <v>0.56973669999999899</v>
      </c>
      <c r="F2088" t="s">
        <v>78</v>
      </c>
      <c r="G2088">
        <v>-440.19959999999998</v>
      </c>
      <c r="H2088">
        <v>5.2137339999999996</v>
      </c>
      <c r="I2088">
        <v>315.84960000000001</v>
      </c>
      <c r="J2088">
        <v>-282.59199999999998</v>
      </c>
      <c r="K2088">
        <v>1.1090869999999999</v>
      </c>
      <c r="L2088">
        <v>283.18619999999999</v>
      </c>
      <c r="M2088">
        <v>-0.99967870000000003</v>
      </c>
      <c r="N2088">
        <v>0</v>
      </c>
      <c r="O2088">
        <v>2.4100070000000001E-2</v>
      </c>
      <c r="P2088">
        <v>-0.99944379999999999</v>
      </c>
      <c r="Q2088">
        <v>2.6425799999999999E-2</v>
      </c>
      <c r="R2088">
        <v>2.0351290000000001E-2</v>
      </c>
      <c r="S2088">
        <v>-2.9869379999999999</v>
      </c>
      <c r="T2088">
        <v>7.7641370000000001E-2</v>
      </c>
      <c r="U2088">
        <v>0.617981</v>
      </c>
      <c r="V2088">
        <v>-3.7407859999999999E-3</v>
      </c>
      <c r="W2088">
        <v>3.429629E-2</v>
      </c>
      <c r="X2088">
        <v>0.99940469999999904</v>
      </c>
      <c r="Y2088">
        <v>0.17889369999999999</v>
      </c>
      <c r="Z2088">
        <v>-1.6809349999999999E-3</v>
      </c>
      <c r="AA2088">
        <v>0.98386700000000005</v>
      </c>
      <c r="AB2088">
        <v>32</v>
      </c>
      <c r="AC2088">
        <v>-157.60759999999999</v>
      </c>
      <c r="AD2088">
        <v>4.1046469999999999</v>
      </c>
      <c r="AE2088">
        <v>32.663400000000003</v>
      </c>
      <c r="AF2088">
        <v>28.836687666177198</v>
      </c>
      <c r="AG2088">
        <v>4.1046469999999999</v>
      </c>
      <c r="AH2088">
        <v>158.24612257432599</v>
      </c>
      <c r="AI2088">
        <v>88.5382350674425</v>
      </c>
      <c r="AJ2088">
        <v>79.6724911526846</v>
      </c>
      <c r="AK2088">
        <v>160.90443745391201</v>
      </c>
      <c r="AL2088">
        <v>88.034581886116698</v>
      </c>
      <c r="AM2088">
        <v>90.214457915729199</v>
      </c>
      <c r="AN2088">
        <v>0.99999999168487497</v>
      </c>
    </row>
    <row r="2089" spans="1:40" x14ac:dyDescent="0.25">
      <c r="A2089" t="str">
        <f>"20190312160641721"</f>
        <v>20190312160641721</v>
      </c>
      <c r="B2089" t="str">
        <f>"1552378001717054"</f>
        <v>1552378001717054</v>
      </c>
      <c r="C2089" t="s">
        <v>40</v>
      </c>
      <c r="D2089">
        <v>6.5598080000000003</v>
      </c>
      <c r="E2089">
        <v>0.56929549999999995</v>
      </c>
      <c r="F2089" t="s">
        <v>78</v>
      </c>
      <c r="G2089">
        <v>-440.19979999999998</v>
      </c>
      <c r="H2089">
        <v>5.5934599999999897</v>
      </c>
      <c r="I2089">
        <v>315.74380000000002</v>
      </c>
      <c r="J2089">
        <v>-282.93380000000002</v>
      </c>
      <c r="K2089">
        <v>1.109086</v>
      </c>
      <c r="L2089">
        <v>283.19439999999997</v>
      </c>
      <c r="M2089">
        <v>-0.99967850000000003</v>
      </c>
      <c r="N2089">
        <v>0</v>
      </c>
      <c r="O2089">
        <v>2.409942E-2</v>
      </c>
      <c r="P2089">
        <v>-0.99944339999999998</v>
      </c>
      <c r="Q2089">
        <v>2.652881E-2</v>
      </c>
      <c r="R2089">
        <v>2.0238329999999999E-2</v>
      </c>
      <c r="S2089">
        <v>-2.986847</v>
      </c>
      <c r="T2089">
        <v>8.4984180000000006E-2</v>
      </c>
      <c r="U2089">
        <v>0.61700440000000001</v>
      </c>
      <c r="V2089">
        <v>-3.8527589999999999E-3</v>
      </c>
      <c r="W2089">
        <v>3.4428300000000002E-2</v>
      </c>
      <c r="X2089">
        <v>0.9993997</v>
      </c>
      <c r="Y2089">
        <v>0.17858199999999999</v>
      </c>
      <c r="Z2089">
        <v>-1.835592E-3</v>
      </c>
      <c r="AA2089">
        <v>0.98392329999999995</v>
      </c>
      <c r="AB2089">
        <v>32</v>
      </c>
      <c r="AC2089">
        <v>-157.265999999999</v>
      </c>
      <c r="AD2089">
        <v>4.4843739999999901</v>
      </c>
      <c r="AE2089">
        <v>32.549399999999999</v>
      </c>
      <c r="AF2089">
        <v>28.727410635001601</v>
      </c>
      <c r="AG2089">
        <v>4.4843739999999901</v>
      </c>
      <c r="AH2089">
        <v>157.881670382257</v>
      </c>
      <c r="AI2089">
        <v>88.399311113579799</v>
      </c>
      <c r="AJ2089">
        <v>79.687547440422193</v>
      </c>
      <c r="AK2089">
        <v>160.53658640526601</v>
      </c>
      <c r="AL2089">
        <v>88.027013730321002</v>
      </c>
      <c r="AM2089">
        <v>90.220878329902604</v>
      </c>
      <c r="AN2089">
        <v>0.99999995597644498</v>
      </c>
    </row>
    <row r="2090" spans="1:40" x14ac:dyDescent="0.25">
      <c r="A2090" t="str">
        <f>"20190312160641745"</f>
        <v>20190312160641745</v>
      </c>
      <c r="B2090" t="str">
        <f>"1552378001737550"</f>
        <v>1552378001737550</v>
      </c>
      <c r="C2090" t="s">
        <v>40</v>
      </c>
      <c r="D2090">
        <v>6.4263899999999996</v>
      </c>
      <c r="E2090">
        <v>0.56931039999999999</v>
      </c>
      <c r="F2090" t="s">
        <v>78</v>
      </c>
      <c r="G2090">
        <v>-440.8732</v>
      </c>
      <c r="H2090">
        <v>6.2550179999999997</v>
      </c>
      <c r="I2090">
        <v>315.61430000000001</v>
      </c>
      <c r="J2090">
        <v>-283.26679999999999</v>
      </c>
      <c r="K2090">
        <v>1.109097</v>
      </c>
      <c r="L2090">
        <v>283.20240000000001</v>
      </c>
      <c r="M2090">
        <v>-0.99967799999999996</v>
      </c>
      <c r="N2090">
        <v>0</v>
      </c>
      <c r="O2090">
        <v>2.4098870000000001E-2</v>
      </c>
      <c r="P2090">
        <v>-0.99945349999999999</v>
      </c>
      <c r="Q2090">
        <v>2.622526E-2</v>
      </c>
      <c r="R2090">
        <v>2.013069E-2</v>
      </c>
      <c r="S2090">
        <v>-2.9866640000000002</v>
      </c>
      <c r="T2090">
        <v>9.731078E-2</v>
      </c>
      <c r="U2090">
        <v>0.61306759999999905</v>
      </c>
      <c r="V2090">
        <v>-3.9604920000000004E-3</v>
      </c>
      <c r="W2090">
        <v>3.4188589999999998E-2</v>
      </c>
      <c r="X2090">
        <v>0.9994075</v>
      </c>
      <c r="Y2090">
        <v>0.1773322</v>
      </c>
      <c r="Z2090">
        <v>-2.0819800000000002E-3</v>
      </c>
      <c r="AA2090">
        <v>0.98414889999999999</v>
      </c>
      <c r="AB2090">
        <v>32</v>
      </c>
      <c r="AC2090">
        <v>-157.60640000000001</v>
      </c>
      <c r="AD2090">
        <v>5.1459210000000004</v>
      </c>
      <c r="AE2090">
        <v>32.411900000000003</v>
      </c>
      <c r="AF2090">
        <v>28.5750038859635</v>
      </c>
      <c r="AG2090">
        <v>5.1459210000000004</v>
      </c>
      <c r="AH2090">
        <v>158.179954075729</v>
      </c>
      <c r="AI2090">
        <v>88.166365383468204</v>
      </c>
      <c r="AJ2090">
        <v>79.7600287389687</v>
      </c>
      <c r="AK2090">
        <v>160.82260171201301</v>
      </c>
      <c r="AL2090">
        <v>88.040756177164397</v>
      </c>
      <c r="AM2090">
        <v>90.227052817345296</v>
      </c>
      <c r="AN2090">
        <v>0.99999994811965798</v>
      </c>
    </row>
    <row r="2091" spans="1:40" x14ac:dyDescent="0.25">
      <c r="A2091" t="str">
        <f>"20190312160641766"</f>
        <v>20190312160641766</v>
      </c>
      <c r="B2091" t="str">
        <f>"1552378001757070"</f>
        <v>1552378001757070</v>
      </c>
      <c r="C2091" t="s">
        <v>40</v>
      </c>
      <c r="D2091">
        <v>6.4903219999999999</v>
      </c>
      <c r="E2091">
        <v>0.50239509999999998</v>
      </c>
      <c r="F2091" t="s">
        <v>78</v>
      </c>
      <c r="G2091">
        <v>-440.8732</v>
      </c>
      <c r="H2091">
        <v>6.3874180000000003</v>
      </c>
      <c r="I2091">
        <v>315.53629999999998</v>
      </c>
      <c r="J2091">
        <v>-283.584</v>
      </c>
      <c r="K2091">
        <v>1.109145</v>
      </c>
      <c r="L2091">
        <v>283.20999999999998</v>
      </c>
      <c r="M2091">
        <v>-0.99967629999999996</v>
      </c>
      <c r="N2091">
        <v>0</v>
      </c>
      <c r="O2091">
        <v>2.4098370000000001E-2</v>
      </c>
      <c r="P2091">
        <v>-0.9994537</v>
      </c>
      <c r="Q2091">
        <v>2.595277E-2</v>
      </c>
      <c r="R2091">
        <v>2.0465270000000001E-2</v>
      </c>
      <c r="S2091">
        <v>-2.9866640000000002</v>
      </c>
      <c r="T2091">
        <v>0.10002519999999999</v>
      </c>
      <c r="U2091">
        <v>0.6127319</v>
      </c>
      <c r="V2091">
        <v>-3.6254830000000001E-3</v>
      </c>
      <c r="W2091">
        <v>3.4111389999999998E-2</v>
      </c>
      <c r="X2091">
        <v>0.99941150000000001</v>
      </c>
      <c r="Y2091">
        <v>0.17722209999999999</v>
      </c>
      <c r="Z2091">
        <v>-2.13824E-3</v>
      </c>
      <c r="AA2091">
        <v>0.9841685</v>
      </c>
      <c r="AB2091">
        <v>32</v>
      </c>
      <c r="AC2091">
        <v>-157.28919999999999</v>
      </c>
      <c r="AD2091">
        <v>5.2782730000000004</v>
      </c>
      <c r="AE2091">
        <v>32.326300000000003</v>
      </c>
      <c r="AF2091">
        <v>28.495583029251499</v>
      </c>
      <c r="AG2091">
        <v>5.2782730000000004</v>
      </c>
      <c r="AH2091">
        <v>157.85199935995701</v>
      </c>
      <c r="AI2091">
        <v>88.1152913644096</v>
      </c>
      <c r="AJ2091">
        <v>79.767120866897599</v>
      </c>
      <c r="AK2091">
        <v>160.49022437511599</v>
      </c>
      <c r="AL2091">
        <v>88.045182170192106</v>
      </c>
      <c r="AM2091">
        <v>90.207846280947095</v>
      </c>
      <c r="AN2091">
        <v>1.00000003869348</v>
      </c>
    </row>
    <row r="2092" spans="1:40" x14ac:dyDescent="0.25">
      <c r="A2092" t="str">
        <f>"20190312160641788"</f>
        <v>20190312160641788</v>
      </c>
      <c r="B2092" t="str">
        <f>"1552378001777567"</f>
        <v>1552378001777567</v>
      </c>
      <c r="C2092" t="s">
        <v>40</v>
      </c>
      <c r="D2092">
        <v>6.7297520000000004</v>
      </c>
      <c r="E2092">
        <v>0.48875940000000001</v>
      </c>
      <c r="F2092" t="s">
        <v>41</v>
      </c>
      <c r="G2092">
        <v>0</v>
      </c>
      <c r="H2092">
        <v>0</v>
      </c>
      <c r="I2092">
        <v>0</v>
      </c>
      <c r="J2092">
        <v>-283.89909999999998</v>
      </c>
      <c r="K2092">
        <v>1.1092519999999999</v>
      </c>
      <c r="L2092">
        <v>283.2176</v>
      </c>
      <c r="M2092">
        <v>-0.99967249999999996</v>
      </c>
      <c r="N2092">
        <v>0</v>
      </c>
      <c r="O2092">
        <v>2.4097819999999999E-2</v>
      </c>
      <c r="P2092">
        <v>-0.99944619999999995</v>
      </c>
      <c r="Q2092">
        <v>2.6027649999999999E-2</v>
      </c>
      <c r="R2092">
        <v>2.072835E-2</v>
      </c>
      <c r="S2092">
        <v>-2.9987490000000001</v>
      </c>
      <c r="T2092">
        <v>4.7468419999999997E-2</v>
      </c>
      <c r="U2092">
        <v>8.0871579999999998E-2</v>
      </c>
      <c r="V2092">
        <v>-3.36141E-3</v>
      </c>
      <c r="W2092">
        <v>3.4635600000000002E-2</v>
      </c>
      <c r="X2092">
        <v>0.99939440000000002</v>
      </c>
      <c r="Y2092">
        <v>2.8635100000000001E-3</v>
      </c>
      <c r="Z2092">
        <v>3.5865839999999898E-4</v>
      </c>
      <c r="AA2092">
        <v>0.99999579999999999</v>
      </c>
      <c r="AB2092">
        <v>32</v>
      </c>
      <c r="AC2092">
        <v>-2.9987490000000001</v>
      </c>
      <c r="AD2092">
        <v>4.7468419999999997E-2</v>
      </c>
      <c r="AE2092">
        <v>8.0871579999999998E-2</v>
      </c>
      <c r="AF2092">
        <v>8.5799509627978703E-3</v>
      </c>
      <c r="AG2092">
        <v>4.7468419999999997E-2</v>
      </c>
      <c r="AH2092">
        <v>2.9990760830788998</v>
      </c>
      <c r="AI2092">
        <v>89.093220096608903</v>
      </c>
      <c r="AJ2092">
        <v>89.836084972896401</v>
      </c>
      <c r="AK2092">
        <v>2.9994639885405698</v>
      </c>
      <c r="AL2092">
        <v>88.015129404080596</v>
      </c>
      <c r="AM2092">
        <v>90.192710585488697</v>
      </c>
      <c r="AN2092">
        <v>1.0000000453079501</v>
      </c>
    </row>
    <row r="2093" spans="1:40" x14ac:dyDescent="0.25">
      <c r="A2093" t="str">
        <f>"20190312160641810"</f>
        <v>20190312160641810</v>
      </c>
      <c r="B2093" t="str">
        <f>"1552378001806846"</f>
        <v>1552378001806846</v>
      </c>
      <c r="C2093" t="s">
        <v>40</v>
      </c>
      <c r="D2093">
        <v>6.5291110000000003</v>
      </c>
      <c r="E2093">
        <v>0.48363440000000002</v>
      </c>
      <c r="F2093" t="s">
        <v>41</v>
      </c>
      <c r="G2093">
        <v>0</v>
      </c>
      <c r="H2093">
        <v>0</v>
      </c>
      <c r="I2093">
        <v>0</v>
      </c>
      <c r="J2093">
        <v>-284.21519999999998</v>
      </c>
      <c r="K2093">
        <v>1.1093729999999999</v>
      </c>
      <c r="L2093">
        <v>283.22519999999997</v>
      </c>
      <c r="M2093">
        <v>-0.9996678</v>
      </c>
      <c r="N2093">
        <v>0</v>
      </c>
      <c r="O2093">
        <v>2.409683E-2</v>
      </c>
      <c r="P2093">
        <v>-0.999448</v>
      </c>
      <c r="Q2093">
        <v>2.5569499999999998E-2</v>
      </c>
      <c r="R2093">
        <v>2.1217929999999999E-2</v>
      </c>
      <c r="S2093">
        <v>-3.0015559999999999</v>
      </c>
      <c r="T2093">
        <v>2.6305680000000001E-2</v>
      </c>
      <c r="U2093">
        <v>-2.658081E-2</v>
      </c>
      <c r="V2093">
        <v>-2.871509E-3</v>
      </c>
      <c r="W2093">
        <v>3.4728040000000002E-2</v>
      </c>
      <c r="X2093">
        <v>0.99939270000000002</v>
      </c>
      <c r="Y2093">
        <v>-3.294747E-2</v>
      </c>
      <c r="Z2093">
        <v>3.555462E-4</v>
      </c>
      <c r="AA2093">
        <v>0.99945700000000004</v>
      </c>
      <c r="AB2093">
        <v>32</v>
      </c>
      <c r="AC2093">
        <v>-3.0015559999999999</v>
      </c>
      <c r="AD2093">
        <v>2.6305680000000001E-2</v>
      </c>
      <c r="AE2093">
        <v>-2.658081E-2</v>
      </c>
      <c r="AF2093">
        <v>-9.8896504961867998E-2</v>
      </c>
      <c r="AG2093">
        <v>2.6305680000000001E-2</v>
      </c>
      <c r="AH2093">
        <v>2.9998134314860199</v>
      </c>
      <c r="AI2093">
        <v>89.497852945070704</v>
      </c>
      <c r="AJ2093">
        <v>91.888217706539294</v>
      </c>
      <c r="AK2093">
        <v>3.0015584504083601</v>
      </c>
      <c r="AL2093">
        <v>88.009829754942302</v>
      </c>
      <c r="AM2093">
        <v>90.1646248704687</v>
      </c>
      <c r="AN2093">
        <v>1.0000000255697299</v>
      </c>
    </row>
    <row r="2094" spans="1:40" x14ac:dyDescent="0.25">
      <c r="A2094" t="str">
        <f>"20190312160641833"</f>
        <v>20190312160641833</v>
      </c>
      <c r="B2094" t="str">
        <f>"1552378001827342"</f>
        <v>1552378001827342</v>
      </c>
      <c r="C2094" t="s">
        <v>40</v>
      </c>
      <c r="D2094">
        <v>6.3653130000000004</v>
      </c>
      <c r="E2094">
        <v>0.47613680000000003</v>
      </c>
      <c r="F2094" t="s">
        <v>75</v>
      </c>
      <c r="G2094">
        <v>-511.95920000000001</v>
      </c>
      <c r="H2094">
        <v>1.8674120000000001</v>
      </c>
      <c r="I2094">
        <v>278.23259999999999</v>
      </c>
      <c r="J2094">
        <v>-284.5462</v>
      </c>
      <c r="K2094">
        <v>1.10945</v>
      </c>
      <c r="L2094">
        <v>283.23320000000001</v>
      </c>
      <c r="M2094">
        <v>-0.99966319999999997</v>
      </c>
      <c r="N2094">
        <v>0</v>
      </c>
      <c r="O2094">
        <v>2.4096179999999998E-2</v>
      </c>
      <c r="P2094">
        <v>-0.99944880000000003</v>
      </c>
      <c r="Q2094">
        <v>2.5606960000000002E-2</v>
      </c>
      <c r="R2094">
        <v>2.1131359999999998E-2</v>
      </c>
      <c r="S2094">
        <v>-3.002777</v>
      </c>
      <c r="T2094">
        <v>9.9956990000000003E-3</v>
      </c>
      <c r="U2094">
        <v>-6.5826419999999997E-2</v>
      </c>
      <c r="V2094">
        <v>-2.9567560000000001E-3</v>
      </c>
      <c r="W2094">
        <v>3.5252239999999997E-2</v>
      </c>
      <c r="X2094">
        <v>0.99937410000000004</v>
      </c>
      <c r="Y2094">
        <v>-4.6001340000000002E-2</v>
      </c>
      <c r="Z2094">
        <v>1.5676080000000001E-4</v>
      </c>
      <c r="AA2094">
        <v>0.99894139999999998</v>
      </c>
      <c r="AB2094">
        <v>32</v>
      </c>
      <c r="AC2094">
        <v>-227.41299999999899</v>
      </c>
      <c r="AD2094">
        <v>0.75796199999999903</v>
      </c>
      <c r="AE2094">
        <v>-5.0006000000000199</v>
      </c>
      <c r="AF2094">
        <v>-10.4790705908684</v>
      </c>
      <c r="AG2094">
        <v>0.75796199999999903</v>
      </c>
      <c r="AH2094">
        <v>227.22393944138199</v>
      </c>
      <c r="AI2094">
        <v>89.8090792976665</v>
      </c>
      <c r="AJ2094">
        <v>92.640484991256997</v>
      </c>
      <c r="AK2094">
        <v>227.466709832676</v>
      </c>
      <c r="AL2094">
        <v>87.979776908588406</v>
      </c>
      <c r="AM2094">
        <v>90.169515245143302</v>
      </c>
      <c r="AN2094">
        <v>1.00000002729093</v>
      </c>
    </row>
    <row r="2095" spans="1:40" x14ac:dyDescent="0.25">
      <c r="A2095" t="str">
        <f>"20190312160641856"</f>
        <v>20190312160641856</v>
      </c>
      <c r="B2095" t="str">
        <f>"1552378001846862"</f>
        <v>1552378001846862</v>
      </c>
      <c r="C2095" t="s">
        <v>40</v>
      </c>
      <c r="D2095">
        <v>6.7668780000000002</v>
      </c>
      <c r="E2095">
        <v>0.47570089999999998</v>
      </c>
      <c r="F2095" t="s">
        <v>77</v>
      </c>
      <c r="G2095">
        <v>-299.33519999999999</v>
      </c>
      <c r="H2095" s="1">
        <v>4.0348909999999997E-6</v>
      </c>
      <c r="I2095">
        <v>282.63470000000001</v>
      </c>
      <c r="J2095">
        <v>-284.87360000000001</v>
      </c>
      <c r="K2095">
        <v>1.1094919999999999</v>
      </c>
      <c r="L2095">
        <v>283.24099999999999</v>
      </c>
      <c r="M2095">
        <v>-0.99965930000000003</v>
      </c>
      <c r="N2095">
        <v>0</v>
      </c>
      <c r="O2095">
        <v>2.4096159999999998E-2</v>
      </c>
      <c r="P2095">
        <v>-0.99946829999999998</v>
      </c>
      <c r="Q2095">
        <v>2.485159E-2</v>
      </c>
      <c r="R2095">
        <v>2.1112800000000001E-2</v>
      </c>
      <c r="S2095">
        <v>-3.0100099999999999</v>
      </c>
      <c r="T2095">
        <v>-0.2258066</v>
      </c>
      <c r="U2095">
        <v>-0.12179570000000001</v>
      </c>
      <c r="V2095">
        <v>-2.9763319999999999E-3</v>
      </c>
      <c r="W2095">
        <v>3.4895309999999999E-2</v>
      </c>
      <c r="X2095">
        <v>0.99938649999999996</v>
      </c>
      <c r="Y2095">
        <v>-6.4248490000000005E-2</v>
      </c>
      <c r="Z2095">
        <v>-4.2101209999999998E-3</v>
      </c>
      <c r="AA2095">
        <v>0.99792499999999995</v>
      </c>
      <c r="AB2095">
        <v>32</v>
      </c>
      <c r="AC2095">
        <v>-14.461599999999899</v>
      </c>
      <c r="AD2095">
        <v>-1.1094879651089999</v>
      </c>
      <c r="AE2095">
        <v>-0.60629999999997597</v>
      </c>
      <c r="AF2095">
        <v>-0.94903439174371595</v>
      </c>
      <c r="AG2095">
        <v>-1.1094879651089999</v>
      </c>
      <c r="AH2095">
        <v>14.358426444732499</v>
      </c>
      <c r="AI2095">
        <v>94.408932080951303</v>
      </c>
      <c r="AJ2095">
        <v>93.7815208435523</v>
      </c>
      <c r="AK2095">
        <v>14.4324647856916</v>
      </c>
      <c r="AL2095">
        <v>88.000239944154302</v>
      </c>
      <c r="AM2095">
        <v>90.170635442704693</v>
      </c>
      <c r="AN2095">
        <v>0.99999995879720904</v>
      </c>
    </row>
    <row r="2096" spans="1:40" x14ac:dyDescent="0.25">
      <c r="A2096" t="str">
        <f>"20190312160641878"</f>
        <v>20190312160641878</v>
      </c>
      <c r="B2096" t="str">
        <f>"1552378001867362"</f>
        <v>1552378001867362</v>
      </c>
      <c r="C2096" t="s">
        <v>40</v>
      </c>
      <c r="D2096">
        <v>6.3716809999999997</v>
      </c>
      <c r="E2096">
        <v>0.47675499999999998</v>
      </c>
      <c r="F2096" t="s">
        <v>77</v>
      </c>
      <c r="G2096">
        <v>-306.1848</v>
      </c>
      <c r="H2096" s="1">
        <v>3.0662380000000002E-6</v>
      </c>
      <c r="I2096">
        <v>282.34339999999997</v>
      </c>
      <c r="J2096">
        <v>-285.18669999999997</v>
      </c>
      <c r="K2096">
        <v>1.1095269999999999</v>
      </c>
      <c r="L2096">
        <v>283.24860000000001</v>
      </c>
      <c r="M2096">
        <v>-0.99965559999999998</v>
      </c>
      <c r="N2096">
        <v>0</v>
      </c>
      <c r="O2096">
        <v>2.4096010000000001E-2</v>
      </c>
      <c r="P2096">
        <v>-0.99948340000000002</v>
      </c>
      <c r="Q2096">
        <v>2.453667E-2</v>
      </c>
      <c r="R2096">
        <v>2.0751390000000002E-2</v>
      </c>
      <c r="S2096">
        <v>-3.0081790000000002</v>
      </c>
      <c r="T2096">
        <v>-0.15661</v>
      </c>
      <c r="U2096">
        <v>-0.12670899999999999</v>
      </c>
      <c r="V2096">
        <v>-3.3380250000000001E-3</v>
      </c>
      <c r="W2096">
        <v>3.4930099999999999E-2</v>
      </c>
      <c r="X2096">
        <v>0.99938419999999895</v>
      </c>
      <c r="Y2096">
        <v>-6.6026059999999998E-2</v>
      </c>
      <c r="Z2096">
        <v>-2.9699869999999999E-3</v>
      </c>
      <c r="AA2096">
        <v>0.99781350000000002</v>
      </c>
      <c r="AB2096">
        <v>32</v>
      </c>
      <c r="AC2096">
        <v>-20.998100000000001</v>
      </c>
      <c r="AD2096">
        <v>-1.109523933762</v>
      </c>
      <c r="AE2096">
        <v>-0.90520000000003598</v>
      </c>
      <c r="AF2096">
        <v>-1.4070138369696199</v>
      </c>
      <c r="AG2096">
        <v>-1.109523933762</v>
      </c>
      <c r="AH2096">
        <v>20.911912153781401</v>
      </c>
      <c r="AI2096">
        <v>93.0302577138049</v>
      </c>
      <c r="AJ2096">
        <v>93.849224031506196</v>
      </c>
      <c r="AK2096">
        <v>20.988539759222999</v>
      </c>
      <c r="AL2096">
        <v>87.998245524026103</v>
      </c>
      <c r="AM2096">
        <v>90.1913718799956</v>
      </c>
      <c r="AN2096">
        <v>1.0000000167532701</v>
      </c>
    </row>
    <row r="2097" spans="1:40" x14ac:dyDescent="0.25">
      <c r="A2097" t="str">
        <f>"20190312160641899"</f>
        <v>20190312160641899</v>
      </c>
      <c r="B2097" t="str">
        <f>"1552378001886879"</f>
        <v>1552378001886879</v>
      </c>
      <c r="C2097" t="s">
        <v>40</v>
      </c>
      <c r="D2097">
        <v>6.449891</v>
      </c>
      <c r="E2097">
        <v>0.47812280000000001</v>
      </c>
      <c r="F2097" t="s">
        <v>77</v>
      </c>
      <c r="G2097">
        <v>-306.6397</v>
      </c>
      <c r="H2097" s="1">
        <v>2.9807219999999999E-6</v>
      </c>
      <c r="I2097">
        <v>282.39839999999998</v>
      </c>
      <c r="J2097">
        <v>-285.50220000000002</v>
      </c>
      <c r="K2097">
        <v>1.1095520000000001</v>
      </c>
      <c r="L2097">
        <v>283.25619999999998</v>
      </c>
      <c r="M2097">
        <v>-0.99965230000000005</v>
      </c>
      <c r="N2097">
        <v>0</v>
      </c>
      <c r="O2097">
        <v>2.4095459999999999E-2</v>
      </c>
      <c r="P2097">
        <v>-0.99947859999999999</v>
      </c>
      <c r="Q2097">
        <v>2.5115910000000002E-2</v>
      </c>
      <c r="R2097">
        <v>2.030237E-2</v>
      </c>
      <c r="S2097">
        <v>-3.0078740000000002</v>
      </c>
      <c r="T2097">
        <v>-0.15556339999999999</v>
      </c>
      <c r="U2097">
        <v>-0.11920169999999999</v>
      </c>
      <c r="V2097">
        <v>-3.785854E-3</v>
      </c>
      <c r="W2097">
        <v>3.5833150000000001E-2</v>
      </c>
      <c r="X2097">
        <v>0.99935059999999998</v>
      </c>
      <c r="Y2097">
        <v>-6.3548270000000004E-2</v>
      </c>
      <c r="Z2097">
        <v>-2.8865729999999999E-3</v>
      </c>
      <c r="AA2097">
        <v>0.99797460000000004</v>
      </c>
      <c r="AB2097">
        <v>32</v>
      </c>
      <c r="AC2097">
        <v>-21.1374999999999</v>
      </c>
      <c r="AD2097">
        <v>-1.109549019278</v>
      </c>
      <c r="AE2097">
        <v>-0.85779999999999701</v>
      </c>
      <c r="AF2097">
        <v>-1.36314806224958</v>
      </c>
      <c r="AG2097">
        <v>-1.109549019278</v>
      </c>
      <c r="AH2097">
        <v>21.0527784167679</v>
      </c>
      <c r="AI2097">
        <v>93.010587730157894</v>
      </c>
      <c r="AJ2097">
        <v>93.704677646520395</v>
      </c>
      <c r="AK2097">
        <v>21.126020702709798</v>
      </c>
      <c r="AL2097">
        <v>87.946472086588699</v>
      </c>
      <c r="AM2097">
        <v>90.217053372856896</v>
      </c>
      <c r="AN2097">
        <v>0.99999998452489502</v>
      </c>
    </row>
    <row r="2098" spans="1:40" x14ac:dyDescent="0.25">
      <c r="A2098" t="str">
        <f>"20190312160641922"</f>
        <v>20190312160641922</v>
      </c>
      <c r="B2098" t="str">
        <f>"1552378001917136"</f>
        <v>1552378001917136</v>
      </c>
      <c r="C2098" t="s">
        <v>40</v>
      </c>
      <c r="D2098">
        <v>6.2856500000000004</v>
      </c>
      <c r="E2098">
        <v>0.4778908</v>
      </c>
      <c r="F2098" t="s">
        <v>77</v>
      </c>
      <c r="G2098">
        <v>-304.65449999999998</v>
      </c>
      <c r="H2098" s="1">
        <v>3.3187020000000001E-6</v>
      </c>
      <c r="I2098">
        <v>282.56040000000002</v>
      </c>
      <c r="J2098">
        <v>-285.83969999999999</v>
      </c>
      <c r="K2098">
        <v>1.109577</v>
      </c>
      <c r="L2098">
        <v>283.26429999999999</v>
      </c>
      <c r="M2098">
        <v>-0.9996488</v>
      </c>
      <c r="N2098">
        <v>0</v>
      </c>
      <c r="O2098">
        <v>2.409524E-2</v>
      </c>
      <c r="P2098">
        <v>-0.99948499999999996</v>
      </c>
      <c r="Q2098">
        <v>2.4938140000000001E-2</v>
      </c>
      <c r="R2098">
        <v>2.0194699999999999E-2</v>
      </c>
      <c r="S2098">
        <v>-3.0081790000000002</v>
      </c>
      <c r="T2098">
        <v>-0.17427239999999999</v>
      </c>
      <c r="U2098">
        <v>-0.1092834</v>
      </c>
      <c r="V2098">
        <v>-3.893531E-3</v>
      </c>
      <c r="W2098">
        <v>3.596419E-2</v>
      </c>
      <c r="X2098">
        <v>0.9993455</v>
      </c>
      <c r="Y2098">
        <v>-6.0233879999999997E-2</v>
      </c>
      <c r="Z2098">
        <v>-3.1371400000000001E-3</v>
      </c>
      <c r="AA2098">
        <v>0.99817940000000005</v>
      </c>
      <c r="AB2098">
        <v>32</v>
      </c>
      <c r="AC2098">
        <v>-18.814799999999899</v>
      </c>
      <c r="AD2098">
        <v>-1.1095736812979999</v>
      </c>
      <c r="AE2098">
        <v>-0.70389999999997599</v>
      </c>
      <c r="AF2098">
        <v>-1.1530657143282701</v>
      </c>
      <c r="AG2098">
        <v>-1.1095736812979999</v>
      </c>
      <c r="AH2098">
        <v>18.727334953844501</v>
      </c>
      <c r="AI2098">
        <v>93.384352927025702</v>
      </c>
      <c r="AJ2098">
        <v>93.523325816233395</v>
      </c>
      <c r="AK2098">
        <v>18.795578968716999</v>
      </c>
      <c r="AL2098">
        <v>87.938959248141998</v>
      </c>
      <c r="AM2098">
        <v>90.223227867594602</v>
      </c>
      <c r="AN2098">
        <v>1.00000000545812</v>
      </c>
    </row>
    <row r="2099" spans="1:40" x14ac:dyDescent="0.25">
      <c r="A2099" t="str">
        <f>"20190312160641945"</f>
        <v>20190312160641945</v>
      </c>
      <c r="B2099" t="str">
        <f>"1552378001937630"</f>
        <v>1552378001937630</v>
      </c>
      <c r="C2099" t="s">
        <v>40</v>
      </c>
      <c r="D2099">
        <v>6.2673839999999998</v>
      </c>
      <c r="E2099">
        <v>0.47810550000000002</v>
      </c>
      <c r="F2099" t="s">
        <v>77</v>
      </c>
      <c r="G2099">
        <v>-308.74459999999999</v>
      </c>
      <c r="H2099" s="1">
        <v>2.6060959999999998E-6</v>
      </c>
      <c r="I2099">
        <v>282.41269999999997</v>
      </c>
      <c r="J2099">
        <v>-286.17169999999999</v>
      </c>
      <c r="K2099">
        <v>1.109588</v>
      </c>
      <c r="L2099">
        <v>283.27229999999997</v>
      </c>
      <c r="M2099">
        <v>-0.99964600000000003</v>
      </c>
      <c r="N2099">
        <v>0</v>
      </c>
      <c r="O2099">
        <v>2.4094750000000002E-2</v>
      </c>
      <c r="P2099">
        <v>-0.99949120000000002</v>
      </c>
      <c r="Q2099">
        <v>2.4826379999999999E-2</v>
      </c>
      <c r="R2099">
        <v>2.0029910000000001E-2</v>
      </c>
      <c r="S2099">
        <v>-3.0074459999999998</v>
      </c>
      <c r="T2099">
        <v>-0.1456884</v>
      </c>
      <c r="U2099">
        <v>-0.1118164</v>
      </c>
      <c r="V2099">
        <v>-4.0583859999999998E-3</v>
      </c>
      <c r="W2099">
        <v>3.6118579999999997E-2</v>
      </c>
      <c r="X2099">
        <v>0.99933930000000004</v>
      </c>
      <c r="Y2099">
        <v>-6.1123230000000001E-2</v>
      </c>
      <c r="Z2099">
        <v>-2.6453510000000002E-3</v>
      </c>
      <c r="AA2099">
        <v>0.99812670000000003</v>
      </c>
      <c r="AB2099">
        <v>32</v>
      </c>
      <c r="AC2099">
        <v>-22.572900000000001</v>
      </c>
      <c r="AD2099">
        <v>-1.1095853939039999</v>
      </c>
      <c r="AE2099">
        <v>-0.85960000000000003</v>
      </c>
      <c r="AF2099">
        <v>-1.3998957794484399</v>
      </c>
      <c r="AG2099">
        <v>-1.1095853939039999</v>
      </c>
      <c r="AH2099">
        <v>22.491365943222501</v>
      </c>
      <c r="AI2099">
        <v>92.818884773364701</v>
      </c>
      <c r="AJ2099">
        <v>93.561579352714801</v>
      </c>
      <c r="AK2099">
        <v>22.562190273367399</v>
      </c>
      <c r="AL2099">
        <v>87.930107651474998</v>
      </c>
      <c r="AM2099">
        <v>90.232680843372805</v>
      </c>
      <c r="AN2099">
        <v>1.0000000294213101</v>
      </c>
    </row>
    <row r="2100" spans="1:40" x14ac:dyDescent="0.25">
      <c r="A2100" t="str">
        <f>"20190312160641967"</f>
        <v>20190312160641967</v>
      </c>
      <c r="B2100" t="str">
        <f>"1552378001957150"</f>
        <v>1552378001957150</v>
      </c>
      <c r="C2100" t="s">
        <v>40</v>
      </c>
      <c r="D2100">
        <v>6.2751970000000004</v>
      </c>
      <c r="E2100">
        <v>0.47806729999999997</v>
      </c>
      <c r="F2100" t="s">
        <v>77</v>
      </c>
      <c r="G2100">
        <v>-309.73349999999999</v>
      </c>
      <c r="H2100" s="1">
        <v>2.4313439999999999E-6</v>
      </c>
      <c r="I2100">
        <v>282.40530000000001</v>
      </c>
      <c r="J2100">
        <v>-286.49110000000002</v>
      </c>
      <c r="K2100">
        <v>1.1095999999999999</v>
      </c>
      <c r="L2100">
        <v>283.27999999999997</v>
      </c>
      <c r="M2100">
        <v>-0.99964339999999996</v>
      </c>
      <c r="N2100">
        <v>0</v>
      </c>
      <c r="O2100">
        <v>2.4094569999999999E-2</v>
      </c>
      <c r="P2100">
        <v>-0.99949440000000001</v>
      </c>
      <c r="Q2100">
        <v>2.4807429999999998E-2</v>
      </c>
      <c r="R2100">
        <v>1.9891180000000001E-2</v>
      </c>
      <c r="S2100">
        <v>-3.007263</v>
      </c>
      <c r="T2100">
        <v>-0.1416202</v>
      </c>
      <c r="U2100">
        <v>-0.1106567</v>
      </c>
      <c r="V2100">
        <v>-4.1965470000000001E-3</v>
      </c>
      <c r="W2100">
        <v>3.6323960000000002E-2</v>
      </c>
      <c r="X2100">
        <v>0.99933119999999998</v>
      </c>
      <c r="Y2100">
        <v>-6.0746889999999998E-2</v>
      </c>
      <c r="Z2100">
        <v>-2.5628780000000002E-3</v>
      </c>
      <c r="AA2100">
        <v>0.99814990000000003</v>
      </c>
      <c r="AB2100">
        <v>32</v>
      </c>
      <c r="AC2100">
        <v>-23.2423999999999</v>
      </c>
      <c r="AD2100">
        <v>-1.109597568656</v>
      </c>
      <c r="AE2100">
        <v>-0.87469999999996095</v>
      </c>
      <c r="AF2100">
        <v>-1.43124140060362</v>
      </c>
      <c r="AG2100">
        <v>-1.109597568656</v>
      </c>
      <c r="AH2100">
        <v>23.161860315429099</v>
      </c>
      <c r="AI2100">
        <v>92.737514790667802</v>
      </c>
      <c r="AJ2100">
        <v>93.535983503675496</v>
      </c>
      <c r="AK2100">
        <v>23.2325511294523</v>
      </c>
      <c r="AL2100">
        <v>87.918332340185401</v>
      </c>
      <c r="AM2100">
        <v>90.240603934174999</v>
      </c>
      <c r="AN2100">
        <v>0.99999994418511995</v>
      </c>
    </row>
    <row r="2101" spans="1:40" x14ac:dyDescent="0.25">
      <c r="A2101" t="str">
        <f>"20190312160641990"</f>
        <v>20190312160641990</v>
      </c>
      <c r="B2101" t="str">
        <f>"1552378001986936"</f>
        <v>1552378001986936</v>
      </c>
      <c r="C2101" t="s">
        <v>40</v>
      </c>
      <c r="D2101">
        <v>6.3754089999999897</v>
      </c>
      <c r="E2101">
        <v>0.47878189999999998</v>
      </c>
      <c r="F2101" t="s">
        <v>77</v>
      </c>
      <c r="G2101">
        <v>-310.3177</v>
      </c>
      <c r="H2101" s="1">
        <v>2.5519300000000001E-6</v>
      </c>
      <c r="I2101">
        <v>282.3965</v>
      </c>
      <c r="J2101">
        <v>-286.81270000000001</v>
      </c>
      <c r="K2101">
        <v>1.109605</v>
      </c>
      <c r="L2101">
        <v>283.2878</v>
      </c>
      <c r="M2101">
        <v>-0.99964109999999995</v>
      </c>
      <c r="N2101">
        <v>0</v>
      </c>
      <c r="O2101">
        <v>2.4094239999999999E-2</v>
      </c>
      <c r="P2101">
        <v>-0.99949560000000004</v>
      </c>
      <c r="Q2101">
        <v>2.4711710000000001E-2</v>
      </c>
      <c r="R2101">
        <v>1.9950809999999999E-2</v>
      </c>
      <c r="S2101">
        <v>-3.0072019999999999</v>
      </c>
      <c r="T2101">
        <v>-0.14004459999999999</v>
      </c>
      <c r="U2101">
        <v>-0.1115112</v>
      </c>
      <c r="V2101">
        <v>-4.1369670000000001E-3</v>
      </c>
      <c r="W2101">
        <v>3.642546E-2</v>
      </c>
      <c r="X2101">
        <v>0.99932779999999999</v>
      </c>
      <c r="Y2101">
        <v>-6.1032349999999999E-2</v>
      </c>
      <c r="Z2101">
        <v>-2.5410630000000001E-3</v>
      </c>
      <c r="AA2101">
        <v>0.99813249999999998</v>
      </c>
      <c r="AB2101">
        <v>32</v>
      </c>
      <c r="AC2101">
        <v>-23.5049999999999</v>
      </c>
      <c r="AD2101">
        <v>-1.10960244807</v>
      </c>
      <c r="AE2101">
        <v>-0.89130000000000098</v>
      </c>
      <c r="AF2101">
        <v>-1.45417916348339</v>
      </c>
      <c r="AG2101">
        <v>-1.10960244807</v>
      </c>
      <c r="AH2101">
        <v>23.424571792512999</v>
      </c>
      <c r="AI2101">
        <v>92.7068230692866</v>
      </c>
      <c r="AJ2101">
        <v>93.552318681492196</v>
      </c>
      <c r="AK2101">
        <v>23.495880879312999</v>
      </c>
      <c r="AL2101">
        <v>87.912513063286696</v>
      </c>
      <c r="AM2101">
        <v>90.237188833392196</v>
      </c>
      <c r="AN2101">
        <v>0.99999999024250497</v>
      </c>
    </row>
    <row r="2102" spans="1:40" x14ac:dyDescent="0.25">
      <c r="A2102" t="str">
        <f>"20190312160642012"</f>
        <v>20190312160642012</v>
      </c>
      <c r="B2102" t="str">
        <f>"1552378002007432"</f>
        <v>1552378002007432</v>
      </c>
      <c r="C2102" t="s">
        <v>40</v>
      </c>
      <c r="D2102">
        <v>7.0196199999999997</v>
      </c>
      <c r="E2102">
        <v>0.47979090000000002</v>
      </c>
      <c r="F2102" t="s">
        <v>77</v>
      </c>
      <c r="G2102">
        <v>-310.4896</v>
      </c>
      <c r="H2102" s="1">
        <v>2.622872E-6</v>
      </c>
      <c r="I2102">
        <v>282.45710000000003</v>
      </c>
      <c r="J2102">
        <v>-287.12700000000001</v>
      </c>
      <c r="K2102">
        <v>1.1096079999999999</v>
      </c>
      <c r="L2102">
        <v>283.2953</v>
      </c>
      <c r="M2102">
        <v>-0.99963919999999995</v>
      </c>
      <c r="N2102">
        <v>0</v>
      </c>
      <c r="O2102">
        <v>2.4093940000000001E-2</v>
      </c>
      <c r="P2102">
        <v>-0.99950380000000005</v>
      </c>
      <c r="Q2102">
        <v>2.4491369999999998E-2</v>
      </c>
      <c r="R2102">
        <v>1.9820210000000001E-2</v>
      </c>
      <c r="S2102">
        <v>-3.0070800000000002</v>
      </c>
      <c r="T2102">
        <v>-0.14092460000000001</v>
      </c>
      <c r="U2102">
        <v>-0.1054993</v>
      </c>
      <c r="V2102">
        <v>-4.2675409999999997E-3</v>
      </c>
      <c r="W2102">
        <v>3.6373999999999997E-2</v>
      </c>
      <c r="X2102">
        <v>0.99932909999999997</v>
      </c>
      <c r="Y2102">
        <v>-5.9041549999999998E-2</v>
      </c>
      <c r="Z2102">
        <v>-2.5105819999999999E-3</v>
      </c>
      <c r="AA2102">
        <v>0.99825240000000004</v>
      </c>
      <c r="AB2102">
        <v>32</v>
      </c>
      <c r="AC2102">
        <v>-23.362599999999901</v>
      </c>
      <c r="AD2102">
        <v>-1.1096053771279999</v>
      </c>
      <c r="AE2102">
        <v>-0.83819999999997197</v>
      </c>
      <c r="AF2102">
        <v>-1.3977444566239301</v>
      </c>
      <c r="AG2102">
        <v>-1.1096053771279999</v>
      </c>
      <c r="AH2102">
        <v>23.2831659506374</v>
      </c>
      <c r="AI2102">
        <v>92.723583515332393</v>
      </c>
      <c r="AJ2102">
        <v>93.435480389636098</v>
      </c>
      <c r="AK2102">
        <v>23.3514609894948</v>
      </c>
      <c r="AL2102">
        <v>87.915463406568804</v>
      </c>
      <c r="AM2102">
        <v>90.244674754170404</v>
      </c>
      <c r="AN2102">
        <v>0.99999996494449706</v>
      </c>
    </row>
    <row r="2103" spans="1:40" x14ac:dyDescent="0.25">
      <c r="A2103" t="str">
        <f>"20190312160642034"</f>
        <v>20190312160642034</v>
      </c>
      <c r="B2103" t="str">
        <f>"1552378002026952"</f>
        <v>1552378002026952</v>
      </c>
      <c r="C2103" t="s">
        <v>40</v>
      </c>
      <c r="D2103">
        <v>6.2651110000000001</v>
      </c>
      <c r="E2103">
        <v>0.48129909999999998</v>
      </c>
      <c r="F2103" t="s">
        <v>77</v>
      </c>
      <c r="G2103">
        <v>-310.851</v>
      </c>
      <c r="H2103" s="1">
        <v>2.7773259999999999E-6</v>
      </c>
      <c r="I2103">
        <v>282.52339999999998</v>
      </c>
      <c r="J2103">
        <v>-287.4633</v>
      </c>
      <c r="K2103">
        <v>1.1096079999999999</v>
      </c>
      <c r="L2103">
        <v>283.30340000000001</v>
      </c>
      <c r="M2103">
        <v>-0.9996372</v>
      </c>
      <c r="N2103">
        <v>0</v>
      </c>
      <c r="O2103">
        <v>2.4093940000000001E-2</v>
      </c>
      <c r="P2103">
        <v>-0.99953199999999998</v>
      </c>
      <c r="Q2103">
        <v>2.3756949999999999E-2</v>
      </c>
      <c r="R2103">
        <v>1.9267739999999998E-2</v>
      </c>
      <c r="S2103">
        <v>-3.0068969999999999</v>
      </c>
      <c r="T2103">
        <v>-0.14063680000000001</v>
      </c>
      <c r="U2103">
        <v>-9.783936E-2</v>
      </c>
      <c r="V2103">
        <v>-4.8203999999999903E-3</v>
      </c>
      <c r="W2103">
        <v>3.579645E-2</v>
      </c>
      <c r="X2103">
        <v>0.9993474</v>
      </c>
      <c r="Y2103">
        <v>-5.6506569999999999E-2</v>
      </c>
      <c r="Z2103">
        <v>-2.44648E-3</v>
      </c>
      <c r="AA2103">
        <v>0.99839929999999999</v>
      </c>
      <c r="AB2103">
        <v>32</v>
      </c>
      <c r="AC2103">
        <v>-23.387699999999899</v>
      </c>
      <c r="AD2103">
        <v>-1.1096052226740001</v>
      </c>
      <c r="AE2103">
        <v>-0.780000000000029</v>
      </c>
      <c r="AF2103">
        <v>-1.34030264194768</v>
      </c>
      <c r="AG2103">
        <v>-1.1096052226740001</v>
      </c>
      <c r="AH2103">
        <v>23.309704690263001</v>
      </c>
      <c r="AI2103">
        <v>92.720889851612199</v>
      </c>
      <c r="AJ2103">
        <v>93.290870511015001</v>
      </c>
      <c r="AK2103">
        <v>23.374558127790699</v>
      </c>
      <c r="AL2103">
        <v>87.948576067389794</v>
      </c>
      <c r="AM2103">
        <v>90.276366790571302</v>
      </c>
      <c r="AN2103">
        <v>0.99999992398775805</v>
      </c>
    </row>
    <row r="2104" spans="1:40" x14ac:dyDescent="0.25">
      <c r="A2104" t="str">
        <f>"20190312160642056"</f>
        <v>20190312160642056</v>
      </c>
      <c r="B2104" t="str">
        <f>"1552378002047452"</f>
        <v>1552378002047452</v>
      </c>
      <c r="C2104" t="s">
        <v>40</v>
      </c>
      <c r="D2104">
        <v>6.2309419999999998</v>
      </c>
      <c r="E2104">
        <v>0.52576080000000003</v>
      </c>
      <c r="F2104" t="s">
        <v>77</v>
      </c>
      <c r="G2104">
        <v>-309.90690000000001</v>
      </c>
      <c r="H2104" s="1">
        <v>2.3792040000000001E-6</v>
      </c>
      <c r="I2104">
        <v>282.64980000000003</v>
      </c>
      <c r="J2104">
        <v>-287.7713</v>
      </c>
      <c r="K2104">
        <v>1.1096109999999999</v>
      </c>
      <c r="L2104">
        <v>283.3109</v>
      </c>
      <c r="M2104">
        <v>-0.99963579999999996</v>
      </c>
      <c r="N2104">
        <v>0</v>
      </c>
      <c r="O2104">
        <v>2.4093529999999998E-2</v>
      </c>
      <c r="P2104">
        <v>-0.99954299999999996</v>
      </c>
      <c r="Q2104">
        <v>2.3760429999999999E-2</v>
      </c>
      <c r="R2104">
        <v>1.8698099999999999E-2</v>
      </c>
      <c r="S2104">
        <v>-3.0066220000000001</v>
      </c>
      <c r="T2104">
        <v>-0.14864720000000001</v>
      </c>
      <c r="U2104">
        <v>-8.7554930000000003E-2</v>
      </c>
      <c r="V2104">
        <v>-5.3893459999999997E-3</v>
      </c>
      <c r="W2104">
        <v>3.5923199999999898E-2</v>
      </c>
      <c r="X2104">
        <v>0.99934000000000001</v>
      </c>
      <c r="Y2104">
        <v>-5.30908E-2</v>
      </c>
      <c r="Z2104">
        <v>-2.501634E-3</v>
      </c>
      <c r="AA2104">
        <v>0.99858650000000004</v>
      </c>
      <c r="AB2104">
        <v>32</v>
      </c>
      <c r="AC2104">
        <v>-22.1356</v>
      </c>
      <c r="AD2104">
        <v>-1.1096086207960001</v>
      </c>
      <c r="AE2104">
        <v>-0.66109999999997604</v>
      </c>
      <c r="AF2104">
        <v>-1.19128143335794</v>
      </c>
      <c r="AG2104">
        <v>-1.1096086207960001</v>
      </c>
      <c r="AH2104">
        <v>22.057866370378999</v>
      </c>
      <c r="AI2104">
        <v>92.8756209481583</v>
      </c>
      <c r="AJ2104">
        <v>93.091375720369896</v>
      </c>
      <c r="AK2104">
        <v>22.117862725822</v>
      </c>
      <c r="AL2104">
        <v>87.941309265134095</v>
      </c>
      <c r="AM2104">
        <v>90.308987718556196</v>
      </c>
      <c r="AN2104">
        <v>0.99999997847427302</v>
      </c>
    </row>
    <row r="2105" spans="1:40" x14ac:dyDescent="0.25">
      <c r="A2105" t="str">
        <f>"20190312160642078"</f>
        <v>20190312160642078</v>
      </c>
      <c r="B2105" t="str">
        <f>"1552378002066968"</f>
        <v>1552378002066968</v>
      </c>
      <c r="C2105" t="s">
        <v>40</v>
      </c>
      <c r="D2105">
        <v>6.7860619999999896</v>
      </c>
      <c r="E2105">
        <v>0.53156110000000001</v>
      </c>
      <c r="F2105" t="s">
        <v>44</v>
      </c>
      <c r="G2105">
        <v>-288.70510000000002</v>
      </c>
      <c r="H2105">
        <v>0.94246609999999997</v>
      </c>
      <c r="I2105">
        <v>283.3954</v>
      </c>
      <c r="J2105">
        <v>-288.08999999999997</v>
      </c>
      <c r="K2105">
        <v>1.109613</v>
      </c>
      <c r="L2105">
        <v>283.31849999999997</v>
      </c>
      <c r="M2105">
        <v>-0.99963429999999998</v>
      </c>
      <c r="N2105">
        <v>0</v>
      </c>
      <c r="O2105">
        <v>2.409352E-2</v>
      </c>
      <c r="P2105">
        <v>-0.99953289999999995</v>
      </c>
      <c r="Q2105">
        <v>2.4117599999999999E-2</v>
      </c>
      <c r="R2105">
        <v>1.8770990000000001E-2</v>
      </c>
      <c r="S2105">
        <v>-3.0090940000000002</v>
      </c>
      <c r="T2105">
        <v>-0.53862310000000002</v>
      </c>
      <c r="U2105">
        <v>0.27194210000000002</v>
      </c>
      <c r="V2105">
        <v>-5.3163489999999997E-3</v>
      </c>
      <c r="W2105">
        <v>3.6387339999999997E-2</v>
      </c>
      <c r="X2105">
        <v>0.99932359999999998</v>
      </c>
      <c r="Y2105">
        <v>6.5333080000000002E-2</v>
      </c>
      <c r="Z2105">
        <v>1.5205749999999999E-3</v>
      </c>
      <c r="AA2105">
        <v>0.99786229999999998</v>
      </c>
      <c r="AB2105">
        <v>32</v>
      </c>
      <c r="AC2105">
        <v>-0.61510000000003995</v>
      </c>
      <c r="AD2105">
        <v>-0.16714689999999999</v>
      </c>
      <c r="AE2105">
        <v>7.69000000000232E-2</v>
      </c>
      <c r="AF2105">
        <v>5.7850555217316503E-2</v>
      </c>
      <c r="AG2105">
        <v>-0.16714689999999999</v>
      </c>
      <c r="AH2105">
        <v>0.57497059311795995</v>
      </c>
      <c r="AI2105">
        <v>106.132235415799</v>
      </c>
      <c r="AJ2105">
        <v>84.254531918093605</v>
      </c>
      <c r="AK2105">
        <v>0.60156126526645703</v>
      </c>
      <c r="AL2105">
        <v>87.914698605515397</v>
      </c>
      <c r="AM2105">
        <v>90.304807658446194</v>
      </c>
      <c r="AN2105">
        <v>0.99999997979796196</v>
      </c>
    </row>
    <row r="2106" spans="1:40" x14ac:dyDescent="0.25">
      <c r="A2106" t="str">
        <f>"20190312160642101"</f>
        <v>20190312160642101</v>
      </c>
      <c r="B2106" t="str">
        <f>"1552378002097224"</f>
        <v>1552378002097224</v>
      </c>
      <c r="C2106" t="s">
        <v>40</v>
      </c>
      <c r="D2106">
        <v>6.1760619999999999</v>
      </c>
      <c r="E2106">
        <v>0.53923650000000001</v>
      </c>
      <c r="F2106" t="s">
        <v>44</v>
      </c>
      <c r="G2106">
        <v>-288.99189999999999</v>
      </c>
      <c r="H2106">
        <v>0.93967699999999998</v>
      </c>
      <c r="I2106">
        <v>283.4144</v>
      </c>
      <c r="J2106">
        <v>-288.40660000000003</v>
      </c>
      <c r="K2106">
        <v>1.109532</v>
      </c>
      <c r="L2106">
        <v>283.32619999999997</v>
      </c>
      <c r="M2106">
        <v>-0.9996372</v>
      </c>
      <c r="N2106">
        <v>0</v>
      </c>
      <c r="O2106">
        <v>2.4093219999999999E-2</v>
      </c>
      <c r="P2106">
        <v>-0.99951199999999996</v>
      </c>
      <c r="Q2106">
        <v>2.4746219999999999E-2</v>
      </c>
      <c r="R2106">
        <v>1.9076269999999999E-2</v>
      </c>
      <c r="S2106">
        <v>-3.009064</v>
      </c>
      <c r="T2106">
        <v>-0.56704309999999902</v>
      </c>
      <c r="U2106">
        <v>0.31896970000000002</v>
      </c>
      <c r="V2106">
        <v>-5.0108280000000002E-3</v>
      </c>
      <c r="W2106">
        <v>3.6793340000000001E-2</v>
      </c>
      <c r="X2106">
        <v>0.99931029999999998</v>
      </c>
      <c r="Y2106">
        <v>8.0440830000000005E-2</v>
      </c>
      <c r="Z2106">
        <v>3.0057970000000002E-3</v>
      </c>
      <c r="AA2106">
        <v>0.99675480000000005</v>
      </c>
      <c r="AB2106">
        <v>32</v>
      </c>
      <c r="AC2106">
        <v>-0.58529999999996096</v>
      </c>
      <c r="AD2106">
        <v>-0.16985499999999901</v>
      </c>
      <c r="AE2106">
        <v>8.8200000000028894E-2</v>
      </c>
      <c r="AF2106">
        <v>6.8436099629925098E-2</v>
      </c>
      <c r="AG2106">
        <v>-0.16985499999999901</v>
      </c>
      <c r="AH2106">
        <v>0.54257574680599296</v>
      </c>
      <c r="AI2106">
        <v>107.25438508462101</v>
      </c>
      <c r="AJ2106">
        <v>82.811138280228505</v>
      </c>
      <c r="AK2106">
        <v>0.57264531935539198</v>
      </c>
      <c r="AL2106">
        <v>87.891420903441698</v>
      </c>
      <c r="AM2106">
        <v>90.287295037503895</v>
      </c>
      <c r="AN2106">
        <v>0.99999996697584503</v>
      </c>
    </row>
    <row r="2107" spans="1:40" x14ac:dyDescent="0.25">
      <c r="A2107" t="str">
        <f>"20190312160642123"</f>
        <v>20190312160642123</v>
      </c>
      <c r="B2107" t="str">
        <f>"1552378002116744"</f>
        <v>1552378002116744</v>
      </c>
      <c r="C2107" t="s">
        <v>40</v>
      </c>
      <c r="D2107">
        <v>6.1337400000000004</v>
      </c>
      <c r="E2107">
        <v>0.54202989999999995</v>
      </c>
      <c r="F2107" t="s">
        <v>44</v>
      </c>
      <c r="G2107">
        <v>-289.286</v>
      </c>
      <c r="H2107">
        <v>0.94461879999999998</v>
      </c>
      <c r="I2107">
        <v>283.43770000000001</v>
      </c>
      <c r="J2107">
        <v>-288.7466</v>
      </c>
      <c r="K2107">
        <v>1.109213</v>
      </c>
      <c r="L2107">
        <v>283.33440000000002</v>
      </c>
      <c r="M2107">
        <v>-0.9996505</v>
      </c>
      <c r="N2107">
        <v>0</v>
      </c>
      <c r="O2107">
        <v>2.4093750000000001E-2</v>
      </c>
      <c r="P2107">
        <v>-0.99946959999999996</v>
      </c>
      <c r="Q2107">
        <v>2.6070599999999999E-2</v>
      </c>
      <c r="R2107">
        <v>1.9503159999999999E-2</v>
      </c>
      <c r="S2107">
        <v>-3.0081180000000001</v>
      </c>
      <c r="T2107">
        <v>-0.56409699999999996</v>
      </c>
      <c r="U2107">
        <v>0.38110349999999998</v>
      </c>
      <c r="V2107">
        <v>-4.5833749999999998E-3</v>
      </c>
      <c r="W2107">
        <v>3.6943440000000001E-2</v>
      </c>
      <c r="X2107">
        <v>0.9993069</v>
      </c>
      <c r="Y2107">
        <v>0.1004375</v>
      </c>
      <c r="Z2107">
        <v>4.8396580000000002E-3</v>
      </c>
      <c r="AA2107">
        <v>0.99493160000000003</v>
      </c>
      <c r="AB2107">
        <v>32</v>
      </c>
      <c r="AC2107">
        <v>-0.53939999999999999</v>
      </c>
      <c r="AD2107">
        <v>-0.1645942</v>
      </c>
      <c r="AE2107">
        <v>0.10329999999999</v>
      </c>
      <c r="AF2107">
        <v>8.2833148384515901E-2</v>
      </c>
      <c r="AG2107">
        <v>-0.1645942</v>
      </c>
      <c r="AH2107">
        <v>0.49708514528120401</v>
      </c>
      <c r="AI2107">
        <v>108.08781608548</v>
      </c>
      <c r="AJ2107">
        <v>80.539290024058204</v>
      </c>
      <c r="AK2107">
        <v>0.53013792809434701</v>
      </c>
      <c r="AL2107">
        <v>87.882815137370798</v>
      </c>
      <c r="AM2107">
        <v>90.262788340598505</v>
      </c>
      <c r="AN2107">
        <v>1.00000005273651</v>
      </c>
    </row>
    <row r="2108" spans="1:40" x14ac:dyDescent="0.25">
      <c r="A2108" t="str">
        <f>"20190312160642147"</f>
        <v>20190312160642147</v>
      </c>
      <c r="B2108" t="str">
        <f>"1552378002137240"</f>
        <v>1552378002137240</v>
      </c>
      <c r="C2108" t="s">
        <v>40</v>
      </c>
      <c r="D2108">
        <v>6.15062</v>
      </c>
      <c r="E2108">
        <v>0.54266059999999905</v>
      </c>
      <c r="F2108" t="s">
        <v>44</v>
      </c>
      <c r="G2108">
        <v>-289.57589999999999</v>
      </c>
      <c r="H2108">
        <v>0.93527110000000002</v>
      </c>
      <c r="I2108">
        <v>283.44670000000002</v>
      </c>
      <c r="J2108">
        <v>-289.08980000000003</v>
      </c>
      <c r="K2108">
        <v>1.1089020000000001</v>
      </c>
      <c r="L2108">
        <v>283.34269999999998</v>
      </c>
      <c r="M2108">
        <v>-0.99966469999999996</v>
      </c>
      <c r="N2108">
        <v>0</v>
      </c>
      <c r="O2108">
        <v>2.4093960000000001E-2</v>
      </c>
      <c r="P2108">
        <v>-0.9994113</v>
      </c>
      <c r="Q2108">
        <v>2.804508E-2</v>
      </c>
      <c r="R2108">
        <v>1.97605E-2</v>
      </c>
      <c r="S2108">
        <v>-3.010132</v>
      </c>
      <c r="T2108">
        <v>-0.63149739999999999</v>
      </c>
      <c r="U2108">
        <v>0.40667720000000002</v>
      </c>
      <c r="V2108">
        <v>-4.3245360000000004E-3</v>
      </c>
      <c r="W2108">
        <v>3.753335E-2</v>
      </c>
      <c r="X2108">
        <v>0.99928600000000001</v>
      </c>
      <c r="Y2108">
        <v>0.10817300000000001</v>
      </c>
      <c r="Z2108">
        <v>6.1992779999999999E-3</v>
      </c>
      <c r="AA2108">
        <v>0.99411269999999996</v>
      </c>
      <c r="AB2108">
        <v>33</v>
      </c>
      <c r="AC2108">
        <v>-0.48609999999996401</v>
      </c>
      <c r="AD2108">
        <v>-0.1736309</v>
      </c>
      <c r="AE2108">
        <v>0.104000000000041</v>
      </c>
      <c r="AF2108">
        <v>8.2225564475363902E-2</v>
      </c>
      <c r="AG2108">
        <v>-0.1736309</v>
      </c>
      <c r="AH2108">
        <v>0.43535125827210402</v>
      </c>
      <c r="AI2108">
        <v>111.400244964653</v>
      </c>
      <c r="AJ2108">
        <v>79.304436094581504</v>
      </c>
      <c r="AK2108">
        <v>0.47585654452492898</v>
      </c>
      <c r="AL2108">
        <v>87.848992173747504</v>
      </c>
      <c r="AM2108">
        <v>90.247953152899001</v>
      </c>
      <c r="AN2108">
        <v>0.99999998188491801</v>
      </c>
    </row>
    <row r="2109" spans="1:40" x14ac:dyDescent="0.25">
      <c r="A2109" t="str">
        <f>"20190312160642168"</f>
        <v>20190312160642168</v>
      </c>
      <c r="B2109" t="str">
        <f>"1552378002156760"</f>
        <v>1552378002156760</v>
      </c>
      <c r="C2109" t="s">
        <v>40</v>
      </c>
      <c r="D2109">
        <v>6.2238049999999996</v>
      </c>
      <c r="E2109">
        <v>0.54201330000000003</v>
      </c>
      <c r="F2109" t="s">
        <v>44</v>
      </c>
      <c r="G2109">
        <v>-289.8734</v>
      </c>
      <c r="H2109">
        <v>0.93765290000000001</v>
      </c>
      <c r="I2109">
        <v>283.45030000000003</v>
      </c>
      <c r="J2109">
        <v>-289.41180000000003</v>
      </c>
      <c r="K2109">
        <v>1.1086549999999999</v>
      </c>
      <c r="L2109">
        <v>283.35039999999998</v>
      </c>
      <c r="M2109">
        <v>-0.99967600000000001</v>
      </c>
      <c r="N2109">
        <v>0</v>
      </c>
      <c r="O2109">
        <v>2.409441E-2</v>
      </c>
      <c r="P2109">
        <v>-0.99935879999999999</v>
      </c>
      <c r="Q2109">
        <v>2.9721919999999999E-2</v>
      </c>
      <c r="R2109">
        <v>1.9970660000000001E-2</v>
      </c>
      <c r="S2109">
        <v>-3.012054</v>
      </c>
      <c r="T2109">
        <v>-0.65822119999999995</v>
      </c>
      <c r="U2109">
        <v>0.413269</v>
      </c>
      <c r="V2109">
        <v>-4.1133879999999999E-3</v>
      </c>
      <c r="W2109">
        <v>3.7920269999999999E-2</v>
      </c>
      <c r="X2109">
        <v>0.9992723</v>
      </c>
      <c r="Y2109">
        <v>0.11003110000000001</v>
      </c>
      <c r="Z2109">
        <v>6.6506029999999997E-3</v>
      </c>
      <c r="AA2109">
        <v>0.99390590000000001</v>
      </c>
      <c r="AB2109">
        <v>33</v>
      </c>
      <c r="AC2109">
        <v>-0.46159999999997497</v>
      </c>
      <c r="AD2109">
        <v>-0.17100209999999899</v>
      </c>
      <c r="AE2109">
        <v>9.9900000000047798E-2</v>
      </c>
      <c r="AF2109">
        <v>7.8462470579301294E-2</v>
      </c>
      <c r="AG2109">
        <v>-0.17100209999999899</v>
      </c>
      <c r="AH2109">
        <v>0.41010914017042999</v>
      </c>
      <c r="AI2109">
        <v>112.27102950868399</v>
      </c>
      <c r="AJ2109">
        <v>79.169002771007101</v>
      </c>
      <c r="AK2109">
        <v>0.45120680884174102</v>
      </c>
      <c r="AL2109">
        <v>87.826807532171202</v>
      </c>
      <c r="AM2109">
        <v>90.235850068840804</v>
      </c>
      <c r="AN2109">
        <v>0.99999999819249996</v>
      </c>
    </row>
    <row r="2110" spans="1:40" x14ac:dyDescent="0.25">
      <c r="A2110" t="str">
        <f>"20190312160642189"</f>
        <v>20190312160642189</v>
      </c>
      <c r="B2110" t="str">
        <f>"1552378002177256"</f>
        <v>1552378002177256</v>
      </c>
      <c r="C2110" t="s">
        <v>40</v>
      </c>
      <c r="D2110">
        <v>6.1660339999999998</v>
      </c>
      <c r="E2110">
        <v>0.54054840000000004</v>
      </c>
      <c r="F2110" t="s">
        <v>44</v>
      </c>
      <c r="G2110">
        <v>-290.17489999999998</v>
      </c>
      <c r="H2110">
        <v>0.94317010000000001</v>
      </c>
      <c r="I2110">
        <v>283.45389999999998</v>
      </c>
      <c r="J2110">
        <v>-289.73059999999998</v>
      </c>
      <c r="K2110">
        <v>1.108457</v>
      </c>
      <c r="L2110">
        <v>283.35809999999998</v>
      </c>
      <c r="M2110">
        <v>-0.99968539999999995</v>
      </c>
      <c r="N2110">
        <v>0</v>
      </c>
      <c r="O2110">
        <v>2.4095370000000001E-2</v>
      </c>
      <c r="P2110">
        <v>-0.99931590000000003</v>
      </c>
      <c r="Q2110">
        <v>3.1017300000000001E-2</v>
      </c>
      <c r="R2110">
        <v>2.0140000000000002E-2</v>
      </c>
      <c r="S2110">
        <v>-3.0132140000000001</v>
      </c>
      <c r="T2110">
        <v>-0.65342009999999995</v>
      </c>
      <c r="U2110">
        <v>0.40795900000000002</v>
      </c>
      <c r="V2110">
        <v>-3.9442260000000003E-3</v>
      </c>
      <c r="W2110">
        <v>3.7976019999999999E-2</v>
      </c>
      <c r="X2110">
        <v>0.99927089999999996</v>
      </c>
      <c r="Y2110">
        <v>0.10832749999999999</v>
      </c>
      <c r="Z2110">
        <v>6.4194930000000001E-3</v>
      </c>
      <c r="AA2110">
        <v>0.99409460000000005</v>
      </c>
      <c r="AB2110">
        <v>33</v>
      </c>
      <c r="AC2110">
        <v>-0.44429999999999797</v>
      </c>
      <c r="AD2110">
        <v>-0.16528689999999999</v>
      </c>
      <c r="AE2110">
        <v>9.5799999999996999E-2</v>
      </c>
      <c r="AF2110">
        <v>7.5130510275629003E-2</v>
      </c>
      <c r="AG2110">
        <v>-0.16528689999999999</v>
      </c>
      <c r="AH2110">
        <v>0.39433011583621402</v>
      </c>
      <c r="AI2110">
        <v>112.37950858947001</v>
      </c>
      <c r="AJ2110">
        <v>79.212896233811605</v>
      </c>
      <c r="AK2110">
        <v>0.43412048228722</v>
      </c>
      <c r="AL2110">
        <v>87.823611066463897</v>
      </c>
      <c r="AM2110">
        <v>90.2261512165082</v>
      </c>
      <c r="AN2110">
        <v>1.0000000333002901</v>
      </c>
    </row>
    <row r="2111" spans="1:40" x14ac:dyDescent="0.25">
      <c r="A2111" t="str">
        <f>"20190312160642202"</f>
        <v>20190312160642202</v>
      </c>
      <c r="B2111" t="str">
        <f>"1552378002196778"</f>
        <v>1552378002196778</v>
      </c>
      <c r="C2111" t="s">
        <v>40</v>
      </c>
      <c r="D2111">
        <v>6.1535609999999998</v>
      </c>
      <c r="E2111">
        <v>0.53959979999999996</v>
      </c>
      <c r="F2111" t="s">
        <v>44</v>
      </c>
      <c r="G2111">
        <v>-290.48070000000001</v>
      </c>
      <c r="H2111">
        <v>0.95261719999999905</v>
      </c>
      <c r="I2111">
        <v>283.45679999999999</v>
      </c>
      <c r="J2111">
        <v>-289.92059999999998</v>
      </c>
      <c r="K2111">
        <v>1.10836</v>
      </c>
      <c r="L2111">
        <v>283.36270000000002</v>
      </c>
      <c r="M2111">
        <v>-0.99969010000000003</v>
      </c>
      <c r="N2111">
        <v>0</v>
      </c>
      <c r="O2111">
        <v>2.4095720000000001E-2</v>
      </c>
      <c r="P2111">
        <v>-0.99928240000000002</v>
      </c>
      <c r="Q2111">
        <v>3.2019499999999999E-2</v>
      </c>
      <c r="R2111">
        <v>2.0235619999999999E-2</v>
      </c>
      <c r="S2111">
        <v>-3.0134889999999999</v>
      </c>
      <c r="T2111">
        <v>-0.62603489999999995</v>
      </c>
      <c r="U2111">
        <v>0.39566040000000002</v>
      </c>
      <c r="V2111">
        <v>-3.8474550000000001E-3</v>
      </c>
      <c r="W2111">
        <v>3.8272880000000002E-2</v>
      </c>
      <c r="X2111">
        <v>0.99925989999999998</v>
      </c>
      <c r="Y2111">
        <v>0.1045623</v>
      </c>
      <c r="Z2111">
        <v>5.7717130000000004E-3</v>
      </c>
      <c r="AA2111">
        <v>0.99450159999999999</v>
      </c>
      <c r="AB2111">
        <v>34</v>
      </c>
      <c r="AC2111">
        <v>-0.56010000000003302</v>
      </c>
      <c r="AD2111">
        <v>-0.15574279999999999</v>
      </c>
      <c r="AE2111">
        <v>9.4099999999969E-2</v>
      </c>
      <c r="AF2111">
        <v>7.4941109479382595E-2</v>
      </c>
      <c r="AG2111">
        <v>-0.15574279999999999</v>
      </c>
      <c r="AH2111">
        <v>0.52288576734231995</v>
      </c>
      <c r="AI2111">
        <v>106.427606701557</v>
      </c>
      <c r="AJ2111">
        <v>81.843789570968994</v>
      </c>
      <c r="AK2111">
        <v>0.55071001019684396</v>
      </c>
      <c r="AL2111">
        <v>87.806589754855494</v>
      </c>
      <c r="AM2111">
        <v>90.2206051138768</v>
      </c>
      <c r="AN2111">
        <v>0.99999998200074003</v>
      </c>
    </row>
    <row r="2112" spans="1:40" x14ac:dyDescent="0.25">
      <c r="A2112" t="str">
        <f>"20190312160642214"</f>
        <v>20190312160642214</v>
      </c>
      <c r="B2112" t="str">
        <f>"1552378002207515"</f>
        <v>1552378002207515</v>
      </c>
      <c r="C2112" t="s">
        <v>40</v>
      </c>
      <c r="D2112">
        <v>6.0702129999999999</v>
      </c>
      <c r="E2112">
        <v>0.50362019999999996</v>
      </c>
      <c r="F2112" t="s">
        <v>44</v>
      </c>
      <c r="G2112">
        <v>-290.77530000000002</v>
      </c>
      <c r="H2112">
        <v>0.93364999999999998</v>
      </c>
      <c r="I2112">
        <v>283.47320000000002</v>
      </c>
      <c r="J2112">
        <v>-290.11290000000002</v>
      </c>
      <c r="K2112">
        <v>1.108276</v>
      </c>
      <c r="L2112">
        <v>283.3673</v>
      </c>
      <c r="M2112">
        <v>-0.99969430000000004</v>
      </c>
      <c r="N2112">
        <v>0</v>
      </c>
      <c r="O2112">
        <v>2.4095479999999999E-2</v>
      </c>
      <c r="P2112">
        <v>-0.99925909999999996</v>
      </c>
      <c r="Q2112">
        <v>3.2677070000000003E-2</v>
      </c>
      <c r="R2112">
        <v>2.0344040000000001E-2</v>
      </c>
      <c r="S2112">
        <v>-3.014008</v>
      </c>
      <c r="T2112">
        <v>-0.61617109999999997</v>
      </c>
      <c r="U2112">
        <v>0.38861079999999998</v>
      </c>
      <c r="V2112">
        <v>-3.7383450000000001E-3</v>
      </c>
      <c r="W2112">
        <v>3.8237130000000001E-2</v>
      </c>
      <c r="X2112">
        <v>0.99926170000000003</v>
      </c>
      <c r="Y2112">
        <v>0.1023501</v>
      </c>
      <c r="Z2112">
        <v>5.4595980000000004E-3</v>
      </c>
      <c r="AA2112">
        <v>0.99473350000000005</v>
      </c>
      <c r="AB2112">
        <v>34</v>
      </c>
      <c r="AC2112">
        <v>-0.662399999999991</v>
      </c>
      <c r="AD2112">
        <v>-0.174626</v>
      </c>
      <c r="AE2112">
        <v>0.10590000000001901</v>
      </c>
      <c r="AF2112">
        <v>8.4202065178531696E-2</v>
      </c>
      <c r="AG2112">
        <v>-0.174626</v>
      </c>
      <c r="AH2112">
        <v>0.62256991656758498</v>
      </c>
      <c r="AI2112">
        <v>105.53387925839</v>
      </c>
      <c r="AJ2112">
        <v>82.297531771446401</v>
      </c>
      <c r="AK2112">
        <v>0.65205638457981496</v>
      </c>
      <c r="AL2112">
        <v>87.808639617193506</v>
      </c>
      <c r="AM2112">
        <v>90.214348645211103</v>
      </c>
      <c r="AN2112">
        <v>0.99999999921043203</v>
      </c>
    </row>
    <row r="2113" spans="1:40" x14ac:dyDescent="0.25">
      <c r="A2113" t="str">
        <f>"20190312160642236"</f>
        <v>20190312160642236</v>
      </c>
      <c r="B2113" t="str">
        <f>"1552378002227032"</f>
        <v>1552378002227032</v>
      </c>
      <c r="C2113" t="s">
        <v>40</v>
      </c>
      <c r="D2113">
        <v>6.1286909999999999</v>
      </c>
      <c r="E2113">
        <v>0.48680780000000001</v>
      </c>
      <c r="F2113" t="s">
        <v>44</v>
      </c>
      <c r="G2113">
        <v>-291.12369999999999</v>
      </c>
      <c r="H2113">
        <v>1.0163930000000001</v>
      </c>
      <c r="I2113">
        <v>283.39980000000003</v>
      </c>
      <c r="J2113">
        <v>-290.4391</v>
      </c>
      <c r="K2113">
        <v>1.108168</v>
      </c>
      <c r="L2113">
        <v>283.37509999999997</v>
      </c>
      <c r="M2113">
        <v>-0.99969949999999996</v>
      </c>
      <c r="N2113">
        <v>0</v>
      </c>
      <c r="O2113">
        <v>2.4095499999999999E-2</v>
      </c>
      <c r="P2113">
        <v>-0.9992356</v>
      </c>
      <c r="Q2113">
        <v>3.3620700000000003E-2</v>
      </c>
      <c r="R2113">
        <v>1.9960439999999999E-2</v>
      </c>
      <c r="S2113">
        <v>-3.0092159999999999</v>
      </c>
      <c r="T2113">
        <v>-0.27362910000000001</v>
      </c>
      <c r="U2113">
        <v>9.6252439999999995E-2</v>
      </c>
      <c r="V2113">
        <v>-4.1209769999999996E-3</v>
      </c>
      <c r="W2113">
        <v>3.814994E-2</v>
      </c>
      <c r="X2113">
        <v>0.99926349999999997</v>
      </c>
      <c r="Y2113">
        <v>7.9433690000000005E-3</v>
      </c>
      <c r="Z2113">
        <v>-1.8252870000000001E-3</v>
      </c>
      <c r="AA2113">
        <v>0.99996680000000004</v>
      </c>
      <c r="AB2113">
        <v>34</v>
      </c>
      <c r="AC2113">
        <v>-0.684599999999989</v>
      </c>
      <c r="AD2113">
        <v>-9.1774999999999898E-2</v>
      </c>
      <c r="AE2113">
        <v>2.4700000000052499E-2</v>
      </c>
      <c r="AF2113">
        <v>8.0523598683611506E-3</v>
      </c>
      <c r="AG2113">
        <v>-9.1774999999999898E-2</v>
      </c>
      <c r="AH2113">
        <v>0.67291901222517103</v>
      </c>
      <c r="AI2113">
        <v>97.765729959990495</v>
      </c>
      <c r="AJ2113">
        <v>89.314413461845106</v>
      </c>
      <c r="AK2113">
        <v>0.67919620739411501</v>
      </c>
      <c r="AL2113">
        <v>87.813638823049004</v>
      </c>
      <c r="AM2113">
        <v>90.236287276590801</v>
      </c>
      <c r="AN2113">
        <v>0.99999997140284302</v>
      </c>
    </row>
    <row r="2114" spans="1:40" x14ac:dyDescent="0.25">
      <c r="A2114" t="str">
        <f>"20190312160642247"</f>
        <v>20190312160642247</v>
      </c>
      <c r="B2114" t="str">
        <f>"1552378002236793"</f>
        <v>1552378002236793</v>
      </c>
      <c r="C2114" t="s">
        <v>40</v>
      </c>
      <c r="D2114">
        <v>6.1408930000000002</v>
      </c>
      <c r="E2114">
        <v>0.4896124</v>
      </c>
      <c r="F2114" t="s">
        <v>75</v>
      </c>
      <c r="G2114">
        <v>-553.42660000000001</v>
      </c>
      <c r="H2114">
        <v>16.885479999999902</v>
      </c>
      <c r="I2114">
        <v>279.27539999999999</v>
      </c>
      <c r="J2114">
        <v>-290.6225</v>
      </c>
      <c r="K2114">
        <v>1.1081399999999999</v>
      </c>
      <c r="L2114">
        <v>283.37950000000001</v>
      </c>
      <c r="M2114">
        <v>-0.99970150000000002</v>
      </c>
      <c r="N2114">
        <v>0</v>
      </c>
      <c r="O2114">
        <v>2.4095140000000001E-2</v>
      </c>
      <c r="P2114">
        <v>-0.99922560000000005</v>
      </c>
      <c r="Q2114">
        <v>3.396573E-2</v>
      </c>
      <c r="R2114">
        <v>1.9870949999999998E-2</v>
      </c>
      <c r="S2114">
        <v>-2.9971619999999999</v>
      </c>
      <c r="T2114">
        <v>0.17980839999999901</v>
      </c>
      <c r="U2114">
        <v>-4.6722409999999999E-2</v>
      </c>
      <c r="V2114">
        <v>-4.2096219999999997E-3</v>
      </c>
      <c r="W2114">
        <v>3.8028430000000002E-2</v>
      </c>
      <c r="X2114">
        <v>0.99926780000000004</v>
      </c>
      <c r="Y2114">
        <v>-3.9560449999999997E-2</v>
      </c>
      <c r="Z2114">
        <v>2.6296610000000002E-3</v>
      </c>
      <c r="AA2114">
        <v>0.99921369999999998</v>
      </c>
      <c r="AB2114">
        <v>34</v>
      </c>
      <c r="AC2114">
        <v>-262.80410000000001</v>
      </c>
      <c r="AD2114">
        <v>15.777339999999899</v>
      </c>
      <c r="AE2114">
        <v>-4.1041000000000096</v>
      </c>
      <c r="AF2114">
        <v>-10.397795623384001</v>
      </c>
      <c r="AG2114">
        <v>15.777339999999899</v>
      </c>
      <c r="AH2114">
        <v>261.68598262961399</v>
      </c>
      <c r="AI2114">
        <v>86.552463834629194</v>
      </c>
      <c r="AJ2114">
        <v>92.275385853010604</v>
      </c>
      <c r="AK2114">
        <v>262.367284767228</v>
      </c>
      <c r="AL2114">
        <v>87.820605971664904</v>
      </c>
      <c r="AM2114">
        <v>90.241368877440195</v>
      </c>
      <c r="AN2114">
        <v>1.00000000926124</v>
      </c>
    </row>
    <row r="2115" spans="1:40" x14ac:dyDescent="0.25">
      <c r="A2115" t="str">
        <f>"20190312160642268"</f>
        <v>20190312160642268</v>
      </c>
      <c r="B2115" t="str">
        <f>"1552378002257289"</f>
        <v>1552378002257289</v>
      </c>
      <c r="C2115" t="s">
        <v>40</v>
      </c>
      <c r="D2115">
        <v>6.0429050000000002</v>
      </c>
      <c r="E2115">
        <v>0.49177710000000002</v>
      </c>
      <c r="F2115" t="s">
        <v>41</v>
      </c>
      <c r="G2115">
        <v>0</v>
      </c>
      <c r="H2115">
        <v>0</v>
      </c>
      <c r="I2115">
        <v>0</v>
      </c>
      <c r="J2115">
        <v>-290.93450000000001</v>
      </c>
      <c r="K2115">
        <v>1.108142</v>
      </c>
      <c r="L2115">
        <v>283.38709999999998</v>
      </c>
      <c r="M2115">
        <v>-0.99970369999999997</v>
      </c>
      <c r="N2115">
        <v>0</v>
      </c>
      <c r="O2115">
        <v>2.4093750000000001E-2</v>
      </c>
      <c r="P2115">
        <v>-0.99921470000000001</v>
      </c>
      <c r="Q2115">
        <v>3.4667280000000002E-2</v>
      </c>
      <c r="R2115">
        <v>1.9185319999999999E-2</v>
      </c>
      <c r="S2115">
        <v>-2.996826</v>
      </c>
      <c r="T2115">
        <v>0.17765520000000001</v>
      </c>
      <c r="U2115">
        <v>-2.4688720000000001E-2</v>
      </c>
      <c r="V2115">
        <v>-4.8933589999999999E-3</v>
      </c>
      <c r="W2115">
        <v>3.8148990000000001E-2</v>
      </c>
      <c r="X2115">
        <v>0.99926009999999998</v>
      </c>
      <c r="Y2115">
        <v>-3.2229819999999999E-2</v>
      </c>
      <c r="Z2115">
        <v>2.381424E-3</v>
      </c>
      <c r="AA2115">
        <v>0.99947759999999997</v>
      </c>
      <c r="AB2115">
        <v>34</v>
      </c>
      <c r="AC2115">
        <v>-2.996826</v>
      </c>
      <c r="AD2115">
        <v>0.17765520000000001</v>
      </c>
      <c r="AE2115">
        <v>-2.4688720000000001E-2</v>
      </c>
      <c r="AF2115">
        <v>-9.6547493546275398E-2</v>
      </c>
      <c r="AG2115">
        <v>0.17765520000000001</v>
      </c>
      <c r="AH2115">
        <v>2.98487229501526</v>
      </c>
      <c r="AI2115">
        <v>86.595634118678106</v>
      </c>
      <c r="AJ2115">
        <v>91.852620610121406</v>
      </c>
      <c r="AK2115">
        <v>2.9917127880441301</v>
      </c>
      <c r="AL2115">
        <v>87.8136933976444</v>
      </c>
      <c r="AM2115">
        <v>90.280574174083895</v>
      </c>
      <c r="AN2115">
        <v>1.00000001892616</v>
      </c>
    </row>
    <row r="2116" spans="1:40" x14ac:dyDescent="0.25">
      <c r="A2116" t="str">
        <f>"20190312160642290"</f>
        <v>20190312160642290</v>
      </c>
      <c r="B2116" t="str">
        <f>"1552378002287545"</f>
        <v>1552378002287545</v>
      </c>
      <c r="C2116" t="s">
        <v>40</v>
      </c>
      <c r="D2116">
        <v>6.2024980000000003</v>
      </c>
      <c r="E2116">
        <v>0.49277409999999999</v>
      </c>
      <c r="F2116" t="s">
        <v>41</v>
      </c>
      <c r="G2116">
        <v>0</v>
      </c>
      <c r="H2116">
        <v>0</v>
      </c>
      <c r="I2116">
        <v>0</v>
      </c>
      <c r="J2116">
        <v>-291.27760000000001</v>
      </c>
      <c r="K2116">
        <v>1.1082209999999999</v>
      </c>
      <c r="L2116">
        <v>283.3954</v>
      </c>
      <c r="M2116">
        <v>-0.9997047</v>
      </c>
      <c r="N2116">
        <v>0</v>
      </c>
      <c r="O2116">
        <v>2.409159E-2</v>
      </c>
      <c r="P2116">
        <v>-0.99922759999999999</v>
      </c>
      <c r="Q2116">
        <v>3.4744780000000003E-2</v>
      </c>
      <c r="R2116">
        <v>1.8365860000000001E-2</v>
      </c>
      <c r="S2116">
        <v>-2.9974370000000001</v>
      </c>
      <c r="T2116">
        <v>0.14736939999999901</v>
      </c>
      <c r="U2116">
        <v>-8.7585449999999995E-3</v>
      </c>
      <c r="V2116">
        <v>-5.7110470000000003E-3</v>
      </c>
      <c r="W2116">
        <v>3.795171E-2</v>
      </c>
      <c r="X2116">
        <v>0.99926320000000002</v>
      </c>
      <c r="Y2116">
        <v>-2.695111E-2</v>
      </c>
      <c r="Z2116">
        <v>1.845806E-3</v>
      </c>
      <c r="AA2116">
        <v>0.99963500000000005</v>
      </c>
      <c r="AB2116">
        <v>35</v>
      </c>
      <c r="AC2116">
        <v>-2.9974370000000001</v>
      </c>
      <c r="AD2116">
        <v>0.14736939999999901</v>
      </c>
      <c r="AE2116">
        <v>-8.7585449999999995E-3</v>
      </c>
      <c r="AF2116">
        <v>-8.0774144623118105E-2</v>
      </c>
      <c r="AG2116">
        <v>0.14736939999999901</v>
      </c>
      <c r="AH2116">
        <v>2.9891306964066402</v>
      </c>
      <c r="AI2116">
        <v>87.178530972813903</v>
      </c>
      <c r="AJ2116">
        <v>91.547905411459894</v>
      </c>
      <c r="AK2116">
        <v>2.9938511189931298</v>
      </c>
      <c r="AL2116">
        <v>87.825004740823999</v>
      </c>
      <c r="AM2116">
        <v>90.327456597013096</v>
      </c>
      <c r="AN2116">
        <v>0.99999994561199801</v>
      </c>
    </row>
    <row r="2117" spans="1:40" x14ac:dyDescent="0.25">
      <c r="A2117" t="str">
        <f>"20190312160642303"</f>
        <v>20190312160642303</v>
      </c>
      <c r="B2117" t="str">
        <f>"1552378002297304"</f>
        <v>1552378002297304</v>
      </c>
      <c r="C2117" t="s">
        <v>40</v>
      </c>
      <c r="D2117">
        <v>6.2175000000000002</v>
      </c>
      <c r="E2117">
        <v>0.49317060000000001</v>
      </c>
      <c r="F2117" t="s">
        <v>41</v>
      </c>
      <c r="G2117">
        <v>0</v>
      </c>
      <c r="H2117">
        <v>0</v>
      </c>
      <c r="I2117">
        <v>0</v>
      </c>
      <c r="J2117">
        <v>-291.47800000000001</v>
      </c>
      <c r="K2117">
        <v>1.108295</v>
      </c>
      <c r="L2117">
        <v>283.40019999999998</v>
      </c>
      <c r="M2117">
        <v>-0.99970479999999995</v>
      </c>
      <c r="N2117">
        <v>0</v>
      </c>
      <c r="O2117">
        <v>2.4089920000000001E-2</v>
      </c>
      <c r="P2117">
        <v>-0.99923629999999997</v>
      </c>
      <c r="Q2117">
        <v>3.4604620000000003E-2</v>
      </c>
      <c r="R2117">
        <v>1.8149599999999998E-2</v>
      </c>
      <c r="S2117">
        <v>-2.996826</v>
      </c>
      <c r="T2117">
        <v>0.1602296</v>
      </c>
      <c r="U2117">
        <v>-3.4179689999999999E-3</v>
      </c>
      <c r="V2117">
        <v>-5.9259739999999997E-3</v>
      </c>
      <c r="W2117">
        <v>3.7811629999999999E-2</v>
      </c>
      <c r="X2117">
        <v>0.99926729999999997</v>
      </c>
      <c r="Y2117">
        <v>-2.5159890000000001E-2</v>
      </c>
      <c r="Z2117">
        <v>1.959124E-3</v>
      </c>
      <c r="AA2117">
        <v>0.9996815</v>
      </c>
      <c r="AB2117">
        <v>35</v>
      </c>
      <c r="AC2117">
        <v>-2.996826</v>
      </c>
      <c r="AD2117">
        <v>0.1602296</v>
      </c>
      <c r="AE2117">
        <v>-3.4179689999999999E-3</v>
      </c>
      <c r="AF2117">
        <v>-7.5395107566788105E-2</v>
      </c>
      <c r="AG2117">
        <v>0.1602296</v>
      </c>
      <c r="AH2117">
        <v>2.9873342002875698</v>
      </c>
      <c r="AI2117">
        <v>86.930782871205807</v>
      </c>
      <c r="AJ2117">
        <v>91.445738682719593</v>
      </c>
      <c r="AK2117">
        <v>2.9925780810479998</v>
      </c>
      <c r="AL2117">
        <v>87.833036588058803</v>
      </c>
      <c r="AM2117">
        <v>90.339778275017096</v>
      </c>
      <c r="AN2117">
        <v>0.99999998669019696</v>
      </c>
    </row>
    <row r="2118" spans="1:40" x14ac:dyDescent="0.25">
      <c r="A2118" t="str">
        <f>"20190312160642314"</f>
        <v>20190312160642314</v>
      </c>
      <c r="B2118" t="str">
        <f>"1552378002307065"</f>
        <v>1552378002307065</v>
      </c>
      <c r="C2118" t="s">
        <v>40</v>
      </c>
      <c r="D2118">
        <v>6.0791409999999999</v>
      </c>
      <c r="E2118">
        <v>0.4933902</v>
      </c>
      <c r="F2118" t="s">
        <v>41</v>
      </c>
      <c r="G2118">
        <v>0</v>
      </c>
      <c r="H2118">
        <v>0</v>
      </c>
      <c r="I2118">
        <v>0</v>
      </c>
      <c r="J2118">
        <v>-291.66329999999999</v>
      </c>
      <c r="K2118">
        <v>1.1083700000000001</v>
      </c>
      <c r="L2118">
        <v>283.40469999999999</v>
      </c>
      <c r="M2118">
        <v>-0.9997047</v>
      </c>
      <c r="N2118">
        <v>0</v>
      </c>
      <c r="O2118">
        <v>2.408865E-2</v>
      </c>
      <c r="P2118">
        <v>-0.9992491</v>
      </c>
      <c r="Q2118">
        <v>3.4473509999999999E-2</v>
      </c>
      <c r="R2118">
        <v>1.7695209999999999E-2</v>
      </c>
      <c r="S2118">
        <v>-2.9970400000000001</v>
      </c>
      <c r="T2118">
        <v>0.15123300000000001</v>
      </c>
      <c r="U2118">
        <v>-9.1552729999999996E-4</v>
      </c>
      <c r="V2118">
        <v>-6.3791330000000004E-3</v>
      </c>
      <c r="W2118">
        <v>3.772681E-2</v>
      </c>
      <c r="X2118">
        <v>0.99926780000000004</v>
      </c>
      <c r="Y2118">
        <v>-2.433256E-2</v>
      </c>
      <c r="Z2118">
        <v>1.828208E-3</v>
      </c>
      <c r="AA2118">
        <v>0.99970230000000004</v>
      </c>
      <c r="AB2118">
        <v>35</v>
      </c>
      <c r="AC2118">
        <v>-2.9970400000000001</v>
      </c>
      <c r="AD2118">
        <v>0.15123300000000001</v>
      </c>
      <c r="AE2118">
        <v>-9.1552729999999996E-4</v>
      </c>
      <c r="AF2118">
        <v>-7.2924591998442895E-2</v>
      </c>
      <c r="AG2118">
        <v>0.15123300000000001</v>
      </c>
      <c r="AH2118">
        <v>2.9885385866150398</v>
      </c>
      <c r="AI2118">
        <v>87.103917081947202</v>
      </c>
      <c r="AJ2118">
        <v>91.397821119169294</v>
      </c>
      <c r="AK2118">
        <v>2.9932511254644401</v>
      </c>
      <c r="AL2118">
        <v>87.837900068154099</v>
      </c>
      <c r="AM2118">
        <v>90.365760242585793</v>
      </c>
      <c r="AN2118">
        <v>1.00000007082372</v>
      </c>
    </row>
    <row r="2119" spans="1:40" x14ac:dyDescent="0.25">
      <c r="A2119" t="str">
        <f>"20190312160642325"</f>
        <v>20190312160642325</v>
      </c>
      <c r="B2119" t="str">
        <f>"1552378002316825"</f>
        <v>1552378002316825</v>
      </c>
      <c r="C2119" t="s">
        <v>40</v>
      </c>
      <c r="D2119">
        <v>6.1801269999999997</v>
      </c>
      <c r="E2119">
        <v>0.4933902</v>
      </c>
      <c r="F2119" t="s">
        <v>41</v>
      </c>
      <c r="G2119">
        <v>0</v>
      </c>
      <c r="H2119">
        <v>0</v>
      </c>
      <c r="I2119">
        <v>0</v>
      </c>
      <c r="J2119">
        <v>-291.839</v>
      </c>
      <c r="K2119">
        <v>1.1084400000000001</v>
      </c>
      <c r="L2119">
        <v>283.40890000000002</v>
      </c>
      <c r="M2119">
        <v>-0.99970420000000004</v>
      </c>
      <c r="N2119">
        <v>0</v>
      </c>
      <c r="O2119">
        <v>2.4087819999999999E-2</v>
      </c>
      <c r="P2119">
        <v>-0.99926789999999999</v>
      </c>
      <c r="Q2119">
        <v>3.4106030000000002E-2</v>
      </c>
      <c r="R2119">
        <v>1.732649E-2</v>
      </c>
      <c r="S2119">
        <v>-2.997223</v>
      </c>
      <c r="T2119">
        <v>0.14575099999999999</v>
      </c>
      <c r="U2119">
        <v>-4.577637E-4</v>
      </c>
      <c r="V2119">
        <v>-6.7475249999999999E-3</v>
      </c>
      <c r="W2119">
        <v>3.7465680000000001E-2</v>
      </c>
      <c r="X2119">
        <v>0.99927509999999997</v>
      </c>
      <c r="Y2119">
        <v>-2.4183610000000001E-2</v>
      </c>
      <c r="Z2119">
        <v>1.758251E-3</v>
      </c>
      <c r="AA2119">
        <v>0.99970599999999998</v>
      </c>
      <c r="AB2119">
        <v>35</v>
      </c>
      <c r="AC2119">
        <v>-2.997223</v>
      </c>
      <c r="AD2119">
        <v>0.14575099999999999</v>
      </c>
      <c r="AE2119">
        <v>-4.577637E-4</v>
      </c>
      <c r="AF2119">
        <v>-7.2483201988202003E-2</v>
      </c>
      <c r="AG2119">
        <v>0.14575099999999999</v>
      </c>
      <c r="AH2119">
        <v>2.9892734285274698</v>
      </c>
      <c r="AI2119">
        <v>87.2094018695079</v>
      </c>
      <c r="AJ2119">
        <v>91.389022458097202</v>
      </c>
      <c r="AK2119">
        <v>2.9937021894423301</v>
      </c>
      <c r="AL2119">
        <v>87.852872073796505</v>
      </c>
      <c r="AM2119">
        <v>90.386879277838702</v>
      </c>
      <c r="AN2119">
        <v>0.99999996587574802</v>
      </c>
    </row>
    <row r="2120" spans="1:40" x14ac:dyDescent="0.25">
      <c r="A2120" t="str">
        <f>"20190312160643027"</f>
        <v>20190312160643027</v>
      </c>
      <c r="B2120" t="str">
        <f>"1552378003016915"</f>
        <v>1552378003016915</v>
      </c>
      <c r="C2120" t="s">
        <v>40</v>
      </c>
      <c r="D2120">
        <v>6.2561960000000001</v>
      </c>
      <c r="E2120">
        <v>0.4933902</v>
      </c>
      <c r="F2120" t="s">
        <v>41</v>
      </c>
      <c r="G2120">
        <v>0</v>
      </c>
      <c r="H2120">
        <v>0</v>
      </c>
      <c r="I2120">
        <v>0</v>
      </c>
      <c r="J2120">
        <v>-303.22640000000001</v>
      </c>
      <c r="K2120">
        <v>1.108854</v>
      </c>
      <c r="L2120">
        <v>283.68310000000002</v>
      </c>
      <c r="M2120">
        <v>-0.99968279999999998</v>
      </c>
      <c r="N2120">
        <v>0</v>
      </c>
      <c r="O2120">
        <v>2.4066440000000001E-2</v>
      </c>
      <c r="P2120">
        <v>-0.99941190000000002</v>
      </c>
      <c r="Q2120">
        <v>2.8576279999999999E-2</v>
      </c>
      <c r="R2120">
        <v>1.8959509999999999E-2</v>
      </c>
      <c r="S2120">
        <v>-2.997223</v>
      </c>
      <c r="T2120">
        <v>0.1446345</v>
      </c>
      <c r="U2120">
        <v>-1.525879E-3</v>
      </c>
      <c r="V2120">
        <v>-5.0976999999999897E-3</v>
      </c>
      <c r="W2120">
        <v>3.6006129999999997E-2</v>
      </c>
      <c r="X2120">
        <v>0.99933859999999997</v>
      </c>
      <c r="Y2120">
        <v>-2.451952E-2</v>
      </c>
      <c r="Z2120">
        <v>1.7518929999999901E-3</v>
      </c>
      <c r="AA2120">
        <v>0.99969779999999997</v>
      </c>
      <c r="AB2120">
        <v>38</v>
      </c>
      <c r="AC2120">
        <v>-2.997223</v>
      </c>
      <c r="AD2120">
        <v>0.1446345</v>
      </c>
      <c r="AE2120">
        <v>-1.525879E-3</v>
      </c>
      <c r="AF2120">
        <v>-7.3488781876191595E-2</v>
      </c>
      <c r="AG2120">
        <v>0.1446345</v>
      </c>
      <c r="AH2120">
        <v>2.9893569291528199</v>
      </c>
      <c r="AI2120">
        <v>87.230845234450697</v>
      </c>
      <c r="AJ2120">
        <v>91.408245729551695</v>
      </c>
      <c r="AK2120">
        <v>2.9937559335266299</v>
      </c>
      <c r="AL2120">
        <v>87.936554762027797</v>
      </c>
      <c r="AM2120">
        <v>90.292267467594996</v>
      </c>
      <c r="AN2120">
        <v>1.00000003269641</v>
      </c>
    </row>
    <row r="2121" spans="1:40" x14ac:dyDescent="0.25">
      <c r="A2121" t="str">
        <f>"20190312160643050"</f>
        <v>20190312160643050</v>
      </c>
      <c r="B2121" t="str">
        <f>"1552378003037411"</f>
        <v>1552378003037411</v>
      </c>
      <c r="C2121" t="s">
        <v>40</v>
      </c>
      <c r="D2121">
        <v>5.9711179999999997</v>
      </c>
      <c r="E2121">
        <v>0.43206709999999898</v>
      </c>
      <c r="F2121" t="s">
        <v>41</v>
      </c>
      <c r="G2121">
        <v>0</v>
      </c>
      <c r="H2121">
        <v>0</v>
      </c>
      <c r="I2121">
        <v>0</v>
      </c>
      <c r="J2121">
        <v>-303.59789999999998</v>
      </c>
      <c r="K2121">
        <v>1.108849</v>
      </c>
      <c r="L2121">
        <v>283.69209999999998</v>
      </c>
      <c r="M2121">
        <v>-0.99968259999999998</v>
      </c>
      <c r="N2121">
        <v>0</v>
      </c>
      <c r="O2121">
        <v>2.406606E-2</v>
      </c>
      <c r="P2121">
        <v>-0.99942350000000002</v>
      </c>
      <c r="Q2121">
        <v>2.832811E-2</v>
      </c>
      <c r="R2121">
        <v>1.8715880000000001E-2</v>
      </c>
      <c r="S2121">
        <v>-2.9980470000000001</v>
      </c>
      <c r="T2121">
        <v>0.1278628</v>
      </c>
      <c r="U2121">
        <v>3.2653809999999999E-3</v>
      </c>
      <c r="V2121">
        <v>-5.3412449999999997E-3</v>
      </c>
      <c r="W2121">
        <v>3.5779770000000002E-2</v>
      </c>
      <c r="X2121">
        <v>0.99934540000000005</v>
      </c>
      <c r="Y2121">
        <v>-2.293514E-2</v>
      </c>
      <c r="Z2121">
        <v>1.514725E-3</v>
      </c>
      <c r="AA2121">
        <v>0.99973579999999995</v>
      </c>
      <c r="AB2121">
        <v>38</v>
      </c>
      <c r="AC2121">
        <v>-2.9980470000000001</v>
      </c>
      <c r="AD2121">
        <v>0.1278628</v>
      </c>
      <c r="AE2121">
        <v>3.2653809999999999E-3</v>
      </c>
      <c r="AF2121">
        <v>-6.8763672053830993E-2</v>
      </c>
      <c r="AG2121">
        <v>0.1278628</v>
      </c>
      <c r="AH2121">
        <v>2.99181537510032</v>
      </c>
      <c r="AI2121">
        <v>87.553454431789405</v>
      </c>
      <c r="AJ2121">
        <v>91.316650313899999</v>
      </c>
      <c r="AK2121">
        <v>2.9953358036962801</v>
      </c>
      <c r="AL2121">
        <v>87.949532477641498</v>
      </c>
      <c r="AM2121">
        <v>90.306228338911595</v>
      </c>
      <c r="AN2121">
        <v>0.99999997467028101</v>
      </c>
    </row>
    <row r="2122" spans="1:40" x14ac:dyDescent="0.25">
      <c r="A2122" t="str">
        <f>"20190312160643072"</f>
        <v>20190312160643072</v>
      </c>
      <c r="B2122" t="str">
        <f>"1552378003067667"</f>
        <v>1552378003067667</v>
      </c>
      <c r="C2122" t="s">
        <v>40</v>
      </c>
      <c r="D2122">
        <v>6.0283579999999999</v>
      </c>
      <c r="E2122">
        <v>0.47762789999999999</v>
      </c>
      <c r="F2122" t="s">
        <v>79</v>
      </c>
      <c r="G2122">
        <v>-458.45</v>
      </c>
      <c r="H2122">
        <v>25.73434</v>
      </c>
      <c r="I2122">
        <v>258.13459999999998</v>
      </c>
      <c r="J2122">
        <v>-303.98660000000001</v>
      </c>
      <c r="K2122">
        <v>1.1088469999999999</v>
      </c>
      <c r="L2122">
        <v>283.70139999999998</v>
      </c>
      <c r="M2122">
        <v>-0.99968250000000003</v>
      </c>
      <c r="N2122">
        <v>0</v>
      </c>
      <c r="O2122">
        <v>2.4065320000000001E-2</v>
      </c>
      <c r="P2122">
        <v>-0.99943249999999995</v>
      </c>
      <c r="Q2122">
        <v>2.8357759999999999E-2</v>
      </c>
      <c r="R2122">
        <v>1.8190049999999999E-2</v>
      </c>
      <c r="S2122">
        <v>-2.9974980000000002</v>
      </c>
      <c r="T2122">
        <v>0.47668120000000003</v>
      </c>
      <c r="U2122">
        <v>-0.49472050000000001</v>
      </c>
      <c r="V2122">
        <v>-5.8663639999999998E-3</v>
      </c>
      <c r="W2122">
        <v>3.5831229999999999E-2</v>
      </c>
      <c r="X2122">
        <v>0.99934069999999997</v>
      </c>
      <c r="Y2122">
        <v>-0.18399109999999999</v>
      </c>
      <c r="Z2122">
        <v>1.8222209999999999E-2</v>
      </c>
      <c r="AA2122">
        <v>0.98275900000000005</v>
      </c>
      <c r="AB2122">
        <v>38</v>
      </c>
      <c r="AC2122">
        <v>-154.46339999999901</v>
      </c>
      <c r="AD2122">
        <v>24.625492999999999</v>
      </c>
      <c r="AE2122">
        <v>-25.566800000000001</v>
      </c>
      <c r="AF2122">
        <v>-28.569921423798199</v>
      </c>
      <c r="AG2122">
        <v>24.625492999999999</v>
      </c>
      <c r="AH2122">
        <v>150.09030330227199</v>
      </c>
      <c r="AI2122">
        <v>80.843973632380795</v>
      </c>
      <c r="AJ2122">
        <v>100.77740619697801</v>
      </c>
      <c r="AK2122">
        <v>154.75708210296301</v>
      </c>
      <c r="AL2122">
        <v>87.946582326333399</v>
      </c>
      <c r="AM2122">
        <v>90.336335783714404</v>
      </c>
      <c r="AN2122">
        <v>1.00000006297318</v>
      </c>
    </row>
    <row r="2123" spans="1:40" x14ac:dyDescent="0.25">
      <c r="A2123" t="str">
        <f>"20190312160643095"</f>
        <v>20190312160643095</v>
      </c>
      <c r="B2123" t="str">
        <f>"1552378003087187"</f>
        <v>1552378003087187</v>
      </c>
      <c r="C2123" t="s">
        <v>40</v>
      </c>
      <c r="D2123">
        <v>6.1172449999999996</v>
      </c>
      <c r="E2123">
        <v>0.48121049999999899</v>
      </c>
      <c r="F2123" t="s">
        <v>66</v>
      </c>
      <c r="G2123">
        <v>-340.99709999999999</v>
      </c>
      <c r="H2123" s="1">
        <v>-1.0061899999999999E-6</v>
      </c>
      <c r="I2123">
        <v>282.22500000000002</v>
      </c>
      <c r="J2123">
        <v>-304.37909999999999</v>
      </c>
      <c r="K2123">
        <v>1.1088469999999999</v>
      </c>
      <c r="L2123">
        <v>283.71089999999998</v>
      </c>
      <c r="M2123">
        <v>-0.99968230000000002</v>
      </c>
      <c r="N2123">
        <v>0</v>
      </c>
      <c r="O2123">
        <v>2.4064889999999999E-2</v>
      </c>
      <c r="P2123">
        <v>-0.99944889999999997</v>
      </c>
      <c r="Q2123">
        <v>2.810549E-2</v>
      </c>
      <c r="R2123">
        <v>1.7669810000000001E-2</v>
      </c>
      <c r="S2123">
        <v>-3.0064700000000002</v>
      </c>
      <c r="T2123">
        <v>-9.0074899999999999E-2</v>
      </c>
      <c r="U2123">
        <v>-0.1199341</v>
      </c>
      <c r="V2123">
        <v>-6.3858269999999898E-3</v>
      </c>
      <c r="W2123">
        <v>3.5599649999999997E-2</v>
      </c>
      <c r="X2123">
        <v>0.9993457</v>
      </c>
      <c r="Y2123">
        <v>-6.3855800000000004E-2</v>
      </c>
      <c r="Z2123">
        <v>-1.6765759999999999E-3</v>
      </c>
      <c r="AA2123">
        <v>0.99795769999999995</v>
      </c>
      <c r="AB2123">
        <v>38</v>
      </c>
      <c r="AC2123">
        <v>-36.618000000000002</v>
      </c>
      <c r="AD2123">
        <v>-1.1088480061899999</v>
      </c>
      <c r="AE2123">
        <v>-1.48589999999995</v>
      </c>
      <c r="AF2123">
        <v>-2.36453790898973</v>
      </c>
      <c r="AG2123">
        <v>-1.1088480061899999</v>
      </c>
      <c r="AH2123">
        <v>36.538186437889998</v>
      </c>
      <c r="AI2123">
        <v>91.734632389424604</v>
      </c>
      <c r="AJ2123">
        <v>93.702684940093107</v>
      </c>
      <c r="AK2123">
        <v>36.631402533808199</v>
      </c>
      <c r="AL2123">
        <v>87.959859165144096</v>
      </c>
      <c r="AM2123">
        <v>90.366115505389701</v>
      </c>
      <c r="AN2123">
        <v>0.99999997098754201</v>
      </c>
    </row>
    <row r="2124" spans="1:40" x14ac:dyDescent="0.25">
      <c r="A2124" t="str">
        <f>"20190312160643116"</f>
        <v>20190312160643116</v>
      </c>
      <c r="B2124" t="str">
        <f>"1552378003107686"</f>
        <v>1552378003107686</v>
      </c>
      <c r="C2124" t="s">
        <v>40</v>
      </c>
      <c r="D2124">
        <v>6.1871119999999999</v>
      </c>
      <c r="E2124">
        <v>0.48266949999999997</v>
      </c>
      <c r="F2124" t="s">
        <v>66</v>
      </c>
      <c r="G2124">
        <v>-331.40899999999999</v>
      </c>
      <c r="H2124" s="1">
        <v>-7.1123849999999997E-7</v>
      </c>
      <c r="I2124">
        <v>282.88369999999998</v>
      </c>
      <c r="J2124">
        <v>-304.73840000000001</v>
      </c>
      <c r="K2124">
        <v>1.1088499999999999</v>
      </c>
      <c r="L2124">
        <v>283.71949999999998</v>
      </c>
      <c r="M2124">
        <v>-0.99968230000000002</v>
      </c>
      <c r="N2124">
        <v>0</v>
      </c>
      <c r="O2124">
        <v>2.406434E-2</v>
      </c>
      <c r="P2124">
        <v>-0.99945810000000002</v>
      </c>
      <c r="Q2124">
        <v>2.8172920000000001E-2</v>
      </c>
      <c r="R2124">
        <v>1.703648E-2</v>
      </c>
      <c r="S2124">
        <v>-3.0067439999999999</v>
      </c>
      <c r="T2124">
        <v>-0.1233456</v>
      </c>
      <c r="U2124">
        <v>-9.2010499999999995E-2</v>
      </c>
      <c r="V2124">
        <v>-7.0191059999999998E-3</v>
      </c>
      <c r="W2124">
        <v>3.5684470000000003E-2</v>
      </c>
      <c r="X2124">
        <v>0.99933839999999996</v>
      </c>
      <c r="Y2124">
        <v>-5.4565870000000002E-2</v>
      </c>
      <c r="Z2124">
        <v>-2.1050880000000002E-3</v>
      </c>
      <c r="AA2124">
        <v>0.99850799999999995</v>
      </c>
      <c r="AB2124">
        <v>38</v>
      </c>
      <c r="AC2124">
        <v>-26.670599999999901</v>
      </c>
      <c r="AD2124">
        <v>-1.1088507112385</v>
      </c>
      <c r="AE2124">
        <v>-0.83580000000000598</v>
      </c>
      <c r="AF2124">
        <v>-1.47483954798705</v>
      </c>
      <c r="AG2124">
        <v>-1.1088507112385</v>
      </c>
      <c r="AH2124">
        <v>26.596833826858902</v>
      </c>
      <c r="AI2124">
        <v>92.383682617157206</v>
      </c>
      <c r="AJ2124">
        <v>93.173897690169198</v>
      </c>
      <c r="AK2124">
        <v>26.660762764888499</v>
      </c>
      <c r="AL2124">
        <v>87.954996190907906</v>
      </c>
      <c r="AM2124">
        <v>90.402424780833798</v>
      </c>
      <c r="AN2124">
        <v>0.99999994348138799</v>
      </c>
    </row>
    <row r="2125" spans="1:40" x14ac:dyDescent="0.25">
      <c r="A2125" t="str">
        <f>"20190312160643138"</f>
        <v>20190312160643138</v>
      </c>
      <c r="B2125" t="str">
        <f>"1552378003127204"</f>
        <v>1552378003127204</v>
      </c>
      <c r="C2125" t="s">
        <v>40</v>
      </c>
      <c r="D2125">
        <v>6.1802330000000003</v>
      </c>
      <c r="E2125">
        <v>0.48468260000000002</v>
      </c>
      <c r="F2125" t="s">
        <v>66</v>
      </c>
      <c r="G2125">
        <v>-330.67599999999999</v>
      </c>
      <c r="H2125" s="1">
        <v>-1.10684E-6</v>
      </c>
      <c r="I2125">
        <v>283.01</v>
      </c>
      <c r="J2125">
        <v>-305.1112</v>
      </c>
      <c r="K2125">
        <v>1.108851</v>
      </c>
      <c r="L2125">
        <v>283.7285</v>
      </c>
      <c r="M2125">
        <v>-0.99968210000000002</v>
      </c>
      <c r="N2125">
        <v>0</v>
      </c>
      <c r="O2125">
        <v>2.4063910000000001E-2</v>
      </c>
      <c r="P2125">
        <v>-0.99944880000000003</v>
      </c>
      <c r="Q2125">
        <v>2.8515860000000001E-2</v>
      </c>
      <c r="R2125">
        <v>1.699647E-2</v>
      </c>
      <c r="S2125">
        <v>-3.006653</v>
      </c>
      <c r="T2125">
        <v>-0.12853629999999999</v>
      </c>
      <c r="U2125">
        <v>-8.2244869999999998E-2</v>
      </c>
      <c r="V2125">
        <v>-7.0585659999999996E-3</v>
      </c>
      <c r="W2125">
        <v>3.6046139999999997E-2</v>
      </c>
      <c r="X2125">
        <v>0.99932520000000002</v>
      </c>
      <c r="Y2125">
        <v>-5.1322939999999997E-2</v>
      </c>
      <c r="Z2125">
        <v>-2.124464E-3</v>
      </c>
      <c r="AA2125">
        <v>0.99867989999999995</v>
      </c>
      <c r="AB2125">
        <v>38</v>
      </c>
      <c r="AC2125">
        <v>-25.564799999999899</v>
      </c>
      <c r="AD2125">
        <v>-1.1088521068399999</v>
      </c>
      <c r="AE2125">
        <v>-0.71850000000000502</v>
      </c>
      <c r="AF2125">
        <v>-1.3309963394636599</v>
      </c>
      <c r="AG2125">
        <v>-1.1088521068399999</v>
      </c>
      <c r="AH2125">
        <v>25.4921850921565</v>
      </c>
      <c r="AI2125">
        <v>92.487282439417996</v>
      </c>
      <c r="AJ2125">
        <v>92.988809633497894</v>
      </c>
      <c r="AK2125">
        <v>25.550980510017201</v>
      </c>
      <c r="AL2125">
        <v>87.934260804322804</v>
      </c>
      <c r="AM2125">
        <v>90.404692402154296</v>
      </c>
      <c r="AN2125">
        <v>1.0000000014589501</v>
      </c>
    </row>
    <row r="2126" spans="1:40" x14ac:dyDescent="0.25">
      <c r="A2126" t="str">
        <f>"20190312160643162"</f>
        <v>20190312160643162</v>
      </c>
      <c r="B2126" t="str">
        <f>"1552378003157459"</f>
        <v>1552378003157459</v>
      </c>
      <c r="C2126" t="s">
        <v>40</v>
      </c>
      <c r="D2126">
        <v>6.2064380000000003</v>
      </c>
      <c r="E2126">
        <v>0.48472229999999999</v>
      </c>
      <c r="F2126" t="s">
        <v>66</v>
      </c>
      <c r="G2126">
        <v>-330.63589999999999</v>
      </c>
      <c r="H2126" s="1">
        <v>-1.135047E-6</v>
      </c>
      <c r="I2126">
        <v>283.16680000000002</v>
      </c>
      <c r="J2126">
        <v>-305.5127</v>
      </c>
      <c r="K2126">
        <v>1.1088549999999999</v>
      </c>
      <c r="L2126">
        <v>283.73820000000001</v>
      </c>
      <c r="M2126">
        <v>-0.99968190000000001</v>
      </c>
      <c r="N2126">
        <v>0</v>
      </c>
      <c r="O2126">
        <v>2.4063540000000001E-2</v>
      </c>
      <c r="P2126">
        <v>-0.99944390000000005</v>
      </c>
      <c r="Q2126">
        <v>2.866293E-2</v>
      </c>
      <c r="R2126">
        <v>1.7044529999999999E-2</v>
      </c>
      <c r="S2126">
        <v>-3.0065309999999998</v>
      </c>
      <c r="T2126">
        <v>-0.1306108</v>
      </c>
      <c r="U2126">
        <v>-6.6162109999999996E-2</v>
      </c>
      <c r="V2126">
        <v>-7.0099189999999999E-3</v>
      </c>
      <c r="W2126">
        <v>3.6211979999999998E-2</v>
      </c>
      <c r="X2126">
        <v>0.99931959999999997</v>
      </c>
      <c r="Y2126">
        <v>-4.5986800000000001E-2</v>
      </c>
      <c r="Z2126">
        <v>-2.0430779999999998E-3</v>
      </c>
      <c r="AA2126">
        <v>0.99893989999999999</v>
      </c>
      <c r="AB2126">
        <v>38</v>
      </c>
      <c r="AC2126">
        <v>-25.123200000000001</v>
      </c>
      <c r="AD2126">
        <v>-1.1088561350470001</v>
      </c>
      <c r="AE2126">
        <v>-0.57139999999998203</v>
      </c>
      <c r="AF2126">
        <v>-1.1735200072837999</v>
      </c>
      <c r="AG2126">
        <v>-1.1088561350470001</v>
      </c>
      <c r="AH2126">
        <v>25.053394312389202</v>
      </c>
      <c r="AI2126">
        <v>92.531469084750398</v>
      </c>
      <c r="AJ2126">
        <v>92.681817597776202</v>
      </c>
      <c r="AK2126">
        <v>25.105363524708899</v>
      </c>
      <c r="AL2126">
        <v>87.924752775235902</v>
      </c>
      <c r="AM2126">
        <v>90.401905642556301</v>
      </c>
      <c r="AN2126">
        <v>1.00000005470203</v>
      </c>
    </row>
    <row r="2127" spans="1:40" x14ac:dyDescent="0.25">
      <c r="A2127" t="str">
        <f>"20190312160643185"</f>
        <v>20190312160643185</v>
      </c>
      <c r="B2127" t="str">
        <f>"1552378003176979"</f>
        <v>1552378003176979</v>
      </c>
      <c r="C2127" t="s">
        <v>40</v>
      </c>
      <c r="D2127">
        <v>6.0992470000000001</v>
      </c>
      <c r="E2127">
        <v>0.48496790000000001</v>
      </c>
      <c r="F2127" t="s">
        <v>66</v>
      </c>
      <c r="G2127">
        <v>-330.00080000000003</v>
      </c>
      <c r="H2127" s="1">
        <v>-1.4745330000000001E-6</v>
      </c>
      <c r="I2127">
        <v>283.20179999999999</v>
      </c>
      <c r="J2127">
        <v>-305.91070000000002</v>
      </c>
      <c r="K2127">
        <v>1.108851</v>
      </c>
      <c r="L2127">
        <v>283.74770000000001</v>
      </c>
      <c r="M2127">
        <v>-0.99968179999999995</v>
      </c>
      <c r="N2127">
        <v>0</v>
      </c>
      <c r="O2127">
        <v>2.406293E-2</v>
      </c>
      <c r="P2127">
        <v>-0.99942209999999998</v>
      </c>
      <c r="Q2127">
        <v>2.932235E-2</v>
      </c>
      <c r="R2127">
        <v>1.719449E-2</v>
      </c>
      <c r="S2127">
        <v>-3.0067439999999999</v>
      </c>
      <c r="T2127">
        <v>-0.13614960000000001</v>
      </c>
      <c r="U2127">
        <v>-6.5856929999999994E-2</v>
      </c>
      <c r="V2127">
        <v>-6.8586940000000002E-3</v>
      </c>
      <c r="W2127">
        <v>3.688959E-2</v>
      </c>
      <c r="X2127">
        <v>0.99929579999999996</v>
      </c>
      <c r="Y2127">
        <v>-4.5877689999999999E-2</v>
      </c>
      <c r="Z2127">
        <v>-2.1269869999999999E-3</v>
      </c>
      <c r="AA2127">
        <v>0.99894479999999997</v>
      </c>
      <c r="AB2127">
        <v>38</v>
      </c>
      <c r="AC2127">
        <v>-24.0901</v>
      </c>
      <c r="AD2127">
        <v>-1.108852474533</v>
      </c>
      <c r="AE2127">
        <v>-0.54590000000001704</v>
      </c>
      <c r="AF2127">
        <v>-1.12305870629324</v>
      </c>
      <c r="AG2127">
        <v>-1.108852474533</v>
      </c>
      <c r="AH2127">
        <v>24.019124578481399</v>
      </c>
      <c r="AI2127">
        <v>92.640325347536901</v>
      </c>
      <c r="AJ2127">
        <v>92.677020708581097</v>
      </c>
      <c r="AK2127">
        <v>24.0709193880223</v>
      </c>
      <c r="AL2127">
        <v>87.885902486214803</v>
      </c>
      <c r="AM2127">
        <v>90.393244971711098</v>
      </c>
      <c r="AN2127">
        <v>0.99999998971569604</v>
      </c>
    </row>
    <row r="2128" spans="1:40" x14ac:dyDescent="0.25">
      <c r="A2128" t="str">
        <f>"20190312160643206"</f>
        <v>20190312160643206</v>
      </c>
      <c r="B2128" t="str">
        <f>"1552378003197478"</f>
        <v>1552378003197478</v>
      </c>
      <c r="C2128" t="s">
        <v>40</v>
      </c>
      <c r="D2128">
        <v>5.9838740000000001</v>
      </c>
      <c r="E2128">
        <v>0.48471389999999998</v>
      </c>
      <c r="F2128" t="s">
        <v>66</v>
      </c>
      <c r="G2128">
        <v>-332.09559999999999</v>
      </c>
      <c r="H2128" s="1">
        <v>-3.5952970000000001E-7</v>
      </c>
      <c r="I2128">
        <v>283.19600000000003</v>
      </c>
      <c r="J2128">
        <v>-306.26799999999997</v>
      </c>
      <c r="K2128">
        <v>1.108859</v>
      </c>
      <c r="L2128">
        <v>283.75630000000001</v>
      </c>
      <c r="M2128">
        <v>-0.99968179999999995</v>
      </c>
      <c r="N2128">
        <v>0</v>
      </c>
      <c r="O2128">
        <v>2.4062219999999999E-2</v>
      </c>
      <c r="P2128">
        <v>-0.99942520000000001</v>
      </c>
      <c r="Q2128">
        <v>2.9247869999999999E-2</v>
      </c>
      <c r="R2128">
        <v>1.7148569999999998E-2</v>
      </c>
      <c r="S2128">
        <v>-3.0065309999999998</v>
      </c>
      <c r="T2128">
        <v>-0.12731729999999999</v>
      </c>
      <c r="U2128">
        <v>-6.3354489999999999E-2</v>
      </c>
      <c r="V2128">
        <v>-6.9039770000000004E-3</v>
      </c>
      <c r="W2128">
        <v>3.6831460000000003E-2</v>
      </c>
      <c r="X2128">
        <v>0.99929760000000001</v>
      </c>
      <c r="Y2128">
        <v>-4.5057159999999999E-2</v>
      </c>
      <c r="Z2128">
        <v>-1.9718940000000001E-3</v>
      </c>
      <c r="AA2128">
        <v>0.9989825</v>
      </c>
      <c r="AB2128">
        <v>38</v>
      </c>
      <c r="AC2128">
        <v>-25.8276</v>
      </c>
      <c r="AD2128">
        <v>-1.1088593595297001</v>
      </c>
      <c r="AE2128">
        <v>-0.56030000000003999</v>
      </c>
      <c r="AF2128">
        <v>-1.1794519596689901</v>
      </c>
      <c r="AG2128">
        <v>-1.1088593595297001</v>
      </c>
      <c r="AH2128">
        <v>25.7591807348503</v>
      </c>
      <c r="AI2128">
        <v>92.462321722446902</v>
      </c>
      <c r="AJ2128">
        <v>92.621607176764897</v>
      </c>
      <c r="AK2128">
        <v>25.8099993827018</v>
      </c>
      <c r="AL2128">
        <v>87.889235286526997</v>
      </c>
      <c r="AM2128">
        <v>90.395840488741896</v>
      </c>
      <c r="AN2128">
        <v>0.99999995735495295</v>
      </c>
    </row>
    <row r="2129" spans="1:40" x14ac:dyDescent="0.25">
      <c r="A2129" t="str">
        <f>"20190312160643227"</f>
        <v>20190312160643227</v>
      </c>
      <c r="B2129" t="str">
        <f>"1552378003216996"</f>
        <v>1552378003216996</v>
      </c>
      <c r="C2129" t="s">
        <v>40</v>
      </c>
      <c r="D2129">
        <v>5.8956330000000001</v>
      </c>
      <c r="E2129">
        <v>0.48356209999999999</v>
      </c>
      <c r="F2129" t="s">
        <v>66</v>
      </c>
      <c r="G2129">
        <v>-336.92759999999998</v>
      </c>
      <c r="H2129" s="1">
        <v>2.2166340000000002E-6</v>
      </c>
      <c r="I2129">
        <v>283.08530000000002</v>
      </c>
      <c r="J2129">
        <v>-306.6465</v>
      </c>
      <c r="K2129">
        <v>1.1088579999999999</v>
      </c>
      <c r="L2129">
        <v>283.76549999999997</v>
      </c>
      <c r="M2129">
        <v>-0.9996815</v>
      </c>
      <c r="N2129">
        <v>0</v>
      </c>
      <c r="O2129">
        <v>2.406179E-2</v>
      </c>
      <c r="P2129">
        <v>-0.99938899999999997</v>
      </c>
      <c r="Q2129">
        <v>3.052829E-2</v>
      </c>
      <c r="R2129">
        <v>1.7024330000000001E-2</v>
      </c>
      <c r="S2129">
        <v>-3.0060419999999999</v>
      </c>
      <c r="T2129">
        <v>-0.10871889999999899</v>
      </c>
      <c r="U2129">
        <v>-6.5795899999999893E-2</v>
      </c>
      <c r="V2129">
        <v>-7.0270489999999996E-3</v>
      </c>
      <c r="W2129">
        <v>3.8128500000000003E-2</v>
      </c>
      <c r="X2129">
        <v>0.99924809999999997</v>
      </c>
      <c r="Y2129">
        <v>-4.5887320000000002E-2</v>
      </c>
      <c r="Z2129">
        <v>-1.699297E-3</v>
      </c>
      <c r="AA2129">
        <v>0.99894519999999998</v>
      </c>
      <c r="AB2129">
        <v>38</v>
      </c>
      <c r="AC2129">
        <v>-30.281099999999899</v>
      </c>
      <c r="AD2129">
        <v>-1.108855783366</v>
      </c>
      <c r="AE2129">
        <v>-0.68019999999995595</v>
      </c>
      <c r="AF2129">
        <v>-1.4067562130960201</v>
      </c>
      <c r="AG2129">
        <v>-1.108855783366</v>
      </c>
      <c r="AH2129">
        <v>30.215468536340399</v>
      </c>
      <c r="AI2129">
        <v>92.099441401418801</v>
      </c>
      <c r="AJ2129">
        <v>92.665622487649301</v>
      </c>
      <c r="AK2129">
        <v>30.268516036666998</v>
      </c>
      <c r="AL2129">
        <v>87.8148681220367</v>
      </c>
      <c r="AM2129">
        <v>90.402916566266498</v>
      </c>
      <c r="AN2129">
        <v>0.99999996364175303</v>
      </c>
    </row>
    <row r="2130" spans="1:40" x14ac:dyDescent="0.25">
      <c r="A2130" t="str">
        <f>"20190312160643251"</f>
        <v>20190312160643251</v>
      </c>
      <c r="B2130" t="str">
        <f>"1552378003247251"</f>
        <v>1552378003247251</v>
      </c>
      <c r="C2130" t="s">
        <v>40</v>
      </c>
      <c r="D2130">
        <v>6.0214910000000001</v>
      </c>
      <c r="E2130">
        <v>0.48387150000000001</v>
      </c>
      <c r="F2130" t="s">
        <v>66</v>
      </c>
      <c r="G2130">
        <v>-340.87430000000001</v>
      </c>
      <c r="H2130" s="1">
        <v>-1.0715269999999999E-6</v>
      </c>
      <c r="I2130">
        <v>282.90620000000001</v>
      </c>
      <c r="J2130">
        <v>-307.0351</v>
      </c>
      <c r="K2130">
        <v>1.1088559999999901</v>
      </c>
      <c r="L2130">
        <v>283.77480000000003</v>
      </c>
      <c r="M2130">
        <v>-0.99968140000000005</v>
      </c>
      <c r="N2130">
        <v>0</v>
      </c>
      <c r="O2130">
        <v>2.4061249999999999E-2</v>
      </c>
      <c r="P2130">
        <v>-0.99938939999999998</v>
      </c>
      <c r="Q2130">
        <v>3.050201E-2</v>
      </c>
      <c r="R2130">
        <v>1.7046410000000001E-2</v>
      </c>
      <c r="S2130">
        <v>-3.0061040000000001</v>
      </c>
      <c r="T2130">
        <v>-9.7387189999999998E-2</v>
      </c>
      <c r="U2130">
        <v>-7.5469969999999997E-2</v>
      </c>
      <c r="V2130">
        <v>-7.0041799999999996E-3</v>
      </c>
      <c r="W2130">
        <v>3.8118970000000002E-2</v>
      </c>
      <c r="X2130">
        <v>0.99924869999999999</v>
      </c>
      <c r="Y2130">
        <v>-4.9106410000000003E-2</v>
      </c>
      <c r="Z2130">
        <v>-1.5743020000000001E-3</v>
      </c>
      <c r="AA2130">
        <v>0.99879229999999997</v>
      </c>
      <c r="AB2130">
        <v>38</v>
      </c>
      <c r="AC2130">
        <v>-33.839199999999998</v>
      </c>
      <c r="AD2130">
        <v>-1.1088570715270001</v>
      </c>
      <c r="AE2130">
        <v>-0.86860000000001403</v>
      </c>
      <c r="AF2130">
        <v>-1.68078205714088</v>
      </c>
      <c r="AG2130">
        <v>-1.1088570715270001</v>
      </c>
      <c r="AH2130">
        <v>33.772262565703201</v>
      </c>
      <c r="AI2130">
        <v>91.878214821841695</v>
      </c>
      <c r="AJ2130">
        <v>92.849152528814002</v>
      </c>
      <c r="AK2130">
        <v>33.832237749452503</v>
      </c>
      <c r="AL2130">
        <v>87.815414713722205</v>
      </c>
      <c r="AM2130">
        <v>90.401605106628395</v>
      </c>
      <c r="AN2130">
        <v>1.0000000394315101</v>
      </c>
    </row>
    <row r="2131" spans="1:40" x14ac:dyDescent="0.25">
      <c r="A2131" t="str">
        <f>"20190312160643339"</f>
        <v>20190312160643339</v>
      </c>
      <c r="B2131" t="str">
        <f>"1552378003337043"</f>
        <v>1552378003337043</v>
      </c>
      <c r="C2131" t="s">
        <v>40</v>
      </c>
      <c r="D2131">
        <v>5.7423919999999997</v>
      </c>
      <c r="E2131">
        <v>0.45899079999999898</v>
      </c>
      <c r="F2131" t="s">
        <v>66</v>
      </c>
      <c r="G2131">
        <v>-339.94110000000001</v>
      </c>
      <c r="H2131" s="1">
        <v>3.8251360000000002E-6</v>
      </c>
      <c r="I2131">
        <v>282.97480000000002</v>
      </c>
      <c r="J2131">
        <v>-308.5804</v>
      </c>
      <c r="K2131">
        <v>1.1088469999999999</v>
      </c>
      <c r="L2131">
        <v>283.81200000000001</v>
      </c>
      <c r="M2131">
        <v>-0.99968109999999999</v>
      </c>
      <c r="N2131">
        <v>0</v>
      </c>
      <c r="O2131">
        <v>2.4058969999999999E-2</v>
      </c>
      <c r="P2131">
        <v>-0.99938090000000002</v>
      </c>
      <c r="Q2131">
        <v>3.0497570000000002E-2</v>
      </c>
      <c r="R2131">
        <v>1.755106E-2</v>
      </c>
      <c r="S2131">
        <v>-3.0061650000000002</v>
      </c>
      <c r="T2131">
        <v>-0.10130020000000001</v>
      </c>
      <c r="U2131">
        <v>-7.3089600000000005E-2</v>
      </c>
      <c r="V2131">
        <v>-6.4976679999999998E-3</v>
      </c>
      <c r="W2131">
        <v>3.8179009999999999E-2</v>
      </c>
      <c r="X2131">
        <v>0.99924979999999997</v>
      </c>
      <c r="Y2131">
        <v>-4.8310539999999999E-2</v>
      </c>
      <c r="Z2131">
        <v>-1.624024E-3</v>
      </c>
      <c r="AA2131">
        <v>0.99883100000000002</v>
      </c>
      <c r="AB2131">
        <v>39</v>
      </c>
      <c r="AC2131">
        <v>-31.360700000000001</v>
      </c>
      <c r="AD2131">
        <v>-1.108843174864</v>
      </c>
      <c r="AE2131">
        <v>-0.83719999999999495</v>
      </c>
      <c r="AF2131">
        <v>-1.5895002699626</v>
      </c>
      <c r="AG2131">
        <v>-1.108843174864</v>
      </c>
      <c r="AH2131">
        <v>31.2923861550106</v>
      </c>
      <c r="AI2131">
        <v>92.026811334077493</v>
      </c>
      <c r="AJ2131">
        <v>92.907846388126998</v>
      </c>
      <c r="AK2131">
        <v>31.352344020327301</v>
      </c>
      <c r="AL2131">
        <v>87.811972104096895</v>
      </c>
      <c r="AM2131">
        <v>90.372563202947205</v>
      </c>
      <c r="AN2131">
        <v>1.0000000096470201</v>
      </c>
    </row>
    <row r="2132" spans="1:40" x14ac:dyDescent="0.25">
      <c r="A2132" t="str">
        <f>"20190312160643363"</f>
        <v>20190312160643363</v>
      </c>
      <c r="B2132" t="str">
        <f>"1552378003357540"</f>
        <v>1552378003357540</v>
      </c>
      <c r="C2132" t="s">
        <v>40</v>
      </c>
      <c r="D2132">
        <v>5.8505560000000001</v>
      </c>
      <c r="E2132">
        <v>0.45848359999999999</v>
      </c>
      <c r="F2132" t="s">
        <v>44</v>
      </c>
      <c r="G2132">
        <v>-309.50670000000002</v>
      </c>
      <c r="H2132">
        <v>0.91008990000000001</v>
      </c>
      <c r="I2132">
        <v>283.733</v>
      </c>
      <c r="J2132">
        <v>-308.97969999999998</v>
      </c>
      <c r="K2132">
        <v>1.108851</v>
      </c>
      <c r="L2132">
        <v>283.82170000000002</v>
      </c>
      <c r="M2132">
        <v>-0.99968089999999998</v>
      </c>
      <c r="N2132">
        <v>0</v>
      </c>
      <c r="O2132">
        <v>2.4058429999999999E-2</v>
      </c>
      <c r="P2132">
        <v>-0.99935830000000003</v>
      </c>
      <c r="Q2132">
        <v>3.0679080000000001E-2</v>
      </c>
      <c r="R2132">
        <v>1.848648E-2</v>
      </c>
      <c r="S2132">
        <v>-3.0261840000000002</v>
      </c>
      <c r="T2132">
        <v>-0.64932840000000003</v>
      </c>
      <c r="U2132">
        <v>-0.25848389999999999</v>
      </c>
      <c r="V2132">
        <v>-5.561341E-3</v>
      </c>
      <c r="W2132">
        <v>3.8376260000000002E-2</v>
      </c>
      <c r="X2132">
        <v>0.99924789999999997</v>
      </c>
      <c r="Y2132">
        <v>-0.1061101</v>
      </c>
      <c r="Z2132">
        <v>-1.6332380000000001E-2</v>
      </c>
      <c r="AA2132">
        <v>0.99422029999999995</v>
      </c>
      <c r="AB2132">
        <v>39</v>
      </c>
      <c r="AC2132">
        <v>-0.52700000000004299</v>
      </c>
      <c r="AD2132">
        <v>-0.1987611</v>
      </c>
      <c r="AE2132">
        <v>-8.8700000000017099E-2</v>
      </c>
      <c r="AF2132">
        <v>-8.9037172810843099E-2</v>
      </c>
      <c r="AG2132">
        <v>-0.1987611</v>
      </c>
      <c r="AH2132">
        <v>0.46095104228717498</v>
      </c>
      <c r="AI2132">
        <v>112.94644043907699</v>
      </c>
      <c r="AJ2132">
        <v>100.932596025442</v>
      </c>
      <c r="AK2132">
        <v>0.50981315832468499</v>
      </c>
      <c r="AL2132">
        <v>87.800662236579697</v>
      </c>
      <c r="AM2132">
        <v>90.3188779058856</v>
      </c>
      <c r="AN2132">
        <v>1.0000000157498501</v>
      </c>
    </row>
    <row r="2133" spans="1:40" x14ac:dyDescent="0.25">
      <c r="A2133" t="str">
        <f>"20190312160643386"</f>
        <v>20190312160643386</v>
      </c>
      <c r="B2133" t="str">
        <f>"1552378003377059"</f>
        <v>1552378003377059</v>
      </c>
      <c r="C2133" t="s">
        <v>40</v>
      </c>
      <c r="D2133">
        <v>5.6897769999999896</v>
      </c>
      <c r="E2133">
        <v>0.45779639999999999</v>
      </c>
      <c r="F2133" t="s">
        <v>77</v>
      </c>
      <c r="G2133">
        <v>-317.28489999999999</v>
      </c>
      <c r="H2133" s="1">
        <v>5.5807459999999998E-6</v>
      </c>
      <c r="I2133">
        <v>283.0924</v>
      </c>
      <c r="J2133">
        <v>-309.3861</v>
      </c>
      <c r="K2133">
        <v>1.1088469999999999</v>
      </c>
      <c r="L2133">
        <v>283.83139999999997</v>
      </c>
      <c r="M2133">
        <v>-0.99968080000000004</v>
      </c>
      <c r="N2133">
        <v>0</v>
      </c>
      <c r="O2133">
        <v>2.4057889999999998E-2</v>
      </c>
      <c r="P2133">
        <v>-0.99934599999999996</v>
      </c>
      <c r="Q2133">
        <v>3.078053E-2</v>
      </c>
      <c r="R2133">
        <v>1.8982189999999999E-2</v>
      </c>
      <c r="S2133">
        <v>-3.0191650000000001</v>
      </c>
      <c r="T2133">
        <v>-0.4030975</v>
      </c>
      <c r="U2133">
        <v>-0.26510620000000001</v>
      </c>
      <c r="V2133">
        <v>-5.0648259999999997E-3</v>
      </c>
      <c r="W2133">
        <v>3.8494439999999998E-2</v>
      </c>
      <c r="X2133">
        <v>0.99924599999999997</v>
      </c>
      <c r="Y2133">
        <v>-0.1102292</v>
      </c>
      <c r="Z2133">
        <v>-1.0504619999999999E-2</v>
      </c>
      <c r="AA2133">
        <v>0.99385069999999998</v>
      </c>
      <c r="AB2133">
        <v>39</v>
      </c>
      <c r="AC2133">
        <v>-7.8987999999999898</v>
      </c>
      <c r="AD2133">
        <v>-1.1088414192539999</v>
      </c>
      <c r="AE2133">
        <v>-0.73899999999997501</v>
      </c>
      <c r="AF2133">
        <v>-0.91102263563686003</v>
      </c>
      <c r="AG2133">
        <v>-1.1088414192539999</v>
      </c>
      <c r="AH2133">
        <v>7.7277661071231396</v>
      </c>
      <c r="AI2133">
        <v>98.110112072473896</v>
      </c>
      <c r="AJ2133">
        <v>96.723538761918604</v>
      </c>
      <c r="AK2133">
        <v>7.8598893466827597</v>
      </c>
      <c r="AL2133">
        <v>87.793886027003694</v>
      </c>
      <c r="AM2133">
        <v>90.290409637537294</v>
      </c>
      <c r="AN2133">
        <v>1.00000002144466</v>
      </c>
    </row>
    <row r="2134" spans="1:40" x14ac:dyDescent="0.25">
      <c r="A2134" t="str">
        <f>"20190312160643406"</f>
        <v>20190312160643406</v>
      </c>
      <c r="B2134" t="str">
        <f>"1552378003397740"</f>
        <v>1552378003397740</v>
      </c>
      <c r="C2134" t="s">
        <v>40</v>
      </c>
      <c r="D2134">
        <v>5.5521760000000002</v>
      </c>
      <c r="E2134">
        <v>0.45651819999999999</v>
      </c>
      <c r="F2134" t="s">
        <v>66</v>
      </c>
      <c r="G2134">
        <v>-322.5376</v>
      </c>
      <c r="H2134" s="1">
        <v>-1.001502E-7</v>
      </c>
      <c r="I2134">
        <v>282.64350000000002</v>
      </c>
      <c r="J2134">
        <v>-309.75029999999998</v>
      </c>
      <c r="K2134">
        <v>1.1088469999999999</v>
      </c>
      <c r="L2134">
        <v>283.84019999999998</v>
      </c>
      <c r="M2134">
        <v>-0.99968080000000004</v>
      </c>
      <c r="N2134">
        <v>0</v>
      </c>
      <c r="O2134">
        <v>2.40573E-2</v>
      </c>
      <c r="P2134">
        <v>-0.99934259999999997</v>
      </c>
      <c r="Q2134">
        <v>3.08166E-2</v>
      </c>
      <c r="R2134">
        <v>1.911206E-2</v>
      </c>
      <c r="S2134">
        <v>-3.0149840000000001</v>
      </c>
      <c r="T2134">
        <v>-0.2542025</v>
      </c>
      <c r="U2134">
        <v>-0.27233889999999999</v>
      </c>
      <c r="V2134">
        <v>-4.934262E-3</v>
      </c>
      <c r="W2134">
        <v>3.854494E-2</v>
      </c>
      <c r="X2134">
        <v>0.99924469999999999</v>
      </c>
      <c r="Y2134">
        <v>-0.1134126</v>
      </c>
      <c r="Z2134">
        <v>-6.7840890000000001E-3</v>
      </c>
      <c r="AA2134">
        <v>0.99352479999999999</v>
      </c>
      <c r="AB2134">
        <v>39</v>
      </c>
      <c r="AC2134">
        <v>-12.7873</v>
      </c>
      <c r="AD2134">
        <v>-1.1088471001501901</v>
      </c>
      <c r="AE2134">
        <v>-1.1966999999999599</v>
      </c>
      <c r="AF2134">
        <v>-1.4928626700799601</v>
      </c>
      <c r="AG2134">
        <v>-1.1088471001501901</v>
      </c>
      <c r="AH2134">
        <v>12.660435785948501</v>
      </c>
      <c r="AI2134">
        <v>94.9711347226784</v>
      </c>
      <c r="AJ2134">
        <v>96.725011613248796</v>
      </c>
      <c r="AK2134">
        <v>12.796281300962301</v>
      </c>
      <c r="AL2134">
        <v>87.790990426772893</v>
      </c>
      <c r="AM2134">
        <v>90.282923782114196</v>
      </c>
      <c r="AN2134">
        <v>1.00000001490958</v>
      </c>
    </row>
    <row r="2135" spans="1:40" x14ac:dyDescent="0.25">
      <c r="A2135" t="str">
        <f>"20190312160643419"</f>
        <v>20190312160643419</v>
      </c>
      <c r="B2135" t="str">
        <f>"1552378003407500"</f>
        <v>1552378003407500</v>
      </c>
      <c r="C2135" t="s">
        <v>40</v>
      </c>
      <c r="D2135">
        <v>5.8399979999999996</v>
      </c>
      <c r="E2135">
        <v>0.45744689999999999</v>
      </c>
      <c r="F2135" t="s">
        <v>66</v>
      </c>
      <c r="G2135">
        <v>-327.99180000000001</v>
      </c>
      <c r="H2135" s="1">
        <v>2.8250099999999999E-6</v>
      </c>
      <c r="I2135">
        <v>282.1234</v>
      </c>
      <c r="J2135">
        <v>-309.96600000000001</v>
      </c>
      <c r="K2135">
        <v>1.108851</v>
      </c>
      <c r="L2135">
        <v>283.84539999999998</v>
      </c>
      <c r="M2135">
        <v>-0.99968060000000003</v>
      </c>
      <c r="N2135">
        <v>0</v>
      </c>
      <c r="O2135">
        <v>2.405697E-2</v>
      </c>
      <c r="P2135">
        <v>-0.99933499999999997</v>
      </c>
      <c r="Q2135">
        <v>3.0863350000000001E-2</v>
      </c>
      <c r="R2135">
        <v>1.94177E-2</v>
      </c>
      <c r="S2135">
        <v>-3.0130309999999998</v>
      </c>
      <c r="T2135">
        <v>-0.18315290000000001</v>
      </c>
      <c r="U2135">
        <v>-0.28356930000000002</v>
      </c>
      <c r="V2135">
        <v>-4.6283540000000003E-3</v>
      </c>
      <c r="W2135">
        <v>3.8599729999999999E-2</v>
      </c>
      <c r="X2135">
        <v>0.99924400000000002</v>
      </c>
      <c r="Y2135">
        <v>-0.1173661</v>
      </c>
      <c r="Z2135">
        <v>-5.0141760000000004E-3</v>
      </c>
      <c r="AA2135">
        <v>0.99307610000000002</v>
      </c>
      <c r="AB2135">
        <v>39</v>
      </c>
      <c r="AC2135">
        <v>-18.0258</v>
      </c>
      <c r="AD2135">
        <v>-1.1088481749899901</v>
      </c>
      <c r="AE2135">
        <v>-1.72199999999998</v>
      </c>
      <c r="AF2135">
        <v>-2.1471094750475599</v>
      </c>
      <c r="AG2135">
        <v>-1.1088481749899901</v>
      </c>
      <c r="AH2135">
        <v>17.911988857912299</v>
      </c>
      <c r="AI2135">
        <v>93.5172799652359</v>
      </c>
      <c r="AJ2135">
        <v>96.835428598914703</v>
      </c>
      <c r="AK2135">
        <v>18.074262591292399</v>
      </c>
      <c r="AL2135">
        <v>87.787848745275198</v>
      </c>
      <c r="AM2135">
        <v>90.2653838840981</v>
      </c>
      <c r="AN2135">
        <v>0.99999996617640996</v>
      </c>
    </row>
    <row r="2136" spans="1:40" x14ac:dyDescent="0.25">
      <c r="A2136" t="str">
        <f>"20190312160643430"</f>
        <v>20190312160643430</v>
      </c>
      <c r="B2136" t="str">
        <f>"1552378003427019"</f>
        <v>1552378003427019</v>
      </c>
      <c r="C2136" t="s">
        <v>40</v>
      </c>
      <c r="D2136">
        <v>5.7405379999999999</v>
      </c>
      <c r="E2136">
        <v>0.459144</v>
      </c>
      <c r="F2136" t="s">
        <v>66</v>
      </c>
      <c r="G2136">
        <v>-329.78320000000002</v>
      </c>
      <c r="H2136" s="1">
        <v>3.7822579999999999E-6</v>
      </c>
      <c r="I2136">
        <v>282.03300000000002</v>
      </c>
      <c r="J2136">
        <v>-310.1816</v>
      </c>
      <c r="K2136">
        <v>1.1088519999999999</v>
      </c>
      <c r="L2136">
        <v>283.85059999999999</v>
      </c>
      <c r="M2136">
        <v>-0.99968060000000003</v>
      </c>
      <c r="N2136">
        <v>0</v>
      </c>
      <c r="O2136">
        <v>2.4056569999999999E-2</v>
      </c>
      <c r="P2136">
        <v>-0.99934579999999995</v>
      </c>
      <c r="Q2136">
        <v>3.0521260000000001E-2</v>
      </c>
      <c r="R2136">
        <v>1.9402240000000001E-2</v>
      </c>
      <c r="S2136">
        <v>-3.012543</v>
      </c>
      <c r="T2136">
        <v>-0.1685632</v>
      </c>
      <c r="U2136">
        <v>-0.2755127</v>
      </c>
      <c r="V2136">
        <v>-4.64366E-3</v>
      </c>
      <c r="W2136">
        <v>3.8266679999999997E-2</v>
      </c>
      <c r="X2136">
        <v>0.99925679999999995</v>
      </c>
      <c r="Y2136">
        <v>-0.11479060000000001</v>
      </c>
      <c r="Z2136">
        <v>-4.544831E-3</v>
      </c>
      <c r="AA2136">
        <v>0.99337929999999997</v>
      </c>
      <c r="AB2136">
        <v>39</v>
      </c>
      <c r="AC2136">
        <v>-19.601600000000001</v>
      </c>
      <c r="AD2136">
        <v>-1.108848217742</v>
      </c>
      <c r="AE2136">
        <v>-1.8175999999999699</v>
      </c>
      <c r="AF2136">
        <v>-2.28139693768872</v>
      </c>
      <c r="AG2136">
        <v>-1.108848217742</v>
      </c>
      <c r="AH2136">
        <v>19.490361350673201</v>
      </c>
      <c r="AI2136">
        <v>93.234135789860005</v>
      </c>
      <c r="AJ2136">
        <v>96.676237948326801</v>
      </c>
      <c r="AK2136">
        <v>19.6547323038779</v>
      </c>
      <c r="AL2136">
        <v>87.806945348641307</v>
      </c>
      <c r="AM2136">
        <v>90.266258087266095</v>
      </c>
      <c r="AN2136">
        <v>1.0000000273613201</v>
      </c>
    </row>
    <row r="2137" spans="1:40" x14ac:dyDescent="0.25">
      <c r="A2137" t="str">
        <f>"20190312160643443"</f>
        <v>20190312160643443</v>
      </c>
      <c r="B2137" t="str">
        <f>"1552378003437756"</f>
        <v>1552378003437756</v>
      </c>
      <c r="C2137" t="s">
        <v>40</v>
      </c>
      <c r="D2137">
        <v>5.7802179999999996</v>
      </c>
      <c r="E2137">
        <v>0.45994930000000001</v>
      </c>
      <c r="F2137" t="s">
        <v>66</v>
      </c>
      <c r="G2137">
        <v>-331.45280000000002</v>
      </c>
      <c r="H2137" s="1">
        <v>-6.4924359999999899E-7</v>
      </c>
      <c r="I2137">
        <v>281.99770000000001</v>
      </c>
      <c r="J2137">
        <v>-310.39109999999999</v>
      </c>
      <c r="K2137">
        <v>1.108857</v>
      </c>
      <c r="L2137">
        <v>283.85570000000001</v>
      </c>
      <c r="M2137">
        <v>-0.99968060000000003</v>
      </c>
      <c r="N2137">
        <v>0</v>
      </c>
      <c r="O2137">
        <v>2.4056359999999999E-2</v>
      </c>
      <c r="P2137">
        <v>-0.99934619999999996</v>
      </c>
      <c r="Q2137">
        <v>3.0542010000000001E-2</v>
      </c>
      <c r="R2137">
        <v>1.9363620000000002E-2</v>
      </c>
      <c r="S2137">
        <v>-3.011841</v>
      </c>
      <c r="T2137">
        <v>-0.15700549999999999</v>
      </c>
      <c r="U2137">
        <v>-0.26235960000000003</v>
      </c>
      <c r="V2137">
        <v>-4.6817730000000002E-3</v>
      </c>
      <c r="W2137">
        <v>3.8295269999999999E-2</v>
      </c>
      <c r="X2137">
        <v>0.99925549999999996</v>
      </c>
      <c r="Y2137">
        <v>-0.1105405</v>
      </c>
      <c r="Z2137">
        <v>-4.1249249999999998E-3</v>
      </c>
      <c r="AA2137">
        <v>0.99386300000000005</v>
      </c>
      <c r="AB2137">
        <v>39</v>
      </c>
      <c r="AC2137">
        <v>-21.061699999999998</v>
      </c>
      <c r="AD2137">
        <v>-1.1088576492436</v>
      </c>
      <c r="AE2137">
        <v>-1.8580000000000001</v>
      </c>
      <c r="AF2137">
        <v>-2.3576607624100201</v>
      </c>
      <c r="AG2137">
        <v>-1.1088576492436</v>
      </c>
      <c r="AH2137">
        <v>20.953276221369102</v>
      </c>
      <c r="AI2137">
        <v>93.010333620762694</v>
      </c>
      <c r="AJ2137">
        <v>96.419913250428493</v>
      </c>
      <c r="AK2137">
        <v>21.1146374339198</v>
      </c>
      <c r="AL2137">
        <v>87.805306001776401</v>
      </c>
      <c r="AM2137">
        <v>90.268443727104099</v>
      </c>
      <c r="AN2137">
        <v>1.0000000004915199</v>
      </c>
    </row>
    <row r="2138" spans="1:40" x14ac:dyDescent="0.25">
      <c r="A2138" t="str">
        <f>"20190312160643455"</f>
        <v>20190312160643455</v>
      </c>
      <c r="B2138" t="str">
        <f>"1552378003447515"</f>
        <v>1552378003447515</v>
      </c>
      <c r="C2138" t="s">
        <v>40</v>
      </c>
      <c r="D2138">
        <v>5.6833109999999998</v>
      </c>
      <c r="E2138">
        <v>0.46043679999999898</v>
      </c>
      <c r="F2138" t="s">
        <v>66</v>
      </c>
      <c r="G2138">
        <v>-332.72089999999997</v>
      </c>
      <c r="H2138" s="1">
        <v>2.7481869999999999E-8</v>
      </c>
      <c r="I2138">
        <v>281.95510000000002</v>
      </c>
      <c r="J2138">
        <v>-310.59559999999999</v>
      </c>
      <c r="K2138">
        <v>1.108857</v>
      </c>
      <c r="L2138">
        <v>283.86059999999998</v>
      </c>
      <c r="M2138">
        <v>-0.99968049999999997</v>
      </c>
      <c r="N2138">
        <v>0</v>
      </c>
      <c r="O2138">
        <v>2.4056029999999999E-2</v>
      </c>
      <c r="P2138">
        <v>-0.99934809999999996</v>
      </c>
      <c r="Q2138">
        <v>3.03859E-2</v>
      </c>
      <c r="R2138">
        <v>1.9496590000000001E-2</v>
      </c>
      <c r="S2138">
        <v>-3.0114749999999999</v>
      </c>
      <c r="T2138">
        <v>-0.14954439999999999</v>
      </c>
      <c r="U2138">
        <v>-0.25631710000000002</v>
      </c>
      <c r="V2138">
        <v>-4.5483829999999996E-3</v>
      </c>
      <c r="W2138">
        <v>3.8147559999999997E-2</v>
      </c>
      <c r="X2138">
        <v>0.99926170000000003</v>
      </c>
      <c r="Y2138">
        <v>-0.10859009999999999</v>
      </c>
      <c r="Z2138">
        <v>-3.881626E-3</v>
      </c>
      <c r="AA2138">
        <v>0.99407909999999999</v>
      </c>
      <c r="AB2138">
        <v>39</v>
      </c>
      <c r="AC2138">
        <v>-22.1252999999999</v>
      </c>
      <c r="AD2138">
        <v>-1.1088569725181201</v>
      </c>
      <c r="AE2138">
        <v>-1.90549999999996</v>
      </c>
      <c r="AF2138">
        <v>-2.4311500105400299</v>
      </c>
      <c r="AG2138">
        <v>-1.1088569725181201</v>
      </c>
      <c r="AH2138">
        <v>22.0181602023174</v>
      </c>
      <c r="AI2138">
        <v>92.865651847726198</v>
      </c>
      <c r="AJ2138">
        <v>96.300829088037503</v>
      </c>
      <c r="AK2138">
        <v>22.179707681891699</v>
      </c>
      <c r="AL2138">
        <v>87.813775205854895</v>
      </c>
      <c r="AM2138">
        <v>90.260793893905799</v>
      </c>
      <c r="AN2138">
        <v>0.99999993460437697</v>
      </c>
    </row>
    <row r="2139" spans="1:40" x14ac:dyDescent="0.25">
      <c r="A2139" t="str">
        <f>"20190312160643486"</f>
        <v>20190312160643486</v>
      </c>
      <c r="B2139" t="str">
        <f>"1552378003477771"</f>
        <v>1552378003477771</v>
      </c>
      <c r="C2139" t="s">
        <v>40</v>
      </c>
      <c r="D2139">
        <v>5.570411</v>
      </c>
      <c r="E2139">
        <v>0.46180189999999999</v>
      </c>
      <c r="F2139" t="s">
        <v>66</v>
      </c>
      <c r="G2139">
        <v>-333.84469999999999</v>
      </c>
      <c r="H2139" s="1">
        <v>6.2731390000000004E-7</v>
      </c>
      <c r="I2139">
        <v>281.91370000000001</v>
      </c>
      <c r="J2139">
        <v>-311.13900000000001</v>
      </c>
      <c r="K2139">
        <v>1.108854</v>
      </c>
      <c r="L2139">
        <v>283.87369999999999</v>
      </c>
      <c r="M2139">
        <v>-0.99968029999999997</v>
      </c>
      <c r="N2139">
        <v>0</v>
      </c>
      <c r="O2139">
        <v>2.4055409999999999E-2</v>
      </c>
      <c r="P2139">
        <v>-0.99933689999999997</v>
      </c>
      <c r="Q2139">
        <v>3.0594690000000001E-2</v>
      </c>
      <c r="R2139">
        <v>1.9746920000000001E-2</v>
      </c>
      <c r="S2139">
        <v>-3.0112299999999999</v>
      </c>
      <c r="T2139">
        <v>-0.14361949999999901</v>
      </c>
      <c r="U2139">
        <v>-0.25216670000000002</v>
      </c>
      <c r="V2139">
        <v>-4.2972389999999996E-3</v>
      </c>
      <c r="W2139">
        <v>3.8377219999999997E-2</v>
      </c>
      <c r="X2139">
        <v>0.99925410000000003</v>
      </c>
      <c r="Y2139">
        <v>-0.10724980000000001</v>
      </c>
      <c r="Z2139">
        <v>-3.6966120000000002E-3</v>
      </c>
      <c r="AA2139">
        <v>0.99422520000000003</v>
      </c>
      <c r="AB2139">
        <v>39</v>
      </c>
      <c r="AC2139">
        <v>-22.705699999999901</v>
      </c>
      <c r="AD2139">
        <v>-1.1088533726861001</v>
      </c>
      <c r="AE2139">
        <v>-1.95999999999997</v>
      </c>
      <c r="AF2139">
        <v>-2.4997266601342498</v>
      </c>
      <c r="AG2139">
        <v>-1.1088533726861001</v>
      </c>
      <c r="AH2139">
        <v>22.598481635546001</v>
      </c>
      <c r="AI2139">
        <v>92.792111194656101</v>
      </c>
      <c r="AJ2139">
        <v>96.312100807842995</v>
      </c>
      <c r="AK2139">
        <v>22.763338099005001</v>
      </c>
      <c r="AL2139">
        <v>87.800607194443202</v>
      </c>
      <c r="AM2139">
        <v>90.246395927185702</v>
      </c>
      <c r="AN2139">
        <v>1.0000000168223799</v>
      </c>
    </row>
    <row r="2140" spans="1:40" x14ac:dyDescent="0.25">
      <c r="A2140" t="str">
        <f>"20190312160643499"</f>
        <v>20190312160643499</v>
      </c>
      <c r="B2140" t="str">
        <f>"1552378003487062"</f>
        <v>1552378003487062</v>
      </c>
      <c r="C2140" t="s">
        <v>40</v>
      </c>
      <c r="D2140">
        <v>5.6575179999999996</v>
      </c>
      <c r="E2140">
        <v>0.46242159999999899</v>
      </c>
      <c r="F2140" t="s">
        <v>66</v>
      </c>
      <c r="G2140">
        <v>-335.30869999999999</v>
      </c>
      <c r="H2140" s="1">
        <v>1.4052670000000001E-6</v>
      </c>
      <c r="I2140">
        <v>281.93939999999998</v>
      </c>
      <c r="J2140">
        <v>-311.38650000000001</v>
      </c>
      <c r="K2140">
        <v>1.1088519999999999</v>
      </c>
      <c r="L2140">
        <v>283.87959999999998</v>
      </c>
      <c r="M2140">
        <v>-0.99968029999999997</v>
      </c>
      <c r="N2140">
        <v>0</v>
      </c>
      <c r="O2140">
        <v>2.4054900000000001E-2</v>
      </c>
      <c r="P2140">
        <v>-0.99932799999999999</v>
      </c>
      <c r="Q2140">
        <v>3.097082E-2</v>
      </c>
      <c r="R2140">
        <v>1.9611159999999999E-2</v>
      </c>
      <c r="S2140">
        <v>-3.0109560000000002</v>
      </c>
      <c r="T2140">
        <v>-0.13813599999999901</v>
      </c>
      <c r="U2140">
        <v>-0.24096679999999901</v>
      </c>
      <c r="V2140">
        <v>-4.432493E-3</v>
      </c>
      <c r="W2140">
        <v>3.8763180000000001E-2</v>
      </c>
      <c r="X2140">
        <v>0.99923859999999998</v>
      </c>
      <c r="Y2140">
        <v>-0.10359740000000001</v>
      </c>
      <c r="Z2140">
        <v>-3.4728419999999999E-3</v>
      </c>
      <c r="AA2140">
        <v>0.99461319999999998</v>
      </c>
      <c r="AB2140">
        <v>39</v>
      </c>
      <c r="AC2140">
        <v>-23.922199999999901</v>
      </c>
      <c r="AD2140">
        <v>-1.1088505947330001</v>
      </c>
      <c r="AE2140">
        <v>-1.9401999999999999</v>
      </c>
      <c r="AF2140">
        <v>-2.5097450764334899</v>
      </c>
      <c r="AG2140">
        <v>-1.1088505947330001</v>
      </c>
      <c r="AH2140">
        <v>23.817765645125899</v>
      </c>
      <c r="AI2140">
        <v>92.650860190344702</v>
      </c>
      <c r="AJ2140">
        <v>96.015220073103606</v>
      </c>
      <c r="AK2140">
        <v>23.9752858234529</v>
      </c>
      <c r="AL2140">
        <v>87.778476822936497</v>
      </c>
      <c r="AM2140">
        <v>90.254154989510198</v>
      </c>
      <c r="AN2140">
        <v>1.00000000542393</v>
      </c>
    </row>
    <row r="2141" spans="1:40" x14ac:dyDescent="0.25">
      <c r="A2141" t="str">
        <f>"20190312160643513"</f>
        <v>20190312160643513</v>
      </c>
      <c r="B2141" t="str">
        <f>"1552378003507559"</f>
        <v>1552378003507559</v>
      </c>
      <c r="C2141" t="s">
        <v>40</v>
      </c>
      <c r="D2141">
        <v>5.6217300000000003</v>
      </c>
      <c r="E2141">
        <v>0.46353299999999997</v>
      </c>
      <c r="F2141" t="s">
        <v>66</v>
      </c>
      <c r="G2141">
        <v>-335.72930000000002</v>
      </c>
      <c r="H2141" s="1">
        <v>1.6278229999999999E-6</v>
      </c>
      <c r="I2141">
        <v>281.96769999999998</v>
      </c>
      <c r="J2141">
        <v>-311.62209999999999</v>
      </c>
      <c r="K2141">
        <v>1.1088519999999999</v>
      </c>
      <c r="L2141">
        <v>283.88529999999997</v>
      </c>
      <c r="M2141">
        <v>-0.99968020000000002</v>
      </c>
      <c r="N2141">
        <v>0</v>
      </c>
      <c r="O2141">
        <v>2.4054499999999999E-2</v>
      </c>
      <c r="P2141">
        <v>-0.99931499999999995</v>
      </c>
      <c r="Q2141">
        <v>3.1408369999999998E-2</v>
      </c>
      <c r="R2141">
        <v>1.9582080000000002E-2</v>
      </c>
      <c r="S2141">
        <v>-3.0108950000000001</v>
      </c>
      <c r="T2141">
        <v>-0.137151</v>
      </c>
      <c r="U2141">
        <v>-0.23648069999999999</v>
      </c>
      <c r="V2141">
        <v>-4.4610040000000002E-3</v>
      </c>
      <c r="W2141">
        <v>3.9209630000000002E-2</v>
      </c>
      <c r="X2141">
        <v>0.99922100000000003</v>
      </c>
      <c r="Y2141">
        <v>-0.1021292</v>
      </c>
      <c r="Z2141">
        <v>-3.414982E-3</v>
      </c>
      <c r="AA2141">
        <v>0.99476529999999996</v>
      </c>
      <c r="AB2141">
        <v>39</v>
      </c>
      <c r="AC2141">
        <v>-24.107199999999999</v>
      </c>
      <c r="AD2141">
        <v>-1.108850372177</v>
      </c>
      <c r="AE2141">
        <v>-1.91759999999999</v>
      </c>
      <c r="AF2141">
        <v>-2.4917108552259899</v>
      </c>
      <c r="AG2141">
        <v>-1.108850372177</v>
      </c>
      <c r="AH2141">
        <v>24.0036308421932</v>
      </c>
      <c r="AI2141">
        <v>92.630788360095195</v>
      </c>
      <c r="AJ2141">
        <v>95.926395707967004</v>
      </c>
      <c r="AK2141">
        <v>24.1580724757216</v>
      </c>
      <c r="AL2141">
        <v>87.752877538289397</v>
      </c>
      <c r="AM2141">
        <v>90.255794267195199</v>
      </c>
      <c r="AN2141">
        <v>0.99999995124121099</v>
      </c>
    </row>
    <row r="2142" spans="1:40" x14ac:dyDescent="0.25">
      <c r="A2142" t="str">
        <f>"20190312160643530"</f>
        <v>20190312160643530</v>
      </c>
      <c r="B2142" t="str">
        <f>"1552378003517318"</f>
        <v>1552378003517318</v>
      </c>
      <c r="C2142" t="s">
        <v>40</v>
      </c>
      <c r="D2142">
        <v>5.6732870000000002</v>
      </c>
      <c r="E2142">
        <v>0.46403240000000001</v>
      </c>
      <c r="F2142" t="s">
        <v>66</v>
      </c>
      <c r="G2142">
        <v>-337.80799999999999</v>
      </c>
      <c r="H2142" s="1">
        <v>2.7367439999999999E-6</v>
      </c>
      <c r="I2142">
        <v>281.90480000000002</v>
      </c>
      <c r="J2142">
        <v>-311.93</v>
      </c>
      <c r="K2142">
        <v>1.108854</v>
      </c>
      <c r="L2142">
        <v>283.89269999999999</v>
      </c>
      <c r="M2142">
        <v>-0.99968009999999996</v>
      </c>
      <c r="N2142">
        <v>0</v>
      </c>
      <c r="O2142">
        <v>2.4054160000000002E-2</v>
      </c>
      <c r="P2142">
        <v>-0.99929080000000003</v>
      </c>
      <c r="Q2142">
        <v>3.1872690000000002E-2</v>
      </c>
      <c r="R2142">
        <v>2.0060970000000001E-2</v>
      </c>
      <c r="S2142">
        <v>-3.010529</v>
      </c>
      <c r="T2142">
        <v>-0.1274817</v>
      </c>
      <c r="U2142">
        <v>-0.2276917</v>
      </c>
      <c r="V2142">
        <v>-3.9811270000000001E-3</v>
      </c>
      <c r="W2142">
        <v>3.9685619999999998E-2</v>
      </c>
      <c r="X2142">
        <v>0.99920430000000005</v>
      </c>
      <c r="Y2142">
        <v>-9.9271040000000005E-2</v>
      </c>
      <c r="Z2142">
        <v>-3.1147599999999998E-3</v>
      </c>
      <c r="AA2142">
        <v>0.99505560000000004</v>
      </c>
      <c r="AB2142">
        <v>39</v>
      </c>
      <c r="AC2142">
        <v>-25.878</v>
      </c>
      <c r="AD2142">
        <v>-1.1088512632559999</v>
      </c>
      <c r="AE2142">
        <v>-1.98789999999996</v>
      </c>
      <c r="AF2142">
        <v>-2.6050623750211499</v>
      </c>
      <c r="AG2142">
        <v>-1.1088512632559999</v>
      </c>
      <c r="AH2142">
        <v>25.775645378294598</v>
      </c>
      <c r="AI2142">
        <v>92.450837907255107</v>
      </c>
      <c r="AJ2142">
        <v>95.771105514838595</v>
      </c>
      <c r="AK2142">
        <v>25.9306728753686</v>
      </c>
      <c r="AL2142">
        <v>87.725584220620505</v>
      </c>
      <c r="AM2142">
        <v>90.228282211963005</v>
      </c>
      <c r="AN2142">
        <v>1.00000001547273</v>
      </c>
    </row>
    <row r="2143" spans="1:40" x14ac:dyDescent="0.25">
      <c r="A2143" t="str">
        <f>"20190312160643553"</f>
        <v>20190312160643553</v>
      </c>
      <c r="B2143" t="str">
        <f>"1552378003547575"</f>
        <v>1552378003547575</v>
      </c>
      <c r="C2143" t="s">
        <v>40</v>
      </c>
      <c r="D2143">
        <v>5.9075519999999999</v>
      </c>
      <c r="E2143">
        <v>0.46456720000000001</v>
      </c>
      <c r="F2143" t="s">
        <v>66</v>
      </c>
      <c r="G2143">
        <v>-338.36700000000002</v>
      </c>
      <c r="H2143" s="1">
        <v>3.032791E-6</v>
      </c>
      <c r="I2143">
        <v>281.93779999999998</v>
      </c>
      <c r="J2143">
        <v>-312.33010000000002</v>
      </c>
      <c r="K2143">
        <v>1.1088469999999999</v>
      </c>
      <c r="L2143">
        <v>283.9024</v>
      </c>
      <c r="M2143">
        <v>-0.99968009999999996</v>
      </c>
      <c r="N2143">
        <v>0</v>
      </c>
      <c r="O2143">
        <v>2.4053439999999999E-2</v>
      </c>
      <c r="P2143">
        <v>-0.99928399999999995</v>
      </c>
      <c r="Q2143">
        <v>3.2178379999999999E-2</v>
      </c>
      <c r="R2143">
        <v>1.9911559999999998E-2</v>
      </c>
      <c r="S2143">
        <v>-3.0106510000000002</v>
      </c>
      <c r="T2143">
        <v>-0.12627629999999901</v>
      </c>
      <c r="U2143">
        <v>-0.22262570000000001</v>
      </c>
      <c r="V2143">
        <v>-4.1292530000000003E-3</v>
      </c>
      <c r="W2143">
        <v>4.0006750000000001E-2</v>
      </c>
      <c r="X2143">
        <v>0.99919089999999999</v>
      </c>
      <c r="Y2143">
        <v>-9.7605629999999999E-2</v>
      </c>
      <c r="Z2143">
        <v>-3.0505039999999999E-3</v>
      </c>
      <c r="AA2143">
        <v>0.99522049999999995</v>
      </c>
      <c r="AB2143">
        <v>40</v>
      </c>
      <c r="AC2143">
        <v>-26.0368999999999</v>
      </c>
      <c r="AD2143">
        <v>-1.108843967209</v>
      </c>
      <c r="AE2143">
        <v>-1.9646000000000099</v>
      </c>
      <c r="AF2143">
        <v>-2.5856646727391701</v>
      </c>
      <c r="AG2143">
        <v>-1.108843967209</v>
      </c>
      <c r="AH2143">
        <v>25.935337268387801</v>
      </c>
      <c r="AI2143">
        <v>92.436080871586697</v>
      </c>
      <c r="AJ2143">
        <v>95.693380599053498</v>
      </c>
      <c r="AK2143">
        <v>26.0874858115629</v>
      </c>
      <c r="AL2143">
        <v>87.707170219807495</v>
      </c>
      <c r="AM2143">
        <v>90.236779000495801</v>
      </c>
      <c r="AN2143">
        <v>1.00000002270935</v>
      </c>
    </row>
    <row r="2144" spans="1:40" x14ac:dyDescent="0.25">
      <c r="A2144" t="str">
        <f>"20190312160643575"</f>
        <v>20190312160643575</v>
      </c>
      <c r="B2144" t="str">
        <f>"1552378003567094"</f>
        <v>1552378003567094</v>
      </c>
      <c r="C2144" t="s">
        <v>40</v>
      </c>
      <c r="D2144">
        <v>4.5604399999999998</v>
      </c>
      <c r="E2144">
        <v>0.46444289999999999</v>
      </c>
      <c r="F2144" t="s">
        <v>66</v>
      </c>
      <c r="G2144">
        <v>-341.80810000000002</v>
      </c>
      <c r="H2144" s="1">
        <v>-5.7458189999999996E-7</v>
      </c>
      <c r="I2144">
        <v>281.75940000000003</v>
      </c>
      <c r="J2144">
        <v>-312.72699999999998</v>
      </c>
      <c r="K2144">
        <v>1.1088450000000001</v>
      </c>
      <c r="L2144">
        <v>283.91199999999998</v>
      </c>
      <c r="M2144">
        <v>-0.99968000000000001</v>
      </c>
      <c r="N2144">
        <v>0</v>
      </c>
      <c r="O2144">
        <v>2.4049669999999999E-2</v>
      </c>
      <c r="P2144">
        <v>-0.99931490000000001</v>
      </c>
      <c r="Q2144">
        <v>3.1133859999999999E-2</v>
      </c>
      <c r="R2144">
        <v>2.0012820000000001E-2</v>
      </c>
      <c r="S2144">
        <v>-3.0101619999999998</v>
      </c>
      <c r="T2144">
        <v>-0.1132305</v>
      </c>
      <c r="U2144">
        <v>-0.2188416</v>
      </c>
      <c r="V2144">
        <v>-4.025074E-3</v>
      </c>
      <c r="W2144">
        <v>3.8977110000000002E-2</v>
      </c>
      <c r="X2144">
        <v>0.99923200000000001</v>
      </c>
      <c r="Y2144">
        <v>-9.639093E-2</v>
      </c>
      <c r="Z2144">
        <v>-2.7132010000000002E-3</v>
      </c>
      <c r="AA2144">
        <v>0.99533990000000006</v>
      </c>
      <c r="AB2144">
        <v>40</v>
      </c>
      <c r="AC2144">
        <v>-29.0810999999999</v>
      </c>
      <c r="AD2144">
        <v>-1.1088455745818999</v>
      </c>
      <c r="AE2144">
        <v>-2.1526000000000001</v>
      </c>
      <c r="AF2144">
        <v>-2.8472727646277698</v>
      </c>
      <c r="AG2144">
        <v>-1.1088455745818999</v>
      </c>
      <c r="AH2144">
        <v>28.979015648835301</v>
      </c>
      <c r="AI2144">
        <v>92.180791119771001</v>
      </c>
      <c r="AJ2144">
        <v>95.611466594130405</v>
      </c>
      <c r="AK2144">
        <v>29.1396610941154</v>
      </c>
      <c r="AL2144">
        <v>87.766210261416902</v>
      </c>
      <c r="AM2144">
        <v>90.230795756225007</v>
      </c>
      <c r="AN2144">
        <v>1.0000000030743199</v>
      </c>
    </row>
    <row r="2145" spans="1:40" x14ac:dyDescent="0.25">
      <c r="A2145" t="str">
        <f>"20190312160643643"</f>
        <v>20190312160643643</v>
      </c>
      <c r="B2145" t="str">
        <f>"1552378003637367"</f>
        <v>1552378003637367</v>
      </c>
      <c r="C2145" t="s">
        <v>40</v>
      </c>
      <c r="D2145">
        <v>4.5601640000000003</v>
      </c>
      <c r="E2145">
        <v>0.48304239999999998</v>
      </c>
      <c r="F2145" t="s">
        <v>66</v>
      </c>
      <c r="G2145">
        <v>-341.47919999999999</v>
      </c>
      <c r="H2145" s="1">
        <v>-7.4966399999999996E-7</v>
      </c>
      <c r="I2145">
        <v>281.81259999999997</v>
      </c>
      <c r="J2145">
        <v>-313.93880000000001</v>
      </c>
      <c r="K2145">
        <v>1.108886</v>
      </c>
      <c r="L2145">
        <v>283.94099999999997</v>
      </c>
      <c r="M2145">
        <v>-0.99968190000000001</v>
      </c>
      <c r="N2145">
        <v>0</v>
      </c>
      <c r="O2145">
        <v>2.3960100000000002E-2</v>
      </c>
      <c r="P2145">
        <v>-0.99923569999999995</v>
      </c>
      <c r="Q2145">
        <v>3.3048790000000001E-2</v>
      </c>
      <c r="R2145">
        <v>2.0881250000000001E-2</v>
      </c>
      <c r="S2145">
        <v>-3.0101010000000001</v>
      </c>
      <c r="T2145">
        <v>-0.11608640000000001</v>
      </c>
      <c r="U2145">
        <v>-0.2197876</v>
      </c>
      <c r="V2145">
        <v>-3.0685539999999998E-3</v>
      </c>
      <c r="W2145">
        <v>4.0937250000000001E-2</v>
      </c>
      <c r="X2145">
        <v>0.99915699999999996</v>
      </c>
      <c r="Y2145">
        <v>-9.6609929999999997E-2</v>
      </c>
      <c r="Z2145">
        <v>-2.7823739999999998E-3</v>
      </c>
      <c r="AA2145">
        <v>0.99531840000000005</v>
      </c>
      <c r="AB2145">
        <v>40</v>
      </c>
      <c r="AC2145">
        <v>-27.540399999999899</v>
      </c>
      <c r="AD2145">
        <v>-1.108886749664</v>
      </c>
      <c r="AE2145">
        <v>-2.1283999999999899</v>
      </c>
      <c r="AF2145">
        <v>-2.7831948323205502</v>
      </c>
      <c r="AG2145">
        <v>-1.108886749664</v>
      </c>
      <c r="AH2145">
        <v>27.4372778849079</v>
      </c>
      <c r="AI2145">
        <v>92.302565232600998</v>
      </c>
      <c r="AJ2145">
        <v>95.792182340965098</v>
      </c>
      <c r="AK2145">
        <v>27.60036269747</v>
      </c>
      <c r="AL2145">
        <v>87.653812708266202</v>
      </c>
      <c r="AM2145">
        <v>90.175962977442794</v>
      </c>
      <c r="AN2145">
        <v>0.99999999255510597</v>
      </c>
    </row>
    <row r="2146" spans="1:40" x14ac:dyDescent="0.25">
      <c r="A2146" t="str">
        <f>"20190312160643654"</f>
        <v>20190312160643654</v>
      </c>
      <c r="B2146" t="str">
        <f>"1552378003647126"</f>
        <v>1552378003647126</v>
      </c>
      <c r="C2146" t="s">
        <v>40</v>
      </c>
      <c r="D2146">
        <v>5.7550910000000002</v>
      </c>
      <c r="E2146">
        <v>0.48304239999999998</v>
      </c>
      <c r="F2146" t="s">
        <v>44</v>
      </c>
      <c r="G2146">
        <v>-314.74540000000002</v>
      </c>
      <c r="H2146">
        <v>0.75157549999999995</v>
      </c>
      <c r="I2146">
        <v>283.928</v>
      </c>
      <c r="J2146">
        <v>-314.14060000000001</v>
      </c>
      <c r="K2146">
        <v>1.108895</v>
      </c>
      <c r="L2146">
        <v>283.94589999999999</v>
      </c>
      <c r="M2146">
        <v>-0.99968250000000003</v>
      </c>
      <c r="N2146">
        <v>0</v>
      </c>
      <c r="O2146">
        <v>2.392971E-2</v>
      </c>
      <c r="P2146">
        <v>-0.99923450000000003</v>
      </c>
      <c r="Q2146">
        <v>3.3294400000000002E-2</v>
      </c>
      <c r="R2146">
        <v>2.0546470000000001E-2</v>
      </c>
      <c r="S2146">
        <v>-3.047974</v>
      </c>
      <c r="T2146">
        <v>-1.3502639999999999</v>
      </c>
      <c r="U2146">
        <v>-4.9621579999999998E-2</v>
      </c>
      <c r="V2146">
        <v>-3.373914E-3</v>
      </c>
      <c r="W2146">
        <v>4.1190240000000003E-2</v>
      </c>
      <c r="X2146">
        <v>0.99914559999999997</v>
      </c>
      <c r="Y2146">
        <v>-3.4705670000000001E-2</v>
      </c>
      <c r="Z2146">
        <v>-1.74685999999999E-2</v>
      </c>
      <c r="AA2146">
        <v>0.99924489999999999</v>
      </c>
      <c r="AB2146">
        <v>40</v>
      </c>
      <c r="AC2146">
        <v>-0.604800000000011</v>
      </c>
      <c r="AD2146">
        <v>-0.35731949999999901</v>
      </c>
      <c r="AE2146">
        <v>-1.78999999999973E-2</v>
      </c>
      <c r="AF2146">
        <v>-2.3998592637833702E-2</v>
      </c>
      <c r="AG2146">
        <v>-0.35731949999999901</v>
      </c>
      <c r="AH2146">
        <v>0.4479704180431</v>
      </c>
      <c r="AI2146">
        <v>128.53727636814901</v>
      </c>
      <c r="AJ2146">
        <v>93.066508123952602</v>
      </c>
      <c r="AK2146">
        <v>0.57352476229937699</v>
      </c>
      <c r="AL2146">
        <v>87.6393051697533</v>
      </c>
      <c r="AM2146">
        <v>90.193475603440106</v>
      </c>
      <c r="AN2146">
        <v>0.99999997458314804</v>
      </c>
    </row>
    <row r="2147" spans="1:40" x14ac:dyDescent="0.25">
      <c r="A2147" t="str">
        <f>"20190312160643666"</f>
        <v>20190312160643666</v>
      </c>
      <c r="B2147" t="str">
        <f>"1552378003656886"</f>
        <v>1552378003656886</v>
      </c>
      <c r="C2147" t="s">
        <v>40</v>
      </c>
      <c r="D2147">
        <v>5.7678789999999998</v>
      </c>
      <c r="E2147">
        <v>0.47052470000000002</v>
      </c>
      <c r="F2147" t="s">
        <v>77</v>
      </c>
      <c r="G2147">
        <v>-316.64550000000003</v>
      </c>
      <c r="H2147" s="1">
        <v>5.2262199999999997E-6</v>
      </c>
      <c r="I2147">
        <v>283.90440000000001</v>
      </c>
      <c r="J2147">
        <v>-314.36070000000001</v>
      </c>
      <c r="K2147">
        <v>1.1089070000000001</v>
      </c>
      <c r="L2147">
        <v>283.9511</v>
      </c>
      <c r="M2147">
        <v>-0.99968349999999995</v>
      </c>
      <c r="N2147">
        <v>0</v>
      </c>
      <c r="O2147">
        <v>2.388475E-2</v>
      </c>
      <c r="P2147">
        <v>-0.99922580000000005</v>
      </c>
      <c r="Q2147">
        <v>3.3762279999999999E-2</v>
      </c>
      <c r="R2147">
        <v>2.0201569999999999E-2</v>
      </c>
      <c r="S2147">
        <v>-3.0482480000000001</v>
      </c>
      <c r="T2147">
        <v>-1.3494489999999999</v>
      </c>
      <c r="U2147">
        <v>-5.044556E-2</v>
      </c>
      <c r="V2147">
        <v>-3.6744680000000002E-3</v>
      </c>
      <c r="W2147">
        <v>4.1666670000000003E-2</v>
      </c>
      <c r="X2147">
        <v>0.99912480000000004</v>
      </c>
      <c r="Y2147">
        <v>-3.4920699999999999E-2</v>
      </c>
      <c r="Z2147">
        <v>-1.748396E-2</v>
      </c>
      <c r="AA2147">
        <v>0.99923709999999999</v>
      </c>
      <c r="AB2147">
        <v>40</v>
      </c>
      <c r="AC2147">
        <v>-2.2848000000000099</v>
      </c>
      <c r="AD2147">
        <v>-1.10890177377999</v>
      </c>
      <c r="AE2147">
        <v>-4.6699999999987002E-2</v>
      </c>
      <c r="AF2147">
        <v>-8.1961897482135199E-2</v>
      </c>
      <c r="AG2147">
        <v>-1.10890177377999</v>
      </c>
      <c r="AH2147">
        <v>1.8479282803333299</v>
      </c>
      <c r="AI2147">
        <v>120.942223051911</v>
      </c>
      <c r="AJ2147">
        <v>92.539598034547495</v>
      </c>
      <c r="AK2147">
        <v>2.1566686870697098</v>
      </c>
      <c r="AL2147">
        <v>87.611984320584995</v>
      </c>
      <c r="AM2147">
        <v>90.210714976938505</v>
      </c>
      <c r="AN2147">
        <v>0.99999998953950497</v>
      </c>
    </row>
    <row r="2148" spans="1:40" x14ac:dyDescent="0.25">
      <c r="A2148" t="str">
        <f>"20190312160643686"</f>
        <v>20190312160643686</v>
      </c>
      <c r="B2148" t="str">
        <f>"1552378003677382"</f>
        <v>1552378003677382</v>
      </c>
      <c r="C2148" t="s">
        <v>40</v>
      </c>
      <c r="D2148">
        <v>5.6004180000000003</v>
      </c>
      <c r="E2148">
        <v>0.46439510000000001</v>
      </c>
      <c r="F2148" t="s">
        <v>44</v>
      </c>
      <c r="G2148">
        <v>-315.16340000000002</v>
      </c>
      <c r="H2148">
        <v>0.91329629999999995</v>
      </c>
      <c r="I2148">
        <v>283.90859999999998</v>
      </c>
      <c r="J2148">
        <v>-314.70049999999998</v>
      </c>
      <c r="K2148">
        <v>1.1089290000000001</v>
      </c>
      <c r="L2148">
        <v>283.95909999999998</v>
      </c>
      <c r="M2148">
        <v>-0.9996853</v>
      </c>
      <c r="N2148">
        <v>0</v>
      </c>
      <c r="O2148">
        <v>2.3804599999999999E-2</v>
      </c>
      <c r="P2148">
        <v>-0.9992183</v>
      </c>
      <c r="Q2148">
        <v>3.413513E-2</v>
      </c>
      <c r="R2148">
        <v>1.9943300000000001E-2</v>
      </c>
      <c r="S2148">
        <v>-3.0305179999999998</v>
      </c>
      <c r="T2148">
        <v>-0.73847010000000002</v>
      </c>
      <c r="U2148">
        <v>-0.16082759999999999</v>
      </c>
      <c r="V2148">
        <v>-3.8544930000000001E-3</v>
      </c>
      <c r="W2148">
        <v>4.2051619999999998E-2</v>
      </c>
      <c r="X2148">
        <v>0.999108</v>
      </c>
      <c r="Y2148">
        <v>-7.3899800000000002E-2</v>
      </c>
      <c r="Z2148">
        <v>-1.458189E-2</v>
      </c>
      <c r="AA2148">
        <v>0.99715909999999996</v>
      </c>
      <c r="AB2148">
        <v>40</v>
      </c>
      <c r="AC2148">
        <v>-0.462900000000047</v>
      </c>
      <c r="AD2148">
        <v>-0.19563269999999999</v>
      </c>
      <c r="AE2148">
        <v>-5.0499999999999497E-2</v>
      </c>
      <c r="AF2148">
        <v>-5.2277638305726001E-2</v>
      </c>
      <c r="AG2148">
        <v>-0.19563269999999999</v>
      </c>
      <c r="AH2148">
        <v>0.39231838750350201</v>
      </c>
      <c r="AI2148">
        <v>116.302676575346</v>
      </c>
      <c r="AJ2148">
        <v>97.590126154439204</v>
      </c>
      <c r="AK2148">
        <v>0.44149611770599101</v>
      </c>
      <c r="AL2148">
        <v>87.589908976330506</v>
      </c>
      <c r="AM2148">
        <v>90.2210422550978</v>
      </c>
      <c r="AN2148">
        <v>0.99999999576245502</v>
      </c>
    </row>
    <row r="2149" spans="1:40" x14ac:dyDescent="0.25">
      <c r="A2149" t="str">
        <f>"20190312160643698"</f>
        <v>20190312160643698</v>
      </c>
      <c r="B2149" t="str">
        <f>"1552378003687142"</f>
        <v>1552378003687142</v>
      </c>
      <c r="C2149" t="s">
        <v>40</v>
      </c>
      <c r="D2149">
        <v>6.3127680000000002</v>
      </c>
      <c r="E2149">
        <v>0.46345710000000001</v>
      </c>
      <c r="F2149" t="s">
        <v>44</v>
      </c>
      <c r="G2149">
        <v>-315.55309999999997</v>
      </c>
      <c r="H2149">
        <v>0.97564459999999997</v>
      </c>
      <c r="I2149">
        <v>283.89879999999999</v>
      </c>
      <c r="J2149">
        <v>-314.9393</v>
      </c>
      <c r="K2149">
        <v>1.1089370000000001</v>
      </c>
      <c r="L2149">
        <v>283.96480000000003</v>
      </c>
      <c r="M2149">
        <v>-0.99968679999999999</v>
      </c>
      <c r="N2149">
        <v>0</v>
      </c>
      <c r="O2149">
        <v>2.3740130000000002E-2</v>
      </c>
      <c r="P2149">
        <v>-0.99922630000000001</v>
      </c>
      <c r="Q2149">
        <v>3.3997369999999999E-2</v>
      </c>
      <c r="R2149">
        <v>1.977843E-2</v>
      </c>
      <c r="S2149">
        <v>-3.0227360000000001</v>
      </c>
      <c r="T2149">
        <v>-0.47259960000000001</v>
      </c>
      <c r="U2149">
        <v>-0.2146912</v>
      </c>
      <c r="V2149">
        <v>-3.9559900000000004E-3</v>
      </c>
      <c r="W2149">
        <v>4.1922500000000001E-2</v>
      </c>
      <c r="X2149">
        <v>0.99911300000000003</v>
      </c>
      <c r="Y2149">
        <v>-9.3095380000000005E-2</v>
      </c>
      <c r="Z2149">
        <v>-1.091017E-2</v>
      </c>
      <c r="AA2149">
        <v>0.99559739999999997</v>
      </c>
      <c r="AB2149">
        <v>40</v>
      </c>
      <c r="AC2149">
        <v>-0.61379999999996904</v>
      </c>
      <c r="AD2149">
        <v>-0.13329240000000001</v>
      </c>
      <c r="AE2149">
        <v>-6.6000000000030895E-2</v>
      </c>
      <c r="AF2149">
        <v>-7.6965479929213404E-2</v>
      </c>
      <c r="AG2149">
        <v>-0.13329240000000001</v>
      </c>
      <c r="AH2149">
        <v>0.58479733677014101</v>
      </c>
      <c r="AI2149">
        <v>102.733842676994</v>
      </c>
      <c r="AJ2149">
        <v>97.497635665471094</v>
      </c>
      <c r="AK2149">
        <v>0.60471354713777004</v>
      </c>
      <c r="AL2149">
        <v>87.597313466304001</v>
      </c>
      <c r="AM2149">
        <v>90.226861572514693</v>
      </c>
      <c r="AN2149">
        <v>0.99999996631606403</v>
      </c>
    </row>
    <row r="2150" spans="1:40" x14ac:dyDescent="0.25">
      <c r="A2150" t="str">
        <f>"20190312160643710"</f>
        <v>20190312160643710</v>
      </c>
      <c r="B2150" t="str">
        <f>"1552378003707639"</f>
        <v>1552378003707639</v>
      </c>
      <c r="C2150" t="s">
        <v>40</v>
      </c>
      <c r="D2150">
        <v>5.4427789999999998</v>
      </c>
      <c r="E2150">
        <v>0.46518039999999999</v>
      </c>
      <c r="F2150" t="s">
        <v>66</v>
      </c>
      <c r="G2150">
        <v>-324.09059999999999</v>
      </c>
      <c r="H2150" s="1">
        <v>6.9832069999999997E-7</v>
      </c>
      <c r="I2150">
        <v>283.2826</v>
      </c>
      <c r="J2150">
        <v>-315.15069999999997</v>
      </c>
      <c r="K2150">
        <v>1.1089389999999999</v>
      </c>
      <c r="L2150">
        <v>283.96969999999999</v>
      </c>
      <c r="M2150">
        <v>-0.99968829999999997</v>
      </c>
      <c r="N2150">
        <v>0</v>
      </c>
      <c r="O2150">
        <v>2.3677719999999999E-2</v>
      </c>
      <c r="P2150">
        <v>-0.99924049999999998</v>
      </c>
      <c r="Q2150">
        <v>3.356526E-2</v>
      </c>
      <c r="R2150">
        <v>1.980678E-2</v>
      </c>
      <c r="S2150">
        <v>-3.0192570000000001</v>
      </c>
      <c r="T2150">
        <v>-0.36586649999999998</v>
      </c>
      <c r="U2150">
        <v>-0.22506709999999999</v>
      </c>
      <c r="V2150">
        <v>-3.8669680000000001E-3</v>
      </c>
      <c r="W2150">
        <v>4.1498489999999999E-2</v>
      </c>
      <c r="X2150">
        <v>0.99913110000000005</v>
      </c>
      <c r="Y2150">
        <v>-9.7051079999999998E-2</v>
      </c>
      <c r="Z2150">
        <v>-8.7061099999999995E-3</v>
      </c>
      <c r="AA2150">
        <v>0.9952413</v>
      </c>
      <c r="AB2150">
        <v>40</v>
      </c>
      <c r="AC2150">
        <v>-8.9399000000000193</v>
      </c>
      <c r="AD2150">
        <v>-1.1089383016793</v>
      </c>
      <c r="AE2150">
        <v>-0.68709999999998606</v>
      </c>
      <c r="AF2150">
        <v>-0.88505225085545203</v>
      </c>
      <c r="AG2150">
        <v>-1.1089383016793</v>
      </c>
      <c r="AH2150">
        <v>8.7867181333607807</v>
      </c>
      <c r="AI2150">
        <v>97.157215464940194</v>
      </c>
      <c r="AJ2150">
        <v>95.751783320953393</v>
      </c>
      <c r="AK2150">
        <v>8.9005324109744599</v>
      </c>
      <c r="AL2150">
        <v>87.621628730854596</v>
      </c>
      <c r="AM2150">
        <v>90.221752520399093</v>
      </c>
      <c r="AN2150">
        <v>1.0000000165505001</v>
      </c>
    </row>
    <row r="2151" spans="1:40" x14ac:dyDescent="0.25">
      <c r="A2151" t="str">
        <f>"20190312160643731"</f>
        <v>20190312160643731</v>
      </c>
      <c r="B2151" t="str">
        <f>"1552378003727158"</f>
        <v>1552378003727158</v>
      </c>
      <c r="C2151" t="s">
        <v>40</v>
      </c>
      <c r="D2151">
        <v>5.5429009999999996</v>
      </c>
      <c r="E2151">
        <v>0.46550530000000001</v>
      </c>
      <c r="F2151" t="s">
        <v>66</v>
      </c>
      <c r="G2151">
        <v>-326.86059999999998</v>
      </c>
      <c r="H2151" s="1">
        <v>2.178378E-6</v>
      </c>
      <c r="I2151">
        <v>283.14519999999999</v>
      </c>
      <c r="J2151">
        <v>-315.50119999999998</v>
      </c>
      <c r="K2151">
        <v>1.1089519999999999</v>
      </c>
      <c r="L2151">
        <v>283.97800000000001</v>
      </c>
      <c r="M2151">
        <v>-0.99969070000000004</v>
      </c>
      <c r="N2151">
        <v>0</v>
      </c>
      <c r="O2151">
        <v>2.3565059999999999E-2</v>
      </c>
      <c r="P2151">
        <v>-0.9992548</v>
      </c>
      <c r="Q2151">
        <v>3.3257979999999999E-2</v>
      </c>
      <c r="R2151">
        <v>1.9587819999999999E-2</v>
      </c>
      <c r="S2151">
        <v>-3.0160520000000002</v>
      </c>
      <c r="T2151">
        <v>-0.28562280000000001</v>
      </c>
      <c r="U2151">
        <v>-0.2123718</v>
      </c>
      <c r="V2151">
        <v>-3.9746879999999997E-3</v>
      </c>
      <c r="W2151">
        <v>4.1204530000000003E-2</v>
      </c>
      <c r="X2151">
        <v>0.9991428</v>
      </c>
      <c r="Y2151">
        <v>-9.3207940000000003E-2</v>
      </c>
      <c r="Z2151">
        <v>-6.6224700000000001E-3</v>
      </c>
      <c r="AA2151">
        <v>0.99562470000000003</v>
      </c>
      <c r="AB2151">
        <v>40</v>
      </c>
      <c r="AC2151">
        <v>-11.3593999999999</v>
      </c>
      <c r="AD2151">
        <v>-1.108949821622</v>
      </c>
      <c r="AE2151">
        <v>-0.83280000000001997</v>
      </c>
      <c r="AF2151">
        <v>-1.0899301404149999</v>
      </c>
      <c r="AG2151">
        <v>-1.108949821622</v>
      </c>
      <c r="AH2151">
        <v>11.2301635335582</v>
      </c>
      <c r="AI2151">
        <v>95.613322533031294</v>
      </c>
      <c r="AJ2151">
        <v>95.543411833170197</v>
      </c>
      <c r="AK2151">
        <v>11.3372964329385</v>
      </c>
      <c r="AL2151">
        <v>87.638485713880399</v>
      </c>
      <c r="AM2151">
        <v>90.227927025027697</v>
      </c>
      <c r="AN2151">
        <v>0.99999997311452804</v>
      </c>
    </row>
    <row r="2152" spans="1:40" x14ac:dyDescent="0.25">
      <c r="A2152" t="str">
        <f>"20190312160643744"</f>
        <v>20190312160643744</v>
      </c>
      <c r="B2152" t="str">
        <f>"1552378003736919"</f>
        <v>1552378003736919</v>
      </c>
      <c r="C2152" t="s">
        <v>40</v>
      </c>
      <c r="D2152">
        <v>5.6564759999999996</v>
      </c>
      <c r="E2152">
        <v>0.46656550000000002</v>
      </c>
      <c r="F2152" t="s">
        <v>66</v>
      </c>
      <c r="G2152">
        <v>-329.06909999999999</v>
      </c>
      <c r="H2152" s="1">
        <v>3.3587140000000001E-6</v>
      </c>
      <c r="I2152">
        <v>283.02859999999998</v>
      </c>
      <c r="J2152">
        <v>-315.75119999999998</v>
      </c>
      <c r="K2152">
        <v>1.1089629999999999</v>
      </c>
      <c r="L2152">
        <v>283.98379999999997</v>
      </c>
      <c r="M2152">
        <v>-0.99969269999999999</v>
      </c>
      <c r="N2152">
        <v>0</v>
      </c>
      <c r="O2152">
        <v>2.3479170000000001E-2</v>
      </c>
      <c r="P2152">
        <v>-0.99925909999999996</v>
      </c>
      <c r="Q2152">
        <v>3.3274230000000002E-2</v>
      </c>
      <c r="R2152">
        <v>1.934841E-2</v>
      </c>
      <c r="S2152">
        <v>-3.0145569999999999</v>
      </c>
      <c r="T2152">
        <v>-0.2463902</v>
      </c>
      <c r="U2152">
        <v>-0.2109375</v>
      </c>
      <c r="V2152">
        <v>-4.1290479999999997E-3</v>
      </c>
      <c r="W2152">
        <v>4.1230259999999998E-2</v>
      </c>
      <c r="X2152">
        <v>0.99914119999999995</v>
      </c>
      <c r="Y2152">
        <v>-9.2819620000000005E-2</v>
      </c>
      <c r="Z2152">
        <v>-5.6961520000000003E-3</v>
      </c>
      <c r="AA2152">
        <v>0.99566659999999996</v>
      </c>
      <c r="AB2152">
        <v>40</v>
      </c>
      <c r="AC2152">
        <v>-13.3179</v>
      </c>
      <c r="AD2152">
        <v>-1.1089596412860001</v>
      </c>
      <c r="AE2152">
        <v>-0.95519999999998995</v>
      </c>
      <c r="AF2152">
        <v>-1.2589553424412001</v>
      </c>
      <c r="AG2152">
        <v>-1.1089596412860001</v>
      </c>
      <c r="AH2152">
        <v>13.2007398902271</v>
      </c>
      <c r="AI2152">
        <v>94.780403982902001</v>
      </c>
      <c r="AJ2152">
        <v>95.447824941646203</v>
      </c>
      <c r="AK2152">
        <v>13.306926530559</v>
      </c>
      <c r="AL2152">
        <v>87.637010446085895</v>
      </c>
      <c r="AM2152">
        <v>90.236779022863104</v>
      </c>
      <c r="AN2152">
        <v>1.0000000604572401</v>
      </c>
    </row>
    <row r="2153" spans="1:40" x14ac:dyDescent="0.25">
      <c r="A2153" t="str">
        <f>"20190312160643755"</f>
        <v>20190312160643755</v>
      </c>
      <c r="B2153" t="str">
        <f>"1552378003747656"</f>
        <v>1552378003747656</v>
      </c>
      <c r="C2153" t="s">
        <v>40</v>
      </c>
      <c r="D2153">
        <v>5.6144749999999997</v>
      </c>
      <c r="E2153">
        <v>0.46719749999999999</v>
      </c>
      <c r="F2153" t="s">
        <v>66</v>
      </c>
      <c r="G2153">
        <v>-330.09910000000002</v>
      </c>
      <c r="H2153" s="1">
        <v>-1.4141069999999999E-6</v>
      </c>
      <c r="I2153">
        <v>283.01569999999998</v>
      </c>
      <c r="J2153">
        <v>-315.95890000000003</v>
      </c>
      <c r="K2153">
        <v>1.108968</v>
      </c>
      <c r="L2153">
        <v>283.98860000000002</v>
      </c>
      <c r="M2153">
        <v>-0.99969430000000004</v>
      </c>
      <c r="N2153">
        <v>0</v>
      </c>
      <c r="O2153">
        <v>2.340594E-2</v>
      </c>
      <c r="P2153">
        <v>-0.9992548</v>
      </c>
      <c r="Q2153">
        <v>3.3527800000000003E-2</v>
      </c>
      <c r="R2153">
        <v>1.9120430000000001E-2</v>
      </c>
      <c r="S2153">
        <v>-3.013916</v>
      </c>
      <c r="T2153">
        <v>-0.23294899999999999</v>
      </c>
      <c r="U2153">
        <v>-0.20333860000000001</v>
      </c>
      <c r="V2153">
        <v>-4.2847930000000003E-3</v>
      </c>
      <c r="W2153">
        <v>4.1490859999999997E-2</v>
      </c>
      <c r="X2153">
        <v>0.99912970000000001</v>
      </c>
      <c r="Y2153">
        <v>-9.0310970000000004E-2</v>
      </c>
      <c r="Z2153">
        <v>-5.2856090000000001E-3</v>
      </c>
      <c r="AA2153">
        <v>0.9958996</v>
      </c>
      <c r="AB2153">
        <v>40</v>
      </c>
      <c r="AC2153">
        <v>-14.140199999999901</v>
      </c>
      <c r="AD2153">
        <v>-1.1089694141069999</v>
      </c>
      <c r="AE2153">
        <v>-0.97290000000003796</v>
      </c>
      <c r="AF2153">
        <v>-1.2956767927760999</v>
      </c>
      <c r="AG2153">
        <v>-1.1089694141069999</v>
      </c>
      <c r="AH2153">
        <v>14.027679377530299</v>
      </c>
      <c r="AI2153">
        <v>94.501082272109102</v>
      </c>
      <c r="AJ2153">
        <v>95.277192944803303</v>
      </c>
      <c r="AK2153">
        <v>14.1309723738868</v>
      </c>
      <c r="AL2153">
        <v>87.622066245029501</v>
      </c>
      <c r="AM2153">
        <v>90.2457128938983</v>
      </c>
      <c r="AN2153">
        <v>1.0000000041683399</v>
      </c>
    </row>
    <row r="2154" spans="1:40" x14ac:dyDescent="0.25">
      <c r="A2154" t="str">
        <f>"20190312160643799"</f>
        <v>20190312160643799</v>
      </c>
      <c r="B2154" t="str">
        <f>"1552378003787670"</f>
        <v>1552378003787670</v>
      </c>
      <c r="C2154" t="s">
        <v>40</v>
      </c>
      <c r="D2154">
        <v>5.4699059999999999</v>
      </c>
      <c r="E2154">
        <v>0.4671573</v>
      </c>
      <c r="F2154" t="s">
        <v>66</v>
      </c>
      <c r="G2154">
        <v>-330.71510000000001</v>
      </c>
      <c r="H2154" s="1">
        <v>-1.086243E-6</v>
      </c>
      <c r="I2154">
        <v>283.0145</v>
      </c>
      <c r="J2154">
        <v>-316.74029999999999</v>
      </c>
      <c r="K2154">
        <v>1.108984</v>
      </c>
      <c r="L2154">
        <v>284.00670000000002</v>
      </c>
      <c r="M2154">
        <v>-0.99970099999999995</v>
      </c>
      <c r="N2154">
        <v>0</v>
      </c>
      <c r="O2154">
        <v>2.3114079999999999E-2</v>
      </c>
      <c r="P2154">
        <v>-0.99927339999999998</v>
      </c>
      <c r="Q2154">
        <v>3.3684169999999999E-2</v>
      </c>
      <c r="R2154">
        <v>1.7844189999999999E-2</v>
      </c>
      <c r="S2154">
        <v>-3.0136409999999998</v>
      </c>
      <c r="T2154">
        <v>-0.2264843</v>
      </c>
      <c r="U2154">
        <v>-0.19894410000000001</v>
      </c>
      <c r="V2154">
        <v>-5.2704680000000004E-3</v>
      </c>
      <c r="W2154">
        <v>4.1676190000000002E-2</v>
      </c>
      <c r="X2154">
        <v>0.99911729999999999</v>
      </c>
      <c r="Y2154">
        <v>-8.8604379999999996E-2</v>
      </c>
      <c r="Z2154">
        <v>-5.0541960000000004E-3</v>
      </c>
      <c r="AA2154">
        <v>0.99605410000000005</v>
      </c>
      <c r="AB2154">
        <v>40</v>
      </c>
      <c r="AC2154">
        <v>-13.9748</v>
      </c>
      <c r="AD2154">
        <v>-1.108985086243</v>
      </c>
      <c r="AE2154">
        <v>-0.99220000000002495</v>
      </c>
      <c r="AF2154">
        <v>-1.30677185644293</v>
      </c>
      <c r="AG2154">
        <v>-1.108985086243</v>
      </c>
      <c r="AH2154">
        <v>13.861279654408101</v>
      </c>
      <c r="AI2154">
        <v>94.554153125003793</v>
      </c>
      <c r="AJ2154">
        <v>95.385640636155699</v>
      </c>
      <c r="AK2154">
        <v>13.966838377528701</v>
      </c>
      <c r="AL2154">
        <v>87.611438489401806</v>
      </c>
      <c r="AM2154">
        <v>90.302239558345207</v>
      </c>
      <c r="AN2154">
        <v>1.0000000309025701</v>
      </c>
    </row>
    <row r="2155" spans="1:40" x14ac:dyDescent="0.25">
      <c r="A2155" t="str">
        <f>"20190312160643843"</f>
        <v>20190312160643843</v>
      </c>
      <c r="B2155" t="str">
        <f>"1552378003837446"</f>
        <v>1552378003837446</v>
      </c>
      <c r="C2155" t="s">
        <v>40</v>
      </c>
      <c r="D2155">
        <v>5.5419369999999999</v>
      </c>
      <c r="E2155">
        <v>0.46823019999999999</v>
      </c>
      <c r="F2155" t="s">
        <v>66</v>
      </c>
      <c r="G2155">
        <v>-335.48829999999998</v>
      </c>
      <c r="H2155" s="1">
        <v>1.466082E-6</v>
      </c>
      <c r="I2155">
        <v>282.73480000000001</v>
      </c>
      <c r="J2155">
        <v>-317.5403</v>
      </c>
      <c r="K2155">
        <v>1.108995</v>
      </c>
      <c r="L2155">
        <v>284.02480000000003</v>
      </c>
      <c r="M2155">
        <v>-0.99970769999999998</v>
      </c>
      <c r="N2155">
        <v>0</v>
      </c>
      <c r="O2155">
        <v>2.280836E-2</v>
      </c>
      <c r="P2155">
        <v>-0.99930079999999999</v>
      </c>
      <c r="Q2155">
        <v>3.3378310000000001E-2</v>
      </c>
      <c r="R2155">
        <v>1.6852220000000001E-2</v>
      </c>
      <c r="S2155">
        <v>-3.011841</v>
      </c>
      <c r="T2155">
        <v>-0.17815629999999999</v>
      </c>
      <c r="U2155">
        <v>-0.2043152</v>
      </c>
      <c r="V2155">
        <v>-5.9584800000000004E-3</v>
      </c>
      <c r="W2155">
        <v>4.1399869999999998E-2</v>
      </c>
      <c r="X2155">
        <v>0.99912489999999998</v>
      </c>
      <c r="Y2155">
        <v>-9.0224219999999994E-2</v>
      </c>
      <c r="Z2155">
        <v>-4.0097400000000004E-3</v>
      </c>
      <c r="AA2155">
        <v>0.99591339999999995</v>
      </c>
      <c r="AB2155">
        <v>41</v>
      </c>
      <c r="AC2155">
        <v>-17.947999999999901</v>
      </c>
      <c r="AD2155">
        <v>-1.1089935339179999</v>
      </c>
      <c r="AE2155">
        <v>-1.29000000000002</v>
      </c>
      <c r="AF2155">
        <v>-1.69261296227461</v>
      </c>
      <c r="AG2155">
        <v>-1.1089935339179999</v>
      </c>
      <c r="AH2155">
        <v>17.846122143966902</v>
      </c>
      <c r="AI2155">
        <v>93.540055193853306</v>
      </c>
      <c r="AJ2155">
        <v>95.418003026282307</v>
      </c>
      <c r="AK2155">
        <v>17.9604810869786</v>
      </c>
      <c r="AL2155">
        <v>87.627284083379294</v>
      </c>
      <c r="AM2155">
        <v>90.341690722623994</v>
      </c>
      <c r="AN2155">
        <v>1.0000000092599599</v>
      </c>
    </row>
    <row r="2156" spans="1:40" x14ac:dyDescent="0.25">
      <c r="A2156" t="str">
        <f>"20190312160643856"</f>
        <v>20190312160643856</v>
      </c>
      <c r="B2156" t="str">
        <f>"1552378003847207"</f>
        <v>1552378003847207</v>
      </c>
      <c r="C2156" t="s">
        <v>40</v>
      </c>
      <c r="D2156">
        <v>5.6056489999999997</v>
      </c>
      <c r="E2156">
        <v>0.46844409999999997</v>
      </c>
      <c r="F2156" t="s">
        <v>66</v>
      </c>
      <c r="G2156">
        <v>-338.60210000000001</v>
      </c>
      <c r="H2156" s="1">
        <v>3.127333E-6</v>
      </c>
      <c r="I2156">
        <v>282.63670000000002</v>
      </c>
      <c r="J2156">
        <v>-317.791</v>
      </c>
      <c r="K2156">
        <v>1.1089960000000001</v>
      </c>
      <c r="L2156">
        <v>284.03050000000002</v>
      </c>
      <c r="M2156">
        <v>-0.99970979999999998</v>
      </c>
      <c r="N2156">
        <v>0</v>
      </c>
      <c r="O2156">
        <v>2.2712329999999999E-2</v>
      </c>
      <c r="P2156">
        <v>-0.99931740000000002</v>
      </c>
      <c r="Q2156">
        <v>3.2955329999999998E-2</v>
      </c>
      <c r="R2156">
        <v>1.670044E-2</v>
      </c>
      <c r="S2156">
        <v>-3.010742</v>
      </c>
      <c r="T2156">
        <v>-0.158528799999999</v>
      </c>
      <c r="U2156">
        <v>-0.1984253</v>
      </c>
      <c r="V2156">
        <v>-6.0147999999999998E-3</v>
      </c>
      <c r="W2156">
        <v>4.0985849999999997E-2</v>
      </c>
      <c r="X2156">
        <v>0.99914159999999996</v>
      </c>
      <c r="Y2156">
        <v>-8.8256929999999997E-2</v>
      </c>
      <c r="Z2156">
        <v>-3.5134070000000001E-3</v>
      </c>
      <c r="AA2156">
        <v>0.99609150000000002</v>
      </c>
      <c r="AB2156">
        <v>41</v>
      </c>
      <c r="AC2156">
        <v>-20.8111</v>
      </c>
      <c r="AD2156">
        <v>-1.108992872667</v>
      </c>
      <c r="AE2156">
        <v>-1.3937999999999899</v>
      </c>
      <c r="AF2156">
        <v>-1.8608636050448499</v>
      </c>
      <c r="AG2156">
        <v>-1.108992872667</v>
      </c>
      <c r="AH2156">
        <v>20.715511318107801</v>
      </c>
      <c r="AI2156">
        <v>93.052104988659707</v>
      </c>
      <c r="AJ2156">
        <v>95.133072823259297</v>
      </c>
      <c r="AK2156">
        <v>20.8284682038516</v>
      </c>
      <c r="AL2156">
        <v>87.651025758480102</v>
      </c>
      <c r="AM2156">
        <v>90.344914566326807</v>
      </c>
      <c r="AN2156">
        <v>0.99999997728491097</v>
      </c>
    </row>
    <row r="2157" spans="1:40" x14ac:dyDescent="0.25">
      <c r="A2157" t="str">
        <f>"20190312160643868"</f>
        <v>20190312160643868</v>
      </c>
      <c r="B2157" t="str">
        <f>"1552378003856966"</f>
        <v>1552378003856966</v>
      </c>
      <c r="C2157" t="s">
        <v>40</v>
      </c>
      <c r="D2157">
        <v>5.6062669999999999</v>
      </c>
      <c r="E2157">
        <v>0.4685358</v>
      </c>
      <c r="F2157" t="s">
        <v>66</v>
      </c>
      <c r="G2157">
        <v>-339.89499999999998</v>
      </c>
      <c r="H2157" s="1">
        <v>3.8177690000000003E-6</v>
      </c>
      <c r="I2157">
        <v>282.58150000000001</v>
      </c>
      <c r="J2157">
        <v>-318.00920000000002</v>
      </c>
      <c r="K2157">
        <v>1.1089990000000001</v>
      </c>
      <c r="L2157">
        <v>284.03539999999998</v>
      </c>
      <c r="M2157">
        <v>-0.99971160000000003</v>
      </c>
      <c r="N2157">
        <v>0</v>
      </c>
      <c r="O2157">
        <v>2.262894E-2</v>
      </c>
      <c r="P2157">
        <v>-0.99932100000000001</v>
      </c>
      <c r="Q2157">
        <v>3.2843339999999999E-2</v>
      </c>
      <c r="R2157">
        <v>1.669992E-2</v>
      </c>
      <c r="S2157">
        <v>-3.010284</v>
      </c>
      <c r="T2157">
        <v>-0.1510311</v>
      </c>
      <c r="U2157">
        <v>-0.19732669999999999</v>
      </c>
      <c r="V2157">
        <v>-5.9324030000000002E-3</v>
      </c>
      <c r="W2157">
        <v>4.0881979999999998E-2</v>
      </c>
      <c r="X2157">
        <v>0.99914630000000004</v>
      </c>
      <c r="Y2157">
        <v>-8.7836520000000001E-2</v>
      </c>
      <c r="Z2157">
        <v>-3.3332930000000002E-3</v>
      </c>
      <c r="AA2157">
        <v>0.9961293</v>
      </c>
      <c r="AB2157">
        <v>41</v>
      </c>
      <c r="AC2157">
        <v>-21.8857999999999</v>
      </c>
      <c r="AD2157">
        <v>-1.108995182231</v>
      </c>
      <c r="AE2157">
        <v>-1.45389999999997</v>
      </c>
      <c r="AF2157">
        <v>-1.9438270215065701</v>
      </c>
      <c r="AG2157">
        <v>-1.108995182231</v>
      </c>
      <c r="AH2157">
        <v>21.791586969777399</v>
      </c>
      <c r="AI2157">
        <v>92.901823043179604</v>
      </c>
      <c r="AJ2157">
        <v>95.097338544085801</v>
      </c>
      <c r="AK2157">
        <v>21.906199954924201</v>
      </c>
      <c r="AL2157">
        <v>87.656981950865202</v>
      </c>
      <c r="AM2157">
        <v>90.340188078668803</v>
      </c>
      <c r="AN2157">
        <v>0.99999992924887904</v>
      </c>
    </row>
    <row r="2158" spans="1:40" x14ac:dyDescent="0.25">
      <c r="A2158" t="str">
        <f>"20190312160643880"</f>
        <v>20190312160643880</v>
      </c>
      <c r="B2158" t="str">
        <f>"1552378003876994"</f>
        <v>1552378003876994</v>
      </c>
      <c r="C2158" t="s">
        <v>40</v>
      </c>
      <c r="D2158">
        <v>5.6678860000000002</v>
      </c>
      <c r="E2158">
        <v>0.46938200000000002</v>
      </c>
      <c r="F2158" t="s">
        <v>66</v>
      </c>
      <c r="G2158">
        <v>-340.94880000000001</v>
      </c>
      <c r="H2158" s="1">
        <v>-1.031907E-6</v>
      </c>
      <c r="I2158">
        <v>282.53579999999999</v>
      </c>
      <c r="J2158">
        <v>-318.22820000000002</v>
      </c>
      <c r="K2158">
        <v>1.109003</v>
      </c>
      <c r="L2158">
        <v>284.0403</v>
      </c>
      <c r="M2158">
        <v>-0.99971339999999997</v>
      </c>
      <c r="N2158">
        <v>0</v>
      </c>
      <c r="O2158">
        <v>2.254538E-2</v>
      </c>
      <c r="P2158">
        <v>-0.99932290000000001</v>
      </c>
      <c r="Q2158">
        <v>3.2883030000000001E-2</v>
      </c>
      <c r="R2158">
        <v>1.6513509999999999E-2</v>
      </c>
      <c r="S2158">
        <v>-3.0100709999999999</v>
      </c>
      <c r="T2158">
        <v>-0.14551989999999901</v>
      </c>
      <c r="U2158">
        <v>-0.19677729999999999</v>
      </c>
      <c r="V2158">
        <v>-6.0348249999999997E-3</v>
      </c>
      <c r="W2158">
        <v>4.0930109999999999E-2</v>
      </c>
      <c r="X2158">
        <v>0.99914380000000003</v>
      </c>
      <c r="Y2158">
        <v>-8.7587139999999994E-2</v>
      </c>
      <c r="Z2158">
        <v>-3.2019959999999999E-3</v>
      </c>
      <c r="AA2158">
        <v>0.99615169999999997</v>
      </c>
      <c r="AB2158">
        <v>41</v>
      </c>
      <c r="AC2158">
        <v>-22.720599999999902</v>
      </c>
      <c r="AD2158">
        <v>-1.109004031907</v>
      </c>
      <c r="AE2158">
        <v>-1.5044999999999999</v>
      </c>
      <c r="AF2158">
        <v>-2.0116070644487798</v>
      </c>
      <c r="AG2158">
        <v>-1.109004031907</v>
      </c>
      <c r="AH2158">
        <v>22.627230636549399</v>
      </c>
      <c r="AI2158">
        <v>92.7949252334341</v>
      </c>
      <c r="AJ2158">
        <v>95.080355709895997</v>
      </c>
      <c r="AK2158">
        <v>22.7435269737155</v>
      </c>
      <c r="AL2158">
        <v>87.654222191394993</v>
      </c>
      <c r="AM2158">
        <v>90.346062096316203</v>
      </c>
      <c r="AN2158">
        <v>1.0000000130479101</v>
      </c>
    </row>
    <row r="2159" spans="1:40" x14ac:dyDescent="0.25">
      <c r="A2159" t="str">
        <f>"20190312160643898"</f>
        <v>20190312160643898</v>
      </c>
      <c r="B2159" t="str">
        <f>"1552378003887729"</f>
        <v>1552378003887729</v>
      </c>
      <c r="C2159" t="s">
        <v>40</v>
      </c>
      <c r="D2159">
        <v>5.6172899999999997</v>
      </c>
      <c r="E2159">
        <v>0.51302190000000003</v>
      </c>
      <c r="F2159" t="s">
        <v>66</v>
      </c>
      <c r="G2159">
        <v>-341.9907</v>
      </c>
      <c r="H2159" s="1">
        <v>-4.7746519999999995E-7</v>
      </c>
      <c r="I2159">
        <v>282.53410000000002</v>
      </c>
      <c r="J2159">
        <v>-318.54689999999999</v>
      </c>
      <c r="K2159">
        <v>1.1090070000000001</v>
      </c>
      <c r="L2159">
        <v>284.04739999999998</v>
      </c>
      <c r="M2159">
        <v>-0.99971600000000005</v>
      </c>
      <c r="N2159">
        <v>0</v>
      </c>
      <c r="O2159">
        <v>2.2424300000000001E-2</v>
      </c>
      <c r="P2159">
        <v>-0.99932690000000002</v>
      </c>
      <c r="Q2159">
        <v>3.2941100000000001E-2</v>
      </c>
      <c r="R2159">
        <v>1.6143749999999998E-2</v>
      </c>
      <c r="S2159">
        <v>-3.0097659999999999</v>
      </c>
      <c r="T2159">
        <v>-0.14046689999999901</v>
      </c>
      <c r="U2159">
        <v>-0.1907654</v>
      </c>
      <c r="V2159">
        <v>-6.2844540000000001E-3</v>
      </c>
      <c r="W2159">
        <v>4.0999670000000002E-2</v>
      </c>
      <c r="X2159">
        <v>0.99913940000000001</v>
      </c>
      <c r="Y2159">
        <v>-8.5502389999999998E-2</v>
      </c>
      <c r="Z2159">
        <v>-3.0372229999999999E-3</v>
      </c>
      <c r="AA2159">
        <v>0.99633340000000004</v>
      </c>
      <c r="AB2159">
        <v>41</v>
      </c>
      <c r="AC2159">
        <v>-23.4438</v>
      </c>
      <c r="AD2159">
        <v>-1.1090074774651999</v>
      </c>
      <c r="AE2159">
        <v>-1.5132999999999499</v>
      </c>
      <c r="AF2159">
        <v>-2.0341143895079998</v>
      </c>
      <c r="AG2159">
        <v>-1.1090074774651999</v>
      </c>
      <c r="AH2159">
        <v>23.351929616686</v>
      </c>
      <c r="AI2159">
        <v>92.708751681648295</v>
      </c>
      <c r="AJ2159">
        <v>94.978292462551593</v>
      </c>
      <c r="AK2159">
        <v>23.4665748620743</v>
      </c>
      <c r="AL2159">
        <v>87.650233327386005</v>
      </c>
      <c r="AM2159">
        <v>90.360378083785804</v>
      </c>
      <c r="AN2159">
        <v>1.0000000039672701</v>
      </c>
    </row>
    <row r="2160" spans="1:40" x14ac:dyDescent="0.25">
      <c r="A2160" t="str">
        <f>"20190312160643910"</f>
        <v>20190312160643910</v>
      </c>
      <c r="B2160" t="str">
        <f>"1552378003907248"</f>
        <v>1552378003907248</v>
      </c>
      <c r="C2160" t="s">
        <v>40</v>
      </c>
      <c r="D2160">
        <v>6.1427909999999999</v>
      </c>
      <c r="E2160">
        <v>0.51761919999999995</v>
      </c>
      <c r="F2160" t="s">
        <v>76</v>
      </c>
      <c r="G2160">
        <v>-510.95370000000003</v>
      </c>
      <c r="H2160">
        <v>0.161193899999999</v>
      </c>
      <c r="I2160">
        <v>293.94900000000001</v>
      </c>
      <c r="J2160">
        <v>-318.7801</v>
      </c>
      <c r="K2160">
        <v>1.109003</v>
      </c>
      <c r="L2160">
        <v>284.05259999999998</v>
      </c>
      <c r="M2160">
        <v>-0.999718</v>
      </c>
      <c r="N2160">
        <v>0</v>
      </c>
      <c r="O2160">
        <v>2.233603E-2</v>
      </c>
      <c r="P2160">
        <v>-0.99933019999999995</v>
      </c>
      <c r="Q2160">
        <v>3.3192140000000002E-2</v>
      </c>
      <c r="R2160">
        <v>1.541214E-2</v>
      </c>
      <c r="S2160">
        <v>-3.0000309999999999</v>
      </c>
      <c r="T2160">
        <v>-1.477706E-2</v>
      </c>
      <c r="U2160">
        <v>0.15438840000000001</v>
      </c>
      <c r="V2160">
        <v>-6.9280319999999998E-3</v>
      </c>
      <c r="W2160">
        <v>4.125885E-2</v>
      </c>
      <c r="X2160">
        <v>0.99912449999999997</v>
      </c>
      <c r="Y2160">
        <v>2.9074139999999998E-2</v>
      </c>
      <c r="Z2160" s="1">
        <v>-3.8370159999999998E-5</v>
      </c>
      <c r="AA2160">
        <v>0.9995773</v>
      </c>
      <c r="AB2160">
        <v>41</v>
      </c>
      <c r="AC2160">
        <v>-192.17359999999999</v>
      </c>
      <c r="AD2160">
        <v>-0.94780909999999996</v>
      </c>
      <c r="AE2160">
        <v>9.8964000000000194</v>
      </c>
      <c r="AF2160">
        <v>5.60126014028027</v>
      </c>
      <c r="AG2160">
        <v>-0.94780909999999996</v>
      </c>
      <c r="AH2160">
        <v>192.34204047987501</v>
      </c>
      <c r="AI2160">
        <v>90.282216044731896</v>
      </c>
      <c r="AJ2160">
        <v>88.331940901543902</v>
      </c>
      <c r="AK2160">
        <v>192.42591559665499</v>
      </c>
      <c r="AL2160">
        <v>87.635370888973497</v>
      </c>
      <c r="AM2160">
        <v>90.397288458187305</v>
      </c>
      <c r="AN2160">
        <v>1.00000002841548</v>
      </c>
    </row>
    <row r="2161" spans="1:40" x14ac:dyDescent="0.25">
      <c r="A2161" t="str">
        <f>"20190312160643921"</f>
        <v>20190312160643921</v>
      </c>
      <c r="B2161" t="str">
        <f>"1552378003917010"</f>
        <v>1552378003917010</v>
      </c>
      <c r="C2161" t="s">
        <v>40</v>
      </c>
      <c r="D2161">
        <v>5.5768060000000004</v>
      </c>
      <c r="E2161">
        <v>0.51923739999999996</v>
      </c>
      <c r="F2161" t="s">
        <v>76</v>
      </c>
      <c r="G2161">
        <v>-510.95440000000002</v>
      </c>
      <c r="H2161">
        <v>2.4779260000000001</v>
      </c>
      <c r="I2161">
        <v>296.12060000000002</v>
      </c>
      <c r="J2161">
        <v>-318.98610000000002</v>
      </c>
      <c r="K2161">
        <v>1.1090040000000001</v>
      </c>
      <c r="L2161">
        <v>284.05709999999999</v>
      </c>
      <c r="M2161">
        <v>-0.99971960000000004</v>
      </c>
      <c r="N2161">
        <v>0</v>
      </c>
      <c r="O2161">
        <v>2.225796E-2</v>
      </c>
      <c r="P2161">
        <v>-0.99933819999999995</v>
      </c>
      <c r="Q2161">
        <v>3.3099099999999999E-2</v>
      </c>
      <c r="R2161">
        <v>1.509167E-2</v>
      </c>
      <c r="S2161">
        <v>-2.9984130000000002</v>
      </c>
      <c r="T2161">
        <v>2.136004E-2</v>
      </c>
      <c r="U2161">
        <v>0.1882935</v>
      </c>
      <c r="V2161">
        <v>-7.170554E-3</v>
      </c>
      <c r="W2161">
        <v>4.1173090000000002E-2</v>
      </c>
      <c r="X2161">
        <v>0.99912630000000002</v>
      </c>
      <c r="Y2161">
        <v>4.044333E-2</v>
      </c>
      <c r="Z2161" s="1">
        <v>1.445932E-5</v>
      </c>
      <c r="AA2161">
        <v>0.99918180000000001</v>
      </c>
      <c r="AB2161">
        <v>41</v>
      </c>
      <c r="AC2161">
        <v>-191.9683</v>
      </c>
      <c r="AD2161">
        <v>1.36892199999999</v>
      </c>
      <c r="AE2161">
        <v>12.063499999999999</v>
      </c>
      <c r="AF2161">
        <v>7.7871545114642498</v>
      </c>
      <c r="AG2161">
        <v>1.36892199999999</v>
      </c>
      <c r="AH2161">
        <v>192.17952245648399</v>
      </c>
      <c r="AI2161">
        <v>89.592215556756003</v>
      </c>
      <c r="AJ2161">
        <v>87.679632382579896</v>
      </c>
      <c r="AK2161">
        <v>192.34209776965</v>
      </c>
      <c r="AL2161">
        <v>87.640288690873007</v>
      </c>
      <c r="AM2161">
        <v>90.4111946882594</v>
      </c>
      <c r="AN2161">
        <v>1.00000000176825</v>
      </c>
    </row>
    <row r="2162" spans="1:40" x14ac:dyDescent="0.25">
      <c r="A2162" t="str">
        <f>"20190312160643934"</f>
        <v>20190312160643934</v>
      </c>
      <c r="B2162" t="str">
        <f>"1552378003927748"</f>
        <v>1552378003927748</v>
      </c>
      <c r="C2162" t="s">
        <v>40</v>
      </c>
      <c r="D2162">
        <v>5.5958750000000004</v>
      </c>
      <c r="E2162">
        <v>0.52017780000000002</v>
      </c>
      <c r="F2162" t="s">
        <v>76</v>
      </c>
      <c r="G2162">
        <v>-510.95420000000001</v>
      </c>
      <c r="H2162">
        <v>1.771045</v>
      </c>
      <c r="I2162">
        <v>296.87720000000002</v>
      </c>
      <c r="J2162">
        <v>-319.21449999999999</v>
      </c>
      <c r="K2162">
        <v>1.109002</v>
      </c>
      <c r="L2162">
        <v>284.06209999999999</v>
      </c>
      <c r="M2162">
        <v>-0.99972150000000004</v>
      </c>
      <c r="N2162">
        <v>0</v>
      </c>
      <c r="O2162">
        <v>2.2171239999999998E-2</v>
      </c>
      <c r="P2162">
        <v>-0.99934829999999997</v>
      </c>
      <c r="Q2162">
        <v>3.3039529999999998E-2</v>
      </c>
      <c r="R2162">
        <v>1.454035E-2</v>
      </c>
      <c r="S2162">
        <v>-2.9986269999999999</v>
      </c>
      <c r="T2162">
        <v>1.034272E-2</v>
      </c>
      <c r="U2162">
        <v>0.2002563</v>
      </c>
      <c r="V2162">
        <v>-7.6355559999999999E-3</v>
      </c>
      <c r="W2162">
        <v>4.1121640000000001E-2</v>
      </c>
      <c r="X2162">
        <v>0.99912489999999998</v>
      </c>
      <c r="Y2162">
        <v>4.4495069999999998E-2</v>
      </c>
      <c r="Z2162" s="1">
        <v>-2.7918580000000001E-7</v>
      </c>
      <c r="AA2162">
        <v>0.99900960000000005</v>
      </c>
      <c r="AB2162">
        <v>41</v>
      </c>
      <c r="AC2162">
        <v>-191.7397</v>
      </c>
      <c r="AD2162">
        <v>0.66204299999999905</v>
      </c>
      <c r="AE2162">
        <v>12.815099999999999</v>
      </c>
      <c r="AF2162">
        <v>8.5606022451740493</v>
      </c>
      <c r="AG2162">
        <v>0.66204299999999905</v>
      </c>
      <c r="AH2162">
        <v>191.974422377145</v>
      </c>
      <c r="AI2162">
        <v>89.802606713566007</v>
      </c>
      <c r="AJ2162">
        <v>87.446734559488306</v>
      </c>
      <c r="AK2162">
        <v>192.16633695518101</v>
      </c>
      <c r="AL2162">
        <v>87.643238884404497</v>
      </c>
      <c r="AM2162">
        <v>90.437859787489799</v>
      </c>
      <c r="AN2162">
        <v>0.99999992839586105</v>
      </c>
    </row>
    <row r="2163" spans="1:40" x14ac:dyDescent="0.25">
      <c r="A2163" t="str">
        <f>"20190312160643946"</f>
        <v>20190312160643946</v>
      </c>
      <c r="B2163" t="str">
        <f>"1552378003937508"</f>
        <v>1552378003937508</v>
      </c>
      <c r="C2163" t="s">
        <v>40</v>
      </c>
      <c r="D2163">
        <v>5.5653750000000004</v>
      </c>
      <c r="E2163">
        <v>0.52070280000000002</v>
      </c>
      <c r="F2163" t="s">
        <v>76</v>
      </c>
      <c r="G2163">
        <v>-510.95400000000001</v>
      </c>
      <c r="H2163">
        <v>1.326918</v>
      </c>
      <c r="I2163">
        <v>297.25420000000003</v>
      </c>
      <c r="J2163">
        <v>-319.44080000000002</v>
      </c>
      <c r="K2163">
        <v>1.1090040000000001</v>
      </c>
      <c r="L2163">
        <v>284.06700000000001</v>
      </c>
      <c r="M2163">
        <v>-0.99972329999999998</v>
      </c>
      <c r="N2163">
        <v>0</v>
      </c>
      <c r="O2163">
        <v>2.2085179999999999E-2</v>
      </c>
      <c r="P2163">
        <v>-0.99935320000000005</v>
      </c>
      <c r="Q2163">
        <v>3.3019260000000002E-2</v>
      </c>
      <c r="R2163">
        <v>1.4252310000000001E-2</v>
      </c>
      <c r="S2163">
        <v>-2.9988709999999998</v>
      </c>
      <c r="T2163">
        <v>3.409624E-3</v>
      </c>
      <c r="U2163">
        <v>0.20632929999999999</v>
      </c>
      <c r="V2163">
        <v>-7.8375630000000005E-3</v>
      </c>
      <c r="W2163">
        <v>4.110925E-2</v>
      </c>
      <c r="X2163">
        <v>0.99912389999999995</v>
      </c>
      <c r="Y2163">
        <v>4.6589510000000001E-2</v>
      </c>
      <c r="Z2163" s="1">
        <v>-1.379089E-6</v>
      </c>
      <c r="AA2163">
        <v>0.99891410000000003</v>
      </c>
      <c r="AB2163">
        <v>41</v>
      </c>
      <c r="AC2163">
        <v>-191.51320000000001</v>
      </c>
      <c r="AD2163">
        <v>0.217913999999999</v>
      </c>
      <c r="AE2163">
        <v>13.187200000000001</v>
      </c>
      <c r="AF2163">
        <v>8.9542296307781601</v>
      </c>
      <c r="AG2163">
        <v>0.217913999999999</v>
      </c>
      <c r="AH2163">
        <v>191.75748959808601</v>
      </c>
      <c r="AI2163">
        <v>89.934959739263803</v>
      </c>
      <c r="AJ2163">
        <v>87.326481671000806</v>
      </c>
      <c r="AK2163">
        <v>191.96656097287399</v>
      </c>
      <c r="AL2163">
        <v>87.643949507949301</v>
      </c>
      <c r="AM2163">
        <v>90.449443828666702</v>
      </c>
      <c r="AN2163">
        <v>0.99999998269027501</v>
      </c>
    </row>
    <row r="2164" spans="1:40" x14ac:dyDescent="0.25">
      <c r="A2164" t="str">
        <f>"20190312160643958"</f>
        <v>20190312160643958</v>
      </c>
      <c r="B2164" t="str">
        <f>"1552378003947266"</f>
        <v>1552378003947266</v>
      </c>
      <c r="C2164" t="s">
        <v>40</v>
      </c>
      <c r="D2164">
        <v>5.6089520000000004</v>
      </c>
      <c r="E2164">
        <v>0.52132509999999999</v>
      </c>
      <c r="F2164" t="s">
        <v>76</v>
      </c>
      <c r="G2164">
        <v>-510.95400000000001</v>
      </c>
      <c r="H2164">
        <v>1.2912459999999999</v>
      </c>
      <c r="I2164">
        <v>297.44240000000002</v>
      </c>
      <c r="J2164">
        <v>-319.65989999999999</v>
      </c>
      <c r="K2164">
        <v>1.109005</v>
      </c>
      <c r="L2164">
        <v>284.0718</v>
      </c>
      <c r="M2164">
        <v>-0.99972519999999998</v>
      </c>
      <c r="N2164">
        <v>0</v>
      </c>
      <c r="O2164">
        <v>2.200175E-2</v>
      </c>
      <c r="P2164">
        <v>-0.99935560000000001</v>
      </c>
      <c r="Q2164">
        <v>3.3068260000000002E-2</v>
      </c>
      <c r="R2164">
        <v>1.397117E-2</v>
      </c>
      <c r="S2164">
        <v>-2.9988709999999998</v>
      </c>
      <c r="T2164">
        <v>2.8550619999999998E-3</v>
      </c>
      <c r="U2164">
        <v>0.20944209999999999</v>
      </c>
      <c r="V2164">
        <v>-8.035258E-3</v>
      </c>
      <c r="W2164">
        <v>4.1166420000000002E-2</v>
      </c>
      <c r="X2164">
        <v>0.99912000000000001</v>
      </c>
      <c r="Y2164">
        <v>4.7704749999999997E-2</v>
      </c>
      <c r="Z2164" s="1">
        <v>-1.7643289999999999E-6</v>
      </c>
      <c r="AA2164">
        <v>0.99886149999999996</v>
      </c>
      <c r="AB2164">
        <v>41</v>
      </c>
      <c r="AC2164">
        <v>-191.29409999999999</v>
      </c>
      <c r="AD2164">
        <v>0.18224099999999899</v>
      </c>
      <c r="AE2164">
        <v>13.3706</v>
      </c>
      <c r="AF2164">
        <v>9.1584122254684104</v>
      </c>
      <c r="AG2164">
        <v>0.18224099999999899</v>
      </c>
      <c r="AH2164">
        <v>191.54180405646201</v>
      </c>
      <c r="AI2164">
        <v>89.945548588305002</v>
      </c>
      <c r="AJ2164">
        <v>87.262534760633699</v>
      </c>
      <c r="AK2164">
        <v>191.760716590958</v>
      </c>
      <c r="AL2164">
        <v>87.640671190247502</v>
      </c>
      <c r="AM2164">
        <v>90.460781933384595</v>
      </c>
      <c r="AN2164">
        <v>1.0000000069533701</v>
      </c>
    </row>
    <row r="2165" spans="1:40" x14ac:dyDescent="0.25">
      <c r="A2165" t="str">
        <f>"20190312160643971"</f>
        <v>20190312160643971</v>
      </c>
      <c r="B2165" t="str">
        <f>"1552378003966785"</f>
        <v>1552378003966785</v>
      </c>
      <c r="C2165" t="s">
        <v>40</v>
      </c>
      <c r="D2165">
        <v>5.5894510000000004</v>
      </c>
      <c r="E2165">
        <v>0.52209189999999905</v>
      </c>
      <c r="F2165" t="s">
        <v>76</v>
      </c>
      <c r="G2165">
        <v>-511.82060000000001</v>
      </c>
      <c r="H2165">
        <v>1.308457</v>
      </c>
      <c r="I2165">
        <v>297.7663</v>
      </c>
      <c r="J2165">
        <v>-319.90559999999999</v>
      </c>
      <c r="K2165">
        <v>1.1090089999999999</v>
      </c>
      <c r="L2165">
        <v>284.0772</v>
      </c>
      <c r="M2165">
        <v>-0.99972720000000004</v>
      </c>
      <c r="N2165">
        <v>0</v>
      </c>
      <c r="O2165">
        <v>2.1908E-2</v>
      </c>
      <c r="P2165">
        <v>-0.99935450000000003</v>
      </c>
      <c r="Q2165">
        <v>3.305698E-2</v>
      </c>
      <c r="R2165">
        <v>1.407329E-2</v>
      </c>
      <c r="S2165">
        <v>-2.99884</v>
      </c>
      <c r="T2165">
        <v>3.1139850000000001E-3</v>
      </c>
      <c r="U2165">
        <v>0.2137146</v>
      </c>
      <c r="V2165">
        <v>-7.8394520000000002E-3</v>
      </c>
      <c r="W2165">
        <v>4.1164039999999999E-2</v>
      </c>
      <c r="X2165">
        <v>0.9991217</v>
      </c>
      <c r="Y2165">
        <v>4.9215090000000003E-2</v>
      </c>
      <c r="Z2165" s="1">
        <v>-2.804691E-6</v>
      </c>
      <c r="AA2165">
        <v>0.99878820000000001</v>
      </c>
      <c r="AB2165">
        <v>41</v>
      </c>
      <c r="AC2165">
        <v>-191.91499999999999</v>
      </c>
      <c r="AD2165">
        <v>0.19944799999999999</v>
      </c>
      <c r="AE2165">
        <v>13.6890999999999</v>
      </c>
      <c r="AF2165">
        <v>9.4811924284195008</v>
      </c>
      <c r="AG2165">
        <v>0.19944799999999999</v>
      </c>
      <c r="AH2165">
        <v>192.16863978043801</v>
      </c>
      <c r="AI2165">
        <v>89.940606119163107</v>
      </c>
      <c r="AJ2165">
        <v>87.175438350478998</v>
      </c>
      <c r="AK2165">
        <v>192.40249193925001</v>
      </c>
      <c r="AL2165">
        <v>87.640807779299905</v>
      </c>
      <c r="AM2165">
        <v>90.449553138475594</v>
      </c>
      <c r="AN2165">
        <v>1.00000005330383</v>
      </c>
    </row>
    <row r="2166" spans="1:40" x14ac:dyDescent="0.25">
      <c r="A2166" t="str">
        <f>"20190312160643989"</f>
        <v>20190312160643989</v>
      </c>
      <c r="B2166" t="str">
        <f>"1552378003977521"</f>
        <v>1552378003977521</v>
      </c>
      <c r="C2166" t="s">
        <v>40</v>
      </c>
      <c r="D2166">
        <v>5.6648839999999998</v>
      </c>
      <c r="E2166">
        <v>0.52243099999999998</v>
      </c>
      <c r="F2166" t="s">
        <v>76</v>
      </c>
      <c r="G2166">
        <v>-511.82060000000001</v>
      </c>
      <c r="H2166">
        <v>1.3505229999999999</v>
      </c>
      <c r="I2166">
        <v>298.1628</v>
      </c>
      <c r="J2166">
        <v>-320.21940000000001</v>
      </c>
      <c r="K2166">
        <v>1.1090139999999999</v>
      </c>
      <c r="L2166">
        <v>284.084</v>
      </c>
      <c r="M2166">
        <v>-0.9997296</v>
      </c>
      <c r="N2166">
        <v>0</v>
      </c>
      <c r="O2166">
        <v>2.1788910000000002E-2</v>
      </c>
      <c r="P2166">
        <v>-0.99934509999999999</v>
      </c>
      <c r="Q2166">
        <v>3.3625160000000001E-2</v>
      </c>
      <c r="R2166">
        <v>1.3382140000000001E-2</v>
      </c>
      <c r="S2166">
        <v>-2.9987490000000001</v>
      </c>
      <c r="T2166">
        <v>3.7751199999999999E-3</v>
      </c>
      <c r="U2166">
        <v>0.22009280000000001</v>
      </c>
      <c r="V2166">
        <v>-8.4119019999999902E-3</v>
      </c>
      <c r="W2166">
        <v>4.1743839999999997E-2</v>
      </c>
      <c r="X2166">
        <v>0.99909289999999995</v>
      </c>
      <c r="Y2166">
        <v>5.1449399999999999E-2</v>
      </c>
      <c r="Z2166" s="1">
        <v>-4.9543000000000002E-6</v>
      </c>
      <c r="AA2166">
        <v>0.9986756</v>
      </c>
      <c r="AB2166">
        <v>41</v>
      </c>
      <c r="AC2166">
        <v>-191.60120000000001</v>
      </c>
      <c r="AD2166">
        <v>0.241509</v>
      </c>
      <c r="AE2166">
        <v>14.078799999999999</v>
      </c>
      <c r="AF2166">
        <v>9.9005227203313293</v>
      </c>
      <c r="AG2166">
        <v>0.241509</v>
      </c>
      <c r="AH2166">
        <v>191.86217826300799</v>
      </c>
      <c r="AI2166">
        <v>89.927974065344699</v>
      </c>
      <c r="AJ2166">
        <v>87.046028155547702</v>
      </c>
      <c r="AK2166">
        <v>192.11760493135299</v>
      </c>
      <c r="AL2166">
        <v>87.607558897553204</v>
      </c>
      <c r="AM2166">
        <v>90.482392672505199</v>
      </c>
      <c r="AN2166">
        <v>0.99999996555180604</v>
      </c>
    </row>
    <row r="2167" spans="1:40" x14ac:dyDescent="0.25">
      <c r="A2167" t="str">
        <f>"20190312160644010"</f>
        <v>20190312160644010</v>
      </c>
      <c r="B2167" t="str">
        <f>"1552378004007777"</f>
        <v>1552378004007777</v>
      </c>
      <c r="C2167" t="s">
        <v>40</v>
      </c>
      <c r="D2167">
        <v>5.7002680000000003</v>
      </c>
      <c r="E2167">
        <v>0.52226379999999994</v>
      </c>
      <c r="F2167" t="s">
        <v>76</v>
      </c>
      <c r="G2167">
        <v>-511.82060000000001</v>
      </c>
      <c r="H2167">
        <v>1.4842979999999999</v>
      </c>
      <c r="I2167">
        <v>298.18700000000001</v>
      </c>
      <c r="J2167">
        <v>-320.61399999999998</v>
      </c>
      <c r="K2167">
        <v>1.109013</v>
      </c>
      <c r="L2167">
        <v>284.09249999999997</v>
      </c>
      <c r="M2167">
        <v>-0.99973290000000004</v>
      </c>
      <c r="N2167">
        <v>0</v>
      </c>
      <c r="O2167">
        <v>2.1638629999999999E-2</v>
      </c>
      <c r="P2167">
        <v>-0.99935370000000001</v>
      </c>
      <c r="Q2167">
        <v>3.3625009999999997E-2</v>
      </c>
      <c r="R2167">
        <v>1.272238E-2</v>
      </c>
      <c r="S2167">
        <v>-2.99884</v>
      </c>
      <c r="T2167">
        <v>5.8751109999999997E-3</v>
      </c>
      <c r="U2167">
        <v>0.2207336</v>
      </c>
      <c r="V2167">
        <v>-8.9211719999999998E-3</v>
      </c>
      <c r="W2167">
        <v>4.1757660000000002E-2</v>
      </c>
      <c r="X2167">
        <v>0.99908790000000003</v>
      </c>
      <c r="Y2167">
        <v>5.1809540000000001E-2</v>
      </c>
      <c r="Z2167" s="1">
        <v>-8.3561139999999995E-6</v>
      </c>
      <c r="AA2167">
        <v>0.99865700000000002</v>
      </c>
      <c r="AB2167">
        <v>41</v>
      </c>
      <c r="AC2167">
        <v>-191.20660000000001</v>
      </c>
      <c r="AD2167">
        <v>0.37528499999999898</v>
      </c>
      <c r="AE2167">
        <v>14.0945</v>
      </c>
      <c r="AF2167">
        <v>9.9535763202407495</v>
      </c>
      <c r="AG2167">
        <v>0.37528499999999898</v>
      </c>
      <c r="AH2167">
        <v>191.46608957254901</v>
      </c>
      <c r="AI2167">
        <v>89.887848430524699</v>
      </c>
      <c r="AJ2167">
        <v>87.024094485396105</v>
      </c>
      <c r="AK2167">
        <v>191.72500613273499</v>
      </c>
      <c r="AL2167">
        <v>87.606766367209701</v>
      </c>
      <c r="AM2167">
        <v>90.511598548593994</v>
      </c>
      <c r="AN2167">
        <v>0.99999996070246799</v>
      </c>
    </row>
    <row r="2168" spans="1:40" x14ac:dyDescent="0.25">
      <c r="A2168" t="str">
        <f>"20190312160644125"</f>
        <v>20190312160644125</v>
      </c>
      <c r="B2168" t="str">
        <f>"1552378004117090"</f>
        <v>1552378004117090</v>
      </c>
      <c r="C2168" t="s">
        <v>40</v>
      </c>
      <c r="D2168">
        <v>5.2842699999999896</v>
      </c>
      <c r="E2168">
        <v>0.52226379999999994</v>
      </c>
      <c r="F2168" t="s">
        <v>76</v>
      </c>
      <c r="G2168">
        <v>-511.82080000000002</v>
      </c>
      <c r="H2168">
        <v>2.0432060000000001</v>
      </c>
      <c r="I2168">
        <v>297.95119999999997</v>
      </c>
      <c r="J2168">
        <v>-322.74860000000001</v>
      </c>
      <c r="K2168">
        <v>1.109016</v>
      </c>
      <c r="L2168">
        <v>284.13740000000001</v>
      </c>
      <c r="M2168">
        <v>-0.99974940000000001</v>
      </c>
      <c r="N2168">
        <v>0</v>
      </c>
      <c r="O2168">
        <v>2.0824639999999998E-2</v>
      </c>
      <c r="P2168">
        <v>-0.9993493</v>
      </c>
      <c r="Q2168">
        <v>3.3972280000000001E-2</v>
      </c>
      <c r="R2168">
        <v>1.2127489999999999E-2</v>
      </c>
      <c r="S2168">
        <v>-2.998688</v>
      </c>
      <c r="T2168">
        <v>1.465225E-2</v>
      </c>
      <c r="U2168">
        <v>0.21734619999999999</v>
      </c>
      <c r="V2168">
        <v>-8.7032989999999994E-3</v>
      </c>
      <c r="W2168">
        <v>4.2182629999999999E-2</v>
      </c>
      <c r="X2168">
        <v>0.99907199999999996</v>
      </c>
      <c r="Y2168">
        <v>5.1503899999999998E-2</v>
      </c>
      <c r="Z2168" s="1">
        <v>-2.406547E-5</v>
      </c>
      <c r="AA2168">
        <v>0.99867280000000003</v>
      </c>
      <c r="AB2168">
        <v>42</v>
      </c>
      <c r="AC2168">
        <v>-189.07220000000001</v>
      </c>
      <c r="AD2168">
        <v>0.93418999999999996</v>
      </c>
      <c r="AE2168">
        <v>13.813799999999899</v>
      </c>
      <c r="AF2168">
        <v>9.8730711040570807</v>
      </c>
      <c r="AG2168">
        <v>0.93418999999999996</v>
      </c>
      <c r="AH2168">
        <v>189.31427572139401</v>
      </c>
      <c r="AI2168">
        <v>89.717654305033193</v>
      </c>
      <c r="AJ2168">
        <v>87.014629314388301</v>
      </c>
      <c r="AK2168">
        <v>189.573851667095</v>
      </c>
      <c r="AL2168">
        <v>87.582395979330897</v>
      </c>
      <c r="AM2168">
        <v>90.499112863657999</v>
      </c>
      <c r="AN2168">
        <v>0.99999999143560003</v>
      </c>
    </row>
    <row r="2169" spans="1:40" x14ac:dyDescent="0.25">
      <c r="A2169" t="str">
        <f>"20190312160644138"</f>
        <v>20190312160644138</v>
      </c>
      <c r="B2169" t="str">
        <f>"1552378004127825"</f>
        <v>1552378004127825</v>
      </c>
      <c r="C2169" t="s">
        <v>40</v>
      </c>
      <c r="D2169">
        <v>5.116104</v>
      </c>
      <c r="E2169">
        <v>0.42018719999999998</v>
      </c>
      <c r="F2169" t="s">
        <v>76</v>
      </c>
      <c r="G2169">
        <v>-511.82080000000002</v>
      </c>
      <c r="H2169">
        <v>2.0954730000000001</v>
      </c>
      <c r="I2169">
        <v>297.72550000000001</v>
      </c>
      <c r="J2169">
        <v>-322.98399999999998</v>
      </c>
      <c r="K2169">
        <v>1.109016</v>
      </c>
      <c r="L2169">
        <v>284.1422</v>
      </c>
      <c r="M2169">
        <v>-0.99975130000000001</v>
      </c>
      <c r="N2169">
        <v>0</v>
      </c>
      <c r="O2169">
        <v>2.0735010000000002E-2</v>
      </c>
      <c r="P2169">
        <v>-0.9993476</v>
      </c>
      <c r="Q2169">
        <v>3.3979790000000003E-2</v>
      </c>
      <c r="R2169">
        <v>1.2250769999999999E-2</v>
      </c>
      <c r="S2169">
        <v>-2.9987789999999999</v>
      </c>
      <c r="T2169">
        <v>1.5647049999999999E-2</v>
      </c>
      <c r="U2169">
        <v>0.21551509999999999</v>
      </c>
      <c r="V2169">
        <v>-8.4903469999999901E-3</v>
      </c>
      <c r="W2169">
        <v>4.219883E-2</v>
      </c>
      <c r="X2169">
        <v>0.99907310000000005</v>
      </c>
      <c r="Y2169">
        <v>5.0984549999999997E-2</v>
      </c>
      <c r="Z2169" s="1">
        <v>-2.481259E-5</v>
      </c>
      <c r="AA2169">
        <v>0.99869940000000001</v>
      </c>
      <c r="AB2169">
        <v>42</v>
      </c>
      <c r="AC2169">
        <v>-188.83680000000001</v>
      </c>
      <c r="AD2169">
        <v>0.98645700000000003</v>
      </c>
      <c r="AE2169">
        <v>13.583299999999999</v>
      </c>
      <c r="AF2169">
        <v>9.6644522183412302</v>
      </c>
      <c r="AG2169">
        <v>0.98645700000000003</v>
      </c>
      <c r="AH2169">
        <v>189.072724952264</v>
      </c>
      <c r="AI2169">
        <v>89.701460797993605</v>
      </c>
      <c r="AJ2169">
        <v>87.073872898885796</v>
      </c>
      <c r="AK2169">
        <v>189.322133029838</v>
      </c>
      <c r="AL2169">
        <v>87.581466843731107</v>
      </c>
      <c r="AM2169">
        <v>90.486900647710897</v>
      </c>
      <c r="AN2169">
        <v>0.99999994319457797</v>
      </c>
    </row>
    <row r="2170" spans="1:40" x14ac:dyDescent="0.25">
      <c r="A2170" t="str">
        <f>"20190312160644149"</f>
        <v>20190312160644149</v>
      </c>
      <c r="B2170" t="str">
        <f>"1552378004147345"</f>
        <v>1552378004147345</v>
      </c>
      <c r="C2170" t="s">
        <v>40</v>
      </c>
      <c r="D2170">
        <v>5.2840170000000004</v>
      </c>
      <c r="E2170">
        <v>0.40822710000000001</v>
      </c>
      <c r="F2170" t="s">
        <v>66</v>
      </c>
      <c r="G2170">
        <v>-331.80709999999999</v>
      </c>
      <c r="H2170" s="1">
        <v>-4.7900380000000001E-7</v>
      </c>
      <c r="I2170">
        <v>282.41730000000001</v>
      </c>
      <c r="J2170">
        <v>-323.20119999999997</v>
      </c>
      <c r="K2170">
        <v>1.1090169999999999</v>
      </c>
      <c r="L2170">
        <v>284.14659999999998</v>
      </c>
      <c r="M2170">
        <v>-0.99975290000000006</v>
      </c>
      <c r="N2170">
        <v>0</v>
      </c>
      <c r="O2170">
        <v>2.065254E-2</v>
      </c>
      <c r="P2170">
        <v>-0.99933280000000002</v>
      </c>
      <c r="Q2170">
        <v>3.4280640000000001E-2</v>
      </c>
      <c r="R2170">
        <v>1.262488E-2</v>
      </c>
      <c r="S2170">
        <v>-3.0221559999999998</v>
      </c>
      <c r="T2170">
        <v>-0.3798666</v>
      </c>
      <c r="U2170">
        <v>-0.59082029999999996</v>
      </c>
      <c r="V2170">
        <v>-8.0338530000000005E-3</v>
      </c>
      <c r="W2170">
        <v>4.2508020000000001E-2</v>
      </c>
      <c r="X2170">
        <v>0.99906379999999995</v>
      </c>
      <c r="Y2170">
        <v>-0.2103402</v>
      </c>
      <c r="Z2170">
        <v>-1.560838E-2</v>
      </c>
      <c r="AA2170">
        <v>0.97750369999999998</v>
      </c>
      <c r="AB2170">
        <v>42</v>
      </c>
      <c r="AC2170">
        <v>-8.6059000000000196</v>
      </c>
      <c r="AD2170">
        <v>-1.1090174790038001</v>
      </c>
      <c r="AE2170">
        <v>-1.7292999999999601</v>
      </c>
      <c r="AF2170">
        <v>-1.87671434111112</v>
      </c>
      <c r="AG2170">
        <v>-1.1090174790038001</v>
      </c>
      <c r="AH2170">
        <v>8.4337278108181604</v>
      </c>
      <c r="AI2170">
        <v>97.314394341163506</v>
      </c>
      <c r="AJ2170">
        <v>102.545332081685</v>
      </c>
      <c r="AK2170">
        <v>8.7108978454482902</v>
      </c>
      <c r="AL2170">
        <v>87.5637357290138</v>
      </c>
      <c r="AM2170">
        <v>90.460727281683504</v>
      </c>
      <c r="AN2170">
        <v>0.99999997551439201</v>
      </c>
    </row>
    <row r="2171" spans="1:40" x14ac:dyDescent="0.25">
      <c r="A2171" t="str">
        <f>"20190312160644165"</f>
        <v>20190312160644165</v>
      </c>
      <c r="B2171" t="str">
        <f>"1552378004157109"</f>
        <v>1552378004157109</v>
      </c>
      <c r="C2171" t="s">
        <v>40</v>
      </c>
      <c r="D2171">
        <v>5.3437710000000003</v>
      </c>
      <c r="E2171">
        <v>0.40965049999999997</v>
      </c>
      <c r="F2171" t="s">
        <v>66</v>
      </c>
      <c r="G2171">
        <v>-343.24680000000001</v>
      </c>
      <c r="H2171">
        <v>8.0000500000000002E-2</v>
      </c>
      <c r="I2171">
        <v>279.56450000000001</v>
      </c>
      <c r="J2171">
        <v>-323.50510000000003</v>
      </c>
      <c r="K2171">
        <v>1.10902099999999</v>
      </c>
      <c r="L2171">
        <v>284.15280000000001</v>
      </c>
      <c r="M2171">
        <v>-0.99975510000000001</v>
      </c>
      <c r="N2171">
        <v>0</v>
      </c>
      <c r="O2171">
        <v>2.0536860000000001E-2</v>
      </c>
      <c r="P2171">
        <v>-0.99931650000000005</v>
      </c>
      <c r="Q2171">
        <v>3.4779299999999999E-2</v>
      </c>
      <c r="R2171">
        <v>1.2532959999999999E-2</v>
      </c>
      <c r="S2171">
        <v>-3.0160520000000002</v>
      </c>
      <c r="T2171">
        <v>-0.1548253</v>
      </c>
      <c r="U2171">
        <v>-0.6894226</v>
      </c>
      <c r="V2171">
        <v>-8.0103329999999997E-3</v>
      </c>
      <c r="W2171">
        <v>4.301729E-2</v>
      </c>
      <c r="X2171">
        <v>0.99904219999999999</v>
      </c>
      <c r="Y2171">
        <v>-0.24248149999999999</v>
      </c>
      <c r="Z2171">
        <v>-7.1813469999999898E-3</v>
      </c>
      <c r="AA2171">
        <v>0.97012940000000003</v>
      </c>
      <c r="AB2171">
        <v>42</v>
      </c>
      <c r="AC2171">
        <v>-19.741699999999899</v>
      </c>
      <c r="AD2171">
        <v>-1.0290204999999999</v>
      </c>
      <c r="AE2171">
        <v>-4.5883000000000003</v>
      </c>
      <c r="AF2171">
        <v>-4.9799417959455603</v>
      </c>
      <c r="AG2171">
        <v>-1.0290204999999999</v>
      </c>
      <c r="AH2171">
        <v>19.592799429479701</v>
      </c>
      <c r="AI2171">
        <v>92.913946486465505</v>
      </c>
      <c r="AJ2171">
        <v>104.261000758291</v>
      </c>
      <c r="AK2171">
        <v>20.2419488430399</v>
      </c>
      <c r="AL2171">
        <v>87.534530014138298</v>
      </c>
      <c r="AM2171">
        <v>90.459388440771804</v>
      </c>
      <c r="AN2171">
        <v>0.99999998502727705</v>
      </c>
    </row>
    <row r="2172" spans="1:40" x14ac:dyDescent="0.25">
      <c r="A2172" t="str">
        <f>"20190312160644178"</f>
        <v>20190312160644178</v>
      </c>
      <c r="B2172" t="str">
        <f>"1552378004166865"</f>
        <v>1552378004166865</v>
      </c>
      <c r="C2172" t="s">
        <v>40</v>
      </c>
      <c r="D2172">
        <v>7.3818580000000003</v>
      </c>
      <c r="E2172">
        <v>0.4081457</v>
      </c>
      <c r="F2172" t="s">
        <v>43</v>
      </c>
      <c r="G2172">
        <v>-355.17309999999998</v>
      </c>
      <c r="H2172">
        <v>0.34220899999999999</v>
      </c>
      <c r="I2172">
        <v>277.00670000000002</v>
      </c>
      <c r="J2172">
        <v>-323.7285</v>
      </c>
      <c r="K2172">
        <v>1.1090180000000001</v>
      </c>
      <c r="L2172">
        <v>284.1574</v>
      </c>
      <c r="M2172">
        <v>-0.9997568</v>
      </c>
      <c r="N2172">
        <v>0</v>
      </c>
      <c r="O2172">
        <v>2.0451939999999998E-2</v>
      </c>
      <c r="P2172">
        <v>-0.99931800000000004</v>
      </c>
      <c r="Q2172">
        <v>3.4789529999999999E-2</v>
      </c>
      <c r="R2172">
        <v>1.2390460000000001E-2</v>
      </c>
      <c r="S2172">
        <v>-3.0131230000000002</v>
      </c>
      <c r="T2172">
        <v>-7.2953699999999996E-2</v>
      </c>
      <c r="U2172">
        <v>-0.67993159999999997</v>
      </c>
      <c r="V2172">
        <v>-8.0674939999999997E-3</v>
      </c>
      <c r="W2172">
        <v>4.303539E-2</v>
      </c>
      <c r="X2172">
        <v>0.99904099999999996</v>
      </c>
      <c r="Y2172">
        <v>-0.23995420000000001</v>
      </c>
      <c r="Z2172">
        <v>-3.3576470000000001E-3</v>
      </c>
      <c r="AA2172">
        <v>0.97077840000000004</v>
      </c>
      <c r="AB2172">
        <v>42</v>
      </c>
      <c r="AC2172">
        <v>-31.444599999999902</v>
      </c>
      <c r="AD2172">
        <v>-0.76680899999999996</v>
      </c>
      <c r="AE2172">
        <v>-7.1506999999999703</v>
      </c>
      <c r="AF2172">
        <v>-7.7879256092027296</v>
      </c>
      <c r="AG2172">
        <v>-0.76680899999999996</v>
      </c>
      <c r="AH2172">
        <v>31.2740882991733</v>
      </c>
      <c r="AI2172">
        <v>91.362945778169205</v>
      </c>
      <c r="AJ2172">
        <v>103.983474310688</v>
      </c>
      <c r="AK2172">
        <v>32.238306101305099</v>
      </c>
      <c r="AL2172">
        <v>87.533492096584794</v>
      </c>
      <c r="AM2172">
        <v>90.462667008170101</v>
      </c>
      <c r="AN2172">
        <v>1.00000002446644</v>
      </c>
    </row>
    <row r="2173" spans="1:40" x14ac:dyDescent="0.25">
      <c r="A2173" t="str">
        <f>"20190312160644191"</f>
        <v>20190312160644191</v>
      </c>
      <c r="B2173" t="str">
        <f>"1552378004187362"</f>
        <v>1552378004187362</v>
      </c>
      <c r="C2173" t="s">
        <v>40</v>
      </c>
      <c r="D2173">
        <v>5.1856679999999997</v>
      </c>
      <c r="E2173">
        <v>0.4102864</v>
      </c>
      <c r="F2173" t="s">
        <v>43</v>
      </c>
      <c r="G2173">
        <v>-355.31720000000001</v>
      </c>
      <c r="H2173">
        <v>0.98597219999999997</v>
      </c>
      <c r="I2173">
        <v>276.88369999999998</v>
      </c>
      <c r="J2173">
        <v>-323.98349999999999</v>
      </c>
      <c r="K2173">
        <v>1.1090169999999999</v>
      </c>
      <c r="L2173">
        <v>284.16250000000002</v>
      </c>
      <c r="M2173">
        <v>-0.9997587</v>
      </c>
      <c r="N2173">
        <v>0</v>
      </c>
      <c r="O2173">
        <v>2.035528E-2</v>
      </c>
      <c r="P2173">
        <v>-0.99930929999999996</v>
      </c>
      <c r="Q2173">
        <v>3.5174860000000002E-2</v>
      </c>
      <c r="R2173">
        <v>1.199893E-2</v>
      </c>
      <c r="S2173">
        <v>-3.011047</v>
      </c>
      <c r="T2173">
        <v>-1.1722450000000001E-2</v>
      </c>
      <c r="U2173">
        <v>-0.69332890000000003</v>
      </c>
      <c r="V2173">
        <v>-8.36223E-3</v>
      </c>
      <c r="W2173">
        <v>4.3429370000000002E-2</v>
      </c>
      <c r="X2173">
        <v>0.99902150000000001</v>
      </c>
      <c r="Y2173">
        <v>-0.24417839999999999</v>
      </c>
      <c r="Z2173">
        <v>-5.4743689999999998E-4</v>
      </c>
      <c r="AA2173">
        <v>0.96973019999999999</v>
      </c>
      <c r="AB2173">
        <v>42</v>
      </c>
      <c r="AC2173">
        <v>-31.3337</v>
      </c>
      <c r="AD2173">
        <v>-0.123044799999999</v>
      </c>
      <c r="AE2173">
        <v>-7.2788000000000403</v>
      </c>
      <c r="AF2173">
        <v>-7.9150039844678597</v>
      </c>
      <c r="AG2173">
        <v>-0.123044799999999</v>
      </c>
      <c r="AH2173">
        <v>31.1785842795143</v>
      </c>
      <c r="AI2173">
        <v>90.219162258089895</v>
      </c>
      <c r="AJ2173">
        <v>104.244220682988</v>
      </c>
      <c r="AK2173">
        <v>32.167787393162797</v>
      </c>
      <c r="AL2173">
        <v>87.510897513143107</v>
      </c>
      <c r="AM2173">
        <v>90.479578564724093</v>
      </c>
      <c r="AN2173">
        <v>0.99999999726570998</v>
      </c>
    </row>
    <row r="2174" spans="1:40" x14ac:dyDescent="0.25">
      <c r="A2174" t="str">
        <f>"20190312160644211"</f>
        <v>20190312160644211</v>
      </c>
      <c r="B2174" t="str">
        <f>"1552378004206881"</f>
        <v>1552378004206881</v>
      </c>
      <c r="C2174" t="s">
        <v>40</v>
      </c>
      <c r="D2174">
        <v>5.2295579999999999</v>
      </c>
      <c r="E2174">
        <v>0.41347430000000002</v>
      </c>
      <c r="F2174" t="s">
        <v>43</v>
      </c>
      <c r="G2174">
        <v>-355.45800000000003</v>
      </c>
      <c r="H2174">
        <v>1.237641</v>
      </c>
      <c r="I2174">
        <v>277.07490000000001</v>
      </c>
      <c r="J2174">
        <v>-324.36059999999998</v>
      </c>
      <c r="K2174">
        <v>1.1090120000000001</v>
      </c>
      <c r="L2174">
        <v>284.17009999999999</v>
      </c>
      <c r="M2174">
        <v>-0.99976149999999997</v>
      </c>
      <c r="N2174">
        <v>0</v>
      </c>
      <c r="O2174">
        <v>2.0212049999999999E-2</v>
      </c>
      <c r="P2174">
        <v>-0.99931879999999995</v>
      </c>
      <c r="Q2174">
        <v>3.5034580000000003E-2</v>
      </c>
      <c r="R2174">
        <v>1.160689E-2</v>
      </c>
      <c r="S2174">
        <v>-3.0097960000000001</v>
      </c>
      <c r="T2174">
        <v>1.230621E-2</v>
      </c>
      <c r="U2174">
        <v>-0.6777649</v>
      </c>
      <c r="V2174">
        <v>-8.6114199999999998E-3</v>
      </c>
      <c r="W2174">
        <v>4.3302170000000001E-2</v>
      </c>
      <c r="X2174">
        <v>0.99902489999999999</v>
      </c>
      <c r="Y2174">
        <v>-0.23935719999999999</v>
      </c>
      <c r="Z2174">
        <v>5.6494309999999997E-4</v>
      </c>
      <c r="AA2174">
        <v>0.9709314</v>
      </c>
      <c r="AB2174">
        <v>42</v>
      </c>
      <c r="AC2174">
        <v>-31.0974</v>
      </c>
      <c r="AD2174">
        <v>0.12862899999999899</v>
      </c>
      <c r="AE2174">
        <v>-7.09519999999997</v>
      </c>
      <c r="AF2174">
        <v>-7.7221885855560304</v>
      </c>
      <c r="AG2174">
        <v>0.12862899999999899</v>
      </c>
      <c r="AH2174">
        <v>30.947130128931601</v>
      </c>
      <c r="AI2174">
        <v>89.768941223233398</v>
      </c>
      <c r="AJ2174">
        <v>104.010810664717</v>
      </c>
      <c r="AK2174">
        <v>31.896294536945099</v>
      </c>
      <c r="AL2174">
        <v>87.518192387433601</v>
      </c>
      <c r="AM2174">
        <v>90.493867372181498</v>
      </c>
      <c r="AN2174">
        <v>0.99999999265056705</v>
      </c>
    </row>
    <row r="2175" spans="1:40" x14ac:dyDescent="0.25">
      <c r="A2175" t="str">
        <f>"20190312160644234"</f>
        <v>20190312160644234</v>
      </c>
      <c r="B2175" t="str">
        <f>"1552378004227382"</f>
        <v>1552378004227382</v>
      </c>
      <c r="C2175" t="s">
        <v>40</v>
      </c>
      <c r="D2175">
        <v>5.3056859999999997</v>
      </c>
      <c r="E2175">
        <v>0.41700690000000001</v>
      </c>
      <c r="F2175" t="s">
        <v>74</v>
      </c>
      <c r="G2175">
        <v>-440.6841</v>
      </c>
      <c r="H2175">
        <v>2.2278009999999999</v>
      </c>
      <c r="I2175">
        <v>258.88940000000002</v>
      </c>
      <c r="J2175">
        <v>-324.78129999999999</v>
      </c>
      <c r="K2175">
        <v>1.1090089999999999</v>
      </c>
      <c r="L2175">
        <v>284.17849999999999</v>
      </c>
      <c r="M2175">
        <v>-0.9997646</v>
      </c>
      <c r="N2175">
        <v>0</v>
      </c>
      <c r="O2175">
        <v>2.0051759999999998E-2</v>
      </c>
      <c r="P2175">
        <v>-0.99934210000000001</v>
      </c>
      <c r="Q2175">
        <v>3.4467999999999999E-2</v>
      </c>
      <c r="R2175">
        <v>1.129694E-2</v>
      </c>
      <c r="S2175">
        <v>-3.0086360000000001</v>
      </c>
      <c r="T2175">
        <v>2.89371E-2</v>
      </c>
      <c r="U2175">
        <v>-0.65386959999999905</v>
      </c>
      <c r="V2175">
        <v>-8.7612090000000007E-3</v>
      </c>
      <c r="W2175">
        <v>4.2750980000000001E-2</v>
      </c>
      <c r="X2175">
        <v>0.99904729999999997</v>
      </c>
      <c r="Y2175">
        <v>-0.2319145</v>
      </c>
      <c r="Z2175">
        <v>1.2931150000000001E-3</v>
      </c>
      <c r="AA2175">
        <v>0.97273529999999997</v>
      </c>
      <c r="AB2175">
        <v>42</v>
      </c>
      <c r="AC2175">
        <v>-115.9028</v>
      </c>
      <c r="AD2175">
        <v>1.118792</v>
      </c>
      <c r="AE2175">
        <v>-25.289099999999902</v>
      </c>
      <c r="AF2175">
        <v>-27.605694702615601</v>
      </c>
      <c r="AG2175">
        <v>1.118792</v>
      </c>
      <c r="AH2175">
        <v>115.362126321885</v>
      </c>
      <c r="AI2175">
        <v>89.459613581241399</v>
      </c>
      <c r="AJ2175">
        <v>103.457587474653</v>
      </c>
      <c r="AK2175">
        <v>118.62439152661599</v>
      </c>
      <c r="AL2175">
        <v>87.549802433051696</v>
      </c>
      <c r="AM2175">
        <v>90.502446111829897</v>
      </c>
      <c r="AN2175">
        <v>0.99999995635569505</v>
      </c>
    </row>
    <row r="2176" spans="1:40" x14ac:dyDescent="0.25">
      <c r="A2176" t="str">
        <f>"20190312160644246"</f>
        <v>20190312160644246</v>
      </c>
      <c r="B2176" t="str">
        <f>"1552378004237137"</f>
        <v>1552378004237137</v>
      </c>
      <c r="C2176" t="s">
        <v>40</v>
      </c>
      <c r="D2176">
        <v>5.3149610000000003</v>
      </c>
      <c r="E2176">
        <v>0.41868830000000001</v>
      </c>
      <c r="F2176" t="s">
        <v>74</v>
      </c>
      <c r="G2176">
        <v>-440.6841</v>
      </c>
      <c r="H2176">
        <v>2.4489969999999999</v>
      </c>
      <c r="I2176">
        <v>260.01859999999999</v>
      </c>
      <c r="J2176">
        <v>-325.02370000000002</v>
      </c>
      <c r="K2176">
        <v>1.109013</v>
      </c>
      <c r="L2176">
        <v>284.18329999999997</v>
      </c>
      <c r="M2176">
        <v>-0.9997665</v>
      </c>
      <c r="N2176">
        <v>0</v>
      </c>
      <c r="O2176">
        <v>1.9959930000000001E-2</v>
      </c>
      <c r="P2176">
        <v>-0.99934800000000001</v>
      </c>
      <c r="Q2176">
        <v>3.4334530000000002E-2</v>
      </c>
      <c r="R2176">
        <v>1.1200669999999999E-2</v>
      </c>
      <c r="S2176">
        <v>-3.0078429999999998</v>
      </c>
      <c r="T2176">
        <v>3.4774899999999997E-2</v>
      </c>
      <c r="U2176">
        <v>-0.62698359999999997</v>
      </c>
      <c r="V2176">
        <v>-8.7660189999999999E-3</v>
      </c>
      <c r="W2176">
        <v>4.2626650000000002E-2</v>
      </c>
      <c r="X2176">
        <v>0.99905259999999996</v>
      </c>
      <c r="Y2176">
        <v>-0.22354769999999999</v>
      </c>
      <c r="Z2176">
        <v>1.5068989999999999E-3</v>
      </c>
      <c r="AA2176">
        <v>0.9746918</v>
      </c>
      <c r="AB2176">
        <v>42</v>
      </c>
      <c r="AC2176">
        <v>-115.660399999999</v>
      </c>
      <c r="AD2176">
        <v>1.3399840000000001</v>
      </c>
      <c r="AE2176">
        <v>-24.1646999999999</v>
      </c>
      <c r="AF2176">
        <v>-26.465134531231399</v>
      </c>
      <c r="AG2176">
        <v>1.3399840000000001</v>
      </c>
      <c r="AH2176">
        <v>115.140206213616</v>
      </c>
      <c r="AI2176">
        <v>89.350173895847504</v>
      </c>
      <c r="AJ2176">
        <v>102.944676419925</v>
      </c>
      <c r="AK2176">
        <v>118.15018404467401</v>
      </c>
      <c r="AL2176">
        <v>87.556932589698903</v>
      </c>
      <c r="AM2176">
        <v>90.502719279296102</v>
      </c>
      <c r="AN2176">
        <v>0.99999998597304496</v>
      </c>
    </row>
    <row r="2177" spans="1:40" x14ac:dyDescent="0.25">
      <c r="A2177" t="str">
        <f>"20190312160644259"</f>
        <v>20190312160644259</v>
      </c>
      <c r="B2177" t="str">
        <f>"1552378004246897"</f>
        <v>1552378004246897</v>
      </c>
      <c r="C2177" t="s">
        <v>40</v>
      </c>
      <c r="D2177">
        <v>5.318727</v>
      </c>
      <c r="E2177">
        <v>0.41998570000000002</v>
      </c>
      <c r="F2177" t="s">
        <v>74</v>
      </c>
      <c r="G2177">
        <v>-440.6841</v>
      </c>
      <c r="H2177">
        <v>2.5577999999999999</v>
      </c>
      <c r="I2177">
        <v>260.57729999999998</v>
      </c>
      <c r="J2177">
        <v>-325.25409999999999</v>
      </c>
      <c r="K2177">
        <v>1.1090120000000001</v>
      </c>
      <c r="L2177">
        <v>284.18790000000001</v>
      </c>
      <c r="M2177">
        <v>-0.99976810000000005</v>
      </c>
      <c r="N2177">
        <v>0</v>
      </c>
      <c r="O2177">
        <v>1.9872750000000002E-2</v>
      </c>
      <c r="P2177">
        <v>-0.99934650000000003</v>
      </c>
      <c r="Q2177">
        <v>3.4410299999999998E-2</v>
      </c>
      <c r="R2177">
        <v>1.1076249999999999E-2</v>
      </c>
      <c r="S2177">
        <v>-3.0075379999999998</v>
      </c>
      <c r="T2177">
        <v>3.7673350000000001E-2</v>
      </c>
      <c r="U2177">
        <v>-0.6138306</v>
      </c>
      <c r="V2177">
        <v>-8.8031459999999995E-3</v>
      </c>
      <c r="W2177">
        <v>4.271001E-2</v>
      </c>
      <c r="X2177">
        <v>0.99904870000000001</v>
      </c>
      <c r="Y2177">
        <v>-0.21938930000000001</v>
      </c>
      <c r="Z2177">
        <v>1.6065020000000001E-3</v>
      </c>
      <c r="AA2177">
        <v>0.97563610000000001</v>
      </c>
      <c r="AB2177">
        <v>42</v>
      </c>
      <c r="AC2177">
        <v>-115.43</v>
      </c>
      <c r="AD2177">
        <v>1.44878799999999</v>
      </c>
      <c r="AE2177">
        <v>-23.610600000000002</v>
      </c>
      <c r="AF2177">
        <v>-25.896011808617999</v>
      </c>
      <c r="AG2177">
        <v>1.44878799999999</v>
      </c>
      <c r="AH2177">
        <v>114.920602519228</v>
      </c>
      <c r="AI2177">
        <v>89.295384271237893</v>
      </c>
      <c r="AJ2177">
        <v>102.698830664139</v>
      </c>
      <c r="AK2177">
        <v>117.811066108593</v>
      </c>
      <c r="AL2177">
        <v>87.552152027157902</v>
      </c>
      <c r="AM2177">
        <v>90.504850323013002</v>
      </c>
      <c r="AN2177">
        <v>0.99999997265269303</v>
      </c>
    </row>
    <row r="2178" spans="1:40" x14ac:dyDescent="0.25">
      <c r="A2178" t="str">
        <f>"20190312160644278"</f>
        <v>20190312160644278</v>
      </c>
      <c r="B2178" t="str">
        <f>"1552378004267394"</f>
        <v>1552378004267394</v>
      </c>
      <c r="C2178" t="s">
        <v>40</v>
      </c>
      <c r="D2178">
        <v>5.2647769999999996</v>
      </c>
      <c r="E2178">
        <v>0.42194979999999999</v>
      </c>
      <c r="F2178" t="s">
        <v>74</v>
      </c>
      <c r="G2178">
        <v>-440.6841</v>
      </c>
      <c r="H2178">
        <v>2.7097920000000002</v>
      </c>
      <c r="I2178">
        <v>261.01119999999997</v>
      </c>
      <c r="J2178">
        <v>-325.60579999999999</v>
      </c>
      <c r="K2178">
        <v>1.109011</v>
      </c>
      <c r="L2178">
        <v>284.19470000000001</v>
      </c>
      <c r="M2178">
        <v>-0.99977059999999995</v>
      </c>
      <c r="N2178">
        <v>0</v>
      </c>
      <c r="O2178">
        <v>1.9739179999999999E-2</v>
      </c>
      <c r="P2178">
        <v>-0.99934020000000001</v>
      </c>
      <c r="Q2178">
        <v>3.4716490000000003E-2</v>
      </c>
      <c r="R2178">
        <v>1.068123E-2</v>
      </c>
      <c r="S2178">
        <v>-3.0072939999999999</v>
      </c>
      <c r="T2178">
        <v>4.1705369999999999E-2</v>
      </c>
      <c r="U2178">
        <v>-0.60382080000000005</v>
      </c>
      <c r="V2178">
        <v>-9.0650330000000001E-3</v>
      </c>
      <c r="W2178">
        <v>4.3028719999999999E-2</v>
      </c>
      <c r="X2178">
        <v>0.9990327</v>
      </c>
      <c r="Y2178">
        <v>-0.21615000000000001</v>
      </c>
      <c r="Z2178">
        <v>1.7550700000000001E-3</v>
      </c>
      <c r="AA2178">
        <v>0.97635859999999997</v>
      </c>
      <c r="AB2178">
        <v>42</v>
      </c>
      <c r="AC2178">
        <v>-115.0783</v>
      </c>
      <c r="AD2178">
        <v>1.60078099999999</v>
      </c>
      <c r="AE2178">
        <v>-23.183499999999999</v>
      </c>
      <c r="AF2178">
        <v>-25.445880777073999</v>
      </c>
      <c r="AG2178">
        <v>1.60078099999999</v>
      </c>
      <c r="AH2178">
        <v>114.576932164136</v>
      </c>
      <c r="AI2178">
        <v>89.218595245542105</v>
      </c>
      <c r="AJ2178">
        <v>102.521345152385</v>
      </c>
      <c r="AK2178">
        <v>117.37942209977</v>
      </c>
      <c r="AL2178">
        <v>87.533874530229099</v>
      </c>
      <c r="AM2178">
        <v>90.519876755096803</v>
      </c>
      <c r="AN2178">
        <v>0.99999999061870903</v>
      </c>
    </row>
    <row r="2179" spans="1:40" x14ac:dyDescent="0.25">
      <c r="A2179" t="str">
        <f>"20190312160644289"</f>
        <v>20190312160644289</v>
      </c>
      <c r="B2179" t="str">
        <f>"1552378004277153"</f>
        <v>1552378004277153</v>
      </c>
      <c r="C2179" t="s">
        <v>40</v>
      </c>
      <c r="D2179">
        <v>5.2496530000000003</v>
      </c>
      <c r="E2179">
        <v>0.42259209999999903</v>
      </c>
      <c r="F2179" t="s">
        <v>74</v>
      </c>
      <c r="G2179">
        <v>-440.6841</v>
      </c>
      <c r="H2179">
        <v>2.9694579999999999</v>
      </c>
      <c r="I2179">
        <v>261.63319999999999</v>
      </c>
      <c r="J2179">
        <v>-325.8306</v>
      </c>
      <c r="K2179">
        <v>1.1090120000000001</v>
      </c>
      <c r="L2179">
        <v>284.19909999999999</v>
      </c>
      <c r="M2179">
        <v>-0.9997722</v>
      </c>
      <c r="N2179">
        <v>0</v>
      </c>
      <c r="O2179">
        <v>1.965366E-2</v>
      </c>
      <c r="P2179">
        <v>-0.99933810000000001</v>
      </c>
      <c r="Q2179">
        <v>3.4847759999999998E-2</v>
      </c>
      <c r="R2179">
        <v>1.0455809999999999E-2</v>
      </c>
      <c r="S2179">
        <v>-3.006561</v>
      </c>
      <c r="T2179">
        <v>4.8606749999999997E-2</v>
      </c>
      <c r="U2179">
        <v>-0.58944700000000005</v>
      </c>
      <c r="V2179">
        <v>-9.2050299999999995E-3</v>
      </c>
      <c r="W2179">
        <v>4.3167829999999997E-2</v>
      </c>
      <c r="X2179">
        <v>0.99902539999999995</v>
      </c>
      <c r="Y2179">
        <v>-0.21161189999999999</v>
      </c>
      <c r="Z2179">
        <v>2.009186E-3</v>
      </c>
      <c r="AA2179">
        <v>0.97735170000000005</v>
      </c>
      <c r="AB2179">
        <v>42</v>
      </c>
      <c r="AC2179">
        <v>-114.8535</v>
      </c>
      <c r="AD2179">
        <v>1.860446</v>
      </c>
      <c r="AE2179">
        <v>-22.565899999999999</v>
      </c>
      <c r="AF2179">
        <v>-24.8126423091663</v>
      </c>
      <c r="AG2179">
        <v>1.860446</v>
      </c>
      <c r="AH2179">
        <v>114.358905164829</v>
      </c>
      <c r="AI2179">
        <v>89.089156263000604</v>
      </c>
      <c r="AJ2179">
        <v>102.24181328250501</v>
      </c>
      <c r="AK2179">
        <v>117.034557580998</v>
      </c>
      <c r="AL2179">
        <v>87.5258966554306</v>
      </c>
      <c r="AM2179">
        <v>90.527908944779099</v>
      </c>
      <c r="AN2179">
        <v>0.99999997198468404</v>
      </c>
    </row>
    <row r="2180" spans="1:40" x14ac:dyDescent="0.25">
      <c r="A2180" t="str">
        <f>"20190312160644302"</f>
        <v>20190312160644302</v>
      </c>
      <c r="B2180" t="str">
        <f>"1552378004297649"</f>
        <v>1552378004297649</v>
      </c>
      <c r="C2180" t="s">
        <v>40</v>
      </c>
      <c r="D2180">
        <v>5.1316499999999996</v>
      </c>
      <c r="E2180">
        <v>0.42393520000000001</v>
      </c>
      <c r="F2180" t="s">
        <v>74</v>
      </c>
      <c r="G2180">
        <v>-440.28820000000002</v>
      </c>
      <c r="H2180">
        <v>3.1465239999999999</v>
      </c>
      <c r="I2180">
        <v>261.92430000000002</v>
      </c>
      <c r="J2180">
        <v>-326.0591</v>
      </c>
      <c r="K2180">
        <v>1.109011</v>
      </c>
      <c r="L2180">
        <v>284.20359999999999</v>
      </c>
      <c r="M2180">
        <v>-0.99977380000000005</v>
      </c>
      <c r="N2180">
        <v>0</v>
      </c>
      <c r="O2180">
        <v>1.9567020000000001E-2</v>
      </c>
      <c r="P2180">
        <v>-0.99932770000000004</v>
      </c>
      <c r="Q2180">
        <v>3.5120150000000003E-2</v>
      </c>
      <c r="R2180">
        <v>1.0539339999999999E-2</v>
      </c>
      <c r="S2180">
        <v>-3.006256</v>
      </c>
      <c r="T2180">
        <v>5.3516029999999999E-2</v>
      </c>
      <c r="U2180">
        <v>-0.58505249999999998</v>
      </c>
      <c r="V2180">
        <v>-9.0343790000000004E-3</v>
      </c>
      <c r="W2180">
        <v>4.3447949999999999E-2</v>
      </c>
      <c r="X2180">
        <v>0.99901490000000004</v>
      </c>
      <c r="Y2180">
        <v>-0.2101635</v>
      </c>
      <c r="Z2180">
        <v>2.1983110000000001E-3</v>
      </c>
      <c r="AA2180">
        <v>0.97766379999999997</v>
      </c>
      <c r="AB2180">
        <v>42</v>
      </c>
      <c r="AC2180">
        <v>-114.2291</v>
      </c>
      <c r="AD2180">
        <v>2.0375130000000001</v>
      </c>
      <c r="AE2180">
        <v>-22.2792999999999</v>
      </c>
      <c r="AF2180">
        <v>-24.5027248877606</v>
      </c>
      <c r="AG2180">
        <v>2.0375130000000001</v>
      </c>
      <c r="AH2180">
        <v>113.73641398273701</v>
      </c>
      <c r="AI2180">
        <v>88.996707063345298</v>
      </c>
      <c r="AJ2180">
        <v>102.157662257656</v>
      </c>
      <c r="AK2180">
        <v>116.36368356064899</v>
      </c>
      <c r="AL2180">
        <v>87.509832101589396</v>
      </c>
      <c r="AM2180">
        <v>90.518128085066905</v>
      </c>
      <c r="AN2180">
        <v>1.00000005739256</v>
      </c>
    </row>
    <row r="2181" spans="1:40" x14ac:dyDescent="0.25">
      <c r="A2181" t="str">
        <f>"20190312160644323"</f>
        <v>20190312160644323</v>
      </c>
      <c r="B2181" t="str">
        <f>"1552378004317173"</f>
        <v>1552378004317173</v>
      </c>
      <c r="C2181" t="s">
        <v>40</v>
      </c>
      <c r="D2181">
        <v>5.2488539999999997</v>
      </c>
      <c r="E2181">
        <v>0.42491770000000001</v>
      </c>
      <c r="F2181" t="s">
        <v>74</v>
      </c>
      <c r="G2181">
        <v>-440.28820000000002</v>
      </c>
      <c r="H2181">
        <v>3.3266070000000001</v>
      </c>
      <c r="I2181">
        <v>262.37990000000002</v>
      </c>
      <c r="J2181">
        <v>-326.46140000000003</v>
      </c>
      <c r="K2181">
        <v>1.1090150000000001</v>
      </c>
      <c r="L2181">
        <v>284.21129999999999</v>
      </c>
      <c r="M2181">
        <v>-0.99977680000000002</v>
      </c>
      <c r="N2181">
        <v>0</v>
      </c>
      <c r="O2181">
        <v>1.9414549999999999E-2</v>
      </c>
      <c r="P2181">
        <v>-0.99933890000000003</v>
      </c>
      <c r="Q2181">
        <v>3.49118E-2</v>
      </c>
      <c r="R2181">
        <v>1.016851E-2</v>
      </c>
      <c r="S2181">
        <v>-3.0060419999999999</v>
      </c>
      <c r="T2181">
        <v>5.8358309999999997E-2</v>
      </c>
      <c r="U2181">
        <v>-0.57431030000000005</v>
      </c>
      <c r="V2181">
        <v>-9.2531120000000008E-3</v>
      </c>
      <c r="W2181">
        <v>4.3254059999999997E-2</v>
      </c>
      <c r="X2181">
        <v>0.99902120000000005</v>
      </c>
      <c r="Y2181">
        <v>-0.20665159999999999</v>
      </c>
      <c r="Z2181">
        <v>2.3614349999999998E-3</v>
      </c>
      <c r="AA2181">
        <v>0.9784117</v>
      </c>
      <c r="AB2181">
        <v>42</v>
      </c>
      <c r="AC2181">
        <v>-113.82680000000001</v>
      </c>
      <c r="AD2181">
        <v>2.2175919999999998</v>
      </c>
      <c r="AE2181">
        <v>-21.831399999999899</v>
      </c>
      <c r="AF2181">
        <v>-24.028461214710699</v>
      </c>
      <c r="AG2181">
        <v>2.2175919999999998</v>
      </c>
      <c r="AH2181">
        <v>113.339990495891</v>
      </c>
      <c r="AI2181">
        <v>88.903468092744006</v>
      </c>
      <c r="AJ2181">
        <v>101.96967177112199</v>
      </c>
      <c r="AK2181">
        <v>115.88027488849799</v>
      </c>
      <c r="AL2181">
        <v>87.520951356571501</v>
      </c>
      <c r="AM2181">
        <v>90.5306685235266</v>
      </c>
      <c r="AN2181">
        <v>0.99999994591880204</v>
      </c>
    </row>
    <row r="2182" spans="1:40" x14ac:dyDescent="0.25">
      <c r="A2182" t="str">
        <f>"20190312160644335"</f>
        <v>20190312160644335</v>
      </c>
      <c r="B2182" t="str">
        <f>"1552378004326931"</f>
        <v>1552378004326931</v>
      </c>
      <c r="C2182" t="s">
        <v>40</v>
      </c>
      <c r="D2182">
        <v>5.4934200000000004</v>
      </c>
      <c r="E2182">
        <v>0.42521530000000002</v>
      </c>
      <c r="F2182" t="s">
        <v>74</v>
      </c>
      <c r="G2182">
        <v>-440.6841</v>
      </c>
      <c r="H2182">
        <v>3.510113</v>
      </c>
      <c r="I2182">
        <v>262.64019999999999</v>
      </c>
      <c r="J2182">
        <v>-326.68990000000002</v>
      </c>
      <c r="K2182">
        <v>1.109013</v>
      </c>
      <c r="L2182">
        <v>284.21570000000003</v>
      </c>
      <c r="M2182">
        <v>-0.99977819999999995</v>
      </c>
      <c r="N2182">
        <v>0</v>
      </c>
      <c r="O2182">
        <v>1.9327839999999999E-2</v>
      </c>
      <c r="P2182">
        <v>-0.99933839999999996</v>
      </c>
      <c r="Q2182">
        <v>3.4950830000000002E-2</v>
      </c>
      <c r="R2182">
        <v>1.007127E-2</v>
      </c>
      <c r="S2182">
        <v>-3.0055239999999999</v>
      </c>
      <c r="T2182">
        <v>6.3179970000000002E-2</v>
      </c>
      <c r="U2182">
        <v>-0.5675964</v>
      </c>
      <c r="V2182">
        <v>-9.2640469999999992E-3</v>
      </c>
      <c r="W2182">
        <v>4.3300739999999997E-2</v>
      </c>
      <c r="X2182">
        <v>0.99901910000000005</v>
      </c>
      <c r="Y2182">
        <v>-0.2044812</v>
      </c>
      <c r="Z2182">
        <v>2.5330420000000001E-3</v>
      </c>
      <c r="AA2182">
        <v>0.97886719999999905</v>
      </c>
      <c r="AB2182">
        <v>42</v>
      </c>
      <c r="AC2182">
        <v>-113.994199999999</v>
      </c>
      <c r="AD2182">
        <v>2.4011</v>
      </c>
      <c r="AE2182">
        <v>-21.575500000000002</v>
      </c>
      <c r="AF2182">
        <v>-23.7646292759853</v>
      </c>
      <c r="AG2182">
        <v>2.4011</v>
      </c>
      <c r="AH2182">
        <v>113.507264396575</v>
      </c>
      <c r="AI2182">
        <v>88.813872488304995</v>
      </c>
      <c r="AJ2182">
        <v>101.82501603035</v>
      </c>
      <c r="AK2182">
        <v>115.99319788948399</v>
      </c>
      <c r="AL2182">
        <v>87.5182743396023</v>
      </c>
      <c r="AM2182">
        <v>90.531296729615306</v>
      </c>
      <c r="AN2182">
        <v>0.999999969408087</v>
      </c>
    </row>
    <row r="2183" spans="1:40" x14ac:dyDescent="0.25">
      <c r="A2183" t="str">
        <f>"20190312160644359"</f>
        <v>20190312160644359</v>
      </c>
      <c r="B2183" t="str">
        <f>"1552378004347425"</f>
        <v>1552378004347425</v>
      </c>
      <c r="C2183" t="s">
        <v>40</v>
      </c>
      <c r="D2183">
        <v>5.2085970000000001</v>
      </c>
      <c r="E2183">
        <v>0.42546650000000003</v>
      </c>
      <c r="F2183" t="s">
        <v>74</v>
      </c>
      <c r="G2183">
        <v>-440.6841</v>
      </c>
      <c r="H2183">
        <v>3.6563629999999998</v>
      </c>
      <c r="I2183">
        <v>262.76060000000001</v>
      </c>
      <c r="J2183">
        <v>-327.14109999999999</v>
      </c>
      <c r="K2183">
        <v>1.1090169999999999</v>
      </c>
      <c r="L2183">
        <v>284.22430000000003</v>
      </c>
      <c r="M2183">
        <v>-0.99978140000000004</v>
      </c>
      <c r="N2183">
        <v>0</v>
      </c>
      <c r="O2183">
        <v>1.9156289999999999E-2</v>
      </c>
      <c r="P2183">
        <v>-0.9993552</v>
      </c>
      <c r="Q2183">
        <v>3.4358359999999998E-2</v>
      </c>
      <c r="R2183">
        <v>1.0435959999999999E-2</v>
      </c>
      <c r="S2183">
        <v>-3.005341</v>
      </c>
      <c r="T2183">
        <v>6.7158579999999996E-2</v>
      </c>
      <c r="U2183">
        <v>-0.56564329999999996</v>
      </c>
      <c r="V2183">
        <v>-8.7278709999999999E-3</v>
      </c>
      <c r="W2183">
        <v>4.2724779999999997E-2</v>
      </c>
      <c r="X2183">
        <v>0.99904879999999996</v>
      </c>
      <c r="Y2183">
        <v>-0.20370379999999999</v>
      </c>
      <c r="Z2183">
        <v>2.6804260000000001E-3</v>
      </c>
      <c r="AA2183">
        <v>0.97902889999999998</v>
      </c>
      <c r="AB2183">
        <v>42</v>
      </c>
      <c r="AC2183">
        <v>-113.542999999999</v>
      </c>
      <c r="AD2183">
        <v>2.5473460000000001</v>
      </c>
      <c r="AE2183">
        <v>-21.463699999999999</v>
      </c>
      <c r="AF2183">
        <v>-23.623419937605298</v>
      </c>
      <c r="AG2183">
        <v>2.5473460000000001</v>
      </c>
      <c r="AH2183">
        <v>113.056042775271</v>
      </c>
      <c r="AI2183">
        <v>88.736525245715896</v>
      </c>
      <c r="AJ2183">
        <v>101.802322137891</v>
      </c>
      <c r="AK2183">
        <v>115.525857491715</v>
      </c>
      <c r="AL2183">
        <v>87.551305169301997</v>
      </c>
      <c r="AM2183">
        <v>90.500533558610201</v>
      </c>
      <c r="AN2183">
        <v>1.00000004366983</v>
      </c>
    </row>
    <row r="2184" spans="1:40" x14ac:dyDescent="0.25">
      <c r="A2184" t="str">
        <f>"20190312160644370"</f>
        <v>20190312160644370</v>
      </c>
      <c r="B2184" t="str">
        <f>"1552378004366946"</f>
        <v>1552378004366946</v>
      </c>
      <c r="C2184" t="s">
        <v>40</v>
      </c>
      <c r="D2184">
        <v>5.2125009999999996</v>
      </c>
      <c r="E2184">
        <v>0.42607349999999999</v>
      </c>
      <c r="F2184" t="s">
        <v>74</v>
      </c>
      <c r="G2184">
        <v>-440.6841</v>
      </c>
      <c r="H2184">
        <v>3.7194500000000001</v>
      </c>
      <c r="I2184">
        <v>262.96980000000002</v>
      </c>
      <c r="J2184">
        <v>-327.36450000000002</v>
      </c>
      <c r="K2184">
        <v>1.1090169999999999</v>
      </c>
      <c r="L2184">
        <v>284.2285</v>
      </c>
      <c r="M2184">
        <v>-0.99978299999999998</v>
      </c>
      <c r="N2184">
        <v>0</v>
      </c>
      <c r="O2184">
        <v>1.9071790000000002E-2</v>
      </c>
      <c r="P2184">
        <v>-0.99936119999999995</v>
      </c>
      <c r="Q2184">
        <v>3.4181370000000003E-2</v>
      </c>
      <c r="R2184">
        <v>1.044848E-2</v>
      </c>
      <c r="S2184">
        <v>-3.0054020000000001</v>
      </c>
      <c r="T2184">
        <v>6.9096569999999996E-2</v>
      </c>
      <c r="U2184">
        <v>-0.56259159999999997</v>
      </c>
      <c r="V2184">
        <v>-8.6307499999999995E-3</v>
      </c>
      <c r="W2184">
        <v>4.2555660000000002E-2</v>
      </c>
      <c r="X2184">
        <v>0.99905679999999997</v>
      </c>
      <c r="Y2184">
        <v>-0.20265420000000001</v>
      </c>
      <c r="Z2184">
        <v>2.7440670000000002E-3</v>
      </c>
      <c r="AA2184">
        <v>0.97924650000000002</v>
      </c>
      <c r="AB2184">
        <v>42</v>
      </c>
      <c r="AC2184">
        <v>-113.319599999999</v>
      </c>
      <c r="AD2184">
        <v>2.610433</v>
      </c>
      <c r="AE2184">
        <v>-21.258699999999902</v>
      </c>
      <c r="AF2184">
        <v>-23.404119265137499</v>
      </c>
      <c r="AG2184">
        <v>2.610433</v>
      </c>
      <c r="AH2184">
        <v>112.83569037632699</v>
      </c>
      <c r="AI2184">
        <v>88.702319828420102</v>
      </c>
      <c r="AJ2184">
        <v>101.718000048026</v>
      </c>
      <c r="AK2184">
        <v>115.266908441784</v>
      </c>
      <c r="AL2184">
        <v>87.5610037012422</v>
      </c>
      <c r="AM2184">
        <v>90.494960094201801</v>
      </c>
      <c r="AN2184">
        <v>0.99999998183491801</v>
      </c>
    </row>
    <row r="2185" spans="1:40" x14ac:dyDescent="0.25">
      <c r="A2185" t="str">
        <f>"20190312160644383"</f>
        <v>20190312160644383</v>
      </c>
      <c r="B2185" t="str">
        <f>"1552378004377682"</f>
        <v>1552378004377682</v>
      </c>
      <c r="C2185" t="s">
        <v>40</v>
      </c>
      <c r="D2185">
        <v>5.1285860000000003</v>
      </c>
      <c r="E2185">
        <v>0.42636269999999998</v>
      </c>
      <c r="F2185" t="s">
        <v>74</v>
      </c>
      <c r="G2185">
        <v>-440.40789999999998</v>
      </c>
      <c r="H2185">
        <v>3.7401529999999998</v>
      </c>
      <c r="I2185">
        <v>263.25209999999998</v>
      </c>
      <c r="J2185">
        <v>-327.60169999999999</v>
      </c>
      <c r="K2185">
        <v>1.1090180000000001</v>
      </c>
      <c r="L2185">
        <v>284.233</v>
      </c>
      <c r="M2185">
        <v>-0.99978480000000003</v>
      </c>
      <c r="N2185">
        <v>0</v>
      </c>
      <c r="O2185">
        <v>1.8981749999999999E-2</v>
      </c>
      <c r="P2185">
        <v>-0.99936449999999999</v>
      </c>
      <c r="Q2185">
        <v>3.397153E-2</v>
      </c>
      <c r="R2185">
        <v>1.080822E-2</v>
      </c>
      <c r="S2185">
        <v>-3.0053709999999998</v>
      </c>
      <c r="T2185">
        <v>6.9951890000000003E-2</v>
      </c>
      <c r="U2185">
        <v>-0.55767819999999901</v>
      </c>
      <c r="V2185">
        <v>-8.1811109999999996E-3</v>
      </c>
      <c r="W2185">
        <v>4.2354610000000001E-2</v>
      </c>
      <c r="X2185">
        <v>0.99906919999999999</v>
      </c>
      <c r="Y2185">
        <v>-0.20101930000000001</v>
      </c>
      <c r="Z2185">
        <v>2.7575220000000001E-3</v>
      </c>
      <c r="AA2185">
        <v>0.97958339999999999</v>
      </c>
      <c r="AB2185">
        <v>42</v>
      </c>
      <c r="AC2185">
        <v>-112.8062</v>
      </c>
      <c r="AD2185">
        <v>2.631135</v>
      </c>
      <c r="AE2185">
        <v>-20.980899999999998</v>
      </c>
      <c r="AF2185">
        <v>-23.1063035538352</v>
      </c>
      <c r="AG2185">
        <v>2.631135</v>
      </c>
      <c r="AH2185">
        <v>112.328539694067</v>
      </c>
      <c r="AI2185">
        <v>88.685682627402002</v>
      </c>
      <c r="AJ2185">
        <v>101.623768478188</v>
      </c>
      <c r="AK2185">
        <v>114.71061400372599</v>
      </c>
      <c r="AL2185">
        <v>87.572533591083797</v>
      </c>
      <c r="AM2185">
        <v>90.469169358043203</v>
      </c>
      <c r="AN2185">
        <v>1.00000005497704</v>
      </c>
    </row>
    <row r="2186" spans="1:40" x14ac:dyDescent="0.25">
      <c r="A2186" t="str">
        <f>"20190312160644398"</f>
        <v>20190312160644398</v>
      </c>
      <c r="B2186" t="str">
        <f>"1552378004387442"</f>
        <v>1552378004387442</v>
      </c>
      <c r="C2186" t="s">
        <v>40</v>
      </c>
      <c r="D2186">
        <v>5.2360470000000001</v>
      </c>
      <c r="E2186">
        <v>0.4265891</v>
      </c>
      <c r="F2186" t="s">
        <v>74</v>
      </c>
      <c r="G2186">
        <v>-440.40789999999998</v>
      </c>
      <c r="H2186">
        <v>3.8603770000000002</v>
      </c>
      <c r="I2186">
        <v>263.4153</v>
      </c>
      <c r="J2186">
        <v>-327.88029999999998</v>
      </c>
      <c r="K2186">
        <v>1.1090169999999999</v>
      </c>
      <c r="L2186">
        <v>284.23820000000001</v>
      </c>
      <c r="M2186">
        <v>-0.99978650000000002</v>
      </c>
      <c r="N2186">
        <v>0</v>
      </c>
      <c r="O2186">
        <v>1.887614E-2</v>
      </c>
      <c r="P2186">
        <v>-0.9993493</v>
      </c>
      <c r="Q2186">
        <v>3.433841E-2</v>
      </c>
      <c r="R2186">
        <v>1.103351E-2</v>
      </c>
      <c r="S2186">
        <v>-3.0054020000000001</v>
      </c>
      <c r="T2186">
        <v>7.3302980000000004E-2</v>
      </c>
      <c r="U2186">
        <v>-0.55462650000000002</v>
      </c>
      <c r="V2186">
        <v>-7.85036699999999E-3</v>
      </c>
      <c r="W2186">
        <v>4.273097E-2</v>
      </c>
      <c r="X2186">
        <v>0.99905569999999999</v>
      </c>
      <c r="Y2186">
        <v>-0.19994690000000001</v>
      </c>
      <c r="Z2186">
        <v>2.874298E-3</v>
      </c>
      <c r="AA2186">
        <v>0.97980250000000002</v>
      </c>
      <c r="AB2186">
        <v>43</v>
      </c>
      <c r="AC2186">
        <v>-112.52760000000001</v>
      </c>
      <c r="AD2186">
        <v>2.75136</v>
      </c>
      <c r="AE2186">
        <v>-20.822900000000001</v>
      </c>
      <c r="AF2186">
        <v>-22.930097075614</v>
      </c>
      <c r="AG2186">
        <v>2.75136</v>
      </c>
      <c r="AH2186">
        <v>112.04971096622501</v>
      </c>
      <c r="AI2186">
        <v>88.6219434672646</v>
      </c>
      <c r="AJ2186">
        <v>101.565450073823</v>
      </c>
      <c r="AK2186">
        <v>114.40496956584199</v>
      </c>
      <c r="AL2186">
        <v>87.550949900505401</v>
      </c>
      <c r="AM2186">
        <v>90.450208771754603</v>
      </c>
      <c r="AN2186">
        <v>0.99999992788083003</v>
      </c>
    </row>
    <row r="2187" spans="1:40" x14ac:dyDescent="0.25">
      <c r="A2187" t="str">
        <f>"20190312160644412"</f>
        <v>20190312160644412</v>
      </c>
      <c r="B2187" t="str">
        <f>"1552378004406961"</f>
        <v>1552378004406961</v>
      </c>
      <c r="C2187" t="s">
        <v>40</v>
      </c>
      <c r="D2187">
        <v>5.2820939999999998</v>
      </c>
      <c r="E2187">
        <v>0.42631960000000002</v>
      </c>
      <c r="F2187" t="s">
        <v>74</v>
      </c>
      <c r="G2187">
        <v>-440.40789999999998</v>
      </c>
      <c r="H2187">
        <v>4.0267150000000003</v>
      </c>
      <c r="I2187">
        <v>263.56670000000003</v>
      </c>
      <c r="J2187">
        <v>-328.1669</v>
      </c>
      <c r="K2187">
        <v>1.109011</v>
      </c>
      <c r="L2187">
        <v>284.24349999999998</v>
      </c>
      <c r="M2187">
        <v>-0.99978849999999997</v>
      </c>
      <c r="N2187">
        <v>0</v>
      </c>
      <c r="O2187">
        <v>1.8768090000000001E-2</v>
      </c>
      <c r="P2187">
        <v>-0.99931970000000003</v>
      </c>
      <c r="Q2187">
        <v>3.5119829999999998E-2</v>
      </c>
      <c r="R2187">
        <v>1.1264379999999999E-2</v>
      </c>
      <c r="S2187">
        <v>-3.0053709999999998</v>
      </c>
      <c r="T2187">
        <v>7.7925439999999999E-2</v>
      </c>
      <c r="U2187">
        <v>-0.55209350000000001</v>
      </c>
      <c r="V2187">
        <v>-7.5113999999999901E-3</v>
      </c>
      <c r="W2187">
        <v>4.3522739999999997E-2</v>
      </c>
      <c r="X2187">
        <v>0.99902420000000003</v>
      </c>
      <c r="Y2187">
        <v>-0.19903609999999999</v>
      </c>
      <c r="Z2187">
        <v>3.041265E-3</v>
      </c>
      <c r="AA2187">
        <v>0.97998739999999995</v>
      </c>
      <c r="AB2187">
        <v>43</v>
      </c>
      <c r="AC2187">
        <v>-112.241</v>
      </c>
      <c r="AD2187">
        <v>2.9177040000000001</v>
      </c>
      <c r="AE2187">
        <v>-20.676799999999901</v>
      </c>
      <c r="AF2187">
        <v>-22.7649032495674</v>
      </c>
      <c r="AG2187">
        <v>2.9177040000000001</v>
      </c>
      <c r="AH2187">
        <v>111.760109174745</v>
      </c>
      <c r="AI2187">
        <v>88.534605711644502</v>
      </c>
      <c r="AJ2187">
        <v>101.51331683231901</v>
      </c>
      <c r="AK2187">
        <v>114.092400357538</v>
      </c>
      <c r="AL2187">
        <v>87.505542752680299</v>
      </c>
      <c r="AM2187">
        <v>90.430783767474693</v>
      </c>
      <c r="AN2187">
        <v>1.0000000011063499</v>
      </c>
    </row>
    <row r="2188" spans="1:40" x14ac:dyDescent="0.25">
      <c r="A2188" t="str">
        <f>"20190312160644426"</f>
        <v>20190312160644426</v>
      </c>
      <c r="B2188" t="str">
        <f>"1552378004417698"</f>
        <v>1552378004417698</v>
      </c>
      <c r="C2188" t="s">
        <v>40</v>
      </c>
      <c r="D2188">
        <v>4.6115469999999998</v>
      </c>
      <c r="E2188">
        <v>0.42526700000000001</v>
      </c>
      <c r="F2188" t="s">
        <v>74</v>
      </c>
      <c r="G2188">
        <v>-440.40789999999998</v>
      </c>
      <c r="H2188">
        <v>4.3620530000000004</v>
      </c>
      <c r="I2188">
        <v>263.56790000000001</v>
      </c>
      <c r="J2188">
        <v>-328.4298</v>
      </c>
      <c r="K2188">
        <v>1.109008</v>
      </c>
      <c r="L2188">
        <v>284.2484</v>
      </c>
      <c r="M2188">
        <v>-0.99979030000000002</v>
      </c>
      <c r="N2188">
        <v>0</v>
      </c>
      <c r="O2188">
        <v>1.8668509999999999E-2</v>
      </c>
      <c r="P2188">
        <v>-0.99932399999999999</v>
      </c>
      <c r="Q2188">
        <v>3.5045569999999998E-2</v>
      </c>
      <c r="R2188">
        <v>1.111529E-2</v>
      </c>
      <c r="S2188">
        <v>-3.0052490000000001</v>
      </c>
      <c r="T2188">
        <v>8.7100510000000006E-2</v>
      </c>
      <c r="U2188">
        <v>-0.55358890000000005</v>
      </c>
      <c r="V2188">
        <v>-7.5609630000000004E-3</v>
      </c>
      <c r="W2188">
        <v>4.3457000000000003E-2</v>
      </c>
      <c r="X2188">
        <v>0.99902670000000005</v>
      </c>
      <c r="Y2188">
        <v>-0.1993994</v>
      </c>
      <c r="Z2188">
        <v>3.4015510000000001E-3</v>
      </c>
      <c r="AA2188">
        <v>0.97991240000000002</v>
      </c>
      <c r="AB2188">
        <v>43</v>
      </c>
      <c r="AC2188">
        <v>-111.978099999999</v>
      </c>
      <c r="AD2188">
        <v>3.2530450000000002</v>
      </c>
      <c r="AE2188">
        <v>-20.680499999999899</v>
      </c>
      <c r="AF2188">
        <v>-22.748868494931301</v>
      </c>
      <c r="AG2188">
        <v>3.2530450000000002</v>
      </c>
      <c r="AH2188">
        <v>111.481515146151</v>
      </c>
      <c r="AI2188">
        <v>88.362306374965897</v>
      </c>
      <c r="AJ2188">
        <v>101.53340633099801</v>
      </c>
      <c r="AK2188">
        <v>113.825399357319</v>
      </c>
      <c r="AL2188">
        <v>87.509312974365798</v>
      </c>
      <c r="AM2188">
        <v>90.433625045104705</v>
      </c>
      <c r="AN2188">
        <v>1.00000001316168</v>
      </c>
    </row>
    <row r="2189" spans="1:40" x14ac:dyDescent="0.25">
      <c r="A2189" t="str">
        <f>"20190312160644567"</f>
        <v>20190312160644567</v>
      </c>
      <c r="B2189" t="str">
        <f>"1552378004557265"</f>
        <v>1552378004557265</v>
      </c>
      <c r="C2189" t="s">
        <v>40</v>
      </c>
      <c r="D2189">
        <v>5.7173420000000004</v>
      </c>
      <c r="E2189">
        <v>0.42526700000000001</v>
      </c>
      <c r="F2189" t="s">
        <v>74</v>
      </c>
      <c r="G2189">
        <v>-440.40789999999998</v>
      </c>
      <c r="H2189">
        <v>4.1953899999999997</v>
      </c>
      <c r="I2189">
        <v>263.29919999999998</v>
      </c>
      <c r="J2189">
        <v>-331.1311</v>
      </c>
      <c r="K2189">
        <v>1.1090310000000001</v>
      </c>
      <c r="L2189">
        <v>284.2971</v>
      </c>
      <c r="M2189">
        <v>-0.99980809999999998</v>
      </c>
      <c r="N2189">
        <v>0</v>
      </c>
      <c r="O2189">
        <v>1.764924E-2</v>
      </c>
      <c r="P2189">
        <v>-0.99925169999999996</v>
      </c>
      <c r="Q2189">
        <v>3.6972039999999998E-2</v>
      </c>
      <c r="R2189">
        <v>1.136919E-2</v>
      </c>
      <c r="S2189">
        <v>-3.0053709999999998</v>
      </c>
      <c r="T2189">
        <v>8.2835560000000003E-2</v>
      </c>
      <c r="U2189">
        <v>-0.56225590000000003</v>
      </c>
      <c r="V2189">
        <v>-6.2879989999999998E-3</v>
      </c>
      <c r="W2189">
        <v>4.5476790000000003E-2</v>
      </c>
      <c r="X2189">
        <v>0.99894559999999999</v>
      </c>
      <c r="Y2189">
        <v>-0.20113310000000001</v>
      </c>
      <c r="Z2189">
        <v>3.2298990000000001E-3</v>
      </c>
      <c r="AA2189">
        <v>0.97955859999999995</v>
      </c>
      <c r="AB2189">
        <v>43</v>
      </c>
      <c r="AC2189">
        <v>-109.276799999999</v>
      </c>
      <c r="AD2189">
        <v>3.0863589999999999</v>
      </c>
      <c r="AE2189">
        <v>-20.997900000000001</v>
      </c>
      <c r="AF2189">
        <v>-22.905730129216099</v>
      </c>
      <c r="AG2189">
        <v>3.0863589999999999</v>
      </c>
      <c r="AH2189">
        <v>108.805464419347</v>
      </c>
      <c r="AI2189">
        <v>88.410024831385002</v>
      </c>
      <c r="AJ2189">
        <v>101.88831342467699</v>
      </c>
      <c r="AK2189">
        <v>111.23321074274099</v>
      </c>
      <c r="AL2189">
        <v>87.393472882839305</v>
      </c>
      <c r="AM2189">
        <v>90.360651316808102</v>
      </c>
      <c r="AN2189">
        <v>0.99999999455974398</v>
      </c>
    </row>
    <row r="2190" spans="1:40" x14ac:dyDescent="0.25">
      <c r="A2190" t="str">
        <f>"20190312160644591"</f>
        <v>20190312160644591</v>
      </c>
      <c r="B2190" t="str">
        <f>"1552378004587522"</f>
        <v>1552378004587522</v>
      </c>
      <c r="C2190" t="s">
        <v>40</v>
      </c>
      <c r="D2190">
        <v>5.3189900000000003</v>
      </c>
      <c r="E2190">
        <v>0.44732840000000001</v>
      </c>
      <c r="F2190" t="s">
        <v>74</v>
      </c>
      <c r="G2190">
        <v>-440.40789999999998</v>
      </c>
      <c r="H2190">
        <v>4.4166559999999997</v>
      </c>
      <c r="I2190">
        <v>263.87049999999999</v>
      </c>
      <c r="J2190">
        <v>-331.59019999999998</v>
      </c>
      <c r="K2190">
        <v>1.1090359999999999</v>
      </c>
      <c r="L2190">
        <v>284.30500000000001</v>
      </c>
      <c r="M2190">
        <v>-0.99981089999999995</v>
      </c>
      <c r="N2190">
        <v>0</v>
      </c>
      <c r="O2190">
        <v>1.747655E-2</v>
      </c>
      <c r="P2190">
        <v>-0.99921409999999999</v>
      </c>
      <c r="Q2190">
        <v>3.7852329999999997E-2</v>
      </c>
      <c r="R2190">
        <v>1.1768290000000001E-2</v>
      </c>
      <c r="S2190">
        <v>-3.0053100000000001</v>
      </c>
      <c r="T2190">
        <v>9.0965989999999997E-2</v>
      </c>
      <c r="U2190">
        <v>-0.56176759999999903</v>
      </c>
      <c r="V2190">
        <v>-5.7166369999999897E-3</v>
      </c>
      <c r="W2190">
        <v>4.6373240000000003E-2</v>
      </c>
      <c r="X2190">
        <v>0.99890780000000001</v>
      </c>
      <c r="Y2190">
        <v>-0.20079739999999999</v>
      </c>
      <c r="Z2190">
        <v>3.5366859999999998E-3</v>
      </c>
      <c r="AA2190">
        <v>0.97962640000000001</v>
      </c>
      <c r="AB2190">
        <v>43</v>
      </c>
      <c r="AC2190">
        <v>-108.8177</v>
      </c>
      <c r="AD2190">
        <v>3.30762</v>
      </c>
      <c r="AE2190">
        <v>-20.4345</v>
      </c>
      <c r="AF2190">
        <v>-22.3132926519507</v>
      </c>
      <c r="AG2190">
        <v>3.30762</v>
      </c>
      <c r="AH2190">
        <v>108.347248006504</v>
      </c>
      <c r="AI2190">
        <v>88.287339728009101</v>
      </c>
      <c r="AJ2190">
        <v>101.636934685708</v>
      </c>
      <c r="AK2190">
        <v>110.670454637265</v>
      </c>
      <c r="AL2190">
        <v>87.3420557769022</v>
      </c>
      <c r="AM2190">
        <v>90.327893722909295</v>
      </c>
      <c r="AN2190">
        <v>0.99999997511376304</v>
      </c>
    </row>
    <row r="2191" spans="1:40" x14ac:dyDescent="0.25">
      <c r="A2191" t="str">
        <f>"20190312160644606"</f>
        <v>20190312160644606</v>
      </c>
      <c r="B2191" t="str">
        <f>"1552378004597282"</f>
        <v>1552378004597282</v>
      </c>
      <c r="C2191" t="s">
        <v>40</v>
      </c>
      <c r="D2191">
        <v>5.8934509999999998</v>
      </c>
      <c r="E2191">
        <v>0.44744289999999998</v>
      </c>
      <c r="F2191" t="s">
        <v>66</v>
      </c>
      <c r="G2191">
        <v>-342.91239999999999</v>
      </c>
      <c r="H2191" s="1">
        <v>1.3075180000000001E-8</v>
      </c>
      <c r="I2191">
        <v>282.88220000000001</v>
      </c>
      <c r="J2191">
        <v>-331.87139999999999</v>
      </c>
      <c r="K2191">
        <v>1.1090359999999999</v>
      </c>
      <c r="L2191">
        <v>284.30990000000003</v>
      </c>
      <c r="M2191">
        <v>-0.99981279999999995</v>
      </c>
      <c r="N2191">
        <v>0</v>
      </c>
      <c r="O2191">
        <v>1.7370529999999999E-2</v>
      </c>
      <c r="P2191">
        <v>-0.99919720000000001</v>
      </c>
      <c r="Q2191">
        <v>3.8286830000000001E-2</v>
      </c>
      <c r="R2191">
        <v>1.181636E-2</v>
      </c>
      <c r="S2191">
        <v>-3.018005</v>
      </c>
      <c r="T2191">
        <v>-0.29561949999999998</v>
      </c>
      <c r="U2191">
        <v>-0.37927250000000001</v>
      </c>
      <c r="V2191">
        <v>-5.5621949999999998E-3</v>
      </c>
      <c r="W2191">
        <v>4.6816700000000003E-2</v>
      </c>
      <c r="X2191">
        <v>0.998888</v>
      </c>
      <c r="Y2191">
        <v>-0.1411586</v>
      </c>
      <c r="Z2191">
        <v>-8.5613219999999997E-3</v>
      </c>
      <c r="AA2191">
        <v>0.98994990000000005</v>
      </c>
      <c r="AB2191">
        <v>43</v>
      </c>
      <c r="AC2191">
        <v>-11.040999999999899</v>
      </c>
      <c r="AD2191">
        <v>-1.1090359869248201</v>
      </c>
      <c r="AE2191">
        <v>-1.42770000000001</v>
      </c>
      <c r="AF2191">
        <v>-1.6033682479025899</v>
      </c>
      <c r="AG2191">
        <v>-1.1090359869248201</v>
      </c>
      <c r="AH2191">
        <v>10.9063025613424</v>
      </c>
      <c r="AI2191">
        <v>95.744982300952302</v>
      </c>
      <c r="AJ2191">
        <v>98.363316135794506</v>
      </c>
      <c r="AK2191">
        <v>11.079178043438899</v>
      </c>
      <c r="AL2191">
        <v>87.316619799948995</v>
      </c>
      <c r="AM2191">
        <v>90.319041778978502</v>
      </c>
      <c r="AN2191">
        <v>0.99999998897805398</v>
      </c>
    </row>
    <row r="2192" spans="1:40" x14ac:dyDescent="0.25">
      <c r="A2192" t="str">
        <f>"20190312160644636"</f>
        <v>20190312160644636</v>
      </c>
      <c r="B2192" t="str">
        <f>"1552378004627538"</f>
        <v>1552378004627538</v>
      </c>
      <c r="C2192" t="s">
        <v>40</v>
      </c>
      <c r="D2192">
        <v>5.215338</v>
      </c>
      <c r="E2192">
        <v>0.44922909999999999</v>
      </c>
      <c r="F2192" t="s">
        <v>66</v>
      </c>
      <c r="G2192">
        <v>-347.52120000000002</v>
      </c>
      <c r="H2192" s="1">
        <v>2.4656429999999999E-6</v>
      </c>
      <c r="I2192">
        <v>282.3424</v>
      </c>
      <c r="J2192">
        <v>-332.45729999999998</v>
      </c>
      <c r="K2192">
        <v>1.1090260000000001</v>
      </c>
      <c r="L2192">
        <v>284.31990000000002</v>
      </c>
      <c r="M2192">
        <v>-0.99981640000000005</v>
      </c>
      <c r="N2192">
        <v>0</v>
      </c>
      <c r="O2192">
        <v>1.7150200000000001E-2</v>
      </c>
      <c r="P2192">
        <v>-0.99920620000000004</v>
      </c>
      <c r="Q2192">
        <v>3.8144949999999997E-2</v>
      </c>
      <c r="R2192">
        <v>1.150443E-2</v>
      </c>
      <c r="S2192">
        <v>-3.0151059999999998</v>
      </c>
      <c r="T2192">
        <v>-0.2136673</v>
      </c>
      <c r="U2192">
        <v>-0.37905879999999997</v>
      </c>
      <c r="V2192">
        <v>-5.6541539999999998E-3</v>
      </c>
      <c r="W2192">
        <v>4.6694760000000002E-2</v>
      </c>
      <c r="X2192">
        <v>0.99889320000000004</v>
      </c>
      <c r="Y2192">
        <v>-0.141345</v>
      </c>
      <c r="Z2192">
        <v>-6.1918600000000004E-3</v>
      </c>
      <c r="AA2192">
        <v>0.98994110000000002</v>
      </c>
      <c r="AB2192">
        <v>43</v>
      </c>
      <c r="AC2192">
        <v>-15.0639</v>
      </c>
      <c r="AD2192">
        <v>-1.1090235343570001</v>
      </c>
      <c r="AE2192">
        <v>-1.97750000000002</v>
      </c>
      <c r="AF2192">
        <v>-2.2237188934908398</v>
      </c>
      <c r="AG2192">
        <v>-1.1090235343570001</v>
      </c>
      <c r="AH2192">
        <v>14.948120913520601</v>
      </c>
      <c r="AI2192">
        <v>94.197066925790907</v>
      </c>
      <c r="AJ2192">
        <v>98.461406210458804</v>
      </c>
      <c r="AK2192">
        <v>15.1532563418645</v>
      </c>
      <c r="AL2192">
        <v>87.323614119602496</v>
      </c>
      <c r="AM2192">
        <v>90.324314652520002</v>
      </c>
      <c r="AN2192">
        <v>0.99999999753757596</v>
      </c>
    </row>
    <row r="2193" spans="1:40" x14ac:dyDescent="0.25">
      <c r="A2193" t="str">
        <f>"20190312160644649"</f>
        <v>20190312160644649</v>
      </c>
      <c r="B2193" t="str">
        <f>"1552378004647058"</f>
        <v>1552378004647058</v>
      </c>
      <c r="C2193" t="s">
        <v>40</v>
      </c>
      <c r="D2193">
        <v>5.3631510000000002</v>
      </c>
      <c r="E2193">
        <v>0.45091209999999998</v>
      </c>
      <c r="F2193" t="s">
        <v>66</v>
      </c>
      <c r="G2193">
        <v>-353.0736</v>
      </c>
      <c r="H2193" s="1">
        <v>9.8810569999999999E-8</v>
      </c>
      <c r="I2193">
        <v>281.8116</v>
      </c>
      <c r="J2193">
        <v>-332.7319</v>
      </c>
      <c r="K2193">
        <v>1.109013</v>
      </c>
      <c r="L2193">
        <v>284.32459999999998</v>
      </c>
      <c r="M2193">
        <v>-0.99981799999999998</v>
      </c>
      <c r="N2193">
        <v>0</v>
      </c>
      <c r="O2193">
        <v>1.7047030000000001E-2</v>
      </c>
      <c r="P2193">
        <v>-0.99921850000000001</v>
      </c>
      <c r="Q2193">
        <v>3.7849960000000002E-2</v>
      </c>
      <c r="R2193">
        <v>1.139982E-2</v>
      </c>
      <c r="S2193">
        <v>-3.012756</v>
      </c>
      <c r="T2193">
        <v>-0.16206770000000001</v>
      </c>
      <c r="U2193">
        <v>-0.3665466</v>
      </c>
      <c r="V2193">
        <v>-5.6556590000000004E-3</v>
      </c>
      <c r="W2193">
        <v>4.6409930000000002E-2</v>
      </c>
      <c r="X2193">
        <v>0.99890650000000003</v>
      </c>
      <c r="Y2193">
        <v>-0.13745940000000001</v>
      </c>
      <c r="Z2193">
        <v>-4.5942580000000004E-3</v>
      </c>
      <c r="AA2193">
        <v>0.99049679999999996</v>
      </c>
      <c r="AB2193">
        <v>43</v>
      </c>
      <c r="AC2193">
        <v>-20.341699999999999</v>
      </c>
      <c r="AD2193">
        <v>-1.1090129011894201</v>
      </c>
      <c r="AE2193">
        <v>-2.5129999999999701</v>
      </c>
      <c r="AF2193">
        <v>-2.8510661460529998</v>
      </c>
      <c r="AG2193">
        <v>-1.1090129011894201</v>
      </c>
      <c r="AH2193">
        <v>20.236657104071099</v>
      </c>
      <c r="AI2193">
        <v>93.106181092106297</v>
      </c>
      <c r="AJ2193">
        <v>98.019404955884497</v>
      </c>
      <c r="AK2193">
        <v>20.466577108347298</v>
      </c>
      <c r="AL2193">
        <v>87.339951480099103</v>
      </c>
      <c r="AM2193">
        <v>90.324396656283199</v>
      </c>
      <c r="AN2193">
        <v>1.0000000319117801</v>
      </c>
    </row>
    <row r="2194" spans="1:40" x14ac:dyDescent="0.25">
      <c r="A2194" t="str">
        <f>"20190312160644663"</f>
        <v>20190312160644663</v>
      </c>
      <c r="B2194" t="str">
        <f>"1552378004656817"</f>
        <v>1552378004656817</v>
      </c>
      <c r="C2194" t="s">
        <v>40</v>
      </c>
      <c r="D2194">
        <v>5.4270630000000004</v>
      </c>
      <c r="E2194">
        <v>0.45162340000000001</v>
      </c>
      <c r="F2194" t="s">
        <v>66</v>
      </c>
      <c r="G2194">
        <v>-357.24149999999997</v>
      </c>
      <c r="H2194" s="1">
        <v>2.3167549999999998E-6</v>
      </c>
      <c r="I2194">
        <v>281.44479999999999</v>
      </c>
      <c r="J2194">
        <v>-332.97930000000002</v>
      </c>
      <c r="K2194">
        <v>1.1090100000000001</v>
      </c>
      <c r="L2194">
        <v>284.32870000000003</v>
      </c>
      <c r="M2194">
        <v>-0.99981949999999997</v>
      </c>
      <c r="N2194">
        <v>0</v>
      </c>
      <c r="O2194">
        <v>1.6954190000000001E-2</v>
      </c>
      <c r="P2194">
        <v>-0.99922849999999996</v>
      </c>
      <c r="Q2194">
        <v>3.7697899999999999E-2</v>
      </c>
      <c r="R2194">
        <v>1.102676E-2</v>
      </c>
      <c r="S2194">
        <v>-3.0115970000000001</v>
      </c>
      <c r="T2194">
        <v>-0.13626920000000001</v>
      </c>
      <c r="U2194">
        <v>-0.35385129999999998</v>
      </c>
      <c r="V2194">
        <v>-5.9362490000000002E-3</v>
      </c>
      <c r="W2194">
        <v>4.6266080000000001E-2</v>
      </c>
      <c r="X2194">
        <v>0.99891149999999995</v>
      </c>
      <c r="Y2194">
        <v>-0.13336400000000001</v>
      </c>
      <c r="Z2194">
        <v>-3.7696919999999998E-3</v>
      </c>
      <c r="AA2194">
        <v>0.99106000000000005</v>
      </c>
      <c r="AB2194">
        <v>43</v>
      </c>
      <c r="AC2194">
        <v>-24.262199999999901</v>
      </c>
      <c r="AD2194">
        <v>-1.109007683245</v>
      </c>
      <c r="AE2194">
        <v>-2.8839000000000401</v>
      </c>
      <c r="AF2194">
        <v>-3.2880723448336102</v>
      </c>
      <c r="AG2194">
        <v>-1.109007683245</v>
      </c>
      <c r="AH2194">
        <v>24.160041246093101</v>
      </c>
      <c r="AI2194">
        <v>92.604204604847595</v>
      </c>
      <c r="AJ2194">
        <v>97.7500815800217</v>
      </c>
      <c r="AK2194">
        <v>24.407968182527501</v>
      </c>
      <c r="AL2194">
        <v>87.348202221528894</v>
      </c>
      <c r="AM2194">
        <v>90.340488631895198</v>
      </c>
      <c r="AN2194">
        <v>0.99999998702150295</v>
      </c>
    </row>
    <row r="2195" spans="1:40" x14ac:dyDescent="0.25">
      <c r="A2195" t="str">
        <f>"20190312160644675"</f>
        <v>20190312160644675</v>
      </c>
      <c r="B2195" t="str">
        <f>"1552378004667554"</f>
        <v>1552378004667554</v>
      </c>
      <c r="C2195" t="s">
        <v>40</v>
      </c>
      <c r="D2195">
        <v>5.4121269999999999</v>
      </c>
      <c r="E2195">
        <v>0.45222610000000002</v>
      </c>
      <c r="F2195" t="s">
        <v>66</v>
      </c>
      <c r="G2195">
        <v>-359.45490000000001</v>
      </c>
      <c r="H2195" s="1">
        <v>3.494618E-6</v>
      </c>
      <c r="I2195">
        <v>281.25459999999998</v>
      </c>
      <c r="J2195">
        <v>-333.226</v>
      </c>
      <c r="K2195">
        <v>1.109008</v>
      </c>
      <c r="L2195">
        <v>284.3329</v>
      </c>
      <c r="M2195">
        <v>-0.99982099999999996</v>
      </c>
      <c r="N2195">
        <v>0</v>
      </c>
      <c r="O2195">
        <v>1.686141E-2</v>
      </c>
      <c r="P2195">
        <v>-0.99924020000000002</v>
      </c>
      <c r="Q2195">
        <v>3.7476719999999998E-2</v>
      </c>
      <c r="R2195">
        <v>1.0721090000000001E-2</v>
      </c>
      <c r="S2195">
        <v>-3.0109249999999999</v>
      </c>
      <c r="T2195">
        <v>-0.1261215</v>
      </c>
      <c r="U2195">
        <v>-0.34960940000000001</v>
      </c>
      <c r="V2195">
        <v>-6.149224E-3</v>
      </c>
      <c r="W2195">
        <v>4.6053150000000001E-2</v>
      </c>
      <c r="X2195">
        <v>0.99892009999999998</v>
      </c>
      <c r="Y2195">
        <v>-0.131943</v>
      </c>
      <c r="Z2195">
        <v>-3.4567560000000001E-3</v>
      </c>
      <c r="AA2195">
        <v>0.99125129999999995</v>
      </c>
      <c r="AB2195">
        <v>43</v>
      </c>
      <c r="AC2195">
        <v>-26.228899999999999</v>
      </c>
      <c r="AD2195">
        <v>-1.1090045053819999</v>
      </c>
      <c r="AE2195">
        <v>-3.0783000000000098</v>
      </c>
      <c r="AF2195">
        <v>-3.5139381865362802</v>
      </c>
      <c r="AG2195">
        <v>-1.1090045053819999</v>
      </c>
      <c r="AH2195">
        <v>26.127190316911001</v>
      </c>
      <c r="AI2195">
        <v>92.408876163292504</v>
      </c>
      <c r="AJ2195">
        <v>97.659946946771797</v>
      </c>
      <c r="AK2195">
        <v>26.385748547802201</v>
      </c>
      <c r="AL2195">
        <v>87.360415359234594</v>
      </c>
      <c r="AM2195">
        <v>90.352701013988593</v>
      </c>
      <c r="AN2195">
        <v>1.00000003588236</v>
      </c>
    </row>
    <row r="2196" spans="1:40" x14ac:dyDescent="0.25">
      <c r="A2196" t="str">
        <f>"20190312160644690"</f>
        <v>20190312160644690</v>
      </c>
      <c r="B2196" t="str">
        <f>"1552378004687075"</f>
        <v>1552378004687075</v>
      </c>
      <c r="C2196" t="s">
        <v>40</v>
      </c>
      <c r="D2196">
        <v>5.3804249999999998</v>
      </c>
      <c r="E2196">
        <v>0.45274419999999999</v>
      </c>
      <c r="F2196" t="s">
        <v>66</v>
      </c>
      <c r="G2196">
        <v>-361.59300000000002</v>
      </c>
      <c r="H2196" s="1">
        <v>-6.8908740000000003E-7</v>
      </c>
      <c r="I2196">
        <v>281.07440000000003</v>
      </c>
      <c r="J2196">
        <v>-333.52519999999998</v>
      </c>
      <c r="K2196">
        <v>1.1090040000000001</v>
      </c>
      <c r="L2196">
        <v>284.33780000000002</v>
      </c>
      <c r="M2196">
        <v>-0.99982289999999996</v>
      </c>
      <c r="N2196">
        <v>0</v>
      </c>
      <c r="O2196">
        <v>1.6749179999999999E-2</v>
      </c>
      <c r="P2196">
        <v>-0.99924809999999997</v>
      </c>
      <c r="Q2196">
        <v>3.7325560000000001E-2</v>
      </c>
      <c r="R2196">
        <v>1.050945E-2</v>
      </c>
      <c r="S2196">
        <v>-3.0103759999999999</v>
      </c>
      <c r="T2196">
        <v>-0.117691</v>
      </c>
      <c r="U2196">
        <v>-0.34579470000000001</v>
      </c>
      <c r="V2196">
        <v>-6.2488149999999996E-3</v>
      </c>
      <c r="W2196">
        <v>4.591216E-2</v>
      </c>
      <c r="X2196">
        <v>0.99892590000000003</v>
      </c>
      <c r="Y2196">
        <v>-0.13063039999999901</v>
      </c>
      <c r="Z2196">
        <v>-3.1967520000000002E-3</v>
      </c>
      <c r="AA2196">
        <v>0.99142600000000003</v>
      </c>
      <c r="AB2196">
        <v>43</v>
      </c>
      <c r="AC2196">
        <v>-28.067799999999998</v>
      </c>
      <c r="AD2196">
        <v>-1.1090046890873999</v>
      </c>
      <c r="AE2196">
        <v>-3.2633999999999901</v>
      </c>
      <c r="AF2196">
        <v>-3.7273307480492601</v>
      </c>
      <c r="AG2196">
        <v>-1.1090046890873999</v>
      </c>
      <c r="AH2196">
        <v>27.966123628778998</v>
      </c>
      <c r="AI2196">
        <v>92.251006534365004</v>
      </c>
      <c r="AJ2196">
        <v>97.591652605573103</v>
      </c>
      <c r="AK2196">
        <v>28.235207750712998</v>
      </c>
      <c r="AL2196">
        <v>87.368501855156396</v>
      </c>
      <c r="AM2196">
        <v>90.358411025732593</v>
      </c>
      <c r="AN2196">
        <v>0.999999963907789</v>
      </c>
    </row>
    <row r="2197" spans="1:40" x14ac:dyDescent="0.25">
      <c r="A2197" t="str">
        <f>"20190312160644702"</f>
        <v>20190312160644702</v>
      </c>
      <c r="B2197" t="str">
        <f>"1552378004696834"</f>
        <v>1552378004696834</v>
      </c>
      <c r="C2197" t="s">
        <v>40</v>
      </c>
      <c r="D2197">
        <v>5.4259309999999896</v>
      </c>
      <c r="E2197">
        <v>0.45301330000000001</v>
      </c>
      <c r="F2197" t="s">
        <v>66</v>
      </c>
      <c r="G2197">
        <v>-365.52980000000002</v>
      </c>
      <c r="H2197" s="1">
        <v>1.4059040000000001E-6</v>
      </c>
      <c r="I2197">
        <v>280.69319999999999</v>
      </c>
      <c r="J2197">
        <v>-333.74079999999998</v>
      </c>
      <c r="K2197">
        <v>1.109003</v>
      </c>
      <c r="L2197">
        <v>284.34140000000002</v>
      </c>
      <c r="M2197">
        <v>-0.99982420000000005</v>
      </c>
      <c r="N2197">
        <v>0</v>
      </c>
      <c r="O2197">
        <v>1.6668260000000001E-2</v>
      </c>
      <c r="P2197">
        <v>-0.99924769999999896</v>
      </c>
      <c r="Q2197">
        <v>3.7410199999999998E-2</v>
      </c>
      <c r="R2197">
        <v>1.0223990000000001E-2</v>
      </c>
      <c r="S2197">
        <v>-3.0097659999999999</v>
      </c>
      <c r="T2197">
        <v>-0.1042923</v>
      </c>
      <c r="U2197">
        <v>-0.34274290000000002</v>
      </c>
      <c r="V2197">
        <v>-6.4536069999999897E-3</v>
      </c>
      <c r="W2197">
        <v>4.6004089999999997E-2</v>
      </c>
      <c r="X2197">
        <v>0.99892040000000004</v>
      </c>
      <c r="Y2197">
        <v>-0.1296051</v>
      </c>
      <c r="Z2197">
        <v>-2.813276E-3</v>
      </c>
      <c r="AA2197">
        <v>0.99156169999999999</v>
      </c>
      <c r="AB2197">
        <v>43</v>
      </c>
      <c r="AC2197">
        <v>-31.789000000000001</v>
      </c>
      <c r="AD2197">
        <v>-1.1090015940960001</v>
      </c>
      <c r="AE2197">
        <v>-3.6482000000000299</v>
      </c>
      <c r="AF2197">
        <v>-4.1725677547165496</v>
      </c>
      <c r="AG2197">
        <v>-1.1090015940960001</v>
      </c>
      <c r="AH2197">
        <v>31.6857100055316</v>
      </c>
      <c r="AI2197">
        <v>91.987393261906107</v>
      </c>
      <c r="AJ2197">
        <v>97.501892784109302</v>
      </c>
      <c r="AK2197">
        <v>31.978499413794498</v>
      </c>
      <c r="AL2197">
        <v>87.363229165765603</v>
      </c>
      <c r="AM2197">
        <v>90.370158922890795</v>
      </c>
      <c r="AN2197">
        <v>0.99999999543809903</v>
      </c>
    </row>
    <row r="2198" spans="1:40" x14ac:dyDescent="0.25">
      <c r="A2198" t="str">
        <f>"20190312160644713"</f>
        <v>20190312160644713</v>
      </c>
      <c r="B2198" t="str">
        <f>"1552378004707570"</f>
        <v>1552378004707570</v>
      </c>
      <c r="C2198" t="s">
        <v>40</v>
      </c>
      <c r="D2198">
        <v>5.4555179999999996</v>
      </c>
      <c r="E2198">
        <v>0.45334289999999999</v>
      </c>
      <c r="F2198" t="s">
        <v>66</v>
      </c>
      <c r="G2198">
        <v>-367.49549999999999</v>
      </c>
      <c r="H2198" s="1">
        <v>2.4519709999999998E-6</v>
      </c>
      <c r="I2198">
        <v>280.5111</v>
      </c>
      <c r="J2198">
        <v>-333.97059999999999</v>
      </c>
      <c r="K2198">
        <v>1.109013</v>
      </c>
      <c r="L2198">
        <v>284.34519999999998</v>
      </c>
      <c r="M2198">
        <v>-0.99982559999999998</v>
      </c>
      <c r="N2198">
        <v>0</v>
      </c>
      <c r="O2198">
        <v>1.6581619999999998E-2</v>
      </c>
      <c r="P2198">
        <v>-0.99925730000000001</v>
      </c>
      <c r="Q2198">
        <v>3.7146699999999998E-2</v>
      </c>
      <c r="R2198">
        <v>1.027309E-2</v>
      </c>
      <c r="S2198">
        <v>-3.0094599999999998</v>
      </c>
      <c r="T2198">
        <v>-9.8874809999999994E-2</v>
      </c>
      <c r="U2198">
        <v>-0.34149170000000001</v>
      </c>
      <c r="V2198">
        <v>-6.3174540000000001E-3</v>
      </c>
      <c r="W2198">
        <v>4.5748299999999999E-2</v>
      </c>
      <c r="X2198">
        <v>0.99893299999999996</v>
      </c>
      <c r="Y2198">
        <v>-0.12913250000000001</v>
      </c>
      <c r="Z2198">
        <v>-2.656977E-3</v>
      </c>
      <c r="AA2198">
        <v>0.99162380000000006</v>
      </c>
      <c r="AB2198">
        <v>44</v>
      </c>
      <c r="AC2198">
        <v>-33.524900000000002</v>
      </c>
      <c r="AD2198">
        <v>-1.109010548029</v>
      </c>
      <c r="AE2198">
        <v>-3.8340999999999701</v>
      </c>
      <c r="AF2198">
        <v>-4.3847542153555397</v>
      </c>
      <c r="AG2198">
        <v>-1.109010548029</v>
      </c>
      <c r="AH2198">
        <v>33.420612566071298</v>
      </c>
      <c r="AI2198">
        <v>91.884435485224998</v>
      </c>
      <c r="AJ2198">
        <v>97.474463194645097</v>
      </c>
      <c r="AK2198">
        <v>33.725262315008898</v>
      </c>
      <c r="AL2198">
        <v>87.377900253872795</v>
      </c>
      <c r="AM2198">
        <v>90.362345248323706</v>
      </c>
      <c r="AN2198">
        <v>0.99999997783346495</v>
      </c>
    </row>
    <row r="2199" spans="1:40" x14ac:dyDescent="0.25">
      <c r="A2199" t="str">
        <f>"20190312160644725"</f>
        <v>20190312160644725</v>
      </c>
      <c r="B2199" t="str">
        <f>"1552378004717330"</f>
        <v>1552378004717330</v>
      </c>
      <c r="C2199" t="s">
        <v>40</v>
      </c>
      <c r="D2199">
        <v>5.4877260000000003</v>
      </c>
      <c r="E2199">
        <v>0.4538372</v>
      </c>
      <c r="F2199" t="s">
        <v>66</v>
      </c>
      <c r="G2199">
        <v>-368.68290000000002</v>
      </c>
      <c r="H2199" s="1">
        <v>3.0838049999999999E-6</v>
      </c>
      <c r="I2199">
        <v>280.43810000000002</v>
      </c>
      <c r="J2199">
        <v>-334.19760000000002</v>
      </c>
      <c r="K2199">
        <v>1.109013</v>
      </c>
      <c r="L2199">
        <v>284.34879999999998</v>
      </c>
      <c r="M2199">
        <v>-0.99982680000000002</v>
      </c>
      <c r="N2199">
        <v>0</v>
      </c>
      <c r="O2199">
        <v>1.6496819999999999E-2</v>
      </c>
      <c r="P2199">
        <v>-0.99926760000000003</v>
      </c>
      <c r="Q2199">
        <v>3.692463E-2</v>
      </c>
      <c r="R2199">
        <v>1.003653E-2</v>
      </c>
      <c r="S2199">
        <v>-3.0093079999999999</v>
      </c>
      <c r="T2199">
        <v>-9.6143359999999997E-2</v>
      </c>
      <c r="U2199">
        <v>-0.33871459999999998</v>
      </c>
      <c r="V2199">
        <v>-6.4694640000000003E-3</v>
      </c>
      <c r="W2199">
        <v>4.5534419999999999E-2</v>
      </c>
      <c r="X2199">
        <v>0.99894179999999999</v>
      </c>
      <c r="Y2199">
        <v>-0.1281552</v>
      </c>
      <c r="Z2199">
        <v>-2.565618E-3</v>
      </c>
      <c r="AA2199">
        <v>0.99175080000000004</v>
      </c>
      <c r="AB2199">
        <v>44</v>
      </c>
      <c r="AC2199">
        <v>-34.485299999999903</v>
      </c>
      <c r="AD2199">
        <v>-1.109009916195</v>
      </c>
      <c r="AE2199">
        <v>-3.9106999999999599</v>
      </c>
      <c r="AF2199">
        <v>-4.4745179125758199</v>
      </c>
      <c r="AG2199">
        <v>-1.109009916195</v>
      </c>
      <c r="AH2199">
        <v>34.380985098627598</v>
      </c>
      <c r="AI2199">
        <v>91.832080318102001</v>
      </c>
      <c r="AJ2199">
        <v>97.415089344638403</v>
      </c>
      <c r="AK2199">
        <v>34.688663132156499</v>
      </c>
      <c r="AL2199">
        <v>87.390167461211604</v>
      </c>
      <c r="AM2199">
        <v>90.371060456877601</v>
      </c>
      <c r="AN2199">
        <v>0.99999997857821099</v>
      </c>
    </row>
    <row r="2200" spans="1:40" x14ac:dyDescent="0.25">
      <c r="A2200" t="str">
        <f>"20190312160644738"</f>
        <v>20190312160644738</v>
      </c>
      <c r="B2200" t="str">
        <f>"1552378004727090"</f>
        <v>1552378004727090</v>
      </c>
      <c r="C2200" t="s">
        <v>40</v>
      </c>
      <c r="D2200">
        <v>5.4755190000000002</v>
      </c>
      <c r="E2200">
        <v>0.45413140000000002</v>
      </c>
      <c r="F2200" t="s">
        <v>66</v>
      </c>
      <c r="G2200">
        <v>-370.1431</v>
      </c>
      <c r="H2200" s="1">
        <v>-1.460651E-6</v>
      </c>
      <c r="I2200">
        <v>280.33980000000003</v>
      </c>
      <c r="J2200">
        <v>-334.44810000000001</v>
      </c>
      <c r="K2200">
        <v>1.109013</v>
      </c>
      <c r="L2200">
        <v>284.35289999999998</v>
      </c>
      <c r="M2200">
        <v>-0.9998283</v>
      </c>
      <c r="N2200">
        <v>0</v>
      </c>
      <c r="O2200">
        <v>1.640279E-2</v>
      </c>
      <c r="P2200">
        <v>-0.99927589999999999</v>
      </c>
      <c r="Q2200">
        <v>3.6675069999999997E-2</v>
      </c>
      <c r="R2200">
        <v>1.015863E-2</v>
      </c>
      <c r="S2200">
        <v>-3.0090029999999999</v>
      </c>
      <c r="T2200">
        <v>-9.2835780000000007E-2</v>
      </c>
      <c r="U2200">
        <v>-0.33560180000000001</v>
      </c>
      <c r="V2200">
        <v>-6.2537540000000003E-3</v>
      </c>
      <c r="W2200">
        <v>4.5293390000000003E-2</v>
      </c>
      <c r="X2200">
        <v>0.99895420000000001</v>
      </c>
      <c r="Y2200">
        <v>-0.12706519999999999</v>
      </c>
      <c r="Z2200">
        <v>-2.4581360000000001E-3</v>
      </c>
      <c r="AA2200">
        <v>0.99189130000000003</v>
      </c>
      <c r="AB2200">
        <v>44</v>
      </c>
      <c r="AC2200">
        <v>-35.694999999999901</v>
      </c>
      <c r="AD2200">
        <v>-1.109014460651</v>
      </c>
      <c r="AE2200">
        <v>-4.0130999999999499</v>
      </c>
      <c r="AF2200">
        <v>-4.5937004827167698</v>
      </c>
      <c r="AG2200">
        <v>-1.109014460651</v>
      </c>
      <c r="AH2200">
        <v>35.590442524617103</v>
      </c>
      <c r="AI2200">
        <v>91.770111066529395</v>
      </c>
      <c r="AJ2200">
        <v>97.354573000506605</v>
      </c>
      <c r="AK2200">
        <v>35.902807638079203</v>
      </c>
      <c r="AL2200">
        <v>87.403991904528894</v>
      </c>
      <c r="AM2200">
        <v>90.358684141363199</v>
      </c>
      <c r="AN2200">
        <v>1.0000000471572099</v>
      </c>
    </row>
    <row r="2201" spans="1:40" x14ac:dyDescent="0.25">
      <c r="A2201" t="str">
        <f>"20190312160644758"</f>
        <v>20190312160644758</v>
      </c>
      <c r="B2201" t="str">
        <f>"1552378004747587"</f>
        <v>1552378004747587</v>
      </c>
      <c r="C2201" t="s">
        <v>40</v>
      </c>
      <c r="D2201">
        <v>5.3785400000000001</v>
      </c>
      <c r="E2201">
        <v>0.45424399999999998</v>
      </c>
      <c r="F2201" t="s">
        <v>66</v>
      </c>
      <c r="G2201">
        <v>-371.96469999999999</v>
      </c>
      <c r="H2201" s="1">
        <v>-4.9129520000000002E-7</v>
      </c>
      <c r="I2201">
        <v>280.20260000000002</v>
      </c>
      <c r="J2201">
        <v>-334.83370000000002</v>
      </c>
      <c r="K2201">
        <v>1.1090150000000001</v>
      </c>
      <c r="L2201">
        <v>284.35919999999999</v>
      </c>
      <c r="M2201">
        <v>-0.99983049999999996</v>
      </c>
      <c r="N2201">
        <v>0</v>
      </c>
      <c r="O2201">
        <v>1.625747E-2</v>
      </c>
      <c r="P2201">
        <v>-0.99927140000000003</v>
      </c>
      <c r="Q2201">
        <v>3.694617E-2</v>
      </c>
      <c r="R2201">
        <v>9.5944240000000007E-3</v>
      </c>
      <c r="S2201">
        <v>-3.0088200000000001</v>
      </c>
      <c r="T2201">
        <v>-8.8942530000000006E-2</v>
      </c>
      <c r="U2201">
        <v>-0.33285520000000002</v>
      </c>
      <c r="V2201">
        <v>-6.6723700000000004E-3</v>
      </c>
      <c r="W2201">
        <v>4.5576819999999997E-2</v>
      </c>
      <c r="X2201">
        <v>0.99893860000000001</v>
      </c>
      <c r="Y2201">
        <v>-0.12603929999999999</v>
      </c>
      <c r="Z2201">
        <v>-2.3359570000000001E-3</v>
      </c>
      <c r="AA2201">
        <v>0.99202250000000003</v>
      </c>
      <c r="AB2201">
        <v>44</v>
      </c>
      <c r="AC2201">
        <v>-37.130999999999901</v>
      </c>
      <c r="AD2201">
        <v>-1.1090154912951999</v>
      </c>
      <c r="AE2201">
        <v>-4.1565999999999601</v>
      </c>
      <c r="AF2201">
        <v>-4.7555394740953902</v>
      </c>
      <c r="AG2201">
        <v>-1.1090154912951999</v>
      </c>
      <c r="AH2201">
        <v>37.025892901225703</v>
      </c>
      <c r="AI2201">
        <v>91.701665008738701</v>
      </c>
      <c r="AJ2201">
        <v>97.318897896624193</v>
      </c>
      <c r="AK2201">
        <v>37.346510093751</v>
      </c>
      <c r="AL2201">
        <v>87.387735773707604</v>
      </c>
      <c r="AM2201">
        <v>90.382699151940798</v>
      </c>
      <c r="AN2201">
        <v>1.0000000468063399</v>
      </c>
    </row>
    <row r="2202" spans="1:40" x14ac:dyDescent="0.25">
      <c r="A2202" t="str">
        <f>"20190312160644771"</f>
        <v>20190312160644771</v>
      </c>
      <c r="B2202" t="str">
        <f>"1552378004767106"</f>
        <v>1552378004767106</v>
      </c>
      <c r="C2202" t="s">
        <v>40</v>
      </c>
      <c r="D2202">
        <v>5.4694989999999999</v>
      </c>
      <c r="E2202">
        <v>0.45439590000000002</v>
      </c>
      <c r="F2202" t="s">
        <v>66</v>
      </c>
      <c r="G2202">
        <v>-377.59199999999998</v>
      </c>
      <c r="H2202">
        <v>7.4574569999999998E-3</v>
      </c>
      <c r="I2202">
        <v>279.61630000000002</v>
      </c>
      <c r="J2202">
        <v>-335.0881</v>
      </c>
      <c r="K2202">
        <v>1.1090180000000001</v>
      </c>
      <c r="L2202">
        <v>284.36329999999998</v>
      </c>
      <c r="M2202">
        <v>-0.9998321</v>
      </c>
      <c r="N2202">
        <v>0</v>
      </c>
      <c r="O2202">
        <v>1.6161769999999999E-2</v>
      </c>
      <c r="P2202">
        <v>-0.99928269999999997</v>
      </c>
      <c r="Q2202">
        <v>3.6748740000000002E-2</v>
      </c>
      <c r="R2202">
        <v>9.1615110000000007E-3</v>
      </c>
      <c r="S2202">
        <v>-3.0082399999999998</v>
      </c>
      <c r="T2202">
        <v>-7.7499509999999994E-2</v>
      </c>
      <c r="U2202">
        <v>-0.33367920000000001</v>
      </c>
      <c r="V2202">
        <v>-7.0096719999999998E-3</v>
      </c>
      <c r="W2202">
        <v>4.5388190000000002E-2</v>
      </c>
      <c r="X2202">
        <v>0.99894479999999997</v>
      </c>
      <c r="Y2202">
        <v>-0.12624839999999901</v>
      </c>
      <c r="Z2202">
        <v>-2.036113E-3</v>
      </c>
      <c r="AA2202">
        <v>0.99199660000000001</v>
      </c>
      <c r="AB2202">
        <v>44</v>
      </c>
      <c r="AC2202">
        <v>-42.503899999999902</v>
      </c>
      <c r="AD2202">
        <v>-1.1015605429999999</v>
      </c>
      <c r="AE2202">
        <v>-4.7469999999999501</v>
      </c>
      <c r="AF2202">
        <v>-5.4297417260652097</v>
      </c>
      <c r="AG2202">
        <v>-1.1015605429999999</v>
      </c>
      <c r="AH2202">
        <v>42.393501513609799</v>
      </c>
      <c r="AI2202">
        <v>91.4763941466489</v>
      </c>
      <c r="AJ2202">
        <v>97.298682171957907</v>
      </c>
      <c r="AK2202">
        <v>42.753999829561103</v>
      </c>
      <c r="AL2202">
        <v>87.398554468013302</v>
      </c>
      <c r="AM2202">
        <v>90.402042264650106</v>
      </c>
      <c r="AN2202">
        <v>0.99999996837003102</v>
      </c>
    </row>
    <row r="2203" spans="1:40" x14ac:dyDescent="0.25">
      <c r="A2203" t="str">
        <f>"20190312160644783"</f>
        <v>20190312160644783</v>
      </c>
      <c r="B2203" t="str">
        <f>"1552378004776866"</f>
        <v>1552378004776866</v>
      </c>
      <c r="C2203" t="s">
        <v>40</v>
      </c>
      <c r="D2203">
        <v>5.5222410000000002</v>
      </c>
      <c r="E2203">
        <v>0.45461849999999998</v>
      </c>
      <c r="F2203" t="s">
        <v>66</v>
      </c>
      <c r="G2203">
        <v>-379.35129999999998</v>
      </c>
      <c r="H2203">
        <v>8.0000180000000004E-2</v>
      </c>
      <c r="I2203">
        <v>279.45359999999999</v>
      </c>
      <c r="J2203">
        <v>-335.3279</v>
      </c>
      <c r="K2203">
        <v>1.1090139999999999</v>
      </c>
      <c r="L2203">
        <v>284.36709999999999</v>
      </c>
      <c r="M2203">
        <v>-0.99983339999999998</v>
      </c>
      <c r="N2203">
        <v>0</v>
      </c>
      <c r="O2203">
        <v>1.60719E-2</v>
      </c>
      <c r="P2203">
        <v>-0.99926950000000003</v>
      </c>
      <c r="Q2203">
        <v>3.7188909999999999E-2</v>
      </c>
      <c r="R2203">
        <v>8.8078919999999995E-3</v>
      </c>
      <c r="S2203">
        <v>-3.0077820000000002</v>
      </c>
      <c r="T2203">
        <v>-6.9924E-2</v>
      </c>
      <c r="U2203">
        <v>-0.33361819999999998</v>
      </c>
      <c r="V2203">
        <v>-7.2734130000000003E-3</v>
      </c>
      <c r="W2203">
        <v>4.583595E-2</v>
      </c>
      <c r="X2203">
        <v>0.99892250000000005</v>
      </c>
      <c r="Y2203">
        <v>-0.12616459999999999</v>
      </c>
      <c r="Z2203">
        <v>-1.834366E-3</v>
      </c>
      <c r="AA2203">
        <v>0.99200759999999999</v>
      </c>
      <c r="AB2203">
        <v>44</v>
      </c>
      <c r="AC2203">
        <v>-44.023399999999903</v>
      </c>
      <c r="AD2203">
        <v>-1.0290138200000001</v>
      </c>
      <c r="AE2203">
        <v>-4.9134999999999902</v>
      </c>
      <c r="AF2203">
        <v>-5.61740015213842</v>
      </c>
      <c r="AG2203">
        <v>-1.0290138200000001</v>
      </c>
      <c r="AH2203">
        <v>43.915043201936697</v>
      </c>
      <c r="AI2203">
        <v>91.331459829050502</v>
      </c>
      <c r="AJ2203">
        <v>97.289414122705296</v>
      </c>
      <c r="AK2203">
        <v>44.284817639219902</v>
      </c>
      <c r="AL2203">
        <v>87.372873060509207</v>
      </c>
      <c r="AM2203">
        <v>90.417178012441099</v>
      </c>
      <c r="AN2203">
        <v>0.99999999892766001</v>
      </c>
    </row>
    <row r="2204" spans="1:40" x14ac:dyDescent="0.25">
      <c r="A2204" t="str">
        <f>"20190312160644796"</f>
        <v>20190312160644796</v>
      </c>
      <c r="B2204" t="str">
        <f>"1552378004787603"</f>
        <v>1552378004787603</v>
      </c>
      <c r="C2204" t="s">
        <v>40</v>
      </c>
      <c r="D2204">
        <v>5.6270309999999997</v>
      </c>
      <c r="E2204">
        <v>0.4550091</v>
      </c>
      <c r="F2204" t="s">
        <v>66</v>
      </c>
      <c r="G2204">
        <v>-382.25409999999999</v>
      </c>
      <c r="H2204">
        <v>8.0000799999999997E-2</v>
      </c>
      <c r="I2204">
        <v>279.1703</v>
      </c>
      <c r="J2204">
        <v>-335.58249999999998</v>
      </c>
      <c r="K2204">
        <v>1.109016</v>
      </c>
      <c r="L2204">
        <v>284.37110000000001</v>
      </c>
      <c r="M2204">
        <v>-0.99983489999999997</v>
      </c>
      <c r="N2204">
        <v>0</v>
      </c>
      <c r="O2204">
        <v>1.597637E-2</v>
      </c>
      <c r="P2204">
        <v>-0.99927319999999997</v>
      </c>
      <c r="Q2204">
        <v>3.7151620000000003E-2</v>
      </c>
      <c r="R2204">
        <v>8.561786E-3</v>
      </c>
      <c r="S2204">
        <v>-3.0075989999999999</v>
      </c>
      <c r="T2204">
        <v>-6.5951699999999905E-2</v>
      </c>
      <c r="U2204">
        <v>-0.3330688</v>
      </c>
      <c r="V2204">
        <v>-7.4239400000000004E-3</v>
      </c>
      <c r="W2204">
        <v>4.580737E-2</v>
      </c>
      <c r="X2204">
        <v>0.99892270000000005</v>
      </c>
      <c r="Y2204">
        <v>-0.12590170000000001</v>
      </c>
      <c r="Z2204">
        <v>-1.725344E-3</v>
      </c>
      <c r="AA2204">
        <v>0.99204119999999996</v>
      </c>
      <c r="AB2204">
        <v>44</v>
      </c>
      <c r="AC2204">
        <v>-46.671599999999998</v>
      </c>
      <c r="AD2204">
        <v>-1.0290151999999999</v>
      </c>
      <c r="AE2204">
        <v>-5.2008000000000099</v>
      </c>
      <c r="AF2204">
        <v>-5.9429533372609704</v>
      </c>
      <c r="AG2204">
        <v>-1.0290151999999999</v>
      </c>
      <c r="AH2204">
        <v>46.5601938628893</v>
      </c>
      <c r="AI2204">
        <v>91.255887743727996</v>
      </c>
      <c r="AJ2204">
        <v>97.273913746968006</v>
      </c>
      <c r="AK2204">
        <v>46.949219580313901</v>
      </c>
      <c r="AL2204">
        <v>87.374512286160694</v>
      </c>
      <c r="AM2204">
        <v>90.425811324729693</v>
      </c>
      <c r="AN2204">
        <v>0.99999999530336503</v>
      </c>
    </row>
    <row r="2205" spans="1:40" x14ac:dyDescent="0.25">
      <c r="A2205" t="str">
        <f>"20190312160644814"</f>
        <v>20190312160644814</v>
      </c>
      <c r="B2205" t="str">
        <f>"1552378004807122"</f>
        <v>1552378004807122</v>
      </c>
      <c r="C2205" t="s">
        <v>40</v>
      </c>
      <c r="D2205">
        <v>5.553331</v>
      </c>
      <c r="E2205">
        <v>0.45563359999999897</v>
      </c>
      <c r="F2205" t="s">
        <v>66</v>
      </c>
      <c r="G2205">
        <v>-383.86869999999999</v>
      </c>
      <c r="H2205">
        <v>8.000032E-2</v>
      </c>
      <c r="I2205">
        <v>279.0616</v>
      </c>
      <c r="J2205">
        <v>-335.95420000000001</v>
      </c>
      <c r="K2205">
        <v>1.109024</v>
      </c>
      <c r="L2205">
        <v>284.37700000000001</v>
      </c>
      <c r="M2205">
        <v>-0.99983699999999998</v>
      </c>
      <c r="N2205">
        <v>0</v>
      </c>
      <c r="O2205">
        <v>1.5836840000000001E-2</v>
      </c>
      <c r="P2205">
        <v>-0.99925889999999995</v>
      </c>
      <c r="Q2205">
        <v>3.7616799999999999E-2</v>
      </c>
      <c r="R2205">
        <v>8.1790149999999995E-3</v>
      </c>
      <c r="S2205">
        <v>-3.0073850000000002</v>
      </c>
      <c r="T2205">
        <v>-6.4089660000000007E-2</v>
      </c>
      <c r="U2205">
        <v>-0.3306885</v>
      </c>
      <c r="V2205">
        <v>-7.6676499999999998E-3</v>
      </c>
      <c r="W2205">
        <v>4.6284649999999997E-2</v>
      </c>
      <c r="X2205">
        <v>0.99889890000000003</v>
      </c>
      <c r="Y2205">
        <v>-0.12499730000000001</v>
      </c>
      <c r="Z2205">
        <v>-1.6642600000000001E-3</v>
      </c>
      <c r="AA2205">
        <v>0.99215569999999997</v>
      </c>
      <c r="AB2205">
        <v>44</v>
      </c>
      <c r="AC2205">
        <v>-47.914499999999897</v>
      </c>
      <c r="AD2205">
        <v>-1.0290236800000001</v>
      </c>
      <c r="AE2205">
        <v>-5.3154000000000101</v>
      </c>
      <c r="AF2205">
        <v>-6.0708101382806197</v>
      </c>
      <c r="AG2205">
        <v>-1.0290236800000001</v>
      </c>
      <c r="AH2205">
        <v>47.802528371298102</v>
      </c>
      <c r="AI2205">
        <v>91.223367196740796</v>
      </c>
      <c r="AJ2205">
        <v>97.237686158133599</v>
      </c>
      <c r="AK2205">
        <v>48.197462009506403</v>
      </c>
      <c r="AL2205">
        <v>87.347137230663506</v>
      </c>
      <c r="AM2205">
        <v>90.439799618753099</v>
      </c>
      <c r="AN2205">
        <v>1.00000003705167</v>
      </c>
    </row>
    <row r="2206" spans="1:40" x14ac:dyDescent="0.25">
      <c r="A2206" t="str">
        <f>"20190312160644837"</f>
        <v>20190312160644837</v>
      </c>
      <c r="B2206" t="str">
        <f>"1552378004827618"</f>
        <v>1552378004827618</v>
      </c>
      <c r="C2206" t="s">
        <v>40</v>
      </c>
      <c r="D2206">
        <v>5.5835030000000003</v>
      </c>
      <c r="E2206">
        <v>0.4556847</v>
      </c>
      <c r="F2206" t="s">
        <v>66</v>
      </c>
      <c r="G2206">
        <v>-391.3236</v>
      </c>
      <c r="H2206">
        <v>8.0001069999999994E-2</v>
      </c>
      <c r="I2206">
        <v>278.35419999999999</v>
      </c>
      <c r="J2206">
        <v>-336.38639999999998</v>
      </c>
      <c r="K2206">
        <v>1.109024</v>
      </c>
      <c r="L2206">
        <v>284.38369999999998</v>
      </c>
      <c r="M2206">
        <v>-0.99983940000000004</v>
      </c>
      <c r="N2206">
        <v>0</v>
      </c>
      <c r="O2206">
        <v>1.5675359999999999E-2</v>
      </c>
      <c r="P2206">
        <v>-0.99924860000000004</v>
      </c>
      <c r="Q2206">
        <v>3.7900820000000002E-2</v>
      </c>
      <c r="R2206">
        <v>8.1321139999999993E-3</v>
      </c>
      <c r="S2206">
        <v>-3.0070190000000001</v>
      </c>
      <c r="T2206">
        <v>-5.588448E-2</v>
      </c>
      <c r="U2206">
        <v>-0.32708739999999997</v>
      </c>
      <c r="V2206">
        <v>-7.5532280000000004E-3</v>
      </c>
      <c r="W2206">
        <v>4.6583310000000003E-2</v>
      </c>
      <c r="X2206">
        <v>0.99888589999999999</v>
      </c>
      <c r="Y2206">
        <v>-0.12368369999999999</v>
      </c>
      <c r="Z2206">
        <v>-1.436337E-3</v>
      </c>
      <c r="AA2206">
        <v>0.99232070000000006</v>
      </c>
      <c r="AB2206">
        <v>44</v>
      </c>
      <c r="AC2206">
        <v>-54.937199999999997</v>
      </c>
      <c r="AD2206">
        <v>-1.02902293</v>
      </c>
      <c r="AE2206">
        <v>-6.0294999999999801</v>
      </c>
      <c r="AF2206">
        <v>-6.8875642873663603</v>
      </c>
      <c r="AG2206">
        <v>-1.02902293</v>
      </c>
      <c r="AH2206">
        <v>54.816928011735101</v>
      </c>
      <c r="AI2206">
        <v>91.067041805217002</v>
      </c>
      <c r="AJ2206">
        <v>97.161494697825205</v>
      </c>
      <c r="AK2206">
        <v>55.257515567086699</v>
      </c>
      <c r="AL2206">
        <v>87.330006827084205</v>
      </c>
      <c r="AM2206">
        <v>90.433242513511303</v>
      </c>
      <c r="AN2206">
        <v>1.0000000486212901</v>
      </c>
    </row>
    <row r="2207" spans="1:40" x14ac:dyDescent="0.25">
      <c r="A2207" t="str">
        <f>"20190312160644851"</f>
        <v>20190312160644851</v>
      </c>
      <c r="B2207" t="str">
        <f>"1552378004847139"</f>
        <v>1552378004847139</v>
      </c>
      <c r="C2207" t="s">
        <v>40</v>
      </c>
      <c r="D2207">
        <v>5.5248470000000003</v>
      </c>
      <c r="E2207">
        <v>0.45578679999999999</v>
      </c>
      <c r="F2207" t="s">
        <v>77</v>
      </c>
      <c r="G2207">
        <v>-400.2398</v>
      </c>
      <c r="H2207">
        <v>8.0001899999999904E-2</v>
      </c>
      <c r="I2207">
        <v>277.44009999999997</v>
      </c>
      <c r="J2207">
        <v>-336.66500000000002</v>
      </c>
      <c r="K2207">
        <v>1.1090230000000001</v>
      </c>
      <c r="L2207">
        <v>284.38799999999998</v>
      </c>
      <c r="M2207">
        <v>-0.99984099999999998</v>
      </c>
      <c r="N2207">
        <v>0</v>
      </c>
      <c r="O2207">
        <v>1.5570830000000001E-2</v>
      </c>
      <c r="P2207">
        <v>-0.99925039999999998</v>
      </c>
      <c r="Q2207">
        <v>3.7859990000000003E-2</v>
      </c>
      <c r="R2207">
        <v>8.1003769999999902E-3</v>
      </c>
      <c r="S2207">
        <v>-3.0067750000000002</v>
      </c>
      <c r="T2207">
        <v>-4.8455360000000003E-2</v>
      </c>
      <c r="U2207">
        <v>-0.32696530000000001</v>
      </c>
      <c r="V2207">
        <v>-7.4803650000000001E-3</v>
      </c>
      <c r="W2207">
        <v>4.6551870000000002E-2</v>
      </c>
      <c r="X2207">
        <v>0.99888779999999999</v>
      </c>
      <c r="Y2207">
        <v>-0.12355480000000001</v>
      </c>
      <c r="Z2207">
        <v>-1.242808E-3</v>
      </c>
      <c r="AA2207">
        <v>0.99233700000000002</v>
      </c>
      <c r="AB2207">
        <v>44</v>
      </c>
      <c r="AC2207">
        <v>-63.574799999999897</v>
      </c>
      <c r="AD2207">
        <v>-1.02902109999999</v>
      </c>
      <c r="AE2207">
        <v>-6.9478999999999997</v>
      </c>
      <c r="AF2207">
        <v>-7.9349530969275399</v>
      </c>
      <c r="AG2207">
        <v>-1.02902109999999</v>
      </c>
      <c r="AH2207">
        <v>63.442478530430897</v>
      </c>
      <c r="AI2207">
        <v>90.922058917933001</v>
      </c>
      <c r="AJ2207">
        <v>97.129145208617103</v>
      </c>
      <c r="AK2207">
        <v>63.9450580354641</v>
      </c>
      <c r="AL2207">
        <v>87.331809858551594</v>
      </c>
      <c r="AM2207">
        <v>90.429062535423895</v>
      </c>
      <c r="AN2207">
        <v>0.99999993472493298</v>
      </c>
    </row>
    <row r="2208" spans="1:40" x14ac:dyDescent="0.25">
      <c r="A2208" t="str">
        <f>"20190312160644865"</f>
        <v>20190312160644865</v>
      </c>
      <c r="B2208" t="str">
        <f>"1552378004856898"</f>
        <v>1552378004856898</v>
      </c>
      <c r="C2208" t="s">
        <v>40</v>
      </c>
      <c r="D2208">
        <v>5.6805289999999999</v>
      </c>
      <c r="E2208">
        <v>0.4560015</v>
      </c>
      <c r="F2208" t="s">
        <v>77</v>
      </c>
      <c r="G2208">
        <v>-404.97980000000001</v>
      </c>
      <c r="H2208">
        <v>8.0001119999999995E-2</v>
      </c>
      <c r="I2208">
        <v>276.9742</v>
      </c>
      <c r="J2208">
        <v>-336.9359</v>
      </c>
      <c r="K2208">
        <v>1.1090199999999999</v>
      </c>
      <c r="L2208">
        <v>284.3922</v>
      </c>
      <c r="M2208">
        <v>-0.99984249999999997</v>
      </c>
      <c r="N2208">
        <v>0</v>
      </c>
      <c r="O2208">
        <v>1.5469399999999999E-2</v>
      </c>
      <c r="P2208">
        <v>-0.99924639999999998</v>
      </c>
      <c r="Q2208">
        <v>3.8011339999999998E-2</v>
      </c>
      <c r="R2208">
        <v>7.8821910000000002E-3</v>
      </c>
      <c r="S2208">
        <v>-3.006653</v>
      </c>
      <c r="T2208">
        <v>-4.5289040000000003E-2</v>
      </c>
      <c r="U2208">
        <v>-0.32629390000000003</v>
      </c>
      <c r="V2208">
        <v>-7.5970029999999997E-3</v>
      </c>
      <c r="W2208">
        <v>4.6711910000000002E-2</v>
      </c>
      <c r="X2208">
        <v>0.99887950000000003</v>
      </c>
      <c r="Y2208">
        <v>-0.1232417</v>
      </c>
      <c r="Z2208">
        <v>-1.1577930000000001E-3</v>
      </c>
      <c r="AA2208">
        <v>0.99237600000000004</v>
      </c>
      <c r="AB2208">
        <v>44</v>
      </c>
      <c r="AC2208">
        <v>-68.043899999999994</v>
      </c>
      <c r="AD2208">
        <v>-1.02901888</v>
      </c>
      <c r="AE2208">
        <v>-7.4180000000000001</v>
      </c>
      <c r="AF2208">
        <v>-8.46783658511659</v>
      </c>
      <c r="AG2208">
        <v>-1.02901888</v>
      </c>
      <c r="AH2208">
        <v>67.905653320019795</v>
      </c>
      <c r="AI2208">
        <v>90.861502688742505</v>
      </c>
      <c r="AJ2208">
        <v>97.108092775402</v>
      </c>
      <c r="AK2208">
        <v>68.439322681528296</v>
      </c>
      <c r="AL2208">
        <v>87.322630393347495</v>
      </c>
      <c r="AM2208">
        <v>90.435756081121198</v>
      </c>
      <c r="AN2208">
        <v>0.99999998625534003</v>
      </c>
    </row>
    <row r="2209" spans="1:40" x14ac:dyDescent="0.25">
      <c r="A2209" t="str">
        <f>"20190312160644882"</f>
        <v>20190312160644882</v>
      </c>
      <c r="B2209" t="str">
        <f>"1552378004877395"</f>
        <v>1552378004877395</v>
      </c>
      <c r="C2209" t="s">
        <v>40</v>
      </c>
      <c r="D2209">
        <v>5.6994179999999997</v>
      </c>
      <c r="E2209">
        <v>0.4569918</v>
      </c>
      <c r="F2209" t="s">
        <v>77</v>
      </c>
      <c r="G2209">
        <v>-415.80930000000001</v>
      </c>
      <c r="H2209" s="1">
        <v>4.9264839999999997E-6</v>
      </c>
      <c r="I2209">
        <v>275.8639</v>
      </c>
      <c r="J2209">
        <v>-337.26569999999998</v>
      </c>
      <c r="K2209">
        <v>1.1090199999999999</v>
      </c>
      <c r="L2209">
        <v>284.3972</v>
      </c>
      <c r="M2209">
        <v>-0.99984430000000002</v>
      </c>
      <c r="N2209">
        <v>0</v>
      </c>
      <c r="O2209">
        <v>1.5345900000000001E-2</v>
      </c>
      <c r="P2209">
        <v>-0.99925730000000001</v>
      </c>
      <c r="Q2209">
        <v>3.770722E-2</v>
      </c>
      <c r="R2209">
        <v>7.9619540000000003E-3</v>
      </c>
      <c r="S2209">
        <v>-3.0064389999999999</v>
      </c>
      <c r="T2209">
        <v>-4.2272690000000002E-2</v>
      </c>
      <c r="U2209">
        <v>-0.32507320000000001</v>
      </c>
      <c r="V2209">
        <v>-7.3941980000000003E-3</v>
      </c>
      <c r="W2209">
        <v>4.6418969999999997E-2</v>
      </c>
      <c r="X2209">
        <v>0.99889470000000002</v>
      </c>
      <c r="Y2209">
        <v>-0.12273050000000001</v>
      </c>
      <c r="Z2209">
        <v>-1.075473E-3</v>
      </c>
      <c r="AA2209">
        <v>0.99243939999999997</v>
      </c>
      <c r="AB2209">
        <v>44</v>
      </c>
      <c r="AC2209">
        <v>-78.543599999999998</v>
      </c>
      <c r="AD2209">
        <v>-1.109015073516</v>
      </c>
      <c r="AE2209">
        <v>-8.5332999999999899</v>
      </c>
      <c r="AF2209">
        <v>-9.7357447029955804</v>
      </c>
      <c r="AG2209">
        <v>-1.109015073516</v>
      </c>
      <c r="AH2209">
        <v>78.387948582049901</v>
      </c>
      <c r="AI2209">
        <v>90.804374348214097</v>
      </c>
      <c r="AJ2209">
        <v>97.079852748306806</v>
      </c>
      <c r="AK2209">
        <v>78.998007077756697</v>
      </c>
      <c r="AL2209">
        <v>87.339432904622896</v>
      </c>
      <c r="AM2209">
        <v>90.424117377360503</v>
      </c>
      <c r="AN2209">
        <v>1.0000000083139999</v>
      </c>
    </row>
    <row r="2210" spans="1:40" x14ac:dyDescent="0.25">
      <c r="A2210" t="str">
        <f>"20190312160644895"</f>
        <v>20190312160644895</v>
      </c>
      <c r="B2210" t="str">
        <f>"1552378004887154"</f>
        <v>1552378004887154</v>
      </c>
      <c r="C2210" t="s">
        <v>40</v>
      </c>
      <c r="D2210">
        <v>5.682137</v>
      </c>
      <c r="E2210">
        <v>0.4575862</v>
      </c>
      <c r="F2210" t="s">
        <v>77</v>
      </c>
      <c r="G2210">
        <v>-423.94670000000002</v>
      </c>
      <c r="H2210" s="1">
        <v>5.0669319999999998E-6</v>
      </c>
      <c r="I2210">
        <v>275.25369999999998</v>
      </c>
      <c r="J2210">
        <v>-337.53590000000003</v>
      </c>
      <c r="K2210">
        <v>1.1090199999999999</v>
      </c>
      <c r="L2210">
        <v>284.40120000000002</v>
      </c>
      <c r="M2210">
        <v>-0.99984569999999995</v>
      </c>
      <c r="N2210">
        <v>0</v>
      </c>
      <c r="O2210">
        <v>1.524477E-2</v>
      </c>
      <c r="P2210">
        <v>-0.99925799999999998</v>
      </c>
      <c r="Q2210">
        <v>3.7651829999999997E-2</v>
      </c>
      <c r="R2210">
        <v>8.1075799999999996E-3</v>
      </c>
      <c r="S2210">
        <v>-3.0062259999999998</v>
      </c>
      <c r="T2210">
        <v>-3.8462280000000001E-2</v>
      </c>
      <c r="U2210">
        <v>-0.31710820000000001</v>
      </c>
      <c r="V2210">
        <v>-7.1474850000000003E-3</v>
      </c>
      <c r="W2210">
        <v>4.6372299999999998E-2</v>
      </c>
      <c r="X2210">
        <v>0.99889870000000003</v>
      </c>
      <c r="Y2210">
        <v>-0.1200399</v>
      </c>
      <c r="Z2210">
        <v>-9.6029090000000002E-4</v>
      </c>
      <c r="AA2210">
        <v>0.9927686</v>
      </c>
      <c r="AB2210">
        <v>44</v>
      </c>
      <c r="AC2210">
        <v>-86.410799999999995</v>
      </c>
      <c r="AD2210">
        <v>-1.1090149330679999</v>
      </c>
      <c r="AE2210">
        <v>-9.1475000000000293</v>
      </c>
      <c r="AF2210">
        <v>-10.462095661988201</v>
      </c>
      <c r="AG2210">
        <v>-1.1090149330679999</v>
      </c>
      <c r="AH2210">
        <v>86.247251781744794</v>
      </c>
      <c r="AI2210">
        <v>90.731339837887504</v>
      </c>
      <c r="AJ2210">
        <v>96.916388282868894</v>
      </c>
      <c r="AK2210">
        <v>86.886557071079906</v>
      </c>
      <c r="AL2210">
        <v>87.342109878304598</v>
      </c>
      <c r="AM2210">
        <v>90.409965230504596</v>
      </c>
      <c r="AN2210">
        <v>1.0000000448054001</v>
      </c>
    </row>
    <row r="2211" spans="1:40" x14ac:dyDescent="0.25">
      <c r="A2211" t="str">
        <f>"20190312160644915"</f>
        <v>20190312160644915</v>
      </c>
      <c r="B2211" t="str">
        <f>"1552378004907654"</f>
        <v>1552378004907654</v>
      </c>
      <c r="C2211" t="s">
        <v>40</v>
      </c>
      <c r="D2211">
        <v>5.7456690000000004</v>
      </c>
      <c r="E2211">
        <v>0.45872940000000001</v>
      </c>
      <c r="F2211" t="s">
        <v>77</v>
      </c>
      <c r="G2211">
        <v>-428.5684</v>
      </c>
      <c r="H2211" s="1">
        <v>4.1475020000000002E-6</v>
      </c>
      <c r="I2211">
        <v>274.95569999999998</v>
      </c>
      <c r="J2211">
        <v>-337.92329999999998</v>
      </c>
      <c r="K2211">
        <v>1.1090199999999999</v>
      </c>
      <c r="L2211">
        <v>284.40710000000001</v>
      </c>
      <c r="M2211">
        <v>-0.99984779999999995</v>
      </c>
      <c r="N2211">
        <v>0</v>
      </c>
      <c r="O2211">
        <v>1.5099990000000001E-2</v>
      </c>
      <c r="P2211">
        <v>-0.99926479999999995</v>
      </c>
      <c r="Q2211">
        <v>3.7426420000000002E-2</v>
      </c>
      <c r="R2211">
        <v>8.3196910000000006E-3</v>
      </c>
      <c r="S2211">
        <v>-3.0061650000000002</v>
      </c>
      <c r="T2211">
        <v>-3.6623000000000003E-2</v>
      </c>
      <c r="U2211">
        <v>-0.31192019999999998</v>
      </c>
      <c r="V2211">
        <v>-6.7907940000000002E-3</v>
      </c>
      <c r="W2211">
        <v>4.6160329999999999E-2</v>
      </c>
      <c r="X2211">
        <v>0.99891099999999999</v>
      </c>
      <c r="Y2211">
        <v>-0.1182045</v>
      </c>
      <c r="Z2211">
        <v>-9.0156290000000005E-4</v>
      </c>
      <c r="AA2211">
        <v>0.99298889999999995</v>
      </c>
      <c r="AB2211">
        <v>44</v>
      </c>
      <c r="AC2211">
        <v>-90.645099999999999</v>
      </c>
      <c r="AD2211">
        <v>-1.1090158524980001</v>
      </c>
      <c r="AE2211">
        <v>-9.4514000000000298</v>
      </c>
      <c r="AF2211">
        <v>-10.8175128843596</v>
      </c>
      <c r="AG2211">
        <v>-1.1090158524980001</v>
      </c>
      <c r="AH2211">
        <v>90.478645242441004</v>
      </c>
      <c r="AI2211">
        <v>90.697285870621002</v>
      </c>
      <c r="AJ2211">
        <v>96.817848713859803</v>
      </c>
      <c r="AK2211">
        <v>91.129763228441902</v>
      </c>
      <c r="AL2211">
        <v>87.354267866812407</v>
      </c>
      <c r="AM2211">
        <v>90.389502009698006</v>
      </c>
      <c r="AN2211">
        <v>1.0000000384349199</v>
      </c>
    </row>
    <row r="2212" spans="1:40" x14ac:dyDescent="0.25">
      <c r="A2212" t="str">
        <f>"20190312160644927"</f>
        <v>20190312160644927</v>
      </c>
      <c r="B2212" t="str">
        <f>"1552378004917410"</f>
        <v>1552378004917410</v>
      </c>
      <c r="C2212" t="s">
        <v>40</v>
      </c>
      <c r="D2212">
        <v>5.6319439999999998</v>
      </c>
      <c r="E2212">
        <v>0.4591962</v>
      </c>
      <c r="F2212" t="s">
        <v>77</v>
      </c>
      <c r="G2212">
        <v>-429.98610000000002</v>
      </c>
      <c r="H2212">
        <v>7.8024280000000001E-2</v>
      </c>
      <c r="I2212">
        <v>275.14760000000001</v>
      </c>
      <c r="J2212">
        <v>-338.1662</v>
      </c>
      <c r="K2212">
        <v>1.10902099999999</v>
      </c>
      <c r="L2212">
        <v>284.41070000000002</v>
      </c>
      <c r="M2212">
        <v>-0.99984899999999999</v>
      </c>
      <c r="N2212">
        <v>0</v>
      </c>
      <c r="O2212">
        <v>1.500947E-2</v>
      </c>
      <c r="P2212">
        <v>-0.99927010000000005</v>
      </c>
      <c r="Q2212">
        <v>3.7292930000000002E-2</v>
      </c>
      <c r="R2212">
        <v>8.2915850000000006E-3</v>
      </c>
      <c r="S2212">
        <v>-3.0059809999999998</v>
      </c>
      <c r="T2212">
        <v>-3.3663510000000001E-2</v>
      </c>
      <c r="U2212">
        <v>-0.30233759999999998</v>
      </c>
      <c r="V2212">
        <v>-6.7284349999999996E-3</v>
      </c>
      <c r="W2212">
        <v>4.6034579999999999E-2</v>
      </c>
      <c r="X2212">
        <v>0.99891719999999895</v>
      </c>
      <c r="Y2212">
        <v>-0.1149891</v>
      </c>
      <c r="Z2212">
        <v>-8.0992610000000002E-4</v>
      </c>
      <c r="AA2212">
        <v>0.99336639999999998</v>
      </c>
      <c r="AB2212">
        <v>44</v>
      </c>
      <c r="AC2212">
        <v>-91.819900000000004</v>
      </c>
      <c r="AD2212">
        <v>-1.0309967200000001</v>
      </c>
      <c r="AE2212">
        <v>-9.2630999999999997</v>
      </c>
      <c r="AF2212">
        <v>-10.6389495030368</v>
      </c>
      <c r="AG2212">
        <v>-1.0309967200000001</v>
      </c>
      <c r="AH2212">
        <v>91.659076476629707</v>
      </c>
      <c r="AI2212">
        <v>90.640148001618499</v>
      </c>
      <c r="AJ2212">
        <v>96.620744968408502</v>
      </c>
      <c r="AK2212">
        <v>92.280206443816894</v>
      </c>
      <c r="AL2212">
        <v>87.361480412162706</v>
      </c>
      <c r="AM2212">
        <v>90.385922975569599</v>
      </c>
      <c r="AN2212">
        <v>1.0000000134245799</v>
      </c>
    </row>
    <row r="2213" spans="1:40" x14ac:dyDescent="0.25">
      <c r="A2213" t="str">
        <f>"20190312160644940"</f>
        <v>20190312160644940</v>
      </c>
      <c r="B2213" t="str">
        <f>"1552378004927171"</f>
        <v>1552378004927171</v>
      </c>
      <c r="C2213" t="s">
        <v>40</v>
      </c>
      <c r="D2213">
        <v>5.6543809999999999</v>
      </c>
      <c r="E2213">
        <v>0.4591962</v>
      </c>
      <c r="F2213" t="s">
        <v>77</v>
      </c>
      <c r="G2213">
        <v>-433.44290000000001</v>
      </c>
      <c r="H2213">
        <v>8.0001310000000006E-2</v>
      </c>
      <c r="I2213">
        <v>274.94369999999998</v>
      </c>
      <c r="J2213">
        <v>-338.42590000000001</v>
      </c>
      <c r="K2213">
        <v>1.10902099999999</v>
      </c>
      <c r="L2213">
        <v>284.41449999999998</v>
      </c>
      <c r="M2213">
        <v>-0.99985049999999998</v>
      </c>
      <c r="N2213">
        <v>0</v>
      </c>
      <c r="O2213">
        <v>1.491257E-2</v>
      </c>
      <c r="P2213">
        <v>-0.99927410000000005</v>
      </c>
      <c r="Q2213">
        <v>3.7189380000000001E-2</v>
      </c>
      <c r="R2213">
        <v>8.2733579999999998E-3</v>
      </c>
      <c r="S2213">
        <v>-3.00589</v>
      </c>
      <c r="T2213">
        <v>-3.246462E-2</v>
      </c>
      <c r="U2213">
        <v>-0.29867549999999998</v>
      </c>
      <c r="V2213">
        <v>-6.6498719999999898E-3</v>
      </c>
      <c r="W2213">
        <v>4.5939800000000003E-2</v>
      </c>
      <c r="X2213">
        <v>0.99892199999999998</v>
      </c>
      <c r="Y2213">
        <v>-0.1136982</v>
      </c>
      <c r="Z2213">
        <v>-7.7315550000000004E-4</v>
      </c>
      <c r="AA2213">
        <v>0.99351500000000004</v>
      </c>
      <c r="AB2213">
        <v>44</v>
      </c>
      <c r="AC2213">
        <v>-95.016999999999996</v>
      </c>
      <c r="AD2213">
        <v>-1.0290196899999899</v>
      </c>
      <c r="AE2213">
        <v>-9.4707999999999899</v>
      </c>
      <c r="AF2213">
        <v>-10.8854845596299</v>
      </c>
      <c r="AG2213">
        <v>-1.0290196899999899</v>
      </c>
      <c r="AH2213">
        <v>94.854178470690897</v>
      </c>
      <c r="AI2213">
        <v>90.617492795986294</v>
      </c>
      <c r="AJ2213">
        <v>96.546635877630393</v>
      </c>
      <c r="AK2213">
        <v>95.482290656278394</v>
      </c>
      <c r="AL2213">
        <v>87.366916421971794</v>
      </c>
      <c r="AM2213">
        <v>90.381415137258898</v>
      </c>
      <c r="AN2213">
        <v>0.99999992405282501</v>
      </c>
    </row>
    <row r="2214" spans="1:40" x14ac:dyDescent="0.25">
      <c r="A2214" t="str">
        <f>"20190312160644951"</f>
        <v>20190312160644951</v>
      </c>
      <c r="B2214" t="str">
        <f>"1552378004947667"</f>
        <v>1552378004947667</v>
      </c>
      <c r="C2214" t="s">
        <v>40</v>
      </c>
      <c r="D2214">
        <v>5.6786029999999998</v>
      </c>
      <c r="E2214">
        <v>0.4815218</v>
      </c>
      <c r="F2214" t="s">
        <v>77</v>
      </c>
      <c r="G2214">
        <v>-432.72680000000003</v>
      </c>
      <c r="H2214">
        <v>8.0001340000000004E-2</v>
      </c>
      <c r="I2214">
        <v>275.04250000000002</v>
      </c>
      <c r="J2214">
        <v>-338.65390000000002</v>
      </c>
      <c r="K2214">
        <v>1.109019</v>
      </c>
      <c r="L2214">
        <v>284.41789999999997</v>
      </c>
      <c r="M2214">
        <v>-0.99985179999999996</v>
      </c>
      <c r="N2214">
        <v>0</v>
      </c>
      <c r="O2214">
        <v>1.4827E-2</v>
      </c>
      <c r="P2214">
        <v>-0.9992818</v>
      </c>
      <c r="Q2214">
        <v>3.6981859999999998E-2</v>
      </c>
      <c r="R2214">
        <v>8.3045519999999998E-3</v>
      </c>
      <c r="S2214">
        <v>-3.0058590000000001</v>
      </c>
      <c r="T2214">
        <v>-3.2800199999999897E-2</v>
      </c>
      <c r="U2214">
        <v>-0.29873660000000002</v>
      </c>
      <c r="V2214">
        <v>-6.5327569999999897E-3</v>
      </c>
      <c r="W2214">
        <v>4.5739729999999999E-2</v>
      </c>
      <c r="X2214">
        <v>0.99893200000000004</v>
      </c>
      <c r="Y2214">
        <v>-0.113634</v>
      </c>
      <c r="Z2214">
        <v>-7.7987270000000005E-4</v>
      </c>
      <c r="AA2214">
        <v>0.99352240000000003</v>
      </c>
      <c r="AB2214">
        <v>44</v>
      </c>
      <c r="AC2214">
        <v>-94.072900000000004</v>
      </c>
      <c r="AD2214">
        <v>-1.0290176600000001</v>
      </c>
      <c r="AE2214">
        <v>-9.3753999999999493</v>
      </c>
      <c r="AF2214">
        <v>-10.7679658628719</v>
      </c>
      <c r="AG2214">
        <v>-1.0290176600000001</v>
      </c>
      <c r="AH2214">
        <v>93.912417562039096</v>
      </c>
      <c r="AI2214">
        <v>90.6236904430165</v>
      </c>
      <c r="AJ2214">
        <v>96.540950131543596</v>
      </c>
      <c r="AK2214">
        <v>94.533328189138501</v>
      </c>
      <c r="AL2214">
        <v>87.378391773284704</v>
      </c>
      <c r="AM2214">
        <v>90.374694242232593</v>
      </c>
      <c r="AN2214">
        <v>0.99999997021924603</v>
      </c>
    </row>
    <row r="2215" spans="1:40" x14ac:dyDescent="0.25">
      <c r="A2215" t="str">
        <f>"20190312160644970"</f>
        <v>20190312160644970</v>
      </c>
      <c r="B2215" t="str">
        <f>"1552378004957427"</f>
        <v>1552378004957427</v>
      </c>
      <c r="C2215" t="s">
        <v>40</v>
      </c>
      <c r="D2215">
        <v>6.0362019999999896</v>
      </c>
      <c r="E2215">
        <v>0.47767029999999999</v>
      </c>
      <c r="F2215" t="s">
        <v>66</v>
      </c>
      <c r="G2215">
        <v>-362.87290000000002</v>
      </c>
      <c r="H2215" s="1">
        <v>-7.9826919999999906E-9</v>
      </c>
      <c r="I2215">
        <v>283.4579</v>
      </c>
      <c r="J2215">
        <v>-339.00699999999898</v>
      </c>
      <c r="K2215">
        <v>1.1090169999999999</v>
      </c>
      <c r="L2215">
        <v>284.423</v>
      </c>
      <c r="M2215">
        <v>-0.9998534</v>
      </c>
      <c r="N2215">
        <v>0</v>
      </c>
      <c r="O2215">
        <v>1.469558E-2</v>
      </c>
      <c r="P2215">
        <v>-0.99928039999999996</v>
      </c>
      <c r="Q2215">
        <v>3.702515E-2</v>
      </c>
      <c r="R2215">
        <v>8.2500609999999995E-3</v>
      </c>
      <c r="S2215">
        <v>-3.0082399999999998</v>
      </c>
      <c r="T2215">
        <v>-0.1377515</v>
      </c>
      <c r="U2215">
        <v>-0.119232199999999</v>
      </c>
      <c r="V2215">
        <v>-6.456051E-3</v>
      </c>
      <c r="W2215">
        <v>4.5794509999999997E-2</v>
      </c>
      <c r="X2215">
        <v>0.99892999999999998</v>
      </c>
      <c r="Y2215">
        <v>-5.4212339999999998E-2</v>
      </c>
      <c r="Z2215">
        <v>-1.9124649999999999E-3</v>
      </c>
      <c r="AA2215">
        <v>0.99852759999999996</v>
      </c>
      <c r="AB2215">
        <v>44</v>
      </c>
      <c r="AC2215">
        <v>-23.8659</v>
      </c>
      <c r="AD2215">
        <v>-1.10901700798269</v>
      </c>
      <c r="AE2215">
        <v>-0.96510000000000595</v>
      </c>
      <c r="AF2215">
        <v>-1.31290218728741</v>
      </c>
      <c r="AG2215">
        <v>-1.10901700798269</v>
      </c>
      <c r="AH2215">
        <v>23.797835675574099</v>
      </c>
      <c r="AI2215">
        <v>92.664098814358994</v>
      </c>
      <c r="AJ2215">
        <v>93.157748332033805</v>
      </c>
      <c r="AK2215">
        <v>23.859811686578901</v>
      </c>
      <c r="AL2215">
        <v>87.375249847206305</v>
      </c>
      <c r="AM2215">
        <v>90.3702955406836</v>
      </c>
      <c r="AN2215">
        <v>0.99999998132032697</v>
      </c>
    </row>
    <row r="2216" spans="1:40" x14ac:dyDescent="0.25">
      <c r="A2216" t="str">
        <f>"20190312160644981"</f>
        <v>20190312160644981</v>
      </c>
      <c r="B2216" t="str">
        <f>"1552378004976947"</f>
        <v>1552378004976947</v>
      </c>
      <c r="C2216" t="s">
        <v>40</v>
      </c>
      <c r="D2216">
        <v>5.750515</v>
      </c>
      <c r="E2216">
        <v>0.47708899999999999</v>
      </c>
      <c r="F2216" t="s">
        <v>75</v>
      </c>
      <c r="G2216">
        <v>-511.95920000000001</v>
      </c>
      <c r="H2216">
        <v>1.6775949999999999</v>
      </c>
      <c r="I2216">
        <v>275.65629999999999</v>
      </c>
      <c r="J2216">
        <v>-339.24259999999998</v>
      </c>
      <c r="K2216">
        <v>1.109019</v>
      </c>
      <c r="L2216">
        <v>284.42649999999998</v>
      </c>
      <c r="M2216">
        <v>-0.99985469999999999</v>
      </c>
      <c r="N2216">
        <v>0</v>
      </c>
      <c r="O2216">
        <v>1.460768E-2</v>
      </c>
      <c r="P2216">
        <v>-0.99928240000000002</v>
      </c>
      <c r="Q2216">
        <v>3.6933430000000003E-2</v>
      </c>
      <c r="R2216">
        <v>8.4082849999999997E-3</v>
      </c>
      <c r="S2216">
        <v>-3.0030519999999998</v>
      </c>
      <c r="T2216">
        <v>9.8738669999999997E-3</v>
      </c>
      <c r="U2216">
        <v>-0.15222169999999999</v>
      </c>
      <c r="V2216">
        <v>-6.2102900000000003E-3</v>
      </c>
      <c r="W2216">
        <v>4.5710670000000002E-2</v>
      </c>
      <c r="X2216">
        <v>0.99893540000000003</v>
      </c>
      <c r="Y2216">
        <v>-6.5207680000000004E-2</v>
      </c>
      <c r="Z2216">
        <v>1.5513389999999999E-4</v>
      </c>
      <c r="AA2216">
        <v>0.99787170000000003</v>
      </c>
      <c r="AB2216">
        <v>44</v>
      </c>
      <c r="AC2216">
        <v>-172.7166</v>
      </c>
      <c r="AD2216">
        <v>0.56857599999999997</v>
      </c>
      <c r="AE2216">
        <v>-8.7701999999999796</v>
      </c>
      <c r="AF2216">
        <v>-11.2922283168137</v>
      </c>
      <c r="AG2216">
        <v>0.56857599999999997</v>
      </c>
      <c r="AH2216">
        <v>172.56818755607301</v>
      </c>
      <c r="AI2216">
        <v>89.811625968234196</v>
      </c>
      <c r="AJ2216">
        <v>93.743887773590203</v>
      </c>
      <c r="AK2216">
        <v>172.93818853976401</v>
      </c>
      <c r="AL2216">
        <v>87.380058566091193</v>
      </c>
      <c r="AM2216">
        <v>90.356198030896493</v>
      </c>
      <c r="AN2216">
        <v>0.99999998321344596</v>
      </c>
    </row>
    <row r="2217" spans="1:40" x14ac:dyDescent="0.25">
      <c r="A2217" t="str">
        <f>"20190312160645027"</f>
        <v>20190312160645027</v>
      </c>
      <c r="B2217" t="str">
        <f>"1552378005017468"</f>
        <v>1552378005017468</v>
      </c>
      <c r="C2217" t="s">
        <v>40</v>
      </c>
      <c r="D2217">
        <v>5.760942</v>
      </c>
      <c r="E2217">
        <v>0.4770587</v>
      </c>
      <c r="F2217" t="s">
        <v>75</v>
      </c>
      <c r="G2217">
        <v>-512.82569999999998</v>
      </c>
      <c r="H2217">
        <v>1.5305789999999999</v>
      </c>
      <c r="I2217">
        <v>275.39879999999999</v>
      </c>
      <c r="J2217">
        <v>-340.14780000000002</v>
      </c>
      <c r="K2217">
        <v>1.1090169999999999</v>
      </c>
      <c r="L2217">
        <v>284.43939999999998</v>
      </c>
      <c r="M2217">
        <v>-0.99985950000000001</v>
      </c>
      <c r="N2217">
        <v>0</v>
      </c>
      <c r="O2217">
        <v>1.426964E-2</v>
      </c>
      <c r="P2217">
        <v>-0.99928890000000004</v>
      </c>
      <c r="Q2217">
        <v>3.683152E-2</v>
      </c>
      <c r="R2217">
        <v>8.0995890000000008E-3</v>
      </c>
      <c r="S2217">
        <v>-3.0032040000000002</v>
      </c>
      <c r="T2217">
        <v>7.2948930000000002E-3</v>
      </c>
      <c r="U2217">
        <v>-0.15618899999999999</v>
      </c>
      <c r="V2217">
        <v>-6.1812550000000001E-3</v>
      </c>
      <c r="W2217">
        <v>4.5638270000000002E-2</v>
      </c>
      <c r="X2217">
        <v>0.99893889999999996</v>
      </c>
      <c r="Y2217">
        <v>-6.6182660000000004E-2</v>
      </c>
      <c r="Z2217">
        <v>1.1496730000000001E-4</v>
      </c>
      <c r="AA2217">
        <v>0.99780749999999996</v>
      </c>
      <c r="AB2217">
        <v>44</v>
      </c>
      <c r="AC2217">
        <v>-172.677899999999</v>
      </c>
      <c r="AD2217">
        <v>0.42156199999999999</v>
      </c>
      <c r="AE2217">
        <v>-9.04059999999998</v>
      </c>
      <c r="AF2217">
        <v>-11.503757852181399</v>
      </c>
      <c r="AG2217">
        <v>0.42156199999999999</v>
      </c>
      <c r="AH2217">
        <v>172.530280606557</v>
      </c>
      <c r="AI2217">
        <v>89.860313431592104</v>
      </c>
      <c r="AJ2217">
        <v>93.814649833044896</v>
      </c>
      <c r="AK2217">
        <v>172.91388575073699</v>
      </c>
      <c r="AL2217">
        <v>87.384211139303204</v>
      </c>
      <c r="AM2217">
        <v>90.354531496912401</v>
      </c>
      <c r="AN2217">
        <v>0.999999992767588</v>
      </c>
    </row>
    <row r="2218" spans="1:40" x14ac:dyDescent="0.25">
      <c r="A2218" t="str">
        <f>"20190312160645048"</f>
        <v>20190312160645048</v>
      </c>
      <c r="B2218" t="str">
        <f>"1552378005036990"</f>
        <v>1552378005036990</v>
      </c>
      <c r="C2218" t="s">
        <v>40</v>
      </c>
      <c r="D2218">
        <v>5.6768539999999996</v>
      </c>
      <c r="E2218">
        <v>0.48035030000000001</v>
      </c>
      <c r="F2218" t="s">
        <v>75</v>
      </c>
      <c r="G2218">
        <v>-512.82560000000001</v>
      </c>
      <c r="H2218">
        <v>1.3789070000000001</v>
      </c>
      <c r="I2218">
        <v>275.3974</v>
      </c>
      <c r="J2218">
        <v>-340.57119999999998</v>
      </c>
      <c r="K2218">
        <v>1.109013</v>
      </c>
      <c r="L2218">
        <v>284.44529999999997</v>
      </c>
      <c r="M2218">
        <v>-0.99986140000000001</v>
      </c>
      <c r="N2218">
        <v>0</v>
      </c>
      <c r="O2218">
        <v>1.411192E-2</v>
      </c>
      <c r="P2218">
        <v>-0.99929109999999999</v>
      </c>
      <c r="Q2218">
        <v>3.6790780000000002E-2</v>
      </c>
      <c r="R2218">
        <v>7.9886920000000004E-3</v>
      </c>
      <c r="S2218">
        <v>-3.0032040000000002</v>
      </c>
      <c r="T2218">
        <v>4.6952959999999998E-3</v>
      </c>
      <c r="U2218">
        <v>-0.15725710000000001</v>
      </c>
      <c r="V2218">
        <v>-6.1350579999999997E-3</v>
      </c>
      <c r="W2218">
        <v>4.561159E-2</v>
      </c>
      <c r="X2218">
        <v>0.99894039999999995</v>
      </c>
      <c r="Y2218">
        <v>-6.637933E-2</v>
      </c>
      <c r="Z2218" s="1">
        <v>7.390435E-5</v>
      </c>
      <c r="AA2218">
        <v>0.99779439999999997</v>
      </c>
      <c r="AB2218">
        <v>45</v>
      </c>
      <c r="AC2218">
        <v>-172.2544</v>
      </c>
      <c r="AD2218">
        <v>0.26989399999999902</v>
      </c>
      <c r="AE2218">
        <v>-9.0478999999999701</v>
      </c>
      <c r="AF2218">
        <v>-11.4779060193317</v>
      </c>
      <c r="AG2218">
        <v>0.26989399999999902</v>
      </c>
      <c r="AH2218">
        <v>172.10913631232299</v>
      </c>
      <c r="AI2218">
        <v>89.9103504821461</v>
      </c>
      <c r="AJ2218">
        <v>93.815388490668497</v>
      </c>
      <c r="AK2218">
        <v>172.49165188939901</v>
      </c>
      <c r="AL2218">
        <v>87.385741375477494</v>
      </c>
      <c r="AM2218">
        <v>90.351881364509893</v>
      </c>
      <c r="AN2218">
        <v>0.999999989415575</v>
      </c>
    </row>
    <row r="2219" spans="1:40" x14ac:dyDescent="0.25">
      <c r="A2219" t="str">
        <f>"20190312160645062"</f>
        <v>20190312160645062</v>
      </c>
      <c r="B2219" t="str">
        <f>"1552378005057485"</f>
        <v>1552378005057485</v>
      </c>
      <c r="C2219" t="s">
        <v>40</v>
      </c>
      <c r="D2219">
        <v>5.7654420000000002</v>
      </c>
      <c r="E2219">
        <v>0.4767844</v>
      </c>
      <c r="F2219" t="s">
        <v>66</v>
      </c>
      <c r="G2219">
        <v>-386.13060000000002</v>
      </c>
      <c r="H2219" s="1">
        <v>1.7256390000000001E-6</v>
      </c>
      <c r="I2219">
        <v>282.47250000000003</v>
      </c>
      <c r="J2219">
        <v>-340.83769999999998</v>
      </c>
      <c r="K2219">
        <v>1.1090150000000001</v>
      </c>
      <c r="L2219">
        <v>284.44900000000001</v>
      </c>
      <c r="M2219">
        <v>-0.99986280000000005</v>
      </c>
      <c r="N2219">
        <v>0</v>
      </c>
      <c r="O2219">
        <v>1.40124E-2</v>
      </c>
      <c r="P2219">
        <v>-0.99929230000000002</v>
      </c>
      <c r="Q2219">
        <v>3.6805419999999998E-2</v>
      </c>
      <c r="R2219">
        <v>7.7894349999999999E-3</v>
      </c>
      <c r="S2219">
        <v>-3.0058590000000001</v>
      </c>
      <c r="T2219">
        <v>-7.3168869999999997E-2</v>
      </c>
      <c r="U2219">
        <v>-0.13015750000000001</v>
      </c>
      <c r="V2219">
        <v>-6.2341280000000002E-3</v>
      </c>
      <c r="W2219">
        <v>4.5634929999999997E-2</v>
      </c>
      <c r="X2219">
        <v>0.99893869999999896</v>
      </c>
      <c r="Y2219">
        <v>-5.7235220000000003E-2</v>
      </c>
      <c r="Z2219">
        <v>-1.037095E-3</v>
      </c>
      <c r="AA2219">
        <v>0.99836020000000003</v>
      </c>
      <c r="AB2219">
        <v>45</v>
      </c>
      <c r="AC2219">
        <v>-45.292900000000003</v>
      </c>
      <c r="AD2219">
        <v>-1.1090132743609999</v>
      </c>
      <c r="AE2219">
        <v>-1.9764999999999799</v>
      </c>
      <c r="AF2219">
        <v>-2.60943146374027</v>
      </c>
      <c r="AG2219">
        <v>-1.1090132743609999</v>
      </c>
      <c r="AH2219">
        <v>45.233688721595897</v>
      </c>
      <c r="AI2219">
        <v>91.402133042172494</v>
      </c>
      <c r="AJ2219">
        <v>93.301607597252101</v>
      </c>
      <c r="AK2219">
        <v>45.322462845358501</v>
      </c>
      <c r="AL2219">
        <v>87.384402643996694</v>
      </c>
      <c r="AM2219">
        <v>90.357564069052302</v>
      </c>
      <c r="AN2219">
        <v>0.99999996877285702</v>
      </c>
    </row>
    <row r="2220" spans="1:40" x14ac:dyDescent="0.25">
      <c r="A2220" t="str">
        <f>"20190312160645076"</f>
        <v>20190312160645076</v>
      </c>
      <c r="B2220" t="str">
        <f>"1552378005067244"</f>
        <v>1552378005067244</v>
      </c>
      <c r="C2220" t="s">
        <v>40</v>
      </c>
      <c r="D2220">
        <v>5.7783680000000004</v>
      </c>
      <c r="E2220">
        <v>0.4767554</v>
      </c>
      <c r="F2220" t="s">
        <v>75</v>
      </c>
      <c r="G2220">
        <v>-512.82529999999997</v>
      </c>
      <c r="H2220">
        <v>0.50550899999999999</v>
      </c>
      <c r="I2220">
        <v>275.27859999999998</v>
      </c>
      <c r="J2220">
        <v>-341.12279999999998</v>
      </c>
      <c r="K2220">
        <v>1.1090150000000001</v>
      </c>
      <c r="L2220">
        <v>284.4529</v>
      </c>
      <c r="M2220">
        <v>-0.99986419999999998</v>
      </c>
      <c r="N2220">
        <v>0</v>
      </c>
      <c r="O2220">
        <v>1.390625E-2</v>
      </c>
      <c r="P2220">
        <v>-0.99928490000000003</v>
      </c>
      <c r="Q2220">
        <v>3.705522E-2</v>
      </c>
      <c r="R2220">
        <v>7.5246769999999996E-3</v>
      </c>
      <c r="S2220">
        <v>-3.0036930000000002</v>
      </c>
      <c r="T2220">
        <v>-1.0538580000000001E-2</v>
      </c>
      <c r="U2220">
        <v>-0.160156299999999</v>
      </c>
      <c r="V2220">
        <v>-6.3931469999999897E-3</v>
      </c>
      <c r="W2220">
        <v>4.5894070000000002E-2</v>
      </c>
      <c r="X2220">
        <v>0.99892590000000003</v>
      </c>
      <c r="Y2220">
        <v>-6.7125589999999999E-2</v>
      </c>
      <c r="Z2220">
        <v>-1.664336E-4</v>
      </c>
      <c r="AA2220">
        <v>0.99774450000000003</v>
      </c>
      <c r="AB2220">
        <v>45</v>
      </c>
      <c r="AC2220">
        <v>-171.70249999999999</v>
      </c>
      <c r="AD2220">
        <v>-0.60350599999999899</v>
      </c>
      <c r="AE2220">
        <v>-9.1743000000000094</v>
      </c>
      <c r="AF2220">
        <v>-11.5611016412442</v>
      </c>
      <c r="AG2220">
        <v>-0.60350599999999899</v>
      </c>
      <c r="AH2220">
        <v>171.55619717765001</v>
      </c>
      <c r="AI2220">
        <v>90.201100022758794</v>
      </c>
      <c r="AJ2220">
        <v>93.855309978819605</v>
      </c>
      <c r="AK2220">
        <v>171.94636396477799</v>
      </c>
      <c r="AL2220">
        <v>87.369539645227903</v>
      </c>
      <c r="AM2220">
        <v>90.366689200646107</v>
      </c>
      <c r="AN2220">
        <v>1.00000004584026</v>
      </c>
    </row>
    <row r="2221" spans="1:40" x14ac:dyDescent="0.25">
      <c r="A2221" t="str">
        <f>"20190312160645088"</f>
        <v>20190312160645088</v>
      </c>
      <c r="B2221" t="str">
        <f>"1552378005077005"</f>
        <v>1552378005077005</v>
      </c>
      <c r="C2221" t="s">
        <v>40</v>
      </c>
      <c r="D2221">
        <v>5.5300549999999999</v>
      </c>
      <c r="E2221">
        <v>0.47696359999999899</v>
      </c>
      <c r="F2221" t="s">
        <v>75</v>
      </c>
      <c r="G2221">
        <v>-512.82529999999997</v>
      </c>
      <c r="H2221">
        <v>0.4719525</v>
      </c>
      <c r="I2221">
        <v>275.24209999999999</v>
      </c>
      <c r="J2221">
        <v>-341.37369999999999</v>
      </c>
      <c r="K2221">
        <v>1.10902099999999</v>
      </c>
      <c r="L2221">
        <v>284.45639999999997</v>
      </c>
      <c r="M2221">
        <v>-0.99986549999999996</v>
      </c>
      <c r="N2221">
        <v>0</v>
      </c>
      <c r="O2221">
        <v>1.3812639999999999E-2</v>
      </c>
      <c r="P2221">
        <v>-0.99928810000000001</v>
      </c>
      <c r="Q2221">
        <v>3.7054139999999999E-2</v>
      </c>
      <c r="R2221">
        <v>7.1282610000000003E-3</v>
      </c>
      <c r="S2221">
        <v>-3.0037539999999998</v>
      </c>
      <c r="T2221">
        <v>-1.114333E-2</v>
      </c>
      <c r="U2221">
        <v>-0.16113279999999999</v>
      </c>
      <c r="V2221">
        <v>-6.6960869999999999E-3</v>
      </c>
      <c r="W2221">
        <v>4.5901209999999998E-2</v>
      </c>
      <c r="X2221">
        <v>0.99892349999999996</v>
      </c>
      <c r="Y2221">
        <v>-6.7354490000000003E-2</v>
      </c>
      <c r="Z2221">
        <v>-1.760563E-4</v>
      </c>
      <c r="AA2221">
        <v>0.99772910000000004</v>
      </c>
      <c r="AB2221">
        <v>45</v>
      </c>
      <c r="AC2221">
        <v>-171.45159999999899</v>
      </c>
      <c r="AD2221">
        <v>-0.63706849999999904</v>
      </c>
      <c r="AE2221">
        <v>-9.2142999999999802</v>
      </c>
      <c r="AF2221">
        <v>-11.581553275242699</v>
      </c>
      <c r="AG2221">
        <v>-0.63706849999999904</v>
      </c>
      <c r="AH2221">
        <v>171.30560526438401</v>
      </c>
      <c r="AI2221">
        <v>90.212591025239803</v>
      </c>
      <c r="AJ2221">
        <v>93.867741911030905</v>
      </c>
      <c r="AK2221">
        <v>171.69784106836599</v>
      </c>
      <c r="AL2221">
        <v>87.369129892536407</v>
      </c>
      <c r="AM2221">
        <v>90.384065224264006</v>
      </c>
      <c r="AN2221">
        <v>0.99999995875641201</v>
      </c>
    </row>
    <row r="2222" spans="1:40" x14ac:dyDescent="0.25">
      <c r="A2222" t="str">
        <f>"20190312160645100"</f>
        <v>20190312160645100</v>
      </c>
      <c r="B2222" t="str">
        <f>"1552378005097032"</f>
        <v>1552378005097032</v>
      </c>
      <c r="C2222" t="s">
        <v>40</v>
      </c>
      <c r="D2222">
        <v>5.7566860000000002</v>
      </c>
      <c r="E2222">
        <v>0.47722579999999998</v>
      </c>
      <c r="F2222" t="s">
        <v>75</v>
      </c>
      <c r="G2222">
        <v>-512.82529999999997</v>
      </c>
      <c r="H2222">
        <v>0.42465249999999999</v>
      </c>
      <c r="I2222">
        <v>275.2989</v>
      </c>
      <c r="J2222">
        <v>-341.61869999999999</v>
      </c>
      <c r="K2222">
        <v>1.10902099999999</v>
      </c>
      <c r="L2222">
        <v>284.4597</v>
      </c>
      <c r="M2222">
        <v>-0.99986649999999999</v>
      </c>
      <c r="N2222">
        <v>0</v>
      </c>
      <c r="O2222">
        <v>1.3721819999999999E-2</v>
      </c>
      <c r="P2222">
        <v>-0.99928649999999997</v>
      </c>
      <c r="Q2222">
        <v>3.7164679999999999E-2</v>
      </c>
      <c r="R2222">
        <v>6.7124419999999999E-3</v>
      </c>
      <c r="S2222">
        <v>-3.0036930000000002</v>
      </c>
      <c r="T2222">
        <v>-1.1988159999999999E-2</v>
      </c>
      <c r="U2222">
        <v>-0.16043089999999999</v>
      </c>
      <c r="V2222">
        <v>-7.0213769999999997E-3</v>
      </c>
      <c r="W2222">
        <v>4.6019810000000001E-2</v>
      </c>
      <c r="X2222">
        <v>0.99891589999999997</v>
      </c>
      <c r="Y2222">
        <v>-6.7032389999999997E-2</v>
      </c>
      <c r="Z2222">
        <v>-1.8840449999999999E-4</v>
      </c>
      <c r="AA2222">
        <v>0.99775080000000005</v>
      </c>
      <c r="AB2222">
        <v>45</v>
      </c>
      <c r="AC2222">
        <v>-171.20659999999901</v>
      </c>
      <c r="AD2222">
        <v>-0.68436849999999905</v>
      </c>
      <c r="AE2222">
        <v>-9.1607999999999894</v>
      </c>
      <c r="AF2222">
        <v>-11.509112670810801</v>
      </c>
      <c r="AG2222">
        <v>-0.68436849999999905</v>
      </c>
      <c r="AH2222">
        <v>171.06204654343799</v>
      </c>
      <c r="AI2222">
        <v>90.228705149761893</v>
      </c>
      <c r="AJ2222">
        <v>93.849078723132706</v>
      </c>
      <c r="AK2222">
        <v>171.45014378046699</v>
      </c>
      <c r="AL2222">
        <v>87.362327662439498</v>
      </c>
      <c r="AM2222">
        <v>90.402725237722706</v>
      </c>
      <c r="AN2222">
        <v>1.0000000489601</v>
      </c>
    </row>
    <row r="2223" spans="1:40" x14ac:dyDescent="0.25">
      <c r="A2223" t="str">
        <f>"20190312160645115"</f>
        <v>20190312160645115</v>
      </c>
      <c r="B2223" t="str">
        <f>"1552378005107767"</f>
        <v>1552378005107767</v>
      </c>
      <c r="C2223" t="s">
        <v>40</v>
      </c>
      <c r="D2223">
        <v>5.7931059999999999</v>
      </c>
      <c r="E2223">
        <v>0.47734729999999997</v>
      </c>
      <c r="F2223" t="s">
        <v>75</v>
      </c>
      <c r="G2223">
        <v>-512.82529999999997</v>
      </c>
      <c r="H2223">
        <v>0.27191589999999999</v>
      </c>
      <c r="I2223">
        <v>275.35899999999998</v>
      </c>
      <c r="J2223">
        <v>-341.91160000000002</v>
      </c>
      <c r="K2223">
        <v>1.109022</v>
      </c>
      <c r="L2223">
        <v>284.46359999999999</v>
      </c>
      <c r="M2223">
        <v>-0.99986810000000004</v>
      </c>
      <c r="N2223">
        <v>0</v>
      </c>
      <c r="O2223">
        <v>1.3612809999999999E-2</v>
      </c>
      <c r="P2223">
        <v>-0.9992915</v>
      </c>
      <c r="Q2223">
        <v>3.7199879999999998E-2</v>
      </c>
      <c r="R2223">
        <v>5.7390979999999998E-3</v>
      </c>
      <c r="S2223">
        <v>-3.0037539999999998</v>
      </c>
      <c r="T2223">
        <v>-1.468527E-2</v>
      </c>
      <c r="U2223">
        <v>-0.159668</v>
      </c>
      <c r="V2223">
        <v>-7.8858799999999996E-3</v>
      </c>
      <c r="W2223">
        <v>4.6064109999999998E-2</v>
      </c>
      <c r="X2223">
        <v>0.9989074</v>
      </c>
      <c r="Y2223">
        <v>-6.6669489999999998E-2</v>
      </c>
      <c r="Z2223">
        <v>-2.2936920000000001E-4</v>
      </c>
      <c r="AA2223">
        <v>0.99777510000000003</v>
      </c>
      <c r="AB2223">
        <v>45</v>
      </c>
      <c r="AC2223">
        <v>-170.91369999999901</v>
      </c>
      <c r="AD2223">
        <v>-0.83710609999999996</v>
      </c>
      <c r="AE2223">
        <v>-9.1045999999999392</v>
      </c>
      <c r="AF2223">
        <v>-11.4301899138253</v>
      </c>
      <c r="AG2223">
        <v>-0.83710609999999996</v>
      </c>
      <c r="AH2223">
        <v>170.76983312173201</v>
      </c>
      <c r="AI2223">
        <v>90.280232086463499</v>
      </c>
      <c r="AJ2223">
        <v>93.829284414102005</v>
      </c>
      <c r="AK2223">
        <v>171.15398298758001</v>
      </c>
      <c r="AL2223">
        <v>87.359786745359102</v>
      </c>
      <c r="AM2223">
        <v>90.452312452231993</v>
      </c>
      <c r="AN2223">
        <v>1.0000000415541099</v>
      </c>
    </row>
    <row r="2224" spans="1:40" x14ac:dyDescent="0.25">
      <c r="A2224" t="str">
        <f>"20190312160645137"</f>
        <v>20190312160645137</v>
      </c>
      <c r="B2224" t="str">
        <f>"1552378005127288"</f>
        <v>1552378005127288</v>
      </c>
      <c r="C2224" t="s">
        <v>40</v>
      </c>
      <c r="D2224">
        <v>5.8326379999999904</v>
      </c>
      <c r="E2224">
        <v>0.47755059999999999</v>
      </c>
      <c r="F2224" t="s">
        <v>75</v>
      </c>
      <c r="G2224">
        <v>-512.82529999999997</v>
      </c>
      <c r="H2224">
        <v>0.23001669999999999</v>
      </c>
      <c r="I2224">
        <v>275.2704</v>
      </c>
      <c r="J2224">
        <v>-342.34690000000001</v>
      </c>
      <c r="K2224">
        <v>1.10902099999999</v>
      </c>
      <c r="L2224">
        <v>284.46949999999998</v>
      </c>
      <c r="M2224">
        <v>-0.99987009999999998</v>
      </c>
      <c r="N2224">
        <v>0</v>
      </c>
      <c r="O2224">
        <v>1.3450500000000001E-2</v>
      </c>
      <c r="P2224">
        <v>-0.9992875</v>
      </c>
      <c r="Q2224">
        <v>3.7445930000000002E-2</v>
      </c>
      <c r="R2224">
        <v>4.7450359999999898E-3</v>
      </c>
      <c r="S2224">
        <v>-3.0036320000000001</v>
      </c>
      <c r="T2224">
        <v>-1.544619E-2</v>
      </c>
      <c r="U2224">
        <v>-0.16156010000000001</v>
      </c>
      <c r="V2224">
        <v>-8.7178969999999901E-3</v>
      </c>
      <c r="W2224">
        <v>4.6323709999999997E-2</v>
      </c>
      <c r="X2224">
        <v>0.99888840000000001</v>
      </c>
      <c r="Y2224">
        <v>-6.7136299999999996E-2</v>
      </c>
      <c r="Z2224">
        <v>-2.4162479999999999E-4</v>
      </c>
      <c r="AA2224">
        <v>0.99774379999999996</v>
      </c>
      <c r="AB2224">
        <v>45</v>
      </c>
      <c r="AC2224">
        <v>-170.478399999999</v>
      </c>
      <c r="AD2224">
        <v>-0.87900429999999896</v>
      </c>
      <c r="AE2224">
        <v>-9.1990999999999801</v>
      </c>
      <c r="AF2224">
        <v>-11.4910733034076</v>
      </c>
      <c r="AG2224">
        <v>-0.87900429999999896</v>
      </c>
      <c r="AH2224">
        <v>170.334724310779</v>
      </c>
      <c r="AI2224">
        <v>90.294999030872205</v>
      </c>
      <c r="AJ2224">
        <v>93.859424011067006</v>
      </c>
      <c r="AK2224">
        <v>170.72415095777399</v>
      </c>
      <c r="AL2224">
        <v>87.344896654451205</v>
      </c>
      <c r="AM2224">
        <v>90.500041869016101</v>
      </c>
      <c r="AN2224">
        <v>0.99999996174541195</v>
      </c>
    </row>
    <row r="2225" spans="1:40" x14ac:dyDescent="0.25">
      <c r="A2225" t="str">
        <f>"20190312160645148"</f>
        <v>20190312160645148</v>
      </c>
      <c r="B2225" t="str">
        <f>"1552378005137049"</f>
        <v>1552378005137049</v>
      </c>
      <c r="C2225" t="s">
        <v>40</v>
      </c>
      <c r="D2225">
        <v>5.7142809999999997</v>
      </c>
      <c r="E2225">
        <v>0.47767159999999897</v>
      </c>
      <c r="F2225" t="s">
        <v>75</v>
      </c>
      <c r="G2225">
        <v>-512.8252</v>
      </c>
      <c r="H2225">
        <v>0.16128719999999999</v>
      </c>
      <c r="I2225">
        <v>275.23</v>
      </c>
      <c r="J2225">
        <v>-342.59030000000001</v>
      </c>
      <c r="K2225">
        <v>1.10902099999999</v>
      </c>
      <c r="L2225">
        <v>284.47269999999997</v>
      </c>
      <c r="M2225">
        <v>-0.99987119999999996</v>
      </c>
      <c r="N2225">
        <v>0</v>
      </c>
      <c r="O2225">
        <v>1.335969E-2</v>
      </c>
      <c r="P2225">
        <v>-0.99928810000000001</v>
      </c>
      <c r="Q2225">
        <v>3.7490879999999997E-2</v>
      </c>
      <c r="R2225">
        <v>4.1976890000000001E-3</v>
      </c>
      <c r="S2225">
        <v>-3.0035099999999999</v>
      </c>
      <c r="T2225">
        <v>-1.669586E-2</v>
      </c>
      <c r="U2225">
        <v>-0.1627808</v>
      </c>
      <c r="V2225">
        <v>-9.1741759999999992E-3</v>
      </c>
      <c r="W2225">
        <v>4.6375630000000001E-2</v>
      </c>
      <c r="X2225">
        <v>0.99888189999999999</v>
      </c>
      <c r="Y2225">
        <v>-6.7451999999999998E-2</v>
      </c>
      <c r="Z2225">
        <v>-2.6155319999999999E-4</v>
      </c>
      <c r="AA2225">
        <v>0.99772249999999996</v>
      </c>
      <c r="AB2225">
        <v>45</v>
      </c>
      <c r="AC2225">
        <v>-170.23489999999899</v>
      </c>
      <c r="AD2225">
        <v>-0.94773379999999896</v>
      </c>
      <c r="AE2225">
        <v>-9.2426999999999495</v>
      </c>
      <c r="AF2225">
        <v>-11.515894647318801</v>
      </c>
      <c r="AG2225">
        <v>-0.94773379999999896</v>
      </c>
      <c r="AH2225">
        <v>170.090965475323</v>
      </c>
      <c r="AI2225">
        <v>90.318515213098706</v>
      </c>
      <c r="AJ2225">
        <v>93.873261326765103</v>
      </c>
      <c r="AK2225">
        <v>170.48299201155299</v>
      </c>
      <c r="AL2225">
        <v>87.341918645263306</v>
      </c>
      <c r="AM2225">
        <v>90.526215147219105</v>
      </c>
      <c r="AN2225">
        <v>0.99999995735539204</v>
      </c>
    </row>
    <row r="2226" spans="1:40" x14ac:dyDescent="0.25">
      <c r="A2226" t="str">
        <f>"20190312160645162"</f>
        <v>20190312160645162</v>
      </c>
      <c r="B2226" t="str">
        <f>"1552378005157543"</f>
        <v>1552378005157543</v>
      </c>
      <c r="C2226" t="s">
        <v>40</v>
      </c>
      <c r="D2226">
        <v>5.8062909999999999</v>
      </c>
      <c r="E2226">
        <v>0.47793760000000002</v>
      </c>
      <c r="F2226" t="s">
        <v>75</v>
      </c>
      <c r="G2226">
        <v>-512.8252</v>
      </c>
      <c r="H2226">
        <v>9.1122750000000002E-2</v>
      </c>
      <c r="I2226">
        <v>275.20170000000002</v>
      </c>
      <c r="J2226">
        <v>-342.85480000000001</v>
      </c>
      <c r="K2226">
        <v>1.109022</v>
      </c>
      <c r="L2226">
        <v>284.47609999999997</v>
      </c>
      <c r="M2226">
        <v>-0.99987239999999999</v>
      </c>
      <c r="N2226">
        <v>0</v>
      </c>
      <c r="O2226">
        <v>1.326136E-2</v>
      </c>
      <c r="P2226">
        <v>-0.99928680000000003</v>
      </c>
      <c r="Q2226">
        <v>3.7559189999999999E-2</v>
      </c>
      <c r="R2226">
        <v>3.952194E-3</v>
      </c>
      <c r="S2226">
        <v>-3.003571</v>
      </c>
      <c r="T2226">
        <v>-1.795805E-2</v>
      </c>
      <c r="U2226">
        <v>-0.1635742</v>
      </c>
      <c r="V2226">
        <v>-9.3213199999999993E-3</v>
      </c>
      <c r="W2226">
        <v>4.6452790000000001E-2</v>
      </c>
      <c r="X2226">
        <v>0.99887700000000001</v>
      </c>
      <c r="Y2226">
        <v>-6.7615380000000003E-2</v>
      </c>
      <c r="Z2226">
        <v>-2.8121880000000002E-4</v>
      </c>
      <c r="AA2226">
        <v>0.99771140000000003</v>
      </c>
      <c r="AB2226">
        <v>45</v>
      </c>
      <c r="AC2226">
        <v>-169.97039999999899</v>
      </c>
      <c r="AD2226">
        <v>-1.0178992499999999</v>
      </c>
      <c r="AE2226">
        <v>-9.2743999999999502</v>
      </c>
      <c r="AF2226">
        <v>-11.527300256794501</v>
      </c>
      <c r="AG2226">
        <v>-1.0178992499999999</v>
      </c>
      <c r="AH2226">
        <v>169.826383679587</v>
      </c>
      <c r="AI2226">
        <v>90.3426249042043</v>
      </c>
      <c r="AJ2226">
        <v>93.883107659545203</v>
      </c>
      <c r="AK2226">
        <v>170.22019669762901</v>
      </c>
      <c r="AL2226">
        <v>87.337493059771404</v>
      </c>
      <c r="AM2226">
        <v>90.534657213570995</v>
      </c>
      <c r="AN2226">
        <v>1.00000000491716</v>
      </c>
    </row>
    <row r="2227" spans="1:40" x14ac:dyDescent="0.25">
      <c r="A2227" t="str">
        <f>"20190312160645175"</f>
        <v>20190312160645175</v>
      </c>
      <c r="B2227" t="str">
        <f>"1552378005167305"</f>
        <v>1552378005167305</v>
      </c>
      <c r="C2227" t="s">
        <v>40</v>
      </c>
      <c r="D2227">
        <v>5.6909080000000003</v>
      </c>
      <c r="E2227">
        <v>0.47799740000000002</v>
      </c>
      <c r="F2227" t="s">
        <v>61</v>
      </c>
      <c r="G2227">
        <v>-499.97030000000001</v>
      </c>
      <c r="H2227">
        <v>6.2527920000000001E-2</v>
      </c>
      <c r="I2227">
        <v>276.00259999999997</v>
      </c>
      <c r="J2227">
        <v>-343.1026</v>
      </c>
      <c r="K2227">
        <v>1.109022</v>
      </c>
      <c r="L2227">
        <v>284.4794</v>
      </c>
      <c r="M2227">
        <v>-0.99987349999999997</v>
      </c>
      <c r="N2227">
        <v>0</v>
      </c>
      <c r="O2227">
        <v>1.316935E-2</v>
      </c>
      <c r="P2227">
        <v>-0.99928740000000005</v>
      </c>
      <c r="Q2227">
        <v>3.7586050000000003E-2</v>
      </c>
      <c r="R2227">
        <v>3.4748689999999998E-3</v>
      </c>
      <c r="S2227">
        <v>-3.0035400000000001</v>
      </c>
      <c r="T2227">
        <v>-2.0005579999999999E-2</v>
      </c>
      <c r="U2227">
        <v>-0.161987299999999</v>
      </c>
      <c r="V2227">
        <v>-9.7066319999999998E-3</v>
      </c>
      <c r="W2227">
        <v>4.6487569999999999E-2</v>
      </c>
      <c r="X2227">
        <v>0.99887170000000003</v>
      </c>
      <c r="Y2227">
        <v>-6.6998180000000004E-2</v>
      </c>
      <c r="Z2227">
        <v>-3.1062320000000001E-4</v>
      </c>
      <c r="AA2227">
        <v>0.997753</v>
      </c>
      <c r="AB2227">
        <v>45</v>
      </c>
      <c r="AC2227">
        <v>-156.86770000000001</v>
      </c>
      <c r="AD2227">
        <v>-1.04649408</v>
      </c>
      <c r="AE2227">
        <v>-8.4768000000000203</v>
      </c>
      <c r="AF2227">
        <v>-10.541524875485599</v>
      </c>
      <c r="AG2227">
        <v>-1.04649408</v>
      </c>
      <c r="AH2227">
        <v>156.73550185230599</v>
      </c>
      <c r="AI2227">
        <v>90.381685410698594</v>
      </c>
      <c r="AJ2227">
        <v>93.847734803464704</v>
      </c>
      <c r="AK2227">
        <v>157.093082080193</v>
      </c>
      <c r="AL2227">
        <v>87.335498125562694</v>
      </c>
      <c r="AM2227">
        <v>90.556759733856694</v>
      </c>
      <c r="AN2227">
        <v>0.99999999296508901</v>
      </c>
    </row>
    <row r="2228" spans="1:40" x14ac:dyDescent="0.25">
      <c r="A2228" t="str">
        <f>"20190312160645186"</f>
        <v>20190312160645186</v>
      </c>
      <c r="B2228" t="str">
        <f>"1552378005177064"</f>
        <v>1552378005177064</v>
      </c>
      <c r="C2228" t="s">
        <v>40</v>
      </c>
      <c r="D2228">
        <v>5.6853420000000003</v>
      </c>
      <c r="E2228">
        <v>0.47820669999999998</v>
      </c>
      <c r="F2228" t="s">
        <v>61</v>
      </c>
      <c r="G2228">
        <v>-499.95780000000002</v>
      </c>
      <c r="H2228">
        <v>2.559024E-2</v>
      </c>
      <c r="I2228">
        <v>275.97190000000001</v>
      </c>
      <c r="J2228">
        <v>-343.35289999999998</v>
      </c>
      <c r="K2228">
        <v>1.109013</v>
      </c>
      <c r="L2228">
        <v>284.48259999999999</v>
      </c>
      <c r="M2228">
        <v>-0.99987470000000001</v>
      </c>
      <c r="N2228">
        <v>0</v>
      </c>
      <c r="O2228">
        <v>1.307621E-2</v>
      </c>
      <c r="P2228">
        <v>-0.99928700000000004</v>
      </c>
      <c r="Q2228">
        <v>3.7606880000000002E-2</v>
      </c>
      <c r="R2228">
        <v>3.3835940000000002E-3</v>
      </c>
      <c r="S2228">
        <v>-3.0035099999999999</v>
      </c>
      <c r="T2228">
        <v>-2.074587E-2</v>
      </c>
      <c r="U2228">
        <v>-0.16290279999999999</v>
      </c>
      <c r="V2228">
        <v>-9.7051889999999995E-3</v>
      </c>
      <c r="W2228">
        <v>4.6516139999999997E-2</v>
      </c>
      <c r="X2228">
        <v>0.99887040000000005</v>
      </c>
      <c r="Y2228">
        <v>-6.7208889999999993E-2</v>
      </c>
      <c r="Z2228">
        <v>-3.2220220000000002E-4</v>
      </c>
      <c r="AA2228">
        <v>0.99773889999999998</v>
      </c>
      <c r="AB2228">
        <v>45</v>
      </c>
      <c r="AC2228">
        <v>-156.60489999999999</v>
      </c>
      <c r="AD2228">
        <v>-1.0834227599999999</v>
      </c>
      <c r="AE2228">
        <v>-8.5106999999999804</v>
      </c>
      <c r="AF2228">
        <v>-10.557348562584099</v>
      </c>
      <c r="AG2228">
        <v>-1.0834227599999999</v>
      </c>
      <c r="AH2228">
        <v>156.47275056094301</v>
      </c>
      <c r="AI2228">
        <v>90.395811749746997</v>
      </c>
      <c r="AJ2228">
        <v>93.859944474447602</v>
      </c>
      <c r="AK2228">
        <v>156.83224503161199</v>
      </c>
      <c r="AL2228">
        <v>87.333859455118798</v>
      </c>
      <c r="AM2228">
        <v>90.556677694923295</v>
      </c>
      <c r="AN2228">
        <v>1.00000000898509</v>
      </c>
    </row>
    <row r="2229" spans="1:40" x14ac:dyDescent="0.25">
      <c r="A2229" t="str">
        <f>"20190312160645200"</f>
        <v>20190312160645200</v>
      </c>
      <c r="B2229" t="str">
        <f>"1552378005186823"</f>
        <v>1552378005186823</v>
      </c>
      <c r="C2229" t="s">
        <v>40</v>
      </c>
      <c r="D2229">
        <v>5.7246329999999999</v>
      </c>
      <c r="E2229">
        <v>0.47825459999999897</v>
      </c>
      <c r="F2229" t="s">
        <v>61</v>
      </c>
      <c r="G2229">
        <v>-498.06970000000001</v>
      </c>
      <c r="H2229" s="1">
        <v>1.4871079999999999E-6</v>
      </c>
      <c r="I2229">
        <v>276.15870000000001</v>
      </c>
      <c r="J2229">
        <v>-343.61009999999999</v>
      </c>
      <c r="K2229">
        <v>1.1090089999999999</v>
      </c>
      <c r="L2229">
        <v>284.48590000000002</v>
      </c>
      <c r="M2229">
        <v>-0.99987599999999999</v>
      </c>
      <c r="N2229">
        <v>0</v>
      </c>
      <c r="O2229">
        <v>1.298068E-2</v>
      </c>
      <c r="P2229">
        <v>-0.99927480000000002</v>
      </c>
      <c r="Q2229">
        <v>3.795859E-2</v>
      </c>
      <c r="R2229">
        <v>3.0212860000000002E-3</v>
      </c>
      <c r="S2229">
        <v>-3.003479</v>
      </c>
      <c r="T2229">
        <v>-2.152896E-2</v>
      </c>
      <c r="U2229">
        <v>-0.1615906</v>
      </c>
      <c r="V2229">
        <v>-9.9722249999999995E-3</v>
      </c>
      <c r="W2229">
        <v>4.6875760000000002E-2</v>
      </c>
      <c r="X2229">
        <v>0.99885089999999999</v>
      </c>
      <c r="Y2229">
        <v>-6.6679310000000006E-2</v>
      </c>
      <c r="Z2229">
        <v>-3.3179019999999898E-4</v>
      </c>
      <c r="AA2229">
        <v>0.99777439999999995</v>
      </c>
      <c r="AB2229">
        <v>45</v>
      </c>
      <c r="AC2229">
        <v>-154.45959999999999</v>
      </c>
      <c r="AD2229">
        <v>-1.1090075128919901</v>
      </c>
      <c r="AE2229">
        <v>-8.3271999999999995</v>
      </c>
      <c r="AF2229">
        <v>-10.3310376519531</v>
      </c>
      <c r="AG2229">
        <v>-1.1090075128919901</v>
      </c>
      <c r="AH2229">
        <v>154.33055545597699</v>
      </c>
      <c r="AI2229">
        <v>90.410796633726903</v>
      </c>
      <c r="AJ2229">
        <v>93.829721640984801</v>
      </c>
      <c r="AK2229">
        <v>154.67992948013699</v>
      </c>
      <c r="AL2229">
        <v>87.313232090624993</v>
      </c>
      <c r="AM2229">
        <v>90.572004713107304</v>
      </c>
      <c r="AN2229">
        <v>0.99999995128891705</v>
      </c>
    </row>
    <row r="2230" spans="1:40" x14ac:dyDescent="0.25">
      <c r="A2230" t="str">
        <f>"20190312160645216"</f>
        <v>20190312160645216</v>
      </c>
      <c r="B2230" t="str">
        <f>"1552378005207826"</f>
        <v>1552378005207826</v>
      </c>
      <c r="C2230" t="s">
        <v>40</v>
      </c>
      <c r="D2230">
        <v>5.7394179999999997</v>
      </c>
      <c r="E2230">
        <v>0.47846699999999998</v>
      </c>
      <c r="F2230" t="s">
        <v>61</v>
      </c>
      <c r="G2230">
        <v>-499.95780000000002</v>
      </c>
      <c r="H2230">
        <v>6.9298959999999996E-3</v>
      </c>
      <c r="I2230">
        <v>276.0394</v>
      </c>
      <c r="J2230">
        <v>-343.9477</v>
      </c>
      <c r="K2230">
        <v>1.1090150000000001</v>
      </c>
      <c r="L2230">
        <v>284.49020000000002</v>
      </c>
      <c r="M2230">
        <v>-0.99987749999999997</v>
      </c>
      <c r="N2230">
        <v>0</v>
      </c>
      <c r="O2230">
        <v>1.2855220000000001E-2</v>
      </c>
      <c r="P2230">
        <v>-0.99926939999999997</v>
      </c>
      <c r="Q2230">
        <v>3.8099939999999999E-2</v>
      </c>
      <c r="R2230">
        <v>3.049979E-3</v>
      </c>
      <c r="S2230">
        <v>-3.0035099999999999</v>
      </c>
      <c r="T2230">
        <v>-2.1171450000000001E-2</v>
      </c>
      <c r="U2230">
        <v>-0.16226199999999999</v>
      </c>
      <c r="V2230">
        <v>-9.8178369999999994E-3</v>
      </c>
      <c r="W2230">
        <v>4.7028170000000001E-2</v>
      </c>
      <c r="X2230">
        <v>0.99884530000000005</v>
      </c>
      <c r="Y2230">
        <v>-6.6776039999999995E-2</v>
      </c>
      <c r="Z2230">
        <v>-3.2573219999999998E-4</v>
      </c>
      <c r="AA2230">
        <v>0.99776790000000004</v>
      </c>
      <c r="AB2230">
        <v>45</v>
      </c>
      <c r="AC2230">
        <v>-156.01009999999999</v>
      </c>
      <c r="AD2230">
        <v>-1.1020851039999999</v>
      </c>
      <c r="AE2230">
        <v>-8.4508000000000099</v>
      </c>
      <c r="AF2230">
        <v>-10.455205534204399</v>
      </c>
      <c r="AG2230">
        <v>-1.1020851039999999</v>
      </c>
      <c r="AH2230">
        <v>155.88081023020399</v>
      </c>
      <c r="AI2230">
        <v>90.404169217327706</v>
      </c>
      <c r="AJ2230">
        <v>93.837183568422006</v>
      </c>
      <c r="AK2230">
        <v>156.234928592693</v>
      </c>
      <c r="AL2230">
        <v>87.304490092876904</v>
      </c>
      <c r="AM2230">
        <v>90.563152782029505</v>
      </c>
      <c r="AN2230">
        <v>0.99999998601449802</v>
      </c>
    </row>
    <row r="2231" spans="1:40" x14ac:dyDescent="0.25">
      <c r="A2231" t="str">
        <f>"20190312160645240"</f>
        <v>20190312160645240</v>
      </c>
      <c r="B2231" t="str">
        <f>"1552378005227346"</f>
        <v>1552378005227346</v>
      </c>
      <c r="C2231" t="s">
        <v>40</v>
      </c>
      <c r="D2231">
        <v>5.6634630000000001</v>
      </c>
      <c r="E2231">
        <v>0.47854140000000001</v>
      </c>
      <c r="F2231" t="s">
        <v>61</v>
      </c>
      <c r="G2231">
        <v>-499.90140000000002</v>
      </c>
      <c r="H2231" s="1">
        <v>1.1626980000000001E-6</v>
      </c>
      <c r="I2231">
        <v>276.16149999999999</v>
      </c>
      <c r="J2231">
        <v>-344.40359999999998</v>
      </c>
      <c r="K2231">
        <v>1.1090169999999999</v>
      </c>
      <c r="L2231">
        <v>284.49599999999998</v>
      </c>
      <c r="M2231">
        <v>-0.99987950000000003</v>
      </c>
      <c r="N2231">
        <v>0</v>
      </c>
      <c r="O2231">
        <v>1.268563E-2</v>
      </c>
      <c r="P2231">
        <v>-0.99926700000000002</v>
      </c>
      <c r="Q2231">
        <v>3.8144369999999997E-2</v>
      </c>
      <c r="R2231">
        <v>3.2983719999999999E-3</v>
      </c>
      <c r="S2231">
        <v>-3.003479</v>
      </c>
      <c r="T2231">
        <v>-2.1358249999999999E-2</v>
      </c>
      <c r="U2231">
        <v>-0.1604004</v>
      </c>
      <c r="V2231">
        <v>-9.4001069999999996E-3</v>
      </c>
      <c r="W2231">
        <v>4.7087730000000001E-2</v>
      </c>
      <c r="X2231">
        <v>0.99884649999999997</v>
      </c>
      <c r="Y2231">
        <v>-6.5990690000000005E-2</v>
      </c>
      <c r="Z2231">
        <v>-3.246193E-4</v>
      </c>
      <c r="AA2231">
        <v>0.99782020000000005</v>
      </c>
      <c r="AB2231">
        <v>45</v>
      </c>
      <c r="AC2231">
        <v>-155.49780000000001</v>
      </c>
      <c r="AD2231">
        <v>-1.10901583730199</v>
      </c>
      <c r="AE2231">
        <v>-8.3344999999999896</v>
      </c>
      <c r="AF2231">
        <v>-10.3059731068217</v>
      </c>
      <c r="AG2231">
        <v>-1.10901583730199</v>
      </c>
      <c r="AH2231">
        <v>155.37167363547599</v>
      </c>
      <c r="AI2231">
        <v>90.408063623561702</v>
      </c>
      <c r="AJ2231">
        <v>93.794932592501794</v>
      </c>
      <c r="AK2231">
        <v>155.71705098059999</v>
      </c>
      <c r="AL2231">
        <v>87.301073737518095</v>
      </c>
      <c r="AM2231">
        <v>90.539192517296698</v>
      </c>
      <c r="AN2231">
        <v>0.99999997344520597</v>
      </c>
    </row>
    <row r="2232" spans="1:40" x14ac:dyDescent="0.25">
      <c r="A2232" t="str">
        <f>"20190312160645260"</f>
        <v>20190312160645260</v>
      </c>
      <c r="B2232" t="str">
        <f>"1552378005257603"</f>
        <v>1552378005257603</v>
      </c>
      <c r="C2232" t="s">
        <v>40</v>
      </c>
      <c r="D2232">
        <v>5.7233140000000002</v>
      </c>
      <c r="E2232">
        <v>0.48320400000000002</v>
      </c>
      <c r="F2232" t="s">
        <v>61</v>
      </c>
      <c r="G2232">
        <v>-499.95780000000002</v>
      </c>
      <c r="H2232">
        <v>2.596244E-2</v>
      </c>
      <c r="I2232">
        <v>276.25209999999998</v>
      </c>
      <c r="J2232">
        <v>-344.83159999999998</v>
      </c>
      <c r="K2232">
        <v>1.1090169999999999</v>
      </c>
      <c r="L2232">
        <v>284.50130000000001</v>
      </c>
      <c r="M2232">
        <v>-0.99988129999999997</v>
      </c>
      <c r="N2232">
        <v>0</v>
      </c>
      <c r="O2232">
        <v>1.2526890000000001E-2</v>
      </c>
      <c r="P2232">
        <v>-0.99925649999999999</v>
      </c>
      <c r="Q2232">
        <v>3.8384969999999997E-2</v>
      </c>
      <c r="R2232">
        <v>3.6304800000000002E-3</v>
      </c>
      <c r="S2232">
        <v>-3.003571</v>
      </c>
      <c r="T2232">
        <v>-2.0912529999999999E-2</v>
      </c>
      <c r="U2232">
        <v>-0.15917970000000001</v>
      </c>
      <c r="V2232">
        <v>-8.9094240000000009E-3</v>
      </c>
      <c r="W2232">
        <v>4.734207E-2</v>
      </c>
      <c r="X2232">
        <v>0.99883900000000003</v>
      </c>
      <c r="Y2232">
        <v>-6.5426360000000003E-2</v>
      </c>
      <c r="Z2232">
        <v>-3.1477090000000001E-4</v>
      </c>
      <c r="AA2232">
        <v>0.99785729999999995</v>
      </c>
      <c r="AB2232">
        <v>45</v>
      </c>
      <c r="AC2232">
        <v>-155.12620000000001</v>
      </c>
      <c r="AD2232">
        <v>-1.0830545600000001</v>
      </c>
      <c r="AE2232">
        <v>-8.2492000000000303</v>
      </c>
      <c r="AF2232">
        <v>-10.1913843275034</v>
      </c>
      <c r="AG2232">
        <v>-1.0830545600000001</v>
      </c>
      <c r="AH2232">
        <v>155.003151804243</v>
      </c>
      <c r="AI2232">
        <v>90.399474164286701</v>
      </c>
      <c r="AJ2232">
        <v>93.761756098203406</v>
      </c>
      <c r="AK2232">
        <v>155.341605473035</v>
      </c>
      <c r="AL2232">
        <v>87.286484926861803</v>
      </c>
      <c r="AM2232">
        <v>90.511052187179402</v>
      </c>
      <c r="AN2232">
        <v>0.999999998674448</v>
      </c>
    </row>
    <row r="2233" spans="1:40" x14ac:dyDescent="0.25">
      <c r="A2233" t="str">
        <f>"20190312160645273"</f>
        <v>20190312160645273</v>
      </c>
      <c r="B2233" t="str">
        <f>"1552378005267362"</f>
        <v>1552378005267362</v>
      </c>
      <c r="C2233" t="s">
        <v>40</v>
      </c>
      <c r="D2233">
        <v>5.6994730000000002</v>
      </c>
      <c r="E2233">
        <v>0.48080349999999999</v>
      </c>
      <c r="F2233" t="s">
        <v>66</v>
      </c>
      <c r="G2233">
        <v>-372.6078</v>
      </c>
      <c r="H2233" s="1">
        <v>-1.4904550000000001E-7</v>
      </c>
      <c r="I2233">
        <v>283.40170000000001</v>
      </c>
      <c r="J2233">
        <v>-345.08629999999999</v>
      </c>
      <c r="K2233">
        <v>1.1090169999999999</v>
      </c>
      <c r="L2233">
        <v>284.50439999999998</v>
      </c>
      <c r="M2233">
        <v>-0.99988250000000001</v>
      </c>
      <c r="N2233">
        <v>0</v>
      </c>
      <c r="O2233">
        <v>1.243256E-2</v>
      </c>
      <c r="P2233">
        <v>-0.99925830000000004</v>
      </c>
      <c r="Q2233">
        <v>3.8351290000000003E-2</v>
      </c>
      <c r="R2233">
        <v>3.4990860000000002E-3</v>
      </c>
      <c r="S2233">
        <v>-3.0072939999999999</v>
      </c>
      <c r="T2233">
        <v>-0.1200719</v>
      </c>
      <c r="U2233">
        <v>-0.1190491</v>
      </c>
      <c r="V2233">
        <v>-8.9465819999999998E-3</v>
      </c>
      <c r="W2233">
        <v>4.731635E-2</v>
      </c>
      <c r="X2233">
        <v>0.9988399</v>
      </c>
      <c r="Y2233">
        <v>-5.1924869999999998E-2</v>
      </c>
      <c r="Z2233">
        <v>-1.531824E-3</v>
      </c>
      <c r="AA2233">
        <v>0.99864980000000003</v>
      </c>
      <c r="AB2233">
        <v>45</v>
      </c>
      <c r="AC2233">
        <v>-27.5215</v>
      </c>
      <c r="AD2233">
        <v>-1.1090171490455001</v>
      </c>
      <c r="AE2233">
        <v>-1.10269999999997</v>
      </c>
      <c r="AF2233">
        <v>-1.4424527278464701</v>
      </c>
      <c r="AG2233">
        <v>-1.1090171490455001</v>
      </c>
      <c r="AH2233">
        <v>27.461142920711598</v>
      </c>
      <c r="AI2233">
        <v>92.309450689837604</v>
      </c>
      <c r="AJ2233">
        <v>93.006814741466897</v>
      </c>
      <c r="AK2233">
        <v>27.521354607298999</v>
      </c>
      <c r="AL2233">
        <v>87.287960263970902</v>
      </c>
      <c r="AM2233">
        <v>90.513183025735998</v>
      </c>
      <c r="AN2233">
        <v>1.0000000120693999</v>
      </c>
    </row>
    <row r="2234" spans="1:40" x14ac:dyDescent="0.25">
      <c r="A2234" t="str">
        <f>"20190312160645284"</f>
        <v>20190312160645284</v>
      </c>
      <c r="B2234" t="str">
        <f>"1552378005277123"</f>
        <v>1552378005277123</v>
      </c>
      <c r="C2234" t="s">
        <v>40</v>
      </c>
      <c r="D2234">
        <v>5.6595800000000001</v>
      </c>
      <c r="E2234">
        <v>0.48080349999999999</v>
      </c>
      <c r="F2234" t="s">
        <v>66</v>
      </c>
      <c r="G2234">
        <v>-445.81150000000002</v>
      </c>
      <c r="H2234" s="1">
        <v>1.7659629999999999E-6</v>
      </c>
      <c r="I2234">
        <v>279.80860000000001</v>
      </c>
      <c r="J2234">
        <v>-345.32409999999999</v>
      </c>
      <c r="K2234">
        <v>1.1090169999999999</v>
      </c>
      <c r="L2234">
        <v>284.50729999999999</v>
      </c>
      <c r="M2234">
        <v>-0.99988350000000004</v>
      </c>
      <c r="N2234">
        <v>0</v>
      </c>
      <c r="O2234">
        <v>1.234419E-2</v>
      </c>
      <c r="P2234">
        <v>-0.99925390000000003</v>
      </c>
      <c r="Q2234">
        <v>3.8466590000000002E-2</v>
      </c>
      <c r="R2234">
        <v>3.516506E-3</v>
      </c>
      <c r="S2234">
        <v>-3.0039370000000001</v>
      </c>
      <c r="T2234">
        <v>-3.3074260000000001E-2</v>
      </c>
      <c r="U2234">
        <v>-0.14004520000000001</v>
      </c>
      <c r="V2234">
        <v>-8.8407959999999997E-3</v>
      </c>
      <c r="W2234">
        <v>4.7439229999999999E-2</v>
      </c>
      <c r="X2234">
        <v>0.99883500000000003</v>
      </c>
      <c r="Y2234">
        <v>-5.8893399999999999E-2</v>
      </c>
      <c r="Z2234">
        <v>-4.5987950000000001E-4</v>
      </c>
      <c r="AA2234">
        <v>0.99826420000000005</v>
      </c>
      <c r="AB2234">
        <v>45</v>
      </c>
      <c r="AC2234">
        <v>-100.48739999999999</v>
      </c>
      <c r="AD2234">
        <v>-1.1090152340370001</v>
      </c>
      <c r="AE2234">
        <v>-4.6986999999999703</v>
      </c>
      <c r="AF2234">
        <v>-5.9381058303079097</v>
      </c>
      <c r="AG2234">
        <v>-1.1090152340370001</v>
      </c>
      <c r="AH2234">
        <v>100.409535694483</v>
      </c>
      <c r="AI2234">
        <v>90.631697940686294</v>
      </c>
      <c r="AJ2234">
        <v>93.384465344048394</v>
      </c>
      <c r="AK2234">
        <v>100.591082477638</v>
      </c>
      <c r="AL2234">
        <v>87.280911807262001</v>
      </c>
      <c r="AM2234">
        <v>90.507117863457793</v>
      </c>
      <c r="AN2234">
        <v>0.99999999872095302</v>
      </c>
    </row>
    <row r="2235" spans="1:40" x14ac:dyDescent="0.25">
      <c r="A2235" t="str">
        <f>"20190312160645306"</f>
        <v>20190312160645306</v>
      </c>
      <c r="B2235" t="str">
        <f>"1552378005297622"</f>
        <v>1552378005297622</v>
      </c>
      <c r="C2235" t="s">
        <v>40</v>
      </c>
      <c r="D2235">
        <v>5.6138139999999996</v>
      </c>
      <c r="E2235">
        <v>0.48267690000000002</v>
      </c>
      <c r="F2235" t="s">
        <v>66</v>
      </c>
      <c r="G2235">
        <v>-447.03379999999999</v>
      </c>
      <c r="H2235" s="1">
        <v>2.417809E-6</v>
      </c>
      <c r="I2235">
        <v>279.77600000000001</v>
      </c>
      <c r="J2235">
        <v>-345.75240000000002</v>
      </c>
      <c r="K2235">
        <v>1.1090180000000001</v>
      </c>
      <c r="L2235">
        <v>284.51249999999999</v>
      </c>
      <c r="M2235">
        <v>-0.99988529999999998</v>
      </c>
      <c r="N2235">
        <v>0</v>
      </c>
      <c r="O2235">
        <v>1.218516E-2</v>
      </c>
      <c r="P2235">
        <v>-0.99925430000000004</v>
      </c>
      <c r="Q2235">
        <v>3.848232E-2</v>
      </c>
      <c r="R2235">
        <v>3.1450889999999998E-3</v>
      </c>
      <c r="S2235">
        <v>-3.0039980000000002</v>
      </c>
      <c r="T2235">
        <v>-3.2754779999999997E-2</v>
      </c>
      <c r="U2235">
        <v>-0.13974</v>
      </c>
      <c r="V2235">
        <v>-9.0536809999999992E-3</v>
      </c>
      <c r="W2235">
        <v>4.7468290000000003E-2</v>
      </c>
      <c r="X2235">
        <v>0.99883169999999999</v>
      </c>
      <c r="Y2235">
        <v>-5.86326E-2</v>
      </c>
      <c r="Z2235">
        <v>-4.5227510000000001E-4</v>
      </c>
      <c r="AA2235">
        <v>0.99827949999999999</v>
      </c>
      <c r="AB2235">
        <v>45</v>
      </c>
      <c r="AC2235">
        <v>-101.281399999999</v>
      </c>
      <c r="AD2235">
        <v>-1.1090155821909999</v>
      </c>
      <c r="AE2235">
        <v>-4.7364999999999702</v>
      </c>
      <c r="AF2235">
        <v>-5.9696141287958504</v>
      </c>
      <c r="AG2235">
        <v>-1.1090155821909999</v>
      </c>
      <c r="AH2235">
        <v>101.20405493655601</v>
      </c>
      <c r="AI2235">
        <v>90.626744926396199</v>
      </c>
      <c r="AJ2235">
        <v>93.375732696733195</v>
      </c>
      <c r="AK2235">
        <v>101.38602933348299</v>
      </c>
      <c r="AL2235">
        <v>87.279244880252307</v>
      </c>
      <c r="AM2235">
        <v>90.519330237904498</v>
      </c>
      <c r="AN2235">
        <v>0.99999998631003095</v>
      </c>
    </row>
    <row r="2236" spans="1:40" x14ac:dyDescent="0.25">
      <c r="A2236" t="str">
        <f>"20190312160645319"</f>
        <v>20190312160645319</v>
      </c>
      <c r="B2236" t="str">
        <f>"1552378005307378"</f>
        <v>1552378005307378</v>
      </c>
      <c r="C2236" t="s">
        <v>40</v>
      </c>
      <c r="D2236">
        <v>5.7214470000000004</v>
      </c>
      <c r="E2236">
        <v>0.4800817</v>
      </c>
      <c r="F2236" t="s">
        <v>66</v>
      </c>
      <c r="G2236">
        <v>-371.23480000000001</v>
      </c>
      <c r="H2236" s="1">
        <v>-8.7968599999999995E-7</v>
      </c>
      <c r="I2236">
        <v>283.45859999999999</v>
      </c>
      <c r="J2236">
        <v>-346.01310000000001</v>
      </c>
      <c r="K2236">
        <v>1.1090180000000001</v>
      </c>
      <c r="L2236">
        <v>284.51560000000001</v>
      </c>
      <c r="M2236">
        <v>-0.99988630000000001</v>
      </c>
      <c r="N2236">
        <v>0</v>
      </c>
      <c r="O2236">
        <v>1.2088440000000001E-2</v>
      </c>
      <c r="P2236">
        <v>-0.99927869999999996</v>
      </c>
      <c r="Q2236">
        <v>3.7854640000000002E-2</v>
      </c>
      <c r="R2236">
        <v>2.9795680000000001E-3</v>
      </c>
      <c r="S2236">
        <v>-3.0076900000000002</v>
      </c>
      <c r="T2236">
        <v>-0.13089780000000001</v>
      </c>
      <c r="U2236">
        <v>-0.1243896</v>
      </c>
      <c r="V2236">
        <v>-9.1225339999999999E-3</v>
      </c>
      <c r="W2236">
        <v>4.6849090000000003E-2</v>
      </c>
      <c r="X2236">
        <v>0.99886030000000003</v>
      </c>
      <c r="Y2236">
        <v>-5.333562E-2</v>
      </c>
      <c r="Z2236">
        <v>-1.6852389999999901E-3</v>
      </c>
      <c r="AA2236">
        <v>0.9985752</v>
      </c>
      <c r="AB2236">
        <v>45</v>
      </c>
      <c r="AC2236">
        <v>-25.221699999999998</v>
      </c>
      <c r="AD2236">
        <v>-1.1090188796860001</v>
      </c>
      <c r="AE2236">
        <v>-1.0570000000000099</v>
      </c>
      <c r="AF2236">
        <v>-1.3592028356169701</v>
      </c>
      <c r="AG2236">
        <v>-1.1090188796860001</v>
      </c>
      <c r="AH2236">
        <v>25.158521914497701</v>
      </c>
      <c r="AI2236">
        <v>92.520364335385693</v>
      </c>
      <c r="AJ2236">
        <v>93.092429316282093</v>
      </c>
      <c r="AK2236">
        <v>25.219607057726101</v>
      </c>
      <c r="AL2236">
        <v>87.314761922626005</v>
      </c>
      <c r="AM2236">
        <v>90.523264529542601</v>
      </c>
      <c r="AN2236">
        <v>0.99999997838824894</v>
      </c>
    </row>
    <row r="2237" spans="1:40" x14ac:dyDescent="0.25">
      <c r="A2237" t="str">
        <f>"20190312160645331"</f>
        <v>20190312160645331</v>
      </c>
      <c r="B2237" t="str">
        <f>"1552378005326899"</f>
        <v>1552378005326899</v>
      </c>
      <c r="C2237" t="s">
        <v>40</v>
      </c>
      <c r="D2237">
        <v>5.6703080000000003</v>
      </c>
      <c r="E2237">
        <v>0.4803018</v>
      </c>
      <c r="F2237" t="s">
        <v>75</v>
      </c>
      <c r="G2237">
        <v>-511.95859999999999</v>
      </c>
      <c r="H2237">
        <v>0.1084759</v>
      </c>
      <c r="I2237">
        <v>276.34910000000002</v>
      </c>
      <c r="J2237">
        <v>-346.27659999999997</v>
      </c>
      <c r="K2237">
        <v>1.1090199999999999</v>
      </c>
      <c r="L2237">
        <v>284.5188</v>
      </c>
      <c r="M2237">
        <v>-0.99988750000000004</v>
      </c>
      <c r="N2237">
        <v>0</v>
      </c>
      <c r="O2237">
        <v>1.1991E-2</v>
      </c>
      <c r="P2237">
        <v>-0.99927809999999995</v>
      </c>
      <c r="Q2237">
        <v>3.7857010000000003E-2</v>
      </c>
      <c r="R2237">
        <v>3.2148329999999998E-3</v>
      </c>
      <c r="S2237">
        <v>-3.0032649999999999</v>
      </c>
      <c r="T2237">
        <v>-1.8106219999999999E-2</v>
      </c>
      <c r="U2237">
        <v>-0.1477966</v>
      </c>
      <c r="V2237">
        <v>-8.7900740000000002E-3</v>
      </c>
      <c r="W2237">
        <v>4.6860520000000003E-2</v>
      </c>
      <c r="X2237">
        <v>0.99886269999999999</v>
      </c>
      <c r="Y2237">
        <v>-6.1124629999999999E-2</v>
      </c>
      <c r="Z2237">
        <v>-2.5639679999999999E-4</v>
      </c>
      <c r="AA2237">
        <v>0.99813010000000002</v>
      </c>
      <c r="AB2237">
        <v>45</v>
      </c>
      <c r="AC2237">
        <v>-165.68199999999999</v>
      </c>
      <c r="AD2237">
        <v>-1.0005440999999999</v>
      </c>
      <c r="AE2237">
        <v>-8.1696999999999704</v>
      </c>
      <c r="AF2237">
        <v>-10.1555166631886</v>
      </c>
      <c r="AG2237">
        <v>-1.0005440999999999</v>
      </c>
      <c r="AH2237">
        <v>165.56609718072099</v>
      </c>
      <c r="AI2237">
        <v>90.345594430366404</v>
      </c>
      <c r="AJ2237">
        <v>93.510019033500001</v>
      </c>
      <c r="AK2237">
        <v>165.880282561998</v>
      </c>
      <c r="AL2237">
        <v>87.314106191399205</v>
      </c>
      <c r="AM2237">
        <v>90.504194562167996</v>
      </c>
      <c r="AN2237">
        <v>0.99999993359343997</v>
      </c>
    </row>
    <row r="2238" spans="1:40" x14ac:dyDescent="0.25">
      <c r="A2238" t="str">
        <f>"20190312160645344"</f>
        <v>20190312160645344</v>
      </c>
      <c r="B2238" t="str">
        <f>"1552378005337635"</f>
        <v>1552378005337635</v>
      </c>
      <c r="C2238" t="s">
        <v>40</v>
      </c>
      <c r="D2238">
        <v>5.7718680000000004</v>
      </c>
      <c r="E2238">
        <v>0.4798885</v>
      </c>
      <c r="F2238" t="s">
        <v>75</v>
      </c>
      <c r="G2238">
        <v>-511.95859999999999</v>
      </c>
      <c r="H2238">
        <v>0.1111132</v>
      </c>
      <c r="I2238">
        <v>276.4984</v>
      </c>
      <c r="J2238">
        <v>-346.52319999999997</v>
      </c>
      <c r="K2238">
        <v>1.1090199999999999</v>
      </c>
      <c r="L2238">
        <v>284.52170000000001</v>
      </c>
      <c r="M2238">
        <v>-0.99988849999999996</v>
      </c>
      <c r="N2238">
        <v>0</v>
      </c>
      <c r="O2238">
        <v>1.1899649999999999E-2</v>
      </c>
      <c r="P2238">
        <v>-0.99926599999999999</v>
      </c>
      <c r="Q2238">
        <v>3.8202800000000002E-2</v>
      </c>
      <c r="R2238">
        <v>2.874424E-3</v>
      </c>
      <c r="S2238">
        <v>-3.0033259999999999</v>
      </c>
      <c r="T2238">
        <v>-1.808763E-2</v>
      </c>
      <c r="U2238">
        <v>-0.14538570000000001</v>
      </c>
      <c r="V2238">
        <v>-9.0385510000000006E-3</v>
      </c>
      <c r="W2238">
        <v>4.721347E-2</v>
      </c>
      <c r="X2238">
        <v>0.99884390000000001</v>
      </c>
      <c r="Y2238">
        <v>-6.0233099999999998E-2</v>
      </c>
      <c r="Z2238">
        <v>-2.5290019999999998E-4</v>
      </c>
      <c r="AA2238">
        <v>0.99818430000000002</v>
      </c>
      <c r="AB2238">
        <v>45</v>
      </c>
      <c r="AC2238">
        <v>-165.43539999999999</v>
      </c>
      <c r="AD2238">
        <v>-0.99790679999999998</v>
      </c>
      <c r="AE2238">
        <v>-8.0233000000000008</v>
      </c>
      <c r="AF2238">
        <v>-9.9910726761701092</v>
      </c>
      <c r="AG2238">
        <v>-0.99790679999999998</v>
      </c>
      <c r="AH2238">
        <v>165.32220617722501</v>
      </c>
      <c r="AI2238">
        <v>90.3452109264244</v>
      </c>
      <c r="AJ2238">
        <v>93.458403597066294</v>
      </c>
      <c r="AK2238">
        <v>165.626837217</v>
      </c>
      <c r="AL2238">
        <v>87.293861340031995</v>
      </c>
      <c r="AM2238">
        <v>90.518456077759595</v>
      </c>
      <c r="AN2238">
        <v>0.99999997186041401</v>
      </c>
    </row>
    <row r="2239" spans="1:40" x14ac:dyDescent="0.25">
      <c r="A2239" t="str">
        <f>"20190312160645362"</f>
        <v>20190312160645362</v>
      </c>
      <c r="B2239" t="str">
        <f>"1552378005347395"</f>
        <v>1552378005347395</v>
      </c>
      <c r="C2239" t="s">
        <v>40</v>
      </c>
      <c r="D2239">
        <v>5.8655730000000004</v>
      </c>
      <c r="E2239">
        <v>0.47999890000000001</v>
      </c>
      <c r="F2239" t="s">
        <v>75</v>
      </c>
      <c r="G2239">
        <v>-511.95870000000002</v>
      </c>
      <c r="H2239">
        <v>0.27584769999999997</v>
      </c>
      <c r="I2239">
        <v>276.27080000000001</v>
      </c>
      <c r="J2239">
        <v>-346.88369999999998</v>
      </c>
      <c r="K2239">
        <v>1.1090180000000001</v>
      </c>
      <c r="L2239">
        <v>284.52589999999998</v>
      </c>
      <c r="M2239">
        <v>-0.99988999999999995</v>
      </c>
      <c r="N2239">
        <v>0</v>
      </c>
      <c r="O2239">
        <v>1.176637E-2</v>
      </c>
      <c r="P2239">
        <v>-0.99926420000000005</v>
      </c>
      <c r="Q2239">
        <v>3.8273630000000003E-2</v>
      </c>
      <c r="R2239">
        <v>2.49994E-3</v>
      </c>
      <c r="S2239">
        <v>-3.0032040000000002</v>
      </c>
      <c r="T2239">
        <v>-1.5123370000000001E-2</v>
      </c>
      <c r="U2239">
        <v>-0.14978029999999901</v>
      </c>
      <c r="V2239">
        <v>-9.2799900000000001E-3</v>
      </c>
      <c r="W2239">
        <v>4.729539E-2</v>
      </c>
      <c r="X2239">
        <v>0.9988378</v>
      </c>
      <c r="Y2239">
        <v>-6.1559450000000002E-2</v>
      </c>
      <c r="Z2239">
        <v>-2.1412260000000001E-4</v>
      </c>
      <c r="AA2239">
        <v>0.99810339999999997</v>
      </c>
      <c r="AB2239">
        <v>45</v>
      </c>
      <c r="AC2239">
        <v>-165.07499999999999</v>
      </c>
      <c r="AD2239">
        <v>-0.83317030000000003</v>
      </c>
      <c r="AE2239">
        <v>-8.2550999999999704</v>
      </c>
      <c r="AF2239">
        <v>-10.196682099778</v>
      </c>
      <c r="AG2239">
        <v>-0.83317030000000003</v>
      </c>
      <c r="AH2239">
        <v>164.96224320305899</v>
      </c>
      <c r="AI2239">
        <v>90.288828533959503</v>
      </c>
      <c r="AJ2239">
        <v>93.537079015643002</v>
      </c>
      <c r="AK2239">
        <v>165.279182540264</v>
      </c>
      <c r="AL2239">
        <v>87.289162392083597</v>
      </c>
      <c r="AM2239">
        <v>90.532307610941203</v>
      </c>
      <c r="AN2239">
        <v>0.99999996141924496</v>
      </c>
    </row>
    <row r="2240" spans="1:40" x14ac:dyDescent="0.25">
      <c r="A2240" t="str">
        <f>"20190312160645374"</f>
        <v>20190312160645374</v>
      </c>
      <c r="B2240" t="str">
        <f>"1552378005367890"</f>
        <v>1552378005367890</v>
      </c>
      <c r="C2240" t="s">
        <v>40</v>
      </c>
      <c r="D2240">
        <v>5.684545</v>
      </c>
      <c r="E2240">
        <v>0.48051349999999998</v>
      </c>
      <c r="F2240" t="s">
        <v>75</v>
      </c>
      <c r="G2240">
        <v>-511.95870000000002</v>
      </c>
      <c r="H2240">
        <v>0.35909249999999998</v>
      </c>
      <c r="I2240">
        <v>276.29270000000002</v>
      </c>
      <c r="J2240">
        <v>-347.14190000000002</v>
      </c>
      <c r="K2240">
        <v>1.1090180000000001</v>
      </c>
      <c r="L2240">
        <v>284.52890000000002</v>
      </c>
      <c r="M2240">
        <v>-0.99989119999999998</v>
      </c>
      <c r="N2240">
        <v>0</v>
      </c>
      <c r="O2240">
        <v>1.1670959999999999E-2</v>
      </c>
      <c r="P2240">
        <v>-0.99927869999999996</v>
      </c>
      <c r="Q2240">
        <v>3.7908129999999998E-2</v>
      </c>
      <c r="R2240">
        <v>2.3329560000000002E-3</v>
      </c>
      <c r="S2240">
        <v>-3.0031129999999999</v>
      </c>
      <c r="T2240">
        <v>-1.3641479999999999E-2</v>
      </c>
      <c r="U2240">
        <v>-0.14978029999999901</v>
      </c>
      <c r="V2240">
        <v>-9.3520679999999998E-3</v>
      </c>
      <c r="W2240">
        <v>4.693816E-2</v>
      </c>
      <c r="X2240">
        <v>0.99885400000000002</v>
      </c>
      <c r="Y2240">
        <v>-6.1465899999999997E-2</v>
      </c>
      <c r="Z2240">
        <v>-1.9250199999999999E-4</v>
      </c>
      <c r="AA2240">
        <v>0.99810920000000003</v>
      </c>
      <c r="AB2240">
        <v>45</v>
      </c>
      <c r="AC2240">
        <v>-164.8168</v>
      </c>
      <c r="AD2240">
        <v>-0.74992550000000002</v>
      </c>
      <c r="AE2240">
        <v>-8.2361999999999895</v>
      </c>
      <c r="AF2240">
        <v>-10.159077755933399</v>
      </c>
      <c r="AG2240">
        <v>-0.74992550000000002</v>
      </c>
      <c r="AH2240">
        <v>164.70604406080301</v>
      </c>
      <c r="AI2240">
        <v>90.260377632534698</v>
      </c>
      <c r="AJ2240">
        <v>93.529535372839604</v>
      </c>
      <c r="AK2240">
        <v>165.020756873994</v>
      </c>
      <c r="AL2240">
        <v>87.309652978562994</v>
      </c>
      <c r="AM2240">
        <v>90.5364331218762</v>
      </c>
      <c r="AN2240">
        <v>0.99999998267803103</v>
      </c>
    </row>
    <row r="2241" spans="1:40" x14ac:dyDescent="0.25">
      <c r="A2241" t="str">
        <f>"20190312160645385"</f>
        <v>20190312160645385</v>
      </c>
      <c r="B2241" t="str">
        <f>"1552378005377650"</f>
        <v>1552378005377650</v>
      </c>
      <c r="C2241" t="s">
        <v>40</v>
      </c>
      <c r="D2241">
        <v>5.7372509999999997</v>
      </c>
      <c r="E2241">
        <v>0.48070970000000002</v>
      </c>
      <c r="F2241" t="s">
        <v>75</v>
      </c>
      <c r="G2241">
        <v>-511.95870000000002</v>
      </c>
      <c r="H2241">
        <v>0.36764140000000001</v>
      </c>
      <c r="I2241">
        <v>276.49759999999998</v>
      </c>
      <c r="J2241">
        <v>-347.3852</v>
      </c>
      <c r="K2241">
        <v>1.109016</v>
      </c>
      <c r="L2241">
        <v>284.53160000000003</v>
      </c>
      <c r="M2241">
        <v>-0.99989209999999995</v>
      </c>
      <c r="N2241">
        <v>0</v>
      </c>
      <c r="O2241">
        <v>1.158093E-2</v>
      </c>
      <c r="P2241">
        <v>-0.9992839</v>
      </c>
      <c r="Q2241">
        <v>3.7780050000000003E-2</v>
      </c>
      <c r="R2241">
        <v>2.174044E-3</v>
      </c>
      <c r="S2241">
        <v>-3.0030209999999999</v>
      </c>
      <c r="T2241">
        <v>-1.350665E-2</v>
      </c>
      <c r="U2241">
        <v>-0.14633180000000001</v>
      </c>
      <c r="V2241">
        <v>-9.4207059999999992E-3</v>
      </c>
      <c r="W2241">
        <v>4.681718E-2</v>
      </c>
      <c r="X2241">
        <v>0.99885900000000005</v>
      </c>
      <c r="Y2241">
        <v>-6.0234129999999997E-2</v>
      </c>
      <c r="Z2241">
        <v>-1.8743730000000001E-4</v>
      </c>
      <c r="AA2241">
        <v>0.99818430000000002</v>
      </c>
      <c r="AB2241">
        <v>46</v>
      </c>
      <c r="AC2241">
        <v>-164.5735</v>
      </c>
      <c r="AD2241">
        <v>-0.74137459999999999</v>
      </c>
      <c r="AE2241">
        <v>-8.0340000000000398</v>
      </c>
      <c r="AF2241">
        <v>-9.9392519806471</v>
      </c>
      <c r="AG2241">
        <v>-0.74137459999999999</v>
      </c>
      <c r="AH2241">
        <v>164.46608796071499</v>
      </c>
      <c r="AI2241">
        <v>90.257803863375003</v>
      </c>
      <c r="AJ2241">
        <v>93.458375100789496</v>
      </c>
      <c r="AK2241">
        <v>164.767813772393</v>
      </c>
      <c r="AL2241">
        <v>87.316592163014803</v>
      </c>
      <c r="AM2241">
        <v>90.540367249173102</v>
      </c>
      <c r="AN2241">
        <v>0.99999994996284403</v>
      </c>
    </row>
    <row r="2242" spans="1:40" x14ac:dyDescent="0.25">
      <c r="A2242" t="str">
        <f>"20190312160645399"</f>
        <v>20190312160645399</v>
      </c>
      <c r="B2242" t="str">
        <f>"1552378005387411"</f>
        <v>1552378005387411</v>
      </c>
      <c r="C2242" t="s">
        <v>40</v>
      </c>
      <c r="D2242">
        <v>5.718305</v>
      </c>
      <c r="E2242">
        <v>0.48080440000000002</v>
      </c>
      <c r="F2242" t="s">
        <v>75</v>
      </c>
      <c r="G2242">
        <v>-511.9588</v>
      </c>
      <c r="H2242">
        <v>0.4163907</v>
      </c>
      <c r="I2242">
        <v>276.58049999999997</v>
      </c>
      <c r="J2242">
        <v>-347.63749999999999</v>
      </c>
      <c r="K2242">
        <v>1.1090150000000001</v>
      </c>
      <c r="L2242">
        <v>284.53449999999998</v>
      </c>
      <c r="M2242">
        <v>-0.99989320000000004</v>
      </c>
      <c r="N2242">
        <v>0</v>
      </c>
      <c r="O2242">
        <v>1.148719E-2</v>
      </c>
      <c r="P2242">
        <v>-0.99929650000000003</v>
      </c>
      <c r="Q2242">
        <v>3.7453630000000002E-2</v>
      </c>
      <c r="R2242">
        <v>1.996926E-3</v>
      </c>
      <c r="S2242">
        <v>-3.0028990000000002</v>
      </c>
      <c r="T2242">
        <v>-1.263654E-2</v>
      </c>
      <c r="U2242">
        <v>-0.1450806</v>
      </c>
      <c r="V2242">
        <v>-9.5041989999999996E-3</v>
      </c>
      <c r="W2242">
        <v>4.6498999999999999E-2</v>
      </c>
      <c r="X2242">
        <v>0.99887309999999996</v>
      </c>
      <c r="Y2242">
        <v>-5.972769E-2</v>
      </c>
      <c r="Z2242">
        <v>-1.7391220000000001E-4</v>
      </c>
      <c r="AA2242">
        <v>0.99821470000000001</v>
      </c>
      <c r="AB2242">
        <v>46</v>
      </c>
      <c r="AC2242">
        <v>-164.32130000000001</v>
      </c>
      <c r="AD2242">
        <v>-0.69262429999999897</v>
      </c>
      <c r="AE2242">
        <v>-7.9539999999999997</v>
      </c>
      <c r="AF2242">
        <v>-9.8409677632199895</v>
      </c>
      <c r="AG2242">
        <v>-0.69262429999999897</v>
      </c>
      <c r="AH2242">
        <v>164.21617360004601</v>
      </c>
      <c r="AI2242">
        <v>90.241225620637294</v>
      </c>
      <c r="AJ2242">
        <v>93.429457585303993</v>
      </c>
      <c r="AK2242">
        <v>164.51223676911701</v>
      </c>
      <c r="AL2242">
        <v>87.334842486859102</v>
      </c>
      <c r="AM2242">
        <v>90.545148385565298</v>
      </c>
      <c r="AN2242">
        <v>0.99999997835162002</v>
      </c>
    </row>
    <row r="2243" spans="1:40" x14ac:dyDescent="0.25">
      <c r="A2243" t="str">
        <f>"20190312160645418"</f>
        <v>20190312160645418</v>
      </c>
      <c r="B2243" t="str">
        <f>"1552378005406931"</f>
        <v>1552378005406931</v>
      </c>
      <c r="C2243" t="s">
        <v>40</v>
      </c>
      <c r="D2243">
        <v>5.6652230000000001</v>
      </c>
      <c r="E2243">
        <v>0.48474410000000001</v>
      </c>
      <c r="F2243" t="s">
        <v>75</v>
      </c>
      <c r="G2243">
        <v>-511.9588</v>
      </c>
      <c r="H2243">
        <v>0.4556444</v>
      </c>
      <c r="I2243">
        <v>276.6071</v>
      </c>
      <c r="J2243">
        <v>-348.02870000000001</v>
      </c>
      <c r="K2243">
        <v>1.1090100000000001</v>
      </c>
      <c r="L2243">
        <v>284.53890000000001</v>
      </c>
      <c r="M2243">
        <v>-0.99989470000000003</v>
      </c>
      <c r="N2243">
        <v>0</v>
      </c>
      <c r="O2243">
        <v>1.13423E-2</v>
      </c>
      <c r="P2243">
        <v>-0.99930030000000003</v>
      </c>
      <c r="Q2243">
        <v>3.7368949999999998E-2</v>
      </c>
      <c r="R2243">
        <v>1.7723750000000001E-3</v>
      </c>
      <c r="S2243">
        <v>-3.0028380000000001</v>
      </c>
      <c r="T2243">
        <v>-1.193833E-2</v>
      </c>
      <c r="U2243">
        <v>-0.14486689999999999</v>
      </c>
      <c r="V2243">
        <v>-9.5837749999999992E-3</v>
      </c>
      <c r="W2243">
        <v>4.6426120000000001E-2</v>
      </c>
      <c r="X2243">
        <v>0.99887570000000003</v>
      </c>
      <c r="Y2243">
        <v>-5.951323E-2</v>
      </c>
      <c r="Z2243">
        <v>-1.633049E-4</v>
      </c>
      <c r="AA2243">
        <v>0.99822750000000005</v>
      </c>
      <c r="AB2243">
        <v>46</v>
      </c>
      <c r="AC2243">
        <v>-163.93009999999899</v>
      </c>
      <c r="AD2243">
        <v>-0.65336559999999999</v>
      </c>
      <c r="AE2243">
        <v>-7.9318000000000097</v>
      </c>
      <c r="AF2243">
        <v>-9.7905551313596302</v>
      </c>
      <c r="AG2243">
        <v>-0.65336559999999999</v>
      </c>
      <c r="AH2243">
        <v>163.82698927390101</v>
      </c>
      <c r="AI2243">
        <v>90.228095651346393</v>
      </c>
      <c r="AJ2243">
        <v>93.420017109127301</v>
      </c>
      <c r="AK2243">
        <v>164.12057845053499</v>
      </c>
      <c r="AL2243">
        <v>87.339022638933699</v>
      </c>
      <c r="AM2243">
        <v>90.549711050817905</v>
      </c>
      <c r="AN2243">
        <v>0.99999994870599596</v>
      </c>
    </row>
    <row r="2244" spans="1:40" x14ac:dyDescent="0.25">
      <c r="A2244" t="str">
        <f>"20190312160645441"</f>
        <v>20190312160645441</v>
      </c>
      <c r="B2244" t="str">
        <f>"1552378005427427"</f>
        <v>1552378005427427</v>
      </c>
      <c r="C2244" t="s">
        <v>40</v>
      </c>
      <c r="D2244">
        <v>6.0286559999999998</v>
      </c>
      <c r="E2244">
        <v>0.48423660000000002</v>
      </c>
      <c r="F2244" t="s">
        <v>66</v>
      </c>
      <c r="G2244">
        <v>-376.71600000000001</v>
      </c>
      <c r="H2244" s="1">
        <v>2.0371209999999999E-6</v>
      </c>
      <c r="I2244">
        <v>283.46910000000003</v>
      </c>
      <c r="J2244">
        <v>-348.48559999999998</v>
      </c>
      <c r="K2244">
        <v>1.109008</v>
      </c>
      <c r="L2244">
        <v>284.54399999999998</v>
      </c>
      <c r="M2244">
        <v>-0.99989629999999996</v>
      </c>
      <c r="N2244">
        <v>0</v>
      </c>
      <c r="O2244">
        <v>1.1173779999999999E-2</v>
      </c>
      <c r="P2244">
        <v>-0.99928870000000003</v>
      </c>
      <c r="Q2244">
        <v>3.7692789999999997E-2</v>
      </c>
      <c r="R2244">
        <v>1.24135E-3</v>
      </c>
      <c r="S2244">
        <v>-3.006653</v>
      </c>
      <c r="T2244">
        <v>-0.1162329</v>
      </c>
      <c r="U2244">
        <v>-0.1121216</v>
      </c>
      <c r="V2244">
        <v>-9.9465590000000006E-3</v>
      </c>
      <c r="W2244">
        <v>4.6764310000000003E-2</v>
      </c>
      <c r="X2244">
        <v>0.99885639999999998</v>
      </c>
      <c r="Y2244">
        <v>-4.8384990000000003E-2</v>
      </c>
      <c r="Z2244">
        <v>-1.366258E-3</v>
      </c>
      <c r="AA2244">
        <v>0.99882780000000004</v>
      </c>
      <c r="AB2244">
        <v>46</v>
      </c>
      <c r="AC2244">
        <v>-28.230399999999999</v>
      </c>
      <c r="AD2244">
        <v>-1.1090059628790001</v>
      </c>
      <c r="AE2244">
        <v>-1.07490000000001</v>
      </c>
      <c r="AF2244">
        <v>-1.3881470433398699</v>
      </c>
      <c r="AG2244">
        <v>-1.1090059628790001</v>
      </c>
      <c r="AH2244">
        <v>28.173211170725299</v>
      </c>
      <c r="AI2244">
        <v>92.251489924767995</v>
      </c>
      <c r="AJ2244">
        <v>92.820789480174696</v>
      </c>
      <c r="AK2244">
        <v>28.229181251143601</v>
      </c>
      <c r="AL2244">
        <v>87.319624769703097</v>
      </c>
      <c r="AM2244">
        <v>90.5705294729119</v>
      </c>
      <c r="AN2244">
        <v>0.99999997127333795</v>
      </c>
    </row>
    <row r="2245" spans="1:40" x14ac:dyDescent="0.25">
      <c r="A2245" t="str">
        <f>"20190312160645461"</f>
        <v>20190312160645461</v>
      </c>
      <c r="B2245" t="str">
        <f>"1552378005457683"</f>
        <v>1552378005457683</v>
      </c>
      <c r="C2245" t="s">
        <v>40</v>
      </c>
      <c r="D2245">
        <v>5.7431890000000001</v>
      </c>
      <c r="E2245">
        <v>0.47998160000000001</v>
      </c>
      <c r="F2245" t="s">
        <v>66</v>
      </c>
      <c r="G2245">
        <v>-379.14920000000001</v>
      </c>
      <c r="H2245" s="1">
        <v>3.3319549999999998E-6</v>
      </c>
      <c r="I2245">
        <v>283.34309999999999</v>
      </c>
      <c r="J2245">
        <v>-348.92340000000002</v>
      </c>
      <c r="K2245">
        <v>1.1090100000000001</v>
      </c>
      <c r="L2245">
        <v>284.54880000000003</v>
      </c>
      <c r="M2245">
        <v>-0.99989799999999995</v>
      </c>
      <c r="N2245">
        <v>0</v>
      </c>
      <c r="O2245">
        <v>1.101224E-2</v>
      </c>
      <c r="P2245">
        <v>-0.99929159999999995</v>
      </c>
      <c r="Q2245">
        <v>3.7626420000000001E-2</v>
      </c>
      <c r="R2245">
        <v>7.0757619999999998E-4</v>
      </c>
      <c r="S2245">
        <v>-3.0063780000000002</v>
      </c>
      <c r="T2245">
        <v>-0.1087313</v>
      </c>
      <c r="U2245">
        <v>-0.1177368</v>
      </c>
      <c r="V2245">
        <v>-1.031904E-2</v>
      </c>
      <c r="W2245">
        <v>4.6710960000000003E-2</v>
      </c>
      <c r="X2245">
        <v>0.99885520000000005</v>
      </c>
      <c r="Y2245">
        <v>-5.0094340000000001E-2</v>
      </c>
      <c r="Z2245">
        <v>-1.3032619999999999E-3</v>
      </c>
      <c r="AA2245">
        <v>0.99874370000000001</v>
      </c>
      <c r="AB2245">
        <v>46</v>
      </c>
      <c r="AC2245">
        <v>-30.2257999999999</v>
      </c>
      <c r="AD2245">
        <v>-1.1090066680449999</v>
      </c>
      <c r="AE2245">
        <v>-1.20570000000003</v>
      </c>
      <c r="AF2245">
        <v>-1.53642934584641</v>
      </c>
      <c r="AG2245">
        <v>-1.1090066680449999</v>
      </c>
      <c r="AH2245">
        <v>30.1701382453744</v>
      </c>
      <c r="AI2245">
        <v>92.1024326084611</v>
      </c>
      <c r="AJ2245">
        <v>92.915297720381304</v>
      </c>
      <c r="AK2245">
        <v>30.229584063786699</v>
      </c>
      <c r="AL2245">
        <v>87.322685063902</v>
      </c>
      <c r="AM2245">
        <v>90.591894008606204</v>
      </c>
      <c r="AN2245">
        <v>1.00000005346884</v>
      </c>
    </row>
    <row r="2246" spans="1:40" x14ac:dyDescent="0.25">
      <c r="A2246" t="str">
        <f>"20190312160645474"</f>
        <v>20190312160645474</v>
      </c>
      <c r="B2246" t="str">
        <f>"1552378005467444"</f>
        <v>1552378005467444</v>
      </c>
      <c r="C2246" t="s">
        <v>40</v>
      </c>
      <c r="D2246">
        <v>5.8260630000000004</v>
      </c>
      <c r="E2246">
        <v>0.47735480000000002</v>
      </c>
      <c r="F2246" t="s">
        <v>75</v>
      </c>
      <c r="G2246">
        <v>-511.95859999999999</v>
      </c>
      <c r="H2246">
        <v>7.7888730000000003E-2</v>
      </c>
      <c r="I2246">
        <v>276.12209999999999</v>
      </c>
      <c r="J2246">
        <v>-349.18310000000002</v>
      </c>
      <c r="K2246">
        <v>1.1090089999999999</v>
      </c>
      <c r="L2246">
        <v>284.55160000000001</v>
      </c>
      <c r="M2246">
        <v>-0.99989899999999998</v>
      </c>
      <c r="N2246">
        <v>0</v>
      </c>
      <c r="O2246">
        <v>1.0916479999999999E-2</v>
      </c>
      <c r="P2246">
        <v>-0.99929349999999995</v>
      </c>
      <c r="Q2246">
        <v>3.7581110000000001E-2</v>
      </c>
      <c r="R2246">
        <v>4.9781109999999995E-4</v>
      </c>
      <c r="S2246">
        <v>-3.0029910000000002</v>
      </c>
      <c r="T2246">
        <v>-1.8990989999999999E-2</v>
      </c>
      <c r="U2246">
        <v>-0.1552124</v>
      </c>
      <c r="V2246">
        <v>-1.0433370000000001E-2</v>
      </c>
      <c r="W2246">
        <v>4.6673810000000003E-2</v>
      </c>
      <c r="X2246">
        <v>0.99885570000000001</v>
      </c>
      <c r="Y2246">
        <v>-6.2514890000000004E-2</v>
      </c>
      <c r="Z2246">
        <v>-2.6653510000000002E-4</v>
      </c>
      <c r="AA2246">
        <v>0.99804400000000004</v>
      </c>
      <c r="AB2246">
        <v>46</v>
      </c>
      <c r="AC2246">
        <v>-162.775499999999</v>
      </c>
      <c r="AD2246">
        <v>-1.0311202699999999</v>
      </c>
      <c r="AE2246">
        <v>-8.4295000000000098</v>
      </c>
      <c r="AF2246">
        <v>-10.2055983231925</v>
      </c>
      <c r="AG2246">
        <v>-1.0311202699999999</v>
      </c>
      <c r="AH2246">
        <v>162.66726573894701</v>
      </c>
      <c r="AI2246">
        <v>90.362470728075806</v>
      </c>
      <c r="AJ2246">
        <v>93.589980452696807</v>
      </c>
      <c r="AK2246">
        <v>162.99035796368699</v>
      </c>
      <c r="AL2246">
        <v>87.324815795228901</v>
      </c>
      <c r="AM2246">
        <v>90.598451135647394</v>
      </c>
      <c r="AN2246">
        <v>1.00000000458598</v>
      </c>
    </row>
    <row r="2247" spans="1:40" x14ac:dyDescent="0.25">
      <c r="A2247" t="str">
        <f>"20190312160645487"</f>
        <v>20190312160645487</v>
      </c>
      <c r="B2247" t="str">
        <f>"1552378005477203"</f>
        <v>1552378005477203</v>
      </c>
      <c r="C2247" t="s">
        <v>40</v>
      </c>
      <c r="D2247">
        <v>5.8787539999999998</v>
      </c>
      <c r="E2247">
        <v>0.47514000000000001</v>
      </c>
      <c r="F2247" t="s">
        <v>75</v>
      </c>
      <c r="G2247">
        <v>-512.82529999999997</v>
      </c>
      <c r="H2247">
        <v>0.32896350000000002</v>
      </c>
      <c r="I2247">
        <v>274.90359999999998</v>
      </c>
      <c r="J2247">
        <v>-349.4633</v>
      </c>
      <c r="K2247">
        <v>1.1090120000000001</v>
      </c>
      <c r="L2247">
        <v>284.55459999999999</v>
      </c>
      <c r="M2247">
        <v>-0.99990000000000001</v>
      </c>
      <c r="N2247">
        <v>0</v>
      </c>
      <c r="O2247">
        <v>1.0813140000000001E-2</v>
      </c>
      <c r="P2247">
        <v>-0.99929670000000004</v>
      </c>
      <c r="Q2247">
        <v>3.7498330000000003E-2</v>
      </c>
      <c r="R2247">
        <v>3.609153E-4</v>
      </c>
      <c r="S2247">
        <v>-3.0027159999999999</v>
      </c>
      <c r="T2247">
        <v>-1.431179E-2</v>
      </c>
      <c r="U2247">
        <v>-0.17703250000000001</v>
      </c>
      <c r="V2247">
        <v>-1.046675E-2</v>
      </c>
      <c r="W2247">
        <v>4.6599019999999998E-2</v>
      </c>
      <c r="X2247">
        <v>0.99885880000000005</v>
      </c>
      <c r="Y2247">
        <v>-6.9645750000000006E-2</v>
      </c>
      <c r="Z2247">
        <v>-2.1732969999999999E-4</v>
      </c>
      <c r="AA2247">
        <v>0.99757180000000001</v>
      </c>
      <c r="AB2247">
        <v>46</v>
      </c>
      <c r="AC2247">
        <v>-163.361999999999</v>
      </c>
      <c r="AD2247">
        <v>-0.78004850000000003</v>
      </c>
      <c r="AE2247">
        <v>-9.6509999999999998</v>
      </c>
      <c r="AF2247">
        <v>-11.416705868045501</v>
      </c>
      <c r="AG2247">
        <v>-0.78004850000000003</v>
      </c>
      <c r="AH2247">
        <v>163.244377429276</v>
      </c>
      <c r="AI2247">
        <v>90.273113533201993</v>
      </c>
      <c r="AJ2247">
        <v>94.000540321535297</v>
      </c>
      <c r="AK2247">
        <v>163.644970624862</v>
      </c>
      <c r="AL2247">
        <v>87.329105500166406</v>
      </c>
      <c r="AM2247">
        <v>90.600363787111206</v>
      </c>
      <c r="AN2247">
        <v>0.99999996192898</v>
      </c>
    </row>
    <row r="2248" spans="1:40" x14ac:dyDescent="0.25">
      <c r="A2248" t="str">
        <f>"20190312160645499"</f>
        <v>20190312160645499</v>
      </c>
      <c r="B2248" t="str">
        <f>"1552378005487940"</f>
        <v>1552378005487940</v>
      </c>
      <c r="C2248" t="s">
        <v>40</v>
      </c>
      <c r="D2248">
        <v>5.7716070000000004</v>
      </c>
      <c r="E2248">
        <v>0.4733907</v>
      </c>
      <c r="F2248" t="s">
        <v>75</v>
      </c>
      <c r="G2248">
        <v>-512.82529999999997</v>
      </c>
      <c r="H2248">
        <v>0.43482280000000001</v>
      </c>
      <c r="I2248">
        <v>273.95010000000002</v>
      </c>
      <c r="J2248">
        <v>-349.70510000000002</v>
      </c>
      <c r="K2248">
        <v>1.109013</v>
      </c>
      <c r="L2248">
        <v>284.55709999999999</v>
      </c>
      <c r="M2248">
        <v>-0.99990089999999998</v>
      </c>
      <c r="N2248">
        <v>0</v>
      </c>
      <c r="O2248">
        <v>1.0724050000000001E-2</v>
      </c>
      <c r="P2248">
        <v>-0.99928930000000005</v>
      </c>
      <c r="Q2248">
        <v>3.7692730000000001E-2</v>
      </c>
      <c r="R2248">
        <v>1.5528380000000001E-4</v>
      </c>
      <c r="S2248">
        <v>-3.0026860000000002</v>
      </c>
      <c r="T2248">
        <v>-1.2390490000000001E-2</v>
      </c>
      <c r="U2248">
        <v>-0.1949158</v>
      </c>
      <c r="V2248">
        <v>-1.058334E-2</v>
      </c>
      <c r="W2248">
        <v>4.6800990000000001E-2</v>
      </c>
      <c r="X2248">
        <v>0.99884810000000002</v>
      </c>
      <c r="Y2248">
        <v>-7.5475E-2</v>
      </c>
      <c r="Z2248">
        <v>-1.9976919999999999E-4</v>
      </c>
      <c r="AA2248">
        <v>0.99714769999999997</v>
      </c>
      <c r="AB2248">
        <v>46</v>
      </c>
      <c r="AC2248">
        <v>-163.12019999999899</v>
      </c>
      <c r="AD2248">
        <v>-0.67419019999999996</v>
      </c>
      <c r="AE2248">
        <v>-10.6069999999999</v>
      </c>
      <c r="AF2248">
        <v>-12.3555617706141</v>
      </c>
      <c r="AG2248">
        <v>-0.67419019999999996</v>
      </c>
      <c r="AH2248">
        <v>162.994291767276</v>
      </c>
      <c r="AI2248">
        <v>90.236312128139502</v>
      </c>
      <c r="AJ2248">
        <v>94.334938603612798</v>
      </c>
      <c r="AK2248">
        <v>163.46330960741301</v>
      </c>
      <c r="AL2248">
        <v>87.317520754954998</v>
      </c>
      <c r="AM2248">
        <v>90.607057294084399</v>
      </c>
      <c r="AN2248">
        <v>0.99999993331207004</v>
      </c>
    </row>
    <row r="2249" spans="1:40" x14ac:dyDescent="0.25">
      <c r="A2249" t="str">
        <f>"20190312160645518"</f>
        <v>20190312160645518</v>
      </c>
      <c r="B2249" t="str">
        <f>"1552378005507460"</f>
        <v>1552378005507460</v>
      </c>
      <c r="C2249" t="s">
        <v>40</v>
      </c>
      <c r="D2249">
        <v>5.6821869999999999</v>
      </c>
      <c r="E2249">
        <v>0.47094619999999998</v>
      </c>
      <c r="F2249" t="s">
        <v>43</v>
      </c>
      <c r="G2249">
        <v>-455.16489999999999</v>
      </c>
      <c r="H2249">
        <v>0.75194469999999902</v>
      </c>
      <c r="I2249">
        <v>277.19549999999998</v>
      </c>
      <c r="J2249">
        <v>-350.08620000000002</v>
      </c>
      <c r="K2249">
        <v>1.109016</v>
      </c>
      <c r="L2249">
        <v>284.56119999999999</v>
      </c>
      <c r="M2249">
        <v>-0.99990219999999996</v>
      </c>
      <c r="N2249">
        <v>0</v>
      </c>
      <c r="O2249">
        <v>1.0583510000000001E-2</v>
      </c>
      <c r="P2249">
        <v>-0.9992839</v>
      </c>
      <c r="Q2249">
        <v>3.7840239999999997E-2</v>
      </c>
      <c r="R2249">
        <v>-2.0009309999999999E-4</v>
      </c>
      <c r="S2249">
        <v>-3.0025629999999999</v>
      </c>
      <c r="T2249">
        <v>-1.016426E-2</v>
      </c>
      <c r="U2249">
        <v>-0.20959469999999999</v>
      </c>
      <c r="V2249">
        <v>-1.079806E-2</v>
      </c>
      <c r="W2249">
        <v>4.6960080000000001E-2</v>
      </c>
      <c r="X2249">
        <v>0.99883840000000002</v>
      </c>
      <c r="Y2249">
        <v>-8.0189640000000006E-2</v>
      </c>
      <c r="Z2249">
        <v>-1.713513E-4</v>
      </c>
      <c r="AA2249">
        <v>0.99677959999999999</v>
      </c>
      <c r="AB2249">
        <v>46</v>
      </c>
      <c r="AC2249">
        <v>-105.078699999999</v>
      </c>
      <c r="AD2249">
        <v>-0.35707129999999998</v>
      </c>
      <c r="AE2249">
        <v>-7.3657000000000004</v>
      </c>
      <c r="AF2249">
        <v>-8.4773379734133094</v>
      </c>
      <c r="AG2249">
        <v>-0.35707129999999998</v>
      </c>
      <c r="AH2249">
        <v>104.993649691936</v>
      </c>
      <c r="AI2249">
        <v>90.194223534706595</v>
      </c>
      <c r="AJ2249">
        <v>94.616129727851302</v>
      </c>
      <c r="AK2249">
        <v>105.335935153497</v>
      </c>
      <c r="AL2249">
        <v>87.308395710578097</v>
      </c>
      <c r="AM2249">
        <v>90.619378635116504</v>
      </c>
      <c r="AN2249">
        <v>0.99999999826396502</v>
      </c>
    </row>
    <row r="2250" spans="1:40" x14ac:dyDescent="0.25">
      <c r="A2250" t="str">
        <f>"20190312160645540"</f>
        <v>20190312160645540</v>
      </c>
      <c r="B2250" t="str">
        <f>"1552378005526979"</f>
        <v>1552378005526979</v>
      </c>
      <c r="C2250" t="s">
        <v>40</v>
      </c>
      <c r="D2250">
        <v>5.7986170000000001</v>
      </c>
      <c r="E2250">
        <v>0.4696727</v>
      </c>
      <c r="F2250" t="s">
        <v>75</v>
      </c>
      <c r="G2250">
        <v>-512.82539999999995</v>
      </c>
      <c r="H2250">
        <v>0.60471900000000001</v>
      </c>
      <c r="I2250">
        <v>272.0908</v>
      </c>
      <c r="J2250">
        <v>-350.53710000000001</v>
      </c>
      <c r="K2250">
        <v>1.1090169999999999</v>
      </c>
      <c r="L2250">
        <v>284.56580000000002</v>
      </c>
      <c r="M2250">
        <v>-0.99990389999999996</v>
      </c>
      <c r="N2250">
        <v>0</v>
      </c>
      <c r="O2250">
        <v>1.041708E-2</v>
      </c>
      <c r="P2250">
        <v>-0.99927069999999996</v>
      </c>
      <c r="Q2250">
        <v>3.8176910000000001E-2</v>
      </c>
      <c r="R2250">
        <v>-9.4844829999999995E-4</v>
      </c>
      <c r="S2250">
        <v>-3.002472</v>
      </c>
      <c r="T2250">
        <v>-9.3026159999999997E-3</v>
      </c>
      <c r="U2250">
        <v>-0.230072</v>
      </c>
      <c r="V2250">
        <v>-1.137989E-2</v>
      </c>
      <c r="W2250">
        <v>4.7310629999999999E-2</v>
      </c>
      <c r="X2250">
        <v>0.99881540000000002</v>
      </c>
      <c r="Y2250">
        <v>-8.6786020000000005E-2</v>
      </c>
      <c r="Z2250">
        <v>-1.664805E-4</v>
      </c>
      <c r="AA2250">
        <v>0.99622699999999997</v>
      </c>
      <c r="AB2250">
        <v>46</v>
      </c>
      <c r="AC2250">
        <v>-162.288299999999</v>
      </c>
      <c r="AD2250">
        <v>-0.50429799999999902</v>
      </c>
      <c r="AE2250">
        <v>-12.475</v>
      </c>
      <c r="AF2250">
        <v>-14.164828024209299</v>
      </c>
      <c r="AG2250">
        <v>-0.50429799999999902</v>
      </c>
      <c r="AH2250">
        <v>162.147978597676</v>
      </c>
      <c r="AI2250">
        <v>90.177519522488595</v>
      </c>
      <c r="AJ2250">
        <v>94.992536969237804</v>
      </c>
      <c r="AK2250">
        <v>162.76628530731</v>
      </c>
      <c r="AL2250">
        <v>87.288288331714497</v>
      </c>
      <c r="AM2250">
        <v>90.652764722881102</v>
      </c>
      <c r="AN2250">
        <v>1.00000000044228</v>
      </c>
    </row>
    <row r="2251" spans="1:40" x14ac:dyDescent="0.25">
      <c r="A2251" t="str">
        <f>"20190312160645563"</f>
        <v>20190312160645563</v>
      </c>
      <c r="B2251" t="str">
        <f>"1552378005557235"</f>
        <v>1552378005557235</v>
      </c>
      <c r="C2251" t="s">
        <v>40</v>
      </c>
      <c r="D2251">
        <v>5.8806289999999999</v>
      </c>
      <c r="E2251">
        <v>0.4683078</v>
      </c>
      <c r="F2251" t="s">
        <v>75</v>
      </c>
      <c r="G2251">
        <v>-512.82539999999995</v>
      </c>
      <c r="H2251">
        <v>0.59049609999999997</v>
      </c>
      <c r="I2251">
        <v>271.46640000000002</v>
      </c>
      <c r="J2251">
        <v>-351.00990000000002</v>
      </c>
      <c r="K2251">
        <v>1.1090180000000001</v>
      </c>
      <c r="L2251">
        <v>284.57060000000001</v>
      </c>
      <c r="M2251">
        <v>-0.99990559999999995</v>
      </c>
      <c r="N2251">
        <v>0</v>
      </c>
      <c r="O2251">
        <v>1.0242899999999999E-2</v>
      </c>
      <c r="P2251">
        <v>-0.99925830000000004</v>
      </c>
      <c r="Q2251">
        <v>3.8470280000000003E-2</v>
      </c>
      <c r="R2251">
        <v>-1.768096E-3</v>
      </c>
      <c r="S2251">
        <v>-3.0023499999999999</v>
      </c>
      <c r="T2251">
        <v>-9.5912219999999999E-3</v>
      </c>
      <c r="U2251">
        <v>-0.2423401</v>
      </c>
      <c r="V2251">
        <v>-1.2025539999999999E-2</v>
      </c>
      <c r="W2251">
        <v>4.7617850000000003E-2</v>
      </c>
      <c r="X2251">
        <v>0.99879320000000005</v>
      </c>
      <c r="Y2251">
        <v>-9.0660530000000003E-2</v>
      </c>
      <c r="Z2251">
        <v>-1.772481E-4</v>
      </c>
      <c r="AA2251">
        <v>0.99588189999999999</v>
      </c>
      <c r="AB2251">
        <v>46</v>
      </c>
      <c r="AC2251">
        <v>-161.81549999999899</v>
      </c>
      <c r="AD2251">
        <v>-0.51852189999999998</v>
      </c>
      <c r="AE2251">
        <v>-13.104199999999899</v>
      </c>
      <c r="AF2251">
        <v>-14.760891415783099</v>
      </c>
      <c r="AG2251">
        <v>-0.51852189999999998</v>
      </c>
      <c r="AH2251">
        <v>161.671130573173</v>
      </c>
      <c r="AI2251">
        <v>90.183000862734303</v>
      </c>
      <c r="AJ2251">
        <v>95.216753462683599</v>
      </c>
      <c r="AK2251">
        <v>162.34440933138799</v>
      </c>
      <c r="AL2251">
        <v>87.270665963545696</v>
      </c>
      <c r="AM2251">
        <v>90.689811862369297</v>
      </c>
      <c r="AN2251">
        <v>0.999999964808576</v>
      </c>
    </row>
    <row r="2252" spans="1:40" x14ac:dyDescent="0.25">
      <c r="A2252" t="str">
        <f>"20190312160645576"</f>
        <v>20190312160645576</v>
      </c>
      <c r="B2252" t="str">
        <f>"1552378005566995"</f>
        <v>1552378005566995</v>
      </c>
      <c r="C2252" t="s">
        <v>40</v>
      </c>
      <c r="D2252">
        <v>5.7341069999999998</v>
      </c>
      <c r="E2252">
        <v>0.46797529999999998</v>
      </c>
      <c r="F2252" t="s">
        <v>75</v>
      </c>
      <c r="G2252">
        <v>-512.82539999999995</v>
      </c>
      <c r="H2252">
        <v>0.60784300000000002</v>
      </c>
      <c r="I2252">
        <v>270.78289999999998</v>
      </c>
      <c r="J2252">
        <v>-351.28590000000003</v>
      </c>
      <c r="K2252">
        <v>1.1090199999999999</v>
      </c>
      <c r="L2252">
        <v>284.57339999999999</v>
      </c>
      <c r="M2252">
        <v>-0.99990650000000003</v>
      </c>
      <c r="N2252">
        <v>0</v>
      </c>
      <c r="O2252">
        <v>1.014141E-2</v>
      </c>
      <c r="P2252">
        <v>-0.99925310000000001</v>
      </c>
      <c r="Q2252">
        <v>3.8592550000000003E-2</v>
      </c>
      <c r="R2252">
        <v>-2.0388680000000001E-3</v>
      </c>
      <c r="S2252">
        <v>-3.0021059999999999</v>
      </c>
      <c r="T2252">
        <v>-9.2966560000000004E-3</v>
      </c>
      <c r="U2252">
        <v>-0.25579829999999998</v>
      </c>
      <c r="V2252">
        <v>-1.219549E-2</v>
      </c>
      <c r="W2252">
        <v>4.7748829999999999E-2</v>
      </c>
      <c r="X2252">
        <v>0.99878489999999998</v>
      </c>
      <c r="Y2252">
        <v>-9.4999050000000002E-2</v>
      </c>
      <c r="Z2252">
        <v>-1.781784E-4</v>
      </c>
      <c r="AA2252">
        <v>0.99547730000000001</v>
      </c>
      <c r="AB2252">
        <v>46</v>
      </c>
      <c r="AC2252">
        <v>-161.53949999999901</v>
      </c>
      <c r="AD2252">
        <v>-0.50117699999999998</v>
      </c>
      <c r="AE2252">
        <v>-13.7905</v>
      </c>
      <c r="AF2252">
        <v>-15.4279505584836</v>
      </c>
      <c r="AG2252">
        <v>-0.50117699999999998</v>
      </c>
      <c r="AH2252">
        <v>161.38978884209101</v>
      </c>
      <c r="AI2252">
        <v>90.177117301921299</v>
      </c>
      <c r="AJ2252">
        <v>95.460559273209597</v>
      </c>
      <c r="AK2252">
        <v>162.12629885159001</v>
      </c>
      <c r="AL2252">
        <v>87.263152853677397</v>
      </c>
      <c r="AM2252">
        <v>90.699565425112596</v>
      </c>
      <c r="AN2252">
        <v>0.99999997860535905</v>
      </c>
    </row>
    <row r="2253" spans="1:40" x14ac:dyDescent="0.25">
      <c r="A2253" t="str">
        <f>"20190312160645595"</f>
        <v>20190312160645595</v>
      </c>
      <c r="B2253" t="str">
        <f>"1552378005587491"</f>
        <v>1552378005587491</v>
      </c>
      <c r="C2253" t="s">
        <v>40</v>
      </c>
      <c r="D2253">
        <v>5.8709389999999999</v>
      </c>
      <c r="E2253">
        <v>0.46769500000000003</v>
      </c>
      <c r="F2253" t="s">
        <v>75</v>
      </c>
      <c r="G2253">
        <v>-512.82539999999995</v>
      </c>
      <c r="H2253">
        <v>0.62185630000000003</v>
      </c>
      <c r="I2253">
        <v>270.6268</v>
      </c>
      <c r="J2253">
        <v>-351.67939999999999</v>
      </c>
      <c r="K2253">
        <v>1.109027</v>
      </c>
      <c r="L2253">
        <v>284.57729999999998</v>
      </c>
      <c r="M2253">
        <v>-0.99990800000000002</v>
      </c>
      <c r="N2253">
        <v>0</v>
      </c>
      <c r="O2253">
        <v>9.9967489999999992E-3</v>
      </c>
      <c r="P2253">
        <v>-0.9992318</v>
      </c>
      <c r="Q2253">
        <v>3.9117119999999998E-2</v>
      </c>
      <c r="R2253">
        <v>-2.398889E-3</v>
      </c>
      <c r="S2253">
        <v>-3.002075</v>
      </c>
      <c r="T2253">
        <v>-9.0520380000000001E-3</v>
      </c>
      <c r="U2253">
        <v>-0.25918580000000002</v>
      </c>
      <c r="V2253">
        <v>-1.2410910000000001E-2</v>
      </c>
      <c r="W2253">
        <v>4.828466E-2</v>
      </c>
      <c r="X2253">
        <v>0.99875650000000005</v>
      </c>
      <c r="Y2253">
        <v>-9.5970910000000006E-2</v>
      </c>
      <c r="Z2253">
        <v>-1.745106E-4</v>
      </c>
      <c r="AA2253">
        <v>0.99538409999999999</v>
      </c>
      <c r="AB2253">
        <v>46</v>
      </c>
      <c r="AC2253">
        <v>-161.14599999999899</v>
      </c>
      <c r="AD2253">
        <v>-0.48717070000000001</v>
      </c>
      <c r="AE2253">
        <v>-13.9504999999999</v>
      </c>
      <c r="AF2253">
        <v>-15.5606655168631</v>
      </c>
      <c r="AG2253">
        <v>-0.48717070000000001</v>
      </c>
      <c r="AH2253">
        <v>160.997021061879</v>
      </c>
      <c r="AI2253">
        <v>90.172570101954094</v>
      </c>
      <c r="AJ2253">
        <v>95.520597310163595</v>
      </c>
      <c r="AK2253">
        <v>161.747990520494</v>
      </c>
      <c r="AL2253">
        <v>87.232416640791399</v>
      </c>
      <c r="AM2253">
        <v>90.711941464512705</v>
      </c>
      <c r="AN2253">
        <v>0.99999999268529605</v>
      </c>
    </row>
    <row r="2254" spans="1:40" x14ac:dyDescent="0.25">
      <c r="A2254" t="str">
        <f>"20190312160645607"</f>
        <v>20190312160645607</v>
      </c>
      <c r="B2254" t="str">
        <f>"1552378005597251"</f>
        <v>1552378005597251</v>
      </c>
      <c r="C2254" t="s">
        <v>40</v>
      </c>
      <c r="D2254">
        <v>5.8333879999999896</v>
      </c>
      <c r="E2254">
        <v>0.4673331</v>
      </c>
      <c r="F2254" t="s">
        <v>75</v>
      </c>
      <c r="G2254">
        <v>-512.82539999999995</v>
      </c>
      <c r="H2254">
        <v>0.72962780000000005</v>
      </c>
      <c r="I2254">
        <v>270.47710000000001</v>
      </c>
      <c r="J2254">
        <v>-351.93920000000003</v>
      </c>
      <c r="K2254">
        <v>1.1090279999999999</v>
      </c>
      <c r="L2254">
        <v>284.57990000000001</v>
      </c>
      <c r="M2254">
        <v>-0.99990880000000004</v>
      </c>
      <c r="N2254">
        <v>0</v>
      </c>
      <c r="O2254">
        <v>9.9011029999999996E-3</v>
      </c>
      <c r="P2254">
        <v>-0.99922219999999995</v>
      </c>
      <c r="Q2254">
        <v>3.9343759999999998E-2</v>
      </c>
      <c r="R2254">
        <v>-2.67395E-3</v>
      </c>
      <c r="S2254">
        <v>-3.0018919999999998</v>
      </c>
      <c r="T2254">
        <v>-7.0661309999999998E-3</v>
      </c>
      <c r="U2254">
        <v>-0.26266479999999998</v>
      </c>
      <c r="V2254">
        <v>-1.2590789999999999E-2</v>
      </c>
      <c r="W2254">
        <v>4.851946E-2</v>
      </c>
      <c r="X2254">
        <v>0.99874289999999999</v>
      </c>
      <c r="Y2254">
        <v>-9.7025979999999998E-2</v>
      </c>
      <c r="Z2254">
        <v>-1.372414E-4</v>
      </c>
      <c r="AA2254">
        <v>0.99528179999999999</v>
      </c>
      <c r="AB2254">
        <v>46</v>
      </c>
      <c r="AC2254">
        <v>-160.88619999999901</v>
      </c>
      <c r="AD2254">
        <v>-0.37940020000000002</v>
      </c>
      <c r="AE2254">
        <v>-14.1028</v>
      </c>
      <c r="AF2254">
        <v>-15.695040079768599</v>
      </c>
      <c r="AG2254">
        <v>-0.37940020000000002</v>
      </c>
      <c r="AH2254">
        <v>160.73778693429199</v>
      </c>
      <c r="AI2254">
        <v>90.134598699726496</v>
      </c>
      <c r="AJ2254">
        <v>95.576895602476199</v>
      </c>
      <c r="AK2254">
        <v>161.502676064984</v>
      </c>
      <c r="AL2254">
        <v>87.218947890039203</v>
      </c>
      <c r="AM2254">
        <v>90.722268878911095</v>
      </c>
      <c r="AN2254">
        <v>1.00000002314596</v>
      </c>
    </row>
    <row r="2255" spans="1:40" x14ac:dyDescent="0.25">
      <c r="A2255" t="str">
        <f>"20190312160645620"</f>
        <v>20190312160645620</v>
      </c>
      <c r="B2255" t="str">
        <f>"1552378005607011"</f>
        <v>1552378005607011</v>
      </c>
      <c r="C2255" t="s">
        <v>40</v>
      </c>
      <c r="D2255">
        <v>5.3004860000000003</v>
      </c>
      <c r="E2255">
        <v>0.4673331</v>
      </c>
      <c r="F2255" t="s">
        <v>66</v>
      </c>
      <c r="G2255">
        <v>-377.04539999999997</v>
      </c>
      <c r="H2255" s="1">
        <v>2.212431E-6</v>
      </c>
      <c r="I2255">
        <v>282.37400000000002</v>
      </c>
      <c r="J2255">
        <v>-352.1884</v>
      </c>
      <c r="K2255">
        <v>1.1090260000000001</v>
      </c>
      <c r="L2255">
        <v>284.58229999999998</v>
      </c>
      <c r="M2255">
        <v>-0.99990950000000001</v>
      </c>
      <c r="N2255">
        <v>0</v>
      </c>
      <c r="O2255">
        <v>9.8096290000000003E-3</v>
      </c>
      <c r="P2255">
        <v>-0.99921660000000001</v>
      </c>
      <c r="Q2255">
        <v>3.9464539999999999E-2</v>
      </c>
      <c r="R2255">
        <v>-2.9389709999999999E-3</v>
      </c>
      <c r="S2255">
        <v>-3.006866</v>
      </c>
      <c r="T2255">
        <v>-0.13282359999999999</v>
      </c>
      <c r="U2255">
        <v>-0.2641907</v>
      </c>
      <c r="V2255">
        <v>-1.2764060000000001E-2</v>
      </c>
      <c r="W2255">
        <v>4.8647580000000003E-2</v>
      </c>
      <c r="X2255">
        <v>0.99873449999999997</v>
      </c>
      <c r="Y2255">
        <v>-9.7189890000000001E-2</v>
      </c>
      <c r="Z2255">
        <v>-2.5737820000000002E-3</v>
      </c>
      <c r="AA2255">
        <v>0.99526250000000005</v>
      </c>
      <c r="AB2255">
        <v>46</v>
      </c>
      <c r="AC2255">
        <v>-24.8569999999999</v>
      </c>
      <c r="AD2255">
        <v>-1.1090237875689899</v>
      </c>
      <c r="AE2255">
        <v>-2.2082999999999502</v>
      </c>
      <c r="AF2255">
        <v>-2.4472087501701498</v>
      </c>
      <c r="AG2255">
        <v>-1.1090237875689899</v>
      </c>
      <c r="AH2255">
        <v>24.7851892864335</v>
      </c>
      <c r="AI2255">
        <v>92.549633481153904</v>
      </c>
      <c r="AJ2255">
        <v>95.638921280307997</v>
      </c>
      <c r="AK2255">
        <v>24.930390538309702</v>
      </c>
      <c r="AL2255">
        <v>87.211598564737599</v>
      </c>
      <c r="AM2255">
        <v>90.732213570695905</v>
      </c>
      <c r="AN2255">
        <v>1.0000000548788901</v>
      </c>
    </row>
    <row r="2256" spans="1:40" x14ac:dyDescent="0.25">
      <c r="A2256" t="str">
        <f>"20190312160645641"</f>
        <v>20190312160645641</v>
      </c>
      <c r="B2256" t="str">
        <f>"1552378005627506"</f>
        <v>1552378005627506</v>
      </c>
      <c r="C2256" t="s">
        <v>40</v>
      </c>
      <c r="D2256">
        <v>5.943657</v>
      </c>
      <c r="E2256">
        <v>0.46772279999999999</v>
      </c>
      <c r="F2256" t="s">
        <v>66</v>
      </c>
      <c r="G2256">
        <v>-377.35329999999999</v>
      </c>
      <c r="H2256" s="1">
        <v>2.376293E-6</v>
      </c>
      <c r="I2256">
        <v>282.36660000000001</v>
      </c>
      <c r="J2256">
        <v>-352.62049999999999</v>
      </c>
      <c r="K2256">
        <v>1.1090260000000001</v>
      </c>
      <c r="L2256">
        <v>284.58640000000003</v>
      </c>
      <c r="M2256">
        <v>-0.9999112</v>
      </c>
      <c r="N2256">
        <v>0</v>
      </c>
      <c r="O2256">
        <v>9.6513740000000008E-3</v>
      </c>
      <c r="P2256">
        <v>-0.99919329999999995</v>
      </c>
      <c r="Q2256">
        <v>4.0007290000000001E-2</v>
      </c>
      <c r="R2256">
        <v>-3.582146E-3</v>
      </c>
      <c r="S2256">
        <v>-3.0068359999999998</v>
      </c>
      <c r="T2256">
        <v>-0.13251160000000001</v>
      </c>
      <c r="U2256">
        <v>-0.26473999999999998</v>
      </c>
      <c r="V2256">
        <v>-1.3249459999999999E-2</v>
      </c>
      <c r="W2256">
        <v>4.9202900000000001E-2</v>
      </c>
      <c r="X2256">
        <v>0.9987009</v>
      </c>
      <c r="Y2256">
        <v>-9.7214300000000003E-2</v>
      </c>
      <c r="Z2256">
        <v>-2.5613250000000001E-3</v>
      </c>
      <c r="AA2256">
        <v>0.99526020000000004</v>
      </c>
      <c r="AB2256">
        <v>46</v>
      </c>
      <c r="AC2256">
        <v>-24.732800000000001</v>
      </c>
      <c r="AD2256">
        <v>-1.1090236237069999</v>
      </c>
      <c r="AE2256">
        <v>-2.2198000000000202</v>
      </c>
      <c r="AF2256">
        <v>-2.4535184548375999</v>
      </c>
      <c r="AG2256">
        <v>-1.1090236237069999</v>
      </c>
      <c r="AH2256">
        <v>24.661034616181901</v>
      </c>
      <c r="AI2256">
        <v>92.562262923809001</v>
      </c>
      <c r="AJ2256">
        <v>95.681642020346899</v>
      </c>
      <c r="AK2256">
        <v>24.8075858266517</v>
      </c>
      <c r="AL2256">
        <v>87.179742715236003</v>
      </c>
      <c r="AM2256">
        <v>90.760081027375307</v>
      </c>
      <c r="AN2256">
        <v>0.99999998060975503</v>
      </c>
    </row>
    <row r="2257" spans="1:40" x14ac:dyDescent="0.25">
      <c r="A2257" t="str">
        <f>"20190312160645663"</f>
        <v>20190312160645663</v>
      </c>
      <c r="B2257" t="str">
        <f>"1552378005657762"</f>
        <v>1552378005657762</v>
      </c>
      <c r="C2257" t="s">
        <v>40</v>
      </c>
      <c r="D2257">
        <v>5.922917</v>
      </c>
      <c r="E2257">
        <v>0.46736739999999999</v>
      </c>
      <c r="F2257" t="s">
        <v>66</v>
      </c>
      <c r="G2257">
        <v>-379.73660000000001</v>
      </c>
      <c r="H2257" s="1">
        <v>3.6445250000000001E-6</v>
      </c>
      <c r="I2257">
        <v>282.2088</v>
      </c>
      <c r="J2257">
        <v>-353.089</v>
      </c>
      <c r="K2257">
        <v>1.1090249999999999</v>
      </c>
      <c r="L2257">
        <v>284.5908</v>
      </c>
      <c r="M2257">
        <v>-0.99991260000000004</v>
      </c>
      <c r="N2257">
        <v>0</v>
      </c>
      <c r="O2257">
        <v>9.4833560000000001E-3</v>
      </c>
      <c r="P2257">
        <v>-0.99917069999999997</v>
      </c>
      <c r="Q2257">
        <v>4.0549719999999997E-2</v>
      </c>
      <c r="R2257">
        <v>-3.754079E-3</v>
      </c>
      <c r="S2257">
        <v>-3.0063780000000002</v>
      </c>
      <c r="T2257">
        <v>-0.1229582</v>
      </c>
      <c r="U2257">
        <v>-0.26361079999999998</v>
      </c>
      <c r="V2257">
        <v>-1.325338E-2</v>
      </c>
      <c r="W2257">
        <v>4.9759159999999997E-2</v>
      </c>
      <c r="X2257">
        <v>0.99867329999999999</v>
      </c>
      <c r="Y2257">
        <v>-9.6704189999999995E-2</v>
      </c>
      <c r="Z2257">
        <v>-2.3599599999999999E-3</v>
      </c>
      <c r="AA2257">
        <v>0.99531040000000004</v>
      </c>
      <c r="AB2257">
        <v>46</v>
      </c>
      <c r="AC2257">
        <v>-26.647600000000001</v>
      </c>
      <c r="AD2257">
        <v>-1.1090213554749999</v>
      </c>
      <c r="AE2257">
        <v>-2.3820000000000001</v>
      </c>
      <c r="AF2257">
        <v>-2.6300929029178999</v>
      </c>
      <c r="AG2257">
        <v>-1.1090213554749999</v>
      </c>
      <c r="AH2257">
        <v>26.578141209104899</v>
      </c>
      <c r="AI2257">
        <v>92.377784250504206</v>
      </c>
      <c r="AJ2257">
        <v>95.651418765326198</v>
      </c>
      <c r="AK2257">
        <v>26.7309728063907</v>
      </c>
      <c r="AL2257">
        <v>87.147832311310296</v>
      </c>
      <c r="AM2257">
        <v>90.760326889253406</v>
      </c>
      <c r="AN2257">
        <v>0.99999999310911003</v>
      </c>
    </row>
    <row r="2258" spans="1:40" x14ac:dyDescent="0.25">
      <c r="A2258" t="str">
        <f>"20190312160645685"</f>
        <v>20190312160645685</v>
      </c>
      <c r="B2258" t="str">
        <f>"1552378005677286"</f>
        <v>1552378005677286</v>
      </c>
      <c r="C2258" t="s">
        <v>40</v>
      </c>
      <c r="D2258">
        <v>5.9117920000000002</v>
      </c>
      <c r="E2258">
        <v>0.50314219999999998</v>
      </c>
      <c r="F2258" t="s">
        <v>66</v>
      </c>
      <c r="G2258">
        <v>-390.49669999999998</v>
      </c>
      <c r="H2258" s="1">
        <v>-1.2724920000000001E-6</v>
      </c>
      <c r="I2258">
        <v>281.25729999999999</v>
      </c>
      <c r="J2258">
        <v>-353.53809999999999</v>
      </c>
      <c r="K2258">
        <v>1.1090169999999999</v>
      </c>
      <c r="L2258">
        <v>284.59500000000003</v>
      </c>
      <c r="M2258">
        <v>-0.99991390000000002</v>
      </c>
      <c r="N2258">
        <v>0</v>
      </c>
      <c r="O2258">
        <v>9.3274659999999995E-3</v>
      </c>
      <c r="P2258">
        <v>-0.99916899999999997</v>
      </c>
      <c r="Q2258">
        <v>4.0560289999999999E-2</v>
      </c>
      <c r="R2258">
        <v>-4.0861969999999997E-3</v>
      </c>
      <c r="S2258">
        <v>-3.0050659999999998</v>
      </c>
      <c r="T2258">
        <v>-8.9091180000000006E-2</v>
      </c>
      <c r="U2258">
        <v>-0.26779170000000002</v>
      </c>
      <c r="V2258">
        <v>-1.3429079999999999E-2</v>
      </c>
      <c r="W2258">
        <v>4.9783929999999997E-2</v>
      </c>
      <c r="X2258">
        <v>0.99866969999999999</v>
      </c>
      <c r="Y2258">
        <v>-9.8002080000000005E-2</v>
      </c>
      <c r="Z2258">
        <v>-1.7255059999999999E-3</v>
      </c>
      <c r="AA2258">
        <v>0.99518470000000003</v>
      </c>
      <c r="AB2258">
        <v>46</v>
      </c>
      <c r="AC2258">
        <v>-36.958599999999898</v>
      </c>
      <c r="AD2258">
        <v>-1.1090182724919999</v>
      </c>
      <c r="AE2258">
        <v>-3.3377000000000399</v>
      </c>
      <c r="AF2258">
        <v>-3.6790136932814801</v>
      </c>
      <c r="AG2258">
        <v>-1.1090182724919999</v>
      </c>
      <c r="AH2258">
        <v>36.892908017497398</v>
      </c>
      <c r="AI2258">
        <v>91.713326941831895</v>
      </c>
      <c r="AJ2258">
        <v>95.6947900742922</v>
      </c>
      <c r="AK2258">
        <v>37.092475318743503</v>
      </c>
      <c r="AL2258">
        <v>87.146411281395899</v>
      </c>
      <c r="AM2258">
        <v>90.770408109348395</v>
      </c>
      <c r="AN2258">
        <v>0.99999997478698999</v>
      </c>
    </row>
    <row r="2259" spans="1:40" x14ac:dyDescent="0.25">
      <c r="A2259" t="str">
        <f>"20190312160645707"</f>
        <v>20190312160645707</v>
      </c>
      <c r="B2259" t="str">
        <f>"1552378005697780"</f>
        <v>1552378005697780</v>
      </c>
      <c r="C2259" t="s">
        <v>40</v>
      </c>
      <c r="D2259">
        <v>5.8644439999999998</v>
      </c>
      <c r="E2259">
        <v>0.50890000000000002</v>
      </c>
      <c r="F2259" t="s">
        <v>41</v>
      </c>
      <c r="G2259">
        <v>0</v>
      </c>
      <c r="H2259">
        <v>0</v>
      </c>
      <c r="I2259">
        <v>0</v>
      </c>
      <c r="J2259">
        <v>-353.99329999999998</v>
      </c>
      <c r="K2259">
        <v>1.109003</v>
      </c>
      <c r="L2259">
        <v>284.59910000000002</v>
      </c>
      <c r="M2259">
        <v>-0.99991509999999995</v>
      </c>
      <c r="N2259">
        <v>0</v>
      </c>
      <c r="O2259">
        <v>9.1791159999999993E-3</v>
      </c>
      <c r="P2259">
        <v>-0.99917400000000001</v>
      </c>
      <c r="Q2259">
        <v>4.0333639999999997E-2</v>
      </c>
      <c r="R2259">
        <v>-4.9646509999999996E-3</v>
      </c>
      <c r="S2259">
        <v>-2.9998469999999999</v>
      </c>
      <c r="T2259">
        <v>6.6533679999999998E-2</v>
      </c>
      <c r="U2259">
        <v>1.3793949999999999E-2</v>
      </c>
      <c r="V2259">
        <v>-1.4158769999999999E-2</v>
      </c>
      <c r="W2259">
        <v>4.9571039999999997E-2</v>
      </c>
      <c r="X2259">
        <v>0.99867019999999995</v>
      </c>
      <c r="Y2259">
        <v>-4.5780559999999996E-3</v>
      </c>
      <c r="Z2259">
        <v>2.543251E-4</v>
      </c>
      <c r="AA2259">
        <v>0.99998949999999998</v>
      </c>
      <c r="AB2259">
        <v>46</v>
      </c>
      <c r="AC2259">
        <v>-2.9998469999999999</v>
      </c>
      <c r="AD2259">
        <v>6.6533679999999998E-2</v>
      </c>
      <c r="AE2259">
        <v>1.3793949999999999E-2</v>
      </c>
      <c r="AF2259">
        <v>-1.37369953007723E-2</v>
      </c>
      <c r="AG2259">
        <v>6.6533679999999998E-2</v>
      </c>
      <c r="AH2259">
        <v>2.9983723348684599</v>
      </c>
      <c r="AI2259">
        <v>88.728832464030006</v>
      </c>
      <c r="AJ2259">
        <v>90.262497868581207</v>
      </c>
      <c r="AK2259">
        <v>2.9991418929618501</v>
      </c>
      <c r="AL2259">
        <v>87.158624027310097</v>
      </c>
      <c r="AM2259">
        <v>90.812263564454994</v>
      </c>
      <c r="AN2259">
        <v>0.99999996357131604</v>
      </c>
    </row>
    <row r="2260" spans="1:40" x14ac:dyDescent="0.25">
      <c r="A2260" t="str">
        <f>"20190312160645719"</f>
        <v>20190312160645719</v>
      </c>
      <c r="B2260" t="str">
        <f>"1552378005707539"</f>
        <v>1552378005707539</v>
      </c>
      <c r="C2260" t="s">
        <v>40</v>
      </c>
      <c r="D2260">
        <v>6.0551599999999999</v>
      </c>
      <c r="E2260">
        <v>0.50988840000000002</v>
      </c>
      <c r="F2260" t="s">
        <v>41</v>
      </c>
      <c r="G2260">
        <v>0</v>
      </c>
      <c r="H2260">
        <v>0</v>
      </c>
      <c r="I2260">
        <v>0</v>
      </c>
      <c r="J2260">
        <v>-354.23739999999998</v>
      </c>
      <c r="K2260">
        <v>1.1089979999999999</v>
      </c>
      <c r="L2260">
        <v>284.60129999999998</v>
      </c>
      <c r="M2260">
        <v>-0.99991569999999996</v>
      </c>
      <c r="N2260">
        <v>0</v>
      </c>
      <c r="O2260">
        <v>9.1044479999999994E-3</v>
      </c>
      <c r="P2260">
        <v>-0.99918169999999995</v>
      </c>
      <c r="Q2260">
        <v>4.0151819999999998E-2</v>
      </c>
      <c r="R2260">
        <v>-4.9180600000000001E-3</v>
      </c>
      <c r="S2260">
        <v>-2.9989620000000001</v>
      </c>
      <c r="T2260">
        <v>9.5183610000000002E-2</v>
      </c>
      <c r="U2260">
        <v>5.6579589999999999E-2</v>
      </c>
      <c r="V2260">
        <v>-1.40365E-2</v>
      </c>
      <c r="W2260">
        <v>4.9397219999999999E-2</v>
      </c>
      <c r="X2260">
        <v>0.99868060000000003</v>
      </c>
      <c r="Y2260">
        <v>9.7587030000000005E-3</v>
      </c>
      <c r="Z2260">
        <v>1.340573E-4</v>
      </c>
      <c r="AA2260">
        <v>0.99995239999999996</v>
      </c>
      <c r="AB2260">
        <v>46</v>
      </c>
      <c r="AC2260">
        <v>-2.9989620000000001</v>
      </c>
      <c r="AD2260">
        <v>9.5183610000000002E-2</v>
      </c>
      <c r="AE2260">
        <v>5.6579589999999999E-2</v>
      </c>
      <c r="AF2260">
        <v>2.92427338015878E-2</v>
      </c>
      <c r="AG2260">
        <v>9.5183610000000002E-2</v>
      </c>
      <c r="AH2260">
        <v>2.9963355426181102</v>
      </c>
      <c r="AI2260">
        <v>88.180602183191098</v>
      </c>
      <c r="AJ2260">
        <v>89.440839648288403</v>
      </c>
      <c r="AK2260">
        <v>2.9979896165679798</v>
      </c>
      <c r="AL2260">
        <v>87.168595569257107</v>
      </c>
      <c r="AM2260">
        <v>90.805241694148094</v>
      </c>
      <c r="AN2260">
        <v>1.00000002474616</v>
      </c>
    </row>
    <row r="2261" spans="1:40" x14ac:dyDescent="0.25">
      <c r="A2261" t="str">
        <f>"20190312160645730"</f>
        <v>20190312160645730</v>
      </c>
      <c r="B2261" t="str">
        <f>"1552378005727059"</f>
        <v>1552378005727059</v>
      </c>
      <c r="C2261" t="s">
        <v>40</v>
      </c>
      <c r="D2261">
        <v>5.7635100000000001</v>
      </c>
      <c r="E2261">
        <v>0.51129089999999999</v>
      </c>
      <c r="F2261" t="s">
        <v>41</v>
      </c>
      <c r="G2261">
        <v>0</v>
      </c>
      <c r="H2261">
        <v>0</v>
      </c>
      <c r="I2261">
        <v>0</v>
      </c>
      <c r="J2261">
        <v>-354.49790000000002</v>
      </c>
      <c r="K2261">
        <v>1.1089899999999999</v>
      </c>
      <c r="L2261">
        <v>284.6037</v>
      </c>
      <c r="M2261">
        <v>-0.99991640000000004</v>
      </c>
      <c r="N2261">
        <v>0</v>
      </c>
      <c r="O2261">
        <v>9.0286589999999996E-3</v>
      </c>
      <c r="P2261">
        <v>-0.99917670000000003</v>
      </c>
      <c r="Q2261">
        <v>4.0196540000000003E-2</v>
      </c>
      <c r="R2261">
        <v>-5.5115149999999998E-3</v>
      </c>
      <c r="S2261">
        <v>-2.998596</v>
      </c>
      <c r="T2261">
        <v>0.1040225</v>
      </c>
      <c r="U2261">
        <v>6.4483639999999995E-2</v>
      </c>
      <c r="V2261">
        <v>-1.455363E-2</v>
      </c>
      <c r="W2261">
        <v>4.9449119999999999E-2</v>
      </c>
      <c r="X2261">
        <v>0.99867059999999996</v>
      </c>
      <c r="Y2261">
        <v>1.246974E-2</v>
      </c>
      <c r="Z2261" s="1">
        <v>9.6880029999999996E-5</v>
      </c>
      <c r="AA2261">
        <v>0.99992219999999998</v>
      </c>
      <c r="AB2261">
        <v>46</v>
      </c>
      <c r="AC2261">
        <v>-2.998596</v>
      </c>
      <c r="AD2261">
        <v>0.1040225</v>
      </c>
      <c r="AE2261">
        <v>6.4483639999999995E-2</v>
      </c>
      <c r="AF2261">
        <v>3.7361609793153297E-2</v>
      </c>
      <c r="AG2261">
        <v>0.1040225</v>
      </c>
      <c r="AH2261">
        <v>2.9954528614476699</v>
      </c>
      <c r="AI2261">
        <v>88.011254591853699</v>
      </c>
      <c r="AJ2261">
        <v>89.285399684580696</v>
      </c>
      <c r="AK2261">
        <v>2.9974913537068999</v>
      </c>
      <c r="AL2261">
        <v>87.165618196836107</v>
      </c>
      <c r="AM2261">
        <v>90.834912486039102</v>
      </c>
      <c r="AN2261">
        <v>0.99999999545965501</v>
      </c>
    </row>
    <row r="2262" spans="1:40" x14ac:dyDescent="0.25">
      <c r="A2262" t="str">
        <f>"20190312160645763"</f>
        <v>20190312160645763</v>
      </c>
      <c r="B2262" t="str">
        <f>"1552378005757821"</f>
        <v>1552378005757821</v>
      </c>
      <c r="C2262" t="s">
        <v>40</v>
      </c>
      <c r="D2262">
        <v>5.5439119999999997</v>
      </c>
      <c r="E2262">
        <v>0.52814179999999999</v>
      </c>
      <c r="F2262" t="s">
        <v>41</v>
      </c>
      <c r="G2262">
        <v>0</v>
      </c>
      <c r="H2262">
        <v>0</v>
      </c>
      <c r="I2262">
        <v>0</v>
      </c>
      <c r="J2262">
        <v>-355.16399999999999</v>
      </c>
      <c r="K2262">
        <v>1.10897</v>
      </c>
      <c r="L2262">
        <v>284.6096</v>
      </c>
      <c r="M2262">
        <v>-0.99991759999999996</v>
      </c>
      <c r="N2262">
        <v>0</v>
      </c>
      <c r="O2262">
        <v>8.8617739999999993E-3</v>
      </c>
      <c r="P2262">
        <v>-0.99917199999999995</v>
      </c>
      <c r="Q2262">
        <v>4.0361910000000001E-2</v>
      </c>
      <c r="R2262">
        <v>-5.1368159999999998E-3</v>
      </c>
      <c r="S2262">
        <v>-2.998596</v>
      </c>
      <c r="T2262">
        <v>0.1069764</v>
      </c>
      <c r="U2262">
        <v>7.3760989999999999E-2</v>
      </c>
      <c r="V2262">
        <v>-1.4010150000000001E-2</v>
      </c>
      <c r="W2262">
        <v>4.963534E-2</v>
      </c>
      <c r="X2262">
        <v>0.99866909999999998</v>
      </c>
      <c r="Y2262">
        <v>1.5726259999999999E-2</v>
      </c>
      <c r="Z2262" s="1">
        <v>3.5612289999999997E-5</v>
      </c>
      <c r="AA2262">
        <v>0.99987630000000005</v>
      </c>
      <c r="AB2262">
        <v>46</v>
      </c>
      <c r="AC2262">
        <v>-2.998596</v>
      </c>
      <c r="AD2262">
        <v>0.1069764</v>
      </c>
      <c r="AE2262">
        <v>7.3760989999999999E-2</v>
      </c>
      <c r="AF2262">
        <v>4.7124126629089803E-2</v>
      </c>
      <c r="AG2262">
        <v>0.1069764</v>
      </c>
      <c r="AH2262">
        <v>2.99532196373355</v>
      </c>
      <c r="AI2262">
        <v>87.954832624083707</v>
      </c>
      <c r="AJ2262">
        <v>89.098664226679006</v>
      </c>
      <c r="AK2262">
        <v>2.9976020916546098</v>
      </c>
      <c r="AL2262">
        <v>87.154935361324206</v>
      </c>
      <c r="AM2262">
        <v>90.803739507788194</v>
      </c>
      <c r="AN2262">
        <v>0.99999996128737301</v>
      </c>
    </row>
    <row r="2263" spans="1:40" x14ac:dyDescent="0.25">
      <c r="A2263" t="str">
        <f>"20190312160645785"</f>
        <v>20190312160645785</v>
      </c>
      <c r="B2263" t="str">
        <f>"1552378005777344"</f>
        <v>1552378005777344</v>
      </c>
      <c r="C2263" t="s">
        <v>40</v>
      </c>
      <c r="D2263">
        <v>6.036276</v>
      </c>
      <c r="E2263">
        <v>0.52532719999999999</v>
      </c>
      <c r="F2263" t="s">
        <v>66</v>
      </c>
      <c r="G2263">
        <v>-395.42739999999998</v>
      </c>
      <c r="H2263" s="1">
        <v>1.3513829999999901E-6</v>
      </c>
      <c r="I2263">
        <v>287.45979999999997</v>
      </c>
      <c r="J2263">
        <v>-355.61950000000002</v>
      </c>
      <c r="K2263">
        <v>1.108959</v>
      </c>
      <c r="L2263">
        <v>284.61360000000002</v>
      </c>
      <c r="M2263">
        <v>-0.99991830000000004</v>
      </c>
      <c r="N2263">
        <v>0</v>
      </c>
      <c r="O2263">
        <v>8.7678879999999997E-3</v>
      </c>
      <c r="P2263">
        <v>-0.99919199999999997</v>
      </c>
      <c r="Q2263">
        <v>3.9975339999999998E-2</v>
      </c>
      <c r="R2263">
        <v>-4.2153090000000004E-3</v>
      </c>
      <c r="S2263">
        <v>-3.0069270000000001</v>
      </c>
      <c r="T2263">
        <v>-8.2819340000000005E-2</v>
      </c>
      <c r="U2263">
        <v>0.2128601</v>
      </c>
      <c r="V2263">
        <v>-1.2992739999999999E-2</v>
      </c>
      <c r="W2263">
        <v>4.9263380000000002E-2</v>
      </c>
      <c r="X2263">
        <v>0.99870130000000001</v>
      </c>
      <c r="Y2263">
        <v>6.1844089999999997E-2</v>
      </c>
      <c r="Z2263">
        <v>6.0932130000000001E-4</v>
      </c>
      <c r="AA2263">
        <v>0.99808560000000002</v>
      </c>
      <c r="AB2263">
        <v>47</v>
      </c>
      <c r="AC2263">
        <v>-39.807899999999897</v>
      </c>
      <c r="AD2263">
        <v>-1.1089576486170001</v>
      </c>
      <c r="AE2263">
        <v>2.8461999999999499</v>
      </c>
      <c r="AF2263">
        <v>2.4951177826716302</v>
      </c>
      <c r="AG2263">
        <v>-1.1089576486170001</v>
      </c>
      <c r="AH2263">
        <v>39.800595669109001</v>
      </c>
      <c r="AI2263">
        <v>91.592884827913494</v>
      </c>
      <c r="AJ2263">
        <v>86.412795472019297</v>
      </c>
      <c r="AK2263">
        <v>39.894145127220497</v>
      </c>
      <c r="AL2263">
        <v>87.176273283511605</v>
      </c>
      <c r="AM2263">
        <v>90.745355164962206</v>
      </c>
      <c r="AN2263">
        <v>0.99999998926171096</v>
      </c>
    </row>
    <row r="2264" spans="1:40" x14ac:dyDescent="0.25">
      <c r="A2264" t="str">
        <f>"20190312160645807"</f>
        <v>20190312160645807</v>
      </c>
      <c r="B2264" t="str">
        <f>"1552378005797837"</f>
        <v>1552378005797837</v>
      </c>
      <c r="C2264" t="s">
        <v>40</v>
      </c>
      <c r="D2264">
        <v>5.8524339999999997</v>
      </c>
      <c r="E2264">
        <v>0.52434899999999995</v>
      </c>
      <c r="F2264" t="s">
        <v>76</v>
      </c>
      <c r="G2264">
        <v>-510.95359999999999</v>
      </c>
      <c r="H2264">
        <v>0.1160873</v>
      </c>
      <c r="I2264">
        <v>294.5317</v>
      </c>
      <c r="J2264">
        <v>-356.08339999999998</v>
      </c>
      <c r="K2264">
        <v>1.1089439999999999</v>
      </c>
      <c r="L2264">
        <v>284.61759999999998</v>
      </c>
      <c r="M2264">
        <v>-0.99991890000000005</v>
      </c>
      <c r="N2264">
        <v>0</v>
      </c>
      <c r="O2264">
        <v>8.6883069999999993E-3</v>
      </c>
      <c r="P2264">
        <v>-0.99918309999999999</v>
      </c>
      <c r="Q2264">
        <v>4.0236139999999997E-2</v>
      </c>
      <c r="R2264">
        <v>-3.7680349999999999E-3</v>
      </c>
      <c r="S2264">
        <v>-3.0039370000000001</v>
      </c>
      <c r="T2264">
        <v>-1.9199009999999999E-2</v>
      </c>
      <c r="U2264">
        <v>0.191803</v>
      </c>
      <c r="V2264">
        <v>-1.246444E-2</v>
      </c>
      <c r="W2264">
        <v>4.9539149999999997E-2</v>
      </c>
      <c r="X2264">
        <v>0.99869439999999998</v>
      </c>
      <c r="Y2264">
        <v>5.5046400000000002E-2</v>
      </c>
      <c r="Z2264">
        <v>1.202574E-4</v>
      </c>
      <c r="AA2264">
        <v>0.99848380000000003</v>
      </c>
      <c r="AB2264">
        <v>47</v>
      </c>
      <c r="AC2264">
        <v>-154.87020000000001</v>
      </c>
      <c r="AD2264">
        <v>-0.99285670000000004</v>
      </c>
      <c r="AE2264">
        <v>9.9141000000000101</v>
      </c>
      <c r="AF2264">
        <v>8.5677568940465605</v>
      </c>
      <c r="AG2264">
        <v>-0.99285670000000004</v>
      </c>
      <c r="AH2264">
        <v>154.944152393183</v>
      </c>
      <c r="AI2264">
        <v>90.366576943270502</v>
      </c>
      <c r="AJ2264">
        <v>86.835008659544499</v>
      </c>
      <c r="AK2264">
        <v>155.18402811972601</v>
      </c>
      <c r="AL2264">
        <v>87.160453532753394</v>
      </c>
      <c r="AM2264">
        <v>90.715056305713802</v>
      </c>
      <c r="AN2264">
        <v>0.99999999711929799</v>
      </c>
    </row>
    <row r="2265" spans="1:40" x14ac:dyDescent="0.25">
      <c r="A2265" t="str">
        <f>"20190312160645831"</f>
        <v>20190312160645831</v>
      </c>
      <c r="B2265" t="str">
        <f>"1552378005827117"</f>
        <v>1552378005827117</v>
      </c>
      <c r="C2265" t="s">
        <v>40</v>
      </c>
      <c r="D2265">
        <v>6.0285229999999999</v>
      </c>
      <c r="E2265">
        <v>0.52316030000000002</v>
      </c>
      <c r="F2265" t="s">
        <v>76</v>
      </c>
      <c r="G2265">
        <v>-510.95420000000001</v>
      </c>
      <c r="H2265">
        <v>1.728173</v>
      </c>
      <c r="I2265">
        <v>294.14359999999999</v>
      </c>
      <c r="J2265">
        <v>-356.56450000000001</v>
      </c>
      <c r="K2265">
        <v>1.1089290000000001</v>
      </c>
      <c r="L2265">
        <v>284.62169999999998</v>
      </c>
      <c r="M2265">
        <v>-0.99991940000000001</v>
      </c>
      <c r="N2265">
        <v>0</v>
      </c>
      <c r="O2265">
        <v>8.6212470000000003E-3</v>
      </c>
      <c r="P2265">
        <v>-0.99916769999999999</v>
      </c>
      <c r="Q2265">
        <v>4.0643659999999998E-2</v>
      </c>
      <c r="R2265">
        <v>-3.4365239999999998E-3</v>
      </c>
      <c r="S2265">
        <v>-3.0026549999999999</v>
      </c>
      <c r="T2265">
        <v>1.200736E-2</v>
      </c>
      <c r="U2265">
        <v>0.18469240000000001</v>
      </c>
      <c r="V2265">
        <v>-1.2064160000000001E-2</v>
      </c>
      <c r="W2265">
        <v>4.996109E-2</v>
      </c>
      <c r="X2265">
        <v>0.99867830000000002</v>
      </c>
      <c r="Y2265">
        <v>5.278567E-2</v>
      </c>
      <c r="Z2265" s="1">
        <v>-7.1000769999999896E-5</v>
      </c>
      <c r="AA2265">
        <v>0.99860579999999999</v>
      </c>
      <c r="AB2265">
        <v>47</v>
      </c>
      <c r="AC2265">
        <v>-154.3897</v>
      </c>
      <c r="AD2265">
        <v>0.61924399999999902</v>
      </c>
      <c r="AE2265">
        <v>9.5219000000000094</v>
      </c>
      <c r="AF2265">
        <v>8.1903252852087807</v>
      </c>
      <c r="AG2265">
        <v>0.61924399999999902</v>
      </c>
      <c r="AH2265">
        <v>154.46358052821199</v>
      </c>
      <c r="AI2265">
        <v>89.770624857110207</v>
      </c>
      <c r="AJ2265">
        <v>86.964773099711806</v>
      </c>
      <c r="AK2265">
        <v>154.681810827921</v>
      </c>
      <c r="AL2265">
        <v>87.136248187916195</v>
      </c>
      <c r="AM2265">
        <v>90.692106588208205</v>
      </c>
      <c r="AN2265">
        <v>1.0000000006806899</v>
      </c>
    </row>
    <row r="2266" spans="1:40" x14ac:dyDescent="0.25">
      <c r="A2266" t="str">
        <f>"20190312160645853"</f>
        <v>20190312160645853</v>
      </c>
      <c r="B2266" t="str">
        <f>"1552378005847615"</f>
        <v>1552378005847615</v>
      </c>
      <c r="C2266" t="s">
        <v>40</v>
      </c>
      <c r="D2266">
        <v>6.0134910000000001</v>
      </c>
      <c r="E2266">
        <v>0.52438949999999995</v>
      </c>
      <c r="F2266" t="s">
        <v>76</v>
      </c>
      <c r="G2266">
        <v>-511.41129999999998</v>
      </c>
      <c r="H2266">
        <v>3.052359</v>
      </c>
      <c r="I2266">
        <v>293.69319999999999</v>
      </c>
      <c r="J2266">
        <v>-357.04050000000001</v>
      </c>
      <c r="K2266">
        <v>1.108914</v>
      </c>
      <c r="L2266">
        <v>284.62580000000003</v>
      </c>
      <c r="M2266">
        <v>-0.99991980000000003</v>
      </c>
      <c r="N2266">
        <v>0</v>
      </c>
      <c r="O2266">
        <v>8.5686589999999993E-3</v>
      </c>
      <c r="P2266">
        <v>-0.99914409999999998</v>
      </c>
      <c r="Q2266">
        <v>4.1193250000000001E-2</v>
      </c>
      <c r="R2266">
        <v>-3.8156079999999998E-3</v>
      </c>
      <c r="S2266">
        <v>-3.0015559999999999</v>
      </c>
      <c r="T2266">
        <v>3.7673119999999997E-2</v>
      </c>
      <c r="U2266">
        <v>0.17584229999999901</v>
      </c>
      <c r="V2266">
        <v>-1.238906E-2</v>
      </c>
      <c r="W2266">
        <v>5.0524479999999997E-2</v>
      </c>
      <c r="X2266">
        <v>0.99864600000000003</v>
      </c>
      <c r="Y2266">
        <v>4.9923670000000003E-2</v>
      </c>
      <c r="Z2266">
        <v>-2.055727E-4</v>
      </c>
      <c r="AA2266">
        <v>0.998753</v>
      </c>
      <c r="AB2266">
        <v>47</v>
      </c>
      <c r="AC2266">
        <v>-154.37079999999901</v>
      </c>
      <c r="AD2266">
        <v>1.9434450000000001</v>
      </c>
      <c r="AE2266">
        <v>9.0673999999999602</v>
      </c>
      <c r="AF2266">
        <v>7.7430358135120398</v>
      </c>
      <c r="AG2266">
        <v>1.9434450000000001</v>
      </c>
      <c r="AH2266">
        <v>154.41844081648401</v>
      </c>
      <c r="AI2266">
        <v>89.279842387694401</v>
      </c>
      <c r="AJ2266">
        <v>87.129410148163998</v>
      </c>
      <c r="AK2266">
        <v>154.62466312419599</v>
      </c>
      <c r="AL2266">
        <v>87.103927561884802</v>
      </c>
      <c r="AM2266">
        <v>90.7107668156752</v>
      </c>
      <c r="AN2266">
        <v>1.00000002260147</v>
      </c>
    </row>
    <row r="2267" spans="1:40" x14ac:dyDescent="0.25">
      <c r="A2267" t="str">
        <f>"20190312160645875"</f>
        <v>20190312160645875</v>
      </c>
      <c r="B2267" t="str">
        <f>"1552378005867137"</f>
        <v>1552378005867137</v>
      </c>
      <c r="C2267" t="s">
        <v>40</v>
      </c>
      <c r="D2267">
        <v>5.9621680000000001</v>
      </c>
      <c r="E2267">
        <v>0.52487240000000002</v>
      </c>
      <c r="F2267" t="s">
        <v>76</v>
      </c>
      <c r="G2267">
        <v>-510.9545</v>
      </c>
      <c r="H2267">
        <v>2.7386180000000002</v>
      </c>
      <c r="I2267">
        <v>294.09989999999999</v>
      </c>
      <c r="J2267">
        <v>-357.51429999999999</v>
      </c>
      <c r="K2267">
        <v>1.1089059999999999</v>
      </c>
      <c r="L2267">
        <v>284.62990000000002</v>
      </c>
      <c r="M2267">
        <v>-0.99991989999999997</v>
      </c>
      <c r="N2267">
        <v>0</v>
      </c>
      <c r="O2267">
        <v>8.5274310000000002E-3</v>
      </c>
      <c r="P2267">
        <v>-0.9991449</v>
      </c>
      <c r="Q2267">
        <v>4.1066230000000002E-2</v>
      </c>
      <c r="R2267">
        <v>-4.8101869999999996E-3</v>
      </c>
      <c r="S2267">
        <v>-3.0019529999999999</v>
      </c>
      <c r="T2267">
        <v>3.1787509999999998E-2</v>
      </c>
      <c r="U2267">
        <v>0.1847839</v>
      </c>
      <c r="V2267">
        <v>-1.334056E-2</v>
      </c>
      <c r="W2267">
        <v>5.0411610000000003E-2</v>
      </c>
      <c r="X2267">
        <v>0.99863939999999995</v>
      </c>
      <c r="Y2267">
        <v>5.2921879999999998E-2</v>
      </c>
      <c r="Z2267">
        <v>-1.8971489999999999E-4</v>
      </c>
      <c r="AA2267">
        <v>0.9985986</v>
      </c>
      <c r="AB2267">
        <v>47</v>
      </c>
      <c r="AC2267">
        <v>-153.4402</v>
      </c>
      <c r="AD2267">
        <v>1.629712</v>
      </c>
      <c r="AE2267">
        <v>9.4699999999999704</v>
      </c>
      <c r="AF2267">
        <v>8.1602306434104506</v>
      </c>
      <c r="AG2267">
        <v>1.629712</v>
      </c>
      <c r="AH2267">
        <v>153.49812860352301</v>
      </c>
      <c r="AI2267">
        <v>89.392562906232797</v>
      </c>
      <c r="AJ2267">
        <v>86.956920130753403</v>
      </c>
      <c r="AK2267">
        <v>153.72352067962899</v>
      </c>
      <c r="AL2267">
        <v>87.110402653419598</v>
      </c>
      <c r="AM2267">
        <v>90.765353661367499</v>
      </c>
      <c r="AN2267">
        <v>0.99999997609813196</v>
      </c>
    </row>
    <row r="2268" spans="1:40" x14ac:dyDescent="0.25">
      <c r="A2268" t="str">
        <f>"20190312160645896"</f>
        <v>20190312160645896</v>
      </c>
      <c r="B2268" t="str">
        <f>"1552378005887629"</f>
        <v>1552378005887629</v>
      </c>
      <c r="C2268" t="s">
        <v>40</v>
      </c>
      <c r="D2268">
        <v>5.9820739999999999</v>
      </c>
      <c r="E2268">
        <v>0.52582320000000005</v>
      </c>
      <c r="F2268" t="s">
        <v>76</v>
      </c>
      <c r="G2268">
        <v>-510.95440000000002</v>
      </c>
      <c r="H2268">
        <v>2.4847990000000002</v>
      </c>
      <c r="I2268">
        <v>294.12490000000003</v>
      </c>
      <c r="J2268">
        <v>-357.9545</v>
      </c>
      <c r="K2268">
        <v>1.1089009999999999</v>
      </c>
      <c r="L2268">
        <v>284.6336</v>
      </c>
      <c r="M2268">
        <v>-0.99992000000000003</v>
      </c>
      <c r="N2268">
        <v>0</v>
      </c>
      <c r="O2268">
        <v>8.4952399999999994E-3</v>
      </c>
      <c r="P2268">
        <v>-0.99915129999999996</v>
      </c>
      <c r="Q2268">
        <v>4.0817529999999998E-2</v>
      </c>
      <c r="R2268">
        <v>-5.5295889999999997E-3</v>
      </c>
      <c r="S2268">
        <v>-3.00238</v>
      </c>
      <c r="T2268">
        <v>2.6923889999999999E-2</v>
      </c>
      <c r="U2268">
        <v>0.18579100000000001</v>
      </c>
      <c r="V2268">
        <v>-1.402691E-2</v>
      </c>
      <c r="W2268">
        <v>5.0175879999999999E-2</v>
      </c>
      <c r="X2268">
        <v>0.99864189999999997</v>
      </c>
      <c r="Y2268">
        <v>5.3279689999999998E-2</v>
      </c>
      <c r="Z2268">
        <v>-1.6255570000000001E-4</v>
      </c>
      <c r="AA2268">
        <v>0.99857960000000001</v>
      </c>
      <c r="AB2268">
        <v>47</v>
      </c>
      <c r="AC2268">
        <v>-152.9999</v>
      </c>
      <c r="AD2268">
        <v>1.3758980000000001</v>
      </c>
      <c r="AE2268">
        <v>9.4913000000000203</v>
      </c>
      <c r="AF2268">
        <v>8.1904696960906698</v>
      </c>
      <c r="AG2268">
        <v>1.3758980000000001</v>
      </c>
      <c r="AH2268">
        <v>153.06268209044799</v>
      </c>
      <c r="AI2268">
        <v>89.485711276049003</v>
      </c>
      <c r="AJ2268">
        <v>86.936992093649707</v>
      </c>
      <c r="AK2268">
        <v>153.28783884532501</v>
      </c>
      <c r="AL2268">
        <v>87.123926196319502</v>
      </c>
      <c r="AM2268">
        <v>90.804722790105799</v>
      </c>
      <c r="AN2268">
        <v>1.00000000878676</v>
      </c>
    </row>
    <row r="2269" spans="1:40" x14ac:dyDescent="0.25">
      <c r="A2269" t="str">
        <f>"20190312160645919"</f>
        <v>20190312160645919</v>
      </c>
      <c r="B2269" t="str">
        <f>"1552378005907149"</f>
        <v>1552378005907149</v>
      </c>
      <c r="C2269" t="s">
        <v>40</v>
      </c>
      <c r="D2269">
        <v>5.9917239999999996</v>
      </c>
      <c r="E2269">
        <v>0.52692130000000004</v>
      </c>
      <c r="F2269" t="s">
        <v>76</v>
      </c>
      <c r="G2269">
        <v>-510.95440000000002</v>
      </c>
      <c r="H2269">
        <v>2.2831419999999998</v>
      </c>
      <c r="I2269">
        <v>294.37889999999999</v>
      </c>
      <c r="J2269">
        <v>-358.42349999999999</v>
      </c>
      <c r="K2269">
        <v>1.1088960000000001</v>
      </c>
      <c r="L2269">
        <v>284.63760000000002</v>
      </c>
      <c r="M2269">
        <v>-0.99992020000000004</v>
      </c>
      <c r="N2269">
        <v>0</v>
      </c>
      <c r="O2269">
        <v>8.4650619999999902E-3</v>
      </c>
      <c r="P2269">
        <v>-0.9991141</v>
      </c>
      <c r="Q2269">
        <v>4.1665069999999998E-2</v>
      </c>
      <c r="R2269">
        <v>-5.9279819999999896E-3</v>
      </c>
      <c r="S2269">
        <v>-3.0026549999999999</v>
      </c>
      <c r="T2269">
        <v>2.304637E-2</v>
      </c>
      <c r="U2269">
        <v>0.1912537</v>
      </c>
      <c r="V2269">
        <v>-1.4393899999999999E-2</v>
      </c>
      <c r="W2269">
        <v>5.1036409999999997E-2</v>
      </c>
      <c r="X2269">
        <v>0.99859299999999995</v>
      </c>
      <c r="Y2269">
        <v>5.5114080000000003E-2</v>
      </c>
      <c r="Z2269">
        <v>-1.4638889999999999E-4</v>
      </c>
      <c r="AA2269">
        <v>0.99848009999999998</v>
      </c>
      <c r="AB2269">
        <v>47</v>
      </c>
      <c r="AC2269">
        <v>-152.5309</v>
      </c>
      <c r="AD2269">
        <v>1.1742459999999999</v>
      </c>
      <c r="AE2269">
        <v>9.7412999999999599</v>
      </c>
      <c r="AF2269">
        <v>8.4492119320682999</v>
      </c>
      <c r="AG2269">
        <v>1.1742459999999999</v>
      </c>
      <c r="AH2269">
        <v>152.59889165728001</v>
      </c>
      <c r="AI2269">
        <v>89.559792834917801</v>
      </c>
      <c r="AJ2269">
        <v>86.830839460290406</v>
      </c>
      <c r="AK2269">
        <v>152.837134790508</v>
      </c>
      <c r="AL2269">
        <v>87.074557999629107</v>
      </c>
      <c r="AM2269">
        <v>90.825814532636599</v>
      </c>
      <c r="AN2269">
        <v>0.99999993957594702</v>
      </c>
    </row>
    <row r="2270" spans="1:40" x14ac:dyDescent="0.25">
      <c r="A2270" t="str">
        <f>"20190312160645942"</f>
        <v>20190312160645942</v>
      </c>
      <c r="B2270" t="str">
        <f>"1552378005937406"</f>
        <v>1552378005937406</v>
      </c>
      <c r="C2270" t="s">
        <v>40</v>
      </c>
      <c r="D2270">
        <v>6.043609</v>
      </c>
      <c r="E2270">
        <v>0.52781739999999999</v>
      </c>
      <c r="F2270" t="s">
        <v>76</v>
      </c>
      <c r="G2270">
        <v>-510.95429999999999</v>
      </c>
      <c r="H2270">
        <v>2.0320119999999999</v>
      </c>
      <c r="I2270">
        <v>294.74220000000003</v>
      </c>
      <c r="J2270">
        <v>-358.9024</v>
      </c>
      <c r="K2270">
        <v>1.108894</v>
      </c>
      <c r="L2270">
        <v>284.64159999999998</v>
      </c>
      <c r="M2270">
        <v>-0.99992029999999998</v>
      </c>
      <c r="N2270">
        <v>0</v>
      </c>
      <c r="O2270">
        <v>8.4377299999999992E-3</v>
      </c>
      <c r="P2270">
        <v>-0.99908059999999999</v>
      </c>
      <c r="Q2270">
        <v>4.2424089999999998E-2</v>
      </c>
      <c r="R2270">
        <v>-6.2050639999999997E-3</v>
      </c>
      <c r="S2270">
        <v>-3.003082</v>
      </c>
      <c r="T2270">
        <v>1.8176319999999999E-2</v>
      </c>
      <c r="U2270">
        <v>0.19894410000000001</v>
      </c>
      <c r="V2270">
        <v>-1.464235E-2</v>
      </c>
      <c r="W2270">
        <v>5.1809300000000003E-2</v>
      </c>
      <c r="X2270">
        <v>0.99854960000000004</v>
      </c>
      <c r="Y2270">
        <v>5.7678840000000002E-2</v>
      </c>
      <c r="Z2270">
        <v>-1.233478E-4</v>
      </c>
      <c r="AA2270">
        <v>0.99833519999999998</v>
      </c>
      <c r="AB2270">
        <v>47</v>
      </c>
      <c r="AC2270">
        <v>-152.05189999999999</v>
      </c>
      <c r="AD2270">
        <v>0.92311799999999999</v>
      </c>
      <c r="AE2270">
        <v>10.1006</v>
      </c>
      <c r="AF2270">
        <v>8.8168874000003399</v>
      </c>
      <c r="AG2270">
        <v>0.92311799999999999</v>
      </c>
      <c r="AH2270">
        <v>152.12613421325199</v>
      </c>
      <c r="AI2270">
        <v>89.652909671003897</v>
      </c>
      <c r="AJ2270">
        <v>86.682976682261099</v>
      </c>
      <c r="AK2270">
        <v>152.38421952726799</v>
      </c>
      <c r="AL2270">
        <v>87.030216034360095</v>
      </c>
      <c r="AM2270">
        <v>90.840103220171599</v>
      </c>
      <c r="AN2270">
        <v>0.99999995282008503</v>
      </c>
    </row>
    <row r="2271" spans="1:40" x14ac:dyDescent="0.25">
      <c r="A2271" t="str">
        <f>"20190312160645963"</f>
        <v>20190312160645963</v>
      </c>
      <c r="B2271" t="str">
        <f>"1552378005956925"</f>
        <v>1552378005956925</v>
      </c>
      <c r="C2271" t="s">
        <v>40</v>
      </c>
      <c r="D2271">
        <v>5.8542199999999998</v>
      </c>
      <c r="E2271">
        <v>0.52789049999999904</v>
      </c>
      <c r="F2271" t="s">
        <v>76</v>
      </c>
      <c r="G2271">
        <v>-510.95429999999999</v>
      </c>
      <c r="H2271">
        <v>2.0036309999999999</v>
      </c>
      <c r="I2271">
        <v>295.03359999999998</v>
      </c>
      <c r="J2271">
        <v>-359.375</v>
      </c>
      <c r="K2271">
        <v>1.108886</v>
      </c>
      <c r="L2271">
        <v>284.6456</v>
      </c>
      <c r="M2271">
        <v>-0.99992040000000004</v>
      </c>
      <c r="N2271">
        <v>0</v>
      </c>
      <c r="O2271">
        <v>8.4120600000000007E-3</v>
      </c>
      <c r="P2271">
        <v>-0.99907710000000005</v>
      </c>
      <c r="Q2271">
        <v>4.250698E-2</v>
      </c>
      <c r="R2271">
        <v>-6.1715989999999998E-3</v>
      </c>
      <c r="S2271">
        <v>-3.0032960000000002</v>
      </c>
      <c r="T2271">
        <v>1.7674329999999999E-2</v>
      </c>
      <c r="U2271">
        <v>0.2052612</v>
      </c>
      <c r="V2271">
        <v>-1.4582289999999999E-2</v>
      </c>
      <c r="W2271">
        <v>5.1905489999999999E-2</v>
      </c>
      <c r="X2271">
        <v>0.99854549999999997</v>
      </c>
      <c r="Y2271">
        <v>5.979011E-2</v>
      </c>
      <c r="Z2271">
        <v>-1.2628039999999999E-4</v>
      </c>
      <c r="AA2271">
        <v>0.99821099999999996</v>
      </c>
      <c r="AB2271">
        <v>47</v>
      </c>
      <c r="AC2271">
        <v>-151.57929999999999</v>
      </c>
      <c r="AD2271">
        <v>0.89474499999999901</v>
      </c>
      <c r="AE2271">
        <v>10.3879999999999</v>
      </c>
      <c r="AF2271">
        <v>9.1121658569211395</v>
      </c>
      <c r="AG2271">
        <v>0.89474499999999901</v>
      </c>
      <c r="AH2271">
        <v>151.65606519999099</v>
      </c>
      <c r="AI2271">
        <v>89.662577073018795</v>
      </c>
      <c r="AJ2271">
        <v>86.561550426370601</v>
      </c>
      <c r="AK2271">
        <v>151.93220279836299</v>
      </c>
      <c r="AL2271">
        <v>87.024697376789007</v>
      </c>
      <c r="AM2271">
        <v>90.836661209926405</v>
      </c>
      <c r="AN2271">
        <v>0.99999996932201596</v>
      </c>
    </row>
    <row r="2272" spans="1:40" x14ac:dyDescent="0.25">
      <c r="A2272" t="str">
        <f>"20190312160645987"</f>
        <v>20190312160645987</v>
      </c>
      <c r="B2272" t="str">
        <f>"1552378005977425"</f>
        <v>1552378005977425</v>
      </c>
      <c r="C2272" t="s">
        <v>40</v>
      </c>
      <c r="D2272">
        <v>5.9700930000000003</v>
      </c>
      <c r="E2272">
        <v>0.52770450000000002</v>
      </c>
      <c r="F2272" t="s">
        <v>76</v>
      </c>
      <c r="G2272">
        <v>-510.95429999999999</v>
      </c>
      <c r="H2272">
        <v>1.992828</v>
      </c>
      <c r="I2272">
        <v>295.04230000000001</v>
      </c>
      <c r="J2272">
        <v>-359.85149999999999</v>
      </c>
      <c r="K2272">
        <v>1.108878</v>
      </c>
      <c r="L2272">
        <v>284.64960000000002</v>
      </c>
      <c r="M2272">
        <v>-0.99992040000000004</v>
      </c>
      <c r="N2272">
        <v>0</v>
      </c>
      <c r="O2272">
        <v>8.3867379999999995E-3</v>
      </c>
      <c r="P2272">
        <v>-0.99907259999999998</v>
      </c>
      <c r="Q2272">
        <v>4.2620129999999999E-2</v>
      </c>
      <c r="R2272">
        <v>-6.1642090000000004E-3</v>
      </c>
      <c r="S2272">
        <v>-3.0032960000000002</v>
      </c>
      <c r="T2272">
        <v>1.751554E-2</v>
      </c>
      <c r="U2272">
        <v>0.2059937</v>
      </c>
      <c r="V2272">
        <v>-1.454838E-2</v>
      </c>
      <c r="W2272">
        <v>5.2032630000000003E-2</v>
      </c>
      <c r="X2272">
        <v>0.99853939999999997</v>
      </c>
      <c r="Y2272">
        <v>6.0057699999999999E-2</v>
      </c>
      <c r="Z2272">
        <v>-1.260717E-4</v>
      </c>
      <c r="AA2272">
        <v>0.9981949</v>
      </c>
      <c r="AB2272">
        <v>47</v>
      </c>
      <c r="AC2272">
        <v>-151.1028</v>
      </c>
      <c r="AD2272">
        <v>0.88394999999999901</v>
      </c>
      <c r="AE2272">
        <v>10.3926999999999</v>
      </c>
      <c r="AF2272">
        <v>9.1247077639801599</v>
      </c>
      <c r="AG2272">
        <v>0.88394999999999901</v>
      </c>
      <c r="AH2272">
        <v>151.17950070689599</v>
      </c>
      <c r="AI2272">
        <v>89.665602611146795</v>
      </c>
      <c r="AJ2272">
        <v>86.546001449851403</v>
      </c>
      <c r="AK2272">
        <v>151.45719888261101</v>
      </c>
      <c r="AL2272">
        <v>87.017403000790793</v>
      </c>
      <c r="AM2272">
        <v>90.834720992372397</v>
      </c>
      <c r="AN2272">
        <v>0.99999999164885001</v>
      </c>
    </row>
    <row r="2273" spans="1:40" x14ac:dyDescent="0.25">
      <c r="A2273" t="str">
        <f>"20190312160646008"</f>
        <v>20190312160646008</v>
      </c>
      <c r="B2273" t="str">
        <f>"1552378005996941"</f>
        <v>1552378005996941</v>
      </c>
      <c r="C2273" t="s">
        <v>40</v>
      </c>
      <c r="D2273">
        <v>5.9210929999999999</v>
      </c>
      <c r="E2273">
        <v>0.52729429999999999</v>
      </c>
      <c r="F2273" t="s">
        <v>76</v>
      </c>
      <c r="G2273">
        <v>-510.95440000000002</v>
      </c>
      <c r="H2273">
        <v>2.415708</v>
      </c>
      <c r="I2273">
        <v>294.93040000000002</v>
      </c>
      <c r="J2273">
        <v>-360.30889999999999</v>
      </c>
      <c r="K2273">
        <v>1.1088709999999999</v>
      </c>
      <c r="L2273">
        <v>284.65339999999998</v>
      </c>
      <c r="M2273">
        <v>-0.99992049999999999</v>
      </c>
      <c r="N2273">
        <v>0</v>
      </c>
      <c r="O2273">
        <v>8.3639059999999904E-3</v>
      </c>
      <c r="P2273">
        <v>-0.99909599999999998</v>
      </c>
      <c r="Q2273">
        <v>4.2097349999999999E-2</v>
      </c>
      <c r="R2273">
        <v>-5.9411739999999996E-3</v>
      </c>
      <c r="S2273">
        <v>-3.0029300000000001</v>
      </c>
      <c r="T2273">
        <v>2.5972840000000001E-2</v>
      </c>
      <c r="U2273">
        <v>0.2043152</v>
      </c>
      <c r="V2273">
        <v>-1.43026E-2</v>
      </c>
      <c r="W2273">
        <v>5.1523579999999999E-2</v>
      </c>
      <c r="X2273">
        <v>0.99856940000000005</v>
      </c>
      <c r="Y2273">
        <v>5.9532410000000001E-2</v>
      </c>
      <c r="Z2273">
        <v>-1.848974E-4</v>
      </c>
      <c r="AA2273">
        <v>0.99822630000000001</v>
      </c>
      <c r="AB2273">
        <v>47</v>
      </c>
      <c r="AC2273">
        <v>-150.6455</v>
      </c>
      <c r="AD2273">
        <v>1.306837</v>
      </c>
      <c r="AE2273">
        <v>10.276999999999999</v>
      </c>
      <c r="AF2273">
        <v>9.0159242567068496</v>
      </c>
      <c r="AG2273">
        <v>1.306837</v>
      </c>
      <c r="AH2273">
        <v>150.714900547013</v>
      </c>
      <c r="AI2273">
        <v>89.504091752525994</v>
      </c>
      <c r="AJ2273">
        <v>86.576585799556</v>
      </c>
      <c r="AK2273">
        <v>150.98998629062501</v>
      </c>
      <c r="AL2273">
        <v>87.046608751999599</v>
      </c>
      <c r="AM2273">
        <v>90.820596529423696</v>
      </c>
      <c r="AN2273">
        <v>1.0000000451395601</v>
      </c>
    </row>
    <row r="2274" spans="1:40" x14ac:dyDescent="0.25">
      <c r="A2274" t="str">
        <f>"20190312160646032"</f>
        <v>20190312160646032</v>
      </c>
      <c r="B2274" t="str">
        <f>"1552378006027197"</f>
        <v>1552378006027197</v>
      </c>
      <c r="C2274" t="s">
        <v>40</v>
      </c>
      <c r="D2274">
        <v>5.9483329999999999</v>
      </c>
      <c r="E2274">
        <v>0.52695550000000002</v>
      </c>
      <c r="F2274" t="s">
        <v>76</v>
      </c>
      <c r="G2274">
        <v>-510.9545</v>
      </c>
      <c r="H2274">
        <v>2.6086499999999999</v>
      </c>
      <c r="I2274">
        <v>294.7679</v>
      </c>
      <c r="J2274">
        <v>-360.80340000000001</v>
      </c>
      <c r="K2274">
        <v>1.1088789999999999</v>
      </c>
      <c r="L2274">
        <v>284.65750000000003</v>
      </c>
      <c r="M2274">
        <v>-0.99992000000000003</v>
      </c>
      <c r="N2274">
        <v>0</v>
      </c>
      <c r="O2274">
        <v>8.3406360000000002E-3</v>
      </c>
      <c r="P2274">
        <v>-0.99913160000000001</v>
      </c>
      <c r="Q2274">
        <v>4.1377320000000002E-2</v>
      </c>
      <c r="R2274">
        <v>-4.9174090000000002E-3</v>
      </c>
      <c r="S2274">
        <v>-3.0026250000000001</v>
      </c>
      <c r="T2274">
        <v>2.9894830000000001E-2</v>
      </c>
      <c r="U2274">
        <v>0.2015991</v>
      </c>
      <c r="V2274">
        <v>-1.325454E-2</v>
      </c>
      <c r="W2274">
        <v>5.0873549999999997E-2</v>
      </c>
      <c r="X2274">
        <v>0.99861719999999998</v>
      </c>
      <c r="Y2274">
        <v>5.8663069999999998E-2</v>
      </c>
      <c r="Z2274">
        <v>-2.0875289999999999E-4</v>
      </c>
      <c r="AA2274">
        <v>0.99827779999999999</v>
      </c>
      <c r="AB2274">
        <v>47</v>
      </c>
      <c r="AC2274">
        <v>-150.15110000000001</v>
      </c>
      <c r="AD2274">
        <v>1.49977099999999</v>
      </c>
      <c r="AE2274">
        <v>10.110399999999901</v>
      </c>
      <c r="AF2274">
        <v>8.8567563575380994</v>
      </c>
      <c r="AG2274">
        <v>1.49977099999999</v>
      </c>
      <c r="AH2274">
        <v>150.21528860336301</v>
      </c>
      <c r="AI2274">
        <v>89.428961353835703</v>
      </c>
      <c r="AJ2274">
        <v>86.625723248690704</v>
      </c>
      <c r="AK2274">
        <v>150.48363491230799</v>
      </c>
      <c r="AL2274">
        <v>87.0839016696344</v>
      </c>
      <c r="AM2274">
        <v>90.760436141056104</v>
      </c>
      <c r="AN2274">
        <v>1.00000005652802</v>
      </c>
    </row>
    <row r="2275" spans="1:40" x14ac:dyDescent="0.25">
      <c r="A2275" t="str">
        <f>"20190312160646055"</f>
        <v>20190312160646055</v>
      </c>
      <c r="B2275" t="str">
        <f>"1552378006047693"</f>
        <v>1552378006047693</v>
      </c>
      <c r="C2275" t="s">
        <v>40</v>
      </c>
      <c r="D2275">
        <v>5.9666040000000002</v>
      </c>
      <c r="E2275">
        <v>0.52748640000000002</v>
      </c>
      <c r="F2275" t="s">
        <v>76</v>
      </c>
      <c r="G2275">
        <v>-510.95460000000003</v>
      </c>
      <c r="H2275">
        <v>2.8060640000000001</v>
      </c>
      <c r="I2275">
        <v>294.74919999999997</v>
      </c>
      <c r="J2275">
        <v>-361.28570000000002</v>
      </c>
      <c r="K2275">
        <v>1.1089290000000001</v>
      </c>
      <c r="L2275">
        <v>284.66149999999999</v>
      </c>
      <c r="M2275">
        <v>-0.99991779999999997</v>
      </c>
      <c r="N2275">
        <v>0</v>
      </c>
      <c r="O2275">
        <v>8.3224309999999999E-3</v>
      </c>
      <c r="P2275">
        <v>-0.99914099999999995</v>
      </c>
      <c r="Q2275">
        <v>4.1198749999999999E-2</v>
      </c>
      <c r="R2275">
        <v>-4.4791040000000002E-3</v>
      </c>
      <c r="S2275">
        <v>-3.0022280000000001</v>
      </c>
      <c r="T2275">
        <v>3.3936380000000002E-2</v>
      </c>
      <c r="U2275">
        <v>0.20178219999999999</v>
      </c>
      <c r="V2275">
        <v>-1.279784E-2</v>
      </c>
      <c r="W2275">
        <v>5.0935939999999999E-2</v>
      </c>
      <c r="X2275">
        <v>0.9986199</v>
      </c>
      <c r="Y2275">
        <v>5.8749929999999999E-2</v>
      </c>
      <c r="Z2275">
        <v>-2.376995E-4</v>
      </c>
      <c r="AA2275">
        <v>0.99827270000000001</v>
      </c>
      <c r="AB2275">
        <v>47</v>
      </c>
      <c r="AC2275">
        <v>-149.66890000000001</v>
      </c>
      <c r="AD2275">
        <v>1.6971349999999901</v>
      </c>
      <c r="AE2275">
        <v>10.0876999999999</v>
      </c>
      <c r="AF2275">
        <v>8.8405506966160896</v>
      </c>
      <c r="AG2275">
        <v>1.6971349999999901</v>
      </c>
      <c r="AH2275">
        <v>149.72850948725701</v>
      </c>
      <c r="AI2275">
        <v>89.351723482753997</v>
      </c>
      <c r="AJ2275">
        <v>86.620958428584203</v>
      </c>
      <c r="AK2275">
        <v>149.99887385278299</v>
      </c>
      <c r="AL2275">
        <v>87.080322121051907</v>
      </c>
      <c r="AM2275">
        <v>90.734235398005595</v>
      </c>
      <c r="AN2275">
        <v>0.99999997968417897</v>
      </c>
    </row>
    <row r="2276" spans="1:40" x14ac:dyDescent="0.25">
      <c r="A2276" t="str">
        <f>"20190312160646076"</f>
        <v>20190312160646076</v>
      </c>
      <c r="B2276" t="str">
        <f>"1552378006067217"</f>
        <v>1552378006067217</v>
      </c>
      <c r="C2276" t="s">
        <v>40</v>
      </c>
      <c r="D2276">
        <v>5.7510009999999996</v>
      </c>
      <c r="E2276">
        <v>0.4931199</v>
      </c>
      <c r="F2276" t="s">
        <v>76</v>
      </c>
      <c r="G2276">
        <v>-510.9545</v>
      </c>
      <c r="H2276">
        <v>2.619453</v>
      </c>
      <c r="I2276">
        <v>295.00369999999998</v>
      </c>
      <c r="J2276">
        <v>-361.74450000000002</v>
      </c>
      <c r="K2276">
        <v>1.1090040000000001</v>
      </c>
      <c r="L2276">
        <v>284.6653</v>
      </c>
      <c r="M2276">
        <v>-0.99991419999999998</v>
      </c>
      <c r="N2276">
        <v>0</v>
      </c>
      <c r="O2276">
        <v>8.3096630000000001E-3</v>
      </c>
      <c r="P2276">
        <v>-0.99913909999999995</v>
      </c>
      <c r="Q2276">
        <v>4.1247829999999999E-2</v>
      </c>
      <c r="R2276">
        <v>-4.4806780000000001E-3</v>
      </c>
      <c r="S2276">
        <v>-3.0022579999999999</v>
      </c>
      <c r="T2276">
        <v>3.0301809999999998E-2</v>
      </c>
      <c r="U2276">
        <v>0.20745849999999999</v>
      </c>
      <c r="V2276">
        <v>-1.2785650000000001E-2</v>
      </c>
      <c r="W2276">
        <v>5.1368329999999997E-2</v>
      </c>
      <c r="X2276">
        <v>0.99859790000000004</v>
      </c>
      <c r="Y2276">
        <v>6.064108E-2</v>
      </c>
      <c r="Z2276">
        <v>-2.2188819999999999E-4</v>
      </c>
      <c r="AA2276">
        <v>0.99815960000000004</v>
      </c>
      <c r="AB2276">
        <v>47</v>
      </c>
      <c r="AC2276">
        <v>-149.20999999999901</v>
      </c>
      <c r="AD2276">
        <v>1.5104489999999999</v>
      </c>
      <c r="AE2276">
        <v>10.338399999999901</v>
      </c>
      <c r="AF2276">
        <v>9.0971668554637297</v>
      </c>
      <c r="AG2276">
        <v>1.5104489999999999</v>
      </c>
      <c r="AH2276">
        <v>149.27553702910799</v>
      </c>
      <c r="AI2276">
        <v>89.421344198379998</v>
      </c>
      <c r="AJ2276">
        <v>86.5125871313695</v>
      </c>
      <c r="AK2276">
        <v>149.560107837305</v>
      </c>
      <c r="AL2276">
        <v>87.0555155006912</v>
      </c>
      <c r="AM2276">
        <v>90.733552270637304</v>
      </c>
      <c r="AN2276">
        <v>0.99999997202865998</v>
      </c>
    </row>
    <row r="2277" spans="1:40" x14ac:dyDescent="0.25">
      <c r="A2277" t="str">
        <f>"20190312160646098"</f>
        <v>20190312160646098</v>
      </c>
      <c r="B2277" t="str">
        <f>"1552378006087710"</f>
        <v>1552378006087710</v>
      </c>
      <c r="C2277" t="s">
        <v>40</v>
      </c>
      <c r="D2277">
        <v>5.8284949999999904</v>
      </c>
      <c r="E2277">
        <v>0.48743789999999998</v>
      </c>
      <c r="F2277" t="s">
        <v>41</v>
      </c>
      <c r="G2277">
        <v>0</v>
      </c>
      <c r="H2277">
        <v>0</v>
      </c>
      <c r="I2277">
        <v>0</v>
      </c>
      <c r="J2277">
        <v>-362.1968</v>
      </c>
      <c r="K2277">
        <v>1.109078</v>
      </c>
      <c r="L2277">
        <v>284.66899999999998</v>
      </c>
      <c r="M2277">
        <v>-0.99991019999999997</v>
      </c>
      <c r="N2277">
        <v>0</v>
      </c>
      <c r="O2277">
        <v>8.3009039999999996E-3</v>
      </c>
      <c r="P2277">
        <v>-0.99915359999999998</v>
      </c>
      <c r="Q2277">
        <v>4.0825140000000003E-2</v>
      </c>
      <c r="R2277">
        <v>-5.075581E-3</v>
      </c>
      <c r="S2277">
        <v>-3.0013429999999999</v>
      </c>
      <c r="T2277">
        <v>2.264702E-2</v>
      </c>
      <c r="U2277">
        <v>-6.6375729999999994E-2</v>
      </c>
      <c r="V2277">
        <v>-1.3371350000000001E-2</v>
      </c>
      <c r="W2277">
        <v>5.1345479999999999E-2</v>
      </c>
      <c r="X2277">
        <v>0.99859140000000002</v>
      </c>
      <c r="Y2277">
        <v>-3.0407409999999999E-2</v>
      </c>
      <c r="Z2277">
        <v>1.7733730000000001E-4</v>
      </c>
      <c r="AA2277">
        <v>0.99953760000000003</v>
      </c>
      <c r="AB2277">
        <v>47</v>
      </c>
      <c r="AC2277">
        <v>-3.0013429999999999</v>
      </c>
      <c r="AD2277">
        <v>2.264702E-2</v>
      </c>
      <c r="AE2277">
        <v>-6.6375729999999994E-2</v>
      </c>
      <c r="AF2277">
        <v>-9.1283487122514995E-2</v>
      </c>
      <c r="AG2277">
        <v>2.264702E-2</v>
      </c>
      <c r="AH2277">
        <v>3.0005178184252799</v>
      </c>
      <c r="AI2277">
        <v>89.567756607905295</v>
      </c>
      <c r="AJ2277">
        <v>91.742547853848905</v>
      </c>
      <c r="AK2277">
        <v>3.0019914625501101</v>
      </c>
      <c r="AL2277">
        <v>87.056826426605895</v>
      </c>
      <c r="AM2277">
        <v>90.767156755340807</v>
      </c>
      <c r="AN2277">
        <v>0.99999996773560496</v>
      </c>
    </row>
    <row r="2278" spans="1:40" x14ac:dyDescent="0.25">
      <c r="A2278" t="str">
        <f>"20190312160646120"</f>
        <v>20190312160646120</v>
      </c>
      <c r="B2278" t="str">
        <f>"1552378006116990"</f>
        <v>1552378006116990</v>
      </c>
      <c r="C2278" t="s">
        <v>40</v>
      </c>
      <c r="D2278">
        <v>5.6853030000000002</v>
      </c>
      <c r="E2278">
        <v>0.4845643</v>
      </c>
      <c r="F2278" t="s">
        <v>77</v>
      </c>
      <c r="G2278">
        <v>-415.50549999999998</v>
      </c>
      <c r="H2278" s="1">
        <v>3.3509240000000002E-6</v>
      </c>
      <c r="I2278">
        <v>282.68779999999998</v>
      </c>
      <c r="J2278">
        <v>-362.66969999999998</v>
      </c>
      <c r="K2278">
        <v>1.109124</v>
      </c>
      <c r="L2278">
        <v>284.673</v>
      </c>
      <c r="M2278">
        <v>-0.99990610000000002</v>
      </c>
      <c r="N2278">
        <v>0</v>
      </c>
      <c r="O2278">
        <v>8.2952259999999993E-3</v>
      </c>
      <c r="P2278">
        <v>-0.99917990000000001</v>
      </c>
      <c r="Q2278">
        <v>4.010329E-2</v>
      </c>
      <c r="R2278">
        <v>-5.6067749999999996E-3</v>
      </c>
      <c r="S2278">
        <v>-3.0045169999999999</v>
      </c>
      <c r="T2278">
        <v>-6.2508339999999996E-2</v>
      </c>
      <c r="U2278">
        <v>-0.11166379999999999</v>
      </c>
      <c r="V2278">
        <v>-1.389633E-2</v>
      </c>
      <c r="W2278">
        <v>5.100213E-2</v>
      </c>
      <c r="X2278">
        <v>0.99860190000000004</v>
      </c>
      <c r="Y2278">
        <v>-4.5416789999999999E-2</v>
      </c>
      <c r="Z2278">
        <v>-6.4474710000000002E-4</v>
      </c>
      <c r="AA2278">
        <v>0.99896790000000002</v>
      </c>
      <c r="AB2278">
        <v>47</v>
      </c>
      <c r="AC2278">
        <v>-52.835799999999999</v>
      </c>
      <c r="AD2278">
        <v>-1.1091206490759999</v>
      </c>
      <c r="AE2278">
        <v>-1.9852000000000201</v>
      </c>
      <c r="AF2278">
        <v>-2.4223767337265101</v>
      </c>
      <c r="AG2278">
        <v>-1.1091206490759999</v>
      </c>
      <c r="AH2278">
        <v>52.794281862609999</v>
      </c>
      <c r="AI2278">
        <v>91.202248145797199</v>
      </c>
      <c r="AJ2278">
        <v>92.627077831108195</v>
      </c>
      <c r="AK2278">
        <v>52.861462853793803</v>
      </c>
      <c r="AL2278">
        <v>87.076524954061199</v>
      </c>
      <c r="AM2278">
        <v>90.797264326409405</v>
      </c>
      <c r="AN2278">
        <v>1.0000000399678</v>
      </c>
    </row>
    <row r="2279" spans="1:40" x14ac:dyDescent="0.25">
      <c r="A2279" t="str">
        <f>"20190312160646143"</f>
        <v>20190312160646143</v>
      </c>
      <c r="B2279" t="str">
        <f>"1552378006137485"</f>
        <v>1552378006137485</v>
      </c>
      <c r="C2279" t="s">
        <v>40</v>
      </c>
      <c r="D2279">
        <v>5.9201230000000002</v>
      </c>
      <c r="E2279">
        <v>0.4843944</v>
      </c>
      <c r="F2279" t="s">
        <v>77</v>
      </c>
      <c r="G2279">
        <v>-429.77359999999999</v>
      </c>
      <c r="H2279" s="1">
        <v>2.493051E-6</v>
      </c>
      <c r="I2279">
        <v>281.61790000000002</v>
      </c>
      <c r="J2279">
        <v>-363.14330000000001</v>
      </c>
      <c r="K2279">
        <v>1.1091629999999999</v>
      </c>
      <c r="L2279">
        <v>284.67689999999999</v>
      </c>
      <c r="M2279">
        <v>-0.99990250000000003</v>
      </c>
      <c r="N2279">
        <v>0</v>
      </c>
      <c r="O2279">
        <v>8.2925989999999995E-3</v>
      </c>
      <c r="P2279">
        <v>-0.9992202</v>
      </c>
      <c r="Q2279">
        <v>3.9064620000000001E-2</v>
      </c>
      <c r="R2279">
        <v>-5.7333940000000002E-3</v>
      </c>
      <c r="S2279">
        <v>-3.0036930000000002</v>
      </c>
      <c r="T2279">
        <v>-4.9646259999999998E-2</v>
      </c>
      <c r="U2279">
        <v>-0.13674929999999999</v>
      </c>
      <c r="V2279">
        <v>-1.4020639999999999E-2</v>
      </c>
      <c r="W2279">
        <v>5.0293980000000002E-2</v>
      </c>
      <c r="X2279">
        <v>0.99863610000000003</v>
      </c>
      <c r="Y2279">
        <v>-5.3754459999999997E-2</v>
      </c>
      <c r="Z2279">
        <v>-5.8097469999999997E-4</v>
      </c>
      <c r="AA2279">
        <v>0.99855400000000005</v>
      </c>
      <c r="AB2279">
        <v>47</v>
      </c>
      <c r="AC2279">
        <v>-66.630299999999906</v>
      </c>
      <c r="AD2279">
        <v>-1.10916050694899</v>
      </c>
      <c r="AE2279">
        <v>-3.0589999999999602</v>
      </c>
      <c r="AF2279">
        <v>-3.6104696625933101</v>
      </c>
      <c r="AG2279">
        <v>-1.10916050694899</v>
      </c>
      <c r="AH2279">
        <v>66.584227967548898</v>
      </c>
      <c r="AI2279">
        <v>90.952945541239501</v>
      </c>
      <c r="AJ2279">
        <v>93.103772351954504</v>
      </c>
      <c r="AK2279">
        <v>66.691267361246005</v>
      </c>
      <c r="AL2279">
        <v>87.117151162743994</v>
      </c>
      <c r="AM2279">
        <v>90.804367799004794</v>
      </c>
      <c r="AN2279">
        <v>1.0000000614967199</v>
      </c>
    </row>
    <row r="2280" spans="1:40" x14ac:dyDescent="0.25">
      <c r="A2280" t="str">
        <f>"20190312160646165"</f>
        <v>20190312160646165</v>
      </c>
      <c r="B2280" t="str">
        <f>"1552378006157006"</f>
        <v>1552378006157006</v>
      </c>
      <c r="C2280" t="s">
        <v>40</v>
      </c>
      <c r="D2280">
        <v>5.7575139999999996</v>
      </c>
      <c r="E2280">
        <v>0.4845005</v>
      </c>
      <c r="F2280" t="s">
        <v>77</v>
      </c>
      <c r="G2280">
        <v>-429.80040000000002</v>
      </c>
      <c r="H2280" s="1">
        <v>2.4900930000000001E-6</v>
      </c>
      <c r="I2280">
        <v>281.59739999999999</v>
      </c>
      <c r="J2280">
        <v>-363.6284</v>
      </c>
      <c r="K2280">
        <v>1.1091869999999999</v>
      </c>
      <c r="L2280">
        <v>284.68099999999998</v>
      </c>
      <c r="M2280">
        <v>-0.99989899999999998</v>
      </c>
      <c r="N2280">
        <v>0</v>
      </c>
      <c r="O2280">
        <v>8.2923029999999991E-3</v>
      </c>
      <c r="P2280">
        <v>-0.99921280000000001</v>
      </c>
      <c r="Q2280">
        <v>3.9228939999999997E-2</v>
      </c>
      <c r="R2280">
        <v>-5.9324269999999997E-3</v>
      </c>
      <c r="S2280">
        <v>-3.0035400000000001</v>
      </c>
      <c r="T2280">
        <v>-4.9978259999999997E-2</v>
      </c>
      <c r="U2280">
        <v>-0.13876340000000001</v>
      </c>
      <c r="V2280">
        <v>-1.4218400000000001E-2</v>
      </c>
      <c r="W2280">
        <v>5.0756879999999997E-2</v>
      </c>
      <c r="X2280">
        <v>0.99860979999999999</v>
      </c>
      <c r="Y2280">
        <v>-5.4424489999999999E-2</v>
      </c>
      <c r="Z2280">
        <v>-5.9044679999999995E-4</v>
      </c>
      <c r="AA2280">
        <v>0.99851769999999995</v>
      </c>
      <c r="AB2280">
        <v>47</v>
      </c>
      <c r="AC2280">
        <v>-66.171999999999997</v>
      </c>
      <c r="AD2280">
        <v>-1.1091845099069999</v>
      </c>
      <c r="AE2280">
        <v>-3.0835999999999899</v>
      </c>
      <c r="AF2280">
        <v>-3.6312307422204402</v>
      </c>
      <c r="AG2280">
        <v>-1.1091845099069999</v>
      </c>
      <c r="AH2280">
        <v>66.125613721846506</v>
      </c>
      <c r="AI2280">
        <v>90.9595382080728</v>
      </c>
      <c r="AJ2280">
        <v>93.143191093534597</v>
      </c>
      <c r="AK2280">
        <v>66.234529643314602</v>
      </c>
      <c r="AL2280">
        <v>87.090594787120693</v>
      </c>
      <c r="AM2280">
        <v>90.815733299975705</v>
      </c>
      <c r="AN2280">
        <v>0.99999997821096698</v>
      </c>
    </row>
    <row r="2281" spans="1:40" x14ac:dyDescent="0.25">
      <c r="A2281" t="str">
        <f>"20190312160646187"</f>
        <v>20190312160646187</v>
      </c>
      <c r="B2281" t="str">
        <f>"1552378006177502"</f>
        <v>1552378006177502</v>
      </c>
      <c r="C2281" t="s">
        <v>40</v>
      </c>
      <c r="D2281">
        <v>5.7969970000000002</v>
      </c>
      <c r="E2281">
        <v>0.4842534</v>
      </c>
      <c r="F2281" t="s">
        <v>77</v>
      </c>
      <c r="G2281">
        <v>-415.29219999999998</v>
      </c>
      <c r="H2281" s="1">
        <v>3.346981E-6</v>
      </c>
      <c r="I2281">
        <v>282.30029999999999</v>
      </c>
      <c r="J2281">
        <v>-364.08569999999997</v>
      </c>
      <c r="K2281">
        <v>1.109208</v>
      </c>
      <c r="L2281">
        <v>284.68470000000002</v>
      </c>
      <c r="M2281">
        <v>-0.99989620000000001</v>
      </c>
      <c r="N2281">
        <v>0</v>
      </c>
      <c r="O2281">
        <v>8.2952019999999998E-3</v>
      </c>
      <c r="P2281">
        <v>-0.99921720000000003</v>
      </c>
      <c r="Q2281">
        <v>3.9173800000000002E-2</v>
      </c>
      <c r="R2281">
        <v>-5.5413469999999899E-3</v>
      </c>
      <c r="S2281">
        <v>-3.0040589999999998</v>
      </c>
      <c r="T2281">
        <v>-6.4494850000000006E-2</v>
      </c>
      <c r="U2281">
        <v>-0.13842769999999999</v>
      </c>
      <c r="V2281">
        <v>-1.3830179999999999E-2</v>
      </c>
      <c r="W2281">
        <v>5.0953079999999998E-2</v>
      </c>
      <c r="X2281">
        <v>0.99860530000000003</v>
      </c>
      <c r="Y2281">
        <v>-5.4302400000000001E-2</v>
      </c>
      <c r="Z2281">
        <v>-7.6053549999999996E-4</v>
      </c>
      <c r="AA2281">
        <v>0.99852419999999997</v>
      </c>
      <c r="AB2281">
        <v>47</v>
      </c>
      <c r="AC2281">
        <v>-51.206499999999998</v>
      </c>
      <c r="AD2281">
        <v>-1.1092046530190001</v>
      </c>
      <c r="AE2281">
        <v>-2.3844000000000198</v>
      </c>
      <c r="AF2281">
        <v>-2.8078010742813002</v>
      </c>
      <c r="AG2281">
        <v>-1.1092046530190001</v>
      </c>
      <c r="AH2281">
        <v>51.161003859067499</v>
      </c>
      <c r="AI2281">
        <v>91.240150421138594</v>
      </c>
      <c r="AJ2281">
        <v>93.141336406955901</v>
      </c>
      <c r="AK2281">
        <v>51.249999001975901</v>
      </c>
      <c r="AL2281">
        <v>87.079338905676295</v>
      </c>
      <c r="AM2281">
        <v>90.793466934341595</v>
      </c>
      <c r="AN2281">
        <v>1.0000000177142001</v>
      </c>
    </row>
    <row r="2282" spans="1:40" x14ac:dyDescent="0.25">
      <c r="A2282" t="str">
        <f>"20190312160646209"</f>
        <v>20190312160646209</v>
      </c>
      <c r="B2282" t="str">
        <f>"1552378006197021"</f>
        <v>1552378006197021</v>
      </c>
      <c r="C2282" t="s">
        <v>40</v>
      </c>
      <c r="D2282">
        <v>5.8359990000000002</v>
      </c>
      <c r="E2282">
        <v>0.4838751</v>
      </c>
      <c r="F2282" t="s">
        <v>77</v>
      </c>
      <c r="G2282">
        <v>-413.38130000000001</v>
      </c>
      <c r="H2282" s="1">
        <v>2.9992399999999998E-6</v>
      </c>
      <c r="I2282">
        <v>282.4008</v>
      </c>
      <c r="J2282">
        <v>-364.5514</v>
      </c>
      <c r="K2282">
        <v>1.109216</v>
      </c>
      <c r="L2282">
        <v>284.68860000000001</v>
      </c>
      <c r="M2282">
        <v>-0.99989340000000004</v>
      </c>
      <c r="N2282">
        <v>0</v>
      </c>
      <c r="O2282">
        <v>8.2973919999999902E-3</v>
      </c>
      <c r="P2282">
        <v>-0.99923879999999998</v>
      </c>
      <c r="Q2282">
        <v>3.8675920000000003E-2</v>
      </c>
      <c r="R2282">
        <v>-5.1140990000000004E-3</v>
      </c>
      <c r="S2282">
        <v>-3.0042110000000002</v>
      </c>
      <c r="T2282">
        <v>-6.7597989999999997E-2</v>
      </c>
      <c r="U2282">
        <v>-0.1391907</v>
      </c>
      <c r="V2282">
        <v>-1.3404660000000001E-2</v>
      </c>
      <c r="W2282">
        <v>5.0684489999999999E-2</v>
      </c>
      <c r="X2282">
        <v>0.99862470000000003</v>
      </c>
      <c r="Y2282">
        <v>-5.4553839999999999E-2</v>
      </c>
      <c r="Z2282">
        <v>-7.9995100000000003E-4</v>
      </c>
      <c r="AA2282">
        <v>0.99851049999999997</v>
      </c>
      <c r="AB2282">
        <v>47</v>
      </c>
      <c r="AC2282">
        <v>-48.829900000000002</v>
      </c>
      <c r="AD2282">
        <v>-1.1092130007600001</v>
      </c>
      <c r="AE2282">
        <v>-2.2877999999999998</v>
      </c>
      <c r="AF2282">
        <v>-2.6915254867866198</v>
      </c>
      <c r="AG2282">
        <v>-1.1092130007600001</v>
      </c>
      <c r="AH2282">
        <v>48.784116734761596</v>
      </c>
      <c r="AI2282">
        <v>91.300542519455803</v>
      </c>
      <c r="AJ2282">
        <v>93.157930759272901</v>
      </c>
      <c r="AK2282">
        <v>48.870898380507903</v>
      </c>
      <c r="AL2282">
        <v>87.094747683174603</v>
      </c>
      <c r="AM2282">
        <v>90.769041984282296</v>
      </c>
      <c r="AN2282">
        <v>0.99999994694318095</v>
      </c>
    </row>
    <row r="2283" spans="1:40" x14ac:dyDescent="0.25">
      <c r="A2283" t="str">
        <f>"20190312160646233"</f>
        <v>20190312160646233</v>
      </c>
      <c r="B2283" t="str">
        <f>"1552378006227278"</f>
        <v>1552378006227278</v>
      </c>
      <c r="C2283" t="s">
        <v>40</v>
      </c>
      <c r="D2283">
        <v>5.7891700000000004</v>
      </c>
      <c r="E2283">
        <v>0.4832301</v>
      </c>
      <c r="F2283" t="s">
        <v>77</v>
      </c>
      <c r="G2283">
        <v>-415.81180000000001</v>
      </c>
      <c r="H2283" s="1">
        <v>3.440258E-6</v>
      </c>
      <c r="I2283">
        <v>282.28750000000002</v>
      </c>
      <c r="J2283">
        <v>-365.04599999999999</v>
      </c>
      <c r="K2283">
        <v>1.109218</v>
      </c>
      <c r="L2283">
        <v>284.6927</v>
      </c>
      <c r="M2283">
        <v>-0.99989090000000003</v>
      </c>
      <c r="N2283">
        <v>0</v>
      </c>
      <c r="O2283">
        <v>8.2949559999999992E-3</v>
      </c>
      <c r="P2283">
        <v>-0.99924500000000005</v>
      </c>
      <c r="Q2283">
        <v>3.8501609999999999E-2</v>
      </c>
      <c r="R2283">
        <v>-5.2514500000000004E-3</v>
      </c>
      <c r="S2283">
        <v>-3.004089</v>
      </c>
      <c r="T2283">
        <v>-6.500483E-2</v>
      </c>
      <c r="U2283">
        <v>-0.1407166</v>
      </c>
      <c r="V2283">
        <v>-1.353939E-2</v>
      </c>
      <c r="W2283">
        <v>5.0725930000000002E-2</v>
      </c>
      <c r="X2283">
        <v>0.99862079999999998</v>
      </c>
      <c r="Y2283">
        <v>-5.5060449999999997E-2</v>
      </c>
      <c r="Z2283">
        <v>-7.7471859999999997E-4</v>
      </c>
      <c r="AA2283">
        <v>0.99848269999999995</v>
      </c>
      <c r="AB2283">
        <v>47</v>
      </c>
      <c r="AC2283">
        <v>-50.765799999999999</v>
      </c>
      <c r="AD2283">
        <v>-1.109214559742</v>
      </c>
      <c r="AE2283">
        <v>-2.4051999999999798</v>
      </c>
      <c r="AF2283">
        <v>-2.82490316528625</v>
      </c>
      <c r="AG2283">
        <v>-1.109214559742</v>
      </c>
      <c r="AH2283">
        <v>50.719940871294</v>
      </c>
      <c r="AI2283">
        <v>91.250886445887403</v>
      </c>
      <c r="AJ2283">
        <v>93.187858183731095</v>
      </c>
      <c r="AK2283">
        <v>50.810656724946497</v>
      </c>
      <c r="AL2283">
        <v>87.092370350909505</v>
      </c>
      <c r="AM2283">
        <v>90.776773702469697</v>
      </c>
      <c r="AN2283">
        <v>0.99999996862428797</v>
      </c>
    </row>
    <row r="2284" spans="1:40" x14ac:dyDescent="0.25">
      <c r="A2284" t="str">
        <f>"20190312160646255"</f>
        <v>20190312160646255</v>
      </c>
      <c r="B2284" t="str">
        <f>"1552378006247774"</f>
        <v>1552378006247774</v>
      </c>
      <c r="C2284" t="s">
        <v>40</v>
      </c>
      <c r="D2284">
        <v>5.8676079999999997</v>
      </c>
      <c r="E2284">
        <v>0.48318749999999999</v>
      </c>
      <c r="F2284" t="s">
        <v>77</v>
      </c>
      <c r="G2284">
        <v>-417.65839999999997</v>
      </c>
      <c r="H2284" s="1">
        <v>3.7815569999999998E-6</v>
      </c>
      <c r="I2284">
        <v>282.13029999999998</v>
      </c>
      <c r="J2284">
        <v>-365.51240000000001</v>
      </c>
      <c r="K2284">
        <v>1.109224</v>
      </c>
      <c r="L2284">
        <v>284.69659999999999</v>
      </c>
      <c r="M2284">
        <v>-0.99988869999999996</v>
      </c>
      <c r="N2284">
        <v>0</v>
      </c>
      <c r="O2284">
        <v>8.2914019999999998E-3</v>
      </c>
      <c r="P2284">
        <v>-0.9992453</v>
      </c>
      <c r="Q2284">
        <v>3.843531E-2</v>
      </c>
      <c r="R2284">
        <v>-5.6542880000000004E-3</v>
      </c>
      <c r="S2284">
        <v>-3.0039370000000001</v>
      </c>
      <c r="T2284">
        <v>-6.3331250000000006E-2</v>
      </c>
      <c r="U2284">
        <v>-0.1463013</v>
      </c>
      <c r="V2284">
        <v>-1.393835E-2</v>
      </c>
      <c r="W2284">
        <v>5.0836399999999997E-2</v>
      </c>
      <c r="X2284">
        <v>0.99860970000000004</v>
      </c>
      <c r="Y2284">
        <v>-5.6911610000000001E-2</v>
      </c>
      <c r="Z2284">
        <v>-7.7420820000000004E-4</v>
      </c>
      <c r="AA2284">
        <v>0.99837889999999996</v>
      </c>
      <c r="AB2284">
        <v>47</v>
      </c>
      <c r="AC2284">
        <v>-52.145999999999901</v>
      </c>
      <c r="AD2284">
        <v>-1.109220218443</v>
      </c>
      <c r="AE2284">
        <v>-2.5663000000000098</v>
      </c>
      <c r="AF2284">
        <v>-2.9972555784719299</v>
      </c>
      <c r="AG2284">
        <v>-1.109220218443</v>
      </c>
      <c r="AH2284">
        <v>52.099410714462103</v>
      </c>
      <c r="AI2284">
        <v>91.217656282124693</v>
      </c>
      <c r="AJ2284">
        <v>93.292571111737004</v>
      </c>
      <c r="AK2284">
        <v>52.197341956175201</v>
      </c>
      <c r="AL2284">
        <v>87.086032727886504</v>
      </c>
      <c r="AM2284">
        <v>90.799668552264095</v>
      </c>
      <c r="AN2284">
        <v>0.99999997504988603</v>
      </c>
    </row>
    <row r="2285" spans="1:40" x14ac:dyDescent="0.25">
      <c r="A2285" t="str">
        <f>"20190312160646277"</f>
        <v>20190312160646277</v>
      </c>
      <c r="B2285" t="str">
        <f>"1552378006267294"</f>
        <v>1552378006267294</v>
      </c>
      <c r="C2285" t="s">
        <v>40</v>
      </c>
      <c r="D2285">
        <v>5.7442449999999896</v>
      </c>
      <c r="E2285">
        <v>0.48335840000000002</v>
      </c>
      <c r="F2285" t="s">
        <v>77</v>
      </c>
      <c r="G2285">
        <v>-419.94240000000002</v>
      </c>
      <c r="H2285" s="1">
        <v>4.1964810000000001E-6</v>
      </c>
      <c r="I2285">
        <v>282.01850000000002</v>
      </c>
      <c r="J2285">
        <v>-365.97129999999999</v>
      </c>
      <c r="K2285">
        <v>1.1092249999999999</v>
      </c>
      <c r="L2285">
        <v>284.7004</v>
      </c>
      <c r="M2285">
        <v>-0.99988670000000002</v>
      </c>
      <c r="N2285">
        <v>0</v>
      </c>
      <c r="O2285">
        <v>8.2904640000000009E-3</v>
      </c>
      <c r="P2285">
        <v>-0.99925649999999999</v>
      </c>
      <c r="Q2285">
        <v>3.8125609999999997E-2</v>
      </c>
      <c r="R2285">
        <v>-5.7242580000000003E-3</v>
      </c>
      <c r="S2285">
        <v>-3.0038149999999999</v>
      </c>
      <c r="T2285">
        <v>-6.1214209999999998E-2</v>
      </c>
      <c r="U2285">
        <v>-0.1477966</v>
      </c>
      <c r="V2285">
        <v>-1.4007510000000001E-2</v>
      </c>
      <c r="W2285">
        <v>5.0678290000000001E-2</v>
      </c>
      <c r="X2285">
        <v>0.99861679999999997</v>
      </c>
      <c r="Y2285">
        <v>-5.7409330000000001E-2</v>
      </c>
      <c r="Z2285">
        <v>-7.5340399999999897E-4</v>
      </c>
      <c r="AA2285">
        <v>0.99835039999999997</v>
      </c>
      <c r="AB2285">
        <v>47</v>
      </c>
      <c r="AC2285">
        <v>-53.9711</v>
      </c>
      <c r="AD2285">
        <v>-1.1092208035190001</v>
      </c>
      <c r="AE2285">
        <v>-2.6818999999999802</v>
      </c>
      <c r="AF2285">
        <v>-3.1279706309042998</v>
      </c>
      <c r="AG2285">
        <v>-1.1092208035190001</v>
      </c>
      <c r="AH2285">
        <v>53.924287991081798</v>
      </c>
      <c r="AI2285">
        <v>91.176429094067203</v>
      </c>
      <c r="AJ2285">
        <v>93.319819616956295</v>
      </c>
      <c r="AK2285">
        <v>54.026321422098398</v>
      </c>
      <c r="AL2285">
        <v>87.095103546789304</v>
      </c>
      <c r="AM2285">
        <v>90.803630155496606</v>
      </c>
      <c r="AN2285">
        <v>1.0000000063279799</v>
      </c>
    </row>
    <row r="2286" spans="1:40" x14ac:dyDescent="0.25">
      <c r="A2286" t="str">
        <f>"20190312160646299"</f>
        <v>20190312160646299</v>
      </c>
      <c r="B2286" t="str">
        <f>"1552378006287789"</f>
        <v>1552378006287789</v>
      </c>
      <c r="C2286" t="s">
        <v>40</v>
      </c>
      <c r="D2286">
        <v>5.7620279999999999</v>
      </c>
      <c r="E2286">
        <v>0.48301830000000001</v>
      </c>
      <c r="F2286" t="s">
        <v>77</v>
      </c>
      <c r="G2286">
        <v>-417.2011</v>
      </c>
      <c r="H2286" s="1">
        <v>3.694518E-6</v>
      </c>
      <c r="I2286">
        <v>282.19799999999998</v>
      </c>
      <c r="J2286">
        <v>-366.43239999999997</v>
      </c>
      <c r="K2286">
        <v>1.1092229999999901</v>
      </c>
      <c r="L2286">
        <v>284.70420000000001</v>
      </c>
      <c r="M2286">
        <v>-0.99988509999999997</v>
      </c>
      <c r="N2286">
        <v>0</v>
      </c>
      <c r="O2286">
        <v>8.2909890000000003E-3</v>
      </c>
      <c r="P2286">
        <v>-0.99926170000000003</v>
      </c>
      <c r="Q2286">
        <v>3.7879759999999998E-2</v>
      </c>
      <c r="R2286">
        <v>-6.4337090000000001E-3</v>
      </c>
      <c r="S2286">
        <v>-3.003876</v>
      </c>
      <c r="T2286">
        <v>-6.5039520000000003E-2</v>
      </c>
      <c r="U2286">
        <v>-0.14672850000000001</v>
      </c>
      <c r="V2286">
        <v>-1.4717569999999999E-2</v>
      </c>
      <c r="W2286">
        <v>5.0565909999999999E-2</v>
      </c>
      <c r="X2286">
        <v>0.99861230000000001</v>
      </c>
      <c r="Y2286">
        <v>-5.7053060000000003E-2</v>
      </c>
      <c r="Z2286">
        <v>-7.9662179999999904E-4</v>
      </c>
      <c r="AA2286">
        <v>0.9983708</v>
      </c>
      <c r="AB2286">
        <v>47</v>
      </c>
      <c r="AC2286">
        <v>-50.768700000000003</v>
      </c>
      <c r="AD2286">
        <v>-1.1092193054820001</v>
      </c>
      <c r="AE2286">
        <v>-2.50620000000003</v>
      </c>
      <c r="AF2286">
        <v>-2.9256772815927001</v>
      </c>
      <c r="AG2286">
        <v>-1.1092193054820001</v>
      </c>
      <c r="AH2286">
        <v>50.722020584863998</v>
      </c>
      <c r="AI2286">
        <v>91.250700308652995</v>
      </c>
      <c r="AJ2286">
        <v>93.301197887195499</v>
      </c>
      <c r="AK2286">
        <v>50.818434915245497</v>
      </c>
      <c r="AL2286">
        <v>87.101550757716197</v>
      </c>
      <c r="AM2286">
        <v>90.844365325157796</v>
      </c>
      <c r="AN2286">
        <v>1.0000000219160601</v>
      </c>
    </row>
    <row r="2287" spans="1:40" x14ac:dyDescent="0.25">
      <c r="A2287" t="str">
        <f>"20190312160646321"</f>
        <v>20190312160646321</v>
      </c>
      <c r="B2287" t="str">
        <f>"1552378006317070"</f>
        <v>1552378006317070</v>
      </c>
      <c r="C2287" t="s">
        <v>40</v>
      </c>
      <c r="D2287">
        <v>5.8306430000000002</v>
      </c>
      <c r="E2287">
        <v>0.46351799999999999</v>
      </c>
      <c r="F2287" t="s">
        <v>77</v>
      </c>
      <c r="G2287">
        <v>-415.23759999999999</v>
      </c>
      <c r="H2287" s="1">
        <v>3.3424789999999998E-6</v>
      </c>
      <c r="I2287">
        <v>282.24079999999998</v>
      </c>
      <c r="J2287">
        <v>-366.91180000000003</v>
      </c>
      <c r="K2287">
        <v>1.1092310000000001</v>
      </c>
      <c r="L2287">
        <v>284.70819999999998</v>
      </c>
      <c r="M2287">
        <v>-0.99988350000000004</v>
      </c>
      <c r="N2287">
        <v>0</v>
      </c>
      <c r="O2287">
        <v>8.2925469999999904E-3</v>
      </c>
      <c r="P2287">
        <v>-0.99927440000000001</v>
      </c>
      <c r="Q2287">
        <v>3.7470530000000002E-2</v>
      </c>
      <c r="R2287">
        <v>-6.8397839999999998E-3</v>
      </c>
      <c r="S2287">
        <v>-3.003784</v>
      </c>
      <c r="T2287">
        <v>-6.8268540000000003E-2</v>
      </c>
      <c r="U2287">
        <v>-0.15161129999999901</v>
      </c>
      <c r="V2287">
        <v>-1.5124439999999999E-2</v>
      </c>
      <c r="W2287">
        <v>5.0276359999999999E-2</v>
      </c>
      <c r="X2287">
        <v>0.99862079999999998</v>
      </c>
      <c r="Y2287">
        <v>-5.867298E-2</v>
      </c>
      <c r="Z2287">
        <v>-8.5458399999999905E-4</v>
      </c>
      <c r="AA2287">
        <v>0.99827690000000002</v>
      </c>
      <c r="AB2287">
        <v>47</v>
      </c>
      <c r="AC2287">
        <v>-48.325799999999902</v>
      </c>
      <c r="AD2287">
        <v>-1.1092276575209901</v>
      </c>
      <c r="AE2287">
        <v>-2.4673999999999898</v>
      </c>
      <c r="AF2287">
        <v>-2.8665857035687798</v>
      </c>
      <c r="AG2287">
        <v>-1.1092276575209901</v>
      </c>
      <c r="AH2287">
        <v>48.2783063193733</v>
      </c>
      <c r="AI2287">
        <v>91.313865618227695</v>
      </c>
      <c r="AJ2287">
        <v>93.398020078362293</v>
      </c>
      <c r="AK2287">
        <v>48.376053587072903</v>
      </c>
      <c r="AL2287">
        <v>87.118161762750105</v>
      </c>
      <c r="AM2287">
        <v>90.8676970584374</v>
      </c>
      <c r="AN2287">
        <v>0.99999998162640102</v>
      </c>
    </row>
    <row r="2288" spans="1:40" x14ac:dyDescent="0.25">
      <c r="A2288" t="str">
        <f>"20190312160646333"</f>
        <v>20190312160646333</v>
      </c>
      <c r="B2288" t="str">
        <f>"1552378006327807"</f>
        <v>1552378006327807</v>
      </c>
      <c r="C2288" t="s">
        <v>40</v>
      </c>
      <c r="D2288">
        <v>5.9063549999999996</v>
      </c>
      <c r="E2288">
        <v>0.46289340000000001</v>
      </c>
      <c r="F2288" t="s">
        <v>66</v>
      </c>
      <c r="G2288">
        <v>-386.5874</v>
      </c>
      <c r="H2288" s="1">
        <v>1.9687080000000001E-6</v>
      </c>
      <c r="I2288">
        <v>282.702</v>
      </c>
      <c r="J2288">
        <v>-367.17599999999999</v>
      </c>
      <c r="K2288">
        <v>1.109235</v>
      </c>
      <c r="L2288">
        <v>284.71039999999999</v>
      </c>
      <c r="M2288">
        <v>-0.99988259999999995</v>
      </c>
      <c r="N2288">
        <v>0</v>
      </c>
      <c r="O2288">
        <v>8.2929960000000004E-3</v>
      </c>
      <c r="P2288">
        <v>-0.99926219999999999</v>
      </c>
      <c r="Q2288">
        <v>3.7817829999999997E-2</v>
      </c>
      <c r="R2288">
        <v>-6.7104269999999997E-3</v>
      </c>
      <c r="S2288">
        <v>-3.0064700000000002</v>
      </c>
      <c r="T2288">
        <v>-0.16949210000000001</v>
      </c>
      <c r="U2288">
        <v>-0.30654910000000002</v>
      </c>
      <c r="V2288">
        <v>-1.499556E-2</v>
      </c>
      <c r="W2288">
        <v>5.0684489999999999E-2</v>
      </c>
      <c r="X2288">
        <v>0.9986022</v>
      </c>
      <c r="Y2288">
        <v>-0.1094995</v>
      </c>
      <c r="Z2288">
        <v>-3.542187E-3</v>
      </c>
      <c r="AA2288">
        <v>0.99398050000000004</v>
      </c>
      <c r="AB2288">
        <v>47</v>
      </c>
      <c r="AC2288">
        <v>-19.4114</v>
      </c>
      <c r="AD2288">
        <v>-1.109233031292</v>
      </c>
      <c r="AE2288">
        <v>-2.0083999999999902</v>
      </c>
      <c r="AF2288">
        <v>-2.1623369151874599</v>
      </c>
      <c r="AG2288">
        <v>-1.109233031292</v>
      </c>
      <c r="AH2288">
        <v>19.331619125723101</v>
      </c>
      <c r="AI2288">
        <v>93.263676767626606</v>
      </c>
      <c r="AJ2288">
        <v>96.382286289481101</v>
      </c>
      <c r="AK2288">
        <v>19.483777787547101</v>
      </c>
      <c r="AL2288">
        <v>87.094748038362496</v>
      </c>
      <c r="AM2288">
        <v>90.860320282916206</v>
      </c>
      <c r="AN2288">
        <v>1.0000000690955499</v>
      </c>
    </row>
    <row r="2289" spans="1:40" x14ac:dyDescent="0.25">
      <c r="A2289" t="str">
        <f>"20190312160646346"</f>
        <v>20190312160646346</v>
      </c>
      <c r="B2289" t="str">
        <f>"1552378006337566"</f>
        <v>1552378006337566</v>
      </c>
      <c r="C2289" t="s">
        <v>40</v>
      </c>
      <c r="D2289">
        <v>5.8126129999999998</v>
      </c>
      <c r="E2289">
        <v>0.46189479999999999</v>
      </c>
      <c r="F2289" t="s">
        <v>66</v>
      </c>
      <c r="G2289">
        <v>-388.66129999999998</v>
      </c>
      <c r="H2289" s="1">
        <v>3.0723050000000001E-6</v>
      </c>
      <c r="I2289">
        <v>282.4846</v>
      </c>
      <c r="J2289">
        <v>-367.42540000000002</v>
      </c>
      <c r="K2289">
        <v>1.10924</v>
      </c>
      <c r="L2289">
        <v>284.7124</v>
      </c>
      <c r="M2289">
        <v>-0.99988200000000005</v>
      </c>
      <c r="N2289">
        <v>0</v>
      </c>
      <c r="O2289">
        <v>8.2924980000000006E-3</v>
      </c>
      <c r="P2289">
        <v>-0.99925569999999997</v>
      </c>
      <c r="Q2289">
        <v>3.7992230000000002E-2</v>
      </c>
      <c r="R2289">
        <v>-6.6911280000000002E-3</v>
      </c>
      <c r="S2289">
        <v>-3.0060120000000001</v>
      </c>
      <c r="T2289">
        <v>-0.1551932</v>
      </c>
      <c r="U2289">
        <v>-0.31140139999999999</v>
      </c>
      <c r="V2289">
        <v>-1.4976349999999999E-2</v>
      </c>
      <c r="W2289">
        <v>5.0908790000000002E-2</v>
      </c>
      <c r="X2289">
        <v>0.99859100000000001</v>
      </c>
      <c r="Y2289">
        <v>-0.1111296</v>
      </c>
      <c r="Z2289">
        <v>-3.2859080000000001E-3</v>
      </c>
      <c r="AA2289">
        <v>0.99380049999999998</v>
      </c>
      <c r="AB2289">
        <v>47</v>
      </c>
      <c r="AC2289">
        <v>-21.235899999999901</v>
      </c>
      <c r="AD2289">
        <v>-1.109236927695</v>
      </c>
      <c r="AE2289">
        <v>-2.2277999999999998</v>
      </c>
      <c r="AF2289">
        <v>-2.39736700998803</v>
      </c>
      <c r="AG2289">
        <v>-1.109236927695</v>
      </c>
      <c r="AH2289">
        <v>21.1595908679163</v>
      </c>
      <c r="AI2289">
        <v>92.981794004340102</v>
      </c>
      <c r="AJ2289">
        <v>96.464007325366893</v>
      </c>
      <c r="AK2289">
        <v>21.323837854381399</v>
      </c>
      <c r="AL2289">
        <v>87.081879754245406</v>
      </c>
      <c r="AM2289">
        <v>90.859227973892601</v>
      </c>
      <c r="AN2289">
        <v>0.99999999061979294</v>
      </c>
    </row>
    <row r="2290" spans="1:40" x14ac:dyDescent="0.25">
      <c r="A2290" t="str">
        <f>"20190312160646366"</f>
        <v>20190312160646366</v>
      </c>
      <c r="B2290" t="str">
        <f>"1552378006357096"</f>
        <v>1552378006357096</v>
      </c>
      <c r="C2290" t="s">
        <v>40</v>
      </c>
      <c r="D2290">
        <v>5.8681159999999997</v>
      </c>
      <c r="E2290">
        <v>0.4621207</v>
      </c>
      <c r="F2290" t="s">
        <v>66</v>
      </c>
      <c r="G2290">
        <v>-392.37700000000001</v>
      </c>
      <c r="H2290" s="1">
        <v>-2.7186E-7</v>
      </c>
      <c r="I2290">
        <v>282.0582</v>
      </c>
      <c r="J2290">
        <v>-367.85390000000001</v>
      </c>
      <c r="K2290">
        <v>1.109245</v>
      </c>
      <c r="L2290">
        <v>284.71589999999998</v>
      </c>
      <c r="M2290">
        <v>-0.99988109999999997</v>
      </c>
      <c r="N2290">
        <v>0</v>
      </c>
      <c r="O2290">
        <v>8.2917570000000003E-3</v>
      </c>
      <c r="P2290">
        <v>-0.99925149999999996</v>
      </c>
      <c r="Q2290">
        <v>3.8113969999999997E-2</v>
      </c>
      <c r="R2290">
        <v>-6.6290639999999996E-3</v>
      </c>
      <c r="S2290">
        <v>-3.005188</v>
      </c>
      <c r="T2290">
        <v>-0.13359749999999901</v>
      </c>
      <c r="U2290">
        <v>-0.3196716</v>
      </c>
      <c r="V2290">
        <v>-1.491287E-2</v>
      </c>
      <c r="W2290">
        <v>5.1099749999999999E-2</v>
      </c>
      <c r="X2290">
        <v>0.99858219999999998</v>
      </c>
      <c r="Y2290">
        <v>-0.1138994</v>
      </c>
      <c r="Z2290">
        <v>-2.890845E-3</v>
      </c>
      <c r="AA2290">
        <v>0.99348809999999999</v>
      </c>
      <c r="AB2290">
        <v>47</v>
      </c>
      <c r="AC2290">
        <v>-24.5230999999999</v>
      </c>
      <c r="AD2290">
        <v>-1.1092452718600001</v>
      </c>
      <c r="AE2290">
        <v>-2.65769999999997</v>
      </c>
      <c r="AF2290">
        <v>-2.8551915038976001</v>
      </c>
      <c r="AG2290">
        <v>-1.1092452718600001</v>
      </c>
      <c r="AH2290">
        <v>24.4507725605494</v>
      </c>
      <c r="AI2290">
        <v>92.580019297271406</v>
      </c>
      <c r="AJ2290">
        <v>96.660438940403495</v>
      </c>
      <c r="AK2290">
        <v>24.641891615799</v>
      </c>
      <c r="AL2290">
        <v>87.070924303173896</v>
      </c>
      <c r="AM2290">
        <v>90.855594060168897</v>
      </c>
      <c r="AN2290">
        <v>0.99999999414926899</v>
      </c>
    </row>
    <row r="2291" spans="1:40" x14ac:dyDescent="0.25">
      <c r="A2291" t="str">
        <f>"20190312160646388"</f>
        <v>20190312160646388</v>
      </c>
      <c r="B2291" t="str">
        <f>"1552378006377581"</f>
        <v>1552378006377581</v>
      </c>
      <c r="C2291" t="s">
        <v>40</v>
      </c>
      <c r="D2291">
        <v>5.789485</v>
      </c>
      <c r="E2291">
        <v>0.46262019999999998</v>
      </c>
      <c r="F2291" t="s">
        <v>66</v>
      </c>
      <c r="G2291">
        <v>-394.20600000000002</v>
      </c>
      <c r="H2291" s="1">
        <v>7.0141269999999903E-7</v>
      </c>
      <c r="I2291">
        <v>281.93110000000001</v>
      </c>
      <c r="J2291">
        <v>-368.3159</v>
      </c>
      <c r="K2291">
        <v>1.1090469999999999</v>
      </c>
      <c r="L2291">
        <v>284.71980000000002</v>
      </c>
      <c r="M2291">
        <v>-0.99988929999999998</v>
      </c>
      <c r="N2291">
        <v>0</v>
      </c>
      <c r="O2291">
        <v>8.2909860000000002E-3</v>
      </c>
      <c r="P2291">
        <v>-0.99921939999999998</v>
      </c>
      <c r="Q2291">
        <v>3.8950949999999998E-2</v>
      </c>
      <c r="R2291">
        <v>-6.5778099999999999E-3</v>
      </c>
      <c r="S2291">
        <v>-3.0050349999999999</v>
      </c>
      <c r="T2291">
        <v>-0.12649189999999999</v>
      </c>
      <c r="U2291">
        <v>-0.31756590000000001</v>
      </c>
      <c r="V2291">
        <v>-1.486082E-2</v>
      </c>
      <c r="W2291">
        <v>5.1291660000000003E-2</v>
      </c>
      <c r="X2291">
        <v>0.99857309999999999</v>
      </c>
      <c r="Y2291">
        <v>-0.11322840000000001</v>
      </c>
      <c r="Z2291">
        <v>-2.7233549999999998E-3</v>
      </c>
      <c r="AA2291">
        <v>0.99356529999999998</v>
      </c>
      <c r="AB2291">
        <v>47</v>
      </c>
      <c r="AC2291">
        <v>-25.890099999999901</v>
      </c>
      <c r="AD2291">
        <v>-1.1090462985873</v>
      </c>
      <c r="AE2291">
        <v>-2.7887</v>
      </c>
      <c r="AF2291">
        <v>-2.9978370898168101</v>
      </c>
      <c r="AG2291">
        <v>-1.1090462985873</v>
      </c>
      <c r="AH2291">
        <v>25.819252667047301</v>
      </c>
      <c r="AI2291">
        <v>92.443191179744005</v>
      </c>
      <c r="AJ2291">
        <v>96.622877110444804</v>
      </c>
      <c r="AK2291">
        <v>26.016356762512299</v>
      </c>
      <c r="AL2291">
        <v>87.059914123150406</v>
      </c>
      <c r="AM2291">
        <v>90.852616012881398</v>
      </c>
      <c r="AN2291">
        <v>0.99999995720011803</v>
      </c>
    </row>
    <row r="2292" spans="1:40" x14ac:dyDescent="0.25">
      <c r="A2292" t="str">
        <f>"20190312160646410"</f>
        <v>20190312160646410</v>
      </c>
      <c r="B2292" t="str">
        <f>"1552378006397102"</f>
        <v>1552378006397102</v>
      </c>
      <c r="C2292" t="s">
        <v>40</v>
      </c>
      <c r="D2292">
        <v>5.8909940000000001</v>
      </c>
      <c r="E2292">
        <v>0.4624066</v>
      </c>
      <c r="F2292" t="s">
        <v>66</v>
      </c>
      <c r="G2292">
        <v>-394.56729999999999</v>
      </c>
      <c r="H2292" s="1">
        <v>8.9369460000000001E-7</v>
      </c>
      <c r="I2292">
        <v>281.98140000000001</v>
      </c>
      <c r="J2292">
        <v>-368.79500000000002</v>
      </c>
      <c r="K2292">
        <v>1.1086940000000001</v>
      </c>
      <c r="L2292">
        <v>284.72379999999998</v>
      </c>
      <c r="M2292">
        <v>-0.9999053</v>
      </c>
      <c r="N2292">
        <v>0</v>
      </c>
      <c r="O2292">
        <v>8.2903879999999992E-3</v>
      </c>
      <c r="P2292">
        <v>-0.9991565</v>
      </c>
      <c r="Q2292">
        <v>4.054994E-2</v>
      </c>
      <c r="R2292">
        <v>-6.5182549999999997E-3</v>
      </c>
      <c r="S2292">
        <v>-3.005188</v>
      </c>
      <c r="T2292">
        <v>-0.12696060000000001</v>
      </c>
      <c r="U2292">
        <v>-0.31347659999999899</v>
      </c>
      <c r="V2292">
        <v>-1.4799700000000001E-2</v>
      </c>
      <c r="W2292">
        <v>5.153025E-2</v>
      </c>
      <c r="X2292">
        <v>0.9985617</v>
      </c>
      <c r="Y2292">
        <v>-0.1118854</v>
      </c>
      <c r="Z2292">
        <v>-2.705182E-3</v>
      </c>
      <c r="AA2292">
        <v>0.99371739999999997</v>
      </c>
      <c r="AB2292">
        <v>47</v>
      </c>
      <c r="AC2292">
        <v>-25.772299999999898</v>
      </c>
      <c r="AD2292">
        <v>-1.10869310630539</v>
      </c>
      <c r="AE2292">
        <v>-2.7423999999999702</v>
      </c>
      <c r="AF2292">
        <v>-2.9505817426499998</v>
      </c>
      <c r="AG2292">
        <v>-1.10869310630539</v>
      </c>
      <c r="AH2292">
        <v>25.701645922471101</v>
      </c>
      <c r="AI2292">
        <v>92.453941574430999</v>
      </c>
      <c r="AJ2292">
        <v>96.5489587057818</v>
      </c>
      <c r="AK2292">
        <v>25.894202751737701</v>
      </c>
      <c r="AL2292">
        <v>87.046225750028199</v>
      </c>
      <c r="AM2292">
        <v>90.849119556523107</v>
      </c>
      <c r="AN2292">
        <v>0.99999993324601899</v>
      </c>
    </row>
    <row r="2293" spans="1:40" x14ac:dyDescent="0.25">
      <c r="A2293" t="str">
        <f>"20190312160646424"</f>
        <v>20190312160646424</v>
      </c>
      <c r="B2293" t="str">
        <f>"1552378006417598"</f>
        <v>1552378006417598</v>
      </c>
      <c r="C2293" t="s">
        <v>40</v>
      </c>
      <c r="D2293">
        <v>5.9237330000000004</v>
      </c>
      <c r="E2293">
        <v>0.4622115</v>
      </c>
      <c r="F2293" t="s">
        <v>66</v>
      </c>
      <c r="G2293">
        <v>-396.08170000000001</v>
      </c>
      <c r="H2293" s="1">
        <v>1.699563E-6</v>
      </c>
      <c r="I2293">
        <v>281.8605</v>
      </c>
      <c r="J2293">
        <v>-369.08359999999999</v>
      </c>
      <c r="K2293">
        <v>1.1084989999999999</v>
      </c>
      <c r="L2293">
        <v>284.72609999999997</v>
      </c>
      <c r="M2293">
        <v>-0.99991459999999999</v>
      </c>
      <c r="N2293">
        <v>0</v>
      </c>
      <c r="O2293">
        <v>8.290057E-3</v>
      </c>
      <c r="P2293">
        <v>-0.9991101</v>
      </c>
      <c r="Q2293">
        <v>4.171565E-2</v>
      </c>
      <c r="R2293">
        <v>-6.2402830000000001E-3</v>
      </c>
      <c r="S2293">
        <v>-3.0054319999999999</v>
      </c>
      <c r="T2293">
        <v>-0.12211470000000001</v>
      </c>
      <c r="U2293">
        <v>-0.3153687</v>
      </c>
      <c r="V2293">
        <v>-1.452141E-2</v>
      </c>
      <c r="W2293">
        <v>5.1813579999999998E-2</v>
      </c>
      <c r="X2293">
        <v>0.99855119999999997</v>
      </c>
      <c r="Y2293">
        <v>-0.11250300000000001</v>
      </c>
      <c r="Z2293">
        <v>-2.6142090000000002E-3</v>
      </c>
      <c r="AA2293">
        <v>0.99364790000000003</v>
      </c>
      <c r="AB2293">
        <v>48</v>
      </c>
      <c r="AC2293">
        <v>-26.998100000000001</v>
      </c>
      <c r="AD2293">
        <v>-1.108497300437</v>
      </c>
      <c r="AE2293">
        <v>-2.8655999999999699</v>
      </c>
      <c r="AF2293">
        <v>-3.08418736680883</v>
      </c>
      <c r="AG2293">
        <v>-1.108497300437</v>
      </c>
      <c r="AH2293">
        <v>26.928524916591201</v>
      </c>
      <c r="AI2293">
        <v>92.341924073534599</v>
      </c>
      <c r="AJ2293">
        <v>96.533750622621199</v>
      </c>
      <c r="AK2293">
        <v>27.127226768730601</v>
      </c>
      <c r="AL2293">
        <v>87.029970644779297</v>
      </c>
      <c r="AM2293">
        <v>90.833163948376296</v>
      </c>
      <c r="AN2293">
        <v>1.00000000872112</v>
      </c>
    </row>
    <row r="2294" spans="1:40" x14ac:dyDescent="0.25">
      <c r="A2294" t="str">
        <f>"20190312160646438"</f>
        <v>20190312160646438</v>
      </c>
      <c r="B2294" t="str">
        <f>"1552378006427358"</f>
        <v>1552378006427358</v>
      </c>
      <c r="C2294" t="s">
        <v>40</v>
      </c>
      <c r="D2294">
        <v>5.9131780000000003</v>
      </c>
      <c r="E2294">
        <v>0.46226020000000001</v>
      </c>
      <c r="F2294" t="s">
        <v>66</v>
      </c>
      <c r="G2294">
        <v>-396.79379999999998</v>
      </c>
      <c r="H2294" s="1">
        <v>2.0785370000000001E-6</v>
      </c>
      <c r="I2294">
        <v>281.81360000000001</v>
      </c>
      <c r="J2294">
        <v>-369.3673</v>
      </c>
      <c r="K2294">
        <v>1.1083289999999999</v>
      </c>
      <c r="L2294">
        <v>284.7285</v>
      </c>
      <c r="M2294">
        <v>-0.9999228</v>
      </c>
      <c r="N2294">
        <v>0</v>
      </c>
      <c r="O2294">
        <v>8.2899319999999999E-3</v>
      </c>
      <c r="P2294">
        <v>-0.99906410000000001</v>
      </c>
      <c r="Q2294">
        <v>4.2843260000000001E-2</v>
      </c>
      <c r="R2294">
        <v>-5.9612299999999997E-3</v>
      </c>
      <c r="S2294">
        <v>-3.0057070000000001</v>
      </c>
      <c r="T2294">
        <v>-0.12023780000000001</v>
      </c>
      <c r="U2294">
        <v>-0.31591799999999998</v>
      </c>
      <c r="V2294">
        <v>-1.4241230000000001E-2</v>
      </c>
      <c r="W2294">
        <v>5.2097869999999998E-2</v>
      </c>
      <c r="X2294">
        <v>0.99854050000000005</v>
      </c>
      <c r="Y2294">
        <v>-0.11267580000000001</v>
      </c>
      <c r="Z2294">
        <v>-2.5772429999999999E-3</v>
      </c>
      <c r="AA2294">
        <v>0.99362839999999997</v>
      </c>
      <c r="AB2294">
        <v>48</v>
      </c>
      <c r="AC2294">
        <v>-27.426499999999901</v>
      </c>
      <c r="AD2294">
        <v>-1.108326921463</v>
      </c>
      <c r="AE2294">
        <v>-2.9148999999999798</v>
      </c>
      <c r="AF2294">
        <v>-3.1371076093818702</v>
      </c>
      <c r="AG2294">
        <v>-1.108326921463</v>
      </c>
      <c r="AH2294">
        <v>27.3572158848676</v>
      </c>
      <c r="AI2294">
        <v>92.304875417873902</v>
      </c>
      <c r="AJ2294">
        <v>96.541649951291305</v>
      </c>
      <c r="AK2294">
        <v>27.558793400454501</v>
      </c>
      <c r="AL2294">
        <v>87.013660167835695</v>
      </c>
      <c r="AM2294">
        <v>90.817099613847702</v>
      </c>
      <c r="AN2294">
        <v>1.00000006541534</v>
      </c>
    </row>
    <row r="2295" spans="1:40" x14ac:dyDescent="0.25">
      <c r="A2295" t="str">
        <f>"20190312160646457"</f>
        <v>20190312160646457</v>
      </c>
      <c r="B2295" t="str">
        <f>"1552378006447854"</f>
        <v>1552378006447854</v>
      </c>
      <c r="C2295" t="s">
        <v>40</v>
      </c>
      <c r="D2295">
        <v>5.9322160000000004</v>
      </c>
      <c r="E2295">
        <v>0.46198840000000002</v>
      </c>
      <c r="F2295" t="s">
        <v>66</v>
      </c>
      <c r="G2295">
        <v>-398.06900000000002</v>
      </c>
      <c r="H2295" s="1">
        <v>2.7571319999999999E-6</v>
      </c>
      <c r="I2295">
        <v>281.72250000000003</v>
      </c>
      <c r="J2295">
        <v>-369.8023</v>
      </c>
      <c r="K2295">
        <v>1.10815</v>
      </c>
      <c r="L2295">
        <v>284.7321</v>
      </c>
      <c r="M2295">
        <v>-0.99993259999999995</v>
      </c>
      <c r="N2295">
        <v>0</v>
      </c>
      <c r="O2295">
        <v>8.2898769999999993E-3</v>
      </c>
      <c r="P2295">
        <v>-0.99900670000000003</v>
      </c>
      <c r="Q2295">
        <v>4.4127920000000001E-2</v>
      </c>
      <c r="R2295">
        <v>-6.2050859999999899E-3</v>
      </c>
      <c r="S2295">
        <v>-3.0059200000000001</v>
      </c>
      <c r="T2295">
        <v>-0.1160747</v>
      </c>
      <c r="U2295">
        <v>-0.31481930000000002</v>
      </c>
      <c r="V2295">
        <v>-1.448489E-2</v>
      </c>
      <c r="W2295">
        <v>5.2248820000000001E-2</v>
      </c>
      <c r="X2295">
        <v>0.998529</v>
      </c>
      <c r="Y2295">
        <v>-0.112315899999999</v>
      </c>
      <c r="Z2295">
        <v>-2.4810140000000001E-3</v>
      </c>
      <c r="AA2295">
        <v>0.99366949999999998</v>
      </c>
      <c r="AB2295">
        <v>48</v>
      </c>
      <c r="AC2295">
        <v>-28.2667</v>
      </c>
      <c r="AD2295">
        <v>-1.1081472428679999</v>
      </c>
      <c r="AE2295">
        <v>-3.0095999999999701</v>
      </c>
      <c r="AF2295">
        <v>-3.23890971385205</v>
      </c>
      <c r="AG2295">
        <v>-1.1081472428679999</v>
      </c>
      <c r="AH2295">
        <v>28.197927076084401</v>
      </c>
      <c r="AI2295">
        <v>92.235816631587994</v>
      </c>
      <c r="AJ2295">
        <v>96.5524717067334</v>
      </c>
      <c r="AK2295">
        <v>28.404957627754602</v>
      </c>
      <c r="AL2295">
        <v>87.004999251732102</v>
      </c>
      <c r="AM2295">
        <v>90.831087386850697</v>
      </c>
      <c r="AN2295">
        <v>0.99999995753535098</v>
      </c>
    </row>
    <row r="2296" spans="1:40" x14ac:dyDescent="0.25">
      <c r="A2296" t="str">
        <f>"20190312160646479"</f>
        <v>20190312160646479</v>
      </c>
      <c r="B2296" t="str">
        <f>"1552378006467374"</f>
        <v>1552378006467374</v>
      </c>
      <c r="C2296" t="s">
        <v>40</v>
      </c>
      <c r="D2296">
        <v>5.9408070000000004</v>
      </c>
      <c r="E2296">
        <v>0.46181870000000003</v>
      </c>
      <c r="F2296" t="s">
        <v>66</v>
      </c>
      <c r="G2296">
        <v>-399.54590000000002</v>
      </c>
      <c r="H2296" s="1">
        <v>3.543086E-6</v>
      </c>
      <c r="I2296">
        <v>281.59039999999999</v>
      </c>
      <c r="J2296">
        <v>-370.2595</v>
      </c>
      <c r="K2296">
        <v>1.1080749999999999</v>
      </c>
      <c r="L2296">
        <v>284.73590000000002</v>
      </c>
      <c r="M2296">
        <v>-0.99993929999999998</v>
      </c>
      <c r="N2296">
        <v>0</v>
      </c>
      <c r="O2296">
        <v>8.2886160000000004E-3</v>
      </c>
      <c r="P2296">
        <v>-0.99897389999999997</v>
      </c>
      <c r="Q2296">
        <v>4.4856189999999997E-2</v>
      </c>
      <c r="R2296">
        <v>-6.2621319999999897E-3</v>
      </c>
      <c r="S2296">
        <v>-3.005951</v>
      </c>
      <c r="T2296">
        <v>-0.11199149999999999</v>
      </c>
      <c r="U2296">
        <v>-0.31750489999999998</v>
      </c>
      <c r="V2296">
        <v>-1.454021E-2</v>
      </c>
      <c r="W2296">
        <v>5.2132629999999999E-2</v>
      </c>
      <c r="X2296">
        <v>0.99853429999999999</v>
      </c>
      <c r="Y2296">
        <v>-0.11319709999999999</v>
      </c>
      <c r="Z2296">
        <v>-2.4099809999999998E-3</v>
      </c>
      <c r="AA2296">
        <v>0.99356960000000005</v>
      </c>
      <c r="AB2296">
        <v>48</v>
      </c>
      <c r="AC2296">
        <v>-29.2864</v>
      </c>
      <c r="AD2296">
        <v>-1.108071456914</v>
      </c>
      <c r="AE2296">
        <v>-3.1455000000000202</v>
      </c>
      <c r="AF2296">
        <v>-3.3833538904502198</v>
      </c>
      <c r="AG2296">
        <v>-1.108071456914</v>
      </c>
      <c r="AH2296">
        <v>29.217971696063799</v>
      </c>
      <c r="AI2296">
        <v>92.157459448679404</v>
      </c>
      <c r="AJ2296">
        <v>96.605261833978503</v>
      </c>
      <c r="AK2296">
        <v>29.434075082014001</v>
      </c>
      <c r="AL2296">
        <v>87.011665626638205</v>
      </c>
      <c r="AM2296">
        <v>90.834256560902801</v>
      </c>
      <c r="AN2296">
        <v>0.99999998854702499</v>
      </c>
    </row>
    <row r="2297" spans="1:40" x14ac:dyDescent="0.25">
      <c r="A2297" t="str">
        <f>"20190312160646500"</f>
        <v>20190312160646500</v>
      </c>
      <c r="B2297" t="str">
        <f>"1552378006497631"</f>
        <v>1552378006497631</v>
      </c>
      <c r="C2297" t="s">
        <v>40</v>
      </c>
      <c r="D2297">
        <v>5.9305300000000001</v>
      </c>
      <c r="E2297">
        <v>0.46118419999999999</v>
      </c>
      <c r="F2297" t="s">
        <v>77</v>
      </c>
      <c r="G2297">
        <v>-400.27749999999997</v>
      </c>
      <c r="H2297" s="1">
        <v>8.9120190000000007E-6</v>
      </c>
      <c r="I2297">
        <v>281.55380000000002</v>
      </c>
      <c r="J2297">
        <v>-370.7364</v>
      </c>
      <c r="K2297">
        <v>1.108125</v>
      </c>
      <c r="L2297">
        <v>284.73989999999998</v>
      </c>
      <c r="M2297">
        <v>-0.9999422</v>
      </c>
      <c r="N2297">
        <v>0</v>
      </c>
      <c r="O2297">
        <v>8.2870180000000002E-3</v>
      </c>
      <c r="P2297">
        <v>-0.99894340000000004</v>
      </c>
      <c r="Q2297">
        <v>4.5474279999999999E-2</v>
      </c>
      <c r="R2297">
        <v>-6.6489749999999997E-3</v>
      </c>
      <c r="S2297">
        <v>-3.0060730000000002</v>
      </c>
      <c r="T2297">
        <v>-0.1109644</v>
      </c>
      <c r="U2297">
        <v>-0.31866460000000002</v>
      </c>
      <c r="V2297">
        <v>-1.4925239999999999E-2</v>
      </c>
      <c r="W2297">
        <v>5.2345009999999997E-2</v>
      </c>
      <c r="X2297">
        <v>0.99851749999999995</v>
      </c>
      <c r="Y2297">
        <v>-0.11357159999999999</v>
      </c>
      <c r="Z2297">
        <v>-2.3945780000000001E-3</v>
      </c>
      <c r="AA2297">
        <v>0.99352689999999999</v>
      </c>
      <c r="AB2297">
        <v>49</v>
      </c>
      <c r="AC2297">
        <v>-29.541099999999901</v>
      </c>
      <c r="AD2297">
        <v>-1.1081160879809999</v>
      </c>
      <c r="AE2297">
        <v>-3.18609999999995</v>
      </c>
      <c r="AF2297">
        <v>-3.4260386999974499</v>
      </c>
      <c r="AG2297">
        <v>-1.1081160879809999</v>
      </c>
      <c r="AH2297">
        <v>29.472688254758602</v>
      </c>
      <c r="AI2297">
        <v>92.138807675634595</v>
      </c>
      <c r="AJ2297">
        <v>96.630561844692593</v>
      </c>
      <c r="AK2297">
        <v>29.691834153526301</v>
      </c>
      <c r="AL2297">
        <v>86.999480486851496</v>
      </c>
      <c r="AM2297">
        <v>90.856359133703293</v>
      </c>
      <c r="AN2297">
        <v>0.99999998033360304</v>
      </c>
    </row>
    <row r="2298" spans="1:40" x14ac:dyDescent="0.25">
      <c r="A2298" t="str">
        <f>"20190312160646523"</f>
        <v>20190312160646523</v>
      </c>
      <c r="B2298" t="str">
        <f>"1552378006517150"</f>
        <v>1552378006517150</v>
      </c>
      <c r="C2298" t="s">
        <v>40</v>
      </c>
      <c r="D2298">
        <v>5.9452030000000002</v>
      </c>
      <c r="E2298">
        <v>0.46088570000000001</v>
      </c>
      <c r="F2298" t="s">
        <v>77</v>
      </c>
      <c r="G2298">
        <v>-400.9067</v>
      </c>
      <c r="H2298" s="1">
        <v>8.6494310000000004E-6</v>
      </c>
      <c r="I2298">
        <v>281.4742</v>
      </c>
      <c r="J2298">
        <v>-371.23540000000003</v>
      </c>
      <c r="K2298">
        <v>1.108249</v>
      </c>
      <c r="L2298">
        <v>284.74400000000003</v>
      </c>
      <c r="M2298">
        <v>-0.99994249999999996</v>
      </c>
      <c r="N2298">
        <v>0</v>
      </c>
      <c r="O2298">
        <v>8.2849059999999999E-3</v>
      </c>
      <c r="P2298">
        <v>-0.99893639999999995</v>
      </c>
      <c r="Q2298">
        <v>4.5625230000000003E-2</v>
      </c>
      <c r="R2298">
        <v>-6.6713830000000003E-3</v>
      </c>
      <c r="S2298">
        <v>-3.0060730000000002</v>
      </c>
      <c r="T2298">
        <v>-0.11040899999999999</v>
      </c>
      <c r="U2298">
        <v>-0.32537840000000001</v>
      </c>
      <c r="V2298">
        <v>-1.4945170000000001E-2</v>
      </c>
      <c r="W2298">
        <v>5.2434059999999998E-2</v>
      </c>
      <c r="X2298">
        <v>0.99851259999999997</v>
      </c>
      <c r="Y2298">
        <v>-0.1157624</v>
      </c>
      <c r="Z2298">
        <v>-2.4223449999999998E-3</v>
      </c>
      <c r="AA2298">
        <v>0.99327399999999999</v>
      </c>
      <c r="AB2298">
        <v>49</v>
      </c>
      <c r="AC2298">
        <v>-29.671299999999899</v>
      </c>
      <c r="AD2298">
        <v>-1.1082403505689999</v>
      </c>
      <c r="AE2298">
        <v>-3.2698000000000298</v>
      </c>
      <c r="AF2298">
        <v>-3.5106785390677202</v>
      </c>
      <c r="AG2298">
        <v>-1.1082403505689999</v>
      </c>
      <c r="AH2298">
        <v>29.602389225028301</v>
      </c>
      <c r="AI2298">
        <v>92.129104818654</v>
      </c>
      <c r="AJ2298">
        <v>96.763370367027093</v>
      </c>
      <c r="AK2298">
        <v>29.830429234413799</v>
      </c>
      <c r="AL2298">
        <v>86.994371492499099</v>
      </c>
      <c r="AM2298">
        <v>90.857506685576496</v>
      </c>
      <c r="AN2298">
        <v>1.00000005055658</v>
      </c>
    </row>
    <row r="2299" spans="1:40" x14ac:dyDescent="0.25">
      <c r="A2299" t="str">
        <f>"20190312160646545"</f>
        <v>20190312160646545</v>
      </c>
      <c r="B2299" t="str">
        <f>"1552378006537646"</f>
        <v>1552378006537646</v>
      </c>
      <c r="C2299" t="s">
        <v>40</v>
      </c>
      <c r="D2299">
        <v>5.8592740000000001</v>
      </c>
      <c r="E2299">
        <v>0.46079940000000003</v>
      </c>
      <c r="F2299" t="s">
        <v>77</v>
      </c>
      <c r="G2299">
        <v>-401.4545</v>
      </c>
      <c r="H2299" s="1">
        <v>8.4117049999999998E-6</v>
      </c>
      <c r="I2299">
        <v>281.44909999999999</v>
      </c>
      <c r="J2299">
        <v>-371.7149</v>
      </c>
      <c r="K2299">
        <v>1.1083670000000001</v>
      </c>
      <c r="L2299">
        <v>284.74799999999999</v>
      </c>
      <c r="M2299">
        <v>-0.99994209999999994</v>
      </c>
      <c r="N2299">
        <v>0</v>
      </c>
      <c r="O2299">
        <v>8.2827960000000003E-3</v>
      </c>
      <c r="P2299">
        <v>-0.99893460000000001</v>
      </c>
      <c r="Q2299">
        <v>4.5659640000000001E-2</v>
      </c>
      <c r="R2299">
        <v>-6.7281719999999897E-3</v>
      </c>
      <c r="S2299">
        <v>-3.0060120000000001</v>
      </c>
      <c r="T2299">
        <v>-0.11024109999999999</v>
      </c>
      <c r="U2299">
        <v>-0.32775880000000002</v>
      </c>
      <c r="V2299">
        <v>-1.499983E-2</v>
      </c>
      <c r="W2299">
        <v>5.2544050000000002E-2</v>
      </c>
      <c r="X2299">
        <v>0.99850589999999995</v>
      </c>
      <c r="Y2299">
        <v>-0.1165395</v>
      </c>
      <c r="Z2299">
        <v>-2.4327340000000002E-3</v>
      </c>
      <c r="AA2299">
        <v>0.99318309999999999</v>
      </c>
      <c r="AB2299">
        <v>49</v>
      </c>
      <c r="AC2299">
        <v>-29.739599999999999</v>
      </c>
      <c r="AD2299">
        <v>-1.108358588295</v>
      </c>
      <c r="AE2299">
        <v>-3.2989000000000002</v>
      </c>
      <c r="AF2299">
        <v>-3.5402621657459399</v>
      </c>
      <c r="AG2299">
        <v>-1.108358588295</v>
      </c>
      <c r="AH2299">
        <v>29.6705447041297</v>
      </c>
      <c r="AI2299">
        <v>92.124264611139793</v>
      </c>
      <c r="AJ2299">
        <v>96.804310432775694</v>
      </c>
      <c r="AK2299">
        <v>29.901557451113099</v>
      </c>
      <c r="AL2299">
        <v>86.988060534296693</v>
      </c>
      <c r="AM2299">
        <v>90.860648207052904</v>
      </c>
      <c r="AN2299">
        <v>0.99999995221261895</v>
      </c>
    </row>
    <row r="2300" spans="1:40" x14ac:dyDescent="0.25">
      <c r="A2300" t="str">
        <f>"20190312160646567"</f>
        <v>20190312160646567</v>
      </c>
      <c r="B2300" t="str">
        <f>"1552378006557167"</f>
        <v>1552378006557167</v>
      </c>
      <c r="C2300" t="s">
        <v>40</v>
      </c>
      <c r="D2300">
        <v>5.989058</v>
      </c>
      <c r="E2300">
        <v>0.46056580000000003</v>
      </c>
      <c r="F2300" t="s">
        <v>77</v>
      </c>
      <c r="G2300">
        <v>-401.69009999999997</v>
      </c>
      <c r="H2300" s="1">
        <v>8.3026359999999992E-6</v>
      </c>
      <c r="I2300">
        <v>281.47120000000001</v>
      </c>
      <c r="J2300">
        <v>-372.20209999999997</v>
      </c>
      <c r="K2300">
        <v>1.1084620000000001</v>
      </c>
      <c r="L2300">
        <v>284.75200000000001</v>
      </c>
      <c r="M2300">
        <v>-0.99994110000000003</v>
      </c>
      <c r="N2300">
        <v>0</v>
      </c>
      <c r="O2300">
        <v>8.2816869999999994E-3</v>
      </c>
      <c r="P2300">
        <v>-0.99895020000000001</v>
      </c>
      <c r="Q2300">
        <v>4.5323570000000001E-2</v>
      </c>
      <c r="R2300">
        <v>-6.6536709999999999E-3</v>
      </c>
      <c r="S2300">
        <v>-3.0060730000000002</v>
      </c>
      <c r="T2300">
        <v>-0.1111521</v>
      </c>
      <c r="U2300">
        <v>-0.3286133</v>
      </c>
      <c r="V2300">
        <v>-1.492479E-2</v>
      </c>
      <c r="W2300">
        <v>5.2319299999999999E-2</v>
      </c>
      <c r="X2300">
        <v>0.99851889999999999</v>
      </c>
      <c r="Y2300">
        <v>-0.11681370000000001</v>
      </c>
      <c r="Z2300">
        <v>-2.4577480000000001E-3</v>
      </c>
      <c r="AA2300">
        <v>0.9931508</v>
      </c>
      <c r="AB2300">
        <v>49</v>
      </c>
      <c r="AC2300">
        <v>-29.488</v>
      </c>
      <c r="AD2300">
        <v>-1.108453697364</v>
      </c>
      <c r="AE2300">
        <v>-3.2808000000000002</v>
      </c>
      <c r="AF2300">
        <v>-3.5199909202924098</v>
      </c>
      <c r="AG2300">
        <v>-1.108453697364</v>
      </c>
      <c r="AH2300">
        <v>29.418756813977399</v>
      </c>
      <c r="AI2300">
        <v>92.142528709240196</v>
      </c>
      <c r="AJ2300">
        <v>96.823074148947697</v>
      </c>
      <c r="AK2300">
        <v>29.649321377699</v>
      </c>
      <c r="AL2300">
        <v>87.000955719975806</v>
      </c>
      <c r="AM2300">
        <v>90.856332117623893</v>
      </c>
      <c r="AN2300">
        <v>1.0000000260831201</v>
      </c>
    </row>
    <row r="2301" spans="1:40" x14ac:dyDescent="0.25">
      <c r="A2301" t="str">
        <f>"20190312160646589"</f>
        <v>20190312160646589</v>
      </c>
      <c r="B2301" t="str">
        <f>"1552378006577661"</f>
        <v>1552378006577661</v>
      </c>
      <c r="C2301" t="s">
        <v>40</v>
      </c>
      <c r="D2301">
        <v>5.9711829999999999</v>
      </c>
      <c r="E2301">
        <v>0.46039560000000002</v>
      </c>
      <c r="F2301" t="s">
        <v>77</v>
      </c>
      <c r="G2301">
        <v>-402.59339999999997</v>
      </c>
      <c r="H2301" s="1">
        <v>7.914124E-6</v>
      </c>
      <c r="I2301">
        <v>281.41289999999998</v>
      </c>
      <c r="J2301">
        <v>-372.67439999999999</v>
      </c>
      <c r="K2301">
        <v>1.1085339999999999</v>
      </c>
      <c r="L2301">
        <v>284.7559</v>
      </c>
      <c r="M2301">
        <v>-0.99994039999999995</v>
      </c>
      <c r="N2301">
        <v>0</v>
      </c>
      <c r="O2301">
        <v>8.280585E-3</v>
      </c>
      <c r="P2301">
        <v>-0.99897579999999997</v>
      </c>
      <c r="Q2301">
        <v>4.4847529999999997E-2</v>
      </c>
      <c r="R2301">
        <v>-6.0364529999999998E-3</v>
      </c>
      <c r="S2301">
        <v>-3.005951</v>
      </c>
      <c r="T2301">
        <v>-0.10963539999999999</v>
      </c>
      <c r="U2301">
        <v>-0.33026119999999998</v>
      </c>
      <c r="V2301">
        <v>-1.4306549999999999E-2</v>
      </c>
      <c r="W2301">
        <v>5.1968819999999999E-2</v>
      </c>
      <c r="X2301">
        <v>0.99854620000000005</v>
      </c>
      <c r="Y2301">
        <v>-0.1173569</v>
      </c>
      <c r="Z2301">
        <v>-2.434093E-3</v>
      </c>
      <c r="AA2301">
        <v>0.99308680000000005</v>
      </c>
      <c r="AB2301">
        <v>49</v>
      </c>
      <c r="AC2301">
        <v>-29.918999999999901</v>
      </c>
      <c r="AD2301">
        <v>-1.108526085876</v>
      </c>
      <c r="AE2301">
        <v>-3.3430000000000102</v>
      </c>
      <c r="AF2301">
        <v>-3.58577672690009</v>
      </c>
      <c r="AG2301">
        <v>-1.108526085876</v>
      </c>
      <c r="AH2301">
        <v>29.849819838281999</v>
      </c>
      <c r="AI2301">
        <v>92.111635620793805</v>
      </c>
      <c r="AJ2301">
        <v>96.849960612064706</v>
      </c>
      <c r="AK2301">
        <v>30.084852819918201</v>
      </c>
      <c r="AL2301">
        <v>87.021063946775797</v>
      </c>
      <c r="AM2301">
        <v>90.820842193700699</v>
      </c>
      <c r="AN2301">
        <v>0.99999997457976697</v>
      </c>
    </row>
    <row r="2302" spans="1:40" x14ac:dyDescent="0.25">
      <c r="A2302" t="str">
        <f>"20190312160646613"</f>
        <v>20190312160646613</v>
      </c>
      <c r="B2302" t="str">
        <f>"1552378006607168"</f>
        <v>1552378006607168</v>
      </c>
      <c r="C2302" t="s">
        <v>40</v>
      </c>
      <c r="D2302">
        <v>5.8793089999999903</v>
      </c>
      <c r="E2302">
        <v>0.46015719999999999</v>
      </c>
      <c r="F2302" t="s">
        <v>77</v>
      </c>
      <c r="G2302">
        <v>-402.42989999999998</v>
      </c>
      <c r="H2302" s="1">
        <v>7.9704260000000002E-6</v>
      </c>
      <c r="I2302">
        <v>281.4914</v>
      </c>
      <c r="J2302">
        <v>-373.1771</v>
      </c>
      <c r="K2302">
        <v>1.1085910000000001</v>
      </c>
      <c r="L2302">
        <v>284.76010000000002</v>
      </c>
      <c r="M2302">
        <v>-0.99993929999999998</v>
      </c>
      <c r="N2302">
        <v>0</v>
      </c>
      <c r="O2302">
        <v>8.2798560000000004E-3</v>
      </c>
      <c r="P2302">
        <v>-0.99899660000000001</v>
      </c>
      <c r="Q2302">
        <v>4.4410440000000002E-2</v>
      </c>
      <c r="R2302">
        <v>-5.8088289999999997E-3</v>
      </c>
      <c r="S2302">
        <v>-3.0061040000000001</v>
      </c>
      <c r="T2302">
        <v>-0.1119909</v>
      </c>
      <c r="U2302">
        <v>-0.32980350000000003</v>
      </c>
      <c r="V2302">
        <v>-1.407869E-2</v>
      </c>
      <c r="W2302">
        <v>5.168263E-2</v>
      </c>
      <c r="X2302">
        <v>0.99856429999999996</v>
      </c>
      <c r="Y2302">
        <v>-0.1171978</v>
      </c>
      <c r="Z2302">
        <v>-2.4832700000000001E-3</v>
      </c>
      <c r="AA2302">
        <v>0.99310549999999997</v>
      </c>
      <c r="AB2302">
        <v>49</v>
      </c>
      <c r="AC2302">
        <v>-29.252799999999901</v>
      </c>
      <c r="AD2302">
        <v>-1.10858302957399</v>
      </c>
      <c r="AE2302">
        <v>-3.2687000000000199</v>
      </c>
      <c r="AF2302">
        <v>-3.5058304893461298</v>
      </c>
      <c r="AG2302">
        <v>-1.10858302957399</v>
      </c>
      <c r="AH2302">
        <v>29.1833371496915</v>
      </c>
      <c r="AI2302">
        <v>92.159925354126898</v>
      </c>
      <c r="AJ2302">
        <v>96.850186071717005</v>
      </c>
      <c r="AK2302">
        <v>29.414060769401701</v>
      </c>
      <c r="AL2302">
        <v>87.037483515361401</v>
      </c>
      <c r="AM2302">
        <v>90.807755770842505</v>
      </c>
      <c r="AN2302">
        <v>0.99999998249516098</v>
      </c>
    </row>
    <row r="2303" spans="1:40" x14ac:dyDescent="0.25">
      <c r="A2303" t="str">
        <f>"20190312160646626"</f>
        <v>20190312160646626</v>
      </c>
      <c r="B2303" t="str">
        <f>"1552378006616916"</f>
        <v>1552378006616916</v>
      </c>
      <c r="C2303" t="s">
        <v>40</v>
      </c>
      <c r="D2303">
        <v>5.8746910000000003</v>
      </c>
      <c r="E2303">
        <v>0.46008009999999999</v>
      </c>
      <c r="F2303" t="s">
        <v>77</v>
      </c>
      <c r="G2303">
        <v>-401.5428</v>
      </c>
      <c r="H2303" s="1">
        <v>8.3333330000000006E-6</v>
      </c>
      <c r="I2303">
        <v>281.6388</v>
      </c>
      <c r="J2303">
        <v>-373.48250000000002</v>
      </c>
      <c r="K2303">
        <v>1.108616</v>
      </c>
      <c r="L2303">
        <v>284.76260000000002</v>
      </c>
      <c r="M2303">
        <v>-0.99993849999999995</v>
      </c>
      <c r="N2303">
        <v>0</v>
      </c>
      <c r="O2303">
        <v>8.2794949999999996E-3</v>
      </c>
      <c r="P2303">
        <v>-0.99900109999999998</v>
      </c>
      <c r="Q2303">
        <v>4.4287119999999999E-2</v>
      </c>
      <c r="R2303">
        <v>-5.9606479999999998E-3</v>
      </c>
      <c r="S2303">
        <v>-3.0062869999999999</v>
      </c>
      <c r="T2303">
        <v>-0.117491</v>
      </c>
      <c r="U2303">
        <v>-0.33081050000000001</v>
      </c>
      <c r="V2303">
        <v>-1.4230120000000001E-2</v>
      </c>
      <c r="W2303">
        <v>5.1657389999999997E-2</v>
      </c>
      <c r="X2303">
        <v>0.99856350000000005</v>
      </c>
      <c r="Y2303">
        <v>-0.1175108</v>
      </c>
      <c r="Z2303">
        <v>-2.611014E-3</v>
      </c>
      <c r="AA2303">
        <v>0.99306819999999896</v>
      </c>
      <c r="AB2303">
        <v>49</v>
      </c>
      <c r="AC2303">
        <v>-28.060299999999899</v>
      </c>
      <c r="AD2303">
        <v>-1.1086076666669999</v>
      </c>
      <c r="AE2303">
        <v>-3.1238000000000099</v>
      </c>
      <c r="AF2303">
        <v>-3.3508580820811402</v>
      </c>
      <c r="AG2303">
        <v>-1.1086076666669999</v>
      </c>
      <c r="AH2303">
        <v>27.990319105908501</v>
      </c>
      <c r="AI2303">
        <v>92.2520547086813</v>
      </c>
      <c r="AJ2303">
        <v>96.826669384050902</v>
      </c>
      <c r="AK2303">
        <v>28.211969525281798</v>
      </c>
      <c r="AL2303">
        <v>87.038931714920096</v>
      </c>
      <c r="AM2303">
        <v>90.816443453766198</v>
      </c>
      <c r="AN2303">
        <v>1.00000002289453</v>
      </c>
    </row>
    <row r="2304" spans="1:40" x14ac:dyDescent="0.25">
      <c r="A2304" t="str">
        <f>"20190312160646647"</f>
        <v>20190312160646647</v>
      </c>
      <c r="B2304" t="str">
        <f>"1552378006637412"</f>
        <v>1552378006637412</v>
      </c>
      <c r="C2304" t="s">
        <v>40</v>
      </c>
      <c r="D2304">
        <v>5.9645900000000003</v>
      </c>
      <c r="E2304">
        <v>0.45989269999999999</v>
      </c>
      <c r="F2304" t="s">
        <v>77</v>
      </c>
      <c r="G2304">
        <v>-401.42469999999997</v>
      </c>
      <c r="H2304" s="1">
        <v>8.3774890000000006E-6</v>
      </c>
      <c r="I2304">
        <v>281.67860000000002</v>
      </c>
      <c r="J2304">
        <v>-373.93599999999998</v>
      </c>
      <c r="K2304">
        <v>1.1086480000000001</v>
      </c>
      <c r="L2304">
        <v>284.76639999999998</v>
      </c>
      <c r="M2304">
        <v>-0.99993750000000003</v>
      </c>
      <c r="N2304">
        <v>0</v>
      </c>
      <c r="O2304">
        <v>8.2789449999999994E-3</v>
      </c>
      <c r="P2304">
        <v>-0.99899170000000004</v>
      </c>
      <c r="Q2304">
        <v>4.4459209999999999E-2</v>
      </c>
      <c r="R2304">
        <v>-6.2621090000000001E-3</v>
      </c>
      <c r="S2304">
        <v>-3.0063170000000001</v>
      </c>
      <c r="T2304">
        <v>-0.1192756</v>
      </c>
      <c r="U2304">
        <v>-0.33181759999999999</v>
      </c>
      <c r="V2304">
        <v>-1.453081E-2</v>
      </c>
      <c r="W2304">
        <v>5.1975970000000003E-2</v>
      </c>
      <c r="X2304">
        <v>0.99854259999999995</v>
      </c>
      <c r="Y2304">
        <v>-0.1178347</v>
      </c>
      <c r="Z2304">
        <v>-2.6569480000000001E-3</v>
      </c>
      <c r="AA2304">
        <v>0.99302970000000002</v>
      </c>
      <c r="AB2304">
        <v>49</v>
      </c>
      <c r="AC2304">
        <v>-27.488699999999898</v>
      </c>
      <c r="AD2304">
        <v>-1.10863962251099</v>
      </c>
      <c r="AE2304">
        <v>-3.0877999999999499</v>
      </c>
      <c r="AF2304">
        <v>-3.30996123963225</v>
      </c>
      <c r="AG2304">
        <v>-1.10863962251099</v>
      </c>
      <c r="AH2304">
        <v>27.418151645595401</v>
      </c>
      <c r="AI2304">
        <v>92.298793371301898</v>
      </c>
      <c r="AJ2304">
        <v>96.883523744843203</v>
      </c>
      <c r="AK2304">
        <v>27.639463903652999</v>
      </c>
      <c r="AL2304">
        <v>87.020653758480904</v>
      </c>
      <c r="AM2304">
        <v>90.8337103753137</v>
      </c>
      <c r="AN2304">
        <v>0.99999998495572795</v>
      </c>
    </row>
    <row r="2305" spans="1:40" x14ac:dyDescent="0.25">
      <c r="A2305" t="str">
        <f>"20190312160646669"</f>
        <v>20190312160646669</v>
      </c>
      <c r="B2305" t="str">
        <f>"1552378006657909"</f>
        <v>1552378006657909</v>
      </c>
      <c r="C2305" t="s">
        <v>40</v>
      </c>
      <c r="D2305">
        <v>5.9732849999999997</v>
      </c>
      <c r="E2305">
        <v>0.4596963</v>
      </c>
      <c r="F2305" t="s">
        <v>77</v>
      </c>
      <c r="G2305">
        <v>-402.45299999999997</v>
      </c>
      <c r="H2305" s="1">
        <v>7.9383050000000002E-6</v>
      </c>
      <c r="I2305">
        <v>281.59719999999999</v>
      </c>
      <c r="J2305">
        <v>-374.41250000000002</v>
      </c>
      <c r="K2305">
        <v>1.108671</v>
      </c>
      <c r="L2305">
        <v>284.77030000000002</v>
      </c>
      <c r="M2305">
        <v>-0.9999363</v>
      </c>
      <c r="N2305">
        <v>0</v>
      </c>
      <c r="O2305">
        <v>8.2783690000000007E-3</v>
      </c>
      <c r="P2305">
        <v>-0.99898299999999995</v>
      </c>
      <c r="Q2305">
        <v>4.4571949999999999E-2</v>
      </c>
      <c r="R2305">
        <v>-6.8003769999999998E-3</v>
      </c>
      <c r="S2305">
        <v>-3.0061339999999999</v>
      </c>
      <c r="T2305">
        <v>-0.1168681</v>
      </c>
      <c r="U2305">
        <v>-0.33407589999999998</v>
      </c>
      <c r="V2305">
        <v>-1.5068639999999999E-2</v>
      </c>
      <c r="W2305">
        <v>5.2239300000000002E-2</v>
      </c>
      <c r="X2305">
        <v>0.99852090000000004</v>
      </c>
      <c r="Y2305">
        <v>-0.11858100000000001</v>
      </c>
      <c r="Z2305">
        <v>-2.617847E-3</v>
      </c>
      <c r="AA2305">
        <v>0.99294099999999996</v>
      </c>
      <c r="AB2305">
        <v>49</v>
      </c>
      <c r="AC2305">
        <v>-28.040500000000002</v>
      </c>
      <c r="AD2305">
        <v>-1.108663061695</v>
      </c>
      <c r="AE2305">
        <v>-3.17310000000003</v>
      </c>
      <c r="AF2305">
        <v>-3.39988004751683</v>
      </c>
      <c r="AG2305">
        <v>-1.108663061695</v>
      </c>
      <c r="AH2305">
        <v>27.9700988861598</v>
      </c>
      <c r="AI2305">
        <v>92.253301271590502</v>
      </c>
      <c r="AJ2305">
        <v>96.930536255731994</v>
      </c>
      <c r="AK2305">
        <v>28.1977791647397</v>
      </c>
      <c r="AL2305">
        <v>87.005545574947604</v>
      </c>
      <c r="AM2305">
        <v>90.864582747876895</v>
      </c>
      <c r="AN2305">
        <v>0.99999999805637396</v>
      </c>
    </row>
    <row r="2306" spans="1:40" x14ac:dyDescent="0.25">
      <c r="A2306" t="str">
        <f>"20190312160646690"</f>
        <v>20190312160646690</v>
      </c>
      <c r="B2306" t="str">
        <f>"1552378006677428"</f>
        <v>1552378006677428</v>
      </c>
      <c r="C2306" t="s">
        <v>40</v>
      </c>
      <c r="D2306">
        <v>5.9479490000000004</v>
      </c>
      <c r="E2306">
        <v>0.459536</v>
      </c>
      <c r="F2306" t="s">
        <v>77</v>
      </c>
      <c r="G2306">
        <v>-403.25749999999999</v>
      </c>
      <c r="H2306" s="1">
        <v>7.5953080000000002E-6</v>
      </c>
      <c r="I2306">
        <v>281.53050000000002</v>
      </c>
      <c r="J2306">
        <v>-374.8852</v>
      </c>
      <c r="K2306">
        <v>1.108679</v>
      </c>
      <c r="L2306">
        <v>284.77420000000001</v>
      </c>
      <c r="M2306">
        <v>-0.99993520000000002</v>
      </c>
      <c r="N2306">
        <v>0</v>
      </c>
      <c r="O2306">
        <v>8.2778169999999998E-3</v>
      </c>
      <c r="P2306">
        <v>-0.99899210000000005</v>
      </c>
      <c r="Q2306">
        <v>4.4267470000000003E-2</v>
      </c>
      <c r="R2306">
        <v>-7.4448319999999898E-3</v>
      </c>
      <c r="S2306">
        <v>-3.0059200000000001</v>
      </c>
      <c r="T2306">
        <v>-0.1155331</v>
      </c>
      <c r="U2306">
        <v>-0.33761600000000003</v>
      </c>
      <c r="V2306">
        <v>-1.5712500000000001E-2</v>
      </c>
      <c r="W2306">
        <v>5.2076440000000002E-2</v>
      </c>
      <c r="X2306">
        <v>0.9985195</v>
      </c>
      <c r="Y2306">
        <v>-0.1197444</v>
      </c>
      <c r="Z2306">
        <v>-2.610238E-3</v>
      </c>
      <c r="AA2306">
        <v>0.9928013</v>
      </c>
      <c r="AB2306">
        <v>49</v>
      </c>
      <c r="AC2306">
        <v>-28.372299999999999</v>
      </c>
      <c r="AD2306">
        <v>-1.1086714046920001</v>
      </c>
      <c r="AE2306">
        <v>-3.2436999999999898</v>
      </c>
      <c r="AF2306">
        <v>-3.4732218251134901</v>
      </c>
      <c r="AG2306">
        <v>-1.1086714046920001</v>
      </c>
      <c r="AH2306">
        <v>28.301819185887101</v>
      </c>
      <c r="AI2306">
        <v>92.226621906928997</v>
      </c>
      <c r="AJ2306">
        <v>96.996400866599203</v>
      </c>
      <c r="AK2306">
        <v>28.535686278074301</v>
      </c>
      <c r="AL2306">
        <v>87.014889534904398</v>
      </c>
      <c r="AM2306">
        <v>90.901520341457001</v>
      </c>
      <c r="AN2306">
        <v>1.0000000150697801</v>
      </c>
    </row>
    <row r="2307" spans="1:40" x14ac:dyDescent="0.25">
      <c r="A2307" t="str">
        <f>"20190312160646704"</f>
        <v>20190312160646704</v>
      </c>
      <c r="B2307" t="str">
        <f>"1552378006697456"</f>
        <v>1552378006697456</v>
      </c>
      <c r="C2307" t="s">
        <v>40</v>
      </c>
      <c r="D2307">
        <v>5.9105040000000004</v>
      </c>
      <c r="E2307">
        <v>0.45948519999999998</v>
      </c>
      <c r="F2307" t="s">
        <v>77</v>
      </c>
      <c r="G2307">
        <v>-403.60270000000003</v>
      </c>
      <c r="H2307" s="1">
        <v>7.444466E-6</v>
      </c>
      <c r="I2307">
        <v>281.51960000000003</v>
      </c>
      <c r="J2307">
        <v>-375.17189999999999</v>
      </c>
      <c r="K2307">
        <v>1.108684</v>
      </c>
      <c r="L2307">
        <v>284.77659999999997</v>
      </c>
      <c r="M2307">
        <v>-0.99993449999999995</v>
      </c>
      <c r="N2307">
        <v>0</v>
      </c>
      <c r="O2307">
        <v>8.2773780000000002E-3</v>
      </c>
      <c r="P2307">
        <v>-0.99899680000000002</v>
      </c>
      <c r="Q2307">
        <v>4.4145219999999999E-2</v>
      </c>
      <c r="R2307">
        <v>-7.54162199999999E-3</v>
      </c>
      <c r="S2307">
        <v>-3.0056759999999998</v>
      </c>
      <c r="T2307">
        <v>-0.1160374</v>
      </c>
      <c r="U2307">
        <v>-0.34063719999999997</v>
      </c>
      <c r="V2307">
        <v>-1.580871E-2</v>
      </c>
      <c r="W2307">
        <v>5.2035489999999997E-2</v>
      </c>
      <c r="X2307">
        <v>0.99852010000000002</v>
      </c>
      <c r="Y2307">
        <v>-0.1207367</v>
      </c>
      <c r="Z2307">
        <v>-2.6407560000000002E-3</v>
      </c>
      <c r="AA2307">
        <v>0.99268109999999998</v>
      </c>
      <c r="AB2307">
        <v>49</v>
      </c>
      <c r="AC2307">
        <v>-28.430800000000001</v>
      </c>
      <c r="AD2307">
        <v>-1.1086765555339999</v>
      </c>
      <c r="AE2307">
        <v>-3.2569999999999402</v>
      </c>
      <c r="AF2307">
        <v>-3.4869944064780798</v>
      </c>
      <c r="AG2307">
        <v>-1.1086765555339999</v>
      </c>
      <c r="AH2307">
        <v>28.3602980231144</v>
      </c>
      <c r="AI2307">
        <v>92.221983065162306</v>
      </c>
      <c r="AJ2307">
        <v>97.009528582364496</v>
      </c>
      <c r="AK2307">
        <v>28.595363219505899</v>
      </c>
      <c r="AL2307">
        <v>87.0172389339739</v>
      </c>
      <c r="AM2307">
        <v>90.907039021683403</v>
      </c>
      <c r="AN2307">
        <v>0.99999999881770696</v>
      </c>
    </row>
    <row r="2308" spans="1:40" x14ac:dyDescent="0.25">
      <c r="A2308" t="str">
        <f>"20190312160646716"</f>
        <v>20190312160646716</v>
      </c>
      <c r="B2308" t="str">
        <f>"1552378006707216"</f>
        <v>1552378006707216</v>
      </c>
      <c r="C2308" t="s">
        <v>40</v>
      </c>
      <c r="D2308">
        <v>5.9323100000000002</v>
      </c>
      <c r="E2308">
        <v>0.45948519999999998</v>
      </c>
      <c r="F2308" t="s">
        <v>77</v>
      </c>
      <c r="G2308">
        <v>-403.83600000000001</v>
      </c>
      <c r="H2308" s="1">
        <v>7.3405619999999999E-6</v>
      </c>
      <c r="I2308">
        <v>281.52179999999998</v>
      </c>
      <c r="J2308">
        <v>-375.45870000000002</v>
      </c>
      <c r="K2308">
        <v>1.1086879999999999</v>
      </c>
      <c r="L2308">
        <v>284.779</v>
      </c>
      <c r="M2308">
        <v>-0.99993410000000005</v>
      </c>
      <c r="N2308">
        <v>0</v>
      </c>
      <c r="O2308">
        <v>8.2768870000000001E-3</v>
      </c>
      <c r="P2308">
        <v>-0.99900599999999995</v>
      </c>
      <c r="Q2308">
        <v>4.3857640000000003E-2</v>
      </c>
      <c r="R2308">
        <v>-7.9868960000000003E-3</v>
      </c>
      <c r="S2308">
        <v>-3.0055540000000001</v>
      </c>
      <c r="T2308">
        <v>-0.1162493</v>
      </c>
      <c r="U2308">
        <v>-0.34127809999999997</v>
      </c>
      <c r="V2308">
        <v>-1.62536E-2</v>
      </c>
      <c r="W2308">
        <v>5.1825959999999997E-2</v>
      </c>
      <c r="X2308">
        <v>0.99852379999999996</v>
      </c>
      <c r="Y2308">
        <v>-0.12094920000000001</v>
      </c>
      <c r="Z2308">
        <v>-2.6497280000000001E-3</v>
      </c>
      <c r="AA2308">
        <v>0.99265519999999996</v>
      </c>
      <c r="AB2308">
        <v>49</v>
      </c>
      <c r="AC2308">
        <v>-28.377299999999899</v>
      </c>
      <c r="AD2308">
        <v>-1.1086806594380001</v>
      </c>
      <c r="AE2308">
        <v>-3.2572000000000099</v>
      </c>
      <c r="AF2308">
        <v>-3.48671860885386</v>
      </c>
      <c r="AG2308">
        <v>-1.1086806594380001</v>
      </c>
      <c r="AH2308">
        <v>28.3067218022865</v>
      </c>
      <c r="AI2308">
        <v>92.226132510510297</v>
      </c>
      <c r="AJ2308">
        <v>97.022113287883499</v>
      </c>
      <c r="AK2308">
        <v>28.5421947063288</v>
      </c>
      <c r="AL2308">
        <v>87.029260177507098</v>
      </c>
      <c r="AM2308">
        <v>90.932557086242994</v>
      </c>
      <c r="AN2308">
        <v>0.999999944404659</v>
      </c>
    </row>
    <row r="2309" spans="1:40" x14ac:dyDescent="0.25">
      <c r="A2309" t="str">
        <f>"20190312160646746"</f>
        <v>20190312160646746</v>
      </c>
      <c r="B2309" t="str">
        <f>"1552378006737471"</f>
        <v>1552378006737471</v>
      </c>
      <c r="C2309" t="s">
        <v>40</v>
      </c>
      <c r="D2309">
        <v>5.9074809999999998</v>
      </c>
      <c r="E2309">
        <v>0.44183159999999999</v>
      </c>
      <c r="F2309" t="s">
        <v>77</v>
      </c>
      <c r="G2309">
        <v>-403.93860000000001</v>
      </c>
      <c r="H2309" s="1">
        <v>7.2932939999999902E-6</v>
      </c>
      <c r="I2309">
        <v>281.53039999999999</v>
      </c>
      <c r="J2309">
        <v>-376.11450000000002</v>
      </c>
      <c r="K2309">
        <v>1.10869</v>
      </c>
      <c r="L2309">
        <v>284.78440000000001</v>
      </c>
      <c r="M2309">
        <v>-0.99993259999999995</v>
      </c>
      <c r="N2309">
        <v>0</v>
      </c>
      <c r="O2309">
        <v>8.2758740000000008E-3</v>
      </c>
      <c r="P2309">
        <v>-0.99901180000000001</v>
      </c>
      <c r="Q2309">
        <v>4.3761349999999997E-2</v>
      </c>
      <c r="R2309">
        <v>-7.7785969999999999E-3</v>
      </c>
      <c r="S2309">
        <v>-3.005341</v>
      </c>
      <c r="T2309">
        <v>-0.11699329999999999</v>
      </c>
      <c r="U2309">
        <v>-0.342804</v>
      </c>
      <c r="V2309">
        <v>-1.6044510000000001E-2</v>
      </c>
      <c r="W2309">
        <v>5.1891680000000003E-2</v>
      </c>
      <c r="X2309">
        <v>0.99852379999999996</v>
      </c>
      <c r="Y2309">
        <v>-0.121452</v>
      </c>
      <c r="Z2309">
        <v>-2.6764979999999998E-3</v>
      </c>
      <c r="AA2309">
        <v>0.99259370000000002</v>
      </c>
      <c r="AB2309">
        <v>49</v>
      </c>
      <c r="AC2309">
        <v>-27.824099999999898</v>
      </c>
      <c r="AD2309">
        <v>-1.1086827067060001</v>
      </c>
      <c r="AE2309">
        <v>-3.2540000000000102</v>
      </c>
      <c r="AF2309">
        <v>-3.47871625272936</v>
      </c>
      <c r="AG2309">
        <v>-1.1086827067060001</v>
      </c>
      <c r="AH2309">
        <v>27.752747594922202</v>
      </c>
      <c r="AI2309">
        <v>92.269924279433496</v>
      </c>
      <c r="AJ2309">
        <v>97.144576235171996</v>
      </c>
      <c r="AK2309">
        <v>27.991885309471598</v>
      </c>
      <c r="AL2309">
        <v>87.025489719057305</v>
      </c>
      <c r="AM2309">
        <v>90.9205625381028</v>
      </c>
      <c r="AN2309">
        <v>0.99999997596040002</v>
      </c>
    </row>
    <row r="2310" spans="1:40" x14ac:dyDescent="0.25">
      <c r="A2310" t="str">
        <f>"20190312160646767"</f>
        <v>20190312160646767</v>
      </c>
      <c r="B2310" t="str">
        <f>"1552378006756991"</f>
        <v>1552378006756991</v>
      </c>
      <c r="C2310" t="s">
        <v>40</v>
      </c>
      <c r="D2310">
        <v>5.8451110000000002</v>
      </c>
      <c r="E2310">
        <v>0.43915159999999998</v>
      </c>
      <c r="F2310" t="s">
        <v>66</v>
      </c>
      <c r="G2310">
        <v>-392.0772</v>
      </c>
      <c r="H2310" s="1">
        <v>-4.31417E-7</v>
      </c>
      <c r="I2310">
        <v>282.2303</v>
      </c>
      <c r="J2310">
        <v>-376.59679999999997</v>
      </c>
      <c r="K2310">
        <v>1.108687</v>
      </c>
      <c r="L2310">
        <v>284.78840000000002</v>
      </c>
      <c r="M2310">
        <v>-0.99993189999999998</v>
      </c>
      <c r="N2310">
        <v>0</v>
      </c>
      <c r="O2310">
        <v>8.2750769999999901E-3</v>
      </c>
      <c r="P2310">
        <v>-0.99902829999999998</v>
      </c>
      <c r="Q2310">
        <v>4.3470139999999997E-2</v>
      </c>
      <c r="R2310">
        <v>-7.2900859999999899E-3</v>
      </c>
      <c r="S2310">
        <v>-3.0083310000000001</v>
      </c>
      <c r="T2310">
        <v>-0.20894409999999999</v>
      </c>
      <c r="U2310">
        <v>-0.4813538</v>
      </c>
      <c r="V2310">
        <v>-1.55552E-2</v>
      </c>
      <c r="W2310">
        <v>5.1707860000000001E-2</v>
      </c>
      <c r="X2310">
        <v>0.99854109999999996</v>
      </c>
      <c r="Y2310">
        <v>-0.16575419999999999</v>
      </c>
      <c r="Z2310">
        <v>-6.2836569999999998E-3</v>
      </c>
      <c r="AA2310">
        <v>0.98614710000000005</v>
      </c>
      <c r="AB2310">
        <v>49</v>
      </c>
      <c r="AC2310">
        <v>-15.480399999999999</v>
      </c>
      <c r="AD2310">
        <v>-1.1086874314170001</v>
      </c>
      <c r="AE2310">
        <v>-2.55810000000002</v>
      </c>
      <c r="AF2310">
        <v>-2.6727733302928902</v>
      </c>
      <c r="AG2310">
        <v>-1.1086874314170001</v>
      </c>
      <c r="AH2310">
        <v>15.3819002959961</v>
      </c>
      <c r="AI2310">
        <v>94.061945138568007</v>
      </c>
      <c r="AJ2310">
        <v>99.857347239691805</v>
      </c>
      <c r="AK2310">
        <v>15.6517015628229</v>
      </c>
      <c r="AL2310">
        <v>87.036036052505494</v>
      </c>
      <c r="AM2310">
        <v>90.892477261524803</v>
      </c>
      <c r="AN2310">
        <v>0.999999997711014</v>
      </c>
    </row>
    <row r="2311" spans="1:40" x14ac:dyDescent="0.25">
      <c r="A2311" t="str">
        <f>"20190312160646791"</f>
        <v>20190312160646791</v>
      </c>
      <c r="B2311" t="str">
        <f>"1552378006787248"</f>
        <v>1552378006787248</v>
      </c>
      <c r="C2311" t="s">
        <v>40</v>
      </c>
      <c r="D2311">
        <v>5.9051280000000004</v>
      </c>
      <c r="E2311">
        <v>0.4380423</v>
      </c>
      <c r="F2311" t="s">
        <v>66</v>
      </c>
      <c r="G2311">
        <v>-391.70089999999999</v>
      </c>
      <c r="H2311" s="1">
        <v>-6.3165879999999997E-7</v>
      </c>
      <c r="I2311">
        <v>282.27319999999997</v>
      </c>
      <c r="J2311">
        <v>-377.09640000000002</v>
      </c>
      <c r="K2311">
        <v>1.108679</v>
      </c>
      <c r="L2311">
        <v>284.79250000000002</v>
      </c>
      <c r="M2311">
        <v>-0.99993100000000001</v>
      </c>
      <c r="N2311">
        <v>0</v>
      </c>
      <c r="O2311">
        <v>8.2743629999999999E-3</v>
      </c>
      <c r="P2311">
        <v>-0.999027</v>
      </c>
      <c r="Q2311">
        <v>4.3517439999999998E-2</v>
      </c>
      <c r="R2311">
        <v>-7.1791800000000003E-3</v>
      </c>
      <c r="S2311">
        <v>-3.0088499999999998</v>
      </c>
      <c r="T2311">
        <v>-0.22085859999999999</v>
      </c>
      <c r="U2311">
        <v>-0.50103759999999997</v>
      </c>
      <c r="V2311">
        <v>-1.544366E-2</v>
      </c>
      <c r="W2311">
        <v>5.185501E-2</v>
      </c>
      <c r="X2311">
        <v>0.99853519999999896</v>
      </c>
      <c r="Y2311">
        <v>-0.17194419999999999</v>
      </c>
      <c r="Z2311">
        <v>-6.8617419999999997E-3</v>
      </c>
      <c r="AA2311">
        <v>0.98508280000000004</v>
      </c>
      <c r="AB2311">
        <v>49</v>
      </c>
      <c r="AC2311">
        <v>-14.6044999999999</v>
      </c>
      <c r="AD2311">
        <v>-1.1086796316587999</v>
      </c>
      <c r="AE2311">
        <v>-2.5193000000000398</v>
      </c>
      <c r="AF2311">
        <v>-2.6253684323276798</v>
      </c>
      <c r="AG2311">
        <v>-1.1086796316587999</v>
      </c>
      <c r="AH2311">
        <v>14.5019955845904</v>
      </c>
      <c r="AI2311">
        <v>94.302106045057499</v>
      </c>
      <c r="AJ2311">
        <v>100.261402118254</v>
      </c>
      <c r="AK2311">
        <v>14.779364190200999</v>
      </c>
      <c r="AL2311">
        <v>87.027593650934094</v>
      </c>
      <c r="AM2311">
        <v>90.886083929502504</v>
      </c>
      <c r="AN2311">
        <v>0.99999999716766697</v>
      </c>
    </row>
    <row r="2312" spans="1:40" x14ac:dyDescent="0.25">
      <c r="A2312" t="str">
        <f>"20190312160646813"</f>
        <v>20190312160646813</v>
      </c>
      <c r="B2312" t="str">
        <f>"1552378006807161"</f>
        <v>1552378006807161</v>
      </c>
      <c r="C2312" t="s">
        <v>40</v>
      </c>
      <c r="D2312">
        <v>5.8466100000000001</v>
      </c>
      <c r="E2312">
        <v>0.43731900000000001</v>
      </c>
      <c r="F2312" t="s">
        <v>66</v>
      </c>
      <c r="G2312">
        <v>-392.5804</v>
      </c>
      <c r="H2312" s="1">
        <v>-1.636201E-7</v>
      </c>
      <c r="I2312">
        <v>282.16899999999998</v>
      </c>
      <c r="J2312">
        <v>-377.60070000000002</v>
      </c>
      <c r="K2312">
        <v>1.1086689999999999</v>
      </c>
      <c r="L2312">
        <v>284.79669999999999</v>
      </c>
      <c r="M2312">
        <v>-0.99993010000000004</v>
      </c>
      <c r="N2312">
        <v>0</v>
      </c>
      <c r="O2312">
        <v>8.2738050000000004E-3</v>
      </c>
      <c r="P2312">
        <v>-0.99904999999999999</v>
      </c>
      <c r="Q2312">
        <v>4.2960129999999999E-2</v>
      </c>
      <c r="R2312">
        <v>-7.3136549999999996E-3</v>
      </c>
      <c r="S2312">
        <v>-3.0086360000000001</v>
      </c>
      <c r="T2312">
        <v>-0.21542259999999999</v>
      </c>
      <c r="U2312">
        <v>-0.50976560000000004</v>
      </c>
      <c r="V2312">
        <v>-1.5577830000000001E-2</v>
      </c>
      <c r="W2312">
        <v>5.1388330000000003E-2</v>
      </c>
      <c r="X2312">
        <v>0.99855729999999998</v>
      </c>
      <c r="Y2312">
        <v>-0.17474970000000001</v>
      </c>
      <c r="Z2312">
        <v>-6.7917269999999896E-3</v>
      </c>
      <c r="AA2312">
        <v>0.98458950000000001</v>
      </c>
      <c r="AB2312">
        <v>49</v>
      </c>
      <c r="AC2312">
        <v>-14.9796999999999</v>
      </c>
      <c r="AD2312">
        <v>-1.1086691636201</v>
      </c>
      <c r="AE2312">
        <v>-2.62769999999994</v>
      </c>
      <c r="AF2312">
        <v>-2.7370086612367999</v>
      </c>
      <c r="AG2312">
        <v>-1.1086691636201</v>
      </c>
      <c r="AH2312">
        <v>14.878379148991</v>
      </c>
      <c r="AI2312">
        <v>94.191470732942193</v>
      </c>
      <c r="AJ2312">
        <v>100.42352480511499</v>
      </c>
      <c r="AK2312">
        <v>15.168603423755799</v>
      </c>
      <c r="AL2312">
        <v>87.054368315161</v>
      </c>
      <c r="AM2312">
        <v>90.8937609461736</v>
      </c>
      <c r="AN2312">
        <v>1.00000005531549</v>
      </c>
    </row>
    <row r="2313" spans="1:40" x14ac:dyDescent="0.25">
      <c r="A2313" t="str">
        <f>"20190312160646835"</f>
        <v>20190312160646835</v>
      </c>
      <c r="B2313" t="str">
        <f>"1552378006827658"</f>
        <v>1552378006827658</v>
      </c>
      <c r="C2313" t="s">
        <v>40</v>
      </c>
      <c r="D2313">
        <v>5.8388710000000001</v>
      </c>
      <c r="E2313">
        <v>0.43607509999999999</v>
      </c>
      <c r="F2313" t="s">
        <v>66</v>
      </c>
      <c r="G2313">
        <v>-393.0231</v>
      </c>
      <c r="H2313" s="1">
        <v>7.19759299999999E-8</v>
      </c>
      <c r="I2313">
        <v>282.15159999999997</v>
      </c>
      <c r="J2313">
        <v>-378.09249999999997</v>
      </c>
      <c r="K2313">
        <v>1.1086640000000001</v>
      </c>
      <c r="L2313">
        <v>284.80079999999998</v>
      </c>
      <c r="M2313">
        <v>-0.99992950000000003</v>
      </c>
      <c r="N2313">
        <v>0</v>
      </c>
      <c r="O2313">
        <v>8.273084E-3</v>
      </c>
      <c r="P2313">
        <v>-0.99906159999999999</v>
      </c>
      <c r="Q2313">
        <v>4.2678229999999998E-2</v>
      </c>
      <c r="R2313">
        <v>-7.4073469999999999E-3</v>
      </c>
      <c r="S2313">
        <v>-3.0083310000000001</v>
      </c>
      <c r="T2313">
        <v>-0.21625920000000001</v>
      </c>
      <c r="U2313">
        <v>-0.51596070000000005</v>
      </c>
      <c r="V2313">
        <v>-1.5670839999999998E-2</v>
      </c>
      <c r="W2313">
        <v>5.119166E-2</v>
      </c>
      <c r="X2313">
        <v>0.99856590000000001</v>
      </c>
      <c r="Y2313">
        <v>-0.176727</v>
      </c>
      <c r="Z2313">
        <v>-6.8879659999999997E-3</v>
      </c>
      <c r="AA2313">
        <v>0.98423579999999999</v>
      </c>
      <c r="AB2313">
        <v>49</v>
      </c>
      <c r="AC2313">
        <v>-14.9306</v>
      </c>
      <c r="AD2313">
        <v>-1.10866392802406</v>
      </c>
      <c r="AE2313">
        <v>-2.6492</v>
      </c>
      <c r="AF2313">
        <v>-2.7578937707258402</v>
      </c>
      <c r="AG2313">
        <v>-1.10866392802406</v>
      </c>
      <c r="AH2313">
        <v>14.8289041669544</v>
      </c>
      <c r="AI2313">
        <v>94.203870017083005</v>
      </c>
      <c r="AJ2313">
        <v>100.53555327519901</v>
      </c>
      <c r="AK2313">
        <v>15.1238722736152</v>
      </c>
      <c r="AL2313">
        <v>87.065651390312894</v>
      </c>
      <c r="AM2313">
        <v>90.899088677670306</v>
      </c>
      <c r="AN2313">
        <v>1.0000000089613299</v>
      </c>
    </row>
    <row r="2314" spans="1:40" x14ac:dyDescent="0.25">
      <c r="A2314" t="str">
        <f>"20190312160646857"</f>
        <v>20190312160646857</v>
      </c>
      <c r="B2314" t="str">
        <f>"1552378006847174"</f>
        <v>1552378006847174</v>
      </c>
      <c r="C2314" t="s">
        <v>40</v>
      </c>
      <c r="D2314">
        <v>5.8371370000000002</v>
      </c>
      <c r="E2314">
        <v>0.43503940000000002</v>
      </c>
      <c r="F2314" t="s">
        <v>66</v>
      </c>
      <c r="G2314">
        <v>-393.89659999999998</v>
      </c>
      <c r="H2314" s="1">
        <v>5.3677289999999899E-7</v>
      </c>
      <c r="I2314">
        <v>282.03550000000001</v>
      </c>
      <c r="J2314">
        <v>-378.59160000000003</v>
      </c>
      <c r="K2314">
        <v>1.108662</v>
      </c>
      <c r="L2314">
        <v>284.80489999999998</v>
      </c>
      <c r="M2314">
        <v>-0.99992879999999995</v>
      </c>
      <c r="N2314">
        <v>0</v>
      </c>
      <c r="O2314">
        <v>8.2722300000000002E-3</v>
      </c>
      <c r="P2314">
        <v>-0.99907520000000005</v>
      </c>
      <c r="Q2314">
        <v>4.2299740000000002E-2</v>
      </c>
      <c r="R2314">
        <v>-7.7275629999999998E-3</v>
      </c>
      <c r="S2314">
        <v>-3.007965</v>
      </c>
      <c r="T2314">
        <v>-0.21101020000000001</v>
      </c>
      <c r="U2314">
        <v>-0.52630619999999995</v>
      </c>
      <c r="V2314">
        <v>-1.59901E-2</v>
      </c>
      <c r="W2314">
        <v>5.0900689999999998E-2</v>
      </c>
      <c r="X2314">
        <v>0.99857569999999996</v>
      </c>
      <c r="Y2314">
        <v>-0.18004609999999999</v>
      </c>
      <c r="Z2314">
        <v>-6.8353850000000002E-3</v>
      </c>
      <c r="AA2314">
        <v>0.98363440000000002</v>
      </c>
      <c r="AB2314">
        <v>50</v>
      </c>
      <c r="AC2314">
        <v>-15.3049999999999</v>
      </c>
      <c r="AD2314">
        <v>-1.1086614632270999</v>
      </c>
      <c r="AE2314">
        <v>-2.7693999999999601</v>
      </c>
      <c r="AF2314">
        <v>-2.88127696081439</v>
      </c>
      <c r="AG2314">
        <v>-1.1086614632270999</v>
      </c>
      <c r="AH2314">
        <v>15.204314948213501</v>
      </c>
      <c r="AI2314">
        <v>94.097811460939695</v>
      </c>
      <c r="AJ2314">
        <v>100.730530460005</v>
      </c>
      <c r="AK2314">
        <v>15.514576378665099</v>
      </c>
      <c r="AL2314">
        <v>87.082344468499798</v>
      </c>
      <c r="AM2314">
        <v>90.917393594113605</v>
      </c>
      <c r="AN2314">
        <v>0.99999999608548795</v>
      </c>
    </row>
    <row r="2315" spans="1:40" x14ac:dyDescent="0.25">
      <c r="A2315" t="str">
        <f>"20190312160646880"</f>
        <v>20190312160646880</v>
      </c>
      <c r="B2315" t="str">
        <f>"1552378006867670"</f>
        <v>1552378006867670</v>
      </c>
      <c r="C2315" t="s">
        <v>40</v>
      </c>
      <c r="D2315">
        <v>5.8419949999999998</v>
      </c>
      <c r="E2315">
        <v>0.43416680000000002</v>
      </c>
      <c r="F2315" t="s">
        <v>66</v>
      </c>
      <c r="G2315">
        <v>-394.5736</v>
      </c>
      <c r="H2315" s="1">
        <v>8.9704759999999897E-7</v>
      </c>
      <c r="I2315">
        <v>281.95839999999998</v>
      </c>
      <c r="J2315">
        <v>-379.07900000000001</v>
      </c>
      <c r="K2315">
        <v>1.108654</v>
      </c>
      <c r="L2315">
        <v>284.80889999999999</v>
      </c>
      <c r="M2315">
        <v>-0.99992800000000004</v>
      </c>
      <c r="N2315">
        <v>0</v>
      </c>
      <c r="O2315">
        <v>8.2715099999999993E-3</v>
      </c>
      <c r="P2315">
        <v>-0.99909380000000003</v>
      </c>
      <c r="Q2315">
        <v>4.1767600000000002E-2</v>
      </c>
      <c r="R2315">
        <v>-8.1899139999999995E-3</v>
      </c>
      <c r="S2315">
        <v>-3.0075069999999999</v>
      </c>
      <c r="T2315">
        <v>-0.2086288</v>
      </c>
      <c r="U2315">
        <v>-0.53564449999999997</v>
      </c>
      <c r="V2315">
        <v>-1.645187E-2</v>
      </c>
      <c r="W2315">
        <v>5.0452570000000002E-2</v>
      </c>
      <c r="X2315">
        <v>0.99859089999999995</v>
      </c>
      <c r="Y2315">
        <v>-0.18303510000000001</v>
      </c>
      <c r="Z2315">
        <v>-6.8603259999999999E-3</v>
      </c>
      <c r="AA2315">
        <v>0.98308249999999997</v>
      </c>
      <c r="AB2315">
        <v>50</v>
      </c>
      <c r="AC2315">
        <v>-15.494599999999901</v>
      </c>
      <c r="AD2315">
        <v>-1.1086531029523901</v>
      </c>
      <c r="AE2315">
        <v>-2.85050000000001</v>
      </c>
      <c r="AF2315">
        <v>-2.96389402709144</v>
      </c>
      <c r="AG2315">
        <v>-1.1086531029523901</v>
      </c>
      <c r="AH2315">
        <v>15.394259574762399</v>
      </c>
      <c r="AI2315">
        <v>94.045137733025697</v>
      </c>
      <c r="AJ2315">
        <v>100.897943203672</v>
      </c>
      <c r="AK2315">
        <v>15.7161384367051</v>
      </c>
      <c r="AL2315">
        <v>87.108052769036405</v>
      </c>
      <c r="AM2315">
        <v>90.943867448739397</v>
      </c>
      <c r="AN2315">
        <v>0.99999995570445399</v>
      </c>
    </row>
    <row r="2316" spans="1:40" x14ac:dyDescent="0.25">
      <c r="A2316" t="str">
        <f>"20190312160646903"</f>
        <v>20190312160646903</v>
      </c>
      <c r="B2316" t="str">
        <f>"1552378006897926"</f>
        <v>1552378006897926</v>
      </c>
      <c r="C2316" t="s">
        <v>40</v>
      </c>
      <c r="D2316">
        <v>5.8533860000000004</v>
      </c>
      <c r="E2316">
        <v>0.43313600000000002</v>
      </c>
      <c r="F2316" t="s">
        <v>66</v>
      </c>
      <c r="G2316">
        <v>-395.12670000000003</v>
      </c>
      <c r="H2316" s="1">
        <v>1.191388E-6</v>
      </c>
      <c r="I2316">
        <v>281.90589999999997</v>
      </c>
      <c r="J2316">
        <v>-379.5788</v>
      </c>
      <c r="K2316">
        <v>1.108646</v>
      </c>
      <c r="L2316">
        <v>284.81299999999999</v>
      </c>
      <c r="M2316">
        <v>-0.99992729999999996</v>
      </c>
      <c r="N2316">
        <v>0</v>
      </c>
      <c r="O2316">
        <v>8.2706729999999992E-3</v>
      </c>
      <c r="P2316">
        <v>-0.9991025</v>
      </c>
      <c r="Q2316">
        <v>4.1602600000000003E-2</v>
      </c>
      <c r="R2316">
        <v>-7.9845060000000006E-3</v>
      </c>
      <c r="S2316">
        <v>-3.006958</v>
      </c>
      <c r="T2316">
        <v>-0.2077348</v>
      </c>
      <c r="U2316">
        <v>-0.54394529999999996</v>
      </c>
      <c r="V2316">
        <v>-1.6245760000000001E-2</v>
      </c>
      <c r="W2316">
        <v>5.0369709999999998E-2</v>
      </c>
      <c r="X2316">
        <v>0.99859849999999994</v>
      </c>
      <c r="Y2316">
        <v>-0.18569150000000001</v>
      </c>
      <c r="Z2316">
        <v>-6.9214380000000002E-3</v>
      </c>
      <c r="AA2316">
        <v>0.98258369999999995</v>
      </c>
      <c r="AB2316">
        <v>50</v>
      </c>
      <c r="AC2316">
        <v>-15.5479</v>
      </c>
      <c r="AD2316">
        <v>-1.108644808612</v>
      </c>
      <c r="AE2316">
        <v>-2.90710000000001</v>
      </c>
      <c r="AF2316">
        <v>-3.0207571245371598</v>
      </c>
      <c r="AG2316">
        <v>-1.108644808612</v>
      </c>
      <c r="AH2316">
        <v>15.447435419959801</v>
      </c>
      <c r="AI2316">
        <v>94.028961602382196</v>
      </c>
      <c r="AJ2316">
        <v>101.064603923316</v>
      </c>
      <c r="AK2316">
        <v>15.779015430974599</v>
      </c>
      <c r="AL2316">
        <v>87.112806464561899</v>
      </c>
      <c r="AM2316">
        <v>90.932037628511793</v>
      </c>
      <c r="AN2316">
        <v>0.99999999830285502</v>
      </c>
    </row>
    <row r="2317" spans="1:40" x14ac:dyDescent="0.25">
      <c r="A2317" t="str">
        <f>"20190312160646925"</f>
        <v>20190312160646925</v>
      </c>
      <c r="B2317" t="str">
        <f>"1552378006916976"</f>
        <v>1552378006916976</v>
      </c>
      <c r="C2317" t="s">
        <v>40</v>
      </c>
      <c r="D2317">
        <v>5.9377709999999997</v>
      </c>
      <c r="E2317">
        <v>0.43275089999999999</v>
      </c>
      <c r="F2317" t="s">
        <v>66</v>
      </c>
      <c r="G2317">
        <v>-395.86380000000003</v>
      </c>
      <c r="H2317" s="1">
        <v>1.5836190000000001E-6</v>
      </c>
      <c r="I2317">
        <v>281.82499999999999</v>
      </c>
      <c r="J2317">
        <v>-380.08949999999999</v>
      </c>
      <c r="K2317">
        <v>1.1086450000000001</v>
      </c>
      <c r="L2317">
        <v>284.81729999999999</v>
      </c>
      <c r="M2317">
        <v>-0.99992650000000005</v>
      </c>
      <c r="N2317">
        <v>0</v>
      </c>
      <c r="O2317">
        <v>8.2699539999999995E-3</v>
      </c>
      <c r="P2317">
        <v>-0.99913450000000004</v>
      </c>
      <c r="Q2317">
        <v>4.0910530000000001E-2</v>
      </c>
      <c r="R2317">
        <v>-7.52581E-3</v>
      </c>
      <c r="S2317">
        <v>-3.0068049999999999</v>
      </c>
      <c r="T2317">
        <v>-0.2046965</v>
      </c>
      <c r="U2317">
        <v>-0.55169679999999999</v>
      </c>
      <c r="V2317">
        <v>-1.578674E-2</v>
      </c>
      <c r="W2317">
        <v>4.9759159999999997E-2</v>
      </c>
      <c r="X2317">
        <v>0.99863650000000004</v>
      </c>
      <c r="Y2317">
        <v>-0.1881583</v>
      </c>
      <c r="Z2317">
        <v>-6.9023490000000003E-3</v>
      </c>
      <c r="AA2317">
        <v>0.9821145</v>
      </c>
      <c r="AB2317">
        <v>50</v>
      </c>
      <c r="AC2317">
        <v>-15.7743</v>
      </c>
      <c r="AD2317">
        <v>-1.1086434163809999</v>
      </c>
      <c r="AE2317">
        <v>-2.9923000000000002</v>
      </c>
      <c r="AF2317">
        <v>-3.1078375544858501</v>
      </c>
      <c r="AG2317">
        <v>-1.1086434163809999</v>
      </c>
      <c r="AH2317">
        <v>15.6742793977005</v>
      </c>
      <c r="AI2317">
        <v>93.968791404282399</v>
      </c>
      <c r="AJ2317">
        <v>101.21493682357401</v>
      </c>
      <c r="AK2317">
        <v>16.017826916499502</v>
      </c>
      <c r="AL2317">
        <v>87.147832408475196</v>
      </c>
      <c r="AM2317">
        <v>90.905673124233203</v>
      </c>
      <c r="AN2317">
        <v>1.0000000271479901</v>
      </c>
    </row>
    <row r="2318" spans="1:40" x14ac:dyDescent="0.25">
      <c r="A2318" t="str">
        <f>"20190312160646947"</f>
        <v>20190312160646947</v>
      </c>
      <c r="B2318" t="str">
        <f>"1552378006937473"</f>
        <v>1552378006937473</v>
      </c>
      <c r="C2318" t="s">
        <v>40</v>
      </c>
      <c r="D2318">
        <v>5.9432530000000003</v>
      </c>
      <c r="E2318">
        <v>0.43524299999999999</v>
      </c>
      <c r="F2318" t="s">
        <v>66</v>
      </c>
      <c r="G2318">
        <v>-396.3227</v>
      </c>
      <c r="H2318" s="1">
        <v>1.8278290000000001E-6</v>
      </c>
      <c r="I2318">
        <v>281.82929999999999</v>
      </c>
      <c r="J2318">
        <v>-380.57330000000002</v>
      </c>
      <c r="K2318">
        <v>1.1086469999999999</v>
      </c>
      <c r="L2318">
        <v>284.82130000000001</v>
      </c>
      <c r="M2318">
        <v>-0.99992590000000003</v>
      </c>
      <c r="N2318">
        <v>0</v>
      </c>
      <c r="O2318">
        <v>8.2691169999999994E-3</v>
      </c>
      <c r="P2318">
        <v>-0.99914930000000002</v>
      </c>
      <c r="Q2318">
        <v>4.0644909999999999E-2</v>
      </c>
      <c r="R2318">
        <v>-6.9840279999999998E-3</v>
      </c>
      <c r="S2318">
        <v>-3.0068359999999998</v>
      </c>
      <c r="T2318">
        <v>-0.20535110000000001</v>
      </c>
      <c r="U2318">
        <v>-0.55346680000000004</v>
      </c>
      <c r="V2318">
        <v>-1.5244499999999999E-2</v>
      </c>
      <c r="W2318">
        <v>4.9574380000000001E-2</v>
      </c>
      <c r="X2318">
        <v>0.99865409999999999</v>
      </c>
      <c r="Y2318">
        <v>-0.18871089999999999</v>
      </c>
      <c r="Z2318">
        <v>-6.9425759999999998E-3</v>
      </c>
      <c r="AA2318">
        <v>0.9820082</v>
      </c>
      <c r="AB2318">
        <v>50</v>
      </c>
      <c r="AC2318">
        <v>-15.7493999999999</v>
      </c>
      <c r="AD2318">
        <v>-1.108645172171</v>
      </c>
      <c r="AE2318">
        <v>-2.9920000000000102</v>
      </c>
      <c r="AF2318">
        <v>-3.1072758291137199</v>
      </c>
      <c r="AG2318">
        <v>-1.108645172171</v>
      </c>
      <c r="AH2318">
        <v>15.649275889594</v>
      </c>
      <c r="AI2318">
        <v>93.974905999494993</v>
      </c>
      <c r="AJ2318">
        <v>101.23042156846699</v>
      </c>
      <c r="AK2318">
        <v>15.993251485067001</v>
      </c>
      <c r="AL2318">
        <v>87.158432563514197</v>
      </c>
      <c r="AM2318">
        <v>90.874554739603198</v>
      </c>
      <c r="AN2318">
        <v>1.0000000126897199</v>
      </c>
    </row>
    <row r="2319" spans="1:40" x14ac:dyDescent="0.25">
      <c r="A2319" t="str">
        <f>"20190312160646969"</f>
        <v>20190312160646969</v>
      </c>
      <c r="B2319" t="str">
        <f>"1552378006956993"</f>
        <v>1552378006956993</v>
      </c>
      <c r="C2319" t="s">
        <v>40</v>
      </c>
      <c r="D2319">
        <v>5.9844140000000001</v>
      </c>
      <c r="E2319">
        <v>0.49303789999999997</v>
      </c>
      <c r="F2319" t="s">
        <v>66</v>
      </c>
      <c r="G2319">
        <v>-397.78559999999999</v>
      </c>
      <c r="H2319" s="1">
        <v>2.6063100000000002E-6</v>
      </c>
      <c r="I2319">
        <v>281.77480000000003</v>
      </c>
      <c r="J2319">
        <v>-381.07119999999998</v>
      </c>
      <c r="K2319">
        <v>1.1086510000000001</v>
      </c>
      <c r="L2319">
        <v>284.8254</v>
      </c>
      <c r="M2319">
        <v>-0.99992510000000001</v>
      </c>
      <c r="N2319">
        <v>0</v>
      </c>
      <c r="O2319">
        <v>8.2683730000000007E-3</v>
      </c>
      <c r="P2319">
        <v>-0.99916400000000005</v>
      </c>
      <c r="Q2319">
        <v>4.0329450000000003E-2</v>
      </c>
      <c r="R2319">
        <v>-6.7244749999999997E-3</v>
      </c>
      <c r="S2319">
        <v>-3.0067140000000001</v>
      </c>
      <c r="T2319">
        <v>-0.19366230000000001</v>
      </c>
      <c r="U2319">
        <v>-0.53216549999999996</v>
      </c>
      <c r="V2319">
        <v>-1.498419E-2</v>
      </c>
      <c r="W2319">
        <v>4.9344819999999998E-2</v>
      </c>
      <c r="X2319">
        <v>0.99866940000000004</v>
      </c>
      <c r="Y2319">
        <v>-0.18203730000000001</v>
      </c>
      <c r="Z2319">
        <v>-6.3394549999999999E-3</v>
      </c>
      <c r="AA2319">
        <v>0.98327120000000001</v>
      </c>
      <c r="AB2319">
        <v>50</v>
      </c>
      <c r="AC2319">
        <v>-16.714400000000001</v>
      </c>
      <c r="AD2319">
        <v>-1.10864839369</v>
      </c>
      <c r="AE2319">
        <v>-3.05059999999997</v>
      </c>
      <c r="AF2319">
        <v>-3.1751832562523399</v>
      </c>
      <c r="AG2319">
        <v>-1.10864839369</v>
      </c>
      <c r="AH2319">
        <v>16.6178502600564</v>
      </c>
      <c r="AI2319">
        <v>93.749167339799996</v>
      </c>
      <c r="AJ2319">
        <v>100.81716117432001</v>
      </c>
      <c r="AK2319">
        <v>16.9547585425825</v>
      </c>
      <c r="AL2319">
        <v>87.171601474639701</v>
      </c>
      <c r="AM2319">
        <v>90.859610227004694</v>
      </c>
      <c r="AN2319">
        <v>1.0000000038535699</v>
      </c>
    </row>
    <row r="2320" spans="1:40" x14ac:dyDescent="0.25">
      <c r="A2320" t="str">
        <f>"20190312160646993"</f>
        <v>20190312160646993</v>
      </c>
      <c r="B2320" t="str">
        <f>"1552378006987249"</f>
        <v>1552378006987249</v>
      </c>
      <c r="C2320" t="s">
        <v>40</v>
      </c>
      <c r="D2320">
        <v>6.0090680000000001</v>
      </c>
      <c r="E2320">
        <v>0.49533729999999998</v>
      </c>
      <c r="F2320" t="s">
        <v>41</v>
      </c>
      <c r="G2320">
        <v>0</v>
      </c>
      <c r="H2320">
        <v>0</v>
      </c>
      <c r="I2320">
        <v>0</v>
      </c>
      <c r="J2320">
        <v>-381.59469999999999</v>
      </c>
      <c r="K2320">
        <v>1.1086560000000001</v>
      </c>
      <c r="L2320">
        <v>284.8297</v>
      </c>
      <c r="M2320">
        <v>-0.99992440000000005</v>
      </c>
      <c r="N2320">
        <v>0</v>
      </c>
      <c r="O2320">
        <v>8.2674629999999992E-3</v>
      </c>
      <c r="P2320">
        <v>-0.99917480000000003</v>
      </c>
      <c r="Q2320">
        <v>4.0033829999999999E-2</v>
      </c>
      <c r="R2320">
        <v>-6.8789489999999997E-3</v>
      </c>
      <c r="S2320">
        <v>-3.001709</v>
      </c>
      <c r="T2320">
        <v>7.5268749999999997E-3</v>
      </c>
      <c r="U2320">
        <v>-7.388306E-2</v>
      </c>
      <c r="V2320">
        <v>-1.5137680000000001E-2</v>
      </c>
      <c r="W2320">
        <v>4.9144319999999998E-2</v>
      </c>
      <c r="X2320">
        <v>0.99867700000000004</v>
      </c>
      <c r="Y2320">
        <v>-3.2870549999999998E-2</v>
      </c>
      <c r="Z2320" s="1">
        <v>6.1934579999999993E-5</v>
      </c>
      <c r="AA2320">
        <v>0.9994596</v>
      </c>
      <c r="AB2320">
        <v>50</v>
      </c>
      <c r="AC2320">
        <v>-3.001709</v>
      </c>
      <c r="AD2320">
        <v>7.5268749999999997E-3</v>
      </c>
      <c r="AE2320">
        <v>-7.388306E-2</v>
      </c>
      <c r="AF2320">
        <v>-9.8697460654065705E-2</v>
      </c>
      <c r="AG2320">
        <v>7.5268749999999997E-3</v>
      </c>
      <c r="AH2320">
        <v>3.0009766963223599</v>
      </c>
      <c r="AI2320">
        <v>89.856372019827802</v>
      </c>
      <c r="AJ2320">
        <v>91.883690193922803</v>
      </c>
      <c r="AK2320">
        <v>3.0026086948613</v>
      </c>
      <c r="AL2320">
        <v>87.183103312083901</v>
      </c>
      <c r="AM2320">
        <v>90.868407663468602</v>
      </c>
      <c r="AN2320">
        <v>1.0000000319365201</v>
      </c>
    </row>
    <row r="2321" spans="1:40" x14ac:dyDescent="0.25">
      <c r="A2321" t="str">
        <f>"20190312160647013"</f>
        <v>20190312160647013</v>
      </c>
      <c r="B2321" t="str">
        <f>"1552378007007745"</f>
        <v>1552378007007745</v>
      </c>
      <c r="C2321" t="s">
        <v>40</v>
      </c>
      <c r="D2321">
        <v>5.9563959999999998</v>
      </c>
      <c r="E2321">
        <v>0.49569580000000002</v>
      </c>
      <c r="F2321" t="s">
        <v>41</v>
      </c>
      <c r="G2321">
        <v>0</v>
      </c>
      <c r="H2321">
        <v>0</v>
      </c>
      <c r="I2321">
        <v>0</v>
      </c>
      <c r="J2321">
        <v>-382.07490000000001</v>
      </c>
      <c r="K2321">
        <v>1.1086659999999999</v>
      </c>
      <c r="L2321">
        <v>284.83370000000002</v>
      </c>
      <c r="M2321">
        <v>-0.99992340000000002</v>
      </c>
      <c r="N2321">
        <v>0</v>
      </c>
      <c r="O2321">
        <v>8.2668629999999993E-3</v>
      </c>
      <c r="P2321">
        <v>-0.99917330000000004</v>
      </c>
      <c r="Q2321">
        <v>3.994934E-2</v>
      </c>
      <c r="R2321">
        <v>-7.5399630000000002E-3</v>
      </c>
      <c r="S2321">
        <v>-3.0017399999999999</v>
      </c>
      <c r="T2321">
        <v>9.6576209999999999E-3</v>
      </c>
      <c r="U2321">
        <v>-5.6121829999999998E-2</v>
      </c>
      <c r="V2321">
        <v>-1.579817E-2</v>
      </c>
      <c r="W2321">
        <v>4.9151470000000003E-2</v>
      </c>
      <c r="X2321">
        <v>0.99866639999999995</v>
      </c>
      <c r="Y2321">
        <v>-2.6958119999999999E-2</v>
      </c>
      <c r="Z2321" s="1">
        <v>6.9959179999999998E-5</v>
      </c>
      <c r="AA2321">
        <v>0.99963659999999999</v>
      </c>
      <c r="AB2321">
        <v>50</v>
      </c>
      <c r="AC2321">
        <v>-3.0017399999999999</v>
      </c>
      <c r="AD2321">
        <v>9.6576209999999999E-3</v>
      </c>
      <c r="AE2321">
        <v>-5.6121829999999998E-2</v>
      </c>
      <c r="AF2321">
        <v>-8.0935100825906603E-2</v>
      </c>
      <c r="AG2321">
        <v>9.6576209999999999E-3</v>
      </c>
      <c r="AH2321">
        <v>3.0011423925674401</v>
      </c>
      <c r="AI2321">
        <v>89.815690881530003</v>
      </c>
      <c r="AJ2321">
        <v>91.544783748236796</v>
      </c>
      <c r="AK2321">
        <v>3.00224906039697</v>
      </c>
      <c r="AL2321">
        <v>87.182693100557202</v>
      </c>
      <c r="AM2321">
        <v>90.906301614304894</v>
      </c>
      <c r="AN2321">
        <v>1.0000000138337299</v>
      </c>
    </row>
    <row r="2322" spans="1:40" x14ac:dyDescent="0.25">
      <c r="A2322" t="str">
        <f>"20190312160647036"</f>
        <v>20190312160647036</v>
      </c>
      <c r="B2322" t="str">
        <f>"1552378007027269"</f>
        <v>1552378007027269</v>
      </c>
      <c r="C2322" t="s">
        <v>40</v>
      </c>
      <c r="D2322">
        <v>6.0180939999999996</v>
      </c>
      <c r="E2322">
        <v>0.49589739999999999</v>
      </c>
      <c r="F2322" t="s">
        <v>41</v>
      </c>
      <c r="G2322">
        <v>0</v>
      </c>
      <c r="H2322">
        <v>0</v>
      </c>
      <c r="I2322">
        <v>0</v>
      </c>
      <c r="J2322">
        <v>-382.56639999999999</v>
      </c>
      <c r="K2322">
        <v>1.1086739999999999</v>
      </c>
      <c r="L2322">
        <v>284.83780000000002</v>
      </c>
      <c r="M2322">
        <v>-0.99992250000000005</v>
      </c>
      <c r="N2322">
        <v>0</v>
      </c>
      <c r="O2322">
        <v>8.2658609999999993E-3</v>
      </c>
      <c r="P2322">
        <v>-0.99920960000000003</v>
      </c>
      <c r="Q2322">
        <v>3.901346E-2</v>
      </c>
      <c r="R2322">
        <v>-7.6293100000000003E-3</v>
      </c>
      <c r="S2322">
        <v>-3.001709</v>
      </c>
      <c r="T2322">
        <v>1.003718E-2</v>
      </c>
      <c r="U2322">
        <v>-5.4931639999999997E-2</v>
      </c>
      <c r="V2322">
        <v>-1.5887390000000001E-2</v>
      </c>
      <c r="W2322">
        <v>4.8315610000000002E-2</v>
      </c>
      <c r="X2322">
        <v>0.99870570000000003</v>
      </c>
      <c r="Y2322">
        <v>-2.6561080000000001E-2</v>
      </c>
      <c r="Z2322" s="1">
        <v>7.2042610000000001E-5</v>
      </c>
      <c r="AA2322">
        <v>0.99964719999999996</v>
      </c>
      <c r="AB2322">
        <v>50</v>
      </c>
      <c r="AC2322">
        <v>-3.001709</v>
      </c>
      <c r="AD2322">
        <v>1.003718E-2</v>
      </c>
      <c r="AE2322">
        <v>-5.4931639999999997E-2</v>
      </c>
      <c r="AF2322">
        <v>-7.9741656549553105E-2</v>
      </c>
      <c r="AG2322">
        <v>1.003718E-2</v>
      </c>
      <c r="AH2322">
        <v>3.0011188226023702</v>
      </c>
      <c r="AI2322">
        <v>89.808443768518003</v>
      </c>
      <c r="AJ2322">
        <v>91.522027581440597</v>
      </c>
      <c r="AK2322">
        <v>3.0021948078280798</v>
      </c>
      <c r="AL2322">
        <v>87.230641121808603</v>
      </c>
      <c r="AM2322">
        <v>90.911383223096905</v>
      </c>
      <c r="AN2322">
        <v>0.99999994127158498</v>
      </c>
    </row>
    <row r="2323" spans="1:40" x14ac:dyDescent="0.25">
      <c r="A2323" t="str">
        <f>"20190312160647059"</f>
        <v>20190312160647059</v>
      </c>
      <c r="B2323" t="str">
        <f>"1552378007047760"</f>
        <v>1552378007047760</v>
      </c>
      <c r="C2323" t="s">
        <v>40</v>
      </c>
      <c r="D2323">
        <v>5.9573539999999996</v>
      </c>
      <c r="E2323">
        <v>0.49579839999999997</v>
      </c>
      <c r="F2323" t="s">
        <v>41</v>
      </c>
      <c r="G2323">
        <v>0</v>
      </c>
      <c r="H2323">
        <v>0</v>
      </c>
      <c r="I2323">
        <v>0</v>
      </c>
      <c r="J2323">
        <v>-383.08359999999999</v>
      </c>
      <c r="K2323">
        <v>1.108692</v>
      </c>
      <c r="L2323">
        <v>284.84199999999998</v>
      </c>
      <c r="M2323">
        <v>-0.99992150000000002</v>
      </c>
      <c r="N2323">
        <v>0</v>
      </c>
      <c r="O2323">
        <v>8.2650540000000008E-3</v>
      </c>
      <c r="P2323">
        <v>-0.99921970000000004</v>
      </c>
      <c r="Q2323">
        <v>3.885185E-2</v>
      </c>
      <c r="R2323">
        <v>-7.1168769999999998E-3</v>
      </c>
      <c r="S2323">
        <v>-3.00177</v>
      </c>
      <c r="T2323">
        <v>5.2598710000000002E-3</v>
      </c>
      <c r="U2323">
        <v>-5.3833010000000001E-2</v>
      </c>
      <c r="V2323">
        <v>-1.5373589999999999E-2</v>
      </c>
      <c r="W2323">
        <v>4.8262260000000001E-2</v>
      </c>
      <c r="X2323">
        <v>0.99871639999999995</v>
      </c>
      <c r="Y2323">
        <v>-2.61943E-2</v>
      </c>
      <c r="Z2323" s="1">
        <v>3.742982E-5</v>
      </c>
      <c r="AA2323">
        <v>0.99965689999999996</v>
      </c>
      <c r="AB2323">
        <v>50</v>
      </c>
      <c r="AC2323">
        <v>-3.00177</v>
      </c>
      <c r="AD2323">
        <v>5.2598710000000002E-3</v>
      </c>
      <c r="AE2323">
        <v>-5.3833010000000001E-2</v>
      </c>
      <c r="AF2323">
        <v>-7.8641821043178503E-2</v>
      </c>
      <c r="AG2323">
        <v>5.2598710000000002E-3</v>
      </c>
      <c r="AH2323">
        <v>3.0012132975877499</v>
      </c>
      <c r="AI2323">
        <v>89.899619033317293</v>
      </c>
      <c r="AJ2323">
        <v>91.500997482206401</v>
      </c>
      <c r="AK2323">
        <v>3.00224806767819</v>
      </c>
      <c r="AL2323">
        <v>87.233701640784602</v>
      </c>
      <c r="AM2323">
        <v>90.881904271830294</v>
      </c>
      <c r="AN2323">
        <v>1.00000002031937</v>
      </c>
    </row>
    <row r="2324" spans="1:40" x14ac:dyDescent="0.25">
      <c r="A2324" t="str">
        <f>"20190312160647081"</f>
        <v>20190312160647081</v>
      </c>
      <c r="B2324" t="str">
        <f>"1552378007077041"</f>
        <v>1552378007077041</v>
      </c>
      <c r="C2324" t="s">
        <v>40</v>
      </c>
      <c r="D2324">
        <v>5.9547800000000004</v>
      </c>
      <c r="E2324">
        <v>0.49586520000000001</v>
      </c>
      <c r="F2324" t="s">
        <v>41</v>
      </c>
      <c r="G2324">
        <v>0</v>
      </c>
      <c r="H2324">
        <v>0</v>
      </c>
      <c r="I2324">
        <v>0</v>
      </c>
      <c r="J2324">
        <v>-383.5899</v>
      </c>
      <c r="K2324">
        <v>1.1087009999999999</v>
      </c>
      <c r="L2324">
        <v>284.84620000000001</v>
      </c>
      <c r="M2324">
        <v>-0.99992049999999999</v>
      </c>
      <c r="N2324">
        <v>0</v>
      </c>
      <c r="O2324">
        <v>8.2641999999999993E-3</v>
      </c>
      <c r="P2324">
        <v>-0.99921970000000004</v>
      </c>
      <c r="Q2324">
        <v>3.8952500000000001E-2</v>
      </c>
      <c r="R2324">
        <v>-6.5451529999999997E-3</v>
      </c>
      <c r="S2324">
        <v>-3.0018919999999998</v>
      </c>
      <c r="T2324">
        <v>1.60741799999999E-3</v>
      </c>
      <c r="U2324">
        <v>-5.3131100000000001E-2</v>
      </c>
      <c r="V2324">
        <v>-1.480149E-2</v>
      </c>
      <c r="W2324">
        <v>4.8467059999999999E-2</v>
      </c>
      <c r="X2324">
        <v>0.99871509999999997</v>
      </c>
      <c r="Y2324">
        <v>-2.5959110000000001E-2</v>
      </c>
      <c r="Z2324" s="1">
        <v>1.137471E-5</v>
      </c>
      <c r="AA2324">
        <v>0.99966299999999997</v>
      </c>
      <c r="AB2324">
        <v>50</v>
      </c>
      <c r="AC2324">
        <v>-3.0018919999999998</v>
      </c>
      <c r="AD2324">
        <v>1.60741799999999E-3</v>
      </c>
      <c r="AE2324">
        <v>-5.3131100000000001E-2</v>
      </c>
      <c r="AF2324">
        <v>-7.7938624072200993E-2</v>
      </c>
      <c r="AG2324">
        <v>1.60741799999999E-3</v>
      </c>
      <c r="AH2324">
        <v>3.00134951259361</v>
      </c>
      <c r="AI2324">
        <v>89.969324724919403</v>
      </c>
      <c r="AJ2324">
        <v>91.487514484918606</v>
      </c>
      <c r="AK2324">
        <v>3.0023617219883398</v>
      </c>
      <c r="AL2324">
        <v>87.221953648261106</v>
      </c>
      <c r="AM2324">
        <v>90.849091821939695</v>
      </c>
      <c r="AN2324">
        <v>0.99999999548963603</v>
      </c>
    </row>
    <row r="2325" spans="1:40" x14ac:dyDescent="0.25">
      <c r="A2325" t="str">
        <f>"20190312160647104"</f>
        <v>20190312160647104</v>
      </c>
      <c r="B2325" t="str">
        <f>"1552378007097537"</f>
        <v>1552378007097537</v>
      </c>
      <c r="C2325" t="s">
        <v>40</v>
      </c>
      <c r="D2325">
        <v>5.951244</v>
      </c>
      <c r="E2325">
        <v>0.4960019</v>
      </c>
      <c r="F2325" t="s">
        <v>41</v>
      </c>
      <c r="G2325">
        <v>0</v>
      </c>
      <c r="H2325">
        <v>0</v>
      </c>
      <c r="I2325">
        <v>0</v>
      </c>
      <c r="J2325">
        <v>-384.0865</v>
      </c>
      <c r="K2325">
        <v>1.1087070000000001</v>
      </c>
      <c r="L2325">
        <v>284.8503</v>
      </c>
      <c r="M2325">
        <v>-0.99991949999999996</v>
      </c>
      <c r="N2325">
        <v>0</v>
      </c>
      <c r="O2325">
        <v>8.2637019999999995E-3</v>
      </c>
      <c r="P2325">
        <v>-0.99922489999999997</v>
      </c>
      <c r="Q2325">
        <v>3.8814910000000001E-2</v>
      </c>
      <c r="R2325">
        <v>-6.5879399999999996E-3</v>
      </c>
      <c r="S2325">
        <v>-3.0019840000000002</v>
      </c>
      <c r="T2325">
        <v>8.4400179999999901E-4</v>
      </c>
      <c r="U2325">
        <v>-5.096436E-2</v>
      </c>
      <c r="V2325">
        <v>-1.484342E-2</v>
      </c>
      <c r="W2325">
        <v>4.8433249999999997E-2</v>
      </c>
      <c r="X2325">
        <v>0.9987161</v>
      </c>
      <c r="Y2325">
        <v>-2.523676E-2</v>
      </c>
      <c r="Z2325" s="1">
        <v>5.8706610000000004E-6</v>
      </c>
      <c r="AA2325">
        <v>0.9996815</v>
      </c>
      <c r="AB2325">
        <v>50</v>
      </c>
      <c r="AC2325">
        <v>-3.0019840000000002</v>
      </c>
      <c r="AD2325">
        <v>8.4400179999999901E-4</v>
      </c>
      <c r="AE2325">
        <v>-5.096436E-2</v>
      </c>
      <c r="AF2325">
        <v>-7.5771264825958695E-2</v>
      </c>
      <c r="AG2325">
        <v>8.4400179999999901E-4</v>
      </c>
      <c r="AH2325">
        <v>3.0014600768617501</v>
      </c>
      <c r="AI2325">
        <v>89.983893726154307</v>
      </c>
      <c r="AJ2325">
        <v>91.446113448696494</v>
      </c>
      <c r="AK2325">
        <v>3.00241645843932</v>
      </c>
      <c r="AL2325">
        <v>87.223893046588103</v>
      </c>
      <c r="AM2325">
        <v>90.851495942593502</v>
      </c>
      <c r="AN2325">
        <v>0.99999997761103399</v>
      </c>
    </row>
    <row r="2326" spans="1:40" x14ac:dyDescent="0.25">
      <c r="A2326" t="str">
        <f>"20190312160647125"</f>
        <v>20190312160647125</v>
      </c>
      <c r="B2326" t="str">
        <f>"1552378007117057"</f>
        <v>1552378007117057</v>
      </c>
      <c r="C2326" t="s">
        <v>40</v>
      </c>
      <c r="D2326">
        <v>5.9501720000000002</v>
      </c>
      <c r="E2326">
        <v>0.49599110000000002</v>
      </c>
      <c r="F2326" t="s">
        <v>41</v>
      </c>
      <c r="G2326">
        <v>0</v>
      </c>
      <c r="H2326">
        <v>0</v>
      </c>
      <c r="I2326">
        <v>0</v>
      </c>
      <c r="J2326">
        <v>-384.5829</v>
      </c>
      <c r="K2326">
        <v>1.108719</v>
      </c>
      <c r="L2326">
        <v>284.85449999999997</v>
      </c>
      <c r="M2326">
        <v>-0.99991859999999999</v>
      </c>
      <c r="N2326">
        <v>0</v>
      </c>
      <c r="O2326">
        <v>8.2631819999999905E-3</v>
      </c>
      <c r="P2326">
        <v>-0.99925070000000005</v>
      </c>
      <c r="Q2326">
        <v>3.8120300000000003E-2</v>
      </c>
      <c r="R2326">
        <v>-6.7126360000000001E-3</v>
      </c>
      <c r="S2326">
        <v>-3.002014</v>
      </c>
      <c r="T2326" s="1">
        <v>2.3961070000000001E-5</v>
      </c>
      <c r="U2326">
        <v>-4.9804689999999999E-2</v>
      </c>
      <c r="V2326">
        <v>-1.496862E-2</v>
      </c>
      <c r="W2326">
        <v>4.7845039999999998E-2</v>
      </c>
      <c r="X2326">
        <v>0.99874260000000004</v>
      </c>
      <c r="Y2326">
        <v>-2.4850009999999999E-2</v>
      </c>
      <c r="Z2326" s="1">
        <v>1.651185E-7</v>
      </c>
      <c r="AA2326">
        <v>0.9996912</v>
      </c>
      <c r="AB2326">
        <v>50</v>
      </c>
      <c r="AC2326">
        <v>-3.002014</v>
      </c>
      <c r="AD2326" s="1">
        <v>2.3961070000000001E-5</v>
      </c>
      <c r="AE2326">
        <v>-4.9804689999999999E-2</v>
      </c>
      <c r="AF2326">
        <v>-7.4610349856700994E-2</v>
      </c>
      <c r="AG2326" s="1">
        <v>2.3961070000000001E-5</v>
      </c>
      <c r="AH2326">
        <v>3.0014999346806501</v>
      </c>
      <c r="AI2326">
        <v>89.999542747206704</v>
      </c>
      <c r="AJ2326">
        <v>91.423947389354396</v>
      </c>
      <c r="AK2326">
        <v>3.0024271119825401</v>
      </c>
      <c r="AL2326">
        <v>87.257634162026505</v>
      </c>
      <c r="AM2326">
        <v>90.858654216151393</v>
      </c>
      <c r="AN2326">
        <v>0.99999999424603203</v>
      </c>
    </row>
    <row r="2327" spans="1:40" x14ac:dyDescent="0.25">
      <c r="A2327" t="str">
        <f>"20190312160647148"</f>
        <v>20190312160647148</v>
      </c>
      <c r="B2327" t="str">
        <f>"1552378007137553"</f>
        <v>1552378007137553</v>
      </c>
      <c r="C2327" t="s">
        <v>40</v>
      </c>
      <c r="D2327">
        <v>5.9776129999999998</v>
      </c>
      <c r="E2327">
        <v>0.49618050000000002</v>
      </c>
      <c r="F2327" t="s">
        <v>41</v>
      </c>
      <c r="G2327">
        <v>0</v>
      </c>
      <c r="H2327">
        <v>0</v>
      </c>
      <c r="I2327">
        <v>0</v>
      </c>
      <c r="J2327">
        <v>-385.07740000000001</v>
      </c>
      <c r="K2327">
        <v>1.1087279999999999</v>
      </c>
      <c r="L2327">
        <v>284.85849999999999</v>
      </c>
      <c r="M2327">
        <v>-0.99991750000000001</v>
      </c>
      <c r="N2327">
        <v>0</v>
      </c>
      <c r="O2327">
        <v>8.2626409999999994E-3</v>
      </c>
      <c r="P2327">
        <v>-0.99927840000000001</v>
      </c>
      <c r="Q2327">
        <v>3.7387030000000002E-2</v>
      </c>
      <c r="R2327">
        <v>-6.7190349999999999E-3</v>
      </c>
      <c r="S2327">
        <v>-3.0019529999999999</v>
      </c>
      <c r="T2327">
        <v>-2.0817520000000001E-3</v>
      </c>
      <c r="U2327">
        <v>-5.0140379999999998E-2</v>
      </c>
      <c r="V2327">
        <v>-1.4974299999999999E-2</v>
      </c>
      <c r="W2327">
        <v>4.722204E-2</v>
      </c>
      <c r="X2327">
        <v>0.99877210000000005</v>
      </c>
      <c r="Y2327">
        <v>-2.4961569999999999E-2</v>
      </c>
      <c r="Z2327" s="1">
        <v>-1.4384180000000001E-5</v>
      </c>
      <c r="AA2327">
        <v>0.99968840000000003</v>
      </c>
      <c r="AB2327">
        <v>50</v>
      </c>
      <c r="AC2327">
        <v>-3.0019529999999999</v>
      </c>
      <c r="AD2327">
        <v>-2.0817520000000001E-3</v>
      </c>
      <c r="AE2327">
        <v>-5.0140379999999998E-2</v>
      </c>
      <c r="AF2327">
        <v>-7.4943891775777899E-2</v>
      </c>
      <c r="AG2327">
        <v>-2.0817520000000001E-3</v>
      </c>
      <c r="AH2327">
        <v>3.0014347598481099</v>
      </c>
      <c r="AI2327">
        <v>90.039727140217494</v>
      </c>
      <c r="AJ2327">
        <v>91.430341483709896</v>
      </c>
      <c r="AK2327">
        <v>3.0023709861092098</v>
      </c>
      <c r="AL2327">
        <v>87.293369651427</v>
      </c>
      <c r="AM2327">
        <v>90.8589546254358</v>
      </c>
      <c r="AN2327">
        <v>0.99999992923032799</v>
      </c>
    </row>
    <row r="2328" spans="1:40" x14ac:dyDescent="0.25">
      <c r="A2328" t="str">
        <f>"20190312160647171"</f>
        <v>20190312160647171</v>
      </c>
      <c r="B2328" t="str">
        <f>"1552378007167808"</f>
        <v>1552378007167808</v>
      </c>
      <c r="C2328" t="s">
        <v>40</v>
      </c>
      <c r="D2328">
        <v>5.9537750000000003</v>
      </c>
      <c r="E2328">
        <v>0.52654000000000001</v>
      </c>
      <c r="F2328" t="s">
        <v>80</v>
      </c>
      <c r="G2328">
        <v>-1096.1189999999999</v>
      </c>
      <c r="H2328">
        <v>-0.1</v>
      </c>
      <c r="I2328">
        <v>273.3152</v>
      </c>
      <c r="J2328">
        <v>-385.57549999999998</v>
      </c>
      <c r="K2328">
        <v>1.108738</v>
      </c>
      <c r="L2328">
        <v>284.86270000000002</v>
      </c>
      <c r="M2328">
        <v>-0.99991640000000004</v>
      </c>
      <c r="N2328">
        <v>0</v>
      </c>
      <c r="O2328">
        <v>8.2619029999999993E-3</v>
      </c>
      <c r="P2328">
        <v>-0.99925540000000002</v>
      </c>
      <c r="Q2328">
        <v>3.7882930000000002E-2</v>
      </c>
      <c r="R2328">
        <v>-7.3299860000000001E-3</v>
      </c>
      <c r="S2328">
        <v>-3.002075</v>
      </c>
      <c r="T2328">
        <v>-5.1033500000000004E-3</v>
      </c>
      <c r="U2328">
        <v>-4.873657E-2</v>
      </c>
      <c r="V2328">
        <v>-1.5583929999999999E-2</v>
      </c>
      <c r="W2328">
        <v>4.7830280000000003E-2</v>
      </c>
      <c r="X2328">
        <v>0.99873389999999995</v>
      </c>
      <c r="Y2328">
        <v>-2.4492779999999999E-2</v>
      </c>
      <c r="Z2328" s="1">
        <v>-3.4861370000000003E-5</v>
      </c>
      <c r="AA2328">
        <v>0.99970000000000003</v>
      </c>
      <c r="AB2328">
        <v>50</v>
      </c>
      <c r="AC2328">
        <v>-710.54349999999999</v>
      </c>
      <c r="AD2328">
        <v>-1.2087379999999901</v>
      </c>
      <c r="AE2328">
        <v>-11.547499999999999</v>
      </c>
      <c r="AF2328">
        <v>-17.4177873405425</v>
      </c>
      <c r="AG2328">
        <v>-1.2087379999999901</v>
      </c>
      <c r="AH2328">
        <v>710.42178228868704</v>
      </c>
      <c r="AI2328">
        <v>90.097455786388096</v>
      </c>
      <c r="AJ2328">
        <v>91.404469623378503</v>
      </c>
      <c r="AK2328">
        <v>710.63629875881497</v>
      </c>
      <c r="AL2328">
        <v>87.258480829503199</v>
      </c>
      <c r="AM2328">
        <v>90.893952795701296</v>
      </c>
      <c r="AN2328">
        <v>0.99999999878416601</v>
      </c>
    </row>
    <row r="2329" spans="1:40" x14ac:dyDescent="0.25">
      <c r="A2329" t="str">
        <f>"20190312160647193"</f>
        <v>20190312160647193</v>
      </c>
      <c r="B2329" t="str">
        <f>"1552378007187329"</f>
        <v>1552378007187329</v>
      </c>
      <c r="C2329" t="s">
        <v>40</v>
      </c>
      <c r="D2329">
        <v>5.8544400000000003</v>
      </c>
      <c r="E2329">
        <v>0.53367759999999997</v>
      </c>
      <c r="F2329" t="s">
        <v>44</v>
      </c>
      <c r="G2329">
        <v>-386.39530000000002</v>
      </c>
      <c r="H2329">
        <v>1.0411809999999999</v>
      </c>
      <c r="I2329">
        <v>284.91629999999998</v>
      </c>
      <c r="J2329">
        <v>-386.09300000000002</v>
      </c>
      <c r="K2329">
        <v>1.108752</v>
      </c>
      <c r="L2329">
        <v>284.86689999999999</v>
      </c>
      <c r="M2329">
        <v>-0.99991509999999995</v>
      </c>
      <c r="N2329">
        <v>0</v>
      </c>
      <c r="O2329">
        <v>8.2612750000000002E-3</v>
      </c>
      <c r="P2329">
        <v>-0.99924239999999998</v>
      </c>
      <c r="Q2329">
        <v>3.8032870000000003E-2</v>
      </c>
      <c r="R2329">
        <v>-8.2616240000000004E-3</v>
      </c>
      <c r="S2329">
        <v>-3.0131230000000002</v>
      </c>
      <c r="T2329">
        <v>-0.24855269999999999</v>
      </c>
      <c r="U2329">
        <v>0.1954651</v>
      </c>
      <c r="V2329">
        <v>-1.6515209999999999E-2</v>
      </c>
      <c r="W2329">
        <v>4.8104620000000001E-2</v>
      </c>
      <c r="X2329">
        <v>0.99870570000000003</v>
      </c>
      <c r="Y2329">
        <v>5.6326080000000001E-2</v>
      </c>
      <c r="Z2329">
        <v>1.63722E-3</v>
      </c>
      <c r="AA2329">
        <v>0.9984111</v>
      </c>
      <c r="AB2329">
        <v>50</v>
      </c>
      <c r="AC2329">
        <v>-0.30230000000000201</v>
      </c>
      <c r="AD2329">
        <v>-6.7571000000000006E-2</v>
      </c>
      <c r="AE2329">
        <v>4.9399999999991402E-2</v>
      </c>
      <c r="AF2329">
        <v>4.4724380146734202E-2</v>
      </c>
      <c r="AG2329">
        <v>-6.7571000000000006E-2</v>
      </c>
      <c r="AH2329">
        <v>0.28865117125935402</v>
      </c>
      <c r="AI2329">
        <v>103.025221150105</v>
      </c>
      <c r="AJ2329">
        <v>81.192475330568499</v>
      </c>
      <c r="AK2329">
        <v>0.29980928753110198</v>
      </c>
      <c r="AL2329">
        <v>87.242744031156903</v>
      </c>
      <c r="AM2329">
        <v>90.947391800252404</v>
      </c>
      <c r="AN2329">
        <v>0.99999994091958699</v>
      </c>
    </row>
    <row r="2330" spans="1:40" x14ac:dyDescent="0.25">
      <c r="A2330" t="str">
        <f>"20190312160647215"</f>
        <v>20190312160647215</v>
      </c>
      <c r="B2330" t="str">
        <f>"1552378007207825"</f>
        <v>1552378007207825</v>
      </c>
      <c r="C2330" t="s">
        <v>40</v>
      </c>
      <c r="D2330">
        <v>5.9193369999999996</v>
      </c>
      <c r="E2330">
        <v>0.53551800000000005</v>
      </c>
      <c r="F2330" t="s">
        <v>44</v>
      </c>
      <c r="G2330">
        <v>-386.83280000000002</v>
      </c>
      <c r="H2330">
        <v>1.015353</v>
      </c>
      <c r="I2330">
        <v>284.9289</v>
      </c>
      <c r="J2330">
        <v>-386.59699999999998</v>
      </c>
      <c r="K2330">
        <v>1.108773</v>
      </c>
      <c r="L2330">
        <v>284.87110000000001</v>
      </c>
      <c r="M2330">
        <v>-0.99991359999999996</v>
      </c>
      <c r="N2330">
        <v>0</v>
      </c>
      <c r="O2330">
        <v>8.2607199999999992E-3</v>
      </c>
      <c r="P2330">
        <v>-0.99924449999999998</v>
      </c>
      <c r="Q2330">
        <v>3.7949579999999997E-2</v>
      </c>
      <c r="R2330">
        <v>-8.3870579999999993E-3</v>
      </c>
      <c r="S2330">
        <v>-3.0188899999999999</v>
      </c>
      <c r="T2330">
        <v>-0.3811967</v>
      </c>
      <c r="U2330">
        <v>0.2522278</v>
      </c>
      <c r="V2330">
        <v>-1.6639930000000001E-2</v>
      </c>
      <c r="W2330">
        <v>4.8165109999999997E-2</v>
      </c>
      <c r="X2330">
        <v>0.99870080000000006</v>
      </c>
      <c r="Y2330">
        <v>7.4502159999999998E-2</v>
      </c>
      <c r="Z2330">
        <v>3.6399269999999998E-3</v>
      </c>
      <c r="AA2330">
        <v>0.99721420000000005</v>
      </c>
      <c r="AB2330">
        <v>50</v>
      </c>
      <c r="AC2330">
        <v>-0.23580000000004001</v>
      </c>
      <c r="AD2330">
        <v>-9.3419999999999795E-2</v>
      </c>
      <c r="AE2330">
        <v>5.7799999999986001E-2</v>
      </c>
      <c r="AF2330">
        <v>4.8647128953699298E-2</v>
      </c>
      <c r="AG2330">
        <v>-9.3419999999999795E-2</v>
      </c>
      <c r="AH2330">
        <v>0.20579803811773001</v>
      </c>
      <c r="AI2330">
        <v>113.834197514332</v>
      </c>
      <c r="AJ2330">
        <v>76.700386487563904</v>
      </c>
      <c r="AK2330">
        <v>0.23118536296345499</v>
      </c>
      <c r="AL2330">
        <v>87.239274423627506</v>
      </c>
      <c r="AM2330">
        <v>90.954549702399206</v>
      </c>
      <c r="AN2330">
        <v>1.0000000265061699</v>
      </c>
    </row>
    <row r="2331" spans="1:40" x14ac:dyDescent="0.25">
      <c r="A2331" t="str">
        <f>"20190312160647237"</f>
        <v>20190312160647237</v>
      </c>
      <c r="B2331" t="str">
        <f>"1552378007227345"</f>
        <v>1552378007227345</v>
      </c>
      <c r="C2331" t="s">
        <v>40</v>
      </c>
      <c r="D2331">
        <v>6.035927</v>
      </c>
      <c r="E2331">
        <v>0.53630049999999996</v>
      </c>
      <c r="F2331" t="s">
        <v>44</v>
      </c>
      <c r="G2331">
        <v>-387.70679999999999</v>
      </c>
      <c r="H2331">
        <v>0.96060160000000006</v>
      </c>
      <c r="I2331">
        <v>284.96899999999999</v>
      </c>
      <c r="J2331">
        <v>-387.08190000000002</v>
      </c>
      <c r="K2331">
        <v>1.1088</v>
      </c>
      <c r="L2331">
        <v>284.87509999999997</v>
      </c>
      <c r="M2331">
        <v>-0.99991189999999996</v>
      </c>
      <c r="N2331">
        <v>0</v>
      </c>
      <c r="O2331">
        <v>8.2602309999999998E-3</v>
      </c>
      <c r="P2331">
        <v>-0.99923309999999999</v>
      </c>
      <c r="Q2331">
        <v>3.8285039999999999E-2</v>
      </c>
      <c r="R2331">
        <v>-8.2366490000000004E-3</v>
      </c>
      <c r="S2331">
        <v>-3.0198360000000002</v>
      </c>
      <c r="T2331">
        <v>-0.40314610000000001</v>
      </c>
      <c r="U2331">
        <v>0.26666260000000003</v>
      </c>
      <c r="V2331">
        <v>-1.6488570000000001E-2</v>
      </c>
      <c r="W2331">
        <v>4.8663770000000002E-2</v>
      </c>
      <c r="X2331">
        <v>0.99867910000000004</v>
      </c>
      <c r="Y2331">
        <v>7.9106170000000003E-2</v>
      </c>
      <c r="Z2331">
        <v>4.1512040000000004E-3</v>
      </c>
      <c r="AA2331">
        <v>0.99685760000000001</v>
      </c>
      <c r="AB2331">
        <v>50</v>
      </c>
      <c r="AC2331">
        <v>-0.62489999999996804</v>
      </c>
      <c r="AD2331">
        <v>-0.14819840000000001</v>
      </c>
      <c r="AE2331">
        <v>9.3900000000019204E-2</v>
      </c>
      <c r="AF2331">
        <v>8.4108655926706702E-2</v>
      </c>
      <c r="AG2331">
        <v>-0.14819840000000001</v>
      </c>
      <c r="AH2331">
        <v>0.59303685567523801</v>
      </c>
      <c r="AI2331">
        <v>103.897107910134</v>
      </c>
      <c r="AJ2331">
        <v>81.927746665141498</v>
      </c>
      <c r="AK2331">
        <v>0.61703301690714296</v>
      </c>
      <c r="AL2331">
        <v>87.210669665361095</v>
      </c>
      <c r="AM2331">
        <v>90.945889068389405</v>
      </c>
      <c r="AN2331">
        <v>0.99999999011403296</v>
      </c>
    </row>
    <row r="2332" spans="1:40" x14ac:dyDescent="0.25">
      <c r="A2332" t="str">
        <f>"20190312160647259"</f>
        <v>20190312160647259</v>
      </c>
      <c r="B2332" t="str">
        <f>"1552378007247840"</f>
        <v>1552378007247840</v>
      </c>
      <c r="C2332" t="s">
        <v>40</v>
      </c>
      <c r="D2332">
        <v>5.8134069999999998</v>
      </c>
      <c r="E2332">
        <v>0.53662080000000001</v>
      </c>
      <c r="F2332" t="s">
        <v>44</v>
      </c>
      <c r="G2332">
        <v>-388.15929999999997</v>
      </c>
      <c r="H2332">
        <v>0.96422969999999997</v>
      </c>
      <c r="I2332">
        <v>284.97309999999999</v>
      </c>
      <c r="J2332">
        <v>-387.58390000000003</v>
      </c>
      <c r="K2332">
        <v>1.1088279999999999</v>
      </c>
      <c r="L2332">
        <v>284.8793</v>
      </c>
      <c r="M2332">
        <v>-0.99991010000000002</v>
      </c>
      <c r="N2332">
        <v>0</v>
      </c>
      <c r="O2332">
        <v>8.2595689999999996E-3</v>
      </c>
      <c r="P2332">
        <v>-0.99921899999999997</v>
      </c>
      <c r="Q2332">
        <v>3.866435E-2</v>
      </c>
      <c r="R2332">
        <v>-8.1646930000000006E-3</v>
      </c>
      <c r="S2332">
        <v>-3.0200499999999999</v>
      </c>
      <c r="T2332">
        <v>-0.40538299999999999</v>
      </c>
      <c r="U2332">
        <v>0.27334589999999998</v>
      </c>
      <c r="V2332">
        <v>-1.6416210000000001E-2</v>
      </c>
      <c r="W2332">
        <v>4.9225289999999998E-2</v>
      </c>
      <c r="X2332">
        <v>0.99865280000000001</v>
      </c>
      <c r="Y2332">
        <v>8.1263130000000003E-2</v>
      </c>
      <c r="Z2332">
        <v>4.3172569999999997E-3</v>
      </c>
      <c r="AA2332">
        <v>0.9966834</v>
      </c>
      <c r="AB2332">
        <v>50</v>
      </c>
      <c r="AC2332">
        <v>-0.57539999999994496</v>
      </c>
      <c r="AD2332">
        <v>-0.14459830000000001</v>
      </c>
      <c r="AE2332">
        <v>9.3799999999987393E-2</v>
      </c>
      <c r="AF2332">
        <v>8.3883693637936504E-2</v>
      </c>
      <c r="AG2332">
        <v>-0.14459830000000001</v>
      </c>
      <c r="AH2332">
        <v>0.54276576171912905</v>
      </c>
      <c r="AI2332">
        <v>104.75034034885201</v>
      </c>
      <c r="AJ2332">
        <v>81.214524745732504</v>
      </c>
      <c r="AK2332">
        <v>0.56792588822467005</v>
      </c>
      <c r="AL2332">
        <v>87.178458412016397</v>
      </c>
      <c r="AM2332">
        <v>90.9417635852448</v>
      </c>
      <c r="AN2332">
        <v>1.00000001803709</v>
      </c>
    </row>
    <row r="2333" spans="1:40" x14ac:dyDescent="0.25">
      <c r="A2333" t="str">
        <f>"20190312160647273"</f>
        <v>20190312160647273</v>
      </c>
      <c r="B2333" t="str">
        <f>"1552378007267361"</f>
        <v>1552378007267361</v>
      </c>
      <c r="C2333" t="s">
        <v>40</v>
      </c>
      <c r="D2333">
        <v>5.6662299999999997</v>
      </c>
      <c r="E2333">
        <v>0.56025029999999998</v>
      </c>
      <c r="F2333" t="s">
        <v>44</v>
      </c>
      <c r="G2333">
        <v>-388.61290000000002</v>
      </c>
      <c r="H2333">
        <v>0.97037859999999998</v>
      </c>
      <c r="I2333">
        <v>284.97370000000001</v>
      </c>
      <c r="J2333">
        <v>-387.9128</v>
      </c>
      <c r="K2333">
        <v>1.108849</v>
      </c>
      <c r="L2333">
        <v>284.88200000000001</v>
      </c>
      <c r="M2333">
        <v>-0.99990880000000004</v>
      </c>
      <c r="N2333">
        <v>0</v>
      </c>
      <c r="O2333">
        <v>8.2592369999999991E-3</v>
      </c>
      <c r="P2333">
        <v>-0.99920540000000002</v>
      </c>
      <c r="Q2333">
        <v>3.9038129999999997E-2</v>
      </c>
      <c r="R2333">
        <v>-8.0683630000000003E-3</v>
      </c>
      <c r="S2333">
        <v>-3.0203549999999999</v>
      </c>
      <c r="T2333">
        <v>-0.40641670000000002</v>
      </c>
      <c r="U2333">
        <v>0.27667239999999999</v>
      </c>
      <c r="V2333">
        <v>-1.631962E-2</v>
      </c>
      <c r="W2333">
        <v>4.9727739999999999E-2</v>
      </c>
      <c r="X2333">
        <v>0.99862949999999995</v>
      </c>
      <c r="Y2333">
        <v>8.2330379999999995E-2</v>
      </c>
      <c r="Z2333">
        <v>4.3989019999999997E-3</v>
      </c>
      <c r="AA2333">
        <v>0.99659540000000002</v>
      </c>
      <c r="AB2333">
        <v>50</v>
      </c>
      <c r="AC2333">
        <v>-0.70010000000002004</v>
      </c>
      <c r="AD2333">
        <v>-0.13847039999999999</v>
      </c>
      <c r="AE2333">
        <v>9.1700000000003001E-2</v>
      </c>
      <c r="AF2333">
        <v>8.2732385501629396E-2</v>
      </c>
      <c r="AG2333">
        <v>-0.13847039999999999</v>
      </c>
      <c r="AH2333">
        <v>0.67487791697968302</v>
      </c>
      <c r="AI2333">
        <v>101.51109105993299</v>
      </c>
      <c r="AJ2333">
        <v>83.011057350598406</v>
      </c>
      <c r="AK2333">
        <v>0.69388680785397905</v>
      </c>
      <c r="AL2333">
        <v>87.149634876209603</v>
      </c>
      <c r="AM2333">
        <v>90.936245248497698</v>
      </c>
      <c r="AN2333">
        <v>1.0000000281963499</v>
      </c>
    </row>
    <row r="2334" spans="1:40" x14ac:dyDescent="0.25">
      <c r="A2334" t="str">
        <f>"20190312160647293"</f>
        <v>20190312160647293</v>
      </c>
      <c r="B2334" t="str">
        <f>"1552378007287857"</f>
        <v>1552378007287857</v>
      </c>
      <c r="C2334" t="s">
        <v>40</v>
      </c>
      <c r="D2334">
        <v>5.8334820000000001</v>
      </c>
      <c r="E2334">
        <v>0.55998649999999905</v>
      </c>
      <c r="F2334" t="s">
        <v>44</v>
      </c>
      <c r="G2334">
        <v>-388.59089999999998</v>
      </c>
      <c r="H2334">
        <v>0.92400470000000001</v>
      </c>
      <c r="I2334">
        <v>284.98779999999999</v>
      </c>
      <c r="J2334">
        <v>-388.36059999999998</v>
      </c>
      <c r="K2334">
        <v>1.108889</v>
      </c>
      <c r="L2334">
        <v>284.88569999999999</v>
      </c>
      <c r="M2334">
        <v>-0.99990650000000003</v>
      </c>
      <c r="N2334">
        <v>0</v>
      </c>
      <c r="O2334">
        <v>8.2589340000000008E-3</v>
      </c>
      <c r="P2334">
        <v>-0.99919230000000003</v>
      </c>
      <c r="Q2334">
        <v>3.9375199999999902E-2</v>
      </c>
      <c r="R2334">
        <v>-8.0193729999999998E-3</v>
      </c>
      <c r="S2334">
        <v>-3.0385740000000001</v>
      </c>
      <c r="T2334">
        <v>-0.82838500000000004</v>
      </c>
      <c r="U2334">
        <v>0.4732056</v>
      </c>
      <c r="V2334">
        <v>-1.6270119999999999E-2</v>
      </c>
      <c r="W2334">
        <v>5.0273499999999999E-2</v>
      </c>
      <c r="X2334">
        <v>0.99860289999999996</v>
      </c>
      <c r="Y2334">
        <v>0.1409821</v>
      </c>
      <c r="Z2334">
        <v>1.6567450000000001E-2</v>
      </c>
      <c r="AA2334">
        <v>0.98987349999999996</v>
      </c>
      <c r="AB2334">
        <v>50</v>
      </c>
      <c r="AC2334">
        <v>-0.23029999999999901</v>
      </c>
      <c r="AD2334">
        <v>-0.1848843</v>
      </c>
      <c r="AE2334">
        <v>0.102100000000007</v>
      </c>
      <c r="AF2334">
        <v>6.5119612669183299E-2</v>
      </c>
      <c r="AG2334">
        <v>-0.1848843</v>
      </c>
      <c r="AH2334">
        <v>0.150222507535791</v>
      </c>
      <c r="AI2334">
        <v>138.47259113949599</v>
      </c>
      <c r="AJ2334">
        <v>66.563860214993397</v>
      </c>
      <c r="AK2334">
        <v>0.24696066510886899</v>
      </c>
      <c r="AL2334">
        <v>87.118325735573293</v>
      </c>
      <c r="AM2334">
        <v>90.933430830046504</v>
      </c>
      <c r="AN2334">
        <v>0.99999994674773496</v>
      </c>
    </row>
    <row r="2335" spans="1:40" x14ac:dyDescent="0.25">
      <c r="A2335" t="str">
        <f>"20190312160647317"</f>
        <v>20190312160647317</v>
      </c>
      <c r="B2335" t="str">
        <f>"1552378007307377"</f>
        <v>1552378007307377</v>
      </c>
      <c r="C2335" t="s">
        <v>40</v>
      </c>
      <c r="D2335">
        <v>5.6878989999999998</v>
      </c>
      <c r="E2335">
        <v>0.55915369999999998</v>
      </c>
      <c r="F2335" t="s">
        <v>44</v>
      </c>
      <c r="G2335">
        <v>-389.04239999999999</v>
      </c>
      <c r="H2335">
        <v>0.92612000000000005</v>
      </c>
      <c r="I2335">
        <v>284.99189999999999</v>
      </c>
      <c r="J2335">
        <v>-388.89030000000002</v>
      </c>
      <c r="K2335">
        <v>1.1089450000000001</v>
      </c>
      <c r="L2335">
        <v>284.89010000000002</v>
      </c>
      <c r="M2335">
        <v>-0.99990279999999998</v>
      </c>
      <c r="N2335">
        <v>0</v>
      </c>
      <c r="O2335">
        <v>8.2586699999999992E-3</v>
      </c>
      <c r="P2335">
        <v>-0.99918720000000005</v>
      </c>
      <c r="Q2335">
        <v>3.9591750000000002E-2</v>
      </c>
      <c r="R2335">
        <v>-7.5986040000000001E-3</v>
      </c>
      <c r="S2335">
        <v>-3.0383</v>
      </c>
      <c r="T2335">
        <v>-0.81450409999999995</v>
      </c>
      <c r="U2335">
        <v>0.4706726</v>
      </c>
      <c r="V2335">
        <v>-1.5849229999999999E-2</v>
      </c>
      <c r="W2335">
        <v>5.0815930000000002E-2</v>
      </c>
      <c r="X2335">
        <v>0.99858219999999998</v>
      </c>
      <c r="Y2335">
        <v>0.1403645</v>
      </c>
      <c r="Z2335">
        <v>1.6220769999999999E-2</v>
      </c>
      <c r="AA2335">
        <v>0.98996700000000004</v>
      </c>
      <c r="AB2335">
        <v>50</v>
      </c>
      <c r="AC2335">
        <v>-0.15209999999996099</v>
      </c>
      <c r="AD2335">
        <v>-0.18282499999999999</v>
      </c>
      <c r="AE2335">
        <v>0.101799999999968</v>
      </c>
      <c r="AF2335">
        <v>5.0324739358263898E-2</v>
      </c>
      <c r="AG2335">
        <v>-0.18282499999999999</v>
      </c>
      <c r="AH2335">
        <v>7.6550833137691995E-2</v>
      </c>
      <c r="AI2335">
        <v>153.38515723392399</v>
      </c>
      <c r="AJ2335">
        <v>56.678964830874499</v>
      </c>
      <c r="AK2335">
        <v>0.204493496401601</v>
      </c>
      <c r="AL2335">
        <v>87.087206969223303</v>
      </c>
      <c r="AM2335">
        <v>90.909306961235799</v>
      </c>
      <c r="AN2335">
        <v>0.99999993349509597</v>
      </c>
    </row>
    <row r="2336" spans="1:40" x14ac:dyDescent="0.25">
      <c r="A2336" t="str">
        <f>"20190312160647339"</f>
        <v>20190312160647339</v>
      </c>
      <c r="B2336" t="str">
        <f>"1552378007327873"</f>
        <v>1552378007327873</v>
      </c>
      <c r="C2336" t="s">
        <v>40</v>
      </c>
      <c r="D2336">
        <v>6.1720189999999997</v>
      </c>
      <c r="E2336">
        <v>0.51204309999999997</v>
      </c>
      <c r="F2336" t="s">
        <v>44</v>
      </c>
      <c r="G2336">
        <v>-389.90640000000002</v>
      </c>
      <c r="H2336">
        <v>0.83848789999999995</v>
      </c>
      <c r="I2336">
        <v>285.04579999999999</v>
      </c>
      <c r="J2336">
        <v>-389.35860000000002</v>
      </c>
      <c r="K2336">
        <v>1.109008</v>
      </c>
      <c r="L2336">
        <v>284.89400000000001</v>
      </c>
      <c r="M2336">
        <v>-0.99989890000000003</v>
      </c>
      <c r="N2336">
        <v>0</v>
      </c>
      <c r="O2336">
        <v>8.2580450000000003E-3</v>
      </c>
      <c r="P2336">
        <v>-0.99920220000000004</v>
      </c>
      <c r="Q2336">
        <v>3.9320599999999997E-2</v>
      </c>
      <c r="R2336">
        <v>-6.9948989999999997E-3</v>
      </c>
      <c r="S2336">
        <v>-3.0380250000000002</v>
      </c>
      <c r="T2336">
        <v>-0.80865619999999905</v>
      </c>
      <c r="U2336">
        <v>0.46420289999999997</v>
      </c>
      <c r="V2336">
        <v>-1.524493E-2</v>
      </c>
      <c r="W2336">
        <v>5.0882120000000003E-2</v>
      </c>
      <c r="X2336">
        <v>0.99858829999999998</v>
      </c>
      <c r="Y2336">
        <v>0.1384457</v>
      </c>
      <c r="Z2336">
        <v>1.5862560000000001E-2</v>
      </c>
      <c r="AA2336">
        <v>0.99024299999999998</v>
      </c>
      <c r="AB2336">
        <v>50</v>
      </c>
      <c r="AC2336">
        <v>-0.54779999999999496</v>
      </c>
      <c r="AD2336">
        <v>-0.27052009999999899</v>
      </c>
      <c r="AE2336">
        <v>0.15179999999998001</v>
      </c>
      <c r="AF2336">
        <v>0.12007623935640099</v>
      </c>
      <c r="AG2336">
        <v>-0.27052009999999899</v>
      </c>
      <c r="AH2336">
        <v>0.44765202243896401</v>
      </c>
      <c r="AI2336">
        <v>120.271072918695</v>
      </c>
      <c r="AJ2336">
        <v>74.984686764651997</v>
      </c>
      <c r="AK2336">
        <v>0.536648638268728</v>
      </c>
      <c r="AL2336">
        <v>87.083409829813604</v>
      </c>
      <c r="AM2336">
        <v>90.8746370239719</v>
      </c>
      <c r="AN2336">
        <v>0.99999999546164398</v>
      </c>
    </row>
    <row r="2337" spans="1:40" x14ac:dyDescent="0.25">
      <c r="A2337" t="str">
        <f>"20190312160647360"</f>
        <v>20190312160647360</v>
      </c>
      <c r="B2337" t="str">
        <f>"1552378007357153"</f>
        <v>1552378007357153</v>
      </c>
      <c r="C2337" t="s">
        <v>40</v>
      </c>
      <c r="D2337">
        <v>5.9604330000000001</v>
      </c>
      <c r="E2337">
        <v>0.53284169999999997</v>
      </c>
      <c r="F2337" t="s">
        <v>44</v>
      </c>
      <c r="G2337">
        <v>-390.38990000000001</v>
      </c>
      <c r="H2337">
        <v>0.91777589999999998</v>
      </c>
      <c r="I2337">
        <v>284.9237</v>
      </c>
      <c r="J2337">
        <v>-389.84570000000002</v>
      </c>
      <c r="K2337">
        <v>1.1090679999999999</v>
      </c>
      <c r="L2337">
        <v>284.89800000000002</v>
      </c>
      <c r="M2337">
        <v>-0.99989479999999997</v>
      </c>
      <c r="N2337">
        <v>0</v>
      </c>
      <c r="O2337">
        <v>8.2577789999999998E-3</v>
      </c>
      <c r="P2337">
        <v>-0.99921749999999998</v>
      </c>
      <c r="Q2337">
        <v>3.8926179999999998E-2</v>
      </c>
      <c r="R2337">
        <v>-7.0256709999999998E-3</v>
      </c>
      <c r="S2337">
        <v>-3.0250849999999998</v>
      </c>
      <c r="T2337">
        <v>-0.56098649999999906</v>
      </c>
      <c r="U2337">
        <v>8.6303710000000006E-2</v>
      </c>
      <c r="V2337">
        <v>-1.52759E-2</v>
      </c>
      <c r="W2337">
        <v>5.084545E-2</v>
      </c>
      <c r="X2337">
        <v>0.99858970000000002</v>
      </c>
      <c r="Y2337">
        <v>2.0060709999999999E-2</v>
      </c>
      <c r="Z2337">
        <v>3.2582109999999999E-4</v>
      </c>
      <c r="AA2337">
        <v>0.99979870000000004</v>
      </c>
      <c r="AB2337">
        <v>50</v>
      </c>
      <c r="AC2337">
        <v>-0.54419999999998903</v>
      </c>
      <c r="AD2337">
        <v>-0.19129209999999999</v>
      </c>
      <c r="AE2337">
        <v>2.5700000000028901E-2</v>
      </c>
      <c r="AF2337">
        <v>1.8877599812509201E-2</v>
      </c>
      <c r="AG2337">
        <v>-0.19129209999999999</v>
      </c>
      <c r="AH2337">
        <v>0.48464439955176702</v>
      </c>
      <c r="AI2337">
        <v>111.52462382768201</v>
      </c>
      <c r="AJ2337">
        <v>87.7693742361148</v>
      </c>
      <c r="AK2337">
        <v>0.52137244395344096</v>
      </c>
      <c r="AL2337">
        <v>87.085513605104595</v>
      </c>
      <c r="AM2337">
        <v>90.876412339383293</v>
      </c>
      <c r="AN2337">
        <v>1.0000000009262999</v>
      </c>
    </row>
    <row r="2338" spans="1:40" x14ac:dyDescent="0.25">
      <c r="A2338" t="str">
        <f>"20190312160647382"</f>
        <v>20190312160647382</v>
      </c>
      <c r="B2338" t="str">
        <f>"1552378007377650"</f>
        <v>1552378007377650</v>
      </c>
      <c r="C2338" t="s">
        <v>40</v>
      </c>
      <c r="D2338">
        <v>5.9860920000000002</v>
      </c>
      <c r="E2338">
        <v>0.53722910000000001</v>
      </c>
      <c r="F2338" t="s">
        <v>44</v>
      </c>
      <c r="G2338">
        <v>-390.85449999999997</v>
      </c>
      <c r="H2338">
        <v>0.9537892</v>
      </c>
      <c r="I2338">
        <v>284.9821</v>
      </c>
      <c r="J2338">
        <v>-390.3587</v>
      </c>
      <c r="K2338">
        <v>1.109113</v>
      </c>
      <c r="L2338">
        <v>284.90219999999999</v>
      </c>
      <c r="M2338">
        <v>-0.99989059999999996</v>
      </c>
      <c r="N2338">
        <v>0</v>
      </c>
      <c r="O2338">
        <v>8.2574559999999998E-3</v>
      </c>
      <c r="P2338">
        <v>-0.99923899999999999</v>
      </c>
      <c r="Q2338">
        <v>3.8453170000000002E-2</v>
      </c>
      <c r="R2338">
        <v>-6.5549750000000002E-3</v>
      </c>
      <c r="S2338">
        <v>-3.0222470000000001</v>
      </c>
      <c r="T2338">
        <v>-0.46532390000000001</v>
      </c>
      <c r="U2338">
        <v>0.25073240000000002</v>
      </c>
      <c r="V2338">
        <v>-1.4804589999999999E-2</v>
      </c>
      <c r="W2338">
        <v>5.0729259999999998E-2</v>
      </c>
      <c r="X2338">
        <v>0.99860269999999995</v>
      </c>
      <c r="Y2338">
        <v>7.3680060000000006E-2</v>
      </c>
      <c r="Z2338">
        <v>4.367625E-3</v>
      </c>
      <c r="AA2338">
        <v>0.99727239999999995</v>
      </c>
      <c r="AB2338">
        <v>50</v>
      </c>
      <c r="AC2338">
        <v>-0.49579999999997398</v>
      </c>
      <c r="AD2338">
        <v>-0.15532379999999901</v>
      </c>
      <c r="AE2338">
        <v>7.9900000000009103E-2</v>
      </c>
      <c r="AF2338">
        <v>6.91847428581705E-2</v>
      </c>
      <c r="AG2338">
        <v>-0.15532379999999901</v>
      </c>
      <c r="AH2338">
        <v>0.453099631759807</v>
      </c>
      <c r="AI2338">
        <v>108.720239762917</v>
      </c>
      <c r="AJ2338">
        <v>81.318441428283705</v>
      </c>
      <c r="AK2338">
        <v>0.483953807497848</v>
      </c>
      <c r="AL2338">
        <v>87.092179381160705</v>
      </c>
      <c r="AM2338">
        <v>90.849365205779705</v>
      </c>
      <c r="AN2338">
        <v>0.99999999307625198</v>
      </c>
    </row>
    <row r="2339" spans="1:40" x14ac:dyDescent="0.25">
      <c r="A2339" t="str">
        <f>"20190312160647396"</f>
        <v>20190312160647396</v>
      </c>
      <c r="B2339" t="str">
        <f>"1552378007387412"</f>
        <v>1552378007387412</v>
      </c>
      <c r="C2339" t="s">
        <v>40</v>
      </c>
      <c r="D2339">
        <v>5.981446</v>
      </c>
      <c r="E2339">
        <v>0.53843409999999903</v>
      </c>
      <c r="F2339" t="s">
        <v>44</v>
      </c>
      <c r="G2339">
        <v>-391.31180000000001</v>
      </c>
      <c r="H2339">
        <v>0.97078339999999996</v>
      </c>
      <c r="I2339">
        <v>284.99259999999998</v>
      </c>
      <c r="J2339">
        <v>-390.65499999999997</v>
      </c>
      <c r="K2339">
        <v>1.109138</v>
      </c>
      <c r="L2339">
        <v>284.90469999999999</v>
      </c>
      <c r="M2339">
        <v>-0.99988790000000005</v>
      </c>
      <c r="N2339">
        <v>0</v>
      </c>
      <c r="O2339">
        <v>8.2574369999999994E-3</v>
      </c>
      <c r="P2339">
        <v>-0.99924619999999997</v>
      </c>
      <c r="Q2339">
        <v>3.8242419999999999E-2</v>
      </c>
      <c r="R2339">
        <v>-6.681223E-3</v>
      </c>
      <c r="S2339">
        <v>-3.0209959999999998</v>
      </c>
      <c r="T2339">
        <v>-0.43845129999999999</v>
      </c>
      <c r="U2339">
        <v>0.28637699999999999</v>
      </c>
      <c r="V2339">
        <v>-1.4930789999999999E-2</v>
      </c>
      <c r="W2339">
        <v>5.0712590000000002E-2</v>
      </c>
      <c r="X2339">
        <v>0.99860170000000004</v>
      </c>
      <c r="Y2339">
        <v>8.5347649999999997E-2</v>
      </c>
      <c r="Z2339">
        <v>4.958072E-3</v>
      </c>
      <c r="AA2339">
        <v>0.99633890000000003</v>
      </c>
      <c r="AB2339">
        <v>50</v>
      </c>
      <c r="AC2339">
        <v>-0.65680000000003202</v>
      </c>
      <c r="AD2339">
        <v>-0.138354599999999</v>
      </c>
      <c r="AE2339">
        <v>8.78999999999905E-2</v>
      </c>
      <c r="AF2339">
        <v>7.9028068085179495E-2</v>
      </c>
      <c r="AG2339">
        <v>-0.138354599999999</v>
      </c>
      <c r="AH2339">
        <v>0.63003856601917196</v>
      </c>
      <c r="AI2339">
        <v>102.292034281965</v>
      </c>
      <c r="AJ2339">
        <v>82.850518109228304</v>
      </c>
      <c r="AK2339">
        <v>0.64987385357308403</v>
      </c>
      <c r="AL2339">
        <v>87.093135826395297</v>
      </c>
      <c r="AM2339">
        <v>90.856605303750996</v>
      </c>
      <c r="AN2339">
        <v>1.00000002525871</v>
      </c>
    </row>
    <row r="2340" spans="1:40" x14ac:dyDescent="0.25">
      <c r="A2340" t="str">
        <f>"20190312160647415"</f>
        <v>20190312160647415</v>
      </c>
      <c r="B2340" t="str">
        <f>"1552378007407905"</f>
        <v>1552378007407905</v>
      </c>
      <c r="C2340" t="s">
        <v>40</v>
      </c>
      <c r="D2340">
        <v>5.9786989999999998</v>
      </c>
      <c r="E2340">
        <v>0.53995780000000004</v>
      </c>
      <c r="F2340" t="s">
        <v>44</v>
      </c>
      <c r="G2340">
        <v>-391.7518</v>
      </c>
      <c r="H2340">
        <v>0.95305870000000004</v>
      </c>
      <c r="I2340">
        <v>285.01209999999998</v>
      </c>
      <c r="J2340">
        <v>-391.10509999999999</v>
      </c>
      <c r="K2340">
        <v>1.109167</v>
      </c>
      <c r="L2340">
        <v>284.90839999999997</v>
      </c>
      <c r="M2340">
        <v>-0.99988460000000001</v>
      </c>
      <c r="N2340">
        <v>0</v>
      </c>
      <c r="O2340">
        <v>8.2570249999999994E-3</v>
      </c>
      <c r="P2340">
        <v>-0.99923989999999996</v>
      </c>
      <c r="Q2340">
        <v>3.8405069999999999E-2</v>
      </c>
      <c r="R2340">
        <v>-6.7117160000000004E-3</v>
      </c>
      <c r="S2340">
        <v>-3.0206599999999999</v>
      </c>
      <c r="T2340">
        <v>-0.42995410000000001</v>
      </c>
      <c r="U2340">
        <v>0.29534909999999998</v>
      </c>
      <c r="V2340">
        <v>-1.4960930000000001E-2</v>
      </c>
      <c r="W2340">
        <v>5.1146419999999998E-2</v>
      </c>
      <c r="X2340">
        <v>0.99857910000000005</v>
      </c>
      <c r="Y2340">
        <v>8.8291540000000002E-2</v>
      </c>
      <c r="Z2340">
        <v>5.0708309999999996E-3</v>
      </c>
      <c r="AA2340">
        <v>0.99608180000000002</v>
      </c>
      <c r="AB2340">
        <v>50</v>
      </c>
      <c r="AC2340">
        <v>-0.64670000000000905</v>
      </c>
      <c r="AD2340">
        <v>-0.15610830000000001</v>
      </c>
      <c r="AE2340">
        <v>0.103700000000003</v>
      </c>
      <c r="AF2340">
        <v>9.3069014393443006E-2</v>
      </c>
      <c r="AG2340">
        <v>-0.15610830000000001</v>
      </c>
      <c r="AH2340">
        <v>0.61272567724521698</v>
      </c>
      <c r="AI2340">
        <v>104.137991171357</v>
      </c>
      <c r="AJ2340">
        <v>81.363164758189697</v>
      </c>
      <c r="AK2340">
        <v>0.63911219541224995</v>
      </c>
      <c r="AL2340">
        <v>87.068246831936406</v>
      </c>
      <c r="AM2340">
        <v>90.858353652405597</v>
      </c>
      <c r="AN2340">
        <v>1.00000000233104</v>
      </c>
    </row>
    <row r="2341" spans="1:40" x14ac:dyDescent="0.25">
      <c r="A2341" t="str">
        <f>"20190312160647429"</f>
        <v>20190312160647429</v>
      </c>
      <c r="B2341" t="str">
        <f>"1552378007417665"</f>
        <v>1552378007417665</v>
      </c>
      <c r="C2341" t="s">
        <v>40</v>
      </c>
      <c r="D2341">
        <v>5.9836169999999997</v>
      </c>
      <c r="E2341">
        <v>0.54073319999999903</v>
      </c>
      <c r="F2341" t="s">
        <v>44</v>
      </c>
      <c r="G2341">
        <v>-392.20249999999999</v>
      </c>
      <c r="H2341">
        <v>0.95795370000000002</v>
      </c>
      <c r="I2341">
        <v>285.02030000000002</v>
      </c>
      <c r="J2341">
        <v>-391.40309999999999</v>
      </c>
      <c r="K2341">
        <v>1.109183</v>
      </c>
      <c r="L2341">
        <v>284.91090000000003</v>
      </c>
      <c r="M2341">
        <v>-0.99988259999999995</v>
      </c>
      <c r="N2341">
        <v>0</v>
      </c>
      <c r="O2341">
        <v>8.2566719999999996E-3</v>
      </c>
      <c r="P2341">
        <v>-0.99923720000000005</v>
      </c>
      <c r="Q2341">
        <v>3.8494489999999999E-2</v>
      </c>
      <c r="R2341">
        <v>-6.6154859999999899E-3</v>
      </c>
      <c r="S2341">
        <v>-3.0203250000000001</v>
      </c>
      <c r="T2341">
        <v>-0.4162439</v>
      </c>
      <c r="U2341">
        <v>0.30728149999999999</v>
      </c>
      <c r="V2341">
        <v>-1.486407E-2</v>
      </c>
      <c r="W2341">
        <v>5.1401669999999997E-2</v>
      </c>
      <c r="X2341">
        <v>0.99856750000000005</v>
      </c>
      <c r="Y2341">
        <v>9.2211779999999993E-2</v>
      </c>
      <c r="Z2341">
        <v>5.1784830000000002E-3</v>
      </c>
      <c r="AA2341">
        <v>0.99572590000000005</v>
      </c>
      <c r="AB2341">
        <v>50</v>
      </c>
      <c r="AC2341">
        <v>-0.79939999999999101</v>
      </c>
      <c r="AD2341">
        <v>-0.15122929999999901</v>
      </c>
      <c r="AE2341">
        <v>0.109399999999993</v>
      </c>
      <c r="AF2341">
        <v>9.9306638871705002E-2</v>
      </c>
      <c r="AG2341">
        <v>-0.15122929999999901</v>
      </c>
      <c r="AH2341">
        <v>0.77311609970870498</v>
      </c>
      <c r="AI2341">
        <v>100.97988824662499</v>
      </c>
      <c r="AJ2341">
        <v>82.680446701066302</v>
      </c>
      <c r="AK2341">
        <v>0.79400290511514204</v>
      </c>
      <c r="AL2341">
        <v>87.053602998210593</v>
      </c>
      <c r="AM2341">
        <v>90.852807230787604</v>
      </c>
      <c r="AN2341">
        <v>1.0000000621559999</v>
      </c>
    </row>
    <row r="2342" spans="1:40" x14ac:dyDescent="0.25">
      <c r="A2342" t="str">
        <f>"20190312160647449"</f>
        <v>20190312160647449</v>
      </c>
      <c r="B2342" t="str">
        <f>"1552378007437187"</f>
        <v>1552378007437187</v>
      </c>
      <c r="C2342" t="s">
        <v>40</v>
      </c>
      <c r="D2342">
        <v>6.0274039999999998</v>
      </c>
      <c r="E2342">
        <v>0.54183239999999999</v>
      </c>
      <c r="F2342" t="s">
        <v>44</v>
      </c>
      <c r="G2342">
        <v>-392.22199999999998</v>
      </c>
      <c r="H2342">
        <v>0.99790749999999995</v>
      </c>
      <c r="I2342">
        <v>284.99610000000001</v>
      </c>
      <c r="J2342">
        <v>-391.85660000000001</v>
      </c>
      <c r="K2342">
        <v>1.109202</v>
      </c>
      <c r="L2342">
        <v>284.91460000000001</v>
      </c>
      <c r="M2342">
        <v>-0.99987950000000003</v>
      </c>
      <c r="N2342">
        <v>0</v>
      </c>
      <c r="O2342">
        <v>8.2564500000000002E-3</v>
      </c>
      <c r="P2342">
        <v>-0.9992432</v>
      </c>
      <c r="Q2342">
        <v>3.837198E-2</v>
      </c>
      <c r="R2342">
        <v>-6.3925659999999997E-3</v>
      </c>
      <c r="S2342">
        <v>-3.0201419999999999</v>
      </c>
      <c r="T2342">
        <v>-0.41049980000000003</v>
      </c>
      <c r="U2342">
        <v>0.31347659999999899</v>
      </c>
      <c r="V2342">
        <v>-1.464115E-2</v>
      </c>
      <c r="W2342">
        <v>5.1512620000000002E-2</v>
      </c>
      <c r="X2342">
        <v>0.99856500000000004</v>
      </c>
      <c r="Y2342">
        <v>9.4242060000000002E-2</v>
      </c>
      <c r="Z2342">
        <v>5.2444609999999997E-3</v>
      </c>
      <c r="AA2342">
        <v>0.99553550000000002</v>
      </c>
      <c r="AB2342">
        <v>50</v>
      </c>
      <c r="AC2342">
        <v>-0.36539999999996498</v>
      </c>
      <c r="AD2342">
        <v>-0.11129449999999901</v>
      </c>
      <c r="AE2342">
        <v>8.1500000000005401E-2</v>
      </c>
      <c r="AF2342">
        <v>7.2107607092157994E-2</v>
      </c>
      <c r="AG2342">
        <v>-0.11129449999999901</v>
      </c>
      <c r="AH2342">
        <v>0.33633701165510099</v>
      </c>
      <c r="AI2342">
        <v>107.928963567034</v>
      </c>
      <c r="AJ2342">
        <v>77.899478907071995</v>
      </c>
      <c r="AK2342">
        <v>0.361536385637588</v>
      </c>
      <c r="AL2342">
        <v>87.0472373747033</v>
      </c>
      <c r="AM2342">
        <v>90.840021426906404</v>
      </c>
      <c r="AN2342">
        <v>0.99999998625879305</v>
      </c>
    </row>
    <row r="2343" spans="1:40" x14ac:dyDescent="0.25">
      <c r="A2343" t="str">
        <f>"20190312160647463"</f>
        <v>20190312160647463</v>
      </c>
      <c r="B2343" t="str">
        <f>"1552378007457681"</f>
        <v>1552378007457681</v>
      </c>
      <c r="C2343" t="s">
        <v>40</v>
      </c>
      <c r="D2343">
        <v>5.9258100000000002</v>
      </c>
      <c r="E2343">
        <v>0.54247959999999995</v>
      </c>
      <c r="F2343" t="s">
        <v>44</v>
      </c>
      <c r="G2343">
        <v>-392.67129999999997</v>
      </c>
      <c r="H2343">
        <v>1.0006919999999999</v>
      </c>
      <c r="I2343">
        <v>285.00189999999998</v>
      </c>
      <c r="J2343">
        <v>-392.16969999999998</v>
      </c>
      <c r="K2343">
        <v>1.1092120000000001</v>
      </c>
      <c r="L2343">
        <v>284.91719999999998</v>
      </c>
      <c r="M2343">
        <v>-0.99987760000000003</v>
      </c>
      <c r="N2343">
        <v>0</v>
      </c>
      <c r="O2343">
        <v>8.2561270000000003E-3</v>
      </c>
      <c r="P2343">
        <v>-0.99925200000000003</v>
      </c>
      <c r="Q2343">
        <v>3.8132800000000001E-2</v>
      </c>
      <c r="R2343">
        <v>-6.4614249999999998E-3</v>
      </c>
      <c r="S2343">
        <v>-3.0197449999999999</v>
      </c>
      <c r="T2343">
        <v>-0.40230759999999899</v>
      </c>
      <c r="U2343">
        <v>0.32260129999999998</v>
      </c>
      <c r="V2343">
        <v>-1.470978E-2</v>
      </c>
      <c r="W2343">
        <v>5.1420710000000001E-2</v>
      </c>
      <c r="X2343">
        <v>0.99856869999999998</v>
      </c>
      <c r="Y2343">
        <v>9.7235269999999999E-2</v>
      </c>
      <c r="Z2343">
        <v>5.3385809999999898E-3</v>
      </c>
      <c r="AA2343">
        <v>0.99524710000000005</v>
      </c>
      <c r="AB2343">
        <v>50</v>
      </c>
      <c r="AC2343">
        <v>-0.50159999999999605</v>
      </c>
      <c r="AD2343">
        <v>-0.10852000000000001</v>
      </c>
      <c r="AE2343">
        <v>8.4699999999997999E-2</v>
      </c>
      <c r="AF2343">
        <v>7.7049070183234397E-2</v>
      </c>
      <c r="AG2343">
        <v>-0.10852000000000001</v>
      </c>
      <c r="AH2343">
        <v>0.48041900965916801</v>
      </c>
      <c r="AI2343">
        <v>102.57322988132699</v>
      </c>
      <c r="AJ2343">
        <v>80.8885570950832</v>
      </c>
      <c r="AK2343">
        <v>0.49851336437250798</v>
      </c>
      <c r="AL2343">
        <v>87.052510334307399</v>
      </c>
      <c r="AM2343">
        <v>90.843955310062697</v>
      </c>
      <c r="AN2343">
        <v>0.99999995783212003</v>
      </c>
    </row>
    <row r="2344" spans="1:40" x14ac:dyDescent="0.25">
      <c r="A2344" t="str">
        <f>"20190312160647485"</f>
        <v>20190312160647485</v>
      </c>
      <c r="B2344" t="str">
        <f>"1552378007477201"</f>
        <v>1552378007477201</v>
      </c>
      <c r="C2344" t="s">
        <v>40</v>
      </c>
      <c r="D2344">
        <v>5.9237909999999996</v>
      </c>
      <c r="E2344">
        <v>0.54278369999999998</v>
      </c>
      <c r="F2344" t="s">
        <v>44</v>
      </c>
      <c r="G2344">
        <v>-393.11160000000001</v>
      </c>
      <c r="H2344">
        <v>0.98598470000000005</v>
      </c>
      <c r="I2344">
        <v>285.01960000000003</v>
      </c>
      <c r="J2344">
        <v>-392.66289999999998</v>
      </c>
      <c r="K2344">
        <v>1.1092280000000001</v>
      </c>
      <c r="L2344">
        <v>284.9212</v>
      </c>
      <c r="M2344">
        <v>-0.99987470000000001</v>
      </c>
      <c r="N2344">
        <v>0</v>
      </c>
      <c r="O2344">
        <v>8.2558919999999904E-3</v>
      </c>
      <c r="P2344">
        <v>-0.99926470000000001</v>
      </c>
      <c r="Q2344">
        <v>3.7822639999999998E-2</v>
      </c>
      <c r="R2344">
        <v>-6.3037509999999998E-3</v>
      </c>
      <c r="S2344">
        <v>-3.0194399999999999</v>
      </c>
      <c r="T2344">
        <v>-0.39515729999999999</v>
      </c>
      <c r="U2344">
        <v>0.32745360000000001</v>
      </c>
      <c r="V2344">
        <v>-1.4552249999999999E-2</v>
      </c>
      <c r="W2344">
        <v>5.1322619999999999E-2</v>
      </c>
      <c r="X2344">
        <v>0.99857609999999997</v>
      </c>
      <c r="Y2344">
        <v>9.8840800000000006E-2</v>
      </c>
      <c r="Z2344">
        <v>5.3489189999999997E-3</v>
      </c>
      <c r="AA2344">
        <v>0.99508890000000005</v>
      </c>
      <c r="AB2344">
        <v>50</v>
      </c>
      <c r="AC2344">
        <v>-0.44870000000003002</v>
      </c>
      <c r="AD2344">
        <v>-0.1232433</v>
      </c>
      <c r="AE2344">
        <v>9.8400000000026397E-2</v>
      </c>
      <c r="AF2344">
        <v>8.8333593093526203E-2</v>
      </c>
      <c r="AG2344">
        <v>-0.1232433</v>
      </c>
      <c r="AH2344">
        <v>0.41931467936427402</v>
      </c>
      <c r="AI2344">
        <v>106.04542558600301</v>
      </c>
      <c r="AJ2344">
        <v>78.103907897258395</v>
      </c>
      <c r="AK2344">
        <v>0.44588847820286498</v>
      </c>
      <c r="AL2344">
        <v>87.058138042349</v>
      </c>
      <c r="AM2344">
        <v>90.834912322480093</v>
      </c>
      <c r="AN2344">
        <v>1.0000000033974601</v>
      </c>
    </row>
    <row r="2345" spans="1:40" x14ac:dyDescent="0.25">
      <c r="A2345" t="str">
        <f>"20190312160647506"</f>
        <v>20190312160647506</v>
      </c>
      <c r="B2345" t="str">
        <f>"1552378007497697"</f>
        <v>1552378007497697</v>
      </c>
      <c r="C2345" t="s">
        <v>40</v>
      </c>
      <c r="D2345">
        <v>5.6669409999999996</v>
      </c>
      <c r="E2345">
        <v>0.54301849999999996</v>
      </c>
      <c r="F2345" t="s">
        <v>44</v>
      </c>
      <c r="G2345">
        <v>-393.56209999999999</v>
      </c>
      <c r="H2345">
        <v>0.99274229999999997</v>
      </c>
      <c r="I2345">
        <v>285.01979999999998</v>
      </c>
      <c r="J2345">
        <v>-393.1268</v>
      </c>
      <c r="K2345">
        <v>1.1092409999999999</v>
      </c>
      <c r="L2345">
        <v>284.92509999999999</v>
      </c>
      <c r="M2345">
        <v>-0.99987230000000005</v>
      </c>
      <c r="N2345">
        <v>0</v>
      </c>
      <c r="O2345">
        <v>8.2553369999999997E-3</v>
      </c>
      <c r="P2345">
        <v>-0.99928530000000004</v>
      </c>
      <c r="Q2345">
        <v>3.7294620000000001E-2</v>
      </c>
      <c r="R2345">
        <v>-6.1926999999999998E-3</v>
      </c>
      <c r="S2345">
        <v>-3.019104</v>
      </c>
      <c r="T2345">
        <v>-0.39121519999999999</v>
      </c>
      <c r="U2345">
        <v>0.33047490000000002</v>
      </c>
      <c r="V2345">
        <v>-1.444061E-2</v>
      </c>
      <c r="W2345">
        <v>5.097165E-2</v>
      </c>
      <c r="X2345">
        <v>0.99859569999999998</v>
      </c>
      <c r="Y2345">
        <v>9.9843979999999999E-2</v>
      </c>
      <c r="Z2345">
        <v>5.3609010000000004E-3</v>
      </c>
      <c r="AA2345">
        <v>0.99498869999999895</v>
      </c>
      <c r="AB2345">
        <v>50</v>
      </c>
      <c r="AC2345">
        <v>-0.43529999999998298</v>
      </c>
      <c r="AD2345">
        <v>-0.116498699999999</v>
      </c>
      <c r="AE2345">
        <v>9.4699999999988904E-2</v>
      </c>
      <c r="AF2345">
        <v>8.5271325432721104E-2</v>
      </c>
      <c r="AG2345">
        <v>-0.116498699999999</v>
      </c>
      <c r="AH2345">
        <v>0.40815404963010699</v>
      </c>
      <c r="AI2345">
        <v>105.61014724603599</v>
      </c>
      <c r="AJ2345">
        <v>78.1995289590688</v>
      </c>
      <c r="AK2345">
        <v>0.43293518483971599</v>
      </c>
      <c r="AL2345">
        <v>87.078273505003807</v>
      </c>
      <c r="AM2345">
        <v>90.828491791045906</v>
      </c>
      <c r="AN2345">
        <v>1.0000000061896901</v>
      </c>
    </row>
    <row r="2346" spans="1:40" x14ac:dyDescent="0.25">
      <c r="A2346" t="str">
        <f>"20190312160647527"</f>
        <v>20190312160647527</v>
      </c>
      <c r="B2346" t="str">
        <f>"1552378007517218"</f>
        <v>1552378007517218</v>
      </c>
      <c r="C2346" t="s">
        <v>40</v>
      </c>
      <c r="D2346">
        <v>6.0289789999999996</v>
      </c>
      <c r="E2346">
        <v>0.54352809999999996</v>
      </c>
      <c r="F2346" t="s">
        <v>44</v>
      </c>
      <c r="G2346">
        <v>-394.00970000000001</v>
      </c>
      <c r="H2346">
        <v>0.99421320000000002</v>
      </c>
      <c r="I2346">
        <v>285.02249999999998</v>
      </c>
      <c r="J2346">
        <v>-393.60750000000002</v>
      </c>
      <c r="K2346">
        <v>1.1092550000000001</v>
      </c>
      <c r="L2346">
        <v>284.92899999999997</v>
      </c>
      <c r="M2346">
        <v>-0.99987009999999998</v>
      </c>
      <c r="N2346">
        <v>0</v>
      </c>
      <c r="O2346">
        <v>8.2550479999999992E-3</v>
      </c>
      <c r="P2346">
        <v>-0.99926959999999998</v>
      </c>
      <c r="Q2346">
        <v>3.7611159999999998E-2</v>
      </c>
      <c r="R2346">
        <v>-6.7637599999999997E-3</v>
      </c>
      <c r="S2346">
        <v>-3.0188899999999999</v>
      </c>
      <c r="T2346">
        <v>-0.39337339999999998</v>
      </c>
      <c r="U2346">
        <v>0.33251950000000002</v>
      </c>
      <c r="V2346">
        <v>-1.501164E-2</v>
      </c>
      <c r="W2346">
        <v>5.1449759999999997E-2</v>
      </c>
      <c r="X2346">
        <v>0.99856279999999997</v>
      </c>
      <c r="Y2346">
        <v>0.10050389999999999</v>
      </c>
      <c r="Z2346">
        <v>5.4331309999999999E-3</v>
      </c>
      <c r="AA2346">
        <v>0.99492190000000003</v>
      </c>
      <c r="AB2346">
        <v>50</v>
      </c>
      <c r="AC2346">
        <v>-0.40219999999999301</v>
      </c>
      <c r="AD2346">
        <v>-0.115041799999999</v>
      </c>
      <c r="AE2346">
        <v>9.3499999999948999E-2</v>
      </c>
      <c r="AF2346">
        <v>8.3681061958226596E-2</v>
      </c>
      <c r="AG2346">
        <v>-0.115041799999999</v>
      </c>
      <c r="AH2346">
        <v>0.37393379024378898</v>
      </c>
      <c r="AI2346">
        <v>106.711175791919</v>
      </c>
      <c r="AJ2346">
        <v>77.385851558202006</v>
      </c>
      <c r="AK2346">
        <v>0.40007951130216901</v>
      </c>
      <c r="AL2346">
        <v>87.050843947012496</v>
      </c>
      <c r="AM2346">
        <v>90.861276657129693</v>
      </c>
      <c r="AN2346">
        <v>1.00000004634169</v>
      </c>
    </row>
    <row r="2347" spans="1:40" x14ac:dyDescent="0.25">
      <c r="A2347" t="str">
        <f>"20190312160647551"</f>
        <v>20190312160647551</v>
      </c>
      <c r="B2347" t="str">
        <f>"1552378007537713"</f>
        <v>1552378007537713</v>
      </c>
      <c r="C2347" t="s">
        <v>40</v>
      </c>
      <c r="D2347">
        <v>5.9772460000000001</v>
      </c>
      <c r="E2347">
        <v>0.54380709999999999</v>
      </c>
      <c r="F2347" t="s">
        <v>44</v>
      </c>
      <c r="G2347">
        <v>-394.459</v>
      </c>
      <c r="H2347">
        <v>0.99967379999999995</v>
      </c>
      <c r="I2347">
        <v>285.02379999999999</v>
      </c>
      <c r="J2347">
        <v>-394.10879999999997</v>
      </c>
      <c r="K2347">
        <v>1.1092610000000001</v>
      </c>
      <c r="L2347">
        <v>284.9332</v>
      </c>
      <c r="M2347">
        <v>-0.99986790000000003</v>
      </c>
      <c r="N2347">
        <v>0</v>
      </c>
      <c r="O2347">
        <v>8.2548399999999994E-3</v>
      </c>
      <c r="P2347">
        <v>-0.99925819999999999</v>
      </c>
      <c r="Q2347">
        <v>3.7874739999999997E-2</v>
      </c>
      <c r="R2347">
        <v>-6.9630890000000004E-3</v>
      </c>
      <c r="S2347">
        <v>-3.019104</v>
      </c>
      <c r="T2347">
        <v>-0.38871109999999998</v>
      </c>
      <c r="U2347">
        <v>0.33486939999999998</v>
      </c>
      <c r="V2347">
        <v>-1.521082E-2</v>
      </c>
      <c r="W2347">
        <v>5.1862150000000003E-2</v>
      </c>
      <c r="X2347">
        <v>0.99853840000000005</v>
      </c>
      <c r="Y2347">
        <v>0.1012733</v>
      </c>
      <c r="Z2347">
        <v>5.41787E-3</v>
      </c>
      <c r="AA2347">
        <v>0.9948439</v>
      </c>
      <c r="AB2347">
        <v>50</v>
      </c>
      <c r="AC2347">
        <v>-0.35020000000002899</v>
      </c>
      <c r="AD2347">
        <v>-0.109587199999999</v>
      </c>
      <c r="AE2347">
        <v>9.0599999999994907E-2</v>
      </c>
      <c r="AF2347">
        <v>8.0332786770661996E-2</v>
      </c>
      <c r="AG2347">
        <v>-0.109587199999999</v>
      </c>
      <c r="AH2347">
        <v>0.32143454794403498</v>
      </c>
      <c r="AI2347">
        <v>108.302072490375</v>
      </c>
      <c r="AJ2347">
        <v>75.968093373304399</v>
      </c>
      <c r="AK2347">
        <v>0.34897403864208398</v>
      </c>
      <c r="AL2347">
        <v>87.027183998326294</v>
      </c>
      <c r="AM2347">
        <v>90.872723960821602</v>
      </c>
      <c r="AN2347">
        <v>0.99999999396112704</v>
      </c>
    </row>
    <row r="2348" spans="1:40" x14ac:dyDescent="0.25">
      <c r="A2348" t="str">
        <f>"20190312160647572"</f>
        <v>20190312160647572</v>
      </c>
      <c r="B2348" t="str">
        <f>"1552378007566994"</f>
        <v>1552378007566994</v>
      </c>
      <c r="C2348" t="s">
        <v>40</v>
      </c>
      <c r="D2348">
        <v>6.0305109999999997</v>
      </c>
      <c r="E2348">
        <v>0.54414340000000005</v>
      </c>
      <c r="F2348" t="s">
        <v>44</v>
      </c>
      <c r="G2348">
        <v>-394.90879999999999</v>
      </c>
      <c r="H2348">
        <v>1.006972</v>
      </c>
      <c r="I2348">
        <v>285.02249999999998</v>
      </c>
      <c r="J2348">
        <v>-394.61279999999999</v>
      </c>
      <c r="K2348">
        <v>1.1092690000000001</v>
      </c>
      <c r="L2348">
        <v>284.93740000000003</v>
      </c>
      <c r="M2348">
        <v>-0.99986609999999998</v>
      </c>
      <c r="N2348">
        <v>0</v>
      </c>
      <c r="O2348">
        <v>8.2546319999999996E-3</v>
      </c>
      <c r="P2348">
        <v>-0.99924880000000005</v>
      </c>
      <c r="Q2348">
        <v>3.8086630000000003E-2</v>
      </c>
      <c r="R2348">
        <v>-7.1740469999999898E-3</v>
      </c>
      <c r="S2348">
        <v>-3.019196</v>
      </c>
      <c r="T2348">
        <v>-0.3860711</v>
      </c>
      <c r="U2348">
        <v>0.33666990000000002</v>
      </c>
      <c r="V2348">
        <v>-1.5421000000000001E-2</v>
      </c>
      <c r="W2348">
        <v>5.2204069999999998E-2</v>
      </c>
      <c r="X2348">
        <v>0.9985174</v>
      </c>
      <c r="Y2348">
        <v>0.10186190000000001</v>
      </c>
      <c r="Z2348">
        <v>5.4184189999999998E-3</v>
      </c>
      <c r="AA2348">
        <v>0.9947838</v>
      </c>
      <c r="AB2348">
        <v>50</v>
      </c>
      <c r="AC2348">
        <v>-0.29599999999999199</v>
      </c>
      <c r="AD2348">
        <v>-0.102297</v>
      </c>
      <c r="AE2348">
        <v>8.5099999999954407E-2</v>
      </c>
      <c r="AF2348">
        <v>7.4441180657103104E-2</v>
      </c>
      <c r="AG2348">
        <v>-0.102297</v>
      </c>
      <c r="AH2348">
        <v>0.26721361413535299</v>
      </c>
      <c r="AI2348">
        <v>110.243241847165</v>
      </c>
      <c r="AJ2348">
        <v>74.433064860115195</v>
      </c>
      <c r="AK2348">
        <v>0.29565060657116998</v>
      </c>
      <c r="AL2348">
        <v>87.007566974331397</v>
      </c>
      <c r="AM2348">
        <v>90.884799783091694</v>
      </c>
      <c r="AN2348">
        <v>1.00000003513416</v>
      </c>
    </row>
    <row r="2349" spans="1:40" x14ac:dyDescent="0.25">
      <c r="A2349" t="str">
        <f>"20190312160647595"</f>
        <v>20190312160647595</v>
      </c>
      <c r="B2349" t="str">
        <f>"1552378007587489"</f>
        <v>1552378007587489</v>
      </c>
      <c r="C2349" t="s">
        <v>40</v>
      </c>
      <c r="D2349">
        <v>6.0255739999999998</v>
      </c>
      <c r="E2349">
        <v>0.54447230000000002</v>
      </c>
      <c r="F2349" t="s">
        <v>44</v>
      </c>
      <c r="G2349">
        <v>-395.35879999999997</v>
      </c>
      <c r="H2349">
        <v>1.015352</v>
      </c>
      <c r="I2349">
        <v>285.02140000000003</v>
      </c>
      <c r="J2349">
        <v>-395.10359999999997</v>
      </c>
      <c r="K2349">
        <v>1.109278</v>
      </c>
      <c r="L2349">
        <v>284.94139999999999</v>
      </c>
      <c r="M2349">
        <v>-0.99986450000000004</v>
      </c>
      <c r="N2349">
        <v>0</v>
      </c>
      <c r="O2349">
        <v>8.2545029999999998E-3</v>
      </c>
      <c r="P2349">
        <v>-0.99926199999999998</v>
      </c>
      <c r="Q2349">
        <v>3.7697019999999998E-2</v>
      </c>
      <c r="R2349">
        <v>-7.3896169999999898E-3</v>
      </c>
      <c r="S2349">
        <v>-3.0192260000000002</v>
      </c>
      <c r="T2349">
        <v>-0.38034709999999999</v>
      </c>
      <c r="U2349">
        <v>0.338501</v>
      </c>
      <c r="V2349">
        <v>-1.5636440000000001E-2</v>
      </c>
      <c r="W2349">
        <v>5.1924539999999998E-2</v>
      </c>
      <c r="X2349">
        <v>0.99852859999999999</v>
      </c>
      <c r="Y2349">
        <v>0.1024741</v>
      </c>
      <c r="Z2349">
        <v>5.3767909999999997E-3</v>
      </c>
      <c r="AA2349">
        <v>0.99472110000000002</v>
      </c>
      <c r="AB2349">
        <v>50</v>
      </c>
      <c r="AC2349">
        <v>-0.25520000000000198</v>
      </c>
      <c r="AD2349">
        <v>-9.3925999999999898E-2</v>
      </c>
      <c r="AE2349">
        <v>8.00000000000409E-2</v>
      </c>
      <c r="AF2349">
        <v>6.93383669556593E-2</v>
      </c>
      <c r="AG2349">
        <v>-9.3925999999999898E-2</v>
      </c>
      <c r="AH2349">
        <v>0.22775997959855501</v>
      </c>
      <c r="AI2349">
        <v>111.529893564695</v>
      </c>
      <c r="AJ2349">
        <v>73.067856477280301</v>
      </c>
      <c r="AK2349">
        <v>0.25593849049099998</v>
      </c>
      <c r="AL2349">
        <v>87.023604541171295</v>
      </c>
      <c r="AM2349">
        <v>90.897148863380906</v>
      </c>
      <c r="AN2349">
        <v>1.0000000105640201</v>
      </c>
    </row>
    <row r="2350" spans="1:40" x14ac:dyDescent="0.25">
      <c r="A2350" t="str">
        <f>"20190312160647616"</f>
        <v>20190312160647616</v>
      </c>
      <c r="B2350" t="str">
        <f>"1552378007607010"</f>
        <v>1552378007607010</v>
      </c>
      <c r="C2350" t="s">
        <v>40</v>
      </c>
      <c r="D2350">
        <v>5.771528</v>
      </c>
      <c r="E2350">
        <v>0.54451079999999996</v>
      </c>
      <c r="F2350" t="s">
        <v>44</v>
      </c>
      <c r="G2350">
        <v>-396.22660000000002</v>
      </c>
      <c r="H2350">
        <v>0.96832059999999998</v>
      </c>
      <c r="I2350">
        <v>285.06849999999997</v>
      </c>
      <c r="J2350">
        <v>-395.5865</v>
      </c>
      <c r="K2350">
        <v>1.1092839999999999</v>
      </c>
      <c r="L2350">
        <v>284.94540000000001</v>
      </c>
      <c r="M2350">
        <v>-0.99986330000000001</v>
      </c>
      <c r="N2350">
        <v>0</v>
      </c>
      <c r="O2350">
        <v>8.2541909999999993E-3</v>
      </c>
      <c r="P2350">
        <v>-0.99926689999999996</v>
      </c>
      <c r="Q2350">
        <v>3.755402E-2</v>
      </c>
      <c r="R2350">
        <v>-7.4578350000000003E-3</v>
      </c>
      <c r="S2350">
        <v>-3.0190730000000001</v>
      </c>
      <c r="T2350">
        <v>-0.37909359999999998</v>
      </c>
      <c r="U2350">
        <v>0.34045409999999998</v>
      </c>
      <c r="V2350">
        <v>-1.5704570000000001E-2</v>
      </c>
      <c r="W2350">
        <v>5.1874539999999997E-2</v>
      </c>
      <c r="X2350">
        <v>0.99853009999999998</v>
      </c>
      <c r="Y2350">
        <v>0.1031152</v>
      </c>
      <c r="Z2350">
        <v>5.3992919999999896E-3</v>
      </c>
      <c r="AA2350">
        <v>0.99465479999999995</v>
      </c>
      <c r="AB2350">
        <v>50</v>
      </c>
      <c r="AC2350">
        <v>-0.64010000000001799</v>
      </c>
      <c r="AD2350">
        <v>-0.14096339999999899</v>
      </c>
      <c r="AE2350">
        <v>0.123099999999965</v>
      </c>
      <c r="AF2350">
        <v>0.112548152217348</v>
      </c>
      <c r="AG2350">
        <v>-0.14096339999999899</v>
      </c>
      <c r="AH2350">
        <v>0.61245151673834197</v>
      </c>
      <c r="AI2350">
        <v>102.75518185025901</v>
      </c>
      <c r="AJ2350">
        <v>79.587125173320501</v>
      </c>
      <c r="AK2350">
        <v>0.63846270608563704</v>
      </c>
      <c r="AL2350">
        <v>87.026473108221296</v>
      </c>
      <c r="AM2350">
        <v>90.9010558610657</v>
      </c>
      <c r="AN2350">
        <v>0.99999998101255305</v>
      </c>
    </row>
    <row r="2351" spans="1:40" x14ac:dyDescent="0.25">
      <c r="A2351" t="str">
        <f>"20190312160647629"</f>
        <v>20190312160647629</v>
      </c>
      <c r="B2351" t="str">
        <f>"1552378007617745"</f>
        <v>1552378007617745</v>
      </c>
      <c r="C2351" t="s">
        <v>40</v>
      </c>
      <c r="D2351">
        <v>6.0269779999999997</v>
      </c>
      <c r="E2351">
        <v>0.5446377</v>
      </c>
      <c r="F2351" t="s">
        <v>44</v>
      </c>
      <c r="G2351">
        <v>-396.67380000000003</v>
      </c>
      <c r="H2351">
        <v>0.97332129999999994</v>
      </c>
      <c r="I2351">
        <v>285.06830000000002</v>
      </c>
      <c r="J2351">
        <v>-395.87009999999998</v>
      </c>
      <c r="K2351">
        <v>1.1092900000000001</v>
      </c>
      <c r="L2351">
        <v>284.9477</v>
      </c>
      <c r="M2351">
        <v>-0.99986249999999999</v>
      </c>
      <c r="N2351">
        <v>0</v>
      </c>
      <c r="O2351">
        <v>8.2541360000000005E-3</v>
      </c>
      <c r="P2351">
        <v>-0.99928050000000002</v>
      </c>
      <c r="Q2351">
        <v>3.7195060000000002E-2</v>
      </c>
      <c r="R2351">
        <v>-7.4343899999999999E-3</v>
      </c>
      <c r="S2351">
        <v>-3.0189210000000002</v>
      </c>
      <c r="T2351">
        <v>-0.37763039999999998</v>
      </c>
      <c r="U2351">
        <v>0.34060669999999998</v>
      </c>
      <c r="V2351">
        <v>-1.568102E-2</v>
      </c>
      <c r="W2351">
        <v>5.1564529999999997E-2</v>
      </c>
      <c r="X2351">
        <v>0.9985465</v>
      </c>
      <c r="Y2351">
        <v>0.10317560000000001</v>
      </c>
      <c r="Z2351">
        <v>5.3826219999999897E-3</v>
      </c>
      <c r="AA2351">
        <v>0.99464859999999999</v>
      </c>
      <c r="AB2351">
        <v>50</v>
      </c>
      <c r="AC2351">
        <v>-0.80370000000004804</v>
      </c>
      <c r="AD2351">
        <v>-0.135968699999999</v>
      </c>
      <c r="AE2351">
        <v>0.12060000000002399</v>
      </c>
      <c r="AF2351">
        <v>0.11085831268006099</v>
      </c>
      <c r="AG2351">
        <v>-0.135968699999999</v>
      </c>
      <c r="AH2351">
        <v>0.78275793508314995</v>
      </c>
      <c r="AI2351">
        <v>99.758734333479893</v>
      </c>
      <c r="AJ2351">
        <v>81.939078406720299</v>
      </c>
      <c r="AK2351">
        <v>0.80217643807680905</v>
      </c>
      <c r="AL2351">
        <v>87.044259097034896</v>
      </c>
      <c r="AM2351">
        <v>90.899690118645196</v>
      </c>
      <c r="AN2351">
        <v>0.99999995390230401</v>
      </c>
    </row>
    <row r="2352" spans="1:40" x14ac:dyDescent="0.25">
      <c r="A2352" t="str">
        <f>"20190312160647642"</f>
        <v>20190312160647642</v>
      </c>
      <c r="B2352" t="str">
        <f>"1552378007637265"</f>
        <v>1552378007637265</v>
      </c>
      <c r="C2352" t="s">
        <v>40</v>
      </c>
      <c r="D2352">
        <v>6.028009</v>
      </c>
      <c r="E2352">
        <v>0.54481169999999901</v>
      </c>
      <c r="F2352" t="s">
        <v>44</v>
      </c>
      <c r="G2352">
        <v>-396.6902</v>
      </c>
      <c r="H2352">
        <v>1.0070049999999999</v>
      </c>
      <c r="I2352">
        <v>285.04090000000002</v>
      </c>
      <c r="J2352">
        <v>-396.15550000000002</v>
      </c>
      <c r="K2352">
        <v>1.109294</v>
      </c>
      <c r="L2352">
        <v>284.95010000000002</v>
      </c>
      <c r="M2352">
        <v>-0.99986200000000003</v>
      </c>
      <c r="N2352">
        <v>0</v>
      </c>
      <c r="O2352">
        <v>8.2541650000000008E-3</v>
      </c>
      <c r="P2352">
        <v>-0.99928530000000004</v>
      </c>
      <c r="Q2352">
        <v>3.7096570000000002E-2</v>
      </c>
      <c r="R2352">
        <v>-7.2714959999999997E-3</v>
      </c>
      <c r="S2352">
        <v>-3.018707</v>
      </c>
      <c r="T2352">
        <v>-0.37662319999999999</v>
      </c>
      <c r="U2352">
        <v>0.34188839999999998</v>
      </c>
      <c r="V2352">
        <v>-1.5518219999999999E-2</v>
      </c>
      <c r="W2352">
        <v>5.1511679999999997E-2</v>
      </c>
      <c r="X2352">
        <v>0.99855179999999999</v>
      </c>
      <c r="Y2352">
        <v>0.103601</v>
      </c>
      <c r="Z2352">
        <v>5.3949669999999996E-3</v>
      </c>
      <c r="AA2352">
        <v>0.9946043</v>
      </c>
      <c r="AB2352">
        <v>50</v>
      </c>
      <c r="AC2352">
        <v>-0.53469999999998596</v>
      </c>
      <c r="AD2352">
        <v>-0.102289</v>
      </c>
      <c r="AE2352">
        <v>9.0800000000001505E-2</v>
      </c>
      <c r="AF2352">
        <v>8.3415797479117496E-2</v>
      </c>
      <c r="AG2352">
        <v>-0.102289</v>
      </c>
      <c r="AH2352">
        <v>0.51703992940805399</v>
      </c>
      <c r="AI2352">
        <v>101.05133557787801</v>
      </c>
      <c r="AJ2352">
        <v>80.835248721221703</v>
      </c>
      <c r="AK2352">
        <v>0.53362114219018997</v>
      </c>
      <c r="AL2352">
        <v>87.0472912941309</v>
      </c>
      <c r="AM2352">
        <v>90.890346342455302</v>
      </c>
      <c r="AN2352">
        <v>0.99999998280581504</v>
      </c>
    </row>
    <row r="2353" spans="1:40" x14ac:dyDescent="0.25">
      <c r="A2353" t="str">
        <f>"20190312160647654"</f>
        <v>20190312160647654</v>
      </c>
      <c r="B2353" t="str">
        <f>"1552378007647026"</f>
        <v>1552378007647026</v>
      </c>
      <c r="C2353" t="s">
        <v>40</v>
      </c>
      <c r="D2353">
        <v>6.0285229999999999</v>
      </c>
      <c r="E2353">
        <v>0.54488080000000005</v>
      </c>
      <c r="F2353" t="s">
        <v>44</v>
      </c>
      <c r="G2353">
        <v>-397.1259</v>
      </c>
      <c r="H2353">
        <v>0.98915200000000003</v>
      </c>
      <c r="I2353">
        <v>285.06110000000001</v>
      </c>
      <c r="J2353">
        <v>-396.42680000000001</v>
      </c>
      <c r="K2353">
        <v>1.109289</v>
      </c>
      <c r="L2353">
        <v>284.95229999999998</v>
      </c>
      <c r="M2353">
        <v>-0.99986120000000001</v>
      </c>
      <c r="N2353">
        <v>0</v>
      </c>
      <c r="O2353">
        <v>8.2542259999999999E-3</v>
      </c>
      <c r="P2353">
        <v>-0.99928930000000005</v>
      </c>
      <c r="Q2353">
        <v>3.6922450000000002E-2</v>
      </c>
      <c r="R2353">
        <v>-7.6009989999999998E-3</v>
      </c>
      <c r="S2353">
        <v>-3.0185240000000002</v>
      </c>
      <c r="T2353">
        <v>-0.37392710000000001</v>
      </c>
      <c r="U2353">
        <v>0.34384160000000002</v>
      </c>
      <c r="V2353">
        <v>-1.5848299999999999E-2</v>
      </c>
      <c r="W2353">
        <v>5.1377859999999997E-2</v>
      </c>
      <c r="X2353">
        <v>0.99855349999999998</v>
      </c>
      <c r="Y2353">
        <v>0.10424849999999999</v>
      </c>
      <c r="Z2353">
        <v>5.3965840000000003E-3</v>
      </c>
      <c r="AA2353">
        <v>0.99453659999999999</v>
      </c>
      <c r="AB2353">
        <v>50</v>
      </c>
      <c r="AC2353">
        <v>-0.69909999999998695</v>
      </c>
      <c r="AD2353">
        <v>-0.12013699999999899</v>
      </c>
      <c r="AE2353">
        <v>0.10880000000003</v>
      </c>
      <c r="AF2353">
        <v>0.100137936628346</v>
      </c>
      <c r="AG2353">
        <v>-0.12013699999999899</v>
      </c>
      <c r="AH2353">
        <v>0.68035794450395504</v>
      </c>
      <c r="AI2353">
        <v>99.909399950682797</v>
      </c>
      <c r="AJ2353">
        <v>81.627082784528199</v>
      </c>
      <c r="AK2353">
        <v>0.69810274155802399</v>
      </c>
      <c r="AL2353">
        <v>87.054968752016507</v>
      </c>
      <c r="AM2353">
        <v>90.909279742937201</v>
      </c>
      <c r="AN2353">
        <v>0.99999997273665897</v>
      </c>
    </row>
    <row r="2354" spans="1:40" x14ac:dyDescent="0.25">
      <c r="A2354" t="str">
        <f>"20190312160647673"</f>
        <v>20190312160647673</v>
      </c>
      <c r="B2354" t="str">
        <f>"1552378007667521"</f>
        <v>1552378007667521</v>
      </c>
      <c r="C2354" t="s">
        <v>40</v>
      </c>
      <c r="D2354">
        <v>6.0325059999999997</v>
      </c>
      <c r="E2354">
        <v>0.54499940000000002</v>
      </c>
      <c r="F2354" t="s">
        <v>44</v>
      </c>
      <c r="G2354">
        <v>-397.56049999999999</v>
      </c>
      <c r="H2354">
        <v>0.96920280000000003</v>
      </c>
      <c r="I2354">
        <v>285.0813</v>
      </c>
      <c r="J2354">
        <v>-396.85270000000003</v>
      </c>
      <c r="K2354">
        <v>1.109294</v>
      </c>
      <c r="L2354">
        <v>284.95580000000001</v>
      </c>
      <c r="M2354">
        <v>-0.99986059999999999</v>
      </c>
      <c r="N2354">
        <v>0</v>
      </c>
      <c r="O2354">
        <v>8.2538170000000001E-3</v>
      </c>
      <c r="P2354">
        <v>-0.99929789999999996</v>
      </c>
      <c r="Q2354">
        <v>3.6680329999999997E-2</v>
      </c>
      <c r="R2354">
        <v>-7.6292449999999998E-3</v>
      </c>
      <c r="S2354">
        <v>-3.0185240000000002</v>
      </c>
      <c r="T2354">
        <v>-0.37303510000000001</v>
      </c>
      <c r="U2354">
        <v>0.34323120000000001</v>
      </c>
      <c r="V2354">
        <v>-1.5876060000000001E-2</v>
      </c>
      <c r="W2354">
        <v>5.119261E-2</v>
      </c>
      <c r="X2354">
        <v>0.99856259999999997</v>
      </c>
      <c r="Y2354">
        <v>0.1040552</v>
      </c>
      <c r="Z2354">
        <v>5.3720579999999999E-3</v>
      </c>
      <c r="AA2354">
        <v>0.99455700000000002</v>
      </c>
      <c r="AB2354">
        <v>50</v>
      </c>
      <c r="AC2354">
        <v>-0.70779999999996301</v>
      </c>
      <c r="AD2354">
        <v>-0.140091199999999</v>
      </c>
      <c r="AE2354">
        <v>0.12549999999998801</v>
      </c>
      <c r="AF2354">
        <v>0.11527489479354799</v>
      </c>
      <c r="AG2354">
        <v>-0.140091199999999</v>
      </c>
      <c r="AH2354">
        <v>0.68287608545113898</v>
      </c>
      <c r="AI2354">
        <v>101.435863531534</v>
      </c>
      <c r="AJ2354">
        <v>80.418350164298204</v>
      </c>
      <c r="AK2354">
        <v>0.70656464231390403</v>
      </c>
      <c r="AL2354">
        <v>87.065596859659394</v>
      </c>
      <c r="AM2354">
        <v>90.910863876510305</v>
      </c>
      <c r="AN2354">
        <v>0.99999999935924699</v>
      </c>
    </row>
    <row r="2355" spans="1:40" x14ac:dyDescent="0.25">
      <c r="A2355" t="str">
        <f>"20190312160647696"</f>
        <v>20190312160647696</v>
      </c>
      <c r="B2355" t="str">
        <f>"1552378007688017"</f>
        <v>1552378007688017</v>
      </c>
      <c r="C2355" t="s">
        <v>40</v>
      </c>
      <c r="D2355">
        <v>6.0810230000000001</v>
      </c>
      <c r="E2355">
        <v>0.54507299999999903</v>
      </c>
      <c r="F2355" t="s">
        <v>44</v>
      </c>
      <c r="G2355">
        <v>-397.5849</v>
      </c>
      <c r="H2355">
        <v>1.019188</v>
      </c>
      <c r="I2355">
        <v>285.03930000000003</v>
      </c>
      <c r="J2355">
        <v>-397.35759999999999</v>
      </c>
      <c r="K2355">
        <v>1.109305</v>
      </c>
      <c r="L2355">
        <v>284.95999999999998</v>
      </c>
      <c r="M2355">
        <v>-0.99985959999999996</v>
      </c>
      <c r="N2355">
        <v>0</v>
      </c>
      <c r="O2355">
        <v>8.2538730000000001E-3</v>
      </c>
      <c r="P2355">
        <v>-0.99931899999999996</v>
      </c>
      <c r="Q2355">
        <v>3.6143019999999998E-2</v>
      </c>
      <c r="R2355">
        <v>-7.4471779999999996E-3</v>
      </c>
      <c r="S2355">
        <v>-3.0183719999999998</v>
      </c>
      <c r="T2355">
        <v>-0.37145109999999998</v>
      </c>
      <c r="U2355">
        <v>0.34384160000000002</v>
      </c>
      <c r="V2355">
        <v>-1.5694079999999999E-2</v>
      </c>
      <c r="W2355">
        <v>5.0713069999999999E-2</v>
      </c>
      <c r="X2355">
        <v>0.99858990000000003</v>
      </c>
      <c r="Y2355">
        <v>0.1042638</v>
      </c>
      <c r="Z2355">
        <v>5.3623639999999997E-3</v>
      </c>
      <c r="AA2355">
        <v>0.99453519999999895</v>
      </c>
      <c r="AB2355">
        <v>50</v>
      </c>
      <c r="AC2355">
        <v>-0.22730000000001299</v>
      </c>
      <c r="AD2355">
        <v>-9.0117000000000003E-2</v>
      </c>
      <c r="AE2355">
        <v>7.9300000000046098E-2</v>
      </c>
      <c r="AF2355">
        <v>6.7905397648937105E-2</v>
      </c>
      <c r="AG2355">
        <v>-9.0117000000000003E-2</v>
      </c>
      <c r="AH2355">
        <v>0.199930552808156</v>
      </c>
      <c r="AI2355">
        <v>113.112592890374</v>
      </c>
      <c r="AJ2355">
        <v>71.240204936343503</v>
      </c>
      <c r="AK2355">
        <v>0.22957448173748601</v>
      </c>
      <c r="AL2355">
        <v>87.093108081666401</v>
      </c>
      <c r="AM2355">
        <v>90.900400178020206</v>
      </c>
      <c r="AN2355">
        <v>0.99999995399893904</v>
      </c>
    </row>
    <row r="2356" spans="1:40" x14ac:dyDescent="0.25">
      <c r="A2356" t="str">
        <f>"20190312160647717"</f>
        <v>20190312160647717</v>
      </c>
      <c r="B2356" t="str">
        <f>"1552378007707537"</f>
        <v>1552378007707537</v>
      </c>
      <c r="C2356" t="s">
        <v>40</v>
      </c>
      <c r="D2356">
        <v>6.0774499999999998</v>
      </c>
      <c r="E2356">
        <v>0.54530559999999995</v>
      </c>
      <c r="F2356" t="s">
        <v>44</v>
      </c>
      <c r="G2356">
        <v>-398.45069999999998</v>
      </c>
      <c r="H2356">
        <v>0.97504279999999999</v>
      </c>
      <c r="I2356">
        <v>285.08510000000001</v>
      </c>
      <c r="J2356">
        <v>-397.82310000000001</v>
      </c>
      <c r="K2356">
        <v>1.109308</v>
      </c>
      <c r="L2356">
        <v>284.96390000000002</v>
      </c>
      <c r="M2356">
        <v>-0.99985900000000005</v>
      </c>
      <c r="N2356">
        <v>0</v>
      </c>
      <c r="O2356">
        <v>8.2533580000000006E-3</v>
      </c>
      <c r="P2356">
        <v>-0.99931619999999999</v>
      </c>
      <c r="Q2356">
        <v>3.6256379999999998E-2</v>
      </c>
      <c r="R2356">
        <v>-7.2706659999999899E-3</v>
      </c>
      <c r="S2356">
        <v>-3.0179749999999999</v>
      </c>
      <c r="T2356">
        <v>-0.37072749999999999</v>
      </c>
      <c r="U2356">
        <v>0.34451290000000001</v>
      </c>
      <c r="V2356">
        <v>-1.5517299999999999E-2</v>
      </c>
      <c r="W2356">
        <v>5.087212E-2</v>
      </c>
      <c r="X2356">
        <v>0.99858460000000004</v>
      </c>
      <c r="Y2356">
        <v>0.1044983</v>
      </c>
      <c r="Z2356">
        <v>5.366984E-3</v>
      </c>
      <c r="AA2356">
        <v>0.99451060000000002</v>
      </c>
      <c r="AB2356">
        <v>50</v>
      </c>
      <c r="AC2356">
        <v>-0.62759999999997196</v>
      </c>
      <c r="AD2356">
        <v>-0.134265199999999</v>
      </c>
      <c r="AE2356">
        <v>0.121199999999987</v>
      </c>
      <c r="AF2356">
        <v>0.111112939536911</v>
      </c>
      <c r="AG2356">
        <v>-0.134265199999999</v>
      </c>
      <c r="AH2356">
        <v>0.60201661286129404</v>
      </c>
      <c r="AI2356">
        <v>102.37032711793</v>
      </c>
      <c r="AJ2356">
        <v>79.542722152384599</v>
      </c>
      <c r="AK2356">
        <v>0.62673537591599104</v>
      </c>
      <c r="AL2356">
        <v>87.083983489194694</v>
      </c>
      <c r="AM2356">
        <v>90.890264328322104</v>
      </c>
      <c r="AN2356">
        <v>0.999999981274872</v>
      </c>
    </row>
    <row r="2357" spans="1:40" x14ac:dyDescent="0.25">
      <c r="A2357" t="str">
        <f>"20190312160647739"</f>
        <v>20190312160647739</v>
      </c>
      <c r="B2357" t="str">
        <f>"1552378007727051"</f>
        <v>1552378007727051</v>
      </c>
      <c r="C2357" t="s">
        <v>40</v>
      </c>
      <c r="D2357">
        <v>6.0773260000000002</v>
      </c>
      <c r="E2357">
        <v>0.54536309999999999</v>
      </c>
      <c r="F2357" t="s">
        <v>44</v>
      </c>
      <c r="G2357">
        <v>-398.89550000000003</v>
      </c>
      <c r="H2357">
        <v>0.97853369999999995</v>
      </c>
      <c r="I2357">
        <v>285.08769999999998</v>
      </c>
      <c r="J2357">
        <v>-398.31209999999999</v>
      </c>
      <c r="K2357">
        <v>1.1093170000000001</v>
      </c>
      <c r="L2357">
        <v>284.96789999999999</v>
      </c>
      <c r="M2357">
        <v>-0.99985829999999998</v>
      </c>
      <c r="N2357">
        <v>0</v>
      </c>
      <c r="O2357">
        <v>8.2532349999999994E-3</v>
      </c>
      <c r="P2357">
        <v>-0.99931449999999999</v>
      </c>
      <c r="Q2357">
        <v>3.640815E-2</v>
      </c>
      <c r="R2357">
        <v>-6.7097479999999998E-3</v>
      </c>
      <c r="S2357">
        <v>-3.017944</v>
      </c>
      <c r="T2357">
        <v>-0.36811470000000002</v>
      </c>
      <c r="U2357">
        <v>0.34759519999999999</v>
      </c>
      <c r="V2357">
        <v>-1.495575E-2</v>
      </c>
      <c r="W2357">
        <v>5.106451E-2</v>
      </c>
      <c r="X2357">
        <v>0.99858340000000001</v>
      </c>
      <c r="Y2357">
        <v>0.10550470000000001</v>
      </c>
      <c r="Z2357">
        <v>5.3901510000000001E-3</v>
      </c>
      <c r="AA2357">
        <v>0.99440419999999996</v>
      </c>
      <c r="AB2357">
        <v>50</v>
      </c>
      <c r="AC2357">
        <v>-0.58340000000004</v>
      </c>
      <c r="AD2357">
        <v>-0.13078329999999999</v>
      </c>
      <c r="AE2357">
        <v>0.11979999999999701</v>
      </c>
      <c r="AF2357">
        <v>0.109691075780182</v>
      </c>
      <c r="AG2357">
        <v>-0.13078329999999999</v>
      </c>
      <c r="AH2357">
        <v>0.55748654281287102</v>
      </c>
      <c r="AI2357">
        <v>102.962623154654</v>
      </c>
      <c r="AJ2357">
        <v>78.868674288305698</v>
      </c>
      <c r="AK2357">
        <v>0.583033145783454</v>
      </c>
      <c r="AL2357">
        <v>87.072946158861697</v>
      </c>
      <c r="AM2357">
        <v>90.858052810307797</v>
      </c>
      <c r="AN2357">
        <v>1.00000003269758</v>
      </c>
    </row>
    <row r="2358" spans="1:40" x14ac:dyDescent="0.25">
      <c r="A2358" t="str">
        <f>"20190312160647762"</f>
        <v>20190312160647762</v>
      </c>
      <c r="B2358" t="str">
        <f>"1552378007757311"</f>
        <v>1552378007757311</v>
      </c>
      <c r="C2358" t="s">
        <v>40</v>
      </c>
      <c r="D2358">
        <v>6.0792599999999997</v>
      </c>
      <c r="E2358">
        <v>0.54548769999999902</v>
      </c>
      <c r="F2358" t="s">
        <v>44</v>
      </c>
      <c r="G2358">
        <v>-399.34129999999999</v>
      </c>
      <c r="H2358">
        <v>0.98464669999999999</v>
      </c>
      <c r="I2358">
        <v>285.08730000000003</v>
      </c>
      <c r="J2358">
        <v>-398.81790000000001</v>
      </c>
      <c r="K2358">
        <v>1.1093280000000001</v>
      </c>
      <c r="L2358">
        <v>284.97210000000001</v>
      </c>
      <c r="M2358">
        <v>-0.99985789999999997</v>
      </c>
      <c r="N2358">
        <v>0</v>
      </c>
      <c r="O2358">
        <v>8.2529649999999993E-3</v>
      </c>
      <c r="P2358">
        <v>-0.99931130000000001</v>
      </c>
      <c r="Q2358">
        <v>3.658935E-2</v>
      </c>
      <c r="R2358">
        <v>-6.2014510000000002E-3</v>
      </c>
      <c r="S2358">
        <v>-3.0177610000000001</v>
      </c>
      <c r="T2358">
        <v>-0.36556739999999999</v>
      </c>
      <c r="U2358">
        <v>0.3494873</v>
      </c>
      <c r="V2358">
        <v>-1.444752E-2</v>
      </c>
      <c r="W2358">
        <v>5.1282620000000001E-2</v>
      </c>
      <c r="X2358">
        <v>0.99857969999999896</v>
      </c>
      <c r="Y2358">
        <v>0.1061323</v>
      </c>
      <c r="Z2358">
        <v>5.3910360000000001E-3</v>
      </c>
      <c r="AA2358">
        <v>0.99433740000000004</v>
      </c>
      <c r="AB2358">
        <v>50</v>
      </c>
      <c r="AC2358">
        <v>-0.52339999999998099</v>
      </c>
      <c r="AD2358">
        <v>-0.12468129999999999</v>
      </c>
      <c r="AE2358">
        <v>0.115200000000015</v>
      </c>
      <c r="AF2358">
        <v>0.10518307586098501</v>
      </c>
      <c r="AG2358">
        <v>-0.12468129999999999</v>
      </c>
      <c r="AH2358">
        <v>0.49741112349917199</v>
      </c>
      <c r="AI2358">
        <v>103.77913328843501</v>
      </c>
      <c r="AJ2358">
        <v>78.060068544265803</v>
      </c>
      <c r="AK2358">
        <v>0.52347562674682002</v>
      </c>
      <c r="AL2358">
        <v>87.060432966698997</v>
      </c>
      <c r="AM2358">
        <v>90.828901457935402</v>
      </c>
      <c r="AN2358">
        <v>1.0000000276001499</v>
      </c>
    </row>
    <row r="2359" spans="1:40" x14ac:dyDescent="0.25">
      <c r="A2359" t="str">
        <f>"20190312160647784"</f>
        <v>20190312160647784</v>
      </c>
      <c r="B2359" t="str">
        <f>"1552378007777803"</f>
        <v>1552378007777803</v>
      </c>
      <c r="C2359" t="s">
        <v>40</v>
      </c>
      <c r="D2359">
        <v>6.0816589999999904</v>
      </c>
      <c r="E2359">
        <v>0.54559959999999996</v>
      </c>
      <c r="F2359" t="s">
        <v>44</v>
      </c>
      <c r="G2359">
        <v>-399.7878</v>
      </c>
      <c r="H2359">
        <v>0.9928787</v>
      </c>
      <c r="I2359">
        <v>285.08539999999999</v>
      </c>
      <c r="J2359">
        <v>-399.31900000000002</v>
      </c>
      <c r="K2359">
        <v>1.1093420000000001</v>
      </c>
      <c r="L2359">
        <v>284.97629999999998</v>
      </c>
      <c r="M2359">
        <v>-0.99985749999999995</v>
      </c>
      <c r="N2359">
        <v>0</v>
      </c>
      <c r="O2359">
        <v>8.2525569999999902E-3</v>
      </c>
      <c r="P2359">
        <v>-0.99930039999999998</v>
      </c>
      <c r="Q2359">
        <v>3.684316E-2</v>
      </c>
      <c r="R2359">
        <v>-6.4694770000000004E-3</v>
      </c>
      <c r="S2359">
        <v>-3.017487</v>
      </c>
      <c r="T2359">
        <v>-0.36230780000000001</v>
      </c>
      <c r="U2359">
        <v>0.35186770000000001</v>
      </c>
      <c r="V2359">
        <v>-1.471539E-2</v>
      </c>
      <c r="W2359">
        <v>5.1567389999999998E-2</v>
      </c>
      <c r="X2359">
        <v>0.99856109999999998</v>
      </c>
      <c r="Y2359">
        <v>0.1069238</v>
      </c>
      <c r="Z2359">
        <v>5.390784E-3</v>
      </c>
      <c r="AA2359">
        <v>0.99425260000000004</v>
      </c>
      <c r="AB2359">
        <v>50</v>
      </c>
      <c r="AC2359">
        <v>-0.468799999999987</v>
      </c>
      <c r="AD2359">
        <v>-0.11646330000000001</v>
      </c>
      <c r="AE2359">
        <v>0.10910000000001201</v>
      </c>
      <c r="AF2359">
        <v>9.9407180424469402E-2</v>
      </c>
      <c r="AG2359">
        <v>-0.11646330000000001</v>
      </c>
      <c r="AH2359">
        <v>0.44370723391275002</v>
      </c>
      <c r="AI2359">
        <v>104.36625021109</v>
      </c>
      <c r="AJ2359">
        <v>77.372102323799794</v>
      </c>
      <c r="AK2359">
        <v>0.46938427454840997</v>
      </c>
      <c r="AL2359">
        <v>87.044095162267894</v>
      </c>
      <c r="AM2359">
        <v>90.844283555068003</v>
      </c>
      <c r="AN2359">
        <v>1.00000000442373</v>
      </c>
    </row>
    <row r="2360" spans="1:40" x14ac:dyDescent="0.25">
      <c r="A2360" t="str">
        <f>"20190312160647807"</f>
        <v>20190312160647807</v>
      </c>
      <c r="B2360" t="str">
        <f>"1552378007797323"</f>
        <v>1552378007797323</v>
      </c>
      <c r="C2360" t="s">
        <v>40</v>
      </c>
      <c r="D2360">
        <v>6.0827059999999999</v>
      </c>
      <c r="E2360">
        <v>0.54569639999999997</v>
      </c>
      <c r="F2360" t="s">
        <v>44</v>
      </c>
      <c r="G2360">
        <v>-400.2337</v>
      </c>
      <c r="H2360">
        <v>1.0004710000000001</v>
      </c>
      <c r="I2360">
        <v>285.08330000000001</v>
      </c>
      <c r="J2360">
        <v>-399.80759999999998</v>
      </c>
      <c r="K2360">
        <v>1.109354</v>
      </c>
      <c r="L2360">
        <v>284.9803</v>
      </c>
      <c r="M2360">
        <v>-0.999857</v>
      </c>
      <c r="N2360">
        <v>0</v>
      </c>
      <c r="O2360">
        <v>8.252367E-3</v>
      </c>
      <c r="P2360">
        <v>-0.999274</v>
      </c>
      <c r="Q2360">
        <v>3.7561450000000003E-2</v>
      </c>
      <c r="R2360">
        <v>-6.3708280000000003E-3</v>
      </c>
      <c r="S2360">
        <v>-3.0176699999999999</v>
      </c>
      <c r="T2360">
        <v>-0.35925580000000001</v>
      </c>
      <c r="U2360">
        <v>0.35217290000000001</v>
      </c>
      <c r="V2360">
        <v>-1.4616260000000001E-2</v>
      </c>
      <c r="W2360">
        <v>5.2310250000000003E-2</v>
      </c>
      <c r="X2360">
        <v>0.99852390000000002</v>
      </c>
      <c r="Y2360">
        <v>0.10702730000000001</v>
      </c>
      <c r="Z2360">
        <v>5.3514809999999999E-3</v>
      </c>
      <c r="AA2360">
        <v>0.99424170000000001</v>
      </c>
      <c r="AB2360">
        <v>49</v>
      </c>
      <c r="AC2360">
        <v>-0.42610000000001902</v>
      </c>
      <c r="AD2360">
        <v>-0.10888299999999999</v>
      </c>
      <c r="AE2360">
        <v>0.103000000000008</v>
      </c>
      <c r="AF2360">
        <v>9.3699213583737007E-2</v>
      </c>
      <c r="AG2360">
        <v>-0.10888299999999999</v>
      </c>
      <c r="AH2360">
        <v>0.40212724079604301</v>
      </c>
      <c r="AI2360">
        <v>104.77279516443301</v>
      </c>
      <c r="AJ2360">
        <v>76.883609508739497</v>
      </c>
      <c r="AK2360">
        <v>0.42701448231347999</v>
      </c>
      <c r="AL2360">
        <v>87.001474843764498</v>
      </c>
      <c r="AM2360">
        <v>90.838628104223503</v>
      </c>
      <c r="AN2360">
        <v>0.99999998809132995</v>
      </c>
    </row>
    <row r="2361" spans="1:40" x14ac:dyDescent="0.25">
      <c r="A2361" t="str">
        <f>"20190312160647828"</f>
        <v>20190312160647828</v>
      </c>
      <c r="B2361" t="str">
        <f>"1552378007817252"</f>
        <v>1552378007817252</v>
      </c>
      <c r="C2361" t="s">
        <v>40</v>
      </c>
      <c r="D2361">
        <v>6.1396759999999997</v>
      </c>
      <c r="E2361">
        <v>0.54579730000000004</v>
      </c>
      <c r="F2361" t="s">
        <v>44</v>
      </c>
      <c r="G2361">
        <v>-400.67869999999999</v>
      </c>
      <c r="H2361">
        <v>1.0069239999999999</v>
      </c>
      <c r="I2361">
        <v>285.08249999999998</v>
      </c>
      <c r="J2361">
        <v>-400.29230000000001</v>
      </c>
      <c r="K2361">
        <v>1.109361</v>
      </c>
      <c r="L2361">
        <v>284.98430000000002</v>
      </c>
      <c r="M2361">
        <v>-0.99985670000000004</v>
      </c>
      <c r="N2361">
        <v>0</v>
      </c>
      <c r="O2361">
        <v>8.2520279999999998E-3</v>
      </c>
      <c r="P2361">
        <v>-0.99925989999999998</v>
      </c>
      <c r="Q2361">
        <v>3.7851139999999998E-2</v>
      </c>
      <c r="R2361">
        <v>-6.8553750000000004E-3</v>
      </c>
      <c r="S2361">
        <v>-3.0177610000000001</v>
      </c>
      <c r="T2361">
        <v>-0.35500500000000001</v>
      </c>
      <c r="U2361">
        <v>0.35305789999999998</v>
      </c>
      <c r="V2361">
        <v>-1.510071E-2</v>
      </c>
      <c r="W2361">
        <v>5.2621670000000002E-2</v>
      </c>
      <c r="X2361">
        <v>0.99850030000000001</v>
      </c>
      <c r="Y2361">
        <v>0.107326</v>
      </c>
      <c r="Z2361">
        <v>5.3058330000000003E-3</v>
      </c>
      <c r="AA2361">
        <v>0.99420969999999997</v>
      </c>
      <c r="AB2361">
        <v>49</v>
      </c>
      <c r="AC2361">
        <v>-0.38639999999997998</v>
      </c>
      <c r="AD2361">
        <v>-0.102437</v>
      </c>
      <c r="AE2361">
        <v>9.81999999999629E-2</v>
      </c>
      <c r="AF2361">
        <v>8.9123993795912501E-2</v>
      </c>
      <c r="AG2361">
        <v>-0.102437</v>
      </c>
      <c r="AH2361">
        <v>0.363218552125602</v>
      </c>
      <c r="AI2361">
        <v>105.31768380475199</v>
      </c>
      <c r="AJ2361">
        <v>76.213544661133696</v>
      </c>
      <c r="AK2361">
        <v>0.38776815476177601</v>
      </c>
      <c r="AL2361">
        <v>86.983607099164701</v>
      </c>
      <c r="AM2361">
        <v>90.866440397870306</v>
      </c>
      <c r="AN2361">
        <v>0.99999996034809002</v>
      </c>
    </row>
    <row r="2362" spans="1:40" x14ac:dyDescent="0.25">
      <c r="A2362" t="str">
        <f>"20190312160647851"</f>
        <v>20190312160647851</v>
      </c>
      <c r="B2362" t="str">
        <f>"1552378007847503"</f>
        <v>1552378007847503</v>
      </c>
      <c r="C2362" t="s">
        <v>40</v>
      </c>
      <c r="D2362">
        <v>6.1125089999999904</v>
      </c>
      <c r="E2362">
        <v>0.54588000000000003</v>
      </c>
      <c r="F2362" t="s">
        <v>44</v>
      </c>
      <c r="G2362">
        <v>-401.12290000000002</v>
      </c>
      <c r="H2362">
        <v>1.012343</v>
      </c>
      <c r="I2362">
        <v>285.08139999999997</v>
      </c>
      <c r="J2362">
        <v>-400.7833</v>
      </c>
      <c r="K2362">
        <v>1.1093660000000001</v>
      </c>
      <c r="L2362">
        <v>284.98829999999998</v>
      </c>
      <c r="M2362">
        <v>-0.99985639999999998</v>
      </c>
      <c r="N2362">
        <v>0</v>
      </c>
      <c r="O2362">
        <v>8.2517709999999998E-3</v>
      </c>
      <c r="P2362">
        <v>-0.99927619999999895</v>
      </c>
      <c r="Q2362">
        <v>3.7379549999999998E-2</v>
      </c>
      <c r="R2362">
        <v>-7.0838369999999999E-3</v>
      </c>
      <c r="S2362">
        <v>-3.0180359999999999</v>
      </c>
      <c r="T2362">
        <v>-0.35262850000000001</v>
      </c>
      <c r="U2362">
        <v>0.3522034</v>
      </c>
      <c r="V2362">
        <v>-1.5328659999999999E-2</v>
      </c>
      <c r="W2362">
        <v>5.2168340000000001E-2</v>
      </c>
      <c r="X2362">
        <v>0.99852070000000004</v>
      </c>
      <c r="Y2362">
        <v>0.10704900000000001</v>
      </c>
      <c r="Z2362">
        <v>5.2541209999999996E-3</v>
      </c>
      <c r="AA2362">
        <v>0.99423989999999995</v>
      </c>
      <c r="AB2362">
        <v>49</v>
      </c>
      <c r="AC2362">
        <v>-0.339600000000018</v>
      </c>
      <c r="AD2362">
        <v>-9.7022999999999998E-2</v>
      </c>
      <c r="AE2362">
        <v>9.3099999999992605E-2</v>
      </c>
      <c r="AF2362">
        <v>8.3922988406983007E-2</v>
      </c>
      <c r="AG2362">
        <v>-9.7022999999999998E-2</v>
      </c>
      <c r="AH2362">
        <v>0.31634091321566499</v>
      </c>
      <c r="AI2362">
        <v>106.512414644054</v>
      </c>
      <c r="AJ2362">
        <v>75.142094993208801</v>
      </c>
      <c r="AK2362">
        <v>0.34136213012910499</v>
      </c>
      <c r="AL2362">
        <v>87.009616978100098</v>
      </c>
      <c r="AM2362">
        <v>90.879499584910405</v>
      </c>
      <c r="AN2362">
        <v>1.0000000459221099</v>
      </c>
    </row>
    <row r="2363" spans="1:40" x14ac:dyDescent="0.25">
      <c r="A2363" t="str">
        <f>"20190312160647873"</f>
        <v>20190312160647873</v>
      </c>
      <c r="B2363" t="str">
        <f>"1552378007868000"</f>
        <v>1552378007868000</v>
      </c>
      <c r="C2363" t="s">
        <v>40</v>
      </c>
      <c r="D2363">
        <v>5.735671</v>
      </c>
      <c r="E2363">
        <v>0.54588519999999996</v>
      </c>
      <c r="F2363" t="s">
        <v>44</v>
      </c>
      <c r="G2363">
        <v>-401.56689999999998</v>
      </c>
      <c r="H2363">
        <v>1.0178659999999999</v>
      </c>
      <c r="I2363">
        <v>285.08030000000002</v>
      </c>
      <c r="J2363">
        <v>-401.28840000000002</v>
      </c>
      <c r="K2363">
        <v>1.10937</v>
      </c>
      <c r="L2363">
        <v>284.99239999999998</v>
      </c>
      <c r="M2363">
        <v>-0.99985619999999997</v>
      </c>
      <c r="N2363">
        <v>0</v>
      </c>
      <c r="O2363">
        <v>8.2516519999999999E-3</v>
      </c>
      <c r="P2363">
        <v>-0.99927379999999999</v>
      </c>
      <c r="Q2363">
        <v>3.7348729999999997E-2</v>
      </c>
      <c r="R2363">
        <v>-7.5570869999999997E-3</v>
      </c>
      <c r="S2363">
        <v>-3.0178219999999998</v>
      </c>
      <c r="T2363">
        <v>-0.35256670000000001</v>
      </c>
      <c r="U2363">
        <v>0.35232540000000001</v>
      </c>
      <c r="V2363">
        <v>-1.5801470000000001E-2</v>
      </c>
      <c r="W2363">
        <v>5.215359E-2</v>
      </c>
      <c r="X2363">
        <v>0.99851409999999996</v>
      </c>
      <c r="Y2363">
        <v>0.1070967</v>
      </c>
      <c r="Z2363">
        <v>5.2563439999999996E-3</v>
      </c>
      <c r="AA2363">
        <v>0.99423470000000003</v>
      </c>
      <c r="AB2363">
        <v>49</v>
      </c>
      <c r="AC2363">
        <v>-0.27849999999995101</v>
      </c>
      <c r="AD2363">
        <v>-9.1504000000000002E-2</v>
      </c>
      <c r="AE2363">
        <v>8.7900000000047301E-2</v>
      </c>
      <c r="AF2363">
        <v>7.7946485407888899E-2</v>
      </c>
      <c r="AG2363">
        <v>-9.1504000000000002E-2</v>
      </c>
      <c r="AH2363">
        <v>0.25425511255949701</v>
      </c>
      <c r="AI2363">
        <v>108.98753804128999</v>
      </c>
      <c r="AJ2363">
        <v>72.956135568257594</v>
      </c>
      <c r="AK2363">
        <v>0.28123708657658397</v>
      </c>
      <c r="AL2363">
        <v>87.010463242027498</v>
      </c>
      <c r="AM2363">
        <v>90.9066291364215</v>
      </c>
      <c r="AN2363">
        <v>1.00000004565142</v>
      </c>
    </row>
    <row r="2364" spans="1:40" x14ac:dyDescent="0.25">
      <c r="A2364" t="str">
        <f>"20190312160647897"</f>
        <v>20190312160647897</v>
      </c>
      <c r="B2364" t="str">
        <f>"1552378007887520"</f>
        <v>1552378007887520</v>
      </c>
      <c r="C2364" t="s">
        <v>40</v>
      </c>
      <c r="D2364">
        <v>6.1991310000000004</v>
      </c>
      <c r="E2364">
        <v>0.54582469999999905</v>
      </c>
      <c r="F2364" t="s">
        <v>44</v>
      </c>
      <c r="G2364">
        <v>-402.01139999999998</v>
      </c>
      <c r="H2364">
        <v>1.0251779999999999</v>
      </c>
      <c r="I2364">
        <v>285.07679999999999</v>
      </c>
      <c r="J2364">
        <v>-401.77870000000001</v>
      </c>
      <c r="K2364">
        <v>1.1093770000000001</v>
      </c>
      <c r="L2364">
        <v>284.99650000000003</v>
      </c>
      <c r="M2364">
        <v>-0.99985590000000002</v>
      </c>
      <c r="N2364">
        <v>0</v>
      </c>
      <c r="O2364">
        <v>8.2515590000000003E-3</v>
      </c>
      <c r="P2364">
        <v>-0.99928260000000002</v>
      </c>
      <c r="Q2364">
        <v>3.715421E-2</v>
      </c>
      <c r="R2364">
        <v>-7.3467949999999997E-3</v>
      </c>
      <c r="S2364">
        <v>-3.017944</v>
      </c>
      <c r="T2364">
        <v>-0.35154000000000002</v>
      </c>
      <c r="U2364">
        <v>0.35086060000000002</v>
      </c>
      <c r="V2364">
        <v>-1.559117E-2</v>
      </c>
      <c r="W2364">
        <v>5.1971679999999999E-2</v>
      </c>
      <c r="X2364">
        <v>0.9985269</v>
      </c>
      <c r="Y2364">
        <v>0.106623</v>
      </c>
      <c r="Z2364">
        <v>5.2136819999999999E-3</v>
      </c>
      <c r="AA2364">
        <v>0.9942858</v>
      </c>
      <c r="AB2364">
        <v>49</v>
      </c>
      <c r="AC2364">
        <v>-0.23269999999996499</v>
      </c>
      <c r="AD2364">
        <v>-8.4198999999999899E-2</v>
      </c>
      <c r="AE2364">
        <v>8.0299999999965593E-2</v>
      </c>
      <c r="AF2364">
        <v>7.0167775270863306E-2</v>
      </c>
      <c r="AG2364">
        <v>-8.4198999999999899E-2</v>
      </c>
      <c r="AH2364">
        <v>0.208913342486827</v>
      </c>
      <c r="AI2364">
        <v>110.909808644954</v>
      </c>
      <c r="AJ2364">
        <v>71.434332055203399</v>
      </c>
      <c r="AK2364">
        <v>0.235918996599427</v>
      </c>
      <c r="AL2364">
        <v>87.020900099085907</v>
      </c>
      <c r="AM2364">
        <v>90.894553419049601</v>
      </c>
      <c r="AN2364">
        <v>1.00000005506379</v>
      </c>
    </row>
    <row r="2365" spans="1:40" x14ac:dyDescent="0.25">
      <c r="A2365" t="str">
        <f>"20190312160647918"</f>
        <v>20190312160647918</v>
      </c>
      <c r="B2365" t="str">
        <f>"1552378007908016"</f>
        <v>1552378007908016</v>
      </c>
      <c r="C2365" t="s">
        <v>40</v>
      </c>
      <c r="D2365">
        <v>5.9712420000000002</v>
      </c>
      <c r="E2365">
        <v>0.49061110000000002</v>
      </c>
      <c r="F2365" t="s">
        <v>44</v>
      </c>
      <c r="G2365">
        <v>-402.87130000000002</v>
      </c>
      <c r="H2365">
        <v>0.98256900000000003</v>
      </c>
      <c r="I2365">
        <v>285.12369999999999</v>
      </c>
      <c r="J2365">
        <v>-402.27530000000002</v>
      </c>
      <c r="K2365">
        <v>1.109381</v>
      </c>
      <c r="L2365">
        <v>285.00060000000002</v>
      </c>
      <c r="M2365">
        <v>-0.99985590000000002</v>
      </c>
      <c r="N2365">
        <v>0</v>
      </c>
      <c r="O2365">
        <v>8.2512999999999996E-3</v>
      </c>
      <c r="P2365">
        <v>-0.99926879999999996</v>
      </c>
      <c r="Q2365">
        <v>3.7475370000000001E-2</v>
      </c>
      <c r="R2365">
        <v>-7.6055130000000004E-3</v>
      </c>
      <c r="S2365">
        <v>-3.0177309999999999</v>
      </c>
      <c r="T2365">
        <v>-0.35026190000000001</v>
      </c>
      <c r="U2365">
        <v>0.35104370000000001</v>
      </c>
      <c r="V2365">
        <v>-1.5849439999999999E-2</v>
      </c>
      <c r="W2365">
        <v>5.230311E-2</v>
      </c>
      <c r="X2365">
        <v>0.99850550000000005</v>
      </c>
      <c r="Y2365">
        <v>0.1066951</v>
      </c>
      <c r="Z2365">
        <v>5.1993810000000003E-3</v>
      </c>
      <c r="AA2365">
        <v>0.9942782</v>
      </c>
      <c r="AB2365">
        <v>49</v>
      </c>
      <c r="AC2365">
        <v>-0.59600000000000297</v>
      </c>
      <c r="AD2365">
        <v>-0.12681199999999901</v>
      </c>
      <c r="AE2365">
        <v>0.123099999999965</v>
      </c>
      <c r="AF2365">
        <v>0.113259802241373</v>
      </c>
      <c r="AG2365">
        <v>-0.12681199999999901</v>
      </c>
      <c r="AH2365">
        <v>0.57215292794993899</v>
      </c>
      <c r="AI2365">
        <v>102.26640282072999</v>
      </c>
      <c r="AJ2365">
        <v>78.802845445724003</v>
      </c>
      <c r="AK2365">
        <v>0.59688193062735795</v>
      </c>
      <c r="AL2365">
        <v>87.001884612571899</v>
      </c>
      <c r="AM2365">
        <v>90.909388844826097</v>
      </c>
      <c r="AN2365">
        <v>1.0000000267971101</v>
      </c>
    </row>
    <row r="2366" spans="1:40" x14ac:dyDescent="0.25">
      <c r="A2366" t="str">
        <f>"20190312160647941"</f>
        <v>20190312160647941</v>
      </c>
      <c r="B2366" t="str">
        <f>"1552378007937296"</f>
        <v>1552378007937296</v>
      </c>
      <c r="C2366" t="s">
        <v>40</v>
      </c>
      <c r="D2366">
        <v>6.1060720000000002</v>
      </c>
      <c r="E2366">
        <v>0.4547639</v>
      </c>
      <c r="F2366" t="s">
        <v>41</v>
      </c>
      <c r="G2366">
        <v>0</v>
      </c>
      <c r="H2366">
        <v>0</v>
      </c>
      <c r="I2366">
        <v>0</v>
      </c>
      <c r="J2366">
        <v>-402.76220000000001</v>
      </c>
      <c r="K2366">
        <v>1.10938799999999</v>
      </c>
      <c r="L2366">
        <v>285.00459999999998</v>
      </c>
      <c r="M2366">
        <v>-0.99985579999999996</v>
      </c>
      <c r="N2366">
        <v>0</v>
      </c>
      <c r="O2366">
        <v>8.2508789999999992E-3</v>
      </c>
      <c r="P2366">
        <v>-0.99927600000000005</v>
      </c>
      <c r="Q2366">
        <v>3.7276549999999999E-2</v>
      </c>
      <c r="R2366">
        <v>-7.6292649999999997E-3</v>
      </c>
      <c r="S2366">
        <v>-2.9994510000000001</v>
      </c>
      <c r="T2366">
        <v>5.3275700000000002E-2</v>
      </c>
      <c r="U2366">
        <v>-9.6649170000000006E-2</v>
      </c>
      <c r="V2366">
        <v>-1.587293E-2</v>
      </c>
      <c r="W2366">
        <v>5.2113100000000002E-2</v>
      </c>
      <c r="X2366">
        <v>0.99851500000000004</v>
      </c>
      <c r="Y2366">
        <v>-4.0444319999999999E-2</v>
      </c>
      <c r="Z2366">
        <v>5.0558169999999998E-4</v>
      </c>
      <c r="AA2366">
        <v>0.99918169999999995</v>
      </c>
      <c r="AB2366">
        <v>49</v>
      </c>
      <c r="AC2366">
        <v>-2.9994510000000001</v>
      </c>
      <c r="AD2366">
        <v>5.3275700000000002E-2</v>
      </c>
      <c r="AE2366">
        <v>-9.6649170000000006E-2</v>
      </c>
      <c r="AF2366">
        <v>-0.121358466456498</v>
      </c>
      <c r="AG2366">
        <v>5.3275700000000002E-2</v>
      </c>
      <c r="AH2366">
        <v>2.9976066399790899</v>
      </c>
      <c r="AI2366">
        <v>88.982637123018193</v>
      </c>
      <c r="AJ2366">
        <v>92.318360466629798</v>
      </c>
      <c r="AK2366">
        <v>3.0005352431921</v>
      </c>
      <c r="AL2366">
        <v>87.012786066436405</v>
      </c>
      <c r="AM2366">
        <v>90.910727733679096</v>
      </c>
      <c r="AN2366">
        <v>0.99999996516169698</v>
      </c>
    </row>
    <row r="2367" spans="1:40" x14ac:dyDescent="0.25">
      <c r="A2367" t="str">
        <f>"20190312160647963"</f>
        <v>20190312160647963</v>
      </c>
      <c r="B2367" t="str">
        <f>"1552378007957792"</f>
        <v>1552378007957792</v>
      </c>
      <c r="C2367" t="s">
        <v>40</v>
      </c>
      <c r="D2367">
        <v>6.0998320000000001</v>
      </c>
      <c r="E2367">
        <v>0.45312839999999999</v>
      </c>
      <c r="F2367" t="s">
        <v>77</v>
      </c>
      <c r="G2367">
        <v>-433.45139999999998</v>
      </c>
      <c r="H2367" s="1">
        <v>4.0529050000000001E-6</v>
      </c>
      <c r="I2367">
        <v>281.1232</v>
      </c>
      <c r="J2367">
        <v>-403.26299999999998</v>
      </c>
      <c r="K2367">
        <v>1.109394</v>
      </c>
      <c r="L2367">
        <v>285.00869999999998</v>
      </c>
      <c r="M2367">
        <v>-0.99985550000000001</v>
      </c>
      <c r="N2367">
        <v>0</v>
      </c>
      <c r="O2367">
        <v>8.2508259999999993E-3</v>
      </c>
      <c r="P2367">
        <v>-0.9993012</v>
      </c>
      <c r="Q2367">
        <v>3.654516E-2</v>
      </c>
      <c r="R2367">
        <v>-7.8219250000000004E-3</v>
      </c>
      <c r="S2367">
        <v>-3.0033569999999998</v>
      </c>
      <c r="T2367">
        <v>-0.1085684</v>
      </c>
      <c r="U2367">
        <v>-0.37985229999999998</v>
      </c>
      <c r="V2367">
        <v>-1.6066359999999998E-2</v>
      </c>
      <c r="W2367">
        <v>5.1389289999999997E-2</v>
      </c>
      <c r="X2367">
        <v>0.99854949999999998</v>
      </c>
      <c r="Y2367">
        <v>-0.1335674</v>
      </c>
      <c r="Z2367">
        <v>-2.7008610000000001E-3</v>
      </c>
      <c r="AA2367">
        <v>0.99103609999999998</v>
      </c>
      <c r="AB2367">
        <v>49</v>
      </c>
      <c r="AC2367">
        <v>-30.188399999999898</v>
      </c>
      <c r="AD2367">
        <v>-1.1093899470949999</v>
      </c>
      <c r="AE2367">
        <v>-3.8854999999999702</v>
      </c>
      <c r="AF2367">
        <v>-4.1289892141141999</v>
      </c>
      <c r="AG2367">
        <v>-1.1093899470949999</v>
      </c>
      <c r="AH2367">
        <v>30.1153027070172</v>
      </c>
      <c r="AI2367">
        <v>92.090175990372003</v>
      </c>
      <c r="AJ2367">
        <v>97.806920649595099</v>
      </c>
      <c r="AK2367">
        <v>30.417277246990199</v>
      </c>
      <c r="AL2367">
        <v>87.054313209506105</v>
      </c>
      <c r="AM2367">
        <v>90.921792256636905</v>
      </c>
      <c r="AN2367">
        <v>1.0000000455003</v>
      </c>
    </row>
    <row r="2368" spans="1:40" x14ac:dyDescent="0.25">
      <c r="A2368" t="str">
        <f>"20190312160647986"</f>
        <v>20190312160647986</v>
      </c>
      <c r="B2368" t="str">
        <f>"1552378007977316"</f>
        <v>1552378007977316</v>
      </c>
      <c r="C2368" t="s">
        <v>40</v>
      </c>
      <c r="D2368">
        <v>6.3124200000000004</v>
      </c>
      <c r="E2368">
        <v>0.45530300000000001</v>
      </c>
      <c r="F2368" t="s">
        <v>66</v>
      </c>
      <c r="G2368">
        <v>-442.43729999999999</v>
      </c>
      <c r="H2368" s="1">
        <v>-3.2216790000000002E-8</v>
      </c>
      <c r="I2368">
        <v>279.86770000000001</v>
      </c>
      <c r="J2368">
        <v>-403.75369999999998</v>
      </c>
      <c r="K2368">
        <v>1.1093980000000001</v>
      </c>
      <c r="L2368">
        <v>285.01280000000003</v>
      </c>
      <c r="M2368">
        <v>-0.99985550000000001</v>
      </c>
      <c r="N2368">
        <v>0</v>
      </c>
      <c r="O2368">
        <v>8.2506060000000006E-3</v>
      </c>
      <c r="P2368">
        <v>-0.99933419999999895</v>
      </c>
      <c r="Q2368">
        <v>3.5611190000000001E-2</v>
      </c>
      <c r="R2368">
        <v>-7.9407920000000003E-3</v>
      </c>
      <c r="S2368">
        <v>-3.0021059999999999</v>
      </c>
      <c r="T2368">
        <v>-8.5018040000000003E-2</v>
      </c>
      <c r="U2368">
        <v>-0.3939819</v>
      </c>
      <c r="V2368">
        <v>-1.618474E-2</v>
      </c>
      <c r="W2368">
        <v>5.0461140000000002E-2</v>
      </c>
      <c r="X2368">
        <v>0.99859489999999995</v>
      </c>
      <c r="Y2368">
        <v>-0.13823869999999999</v>
      </c>
      <c r="Z2368">
        <v>-2.1813459999999998E-3</v>
      </c>
      <c r="AA2368">
        <v>0.99039659999999996</v>
      </c>
      <c r="AB2368">
        <v>49</v>
      </c>
      <c r="AC2368">
        <v>-38.683599999999998</v>
      </c>
      <c r="AD2368">
        <v>-1.10939803221678</v>
      </c>
      <c r="AE2368">
        <v>-5.14510000000001</v>
      </c>
      <c r="AF2368">
        <v>-5.4597108374341401</v>
      </c>
      <c r="AG2368">
        <v>-1.10939803221678</v>
      </c>
      <c r="AH2368">
        <v>38.608625634171503</v>
      </c>
      <c r="AI2368">
        <v>91.629705136890706</v>
      </c>
      <c r="AJ2368">
        <v>98.048923763900106</v>
      </c>
      <c r="AK2368">
        <v>39.008527013742601</v>
      </c>
      <c r="AL2368">
        <v>87.1075613138606</v>
      </c>
      <c r="AM2368">
        <v>90.928540803014897</v>
      </c>
      <c r="AN2368">
        <v>1.00000002338248</v>
      </c>
    </row>
    <row r="2369" spans="1:40" x14ac:dyDescent="0.25">
      <c r="A2369" t="str">
        <f>"20190312160648007"</f>
        <v>20190312160648007</v>
      </c>
      <c r="B2369" t="str">
        <f>"1552378007997808"</f>
        <v>1552378007997808</v>
      </c>
      <c r="C2369" t="s">
        <v>40</v>
      </c>
      <c r="D2369">
        <v>6.127567</v>
      </c>
      <c r="E2369">
        <v>0.45562649999999999</v>
      </c>
      <c r="F2369" t="s">
        <v>77</v>
      </c>
      <c r="G2369">
        <v>-429.32760000000002</v>
      </c>
      <c r="H2369" s="1">
        <v>2.5558600000000001E-6</v>
      </c>
      <c r="I2369">
        <v>281.80439999999999</v>
      </c>
      <c r="J2369">
        <v>-404.21550000000002</v>
      </c>
      <c r="K2369">
        <v>1.1094109999999999</v>
      </c>
      <c r="L2369">
        <v>285.01659999999998</v>
      </c>
      <c r="M2369">
        <v>-0.99985550000000001</v>
      </c>
      <c r="N2369">
        <v>0</v>
      </c>
      <c r="O2369">
        <v>8.2502770000000003E-3</v>
      </c>
      <c r="P2369">
        <v>-0.99930059999999998</v>
      </c>
      <c r="Q2369">
        <v>3.6497300000000003E-2</v>
      </c>
      <c r="R2369">
        <v>-8.1463799999999999E-3</v>
      </c>
      <c r="S2369">
        <v>-3.0036619999999998</v>
      </c>
      <c r="T2369">
        <v>-0.13029859999999999</v>
      </c>
      <c r="U2369">
        <v>-0.37683109999999997</v>
      </c>
      <c r="V2369">
        <v>-1.63897E-2</v>
      </c>
      <c r="W2369">
        <v>5.1350720000000002E-2</v>
      </c>
      <c r="X2369">
        <v>0.99854620000000005</v>
      </c>
      <c r="Y2369">
        <v>-0.13253380000000001</v>
      </c>
      <c r="Z2369">
        <v>-3.2185149999999999E-3</v>
      </c>
      <c r="AA2369">
        <v>0.99117330000000003</v>
      </c>
      <c r="AB2369">
        <v>49</v>
      </c>
      <c r="AC2369">
        <v>-25.112100000000002</v>
      </c>
      <c r="AD2369">
        <v>-1.1094084441399901</v>
      </c>
      <c r="AE2369">
        <v>-3.21219999999999</v>
      </c>
      <c r="AF2369">
        <v>-3.4127418427989298</v>
      </c>
      <c r="AG2369">
        <v>-1.1094084441399901</v>
      </c>
      <c r="AH2369">
        <v>25.036662846555299</v>
      </c>
      <c r="AI2369">
        <v>92.513976324965697</v>
      </c>
      <c r="AJ2369">
        <v>97.762136222853101</v>
      </c>
      <c r="AK2369">
        <v>25.292530131910599</v>
      </c>
      <c r="AL2369">
        <v>87.056525942681105</v>
      </c>
      <c r="AM2369">
        <v>90.940343393122902</v>
      </c>
      <c r="AN2369">
        <v>1.00000001612252</v>
      </c>
    </row>
    <row r="2370" spans="1:40" x14ac:dyDescent="0.25">
      <c r="A2370" t="str">
        <f>"20190312160648031"</f>
        <v>20190312160648031</v>
      </c>
      <c r="B2370" t="str">
        <f>"1552378008027088"</f>
        <v>1552378008027088</v>
      </c>
      <c r="C2370" t="s">
        <v>40</v>
      </c>
      <c r="D2370">
        <v>6.2980710000000002</v>
      </c>
      <c r="E2370">
        <v>0.45736110000000002</v>
      </c>
      <c r="F2370" t="s">
        <v>77</v>
      </c>
      <c r="G2370">
        <v>-431.35039999999998</v>
      </c>
      <c r="H2370" s="1">
        <v>3.0768619999999999E-6</v>
      </c>
      <c r="I2370">
        <v>281.63040000000001</v>
      </c>
      <c r="J2370">
        <v>-404.70870000000002</v>
      </c>
      <c r="K2370">
        <v>1.1094170000000001</v>
      </c>
      <c r="L2370">
        <v>285.02069999999998</v>
      </c>
      <c r="M2370">
        <v>-0.99985550000000001</v>
      </c>
      <c r="N2370">
        <v>0</v>
      </c>
      <c r="O2370">
        <v>8.2500730000000001E-3</v>
      </c>
      <c r="P2370">
        <v>-0.99928019999999995</v>
      </c>
      <c r="Q2370">
        <v>3.6948929999999998E-2</v>
      </c>
      <c r="R2370">
        <v>-8.6280639999999995E-3</v>
      </c>
      <c r="S2370">
        <v>-3.0035400000000001</v>
      </c>
      <c r="T2370">
        <v>-0.1227998</v>
      </c>
      <c r="U2370">
        <v>-0.37481690000000001</v>
      </c>
      <c r="V2370">
        <v>-1.6870679999999999E-2</v>
      </c>
      <c r="W2370">
        <v>5.1804999999999997E-2</v>
      </c>
      <c r="X2370">
        <v>0.99851469999999998</v>
      </c>
      <c r="Y2370">
        <v>-0.13189919999999999</v>
      </c>
      <c r="Z2370">
        <v>-3.020764E-3</v>
      </c>
      <c r="AA2370">
        <v>0.99125859999999999</v>
      </c>
      <c r="AB2370">
        <v>49</v>
      </c>
      <c r="AC2370">
        <v>-26.641699999999901</v>
      </c>
      <c r="AD2370">
        <v>-1.109413923138</v>
      </c>
      <c r="AE2370">
        <v>-3.3902999999999599</v>
      </c>
      <c r="AF2370">
        <v>-3.60385514419352</v>
      </c>
      <c r="AG2370">
        <v>-1.109413923138</v>
      </c>
      <c r="AH2370">
        <v>26.5674844323296</v>
      </c>
      <c r="AI2370">
        <v>92.369511277157699</v>
      </c>
      <c r="AJ2370">
        <v>97.724969202698503</v>
      </c>
      <c r="AK2370">
        <v>26.833743686173602</v>
      </c>
      <c r="AL2370">
        <v>87.030462853947199</v>
      </c>
      <c r="AM2370">
        <v>90.967964515637405</v>
      </c>
      <c r="AN2370">
        <v>0.99999999199237599</v>
      </c>
    </row>
    <row r="2371" spans="1:40" x14ac:dyDescent="0.25">
      <c r="A2371" t="str">
        <f>"20190312160648053"</f>
        <v>20190312160648053</v>
      </c>
      <c r="B2371" t="str">
        <f>"1552378008047584"</f>
        <v>1552378008047584</v>
      </c>
      <c r="C2371" t="s">
        <v>40</v>
      </c>
      <c r="D2371">
        <v>6.1614680000000002</v>
      </c>
      <c r="E2371">
        <v>0.45792509999999997</v>
      </c>
      <c r="F2371" t="s">
        <v>77</v>
      </c>
      <c r="G2371">
        <v>-431.0086</v>
      </c>
      <c r="H2371" s="1">
        <v>2.9062319999999998E-6</v>
      </c>
      <c r="I2371">
        <v>281.84840000000003</v>
      </c>
      <c r="J2371">
        <v>-405.21480000000003</v>
      </c>
      <c r="K2371">
        <v>1.1094219999999999</v>
      </c>
      <c r="L2371">
        <v>285.02480000000003</v>
      </c>
      <c r="M2371">
        <v>-0.99985539999999995</v>
      </c>
      <c r="N2371">
        <v>0</v>
      </c>
      <c r="O2371">
        <v>8.2498740000000008E-3</v>
      </c>
      <c r="P2371">
        <v>-0.99926420000000005</v>
      </c>
      <c r="Q2371">
        <v>3.7321119999999999E-2</v>
      </c>
      <c r="R2371">
        <v>-8.8602669999999998E-3</v>
      </c>
      <c r="S2371">
        <v>-3.0037229999999999</v>
      </c>
      <c r="T2371">
        <v>-0.12670680000000001</v>
      </c>
      <c r="U2371">
        <v>-0.36230469999999998</v>
      </c>
      <c r="V2371">
        <v>-1.7102699999999998E-2</v>
      </c>
      <c r="W2371">
        <v>5.2179780000000002E-2</v>
      </c>
      <c r="X2371">
        <v>0.99849120000000002</v>
      </c>
      <c r="Y2371">
        <v>-0.1278186</v>
      </c>
      <c r="Z2371">
        <v>-3.0316620000000001E-3</v>
      </c>
      <c r="AA2371">
        <v>0.99179289999999998</v>
      </c>
      <c r="AB2371">
        <v>49</v>
      </c>
      <c r="AC2371">
        <v>-25.793799999999901</v>
      </c>
      <c r="AD2371">
        <v>-1.109419093768</v>
      </c>
      <c r="AE2371">
        <v>-3.1764000000000001</v>
      </c>
      <c r="AF2371">
        <v>-3.3829462094008802</v>
      </c>
      <c r="AG2371">
        <v>-1.109419093768</v>
      </c>
      <c r="AH2371">
        <v>25.719844505056699</v>
      </c>
      <c r="AI2371">
        <v>92.448842108296603</v>
      </c>
      <c r="AJ2371">
        <v>97.493133854372502</v>
      </c>
      <c r="AK2371">
        <v>25.965083037525801</v>
      </c>
      <c r="AL2371">
        <v>87.008960345662501</v>
      </c>
      <c r="AM2371">
        <v>90.981297295303094</v>
      </c>
      <c r="AN2371">
        <v>0.99999995413278797</v>
      </c>
    </row>
    <row r="2372" spans="1:40" x14ac:dyDescent="0.25">
      <c r="A2372" t="str">
        <f>"20190312160648075"</f>
        <v>20190312160648075</v>
      </c>
      <c r="B2372" t="str">
        <f>"1552378008067104"</f>
        <v>1552378008067104</v>
      </c>
      <c r="C2372" t="s">
        <v>40</v>
      </c>
      <c r="D2372">
        <v>6.1438750000000004</v>
      </c>
      <c r="E2372">
        <v>0.45772000000000002</v>
      </c>
      <c r="F2372" t="s">
        <v>77</v>
      </c>
      <c r="G2372">
        <v>-430.53230000000002</v>
      </c>
      <c r="H2372" s="1">
        <v>2.681261E-6</v>
      </c>
      <c r="I2372">
        <v>282.00599999999997</v>
      </c>
      <c r="J2372">
        <v>-405.70119999999997</v>
      </c>
      <c r="K2372">
        <v>1.109426</v>
      </c>
      <c r="L2372">
        <v>285.02890000000002</v>
      </c>
      <c r="M2372">
        <v>-0.99985539999999995</v>
      </c>
      <c r="N2372">
        <v>0</v>
      </c>
      <c r="O2372">
        <v>8.2496830000000007E-3</v>
      </c>
      <c r="P2372">
        <v>-0.99924959999999996</v>
      </c>
      <c r="Q2372">
        <v>3.7778760000000002E-2</v>
      </c>
      <c r="R2372">
        <v>-8.5433869999999995E-3</v>
      </c>
      <c r="S2372">
        <v>-3.0039370000000001</v>
      </c>
      <c r="T2372">
        <v>-0.13163329999999901</v>
      </c>
      <c r="U2372">
        <v>-0.35818480000000003</v>
      </c>
      <c r="V2372">
        <v>-1.6785669999999999E-2</v>
      </c>
      <c r="W2372">
        <v>5.2639289999999998E-2</v>
      </c>
      <c r="X2372">
        <v>0.99847249999999999</v>
      </c>
      <c r="Y2372">
        <v>-0.12646079999999901</v>
      </c>
      <c r="Z2372">
        <v>-3.1198200000000001E-3</v>
      </c>
      <c r="AA2372">
        <v>0.99196669999999998</v>
      </c>
      <c r="AB2372">
        <v>49</v>
      </c>
      <c r="AC2372">
        <v>-24.831099999999999</v>
      </c>
      <c r="AD2372">
        <v>-1.1094233187389999</v>
      </c>
      <c r="AE2372">
        <v>-3.0229000000000399</v>
      </c>
      <c r="AF2372">
        <v>-3.22133197202862</v>
      </c>
      <c r="AG2372">
        <v>-1.1094233187389999</v>
      </c>
      <c r="AH2372">
        <v>24.756616811790799</v>
      </c>
      <c r="AI2372">
        <v>92.5444692164982</v>
      </c>
      <c r="AJ2372">
        <v>97.413675512230199</v>
      </c>
      <c r="AK2372">
        <v>24.989955496959599</v>
      </c>
      <c r="AL2372">
        <v>86.982596246226905</v>
      </c>
      <c r="AM2372">
        <v>90.963128638106994</v>
      </c>
      <c r="AN2372">
        <v>0.999999993412651</v>
      </c>
    </row>
    <row r="2373" spans="1:40" x14ac:dyDescent="0.25">
      <c r="A2373" t="str">
        <f>"20190312160648097"</f>
        <v>20190312160648097</v>
      </c>
      <c r="B2373" t="str">
        <f>"1552378008087601"</f>
        <v>1552378008087601</v>
      </c>
      <c r="C2373" t="s">
        <v>40</v>
      </c>
      <c r="D2373">
        <v>6.1502100000000004</v>
      </c>
      <c r="E2373">
        <v>0.45801890000000001</v>
      </c>
      <c r="F2373" t="s">
        <v>77</v>
      </c>
      <c r="G2373">
        <v>-431.13510000000002</v>
      </c>
      <c r="H2373" s="1">
        <v>2.9500449999999999E-6</v>
      </c>
      <c r="I2373">
        <v>281.98919999999998</v>
      </c>
      <c r="J2373">
        <v>-406.18799999999999</v>
      </c>
      <c r="K2373">
        <v>1.1094299999999999</v>
      </c>
      <c r="L2373">
        <v>285.03289999999998</v>
      </c>
      <c r="M2373">
        <v>-0.9998553</v>
      </c>
      <c r="N2373">
        <v>0</v>
      </c>
      <c r="O2373">
        <v>8.2494969999999997E-3</v>
      </c>
      <c r="P2373">
        <v>-0.99925629999999999</v>
      </c>
      <c r="Q2373">
        <v>3.7601049999999997E-2</v>
      </c>
      <c r="R2373">
        <v>-8.5406660000000006E-3</v>
      </c>
      <c r="S2373">
        <v>-3.0042110000000002</v>
      </c>
      <c r="T2373">
        <v>-0.13104299999999999</v>
      </c>
      <c r="U2373">
        <v>-0.35903930000000001</v>
      </c>
      <c r="V2373">
        <v>-1.6782970000000001E-2</v>
      </c>
      <c r="W2373">
        <v>5.2462630000000003E-2</v>
      </c>
      <c r="X2373">
        <v>0.99848190000000003</v>
      </c>
      <c r="Y2373">
        <v>-0.12672900000000001</v>
      </c>
      <c r="Z2373">
        <v>-3.1113270000000001E-3</v>
      </c>
      <c r="AA2373">
        <v>0.99193249999999999</v>
      </c>
      <c r="AB2373">
        <v>49</v>
      </c>
      <c r="AC2373">
        <v>-24.947099999999899</v>
      </c>
      <c r="AD2373">
        <v>-1.1094270499550001</v>
      </c>
      <c r="AE2373">
        <v>-3.0436999999999999</v>
      </c>
      <c r="AF2373">
        <v>-3.2431004499555298</v>
      </c>
      <c r="AG2373">
        <v>-1.1094270499550001</v>
      </c>
      <c r="AH2373">
        <v>24.872670295556599</v>
      </c>
      <c r="AI2373">
        <v>92.532534127639906</v>
      </c>
      <c r="AJ2373">
        <v>97.4287785001668</v>
      </c>
      <c r="AK2373">
        <v>25.107733002785</v>
      </c>
      <c r="AL2373">
        <v>86.9927322947444</v>
      </c>
      <c r="AM2373">
        <v>90.962964682598496</v>
      </c>
      <c r="AN2373">
        <v>1.0000000501280699</v>
      </c>
    </row>
    <row r="2374" spans="1:40" x14ac:dyDescent="0.25">
      <c r="A2374" t="str">
        <f>"20190312160648119"</f>
        <v>20190312160648119</v>
      </c>
      <c r="B2374" t="str">
        <f>"1552378008107122"</f>
        <v>1552378008107122</v>
      </c>
      <c r="C2374" t="s">
        <v>40</v>
      </c>
      <c r="D2374">
        <v>6.5237920000000003</v>
      </c>
      <c r="E2374">
        <v>0.45761750000000001</v>
      </c>
      <c r="F2374" t="s">
        <v>77</v>
      </c>
      <c r="G2374">
        <v>-429.23099999999999</v>
      </c>
      <c r="H2374" s="1">
        <v>2.5295320000000001E-6</v>
      </c>
      <c r="I2374">
        <v>282.30160000000001</v>
      </c>
      <c r="J2374">
        <v>-406.68220000000002</v>
      </c>
      <c r="K2374">
        <v>1.1094280000000001</v>
      </c>
      <c r="L2374">
        <v>285.0369</v>
      </c>
      <c r="M2374">
        <v>-0.9998553</v>
      </c>
      <c r="N2374">
        <v>0</v>
      </c>
      <c r="O2374">
        <v>8.2491950000000008E-3</v>
      </c>
      <c r="P2374">
        <v>-0.999224</v>
      </c>
      <c r="Q2374">
        <v>3.843626E-2</v>
      </c>
      <c r="R2374">
        <v>-8.6177949999999993E-3</v>
      </c>
      <c r="S2374">
        <v>-3.0046390000000001</v>
      </c>
      <c r="T2374">
        <v>-0.14466109999999999</v>
      </c>
      <c r="U2374">
        <v>-0.35614010000000001</v>
      </c>
      <c r="V2374">
        <v>-1.6859349999999999E-2</v>
      </c>
      <c r="W2374">
        <v>5.3297829999999997E-2</v>
      </c>
      <c r="X2374">
        <v>0.99843630000000005</v>
      </c>
      <c r="Y2374">
        <v>-0.12574179999999999</v>
      </c>
      <c r="Z2374">
        <v>-3.4103330000000002E-3</v>
      </c>
      <c r="AA2374">
        <v>0.99205710000000003</v>
      </c>
      <c r="AB2374">
        <v>49</v>
      </c>
      <c r="AC2374">
        <v>-22.5487999999999</v>
      </c>
      <c r="AD2374">
        <v>-1.109425470468</v>
      </c>
      <c r="AE2374">
        <v>-2.7352999999999899</v>
      </c>
      <c r="AF2374">
        <v>-2.9142845070949499</v>
      </c>
      <c r="AG2374">
        <v>-1.109425470468</v>
      </c>
      <c r="AH2374">
        <v>22.471856277990401</v>
      </c>
      <c r="AI2374">
        <v>92.802937797460203</v>
      </c>
      <c r="AJ2374">
        <v>97.3892179166115</v>
      </c>
      <c r="AK2374">
        <v>22.6871814829756</v>
      </c>
      <c r="AL2374">
        <v>86.9448115706099</v>
      </c>
      <c r="AM2374">
        <v>90.967390516035806</v>
      </c>
      <c r="AN2374">
        <v>0.99999997076141001</v>
      </c>
    </row>
    <row r="2375" spans="1:40" x14ac:dyDescent="0.25">
      <c r="A2375" t="str">
        <f>"20190312160648143"</f>
        <v>20190312160648143</v>
      </c>
      <c r="B2375" t="str">
        <f>"1552378008137379"</f>
        <v>1552378008137379</v>
      </c>
      <c r="C2375" t="s">
        <v>40</v>
      </c>
      <c r="D2375">
        <v>6.4146349999999996</v>
      </c>
      <c r="E2375">
        <v>0.45757940000000003</v>
      </c>
      <c r="F2375" t="s">
        <v>77</v>
      </c>
      <c r="G2375">
        <v>-432.77010000000001</v>
      </c>
      <c r="H2375" s="1">
        <v>3.6819700000000001E-6</v>
      </c>
      <c r="I2375">
        <v>281.91059999999999</v>
      </c>
      <c r="J2375">
        <v>-407.1807</v>
      </c>
      <c r="K2375">
        <v>1.1094389999999901</v>
      </c>
      <c r="L2375">
        <v>285.04109999999997</v>
      </c>
      <c r="M2375">
        <v>-0.99985539999999995</v>
      </c>
      <c r="N2375">
        <v>0</v>
      </c>
      <c r="O2375">
        <v>8.2488390000000009E-3</v>
      </c>
      <c r="P2375">
        <v>-0.99921269999999995</v>
      </c>
      <c r="Q2375">
        <v>3.8769890000000001E-2</v>
      </c>
      <c r="R2375">
        <v>-8.4319759999999903E-3</v>
      </c>
      <c r="S2375">
        <v>-3.0042110000000002</v>
      </c>
      <c r="T2375">
        <v>-0.12775799999999901</v>
      </c>
      <c r="U2375">
        <v>-0.3600159</v>
      </c>
      <c r="V2375">
        <v>-1.6672909999999999E-2</v>
      </c>
      <c r="W2375">
        <v>5.3630659999999997E-2</v>
      </c>
      <c r="X2375">
        <v>0.99842160000000002</v>
      </c>
      <c r="Y2375">
        <v>-0.12705230000000001</v>
      </c>
      <c r="Z2375">
        <v>-3.0401640000000001E-3</v>
      </c>
      <c r="AA2375">
        <v>0.99189139999999998</v>
      </c>
      <c r="AB2375">
        <v>49</v>
      </c>
      <c r="AC2375">
        <v>-25.589400000000001</v>
      </c>
      <c r="AD2375">
        <v>-1.1094353180299901</v>
      </c>
      <c r="AE2375">
        <v>-3.1304999999999801</v>
      </c>
      <c r="AF2375">
        <v>-3.3353227597567998</v>
      </c>
      <c r="AG2375">
        <v>-1.1094353180299901</v>
      </c>
      <c r="AH2375">
        <v>25.515449689322399</v>
      </c>
      <c r="AI2375">
        <v>92.468729095588301</v>
      </c>
      <c r="AJ2375">
        <v>97.447350305096705</v>
      </c>
      <c r="AK2375">
        <v>25.756424392469199</v>
      </c>
      <c r="AL2375">
        <v>86.925714476886796</v>
      </c>
      <c r="AM2375">
        <v>90.956708660090399</v>
      </c>
      <c r="AN2375">
        <v>0.99999996248323098</v>
      </c>
    </row>
    <row r="2376" spans="1:40" x14ac:dyDescent="0.25">
      <c r="A2376" t="str">
        <f>"20190312160648164"</f>
        <v>20190312160648164</v>
      </c>
      <c r="B2376" t="str">
        <f>"1552378008157872"</f>
        <v>1552378008157872</v>
      </c>
      <c r="C2376" t="s">
        <v>40</v>
      </c>
      <c r="D2376">
        <v>6.3256240000000004</v>
      </c>
      <c r="E2376">
        <v>0.45771089999999998</v>
      </c>
      <c r="F2376" t="s">
        <v>77</v>
      </c>
      <c r="G2376">
        <v>-433.9717</v>
      </c>
      <c r="H2376" s="1">
        <v>4.2216210000000003E-6</v>
      </c>
      <c r="I2376">
        <v>281.83260000000001</v>
      </c>
      <c r="J2376">
        <v>-407.65890000000002</v>
      </c>
      <c r="K2376">
        <v>1.1094520000000001</v>
      </c>
      <c r="L2376">
        <v>285.04500000000002</v>
      </c>
      <c r="M2376">
        <v>-0.9998553</v>
      </c>
      <c r="N2376">
        <v>0</v>
      </c>
      <c r="O2376">
        <v>8.2486639999999993E-3</v>
      </c>
      <c r="P2376">
        <v>-0.99916249999999995</v>
      </c>
      <c r="Q2376">
        <v>4.0041180000000003E-2</v>
      </c>
      <c r="R2376">
        <v>-8.4223259999999904E-3</v>
      </c>
      <c r="S2376">
        <v>-3.0041500000000001</v>
      </c>
      <c r="T2376">
        <v>-0.124404</v>
      </c>
      <c r="U2376">
        <v>-0.35977170000000003</v>
      </c>
      <c r="V2376">
        <v>-1.6662710000000001E-2</v>
      </c>
      <c r="W2376">
        <v>5.4900520000000001E-2</v>
      </c>
      <c r="X2376">
        <v>0.99835280000000004</v>
      </c>
      <c r="Y2376">
        <v>-0.12698129999999999</v>
      </c>
      <c r="Z2376">
        <v>-2.9590200000000001E-3</v>
      </c>
      <c r="AA2376">
        <v>0.99190069999999997</v>
      </c>
      <c r="AB2376">
        <v>49</v>
      </c>
      <c r="AC2376">
        <v>-26.3127999999999</v>
      </c>
      <c r="AD2376">
        <v>-1.109447778379</v>
      </c>
      <c r="AE2376">
        <v>-3.2124000000000001</v>
      </c>
      <c r="AF2376">
        <v>-3.42336352667835</v>
      </c>
      <c r="AG2376">
        <v>-1.109447778379</v>
      </c>
      <c r="AH2376">
        <v>26.239440623446001</v>
      </c>
      <c r="AI2376">
        <v>92.400797823393304</v>
      </c>
      <c r="AJ2376">
        <v>97.433185274466695</v>
      </c>
      <c r="AK2376">
        <v>26.485062515313999</v>
      </c>
      <c r="AL2376">
        <v>86.852849646354102</v>
      </c>
      <c r="AM2376">
        <v>90.956189359919804</v>
      </c>
      <c r="AN2376">
        <v>1.0000000131343201</v>
      </c>
    </row>
    <row r="2377" spans="1:40" x14ac:dyDescent="0.25">
      <c r="A2377" t="str">
        <f>"20190312160648186"</f>
        <v>20190312160648186</v>
      </c>
      <c r="B2377" t="str">
        <f>"1552378008177393"</f>
        <v>1552378008177393</v>
      </c>
      <c r="C2377" t="s">
        <v>40</v>
      </c>
      <c r="D2377">
        <v>6.135154</v>
      </c>
      <c r="E2377">
        <v>0.45760190000000001</v>
      </c>
      <c r="F2377" t="s">
        <v>77</v>
      </c>
      <c r="G2377">
        <v>-434.30590000000001</v>
      </c>
      <c r="H2377" s="1">
        <v>4.3671839999999999E-6</v>
      </c>
      <c r="I2377">
        <v>281.86279999999999</v>
      </c>
      <c r="J2377">
        <v>-408.1234</v>
      </c>
      <c r="K2377">
        <v>1.1094630000000001</v>
      </c>
      <c r="L2377">
        <v>285.04880000000003</v>
      </c>
      <c r="M2377">
        <v>-0.99985539999999995</v>
      </c>
      <c r="N2377">
        <v>0</v>
      </c>
      <c r="O2377">
        <v>8.2483699999999997E-3</v>
      </c>
      <c r="P2377">
        <v>-0.99911000000000005</v>
      </c>
      <c r="Q2377">
        <v>4.1327900000000001E-2</v>
      </c>
      <c r="R2377">
        <v>-8.4506400000000006E-3</v>
      </c>
      <c r="S2377">
        <v>-3.004486</v>
      </c>
      <c r="T2377">
        <v>-0.1250918</v>
      </c>
      <c r="U2377">
        <v>-0.35879519999999998</v>
      </c>
      <c r="V2377">
        <v>-1.6690079999999999E-2</v>
      </c>
      <c r="W2377">
        <v>5.6185989999999998E-2</v>
      </c>
      <c r="X2377">
        <v>0.99828079999999997</v>
      </c>
      <c r="Y2377">
        <v>-0.12664909999999999</v>
      </c>
      <c r="Z2377">
        <v>-2.968194E-3</v>
      </c>
      <c r="AA2377">
        <v>0.99194309999999997</v>
      </c>
      <c r="AB2377">
        <v>49</v>
      </c>
      <c r="AC2377">
        <v>-26.182500000000001</v>
      </c>
      <c r="AD2377">
        <v>-1.1094586328160001</v>
      </c>
      <c r="AE2377">
        <v>-3.1860000000000301</v>
      </c>
      <c r="AF2377">
        <v>-3.3958699036659099</v>
      </c>
      <c r="AG2377">
        <v>-1.1094586328160001</v>
      </c>
      <c r="AH2377">
        <v>26.1091304195239</v>
      </c>
      <c r="AI2377">
        <v>92.412913673095105</v>
      </c>
      <c r="AJ2377">
        <v>97.410543907272697</v>
      </c>
      <c r="AK2377">
        <v>26.352410176761101</v>
      </c>
      <c r="AL2377">
        <v>86.779083688001094</v>
      </c>
      <c r="AM2377">
        <v>90.957828759213598</v>
      </c>
      <c r="AN2377">
        <v>0.99999998994566297</v>
      </c>
    </row>
    <row r="2378" spans="1:40" x14ac:dyDescent="0.25">
      <c r="A2378" t="str">
        <f>"20190312160648208"</f>
        <v>20190312160648208</v>
      </c>
      <c r="B2378" t="str">
        <f>"1552378008197888"</f>
        <v>1552378008197888</v>
      </c>
      <c r="C2378" t="s">
        <v>40</v>
      </c>
      <c r="D2378">
        <v>5.7253280000000002</v>
      </c>
      <c r="E2378">
        <v>0.45725159999999998</v>
      </c>
      <c r="F2378" t="s">
        <v>77</v>
      </c>
      <c r="G2378">
        <v>-435.70940000000002</v>
      </c>
      <c r="H2378" s="1">
        <v>4.9996740000000003E-6</v>
      </c>
      <c r="I2378">
        <v>281.74770000000001</v>
      </c>
      <c r="J2378">
        <v>-408.6078</v>
      </c>
      <c r="K2378">
        <v>1.1094649999999999</v>
      </c>
      <c r="L2378">
        <v>285.05290000000002</v>
      </c>
      <c r="M2378">
        <v>-0.99985550000000001</v>
      </c>
      <c r="N2378">
        <v>0</v>
      </c>
      <c r="O2378">
        <v>8.2480209999999995E-3</v>
      </c>
      <c r="P2378">
        <v>-0.99905200000000005</v>
      </c>
      <c r="Q2378">
        <v>4.2551039999999998E-2</v>
      </c>
      <c r="R2378">
        <v>-9.2225950000000001E-3</v>
      </c>
      <c r="S2378">
        <v>-3.0046689999999998</v>
      </c>
      <c r="T2378">
        <v>-0.1208422</v>
      </c>
      <c r="U2378">
        <v>-0.35955809999999999</v>
      </c>
      <c r="V2378">
        <v>-1.746143E-2</v>
      </c>
      <c r="W2378">
        <v>5.7407100000000003E-2</v>
      </c>
      <c r="X2378">
        <v>0.99819820000000004</v>
      </c>
      <c r="Y2378">
        <v>-0.1268975</v>
      </c>
      <c r="Z2378">
        <v>-2.872187E-3</v>
      </c>
      <c r="AA2378">
        <v>0.9919116</v>
      </c>
      <c r="AB2378">
        <v>49</v>
      </c>
      <c r="AC2378">
        <v>-27.101600000000001</v>
      </c>
      <c r="AD2378">
        <v>-1.109460000326</v>
      </c>
      <c r="AE2378">
        <v>-3.3052000000000099</v>
      </c>
      <c r="AF2378">
        <v>-3.52282962170541</v>
      </c>
      <c r="AG2378">
        <v>-1.109460000326</v>
      </c>
      <c r="AH2378">
        <v>27.028781370530499</v>
      </c>
      <c r="AI2378">
        <v>92.330828584239399</v>
      </c>
      <c r="AJ2378">
        <v>97.425856039086497</v>
      </c>
      <c r="AK2378">
        <v>27.279960638018199</v>
      </c>
      <c r="AL2378">
        <v>86.709006348475995</v>
      </c>
      <c r="AM2378">
        <v>91.002169923119595</v>
      </c>
      <c r="AN2378">
        <v>1.0000000615756399</v>
      </c>
    </row>
    <row r="2379" spans="1:40" x14ac:dyDescent="0.25">
      <c r="A2379" t="str">
        <f>"20190312160648221"</f>
        <v>20190312160648221</v>
      </c>
      <c r="B2379" t="str">
        <f>"1552378008217409"</f>
        <v>1552378008217409</v>
      </c>
      <c r="C2379" t="s">
        <v>40</v>
      </c>
      <c r="D2379">
        <v>5.716647</v>
      </c>
      <c r="E2379">
        <v>0.45714539999999998</v>
      </c>
      <c r="F2379" t="s">
        <v>77</v>
      </c>
      <c r="G2379">
        <v>-439.39</v>
      </c>
      <c r="H2379" s="1">
        <v>6.6693980000000004E-6</v>
      </c>
      <c r="I2379">
        <v>281.31790000000001</v>
      </c>
      <c r="J2379">
        <v>-408.8777</v>
      </c>
      <c r="K2379">
        <v>1.1094679999999999</v>
      </c>
      <c r="L2379">
        <v>285.05509999999998</v>
      </c>
      <c r="M2379">
        <v>-0.99985539999999995</v>
      </c>
      <c r="N2379">
        <v>0</v>
      </c>
      <c r="O2379">
        <v>8.2482049999999998E-3</v>
      </c>
      <c r="P2379">
        <v>-0.99905750000000004</v>
      </c>
      <c r="Q2379">
        <v>4.2389620000000003E-2</v>
      </c>
      <c r="R2379">
        <v>-9.3428550000000006E-3</v>
      </c>
      <c r="S2379">
        <v>-3.004089</v>
      </c>
      <c r="T2379">
        <v>-0.1082741</v>
      </c>
      <c r="U2379">
        <v>-0.36450199999999999</v>
      </c>
      <c r="V2379">
        <v>-1.758154E-2</v>
      </c>
      <c r="W2379">
        <v>5.7244759999999999E-2</v>
      </c>
      <c r="X2379">
        <v>0.99820540000000002</v>
      </c>
      <c r="Y2379">
        <v>-0.1285492</v>
      </c>
      <c r="Z2379">
        <v>-2.6035659999999999E-3</v>
      </c>
      <c r="AA2379">
        <v>0.99169969999999996</v>
      </c>
      <c r="AB2379">
        <v>49</v>
      </c>
      <c r="AC2379">
        <v>-30.5122999999999</v>
      </c>
      <c r="AD2379">
        <v>-1.109461330602</v>
      </c>
      <c r="AE2379">
        <v>-3.7371999999999699</v>
      </c>
      <c r="AF2379">
        <v>-3.9835834068559302</v>
      </c>
      <c r="AG2379">
        <v>-1.109461330602</v>
      </c>
      <c r="AH2379">
        <v>30.4407813834057</v>
      </c>
      <c r="AI2379">
        <v>92.069678271012293</v>
      </c>
      <c r="AJ2379">
        <v>97.455552412839495</v>
      </c>
      <c r="AK2379">
        <v>30.720368038742301</v>
      </c>
      <c r="AL2379">
        <v>86.718323017542303</v>
      </c>
      <c r="AM2379">
        <v>91.009054740852207</v>
      </c>
      <c r="AN2379">
        <v>1.0000000468426899</v>
      </c>
    </row>
    <row r="2380" spans="1:40" x14ac:dyDescent="0.25">
      <c r="A2380" t="str">
        <f>"20190312160648234"</f>
        <v>20190312160648234</v>
      </c>
      <c r="B2380" t="str">
        <f>"1552378008227169"</f>
        <v>1552378008227169</v>
      </c>
      <c r="C2380" t="s">
        <v>40</v>
      </c>
      <c r="D2380">
        <v>6.1943070000000002</v>
      </c>
      <c r="E2380">
        <v>0.4569841</v>
      </c>
      <c r="F2380" t="s">
        <v>77</v>
      </c>
      <c r="G2380">
        <v>-439.34429999999998</v>
      </c>
      <c r="H2380" s="1">
        <v>6.6468200000000002E-6</v>
      </c>
      <c r="I2380">
        <v>281.34449999999998</v>
      </c>
      <c r="J2380">
        <v>-409.1635</v>
      </c>
      <c r="K2380">
        <v>1.109469</v>
      </c>
      <c r="L2380">
        <v>285.05739999999997</v>
      </c>
      <c r="M2380">
        <v>-0.99985550000000001</v>
      </c>
      <c r="N2380">
        <v>0</v>
      </c>
      <c r="O2380">
        <v>8.2480330000000001E-3</v>
      </c>
      <c r="P2380">
        <v>-0.99905040000000001</v>
      </c>
      <c r="Q2380">
        <v>4.2424820000000002E-2</v>
      </c>
      <c r="R2380">
        <v>-9.9519280000000005E-3</v>
      </c>
      <c r="S2380">
        <v>-3.0040589999999998</v>
      </c>
      <c r="T2380">
        <v>-0.10939500000000001</v>
      </c>
      <c r="U2380">
        <v>-0.36587520000000001</v>
      </c>
      <c r="V2380">
        <v>-1.819028E-2</v>
      </c>
      <c r="W2380">
        <v>5.7279040000000003E-2</v>
      </c>
      <c r="X2380">
        <v>0.99819250000000004</v>
      </c>
      <c r="Y2380">
        <v>-0.1289949</v>
      </c>
      <c r="Z2380">
        <v>-2.6385330000000002E-3</v>
      </c>
      <c r="AA2380">
        <v>0.99164180000000002</v>
      </c>
      <c r="AB2380">
        <v>49</v>
      </c>
      <c r="AC2380">
        <v>-30.180799999999898</v>
      </c>
      <c r="AD2380">
        <v>-1.1094623531799901</v>
      </c>
      <c r="AE2380">
        <v>-3.7128999999999901</v>
      </c>
      <c r="AF2380">
        <v>-3.95646660568383</v>
      </c>
      <c r="AG2380">
        <v>-1.1094623531799901</v>
      </c>
      <c r="AH2380">
        <v>30.1090647583767</v>
      </c>
      <c r="AI2380">
        <v>92.092316196570806</v>
      </c>
      <c r="AJ2380">
        <v>97.486032431109606</v>
      </c>
      <c r="AK2380">
        <v>30.388160775853699</v>
      </c>
      <c r="AL2380">
        <v>86.716355604969394</v>
      </c>
      <c r="AM2380">
        <v>91.043997951964101</v>
      </c>
      <c r="AN2380">
        <v>1.00000002088302</v>
      </c>
    </row>
    <row r="2381" spans="1:40" x14ac:dyDescent="0.25">
      <c r="A2381" t="str">
        <f>"20190312160648246"</f>
        <v>20190312160648246</v>
      </c>
      <c r="B2381" t="str">
        <f>"1552378008237906"</f>
        <v>1552378008237906</v>
      </c>
      <c r="C2381" t="s">
        <v>40</v>
      </c>
      <c r="D2381">
        <v>6.1832949999999904</v>
      </c>
      <c r="E2381">
        <v>0.45692300000000002</v>
      </c>
      <c r="F2381" t="s">
        <v>66</v>
      </c>
      <c r="G2381">
        <v>-440.81029999999998</v>
      </c>
      <c r="H2381" s="1">
        <v>-9.548663000000001E-7</v>
      </c>
      <c r="I2381">
        <v>281.16820000000001</v>
      </c>
      <c r="J2381">
        <v>-409.44099999999997</v>
      </c>
      <c r="K2381">
        <v>1.1094740000000001</v>
      </c>
      <c r="L2381">
        <v>285.0598</v>
      </c>
      <c r="M2381">
        <v>-0.99985550000000001</v>
      </c>
      <c r="N2381">
        <v>0</v>
      </c>
      <c r="O2381">
        <v>8.2480399999999999E-3</v>
      </c>
      <c r="P2381">
        <v>-0.9990348</v>
      </c>
      <c r="Q2381">
        <v>4.2766980000000003E-2</v>
      </c>
      <c r="R2381">
        <v>-1.0022369999999999E-2</v>
      </c>
      <c r="S2381">
        <v>-3.0037229999999999</v>
      </c>
      <c r="T2381">
        <v>-0.1053041</v>
      </c>
      <c r="U2381">
        <v>-0.36914059999999999</v>
      </c>
      <c r="V2381">
        <v>-1.826084E-2</v>
      </c>
      <c r="W2381">
        <v>5.761989E-2</v>
      </c>
      <c r="X2381">
        <v>0.99817160000000005</v>
      </c>
      <c r="Y2381">
        <v>-0.1300762</v>
      </c>
      <c r="Z2381">
        <v>-2.5589160000000001E-3</v>
      </c>
      <c r="AA2381">
        <v>0.99150070000000001</v>
      </c>
      <c r="AB2381">
        <v>49</v>
      </c>
      <c r="AC2381">
        <v>-31.369299999999999</v>
      </c>
      <c r="AD2381">
        <v>-1.1094749548663001</v>
      </c>
      <c r="AE2381">
        <v>-3.89159999999998</v>
      </c>
      <c r="AF2381">
        <v>-4.1451248470508597</v>
      </c>
      <c r="AG2381">
        <v>-1.1094749548663001</v>
      </c>
      <c r="AH2381">
        <v>31.2975741165729</v>
      </c>
      <c r="AI2381">
        <v>92.012680400142102</v>
      </c>
      <c r="AJ2381">
        <v>97.544480683988397</v>
      </c>
      <c r="AK2381">
        <v>31.590364674303601</v>
      </c>
      <c r="AL2381">
        <v>86.696794049899594</v>
      </c>
      <c r="AM2381">
        <v>91.048068652388494</v>
      </c>
      <c r="AN2381">
        <v>1.00000002652383</v>
      </c>
    </row>
    <row r="2382" spans="1:40" x14ac:dyDescent="0.25">
      <c r="A2382" t="str">
        <f>"20190312160648265"</f>
        <v>20190312160648265</v>
      </c>
      <c r="B2382" t="str">
        <f>"1552378008257428"</f>
        <v>1552378008257428</v>
      </c>
      <c r="C2382" t="s">
        <v>40</v>
      </c>
      <c r="D2382">
        <v>5.1436199999999896</v>
      </c>
      <c r="E2382">
        <v>0.45657809999999999</v>
      </c>
      <c r="F2382" t="s">
        <v>66</v>
      </c>
      <c r="G2382">
        <v>-442.1782</v>
      </c>
      <c r="H2382" s="1">
        <v>-2.2077810000000001E-7</v>
      </c>
      <c r="I2382">
        <v>281.02659999999997</v>
      </c>
      <c r="J2382">
        <v>-409.8492</v>
      </c>
      <c r="K2382">
        <v>1.1094790000000001</v>
      </c>
      <c r="L2382">
        <v>285.06310000000002</v>
      </c>
      <c r="M2382">
        <v>-0.99985539999999995</v>
      </c>
      <c r="N2382">
        <v>0</v>
      </c>
      <c r="O2382">
        <v>8.248053E-3</v>
      </c>
      <c r="P2382">
        <v>-0.99898600000000004</v>
      </c>
      <c r="Q2382">
        <v>4.3715759999999999E-2</v>
      </c>
      <c r="R2382">
        <v>-1.076713E-2</v>
      </c>
      <c r="S2382">
        <v>-3.0035400000000001</v>
      </c>
      <c r="T2382">
        <v>-0.10179100000000001</v>
      </c>
      <c r="U2382">
        <v>-0.37002560000000001</v>
      </c>
      <c r="V2382">
        <v>-1.9005149999999998E-2</v>
      </c>
      <c r="W2382">
        <v>5.856625E-2</v>
      </c>
      <c r="X2382">
        <v>0.99810259999999995</v>
      </c>
      <c r="Y2382">
        <v>-0.13037660000000001</v>
      </c>
      <c r="Z2382">
        <v>-2.4787720000000002E-3</v>
      </c>
      <c r="AA2382">
        <v>0.9914615</v>
      </c>
      <c r="AB2382">
        <v>49</v>
      </c>
      <c r="AC2382">
        <v>-32.329000000000001</v>
      </c>
      <c r="AD2382">
        <v>-1.1094792207780999</v>
      </c>
      <c r="AE2382">
        <v>-4.0365000000000402</v>
      </c>
      <c r="AF2382">
        <v>-4.2980591151640297</v>
      </c>
      <c r="AG2382">
        <v>-1.1094792207780999</v>
      </c>
      <c r="AH2382">
        <v>32.257195300853297</v>
      </c>
      <c r="AI2382">
        <v>91.952655587036503</v>
      </c>
      <c r="AJ2382">
        <v>97.589581803168798</v>
      </c>
      <c r="AK2382">
        <v>32.561187094087501</v>
      </c>
      <c r="AL2382">
        <v>86.642479801441198</v>
      </c>
      <c r="AM2382">
        <v>91.090853094563201</v>
      </c>
      <c r="AN2382">
        <v>1.00000000074617</v>
      </c>
    </row>
    <row r="2383" spans="1:40" x14ac:dyDescent="0.25">
      <c r="A2383" t="str">
        <f>"20190312160648287"</f>
        <v>20190312160648287</v>
      </c>
      <c r="B2383" t="str">
        <f>"1552378008277921"</f>
        <v>1552378008277921</v>
      </c>
      <c r="C2383" t="s">
        <v>40</v>
      </c>
      <c r="D2383">
        <v>6.4674569999999996</v>
      </c>
      <c r="E2383">
        <v>0.45628819999999998</v>
      </c>
      <c r="F2383" t="s">
        <v>66</v>
      </c>
      <c r="G2383">
        <v>-445.90870000000001</v>
      </c>
      <c r="H2383" s="1">
        <v>1.7848390000000001E-6</v>
      </c>
      <c r="I2383">
        <v>280.56020000000001</v>
      </c>
      <c r="J2383">
        <v>-410.32409999999999</v>
      </c>
      <c r="K2383">
        <v>1.1094790000000001</v>
      </c>
      <c r="L2383">
        <v>285.06700000000001</v>
      </c>
      <c r="M2383">
        <v>-0.99985559999999996</v>
      </c>
      <c r="N2383">
        <v>0</v>
      </c>
      <c r="O2383">
        <v>8.2477090000000006E-3</v>
      </c>
      <c r="P2383">
        <v>-0.99896499999999999</v>
      </c>
      <c r="Q2383">
        <v>4.4198800000000003E-2</v>
      </c>
      <c r="R2383">
        <v>-1.076363E-2</v>
      </c>
      <c r="S2383">
        <v>-3.0030519999999998</v>
      </c>
      <c r="T2383">
        <v>-9.2397690000000005E-2</v>
      </c>
      <c r="U2383">
        <v>-0.375</v>
      </c>
      <c r="V2383">
        <v>-1.900081E-2</v>
      </c>
      <c r="W2383">
        <v>5.904703E-2</v>
      </c>
      <c r="X2383">
        <v>0.99807440000000003</v>
      </c>
      <c r="Y2383">
        <v>-0.13202610000000001</v>
      </c>
      <c r="Z2383">
        <v>-2.2755369999999998E-3</v>
      </c>
      <c r="AA2383">
        <v>0.9912436</v>
      </c>
      <c r="AB2383">
        <v>49</v>
      </c>
      <c r="AC2383">
        <v>-35.584600000000002</v>
      </c>
      <c r="AD2383">
        <v>-1.109477215161</v>
      </c>
      <c r="AE2383">
        <v>-4.5067999999999904</v>
      </c>
      <c r="AF2383">
        <v>-4.7955822953743503</v>
      </c>
      <c r="AG2383">
        <v>-1.109477215161</v>
      </c>
      <c r="AH2383">
        <v>35.5122379342004</v>
      </c>
      <c r="AI2383">
        <v>91.773372905611097</v>
      </c>
      <c r="AJ2383">
        <v>97.690713913740794</v>
      </c>
      <c r="AK2383">
        <v>35.851744620561099</v>
      </c>
      <c r="AL2383">
        <v>86.614885531966905</v>
      </c>
      <c r="AM2383">
        <v>91.090634855372301</v>
      </c>
      <c r="AN2383">
        <v>1.00000004523391</v>
      </c>
    </row>
    <row r="2384" spans="1:40" x14ac:dyDescent="0.25">
      <c r="A2384" t="str">
        <f>"20190312160648309"</f>
        <v>20190312160648309</v>
      </c>
      <c r="B2384" t="str">
        <f>"1552378008297442"</f>
        <v>1552378008297442</v>
      </c>
      <c r="C2384" t="s">
        <v>40</v>
      </c>
      <c r="D2384">
        <v>6.5303079999999998</v>
      </c>
      <c r="E2384">
        <v>0.45614909999999997</v>
      </c>
      <c r="F2384" t="s">
        <v>66</v>
      </c>
      <c r="G2384">
        <v>-449.61630000000002</v>
      </c>
      <c r="H2384" s="1">
        <v>3.7766169999999998E-6</v>
      </c>
      <c r="I2384">
        <v>280.13049999999998</v>
      </c>
      <c r="J2384">
        <v>-410.79820000000001</v>
      </c>
      <c r="K2384">
        <v>1.1094820000000001</v>
      </c>
      <c r="L2384">
        <v>285.07089999999999</v>
      </c>
      <c r="M2384">
        <v>-0.99985559999999996</v>
      </c>
      <c r="N2384">
        <v>0</v>
      </c>
      <c r="O2384">
        <v>8.2474260000000004E-3</v>
      </c>
      <c r="P2384">
        <v>-0.99896370000000001</v>
      </c>
      <c r="Q2384">
        <v>4.4243310000000001E-2</v>
      </c>
      <c r="R2384">
        <v>-1.070341E-2</v>
      </c>
      <c r="S2384">
        <v>-3.002777</v>
      </c>
      <c r="T2384">
        <v>-8.4787959999999996E-2</v>
      </c>
      <c r="U2384">
        <v>-0.37725829999999999</v>
      </c>
      <c r="V2384">
        <v>-1.8940789999999999E-2</v>
      </c>
      <c r="W2384">
        <v>5.9089379999999997E-2</v>
      </c>
      <c r="X2384">
        <v>0.99807299999999999</v>
      </c>
      <c r="Y2384">
        <v>-0.13278090000000001</v>
      </c>
      <c r="Z2384">
        <v>-2.0989030000000001E-3</v>
      </c>
      <c r="AA2384">
        <v>0.9911432</v>
      </c>
      <c r="AB2384">
        <v>49</v>
      </c>
      <c r="AC2384">
        <v>-38.818100000000001</v>
      </c>
      <c r="AD2384">
        <v>-1.1094782233830001</v>
      </c>
      <c r="AE2384">
        <v>-4.9404000000000101</v>
      </c>
      <c r="AF2384">
        <v>-5.2561913452665596</v>
      </c>
      <c r="AG2384">
        <v>-1.1094782233830001</v>
      </c>
      <c r="AH2384">
        <v>38.744883195883602</v>
      </c>
      <c r="AI2384">
        <v>91.625363407447793</v>
      </c>
      <c r="AJ2384">
        <v>97.725670720093206</v>
      </c>
      <c r="AK2384">
        <v>39.115527137556001</v>
      </c>
      <c r="AL2384">
        <v>86.612454695012602</v>
      </c>
      <c r="AM2384">
        <v>91.087192096973894</v>
      </c>
      <c r="AN2384">
        <v>1.0000000108417999</v>
      </c>
    </row>
    <row r="2385" spans="1:40" x14ac:dyDescent="0.25">
      <c r="A2385" t="str">
        <f>"20190312160648333"</f>
        <v>20190312160648333</v>
      </c>
      <c r="B2385" t="str">
        <f>"1552378008327697"</f>
        <v>1552378008327697</v>
      </c>
      <c r="C2385" t="s">
        <v>40</v>
      </c>
      <c r="D2385">
        <v>6.1853210000000001</v>
      </c>
      <c r="E2385">
        <v>0.456146</v>
      </c>
      <c r="F2385" t="s">
        <v>66</v>
      </c>
      <c r="G2385">
        <v>-452.26979999999998</v>
      </c>
      <c r="H2385" s="1">
        <v>-1.2031109999999999E-7</v>
      </c>
      <c r="I2385">
        <v>279.84390000000002</v>
      </c>
      <c r="J2385">
        <v>-411.327</v>
      </c>
      <c r="K2385">
        <v>1.1094889999999999</v>
      </c>
      <c r="L2385">
        <v>285.07530000000003</v>
      </c>
      <c r="M2385">
        <v>-0.99985559999999996</v>
      </c>
      <c r="N2385">
        <v>0</v>
      </c>
      <c r="O2385">
        <v>8.2472650000000002E-3</v>
      </c>
      <c r="P2385">
        <v>-0.9989188</v>
      </c>
      <c r="Q2385">
        <v>4.5321170000000001E-2</v>
      </c>
      <c r="R2385">
        <v>-1.03648E-2</v>
      </c>
      <c r="S2385">
        <v>-3.0026250000000001</v>
      </c>
      <c r="T2385">
        <v>-8.0328699999999906E-2</v>
      </c>
      <c r="U2385">
        <v>-0.37844850000000002</v>
      </c>
      <c r="V2385">
        <v>-1.8601690000000001E-2</v>
      </c>
      <c r="W2385">
        <v>6.0163689999999999E-2</v>
      </c>
      <c r="X2385">
        <v>0.99801519999999999</v>
      </c>
      <c r="Y2385">
        <v>-0.1331792</v>
      </c>
      <c r="Z2385">
        <v>-1.993908E-3</v>
      </c>
      <c r="AA2385">
        <v>0.99108989999999997</v>
      </c>
      <c r="AB2385">
        <v>49</v>
      </c>
      <c r="AC2385">
        <v>-40.942799999999899</v>
      </c>
      <c r="AD2385">
        <v>-1.1094891203110999</v>
      </c>
      <c r="AE2385">
        <v>-5.2313999999999998</v>
      </c>
      <c r="AF2385">
        <v>-5.5649046143376601</v>
      </c>
      <c r="AG2385">
        <v>-1.1094891203110999</v>
      </c>
      <c r="AH2385">
        <v>40.868728728595599</v>
      </c>
      <c r="AI2385">
        <v>91.540850762654202</v>
      </c>
      <c r="AJ2385">
        <v>97.754011963183402</v>
      </c>
      <c r="AK2385">
        <v>41.260781831738299</v>
      </c>
      <c r="AL2385">
        <v>86.550791567601806</v>
      </c>
      <c r="AM2385">
        <v>91.067794293003104</v>
      </c>
      <c r="AN2385">
        <v>1.0000000159481499</v>
      </c>
    </row>
    <row r="2386" spans="1:40" x14ac:dyDescent="0.25">
      <c r="A2386" t="str">
        <f>"20190312160648355"</f>
        <v>20190312160648355</v>
      </c>
      <c r="B2386" t="str">
        <f>"1552378008347220"</f>
        <v>1552378008347220</v>
      </c>
      <c r="C2386" t="s">
        <v>40</v>
      </c>
      <c r="D2386">
        <v>6.0788830000000003</v>
      </c>
      <c r="E2386">
        <v>0.4558449</v>
      </c>
      <c r="F2386" t="s">
        <v>66</v>
      </c>
      <c r="G2386">
        <v>-452.14769999999999</v>
      </c>
      <c r="H2386" s="1">
        <v>-1.8988430000000001E-7</v>
      </c>
      <c r="I2386">
        <v>279.94889999999998</v>
      </c>
      <c r="J2386">
        <v>-411.77530000000002</v>
      </c>
      <c r="K2386">
        <v>1.1094980000000001</v>
      </c>
      <c r="L2386">
        <v>285.07900000000001</v>
      </c>
      <c r="M2386">
        <v>-0.99985559999999996</v>
      </c>
      <c r="N2386">
        <v>0</v>
      </c>
      <c r="O2386">
        <v>8.2472810000000004E-3</v>
      </c>
      <c r="P2386">
        <v>-0.99893189999999998</v>
      </c>
      <c r="Q2386">
        <v>4.5105569999999998E-2</v>
      </c>
      <c r="R2386">
        <v>-1.0029710000000001E-2</v>
      </c>
      <c r="S2386">
        <v>-3.0030519999999998</v>
      </c>
      <c r="T2386">
        <v>-8.1621650000000004E-2</v>
      </c>
      <c r="U2386">
        <v>-0.37713619999999998</v>
      </c>
      <c r="V2386">
        <v>-1.826643E-2</v>
      </c>
      <c r="W2386">
        <v>5.9946640000000002E-2</v>
      </c>
      <c r="X2386">
        <v>0.99803439999999999</v>
      </c>
      <c r="Y2386">
        <v>-0.13273399999999999</v>
      </c>
      <c r="Z2386">
        <v>-2.0197330000000001E-3</v>
      </c>
      <c r="AA2386">
        <v>0.99114970000000002</v>
      </c>
      <c r="AB2386">
        <v>49</v>
      </c>
      <c r="AC2386">
        <v>-40.372399999999899</v>
      </c>
      <c r="AD2386">
        <v>-1.1094981898842999</v>
      </c>
      <c r="AE2386">
        <v>-5.1301000000000201</v>
      </c>
      <c r="AF2386">
        <v>-5.4588675404481402</v>
      </c>
      <c r="AG2386">
        <v>-1.1094981898842999</v>
      </c>
      <c r="AH2386">
        <v>40.298761054248203</v>
      </c>
      <c r="AI2386">
        <v>91.562792835272205</v>
      </c>
      <c r="AJ2386">
        <v>97.714326831864994</v>
      </c>
      <c r="AK2386">
        <v>40.6819414920786</v>
      </c>
      <c r="AL2386">
        <v>86.563249920572403</v>
      </c>
      <c r="AM2386">
        <v>91.048533505229699</v>
      </c>
      <c r="AN2386">
        <v>0.99999996284779602</v>
      </c>
    </row>
    <row r="2387" spans="1:40" x14ac:dyDescent="0.25">
      <c r="A2387" t="str">
        <f>"20190312160648366"</f>
        <v>20190312160648366</v>
      </c>
      <c r="B2387" t="str">
        <f>"1552378008357952"</f>
        <v>1552378008357952</v>
      </c>
      <c r="C2387" t="s">
        <v>40</v>
      </c>
      <c r="D2387">
        <v>6.1802299999999999</v>
      </c>
      <c r="E2387">
        <v>0.45590910000000001</v>
      </c>
      <c r="F2387" t="s">
        <v>66</v>
      </c>
      <c r="G2387">
        <v>-455.0573</v>
      </c>
      <c r="H2387" s="1">
        <v>1.3727819999999999E-6</v>
      </c>
      <c r="I2387">
        <v>279.6216</v>
      </c>
      <c r="J2387">
        <v>-412.0641</v>
      </c>
      <c r="K2387">
        <v>1.1094980000000001</v>
      </c>
      <c r="L2387">
        <v>285.08139999999997</v>
      </c>
      <c r="M2387">
        <v>-0.99985559999999996</v>
      </c>
      <c r="N2387">
        <v>0</v>
      </c>
      <c r="O2387">
        <v>8.2471139999999998E-3</v>
      </c>
      <c r="P2387">
        <v>-0.99894450000000001</v>
      </c>
      <c r="Q2387">
        <v>4.4814300000000001E-2</v>
      </c>
      <c r="R2387">
        <v>-1.007854E-2</v>
      </c>
      <c r="S2387">
        <v>-3.002869</v>
      </c>
      <c r="T2387">
        <v>-7.6975940000000007E-2</v>
      </c>
      <c r="U2387">
        <v>-0.37863160000000001</v>
      </c>
      <c r="V2387">
        <v>-1.8315290000000001E-2</v>
      </c>
      <c r="W2387">
        <v>5.9653919999999999E-2</v>
      </c>
      <c r="X2387">
        <v>0.99805109999999997</v>
      </c>
      <c r="Y2387">
        <v>-0.13323270000000001</v>
      </c>
      <c r="Z2387">
        <v>-1.911231E-3</v>
      </c>
      <c r="AA2387">
        <v>0.99108300000000005</v>
      </c>
      <c r="AB2387">
        <v>48</v>
      </c>
      <c r="AC2387">
        <v>-42.993200000000002</v>
      </c>
      <c r="AD2387">
        <v>-1.10949662721799</v>
      </c>
      <c r="AE2387">
        <v>-5.4597999999999702</v>
      </c>
      <c r="AF2387">
        <v>-5.8104151197693001</v>
      </c>
      <c r="AG2387">
        <v>-1.10949662721799</v>
      </c>
      <c r="AH2387">
        <v>42.918576294166201</v>
      </c>
      <c r="AI2387">
        <v>91.467453726954304</v>
      </c>
      <c r="AJ2387">
        <v>97.709958204614097</v>
      </c>
      <c r="AK2387">
        <v>43.324313009533299</v>
      </c>
      <c r="AL2387">
        <v>86.580051803443695</v>
      </c>
      <c r="AM2387">
        <v>91.051319961014997</v>
      </c>
      <c r="AN2387">
        <v>1.0000000191151801</v>
      </c>
    </row>
    <row r="2388" spans="1:40" x14ac:dyDescent="0.25">
      <c r="A2388" t="str">
        <f>"20190312160648388"</f>
        <v>20190312160648388</v>
      </c>
      <c r="B2388" t="str">
        <f>"1552378008377473"</f>
        <v>1552378008377473</v>
      </c>
      <c r="C2388" t="s">
        <v>40</v>
      </c>
      <c r="D2388">
        <v>6.1803089999999896</v>
      </c>
      <c r="E2388">
        <v>0.45555760000000001</v>
      </c>
      <c r="F2388" t="s">
        <v>66</v>
      </c>
      <c r="G2388">
        <v>-452.6268</v>
      </c>
      <c r="H2388" s="1">
        <v>6.411489E-8</v>
      </c>
      <c r="I2388">
        <v>279.97129999999999</v>
      </c>
      <c r="J2388">
        <v>-412.49650000000003</v>
      </c>
      <c r="K2388">
        <v>1.109507</v>
      </c>
      <c r="L2388">
        <v>285.0849</v>
      </c>
      <c r="M2388">
        <v>-0.99985559999999996</v>
      </c>
      <c r="N2388">
        <v>0</v>
      </c>
      <c r="O2388">
        <v>8.2469520000000001E-3</v>
      </c>
      <c r="P2388">
        <v>-0.998973</v>
      </c>
      <c r="Q2388">
        <v>4.4239889999999997E-2</v>
      </c>
      <c r="R2388">
        <v>-9.7985150000000007E-3</v>
      </c>
      <c r="S2388">
        <v>-3.003082</v>
      </c>
      <c r="T2388">
        <v>-8.2142229999999997E-2</v>
      </c>
      <c r="U2388">
        <v>-0.37832640000000001</v>
      </c>
      <c r="V2388">
        <v>-1.8035599999999999E-2</v>
      </c>
      <c r="W2388">
        <v>5.9077480000000002E-2</v>
      </c>
      <c r="X2388">
        <v>0.99809040000000004</v>
      </c>
      <c r="Y2388">
        <v>-0.13311829999999999</v>
      </c>
      <c r="Z2388">
        <v>-2.037765E-3</v>
      </c>
      <c r="AA2388">
        <v>0.99109800000000003</v>
      </c>
      <c r="AB2388">
        <v>48</v>
      </c>
      <c r="AC2388">
        <v>-40.130299999999899</v>
      </c>
      <c r="AD2388">
        <v>-1.10950693588511</v>
      </c>
      <c r="AE2388">
        <v>-5.1136000000000204</v>
      </c>
      <c r="AF2388">
        <v>-5.4403231734018398</v>
      </c>
      <c r="AG2388">
        <v>-1.10950693588511</v>
      </c>
      <c r="AH2388">
        <v>40.056629046356001</v>
      </c>
      <c r="AI2388">
        <v>91.572172695135393</v>
      </c>
      <c r="AJ2388">
        <v>97.734348144822903</v>
      </c>
      <c r="AK2388">
        <v>40.439604998431903</v>
      </c>
      <c r="AL2388">
        <v>86.613137464510203</v>
      </c>
      <c r="AM2388">
        <v>91.035228180422394</v>
      </c>
      <c r="AN2388">
        <v>0.999999939041333</v>
      </c>
    </row>
    <row r="2389" spans="1:40" x14ac:dyDescent="0.25">
      <c r="A2389" t="str">
        <f>"20190312160648400"</f>
        <v>20190312160648400</v>
      </c>
      <c r="B2389" t="str">
        <f>"1552378008387233"</f>
        <v>1552378008387233</v>
      </c>
      <c r="C2389" t="s">
        <v>40</v>
      </c>
      <c r="D2389">
        <v>6.1850680000000002</v>
      </c>
      <c r="E2389">
        <v>0.45544560000000001</v>
      </c>
      <c r="F2389" t="s">
        <v>66</v>
      </c>
      <c r="G2389">
        <v>-455.23259999999999</v>
      </c>
      <c r="H2389" s="1">
        <v>1.4641139999999901E-6</v>
      </c>
      <c r="I2389">
        <v>279.66640000000001</v>
      </c>
      <c r="J2389">
        <v>-412.77339999999998</v>
      </c>
      <c r="K2389">
        <v>1.1095090000000001</v>
      </c>
      <c r="L2389">
        <v>285.0872</v>
      </c>
      <c r="M2389">
        <v>-0.99985570000000001</v>
      </c>
      <c r="N2389">
        <v>0</v>
      </c>
      <c r="O2389">
        <v>8.2466650000000002E-3</v>
      </c>
      <c r="P2389">
        <v>-0.99895140000000004</v>
      </c>
      <c r="Q2389">
        <v>4.478733E-2</v>
      </c>
      <c r="R2389">
        <v>-9.5037969999999996E-3</v>
      </c>
      <c r="S2389">
        <v>-3.002869</v>
      </c>
      <c r="T2389">
        <v>-7.7959899999999999E-2</v>
      </c>
      <c r="U2389">
        <v>-0.3807373</v>
      </c>
      <c r="V2389">
        <v>-1.7739950000000001E-2</v>
      </c>
      <c r="W2389">
        <v>5.9622969999999997E-2</v>
      </c>
      <c r="X2389">
        <v>0.99806329999999999</v>
      </c>
      <c r="Y2389">
        <v>-0.1339148</v>
      </c>
      <c r="Z2389">
        <v>-1.9443749999999999E-3</v>
      </c>
      <c r="AA2389">
        <v>0.99099090000000001</v>
      </c>
      <c r="AB2389">
        <v>48</v>
      </c>
      <c r="AC2389">
        <v>-42.459200000000003</v>
      </c>
      <c r="AD2389">
        <v>-1.109507535886</v>
      </c>
      <c r="AE2389">
        <v>-5.4207999999999803</v>
      </c>
      <c r="AF2389">
        <v>-5.7669263377240298</v>
      </c>
      <c r="AG2389">
        <v>-1.109507535886</v>
      </c>
      <c r="AH2389">
        <v>42.384569869420901</v>
      </c>
      <c r="AI2389">
        <v>91.485814132541407</v>
      </c>
      <c r="AJ2389">
        <v>97.748194352889101</v>
      </c>
      <c r="AK2389">
        <v>42.789487136126603</v>
      </c>
      <c r="AL2389">
        <v>86.581828127716904</v>
      </c>
      <c r="AM2389">
        <v>91.018289365990697</v>
      </c>
      <c r="AN2389">
        <v>0.99999997759225601</v>
      </c>
    </row>
    <row r="2390" spans="1:40" x14ac:dyDescent="0.25">
      <c r="A2390" t="str">
        <f>"20190312160648420"</f>
        <v>20190312160648420</v>
      </c>
      <c r="B2390" t="str">
        <f>"1552378008417021"</f>
        <v>1552378008417021</v>
      </c>
      <c r="C2390" t="s">
        <v>40</v>
      </c>
      <c r="D2390">
        <v>6.182957</v>
      </c>
      <c r="E2390">
        <v>0.45561400000000002</v>
      </c>
      <c r="F2390" t="s">
        <v>66</v>
      </c>
      <c r="G2390">
        <v>-455.9436</v>
      </c>
      <c r="H2390">
        <v>5.1940340000000002E-2</v>
      </c>
      <c r="I2390">
        <v>279.61439999999999</v>
      </c>
      <c r="J2390">
        <v>-413.21170000000001</v>
      </c>
      <c r="K2390">
        <v>1.109518</v>
      </c>
      <c r="L2390">
        <v>285.09089999999998</v>
      </c>
      <c r="M2390">
        <v>-0.99985579999999996</v>
      </c>
      <c r="N2390">
        <v>0</v>
      </c>
      <c r="O2390">
        <v>8.2465030000000005E-3</v>
      </c>
      <c r="P2390">
        <v>-0.99890159999999995</v>
      </c>
      <c r="Q2390">
        <v>4.5913089999999997E-2</v>
      </c>
      <c r="R2390">
        <v>-9.3747380000000005E-3</v>
      </c>
      <c r="S2390">
        <v>-3.0028079999999999</v>
      </c>
      <c r="T2390">
        <v>-7.3561790000000002E-2</v>
      </c>
      <c r="U2390">
        <v>-0.38067630000000002</v>
      </c>
      <c r="V2390">
        <v>-1.7610730000000002E-2</v>
      </c>
      <c r="W2390">
        <v>6.0746269999999998E-2</v>
      </c>
      <c r="X2390">
        <v>0.99799789999999999</v>
      </c>
      <c r="Y2390">
        <v>-0.13390250000000001</v>
      </c>
      <c r="Z2390">
        <v>-1.8346020000000001E-3</v>
      </c>
      <c r="AA2390">
        <v>0.99099280000000001</v>
      </c>
      <c r="AB2390">
        <v>48</v>
      </c>
      <c r="AC2390">
        <v>-42.731900000000003</v>
      </c>
      <c r="AD2390">
        <v>-1.05757766</v>
      </c>
      <c r="AE2390">
        <v>-5.4764999999999802</v>
      </c>
      <c r="AF2390">
        <v>-5.82523090707768</v>
      </c>
      <c r="AG2390">
        <v>-1.05757766</v>
      </c>
      <c r="AH2390">
        <v>42.659572128023797</v>
      </c>
      <c r="AI2390">
        <v>91.4070818883134</v>
      </c>
      <c r="AJ2390">
        <v>97.7757361368636</v>
      </c>
      <c r="AK2390">
        <v>43.068444129939998</v>
      </c>
      <c r="AL2390">
        <v>86.517351068382297</v>
      </c>
      <c r="AM2390">
        <v>91.010939794522997</v>
      </c>
      <c r="AN2390">
        <v>1.0000000277672201</v>
      </c>
    </row>
    <row r="2391" spans="1:40" x14ac:dyDescent="0.25">
      <c r="A2391" t="str">
        <f>"20190312160648432"</f>
        <v>20190312160648432</v>
      </c>
      <c r="B2391" t="str">
        <f>"1552378008427756"</f>
        <v>1552378008427756</v>
      </c>
      <c r="C2391" t="s">
        <v>40</v>
      </c>
      <c r="D2391">
        <v>6.5040430000000002</v>
      </c>
      <c r="E2391">
        <v>0.45572610000000002</v>
      </c>
      <c r="F2391" t="s">
        <v>66</v>
      </c>
      <c r="G2391">
        <v>-456.20100000000002</v>
      </c>
      <c r="H2391" s="1">
        <v>1.9794979999999998E-6</v>
      </c>
      <c r="I2391">
        <v>279.66590000000002</v>
      </c>
      <c r="J2391">
        <v>-413.4819</v>
      </c>
      <c r="K2391">
        <v>1.1095219999999999</v>
      </c>
      <c r="L2391">
        <v>285.09309999999999</v>
      </c>
      <c r="M2391">
        <v>-0.99985579999999996</v>
      </c>
      <c r="N2391">
        <v>0</v>
      </c>
      <c r="O2391">
        <v>8.2463350000000005E-3</v>
      </c>
      <c r="P2391">
        <v>-0.99886680000000005</v>
      </c>
      <c r="Q2391">
        <v>4.6683450000000001E-2</v>
      </c>
      <c r="R2391">
        <v>-9.2732230000000006E-3</v>
      </c>
      <c r="S2391">
        <v>-3.0032960000000002</v>
      </c>
      <c r="T2391">
        <v>-7.7512259999999999E-2</v>
      </c>
      <c r="U2391">
        <v>-0.3789978</v>
      </c>
      <c r="V2391">
        <v>-1.7508550000000001E-2</v>
      </c>
      <c r="W2391">
        <v>6.1514449999999998E-2</v>
      </c>
      <c r="X2391">
        <v>0.99795259999999997</v>
      </c>
      <c r="Y2391">
        <v>-0.1333327</v>
      </c>
      <c r="Z2391">
        <v>-1.925522E-3</v>
      </c>
      <c r="AA2391">
        <v>0.99106950000000005</v>
      </c>
      <c r="AB2391">
        <v>48</v>
      </c>
      <c r="AC2391">
        <v>-42.719099999999898</v>
      </c>
      <c r="AD2391">
        <v>-1.1095200205019999</v>
      </c>
      <c r="AE2391">
        <v>-5.4271999999999698</v>
      </c>
      <c r="AF2391">
        <v>-5.77549617310678</v>
      </c>
      <c r="AG2391">
        <v>-1.1095200205019999</v>
      </c>
      <c r="AH2391">
        <v>42.644577952721399</v>
      </c>
      <c r="AI2391">
        <v>91.476899304256804</v>
      </c>
      <c r="AJ2391">
        <v>97.7128286038607</v>
      </c>
      <c r="AK2391">
        <v>43.048198794922897</v>
      </c>
      <c r="AL2391">
        <v>86.473254974701803</v>
      </c>
      <c r="AM2391">
        <v>91.005120996468705</v>
      </c>
      <c r="AN2391">
        <v>0.99999998436433202</v>
      </c>
    </row>
    <row r="2392" spans="1:40" x14ac:dyDescent="0.25">
      <c r="A2392" t="str">
        <f>"20190312160648446"</f>
        <v>20190312160648446</v>
      </c>
      <c r="B2392" t="str">
        <f>"1552378008437517"</f>
        <v>1552378008437517</v>
      </c>
      <c r="C2392" t="s">
        <v>40</v>
      </c>
      <c r="D2392">
        <v>6.1349850000000004</v>
      </c>
      <c r="E2392">
        <v>0.45580910000000002</v>
      </c>
      <c r="F2392" t="s">
        <v>66</v>
      </c>
      <c r="G2392">
        <v>-456.48899999999998</v>
      </c>
      <c r="H2392" s="1">
        <v>2.1318839999999998E-6</v>
      </c>
      <c r="I2392">
        <v>279.685</v>
      </c>
      <c r="J2392">
        <v>-413.75439999999998</v>
      </c>
      <c r="K2392">
        <v>1.1095269999999999</v>
      </c>
      <c r="L2392">
        <v>285.09530000000001</v>
      </c>
      <c r="M2392">
        <v>-0.99985579999999996</v>
      </c>
      <c r="N2392">
        <v>0</v>
      </c>
      <c r="O2392">
        <v>8.2463450000000004E-3</v>
      </c>
      <c r="P2392">
        <v>-0.99883980000000006</v>
      </c>
      <c r="Q2392">
        <v>4.7293290000000002E-2</v>
      </c>
      <c r="R2392">
        <v>-9.0889860000000003E-3</v>
      </c>
      <c r="S2392">
        <v>-3.0035099999999999</v>
      </c>
      <c r="T2392">
        <v>-7.7486159999999998E-2</v>
      </c>
      <c r="U2392">
        <v>-0.37768550000000001</v>
      </c>
      <c r="V2392">
        <v>-1.732421E-2</v>
      </c>
      <c r="W2392">
        <v>6.212173E-2</v>
      </c>
      <c r="X2392">
        <v>0.99791819999999998</v>
      </c>
      <c r="Y2392">
        <v>-0.13289790000000001</v>
      </c>
      <c r="Z2392">
        <v>-1.9192040000000001E-3</v>
      </c>
      <c r="AA2392">
        <v>0.99112789999999995</v>
      </c>
      <c r="AB2392">
        <v>48</v>
      </c>
      <c r="AC2392">
        <v>-42.7346</v>
      </c>
      <c r="AD2392">
        <v>-1.1095248681159999</v>
      </c>
      <c r="AE2392">
        <v>-5.4103000000000003</v>
      </c>
      <c r="AF2392">
        <v>-5.75873844995699</v>
      </c>
      <c r="AG2392">
        <v>-1.1095248681159999</v>
      </c>
      <c r="AH2392">
        <v>42.660223533163602</v>
      </c>
      <c r="AI2392">
        <v>91.476451049476495</v>
      </c>
      <c r="AJ2392">
        <v>97.687931068301694</v>
      </c>
      <c r="AK2392">
        <v>43.061453596778001</v>
      </c>
      <c r="AL2392">
        <v>86.438393723047099</v>
      </c>
      <c r="AM2392">
        <v>90.994574922902601</v>
      </c>
      <c r="AN2392">
        <v>0.99999998574077797</v>
      </c>
    </row>
    <row r="2393" spans="1:40" x14ac:dyDescent="0.25">
      <c r="A2393" t="str">
        <f>"20190312160648465"</f>
        <v>20190312160648465</v>
      </c>
      <c r="B2393" t="str">
        <f>"1552378008457037"</f>
        <v>1552378008457037</v>
      </c>
      <c r="C2393" t="s">
        <v>40</v>
      </c>
      <c r="D2393">
        <v>6.3181690000000001</v>
      </c>
      <c r="E2393">
        <v>0.45607110000000001</v>
      </c>
      <c r="F2393" t="s">
        <v>66</v>
      </c>
      <c r="G2393">
        <v>-455.96899999999999</v>
      </c>
      <c r="H2393" s="1">
        <v>1.8499409999999999E-6</v>
      </c>
      <c r="I2393">
        <v>279.80500000000001</v>
      </c>
      <c r="J2393">
        <v>-414.17630000000003</v>
      </c>
      <c r="K2393">
        <v>1.1095280000000001</v>
      </c>
      <c r="L2393">
        <v>285.09890000000001</v>
      </c>
      <c r="M2393">
        <v>-0.99985579999999996</v>
      </c>
      <c r="N2393">
        <v>0</v>
      </c>
      <c r="O2393">
        <v>8.2460060000000002E-3</v>
      </c>
      <c r="P2393">
        <v>-0.99881390000000003</v>
      </c>
      <c r="Q2393">
        <v>4.8044789999999997E-2</v>
      </c>
      <c r="R2393">
        <v>-7.9250199999999996E-3</v>
      </c>
      <c r="S2393">
        <v>-3.003784</v>
      </c>
      <c r="T2393">
        <v>-7.8948260000000006E-2</v>
      </c>
      <c r="U2393">
        <v>-0.3764343</v>
      </c>
      <c r="V2393">
        <v>-1.615952E-2</v>
      </c>
      <c r="W2393">
        <v>6.2870800000000004E-2</v>
      </c>
      <c r="X2393">
        <v>0.99789079999999997</v>
      </c>
      <c r="Y2393">
        <v>-0.13247829999999999</v>
      </c>
      <c r="Z2393">
        <v>-1.9497780000000001E-3</v>
      </c>
      <c r="AA2393">
        <v>0.99118399999999995</v>
      </c>
      <c r="AB2393">
        <v>48</v>
      </c>
      <c r="AC2393">
        <v>-41.792699999999897</v>
      </c>
      <c r="AD2393">
        <v>-1.1095261500589999</v>
      </c>
      <c r="AE2393">
        <v>-5.2938999999999998</v>
      </c>
      <c r="AF2393">
        <v>-5.6344722711332702</v>
      </c>
      <c r="AG2393">
        <v>-1.1095261500589999</v>
      </c>
      <c r="AH2393">
        <v>41.718680895675298</v>
      </c>
      <c r="AI2393">
        <v>91.5097457516205</v>
      </c>
      <c r="AJ2393">
        <v>97.691752782252095</v>
      </c>
      <c r="AK2393">
        <v>42.112072636323902</v>
      </c>
      <c r="AL2393">
        <v>86.395391010673407</v>
      </c>
      <c r="AM2393">
        <v>90.927748182073003</v>
      </c>
      <c r="AN2393">
        <v>0.99999995815195397</v>
      </c>
    </row>
    <row r="2394" spans="1:40" x14ac:dyDescent="0.25">
      <c r="A2394" t="str">
        <f>"20190312160648488"</f>
        <v>20190312160648488</v>
      </c>
      <c r="B2394" t="str">
        <f>"1552378008477533"</f>
        <v>1552378008477533</v>
      </c>
      <c r="C2394" t="s">
        <v>40</v>
      </c>
      <c r="D2394">
        <v>6.4505169999999996</v>
      </c>
      <c r="E2394">
        <v>0.4946509</v>
      </c>
      <c r="F2394" t="s">
        <v>66</v>
      </c>
      <c r="G2394">
        <v>-458.61540000000002</v>
      </c>
      <c r="H2394">
        <v>7.4845850000000002E-3</v>
      </c>
      <c r="I2394">
        <v>279.61630000000002</v>
      </c>
      <c r="J2394">
        <v>-414.6662</v>
      </c>
      <c r="K2394">
        <v>1.1095389999999901</v>
      </c>
      <c r="L2394">
        <v>285.10289999999998</v>
      </c>
      <c r="M2394">
        <v>-0.99985579999999996</v>
      </c>
      <c r="N2394">
        <v>0</v>
      </c>
      <c r="O2394">
        <v>8.2459070000000002E-3</v>
      </c>
      <c r="P2394">
        <v>-0.99878909999999999</v>
      </c>
      <c r="Q2394">
        <v>4.8681729999999999E-2</v>
      </c>
      <c r="R2394">
        <v>-7.1056749999999997E-3</v>
      </c>
      <c r="S2394">
        <v>-3.0042110000000002</v>
      </c>
      <c r="T2394">
        <v>-7.4501399999999995E-2</v>
      </c>
      <c r="U2394">
        <v>-0.37063600000000002</v>
      </c>
      <c r="V2394">
        <v>-1.533999E-2</v>
      </c>
      <c r="W2394">
        <v>6.3504669999999999E-2</v>
      </c>
      <c r="X2394">
        <v>0.99786370000000002</v>
      </c>
      <c r="Y2394">
        <v>-0.13058239999999999</v>
      </c>
      <c r="Z2394">
        <v>-1.8165290000000001E-3</v>
      </c>
      <c r="AA2394">
        <v>0.99143579999999998</v>
      </c>
      <c r="AB2394">
        <v>48</v>
      </c>
      <c r="AC2394">
        <v>-43.949199999999998</v>
      </c>
      <c r="AD2394">
        <v>-1.10205441499999</v>
      </c>
      <c r="AE2394">
        <v>-5.4865999999999504</v>
      </c>
      <c r="AF2394">
        <v>-5.8452353704592301</v>
      </c>
      <c r="AG2394">
        <v>-1.10205441499999</v>
      </c>
      <c r="AH2394">
        <v>43.875293615106699</v>
      </c>
      <c r="AI2394">
        <v>91.426250020197102</v>
      </c>
      <c r="AJ2394">
        <v>97.588479706679294</v>
      </c>
      <c r="AK2394">
        <v>44.276660785130503</v>
      </c>
      <c r="AL2394">
        <v>86.359000586829097</v>
      </c>
      <c r="AM2394">
        <v>90.880728959515693</v>
      </c>
      <c r="AN2394">
        <v>1.00000006109134</v>
      </c>
    </row>
    <row r="2395" spans="1:40" x14ac:dyDescent="0.25">
      <c r="A2395" t="str">
        <f>"20190312160648501"</f>
        <v>20190312160648501</v>
      </c>
      <c r="B2395" t="str">
        <f>"1552378008497053"</f>
        <v>1552378008497053</v>
      </c>
      <c r="C2395" t="s">
        <v>40</v>
      </c>
      <c r="D2395">
        <v>6.4703429999999997</v>
      </c>
      <c r="E2395">
        <v>0.50767019999999996</v>
      </c>
      <c r="F2395" t="s">
        <v>41</v>
      </c>
      <c r="G2395">
        <v>0</v>
      </c>
      <c r="H2395">
        <v>0</v>
      </c>
      <c r="I2395">
        <v>0</v>
      </c>
      <c r="J2395">
        <v>-414.95139999999998</v>
      </c>
      <c r="K2395">
        <v>1.1095440000000001</v>
      </c>
      <c r="L2395">
        <v>285.10520000000002</v>
      </c>
      <c r="M2395">
        <v>-0.99985599999999997</v>
      </c>
      <c r="N2395">
        <v>0</v>
      </c>
      <c r="O2395">
        <v>8.2457399999999997E-3</v>
      </c>
      <c r="P2395">
        <v>-0.99876750000000003</v>
      </c>
      <c r="Q2395">
        <v>4.9221300000000003E-2</v>
      </c>
      <c r="R2395">
        <v>-6.4031510000000002E-3</v>
      </c>
      <c r="S2395">
        <v>-2.9843139999999999</v>
      </c>
      <c r="T2395">
        <v>0.38679530000000001</v>
      </c>
      <c r="U2395">
        <v>-6.7779539999999999E-2</v>
      </c>
      <c r="V2395">
        <v>-1.463718E-2</v>
      </c>
      <c r="W2395">
        <v>6.4042409999999994E-2</v>
      </c>
      <c r="X2395">
        <v>0.99783980000000005</v>
      </c>
      <c r="Y2395">
        <v>-3.0624849999999999E-2</v>
      </c>
      <c r="Z2395">
        <v>3.04039E-3</v>
      </c>
      <c r="AA2395">
        <v>0.99952629999999998</v>
      </c>
      <c r="AB2395">
        <v>48</v>
      </c>
      <c r="AC2395">
        <v>-2.9843139999999999</v>
      </c>
      <c r="AD2395">
        <v>0.38679530000000001</v>
      </c>
      <c r="AE2395">
        <v>-6.7779539999999999E-2</v>
      </c>
      <c r="AF2395">
        <v>-9.08622471861317E-2</v>
      </c>
      <c r="AG2395">
        <v>0.38679530000000001</v>
      </c>
      <c r="AH2395">
        <v>2.9343853857422602</v>
      </c>
      <c r="AI2395">
        <v>82.494418046369404</v>
      </c>
      <c r="AJ2395">
        <v>91.773577662951297</v>
      </c>
      <c r="AK2395">
        <v>2.9611626338523802</v>
      </c>
      <c r="AL2395">
        <v>86.328127182524</v>
      </c>
      <c r="AM2395">
        <v>90.840403934052901</v>
      </c>
      <c r="AN2395">
        <v>0.99999997189049905</v>
      </c>
    </row>
    <row r="2396" spans="1:40" x14ac:dyDescent="0.25">
      <c r="A2396" t="str">
        <f>"20190312160648522"</f>
        <v>20190312160648522</v>
      </c>
      <c r="B2396" t="str">
        <f>"1552378008517081"</f>
        <v>1552378008517081</v>
      </c>
      <c r="C2396" t="s">
        <v>40</v>
      </c>
      <c r="D2396">
        <v>6.4027599999999998</v>
      </c>
      <c r="E2396">
        <v>0.50904229999999995</v>
      </c>
      <c r="F2396" t="s">
        <v>41</v>
      </c>
      <c r="G2396">
        <v>0</v>
      </c>
      <c r="H2396">
        <v>0</v>
      </c>
      <c r="I2396">
        <v>0</v>
      </c>
      <c r="J2396">
        <v>-415.39940000000001</v>
      </c>
      <c r="K2396">
        <v>1.109551</v>
      </c>
      <c r="L2396">
        <v>285.10890000000001</v>
      </c>
      <c r="M2396">
        <v>-0.99985579999999996</v>
      </c>
      <c r="N2396">
        <v>0</v>
      </c>
      <c r="O2396">
        <v>8.2457599999999995E-3</v>
      </c>
      <c r="P2396">
        <v>-0.99872669999999997</v>
      </c>
      <c r="Q2396">
        <v>5.009098E-2</v>
      </c>
      <c r="R2396">
        <v>-5.9770379999999996E-3</v>
      </c>
      <c r="S2396">
        <v>-2.9858090000000002</v>
      </c>
      <c r="T2396">
        <v>0.36819049999999998</v>
      </c>
      <c r="U2396">
        <v>3.8696290000000001E-2</v>
      </c>
      <c r="V2396">
        <v>-1.4210530000000001E-2</v>
      </c>
      <c r="W2396">
        <v>6.4908919999999995E-2</v>
      </c>
      <c r="X2396">
        <v>0.99778999999999995</v>
      </c>
      <c r="Y2396">
        <v>4.7391229999999996E-3</v>
      </c>
      <c r="Z2396">
        <v>7.2194009999999897E-4</v>
      </c>
      <c r="AA2396">
        <v>0.99998849999999995</v>
      </c>
      <c r="AB2396">
        <v>48</v>
      </c>
      <c r="AC2396">
        <v>-2.9858090000000002</v>
      </c>
      <c r="AD2396">
        <v>0.36819049999999998</v>
      </c>
      <c r="AE2396">
        <v>3.8696290000000001E-2</v>
      </c>
      <c r="AF2396">
        <v>1.3861254488806001E-2</v>
      </c>
      <c r="AG2396">
        <v>0.36819049999999998</v>
      </c>
      <c r="AH2396">
        <v>2.9413079367423598</v>
      </c>
      <c r="AI2396">
        <v>82.864954272088099</v>
      </c>
      <c r="AJ2396">
        <v>89.729988998502705</v>
      </c>
      <c r="AK2396">
        <v>2.9642956595808401</v>
      </c>
      <c r="AL2396">
        <v>86.2783763842383</v>
      </c>
      <c r="AM2396">
        <v>90.815951603819599</v>
      </c>
      <c r="AN2396">
        <v>0.99999999557922303</v>
      </c>
    </row>
    <row r="2397" spans="1:40" x14ac:dyDescent="0.25">
      <c r="A2397" t="str">
        <f>"20190312160648545"</f>
        <v>20190312160648545</v>
      </c>
      <c r="B2397" t="str">
        <f>"1552378008537578"</f>
        <v>1552378008537578</v>
      </c>
      <c r="C2397" t="s">
        <v>40</v>
      </c>
      <c r="D2397">
        <v>6.5957999999999997</v>
      </c>
      <c r="E2397">
        <v>0.50770059999999995</v>
      </c>
      <c r="F2397" t="s">
        <v>41</v>
      </c>
      <c r="G2397">
        <v>0</v>
      </c>
      <c r="H2397">
        <v>0</v>
      </c>
      <c r="I2397">
        <v>0</v>
      </c>
      <c r="J2397">
        <v>-415.87720000000002</v>
      </c>
      <c r="K2397">
        <v>1.1095600000000001</v>
      </c>
      <c r="L2397">
        <v>285.11290000000002</v>
      </c>
      <c r="M2397">
        <v>-0.99985590000000002</v>
      </c>
      <c r="N2397">
        <v>0</v>
      </c>
      <c r="O2397">
        <v>8.245423E-3</v>
      </c>
      <c r="P2397">
        <v>-0.99868939999999995</v>
      </c>
      <c r="Q2397">
        <v>5.0830319999999998E-2</v>
      </c>
      <c r="R2397">
        <v>-5.9660049999999999E-3</v>
      </c>
      <c r="S2397">
        <v>-2.9837950000000002</v>
      </c>
      <c r="T2397">
        <v>0.40554030000000002</v>
      </c>
      <c r="U2397">
        <v>5.0506589999999997E-2</v>
      </c>
      <c r="V2397">
        <v>-1.4199379999999999E-2</v>
      </c>
      <c r="W2397">
        <v>6.5644530000000006E-2</v>
      </c>
      <c r="X2397">
        <v>0.99774209999999997</v>
      </c>
      <c r="Y2397">
        <v>8.6748740000000008E-3</v>
      </c>
      <c r="Z2397">
        <v>5.2877719999999998E-4</v>
      </c>
      <c r="AA2397">
        <v>0.99996220000000002</v>
      </c>
      <c r="AB2397">
        <v>48</v>
      </c>
      <c r="AC2397">
        <v>-2.9837950000000002</v>
      </c>
      <c r="AD2397">
        <v>0.40554030000000002</v>
      </c>
      <c r="AE2397">
        <v>5.0506589999999997E-2</v>
      </c>
      <c r="AF2397">
        <v>2.5429887870378701E-2</v>
      </c>
      <c r="AG2397">
        <v>0.40554030000000002</v>
      </c>
      <c r="AH2397">
        <v>2.9300005605491299</v>
      </c>
      <c r="AI2397">
        <v>82.120071821835694</v>
      </c>
      <c r="AJ2397">
        <v>89.502734339013202</v>
      </c>
      <c r="AK2397">
        <v>2.9580420718677098</v>
      </c>
      <c r="AL2397">
        <v>86.236139202637105</v>
      </c>
      <c r="AM2397">
        <v>90.815350607149995</v>
      </c>
      <c r="AN2397">
        <v>1.0000000624118499</v>
      </c>
    </row>
    <row r="2398" spans="1:40" x14ac:dyDescent="0.25">
      <c r="A2398" t="str">
        <f>"20190312160648566"</f>
        <v>20190312160648566</v>
      </c>
      <c r="B2398" t="str">
        <f>"1552378008557097"</f>
        <v>1552378008557097</v>
      </c>
      <c r="C2398" t="s">
        <v>40</v>
      </c>
      <c r="D2398">
        <v>6.2004039999999998</v>
      </c>
      <c r="E2398">
        <v>0.50742429999999905</v>
      </c>
      <c r="F2398" t="s">
        <v>41</v>
      </c>
      <c r="G2398">
        <v>0</v>
      </c>
      <c r="H2398">
        <v>0</v>
      </c>
      <c r="I2398">
        <v>0</v>
      </c>
      <c r="J2398">
        <v>-416.35219999999998</v>
      </c>
      <c r="K2398">
        <v>1.1095660000000001</v>
      </c>
      <c r="L2398">
        <v>285.11669999999998</v>
      </c>
      <c r="M2398">
        <v>-0.99985610000000003</v>
      </c>
      <c r="N2398">
        <v>0</v>
      </c>
      <c r="O2398">
        <v>8.2451469999999995E-3</v>
      </c>
      <c r="P2398">
        <v>-0.99863760000000001</v>
      </c>
      <c r="Q2398">
        <v>5.179164E-2</v>
      </c>
      <c r="R2398">
        <v>-6.4140919999999997E-3</v>
      </c>
      <c r="S2398">
        <v>-2.9867859999999999</v>
      </c>
      <c r="T2398">
        <v>0.34179530000000002</v>
      </c>
      <c r="U2398">
        <v>4.0740970000000001E-2</v>
      </c>
      <c r="V2398">
        <v>-1.464614E-2</v>
      </c>
      <c r="W2398">
        <v>6.6602330000000001E-2</v>
      </c>
      <c r="X2398">
        <v>0.99767209999999995</v>
      </c>
      <c r="Y2398">
        <v>5.4118780000000002E-3</v>
      </c>
      <c r="Z2398">
        <v>6.3187520000000002E-4</v>
      </c>
      <c r="AA2398">
        <v>0.99998520000000002</v>
      </c>
      <c r="AB2398">
        <v>48</v>
      </c>
      <c r="AC2398">
        <v>-2.9867859999999999</v>
      </c>
      <c r="AD2398">
        <v>0.34179530000000002</v>
      </c>
      <c r="AE2398">
        <v>4.0740970000000001E-2</v>
      </c>
      <c r="AF2398">
        <v>1.5902179203560698E-2</v>
      </c>
      <c r="AG2398">
        <v>0.34179530000000002</v>
      </c>
      <c r="AH2398">
        <v>2.9484164323242501</v>
      </c>
      <c r="AI2398">
        <v>83.387595191529101</v>
      </c>
      <c r="AJ2398">
        <v>89.690980246598698</v>
      </c>
      <c r="AK2398">
        <v>2.96820423232721</v>
      </c>
      <c r="AL2398">
        <v>86.181140699133806</v>
      </c>
      <c r="AM2398">
        <v>90.841059635620397</v>
      </c>
      <c r="AN2398">
        <v>0.99999999944836904</v>
      </c>
    </row>
    <row r="2399" spans="1:40" x14ac:dyDescent="0.25">
      <c r="A2399" t="str">
        <f>"20190312160648588"</f>
        <v>20190312160648588</v>
      </c>
      <c r="B2399" t="str">
        <f>"1552378008577594"</f>
        <v>1552378008577594</v>
      </c>
      <c r="C2399" t="s">
        <v>40</v>
      </c>
      <c r="D2399">
        <v>7.70164299999999</v>
      </c>
      <c r="E2399">
        <v>0.50795249999999903</v>
      </c>
      <c r="F2399" t="s">
        <v>41</v>
      </c>
      <c r="G2399">
        <v>0</v>
      </c>
      <c r="H2399">
        <v>0</v>
      </c>
      <c r="I2399">
        <v>0</v>
      </c>
      <c r="J2399">
        <v>-416.81819999999999</v>
      </c>
      <c r="K2399">
        <v>1.1095729999999999</v>
      </c>
      <c r="L2399">
        <v>285.12060000000002</v>
      </c>
      <c r="M2399">
        <v>-0.99985599999999997</v>
      </c>
      <c r="N2399">
        <v>0</v>
      </c>
      <c r="O2399">
        <v>8.2451680000000006E-3</v>
      </c>
      <c r="P2399">
        <v>-0.99859370000000003</v>
      </c>
      <c r="Q2399">
        <v>5.2546790000000003E-2</v>
      </c>
      <c r="R2399">
        <v>-7.0420519999999896E-3</v>
      </c>
      <c r="S2399">
        <v>-2.988464</v>
      </c>
      <c r="T2399">
        <v>0.30646630000000002</v>
      </c>
      <c r="U2399">
        <v>3.7628170000000002E-2</v>
      </c>
      <c r="V2399">
        <v>-1.5273800000000001E-2</v>
      </c>
      <c r="W2399">
        <v>6.7353549999999998E-2</v>
      </c>
      <c r="X2399">
        <v>0.99761219999999995</v>
      </c>
      <c r="Y2399">
        <v>4.3646459999999998E-3</v>
      </c>
      <c r="Z2399">
        <v>6.2016769999999896E-4</v>
      </c>
      <c r="AA2399">
        <v>0.9999903</v>
      </c>
      <c r="AB2399">
        <v>48</v>
      </c>
      <c r="AC2399">
        <v>-2.988464</v>
      </c>
      <c r="AD2399">
        <v>0.30646630000000002</v>
      </c>
      <c r="AE2399">
        <v>3.7628170000000002E-2</v>
      </c>
      <c r="AF2399">
        <v>1.28486908063218E-2</v>
      </c>
      <c r="AG2399">
        <v>0.30646630000000002</v>
      </c>
      <c r="AH2399">
        <v>2.9575744088001401</v>
      </c>
      <c r="AI2399">
        <v>84.084132834748203</v>
      </c>
      <c r="AJ2399">
        <v>89.751089567858997</v>
      </c>
      <c r="AK2399">
        <v>2.97343792023318</v>
      </c>
      <c r="AL2399">
        <v>86.138001884803501</v>
      </c>
      <c r="AM2399">
        <v>90.877150367953305</v>
      </c>
      <c r="AN2399">
        <v>0.99999994562643901</v>
      </c>
    </row>
    <row r="2400" spans="1:40" x14ac:dyDescent="0.25">
      <c r="A2400" t="str">
        <f>"20190312160648601"</f>
        <v>20190312160648601</v>
      </c>
      <c r="B2400" t="str">
        <f>"1552378008597112"</f>
        <v>1552378008597112</v>
      </c>
      <c r="C2400" t="s">
        <v>40</v>
      </c>
      <c r="D2400">
        <v>6.1874659999999997</v>
      </c>
      <c r="E2400">
        <v>0.50852659999999905</v>
      </c>
      <c r="F2400" t="s">
        <v>41</v>
      </c>
      <c r="G2400">
        <v>0</v>
      </c>
      <c r="H2400">
        <v>0</v>
      </c>
      <c r="I2400">
        <v>0</v>
      </c>
      <c r="J2400">
        <v>-417.08800000000002</v>
      </c>
      <c r="K2400">
        <v>1.109575</v>
      </c>
      <c r="L2400">
        <v>285.12279999999998</v>
      </c>
      <c r="M2400">
        <v>-0.99985610000000003</v>
      </c>
      <c r="N2400">
        <v>0</v>
      </c>
      <c r="O2400">
        <v>8.2450019999999995E-3</v>
      </c>
      <c r="P2400">
        <v>-0.99854560000000003</v>
      </c>
      <c r="Q2400">
        <v>5.3402970000000001E-2</v>
      </c>
      <c r="R2400">
        <v>-7.4133009999999997E-3</v>
      </c>
      <c r="S2400">
        <v>-2.985535</v>
      </c>
      <c r="T2400">
        <v>0.36056969999999999</v>
      </c>
      <c r="U2400">
        <v>3.9276119999999998E-2</v>
      </c>
      <c r="V2400">
        <v>-1.5644410000000001E-2</v>
      </c>
      <c r="W2400">
        <v>6.8207030000000002E-2</v>
      </c>
      <c r="X2400">
        <v>0.99754849999999995</v>
      </c>
      <c r="Y2400">
        <v>4.9327629999999997E-3</v>
      </c>
      <c r="Z2400">
        <v>6.9542789999999996E-4</v>
      </c>
      <c r="AA2400">
        <v>0.99998759999999998</v>
      </c>
      <c r="AB2400">
        <v>48</v>
      </c>
      <c r="AC2400">
        <v>-2.985535</v>
      </c>
      <c r="AD2400">
        <v>0.36056969999999999</v>
      </c>
      <c r="AE2400">
        <v>3.9276119999999998E-2</v>
      </c>
      <c r="AF2400">
        <v>1.4445669865321699E-2</v>
      </c>
      <c r="AG2400">
        <v>0.36056969999999999</v>
      </c>
      <c r="AH2400">
        <v>2.9428407236193599</v>
      </c>
      <c r="AI2400">
        <v>83.014770323526093</v>
      </c>
      <c r="AJ2400">
        <v>89.718751592252303</v>
      </c>
      <c r="AK2400">
        <v>2.9648829168330502</v>
      </c>
      <c r="AL2400">
        <v>86.088988488448607</v>
      </c>
      <c r="AM2400">
        <v>90.898487832671194</v>
      </c>
      <c r="AN2400">
        <v>0.99999997817895903</v>
      </c>
    </row>
    <row r="2401" spans="1:40" x14ac:dyDescent="0.25">
      <c r="A2401" t="str">
        <f>"20190312160648613"</f>
        <v>20190312160648613</v>
      </c>
      <c r="B2401" t="str">
        <f>"1552378008607849"</f>
        <v>1552378008607849</v>
      </c>
      <c r="C2401" t="s">
        <v>40</v>
      </c>
      <c r="D2401">
        <v>6.3462540000000001</v>
      </c>
      <c r="E2401">
        <v>0.50887749999999998</v>
      </c>
      <c r="F2401" t="s">
        <v>41</v>
      </c>
      <c r="G2401">
        <v>0</v>
      </c>
      <c r="H2401">
        <v>0</v>
      </c>
      <c r="I2401">
        <v>0</v>
      </c>
      <c r="J2401">
        <v>-417.36779999999999</v>
      </c>
      <c r="K2401">
        <v>1.1095820000000001</v>
      </c>
      <c r="L2401">
        <v>285.12509999999997</v>
      </c>
      <c r="M2401">
        <v>-0.99985610000000003</v>
      </c>
      <c r="N2401">
        <v>0</v>
      </c>
      <c r="O2401">
        <v>8.2448350000000007E-3</v>
      </c>
      <c r="P2401">
        <v>-0.99850799999999995</v>
      </c>
      <c r="Q2401">
        <v>5.4040009999999999E-2</v>
      </c>
      <c r="R2401">
        <v>-7.8515519999999995E-3</v>
      </c>
      <c r="S2401">
        <v>-2.9850159999999999</v>
      </c>
      <c r="T2401">
        <v>0.36646770000000001</v>
      </c>
      <c r="U2401">
        <v>4.2602540000000001E-2</v>
      </c>
      <c r="V2401">
        <v>-1.6082269999999999E-2</v>
      </c>
      <c r="W2401">
        <v>6.8841639999999996E-2</v>
      </c>
      <c r="X2401">
        <v>0.997498</v>
      </c>
      <c r="Y2401">
        <v>6.0418340000000003E-3</v>
      </c>
      <c r="Z2401">
        <v>6.3899249999999996E-4</v>
      </c>
      <c r="AA2401">
        <v>0.99998149999999997</v>
      </c>
      <c r="AB2401">
        <v>48</v>
      </c>
      <c r="AC2401">
        <v>-2.9850159999999999</v>
      </c>
      <c r="AD2401">
        <v>0.36646770000000001</v>
      </c>
      <c r="AE2401">
        <v>4.2602540000000001E-2</v>
      </c>
      <c r="AF2401">
        <v>1.7720390293040199E-2</v>
      </c>
      <c r="AG2401">
        <v>0.36646770000000001</v>
      </c>
      <c r="AH2401">
        <v>2.9409481316720001</v>
      </c>
      <c r="AI2401">
        <v>82.897187698364803</v>
      </c>
      <c r="AJ2401">
        <v>89.654774160267706</v>
      </c>
      <c r="AK2401">
        <v>2.9637456875650501</v>
      </c>
      <c r="AL2401">
        <v>86.052542569988603</v>
      </c>
      <c r="AM2401">
        <v>90.923677409533397</v>
      </c>
      <c r="AN2401">
        <v>1.0000000354051199</v>
      </c>
    </row>
    <row r="2402" spans="1:40" x14ac:dyDescent="0.25">
      <c r="A2402" t="str">
        <f>"20190312160648644"</f>
        <v>20190312160648644</v>
      </c>
      <c r="B2402" t="str">
        <f>"1552378008637636"</f>
        <v>1552378008637636</v>
      </c>
      <c r="C2402" t="s">
        <v>40</v>
      </c>
      <c r="D2402">
        <v>6.448874</v>
      </c>
      <c r="E2402">
        <v>0.50897590000000004</v>
      </c>
      <c r="F2402" t="s">
        <v>41</v>
      </c>
      <c r="G2402">
        <v>0</v>
      </c>
      <c r="H2402">
        <v>0</v>
      </c>
      <c r="I2402">
        <v>0</v>
      </c>
      <c r="J2402">
        <v>-418.02609999999999</v>
      </c>
      <c r="K2402">
        <v>1.1095930000000001</v>
      </c>
      <c r="L2402">
        <v>285.13060000000002</v>
      </c>
      <c r="M2402">
        <v>-0.99985619999999997</v>
      </c>
      <c r="N2402">
        <v>0</v>
      </c>
      <c r="O2402">
        <v>8.2446840000000004E-3</v>
      </c>
      <c r="P2402">
        <v>-0.99838789999999999</v>
      </c>
      <c r="Q2402">
        <v>5.6211299999999999E-2</v>
      </c>
      <c r="R2402">
        <v>-7.8723909999999994E-3</v>
      </c>
      <c r="S2402">
        <v>-2.9852599999999998</v>
      </c>
      <c r="T2402">
        <v>0.36077700000000001</v>
      </c>
      <c r="U2402">
        <v>4.4403079999999998E-2</v>
      </c>
      <c r="V2402">
        <v>-1.61017E-2</v>
      </c>
      <c r="W2402">
        <v>7.1007360000000005E-2</v>
      </c>
      <c r="X2402">
        <v>0.99734579999999995</v>
      </c>
      <c r="Y2402">
        <v>6.6389659999999996E-3</v>
      </c>
      <c r="Z2402">
        <v>5.9311990000000001E-4</v>
      </c>
      <c r="AA2402">
        <v>0.99997780000000003</v>
      </c>
      <c r="AB2402">
        <v>48</v>
      </c>
      <c r="AC2402">
        <v>-2.9852599999999998</v>
      </c>
      <c r="AD2402">
        <v>0.36077700000000001</v>
      </c>
      <c r="AE2402">
        <v>4.4403079999999998E-2</v>
      </c>
      <c r="AF2402">
        <v>1.95015769144706E-2</v>
      </c>
      <c r="AG2402">
        <v>0.36077700000000001</v>
      </c>
      <c r="AH2402">
        <v>2.9425569385716801</v>
      </c>
      <c r="AI2402">
        <v>83.010195283189404</v>
      </c>
      <c r="AJ2402">
        <v>89.6202820486902</v>
      </c>
      <c r="AK2402">
        <v>2.96465540863815</v>
      </c>
      <c r="AL2402">
        <v>85.928151223467694</v>
      </c>
      <c r="AM2402">
        <v>90.924934272092401</v>
      </c>
      <c r="AN2402">
        <v>0.99999997734734902</v>
      </c>
    </row>
    <row r="2403" spans="1:40" x14ac:dyDescent="0.25">
      <c r="A2403" t="str">
        <f>"20190312160648666"</f>
        <v>20190312160648666</v>
      </c>
      <c r="B2403" t="str">
        <f>"1552378008657156"</f>
        <v>1552378008657156</v>
      </c>
      <c r="C2403" t="s">
        <v>40</v>
      </c>
      <c r="D2403">
        <v>6.2394489999999996</v>
      </c>
      <c r="E2403">
        <v>0.50895599999999996</v>
      </c>
      <c r="F2403" t="s">
        <v>41</v>
      </c>
      <c r="G2403">
        <v>0</v>
      </c>
      <c r="H2403">
        <v>0</v>
      </c>
      <c r="I2403">
        <v>0</v>
      </c>
      <c r="J2403">
        <v>-418.50560000000002</v>
      </c>
      <c r="K2403">
        <v>1.109602</v>
      </c>
      <c r="L2403">
        <v>285.1345</v>
      </c>
      <c r="M2403">
        <v>-0.99985619999999997</v>
      </c>
      <c r="N2403">
        <v>0</v>
      </c>
      <c r="O2403">
        <v>8.2445279999999992E-3</v>
      </c>
      <c r="P2403">
        <v>-0.99832019999999999</v>
      </c>
      <c r="Q2403">
        <v>5.7408729999999998E-2</v>
      </c>
      <c r="R2403">
        <v>-7.8239039999999996E-3</v>
      </c>
      <c r="S2403">
        <v>-2.9821469999999999</v>
      </c>
      <c r="T2403">
        <v>0.40913749999999999</v>
      </c>
      <c r="U2403">
        <v>4.4219969999999997E-2</v>
      </c>
      <c r="V2403">
        <v>-1.605229E-2</v>
      </c>
      <c r="W2403">
        <v>7.220066E-2</v>
      </c>
      <c r="X2403">
        <v>0.99726090000000001</v>
      </c>
      <c r="Y2403">
        <v>6.5970069999999898E-3</v>
      </c>
      <c r="Z2403">
        <v>6.754698E-4</v>
      </c>
      <c r="AA2403">
        <v>0.99997800000000003</v>
      </c>
      <c r="AB2403">
        <v>48</v>
      </c>
      <c r="AC2403">
        <v>-2.9821469999999999</v>
      </c>
      <c r="AD2403">
        <v>0.40913749999999999</v>
      </c>
      <c r="AE2403">
        <v>4.4219969999999997E-2</v>
      </c>
      <c r="AF2403">
        <v>1.9266799948720902E-2</v>
      </c>
      <c r="AG2403">
        <v>0.40913749999999999</v>
      </c>
      <c r="AH2403">
        <v>2.9273224208490798</v>
      </c>
      <c r="AI2403">
        <v>82.043760416934504</v>
      </c>
      <c r="AJ2403">
        <v>89.622900991598698</v>
      </c>
      <c r="AK2403">
        <v>2.9558385035539798</v>
      </c>
      <c r="AL2403">
        <v>85.8596041289765</v>
      </c>
      <c r="AM2403">
        <v>90.922174978479703</v>
      </c>
      <c r="AN2403">
        <v>0.999999956993743</v>
      </c>
    </row>
    <row r="2404" spans="1:40" x14ac:dyDescent="0.25">
      <c r="A2404" t="str">
        <f>"20190312160648689"</f>
        <v>20190312160648689</v>
      </c>
      <c r="B2404" t="str">
        <f>"1552378008677651"</f>
        <v>1552378008677651</v>
      </c>
      <c r="C2404" t="s">
        <v>40</v>
      </c>
      <c r="D2404">
        <v>6.598452</v>
      </c>
      <c r="E2404">
        <v>0.50903540000000003</v>
      </c>
      <c r="F2404" t="s">
        <v>41</v>
      </c>
      <c r="G2404">
        <v>0</v>
      </c>
      <c r="H2404">
        <v>0</v>
      </c>
      <c r="I2404">
        <v>0</v>
      </c>
      <c r="J2404">
        <v>-418.9787</v>
      </c>
      <c r="K2404">
        <v>1.109605</v>
      </c>
      <c r="L2404">
        <v>285.13850000000002</v>
      </c>
      <c r="M2404">
        <v>-0.99985619999999997</v>
      </c>
      <c r="N2404">
        <v>0</v>
      </c>
      <c r="O2404">
        <v>8.2442550000000007E-3</v>
      </c>
      <c r="P2404">
        <v>-0.99830600000000003</v>
      </c>
      <c r="Q2404">
        <v>5.775537E-2</v>
      </c>
      <c r="R2404">
        <v>-7.0184119999999999E-3</v>
      </c>
      <c r="S2404">
        <v>-2.9814449999999999</v>
      </c>
      <c r="T2404">
        <v>0.41574870000000003</v>
      </c>
      <c r="U2404">
        <v>4.4189449999999998E-2</v>
      </c>
      <c r="V2404">
        <v>-1.5246829999999999E-2</v>
      </c>
      <c r="W2404">
        <v>7.2543570000000002E-2</v>
      </c>
      <c r="X2404">
        <v>0.99724869999999999</v>
      </c>
      <c r="Y2404">
        <v>6.5910999999999999E-3</v>
      </c>
      <c r="Z2404">
        <v>6.8681280000000003E-4</v>
      </c>
      <c r="AA2404">
        <v>0.99997809999999998</v>
      </c>
      <c r="AB2404">
        <v>48</v>
      </c>
      <c r="AC2404">
        <v>-2.9814449999999999</v>
      </c>
      <c r="AD2404">
        <v>0.41574870000000003</v>
      </c>
      <c r="AE2404">
        <v>4.4189449999999998E-2</v>
      </c>
      <c r="AF2404">
        <v>1.9231579474705201E-2</v>
      </c>
      <c r="AG2404">
        <v>0.41574870000000003</v>
      </c>
      <c r="AH2404">
        <v>2.9248468163249601</v>
      </c>
      <c r="AI2404">
        <v>81.910131010541605</v>
      </c>
      <c r="AJ2404">
        <v>89.623271737884806</v>
      </c>
      <c r="AK2404">
        <v>2.9543096882634101</v>
      </c>
      <c r="AL2404">
        <v>85.839905365411894</v>
      </c>
      <c r="AM2404">
        <v>90.875920874150196</v>
      </c>
      <c r="AN2404">
        <v>1.00000000251254</v>
      </c>
    </row>
    <row r="2405" spans="1:40" x14ac:dyDescent="0.25">
      <c r="A2405" t="str">
        <f>"20190312160648711"</f>
        <v>20190312160648711</v>
      </c>
      <c r="B2405" t="str">
        <f>"1552378008707908"</f>
        <v>1552378008707908</v>
      </c>
      <c r="C2405" t="s">
        <v>40</v>
      </c>
      <c r="D2405">
        <v>4.7303879999999996</v>
      </c>
      <c r="E2405">
        <v>0.50718149999999995</v>
      </c>
      <c r="F2405" t="s">
        <v>41</v>
      </c>
      <c r="G2405">
        <v>0</v>
      </c>
      <c r="H2405">
        <v>0</v>
      </c>
      <c r="I2405">
        <v>0</v>
      </c>
      <c r="J2405">
        <v>-419.46019999999999</v>
      </c>
      <c r="K2405">
        <v>1.1096060000000001</v>
      </c>
      <c r="L2405">
        <v>285.14240000000001</v>
      </c>
      <c r="M2405">
        <v>-0.99985619999999997</v>
      </c>
      <c r="N2405">
        <v>0</v>
      </c>
      <c r="O2405">
        <v>8.2443910000000002E-3</v>
      </c>
      <c r="P2405">
        <v>-0.99827969999999999</v>
      </c>
      <c r="Q2405">
        <v>5.8221420000000003E-2</v>
      </c>
      <c r="R2405">
        <v>-6.9335519999999999E-3</v>
      </c>
      <c r="S2405">
        <v>-2.9807429999999999</v>
      </c>
      <c r="T2405">
        <v>0.42617430000000001</v>
      </c>
      <c r="U2405">
        <v>4.6966550000000003E-2</v>
      </c>
      <c r="V2405">
        <v>-1.516167E-2</v>
      </c>
      <c r="W2405">
        <v>7.3006310000000005E-2</v>
      </c>
      <c r="X2405">
        <v>0.9972162</v>
      </c>
      <c r="Y2405">
        <v>7.5172939999999999E-3</v>
      </c>
      <c r="Z2405">
        <v>6.3816920000000002E-4</v>
      </c>
      <c r="AA2405">
        <v>0.99997159999999996</v>
      </c>
      <c r="AB2405">
        <v>48</v>
      </c>
      <c r="AC2405">
        <v>-2.9807429999999999</v>
      </c>
      <c r="AD2405">
        <v>0.42617430000000001</v>
      </c>
      <c r="AE2405">
        <v>4.6966550000000003E-2</v>
      </c>
      <c r="AF2405">
        <v>2.19394664871112E-2</v>
      </c>
      <c r="AG2405">
        <v>0.42617430000000001</v>
      </c>
      <c r="AH2405">
        <v>2.9213257270142701</v>
      </c>
      <c r="AI2405">
        <v>81.700250656644599</v>
      </c>
      <c r="AJ2405">
        <v>89.569710699968994</v>
      </c>
      <c r="AK2405">
        <v>2.95232956789815</v>
      </c>
      <c r="AL2405">
        <v>85.813321705493806</v>
      </c>
      <c r="AM2405">
        <v>90.8710576242363</v>
      </c>
      <c r="AN2405">
        <v>0.99999997353972203</v>
      </c>
    </row>
    <row r="2406" spans="1:40" x14ac:dyDescent="0.25">
      <c r="A2406" t="str">
        <f>"20190312160648734"</f>
        <v>20190312160648734</v>
      </c>
      <c r="B2406" t="str">
        <f>"1552378008727935"</f>
        <v>1552378008727935</v>
      </c>
      <c r="C2406" t="s">
        <v>40</v>
      </c>
      <c r="D2406">
        <v>6.2862410000000004</v>
      </c>
      <c r="E2406">
        <v>0.50736020000000004</v>
      </c>
      <c r="F2406" t="s">
        <v>41</v>
      </c>
      <c r="G2406">
        <v>0</v>
      </c>
      <c r="H2406">
        <v>0</v>
      </c>
      <c r="I2406">
        <v>0</v>
      </c>
      <c r="J2406">
        <v>-419.94729999999998</v>
      </c>
      <c r="K2406">
        <v>1.1096159999999999</v>
      </c>
      <c r="L2406">
        <v>285.1465</v>
      </c>
      <c r="M2406">
        <v>-0.99985639999999998</v>
      </c>
      <c r="N2406">
        <v>0</v>
      </c>
      <c r="O2406">
        <v>8.2439419999999902E-3</v>
      </c>
      <c r="P2406">
        <v>-0.99822420000000001</v>
      </c>
      <c r="Q2406">
        <v>5.9145099999999999E-2</v>
      </c>
      <c r="R2406">
        <v>-7.1095660000000003E-3</v>
      </c>
      <c r="S2406">
        <v>-2.9812319999999999</v>
      </c>
      <c r="T2406">
        <v>0.4147381</v>
      </c>
      <c r="U2406">
        <v>3.2623289999999999E-2</v>
      </c>
      <c r="V2406">
        <v>-1.5336570000000001E-2</v>
      </c>
      <c r="W2406">
        <v>7.3926489999999997E-2</v>
      </c>
      <c r="X2406">
        <v>0.99714579999999997</v>
      </c>
      <c r="Y2406">
        <v>2.7504159999999999E-3</v>
      </c>
      <c r="Z2406">
        <v>9.5104870000000004E-4</v>
      </c>
      <c r="AA2406">
        <v>0.99999579999999999</v>
      </c>
      <c r="AB2406">
        <v>48</v>
      </c>
      <c r="AC2406">
        <v>-2.9812319999999999</v>
      </c>
      <c r="AD2406">
        <v>0.4147381</v>
      </c>
      <c r="AE2406">
        <v>3.2623289999999999E-2</v>
      </c>
      <c r="AF2406">
        <v>7.8897090818874499E-3</v>
      </c>
      <c r="AG2406">
        <v>0.4147381</v>
      </c>
      <c r="AH2406">
        <v>2.9248016886813302</v>
      </c>
      <c r="AI2406">
        <v>81.929270376630001</v>
      </c>
      <c r="AJ2406">
        <v>89.845443902307693</v>
      </c>
      <c r="AK2406">
        <v>2.9540708957664101</v>
      </c>
      <c r="AL2406">
        <v>85.760456701678706</v>
      </c>
      <c r="AM2406">
        <v>90.881166478688797</v>
      </c>
      <c r="AN2406">
        <v>1.00000004138036</v>
      </c>
    </row>
    <row r="2407" spans="1:40" x14ac:dyDescent="0.25">
      <c r="A2407" t="str">
        <f>"20190312160648756"</f>
        <v>20190312160648756</v>
      </c>
      <c r="B2407" t="str">
        <f>"1552378008747459"</f>
        <v>1552378008747459</v>
      </c>
      <c r="C2407" t="s">
        <v>40</v>
      </c>
      <c r="D2407">
        <v>6.3696999999999999</v>
      </c>
      <c r="E2407">
        <v>0.50834179999999995</v>
      </c>
      <c r="F2407" t="s">
        <v>41</v>
      </c>
      <c r="G2407">
        <v>0</v>
      </c>
      <c r="H2407">
        <v>0</v>
      </c>
      <c r="I2407">
        <v>0</v>
      </c>
      <c r="J2407">
        <v>-420.411</v>
      </c>
      <c r="K2407">
        <v>1.1096280000000001</v>
      </c>
      <c r="L2407">
        <v>285.15030000000002</v>
      </c>
      <c r="M2407">
        <v>-0.99985639999999998</v>
      </c>
      <c r="N2407">
        <v>0</v>
      </c>
      <c r="O2407">
        <v>8.2443159999999998E-3</v>
      </c>
      <c r="P2407">
        <v>-0.998143</v>
      </c>
      <c r="Q2407">
        <v>6.0446689999999997E-2</v>
      </c>
      <c r="R2407">
        <v>-7.5630569999999998E-3</v>
      </c>
      <c r="S2407">
        <v>-2.9797359999999999</v>
      </c>
      <c r="T2407">
        <v>0.43489169999999999</v>
      </c>
      <c r="U2407">
        <v>3.3355709999999997E-2</v>
      </c>
      <c r="V2407">
        <v>-1.5790060000000002E-2</v>
      </c>
      <c r="W2407">
        <v>7.5223200000000004E-2</v>
      </c>
      <c r="X2407">
        <v>0.99704170000000003</v>
      </c>
      <c r="Y2407">
        <v>3.003917E-3</v>
      </c>
      <c r="Z2407">
        <v>9.789369E-4</v>
      </c>
      <c r="AA2407">
        <v>0.99999499999999997</v>
      </c>
      <c r="AB2407">
        <v>48</v>
      </c>
      <c r="AC2407">
        <v>-2.9797359999999999</v>
      </c>
      <c r="AD2407">
        <v>0.43489169999999999</v>
      </c>
      <c r="AE2407">
        <v>3.3355709999999997E-2</v>
      </c>
      <c r="AF2407">
        <v>8.6027705153951008E-3</v>
      </c>
      <c r="AG2407">
        <v>0.43489169999999999</v>
      </c>
      <c r="AH2407">
        <v>2.9177652519117001</v>
      </c>
      <c r="AI2407">
        <v>81.522534609019701</v>
      </c>
      <c r="AJ2407">
        <v>89.831068995681306</v>
      </c>
      <c r="AK2407">
        <v>2.9500099768734298</v>
      </c>
      <c r="AL2407">
        <v>85.685953065295095</v>
      </c>
      <c r="AM2407">
        <v>90.907312273970206</v>
      </c>
      <c r="AN2407">
        <v>1.00000000367596</v>
      </c>
    </row>
    <row r="2408" spans="1:40" x14ac:dyDescent="0.25">
      <c r="A2408" t="str">
        <f>"20190312160648778"</f>
        <v>20190312160648778</v>
      </c>
      <c r="B2408" t="str">
        <f>"1552378008767951"</f>
        <v>1552378008767951</v>
      </c>
      <c r="C2408" t="s">
        <v>40</v>
      </c>
      <c r="D2408">
        <v>6.4707290000000004</v>
      </c>
      <c r="E2408">
        <v>0.5090152</v>
      </c>
      <c r="F2408" t="s">
        <v>41</v>
      </c>
      <c r="G2408">
        <v>0</v>
      </c>
      <c r="H2408">
        <v>0</v>
      </c>
      <c r="I2408">
        <v>0</v>
      </c>
      <c r="J2408">
        <v>-420.88040000000001</v>
      </c>
      <c r="K2408">
        <v>1.109632</v>
      </c>
      <c r="L2408">
        <v>285.15410000000003</v>
      </c>
      <c r="M2408">
        <v>-0.99985639999999998</v>
      </c>
      <c r="N2408">
        <v>0</v>
      </c>
      <c r="O2408">
        <v>8.2439809999999992E-3</v>
      </c>
      <c r="P2408">
        <v>-0.99810829999999995</v>
      </c>
      <c r="Q2408">
        <v>6.099243E-2</v>
      </c>
      <c r="R2408">
        <v>-7.7237490000000002E-3</v>
      </c>
      <c r="S2408">
        <v>-2.9804689999999998</v>
      </c>
      <c r="T2408">
        <v>0.4196724</v>
      </c>
      <c r="U2408">
        <v>4.0374760000000003E-2</v>
      </c>
      <c r="V2408">
        <v>-1.5950099999999998E-2</v>
      </c>
      <c r="W2408">
        <v>7.5765719999999995E-2</v>
      </c>
      <c r="X2408">
        <v>0.9969981</v>
      </c>
      <c r="Y2408">
        <v>5.3293680000000001E-3</v>
      </c>
      <c r="Z2408">
        <v>7.8181629999999995E-4</v>
      </c>
      <c r="AA2408">
        <v>0.99998549999999997</v>
      </c>
      <c r="AB2408">
        <v>48</v>
      </c>
      <c r="AC2408">
        <v>-2.9804689999999998</v>
      </c>
      <c r="AD2408">
        <v>0.4196724</v>
      </c>
      <c r="AE2408">
        <v>4.0374760000000003E-2</v>
      </c>
      <c r="AF2408">
        <v>1.5492651632034501E-2</v>
      </c>
      <c r="AG2408">
        <v>0.4196724</v>
      </c>
      <c r="AH2408">
        <v>2.9227623251468802</v>
      </c>
      <c r="AI2408">
        <v>81.829000549040501</v>
      </c>
      <c r="AJ2408">
        <v>89.696295784697597</v>
      </c>
      <c r="AK2408">
        <v>2.9527791239566699</v>
      </c>
      <c r="AL2408">
        <v>85.654780115376198</v>
      </c>
      <c r="AM2408">
        <v>90.916546841158606</v>
      </c>
      <c r="AN2408">
        <v>1.00000003071036</v>
      </c>
    </row>
    <row r="2409" spans="1:40" x14ac:dyDescent="0.25">
      <c r="A2409" t="str">
        <f>"20190312160648801"</f>
        <v>20190312160648801</v>
      </c>
      <c r="B2409" t="str">
        <f>"1552378008797231"</f>
        <v>1552378008797231</v>
      </c>
      <c r="C2409" t="s">
        <v>40</v>
      </c>
      <c r="D2409">
        <v>6.2140360000000001</v>
      </c>
      <c r="E2409">
        <v>0.50651059999999903</v>
      </c>
      <c r="F2409" t="s">
        <v>41</v>
      </c>
      <c r="G2409">
        <v>0</v>
      </c>
      <c r="H2409">
        <v>0</v>
      </c>
      <c r="I2409">
        <v>0</v>
      </c>
      <c r="J2409">
        <v>-421.35840000000002</v>
      </c>
      <c r="K2409">
        <v>1.1096330000000001</v>
      </c>
      <c r="L2409">
        <v>285.15809999999999</v>
      </c>
      <c r="M2409">
        <v>-0.99985639999999998</v>
      </c>
      <c r="N2409">
        <v>0</v>
      </c>
      <c r="O2409">
        <v>8.2438240000000003E-3</v>
      </c>
      <c r="P2409">
        <v>-0.99810239999999995</v>
      </c>
      <c r="Q2409">
        <v>6.1068810000000001E-2</v>
      </c>
      <c r="R2409">
        <v>-7.8931950000000004E-3</v>
      </c>
      <c r="S2409">
        <v>-2.9804379999999999</v>
      </c>
      <c r="T2409">
        <v>0.41952279999999997</v>
      </c>
      <c r="U2409">
        <v>4.5043949999999999E-2</v>
      </c>
      <c r="V2409">
        <v>-1.6119250000000002E-2</v>
      </c>
      <c r="W2409">
        <v>7.5838939999999994E-2</v>
      </c>
      <c r="X2409">
        <v>0.99698980000000004</v>
      </c>
      <c r="Y2409">
        <v>6.880611E-3</v>
      </c>
      <c r="Z2409">
        <v>6.7288179999999904E-4</v>
      </c>
      <c r="AA2409">
        <v>0.99997610000000003</v>
      </c>
      <c r="AB2409">
        <v>48</v>
      </c>
      <c r="AC2409">
        <v>-2.9804379999999999</v>
      </c>
      <c r="AD2409">
        <v>0.41952279999999997</v>
      </c>
      <c r="AE2409">
        <v>4.5043949999999999E-2</v>
      </c>
      <c r="AF2409">
        <v>2.0071924272875401E-2</v>
      </c>
      <c r="AG2409">
        <v>0.41952279999999997</v>
      </c>
      <c r="AH2409">
        <v>2.9228115388229301</v>
      </c>
      <c r="AI2409">
        <v>81.832086418762401</v>
      </c>
      <c r="AJ2409">
        <v>89.606536906640898</v>
      </c>
      <c r="AK2409">
        <v>2.95283415608468</v>
      </c>
      <c r="AL2409">
        <v>85.650572758913398</v>
      </c>
      <c r="AM2409">
        <v>90.926272799128199</v>
      </c>
      <c r="AN2409">
        <v>1.00000001817246</v>
      </c>
    </row>
    <row r="2410" spans="1:40" x14ac:dyDescent="0.25">
      <c r="A2410" t="str">
        <f>"20190312160648823"</f>
        <v>20190312160648823</v>
      </c>
      <c r="B2410" t="str">
        <f>"1552378008817735"</f>
        <v>1552378008817735</v>
      </c>
      <c r="C2410" t="s">
        <v>40</v>
      </c>
      <c r="D2410">
        <v>6.0811390000000003</v>
      </c>
      <c r="E2410">
        <v>0.46968599999999999</v>
      </c>
      <c r="F2410" t="s">
        <v>41</v>
      </c>
      <c r="G2410">
        <v>0</v>
      </c>
      <c r="H2410">
        <v>0</v>
      </c>
      <c r="I2410">
        <v>0</v>
      </c>
      <c r="J2410">
        <v>-421.84379999999999</v>
      </c>
      <c r="K2410">
        <v>1.1096349999999999</v>
      </c>
      <c r="L2410">
        <v>285.16199999999998</v>
      </c>
      <c r="M2410">
        <v>-0.99985650000000004</v>
      </c>
      <c r="N2410">
        <v>0</v>
      </c>
      <c r="O2410">
        <v>8.2435500000000005E-3</v>
      </c>
      <c r="P2410">
        <v>-0.99805750000000004</v>
      </c>
      <c r="Q2410">
        <v>6.1838570000000002E-2</v>
      </c>
      <c r="R2410">
        <v>-7.5823649999999998E-3</v>
      </c>
      <c r="S2410">
        <v>-2.9813230000000002</v>
      </c>
      <c r="T2410">
        <v>0.40213480000000001</v>
      </c>
      <c r="U2410">
        <v>2.453613E-2</v>
      </c>
      <c r="V2410">
        <v>-1.5807890000000002E-2</v>
      </c>
      <c r="W2410">
        <v>7.6605359999999997E-2</v>
      </c>
      <c r="X2410">
        <v>0.99693609999999999</v>
      </c>
      <c r="Y2410" s="1">
        <v>5.933209E-5</v>
      </c>
      <c r="Z2410">
        <v>1.103017E-3</v>
      </c>
      <c r="AA2410">
        <v>0.99999939999999998</v>
      </c>
      <c r="AB2410">
        <v>48</v>
      </c>
      <c r="AC2410">
        <v>-2.9813230000000002</v>
      </c>
      <c r="AD2410">
        <v>0.40213480000000001</v>
      </c>
      <c r="AE2410">
        <v>2.453613E-2</v>
      </c>
      <c r="AF2410" s="1">
        <v>-4.3293358261725598E-5</v>
      </c>
      <c r="AG2410">
        <v>0.40213480000000001</v>
      </c>
      <c r="AH2410">
        <v>2.9281531140240098</v>
      </c>
      <c r="AI2410">
        <v>82.180261768931302</v>
      </c>
      <c r="AJ2410">
        <v>90.000847130123503</v>
      </c>
      <c r="AK2410">
        <v>2.9556375045688301</v>
      </c>
      <c r="AL2410">
        <v>85.606531614148494</v>
      </c>
      <c r="AM2410">
        <v>90.908432830648806</v>
      </c>
      <c r="AN2410">
        <v>0.99999992902509305</v>
      </c>
    </row>
    <row r="2411" spans="1:40" x14ac:dyDescent="0.25">
      <c r="A2411" t="str">
        <f>"20190312160648846"</f>
        <v>20190312160648846</v>
      </c>
      <c r="B2411" t="str">
        <f>"1552378008837251"</f>
        <v>1552378008837251</v>
      </c>
      <c r="C2411" t="s">
        <v>40</v>
      </c>
      <c r="D2411">
        <v>6.2866650000000002</v>
      </c>
      <c r="E2411">
        <v>0.4646612</v>
      </c>
      <c r="F2411" t="s">
        <v>75</v>
      </c>
      <c r="G2411">
        <v>-511.95870000000002</v>
      </c>
      <c r="H2411">
        <v>0.23555490000000001</v>
      </c>
      <c r="I2411">
        <v>277.32819999999998</v>
      </c>
      <c r="J2411">
        <v>-422.31650000000002</v>
      </c>
      <c r="K2411">
        <v>1.109634</v>
      </c>
      <c r="L2411">
        <v>285.166</v>
      </c>
      <c r="M2411">
        <v>-0.99985650000000004</v>
      </c>
      <c r="N2411">
        <v>0</v>
      </c>
      <c r="O2411">
        <v>8.2433929999999999E-3</v>
      </c>
      <c r="P2411">
        <v>-0.99801669999999998</v>
      </c>
      <c r="Q2411">
        <v>6.2538419999999997E-2</v>
      </c>
      <c r="R2411">
        <v>-7.1636030000000002E-3</v>
      </c>
      <c r="S2411">
        <v>-3.0057070000000001</v>
      </c>
      <c r="T2411">
        <v>-2.9151440000000001E-2</v>
      </c>
      <c r="U2411">
        <v>-0.26129150000000001</v>
      </c>
      <c r="V2411">
        <v>-1.538873E-2</v>
      </c>
      <c r="W2411">
        <v>7.7301380000000003E-2</v>
      </c>
      <c r="X2411">
        <v>0.99688900000000003</v>
      </c>
      <c r="Y2411">
        <v>-9.4810740000000004E-2</v>
      </c>
      <c r="Z2411">
        <v>-5.3870730000000003E-4</v>
      </c>
      <c r="AA2411">
        <v>0.99549509999999997</v>
      </c>
      <c r="AB2411">
        <v>48</v>
      </c>
      <c r="AC2411">
        <v>-89.642200000000003</v>
      </c>
      <c r="AD2411">
        <v>-0.874079099999999</v>
      </c>
      <c r="AE2411">
        <v>-7.8378000000000103</v>
      </c>
      <c r="AF2411">
        <v>-8.5757612829818193</v>
      </c>
      <c r="AG2411">
        <v>-0.874079099999999</v>
      </c>
      <c r="AH2411">
        <v>89.566085299022205</v>
      </c>
      <c r="AI2411">
        <v>90.556588787718795</v>
      </c>
      <c r="AJ2411">
        <v>95.469275649189996</v>
      </c>
      <c r="AK2411">
        <v>89.979949609051602</v>
      </c>
      <c r="AL2411">
        <v>85.566534300283607</v>
      </c>
      <c r="AM2411">
        <v>90.884390595061703</v>
      </c>
      <c r="AN2411">
        <v>0.99999999734095801</v>
      </c>
    </row>
    <row r="2412" spans="1:40" x14ac:dyDescent="0.25">
      <c r="A2412" t="str">
        <f>"20190312160648867"</f>
        <v>20190312160648867</v>
      </c>
      <c r="B2412" t="str">
        <f>"1552378008857743"</f>
        <v>1552378008857743</v>
      </c>
      <c r="C2412" t="s">
        <v>40</v>
      </c>
      <c r="D2412">
        <v>5.7374070000000001</v>
      </c>
      <c r="E2412">
        <v>0.46504289999999998</v>
      </c>
      <c r="F2412" t="s">
        <v>75</v>
      </c>
      <c r="G2412">
        <v>-511.95949999999999</v>
      </c>
      <c r="H2412">
        <v>2.7985470000000001</v>
      </c>
      <c r="I2412">
        <v>276.1626</v>
      </c>
      <c r="J2412">
        <v>-422.7758</v>
      </c>
      <c r="K2412">
        <v>1.1096379999999999</v>
      </c>
      <c r="L2412">
        <v>285.16980000000001</v>
      </c>
      <c r="M2412">
        <v>-0.99985670000000004</v>
      </c>
      <c r="N2412">
        <v>0</v>
      </c>
      <c r="O2412">
        <v>8.2430569999999998E-3</v>
      </c>
      <c r="P2412">
        <v>-0.99796929999999995</v>
      </c>
      <c r="Q2412">
        <v>6.3297220000000001E-2</v>
      </c>
      <c r="R2412">
        <v>-7.1295129999999996E-3</v>
      </c>
      <c r="S2412">
        <v>-3.0002439999999999</v>
      </c>
      <c r="T2412">
        <v>5.6528450000000001E-2</v>
      </c>
      <c r="U2412">
        <v>-0.301330599999999</v>
      </c>
      <c r="V2412">
        <v>-1.5354069999999999E-2</v>
      </c>
      <c r="W2412">
        <v>7.8056799999999996E-2</v>
      </c>
      <c r="X2412">
        <v>0.99683069999999896</v>
      </c>
      <c r="Y2412">
        <v>-0.1081115</v>
      </c>
      <c r="Z2412">
        <v>1.170772E-3</v>
      </c>
      <c r="AA2412">
        <v>0.99413810000000002</v>
      </c>
      <c r="AB2412">
        <v>48</v>
      </c>
      <c r="AC2412">
        <v>-89.183699999999902</v>
      </c>
      <c r="AD2412">
        <v>1.688909</v>
      </c>
      <c r="AE2412">
        <v>-9.0072000000000099</v>
      </c>
      <c r="AF2412">
        <v>-9.7386633450708899</v>
      </c>
      <c r="AG2412">
        <v>1.688909</v>
      </c>
      <c r="AH2412">
        <v>89.074792410558203</v>
      </c>
      <c r="AI2412">
        <v>88.920202295512297</v>
      </c>
      <c r="AJ2412">
        <v>96.239440422813999</v>
      </c>
      <c r="AK2412">
        <v>89.621496418788595</v>
      </c>
      <c r="AL2412">
        <v>85.523120881014606</v>
      </c>
      <c r="AM2412">
        <v>90.882450598793298</v>
      </c>
      <c r="AN2412">
        <v>1.0000000279771399</v>
      </c>
    </row>
    <row r="2413" spans="1:40" x14ac:dyDescent="0.25">
      <c r="A2413" t="str">
        <f>"20190312160648889"</f>
        <v>20190312160648889</v>
      </c>
      <c r="B2413" t="str">
        <f>"1552378008877263"</f>
        <v>1552378008877263</v>
      </c>
      <c r="C2413" t="s">
        <v>40</v>
      </c>
      <c r="D2413">
        <v>6.3389439999999997</v>
      </c>
      <c r="E2413">
        <v>0.46549160000000001</v>
      </c>
      <c r="F2413" t="s">
        <v>75</v>
      </c>
      <c r="G2413">
        <v>-511.95979999999997</v>
      </c>
      <c r="H2413">
        <v>3.674391</v>
      </c>
      <c r="I2413">
        <v>276.29079999999999</v>
      </c>
      <c r="J2413">
        <v>-423.25080000000003</v>
      </c>
      <c r="K2413">
        <v>1.1096539999999999</v>
      </c>
      <c r="L2413">
        <v>285.1737</v>
      </c>
      <c r="M2413">
        <v>-0.99985659999999998</v>
      </c>
      <c r="N2413">
        <v>0</v>
      </c>
      <c r="O2413">
        <v>8.2428999999999992E-3</v>
      </c>
      <c r="P2413">
        <v>-0.99794369999999999</v>
      </c>
      <c r="Q2413">
        <v>6.3730980000000007E-2</v>
      </c>
      <c r="R2413">
        <v>-6.8486479999999997E-3</v>
      </c>
      <c r="S2413">
        <v>-2.9985050000000002</v>
      </c>
      <c r="T2413">
        <v>8.6233500000000005E-2</v>
      </c>
      <c r="U2413">
        <v>-0.29852289999999998</v>
      </c>
      <c r="V2413">
        <v>-1.507264E-2</v>
      </c>
      <c r="W2413">
        <v>7.8486539999999994E-2</v>
      </c>
      <c r="X2413">
        <v>0.99680119999999905</v>
      </c>
      <c r="Y2413">
        <v>-0.1072202</v>
      </c>
      <c r="Z2413">
        <v>1.774117E-3</v>
      </c>
      <c r="AA2413">
        <v>0.9942337</v>
      </c>
      <c r="AB2413">
        <v>48</v>
      </c>
      <c r="AC2413">
        <v>-88.708999999999904</v>
      </c>
      <c r="AD2413">
        <v>2.564737</v>
      </c>
      <c r="AE2413">
        <v>-8.8828999999999994</v>
      </c>
      <c r="AF2413">
        <v>-9.60594776581768</v>
      </c>
      <c r="AG2413">
        <v>2.564737</v>
      </c>
      <c r="AH2413">
        <v>88.559465460219897</v>
      </c>
      <c r="AI2413">
        <v>88.350810399262798</v>
      </c>
      <c r="AJ2413">
        <v>96.190607326887601</v>
      </c>
      <c r="AK2413">
        <v>89.115829295129501</v>
      </c>
      <c r="AL2413">
        <v>85.498422590732204</v>
      </c>
      <c r="AM2413">
        <v>90.866303981175605</v>
      </c>
      <c r="AN2413">
        <v>0.99999997687958997</v>
      </c>
    </row>
    <row r="2414" spans="1:40" x14ac:dyDescent="0.25">
      <c r="A2414" t="str">
        <f>"20190312160648913"</f>
        <v>20190312160648913</v>
      </c>
      <c r="B2414" t="str">
        <f>"1552378008907520"</f>
        <v>1552378008907520</v>
      </c>
      <c r="C2414" t="s">
        <v>40</v>
      </c>
      <c r="D2414">
        <v>5.7236830000000003</v>
      </c>
      <c r="E2414">
        <v>0.46558929999999998</v>
      </c>
      <c r="F2414" t="s">
        <v>75</v>
      </c>
      <c r="G2414">
        <v>-511.9597</v>
      </c>
      <c r="H2414">
        <v>3.2382439999999999</v>
      </c>
      <c r="I2414">
        <v>276.48239999999998</v>
      </c>
      <c r="J2414">
        <v>-423.74900000000002</v>
      </c>
      <c r="K2414">
        <v>1.109659</v>
      </c>
      <c r="L2414">
        <v>285.17779999999999</v>
      </c>
      <c r="M2414">
        <v>-0.99985659999999998</v>
      </c>
      <c r="N2414">
        <v>0</v>
      </c>
      <c r="O2414">
        <v>8.2427439999999998E-3</v>
      </c>
      <c r="P2414">
        <v>-0.99795710000000004</v>
      </c>
      <c r="Q2414">
        <v>6.3550289999999995E-2</v>
      </c>
      <c r="R2414">
        <v>-6.5716569999999998E-3</v>
      </c>
      <c r="S2414">
        <v>-2.9995729999999998</v>
      </c>
      <c r="T2414">
        <v>7.1977970000000002E-2</v>
      </c>
      <c r="U2414">
        <v>-0.29388429999999999</v>
      </c>
      <c r="V2414">
        <v>-1.4795269999999999E-2</v>
      </c>
      <c r="W2414">
        <v>7.8303499999999998E-2</v>
      </c>
      <c r="X2414">
        <v>0.99681980000000003</v>
      </c>
      <c r="Y2414">
        <v>-0.1056771</v>
      </c>
      <c r="Z2414">
        <v>1.4620410000000001E-3</v>
      </c>
      <c r="AA2414">
        <v>0.99439940000000004</v>
      </c>
      <c r="AB2414">
        <v>48</v>
      </c>
      <c r="AC2414">
        <v>-88.210699999999903</v>
      </c>
      <c r="AD2414">
        <v>2.12858499999999</v>
      </c>
      <c r="AE2414">
        <v>-8.6953999999999994</v>
      </c>
      <c r="AF2414">
        <v>-9.4168517535519296</v>
      </c>
      <c r="AG2414">
        <v>2.12858499999999</v>
      </c>
      <c r="AH2414">
        <v>88.085223296278997</v>
      </c>
      <c r="AI2414">
        <v>88.623553530148499</v>
      </c>
      <c r="AJ2414">
        <v>96.102094613722997</v>
      </c>
      <c r="AK2414">
        <v>88.612722191601407</v>
      </c>
      <c r="AL2414">
        <v>85.508942607066999</v>
      </c>
      <c r="AM2414">
        <v>90.8503485648626</v>
      </c>
      <c r="AN2414">
        <v>1.00000002589933</v>
      </c>
    </row>
    <row r="2415" spans="1:40" x14ac:dyDescent="0.25">
      <c r="A2415" t="str">
        <f>"20190312160648935"</f>
        <v>20190312160648935</v>
      </c>
      <c r="B2415" t="str">
        <f>"1552378008928015"</f>
        <v>1552378008928015</v>
      </c>
      <c r="C2415" t="s">
        <v>40</v>
      </c>
      <c r="D2415">
        <v>6.3202590000000001</v>
      </c>
      <c r="E2415">
        <v>0.46524690000000002</v>
      </c>
      <c r="F2415" t="s">
        <v>75</v>
      </c>
      <c r="G2415">
        <v>-511.95960000000002</v>
      </c>
      <c r="H2415">
        <v>3.0253299999999999</v>
      </c>
      <c r="I2415">
        <v>276.5772</v>
      </c>
      <c r="J2415">
        <v>-424.22519999999997</v>
      </c>
      <c r="K2415">
        <v>1.1096680000000001</v>
      </c>
      <c r="L2415">
        <v>285.18169999999998</v>
      </c>
      <c r="M2415">
        <v>-0.99985650000000004</v>
      </c>
      <c r="N2415">
        <v>0</v>
      </c>
      <c r="O2415">
        <v>8.2425580000000005E-3</v>
      </c>
      <c r="P2415">
        <v>-0.9979981</v>
      </c>
      <c r="Q2415">
        <v>6.2977939999999996E-2</v>
      </c>
      <c r="R2415">
        <v>-5.8067129999999998E-3</v>
      </c>
      <c r="S2415">
        <v>-3.000092</v>
      </c>
      <c r="T2415">
        <v>6.5155630000000006E-2</v>
      </c>
      <c r="U2415">
        <v>-0.29251100000000002</v>
      </c>
      <c r="V2415">
        <v>-1.4030620000000001E-2</v>
      </c>
      <c r="W2415">
        <v>7.7740660000000003E-2</v>
      </c>
      <c r="X2415">
        <v>0.99687490000000001</v>
      </c>
      <c r="Y2415">
        <v>-0.1052153</v>
      </c>
      <c r="Z2415">
        <v>1.3182929999999999E-3</v>
      </c>
      <c r="AA2415">
        <v>0.99444860000000002</v>
      </c>
      <c r="AB2415">
        <v>47</v>
      </c>
      <c r="AC2415">
        <v>-87.734399999999994</v>
      </c>
      <c r="AD2415">
        <v>1.915662</v>
      </c>
      <c r="AE2415">
        <v>-8.6044999999999696</v>
      </c>
      <c r="AF2415">
        <v>-9.3230402427951198</v>
      </c>
      <c r="AG2415">
        <v>1.915662</v>
      </c>
      <c r="AH2415">
        <v>87.619112971610207</v>
      </c>
      <c r="AI2415">
        <v>88.754540646664907</v>
      </c>
      <c r="AJ2415">
        <v>96.073657796674397</v>
      </c>
      <c r="AK2415">
        <v>88.134543728318107</v>
      </c>
      <c r="AL2415">
        <v>85.541289530619906</v>
      </c>
      <c r="AM2415">
        <v>90.806362196348601</v>
      </c>
      <c r="AN2415">
        <v>1.00000001738241</v>
      </c>
    </row>
    <row r="2416" spans="1:40" x14ac:dyDescent="0.25">
      <c r="A2416" t="str">
        <f>"20190312160648956"</f>
        <v>20190312160648956</v>
      </c>
      <c r="B2416" t="str">
        <f>"1552378008947535"</f>
        <v>1552378008947535</v>
      </c>
      <c r="C2416" t="s">
        <v>40</v>
      </c>
      <c r="D2416">
        <v>6.236713</v>
      </c>
      <c r="E2416">
        <v>0.4647908</v>
      </c>
      <c r="F2416" t="s">
        <v>75</v>
      </c>
      <c r="G2416">
        <v>-511.9597</v>
      </c>
      <c r="H2416">
        <v>3.1008580000000001</v>
      </c>
      <c r="I2416">
        <v>276.61309999999997</v>
      </c>
      <c r="J2416">
        <v>-424.67290000000003</v>
      </c>
      <c r="K2416">
        <v>1.109672</v>
      </c>
      <c r="L2416">
        <v>285.18540000000002</v>
      </c>
      <c r="M2416">
        <v>-0.99985639999999998</v>
      </c>
      <c r="N2416">
        <v>0</v>
      </c>
      <c r="O2416">
        <v>8.2422260000000001E-3</v>
      </c>
      <c r="P2416">
        <v>-0.99804490000000001</v>
      </c>
      <c r="Q2416">
        <v>6.2264930000000003E-2</v>
      </c>
      <c r="R2416">
        <v>-5.4866209999999997E-3</v>
      </c>
      <c r="S2416">
        <v>-3.0000309999999999</v>
      </c>
      <c r="T2416">
        <v>6.8090199999999906E-2</v>
      </c>
      <c r="U2416">
        <v>-0.29299930000000002</v>
      </c>
      <c r="V2416">
        <v>-1.371002E-2</v>
      </c>
      <c r="W2416">
        <v>7.7048950000000005E-2</v>
      </c>
      <c r="X2416">
        <v>0.99693299999999996</v>
      </c>
      <c r="Y2416">
        <v>-0.1053747</v>
      </c>
      <c r="Z2416">
        <v>1.37946799999999E-3</v>
      </c>
      <c r="AA2416">
        <v>0.99443159999999997</v>
      </c>
      <c r="AB2416">
        <v>47</v>
      </c>
      <c r="AC2416">
        <v>-87.2867999999999</v>
      </c>
      <c r="AD2416">
        <v>1.9911859999999999</v>
      </c>
      <c r="AE2416">
        <v>-8.5723000000000393</v>
      </c>
      <c r="AF2416">
        <v>-9.2867386333102893</v>
      </c>
      <c r="AG2416">
        <v>1.9911859999999999</v>
      </c>
      <c r="AH2416">
        <v>87.168243931492199</v>
      </c>
      <c r="AI2416">
        <v>88.698780169247996</v>
      </c>
      <c r="AJ2416">
        <v>96.081244301619193</v>
      </c>
      <c r="AK2416">
        <v>87.684155274656902</v>
      </c>
      <c r="AL2416">
        <v>85.581040555303701</v>
      </c>
      <c r="AM2416">
        <v>90.787893236866694</v>
      </c>
      <c r="AN2416">
        <v>0.99999995591674995</v>
      </c>
    </row>
    <row r="2417" spans="1:40" x14ac:dyDescent="0.25">
      <c r="A2417" t="str">
        <f>"20190312160648979"</f>
        <v>20190312160648979</v>
      </c>
      <c r="B2417" t="str">
        <f>"1552378008967055"</f>
        <v>1552378008967055</v>
      </c>
      <c r="C2417" t="s">
        <v>40</v>
      </c>
      <c r="D2417">
        <v>6.3089849999999998</v>
      </c>
      <c r="E2417">
        <v>0.4656516</v>
      </c>
      <c r="F2417" t="s">
        <v>75</v>
      </c>
      <c r="G2417">
        <v>-511.9597</v>
      </c>
      <c r="H2417">
        <v>3.3029500000000001</v>
      </c>
      <c r="I2417">
        <v>276.57389999999998</v>
      </c>
      <c r="J2417">
        <v>-425.15010000000001</v>
      </c>
      <c r="K2417">
        <v>1.1096710000000001</v>
      </c>
      <c r="L2417">
        <v>285.1893</v>
      </c>
      <c r="M2417">
        <v>-0.99985559999999996</v>
      </c>
      <c r="N2417">
        <v>0</v>
      </c>
      <c r="O2417">
        <v>8.2421960000000002E-3</v>
      </c>
      <c r="P2417">
        <v>-0.99811989999999995</v>
      </c>
      <c r="Q2417">
        <v>6.106806E-2</v>
      </c>
      <c r="R2417">
        <v>-5.2753469999999997E-3</v>
      </c>
      <c r="S2417">
        <v>-2.9995729999999998</v>
      </c>
      <c r="T2417">
        <v>7.537365E-2</v>
      </c>
      <c r="U2417">
        <v>-0.295929</v>
      </c>
      <c r="V2417">
        <v>-1.3500150000000001E-2</v>
      </c>
      <c r="W2417">
        <v>7.5896959999999999E-2</v>
      </c>
      <c r="X2417">
        <v>0.99702429999999997</v>
      </c>
      <c r="Y2417">
        <v>-0.10634449999999999</v>
      </c>
      <c r="Z2417">
        <v>1.5392940000000001E-3</v>
      </c>
      <c r="AA2417">
        <v>0.99432810000000005</v>
      </c>
      <c r="AB2417">
        <v>47</v>
      </c>
      <c r="AC2417">
        <v>-86.809599999999904</v>
      </c>
      <c r="AD2417">
        <v>2.193279</v>
      </c>
      <c r="AE2417">
        <v>-8.6154000000000206</v>
      </c>
      <c r="AF2417">
        <v>-9.3247937155346907</v>
      </c>
      <c r="AG2417">
        <v>2.193279</v>
      </c>
      <c r="AH2417">
        <v>86.680840792887295</v>
      </c>
      <c r="AI2417">
        <v>88.558869654887403</v>
      </c>
      <c r="AJ2417">
        <v>96.1400482227872</v>
      </c>
      <c r="AK2417">
        <v>87.208545516887298</v>
      </c>
      <c r="AL2417">
        <v>85.647238894961106</v>
      </c>
      <c r="AM2417">
        <v>90.775762788137101</v>
      </c>
      <c r="AN2417">
        <v>1.0000000286888699</v>
      </c>
    </row>
    <row r="2418" spans="1:40" x14ac:dyDescent="0.25">
      <c r="A2418" t="str">
        <f>"20190312160649002"</f>
        <v>20190312160649002</v>
      </c>
      <c r="B2418" t="str">
        <f>"1552378008997315"</f>
        <v>1552378008997315</v>
      </c>
      <c r="C2418" t="s">
        <v>40</v>
      </c>
      <c r="D2418">
        <v>6.2884379999999904</v>
      </c>
      <c r="E2418">
        <v>0.46668290000000001</v>
      </c>
      <c r="F2418" t="s">
        <v>75</v>
      </c>
      <c r="G2418">
        <v>-511.95940000000002</v>
      </c>
      <c r="H2418">
        <v>2.3890769999999999</v>
      </c>
      <c r="I2418">
        <v>276.86419999999998</v>
      </c>
      <c r="J2418">
        <v>-425.6216</v>
      </c>
      <c r="K2418">
        <v>1.1096809999999999</v>
      </c>
      <c r="L2418">
        <v>285.19319999999999</v>
      </c>
      <c r="M2418">
        <v>-0.99985460000000004</v>
      </c>
      <c r="N2418">
        <v>0</v>
      </c>
      <c r="O2418">
        <v>8.2420240000000006E-3</v>
      </c>
      <c r="P2418">
        <v>-0.99816459999999996</v>
      </c>
      <c r="Q2418">
        <v>6.0260010000000003E-2</v>
      </c>
      <c r="R2418">
        <v>-6.0386619999999898E-3</v>
      </c>
      <c r="S2418">
        <v>-3.0014340000000002</v>
      </c>
      <c r="T2418">
        <v>4.423821E-2</v>
      </c>
      <c r="U2418">
        <v>-0.28784179999999998</v>
      </c>
      <c r="V2418">
        <v>-1.426352E-2</v>
      </c>
      <c r="W2418">
        <v>7.5160439999999995E-2</v>
      </c>
      <c r="X2418">
        <v>0.99706939999999999</v>
      </c>
      <c r="Y2418">
        <v>-0.10365340000000001</v>
      </c>
      <c r="Z2418">
        <v>8.8330500000000003E-4</v>
      </c>
      <c r="AA2418">
        <v>0.99461310000000003</v>
      </c>
      <c r="AB2418">
        <v>47</v>
      </c>
      <c r="AC2418">
        <v>-86.337800000000001</v>
      </c>
      <c r="AD2418">
        <v>1.279396</v>
      </c>
      <c r="AE2418">
        <v>-8.3290000000000006</v>
      </c>
      <c r="AF2418">
        <v>-9.0384281284502794</v>
      </c>
      <c r="AG2418">
        <v>1.279396</v>
      </c>
      <c r="AH2418">
        <v>86.247447072965002</v>
      </c>
      <c r="AI2418">
        <v>89.154763798151507</v>
      </c>
      <c r="AJ2418">
        <v>95.982558545062702</v>
      </c>
      <c r="AK2418">
        <v>86.729188649277006</v>
      </c>
      <c r="AL2418">
        <v>85.689558985934099</v>
      </c>
      <c r="AM2418">
        <v>90.819585633314603</v>
      </c>
      <c r="AN2418">
        <v>0.99999996408007097</v>
      </c>
    </row>
    <row r="2419" spans="1:40" x14ac:dyDescent="0.25">
      <c r="A2419" t="str">
        <f>"20190312160649025"</f>
        <v>20190312160649025</v>
      </c>
      <c r="B2419" t="str">
        <f>"1552378009017807"</f>
        <v>1552378009017807</v>
      </c>
      <c r="C2419" t="s">
        <v>40</v>
      </c>
      <c r="D2419">
        <v>6.2745259999999998</v>
      </c>
      <c r="E2419">
        <v>0.46739839999999999</v>
      </c>
      <c r="F2419" t="s">
        <v>75</v>
      </c>
      <c r="G2419">
        <v>-511.95909999999998</v>
      </c>
      <c r="H2419">
        <v>1.4719990000000001</v>
      </c>
      <c r="I2419">
        <v>277.0951</v>
      </c>
      <c r="J2419">
        <v>-426.11559999999997</v>
      </c>
      <c r="K2419">
        <v>1.1097140000000001</v>
      </c>
      <c r="L2419">
        <v>285.19729999999998</v>
      </c>
      <c r="M2419">
        <v>-0.99985219999999997</v>
      </c>
      <c r="N2419">
        <v>0</v>
      </c>
      <c r="O2419">
        <v>8.2418739999999997E-3</v>
      </c>
      <c r="P2419">
        <v>-0.99818169999999995</v>
      </c>
      <c r="Q2419">
        <v>5.9913199999999903E-2</v>
      </c>
      <c r="R2419">
        <v>-6.6331890000000003E-3</v>
      </c>
      <c r="S2419">
        <v>-3.003082</v>
      </c>
      <c r="T2419">
        <v>1.260531E-2</v>
      </c>
      <c r="U2419">
        <v>-0.28167720000000002</v>
      </c>
      <c r="V2419">
        <v>-1.485803E-2</v>
      </c>
      <c r="W2419">
        <v>7.496738E-2</v>
      </c>
      <c r="X2419">
        <v>0.9970753</v>
      </c>
      <c r="Y2419">
        <v>-0.10158880000000001</v>
      </c>
      <c r="Z2419">
        <v>2.4726560000000003E-4</v>
      </c>
      <c r="AA2419">
        <v>0.9948264</v>
      </c>
      <c r="AB2419">
        <v>47</v>
      </c>
      <c r="AC2419">
        <v>-85.843500000000006</v>
      </c>
      <c r="AD2419">
        <v>0.36228500000000002</v>
      </c>
      <c r="AE2419">
        <v>-8.1021999999999803</v>
      </c>
      <c r="AF2419">
        <v>-8.80936108712989</v>
      </c>
      <c r="AG2419">
        <v>0.36228500000000002</v>
      </c>
      <c r="AH2419">
        <v>85.772284570454801</v>
      </c>
      <c r="AI2419">
        <v>89.759261888540095</v>
      </c>
      <c r="AJ2419">
        <v>95.864080660194901</v>
      </c>
      <c r="AK2419">
        <v>86.224247712692403</v>
      </c>
      <c r="AL2419">
        <v>85.700652009675295</v>
      </c>
      <c r="AM2419">
        <v>90.853736329059899</v>
      </c>
      <c r="AN2419">
        <v>1.00000001149481</v>
      </c>
    </row>
    <row r="2420" spans="1:40" x14ac:dyDescent="0.25">
      <c r="A2420" t="str">
        <f>"20190312160649046"</f>
        <v>20190312160649046</v>
      </c>
      <c r="B2420" t="str">
        <f>"1552378009037330"</f>
        <v>1552378009037330</v>
      </c>
      <c r="C2420" t="s">
        <v>40</v>
      </c>
      <c r="D2420">
        <v>5.7157539999999996</v>
      </c>
      <c r="E2420">
        <v>0.46770519999999999</v>
      </c>
      <c r="F2420" t="s">
        <v>75</v>
      </c>
      <c r="G2420">
        <v>-511.959</v>
      </c>
      <c r="H2420">
        <v>1.016532</v>
      </c>
      <c r="I2420">
        <v>277.26859999999999</v>
      </c>
      <c r="J2420">
        <v>-426.56259999999997</v>
      </c>
      <c r="K2420">
        <v>1.1097870000000001</v>
      </c>
      <c r="L2420">
        <v>285.20100000000002</v>
      </c>
      <c r="M2420">
        <v>-0.99984819999999996</v>
      </c>
      <c r="N2420">
        <v>0</v>
      </c>
      <c r="O2420">
        <v>8.2416969999999992E-3</v>
      </c>
      <c r="P2420">
        <v>-0.99820200000000003</v>
      </c>
      <c r="Q2420">
        <v>5.9512280000000001E-2</v>
      </c>
      <c r="R2420">
        <v>-7.1623499999999996E-3</v>
      </c>
      <c r="S2420">
        <v>-3.003784</v>
      </c>
      <c r="T2420">
        <v>-3.2577510000000001E-3</v>
      </c>
      <c r="U2420">
        <v>-0.2774353</v>
      </c>
      <c r="V2420">
        <v>-1.538688E-2</v>
      </c>
      <c r="W2420">
        <v>7.4830439999999998E-2</v>
      </c>
      <c r="X2420">
        <v>0.99707749999999995</v>
      </c>
      <c r="Y2420">
        <v>-0.100175</v>
      </c>
      <c r="Z2420" s="1">
        <v>-6.3128359999999994E-5</v>
      </c>
      <c r="AA2420">
        <v>0.99496980000000002</v>
      </c>
      <c r="AB2420">
        <v>47</v>
      </c>
      <c r="AC2420">
        <v>-85.3964</v>
      </c>
      <c r="AD2420">
        <v>-9.3255000000000005E-2</v>
      </c>
      <c r="AE2420">
        <v>-7.9323999999999701</v>
      </c>
      <c r="AF2420">
        <v>-8.6360145104207309</v>
      </c>
      <c r="AG2420">
        <v>-9.3255000000000005E-2</v>
      </c>
      <c r="AH2420">
        <v>85.3280139411237</v>
      </c>
      <c r="AI2420">
        <v>90.062300272019002</v>
      </c>
      <c r="AJ2420">
        <v>95.779203907831302</v>
      </c>
      <c r="AK2420">
        <v>85.763974990993802</v>
      </c>
      <c r="AL2420">
        <v>85.708519912375706</v>
      </c>
      <c r="AM2420">
        <v>90.884117142788597</v>
      </c>
      <c r="AN2420">
        <v>0.999999945916487</v>
      </c>
    </row>
    <row r="2421" spans="1:40" x14ac:dyDescent="0.25">
      <c r="A2421" t="str">
        <f>"20190312160649068"</f>
        <v>20190312160649068</v>
      </c>
      <c r="B2421" t="str">
        <f>"1552378009057823"</f>
        <v>1552378009057823</v>
      </c>
      <c r="C2421" t="s">
        <v>40</v>
      </c>
      <c r="D2421">
        <v>6.2474210000000001</v>
      </c>
      <c r="E2421">
        <v>0.46778459999999999</v>
      </c>
      <c r="F2421" t="s">
        <v>75</v>
      </c>
      <c r="G2421">
        <v>-511.95890000000003</v>
      </c>
      <c r="H2421">
        <v>0.88026009999999999</v>
      </c>
      <c r="I2421">
        <v>277.34429999999998</v>
      </c>
      <c r="J2421">
        <v>-427.03460000000001</v>
      </c>
      <c r="K2421">
        <v>1.1098749999999999</v>
      </c>
      <c r="L2421">
        <v>285.20490000000001</v>
      </c>
      <c r="M2421">
        <v>-0.99984189999999995</v>
      </c>
      <c r="N2421">
        <v>0</v>
      </c>
      <c r="O2421">
        <v>8.2415349999999995E-3</v>
      </c>
      <c r="P2421">
        <v>-0.99823799999999996</v>
      </c>
      <c r="Q2421">
        <v>5.8874940000000001E-2</v>
      </c>
      <c r="R2421">
        <v>-7.4182299999999996E-3</v>
      </c>
      <c r="S2421">
        <v>-3.0039370000000001</v>
      </c>
      <c r="T2421">
        <v>-8.0710650000000005E-3</v>
      </c>
      <c r="U2421">
        <v>-0.27636719999999998</v>
      </c>
      <c r="V2421">
        <v>-1.564341E-2</v>
      </c>
      <c r="W2421">
        <v>7.4601260000000003E-2</v>
      </c>
      <c r="X2421">
        <v>0.99709080000000005</v>
      </c>
      <c r="Y2421">
        <v>-9.9819149999999995E-2</v>
      </c>
      <c r="Z2421">
        <v>-1.5591720000000001E-4</v>
      </c>
      <c r="AA2421">
        <v>0.99500560000000005</v>
      </c>
      <c r="AB2421">
        <v>47</v>
      </c>
      <c r="AC2421">
        <v>-84.924300000000002</v>
      </c>
      <c r="AD2421">
        <v>-0.22961489999999901</v>
      </c>
      <c r="AE2421">
        <v>-7.86060000000003</v>
      </c>
      <c r="AF2421">
        <v>-8.5602644087607001</v>
      </c>
      <c r="AG2421">
        <v>-0.22961489999999901</v>
      </c>
      <c r="AH2421">
        <v>84.856008574784695</v>
      </c>
      <c r="AI2421">
        <v>90.154255396117406</v>
      </c>
      <c r="AJ2421">
        <v>95.760503343098094</v>
      </c>
      <c r="AK2421">
        <v>85.287003939604602</v>
      </c>
      <c r="AL2421">
        <v>85.721688271330393</v>
      </c>
      <c r="AM2421">
        <v>90.898842753948301</v>
      </c>
      <c r="AN2421">
        <v>1.0000000638573201</v>
      </c>
    </row>
    <row r="2422" spans="1:40" x14ac:dyDescent="0.25">
      <c r="A2422" t="str">
        <f>"20190312160649091"</f>
        <v>20190312160649091</v>
      </c>
      <c r="B2422" t="str">
        <f>"1552378009077343"</f>
        <v>1552378009077343</v>
      </c>
      <c r="C2422" t="s">
        <v>40</v>
      </c>
      <c r="D2422">
        <v>6.2817610000000004</v>
      </c>
      <c r="E2422">
        <v>0.46813529999999998</v>
      </c>
      <c r="F2422" t="s">
        <v>75</v>
      </c>
      <c r="G2422">
        <v>-511.95890000000003</v>
      </c>
      <c r="H2422">
        <v>0.79130239999999996</v>
      </c>
      <c r="I2422">
        <v>277.38479999999998</v>
      </c>
      <c r="J2422">
        <v>-427.50080000000003</v>
      </c>
      <c r="K2422">
        <v>1.109966</v>
      </c>
      <c r="L2422">
        <v>285.20870000000002</v>
      </c>
      <c r="M2422">
        <v>-0.99983429999999995</v>
      </c>
      <c r="N2422">
        <v>0</v>
      </c>
      <c r="O2422">
        <v>8.2415130000000007E-3</v>
      </c>
      <c r="P2422">
        <v>-0.99830929999999996</v>
      </c>
      <c r="Q2422">
        <v>5.7616319999999999E-2</v>
      </c>
      <c r="R2422">
        <v>-7.6957309999999999E-3</v>
      </c>
      <c r="S2422">
        <v>-3.0039370000000001</v>
      </c>
      <c r="T2422">
        <v>-1.126564E-2</v>
      </c>
      <c r="U2422">
        <v>-0.2766113</v>
      </c>
      <c r="V2422">
        <v>-1.592153E-2</v>
      </c>
      <c r="W2422">
        <v>7.3819969999999999E-2</v>
      </c>
      <c r="X2422">
        <v>0.99714449999999999</v>
      </c>
      <c r="Y2422">
        <v>-9.9899009999999996E-2</v>
      </c>
      <c r="Z2422">
        <v>-2.177785E-4</v>
      </c>
      <c r="AA2422">
        <v>0.99499760000000004</v>
      </c>
      <c r="AB2422">
        <v>47</v>
      </c>
      <c r="AC2422">
        <v>-84.458100000000002</v>
      </c>
      <c r="AD2422">
        <v>-0.31866359999999899</v>
      </c>
      <c r="AE2422">
        <v>-7.8239000000000303</v>
      </c>
      <c r="AF2422">
        <v>-8.5196681995014405</v>
      </c>
      <c r="AG2422">
        <v>-0.31866359999999899</v>
      </c>
      <c r="AH2422">
        <v>84.389550490035703</v>
      </c>
      <c r="AI2422">
        <v>90.215259520128399</v>
      </c>
      <c r="AJ2422">
        <v>95.764845122196704</v>
      </c>
      <c r="AK2422">
        <v>84.819116504652698</v>
      </c>
      <c r="AL2422">
        <v>85.766576472437805</v>
      </c>
      <c r="AM2422">
        <v>90.914771088482595</v>
      </c>
      <c r="AN2422">
        <v>1.0000000184842901</v>
      </c>
    </row>
    <row r="2423" spans="1:40" x14ac:dyDescent="0.25">
      <c r="A2423" t="str">
        <f>"20190312160649114"</f>
        <v>20190312160649114</v>
      </c>
      <c r="B2423" t="str">
        <f>"1552378009107600"</f>
        <v>1552378009107600</v>
      </c>
      <c r="C2423" t="s">
        <v>40</v>
      </c>
      <c r="D2423">
        <v>6.2683049999999998</v>
      </c>
      <c r="E2423">
        <v>0.46862290000000001</v>
      </c>
      <c r="F2423" t="s">
        <v>75</v>
      </c>
      <c r="G2423">
        <v>-511.95870000000002</v>
      </c>
      <c r="H2423">
        <v>0.36802550000000001</v>
      </c>
      <c r="I2423">
        <v>277.49560000000002</v>
      </c>
      <c r="J2423">
        <v>-427.97739999999999</v>
      </c>
      <c r="K2423">
        <v>1.1100589999999999</v>
      </c>
      <c r="L2423">
        <v>285.21260000000001</v>
      </c>
      <c r="M2423">
        <v>-0.99982559999999998</v>
      </c>
      <c r="N2423">
        <v>0</v>
      </c>
      <c r="O2423">
        <v>8.2412790000000007E-3</v>
      </c>
      <c r="P2423">
        <v>-0.99837730000000002</v>
      </c>
      <c r="Q2423">
        <v>5.6402269999999997E-2</v>
      </c>
      <c r="R2423">
        <v>-7.8483249999999997E-3</v>
      </c>
      <c r="S2423">
        <v>-3.004486</v>
      </c>
      <c r="T2423">
        <v>-2.6390670000000001E-2</v>
      </c>
      <c r="U2423">
        <v>-0.2743835</v>
      </c>
      <c r="V2423">
        <v>-1.607451E-2</v>
      </c>
      <c r="W2423">
        <v>7.3123300000000002E-2</v>
      </c>
      <c r="X2423">
        <v>0.99719329999999995</v>
      </c>
      <c r="Y2423">
        <v>-9.9147250000000006E-2</v>
      </c>
      <c r="Z2423">
        <v>-5.0678409999999996E-4</v>
      </c>
      <c r="AA2423">
        <v>0.99507270000000003</v>
      </c>
      <c r="AB2423">
        <v>47</v>
      </c>
      <c r="AC2423">
        <v>-83.981300000000005</v>
      </c>
      <c r="AD2423">
        <v>-0.74203349999999901</v>
      </c>
      <c r="AE2423">
        <v>-7.7169999999999801</v>
      </c>
      <c r="AF2423">
        <v>-8.4082974566378699</v>
      </c>
      <c r="AG2423">
        <v>-0.74203349999999901</v>
      </c>
      <c r="AH2423">
        <v>83.908344477805201</v>
      </c>
      <c r="AI2423">
        <v>90.504150426423706</v>
      </c>
      <c r="AJ2423">
        <v>95.722399231188803</v>
      </c>
      <c r="AK2423">
        <v>84.331846611113903</v>
      </c>
      <c r="AL2423">
        <v>85.806600576580294</v>
      </c>
      <c r="AM2423">
        <v>90.923513846492597</v>
      </c>
      <c r="AN2423">
        <v>0.99999994221975796</v>
      </c>
    </row>
    <row r="2424" spans="1:40" x14ac:dyDescent="0.25">
      <c r="A2424" t="str">
        <f>"20190312160649136"</f>
        <v>20190312160649136</v>
      </c>
      <c r="B2424" t="str">
        <f>"1552378009127120"</f>
        <v>1552378009127120</v>
      </c>
      <c r="C2424" t="s">
        <v>40</v>
      </c>
      <c r="D2424">
        <v>6.31806</v>
      </c>
      <c r="E2424">
        <v>0.46886</v>
      </c>
      <c r="F2424" t="s">
        <v>61</v>
      </c>
      <c r="G2424">
        <v>-499.95769999999999</v>
      </c>
      <c r="H2424">
        <v>2.08104E-2</v>
      </c>
      <c r="I2424">
        <v>278.73009999999999</v>
      </c>
      <c r="J2424">
        <v>-428.4341</v>
      </c>
      <c r="K2424">
        <v>1.110139</v>
      </c>
      <c r="L2424">
        <v>285.21640000000002</v>
      </c>
      <c r="M2424">
        <v>-0.99981710000000001</v>
      </c>
      <c r="N2424">
        <v>0</v>
      </c>
      <c r="O2424">
        <v>8.241122E-3</v>
      </c>
      <c r="P2424">
        <v>-0.99843820000000005</v>
      </c>
      <c r="Q2424">
        <v>5.5242720000000002E-2</v>
      </c>
      <c r="R2424">
        <v>-8.345847E-3</v>
      </c>
      <c r="S2424">
        <v>-3.005341</v>
      </c>
      <c r="T2424">
        <v>-4.5478579999999998E-2</v>
      </c>
      <c r="U2424">
        <v>-0.27066040000000002</v>
      </c>
      <c r="V2424">
        <v>-1.6572190000000001E-2</v>
      </c>
      <c r="W2424">
        <v>7.246938E-2</v>
      </c>
      <c r="X2424">
        <v>0.99723300000000004</v>
      </c>
      <c r="Y2424">
        <v>-9.7890809999999995E-2</v>
      </c>
      <c r="Z2424">
        <v>-8.6361229999999895E-4</v>
      </c>
      <c r="AA2424">
        <v>0.99519679999999999</v>
      </c>
      <c r="AB2424">
        <v>47</v>
      </c>
      <c r="AC2424">
        <v>-71.523599999999902</v>
      </c>
      <c r="AD2424">
        <v>-1.0893286</v>
      </c>
      <c r="AE2424">
        <v>-6.4863000000000204</v>
      </c>
      <c r="AF2424">
        <v>-7.0739746666662899</v>
      </c>
      <c r="AG2424">
        <v>-1.0893286</v>
      </c>
      <c r="AH2424">
        <v>71.451269213701906</v>
      </c>
      <c r="AI2424">
        <v>90.869200957659004</v>
      </c>
      <c r="AJ2424">
        <v>95.654096492485806</v>
      </c>
      <c r="AK2424">
        <v>71.808854792652994</v>
      </c>
      <c r="AL2424">
        <v>85.844167564799804</v>
      </c>
      <c r="AM2424">
        <v>90.952063511184406</v>
      </c>
      <c r="AN2424">
        <v>1.00000005240398</v>
      </c>
    </row>
    <row r="2425" spans="1:40" x14ac:dyDescent="0.25">
      <c r="A2425" t="str">
        <f>"20190312160649159"</f>
        <v>20190312160649159</v>
      </c>
      <c r="B2425" t="str">
        <f>"1552378009147615"</f>
        <v>1552378009147615</v>
      </c>
      <c r="C2425" t="s">
        <v>40</v>
      </c>
      <c r="D2425">
        <v>6.2930149999999996</v>
      </c>
      <c r="E2425">
        <v>0.46912809999999999</v>
      </c>
      <c r="F2425" t="s">
        <v>61</v>
      </c>
      <c r="G2425">
        <v>-486.16699999999997</v>
      </c>
      <c r="H2425" s="1">
        <v>2.8989089999999999E-6</v>
      </c>
      <c r="I2425">
        <v>280.03210000000001</v>
      </c>
      <c r="J2425">
        <v>-428.89690000000002</v>
      </c>
      <c r="K2425">
        <v>1.1102069999999999</v>
      </c>
      <c r="L2425">
        <v>285.22019999999998</v>
      </c>
      <c r="M2425">
        <v>-0.99980800000000003</v>
      </c>
      <c r="N2425">
        <v>0</v>
      </c>
      <c r="O2425">
        <v>8.2411489999999997E-3</v>
      </c>
      <c r="P2425">
        <v>-0.99846939999999995</v>
      </c>
      <c r="Q2425">
        <v>5.4587339999999998E-2</v>
      </c>
      <c r="R2425">
        <v>-8.9011549999999991E-3</v>
      </c>
      <c r="S2425">
        <v>-3.005646</v>
      </c>
      <c r="T2425">
        <v>-5.7795050000000001E-2</v>
      </c>
      <c r="U2425">
        <v>-0.26989750000000001</v>
      </c>
      <c r="V2425">
        <v>-1.7128250000000001E-2</v>
      </c>
      <c r="W2425">
        <v>7.2330999999999895E-2</v>
      </c>
      <c r="X2425">
        <v>0.99723360000000005</v>
      </c>
      <c r="Y2425">
        <v>-9.7623940000000006E-2</v>
      </c>
      <c r="Z2425">
        <v>-1.0947999999999999E-3</v>
      </c>
      <c r="AA2425">
        <v>0.99522270000000002</v>
      </c>
      <c r="AB2425">
        <v>46</v>
      </c>
      <c r="AC2425">
        <v>-57.2700999999999</v>
      </c>
      <c r="AD2425">
        <v>-1.110204101091</v>
      </c>
      <c r="AE2425">
        <v>-5.1880999999999604</v>
      </c>
      <c r="AF2425">
        <v>-5.65786090675015</v>
      </c>
      <c r="AG2425">
        <v>-1.110204101091</v>
      </c>
      <c r="AH2425">
        <v>57.204069932570398</v>
      </c>
      <c r="AI2425">
        <v>91.106447002159896</v>
      </c>
      <c r="AJ2425">
        <v>95.6485603468997</v>
      </c>
      <c r="AK2425">
        <v>57.493908895087401</v>
      </c>
      <c r="AL2425">
        <v>85.852116805879803</v>
      </c>
      <c r="AM2425">
        <v>90.984002091634494</v>
      </c>
      <c r="AN2425">
        <v>1.00000000173901</v>
      </c>
    </row>
    <row r="2426" spans="1:40" x14ac:dyDescent="0.25">
      <c r="A2426" t="str">
        <f>"20190312160649179"</f>
        <v>20190312160649179</v>
      </c>
      <c r="B2426" t="str">
        <f>"1552378009167135"</f>
        <v>1552378009167135</v>
      </c>
      <c r="C2426" t="s">
        <v>40</v>
      </c>
      <c r="D2426">
        <v>6.2674640000000004</v>
      </c>
      <c r="E2426">
        <v>0.4692036</v>
      </c>
      <c r="F2426" t="s">
        <v>61</v>
      </c>
      <c r="G2426">
        <v>-477.64460000000003</v>
      </c>
      <c r="H2426" s="1">
        <v>2.8949859999999998E-6</v>
      </c>
      <c r="I2426">
        <v>280.85219999999998</v>
      </c>
      <c r="J2426">
        <v>-429.34449999999998</v>
      </c>
      <c r="K2426">
        <v>1.110271</v>
      </c>
      <c r="L2426">
        <v>285.22390000000001</v>
      </c>
      <c r="M2426">
        <v>-0.99979910000000005</v>
      </c>
      <c r="N2426">
        <v>0</v>
      </c>
      <c r="O2426">
        <v>8.2412690000000007E-3</v>
      </c>
      <c r="P2426">
        <v>-0.99845399999999995</v>
      </c>
      <c r="Q2426">
        <v>5.4751679999999997E-2</v>
      </c>
      <c r="R2426">
        <v>-9.5917580000000006E-3</v>
      </c>
      <c r="S2426">
        <v>-3.005951</v>
      </c>
      <c r="T2426">
        <v>-6.8459030000000004E-2</v>
      </c>
      <c r="U2426">
        <v>-0.26934809999999998</v>
      </c>
      <c r="V2426">
        <v>-1.7818799999999999E-2</v>
      </c>
      <c r="W2426">
        <v>7.2980149999999994E-2</v>
      </c>
      <c r="X2426">
        <v>0.99717420000000001</v>
      </c>
      <c r="Y2426">
        <v>-9.7426940000000004E-2</v>
      </c>
      <c r="Z2426">
        <v>-1.294403E-3</v>
      </c>
      <c r="AA2426">
        <v>0.99524179999999995</v>
      </c>
      <c r="AB2426">
        <v>46</v>
      </c>
      <c r="AC2426">
        <v>-48.3001</v>
      </c>
      <c r="AD2426">
        <v>-1.110268105014</v>
      </c>
      <c r="AE2426">
        <v>-4.3717000000000299</v>
      </c>
      <c r="AF2426">
        <v>-4.7671735771045904</v>
      </c>
      <c r="AG2426">
        <v>-1.110268105014</v>
      </c>
      <c r="AH2426">
        <v>48.237143606131298</v>
      </c>
      <c r="AI2426">
        <v>91.312146736140704</v>
      </c>
      <c r="AJ2426">
        <v>95.644091596735294</v>
      </c>
      <c r="AK2426">
        <v>48.484849824020202</v>
      </c>
      <c r="AL2426">
        <v>85.814824676920907</v>
      </c>
      <c r="AM2426">
        <v>91.023726236152399</v>
      </c>
      <c r="AN2426">
        <v>0.99999999853655097</v>
      </c>
    </row>
    <row r="2427" spans="1:40" x14ac:dyDescent="0.25">
      <c r="A2427" t="str">
        <f>"20190312160649194"</f>
        <v>20190312160649194</v>
      </c>
      <c r="B2427" t="str">
        <f>"1552378009187631"</f>
        <v>1552378009187631</v>
      </c>
      <c r="C2427" t="s">
        <v>40</v>
      </c>
      <c r="D2427">
        <v>6.2634819999999998</v>
      </c>
      <c r="E2427">
        <v>0.4694197</v>
      </c>
      <c r="F2427" t="s">
        <v>61</v>
      </c>
      <c r="G2427">
        <v>-476.37150000000003</v>
      </c>
      <c r="H2427" s="1">
        <v>3.4712470000000001E-6</v>
      </c>
      <c r="I2427">
        <v>280.98610000000002</v>
      </c>
      <c r="J2427">
        <v>-429.63310000000001</v>
      </c>
      <c r="K2427">
        <v>1.1103080000000001</v>
      </c>
      <c r="L2427">
        <v>285.22629999999998</v>
      </c>
      <c r="M2427">
        <v>-0.99979379999999995</v>
      </c>
      <c r="N2427">
        <v>0</v>
      </c>
      <c r="O2427">
        <v>8.2412739999999998E-3</v>
      </c>
      <c r="P2427">
        <v>-0.99846570000000001</v>
      </c>
      <c r="Q2427">
        <v>5.4454229999999999E-2</v>
      </c>
      <c r="R2427">
        <v>-1.008414E-2</v>
      </c>
      <c r="S2427">
        <v>-3.0059200000000001</v>
      </c>
      <c r="T2427">
        <v>-7.0967199999999994E-2</v>
      </c>
      <c r="U2427">
        <v>-0.270874</v>
      </c>
      <c r="V2427">
        <v>-1.8310920000000001E-2</v>
      </c>
      <c r="W2427">
        <v>7.2983489999999998E-2</v>
      </c>
      <c r="X2427">
        <v>0.99716499999999997</v>
      </c>
      <c r="Y2427">
        <v>-9.7926879999999994E-2</v>
      </c>
      <c r="Z2427">
        <v>-1.347687E-3</v>
      </c>
      <c r="AA2427">
        <v>0.99519270000000004</v>
      </c>
      <c r="AB2427">
        <v>46</v>
      </c>
      <c r="AC2427">
        <v>-46.738399999999999</v>
      </c>
      <c r="AD2427">
        <v>-1.110304528753</v>
      </c>
      <c r="AE2427">
        <v>-4.24019999999995</v>
      </c>
      <c r="AF2427">
        <v>-4.62271880446845</v>
      </c>
      <c r="AG2427">
        <v>-1.110304528753</v>
      </c>
      <c r="AH2427">
        <v>46.675735855734999</v>
      </c>
      <c r="AI2427">
        <v>91.356041281036596</v>
      </c>
      <c r="AJ2427">
        <v>95.656072613700601</v>
      </c>
      <c r="AK2427">
        <v>46.917231620867199</v>
      </c>
      <c r="AL2427">
        <v>85.814632629101098</v>
      </c>
      <c r="AM2427">
        <v>91.052002964447993</v>
      </c>
      <c r="AN2427">
        <v>0.99999995841441203</v>
      </c>
    </row>
    <row r="2428" spans="1:40" x14ac:dyDescent="0.25">
      <c r="A2428" t="str">
        <f>"20190312160649213"</f>
        <v>20190312160649213</v>
      </c>
      <c r="B2428" t="str">
        <f>"1552378009207155"</f>
        <v>1552378009207155</v>
      </c>
      <c r="C2428" t="s">
        <v>40</v>
      </c>
      <c r="D2428">
        <v>8.0390470000000001</v>
      </c>
      <c r="E2428">
        <v>0.46939209999999898</v>
      </c>
      <c r="F2428" t="s">
        <v>61</v>
      </c>
      <c r="G2428">
        <v>-472.55250000000001</v>
      </c>
      <c r="H2428" s="1">
        <v>5.1980339999999997E-6</v>
      </c>
      <c r="I2428">
        <v>281.36590000000001</v>
      </c>
      <c r="J2428">
        <v>-430.0421</v>
      </c>
      <c r="K2428">
        <v>1.1103529999999999</v>
      </c>
      <c r="L2428">
        <v>285.2296</v>
      </c>
      <c r="M2428">
        <v>-0.99978610000000001</v>
      </c>
      <c r="N2428">
        <v>0</v>
      </c>
      <c r="O2428">
        <v>8.2416859999999998E-3</v>
      </c>
      <c r="P2428">
        <v>-0.99843130000000002</v>
      </c>
      <c r="Q2428">
        <v>5.495883E-2</v>
      </c>
      <c r="R2428">
        <v>-1.070437E-2</v>
      </c>
      <c r="S2428">
        <v>-3.0061339999999999</v>
      </c>
      <c r="T2428">
        <v>-7.7767130000000004E-2</v>
      </c>
      <c r="U2428">
        <v>-0.27038570000000001</v>
      </c>
      <c r="V2428">
        <v>-1.893158E-2</v>
      </c>
      <c r="W2428">
        <v>7.3890810000000001E-2</v>
      </c>
      <c r="X2428">
        <v>0.99708660000000005</v>
      </c>
      <c r="Y2428">
        <v>-9.7754839999999996E-2</v>
      </c>
      <c r="Z2428">
        <v>-1.474476E-3</v>
      </c>
      <c r="AA2428">
        <v>0.99520949999999997</v>
      </c>
      <c r="AB2428">
        <v>46</v>
      </c>
      <c r="AC2428">
        <v>-42.510399999999997</v>
      </c>
      <c r="AD2428">
        <v>-1.110347801966</v>
      </c>
      <c r="AE2428">
        <v>-3.8636999999999899</v>
      </c>
      <c r="AF2428">
        <v>-4.2111397416285703</v>
      </c>
      <c r="AG2428">
        <v>-1.110347801966</v>
      </c>
      <c r="AH2428">
        <v>42.448384466357702</v>
      </c>
      <c r="AI2428">
        <v>91.491062208545898</v>
      </c>
      <c r="AJ2428">
        <v>95.665554281331097</v>
      </c>
      <c r="AK2428">
        <v>42.671207083566003</v>
      </c>
      <c r="AL2428">
        <v>85.762506327867897</v>
      </c>
      <c r="AM2428">
        <v>91.087738333012595</v>
      </c>
      <c r="AN2428">
        <v>0.99999997221165604</v>
      </c>
    </row>
    <row r="2429" spans="1:40" x14ac:dyDescent="0.25">
      <c r="A2429" t="str">
        <f>"20190312160649227"</f>
        <v>20190312160649227</v>
      </c>
      <c r="B2429" t="str">
        <f>"1552378009217887"</f>
        <v>1552378009217887</v>
      </c>
      <c r="C2429" t="s">
        <v>40</v>
      </c>
      <c r="D2429">
        <v>6.2662879999999896</v>
      </c>
      <c r="E2429">
        <v>0.46952549999999998</v>
      </c>
      <c r="F2429" t="s">
        <v>61</v>
      </c>
      <c r="G2429">
        <v>-474.78460000000001</v>
      </c>
      <c r="H2429" s="1">
        <v>4.191346E-6</v>
      </c>
      <c r="I2429">
        <v>281.17320000000001</v>
      </c>
      <c r="J2429">
        <v>-430.3263</v>
      </c>
      <c r="K2429">
        <v>1.1103769999999999</v>
      </c>
      <c r="L2429">
        <v>285.23200000000003</v>
      </c>
      <c r="M2429">
        <v>-0.99978109999999998</v>
      </c>
      <c r="N2429">
        <v>0</v>
      </c>
      <c r="O2429">
        <v>8.2416590000000001E-3</v>
      </c>
      <c r="P2429">
        <v>-0.99843440000000006</v>
      </c>
      <c r="Q2429">
        <v>5.4836089999999997E-2</v>
      </c>
      <c r="R2429">
        <v>-1.104664E-2</v>
      </c>
      <c r="S2429">
        <v>-3.00589</v>
      </c>
      <c r="T2429">
        <v>-7.459557E-2</v>
      </c>
      <c r="U2429">
        <v>-0.27252199999999999</v>
      </c>
      <c r="V2429">
        <v>-1.9274179999999998E-2</v>
      </c>
      <c r="W2429">
        <v>7.4031100000000002E-2</v>
      </c>
      <c r="X2429">
        <v>0.99706969999999995</v>
      </c>
      <c r="Y2429">
        <v>-9.846618E-2</v>
      </c>
      <c r="Z2429">
        <v>-1.423239E-3</v>
      </c>
      <c r="AA2429">
        <v>0.99513940000000001</v>
      </c>
      <c r="AB2429">
        <v>46</v>
      </c>
      <c r="AC2429">
        <v>-44.458300000000001</v>
      </c>
      <c r="AD2429">
        <v>-1.1103728086539999</v>
      </c>
      <c r="AE2429">
        <v>-4.0588000000000104</v>
      </c>
      <c r="AF2429">
        <v>-4.42240421284232</v>
      </c>
      <c r="AG2429">
        <v>-1.1103728086539999</v>
      </c>
      <c r="AH2429">
        <v>44.395867690951697</v>
      </c>
      <c r="AI2429">
        <v>91.425657436461606</v>
      </c>
      <c r="AJ2429">
        <v>95.688636637821205</v>
      </c>
      <c r="AK2429">
        <v>44.629403478295004</v>
      </c>
      <c r="AL2429">
        <v>85.754446524993696</v>
      </c>
      <c r="AM2429">
        <v>91.107436764824797</v>
      </c>
      <c r="AN2429">
        <v>1.00000004221998</v>
      </c>
    </row>
    <row r="2430" spans="1:40" x14ac:dyDescent="0.25">
      <c r="A2430" t="str">
        <f>"20190312160649247"</f>
        <v>20190312160649247</v>
      </c>
      <c r="B2430" t="str">
        <f>"1552378009237408"</f>
        <v>1552378009237408</v>
      </c>
      <c r="C2430" t="s">
        <v>40</v>
      </c>
      <c r="D2430">
        <v>6.2686070000000003</v>
      </c>
      <c r="E2430">
        <v>0.46977000000000002</v>
      </c>
      <c r="F2430" t="s">
        <v>61</v>
      </c>
      <c r="G2430">
        <v>-473.16250000000002</v>
      </c>
      <c r="H2430" s="1">
        <v>4.9260120000000003E-6</v>
      </c>
      <c r="I2430">
        <v>281.34890000000001</v>
      </c>
      <c r="J2430">
        <v>-430.71420000000001</v>
      </c>
      <c r="K2430">
        <v>1.110406</v>
      </c>
      <c r="L2430">
        <v>285.23520000000002</v>
      </c>
      <c r="M2430">
        <v>-0.9997743</v>
      </c>
      <c r="N2430">
        <v>0</v>
      </c>
      <c r="O2430">
        <v>8.2418549999999993E-3</v>
      </c>
      <c r="P2430">
        <v>-0.99844330000000003</v>
      </c>
      <c r="Q2430">
        <v>5.4571479999999999E-2</v>
      </c>
      <c r="R2430">
        <v>-1.153685E-2</v>
      </c>
      <c r="S2430">
        <v>-3.0059809999999998</v>
      </c>
      <c r="T2430">
        <v>-7.7919009999999997E-2</v>
      </c>
      <c r="U2430">
        <v>-0.2724915</v>
      </c>
      <c r="V2430">
        <v>-1.9764250000000001E-2</v>
      </c>
      <c r="W2430">
        <v>7.4105290000000004E-2</v>
      </c>
      <c r="X2430">
        <v>0.99705460000000001</v>
      </c>
      <c r="Y2430">
        <v>-9.845073E-2</v>
      </c>
      <c r="Z2430">
        <v>-1.4863890000000001E-3</v>
      </c>
      <c r="AA2430">
        <v>0.99514080000000005</v>
      </c>
      <c r="AB2430">
        <v>46</v>
      </c>
      <c r="AC2430">
        <v>-42.448300000000003</v>
      </c>
      <c r="AD2430">
        <v>-1.1104010739879999</v>
      </c>
      <c r="AE2430">
        <v>-3.8862999999999999</v>
      </c>
      <c r="AF2430">
        <v>-4.2332151149351303</v>
      </c>
      <c r="AG2430">
        <v>-1.1104010739879999</v>
      </c>
      <c r="AH2430">
        <v>42.386058051372601</v>
      </c>
      <c r="AI2430">
        <v>91.4932272730926</v>
      </c>
      <c r="AJ2430">
        <v>95.703378274804393</v>
      </c>
      <c r="AK2430">
        <v>42.611395399455702</v>
      </c>
      <c r="AL2430">
        <v>85.750184065421195</v>
      </c>
      <c r="AM2430">
        <v>91.135604633450299</v>
      </c>
      <c r="AN2430">
        <v>1.0000000474826001</v>
      </c>
    </row>
    <row r="2431" spans="1:40" x14ac:dyDescent="0.25">
      <c r="A2431" t="str">
        <f>"20190312160649262"</f>
        <v>20190312160649262</v>
      </c>
      <c r="B2431" t="str">
        <f>"1552378009257903"</f>
        <v>1552378009257903</v>
      </c>
      <c r="C2431" t="s">
        <v>40</v>
      </c>
      <c r="D2431">
        <v>6.5725179999999996</v>
      </c>
      <c r="E2431">
        <v>0.46995540000000002</v>
      </c>
      <c r="F2431" t="s">
        <v>61</v>
      </c>
      <c r="G2431">
        <v>-470.2645</v>
      </c>
      <c r="H2431" s="1">
        <v>6.2383900000000004E-6</v>
      </c>
      <c r="I2431">
        <v>281.66019999999997</v>
      </c>
      <c r="J2431">
        <v>-431.01850000000002</v>
      </c>
      <c r="K2431">
        <v>1.1104240000000001</v>
      </c>
      <c r="L2431">
        <v>285.23770000000002</v>
      </c>
      <c r="M2431">
        <v>-0.99976960000000004</v>
      </c>
      <c r="N2431">
        <v>0</v>
      </c>
      <c r="O2431">
        <v>8.2419659999999999E-3</v>
      </c>
      <c r="P2431">
        <v>-0.99848230000000004</v>
      </c>
      <c r="Q2431">
        <v>5.3825390000000001E-2</v>
      </c>
      <c r="R2431">
        <v>-1.16632E-2</v>
      </c>
      <c r="S2431">
        <v>-3.0061650000000002</v>
      </c>
      <c r="T2431">
        <v>-8.4400059999999999E-2</v>
      </c>
      <c r="U2431">
        <v>-0.27172849999999998</v>
      </c>
      <c r="V2431">
        <v>-1.9890979999999999E-2</v>
      </c>
      <c r="W2431">
        <v>7.3606439999999995E-2</v>
      </c>
      <c r="X2431">
        <v>0.997089</v>
      </c>
      <c r="Y2431">
        <v>-9.8188869999999998E-2</v>
      </c>
      <c r="Z2431">
        <v>-1.6062330000000001E-3</v>
      </c>
      <c r="AA2431">
        <v>0.99516649999999995</v>
      </c>
      <c r="AB2431">
        <v>46</v>
      </c>
      <c r="AC2431">
        <v>-39.245999999999903</v>
      </c>
      <c r="AD2431">
        <v>-1.1104177616099999</v>
      </c>
      <c r="AE2431">
        <v>-3.5775000000000401</v>
      </c>
      <c r="AF2431">
        <v>-3.8978115557020998</v>
      </c>
      <c r="AG2431">
        <v>-1.1104177616099999</v>
      </c>
      <c r="AH2431">
        <v>39.184065203384201</v>
      </c>
      <c r="AI2431">
        <v>91.615274434481805</v>
      </c>
      <c r="AJ2431">
        <v>95.680775352398499</v>
      </c>
      <c r="AK2431">
        <v>39.393107625473398</v>
      </c>
      <c r="AL2431">
        <v>85.778844206300604</v>
      </c>
      <c r="AM2431">
        <v>91.142844879221101</v>
      </c>
      <c r="AN2431">
        <v>1.0000000165079099</v>
      </c>
    </row>
    <row r="2432" spans="1:40" x14ac:dyDescent="0.25">
      <c r="A2432" t="str">
        <f>"20190312160649281"</f>
        <v>20190312160649281</v>
      </c>
      <c r="B2432" t="str">
        <f>"1552378009267663"</f>
        <v>1552378009267663</v>
      </c>
      <c r="C2432" t="s">
        <v>40</v>
      </c>
      <c r="D2432">
        <v>7.5839569999999998</v>
      </c>
      <c r="E2432">
        <v>0.46979880000000002</v>
      </c>
      <c r="F2432" t="s">
        <v>66</v>
      </c>
      <c r="G2432">
        <v>-469.39519999999999</v>
      </c>
      <c r="H2432" s="1">
        <v>3.5866219999999999E-6</v>
      </c>
      <c r="I2432">
        <v>281.78539999999998</v>
      </c>
      <c r="J2432">
        <v>-431.39980000000003</v>
      </c>
      <c r="K2432">
        <v>1.1104400000000001</v>
      </c>
      <c r="L2432">
        <v>285.24079999999998</v>
      </c>
      <c r="M2432">
        <v>-0.99976390000000004</v>
      </c>
      <c r="N2432">
        <v>0</v>
      </c>
      <c r="O2432">
        <v>8.2420759999999992E-3</v>
      </c>
      <c r="P2432">
        <v>-0.99849900000000003</v>
      </c>
      <c r="Q2432">
        <v>5.3369479999999997E-2</v>
      </c>
      <c r="R2432">
        <v>-1.2314169999999999E-2</v>
      </c>
      <c r="S2432">
        <v>-3.0060419999999999</v>
      </c>
      <c r="T2432">
        <v>-8.6979029999999999E-2</v>
      </c>
      <c r="U2432">
        <v>-0.2704163</v>
      </c>
      <c r="V2432">
        <v>-2.0542600000000001E-2</v>
      </c>
      <c r="W2432">
        <v>7.3436210000000002E-2</v>
      </c>
      <c r="X2432">
        <v>0.99708830000000004</v>
      </c>
      <c r="Y2432">
        <v>-9.7759330000000005E-2</v>
      </c>
      <c r="Z2432">
        <v>-1.649197E-3</v>
      </c>
      <c r="AA2432">
        <v>0.99520869999999995</v>
      </c>
      <c r="AB2432">
        <v>45</v>
      </c>
      <c r="AC2432">
        <v>-37.995399999999897</v>
      </c>
      <c r="AD2432">
        <v>-1.11043641337799</v>
      </c>
      <c r="AE2432">
        <v>-3.4553999999999898</v>
      </c>
      <c r="AF2432">
        <v>-3.7653171702460799</v>
      </c>
      <c r="AG2432">
        <v>-1.11043641337799</v>
      </c>
      <c r="AH2432">
        <v>37.933489017379898</v>
      </c>
      <c r="AI2432">
        <v>91.668559561040695</v>
      </c>
      <c r="AJ2432">
        <v>95.668669390409207</v>
      </c>
      <c r="AK2432">
        <v>38.136075721715102</v>
      </c>
      <c r="AL2432">
        <v>85.788623966600795</v>
      </c>
      <c r="AM2432">
        <v>91.180274394556506</v>
      </c>
      <c r="AN2432">
        <v>0.99999997667540597</v>
      </c>
    </row>
    <row r="2433" spans="1:40" x14ac:dyDescent="0.25">
      <c r="A2433" t="str">
        <f>"20190312160649295"</f>
        <v>20190312160649295</v>
      </c>
      <c r="B2433" t="str">
        <f>"1552378009287183"</f>
        <v>1552378009287183</v>
      </c>
      <c r="C2433" t="s">
        <v>40</v>
      </c>
      <c r="D2433">
        <v>6.3252490000000003</v>
      </c>
      <c r="E2433">
        <v>0.46954620000000002</v>
      </c>
      <c r="F2433" t="s">
        <v>61</v>
      </c>
      <c r="G2433">
        <v>-470.86470000000003</v>
      </c>
      <c r="H2433" s="1">
        <v>5.9709909999999996E-6</v>
      </c>
      <c r="I2433">
        <v>281.6465</v>
      </c>
      <c r="J2433">
        <v>-431.6925</v>
      </c>
      <c r="K2433">
        <v>1.110455</v>
      </c>
      <c r="L2433">
        <v>285.2432</v>
      </c>
      <c r="M2433">
        <v>-0.99975970000000003</v>
      </c>
      <c r="N2433">
        <v>0</v>
      </c>
      <c r="O2433">
        <v>8.2423970000000003E-3</v>
      </c>
      <c r="P2433">
        <v>-0.99853000000000003</v>
      </c>
      <c r="Q2433">
        <v>5.2701579999999998E-2</v>
      </c>
      <c r="R2433">
        <v>-1.266931E-2</v>
      </c>
      <c r="S2433">
        <v>-3.0056150000000001</v>
      </c>
      <c r="T2433">
        <v>-8.4569690000000003E-2</v>
      </c>
      <c r="U2433">
        <v>-0.27374270000000001</v>
      </c>
      <c r="V2433">
        <v>-2.0897990000000002E-2</v>
      </c>
      <c r="W2433">
        <v>7.2971110000000006E-2</v>
      </c>
      <c r="X2433">
        <v>0.99711510000000003</v>
      </c>
      <c r="Y2433">
        <v>-9.8866679999999998E-2</v>
      </c>
      <c r="Z2433">
        <v>-1.6192330000000001E-3</v>
      </c>
      <c r="AA2433">
        <v>0.99509939999999997</v>
      </c>
      <c r="AB2433">
        <v>45</v>
      </c>
      <c r="AC2433">
        <v>-39.172199999999997</v>
      </c>
      <c r="AD2433">
        <v>-1.1104490290090001</v>
      </c>
      <c r="AE2433">
        <v>-3.59669999999999</v>
      </c>
      <c r="AF2433">
        <v>-3.91639631125636</v>
      </c>
      <c r="AG2433">
        <v>-1.1104490290090001</v>
      </c>
      <c r="AH2433">
        <v>39.110051065547403</v>
      </c>
      <c r="AI2433">
        <v>91.618269150049102</v>
      </c>
      <c r="AJ2433">
        <v>95.718412885680706</v>
      </c>
      <c r="AK2433">
        <v>39.321334558513797</v>
      </c>
      <c r="AL2433">
        <v>85.815344087689098</v>
      </c>
      <c r="AM2433">
        <v>91.200655126345595</v>
      </c>
      <c r="AN2433">
        <v>1.0000000157643401</v>
      </c>
    </row>
    <row r="2434" spans="1:40" x14ac:dyDescent="0.25">
      <c r="A2434" t="str">
        <f>"20190312160649314"</f>
        <v>20190312160649314</v>
      </c>
      <c r="B2434" t="str">
        <f>"1552378009307680"</f>
        <v>1552378009307680</v>
      </c>
      <c r="C2434" t="s">
        <v>40</v>
      </c>
      <c r="D2434">
        <v>6.531536</v>
      </c>
      <c r="E2434">
        <v>0.4696091</v>
      </c>
      <c r="F2434" t="s">
        <v>61</v>
      </c>
      <c r="G2434">
        <v>-473.56479999999999</v>
      </c>
      <c r="H2434" s="1">
        <v>4.7508219999999997E-6</v>
      </c>
      <c r="I2434">
        <v>281.38549999999998</v>
      </c>
      <c r="J2434">
        <v>-432.0736</v>
      </c>
      <c r="K2434">
        <v>1.110468</v>
      </c>
      <c r="L2434">
        <v>285.24630000000002</v>
      </c>
      <c r="M2434">
        <v>-0.9997549</v>
      </c>
      <c r="N2434">
        <v>0</v>
      </c>
      <c r="O2434">
        <v>8.2424390000000007E-3</v>
      </c>
      <c r="P2434">
        <v>-0.99857430000000003</v>
      </c>
      <c r="Q2434">
        <v>5.1765800000000001E-2</v>
      </c>
      <c r="R2434">
        <v>-1.304802E-2</v>
      </c>
      <c r="S2434">
        <v>-3.0050659999999998</v>
      </c>
      <c r="T2434">
        <v>-7.9694150000000005E-2</v>
      </c>
      <c r="U2434">
        <v>-0.27685549999999998</v>
      </c>
      <c r="V2434">
        <v>-2.1277069999999999E-2</v>
      </c>
      <c r="W2434">
        <v>7.2275339999999993E-2</v>
      </c>
      <c r="X2434">
        <v>0.99715779999999998</v>
      </c>
      <c r="Y2434">
        <v>-9.9909659999999997E-2</v>
      </c>
      <c r="Z2434">
        <v>-1.5399229999999999E-3</v>
      </c>
      <c r="AA2434">
        <v>0.99499530000000003</v>
      </c>
      <c r="AB2434">
        <v>45</v>
      </c>
      <c r="AC2434">
        <v>-41.4911999999999</v>
      </c>
      <c r="AD2434">
        <v>-1.110463249178</v>
      </c>
      <c r="AE2434">
        <v>-3.86080000000003</v>
      </c>
      <c r="AF2434">
        <v>-4.1997472320962697</v>
      </c>
      <c r="AG2434">
        <v>-1.110463249178</v>
      </c>
      <c r="AH2434">
        <v>41.428540218760503</v>
      </c>
      <c r="AI2434">
        <v>91.527580611277997</v>
      </c>
      <c r="AJ2434">
        <v>95.788486912818001</v>
      </c>
      <c r="AK2434">
        <v>41.655671283736801</v>
      </c>
      <c r="AL2434">
        <v>85.855314492448002</v>
      </c>
      <c r="AM2434">
        <v>91.2223755819047</v>
      </c>
      <c r="AN2434">
        <v>1.0000000582903601</v>
      </c>
    </row>
    <row r="2435" spans="1:40" x14ac:dyDescent="0.25">
      <c r="A2435" t="str">
        <f>"20190312160649337"</f>
        <v>20190312160649337</v>
      </c>
      <c r="B2435" t="str">
        <f>"1552378009327199"</f>
        <v>1552378009327199</v>
      </c>
      <c r="C2435" t="s">
        <v>40</v>
      </c>
      <c r="D2435">
        <v>5.7232909999999997</v>
      </c>
      <c r="E2435">
        <v>0.4695452</v>
      </c>
      <c r="F2435" t="s">
        <v>61</v>
      </c>
      <c r="G2435">
        <v>-471.98410000000001</v>
      </c>
      <c r="H2435" s="1">
        <v>5.4668949999999998E-6</v>
      </c>
      <c r="I2435">
        <v>281.55829999999997</v>
      </c>
      <c r="J2435">
        <v>-432.52589999999998</v>
      </c>
      <c r="K2435">
        <v>1.1104860000000001</v>
      </c>
      <c r="L2435">
        <v>285.25</v>
      </c>
      <c r="M2435">
        <v>-0.99974980000000002</v>
      </c>
      <c r="N2435">
        <v>0</v>
      </c>
      <c r="O2435">
        <v>8.2425139999999994E-3</v>
      </c>
      <c r="P2435">
        <v>-0.99862039999999996</v>
      </c>
      <c r="Q2435">
        <v>5.0866349999999998E-2</v>
      </c>
      <c r="R2435">
        <v>-1.3043249999999999E-2</v>
      </c>
      <c r="S2435">
        <v>-3.0050050000000001</v>
      </c>
      <c r="T2435">
        <v>-8.3610649999999995E-2</v>
      </c>
      <c r="U2435">
        <v>-0.27767940000000002</v>
      </c>
      <c r="V2435">
        <v>-2.127283E-2</v>
      </c>
      <c r="W2435">
        <v>7.1626609999999993E-2</v>
      </c>
      <c r="X2435">
        <v>0.99720469999999894</v>
      </c>
      <c r="Y2435">
        <v>-0.1001782</v>
      </c>
      <c r="Z2435">
        <v>-1.6193150000000001E-3</v>
      </c>
      <c r="AA2435">
        <v>0.99496819999999997</v>
      </c>
      <c r="AB2435">
        <v>45</v>
      </c>
      <c r="AC2435">
        <v>-39.458199999999998</v>
      </c>
      <c r="AD2435">
        <v>-1.1104805331050001</v>
      </c>
      <c r="AE2435">
        <v>-3.69170000000002</v>
      </c>
      <c r="AF2435">
        <v>-4.0137281934834403</v>
      </c>
      <c r="AG2435">
        <v>-1.1104805331050001</v>
      </c>
      <c r="AH2435">
        <v>39.395491490527199</v>
      </c>
      <c r="AI2435">
        <v>91.606315521298399</v>
      </c>
      <c r="AJ2435">
        <v>95.817389020186397</v>
      </c>
      <c r="AK2435">
        <v>39.614996286832699</v>
      </c>
      <c r="AL2435">
        <v>85.892580572773596</v>
      </c>
      <c r="AM2435">
        <v>91.222074604981898</v>
      </c>
      <c r="AN2435">
        <v>1.00000005912919</v>
      </c>
    </row>
    <row r="2436" spans="1:40" x14ac:dyDescent="0.25">
      <c r="A2436" t="str">
        <f>"20190312160649360"</f>
        <v>20190312160649360</v>
      </c>
      <c r="B2436" t="str">
        <f>"1552378009347695"</f>
        <v>1552378009347695</v>
      </c>
      <c r="C2436" t="s">
        <v>40</v>
      </c>
      <c r="D2436">
        <v>5.7336090000000004</v>
      </c>
      <c r="E2436">
        <v>0.46928029999999998</v>
      </c>
      <c r="F2436" t="s">
        <v>61</v>
      </c>
      <c r="G2436">
        <v>-471.26850000000002</v>
      </c>
      <c r="H2436" s="1">
        <v>5.7937059999999999E-6</v>
      </c>
      <c r="I2436">
        <v>281.66640000000001</v>
      </c>
      <c r="J2436">
        <v>-432.97489999999999</v>
      </c>
      <c r="K2436">
        <v>1.1105080000000001</v>
      </c>
      <c r="L2436">
        <v>285.25380000000001</v>
      </c>
      <c r="M2436">
        <v>-0.9997452</v>
      </c>
      <c r="N2436">
        <v>0</v>
      </c>
      <c r="O2436">
        <v>8.2430809999999993E-3</v>
      </c>
      <c r="P2436">
        <v>-0.99864839999999999</v>
      </c>
      <c r="Q2436">
        <v>5.0389429999999999E-2</v>
      </c>
      <c r="R2436">
        <v>-1.274784E-2</v>
      </c>
      <c r="S2436">
        <v>-3.0049130000000002</v>
      </c>
      <c r="T2436">
        <v>-8.6129899999999995E-2</v>
      </c>
      <c r="U2436">
        <v>-0.27795409999999998</v>
      </c>
      <c r="V2436">
        <v>-2.0978409999999999E-2</v>
      </c>
      <c r="W2436">
        <v>7.1367890000000003E-2</v>
      </c>
      <c r="X2436">
        <v>0.99722949999999999</v>
      </c>
      <c r="Y2436">
        <v>-0.1002692</v>
      </c>
      <c r="Z2436">
        <v>-1.6694489999999999E-3</v>
      </c>
      <c r="AA2436">
        <v>0.99495889999999998</v>
      </c>
      <c r="AB2436">
        <v>45</v>
      </c>
      <c r="AC2436">
        <v>-38.293599999999998</v>
      </c>
      <c r="AD2436">
        <v>-1.110502206294</v>
      </c>
      <c r="AE2436">
        <v>-3.5874000000000001</v>
      </c>
      <c r="AF2436">
        <v>-3.8997539409693398</v>
      </c>
      <c r="AG2436">
        <v>-1.110502206294</v>
      </c>
      <c r="AH2436">
        <v>38.230848924135699</v>
      </c>
      <c r="AI2436">
        <v>91.655234414187703</v>
      </c>
      <c r="AJ2436">
        <v>95.824335068401396</v>
      </c>
      <c r="AK2436">
        <v>38.4452741622476</v>
      </c>
      <c r="AL2436">
        <v>85.907442224833204</v>
      </c>
      <c r="AM2436">
        <v>91.205135921819505</v>
      </c>
      <c r="AN2436">
        <v>1.00000007253971</v>
      </c>
    </row>
    <row r="2437" spans="1:40" x14ac:dyDescent="0.25">
      <c r="A2437" t="str">
        <f>"20190312160649381"</f>
        <v>20190312160649381</v>
      </c>
      <c r="B2437" t="str">
        <f>"1552378009377952"</f>
        <v>1552378009377952</v>
      </c>
      <c r="C2437" t="s">
        <v>40</v>
      </c>
      <c r="D2437">
        <v>6.2310990000000004</v>
      </c>
      <c r="E2437">
        <v>0.46944639999999999</v>
      </c>
      <c r="F2437" t="s">
        <v>61</v>
      </c>
      <c r="G2437">
        <v>-473.25869999999998</v>
      </c>
      <c r="H2437" s="1">
        <v>4.8972520000000001E-6</v>
      </c>
      <c r="I2437">
        <v>281.50749999999999</v>
      </c>
      <c r="J2437">
        <v>-433.4128</v>
      </c>
      <c r="K2437">
        <v>1.110522</v>
      </c>
      <c r="L2437">
        <v>285.25740000000002</v>
      </c>
      <c r="M2437">
        <v>-0.9997412</v>
      </c>
      <c r="N2437">
        <v>0</v>
      </c>
      <c r="O2437">
        <v>8.2432240000000004E-3</v>
      </c>
      <c r="P2437">
        <v>-0.99868520000000005</v>
      </c>
      <c r="Q2437">
        <v>4.966272E-2</v>
      </c>
      <c r="R2437">
        <v>-1.2719080000000001E-2</v>
      </c>
      <c r="S2437">
        <v>-3.0046390000000001</v>
      </c>
      <c r="T2437">
        <v>-8.2828879999999994E-2</v>
      </c>
      <c r="U2437">
        <v>-0.27941890000000003</v>
      </c>
      <c r="V2437">
        <v>-2.095021E-2</v>
      </c>
      <c r="W2437">
        <v>7.0830420000000005E-2</v>
      </c>
      <c r="X2437">
        <v>0.9972683</v>
      </c>
      <c r="Y2437">
        <v>-0.1007618</v>
      </c>
      <c r="Z2437">
        <v>-1.6123779999999901E-3</v>
      </c>
      <c r="AA2437">
        <v>0.9949093</v>
      </c>
      <c r="AB2437">
        <v>45</v>
      </c>
      <c r="AC2437">
        <v>-39.845899999999901</v>
      </c>
      <c r="AD2437">
        <v>-1.1105171027480001</v>
      </c>
      <c r="AE2437">
        <v>-3.7499000000000202</v>
      </c>
      <c r="AF2437">
        <v>-4.0751674632606996</v>
      </c>
      <c r="AG2437">
        <v>-1.1105171027480001</v>
      </c>
      <c r="AH2437">
        <v>39.782997073306703</v>
      </c>
      <c r="AI2437">
        <v>91.590640942719702</v>
      </c>
      <c r="AJ2437">
        <v>95.8486879840478</v>
      </c>
      <c r="AK2437">
        <v>40.006588135253999</v>
      </c>
      <c r="AL2437">
        <v>85.938314663027498</v>
      </c>
      <c r="AM2437">
        <v>91.203469597155802</v>
      </c>
      <c r="AN2437">
        <v>0.99999996094065402</v>
      </c>
    </row>
    <row r="2438" spans="1:40" x14ac:dyDescent="0.25">
      <c r="A2438" t="str">
        <f>"20190312160649396"</f>
        <v>20190312160649396</v>
      </c>
      <c r="B2438" t="str">
        <f>"1552378009387712"</f>
        <v>1552378009387712</v>
      </c>
      <c r="C2438" t="s">
        <v>40</v>
      </c>
      <c r="D2438">
        <v>5.6650609999999997</v>
      </c>
      <c r="E2438">
        <v>0.51204589999999905</v>
      </c>
      <c r="F2438" t="s">
        <v>61</v>
      </c>
      <c r="G2438">
        <v>-474.21600000000001</v>
      </c>
      <c r="H2438" s="1">
        <v>4.470607E-6</v>
      </c>
      <c r="I2438">
        <v>281.48340000000002</v>
      </c>
      <c r="J2438">
        <v>-433.69380000000001</v>
      </c>
      <c r="K2438">
        <v>1.11053</v>
      </c>
      <c r="L2438">
        <v>285.25959999999998</v>
      </c>
      <c r="M2438">
        <v>-0.99973860000000003</v>
      </c>
      <c r="N2438">
        <v>0</v>
      </c>
      <c r="O2438">
        <v>8.2433609999999994E-3</v>
      </c>
      <c r="P2438">
        <v>-0.99871149999999997</v>
      </c>
      <c r="Q2438">
        <v>4.908821E-2</v>
      </c>
      <c r="R2438">
        <v>-1.287346E-2</v>
      </c>
      <c r="S2438">
        <v>-3.0045169999999999</v>
      </c>
      <c r="T2438">
        <v>-8.1772209999999998E-2</v>
      </c>
      <c r="U2438">
        <v>-0.277893099999999</v>
      </c>
      <c r="V2438">
        <v>-2.1104970000000001E-2</v>
      </c>
      <c r="W2438">
        <v>7.0371420000000004E-2</v>
      </c>
      <c r="X2438">
        <v>0.99729760000000001</v>
      </c>
      <c r="Y2438">
        <v>-0.10026590000000001</v>
      </c>
      <c r="Z2438">
        <v>-1.5851890000000001E-3</v>
      </c>
      <c r="AA2438">
        <v>0.99495940000000005</v>
      </c>
      <c r="AB2438">
        <v>44</v>
      </c>
      <c r="AC2438">
        <v>-40.522199999999998</v>
      </c>
      <c r="AD2438">
        <v>-1.1105255293930001</v>
      </c>
      <c r="AE2438">
        <v>-3.7761999999999598</v>
      </c>
      <c r="AF2438">
        <v>-4.1071286256311197</v>
      </c>
      <c r="AG2438">
        <v>-1.1105255293930001</v>
      </c>
      <c r="AH2438">
        <v>40.459561192920603</v>
      </c>
      <c r="AI2438">
        <v>91.564213082810696</v>
      </c>
      <c r="AJ2438">
        <v>95.796350424406995</v>
      </c>
      <c r="AK2438">
        <v>40.682648198250298</v>
      </c>
      <c r="AL2438">
        <v>85.964679494181695</v>
      </c>
      <c r="AM2438">
        <v>91.212321421661301</v>
      </c>
      <c r="AN2438">
        <v>1.00000002973863</v>
      </c>
    </row>
    <row r="2439" spans="1:40" x14ac:dyDescent="0.25">
      <c r="A2439" t="str">
        <f>"20190312160649415"</f>
        <v>20190312160649415</v>
      </c>
      <c r="B2439" t="str">
        <f>"1552378009407235"</f>
        <v>1552378009407235</v>
      </c>
      <c r="C2439" t="s">
        <v>40</v>
      </c>
      <c r="D2439">
        <v>5.6513549999999997</v>
      </c>
      <c r="E2439">
        <v>0.52605440000000003</v>
      </c>
      <c r="F2439" t="s">
        <v>61</v>
      </c>
      <c r="G2439">
        <v>-491.91919999999999</v>
      </c>
      <c r="H2439" s="1">
        <v>3.7836550000000001E-6</v>
      </c>
      <c r="I2439">
        <v>286.44069999999999</v>
      </c>
      <c r="J2439">
        <v>-434.06779999999998</v>
      </c>
      <c r="K2439">
        <v>1.1105449999999999</v>
      </c>
      <c r="L2439">
        <v>285.2627</v>
      </c>
      <c r="M2439">
        <v>-0.99973540000000005</v>
      </c>
      <c r="N2439">
        <v>0</v>
      </c>
      <c r="O2439">
        <v>8.2435210000000002E-3</v>
      </c>
      <c r="P2439">
        <v>-0.99873880000000004</v>
      </c>
      <c r="Q2439">
        <v>4.8557709999999997E-2</v>
      </c>
      <c r="R2439">
        <v>-1.2778960000000001E-2</v>
      </c>
      <c r="S2439">
        <v>-3.0075069999999999</v>
      </c>
      <c r="T2439">
        <v>-5.7361839999999997E-2</v>
      </c>
      <c r="U2439">
        <v>6.1004639999999999E-2</v>
      </c>
      <c r="V2439">
        <v>-2.1010890000000001E-2</v>
      </c>
      <c r="W2439">
        <v>6.999756E-2</v>
      </c>
      <c r="X2439">
        <v>0.99732580000000004</v>
      </c>
      <c r="Y2439">
        <v>1.203484E-2</v>
      </c>
      <c r="Z2439" s="1">
        <v>-4.248155E-5</v>
      </c>
      <c r="AA2439">
        <v>0.99992760000000003</v>
      </c>
      <c r="AB2439">
        <v>44</v>
      </c>
      <c r="AC2439">
        <v>-57.851399999999998</v>
      </c>
      <c r="AD2439">
        <v>-1.1105412163449999</v>
      </c>
      <c r="AE2439">
        <v>1.1779999999999899</v>
      </c>
      <c r="AF2439">
        <v>0.70069261864028598</v>
      </c>
      <c r="AG2439">
        <v>-1.1105412163449999</v>
      </c>
      <c r="AH2439">
        <v>57.837841889387001</v>
      </c>
      <c r="AI2439">
        <v>91.099917245300105</v>
      </c>
      <c r="AJ2439">
        <v>89.305908302202297</v>
      </c>
      <c r="AK2439">
        <v>57.852746057216201</v>
      </c>
      <c r="AL2439">
        <v>85.9861526605563</v>
      </c>
      <c r="AM2439">
        <v>91.206884720700103</v>
      </c>
      <c r="AN2439">
        <v>0.99999993362508999</v>
      </c>
    </row>
    <row r="2440" spans="1:40" x14ac:dyDescent="0.25">
      <c r="A2440" t="str">
        <f>"20190312160649437"</f>
        <v>20190312160649437</v>
      </c>
      <c r="B2440" t="str">
        <f>"1552378009427727"</f>
        <v>1552378009427727</v>
      </c>
      <c r="C2440" t="s">
        <v>40</v>
      </c>
      <c r="D2440">
        <v>5.2509119999999996</v>
      </c>
      <c r="E2440">
        <v>0.53394779999999997</v>
      </c>
      <c r="F2440" t="s">
        <v>66</v>
      </c>
      <c r="G2440">
        <v>-458.1841</v>
      </c>
      <c r="H2440" s="1">
        <v>2.7290609999999998E-6</v>
      </c>
      <c r="I2440">
        <v>286.66030000000001</v>
      </c>
      <c r="J2440">
        <v>-434.50209999999998</v>
      </c>
      <c r="K2440">
        <v>1.1105750000000001</v>
      </c>
      <c r="L2440">
        <v>285.2663</v>
      </c>
      <c r="M2440">
        <v>-0.99973120000000004</v>
      </c>
      <c r="N2440">
        <v>0</v>
      </c>
      <c r="O2440">
        <v>8.2436719999999901E-3</v>
      </c>
      <c r="P2440">
        <v>-0.99878129999999998</v>
      </c>
      <c r="Q2440">
        <v>4.7594549999999999E-2</v>
      </c>
      <c r="R2440">
        <v>-1.307056E-2</v>
      </c>
      <c r="S2440">
        <v>-3.012756</v>
      </c>
      <c r="T2440">
        <v>-0.13873540000000001</v>
      </c>
      <c r="U2440">
        <v>0.1745911</v>
      </c>
      <c r="V2440">
        <v>-2.1303079999999999E-2</v>
      </c>
      <c r="W2440">
        <v>6.9224569999999999E-2</v>
      </c>
      <c r="X2440">
        <v>0.99737359999999997</v>
      </c>
      <c r="Y2440">
        <v>4.9576139999999998E-2</v>
      </c>
      <c r="Z2440">
        <v>7.6075449999999897E-4</v>
      </c>
      <c r="AA2440">
        <v>0.99877009999999999</v>
      </c>
      <c r="AB2440">
        <v>44</v>
      </c>
      <c r="AC2440">
        <v>-23.681999999999999</v>
      </c>
      <c r="AD2440">
        <v>-1.110572270939</v>
      </c>
      <c r="AE2440">
        <v>1.3939999999999999</v>
      </c>
      <c r="AF2440">
        <v>1.1960588744696601</v>
      </c>
      <c r="AG2440">
        <v>-1.110572270939</v>
      </c>
      <c r="AH2440">
        <v>23.640878728246001</v>
      </c>
      <c r="AI2440">
        <v>92.686163139104394</v>
      </c>
      <c r="AJ2440">
        <v>87.1037140307795</v>
      </c>
      <c r="AK2440">
        <v>23.6971533025343</v>
      </c>
      <c r="AL2440">
        <v>86.030549611525501</v>
      </c>
      <c r="AM2440">
        <v>91.223604685868096</v>
      </c>
      <c r="AN2440">
        <v>0.99999998014306501</v>
      </c>
    </row>
    <row r="2441" spans="1:40" x14ac:dyDescent="0.25">
      <c r="A2441" t="str">
        <f>"20190312160649458"</f>
        <v>20190312160649458</v>
      </c>
      <c r="B2441" t="str">
        <f>"1552378009447247"</f>
        <v>1552378009447247</v>
      </c>
      <c r="C2441" t="s">
        <v>40</v>
      </c>
      <c r="D2441">
        <v>5.985881</v>
      </c>
      <c r="E2441">
        <v>0.53812919999999997</v>
      </c>
      <c r="F2441" t="s">
        <v>66</v>
      </c>
      <c r="G2441">
        <v>-455.27379999999999</v>
      </c>
      <c r="H2441" s="1">
        <v>1.169877E-6</v>
      </c>
      <c r="I2441">
        <v>286.899</v>
      </c>
      <c r="J2441">
        <v>-434.93549999999999</v>
      </c>
      <c r="K2441">
        <v>1.110595</v>
      </c>
      <c r="L2441">
        <v>285.26990000000001</v>
      </c>
      <c r="M2441">
        <v>-0.99972729999999999</v>
      </c>
      <c r="N2441">
        <v>0</v>
      </c>
      <c r="O2441">
        <v>8.2438140000000003E-3</v>
      </c>
      <c r="P2441">
        <v>-0.99880650000000004</v>
      </c>
      <c r="Q2441">
        <v>4.7040949999999998E-2</v>
      </c>
      <c r="R2441">
        <v>-1.315529E-2</v>
      </c>
      <c r="S2441">
        <v>-3.0144039999999999</v>
      </c>
      <c r="T2441">
        <v>-0.16116730000000001</v>
      </c>
      <c r="U2441">
        <v>0.2369385</v>
      </c>
      <c r="V2441">
        <v>-2.1388279999999999E-2</v>
      </c>
      <c r="W2441">
        <v>6.8853510000000007E-2</v>
      </c>
      <c r="X2441">
        <v>0.99739750000000005</v>
      </c>
      <c r="Y2441">
        <v>7.0049589999999995E-2</v>
      </c>
      <c r="Z2441">
        <v>1.42857799999999E-3</v>
      </c>
      <c r="AA2441">
        <v>0.9975425</v>
      </c>
      <c r="AB2441">
        <v>44</v>
      </c>
      <c r="AC2441">
        <v>-20.3383</v>
      </c>
      <c r="AD2441">
        <v>-1.1105938301230001</v>
      </c>
      <c r="AE2441">
        <v>1.62909999999999</v>
      </c>
      <c r="AF2441">
        <v>1.4570225404097801</v>
      </c>
      <c r="AG2441">
        <v>-1.1105938301230001</v>
      </c>
      <c r="AH2441">
        <v>20.290923628771601</v>
      </c>
      <c r="AI2441">
        <v>93.124844403045898</v>
      </c>
      <c r="AJ2441">
        <v>85.892833451324293</v>
      </c>
      <c r="AK2441">
        <v>20.373461047338299</v>
      </c>
      <c r="AL2441">
        <v>86.051860785397807</v>
      </c>
      <c r="AM2441">
        <v>91.228467471576195</v>
      </c>
      <c r="AN2441">
        <v>1.0000000186834599</v>
      </c>
    </row>
    <row r="2442" spans="1:40" x14ac:dyDescent="0.25">
      <c r="A2442" t="str">
        <f>"20190312160649472"</f>
        <v>20190312160649472</v>
      </c>
      <c r="B2442" t="str">
        <f>"1552378009467744"</f>
        <v>1552378009467744</v>
      </c>
      <c r="C2442" t="s">
        <v>40</v>
      </c>
      <c r="D2442">
        <v>5.9913129999999999</v>
      </c>
      <c r="E2442">
        <v>0.54137789999999997</v>
      </c>
      <c r="F2442" t="s">
        <v>44</v>
      </c>
      <c r="G2442">
        <v>-435.97239999999999</v>
      </c>
      <c r="H2442">
        <v>1.0470680000000001</v>
      </c>
      <c r="I2442">
        <v>285.36340000000001</v>
      </c>
      <c r="J2442">
        <v>-435.19029999999998</v>
      </c>
      <c r="K2442">
        <v>1.1106100000000001</v>
      </c>
      <c r="L2442">
        <v>285.27199999999999</v>
      </c>
      <c r="M2442">
        <v>-0.99972499999999997</v>
      </c>
      <c r="N2442">
        <v>0</v>
      </c>
      <c r="O2442">
        <v>8.2440619999999999E-3</v>
      </c>
      <c r="P2442">
        <v>-0.99882749999999998</v>
      </c>
      <c r="Q2442">
        <v>4.6422110000000003E-2</v>
      </c>
      <c r="R2442">
        <v>-1.3740809999999999E-2</v>
      </c>
      <c r="S2442">
        <v>-3.0158390000000002</v>
      </c>
      <c r="T2442">
        <v>-0.18491730000000001</v>
      </c>
      <c r="U2442">
        <v>0.27075199999999999</v>
      </c>
      <c r="V2442">
        <v>-2.1974520000000001E-2</v>
      </c>
      <c r="W2442">
        <v>6.8337369999999995E-2</v>
      </c>
      <c r="X2442">
        <v>0.99742030000000004</v>
      </c>
      <c r="Y2442">
        <v>8.1065360000000003E-2</v>
      </c>
      <c r="Z2442">
        <v>1.9739029999999999E-3</v>
      </c>
      <c r="AA2442">
        <v>0.9967068</v>
      </c>
      <c r="AB2442">
        <v>44</v>
      </c>
      <c r="AC2442">
        <v>-0.78210000000001401</v>
      </c>
      <c r="AD2442">
        <v>-6.3541999999999904E-2</v>
      </c>
      <c r="AE2442">
        <v>9.1400000000021395E-2</v>
      </c>
      <c r="AF2442">
        <v>8.4398067663471202E-2</v>
      </c>
      <c r="AG2442">
        <v>-6.3541999999999904E-2</v>
      </c>
      <c r="AH2442">
        <v>0.77776240721790002</v>
      </c>
      <c r="AI2442">
        <v>94.643465730388201</v>
      </c>
      <c r="AJ2442">
        <v>83.8068417430799</v>
      </c>
      <c r="AK2442">
        <v>0.78490444110777602</v>
      </c>
      <c r="AL2442">
        <v>86.081503432693296</v>
      </c>
      <c r="AM2442">
        <v>91.262099444374996</v>
      </c>
      <c r="AN2442">
        <v>1.0000000652599099</v>
      </c>
    </row>
    <row r="2443" spans="1:40" x14ac:dyDescent="0.25">
      <c r="A2443" t="str">
        <f>"20190312160649493"</f>
        <v>20190312160649493</v>
      </c>
      <c r="B2443" t="str">
        <f>"1552378009487268"</f>
        <v>1552378009487268</v>
      </c>
      <c r="C2443" t="s">
        <v>40</v>
      </c>
      <c r="D2443">
        <v>6.3002890000000003</v>
      </c>
      <c r="E2443">
        <v>0.54304859999999999</v>
      </c>
      <c r="F2443" t="s">
        <v>66</v>
      </c>
      <c r="G2443">
        <v>-451.8177</v>
      </c>
      <c r="H2443" s="1">
        <v>-6.6924090000000001E-7</v>
      </c>
      <c r="I2443">
        <v>286.89859999999999</v>
      </c>
      <c r="J2443">
        <v>-435.59539999999998</v>
      </c>
      <c r="K2443">
        <v>1.1106339999999999</v>
      </c>
      <c r="L2443">
        <v>285.27539999999999</v>
      </c>
      <c r="M2443">
        <v>-0.99972150000000004</v>
      </c>
      <c r="N2443">
        <v>0</v>
      </c>
      <c r="O2443">
        <v>8.2441700000000003E-3</v>
      </c>
      <c r="P2443">
        <v>-0.99884890000000004</v>
      </c>
      <c r="Q2443">
        <v>4.5795839999999997E-2</v>
      </c>
      <c r="R2443">
        <v>-1.428077E-2</v>
      </c>
      <c r="S2443">
        <v>-3.016937</v>
      </c>
      <c r="T2443">
        <v>-0.20151259999999999</v>
      </c>
      <c r="U2443">
        <v>0.2951355</v>
      </c>
      <c r="V2443">
        <v>-2.2514099999999999E-2</v>
      </c>
      <c r="W2443">
        <v>6.7867819999999995E-2</v>
      </c>
      <c r="X2443">
        <v>0.99744029999999995</v>
      </c>
      <c r="Y2443">
        <v>8.8972990000000002E-2</v>
      </c>
      <c r="Z2443">
        <v>2.412254E-3</v>
      </c>
      <c r="AA2443">
        <v>0.99603109999999995</v>
      </c>
      <c r="AB2443">
        <v>44</v>
      </c>
      <c r="AC2443">
        <v>-16.222300000000001</v>
      </c>
      <c r="AD2443">
        <v>-1.1106346692408999</v>
      </c>
      <c r="AE2443">
        <v>1.62319999999999</v>
      </c>
      <c r="AF2443">
        <v>1.4824927788905899</v>
      </c>
      <c r="AG2443">
        <v>-1.1106346692408999</v>
      </c>
      <c r="AH2443">
        <v>16.1601379834315</v>
      </c>
      <c r="AI2443">
        <v>93.915184881994094</v>
      </c>
      <c r="AJ2443">
        <v>84.758491870188905</v>
      </c>
      <c r="AK2443">
        <v>16.265956899350499</v>
      </c>
      <c r="AL2443">
        <v>86.108469167584602</v>
      </c>
      <c r="AM2443">
        <v>91.293053731871296</v>
      </c>
      <c r="AN2443">
        <v>1.0000000388772201</v>
      </c>
    </row>
    <row r="2444" spans="1:40" x14ac:dyDescent="0.25">
      <c r="A2444" t="str">
        <f>"20190312160649516"</f>
        <v>20190312160649516</v>
      </c>
      <c r="B2444" t="str">
        <f>"1552378009507759"</f>
        <v>1552378009507759</v>
      </c>
      <c r="C2444" t="s">
        <v>40</v>
      </c>
      <c r="D2444">
        <v>6.007879</v>
      </c>
      <c r="E2444">
        <v>0.54320389999999996</v>
      </c>
      <c r="F2444" t="s">
        <v>66</v>
      </c>
      <c r="G2444">
        <v>-451.7</v>
      </c>
      <c r="H2444" s="1">
        <v>-7.3255049999999999E-7</v>
      </c>
      <c r="I2444">
        <v>286.91359999999997</v>
      </c>
      <c r="J2444">
        <v>-436.02370000000002</v>
      </c>
      <c r="K2444">
        <v>1.1106659999999999</v>
      </c>
      <c r="L2444">
        <v>285.27890000000002</v>
      </c>
      <c r="M2444">
        <v>-0.99971759999999998</v>
      </c>
      <c r="N2444">
        <v>0</v>
      </c>
      <c r="O2444">
        <v>8.2443180000000005E-3</v>
      </c>
      <c r="P2444">
        <v>-0.9988629</v>
      </c>
      <c r="Q2444">
        <v>4.5315759999999997E-2</v>
      </c>
      <c r="R2444">
        <v>-1.481476E-2</v>
      </c>
      <c r="S2444">
        <v>-3.0173649999999999</v>
      </c>
      <c r="T2444">
        <v>-0.20808940000000001</v>
      </c>
      <c r="U2444">
        <v>0.30694579999999999</v>
      </c>
      <c r="V2444">
        <v>-2.304869E-2</v>
      </c>
      <c r="W2444">
        <v>6.7566689999999999E-2</v>
      </c>
      <c r="X2444">
        <v>0.99744849999999996</v>
      </c>
      <c r="Y2444">
        <v>9.2797959999999999E-2</v>
      </c>
      <c r="Z2444">
        <v>2.6213579999999998E-3</v>
      </c>
      <c r="AA2444">
        <v>0.9956815</v>
      </c>
      <c r="AB2444">
        <v>44</v>
      </c>
      <c r="AC2444">
        <v>-15.6762999999999</v>
      </c>
      <c r="AD2444">
        <v>-1.1106667325505</v>
      </c>
      <c r="AE2444">
        <v>1.6346999999999501</v>
      </c>
      <c r="AF2444">
        <v>1.4979335644838601</v>
      </c>
      <c r="AG2444">
        <v>-1.1106667325505</v>
      </c>
      <c r="AH2444">
        <v>15.611723659110901</v>
      </c>
      <c r="AI2444">
        <v>94.050803016401801</v>
      </c>
      <c r="AJ2444">
        <v>84.519289365381994</v>
      </c>
      <c r="AK2444">
        <v>15.7227001867633</v>
      </c>
      <c r="AL2444">
        <v>86.125762208919397</v>
      </c>
      <c r="AM2444">
        <v>91.323735196530905</v>
      </c>
      <c r="AN2444">
        <v>1.00000000493026</v>
      </c>
    </row>
    <row r="2445" spans="1:40" x14ac:dyDescent="0.25">
      <c r="A2445" t="str">
        <f>"20190312160649539"</f>
        <v>20190312160649539</v>
      </c>
      <c r="B2445" t="str">
        <f>"1552378009527733"</f>
        <v>1552378009527733</v>
      </c>
      <c r="C2445" t="s">
        <v>40</v>
      </c>
      <c r="D2445">
        <v>6.3183920000000002</v>
      </c>
      <c r="E2445">
        <v>0.54394779999999998</v>
      </c>
      <c r="F2445" t="s">
        <v>44</v>
      </c>
      <c r="G2445">
        <v>-437.10950000000003</v>
      </c>
      <c r="H2445">
        <v>1.0336379999999901</v>
      </c>
      <c r="I2445">
        <v>285.38959999999997</v>
      </c>
      <c r="J2445">
        <v>-436.46980000000002</v>
      </c>
      <c r="K2445">
        <v>1.110716</v>
      </c>
      <c r="L2445">
        <v>285.28250000000003</v>
      </c>
      <c r="M2445">
        <v>-0.99971200000000005</v>
      </c>
      <c r="N2445">
        <v>0</v>
      </c>
      <c r="O2445">
        <v>8.2446910000000002E-3</v>
      </c>
      <c r="P2445">
        <v>-0.99887110000000001</v>
      </c>
      <c r="Q2445">
        <v>4.4878130000000002E-2</v>
      </c>
      <c r="R2445">
        <v>-1.557629E-2</v>
      </c>
      <c r="S2445">
        <v>-3.0176699999999999</v>
      </c>
      <c r="T2445">
        <v>-0.2142646</v>
      </c>
      <c r="U2445">
        <v>0.30654910000000002</v>
      </c>
      <c r="V2445">
        <v>-2.3810930000000001E-2</v>
      </c>
      <c r="W2445">
        <v>6.7380670000000004E-2</v>
      </c>
      <c r="X2445">
        <v>0.99744319999999997</v>
      </c>
      <c r="Y2445">
        <v>9.2646320000000004E-2</v>
      </c>
      <c r="Z2445">
        <v>2.6933130000000001E-3</v>
      </c>
      <c r="AA2445">
        <v>0.99569540000000001</v>
      </c>
      <c r="AB2445">
        <v>43</v>
      </c>
      <c r="AC2445">
        <v>-0.63970000000000404</v>
      </c>
      <c r="AD2445">
        <v>-7.7078000000000202E-2</v>
      </c>
      <c r="AE2445">
        <v>0.107099999999945</v>
      </c>
      <c r="AF2445">
        <v>0.10040297846136199</v>
      </c>
      <c r="AG2445">
        <v>-7.7078000000000202E-2</v>
      </c>
      <c r="AH2445">
        <v>0.63164131379824795</v>
      </c>
      <c r="AI2445">
        <v>96.871865315268195</v>
      </c>
      <c r="AJ2445">
        <v>80.968073803527901</v>
      </c>
      <c r="AK2445">
        <v>0.64419913494562298</v>
      </c>
      <c r="AL2445">
        <v>86.136444796750695</v>
      </c>
      <c r="AM2445">
        <v>91.367503164219997</v>
      </c>
      <c r="AN2445">
        <v>1.0000000261516699</v>
      </c>
    </row>
    <row r="2446" spans="1:40" x14ac:dyDescent="0.25">
      <c r="A2446" t="str">
        <f>"20190312160649560"</f>
        <v>20190312160649560</v>
      </c>
      <c r="B2446" t="str">
        <f>"1552378009557987"</f>
        <v>1552378009557987</v>
      </c>
      <c r="C2446" t="s">
        <v>40</v>
      </c>
      <c r="D2446">
        <v>6.3733339999999998</v>
      </c>
      <c r="E2446">
        <v>0.54516889999999996</v>
      </c>
      <c r="F2446" t="s">
        <v>44</v>
      </c>
      <c r="G2446">
        <v>-437.49349999999998</v>
      </c>
      <c r="H2446">
        <v>1.0367770000000001</v>
      </c>
      <c r="I2446">
        <v>285.38819999999998</v>
      </c>
      <c r="J2446">
        <v>-436.89069999999998</v>
      </c>
      <c r="K2446">
        <v>1.1107670000000001</v>
      </c>
      <c r="L2446">
        <v>285.286</v>
      </c>
      <c r="M2446">
        <v>-0.99970550000000002</v>
      </c>
      <c r="N2446">
        <v>0</v>
      </c>
      <c r="O2446">
        <v>8.2452029999999996E-3</v>
      </c>
      <c r="P2446">
        <v>-0.99889130000000004</v>
      </c>
      <c r="Q2446">
        <v>4.4164259999999997E-2</v>
      </c>
      <c r="R2446">
        <v>-1.6303649999999999E-2</v>
      </c>
      <c r="S2446">
        <v>-3.0180660000000001</v>
      </c>
      <c r="T2446">
        <v>-0.21815180000000001</v>
      </c>
      <c r="U2446">
        <v>0.31036380000000002</v>
      </c>
      <c r="V2446">
        <v>-2.4538870000000001E-2</v>
      </c>
      <c r="W2446">
        <v>6.6945340000000006E-2</v>
      </c>
      <c r="X2446">
        <v>0.99745479999999997</v>
      </c>
      <c r="Y2446">
        <v>9.3867290000000006E-2</v>
      </c>
      <c r="Z2446">
        <v>2.7854310000000001E-3</v>
      </c>
      <c r="AA2446">
        <v>0.99558089999999999</v>
      </c>
      <c r="AB2446">
        <v>43</v>
      </c>
      <c r="AC2446">
        <v>-0.602800000000002</v>
      </c>
      <c r="AD2446">
        <v>-7.399E-2</v>
      </c>
      <c r="AE2446">
        <v>0.102199999999982</v>
      </c>
      <c r="AF2446">
        <v>9.5821703333142202E-2</v>
      </c>
      <c r="AG2446">
        <v>-7.399E-2</v>
      </c>
      <c r="AH2446">
        <v>0.594909869897293</v>
      </c>
      <c r="AI2446">
        <v>97.000261866592496</v>
      </c>
      <c r="AJ2446">
        <v>80.849997175209296</v>
      </c>
      <c r="AK2446">
        <v>0.60710301616025497</v>
      </c>
      <c r="AL2446">
        <v>86.161443547093697</v>
      </c>
      <c r="AM2446">
        <v>91.409277032612593</v>
      </c>
      <c r="AN2446">
        <v>0.99999995636581496</v>
      </c>
    </row>
    <row r="2447" spans="1:40" x14ac:dyDescent="0.25">
      <c r="A2447" t="str">
        <f>"20190312160649583"</f>
        <v>20190312160649583</v>
      </c>
      <c r="B2447" t="str">
        <f>"1552378009577507"</f>
        <v>1552378009577507</v>
      </c>
      <c r="C2447" t="s">
        <v>40</v>
      </c>
      <c r="D2447">
        <v>6.3780429999999999</v>
      </c>
      <c r="E2447">
        <v>0.54466559999999997</v>
      </c>
      <c r="F2447" t="s">
        <v>44</v>
      </c>
      <c r="G2447">
        <v>-437.8734</v>
      </c>
      <c r="H2447">
        <v>1.0363610000000001</v>
      </c>
      <c r="I2447">
        <v>285.38979999999998</v>
      </c>
      <c r="J2447">
        <v>-437.31420000000003</v>
      </c>
      <c r="K2447">
        <v>1.1108290000000001</v>
      </c>
      <c r="L2447">
        <v>285.28949999999998</v>
      </c>
      <c r="M2447">
        <v>-0.99969889999999995</v>
      </c>
      <c r="N2447">
        <v>0</v>
      </c>
      <c r="O2447">
        <v>8.2453240000000001E-3</v>
      </c>
      <c r="P2447">
        <v>-0.99890690000000004</v>
      </c>
      <c r="Q2447">
        <v>4.3505240000000001E-2</v>
      </c>
      <c r="R2447">
        <v>-1.711E-2</v>
      </c>
      <c r="S2447">
        <v>-3.0186769999999998</v>
      </c>
      <c r="T2447">
        <v>-0.22862270000000001</v>
      </c>
      <c r="U2447">
        <v>0.31811519999999999</v>
      </c>
      <c r="V2447">
        <v>-2.5345179999999998E-2</v>
      </c>
      <c r="W2447">
        <v>6.6579949999999999E-2</v>
      </c>
      <c r="X2447">
        <v>0.99745910000000004</v>
      </c>
      <c r="Y2447">
        <v>9.6346860000000006E-2</v>
      </c>
      <c r="Z2447">
        <v>3.011278E-3</v>
      </c>
      <c r="AA2447">
        <v>0.99534330000000004</v>
      </c>
      <c r="AB2447">
        <v>43</v>
      </c>
      <c r="AC2447">
        <v>-0.55919999999997505</v>
      </c>
      <c r="AD2447">
        <v>-7.4467999999999895E-2</v>
      </c>
      <c r="AE2447">
        <v>0.100300000000004</v>
      </c>
      <c r="AF2447">
        <v>9.4068364909200397E-2</v>
      </c>
      <c r="AG2447">
        <v>-7.4467999999999895E-2</v>
      </c>
      <c r="AH2447">
        <v>0.550549117280138</v>
      </c>
      <c r="AI2447">
        <v>97.594405546297097</v>
      </c>
      <c r="AJ2447">
        <v>80.303915161215102</v>
      </c>
      <c r="AK2447">
        <v>0.56347020403800396</v>
      </c>
      <c r="AL2447">
        <v>86.182425688176394</v>
      </c>
      <c r="AM2447">
        <v>91.455557858942399</v>
      </c>
      <c r="AN2447">
        <v>0.99999996203202102</v>
      </c>
    </row>
    <row r="2448" spans="1:40" x14ac:dyDescent="0.25">
      <c r="A2448" t="str">
        <f>"20190312160649616"</f>
        <v>20190312160649616</v>
      </c>
      <c r="B2448" t="str">
        <f>"1552378009607764"</f>
        <v>1552378009607764</v>
      </c>
      <c r="C2448" t="s">
        <v>40</v>
      </c>
      <c r="D2448">
        <v>6.2961519999999904</v>
      </c>
      <c r="E2448">
        <v>0.54452630000000002</v>
      </c>
      <c r="F2448" t="s">
        <v>44</v>
      </c>
      <c r="G2448">
        <v>-438.25200000000001</v>
      </c>
      <c r="H2448">
        <v>1.0369740000000001</v>
      </c>
      <c r="I2448">
        <v>285.38659999999999</v>
      </c>
      <c r="J2448">
        <v>-437.93040000000002</v>
      </c>
      <c r="K2448">
        <v>1.110911</v>
      </c>
      <c r="L2448">
        <v>285.2946</v>
      </c>
      <c r="M2448">
        <v>-0.99968780000000002</v>
      </c>
      <c r="N2448">
        <v>0</v>
      </c>
      <c r="O2448">
        <v>8.2456309999999998E-3</v>
      </c>
      <c r="P2448">
        <v>-0.99894170000000004</v>
      </c>
      <c r="Q2448">
        <v>4.2500690000000001E-2</v>
      </c>
      <c r="R2448">
        <v>-1.759349E-2</v>
      </c>
      <c r="S2448">
        <v>-3.0189819999999998</v>
      </c>
      <c r="T2448">
        <v>-0.2379001</v>
      </c>
      <c r="U2448">
        <v>0.31176759999999998</v>
      </c>
      <c r="V2448">
        <v>-2.58298E-2</v>
      </c>
      <c r="W2448">
        <v>6.6052780000000005E-2</v>
      </c>
      <c r="X2448">
        <v>0.99748179999999997</v>
      </c>
      <c r="Y2448">
        <v>9.4251280000000007E-2</v>
      </c>
      <c r="Z2448">
        <v>3.0508779999999999E-3</v>
      </c>
      <c r="AA2448">
        <v>0.99554379999999998</v>
      </c>
      <c r="AB2448">
        <v>42</v>
      </c>
      <c r="AC2448">
        <v>-0.321599999999932</v>
      </c>
      <c r="AD2448">
        <v>-7.3936999999999906E-2</v>
      </c>
      <c r="AE2448">
        <v>9.1999999999984497E-2</v>
      </c>
      <c r="AF2448">
        <v>8.5182541711444001E-2</v>
      </c>
      <c r="AG2448">
        <v>-7.3936999999999906E-2</v>
      </c>
      <c r="AH2448">
        <v>0.30733241255854898</v>
      </c>
      <c r="AI2448">
        <v>103.052653509563</v>
      </c>
      <c r="AJ2448">
        <v>74.508358251128101</v>
      </c>
      <c r="AK2448">
        <v>0.32737739260749199</v>
      </c>
      <c r="AL2448">
        <v>86.212697257502299</v>
      </c>
      <c r="AM2448">
        <v>91.483343221935499</v>
      </c>
      <c r="AN2448">
        <v>1.0000000448224999</v>
      </c>
    </row>
    <row r="2449" spans="1:40" x14ac:dyDescent="0.25">
      <c r="A2449" t="str">
        <f>"20190312160649638"</f>
        <v>20190312160649638</v>
      </c>
      <c r="B2449" t="str">
        <f>"1552378009627283"</f>
        <v>1552378009627283</v>
      </c>
      <c r="C2449" t="s">
        <v>40</v>
      </c>
      <c r="D2449">
        <v>6.3042030000000002</v>
      </c>
      <c r="E2449">
        <v>0.54474719999999999</v>
      </c>
      <c r="F2449" t="s">
        <v>44</v>
      </c>
      <c r="G2449">
        <v>-438.99740000000003</v>
      </c>
      <c r="H2449">
        <v>1.027323</v>
      </c>
      <c r="I2449">
        <v>285.4042</v>
      </c>
      <c r="J2449">
        <v>-438.34410000000003</v>
      </c>
      <c r="K2449">
        <v>1.110948</v>
      </c>
      <c r="L2449">
        <v>285.298</v>
      </c>
      <c r="M2449">
        <v>-0.99968159999999895</v>
      </c>
      <c r="N2449">
        <v>0</v>
      </c>
      <c r="O2449">
        <v>8.2457439999999993E-3</v>
      </c>
      <c r="P2449">
        <v>-0.99892190000000003</v>
      </c>
      <c r="Q2449">
        <v>4.2890659999999997E-2</v>
      </c>
      <c r="R2449">
        <v>-1.7766150000000001E-2</v>
      </c>
      <c r="S2449">
        <v>-3.018707</v>
      </c>
      <c r="T2449">
        <v>-0.23654</v>
      </c>
      <c r="U2449">
        <v>0.30926510000000001</v>
      </c>
      <c r="V2449">
        <v>-2.600181E-2</v>
      </c>
      <c r="W2449">
        <v>6.6697469999999995E-2</v>
      </c>
      <c r="X2449">
        <v>0.99743440000000005</v>
      </c>
      <c r="Y2449">
        <v>9.344906E-2</v>
      </c>
      <c r="Z2449">
        <v>3.0025759999999999E-3</v>
      </c>
      <c r="AA2449">
        <v>0.99561949999999999</v>
      </c>
      <c r="AB2449">
        <v>42</v>
      </c>
      <c r="AC2449">
        <v>-0.65330000000000099</v>
      </c>
      <c r="AD2449">
        <v>-8.3625000000000005E-2</v>
      </c>
      <c r="AE2449">
        <v>0.106200000000001</v>
      </c>
      <c r="AF2449">
        <v>9.9223979915058505E-2</v>
      </c>
      <c r="AG2449">
        <v>-8.3625000000000005E-2</v>
      </c>
      <c r="AH2449">
        <v>0.64387542305613998</v>
      </c>
      <c r="AI2449">
        <v>97.3146228412146</v>
      </c>
      <c r="AJ2449">
        <v>81.239388850478093</v>
      </c>
      <c r="AK2449">
        <v>0.65682120796371002</v>
      </c>
      <c r="AL2449">
        <v>86.175677488185002</v>
      </c>
      <c r="AM2449">
        <v>91.493287813031102</v>
      </c>
      <c r="AN2449">
        <v>1.0000000144655099</v>
      </c>
    </row>
    <row r="2450" spans="1:40" x14ac:dyDescent="0.25">
      <c r="A2450" t="str">
        <f>"20190312160649660"</f>
        <v>20190312160649660</v>
      </c>
      <c r="B2450" t="str">
        <f>"1552378009657540"</f>
        <v>1552378009657540</v>
      </c>
      <c r="C2450" t="s">
        <v>40</v>
      </c>
      <c r="D2450">
        <v>6.1775799999999998</v>
      </c>
      <c r="E2450">
        <v>0.54517740000000003</v>
      </c>
      <c r="F2450" t="s">
        <v>44</v>
      </c>
      <c r="G2450">
        <v>-439.37150000000003</v>
      </c>
      <c r="H2450">
        <v>1.030294</v>
      </c>
      <c r="I2450">
        <v>285.40429999999998</v>
      </c>
      <c r="J2450">
        <v>-438.7595</v>
      </c>
      <c r="K2450">
        <v>1.110965</v>
      </c>
      <c r="L2450">
        <v>285.30149999999998</v>
      </c>
      <c r="M2450">
        <v>-0.9996777</v>
      </c>
      <c r="N2450">
        <v>0</v>
      </c>
      <c r="O2450">
        <v>8.2457780000000005E-3</v>
      </c>
      <c r="P2450">
        <v>-0.99892530000000002</v>
      </c>
      <c r="Q2450">
        <v>4.285887E-2</v>
      </c>
      <c r="R2450">
        <v>-1.7646450000000001E-2</v>
      </c>
      <c r="S2450">
        <v>-3.0189509999999999</v>
      </c>
      <c r="T2450">
        <v>-0.23720350000000001</v>
      </c>
      <c r="U2450">
        <v>0.31060789999999999</v>
      </c>
      <c r="V2450">
        <v>-2.5882680000000002E-2</v>
      </c>
      <c r="W2450">
        <v>6.6831639999999998E-2</v>
      </c>
      <c r="X2450">
        <v>0.99742850000000005</v>
      </c>
      <c r="Y2450">
        <v>9.3876340000000003E-2</v>
      </c>
      <c r="Z2450">
        <v>3.0273740000000002E-3</v>
      </c>
      <c r="AA2450">
        <v>0.9955792</v>
      </c>
      <c r="AB2450">
        <v>42</v>
      </c>
      <c r="AC2450">
        <v>-0.61200000000002297</v>
      </c>
      <c r="AD2450">
        <v>-8.0670999999999896E-2</v>
      </c>
      <c r="AE2450">
        <v>0.102800000000001</v>
      </c>
      <c r="AF2450">
        <v>9.6124276154235799E-2</v>
      </c>
      <c r="AG2450">
        <v>-8.0670999999999896E-2</v>
      </c>
      <c r="AH2450">
        <v>0.60264332741049098</v>
      </c>
      <c r="AI2450">
        <v>97.530321362966305</v>
      </c>
      <c r="AJ2450">
        <v>80.937410939332196</v>
      </c>
      <c r="AK2450">
        <v>0.61557019646792799</v>
      </c>
      <c r="AL2450">
        <v>86.167972855469998</v>
      </c>
      <c r="AM2450">
        <v>91.486458024689597</v>
      </c>
      <c r="AN2450">
        <v>0.99999999692065999</v>
      </c>
    </row>
    <row r="2451" spans="1:40" x14ac:dyDescent="0.25">
      <c r="A2451" t="str">
        <f>"20190312160649682"</f>
        <v>20190312160649682</v>
      </c>
      <c r="B2451" t="str">
        <f>"1552378009677059"</f>
        <v>1552378009677059</v>
      </c>
      <c r="C2451" t="s">
        <v>40</v>
      </c>
      <c r="D2451">
        <v>6.3013960000000004</v>
      </c>
      <c r="E2451">
        <v>0.54558530000000005</v>
      </c>
      <c r="F2451" t="s">
        <v>44</v>
      </c>
      <c r="G2451">
        <v>-439.74400000000003</v>
      </c>
      <c r="H2451">
        <v>1.033866</v>
      </c>
      <c r="I2451">
        <v>285.4042</v>
      </c>
      <c r="J2451">
        <v>-439.17919999999998</v>
      </c>
      <c r="K2451">
        <v>1.110978</v>
      </c>
      <c r="L2451">
        <v>285.30489999999998</v>
      </c>
      <c r="M2451">
        <v>-0.99967490000000003</v>
      </c>
      <c r="N2451">
        <v>0</v>
      </c>
      <c r="O2451">
        <v>8.2460569999999993E-3</v>
      </c>
      <c r="P2451">
        <v>-0.99893410000000005</v>
      </c>
      <c r="Q2451">
        <v>4.2770219999999998E-2</v>
      </c>
      <c r="R2451">
        <v>-1.7357310000000001E-2</v>
      </c>
      <c r="S2451">
        <v>-3.0189210000000002</v>
      </c>
      <c r="T2451">
        <v>-0.23661070000000001</v>
      </c>
      <c r="U2451">
        <v>0.31430049999999998</v>
      </c>
      <c r="V2451">
        <v>-2.5593459999999998E-2</v>
      </c>
      <c r="W2451">
        <v>6.6858280000000006E-2</v>
      </c>
      <c r="X2451">
        <v>0.99743419999999905</v>
      </c>
      <c r="Y2451">
        <v>9.5079540000000004E-2</v>
      </c>
      <c r="Z2451">
        <v>3.0666030000000002E-3</v>
      </c>
      <c r="AA2451">
        <v>0.99546500000000004</v>
      </c>
      <c r="AB2451">
        <v>42</v>
      </c>
      <c r="AC2451">
        <v>-0.56480000000004704</v>
      </c>
      <c r="AD2451">
        <v>-7.7112E-2</v>
      </c>
      <c r="AE2451">
        <v>9.9300000000027894E-2</v>
      </c>
      <c r="AF2451">
        <v>9.2957092810253106E-2</v>
      </c>
      <c r="AG2451">
        <v>-7.7112E-2</v>
      </c>
      <c r="AH2451">
        <v>0.55555461908871395</v>
      </c>
      <c r="AI2451">
        <v>97.795260311534406</v>
      </c>
      <c r="AJ2451">
        <v>80.501090178793206</v>
      </c>
      <c r="AK2451">
        <v>0.56853163187156097</v>
      </c>
      <c r="AL2451">
        <v>86.166443159367901</v>
      </c>
      <c r="AM2451">
        <v>91.469846876254195</v>
      </c>
      <c r="AN2451">
        <v>1.00000001906448</v>
      </c>
    </row>
    <row r="2452" spans="1:40" x14ac:dyDescent="0.25">
      <c r="A2452" t="str">
        <f>"20190312160649705"</f>
        <v>20190312160649705</v>
      </c>
      <c r="B2452" t="str">
        <f>"1552378009697558"</f>
        <v>1552378009697558</v>
      </c>
      <c r="C2452" t="s">
        <v>40</v>
      </c>
      <c r="D2452">
        <v>6.3264370000000003</v>
      </c>
      <c r="E2452">
        <v>0.54552529999999999</v>
      </c>
      <c r="F2452" t="s">
        <v>44</v>
      </c>
      <c r="G2452">
        <v>-440.11450000000002</v>
      </c>
      <c r="H2452">
        <v>1.036405</v>
      </c>
      <c r="I2452">
        <v>285.40390000000002</v>
      </c>
      <c r="J2452">
        <v>-439.59050000000002</v>
      </c>
      <c r="K2452">
        <v>1.1109869999999999</v>
      </c>
      <c r="L2452">
        <v>285.30829999999997</v>
      </c>
      <c r="M2452">
        <v>-0.99967280000000003</v>
      </c>
      <c r="N2452">
        <v>0</v>
      </c>
      <c r="O2452">
        <v>8.2461259999999995E-3</v>
      </c>
      <c r="P2452">
        <v>-0.99892230000000004</v>
      </c>
      <c r="Q2452">
        <v>4.3344609999999999E-2</v>
      </c>
      <c r="R2452">
        <v>-1.6600030000000002E-2</v>
      </c>
      <c r="S2452">
        <v>-3.0190429999999999</v>
      </c>
      <c r="T2452">
        <v>-0.2408738</v>
      </c>
      <c r="U2452">
        <v>0.31799319999999998</v>
      </c>
      <c r="V2452">
        <v>-2.483658E-2</v>
      </c>
      <c r="W2452">
        <v>6.7524810000000005E-2</v>
      </c>
      <c r="X2452">
        <v>0.99740839999999997</v>
      </c>
      <c r="Y2452">
        <v>9.6266370000000004E-2</v>
      </c>
      <c r="Z2452">
        <v>3.1684949999999999E-3</v>
      </c>
      <c r="AA2452">
        <v>0.99535050000000003</v>
      </c>
      <c r="AB2452">
        <v>41</v>
      </c>
      <c r="AC2452">
        <v>-0.52400000000000002</v>
      </c>
      <c r="AD2452">
        <v>-7.4582000000000107E-2</v>
      </c>
      <c r="AE2452">
        <v>9.5600000000047203E-2</v>
      </c>
      <c r="AF2452">
        <v>8.9519408267424799E-2</v>
      </c>
      <c r="AG2452">
        <v>-7.4582000000000107E-2</v>
      </c>
      <c r="AH2452">
        <v>0.51468000645877099</v>
      </c>
      <c r="AI2452">
        <v>98.124986821999798</v>
      </c>
      <c r="AJ2452">
        <v>80.133129591841097</v>
      </c>
      <c r="AK2452">
        <v>0.52770418629090898</v>
      </c>
      <c r="AL2452">
        <v>86.128167175550999</v>
      </c>
      <c r="AM2452">
        <v>91.426433942952997</v>
      </c>
      <c r="AN2452">
        <v>0.99999998603109597</v>
      </c>
    </row>
    <row r="2453" spans="1:40" x14ac:dyDescent="0.25">
      <c r="A2453" t="str">
        <f>"20190312160649727"</f>
        <v>20190312160649727</v>
      </c>
      <c r="B2453" t="str">
        <f>"1552378009717076"</f>
        <v>1552378009717076</v>
      </c>
      <c r="C2453" t="s">
        <v>40</v>
      </c>
      <c r="D2453">
        <v>5.9241549999999998</v>
      </c>
      <c r="E2453">
        <v>0.54550180000000004</v>
      </c>
      <c r="F2453" t="s">
        <v>44</v>
      </c>
      <c r="G2453">
        <v>-440.4853</v>
      </c>
      <c r="H2453">
        <v>1.040408</v>
      </c>
      <c r="I2453">
        <v>285.40359999999998</v>
      </c>
      <c r="J2453">
        <v>-439.9932</v>
      </c>
      <c r="K2453">
        <v>1.1109979999999999</v>
      </c>
      <c r="L2453">
        <v>285.3116</v>
      </c>
      <c r="M2453">
        <v>-0.99967070000000002</v>
      </c>
      <c r="N2453">
        <v>0</v>
      </c>
      <c r="O2453">
        <v>8.2464519999999996E-3</v>
      </c>
      <c r="P2453">
        <v>-0.9989015</v>
      </c>
      <c r="Q2453">
        <v>4.3802760000000003E-2</v>
      </c>
      <c r="R2453">
        <v>-1.6656629999999999E-2</v>
      </c>
      <c r="S2453">
        <v>-3.0188899999999999</v>
      </c>
      <c r="T2453">
        <v>-0.23831620000000001</v>
      </c>
      <c r="U2453">
        <v>0.32028200000000001</v>
      </c>
      <c r="V2453">
        <v>-2.489274E-2</v>
      </c>
      <c r="W2453">
        <v>6.8062869999999998E-2</v>
      </c>
      <c r="X2453">
        <v>0.99737039999999999</v>
      </c>
      <c r="Y2453">
        <v>9.7021060000000006E-2</v>
      </c>
      <c r="Z2453">
        <v>3.1646220000000002E-3</v>
      </c>
      <c r="AA2453">
        <v>0.99527730000000003</v>
      </c>
      <c r="AB2453">
        <v>41</v>
      </c>
      <c r="AC2453">
        <v>-0.49209999999999299</v>
      </c>
      <c r="AD2453">
        <v>-7.0589999999999903E-2</v>
      </c>
      <c r="AE2453">
        <v>9.1999999999984497E-2</v>
      </c>
      <c r="AF2453">
        <v>8.6223302657053205E-2</v>
      </c>
      <c r="AG2453">
        <v>-7.0589999999999903E-2</v>
      </c>
      <c r="AH2453">
        <v>0.48323449874761398</v>
      </c>
      <c r="AI2453">
        <v>98.183423188787501</v>
      </c>
      <c r="AJ2453">
        <v>79.883207696125694</v>
      </c>
      <c r="AK2453">
        <v>0.49591631027921201</v>
      </c>
      <c r="AL2453">
        <v>86.097267411861495</v>
      </c>
      <c r="AM2453">
        <v>91.429712478632595</v>
      </c>
      <c r="AN2453">
        <v>0.99999995878675096</v>
      </c>
    </row>
    <row r="2454" spans="1:40" x14ac:dyDescent="0.25">
      <c r="A2454" t="str">
        <f>"20190312160649750"</f>
        <v>20190312160649750</v>
      </c>
      <c r="B2454" t="str">
        <f>"1552378009737573"</f>
        <v>1552378009737573</v>
      </c>
      <c r="C2454" t="s">
        <v>40</v>
      </c>
      <c r="D2454">
        <v>6.2455160000000003</v>
      </c>
      <c r="E2454">
        <v>0.54556759999999904</v>
      </c>
      <c r="F2454" t="s">
        <v>44</v>
      </c>
      <c r="G2454">
        <v>-440.8535</v>
      </c>
      <c r="H2454">
        <v>1.043669</v>
      </c>
      <c r="I2454">
        <v>285.4033</v>
      </c>
      <c r="J2454">
        <v>-440.40480000000002</v>
      </c>
      <c r="K2454">
        <v>1.1110120000000001</v>
      </c>
      <c r="L2454">
        <v>285.315</v>
      </c>
      <c r="M2454">
        <v>-0.99966880000000002</v>
      </c>
      <c r="N2454">
        <v>0</v>
      </c>
      <c r="O2454">
        <v>8.2468230000000003E-3</v>
      </c>
      <c r="P2454">
        <v>-0.99893209999999999</v>
      </c>
      <c r="Q2454">
        <v>4.3063959999999998E-2</v>
      </c>
      <c r="R2454">
        <v>-1.6745090000000001E-2</v>
      </c>
      <c r="S2454">
        <v>-3.0189819999999998</v>
      </c>
      <c r="T2454">
        <v>-0.23644519999999999</v>
      </c>
      <c r="U2454">
        <v>0.32034299999999999</v>
      </c>
      <c r="V2454">
        <v>-2.4982319999999999E-2</v>
      </c>
      <c r="W2454">
        <v>6.7407300000000003E-2</v>
      </c>
      <c r="X2454">
        <v>0.99741270000000004</v>
      </c>
      <c r="Y2454">
        <v>9.7041630000000004E-2</v>
      </c>
      <c r="Z2454">
        <v>3.1405259999999998E-3</v>
      </c>
      <c r="AA2454">
        <v>0.99527540000000003</v>
      </c>
      <c r="AB2454">
        <v>41</v>
      </c>
      <c r="AC2454">
        <v>-0.44869999999997301</v>
      </c>
      <c r="AD2454">
        <v>-6.7343000000000097E-2</v>
      </c>
      <c r="AE2454">
        <v>8.8300000000003806E-2</v>
      </c>
      <c r="AF2454">
        <v>8.2799978450518494E-2</v>
      </c>
      <c r="AG2454">
        <v>-6.7343000000000097E-2</v>
      </c>
      <c r="AH2454">
        <v>0.43987420555130302</v>
      </c>
      <c r="AI2454">
        <v>98.556190230885093</v>
      </c>
      <c r="AJ2454">
        <v>79.339635604153102</v>
      </c>
      <c r="AK2454">
        <v>0.45263697682557502</v>
      </c>
      <c r="AL2454">
        <v>86.134915344067693</v>
      </c>
      <c r="AM2454">
        <v>91.434794525186405</v>
      </c>
      <c r="AN2454">
        <v>0.99999997726358003</v>
      </c>
    </row>
    <row r="2455" spans="1:40" x14ac:dyDescent="0.25">
      <c r="A2455" t="str">
        <f>"20190312160649772"</f>
        <v>20190312160649772</v>
      </c>
      <c r="B2455" t="str">
        <f>"1552378009767827"</f>
        <v>1552378009767827</v>
      </c>
      <c r="C2455" t="s">
        <v>40</v>
      </c>
      <c r="D2455">
        <v>6.2435989999999997</v>
      </c>
      <c r="E2455">
        <v>0.54579919999999904</v>
      </c>
      <c r="F2455" t="s">
        <v>44</v>
      </c>
      <c r="G2455">
        <v>-441.22250000000003</v>
      </c>
      <c r="H2455">
        <v>1.0459240000000001</v>
      </c>
      <c r="I2455">
        <v>285.40179999999998</v>
      </c>
      <c r="J2455">
        <v>-440.81259999999997</v>
      </c>
      <c r="K2455">
        <v>1.1110279999999999</v>
      </c>
      <c r="L2455">
        <v>285.3184</v>
      </c>
      <c r="M2455">
        <v>-0.99966650000000001</v>
      </c>
      <c r="N2455">
        <v>0</v>
      </c>
      <c r="O2455">
        <v>8.246906E-3</v>
      </c>
      <c r="P2455">
        <v>-0.99897020000000003</v>
      </c>
      <c r="Q2455">
        <v>4.2178210000000001E-2</v>
      </c>
      <c r="R2455">
        <v>-1.672396E-2</v>
      </c>
      <c r="S2455">
        <v>-3.0189210000000002</v>
      </c>
      <c r="T2455">
        <v>-0.24028740000000001</v>
      </c>
      <c r="U2455">
        <v>0.32003779999999998</v>
      </c>
      <c r="V2455">
        <v>-2.4961299999999999E-2</v>
      </c>
      <c r="W2455">
        <v>6.6612790000000005E-2</v>
      </c>
      <c r="X2455">
        <v>0.99746659999999998</v>
      </c>
      <c r="Y2455">
        <v>9.6935660000000007E-2</v>
      </c>
      <c r="Z2455">
        <v>3.1872760000000002E-3</v>
      </c>
      <c r="AA2455">
        <v>0.99528559999999999</v>
      </c>
      <c r="AB2455">
        <v>41</v>
      </c>
      <c r="AC2455">
        <v>-0.40990000000005</v>
      </c>
      <c r="AD2455">
        <v>-6.5103999999999995E-2</v>
      </c>
      <c r="AE2455">
        <v>8.3399999999983196E-2</v>
      </c>
      <c r="AF2455">
        <v>7.8123296904395498E-2</v>
      </c>
      <c r="AG2455">
        <v>-6.5103999999999995E-2</v>
      </c>
      <c r="AH2455">
        <v>0.400863597002105</v>
      </c>
      <c r="AI2455">
        <v>99.057328809730294</v>
      </c>
      <c r="AJ2455">
        <v>78.972001794072895</v>
      </c>
      <c r="AK2455">
        <v>0.41356184995315798</v>
      </c>
      <c r="AL2455">
        <v>86.180539954822706</v>
      </c>
      <c r="AM2455">
        <v>91.433510365885297</v>
      </c>
      <c r="AN2455">
        <v>0.99999997420241604</v>
      </c>
    </row>
    <row r="2456" spans="1:40" x14ac:dyDescent="0.25">
      <c r="A2456" t="str">
        <f>"20190312160649795"</f>
        <v>20190312160649795</v>
      </c>
      <c r="B2456" t="str">
        <f>"1552378009787357"</f>
        <v>1552378009787357</v>
      </c>
      <c r="C2456" t="s">
        <v>40</v>
      </c>
      <c r="D2456">
        <v>6.2908010000000001</v>
      </c>
      <c r="E2456">
        <v>0.54596610000000001</v>
      </c>
      <c r="F2456" t="s">
        <v>66</v>
      </c>
      <c r="G2456">
        <v>-454.55220000000003</v>
      </c>
      <c r="H2456" s="1">
        <v>7.9097790000000001E-7</v>
      </c>
      <c r="I2456">
        <v>286.78320000000002</v>
      </c>
      <c r="J2456">
        <v>-441.20650000000001</v>
      </c>
      <c r="K2456">
        <v>1.111043</v>
      </c>
      <c r="L2456">
        <v>285.32170000000002</v>
      </c>
      <c r="M2456">
        <v>-0.99966410000000006</v>
      </c>
      <c r="N2456">
        <v>0</v>
      </c>
      <c r="O2456">
        <v>8.2475250000000003E-3</v>
      </c>
      <c r="P2456">
        <v>-0.99898019999999998</v>
      </c>
      <c r="Q2456">
        <v>4.1796689999999997E-2</v>
      </c>
      <c r="R2456">
        <v>-1.7082670000000001E-2</v>
      </c>
      <c r="S2456">
        <v>-3.0187680000000001</v>
      </c>
      <c r="T2456">
        <v>-0.2441055</v>
      </c>
      <c r="U2456">
        <v>0.32183840000000002</v>
      </c>
      <c r="V2456">
        <v>-2.532088E-2</v>
      </c>
      <c r="W2456">
        <v>6.6326350000000006E-2</v>
      </c>
      <c r="X2456">
        <v>0.99747660000000005</v>
      </c>
      <c r="Y2456">
        <v>9.7516530000000004E-2</v>
      </c>
      <c r="Z2456">
        <v>3.2611480000000002E-3</v>
      </c>
      <c r="AA2456">
        <v>0.99522860000000002</v>
      </c>
      <c r="AB2456">
        <v>41</v>
      </c>
      <c r="AC2456">
        <v>-13.345700000000001</v>
      </c>
      <c r="AD2456">
        <v>-1.1110422090220999</v>
      </c>
      <c r="AE2456">
        <v>1.4615</v>
      </c>
      <c r="AF2456">
        <v>1.3421561557883801</v>
      </c>
      <c r="AG2456">
        <v>-1.1110422090220999</v>
      </c>
      <c r="AH2456">
        <v>13.2664467881518</v>
      </c>
      <c r="AI2456">
        <v>94.763051422214403</v>
      </c>
      <c r="AJ2456">
        <v>84.223086128429301</v>
      </c>
      <c r="AK2456">
        <v>13.380373997748</v>
      </c>
      <c r="AL2456">
        <v>86.196988040645607</v>
      </c>
      <c r="AM2456">
        <v>91.454137423333705</v>
      </c>
      <c r="AN2456">
        <v>0.99999994960792704</v>
      </c>
    </row>
    <row r="2457" spans="1:40" x14ac:dyDescent="0.25">
      <c r="A2457" t="str">
        <f>"20190312160649816"</f>
        <v>20190312160649816</v>
      </c>
      <c r="B2457" t="str">
        <f>"1552378009807850"</f>
        <v>1552378009807850</v>
      </c>
      <c r="C2457" t="s">
        <v>40</v>
      </c>
      <c r="D2457">
        <v>6.239852</v>
      </c>
      <c r="E2457">
        <v>0.54622590000000004</v>
      </c>
      <c r="F2457" t="s">
        <v>44</v>
      </c>
      <c r="G2457">
        <v>-442.28269999999998</v>
      </c>
      <c r="H2457">
        <v>1.023528</v>
      </c>
      <c r="I2457">
        <v>285.43700000000001</v>
      </c>
      <c r="J2457">
        <v>-441.6053</v>
      </c>
      <c r="K2457">
        <v>1.111062</v>
      </c>
      <c r="L2457">
        <v>285.32499999999999</v>
      </c>
      <c r="M2457">
        <v>-0.99966169999999999</v>
      </c>
      <c r="N2457">
        <v>0</v>
      </c>
      <c r="O2457">
        <v>8.2479149999999998E-3</v>
      </c>
      <c r="P2457">
        <v>-0.99899300000000002</v>
      </c>
      <c r="Q2457">
        <v>4.121093E-2</v>
      </c>
      <c r="R2457">
        <v>-1.7738819999999999E-2</v>
      </c>
      <c r="S2457">
        <v>-3.0188290000000002</v>
      </c>
      <c r="T2457">
        <v>-0.24567810000000001</v>
      </c>
      <c r="U2457">
        <v>0.32244869999999998</v>
      </c>
      <c r="V2457">
        <v>-2.597762E-2</v>
      </c>
      <c r="W2457">
        <v>6.5834859999999995E-2</v>
      </c>
      <c r="X2457">
        <v>0.9974923</v>
      </c>
      <c r="Y2457">
        <v>9.7708630000000005E-2</v>
      </c>
      <c r="Z2457">
        <v>3.289737E-3</v>
      </c>
      <c r="AA2457">
        <v>0.99520960000000003</v>
      </c>
      <c r="AB2457">
        <v>40</v>
      </c>
      <c r="AC2457">
        <v>-0.67739999999997702</v>
      </c>
      <c r="AD2457">
        <v>-8.7534000000000001E-2</v>
      </c>
      <c r="AE2457">
        <v>0.112000000000023</v>
      </c>
      <c r="AF2457">
        <v>0.104705505319183</v>
      </c>
      <c r="AG2457">
        <v>-8.7534000000000001E-2</v>
      </c>
      <c r="AH2457">
        <v>0.66745246657211099</v>
      </c>
      <c r="AI2457">
        <v>97.382226431471395</v>
      </c>
      <c r="AJ2457">
        <v>81.084479942330304</v>
      </c>
      <c r="AK2457">
        <v>0.68126223962094101</v>
      </c>
      <c r="AL2457">
        <v>86.225210133890897</v>
      </c>
      <c r="AM2457">
        <v>91.491812646890693</v>
      </c>
      <c r="AN2457">
        <v>0.99999997704568599</v>
      </c>
    </row>
    <row r="2458" spans="1:40" x14ac:dyDescent="0.25">
      <c r="A2458" t="str">
        <f>"20190312160649839"</f>
        <v>20190312160649839</v>
      </c>
      <c r="B2458" t="str">
        <f>"1552378009827367"</f>
        <v>1552378009827367</v>
      </c>
      <c r="C2458" t="s">
        <v>40</v>
      </c>
      <c r="D2458">
        <v>6.288564</v>
      </c>
      <c r="E2458">
        <v>0.54641569999999995</v>
      </c>
      <c r="F2458" t="s">
        <v>44</v>
      </c>
      <c r="G2458">
        <v>-442.6397</v>
      </c>
      <c r="H2458">
        <v>1.0260020000000001</v>
      </c>
      <c r="I2458">
        <v>285.43610000000001</v>
      </c>
      <c r="J2458">
        <v>-441.99950000000001</v>
      </c>
      <c r="K2458">
        <v>1.1110819999999999</v>
      </c>
      <c r="L2458">
        <v>285.32819999999998</v>
      </c>
      <c r="M2458">
        <v>-0.99965970000000004</v>
      </c>
      <c r="N2458">
        <v>0</v>
      </c>
      <c r="O2458">
        <v>8.2481599999999992E-3</v>
      </c>
      <c r="P2458">
        <v>-0.99902679999999999</v>
      </c>
      <c r="Q2458">
        <v>4.0222069999999999E-2</v>
      </c>
      <c r="R2458">
        <v>-1.8099670000000002E-2</v>
      </c>
      <c r="S2458">
        <v>-3.0190730000000001</v>
      </c>
      <c r="T2458">
        <v>-0.2483929</v>
      </c>
      <c r="U2458">
        <v>0.32290649999999999</v>
      </c>
      <c r="V2458">
        <v>-2.633924E-2</v>
      </c>
      <c r="W2458">
        <v>6.4932699999999996E-2</v>
      </c>
      <c r="X2458">
        <v>0.99754200000000004</v>
      </c>
      <c r="Y2458">
        <v>9.7842180000000001E-2</v>
      </c>
      <c r="Z2458">
        <v>3.3311249999999999E-3</v>
      </c>
      <c r="AA2458">
        <v>0.99519630000000003</v>
      </c>
      <c r="AB2458">
        <v>40</v>
      </c>
      <c r="AC2458">
        <v>-0.640199999999992</v>
      </c>
      <c r="AD2458">
        <v>-8.5079999999999795E-2</v>
      </c>
      <c r="AE2458">
        <v>0.107900000000029</v>
      </c>
      <c r="AF2458">
        <v>0.100881744263182</v>
      </c>
      <c r="AG2458">
        <v>-8.5079999999999795E-2</v>
      </c>
      <c r="AH2458">
        <v>0.63024494265473996</v>
      </c>
      <c r="AI2458">
        <v>97.592669767783406</v>
      </c>
      <c r="AJ2458">
        <v>80.905951134333606</v>
      </c>
      <c r="AK2458">
        <v>0.64391336410068201</v>
      </c>
      <c r="AL2458">
        <v>86.277011125241899</v>
      </c>
      <c r="AM2458">
        <v>91.5124944350775</v>
      </c>
      <c r="AN2458">
        <v>1.00000002642853</v>
      </c>
    </row>
    <row r="2459" spans="1:40" x14ac:dyDescent="0.25">
      <c r="A2459" t="str">
        <f>"20190312160649862"</f>
        <v>20190312160649862</v>
      </c>
      <c r="B2459" t="str">
        <f>"1552378009857622"</f>
        <v>1552378009857622</v>
      </c>
      <c r="C2459" t="s">
        <v>40</v>
      </c>
      <c r="D2459">
        <v>6.2882870000000004</v>
      </c>
      <c r="E2459">
        <v>0.54658109999999904</v>
      </c>
      <c r="F2459" t="s">
        <v>44</v>
      </c>
      <c r="G2459">
        <v>-442.99470000000002</v>
      </c>
      <c r="H2459">
        <v>1.0280279999999999</v>
      </c>
      <c r="I2459">
        <v>285.43549999999999</v>
      </c>
      <c r="J2459">
        <v>-442.41719999999998</v>
      </c>
      <c r="K2459">
        <v>1.1110949999999999</v>
      </c>
      <c r="L2459">
        <v>285.33159999999998</v>
      </c>
      <c r="M2459">
        <v>-0.99965780000000004</v>
      </c>
      <c r="N2459">
        <v>0</v>
      </c>
      <c r="O2459">
        <v>8.2486869999999993E-3</v>
      </c>
      <c r="P2459">
        <v>-0.99903450000000005</v>
      </c>
      <c r="Q2459">
        <v>3.9725410000000003E-2</v>
      </c>
      <c r="R2459">
        <v>-1.8770370000000001E-2</v>
      </c>
      <c r="S2459">
        <v>-3.0188899999999999</v>
      </c>
      <c r="T2459">
        <v>-0.25213530000000001</v>
      </c>
      <c r="U2459">
        <v>0.32327270000000002</v>
      </c>
      <c r="V2459">
        <v>-2.701017E-2</v>
      </c>
      <c r="W2459">
        <v>6.4518729999999996E-2</v>
      </c>
      <c r="X2459">
        <v>0.99755090000000002</v>
      </c>
      <c r="Y2459">
        <v>9.7957900000000001E-2</v>
      </c>
      <c r="Z2459">
        <v>3.3860869999999999E-3</v>
      </c>
      <c r="AA2459">
        <v>0.99518479999999998</v>
      </c>
      <c r="AB2459">
        <v>40</v>
      </c>
      <c r="AC2459">
        <v>-0.57750000000004298</v>
      </c>
      <c r="AD2459">
        <v>-8.3067000000000002E-2</v>
      </c>
      <c r="AE2459">
        <v>0.10390000000001</v>
      </c>
      <c r="AF2459">
        <v>9.7183724213052894E-2</v>
      </c>
      <c r="AG2459">
        <v>-8.3067000000000002E-2</v>
      </c>
      <c r="AH2459">
        <v>0.56697493035750401</v>
      </c>
      <c r="AI2459">
        <v>98.216892183707301</v>
      </c>
      <c r="AJ2459">
        <v>80.273597348817901</v>
      </c>
      <c r="AK2459">
        <v>0.58121026693858002</v>
      </c>
      <c r="AL2459">
        <v>86.300779626968094</v>
      </c>
      <c r="AM2459">
        <v>91.550989246215096</v>
      </c>
      <c r="AN2459">
        <v>1.0000000069475199</v>
      </c>
    </row>
    <row r="2460" spans="1:40" x14ac:dyDescent="0.25">
      <c r="A2460" t="str">
        <f>"20190312160649883"</f>
        <v>20190312160649883</v>
      </c>
      <c r="B2460" t="str">
        <f>"1552378009877139"</f>
        <v>1552378009877139</v>
      </c>
      <c r="C2460" t="s">
        <v>40</v>
      </c>
      <c r="D2460">
        <v>6.3064830000000001</v>
      </c>
      <c r="E2460">
        <v>0.54663109999999904</v>
      </c>
      <c r="F2460" t="s">
        <v>44</v>
      </c>
      <c r="G2460">
        <v>-443.34890000000001</v>
      </c>
      <c r="H2460">
        <v>1.032273</v>
      </c>
      <c r="I2460">
        <v>285.43110000000001</v>
      </c>
      <c r="J2460">
        <v>-442.79660000000001</v>
      </c>
      <c r="K2460">
        <v>1.111105</v>
      </c>
      <c r="L2460">
        <v>285.3347</v>
      </c>
      <c r="M2460">
        <v>-0.99965579999999998</v>
      </c>
      <c r="N2460">
        <v>0</v>
      </c>
      <c r="O2460">
        <v>8.2489130000000001E-3</v>
      </c>
      <c r="P2460">
        <v>-0.99904400000000004</v>
      </c>
      <c r="Q2460">
        <v>3.9081009999999999E-2</v>
      </c>
      <c r="R2460">
        <v>-1.9593820000000001E-2</v>
      </c>
      <c r="S2460">
        <v>-3.019104</v>
      </c>
      <c r="T2460">
        <v>-0.25541130000000001</v>
      </c>
      <c r="U2460">
        <v>0.32211299999999998</v>
      </c>
      <c r="V2460">
        <v>-2.7834569999999999E-2</v>
      </c>
      <c r="W2460">
        <v>6.3946749999999997E-2</v>
      </c>
      <c r="X2460">
        <v>0.99756500000000004</v>
      </c>
      <c r="Y2460">
        <v>9.7565600000000002E-2</v>
      </c>
      <c r="Z2460">
        <v>3.4132189999999999E-3</v>
      </c>
      <c r="AA2460">
        <v>0.99522319999999997</v>
      </c>
      <c r="AB2460">
        <v>40</v>
      </c>
      <c r="AC2460">
        <v>-0.55230000000000201</v>
      </c>
      <c r="AD2460">
        <v>-7.8831999999999999E-2</v>
      </c>
      <c r="AE2460">
        <v>9.6400000000016903E-2</v>
      </c>
      <c r="AF2460">
        <v>9.0058903940950397E-2</v>
      </c>
      <c r="AG2460">
        <v>-7.8831999999999999E-2</v>
      </c>
      <c r="AH2460">
        <v>0.54235393172517998</v>
      </c>
      <c r="AI2460">
        <v>98.159917941619199</v>
      </c>
      <c r="AJ2460">
        <v>80.571952433492598</v>
      </c>
      <c r="AK2460">
        <v>0.55540334682175496</v>
      </c>
      <c r="AL2460">
        <v>86.333619236269897</v>
      </c>
      <c r="AM2460">
        <v>91.598281516110205</v>
      </c>
      <c r="AN2460">
        <v>0.99999993967382195</v>
      </c>
    </row>
    <row r="2461" spans="1:40" x14ac:dyDescent="0.25">
      <c r="A2461" t="str">
        <f>"20190312160649905"</f>
        <v>20190312160649905</v>
      </c>
      <c r="B2461" t="str">
        <f>"1552378009897635"</f>
        <v>1552378009897635</v>
      </c>
      <c r="C2461" t="s">
        <v>40</v>
      </c>
      <c r="D2461">
        <v>6.2369279999999998</v>
      </c>
      <c r="E2461">
        <v>0.54680359999999995</v>
      </c>
      <c r="F2461" t="s">
        <v>44</v>
      </c>
      <c r="G2461">
        <v>-443.69990000000001</v>
      </c>
      <c r="H2461">
        <v>1.033998</v>
      </c>
      <c r="I2461">
        <v>285.43110000000001</v>
      </c>
      <c r="J2461">
        <v>-443.17840000000001</v>
      </c>
      <c r="K2461">
        <v>1.1111200000000001</v>
      </c>
      <c r="L2461">
        <v>285.33789999999999</v>
      </c>
      <c r="M2461">
        <v>-0.99965389999999998</v>
      </c>
      <c r="N2461">
        <v>0</v>
      </c>
      <c r="O2461">
        <v>8.2494639999999998E-3</v>
      </c>
      <c r="P2461">
        <v>-0.99905630000000001</v>
      </c>
      <c r="Q2461">
        <v>3.8225599999999998E-2</v>
      </c>
      <c r="R2461">
        <v>-2.0639029999999999E-2</v>
      </c>
      <c r="S2461">
        <v>-3.0192260000000002</v>
      </c>
      <c r="T2461">
        <v>-0.25785580000000002</v>
      </c>
      <c r="U2461">
        <v>0.32006839999999998</v>
      </c>
      <c r="V2461">
        <v>-2.8879620000000002E-2</v>
      </c>
      <c r="W2461">
        <v>6.3171080000000004E-2</v>
      </c>
      <c r="X2461">
        <v>0.99758480000000005</v>
      </c>
      <c r="Y2461">
        <v>9.6890680000000007E-2</v>
      </c>
      <c r="Z2461">
        <v>3.4170160000000002E-3</v>
      </c>
      <c r="AA2461">
        <v>0.99528910000000004</v>
      </c>
      <c r="AB2461">
        <v>39</v>
      </c>
      <c r="AC2461">
        <v>-0.52150000000000296</v>
      </c>
      <c r="AD2461">
        <v>-7.7122000000000093E-2</v>
      </c>
      <c r="AE2461">
        <v>9.3200000000024305E-2</v>
      </c>
      <c r="AF2461">
        <v>8.7048562046213598E-2</v>
      </c>
      <c r="AG2461">
        <v>-7.7122000000000093E-2</v>
      </c>
      <c r="AH2461">
        <v>0.51141292415717299</v>
      </c>
      <c r="AI2461">
        <v>98.455868527802295</v>
      </c>
      <c r="AJ2461">
        <v>80.340155516890704</v>
      </c>
      <c r="AK2461">
        <v>0.52446966931682903</v>
      </c>
      <c r="AL2461">
        <v>86.378152209756095</v>
      </c>
      <c r="AM2461">
        <v>91.658223263883897</v>
      </c>
      <c r="AN2461">
        <v>1.00000002549537</v>
      </c>
    </row>
    <row r="2462" spans="1:40" x14ac:dyDescent="0.25">
      <c r="A2462" t="str">
        <f>"20190312160649928"</f>
        <v>20190312160649928</v>
      </c>
      <c r="B2462" t="str">
        <f>"1552378009917155"</f>
        <v>1552378009917155</v>
      </c>
      <c r="C2462" t="s">
        <v>40</v>
      </c>
      <c r="D2462">
        <v>6.2901809999999996</v>
      </c>
      <c r="E2462">
        <v>0.54698619999999898</v>
      </c>
      <c r="F2462" t="s">
        <v>44</v>
      </c>
      <c r="G2462">
        <v>-444.04899999999998</v>
      </c>
      <c r="H2462">
        <v>1.035968</v>
      </c>
      <c r="I2462">
        <v>285.42989999999998</v>
      </c>
      <c r="J2462">
        <v>-443.56630000000001</v>
      </c>
      <c r="K2462">
        <v>1.111138</v>
      </c>
      <c r="L2462">
        <v>285.34109999999998</v>
      </c>
      <c r="M2462">
        <v>-0.99965179999999998</v>
      </c>
      <c r="N2462">
        <v>0</v>
      </c>
      <c r="O2462">
        <v>8.2497089999999992E-3</v>
      </c>
      <c r="P2462">
        <v>-0.99910650000000001</v>
      </c>
      <c r="Q2462">
        <v>3.6673020000000001E-2</v>
      </c>
      <c r="R2462">
        <v>-2.101743E-2</v>
      </c>
      <c r="S2462">
        <v>-3.0193789999999998</v>
      </c>
      <c r="T2462">
        <v>-0.26070700000000002</v>
      </c>
      <c r="U2462">
        <v>0.31854250000000001</v>
      </c>
      <c r="V2462">
        <v>-2.9258570000000001E-2</v>
      </c>
      <c r="W2462">
        <v>6.1705280000000001E-2</v>
      </c>
      <c r="X2462">
        <v>0.99766549999999998</v>
      </c>
      <c r="Y2462">
        <v>9.6382529999999994E-2</v>
      </c>
      <c r="Z2462">
        <v>3.4327210000000001E-3</v>
      </c>
      <c r="AA2462">
        <v>0.99533839999999996</v>
      </c>
      <c r="AB2462">
        <v>39</v>
      </c>
      <c r="AC2462">
        <v>-0.482700000000022</v>
      </c>
      <c r="AD2462">
        <v>-7.5169999999999904E-2</v>
      </c>
      <c r="AE2462">
        <v>8.8799999999991996E-2</v>
      </c>
      <c r="AF2462">
        <v>8.2869683220200094E-2</v>
      </c>
      <c r="AG2462">
        <v>-7.5169999999999904E-2</v>
      </c>
      <c r="AH2462">
        <v>0.47233658103889198</v>
      </c>
      <c r="AI2462">
        <v>98.908665255851602</v>
      </c>
      <c r="AJ2462">
        <v>80.048947735136196</v>
      </c>
      <c r="AK2462">
        <v>0.48540679752608101</v>
      </c>
      <c r="AL2462">
        <v>86.462300564092899</v>
      </c>
      <c r="AM2462">
        <v>91.679833787690995</v>
      </c>
      <c r="AN2462">
        <v>1.00000002769428</v>
      </c>
    </row>
    <row r="2463" spans="1:40" x14ac:dyDescent="0.25">
      <c r="A2463" t="str">
        <f>"20190312160649951"</f>
        <v>20190312160649951</v>
      </c>
      <c r="B2463" t="str">
        <f>"1552378009947412"</f>
        <v>1552378009947412</v>
      </c>
      <c r="C2463" t="s">
        <v>40</v>
      </c>
      <c r="D2463">
        <v>6.1839000000000004</v>
      </c>
      <c r="E2463">
        <v>0.54711750000000003</v>
      </c>
      <c r="F2463" t="s">
        <v>44</v>
      </c>
      <c r="G2463">
        <v>-444.39679999999998</v>
      </c>
      <c r="H2463">
        <v>1.037971</v>
      </c>
      <c r="I2463">
        <v>285.42919999999998</v>
      </c>
      <c r="J2463">
        <v>-443.95929999999998</v>
      </c>
      <c r="K2463">
        <v>1.1111549999999999</v>
      </c>
      <c r="L2463">
        <v>285.34440000000001</v>
      </c>
      <c r="M2463">
        <v>-0.99964969999999997</v>
      </c>
      <c r="N2463">
        <v>0</v>
      </c>
      <c r="O2463">
        <v>8.2503339999999998E-3</v>
      </c>
      <c r="P2463">
        <v>-0.99912959999999995</v>
      </c>
      <c r="Q2463">
        <v>3.6291749999999998E-2</v>
      </c>
      <c r="R2463">
        <v>-2.0577069999999999E-2</v>
      </c>
      <c r="S2463">
        <v>-3.0191650000000001</v>
      </c>
      <c r="T2463">
        <v>-0.26619179999999998</v>
      </c>
      <c r="U2463">
        <v>0.31884770000000001</v>
      </c>
      <c r="V2463">
        <v>-2.8819060000000001E-2</v>
      </c>
      <c r="W2463">
        <v>6.1406879999999997E-2</v>
      </c>
      <c r="X2463">
        <v>0.99769669999999999</v>
      </c>
      <c r="Y2463">
        <v>9.6474589999999999E-2</v>
      </c>
      <c r="Z2463">
        <v>3.5088760000000002E-3</v>
      </c>
      <c r="AA2463">
        <v>0.99532929999999997</v>
      </c>
      <c r="AB2463">
        <v>39</v>
      </c>
      <c r="AC2463">
        <v>-0.4375</v>
      </c>
      <c r="AD2463">
        <v>-7.3183999999999902E-2</v>
      </c>
      <c r="AE2463">
        <v>8.4799999999972897E-2</v>
      </c>
      <c r="AF2463">
        <v>7.9054458186916102E-2</v>
      </c>
      <c r="AG2463">
        <v>-7.3183999999999902E-2</v>
      </c>
      <c r="AH2463">
        <v>0.426678026087771</v>
      </c>
      <c r="AI2463">
        <v>99.572858778692407</v>
      </c>
      <c r="AJ2463">
        <v>79.503328676292895</v>
      </c>
      <c r="AK2463">
        <v>0.44006777110052397</v>
      </c>
      <c r="AL2463">
        <v>86.479430095848599</v>
      </c>
      <c r="AM2463">
        <v>91.654562446727596</v>
      </c>
      <c r="AN2463">
        <v>1.0000000241607501</v>
      </c>
    </row>
    <row r="2464" spans="1:40" x14ac:dyDescent="0.25">
      <c r="A2464" t="str">
        <f>"20190312160649973"</f>
        <v>20190312160649973</v>
      </c>
      <c r="B2464" t="str">
        <f>"1552378009967907"</f>
        <v>1552378009967907</v>
      </c>
      <c r="C2464" t="s">
        <v>40</v>
      </c>
      <c r="D2464">
        <v>6.0654079999999997</v>
      </c>
      <c r="E2464">
        <v>0.49536439999999998</v>
      </c>
      <c r="F2464" t="s">
        <v>44</v>
      </c>
      <c r="G2464">
        <v>-444.74400000000003</v>
      </c>
      <c r="H2464">
        <v>1.0415030000000001</v>
      </c>
      <c r="I2464">
        <v>285.42809999999997</v>
      </c>
      <c r="J2464">
        <v>-444.34559999999999</v>
      </c>
      <c r="K2464">
        <v>1.1111819999999999</v>
      </c>
      <c r="L2464">
        <v>285.3476</v>
      </c>
      <c r="M2464">
        <v>-0.99964759999999997</v>
      </c>
      <c r="N2464">
        <v>0</v>
      </c>
      <c r="O2464">
        <v>8.2508630000000006E-3</v>
      </c>
      <c r="P2464">
        <v>-0.99909689999999995</v>
      </c>
      <c r="Q2464">
        <v>3.6592329999999999E-2</v>
      </c>
      <c r="R2464">
        <v>-2.160306E-2</v>
      </c>
      <c r="S2464">
        <v>-3.0189819999999998</v>
      </c>
      <c r="T2464">
        <v>-0.26797520000000002</v>
      </c>
      <c r="U2464">
        <v>0.32131959999999998</v>
      </c>
      <c r="V2464">
        <v>-2.9845940000000001E-2</v>
      </c>
      <c r="W2464">
        <v>6.1787149999999999E-2</v>
      </c>
      <c r="X2464">
        <v>0.99764299999999995</v>
      </c>
      <c r="Y2464">
        <v>9.727856E-2</v>
      </c>
      <c r="Z2464">
        <v>3.5678179999999999E-3</v>
      </c>
      <c r="AA2464">
        <v>0.99525079999999999</v>
      </c>
      <c r="AB2464">
        <v>39</v>
      </c>
      <c r="AC2464">
        <v>-0.398400000000037</v>
      </c>
      <c r="AD2464">
        <v>-6.9678999999999797E-2</v>
      </c>
      <c r="AE2464">
        <v>8.0499999999972205E-2</v>
      </c>
      <c r="AF2464">
        <v>7.5004745034853104E-2</v>
      </c>
      <c r="AG2464">
        <v>-6.9678999999999797E-2</v>
      </c>
      <c r="AH2464">
        <v>0.38765791629201302</v>
      </c>
      <c r="AI2464">
        <v>100.007989488272</v>
      </c>
      <c r="AJ2464">
        <v>79.049615713742298</v>
      </c>
      <c r="AK2464">
        <v>0.40094829452512798</v>
      </c>
      <c r="AL2464">
        <v>86.4576006706139</v>
      </c>
      <c r="AM2464">
        <v>91.713575408101093</v>
      </c>
      <c r="AN2464">
        <v>0.99999999374430304</v>
      </c>
    </row>
    <row r="2465" spans="1:40" x14ac:dyDescent="0.25">
      <c r="A2465" t="str">
        <f>"20190312160649996"</f>
        <v>20190312160649996</v>
      </c>
      <c r="B2465" t="str">
        <f>"1552378009987428"</f>
        <v>1552378009987428</v>
      </c>
      <c r="C2465" t="s">
        <v>40</v>
      </c>
      <c r="D2465">
        <v>6.1933020000000001</v>
      </c>
      <c r="E2465">
        <v>0.4724643</v>
      </c>
      <c r="F2465" t="s">
        <v>61</v>
      </c>
      <c r="G2465">
        <v>-470.66180000000003</v>
      </c>
      <c r="H2465" s="1">
        <v>6.31039099999999E-6</v>
      </c>
      <c r="I2465">
        <v>284.4991</v>
      </c>
      <c r="J2465">
        <v>-444.72219999999999</v>
      </c>
      <c r="K2465">
        <v>1.1112059999999999</v>
      </c>
      <c r="L2465">
        <v>285.35070000000002</v>
      </c>
      <c r="M2465">
        <v>-0.99964529999999996</v>
      </c>
      <c r="N2465">
        <v>0</v>
      </c>
      <c r="O2465">
        <v>8.2514289999999994E-3</v>
      </c>
      <c r="P2465">
        <v>-0.99908039999999998</v>
      </c>
      <c r="Q2465">
        <v>3.66053E-2</v>
      </c>
      <c r="R2465">
        <v>-2.2323579999999999E-2</v>
      </c>
      <c r="S2465">
        <v>-3.0053100000000001</v>
      </c>
      <c r="T2465">
        <v>-0.12689629999999999</v>
      </c>
      <c r="U2465">
        <v>-9.6893309999999996E-2</v>
      </c>
      <c r="V2465">
        <v>-3.056644E-2</v>
      </c>
      <c r="W2465">
        <v>6.1885660000000002E-2</v>
      </c>
      <c r="X2465">
        <v>0.99761509999999998</v>
      </c>
      <c r="Y2465">
        <v>-4.0429310000000003E-2</v>
      </c>
      <c r="Z2465">
        <v>-1.2012259999999999E-3</v>
      </c>
      <c r="AA2465">
        <v>0.99918169999999995</v>
      </c>
      <c r="AB2465">
        <v>38</v>
      </c>
      <c r="AC2465">
        <v>-25.939599999999999</v>
      </c>
      <c r="AD2465">
        <v>-1.111199689609</v>
      </c>
      <c r="AE2465">
        <v>-0.85160000000001901</v>
      </c>
      <c r="AF2465">
        <v>-1.0637284729343199</v>
      </c>
      <c r="AG2465">
        <v>-1.111199689609</v>
      </c>
      <c r="AH2465">
        <v>25.884238385472301</v>
      </c>
      <c r="AI2465">
        <v>92.456104275166695</v>
      </c>
      <c r="AJ2465">
        <v>92.3532806215362</v>
      </c>
      <c r="AK2465">
        <v>25.9299070536375</v>
      </c>
      <c r="AL2465">
        <v>86.451945716661101</v>
      </c>
      <c r="AM2465">
        <v>91.754965695848796</v>
      </c>
      <c r="AN2465">
        <v>1.00000001495795</v>
      </c>
    </row>
    <row r="2466" spans="1:40" x14ac:dyDescent="0.25">
      <c r="A2466" t="str">
        <f>"20190312160650017"</f>
        <v>20190312160650017</v>
      </c>
      <c r="B2466" t="str">
        <f>"1552378010007923"</f>
        <v>1552378010007923</v>
      </c>
      <c r="C2466" t="s">
        <v>40</v>
      </c>
      <c r="D2466">
        <v>6.1585199999999896</v>
      </c>
      <c r="E2466">
        <v>0.46599069999999998</v>
      </c>
      <c r="F2466" t="s">
        <v>61</v>
      </c>
      <c r="G2466">
        <v>-488.01440000000002</v>
      </c>
      <c r="H2466" s="1">
        <v>3.3347730000000001E-6</v>
      </c>
      <c r="I2466">
        <v>281.26949999999999</v>
      </c>
      <c r="J2466">
        <v>-445.09449999999998</v>
      </c>
      <c r="K2466">
        <v>1.1112359999999999</v>
      </c>
      <c r="L2466">
        <v>285.3537</v>
      </c>
      <c r="M2466">
        <v>-0.99964260000000005</v>
      </c>
      <c r="N2466">
        <v>0</v>
      </c>
      <c r="O2466">
        <v>8.2518590000000003E-3</v>
      </c>
      <c r="P2466">
        <v>-0.99907170000000001</v>
      </c>
      <c r="Q2466">
        <v>3.6617770000000001E-2</v>
      </c>
      <c r="R2466">
        <v>-2.2697849999999999E-2</v>
      </c>
      <c r="S2466">
        <v>-2.9992679999999998</v>
      </c>
      <c r="T2466">
        <v>-7.698381E-2</v>
      </c>
      <c r="U2466">
        <v>-0.28274539999999998</v>
      </c>
      <c r="V2466">
        <v>-3.0941059999999999E-2</v>
      </c>
      <c r="W2466">
        <v>6.2009410000000001E-2</v>
      </c>
      <c r="X2466">
        <v>0.99759580000000003</v>
      </c>
      <c r="Y2466">
        <v>-0.10203420000000001</v>
      </c>
      <c r="Z2466">
        <v>-1.5177630000000001E-3</v>
      </c>
      <c r="AA2466">
        <v>0.99477969999999905</v>
      </c>
      <c r="AB2466">
        <v>38</v>
      </c>
      <c r="AC2466">
        <v>-42.919899999999998</v>
      </c>
      <c r="AD2466">
        <v>-1.1112326652269999</v>
      </c>
      <c r="AE2466">
        <v>-4.0842000000000098</v>
      </c>
      <c r="AF2466">
        <v>-4.4353978464427701</v>
      </c>
      <c r="AG2466">
        <v>-1.1112326652269999</v>
      </c>
      <c r="AH2466">
        <v>42.856254319854301</v>
      </c>
      <c r="AI2466">
        <v>91.477418792715099</v>
      </c>
      <c r="AJ2466">
        <v>95.908776366543705</v>
      </c>
      <c r="AK2466">
        <v>43.099491022754897</v>
      </c>
      <c r="AL2466">
        <v>86.444841482345097</v>
      </c>
      <c r="AM2466">
        <v>91.776495071861206</v>
      </c>
      <c r="AN2466">
        <v>0.999999948150054</v>
      </c>
    </row>
    <row r="2467" spans="1:40" x14ac:dyDescent="0.25">
      <c r="A2467" t="str">
        <f>"20190312160650040"</f>
        <v>20190312160650040</v>
      </c>
      <c r="B2467" t="str">
        <f>"1552378010027443"</f>
        <v>1552378010027443</v>
      </c>
      <c r="C2467" t="s">
        <v>40</v>
      </c>
      <c r="D2467">
        <v>6.428858</v>
      </c>
      <c r="E2467">
        <v>0.46224589999999999</v>
      </c>
      <c r="F2467" t="s">
        <v>66</v>
      </c>
      <c r="G2467">
        <v>-467.09800000000001</v>
      </c>
      <c r="H2467" s="1">
        <v>2.3153399999999999E-6</v>
      </c>
      <c r="I2467">
        <v>282.90219999999999</v>
      </c>
      <c r="J2467">
        <v>-445.4658</v>
      </c>
      <c r="K2467">
        <v>1.111264</v>
      </c>
      <c r="L2467">
        <v>285.35680000000002</v>
      </c>
      <c r="M2467">
        <v>-0.99963930000000001</v>
      </c>
      <c r="N2467">
        <v>0</v>
      </c>
      <c r="O2467">
        <v>8.2524199999999999E-3</v>
      </c>
      <c r="P2467">
        <v>-0.99908830000000004</v>
      </c>
      <c r="Q2467">
        <v>3.6022970000000001E-2</v>
      </c>
      <c r="R2467">
        <v>-2.291636E-2</v>
      </c>
      <c r="S2467">
        <v>-3.000702</v>
      </c>
      <c r="T2467">
        <v>-0.1515435</v>
      </c>
      <c r="U2467">
        <v>-0.33432009999999901</v>
      </c>
      <c r="V2467">
        <v>-3.1160299999999998E-2</v>
      </c>
      <c r="W2467">
        <v>6.1543E-2</v>
      </c>
      <c r="X2467">
        <v>0.99761789999999995</v>
      </c>
      <c r="Y2467">
        <v>-0.1187695</v>
      </c>
      <c r="Z2467">
        <v>-3.4033539999999999E-3</v>
      </c>
      <c r="AA2467">
        <v>0.99291600000000002</v>
      </c>
      <c r="AB2467">
        <v>38</v>
      </c>
      <c r="AC2467">
        <v>-21.632200000000001</v>
      </c>
      <c r="AD2467">
        <v>-1.1112616846600001</v>
      </c>
      <c r="AE2467">
        <v>-2.4546000000000201</v>
      </c>
      <c r="AF2467">
        <v>-2.62625024517952</v>
      </c>
      <c r="AG2467">
        <v>-1.1112616846600001</v>
      </c>
      <c r="AH2467">
        <v>21.555040278990401</v>
      </c>
      <c r="AI2467">
        <v>92.929622133389998</v>
      </c>
      <c r="AJ2467">
        <v>96.946636810586597</v>
      </c>
      <c r="AK2467">
        <v>21.742857547042899</v>
      </c>
      <c r="AL2467">
        <v>86.471616094076197</v>
      </c>
      <c r="AM2467">
        <v>91.789035077414994</v>
      </c>
      <c r="AN2467">
        <v>0.99999998977274895</v>
      </c>
    </row>
    <row r="2468" spans="1:40" x14ac:dyDescent="0.25">
      <c r="A2468" t="str">
        <f>"20190312160650062"</f>
        <v>20190312160650062</v>
      </c>
      <c r="B2468" t="str">
        <f>"1552378010057703"</f>
        <v>1552378010057703</v>
      </c>
      <c r="C2468" t="s">
        <v>40</v>
      </c>
      <c r="D2468">
        <v>6.2353560000000003</v>
      </c>
      <c r="E2468">
        <v>0.46043709999999999</v>
      </c>
      <c r="F2468" t="s">
        <v>66</v>
      </c>
      <c r="G2468">
        <v>-463.73750000000001</v>
      </c>
      <c r="H2468" s="1">
        <v>5.1672550000000003E-7</v>
      </c>
      <c r="I2468">
        <v>283.1388</v>
      </c>
      <c r="J2468">
        <v>-445.84179999999998</v>
      </c>
      <c r="K2468">
        <v>1.111286</v>
      </c>
      <c r="L2468">
        <v>285.35989999999998</v>
      </c>
      <c r="M2468">
        <v>-0.99963590000000002</v>
      </c>
      <c r="N2468">
        <v>0</v>
      </c>
      <c r="O2468">
        <v>8.2528559999999994E-3</v>
      </c>
      <c r="P2468">
        <v>-0.99908589999999997</v>
      </c>
      <c r="Q2468">
        <v>3.5598539999999998E-2</v>
      </c>
      <c r="R2468">
        <v>-2.3671419999999999E-2</v>
      </c>
      <c r="S2468">
        <v>-3.0009769999999998</v>
      </c>
      <c r="T2468">
        <v>-0.18251510000000001</v>
      </c>
      <c r="U2468">
        <v>-0.36428830000000001</v>
      </c>
      <c r="V2468">
        <v>-3.1915810000000003E-2</v>
      </c>
      <c r="W2468">
        <v>6.1250770000000003E-2</v>
      </c>
      <c r="X2468">
        <v>0.99761200000000005</v>
      </c>
      <c r="Y2468">
        <v>-0.1284477</v>
      </c>
      <c r="Z2468">
        <v>-4.3880229999999996E-3</v>
      </c>
      <c r="AA2468">
        <v>0.99170659999999999</v>
      </c>
      <c r="AB2468">
        <v>38</v>
      </c>
      <c r="AC2468">
        <v>-17.895700000000001</v>
      </c>
      <c r="AD2468">
        <v>-1.1112854832745001</v>
      </c>
      <c r="AE2468">
        <v>-2.2210999999999701</v>
      </c>
      <c r="AF2468">
        <v>-2.3598020013065302</v>
      </c>
      <c r="AG2468">
        <v>-1.1112854832745001</v>
      </c>
      <c r="AH2468">
        <v>17.8091208722843</v>
      </c>
      <c r="AI2468">
        <v>93.539755366223702</v>
      </c>
      <c r="AJ2468">
        <v>97.548021348195107</v>
      </c>
      <c r="AK2468">
        <v>17.999122399559901</v>
      </c>
      <c r="AL2468">
        <v>86.4883912853102</v>
      </c>
      <c r="AM2468">
        <v>91.832393478969706</v>
      </c>
      <c r="AN2468">
        <v>0.99999998914877397</v>
      </c>
    </row>
    <row r="2469" spans="1:40" x14ac:dyDescent="0.25">
      <c r="A2469" t="str">
        <f>"20190312160650085"</f>
        <v>20190312160650085</v>
      </c>
      <c r="B2469" t="str">
        <f>"1552378010077219"</f>
        <v>1552378010077219</v>
      </c>
      <c r="C2469" t="s">
        <v>40</v>
      </c>
      <c r="D2469">
        <v>6.5183999999999997</v>
      </c>
      <c r="E2469">
        <v>0.46041149999999997</v>
      </c>
      <c r="F2469" t="s">
        <v>66</v>
      </c>
      <c r="G2469">
        <v>-461.42970000000003</v>
      </c>
      <c r="H2469" s="1">
        <v>-7.2214559999999997E-7</v>
      </c>
      <c r="I2469">
        <v>283.38529999999997</v>
      </c>
      <c r="J2469">
        <v>-446.2115</v>
      </c>
      <c r="K2469">
        <v>1.111313</v>
      </c>
      <c r="L2469">
        <v>285.36290000000002</v>
      </c>
      <c r="M2469">
        <v>-0.99963259999999998</v>
      </c>
      <c r="N2469">
        <v>0</v>
      </c>
      <c r="O2469">
        <v>8.2532739999999997E-3</v>
      </c>
      <c r="P2469">
        <v>-0.99908830000000004</v>
      </c>
      <c r="Q2469">
        <v>3.5349760000000001E-2</v>
      </c>
      <c r="R2469">
        <v>-2.3944389999999999E-2</v>
      </c>
      <c r="S2469">
        <v>-3.0013730000000001</v>
      </c>
      <c r="T2469">
        <v>-0.21397189999999999</v>
      </c>
      <c r="U2469">
        <v>-0.38018800000000003</v>
      </c>
      <c r="V2469">
        <v>-3.2189099999999998E-2</v>
      </c>
      <c r="W2469">
        <v>6.1125600000000002E-2</v>
      </c>
      <c r="X2469">
        <v>0.99761089999999997</v>
      </c>
      <c r="Y2469">
        <v>-0.13349920000000001</v>
      </c>
      <c r="Z2469">
        <v>-5.3193719999999898E-3</v>
      </c>
      <c r="AA2469">
        <v>0.99103459999999999</v>
      </c>
      <c r="AB2469">
        <v>37</v>
      </c>
      <c r="AC2469">
        <v>-15.2182</v>
      </c>
      <c r="AD2469">
        <v>-1.1113137221456</v>
      </c>
      <c r="AE2469">
        <v>-1.97760000000005</v>
      </c>
      <c r="AF2469">
        <v>-2.0922026552069499</v>
      </c>
      <c r="AG2469">
        <v>-1.1113137221456</v>
      </c>
      <c r="AH2469">
        <v>15.122052093463701</v>
      </c>
      <c r="AI2469">
        <v>94.163569778982406</v>
      </c>
      <c r="AJ2469">
        <v>97.877116904649398</v>
      </c>
      <c r="AK2469">
        <v>15.306495015414701</v>
      </c>
      <c r="AL2469">
        <v>86.4955764729972</v>
      </c>
      <c r="AM2469">
        <v>91.848075174605299</v>
      </c>
      <c r="AN2469">
        <v>0.99999999246648996</v>
      </c>
    </row>
    <row r="2470" spans="1:40" x14ac:dyDescent="0.25">
      <c r="A2470" t="str">
        <f>"20190312160650107"</f>
        <v>20190312160650107</v>
      </c>
      <c r="B2470" t="str">
        <f>"1552378010097715"</f>
        <v>1552378010097715</v>
      </c>
      <c r="C2470" t="s">
        <v>40</v>
      </c>
      <c r="D2470">
        <v>6.246759</v>
      </c>
      <c r="E2470">
        <v>0.4594046</v>
      </c>
      <c r="F2470" t="s">
        <v>66</v>
      </c>
      <c r="G2470">
        <v>-460.11919999999998</v>
      </c>
      <c r="H2470" s="1">
        <v>-1.4288319999999901E-6</v>
      </c>
      <c r="I2470">
        <v>283.59809999999999</v>
      </c>
      <c r="J2470">
        <v>-446.57350000000002</v>
      </c>
      <c r="K2470">
        <v>1.1113360000000001</v>
      </c>
      <c r="L2470">
        <v>285.36599999999999</v>
      </c>
      <c r="M2470">
        <v>-0.99962960000000001</v>
      </c>
      <c r="N2470">
        <v>0</v>
      </c>
      <c r="O2470">
        <v>8.2537369999999902E-3</v>
      </c>
      <c r="P2470">
        <v>-0.99909239999999999</v>
      </c>
      <c r="Q2470">
        <v>3.5068340000000003E-2</v>
      </c>
      <c r="R2470">
        <v>-2.4181830000000001E-2</v>
      </c>
      <c r="S2470">
        <v>-3.0021059999999999</v>
      </c>
      <c r="T2470">
        <v>-0.23988680000000001</v>
      </c>
      <c r="U2470">
        <v>-0.38095089999999998</v>
      </c>
      <c r="V2470">
        <v>-3.2427270000000001E-2</v>
      </c>
      <c r="W2470">
        <v>6.0964249999999998E-2</v>
      </c>
      <c r="X2470">
        <v>0.99761310000000003</v>
      </c>
      <c r="Y2470">
        <v>-0.13362639999999901</v>
      </c>
      <c r="Z2470">
        <v>-5.965265E-3</v>
      </c>
      <c r="AA2470">
        <v>0.99101379999999994</v>
      </c>
      <c r="AB2470">
        <v>37</v>
      </c>
      <c r="AC2470">
        <v>-13.545699999999901</v>
      </c>
      <c r="AD2470">
        <v>-1.1113374288319999</v>
      </c>
      <c r="AE2470">
        <v>-1.76789999999999</v>
      </c>
      <c r="AF2470">
        <v>-1.8673213047910799</v>
      </c>
      <c r="AG2470">
        <v>-1.1113374288319999</v>
      </c>
      <c r="AH2470">
        <v>13.4416790718148</v>
      </c>
      <c r="AI2470">
        <v>94.681621086516799</v>
      </c>
      <c r="AJ2470">
        <v>97.908925079508904</v>
      </c>
      <c r="AK2470">
        <v>13.6161924195317</v>
      </c>
      <c r="AL2470">
        <v>86.504838560392002</v>
      </c>
      <c r="AM2470">
        <v>91.861735556025195</v>
      </c>
      <c r="AN2470">
        <v>1.0000000324546601</v>
      </c>
    </row>
    <row r="2471" spans="1:40" x14ac:dyDescent="0.25">
      <c r="A2471" t="str">
        <f>"20190312160650129"</f>
        <v>20190312160650129</v>
      </c>
      <c r="B2471" t="str">
        <f>"1552378010117235"</f>
        <v>1552378010117235</v>
      </c>
      <c r="C2471" t="s">
        <v>40</v>
      </c>
      <c r="D2471">
        <v>6.3083549999999997</v>
      </c>
      <c r="E2471">
        <v>0.45783400000000002</v>
      </c>
      <c r="F2471" t="s">
        <v>66</v>
      </c>
      <c r="G2471">
        <v>-459.65410000000003</v>
      </c>
      <c r="H2471" s="1">
        <v>3.6420550000000001E-6</v>
      </c>
      <c r="I2471">
        <v>283.6687</v>
      </c>
      <c r="J2471">
        <v>-446.93459999999999</v>
      </c>
      <c r="K2471">
        <v>1.1113489999999999</v>
      </c>
      <c r="L2471">
        <v>285.3689</v>
      </c>
      <c r="M2471">
        <v>-0.99962620000000002</v>
      </c>
      <c r="N2471">
        <v>0</v>
      </c>
      <c r="O2471">
        <v>8.2541890000000003E-3</v>
      </c>
      <c r="P2471">
        <v>-0.99910940000000004</v>
      </c>
      <c r="Q2471">
        <v>3.4786690000000002E-2</v>
      </c>
      <c r="R2471">
        <v>-2.38792E-2</v>
      </c>
      <c r="S2471">
        <v>-3.0022280000000001</v>
      </c>
      <c r="T2471">
        <v>-0.25506990000000002</v>
      </c>
      <c r="U2471">
        <v>-0.38955689999999998</v>
      </c>
      <c r="V2471">
        <v>-3.2125029999999999E-2</v>
      </c>
      <c r="W2471">
        <v>6.0811959999999998E-2</v>
      </c>
      <c r="X2471">
        <v>0.99763210000000002</v>
      </c>
      <c r="Y2471">
        <v>-0.13634869999999999</v>
      </c>
      <c r="Z2471">
        <v>-6.4551219999999998E-3</v>
      </c>
      <c r="AA2471">
        <v>0.99063990000000002</v>
      </c>
      <c r="AB2471">
        <v>37</v>
      </c>
      <c r="AC2471">
        <v>-12.7195</v>
      </c>
      <c r="AD2471">
        <v>-1.1113453579449999</v>
      </c>
      <c r="AE2471">
        <v>-1.7001999999999899</v>
      </c>
      <c r="AF2471">
        <v>-1.7917287396880499</v>
      </c>
      <c r="AG2471">
        <v>-1.1113453579449999</v>
      </c>
      <c r="AH2471">
        <v>12.6104482843051</v>
      </c>
      <c r="AI2471">
        <v>94.986578496466294</v>
      </c>
      <c r="AJ2471">
        <v>98.086622580807997</v>
      </c>
      <c r="AK2471">
        <v>12.785491242513199</v>
      </c>
      <c r="AL2471">
        <v>86.513580099222395</v>
      </c>
      <c r="AM2471">
        <v>91.844360095167801</v>
      </c>
      <c r="AN2471">
        <v>0.99999995949097498</v>
      </c>
    </row>
    <row r="2472" spans="1:40" x14ac:dyDescent="0.25">
      <c r="A2472" t="str">
        <f>"20190312160650144"</f>
        <v>20190312160650144</v>
      </c>
      <c r="B2472" t="str">
        <f>"1552378010137895"</f>
        <v>1552378010137895</v>
      </c>
      <c r="C2472" t="s">
        <v>40</v>
      </c>
      <c r="D2472">
        <v>6.4806460000000001</v>
      </c>
      <c r="E2472">
        <v>0.45752169999999998</v>
      </c>
      <c r="F2472" t="s">
        <v>66</v>
      </c>
      <c r="G2472">
        <v>-460.82240000000002</v>
      </c>
      <c r="H2472" s="1">
        <v>-1.050793E-6</v>
      </c>
      <c r="I2472">
        <v>283.5102</v>
      </c>
      <c r="J2472">
        <v>-447.1771</v>
      </c>
      <c r="K2472">
        <v>1.11137</v>
      </c>
      <c r="L2472">
        <v>285.37090000000001</v>
      </c>
      <c r="M2472">
        <v>-0.99962379999999995</v>
      </c>
      <c r="N2472">
        <v>0</v>
      </c>
      <c r="O2472">
        <v>8.2545350000000003E-3</v>
      </c>
      <c r="P2472">
        <v>-0.9991141</v>
      </c>
      <c r="Q2472">
        <v>3.457619E-2</v>
      </c>
      <c r="R2472">
        <v>-2.399482E-2</v>
      </c>
      <c r="S2472">
        <v>-3.0014340000000002</v>
      </c>
      <c r="T2472">
        <v>-0.24018439999999999</v>
      </c>
      <c r="U2472">
        <v>-0.40170289999999997</v>
      </c>
      <c r="V2472">
        <v>-3.2241329999999999E-2</v>
      </c>
      <c r="W2472">
        <v>6.069343E-2</v>
      </c>
      <c r="X2472">
        <v>0.99763559999999996</v>
      </c>
      <c r="Y2472">
        <v>-0.14036709999999999</v>
      </c>
      <c r="Z2472">
        <v>-6.2394779999999997E-3</v>
      </c>
      <c r="AA2472">
        <v>0.99007990000000001</v>
      </c>
      <c r="AB2472">
        <v>37</v>
      </c>
      <c r="AC2472">
        <v>-13.645300000000001</v>
      </c>
      <c r="AD2472">
        <v>-1.1113710507929999</v>
      </c>
      <c r="AE2472">
        <v>-1.8607</v>
      </c>
      <c r="AF2472">
        <v>-1.9605425999102599</v>
      </c>
      <c r="AG2472">
        <v>-1.1113710507929999</v>
      </c>
      <c r="AH2472">
        <v>13.541282141402601</v>
      </c>
      <c r="AI2472">
        <v>94.643706321292001</v>
      </c>
      <c r="AJ2472">
        <v>98.238189584668902</v>
      </c>
      <c r="AK2472">
        <v>13.7275341897834</v>
      </c>
      <c r="AL2472">
        <v>86.520384053039606</v>
      </c>
      <c r="AM2472">
        <v>91.851025977016207</v>
      </c>
      <c r="AN2472">
        <v>0.99999999309634602</v>
      </c>
    </row>
    <row r="2473" spans="1:40" x14ac:dyDescent="0.25">
      <c r="A2473" t="str">
        <f>"20190312160650164"</f>
        <v>20190312160650164</v>
      </c>
      <c r="B2473" t="str">
        <f>"1552378010157415"</f>
        <v>1552378010157415</v>
      </c>
      <c r="C2473" t="s">
        <v>40</v>
      </c>
      <c r="D2473">
        <v>6.4693040000000002</v>
      </c>
      <c r="E2473">
        <v>0.45720440000000001</v>
      </c>
      <c r="F2473" t="s">
        <v>66</v>
      </c>
      <c r="G2473">
        <v>-460.65109999999999</v>
      </c>
      <c r="H2473" s="1">
        <v>-1.144008E-6</v>
      </c>
      <c r="I2473">
        <v>283.55669999999998</v>
      </c>
      <c r="J2473">
        <v>-447.48930000000001</v>
      </c>
      <c r="K2473">
        <v>1.111389</v>
      </c>
      <c r="L2473">
        <v>285.37349999999998</v>
      </c>
      <c r="M2473">
        <v>-0.99962079999999998</v>
      </c>
      <c r="N2473">
        <v>0</v>
      </c>
      <c r="O2473">
        <v>8.2548259999999998E-3</v>
      </c>
      <c r="P2473">
        <v>-0.99913450000000004</v>
      </c>
      <c r="Q2473">
        <v>3.4144170000000001E-2</v>
      </c>
      <c r="R2473">
        <v>-2.375975E-2</v>
      </c>
      <c r="S2473">
        <v>-3.0015260000000001</v>
      </c>
      <c r="T2473">
        <v>-0.2475743</v>
      </c>
      <c r="U2473">
        <v>-0.40414430000000001</v>
      </c>
      <c r="V2473">
        <v>-3.2006939999999998E-2</v>
      </c>
      <c r="W2473">
        <v>6.0379780000000001E-2</v>
      </c>
      <c r="X2473">
        <v>0.99766220000000005</v>
      </c>
      <c r="Y2473">
        <v>-0.141123</v>
      </c>
      <c r="Z2473">
        <v>-6.4612869999999996E-3</v>
      </c>
      <c r="AA2473">
        <v>0.98997100000000005</v>
      </c>
      <c r="AB2473">
        <v>36</v>
      </c>
      <c r="AC2473">
        <v>-13.1617999999999</v>
      </c>
      <c r="AD2473">
        <v>-1.1113901440080001</v>
      </c>
      <c r="AE2473">
        <v>-1.8168</v>
      </c>
      <c r="AF2473">
        <v>-1.91204555205718</v>
      </c>
      <c r="AG2473">
        <v>-1.1113901440080001</v>
      </c>
      <c r="AH2473">
        <v>13.055004206875701</v>
      </c>
      <c r="AI2473">
        <v>94.814813372714298</v>
      </c>
      <c r="AJ2473">
        <v>98.332340866432702</v>
      </c>
      <c r="AK2473">
        <v>13.2410060451191</v>
      </c>
      <c r="AL2473">
        <v>86.538387965246898</v>
      </c>
      <c r="AM2473">
        <v>91.837529573758005</v>
      </c>
      <c r="AN2473">
        <v>1.0000000136749201</v>
      </c>
    </row>
    <row r="2474" spans="1:40" x14ac:dyDescent="0.25">
      <c r="A2474" t="str">
        <f>"20190312160650186"</f>
        <v>20190312160650186</v>
      </c>
      <c r="B2474" t="str">
        <f>"1552378010177911"</f>
        <v>1552378010177911</v>
      </c>
      <c r="C2474" t="s">
        <v>40</v>
      </c>
      <c r="D2474">
        <v>6.26783</v>
      </c>
      <c r="E2474">
        <v>0.45701029999999998</v>
      </c>
      <c r="F2474" t="s">
        <v>66</v>
      </c>
      <c r="G2474">
        <v>-460.6771</v>
      </c>
      <c r="H2474" s="1">
        <v>-1.131575E-6</v>
      </c>
      <c r="I2474">
        <v>283.58949999999999</v>
      </c>
      <c r="J2474">
        <v>-447.84980000000002</v>
      </c>
      <c r="K2474">
        <v>1.1114219999999999</v>
      </c>
      <c r="L2474">
        <v>285.37650000000002</v>
      </c>
      <c r="M2474">
        <v>-0.99961730000000004</v>
      </c>
      <c r="N2474">
        <v>0</v>
      </c>
      <c r="O2474">
        <v>8.2552519999999994E-3</v>
      </c>
      <c r="P2474">
        <v>-0.99913560000000001</v>
      </c>
      <c r="Q2474">
        <v>3.4070910000000003E-2</v>
      </c>
      <c r="R2474">
        <v>-2.382337E-2</v>
      </c>
      <c r="S2474">
        <v>-3.0015559999999999</v>
      </c>
      <c r="T2474">
        <v>-0.25295400000000001</v>
      </c>
      <c r="U2474">
        <v>-0.40603640000000002</v>
      </c>
      <c r="V2474">
        <v>-3.2071049999999997E-2</v>
      </c>
      <c r="W2474">
        <v>6.0435460000000003E-2</v>
      </c>
      <c r="X2474">
        <v>0.99765680000000001</v>
      </c>
      <c r="Y2474">
        <v>-0.14171110000000001</v>
      </c>
      <c r="Z2474">
        <v>-6.6255280000000003E-3</v>
      </c>
      <c r="AA2474">
        <v>0.98988589999999999</v>
      </c>
      <c r="AB2474">
        <v>36</v>
      </c>
      <c r="AC2474">
        <v>-12.8272999999999</v>
      </c>
      <c r="AD2474">
        <v>-1.1114231315749901</v>
      </c>
      <c r="AE2474">
        <v>-1.7870000000000299</v>
      </c>
      <c r="AF2474">
        <v>-1.87903055953514</v>
      </c>
      <c r="AG2474">
        <v>-1.1114231315749901</v>
      </c>
      <c r="AH2474">
        <v>12.7184409902829</v>
      </c>
      <c r="AI2474">
        <v>94.940842935304204</v>
      </c>
      <c r="AJ2474">
        <v>98.404120390138402</v>
      </c>
      <c r="AK2474">
        <v>12.9044472351347</v>
      </c>
      <c r="AL2474">
        <v>86.535192004215602</v>
      </c>
      <c r="AM2474">
        <v>91.841217579380597</v>
      </c>
      <c r="AN2474">
        <v>1.00000004382987</v>
      </c>
    </row>
    <row r="2475" spans="1:40" x14ac:dyDescent="0.25">
      <c r="A2475" t="str">
        <f>"20190312160650207"</f>
        <v>20190312160650207</v>
      </c>
      <c r="B2475" t="str">
        <f>"1552378010197431"</f>
        <v>1552378010197431</v>
      </c>
      <c r="C2475" t="s">
        <v>40</v>
      </c>
      <c r="D2475">
        <v>6.4801449999999896</v>
      </c>
      <c r="E2475">
        <v>0.45649129999999899</v>
      </c>
      <c r="F2475" t="s">
        <v>66</v>
      </c>
      <c r="G2475">
        <v>-460.43889999999999</v>
      </c>
      <c r="H2475" s="1">
        <v>-1.2617389999999999E-6</v>
      </c>
      <c r="I2475">
        <v>283.66719999999998</v>
      </c>
      <c r="J2475">
        <v>-448.18720000000002</v>
      </c>
      <c r="K2475">
        <v>1.111442</v>
      </c>
      <c r="L2475">
        <v>285.3793</v>
      </c>
      <c r="M2475">
        <v>-0.99961449999999996</v>
      </c>
      <c r="N2475">
        <v>0</v>
      </c>
      <c r="O2475">
        <v>8.2556160000000003E-3</v>
      </c>
      <c r="P2475">
        <v>-0.99912579999999995</v>
      </c>
      <c r="Q2475">
        <v>3.4473549999999999E-2</v>
      </c>
      <c r="R2475">
        <v>-2.3654890000000001E-2</v>
      </c>
      <c r="S2475">
        <v>-3.0019230000000001</v>
      </c>
      <c r="T2475">
        <v>-0.26502310000000001</v>
      </c>
      <c r="U2475">
        <v>-0.40759279999999998</v>
      </c>
      <c r="V2475">
        <v>-3.1902609999999998E-2</v>
      </c>
      <c r="W2475">
        <v>6.0949030000000001E-2</v>
      </c>
      <c r="X2475">
        <v>0.99763089999999999</v>
      </c>
      <c r="Y2475">
        <v>-0.142147</v>
      </c>
      <c r="Z2475">
        <v>-6.958545E-3</v>
      </c>
      <c r="AA2475">
        <v>0.98982110000000001</v>
      </c>
      <c r="AB2475">
        <v>36</v>
      </c>
      <c r="AC2475">
        <v>-12.2516999999999</v>
      </c>
      <c r="AD2475">
        <v>-1.111443261739</v>
      </c>
      <c r="AE2475">
        <v>-1.7121000000000199</v>
      </c>
      <c r="AF2475">
        <v>-1.79870331933885</v>
      </c>
      <c r="AG2475">
        <v>-1.111443261739</v>
      </c>
      <c r="AH2475">
        <v>12.139155199240401</v>
      </c>
      <c r="AI2475">
        <v>95.1751411440721</v>
      </c>
      <c r="AJ2475">
        <v>98.428400564977494</v>
      </c>
      <c r="AK2475">
        <v>12.321920658172999</v>
      </c>
      <c r="AL2475">
        <v>86.505712066737004</v>
      </c>
      <c r="AM2475">
        <v>91.831601462624803</v>
      </c>
      <c r="AN2475">
        <v>0.99999998670878099</v>
      </c>
    </row>
    <row r="2476" spans="1:40" x14ac:dyDescent="0.25">
      <c r="A2476" t="str">
        <f>"20190312160650231"</f>
        <v>20190312160650231</v>
      </c>
      <c r="B2476" t="str">
        <f>"1552378010217927"</f>
        <v>1552378010217927</v>
      </c>
      <c r="C2476" t="s">
        <v>40</v>
      </c>
      <c r="D2476">
        <v>6.3048359999999999</v>
      </c>
      <c r="E2476">
        <v>0.4562869</v>
      </c>
      <c r="F2476" t="s">
        <v>66</v>
      </c>
      <c r="G2476">
        <v>-461.00760000000002</v>
      </c>
      <c r="H2476" s="1">
        <v>-9.5715480000000007E-7</v>
      </c>
      <c r="I2476">
        <v>283.62290000000002</v>
      </c>
      <c r="J2476">
        <v>-448.5471</v>
      </c>
      <c r="K2476">
        <v>1.1114630000000001</v>
      </c>
      <c r="L2476">
        <v>285.38220000000001</v>
      </c>
      <c r="M2476">
        <v>-0.99961160000000004</v>
      </c>
      <c r="N2476">
        <v>0</v>
      </c>
      <c r="O2476">
        <v>8.2562030000000002E-3</v>
      </c>
      <c r="P2476">
        <v>-0.99913079999999999</v>
      </c>
      <c r="Q2476">
        <v>3.4209339999999998E-2</v>
      </c>
      <c r="R2476">
        <v>-2.3826380000000001E-2</v>
      </c>
      <c r="S2476">
        <v>-3.0018310000000001</v>
      </c>
      <c r="T2476">
        <v>-0.26023810000000003</v>
      </c>
      <c r="U2476">
        <v>-0.41125489999999998</v>
      </c>
      <c r="V2476">
        <v>-3.2074640000000001E-2</v>
      </c>
      <c r="W2476">
        <v>6.0792440000000003E-2</v>
      </c>
      <c r="X2476">
        <v>0.99763489999999999</v>
      </c>
      <c r="Y2476">
        <v>-0.14335319999999999</v>
      </c>
      <c r="Z2476">
        <v>-6.885019E-3</v>
      </c>
      <c r="AA2476">
        <v>0.98964759999999996</v>
      </c>
      <c r="AB2476">
        <v>36</v>
      </c>
      <c r="AC2476">
        <v>-12.4605</v>
      </c>
      <c r="AD2476">
        <v>-1.1114639571548</v>
      </c>
      <c r="AE2476">
        <v>-1.7592999999999901</v>
      </c>
      <c r="AF2476">
        <v>-1.8477387581318401</v>
      </c>
      <c r="AG2476">
        <v>-1.1114639571548</v>
      </c>
      <c r="AH2476">
        <v>12.349209161787501</v>
      </c>
      <c r="AI2476">
        <v>95.086605568009702</v>
      </c>
      <c r="AJ2476">
        <v>98.509698407019798</v>
      </c>
      <c r="AK2476">
        <v>12.536046329203399</v>
      </c>
      <c r="AL2476">
        <v>86.514700547598594</v>
      </c>
      <c r="AM2476">
        <v>91.841463936424304</v>
      </c>
      <c r="AN2476">
        <v>0.99999994849514495</v>
      </c>
    </row>
    <row r="2477" spans="1:40" x14ac:dyDescent="0.25">
      <c r="A2477" t="str">
        <f>"20190312160650252"</f>
        <v>20190312160650252</v>
      </c>
      <c r="B2477" t="str">
        <f>"1552378010247654"</f>
        <v>1552378010247654</v>
      </c>
      <c r="C2477" t="s">
        <v>40</v>
      </c>
      <c r="D2477">
        <v>6.4351529999999997</v>
      </c>
      <c r="E2477">
        <v>0.4555303</v>
      </c>
      <c r="F2477" t="s">
        <v>66</v>
      </c>
      <c r="G2477">
        <v>-460.90600000000001</v>
      </c>
      <c r="H2477" s="1">
        <v>-1.013802E-6</v>
      </c>
      <c r="I2477">
        <v>283.6814</v>
      </c>
      <c r="J2477">
        <v>-448.89449999999999</v>
      </c>
      <c r="K2477">
        <v>1.111472</v>
      </c>
      <c r="L2477">
        <v>285.38510000000002</v>
      </c>
      <c r="M2477">
        <v>-0.99960910000000003</v>
      </c>
      <c r="N2477">
        <v>0</v>
      </c>
      <c r="O2477">
        <v>8.2566280000000002E-3</v>
      </c>
      <c r="P2477">
        <v>-0.99913200000000002</v>
      </c>
      <c r="Q2477">
        <v>3.3867319999999999E-2</v>
      </c>
      <c r="R2477">
        <v>-2.4259800000000002E-2</v>
      </c>
      <c r="S2477">
        <v>-3.0019840000000002</v>
      </c>
      <c r="T2477">
        <v>-0.26997670000000001</v>
      </c>
      <c r="U2477">
        <v>-0.41314699999999999</v>
      </c>
      <c r="V2477">
        <v>-3.2508500000000003E-2</v>
      </c>
      <c r="W2477">
        <v>6.0543039999999999E-2</v>
      </c>
      <c r="X2477">
        <v>0.99763610000000003</v>
      </c>
      <c r="Y2477">
        <v>-0.1439144</v>
      </c>
      <c r="Z2477">
        <v>-7.1661190000000003E-3</v>
      </c>
      <c r="AA2477">
        <v>0.9895642</v>
      </c>
      <c r="AB2477">
        <v>35</v>
      </c>
      <c r="AC2477">
        <v>-12.0115</v>
      </c>
      <c r="AD2477">
        <v>-1.1114730138019999</v>
      </c>
      <c r="AE2477">
        <v>-1.70370000000002</v>
      </c>
      <c r="AF2477">
        <v>-1.7878451568582401</v>
      </c>
      <c r="AG2477">
        <v>-1.1114730138019999</v>
      </c>
      <c r="AH2477">
        <v>11.897157415526699</v>
      </c>
      <c r="AI2477">
        <v>95.278349038944498</v>
      </c>
      <c r="AJ2477">
        <v>98.546173792459399</v>
      </c>
      <c r="AK2477">
        <v>12.081974885553</v>
      </c>
      <c r="AL2477">
        <v>86.529016751883702</v>
      </c>
      <c r="AM2477">
        <v>91.866352893047207</v>
      </c>
      <c r="AN2477">
        <v>1.00000002514395</v>
      </c>
    </row>
    <row r="2478" spans="1:40" x14ac:dyDescent="0.25">
      <c r="A2478" t="str">
        <f>"20190312160650274"</f>
        <v>20190312160650274</v>
      </c>
      <c r="B2478" t="str">
        <f>"1552378010267175"</f>
        <v>1552378010267175</v>
      </c>
      <c r="C2478" t="s">
        <v>40</v>
      </c>
      <c r="D2478">
        <v>6.4540430000000004</v>
      </c>
      <c r="E2478">
        <v>0.45454600000000001</v>
      </c>
      <c r="F2478" t="s">
        <v>66</v>
      </c>
      <c r="G2478">
        <v>-461.27390000000003</v>
      </c>
      <c r="H2478" s="1">
        <v>-8.166351E-7</v>
      </c>
      <c r="I2478">
        <v>283.64999999999998</v>
      </c>
      <c r="J2478">
        <v>-449.23200000000003</v>
      </c>
      <c r="K2478">
        <v>1.1114850000000001</v>
      </c>
      <c r="L2478">
        <v>285.3879</v>
      </c>
      <c r="M2478">
        <v>-0.99960689999999996</v>
      </c>
      <c r="N2478">
        <v>0</v>
      </c>
      <c r="O2478">
        <v>8.2572159999999995E-3</v>
      </c>
      <c r="P2478">
        <v>-0.99912429999999997</v>
      </c>
      <c r="Q2478">
        <v>3.3750080000000002E-2</v>
      </c>
      <c r="R2478">
        <v>-2.473274E-2</v>
      </c>
      <c r="S2478">
        <v>-3.0015559999999999</v>
      </c>
      <c r="T2478">
        <v>-0.26949099999999998</v>
      </c>
      <c r="U2478">
        <v>-0.42068480000000003</v>
      </c>
      <c r="V2478">
        <v>-3.2982379999999999E-2</v>
      </c>
      <c r="W2478">
        <v>6.0505429999999999E-2</v>
      </c>
      <c r="X2478">
        <v>0.99762280000000003</v>
      </c>
      <c r="Y2478">
        <v>-0.1463642</v>
      </c>
      <c r="Z2478">
        <v>-7.2623380000000001E-3</v>
      </c>
      <c r="AA2478">
        <v>0.98920410000000003</v>
      </c>
      <c r="AB2478">
        <v>35</v>
      </c>
      <c r="AC2478">
        <v>-12.0419</v>
      </c>
      <c r="AD2478">
        <v>-1.1114858166351</v>
      </c>
      <c r="AE2478">
        <v>-1.73790000000002</v>
      </c>
      <c r="AF2478">
        <v>-1.8221021917478599</v>
      </c>
      <c r="AG2478">
        <v>-1.1114858166351</v>
      </c>
      <c r="AH2478">
        <v>11.9275892181643</v>
      </c>
      <c r="AI2478">
        <v>95.263088523114803</v>
      </c>
      <c r="AJ2478">
        <v>98.685564176808199</v>
      </c>
      <c r="AK2478">
        <v>12.1170475642799</v>
      </c>
      <c r="AL2478">
        <v>86.531175508770403</v>
      </c>
      <c r="AM2478">
        <v>91.893564488064399</v>
      </c>
      <c r="AN2478">
        <v>0.99999999776489401</v>
      </c>
    </row>
    <row r="2479" spans="1:40" x14ac:dyDescent="0.25">
      <c r="A2479" t="str">
        <f>"20190312160650296"</f>
        <v>20190312160650296</v>
      </c>
      <c r="B2479" t="str">
        <f>"1552378010287670"</f>
        <v>1552378010287670</v>
      </c>
      <c r="C2479" t="s">
        <v>40</v>
      </c>
      <c r="D2479">
        <v>6.2026260000000004</v>
      </c>
      <c r="E2479">
        <v>0.4534379</v>
      </c>
      <c r="F2479" t="s">
        <v>66</v>
      </c>
      <c r="G2479">
        <v>-461.82060000000001</v>
      </c>
      <c r="H2479" s="1">
        <v>-5.2280949999999899E-7</v>
      </c>
      <c r="I2479">
        <v>283.58409999999998</v>
      </c>
      <c r="J2479">
        <v>-449.5761</v>
      </c>
      <c r="K2479">
        <v>1.1114999999999999</v>
      </c>
      <c r="L2479">
        <v>285.39069999999998</v>
      </c>
      <c r="M2479">
        <v>-0.99960450000000001</v>
      </c>
      <c r="N2479">
        <v>0</v>
      </c>
      <c r="O2479">
        <v>8.2578830000000006E-3</v>
      </c>
      <c r="P2479">
        <v>-0.9991044</v>
      </c>
      <c r="Q2479">
        <v>3.3626209999999997E-2</v>
      </c>
      <c r="R2479">
        <v>-2.569339E-2</v>
      </c>
      <c r="S2479">
        <v>-3.0009160000000001</v>
      </c>
      <c r="T2479">
        <v>-0.26495869999999999</v>
      </c>
      <c r="U2479">
        <v>-0.42999270000000001</v>
      </c>
      <c r="V2479">
        <v>-3.3942890000000003E-2</v>
      </c>
      <c r="W2479">
        <v>6.0467840000000002E-2</v>
      </c>
      <c r="X2479">
        <v>0.9975929</v>
      </c>
      <c r="Y2479">
        <v>-0.14940980000000001</v>
      </c>
      <c r="Z2479">
        <v>-7.27421199999999E-3</v>
      </c>
      <c r="AA2479">
        <v>0.98874859999999998</v>
      </c>
      <c r="AB2479">
        <v>35</v>
      </c>
      <c r="AC2479">
        <v>-12.2445</v>
      </c>
      <c r="AD2479">
        <v>-1.1115005228094901</v>
      </c>
      <c r="AE2479">
        <v>-1.8066</v>
      </c>
      <c r="AF2479">
        <v>-1.8924268372717601</v>
      </c>
      <c r="AG2479">
        <v>-1.1115005228094901</v>
      </c>
      <c r="AH2479">
        <v>12.1313234808778</v>
      </c>
      <c r="AI2479">
        <v>95.172744627936595</v>
      </c>
      <c r="AJ2479">
        <v>98.866401124256598</v>
      </c>
      <c r="AK2479">
        <v>12.32824894883</v>
      </c>
      <c r="AL2479">
        <v>86.5333333433219</v>
      </c>
      <c r="AM2479">
        <v>91.948725155195902</v>
      </c>
      <c r="AN2479">
        <v>1.0000000367931099</v>
      </c>
    </row>
    <row r="2480" spans="1:40" x14ac:dyDescent="0.25">
      <c r="A2480" t="str">
        <f>"20190312160650319"</f>
        <v>20190312160650319</v>
      </c>
      <c r="B2480" t="str">
        <f>"1552378010308167"</f>
        <v>1552378010308167</v>
      </c>
      <c r="C2480" t="s">
        <v>40</v>
      </c>
      <c r="D2480">
        <v>6.3477920000000001</v>
      </c>
      <c r="E2480">
        <v>0.45288630000000002</v>
      </c>
      <c r="F2480" t="s">
        <v>66</v>
      </c>
      <c r="G2480">
        <v>-462.28</v>
      </c>
      <c r="H2480" s="1">
        <v>-2.7566249999999998E-7</v>
      </c>
      <c r="I2480">
        <v>283.52190000000002</v>
      </c>
      <c r="J2480">
        <v>-449.91820000000001</v>
      </c>
      <c r="K2480">
        <v>1.1115219999999999</v>
      </c>
      <c r="L2480">
        <v>285.39350000000002</v>
      </c>
      <c r="M2480">
        <v>-0.99960210000000005</v>
      </c>
      <c r="N2480">
        <v>0</v>
      </c>
      <c r="O2480">
        <v>8.2576469999999999E-3</v>
      </c>
      <c r="P2480">
        <v>-0.99909340000000002</v>
      </c>
      <c r="Q2480">
        <v>3.317751E-2</v>
      </c>
      <c r="R2480">
        <v>-2.667982E-2</v>
      </c>
      <c r="S2480">
        <v>-3.0001829999999998</v>
      </c>
      <c r="T2480">
        <v>-0.26249539999999999</v>
      </c>
      <c r="U2480">
        <v>-0.44134519999999999</v>
      </c>
      <c r="V2480">
        <v>-3.4929259999999997E-2</v>
      </c>
      <c r="W2480">
        <v>6.0110379999999998E-2</v>
      </c>
      <c r="X2480">
        <v>0.99758040000000003</v>
      </c>
      <c r="Y2480">
        <v>-0.15310389999999999</v>
      </c>
      <c r="Z2480">
        <v>-7.3670599999999999E-3</v>
      </c>
      <c r="AA2480">
        <v>0.98818260000000002</v>
      </c>
      <c r="AB2480">
        <v>34</v>
      </c>
      <c r="AC2480">
        <v>-12.361799999999899</v>
      </c>
      <c r="AD2480">
        <v>-1.1115222756624901</v>
      </c>
      <c r="AE2480">
        <v>-1.8715999999999999</v>
      </c>
      <c r="AF2480">
        <v>-1.9581758468398001</v>
      </c>
      <c r="AG2480">
        <v>-1.1115222756624901</v>
      </c>
      <c r="AH2480">
        <v>12.2491043972345</v>
      </c>
      <c r="AI2480">
        <v>95.120335800403595</v>
      </c>
      <c r="AJ2480">
        <v>99.082610718564894</v>
      </c>
      <c r="AK2480">
        <v>12.4543363111323</v>
      </c>
      <c r="AL2480">
        <v>86.553851429089306</v>
      </c>
      <c r="AM2480">
        <v>92.005334036713094</v>
      </c>
      <c r="AN2480">
        <v>0.99999998272602597</v>
      </c>
    </row>
    <row r="2481" spans="1:40" x14ac:dyDescent="0.25">
      <c r="A2481" t="str">
        <f>"20190312160650342"</f>
        <v>20190312160650342</v>
      </c>
      <c r="B2481" t="str">
        <f>"1552378010337952"</f>
        <v>1552378010337952</v>
      </c>
      <c r="C2481" t="s">
        <v>40</v>
      </c>
      <c r="D2481">
        <v>6.1919899999999997</v>
      </c>
      <c r="E2481">
        <v>0.4519958</v>
      </c>
      <c r="F2481" t="s">
        <v>66</v>
      </c>
      <c r="G2481">
        <v>-463.03829999999999</v>
      </c>
      <c r="H2481" s="1">
        <v>1.319498E-7</v>
      </c>
      <c r="I2481">
        <v>283.42919999999998</v>
      </c>
      <c r="J2481">
        <v>-450.26220000000001</v>
      </c>
      <c r="K2481">
        <v>1.11154</v>
      </c>
      <c r="L2481">
        <v>285.39640000000003</v>
      </c>
      <c r="M2481">
        <v>-0.99959960000000003</v>
      </c>
      <c r="N2481">
        <v>0</v>
      </c>
      <c r="O2481">
        <v>8.2530199999999998E-3</v>
      </c>
      <c r="P2481">
        <v>-0.99906130000000004</v>
      </c>
      <c r="Q2481">
        <v>3.3237269999999999E-2</v>
      </c>
      <c r="R2481">
        <v>-2.7785839999999999E-2</v>
      </c>
      <c r="S2481">
        <v>-2.9991759999999998</v>
      </c>
      <c r="T2481">
        <v>-0.25408579999999997</v>
      </c>
      <c r="U2481">
        <v>-0.44903559999999998</v>
      </c>
      <c r="V2481">
        <v>-3.6030600000000003E-2</v>
      </c>
      <c r="W2481">
        <v>6.0257449999999997E-2</v>
      </c>
      <c r="X2481">
        <v>0.99753239999999999</v>
      </c>
      <c r="Y2481">
        <v>-0.15565479999999901</v>
      </c>
      <c r="Z2481">
        <v>-7.2397939999999999E-3</v>
      </c>
      <c r="AA2481">
        <v>0.98778500000000002</v>
      </c>
      <c r="AB2481">
        <v>34</v>
      </c>
      <c r="AC2481">
        <v>-12.7760999999999</v>
      </c>
      <c r="AD2481">
        <v>-1.1115398680502</v>
      </c>
      <c r="AE2481">
        <v>-1.96720000000004</v>
      </c>
      <c r="AF2481">
        <v>-2.0574006599901802</v>
      </c>
      <c r="AG2481">
        <v>-1.1115398680502</v>
      </c>
      <c r="AH2481">
        <v>12.6657730238613</v>
      </c>
      <c r="AI2481">
        <v>94.950828116584304</v>
      </c>
      <c r="AJ2481">
        <v>99.226415660786301</v>
      </c>
      <c r="AK2481">
        <v>12.8798379122552</v>
      </c>
      <c r="AL2481">
        <v>86.545409788460603</v>
      </c>
      <c r="AM2481">
        <v>92.068608751093095</v>
      </c>
      <c r="AN2481">
        <v>1.00000002673331</v>
      </c>
    </row>
    <row r="2482" spans="1:40" x14ac:dyDescent="0.25">
      <c r="A2482" t="str">
        <f>"20190312160650365"</f>
        <v>20190312160650365</v>
      </c>
      <c r="B2482" t="str">
        <f>"1552378010357472"</f>
        <v>1552378010357472</v>
      </c>
      <c r="C2482" t="s">
        <v>40</v>
      </c>
      <c r="D2482">
        <v>6.2138519999999904</v>
      </c>
      <c r="E2482">
        <v>0.45138850000000003</v>
      </c>
      <c r="F2482" t="s">
        <v>66</v>
      </c>
      <c r="G2482">
        <v>-463.53649999999999</v>
      </c>
      <c r="H2482" s="1">
        <v>4.0000199999999998E-7</v>
      </c>
      <c r="I2482">
        <v>283.36219999999997</v>
      </c>
      <c r="J2482">
        <v>-450.60320000000002</v>
      </c>
      <c r="K2482">
        <v>1.1115630000000001</v>
      </c>
      <c r="L2482">
        <v>285.39920000000001</v>
      </c>
      <c r="M2482">
        <v>-0.99959750000000003</v>
      </c>
      <c r="N2482">
        <v>0</v>
      </c>
      <c r="O2482">
        <v>8.2392769999999997E-3</v>
      </c>
      <c r="P2482">
        <v>-0.99901879999999998</v>
      </c>
      <c r="Q2482">
        <v>3.3612499999999997E-2</v>
      </c>
      <c r="R2482">
        <v>-2.8838249999999999E-2</v>
      </c>
      <c r="S2482">
        <v>-2.9983520000000001</v>
      </c>
      <c r="T2482">
        <v>-0.25107000000000002</v>
      </c>
      <c r="U2482">
        <v>-0.45947270000000001</v>
      </c>
      <c r="V2482">
        <v>-3.7069820000000003E-2</v>
      </c>
      <c r="W2482">
        <v>6.0715329999999998E-2</v>
      </c>
      <c r="X2482">
        <v>0.99746650000000003</v>
      </c>
      <c r="Y2482">
        <v>-0.1590434</v>
      </c>
      <c r="Z2482">
        <v>-7.29392199999999E-3</v>
      </c>
      <c r="AA2482">
        <v>0.98724469999999998</v>
      </c>
      <c r="AB2482">
        <v>34</v>
      </c>
      <c r="AC2482">
        <v>-12.9332999999999</v>
      </c>
      <c r="AD2482">
        <v>-1.1115625999979999</v>
      </c>
      <c r="AE2482">
        <v>-2.0370000000000301</v>
      </c>
      <c r="AF2482">
        <v>-2.12819139393878</v>
      </c>
      <c r="AG2482">
        <v>-1.1115625999979999</v>
      </c>
      <c r="AH2482">
        <v>12.823639870020999</v>
      </c>
      <c r="AI2482">
        <v>94.887538666039106</v>
      </c>
      <c r="AJ2482">
        <v>99.422836541751707</v>
      </c>
      <c r="AK2482">
        <v>13.0464749851806</v>
      </c>
      <c r="AL2482">
        <v>86.519126879183005</v>
      </c>
      <c r="AM2482">
        <v>92.128359405056599</v>
      </c>
      <c r="AN2482">
        <v>0.99999997073704505</v>
      </c>
    </row>
    <row r="2483" spans="1:40" x14ac:dyDescent="0.25">
      <c r="A2483" t="str">
        <f>"20190312160650387"</f>
        <v>20190312160650387</v>
      </c>
      <c r="B2483" t="str">
        <f>"1552378010377968"</f>
        <v>1552378010377968</v>
      </c>
      <c r="C2483" t="s">
        <v>40</v>
      </c>
      <c r="D2483">
        <v>6.1888519999999998</v>
      </c>
      <c r="E2483">
        <v>0.45088990000000001</v>
      </c>
      <c r="F2483" t="s">
        <v>66</v>
      </c>
      <c r="G2483">
        <v>-464.03190000000001</v>
      </c>
      <c r="H2483" s="1">
        <v>6.6609059999999996E-7</v>
      </c>
      <c r="I2483">
        <v>283.30560000000003</v>
      </c>
      <c r="J2483">
        <v>-450.9316</v>
      </c>
      <c r="K2483">
        <v>1.111585</v>
      </c>
      <c r="L2483">
        <v>285.40179999999998</v>
      </c>
      <c r="M2483">
        <v>-0.99959549999999997</v>
      </c>
      <c r="N2483">
        <v>0</v>
      </c>
      <c r="O2483">
        <v>8.2141469999999998E-3</v>
      </c>
      <c r="P2483">
        <v>-0.99899450000000001</v>
      </c>
      <c r="Q2483">
        <v>3.3541059999999998E-2</v>
      </c>
      <c r="R2483">
        <v>-2.975531E-2</v>
      </c>
      <c r="S2483">
        <v>-2.997833</v>
      </c>
      <c r="T2483">
        <v>-0.24814530000000001</v>
      </c>
      <c r="U2483">
        <v>-0.46737669999999998</v>
      </c>
      <c r="V2483">
        <v>-3.7963009999999998E-2</v>
      </c>
      <c r="W2483">
        <v>6.0723899999999997E-2</v>
      </c>
      <c r="X2483">
        <v>0.9974324</v>
      </c>
      <c r="Y2483">
        <v>-0.1615907</v>
      </c>
      <c r="Z2483">
        <v>-7.3115910000000001E-3</v>
      </c>
      <c r="AA2483">
        <v>0.98683080000000001</v>
      </c>
      <c r="AB2483">
        <v>34</v>
      </c>
      <c r="AC2483">
        <v>-13.100300000000001</v>
      </c>
      <c r="AD2483">
        <v>-1.1115843339094</v>
      </c>
      <c r="AE2483">
        <v>-2.0961999999999499</v>
      </c>
      <c r="AF2483">
        <v>-2.1884140623438402</v>
      </c>
      <c r="AG2483">
        <v>-1.1115843339094</v>
      </c>
      <c r="AH2483">
        <v>12.991431791578099</v>
      </c>
      <c r="AI2483">
        <v>94.822860900528198</v>
      </c>
      <c r="AJ2483">
        <v>99.561740923879896</v>
      </c>
      <c r="AK2483">
        <v>13.2212736086537</v>
      </c>
      <c r="AL2483">
        <v>86.518635004612705</v>
      </c>
      <c r="AM2483">
        <v>92.179667369279599</v>
      </c>
      <c r="AN2483">
        <v>0.99999998736461404</v>
      </c>
    </row>
    <row r="2484" spans="1:40" x14ac:dyDescent="0.25">
      <c r="A2484" t="str">
        <f>"20190312160650409"</f>
        <v>20190312160650409</v>
      </c>
      <c r="B2484" t="str">
        <f>"1552378010397488"</f>
        <v>1552378010397488</v>
      </c>
      <c r="C2484" t="s">
        <v>40</v>
      </c>
      <c r="D2484">
        <v>6.2742839999999998</v>
      </c>
      <c r="E2484">
        <v>0.4503916</v>
      </c>
      <c r="F2484" t="s">
        <v>66</v>
      </c>
      <c r="G2484">
        <v>-464.4658</v>
      </c>
      <c r="H2484" s="1">
        <v>8.9892150000000005E-7</v>
      </c>
      <c r="I2484">
        <v>283.26119999999997</v>
      </c>
      <c r="J2484">
        <v>-451.25110000000001</v>
      </c>
      <c r="K2484">
        <v>1.1116200000000001</v>
      </c>
      <c r="L2484">
        <v>285.40440000000001</v>
      </c>
      <c r="M2484">
        <v>-0.99959339999999997</v>
      </c>
      <c r="N2484">
        <v>0</v>
      </c>
      <c r="O2484">
        <v>8.1769300000000007E-3</v>
      </c>
      <c r="P2484">
        <v>-0.99900409999999995</v>
      </c>
      <c r="Q2484">
        <v>3.3099770000000001E-2</v>
      </c>
      <c r="R2484">
        <v>-2.9926970000000001E-2</v>
      </c>
      <c r="S2484">
        <v>-2.9971009999999998</v>
      </c>
      <c r="T2484">
        <v>-0.24615719999999999</v>
      </c>
      <c r="U2484">
        <v>-0.47402949999999999</v>
      </c>
      <c r="V2484">
        <v>-3.8099380000000002E-2</v>
      </c>
      <c r="W2484">
        <v>6.036884E-2</v>
      </c>
      <c r="X2484">
        <v>0.99744869999999997</v>
      </c>
      <c r="Y2484">
        <v>-0.16373019999999999</v>
      </c>
      <c r="Z2484">
        <v>-7.3378530000000001E-3</v>
      </c>
      <c r="AA2484">
        <v>0.98647790000000002</v>
      </c>
      <c r="AB2484">
        <v>33</v>
      </c>
      <c r="AC2484">
        <v>-13.214699999999899</v>
      </c>
      <c r="AD2484">
        <v>-1.1116191010784999</v>
      </c>
      <c r="AE2484">
        <v>-2.14320000000003</v>
      </c>
      <c r="AF2484">
        <v>-2.2358088553891502</v>
      </c>
      <c r="AG2484">
        <v>-1.1116191010784999</v>
      </c>
      <c r="AH2484">
        <v>13.106360811730999</v>
      </c>
      <c r="AI2484">
        <v>94.779238122782502</v>
      </c>
      <c r="AJ2484">
        <v>99.680874870178997</v>
      </c>
      <c r="AK2484">
        <v>13.342084994145299</v>
      </c>
      <c r="AL2484">
        <v>86.539015651765496</v>
      </c>
      <c r="AM2484">
        <v>92.187453823474797</v>
      </c>
      <c r="AN2484">
        <v>0.99999993436550705</v>
      </c>
    </row>
    <row r="2485" spans="1:40" x14ac:dyDescent="0.25">
      <c r="A2485" t="str">
        <f>"20190312160650431"</f>
        <v>20190312160650431</v>
      </c>
      <c r="B2485" t="str">
        <f>"1552378010427159"</f>
        <v>1552378010427159</v>
      </c>
      <c r="C2485" t="s">
        <v>40</v>
      </c>
      <c r="D2485">
        <v>6.242991</v>
      </c>
      <c r="E2485">
        <v>0.44970729999999998</v>
      </c>
      <c r="F2485" t="s">
        <v>66</v>
      </c>
      <c r="G2485">
        <v>-464.8374</v>
      </c>
      <c r="H2485" s="1">
        <v>1.097789E-6</v>
      </c>
      <c r="I2485">
        <v>283.23540000000003</v>
      </c>
      <c r="J2485">
        <v>-451.57769999999999</v>
      </c>
      <c r="K2485">
        <v>1.11165</v>
      </c>
      <c r="L2485">
        <v>285.40699999999998</v>
      </c>
      <c r="M2485">
        <v>-0.99959109999999995</v>
      </c>
      <c r="N2485">
        <v>0</v>
      </c>
      <c r="O2485">
        <v>8.1274980000000004E-3</v>
      </c>
      <c r="P2485">
        <v>-0.99901960000000001</v>
      </c>
      <c r="Q2485">
        <v>3.2481980000000001E-2</v>
      </c>
      <c r="R2485">
        <v>-3.0084030000000001E-2</v>
      </c>
      <c r="S2485">
        <v>-2.9967350000000001</v>
      </c>
      <c r="T2485">
        <v>-0.24519099999999999</v>
      </c>
      <c r="U2485">
        <v>-0.47842410000000002</v>
      </c>
      <c r="V2485">
        <v>-3.8208060000000002E-2</v>
      </c>
      <c r="W2485">
        <v>5.9854310000000001E-2</v>
      </c>
      <c r="X2485">
        <v>0.99747560000000002</v>
      </c>
      <c r="Y2485">
        <v>-0.16511099999999901</v>
      </c>
      <c r="Z2485">
        <v>-7.3612209999999898E-3</v>
      </c>
      <c r="AA2485">
        <v>0.98624750000000005</v>
      </c>
      <c r="AB2485">
        <v>33</v>
      </c>
      <c r="AC2485">
        <v>-13.2597</v>
      </c>
      <c r="AD2485">
        <v>-1.1116489022110001</v>
      </c>
      <c r="AE2485">
        <v>-2.17159999999995</v>
      </c>
      <c r="AF2485">
        <v>-2.2638409627061198</v>
      </c>
      <c r="AG2485">
        <v>-1.1116489022110001</v>
      </c>
      <c r="AH2485">
        <v>13.151582980811201</v>
      </c>
      <c r="AI2485">
        <v>94.761788209115295</v>
      </c>
      <c r="AJ2485">
        <v>99.766865112606098</v>
      </c>
      <c r="AK2485">
        <v>13.391223771088899</v>
      </c>
      <c r="AL2485">
        <v>86.568549627090206</v>
      </c>
      <c r="AM2485">
        <v>92.193628433448595</v>
      </c>
      <c r="AN2485">
        <v>0.999999983434949</v>
      </c>
    </row>
    <row r="2486" spans="1:40" x14ac:dyDescent="0.25">
      <c r="A2486" t="str">
        <f>"20190312160650445"</f>
        <v>20190312160650445</v>
      </c>
      <c r="B2486" t="str">
        <f>"1552378010437896"</f>
        <v>1552378010437896</v>
      </c>
      <c r="C2486" t="s">
        <v>40</v>
      </c>
      <c r="D2486">
        <v>6.3187290000000003</v>
      </c>
      <c r="E2486">
        <v>0.44948139999999998</v>
      </c>
      <c r="F2486" t="s">
        <v>66</v>
      </c>
      <c r="G2486">
        <v>-465.05130000000003</v>
      </c>
      <c r="H2486" s="1">
        <v>1.2118730000000001E-6</v>
      </c>
      <c r="I2486">
        <v>283.22930000000002</v>
      </c>
      <c r="J2486">
        <v>-451.7885</v>
      </c>
      <c r="K2486">
        <v>1.111677</v>
      </c>
      <c r="L2486">
        <v>285.40870000000001</v>
      </c>
      <c r="M2486">
        <v>-0.99958910000000001</v>
      </c>
      <c r="N2486">
        <v>0</v>
      </c>
      <c r="O2486">
        <v>8.0904919999999995E-3</v>
      </c>
      <c r="P2486">
        <v>-0.99900599999999995</v>
      </c>
      <c r="Q2486">
        <v>3.2530030000000001E-2</v>
      </c>
      <c r="R2486">
        <v>-3.047648E-2</v>
      </c>
      <c r="S2486">
        <v>-2.9963989999999998</v>
      </c>
      <c r="T2486">
        <v>-0.24722060000000001</v>
      </c>
      <c r="U2486">
        <v>-0.48431400000000002</v>
      </c>
      <c r="V2486">
        <v>-3.856449E-2</v>
      </c>
      <c r="W2486">
        <v>5.9978999999999998E-2</v>
      </c>
      <c r="X2486">
        <v>0.99745439999999996</v>
      </c>
      <c r="Y2486">
        <v>-0.1669659</v>
      </c>
      <c r="Z2486">
        <v>-7.4945050000000003E-3</v>
      </c>
      <c r="AA2486">
        <v>0.98593419999999998</v>
      </c>
      <c r="AB2486">
        <v>33</v>
      </c>
      <c r="AC2486">
        <v>-13.2628</v>
      </c>
      <c r="AD2486">
        <v>-1.1116757881270001</v>
      </c>
      <c r="AE2486">
        <v>-2.1793999999999798</v>
      </c>
      <c r="AF2486">
        <v>-2.2711351389003802</v>
      </c>
      <c r="AG2486">
        <v>-1.1116757881270001</v>
      </c>
      <c r="AH2486">
        <v>13.154736043785199</v>
      </c>
      <c r="AI2486">
        <v>94.760359549114099</v>
      </c>
      <c r="AJ2486">
        <v>99.795422426695893</v>
      </c>
      <c r="AK2486">
        <v>13.3955574075407</v>
      </c>
      <c r="AL2486">
        <v>86.561392581015298</v>
      </c>
      <c r="AM2486">
        <v>92.214118786750404</v>
      </c>
      <c r="AN2486">
        <v>0.99999999020466002</v>
      </c>
    </row>
    <row r="2487" spans="1:40" x14ac:dyDescent="0.25">
      <c r="A2487" t="str">
        <f>"20190312160650458"</f>
        <v>20190312160650458</v>
      </c>
      <c r="B2487" t="str">
        <f>"1552378010447655"</f>
        <v>1552378010447655</v>
      </c>
      <c r="C2487" t="s">
        <v>40</v>
      </c>
      <c r="D2487">
        <v>6.2763730000000004</v>
      </c>
      <c r="E2487">
        <v>0.4492083</v>
      </c>
      <c r="F2487" t="s">
        <v>66</v>
      </c>
      <c r="G2487">
        <v>-465.37240000000003</v>
      </c>
      <c r="H2487" s="1">
        <v>1.383992E-6</v>
      </c>
      <c r="I2487">
        <v>283.20080000000002</v>
      </c>
      <c r="J2487">
        <v>-451.96600000000001</v>
      </c>
      <c r="K2487">
        <v>1.1116969999999999</v>
      </c>
      <c r="L2487">
        <v>285.4101</v>
      </c>
      <c r="M2487">
        <v>-0.99958749999999996</v>
      </c>
      <c r="N2487">
        <v>0</v>
      </c>
      <c r="O2487">
        <v>8.057481E-3</v>
      </c>
      <c r="P2487">
        <v>-0.99901110000000004</v>
      </c>
      <c r="Q2487">
        <v>3.2184219999999999E-2</v>
      </c>
      <c r="R2487">
        <v>-3.067951E-2</v>
      </c>
      <c r="S2487">
        <v>-2.9960939999999998</v>
      </c>
      <c r="T2487">
        <v>-0.2451943</v>
      </c>
      <c r="U2487">
        <v>-0.48696899999999999</v>
      </c>
      <c r="V2487">
        <v>-3.8734940000000002E-2</v>
      </c>
      <c r="W2487">
        <v>5.9700080000000003E-2</v>
      </c>
      <c r="X2487">
        <v>0.99746449999999998</v>
      </c>
      <c r="Y2487">
        <v>-0.16780729999999999</v>
      </c>
      <c r="Z2487">
        <v>-7.4649690000000001E-3</v>
      </c>
      <c r="AA2487">
        <v>0.98579159999999999</v>
      </c>
      <c r="AB2487">
        <v>33</v>
      </c>
      <c r="AC2487">
        <v>-13.4064</v>
      </c>
      <c r="AD2487">
        <v>-1.1116956160079901</v>
      </c>
      <c r="AE2487">
        <v>-2.2092999999999798</v>
      </c>
      <c r="AF2487">
        <v>-2.3018814322449299</v>
      </c>
      <c r="AG2487">
        <v>-1.1116956160079901</v>
      </c>
      <c r="AH2487">
        <v>13.299126867484899</v>
      </c>
      <c r="AI2487">
        <v>94.708648646716696</v>
      </c>
      <c r="AJ2487">
        <v>99.819758562338194</v>
      </c>
      <c r="AK2487">
        <v>13.5425736368028</v>
      </c>
      <c r="AL2487">
        <v>86.577402112316307</v>
      </c>
      <c r="AM2487">
        <v>92.223872601967301</v>
      </c>
      <c r="AN2487">
        <v>0.999999961944529</v>
      </c>
    </row>
    <row r="2488" spans="1:40" x14ac:dyDescent="0.25">
      <c r="A2488" t="str">
        <f>"20190312160650475"</f>
        <v>20190312160650475</v>
      </c>
      <c r="B2488" t="str">
        <f>"1552378010467175"</f>
        <v>1552378010467175</v>
      </c>
      <c r="C2488" t="s">
        <v>40</v>
      </c>
      <c r="D2488">
        <v>6.2255560000000001</v>
      </c>
      <c r="E2488">
        <v>0.44892179999999998</v>
      </c>
      <c r="F2488" t="s">
        <v>66</v>
      </c>
      <c r="G2488">
        <v>-465.56270000000001</v>
      </c>
      <c r="H2488" s="1">
        <v>1.485885E-6</v>
      </c>
      <c r="I2488">
        <v>283.18619999999999</v>
      </c>
      <c r="J2488">
        <v>-452.21969999999999</v>
      </c>
      <c r="K2488">
        <v>1.1117269999999999</v>
      </c>
      <c r="L2488">
        <v>285.41210000000001</v>
      </c>
      <c r="M2488">
        <v>-0.99958530000000001</v>
      </c>
      <c r="N2488">
        <v>0</v>
      </c>
      <c r="O2488">
        <v>8.0071550000000002E-3</v>
      </c>
      <c r="P2488">
        <v>-0.99900509999999998</v>
      </c>
      <c r="Q2488">
        <v>3.2190249999999997E-2</v>
      </c>
      <c r="R2488">
        <v>-3.087026E-2</v>
      </c>
      <c r="S2488">
        <v>-2.995819</v>
      </c>
      <c r="T2488">
        <v>-0.24494560000000001</v>
      </c>
      <c r="U2488">
        <v>-0.48999019999999999</v>
      </c>
      <c r="V2488">
        <v>-3.8875960000000001E-2</v>
      </c>
      <c r="W2488">
        <v>5.9804330000000003E-2</v>
      </c>
      <c r="X2488">
        <v>0.99745280000000003</v>
      </c>
      <c r="Y2488">
        <v>-0.16873859999999999</v>
      </c>
      <c r="Z2488">
        <v>-7.4911789999999997E-3</v>
      </c>
      <c r="AA2488">
        <v>0.98563239999999996</v>
      </c>
      <c r="AB2488">
        <v>32</v>
      </c>
      <c r="AC2488">
        <v>-13.343</v>
      </c>
      <c r="AD2488">
        <v>-1.111725514115</v>
      </c>
      <c r="AE2488">
        <v>-2.2259000000000202</v>
      </c>
      <c r="AF2488">
        <v>-2.31705931546424</v>
      </c>
      <c r="AG2488">
        <v>-1.111725514115</v>
      </c>
      <c r="AH2488">
        <v>13.235349179545</v>
      </c>
      <c r="AI2488">
        <v>94.7297863003906</v>
      </c>
      <c r="AJ2488">
        <v>99.929913258251304</v>
      </c>
      <c r="AK2488">
        <v>13.4825504039331</v>
      </c>
      <c r="AL2488">
        <v>86.571418442759096</v>
      </c>
      <c r="AM2488">
        <v>92.231986903827107</v>
      </c>
      <c r="AN2488">
        <v>0.99999999319025501</v>
      </c>
    </row>
    <row r="2489" spans="1:40" x14ac:dyDescent="0.25">
      <c r="A2489" t="str">
        <f>"20190312160650498"</f>
        <v>20190312160650498</v>
      </c>
      <c r="B2489" t="str">
        <f>"1552378010487671"</f>
        <v>1552378010487671</v>
      </c>
      <c r="C2489" t="s">
        <v>40</v>
      </c>
      <c r="D2489">
        <v>6.1983329999999999</v>
      </c>
      <c r="E2489">
        <v>0.44860119999999998</v>
      </c>
      <c r="F2489" t="s">
        <v>66</v>
      </c>
      <c r="G2489">
        <v>-465.75909999999999</v>
      </c>
      <c r="H2489" s="1">
        <v>1.5905339999999999E-6</v>
      </c>
      <c r="I2489">
        <v>283.18430000000001</v>
      </c>
      <c r="J2489">
        <v>-452.53870000000001</v>
      </c>
      <c r="K2489">
        <v>1.111753</v>
      </c>
      <c r="L2489">
        <v>285.41460000000001</v>
      </c>
      <c r="M2489">
        <v>-0.99958250000000004</v>
      </c>
      <c r="N2489">
        <v>0</v>
      </c>
      <c r="O2489">
        <v>7.9424040000000001E-3</v>
      </c>
      <c r="P2489">
        <v>-0.99901810000000002</v>
      </c>
      <c r="Q2489">
        <v>3.2161389999999998E-2</v>
      </c>
      <c r="R2489">
        <v>-3.0473699999999999E-2</v>
      </c>
      <c r="S2489">
        <v>-2.9956969999999998</v>
      </c>
      <c r="T2489">
        <v>-0.245977</v>
      </c>
      <c r="U2489">
        <v>-0.49291990000000002</v>
      </c>
      <c r="V2489">
        <v>-3.8415810000000002E-2</v>
      </c>
      <c r="W2489">
        <v>5.9896190000000002E-2</v>
      </c>
      <c r="X2489">
        <v>0.99746509999999999</v>
      </c>
      <c r="Y2489">
        <v>-0.16961229999999999</v>
      </c>
      <c r="Z2489">
        <v>-7.5526289999999999E-3</v>
      </c>
      <c r="AA2489">
        <v>0.98548190000000002</v>
      </c>
      <c r="AB2489">
        <v>32</v>
      </c>
      <c r="AC2489">
        <v>-13.2203999999999</v>
      </c>
      <c r="AD2489">
        <v>-1.1117514094659999</v>
      </c>
      <c r="AE2489">
        <v>-2.2303000000000002</v>
      </c>
      <c r="AF2489">
        <v>-2.3193241203484698</v>
      </c>
      <c r="AG2489">
        <v>-1.1117514094659999</v>
      </c>
      <c r="AH2489">
        <v>13.112102497970399</v>
      </c>
      <c r="AI2489">
        <v>94.772675279265499</v>
      </c>
      <c r="AJ2489">
        <v>100.03096218824901</v>
      </c>
      <c r="AK2489">
        <v>13.3619791755923</v>
      </c>
      <c r="AL2489">
        <v>86.566145744412594</v>
      </c>
      <c r="AM2489">
        <v>92.205567371597397</v>
      </c>
      <c r="AN2489">
        <v>0.99999997687623998</v>
      </c>
    </row>
    <row r="2490" spans="1:40" x14ac:dyDescent="0.25">
      <c r="A2490" t="str">
        <f>"20190312160650520"</f>
        <v>20190312160650520</v>
      </c>
      <c r="B2490" t="str">
        <f>"1552378010517927"</f>
        <v>1552378010517927</v>
      </c>
      <c r="C2490" t="s">
        <v>40</v>
      </c>
      <c r="D2490">
        <v>6.2955350000000001</v>
      </c>
      <c r="E2490">
        <v>0.4481021</v>
      </c>
      <c r="F2490" t="s">
        <v>66</v>
      </c>
      <c r="G2490">
        <v>-466.00839999999999</v>
      </c>
      <c r="H2490" s="1">
        <v>1.722792E-6</v>
      </c>
      <c r="I2490">
        <v>283.19319999999999</v>
      </c>
      <c r="J2490">
        <v>-452.84480000000002</v>
      </c>
      <c r="K2490">
        <v>1.111775</v>
      </c>
      <c r="L2490">
        <v>285.4169</v>
      </c>
      <c r="M2490">
        <v>-0.99957989999999997</v>
      </c>
      <c r="N2490">
        <v>0</v>
      </c>
      <c r="O2490">
        <v>7.8796109999999999E-3</v>
      </c>
      <c r="P2490">
        <v>-0.99902020000000002</v>
      </c>
      <c r="Q2490">
        <v>3.1979380000000002E-2</v>
      </c>
      <c r="R2490">
        <v>-3.0600329999999999E-2</v>
      </c>
      <c r="S2490">
        <v>-2.995819</v>
      </c>
      <c r="T2490">
        <v>-0.24726619999999999</v>
      </c>
      <c r="U2490">
        <v>-0.49404910000000002</v>
      </c>
      <c r="V2490">
        <v>-3.847971E-2</v>
      </c>
      <c r="W2490">
        <v>5.982527E-2</v>
      </c>
      <c r="X2490">
        <v>0.99746690000000005</v>
      </c>
      <c r="Y2490">
        <v>-0.16989889999999999</v>
      </c>
      <c r="Z2490">
        <v>-7.5981340000000003E-3</v>
      </c>
      <c r="AA2490">
        <v>0.98543219999999998</v>
      </c>
      <c r="AB2490">
        <v>32</v>
      </c>
      <c r="AC2490">
        <v>-13.163599999999899</v>
      </c>
      <c r="AD2490">
        <v>-1.111773277208</v>
      </c>
      <c r="AE2490">
        <v>-2.2237</v>
      </c>
      <c r="AF2490">
        <v>-2.3113653869366502</v>
      </c>
      <c r="AG2490">
        <v>-1.111773277208</v>
      </c>
      <c r="AH2490">
        <v>13.0551215278204</v>
      </c>
      <c r="AI2490">
        <v>94.793370340245005</v>
      </c>
      <c r="AJ2490">
        <v>100.039985111223</v>
      </c>
      <c r="AK2490">
        <v>13.3046851852272</v>
      </c>
      <c r="AL2490">
        <v>86.570216484838696</v>
      </c>
      <c r="AM2490">
        <v>92.209228448129096</v>
      </c>
      <c r="AN2490">
        <v>0.99999998380393296</v>
      </c>
    </row>
    <row r="2491" spans="1:40" x14ac:dyDescent="0.25">
      <c r="A2491" t="str">
        <f>"20190312160650543"</f>
        <v>20190312160650543</v>
      </c>
      <c r="B2491" t="str">
        <f>"1552378010537953"</f>
        <v>1552378010537953</v>
      </c>
      <c r="C2491" t="s">
        <v>40</v>
      </c>
      <c r="D2491">
        <v>6.2901410000000002</v>
      </c>
      <c r="E2491">
        <v>0.44769609999999899</v>
      </c>
      <c r="F2491" t="s">
        <v>66</v>
      </c>
      <c r="G2491">
        <v>-466.33190000000002</v>
      </c>
      <c r="H2491" s="1">
        <v>1.895866E-6</v>
      </c>
      <c r="I2491">
        <v>283.17230000000001</v>
      </c>
      <c r="J2491">
        <v>-453.16739999999999</v>
      </c>
      <c r="K2491">
        <v>1.1117969999999999</v>
      </c>
      <c r="L2491">
        <v>285.4194</v>
      </c>
      <c r="M2491">
        <v>-0.99957680000000004</v>
      </c>
      <c r="N2491">
        <v>0</v>
      </c>
      <c r="O2491">
        <v>7.8136419999999904E-3</v>
      </c>
      <c r="P2491">
        <v>-0.99899890000000002</v>
      </c>
      <c r="Q2491">
        <v>3.2215729999999998E-2</v>
      </c>
      <c r="R2491">
        <v>-3.1042940000000002E-2</v>
      </c>
      <c r="S2491">
        <v>-2.9955750000000001</v>
      </c>
      <c r="T2491">
        <v>-0.2469316</v>
      </c>
      <c r="U2491">
        <v>-0.49853520000000001</v>
      </c>
      <c r="V2491">
        <v>-3.8856500000000002E-2</v>
      </c>
      <c r="W2491">
        <v>6.0189390000000002E-2</v>
      </c>
      <c r="X2491">
        <v>0.99743040000000005</v>
      </c>
      <c r="Y2491">
        <v>-0.1712803</v>
      </c>
      <c r="Z2491">
        <v>-7.6386350000000004E-3</v>
      </c>
      <c r="AA2491">
        <v>0.98519270000000003</v>
      </c>
      <c r="AB2491">
        <v>31</v>
      </c>
      <c r="AC2491">
        <v>-13.1645</v>
      </c>
      <c r="AD2491">
        <v>-1.111795104134</v>
      </c>
      <c r="AE2491">
        <v>-2.2470999999999801</v>
      </c>
      <c r="AF2491">
        <v>-2.33376019844785</v>
      </c>
      <c r="AG2491">
        <v>-1.111795104134</v>
      </c>
      <c r="AH2491">
        <v>13.056047264150401</v>
      </c>
      <c r="AI2491">
        <v>94.791725116006404</v>
      </c>
      <c r="AJ2491">
        <v>100.13455148035</v>
      </c>
      <c r="AK2491">
        <v>13.309503941964399</v>
      </c>
      <c r="AL2491">
        <v>86.549316325696594</v>
      </c>
      <c r="AM2491">
        <v>92.230920824887903</v>
      </c>
      <c r="AN2491">
        <v>0.99999999655249106</v>
      </c>
    </row>
    <row r="2492" spans="1:40" x14ac:dyDescent="0.25">
      <c r="A2492" t="str">
        <f>"20190312160650565"</f>
        <v>20190312160650565</v>
      </c>
      <c r="B2492" t="str">
        <f>"1552378010557475"</f>
        <v>1552378010557475</v>
      </c>
      <c r="C2492" t="s">
        <v>40</v>
      </c>
      <c r="D2492">
        <v>6.2907859999999998</v>
      </c>
      <c r="E2492">
        <v>0.44736979999999998</v>
      </c>
      <c r="F2492" t="s">
        <v>66</v>
      </c>
      <c r="G2492">
        <v>-466.82220000000001</v>
      </c>
      <c r="H2492" s="1">
        <v>2.1586470000000002E-6</v>
      </c>
      <c r="I2492">
        <v>283.12880000000001</v>
      </c>
      <c r="J2492">
        <v>-453.46730000000002</v>
      </c>
      <c r="K2492">
        <v>1.111823</v>
      </c>
      <c r="L2492">
        <v>285.42160000000001</v>
      </c>
      <c r="M2492">
        <v>-0.9995735</v>
      </c>
      <c r="N2492">
        <v>0</v>
      </c>
      <c r="O2492">
        <v>7.7528730000000004E-3</v>
      </c>
      <c r="P2492">
        <v>-0.99896969999999996</v>
      </c>
      <c r="Q2492">
        <v>3.2369839999999997E-2</v>
      </c>
      <c r="R2492">
        <v>-3.1810320000000003E-2</v>
      </c>
      <c r="S2492">
        <v>-2.9952390000000002</v>
      </c>
      <c r="T2492">
        <v>-0.2438775</v>
      </c>
      <c r="U2492">
        <v>-0.50244140000000004</v>
      </c>
      <c r="V2492">
        <v>-3.9563050000000002E-2</v>
      </c>
      <c r="W2492">
        <v>6.0472110000000003E-2</v>
      </c>
      <c r="X2492">
        <v>0.99738550000000004</v>
      </c>
      <c r="Y2492">
        <v>-0.17249890000000001</v>
      </c>
      <c r="Z2492">
        <v>-7.5887799999999998E-3</v>
      </c>
      <c r="AA2492">
        <v>0.98498050000000004</v>
      </c>
      <c r="AB2492">
        <v>31</v>
      </c>
      <c r="AC2492">
        <v>-13.354899999999899</v>
      </c>
      <c r="AD2492">
        <v>-1.111820841353</v>
      </c>
      <c r="AE2492">
        <v>-2.2928000000000002</v>
      </c>
      <c r="AF2492">
        <v>-2.3802858078945901</v>
      </c>
      <c r="AG2492">
        <v>-1.111820841353</v>
      </c>
      <c r="AH2492">
        <v>13.247527269083699</v>
      </c>
      <c r="AI2492">
        <v>94.722132013101103</v>
      </c>
      <c r="AJ2492">
        <v>100.18608824234801</v>
      </c>
      <c r="AK2492">
        <v>13.5055131281876</v>
      </c>
      <c r="AL2492">
        <v>86.533088021467293</v>
      </c>
      <c r="AM2492">
        <v>92.271546972435303</v>
      </c>
      <c r="AN2492">
        <v>0.99999997331170098</v>
      </c>
    </row>
    <row r="2493" spans="1:40" x14ac:dyDescent="0.25">
      <c r="A2493" t="str">
        <f>"20190312160650588"</f>
        <v>20190312160650588</v>
      </c>
      <c r="B2493" t="str">
        <f>"1552378010577970"</f>
        <v>1552378010577970</v>
      </c>
      <c r="C2493" t="s">
        <v>40</v>
      </c>
      <c r="D2493">
        <v>6.1921229999999996</v>
      </c>
      <c r="E2493">
        <v>0.4469013</v>
      </c>
      <c r="F2493" t="s">
        <v>66</v>
      </c>
      <c r="G2493">
        <v>-467.27019999999999</v>
      </c>
      <c r="H2493" s="1">
        <v>2.399015E-6</v>
      </c>
      <c r="I2493">
        <v>283.084</v>
      </c>
      <c r="J2493">
        <v>-453.7758</v>
      </c>
      <c r="K2493">
        <v>1.1118520000000001</v>
      </c>
      <c r="L2493">
        <v>285.42399999999998</v>
      </c>
      <c r="M2493">
        <v>-0.99957030000000002</v>
      </c>
      <c r="N2493">
        <v>0</v>
      </c>
      <c r="O2493">
        <v>7.6907540000000002E-3</v>
      </c>
      <c r="P2493">
        <v>-0.99898120000000001</v>
      </c>
      <c r="Q2493">
        <v>3.1637459999999999E-2</v>
      </c>
      <c r="R2493">
        <v>-3.2180149999999998E-2</v>
      </c>
      <c r="S2493">
        <v>-2.99472</v>
      </c>
      <c r="T2493">
        <v>-0.24122440000000001</v>
      </c>
      <c r="U2493">
        <v>-0.50717159999999994</v>
      </c>
      <c r="V2493">
        <v>-3.9870290000000003E-2</v>
      </c>
      <c r="W2493">
        <v>5.987381E-2</v>
      </c>
      <c r="X2493">
        <v>0.9974094</v>
      </c>
      <c r="Y2493">
        <v>-0.17398629999999901</v>
      </c>
      <c r="Z2493">
        <v>-7.5612140000000001E-3</v>
      </c>
      <c r="AA2493">
        <v>0.98471900000000001</v>
      </c>
      <c r="AB2493">
        <v>31</v>
      </c>
      <c r="AC2493">
        <v>-13.494399999999899</v>
      </c>
      <c r="AD2493">
        <v>-1.1118496009850001</v>
      </c>
      <c r="AE2493">
        <v>-2.3400000000000301</v>
      </c>
      <c r="AF2493">
        <v>-2.4277542750943302</v>
      </c>
      <c r="AG2493">
        <v>-1.1118496009850001</v>
      </c>
      <c r="AH2493">
        <v>13.3877649429953</v>
      </c>
      <c r="AI2493">
        <v>94.671655201738403</v>
      </c>
      <c r="AJ2493">
        <v>100.27839352530999</v>
      </c>
      <c r="AK2493">
        <v>13.651463310735</v>
      </c>
      <c r="AL2493">
        <v>86.567430450777195</v>
      </c>
      <c r="AM2493">
        <v>92.289113935127901</v>
      </c>
      <c r="AN2493">
        <v>1.00000001217848</v>
      </c>
    </row>
    <row r="2494" spans="1:40" x14ac:dyDescent="0.25">
      <c r="A2494" t="str">
        <f>"20190312160650610"</f>
        <v>20190312160650610</v>
      </c>
      <c r="B2494" t="str">
        <f>"1552378010597489"</f>
        <v>1552378010597489</v>
      </c>
      <c r="C2494" t="s">
        <v>40</v>
      </c>
      <c r="D2494">
        <v>6.2587510000000002</v>
      </c>
      <c r="E2494">
        <v>0.44653979999999999</v>
      </c>
      <c r="F2494" t="s">
        <v>66</v>
      </c>
      <c r="G2494">
        <v>-467.59500000000003</v>
      </c>
      <c r="H2494" s="1">
        <v>2.5730420000000001E-6</v>
      </c>
      <c r="I2494">
        <v>283.05770000000001</v>
      </c>
      <c r="J2494">
        <v>-454.06950000000001</v>
      </c>
      <c r="K2494">
        <v>1.111874</v>
      </c>
      <c r="L2494">
        <v>285.42610000000002</v>
      </c>
      <c r="M2494">
        <v>-0.99956730000000005</v>
      </c>
      <c r="N2494">
        <v>0</v>
      </c>
      <c r="O2494">
        <v>7.63246699999999E-3</v>
      </c>
      <c r="P2494">
        <v>-0.99898339999999997</v>
      </c>
      <c r="Q2494">
        <v>3.1424929999999997E-2</v>
      </c>
      <c r="R2494">
        <v>-3.232459E-2</v>
      </c>
      <c r="S2494">
        <v>-2.994202</v>
      </c>
      <c r="T2494">
        <v>-0.2409037</v>
      </c>
      <c r="U2494">
        <v>-0.51269529999999996</v>
      </c>
      <c r="V2494">
        <v>-3.9956600000000002E-2</v>
      </c>
      <c r="W2494">
        <v>5.9780050000000001E-2</v>
      </c>
      <c r="X2494">
        <v>0.99741150000000001</v>
      </c>
      <c r="Y2494">
        <v>-0.1757184</v>
      </c>
      <c r="Z2494">
        <v>-7.6157450000000002E-3</v>
      </c>
      <c r="AA2494">
        <v>0.98441100000000004</v>
      </c>
      <c r="AB2494">
        <v>31</v>
      </c>
      <c r="AC2494">
        <v>-13.525499999999999</v>
      </c>
      <c r="AD2494">
        <v>-1.1118714269579999</v>
      </c>
      <c r="AE2494">
        <v>-2.3683999999999998</v>
      </c>
      <c r="AF2494">
        <v>-2.45550552485635</v>
      </c>
      <c r="AG2494">
        <v>-1.1118714269579999</v>
      </c>
      <c r="AH2494">
        <v>13.4190369174646</v>
      </c>
      <c r="AI2494">
        <v>94.659561353023605</v>
      </c>
      <c r="AJ2494">
        <v>100.369642838777</v>
      </c>
      <c r="AK2494">
        <v>13.6870857835028</v>
      </c>
      <c r="AL2494">
        <v>86.572811903092799</v>
      </c>
      <c r="AM2494">
        <v>92.294059226320101</v>
      </c>
      <c r="AN2494">
        <v>0.99999994229690403</v>
      </c>
    </row>
    <row r="2495" spans="1:40" x14ac:dyDescent="0.25">
      <c r="A2495" t="str">
        <f>"20190312160650625"</f>
        <v>20190312160650625</v>
      </c>
      <c r="B2495" t="str">
        <f>"1552378010617986"</f>
        <v>1552378010617986</v>
      </c>
      <c r="C2495" t="s">
        <v>40</v>
      </c>
      <c r="D2495">
        <v>6.1608489999999998</v>
      </c>
      <c r="E2495">
        <v>0.4461794</v>
      </c>
      <c r="F2495" t="s">
        <v>66</v>
      </c>
      <c r="G2495">
        <v>-467.98079999999999</v>
      </c>
      <c r="H2495" s="1">
        <v>2.7796579999999999E-6</v>
      </c>
      <c r="I2495">
        <v>283.02679999999998</v>
      </c>
      <c r="J2495">
        <v>-454.27289999999999</v>
      </c>
      <c r="K2495">
        <v>1.111888</v>
      </c>
      <c r="L2495">
        <v>285.42759999999998</v>
      </c>
      <c r="M2495">
        <v>-0.9995655</v>
      </c>
      <c r="N2495">
        <v>0</v>
      </c>
      <c r="O2495">
        <v>7.5916389999999999E-3</v>
      </c>
      <c r="P2495">
        <v>-0.99895849999999997</v>
      </c>
      <c r="Q2495">
        <v>3.2231870000000003E-2</v>
      </c>
      <c r="R2495">
        <v>-3.2300549999999997E-2</v>
      </c>
      <c r="S2495">
        <v>-2.9938660000000001</v>
      </c>
      <c r="T2495">
        <v>-0.23928679999999999</v>
      </c>
      <c r="U2495">
        <v>-0.51635739999999997</v>
      </c>
      <c r="V2495">
        <v>-3.989123E-2</v>
      </c>
      <c r="W2495">
        <v>6.0662029999999999E-2</v>
      </c>
      <c r="X2495">
        <v>0.99736089999999999</v>
      </c>
      <c r="Y2495">
        <v>-0.17687030000000001</v>
      </c>
      <c r="Z2495">
        <v>-7.6072329999999997E-3</v>
      </c>
      <c r="AA2495">
        <v>0.98420479999999999</v>
      </c>
      <c r="AB2495">
        <v>30</v>
      </c>
      <c r="AC2495">
        <v>-13.707899999999899</v>
      </c>
      <c r="AD2495">
        <v>-1.111885220342</v>
      </c>
      <c r="AE2495">
        <v>-2.4007999999999998</v>
      </c>
      <c r="AF2495">
        <v>-2.4889502851646399</v>
      </c>
      <c r="AG2495">
        <v>-1.111885220342</v>
      </c>
      <c r="AH2495">
        <v>13.602440500182899</v>
      </c>
      <c r="AI2495">
        <v>94.597070618239798</v>
      </c>
      <c r="AJ2495">
        <v>100.369171445416</v>
      </c>
      <c r="AK2495">
        <v>13.872907043091301</v>
      </c>
      <c r="AL2495">
        <v>86.522186410741298</v>
      </c>
      <c r="AM2495">
        <v>92.290426160497404</v>
      </c>
      <c r="AN2495">
        <v>0.99999997848172095</v>
      </c>
    </row>
    <row r="2496" spans="1:40" x14ac:dyDescent="0.25">
      <c r="A2496" t="str">
        <f>"20190312160650643"</f>
        <v>20190312160650643</v>
      </c>
      <c r="B2496" t="str">
        <f>"1552378010638012"</f>
        <v>1552378010638012</v>
      </c>
      <c r="C2496" t="s">
        <v>40</v>
      </c>
      <c r="D2496">
        <v>6.241949</v>
      </c>
      <c r="E2496">
        <v>0.44576680000000002</v>
      </c>
      <c r="F2496" t="s">
        <v>66</v>
      </c>
      <c r="G2496">
        <v>-468.2928</v>
      </c>
      <c r="H2496" s="1">
        <v>2.9469800000000002E-6</v>
      </c>
      <c r="I2496">
        <v>282.99799999999999</v>
      </c>
      <c r="J2496">
        <v>-454.51760000000002</v>
      </c>
      <c r="K2496">
        <v>1.1119110000000001</v>
      </c>
      <c r="L2496">
        <v>285.42939999999999</v>
      </c>
      <c r="M2496">
        <v>-0.99956319999999999</v>
      </c>
      <c r="N2496">
        <v>0</v>
      </c>
      <c r="O2496">
        <v>7.5414509999999898E-3</v>
      </c>
      <c r="P2496">
        <v>-0.99890369999999995</v>
      </c>
      <c r="Q2496">
        <v>3.3690020000000001E-2</v>
      </c>
      <c r="R2496">
        <v>-3.2505300000000001E-2</v>
      </c>
      <c r="S2496">
        <v>-2.9940190000000002</v>
      </c>
      <c r="T2496">
        <v>-0.23744850000000001</v>
      </c>
      <c r="U2496">
        <v>-0.51885990000000004</v>
      </c>
      <c r="V2496">
        <v>-4.004576E-2</v>
      </c>
      <c r="W2496">
        <v>6.2210719999999997E-2</v>
      </c>
      <c r="X2496">
        <v>0.99725929999999996</v>
      </c>
      <c r="Y2496">
        <v>-0.177618</v>
      </c>
      <c r="Z2496">
        <v>-7.5735019999999898E-3</v>
      </c>
      <c r="AA2496">
        <v>0.98407040000000001</v>
      </c>
      <c r="AB2496">
        <v>30</v>
      </c>
      <c r="AC2496">
        <v>-13.7751999999999</v>
      </c>
      <c r="AD2496">
        <v>-1.1119080530200001</v>
      </c>
      <c r="AE2496">
        <v>-2.4313999999999898</v>
      </c>
      <c r="AF2496">
        <v>-2.5193396307549101</v>
      </c>
      <c r="AG2496">
        <v>-1.1119080530200001</v>
      </c>
      <c r="AH2496">
        <v>13.670088864467701</v>
      </c>
      <c r="AI2496">
        <v>94.573445649377703</v>
      </c>
      <c r="AJ2496">
        <v>100.442199401476</v>
      </c>
      <c r="AK2496">
        <v>13.944702981989501</v>
      </c>
      <c r="AL2496">
        <v>86.433285048579606</v>
      </c>
      <c r="AM2496">
        <v>92.299523270157493</v>
      </c>
      <c r="AN2496">
        <v>0.99999997400669205</v>
      </c>
    </row>
    <row r="2497" spans="1:40" x14ac:dyDescent="0.25">
      <c r="A2497" t="str">
        <f>"20190312160650665"</f>
        <v>20190312160650665</v>
      </c>
      <c r="B2497" t="str">
        <f>"1552378010657532"</f>
        <v>1552378010657532</v>
      </c>
      <c r="C2497" t="s">
        <v>40</v>
      </c>
      <c r="D2497">
        <v>6.2534859999999997</v>
      </c>
      <c r="E2497">
        <v>0.44542280000000001</v>
      </c>
      <c r="F2497" t="s">
        <v>66</v>
      </c>
      <c r="G2497">
        <v>-468.8766</v>
      </c>
      <c r="H2497" s="1">
        <v>3.260886E-6</v>
      </c>
      <c r="I2497">
        <v>282.9239</v>
      </c>
      <c r="J2497">
        <v>-454.80829999999997</v>
      </c>
      <c r="K2497">
        <v>1.1119289999999999</v>
      </c>
      <c r="L2497">
        <v>285.43150000000003</v>
      </c>
      <c r="M2497">
        <v>-0.99956049999999996</v>
      </c>
      <c r="N2497">
        <v>0</v>
      </c>
      <c r="O2497">
        <v>7.4787919999999997E-3</v>
      </c>
      <c r="P2497">
        <v>-0.99891269999999999</v>
      </c>
      <c r="Q2497">
        <v>3.3894899999999999E-2</v>
      </c>
      <c r="R2497">
        <v>-3.2014470000000003E-2</v>
      </c>
      <c r="S2497">
        <v>-2.9941409999999999</v>
      </c>
      <c r="T2497">
        <v>-0.23185539999999999</v>
      </c>
      <c r="U2497">
        <v>-0.52246090000000001</v>
      </c>
      <c r="V2497">
        <v>-3.9492880000000001E-2</v>
      </c>
      <c r="W2497">
        <v>6.2530530000000001E-2</v>
      </c>
      <c r="X2497">
        <v>0.99726130000000002</v>
      </c>
      <c r="Y2497">
        <v>-0.17872160000000001</v>
      </c>
      <c r="Z2497">
        <v>-7.4321269999999898E-3</v>
      </c>
      <c r="AA2497">
        <v>0.98387159999999996</v>
      </c>
      <c r="AB2497">
        <v>30</v>
      </c>
      <c r="AC2497">
        <v>-14.068300000000001</v>
      </c>
      <c r="AD2497">
        <v>-1.1119257391140001</v>
      </c>
      <c r="AE2497">
        <v>-2.50760000000002</v>
      </c>
      <c r="AF2497">
        <v>-2.5970628605574899</v>
      </c>
      <c r="AG2497">
        <v>-1.1119257391140001</v>
      </c>
      <c r="AH2497">
        <v>13.964594760674499</v>
      </c>
      <c r="AI2497">
        <v>94.476121400199503</v>
      </c>
      <c r="AJ2497">
        <v>100.535212930629</v>
      </c>
      <c r="AK2497">
        <v>14.247491750509999</v>
      </c>
      <c r="AL2497">
        <v>86.414925373329893</v>
      </c>
      <c r="AM2497">
        <v>92.2678044148129</v>
      </c>
      <c r="AN2497">
        <v>0.99999992761522905</v>
      </c>
    </row>
    <row r="2498" spans="1:40" x14ac:dyDescent="0.25">
      <c r="A2498" t="str">
        <f>"20190312160650687"</f>
        <v>20190312160650687</v>
      </c>
      <c r="B2498" t="str">
        <f>"1552378010678028"</f>
        <v>1552378010678028</v>
      </c>
      <c r="C2498" t="s">
        <v>40</v>
      </c>
      <c r="D2498">
        <v>6.4179370000000002</v>
      </c>
      <c r="E2498">
        <v>0.44543260000000001</v>
      </c>
      <c r="F2498" t="s">
        <v>66</v>
      </c>
      <c r="G2498">
        <v>-469.26029999999997</v>
      </c>
      <c r="H2498" s="1">
        <v>3.4658879999999998E-6</v>
      </c>
      <c r="I2498">
        <v>282.90499999999997</v>
      </c>
      <c r="J2498">
        <v>-455.09160000000003</v>
      </c>
      <c r="K2498">
        <v>1.11195</v>
      </c>
      <c r="L2498">
        <v>285.43360000000001</v>
      </c>
      <c r="M2498">
        <v>-0.99955749999999999</v>
      </c>
      <c r="N2498">
        <v>0</v>
      </c>
      <c r="O2498">
        <v>7.4117380000000002E-3</v>
      </c>
      <c r="P2498">
        <v>-0.99895610000000001</v>
      </c>
      <c r="Q2498">
        <v>3.314214E-2</v>
      </c>
      <c r="R2498">
        <v>-3.143634E-2</v>
      </c>
      <c r="S2498">
        <v>-2.9942929999999999</v>
      </c>
      <c r="T2498">
        <v>-0.23037840000000001</v>
      </c>
      <c r="U2498">
        <v>-0.52346800000000004</v>
      </c>
      <c r="V2498">
        <v>-3.8848170000000001E-2</v>
      </c>
      <c r="W2498">
        <v>6.1893280000000002E-2</v>
      </c>
      <c r="X2498">
        <v>0.99732639999999995</v>
      </c>
      <c r="Y2498">
        <v>-0.17897469999999999</v>
      </c>
      <c r="Z2498">
        <v>-7.3888699999999996E-3</v>
      </c>
      <c r="AA2498">
        <v>0.98382590000000003</v>
      </c>
      <c r="AB2498">
        <v>29</v>
      </c>
      <c r="AC2498">
        <v>-14.1686999999999</v>
      </c>
      <c r="AD2498">
        <v>-1.1119465341120001</v>
      </c>
      <c r="AE2498">
        <v>-2.5286000000000399</v>
      </c>
      <c r="AF2498">
        <v>-2.61796252586546</v>
      </c>
      <c r="AG2498">
        <v>-1.1119465341120001</v>
      </c>
      <c r="AH2498">
        <v>14.065605743379299</v>
      </c>
      <c r="AI2498">
        <v>94.444068879979994</v>
      </c>
      <c r="AJ2498">
        <v>100.54353679272801</v>
      </c>
      <c r="AK2498">
        <v>14.3503107217142</v>
      </c>
      <c r="AL2498">
        <v>86.4515080651272</v>
      </c>
      <c r="AM2498">
        <v>92.230675399388801</v>
      </c>
      <c r="AN2498">
        <v>0.99999995327923197</v>
      </c>
    </row>
    <row r="2499" spans="1:40" x14ac:dyDescent="0.25">
      <c r="A2499" t="str">
        <f>"20190312160650710"</f>
        <v>20190312160650710</v>
      </c>
      <c r="B2499" t="str">
        <f>"1552378010707308"</f>
        <v>1552378010707308</v>
      </c>
      <c r="C2499" t="s">
        <v>40</v>
      </c>
      <c r="D2499">
        <v>6.0984449999999999</v>
      </c>
      <c r="E2499">
        <v>0.4906779</v>
      </c>
      <c r="F2499" t="s">
        <v>66</v>
      </c>
      <c r="G2499">
        <v>-469.38279999999997</v>
      </c>
      <c r="H2499" s="1">
        <v>3.5294110000000001E-6</v>
      </c>
      <c r="I2499">
        <v>282.94349999999997</v>
      </c>
      <c r="J2499">
        <v>-455.37819999999999</v>
      </c>
      <c r="K2499">
        <v>1.1119650000000001</v>
      </c>
      <c r="L2499">
        <v>285.43560000000002</v>
      </c>
      <c r="M2499">
        <v>-0.99955510000000003</v>
      </c>
      <c r="N2499">
        <v>0</v>
      </c>
      <c r="O2499">
        <v>7.3298249999999999E-3</v>
      </c>
      <c r="P2499">
        <v>-0.99898379999999998</v>
      </c>
      <c r="Q2499">
        <v>3.2378770000000001E-2</v>
      </c>
      <c r="R2499">
        <v>-3.1355059999999997E-2</v>
      </c>
      <c r="S2499">
        <v>-2.9944459999999999</v>
      </c>
      <c r="T2499">
        <v>-0.23298559999999999</v>
      </c>
      <c r="U2499">
        <v>-0.52175899999999997</v>
      </c>
      <c r="V2499">
        <v>-3.8686150000000002E-2</v>
      </c>
      <c r="W2499">
        <v>6.1238399999999998E-2</v>
      </c>
      <c r="X2499">
        <v>0.99737319999999996</v>
      </c>
      <c r="Y2499">
        <v>-0.17833060000000001</v>
      </c>
      <c r="Z2499">
        <v>-7.4410830000000002E-3</v>
      </c>
      <c r="AA2499">
        <v>0.98394250000000005</v>
      </c>
      <c r="AB2499">
        <v>29</v>
      </c>
      <c r="AC2499">
        <v>-14.0045999999999</v>
      </c>
      <c r="AD2499">
        <v>-1.111961470589</v>
      </c>
      <c r="AE2499">
        <v>-2.4921000000000499</v>
      </c>
      <c r="AF2499">
        <v>-2.5789676023545001</v>
      </c>
      <c r="AG2499">
        <v>-1.111961470589</v>
      </c>
      <c r="AH2499">
        <v>13.901002735939899</v>
      </c>
      <c r="AI2499">
        <v>94.497020764888006</v>
      </c>
      <c r="AJ2499">
        <v>100.510236790695</v>
      </c>
      <c r="AK2499">
        <v>14.181869033053299</v>
      </c>
      <c r="AL2499">
        <v>86.489101510538404</v>
      </c>
      <c r="AM2499">
        <v>92.2212773641712</v>
      </c>
      <c r="AN2499">
        <v>1.00000002995731</v>
      </c>
    </row>
    <row r="2500" spans="1:40" x14ac:dyDescent="0.25">
      <c r="A2500" t="str">
        <f>"20190312160650733"</f>
        <v>20190312160650733</v>
      </c>
      <c r="B2500" t="str">
        <f>"1552378010727803"</f>
        <v>1552378010727803</v>
      </c>
      <c r="C2500" t="s">
        <v>40</v>
      </c>
      <c r="D2500">
        <v>6.2725790000000003</v>
      </c>
      <c r="E2500">
        <v>0.48952459999999998</v>
      </c>
      <c r="F2500" t="s">
        <v>61</v>
      </c>
      <c r="G2500">
        <v>-490.34730000000002</v>
      </c>
      <c r="H2500" s="1">
        <v>3.8074219999999999E-6</v>
      </c>
      <c r="I2500">
        <v>283.5231</v>
      </c>
      <c r="J2500">
        <v>-455.66750000000002</v>
      </c>
      <c r="K2500">
        <v>1.1119950000000001</v>
      </c>
      <c r="L2500">
        <v>285.43759999999997</v>
      </c>
      <c r="M2500">
        <v>-0.99955300000000002</v>
      </c>
      <c r="N2500">
        <v>0</v>
      </c>
      <c r="O2500">
        <v>7.2218969999999997E-3</v>
      </c>
      <c r="P2500">
        <v>-0.99898889999999996</v>
      </c>
      <c r="Q2500">
        <v>3.2083599999999997E-2</v>
      </c>
      <c r="R2500">
        <v>-3.149631E-2</v>
      </c>
      <c r="S2500">
        <v>-3.0009459999999999</v>
      </c>
      <c r="T2500">
        <v>-9.5425129999999997E-2</v>
      </c>
      <c r="U2500">
        <v>-0.16412349999999901</v>
      </c>
      <c r="V2500">
        <v>-3.8721810000000002E-2</v>
      </c>
      <c r="W2500">
        <v>6.1041360000000003E-2</v>
      </c>
      <c r="X2500">
        <v>0.99738389999999999</v>
      </c>
      <c r="Y2500">
        <v>-6.178695E-2</v>
      </c>
      <c r="Z2500">
        <v>-1.210902E-3</v>
      </c>
      <c r="AA2500">
        <v>0.99808859999999999</v>
      </c>
      <c r="AB2500">
        <v>29</v>
      </c>
      <c r="AC2500">
        <v>-34.6798</v>
      </c>
      <c r="AD2500">
        <v>-1.1119911925779999</v>
      </c>
      <c r="AE2500">
        <v>-1.9144999999999699</v>
      </c>
      <c r="AF2500">
        <v>-2.1627925544975</v>
      </c>
      <c r="AG2500">
        <v>-1.1119911925779999</v>
      </c>
      <c r="AH2500">
        <v>34.629567063279197</v>
      </c>
      <c r="AI2500">
        <v>91.835620626849405</v>
      </c>
      <c r="AJ2500">
        <v>93.573770941356898</v>
      </c>
      <c r="AK2500">
        <v>34.714854328317699</v>
      </c>
      <c r="AL2500">
        <v>86.500412248605699</v>
      </c>
      <c r="AM2500">
        <v>92.223299004509798</v>
      </c>
      <c r="AN2500">
        <v>1.00000003508976</v>
      </c>
    </row>
    <row r="2501" spans="1:40" x14ac:dyDescent="0.25">
      <c r="A2501" t="str">
        <f>"20190312160650756"</f>
        <v>20190312160650756</v>
      </c>
      <c r="B2501" t="str">
        <f>"1552378010747327"</f>
        <v>1552378010747327</v>
      </c>
      <c r="C2501" t="s">
        <v>40</v>
      </c>
      <c r="D2501">
        <v>5.7120170000000003</v>
      </c>
      <c r="E2501">
        <v>0.489981</v>
      </c>
      <c r="F2501" t="s">
        <v>80</v>
      </c>
      <c r="G2501">
        <v>-610.38559999999995</v>
      </c>
      <c r="H2501">
        <v>-0.1</v>
      </c>
      <c r="I2501">
        <v>276.38889999999998</v>
      </c>
      <c r="J2501">
        <v>-455.94850000000002</v>
      </c>
      <c r="K2501">
        <v>1.1120380000000001</v>
      </c>
      <c r="L2501">
        <v>285.43950000000001</v>
      </c>
      <c r="M2501">
        <v>-0.99955139999999998</v>
      </c>
      <c r="N2501">
        <v>0</v>
      </c>
      <c r="O2501">
        <v>7.0739669999999996E-3</v>
      </c>
      <c r="P2501">
        <v>-0.99897910000000001</v>
      </c>
      <c r="Q2501">
        <v>3.2117399999999997E-2</v>
      </c>
      <c r="R2501">
        <v>-3.1765790000000002E-2</v>
      </c>
      <c r="S2501">
        <v>-2.9982600000000001</v>
      </c>
      <c r="T2501">
        <v>-2.3487089999999999E-2</v>
      </c>
      <c r="U2501">
        <v>-0.17535400000000001</v>
      </c>
      <c r="V2501">
        <v>-3.8847550000000002E-2</v>
      </c>
      <c r="W2501">
        <v>6.1158440000000001E-2</v>
      </c>
      <c r="X2501">
        <v>0.99737180000000003</v>
      </c>
      <c r="Y2501">
        <v>-6.5446690000000002E-2</v>
      </c>
      <c r="Z2501">
        <v>-3.1151019999999999E-4</v>
      </c>
      <c r="AA2501">
        <v>0.99785599999999997</v>
      </c>
      <c r="AB2501">
        <v>29</v>
      </c>
      <c r="AC2501">
        <v>-154.43709999999899</v>
      </c>
      <c r="AD2501">
        <v>-1.2120379999999999</v>
      </c>
      <c r="AE2501">
        <v>-9.0506000000000295</v>
      </c>
      <c r="AF2501">
        <v>-10.142696663317</v>
      </c>
      <c r="AG2501">
        <v>-1.2120379999999999</v>
      </c>
      <c r="AH2501">
        <v>154.35970691677699</v>
      </c>
      <c r="AI2501">
        <v>90.448911268402796</v>
      </c>
      <c r="AJ2501">
        <v>93.759397592791601</v>
      </c>
      <c r="AK2501">
        <v>154.697325287643</v>
      </c>
      <c r="AL2501">
        <v>86.493691369214602</v>
      </c>
      <c r="AM2501">
        <v>92.230538399388493</v>
      </c>
      <c r="AN2501">
        <v>0.99999999717973798</v>
      </c>
    </row>
    <row r="2502" spans="1:40" x14ac:dyDescent="0.25">
      <c r="A2502" t="str">
        <f>"20190312160650778"</f>
        <v>20190312160650778</v>
      </c>
      <c r="B2502" t="str">
        <f>"1552378010767819"</f>
        <v>1552378010767819</v>
      </c>
      <c r="C2502" t="s">
        <v>40</v>
      </c>
      <c r="D2502">
        <v>6.275995</v>
      </c>
      <c r="E2502">
        <v>0.49014049999999998</v>
      </c>
      <c r="F2502" t="s">
        <v>41</v>
      </c>
      <c r="G2502">
        <v>0</v>
      </c>
      <c r="H2502">
        <v>0</v>
      </c>
      <c r="I2502">
        <v>0</v>
      </c>
      <c r="J2502">
        <v>-456.2296</v>
      </c>
      <c r="K2502">
        <v>1.1120909999999999</v>
      </c>
      <c r="L2502">
        <v>285.44130000000001</v>
      </c>
      <c r="M2502">
        <v>-0.99955079999999996</v>
      </c>
      <c r="N2502">
        <v>0</v>
      </c>
      <c r="O2502">
        <v>6.8664449999999997E-3</v>
      </c>
      <c r="P2502">
        <v>-0.99897760000000002</v>
      </c>
      <c r="Q2502">
        <v>3.1917139999999997E-2</v>
      </c>
      <c r="R2502">
        <v>-3.2017759999999999E-2</v>
      </c>
      <c r="S2502">
        <v>-2.9974980000000002</v>
      </c>
      <c r="T2502">
        <v>2.5113819999999999E-3</v>
      </c>
      <c r="U2502">
        <v>-0.1730652</v>
      </c>
      <c r="V2502">
        <v>-3.8897800000000003E-2</v>
      </c>
      <c r="W2502">
        <v>6.1031370000000001E-2</v>
      </c>
      <c r="X2502">
        <v>0.99737759999999998</v>
      </c>
      <c r="Y2502">
        <v>-6.4497139999999994E-2</v>
      </c>
      <c r="Z2502" s="1">
        <v>3.2747019999999998E-5</v>
      </c>
      <c r="AA2502">
        <v>0.99791790000000002</v>
      </c>
      <c r="AB2502">
        <v>28</v>
      </c>
      <c r="AC2502">
        <v>-2.9974980000000002</v>
      </c>
      <c r="AD2502">
        <v>2.5113819999999999E-3</v>
      </c>
      <c r="AE2502">
        <v>-0.1730652</v>
      </c>
      <c r="AF2502">
        <v>-0.193651900121074</v>
      </c>
      <c r="AG2502">
        <v>2.5113819999999999E-3</v>
      </c>
      <c r="AH2502">
        <v>2.9962363309606701</v>
      </c>
      <c r="AI2502">
        <v>89.952075890522906</v>
      </c>
      <c r="AJ2502">
        <v>93.697981217358205</v>
      </c>
      <c r="AK2502">
        <v>3.0024888869783899</v>
      </c>
      <c r="AL2502">
        <v>86.500985481490005</v>
      </c>
      <c r="AM2502">
        <v>92.233407745969004</v>
      </c>
      <c r="AN2502">
        <v>0.99999997197533796</v>
      </c>
    </row>
    <row r="2503" spans="1:40" x14ac:dyDescent="0.25">
      <c r="A2503" t="str">
        <f>"20190312160650800"</f>
        <v>20190312160650800</v>
      </c>
      <c r="B2503" t="str">
        <f>"1552378010787340"</f>
        <v>1552378010787340</v>
      </c>
      <c r="C2503" t="s">
        <v>40</v>
      </c>
      <c r="D2503">
        <v>6.1848830000000001</v>
      </c>
      <c r="E2503">
        <v>0.49032249999999999</v>
      </c>
      <c r="F2503" t="s">
        <v>41</v>
      </c>
      <c r="G2503">
        <v>0</v>
      </c>
      <c r="H2503">
        <v>0</v>
      </c>
      <c r="I2503">
        <v>0</v>
      </c>
      <c r="J2503">
        <v>-456.49130000000002</v>
      </c>
      <c r="K2503">
        <v>1.112141</v>
      </c>
      <c r="L2503">
        <v>285.44279999999998</v>
      </c>
      <c r="M2503">
        <v>-0.99955050000000001</v>
      </c>
      <c r="N2503">
        <v>0</v>
      </c>
      <c r="O2503">
        <v>6.6210330000000001E-3</v>
      </c>
      <c r="P2503">
        <v>-0.99893209999999999</v>
      </c>
      <c r="Q2503">
        <v>3.2306880000000003E-2</v>
      </c>
      <c r="R2503">
        <v>-3.3023429999999999E-2</v>
      </c>
      <c r="S2503">
        <v>-2.9971619999999999</v>
      </c>
      <c r="T2503">
        <v>1.117051E-2</v>
      </c>
      <c r="U2503">
        <v>-0.17288210000000001</v>
      </c>
      <c r="V2503">
        <v>-3.9663810000000001E-2</v>
      </c>
      <c r="W2503">
        <v>6.1479230000000003E-2</v>
      </c>
      <c r="X2503">
        <v>0.99731990000000004</v>
      </c>
      <c r="Y2503">
        <v>-6.4197329999999997E-2</v>
      </c>
      <c r="Z2503">
        <v>1.442007E-4</v>
      </c>
      <c r="AA2503">
        <v>0.99793719999999997</v>
      </c>
      <c r="AB2503">
        <v>28</v>
      </c>
      <c r="AC2503">
        <v>-2.9971619999999999</v>
      </c>
      <c r="AD2503">
        <v>1.117051E-2</v>
      </c>
      <c r="AE2503">
        <v>-0.17288210000000001</v>
      </c>
      <c r="AF2503">
        <v>-0.19272843603791401</v>
      </c>
      <c r="AG2503">
        <v>1.117051E-2</v>
      </c>
      <c r="AH2503">
        <v>2.9959096230163502</v>
      </c>
      <c r="AI2503">
        <v>89.786809361369507</v>
      </c>
      <c r="AJ2503">
        <v>93.680795558155793</v>
      </c>
      <c r="AK2503">
        <v>3.0021231653003899</v>
      </c>
      <c r="AL2503">
        <v>86.475276631275804</v>
      </c>
      <c r="AM2503">
        <v>92.277475748524907</v>
      </c>
      <c r="AN2503">
        <v>0.99999994824055805</v>
      </c>
    </row>
    <row r="2504" spans="1:40" x14ac:dyDescent="0.25">
      <c r="A2504" t="str">
        <f>"20190312160650822"</f>
        <v>20190312160650822</v>
      </c>
      <c r="B2504" t="str">
        <f>"1552378010817596"</f>
        <v>1552378010817596</v>
      </c>
      <c r="C2504" t="s">
        <v>40</v>
      </c>
      <c r="D2504">
        <v>6.3398589999999997</v>
      </c>
      <c r="E2504">
        <v>0.49023359999999999</v>
      </c>
      <c r="F2504" t="s">
        <v>41</v>
      </c>
      <c r="G2504">
        <v>0</v>
      </c>
      <c r="H2504">
        <v>0</v>
      </c>
      <c r="I2504">
        <v>0</v>
      </c>
      <c r="J2504">
        <v>-456.76569999999998</v>
      </c>
      <c r="K2504">
        <v>1.112198</v>
      </c>
      <c r="L2504">
        <v>285.4443</v>
      </c>
      <c r="M2504">
        <v>-0.99955110000000003</v>
      </c>
      <c r="N2504">
        <v>0</v>
      </c>
      <c r="O2504">
        <v>6.2951889999999996E-3</v>
      </c>
      <c r="P2504">
        <v>-0.99888520000000003</v>
      </c>
      <c r="Q2504">
        <v>3.2214090000000001E-2</v>
      </c>
      <c r="R2504">
        <v>-3.4511609999999998E-2</v>
      </c>
      <c r="S2504">
        <v>-2.9970089999999998</v>
      </c>
      <c r="T2504">
        <v>1.390898E-2</v>
      </c>
      <c r="U2504">
        <v>-0.17425539999999901</v>
      </c>
      <c r="V2504">
        <v>-4.0832340000000002E-2</v>
      </c>
      <c r="W2504">
        <v>6.143829E-2</v>
      </c>
      <c r="X2504">
        <v>0.99727529999999998</v>
      </c>
      <c r="Y2504">
        <v>-6.4330419999999999E-2</v>
      </c>
      <c r="Z2504">
        <v>1.78355099999999E-4</v>
      </c>
      <c r="AA2504">
        <v>0.99792860000000005</v>
      </c>
      <c r="AB2504">
        <v>27</v>
      </c>
      <c r="AC2504">
        <v>-2.9970089999999998</v>
      </c>
      <c r="AD2504">
        <v>1.390898E-2</v>
      </c>
      <c r="AE2504">
        <v>-0.17425539999999901</v>
      </c>
      <c r="AF2504">
        <v>-0.19312263547439801</v>
      </c>
      <c r="AG2504">
        <v>1.390898E-2</v>
      </c>
      <c r="AH2504">
        <v>2.9957878147803201</v>
      </c>
      <c r="AI2504">
        <v>89.734537470445105</v>
      </c>
      <c r="AJ2504">
        <v>93.688452909681203</v>
      </c>
      <c r="AK2504">
        <v>3.00203838137414</v>
      </c>
      <c r="AL2504">
        <v>86.477626888406405</v>
      </c>
      <c r="AM2504">
        <v>92.344603076553597</v>
      </c>
      <c r="AN2504">
        <v>0.99999998372904397</v>
      </c>
    </row>
    <row r="2505" spans="1:40" x14ac:dyDescent="0.25">
      <c r="A2505" t="str">
        <f>"20190312160650844"</f>
        <v>20190312160650844</v>
      </c>
      <c r="B2505" t="str">
        <f>"1552378010838092"</f>
        <v>1552378010838092</v>
      </c>
      <c r="C2505" t="s">
        <v>40</v>
      </c>
      <c r="D2505">
        <v>6.2653480000000004</v>
      </c>
      <c r="E2505">
        <v>0.49046780000000001</v>
      </c>
      <c r="F2505" t="s">
        <v>41</v>
      </c>
      <c r="G2505">
        <v>0</v>
      </c>
      <c r="H2505">
        <v>0</v>
      </c>
      <c r="I2505">
        <v>0</v>
      </c>
      <c r="J2505">
        <v>-457.03129999999999</v>
      </c>
      <c r="K2505">
        <v>1.11226</v>
      </c>
      <c r="L2505">
        <v>285.44549999999998</v>
      </c>
      <c r="M2505">
        <v>-0.99955179999999999</v>
      </c>
      <c r="N2505">
        <v>0</v>
      </c>
      <c r="O2505">
        <v>5.9011589999999996E-3</v>
      </c>
      <c r="P2505">
        <v>-0.99884450000000002</v>
      </c>
      <c r="Q2505">
        <v>3.195481E-2</v>
      </c>
      <c r="R2505">
        <v>-3.589618E-2</v>
      </c>
      <c r="S2505">
        <v>-2.9966430000000002</v>
      </c>
      <c r="T2505">
        <v>1.562846E-2</v>
      </c>
      <c r="U2505">
        <v>-0.17965699999999901</v>
      </c>
      <c r="V2505">
        <v>-4.1830539999999999E-2</v>
      </c>
      <c r="W2505">
        <v>6.122126E-2</v>
      </c>
      <c r="X2505">
        <v>0.99724729999999995</v>
      </c>
      <c r="Y2505">
        <v>-6.5736399999999903E-2</v>
      </c>
      <c r="Z2505">
        <v>2.0202640000000001E-4</v>
      </c>
      <c r="AA2505">
        <v>0.99783699999999997</v>
      </c>
      <c r="AB2505">
        <v>27</v>
      </c>
      <c r="AC2505">
        <v>-2.9966430000000002</v>
      </c>
      <c r="AD2505">
        <v>1.562846E-2</v>
      </c>
      <c r="AE2505">
        <v>-0.17965699999999901</v>
      </c>
      <c r="AF2505">
        <v>-0.19733980865015799</v>
      </c>
      <c r="AG2505">
        <v>1.562846E-2</v>
      </c>
      <c r="AH2505">
        <v>2.9954489528874002</v>
      </c>
      <c r="AI2505">
        <v>89.701714214963104</v>
      </c>
      <c r="AJ2505">
        <v>93.769192241644006</v>
      </c>
      <c r="AK2505">
        <v>3.0019829576788601</v>
      </c>
      <c r="AL2505">
        <v>86.490085325773606</v>
      </c>
      <c r="AM2505">
        <v>92.401921000446194</v>
      </c>
      <c r="AN2505">
        <v>1.0000000070549799</v>
      </c>
    </row>
    <row r="2506" spans="1:40" x14ac:dyDescent="0.25">
      <c r="A2506" t="str">
        <f>"20190312160650866"</f>
        <v>20190312160650866</v>
      </c>
      <c r="B2506" t="str">
        <f>"1552378010857612"</f>
        <v>1552378010857612</v>
      </c>
      <c r="C2506" t="s">
        <v>40</v>
      </c>
      <c r="D2506">
        <v>6.2285050000000002</v>
      </c>
      <c r="E2506">
        <v>0.49049039999999999</v>
      </c>
      <c r="F2506" t="s">
        <v>41</v>
      </c>
      <c r="G2506">
        <v>0</v>
      </c>
      <c r="H2506">
        <v>0</v>
      </c>
      <c r="I2506">
        <v>0</v>
      </c>
      <c r="J2506">
        <v>-457.29079999999999</v>
      </c>
      <c r="K2506">
        <v>1.1123270000000001</v>
      </c>
      <c r="L2506">
        <v>285.44650000000001</v>
      </c>
      <c r="M2506">
        <v>-0.99955329999999998</v>
      </c>
      <c r="N2506">
        <v>0</v>
      </c>
      <c r="O2506">
        <v>5.4330869999999996E-3</v>
      </c>
      <c r="P2506">
        <v>-0.99879709999999999</v>
      </c>
      <c r="Q2506">
        <v>3.179767E-2</v>
      </c>
      <c r="R2506">
        <v>-3.7326669999999999E-2</v>
      </c>
      <c r="S2506">
        <v>-2.9964599999999999</v>
      </c>
      <c r="T2506">
        <v>1.2621520000000001E-2</v>
      </c>
      <c r="U2506">
        <v>-0.18194579999999999</v>
      </c>
      <c r="V2506">
        <v>-4.280188E-2</v>
      </c>
      <c r="W2506">
        <v>6.1097989999999998E-2</v>
      </c>
      <c r="X2506">
        <v>0.99721369999999998</v>
      </c>
      <c r="Y2506">
        <v>-6.6032549999999995E-2</v>
      </c>
      <c r="Z2506">
        <v>1.6181529999999999E-4</v>
      </c>
      <c r="AA2506">
        <v>0.99781750000000002</v>
      </c>
      <c r="AB2506">
        <v>27</v>
      </c>
      <c r="AC2506">
        <v>-2.9964599999999999</v>
      </c>
      <c r="AD2506">
        <v>1.2621520000000001E-2</v>
      </c>
      <c r="AE2506">
        <v>-0.18194579999999999</v>
      </c>
      <c r="AF2506">
        <v>-0.19822667104536201</v>
      </c>
      <c r="AG2506">
        <v>1.2621520000000001E-2</v>
      </c>
      <c r="AH2506">
        <v>2.9953738323517198</v>
      </c>
      <c r="AI2506">
        <v>89.759102780661607</v>
      </c>
      <c r="AJ2506">
        <v>93.786176839265394</v>
      </c>
      <c r="AK2506">
        <v>3.0019522833346799</v>
      </c>
      <c r="AL2506">
        <v>86.497161624025296</v>
      </c>
      <c r="AM2506">
        <v>92.457710700967098</v>
      </c>
      <c r="AN2506">
        <v>1.0000000643906299</v>
      </c>
    </row>
    <row r="2507" spans="1:40" x14ac:dyDescent="0.25">
      <c r="A2507" t="str">
        <f>"20190312160650888"</f>
        <v>20190312160650888</v>
      </c>
      <c r="B2507" t="str">
        <f>"1552378010878108"</f>
        <v>1552378010878108</v>
      </c>
      <c r="C2507" t="s">
        <v>40</v>
      </c>
      <c r="D2507">
        <v>6.2489559999999997</v>
      </c>
      <c r="E2507">
        <v>0.50584979999999902</v>
      </c>
      <c r="F2507" t="s">
        <v>41</v>
      </c>
      <c r="G2507">
        <v>0</v>
      </c>
      <c r="H2507">
        <v>0</v>
      </c>
      <c r="I2507">
        <v>0</v>
      </c>
      <c r="J2507">
        <v>-457.5496</v>
      </c>
      <c r="K2507">
        <v>1.1123959999999999</v>
      </c>
      <c r="L2507">
        <v>285.44729999999998</v>
      </c>
      <c r="M2507">
        <v>-0.99955530000000004</v>
      </c>
      <c r="N2507">
        <v>0</v>
      </c>
      <c r="O2507">
        <v>4.8752999999999999E-3</v>
      </c>
      <c r="P2507">
        <v>-0.99871569999999998</v>
      </c>
      <c r="Q2507">
        <v>3.2053249999999998E-2</v>
      </c>
      <c r="R2507">
        <v>-3.9241449999999997E-2</v>
      </c>
      <c r="S2507">
        <v>-2.9962770000000001</v>
      </c>
      <c r="T2507">
        <v>1.250482E-2</v>
      </c>
      <c r="U2507">
        <v>-0.18600459999999999</v>
      </c>
      <c r="V2507">
        <v>-4.4168640000000002E-2</v>
      </c>
      <c r="W2507">
        <v>6.1378799999999997E-2</v>
      </c>
      <c r="X2507">
        <v>0.99713680000000005</v>
      </c>
      <c r="Y2507">
        <v>-6.6825999999999997E-2</v>
      </c>
      <c r="Z2507">
        <v>1.596495E-4</v>
      </c>
      <c r="AA2507">
        <v>0.9977646</v>
      </c>
      <c r="AB2507">
        <v>27</v>
      </c>
      <c r="AC2507">
        <v>-2.9962770000000001</v>
      </c>
      <c r="AD2507">
        <v>1.250482E-2</v>
      </c>
      <c r="AE2507">
        <v>-0.18600459999999999</v>
      </c>
      <c r="AF2507">
        <v>-0.20061298112147399</v>
      </c>
      <c r="AG2507">
        <v>1.250482E-2</v>
      </c>
      <c r="AH2507">
        <v>2.9952821688195801</v>
      </c>
      <c r="AI2507">
        <v>89.761335449248904</v>
      </c>
      <c r="AJ2507">
        <v>93.831737874092397</v>
      </c>
      <c r="AK2507">
        <v>3.0020188556313601</v>
      </c>
      <c r="AL2507">
        <v>86.481041958603797</v>
      </c>
      <c r="AM2507">
        <v>92.536285359776898</v>
      </c>
      <c r="AN2507">
        <v>1.00000001188156</v>
      </c>
    </row>
    <row r="2508" spans="1:40" x14ac:dyDescent="0.25">
      <c r="A2508" t="str">
        <f>"20190312160650911"</f>
        <v>20190312160650911</v>
      </c>
      <c r="B2508" t="str">
        <f>"1552378010907392"</f>
        <v>1552378010907392</v>
      </c>
      <c r="C2508" t="s">
        <v>40</v>
      </c>
      <c r="D2508">
        <v>6.6104989999999999</v>
      </c>
      <c r="E2508">
        <v>0.50553709999999996</v>
      </c>
      <c r="F2508" t="s">
        <v>66</v>
      </c>
      <c r="G2508">
        <v>-468.97309999999999</v>
      </c>
      <c r="H2508" s="1">
        <v>3.212395E-6</v>
      </c>
      <c r="I2508">
        <v>285.20749999999998</v>
      </c>
      <c r="J2508">
        <v>-457.8075</v>
      </c>
      <c r="K2508">
        <v>1.1124700000000001</v>
      </c>
      <c r="L2508">
        <v>285.44779999999997</v>
      </c>
      <c r="M2508">
        <v>-0.99955729999999998</v>
      </c>
      <c r="N2508">
        <v>0</v>
      </c>
      <c r="O2508">
        <v>4.2181090000000003E-3</v>
      </c>
      <c r="P2508">
        <v>-0.99863259999999998</v>
      </c>
      <c r="Q2508">
        <v>3.2502759999999999E-2</v>
      </c>
      <c r="R2508">
        <v>-4.0946120000000003E-2</v>
      </c>
      <c r="S2508">
        <v>-3.010742</v>
      </c>
      <c r="T2508">
        <v>-0.29317840000000001</v>
      </c>
      <c r="U2508">
        <v>-6.3201900000000005E-2</v>
      </c>
      <c r="V2508">
        <v>-4.5227129999999997E-2</v>
      </c>
      <c r="W2508">
        <v>6.1847590000000001E-2</v>
      </c>
      <c r="X2508">
        <v>0.99706039999999996</v>
      </c>
      <c r="Y2508">
        <v>-2.5067860000000001E-2</v>
      </c>
      <c r="Z2508">
        <v>-1.627426E-3</v>
      </c>
      <c r="AA2508">
        <v>0.99968449999999998</v>
      </c>
      <c r="AB2508">
        <v>26</v>
      </c>
      <c r="AC2508">
        <v>-11.1655999999999</v>
      </c>
      <c r="AD2508">
        <v>-1.1124667876050001</v>
      </c>
      <c r="AE2508">
        <v>-0.24029999999998999</v>
      </c>
      <c r="AF2508">
        <v>-0.28459223122798</v>
      </c>
      <c r="AG2508">
        <v>-1.1124667876050001</v>
      </c>
      <c r="AH2508">
        <v>11.054798383998</v>
      </c>
      <c r="AI2508">
        <v>95.744554395019307</v>
      </c>
      <c r="AJ2508">
        <v>91.474683878305299</v>
      </c>
      <c r="AK2508">
        <v>11.114276512776</v>
      </c>
      <c r="AL2508">
        <v>86.454131204817898</v>
      </c>
      <c r="AM2508">
        <v>92.597183260634694</v>
      </c>
      <c r="AN2508">
        <v>1.0000000294625</v>
      </c>
    </row>
    <row r="2509" spans="1:40" x14ac:dyDescent="0.25">
      <c r="A2509" t="str">
        <f>"20190312160650933"</f>
        <v>20190312160650933</v>
      </c>
      <c r="B2509" t="str">
        <f>"1552378010927884"</f>
        <v>1552378010927884</v>
      </c>
      <c r="C2509" t="s">
        <v>40</v>
      </c>
      <c r="D2509">
        <v>6.6300530000000002</v>
      </c>
      <c r="E2509">
        <v>0.50692179999999998</v>
      </c>
      <c r="F2509" t="s">
        <v>66</v>
      </c>
      <c r="G2509">
        <v>-469.23700000000002</v>
      </c>
      <c r="H2509" s="1">
        <v>3.3540649999999999E-6</v>
      </c>
      <c r="I2509">
        <v>285.18</v>
      </c>
      <c r="J2509">
        <v>-458.06200000000001</v>
      </c>
      <c r="K2509">
        <v>1.112552</v>
      </c>
      <c r="L2509">
        <v>285.44810000000001</v>
      </c>
      <c r="M2509">
        <v>-0.99955939999999999</v>
      </c>
      <c r="N2509">
        <v>0</v>
      </c>
      <c r="O2509">
        <v>3.4602600000000002E-3</v>
      </c>
      <c r="P2509">
        <v>-0.99859699999999996</v>
      </c>
      <c r="Q2509">
        <v>3.2217129999999997E-2</v>
      </c>
      <c r="R2509">
        <v>-4.2023280000000003E-2</v>
      </c>
      <c r="S2509">
        <v>-3.0107119999999998</v>
      </c>
      <c r="T2509">
        <v>-0.29304019999999997</v>
      </c>
      <c r="U2509">
        <v>-7.0556640000000004E-2</v>
      </c>
      <c r="V2509">
        <v>-4.5556880000000001E-2</v>
      </c>
      <c r="W2509">
        <v>6.1578689999999998E-2</v>
      </c>
      <c r="X2509">
        <v>0.997062</v>
      </c>
      <c r="Y2509">
        <v>-2.674677E-2</v>
      </c>
      <c r="Z2509">
        <v>-1.634525E-3</v>
      </c>
      <c r="AA2509">
        <v>0.99964090000000005</v>
      </c>
      <c r="AB2509">
        <v>26</v>
      </c>
      <c r="AC2509">
        <v>-11.175000000000001</v>
      </c>
      <c r="AD2509">
        <v>-1.112548645935</v>
      </c>
      <c r="AE2509">
        <v>-0.268100000000004</v>
      </c>
      <c r="AF2509">
        <v>-0.30377445875555598</v>
      </c>
      <c r="AG2509">
        <v>-1.112548645935</v>
      </c>
      <c r="AH2509">
        <v>11.064402300332601</v>
      </c>
      <c r="AI2509">
        <v>95.739761579123197</v>
      </c>
      <c r="AJ2509">
        <v>91.572667254512396</v>
      </c>
      <c r="AK2509">
        <v>11.124344550353101</v>
      </c>
      <c r="AL2509">
        <v>86.469567351318602</v>
      </c>
      <c r="AM2509">
        <v>92.6160888614816</v>
      </c>
      <c r="AN2509">
        <v>0.99999999811072504</v>
      </c>
    </row>
    <row r="2510" spans="1:40" x14ac:dyDescent="0.25">
      <c r="A2510" t="str">
        <f>"20190312160650956"</f>
        <v>20190312160650956</v>
      </c>
      <c r="B2510" t="str">
        <f>"1552378010947404"</f>
        <v>1552378010947404</v>
      </c>
      <c r="C2510" t="s">
        <v>40</v>
      </c>
      <c r="D2510">
        <v>6.5798639999999997</v>
      </c>
      <c r="E2510">
        <v>0.49714219999999998</v>
      </c>
      <c r="F2510" t="s">
        <v>61</v>
      </c>
      <c r="G2510">
        <v>-474.38279999999997</v>
      </c>
      <c r="H2510" s="1">
        <v>4.7125180000000003E-6</v>
      </c>
      <c r="I2510">
        <v>285.09640000000002</v>
      </c>
      <c r="J2510">
        <v>-458.30689999999998</v>
      </c>
      <c r="K2510">
        <v>1.112625</v>
      </c>
      <c r="L2510">
        <v>285.4479</v>
      </c>
      <c r="M2510">
        <v>-0.99956149999999999</v>
      </c>
      <c r="N2510">
        <v>0</v>
      </c>
      <c r="O2510">
        <v>2.614328E-3</v>
      </c>
      <c r="P2510">
        <v>-0.99855079999999996</v>
      </c>
      <c r="Q2510">
        <v>3.2608770000000002E-2</v>
      </c>
      <c r="R2510">
        <v>-4.281824E-2</v>
      </c>
      <c r="S2510">
        <v>-3.0081479999999998</v>
      </c>
      <c r="T2510">
        <v>-0.20505789999999999</v>
      </c>
      <c r="U2510">
        <v>-6.4819340000000003E-2</v>
      </c>
      <c r="V2510">
        <v>-4.5517710000000003E-2</v>
      </c>
      <c r="W2510">
        <v>6.1980849999999997E-2</v>
      </c>
      <c r="X2510">
        <v>0.99703889999999995</v>
      </c>
      <c r="Y2510">
        <v>-2.4095749999999999E-2</v>
      </c>
      <c r="Z2510">
        <v>-9.9829030000000009E-4</v>
      </c>
      <c r="AA2510">
        <v>0.99970910000000002</v>
      </c>
      <c r="AB2510">
        <v>26</v>
      </c>
      <c r="AC2510">
        <v>-16.075899999999901</v>
      </c>
      <c r="AD2510">
        <v>-1.1126202874819999</v>
      </c>
      <c r="AE2510">
        <v>-0.35149999999998699</v>
      </c>
      <c r="AF2510">
        <v>-0.39166953222266898</v>
      </c>
      <c r="AG2510">
        <v>-1.1126202874819999</v>
      </c>
      <c r="AH2510">
        <v>15.998328918488401</v>
      </c>
      <c r="AI2510">
        <v>93.977100616608695</v>
      </c>
      <c r="AJ2510">
        <v>91.402429556531899</v>
      </c>
      <c r="AK2510">
        <v>16.041753554731201</v>
      </c>
      <c r="AL2510">
        <v>86.446481287354402</v>
      </c>
      <c r="AM2510">
        <v>92.613903133101999</v>
      </c>
      <c r="AN2510">
        <v>1.00000002790178</v>
      </c>
    </row>
    <row r="2511" spans="1:40" x14ac:dyDescent="0.25">
      <c r="A2511" t="str">
        <f>"20190312160650979"</f>
        <v>20190312160650979</v>
      </c>
      <c r="B2511" t="str">
        <f>"1552378010967900"</f>
        <v>1552378010967900</v>
      </c>
      <c r="C2511" t="s">
        <v>40</v>
      </c>
      <c r="D2511">
        <v>6.196428</v>
      </c>
      <c r="E2511">
        <v>0.49495289999999997</v>
      </c>
      <c r="F2511" t="s">
        <v>41</v>
      </c>
      <c r="G2511">
        <v>0</v>
      </c>
      <c r="H2511">
        <v>0</v>
      </c>
      <c r="I2511">
        <v>0</v>
      </c>
      <c r="J2511">
        <v>-458.5652</v>
      </c>
      <c r="K2511">
        <v>1.1127100000000001</v>
      </c>
      <c r="L2511">
        <v>285.44740000000002</v>
      </c>
      <c r="M2511">
        <v>-0.9995638</v>
      </c>
      <c r="N2511">
        <v>0</v>
      </c>
      <c r="O2511">
        <v>1.5993349999999999E-3</v>
      </c>
      <c r="P2511">
        <v>-0.99847980000000003</v>
      </c>
      <c r="Q2511">
        <v>3.2918070000000001E-2</v>
      </c>
      <c r="R2511">
        <v>-4.4208749999999998E-2</v>
      </c>
      <c r="S2511">
        <v>-2.997833</v>
      </c>
      <c r="T2511">
        <v>3.1176810000000002E-3</v>
      </c>
      <c r="U2511">
        <v>-0.14941409999999999</v>
      </c>
      <c r="V2511">
        <v>-4.5905769999999999E-2</v>
      </c>
      <c r="W2511">
        <v>6.2275919999999998E-2</v>
      </c>
      <c r="X2511">
        <v>0.99700270000000002</v>
      </c>
      <c r="Y2511">
        <v>-5.1376850000000002E-2</v>
      </c>
      <c r="Z2511" s="1">
        <v>2.83618E-5</v>
      </c>
      <c r="AA2511">
        <v>0.99867930000000005</v>
      </c>
      <c r="AB2511">
        <v>25</v>
      </c>
      <c r="AC2511">
        <v>-2.997833</v>
      </c>
      <c r="AD2511">
        <v>3.1176810000000002E-3</v>
      </c>
      <c r="AE2511">
        <v>-0.14941409999999999</v>
      </c>
      <c r="AF2511">
        <v>-0.154210367760588</v>
      </c>
      <c r="AG2511">
        <v>3.1176810000000002E-3</v>
      </c>
      <c r="AH2511">
        <v>2.99758686142783</v>
      </c>
      <c r="AI2511">
        <v>89.940487466432799</v>
      </c>
      <c r="AJ2511">
        <v>92.944975844758204</v>
      </c>
      <c r="AK2511">
        <v>3.00155252315604</v>
      </c>
      <c r="AL2511">
        <v>86.429542223595703</v>
      </c>
      <c r="AM2511">
        <v>92.636252170356599</v>
      </c>
      <c r="AN2511">
        <v>1.0000000068692101</v>
      </c>
    </row>
    <row r="2512" spans="1:40" x14ac:dyDescent="0.25">
      <c r="A2512" t="str">
        <f>"20190312160651023"</f>
        <v>20190312160651023</v>
      </c>
      <c r="B2512" t="str">
        <f>"1552378011017677"</f>
        <v>1552378011017677</v>
      </c>
      <c r="C2512" t="s">
        <v>40</v>
      </c>
      <c r="D2512">
        <v>6.3294370000000004</v>
      </c>
      <c r="E2512">
        <v>0.49332900000000002</v>
      </c>
      <c r="F2512" t="s">
        <v>41</v>
      </c>
      <c r="G2512">
        <v>0</v>
      </c>
      <c r="H2512">
        <v>0</v>
      </c>
      <c r="I2512">
        <v>0</v>
      </c>
      <c r="J2512">
        <v>-459.04300000000001</v>
      </c>
      <c r="K2512">
        <v>1.112816</v>
      </c>
      <c r="L2512">
        <v>285.44529999999997</v>
      </c>
      <c r="M2512">
        <v>-0.99956719999999999</v>
      </c>
      <c r="N2512">
        <v>0</v>
      </c>
      <c r="O2512">
        <v>-5.6020410000000005E-4</v>
      </c>
      <c r="P2512">
        <v>-0.9983379</v>
      </c>
      <c r="Q2512">
        <v>3.2213020000000002E-2</v>
      </c>
      <c r="R2512">
        <v>-4.779129E-2</v>
      </c>
      <c r="S2512">
        <v>-2.9967039999999998</v>
      </c>
      <c r="T2512">
        <v>9.4734429999999998E-3</v>
      </c>
      <c r="U2512">
        <v>-0.17114260000000001</v>
      </c>
      <c r="V2512">
        <v>-4.7346640000000002E-2</v>
      </c>
      <c r="W2512">
        <v>6.1480180000000002E-2</v>
      </c>
      <c r="X2512">
        <v>0.99698469999999995</v>
      </c>
      <c r="Y2512">
        <v>-5.6457540000000001E-2</v>
      </c>
      <c r="Z2512" s="1">
        <v>8.7396099999999995E-5</v>
      </c>
      <c r="AA2512">
        <v>0.99840499999999999</v>
      </c>
      <c r="AB2512">
        <v>24</v>
      </c>
      <c r="AC2512">
        <v>-2.9967039999999998</v>
      </c>
      <c r="AD2512">
        <v>9.4734429999999998E-3</v>
      </c>
      <c r="AE2512">
        <v>-0.17114260000000001</v>
      </c>
      <c r="AF2512">
        <v>-0.16946139258683701</v>
      </c>
      <c r="AG2512">
        <v>9.4734429999999998E-3</v>
      </c>
      <c r="AH2512">
        <v>2.9967695940813699</v>
      </c>
      <c r="AI2512">
        <v>89.819165027757904</v>
      </c>
      <c r="AJ2512">
        <v>93.236516150843897</v>
      </c>
      <c r="AK2512">
        <v>3.00157207304945</v>
      </c>
      <c r="AL2512">
        <v>86.475222295473799</v>
      </c>
      <c r="AM2512">
        <v>92.718924423545403</v>
      </c>
      <c r="AN2512">
        <v>1.0000000044431001</v>
      </c>
    </row>
    <row r="2513" spans="1:40" x14ac:dyDescent="0.25">
      <c r="A2513" t="str">
        <f>"20190312160651045"</f>
        <v>20190312160651045</v>
      </c>
      <c r="B2513" t="str">
        <f>"1552378011037197"</f>
        <v>1552378011037197</v>
      </c>
      <c r="C2513" t="s">
        <v>40</v>
      </c>
      <c r="D2513">
        <v>6.3749719999999996</v>
      </c>
      <c r="E2513">
        <v>0.49354039999999999</v>
      </c>
      <c r="F2513" t="s">
        <v>75</v>
      </c>
      <c r="G2513">
        <v>-554.06640000000004</v>
      </c>
      <c r="H2513">
        <v>1.403702</v>
      </c>
      <c r="I2513">
        <v>279.27539999999999</v>
      </c>
      <c r="J2513">
        <v>-459.27710000000002</v>
      </c>
      <c r="K2513">
        <v>1.112865</v>
      </c>
      <c r="L2513">
        <v>285.44380000000001</v>
      </c>
      <c r="M2513">
        <v>-0.99956730000000005</v>
      </c>
      <c r="N2513">
        <v>0</v>
      </c>
      <c r="O2513">
        <v>-1.766257E-3</v>
      </c>
      <c r="P2513">
        <v>-0.9982569</v>
      </c>
      <c r="Q2513">
        <v>3.2328290000000003E-2</v>
      </c>
      <c r="R2513">
        <v>-4.9379670000000001E-2</v>
      </c>
      <c r="S2513">
        <v>-2.9953609999999999</v>
      </c>
      <c r="T2513">
        <v>9.171963E-3</v>
      </c>
      <c r="U2513">
        <v>-0.19448850000000001</v>
      </c>
      <c r="V2513">
        <v>-4.7738200000000001E-2</v>
      </c>
      <c r="W2513">
        <v>6.1534899999999997E-2</v>
      </c>
      <c r="X2513">
        <v>0.99696269999999998</v>
      </c>
      <c r="Y2513">
        <v>-6.3029779999999994E-2</v>
      </c>
      <c r="Z2513" s="1">
        <v>9.0993709999999997E-5</v>
      </c>
      <c r="AA2513">
        <v>0.9980116</v>
      </c>
      <c r="AB2513">
        <v>24</v>
      </c>
      <c r="AC2513">
        <v>-94.789299999999997</v>
      </c>
      <c r="AD2513">
        <v>0.29083700000000001</v>
      </c>
      <c r="AE2513">
        <v>-6.1684000000000099</v>
      </c>
      <c r="AF2513">
        <v>-6.0008396373638799</v>
      </c>
      <c r="AG2513">
        <v>0.29083700000000001</v>
      </c>
      <c r="AH2513">
        <v>94.799163006612602</v>
      </c>
      <c r="AI2513">
        <v>89.824572341457696</v>
      </c>
      <c r="AJ2513">
        <v>93.622022037972101</v>
      </c>
      <c r="AK2513">
        <v>94.989346609334206</v>
      </c>
      <c r="AL2513">
        <v>86.472081292483395</v>
      </c>
      <c r="AM2513">
        <v>92.741436358250198</v>
      </c>
      <c r="AN2513">
        <v>1.00000005242426</v>
      </c>
    </row>
    <row r="2514" spans="1:40" x14ac:dyDescent="0.25">
      <c r="A2514" t="str">
        <f>"20190312160651067"</f>
        <v>20190312160651067</v>
      </c>
      <c r="B2514" t="str">
        <f>"1552378011057692"</f>
        <v>1552378011057692</v>
      </c>
      <c r="C2514" t="s">
        <v>40</v>
      </c>
      <c r="D2514">
        <v>6.3818890000000001</v>
      </c>
      <c r="E2514">
        <v>0.49352849999999998</v>
      </c>
      <c r="F2514" t="s">
        <v>75</v>
      </c>
      <c r="G2514">
        <v>-552.71450000000004</v>
      </c>
      <c r="H2514">
        <v>1.420641</v>
      </c>
      <c r="I2514">
        <v>279.27539999999999</v>
      </c>
      <c r="J2514">
        <v>-459.51029999999997</v>
      </c>
      <c r="K2514">
        <v>1.112905</v>
      </c>
      <c r="L2514">
        <v>285.4418</v>
      </c>
      <c r="M2514">
        <v>-0.99956630000000002</v>
      </c>
      <c r="N2514">
        <v>0</v>
      </c>
      <c r="O2514">
        <v>-3.070686E-3</v>
      </c>
      <c r="P2514">
        <v>-0.99814749999999997</v>
      </c>
      <c r="Q2514">
        <v>3.2234199999999998E-2</v>
      </c>
      <c r="R2514">
        <v>-5.1601830000000001E-2</v>
      </c>
      <c r="S2514">
        <v>-2.995117</v>
      </c>
      <c r="T2514">
        <v>9.8682639999999999E-3</v>
      </c>
      <c r="U2514">
        <v>-0.19772339999999999</v>
      </c>
      <c r="V2514">
        <v>-4.866525E-2</v>
      </c>
      <c r="W2514">
        <v>6.1357389999999998E-2</v>
      </c>
      <c r="X2514">
        <v>0.99692879999999995</v>
      </c>
      <c r="Y2514">
        <v>-6.2805890000000003E-2</v>
      </c>
      <c r="Z2514" s="1">
        <v>9.3242870000000006E-5</v>
      </c>
      <c r="AA2514">
        <v>0.99802579999999996</v>
      </c>
      <c r="AB2514">
        <v>24</v>
      </c>
      <c r="AC2514">
        <v>-93.2042</v>
      </c>
      <c r="AD2514">
        <v>0.30773600000000001</v>
      </c>
      <c r="AE2514">
        <v>-6.1664000000000003</v>
      </c>
      <c r="AF2514">
        <v>-5.8799834217591096</v>
      </c>
      <c r="AG2514">
        <v>0.30773600000000001</v>
      </c>
      <c r="AH2514">
        <v>93.221691583837199</v>
      </c>
      <c r="AI2514">
        <v>89.811235560782094</v>
      </c>
      <c r="AJ2514">
        <v>93.609165521339193</v>
      </c>
      <c r="AK2514">
        <v>93.407455206947603</v>
      </c>
      <c r="AL2514">
        <v>86.482271055822594</v>
      </c>
      <c r="AM2514">
        <v>92.794684854458893</v>
      </c>
      <c r="AN2514">
        <v>1.0000000340673001</v>
      </c>
    </row>
    <row r="2515" spans="1:40" x14ac:dyDescent="0.25">
      <c r="A2515" t="str">
        <f>"20190312160651090"</f>
        <v>20190312160651090</v>
      </c>
      <c r="B2515" t="str">
        <f>"1552378011087948"</f>
        <v>1552378011087948</v>
      </c>
      <c r="C2515" t="s">
        <v>40</v>
      </c>
      <c r="D2515">
        <v>6.3906280000000004</v>
      </c>
      <c r="E2515">
        <v>0.4937395</v>
      </c>
      <c r="F2515" t="s">
        <v>75</v>
      </c>
      <c r="G2515">
        <v>-551.06230000000005</v>
      </c>
      <c r="H2515">
        <v>1.316937</v>
      </c>
      <c r="I2515">
        <v>279.19479999999999</v>
      </c>
      <c r="J2515">
        <v>-459.7448</v>
      </c>
      <c r="K2515">
        <v>1.1129469999999999</v>
      </c>
      <c r="L2515">
        <v>285.4393</v>
      </c>
      <c r="M2515">
        <v>-0.9995638</v>
      </c>
      <c r="N2515">
        <v>0</v>
      </c>
      <c r="O2515">
        <v>-4.4878449999999999E-3</v>
      </c>
      <c r="P2515">
        <v>-0.99808030000000003</v>
      </c>
      <c r="Q2515">
        <v>3.1173139999999998E-2</v>
      </c>
      <c r="R2515">
        <v>-5.3517229999999999E-2</v>
      </c>
      <c r="S2515">
        <v>-2.9947810000000001</v>
      </c>
      <c r="T2515">
        <v>6.6767930000000003E-3</v>
      </c>
      <c r="U2515">
        <v>-0.20434569999999999</v>
      </c>
      <c r="V2515">
        <v>-4.9171199999999998E-2</v>
      </c>
      <c r="W2515">
        <v>6.0194150000000002E-2</v>
      </c>
      <c r="X2515">
        <v>0.99697480000000005</v>
      </c>
      <c r="Y2515">
        <v>-6.3595470000000001E-2</v>
      </c>
      <c r="Z2515" s="1">
        <v>6.0812120000000001E-5</v>
      </c>
      <c r="AA2515">
        <v>0.99797579999999997</v>
      </c>
      <c r="AB2515">
        <v>24</v>
      </c>
      <c r="AC2515">
        <v>-91.317499999999995</v>
      </c>
      <c r="AD2515">
        <v>0.20399</v>
      </c>
      <c r="AE2515">
        <v>-6.2445000000000102</v>
      </c>
      <c r="AF2515">
        <v>-5.8344145883745604</v>
      </c>
      <c r="AG2515">
        <v>0.20399</v>
      </c>
      <c r="AH2515">
        <v>91.344162209146106</v>
      </c>
      <c r="AI2515">
        <v>89.872307352517396</v>
      </c>
      <c r="AJ2515">
        <v>93.654681711656195</v>
      </c>
      <c r="AK2515">
        <v>91.5305302901712</v>
      </c>
      <c r="AL2515">
        <v>86.549042931932604</v>
      </c>
      <c r="AM2515">
        <v>92.823563040071093</v>
      </c>
      <c r="AN2515">
        <v>0.99999994721934904</v>
      </c>
    </row>
    <row r="2516" spans="1:40" x14ac:dyDescent="0.25">
      <c r="A2516" t="str">
        <f>"20190312160651113"</f>
        <v>20190312160651113</v>
      </c>
      <c r="B2516" t="str">
        <f>"1552378011107472"</f>
        <v>1552378011107472</v>
      </c>
      <c r="C2516" t="s">
        <v>40</v>
      </c>
      <c r="D2516">
        <v>6.334606</v>
      </c>
      <c r="E2516">
        <v>0.51661699999999999</v>
      </c>
      <c r="F2516" t="s">
        <v>75</v>
      </c>
      <c r="G2516">
        <v>-551.06230000000005</v>
      </c>
      <c r="H2516">
        <v>1.163459</v>
      </c>
      <c r="I2516">
        <v>279.08499999999998</v>
      </c>
      <c r="J2516">
        <v>-459.97280000000001</v>
      </c>
      <c r="K2516">
        <v>1.1129880000000001</v>
      </c>
      <c r="L2516">
        <v>285.43650000000002</v>
      </c>
      <c r="M2516">
        <v>-0.99955890000000003</v>
      </c>
      <c r="N2516">
        <v>0</v>
      </c>
      <c r="O2516">
        <v>-5.9803449999999998E-3</v>
      </c>
      <c r="P2516">
        <v>-0.99799789999999999</v>
      </c>
      <c r="Q2516">
        <v>3.0074819999999999E-2</v>
      </c>
      <c r="R2516">
        <v>-5.564069E-2</v>
      </c>
      <c r="S2516">
        <v>-2.994507</v>
      </c>
      <c r="T2516">
        <v>1.659036E-3</v>
      </c>
      <c r="U2516">
        <v>-0.208374</v>
      </c>
      <c r="V2516">
        <v>-4.9809430000000002E-2</v>
      </c>
      <c r="W2516">
        <v>5.899037E-2</v>
      </c>
      <c r="X2516">
        <v>0.99701510000000004</v>
      </c>
      <c r="Y2516">
        <v>-6.3447870000000003E-2</v>
      </c>
      <c r="Z2516" s="1">
        <v>1.4244189999999999E-5</v>
      </c>
      <c r="AA2516">
        <v>0.99798509999999996</v>
      </c>
      <c r="AB2516">
        <v>23</v>
      </c>
      <c r="AC2516">
        <v>-91.089500000000001</v>
      </c>
      <c r="AD2516">
        <v>5.0471000000000099E-2</v>
      </c>
      <c r="AE2516">
        <v>-6.3515000000000397</v>
      </c>
      <c r="AF2516">
        <v>-5.8064072739000698</v>
      </c>
      <c r="AG2516">
        <v>5.0471000000000099E-2</v>
      </c>
      <c r="AH2516">
        <v>91.125842121915497</v>
      </c>
      <c r="AI2516">
        <v>89.968330362067107</v>
      </c>
      <c r="AJ2516">
        <v>93.645875640295699</v>
      </c>
      <c r="AK2516">
        <v>91.310656635359393</v>
      </c>
      <c r="AL2516">
        <v>86.618137346174095</v>
      </c>
      <c r="AM2516">
        <v>92.860036306763405</v>
      </c>
      <c r="AN2516">
        <v>0.99999997634883497</v>
      </c>
    </row>
    <row r="2517" spans="1:40" x14ac:dyDescent="0.25">
      <c r="A2517" t="str">
        <f>"20190312160651135"</f>
        <v>20190312160651135</v>
      </c>
      <c r="B2517" t="str">
        <f>"1552378011127964"</f>
        <v>1552378011127964</v>
      </c>
      <c r="C2517" t="s">
        <v>40</v>
      </c>
      <c r="D2517">
        <v>6.0043439999999997</v>
      </c>
      <c r="E2517">
        <v>0.52842489999999998</v>
      </c>
      <c r="F2517" t="s">
        <v>61</v>
      </c>
      <c r="G2517">
        <v>-488.06610000000001</v>
      </c>
      <c r="H2517" s="1">
        <v>3.6840990000000002E-6</v>
      </c>
      <c r="I2517">
        <v>285.16030000000001</v>
      </c>
      <c r="J2517">
        <v>-460.202</v>
      </c>
      <c r="K2517">
        <v>1.113029</v>
      </c>
      <c r="L2517">
        <v>285.43310000000002</v>
      </c>
      <c r="M2517">
        <v>-0.99955070000000001</v>
      </c>
      <c r="N2517">
        <v>0</v>
      </c>
      <c r="O2517">
        <v>-7.6105219999999998E-3</v>
      </c>
      <c r="P2517">
        <v>-0.99792579999999997</v>
      </c>
      <c r="Q2517">
        <v>2.8583790000000001E-2</v>
      </c>
      <c r="R2517">
        <v>-5.7682079999999997E-2</v>
      </c>
      <c r="S2517">
        <v>-3.0079349999999998</v>
      </c>
      <c r="T2517">
        <v>-0.1191666</v>
      </c>
      <c r="U2517">
        <v>-2.9571529999999999E-2</v>
      </c>
      <c r="V2517">
        <v>-5.0226769999999997E-2</v>
      </c>
      <c r="W2517">
        <v>5.7390429999999999E-2</v>
      </c>
      <c r="X2517">
        <v>0.99708750000000002</v>
      </c>
      <c r="Y2517">
        <v>-2.2212899999999999E-3</v>
      </c>
      <c r="Z2517">
        <v>2.5752289999999997E-4</v>
      </c>
      <c r="AA2517">
        <v>0.99999749999999998</v>
      </c>
      <c r="AB2517">
        <v>23</v>
      </c>
      <c r="AC2517">
        <v>-27.864100000000001</v>
      </c>
      <c r="AD2517">
        <v>-1.113025315901</v>
      </c>
      <c r="AE2517">
        <v>-0.27280000000001697</v>
      </c>
      <c r="AF2517">
        <v>-6.0545977617329598E-2</v>
      </c>
      <c r="AG2517">
        <v>-1.113025315901</v>
      </c>
      <c r="AH2517">
        <v>27.820982889273701</v>
      </c>
      <c r="AI2517">
        <v>92.290987068598099</v>
      </c>
      <c r="AJ2517">
        <v>90.124690904026295</v>
      </c>
      <c r="AK2517">
        <v>27.843304044141401</v>
      </c>
      <c r="AL2517">
        <v>86.709962633619099</v>
      </c>
      <c r="AM2517">
        <v>92.883750449818393</v>
      </c>
      <c r="AN2517">
        <v>0.99999993626823103</v>
      </c>
    </row>
    <row r="2518" spans="1:40" x14ac:dyDescent="0.25">
      <c r="A2518" t="str">
        <f>"20190312160651157"</f>
        <v>20190312160651157</v>
      </c>
      <c r="B2518" t="str">
        <f>"1552378011147487"</f>
        <v>1552378011147487</v>
      </c>
      <c r="C2518" t="s">
        <v>40</v>
      </c>
      <c r="D2518">
        <v>6.002618</v>
      </c>
      <c r="E2518">
        <v>0.53745339999999997</v>
      </c>
      <c r="F2518" t="s">
        <v>44</v>
      </c>
      <c r="G2518">
        <v>-461.11439999999999</v>
      </c>
      <c r="H2518">
        <v>1.0246959999999901</v>
      </c>
      <c r="I2518">
        <v>285.45229999999998</v>
      </c>
      <c r="J2518">
        <v>-460.41719999999998</v>
      </c>
      <c r="K2518">
        <v>1.113062</v>
      </c>
      <c r="L2518">
        <v>285.42950000000002</v>
      </c>
      <c r="M2518">
        <v>-0.99953999999999998</v>
      </c>
      <c r="N2518">
        <v>0</v>
      </c>
      <c r="O2518">
        <v>-9.2628599999999995E-3</v>
      </c>
      <c r="P2518">
        <v>-0.9978361</v>
      </c>
      <c r="Q2518">
        <v>2.745914E-2</v>
      </c>
      <c r="R2518">
        <v>-5.9741030000000001E-2</v>
      </c>
      <c r="S2518">
        <v>-3.0182500000000001</v>
      </c>
      <c r="T2518">
        <v>-0.29240429999999901</v>
      </c>
      <c r="U2518">
        <v>6.2652589999999994E-2</v>
      </c>
      <c r="V2518">
        <v>-5.0640200000000003E-2</v>
      </c>
      <c r="W2518">
        <v>5.6143619999999998E-2</v>
      </c>
      <c r="X2518">
        <v>0.99713759999999996</v>
      </c>
      <c r="Y2518">
        <v>2.9834300000000001E-2</v>
      </c>
      <c r="Z2518">
        <v>2.3371949999999998E-3</v>
      </c>
      <c r="AA2518">
        <v>0.99955210000000005</v>
      </c>
      <c r="AB2518">
        <v>23</v>
      </c>
      <c r="AC2518">
        <v>-0.69720000000000903</v>
      </c>
      <c r="AD2518">
        <v>-8.8366000000000097E-2</v>
      </c>
      <c r="AE2518">
        <v>2.2799999999961001E-2</v>
      </c>
      <c r="AF2518">
        <v>2.8797668081520601E-2</v>
      </c>
      <c r="AG2518">
        <v>-8.8366000000000097E-2</v>
      </c>
      <c r="AH2518">
        <v>0.68595138244677401</v>
      </c>
      <c r="AI2518">
        <v>97.334169972387599</v>
      </c>
      <c r="AJ2518">
        <v>87.596015485384896</v>
      </c>
      <c r="AK2518">
        <v>0.69221900777396606</v>
      </c>
      <c r="AL2518">
        <v>86.781515066666202</v>
      </c>
      <c r="AM2518">
        <v>92.907300980042507</v>
      </c>
      <c r="AN2518">
        <v>0.99999996462825103</v>
      </c>
    </row>
    <row r="2519" spans="1:40" x14ac:dyDescent="0.25">
      <c r="A2519" t="str">
        <f>"20190312160651171"</f>
        <v>20190312160651171</v>
      </c>
      <c r="B2519" t="str">
        <f>"1552378011167980"</f>
        <v>1552378011167980</v>
      </c>
      <c r="C2519" t="s">
        <v>40</v>
      </c>
      <c r="D2519">
        <v>6.2829629999999996</v>
      </c>
      <c r="E2519">
        <v>0.5404658</v>
      </c>
      <c r="F2519" t="s">
        <v>44</v>
      </c>
      <c r="G2519">
        <v>-461.30869999999999</v>
      </c>
      <c r="H2519">
        <v>1.0203</v>
      </c>
      <c r="I2519">
        <v>285.46769999999998</v>
      </c>
      <c r="J2519">
        <v>-460.5652</v>
      </c>
      <c r="K2519">
        <v>1.113081</v>
      </c>
      <c r="L2519">
        <v>285.42680000000001</v>
      </c>
      <c r="M2519">
        <v>-0.99953119999999995</v>
      </c>
      <c r="N2519">
        <v>0</v>
      </c>
      <c r="O2519">
        <v>-1.045012E-2</v>
      </c>
      <c r="P2519">
        <v>-0.99776889999999996</v>
      </c>
      <c r="Q2519">
        <v>2.669707E-2</v>
      </c>
      <c r="R2519">
        <v>-6.1195399999999997E-2</v>
      </c>
      <c r="S2519">
        <v>-3.022888</v>
      </c>
      <c r="T2519">
        <v>-0.31475579999999997</v>
      </c>
      <c r="U2519">
        <v>0.12872310000000001</v>
      </c>
      <c r="V2519">
        <v>-5.0910820000000002E-2</v>
      </c>
      <c r="W2519">
        <v>5.5282829999999998E-2</v>
      </c>
      <c r="X2519">
        <v>0.9971719</v>
      </c>
      <c r="Y2519">
        <v>5.2646369999999998E-2</v>
      </c>
      <c r="Z2519">
        <v>3.8174469999999999E-3</v>
      </c>
      <c r="AA2519">
        <v>0.99860590000000005</v>
      </c>
      <c r="AB2519">
        <v>22</v>
      </c>
      <c r="AC2519">
        <v>-0.74349999999998295</v>
      </c>
      <c r="AD2519">
        <v>-9.2780999999999905E-2</v>
      </c>
      <c r="AE2519">
        <v>4.0899999999964999E-2</v>
      </c>
      <c r="AF2519">
        <v>4.7926567346324403E-2</v>
      </c>
      <c r="AG2519">
        <v>-9.2780999999999905E-2</v>
      </c>
      <c r="AH2519">
        <v>0.73167224777247297</v>
      </c>
      <c r="AI2519">
        <v>97.211630308187694</v>
      </c>
      <c r="AJ2519">
        <v>86.252320905652198</v>
      </c>
      <c r="AK2519">
        <v>0.73908696915790995</v>
      </c>
      <c r="AL2519">
        <v>86.830911381069896</v>
      </c>
      <c r="AM2519">
        <v>92.9227102951875</v>
      </c>
      <c r="AN2519">
        <v>0.99999995051774404</v>
      </c>
    </row>
    <row r="2520" spans="1:40" x14ac:dyDescent="0.25">
      <c r="A2520" t="str">
        <f>"20190312160651191"</f>
        <v>20190312160651191</v>
      </c>
      <c r="B2520" t="str">
        <f>"1552378011187500"</f>
        <v>1552378011187500</v>
      </c>
      <c r="C2520" t="s">
        <v>40</v>
      </c>
      <c r="D2520">
        <v>6.220866</v>
      </c>
      <c r="E2520">
        <v>0.54455659999999995</v>
      </c>
      <c r="F2520" t="s">
        <v>44</v>
      </c>
      <c r="G2520">
        <v>-461.31580000000002</v>
      </c>
      <c r="H2520">
        <v>1.0340780000000001</v>
      </c>
      <c r="I2520">
        <v>285.46370000000002</v>
      </c>
      <c r="J2520">
        <v>-460.74990000000003</v>
      </c>
      <c r="K2520">
        <v>1.1130990000000001</v>
      </c>
      <c r="L2520">
        <v>285.423</v>
      </c>
      <c r="M2520">
        <v>-0.99951749999999995</v>
      </c>
      <c r="N2520">
        <v>0</v>
      </c>
      <c r="O2520">
        <v>-1.1990000000000001E-2</v>
      </c>
      <c r="P2520">
        <v>-0.99762189999999995</v>
      </c>
      <c r="Q2520">
        <v>2.513439E-2</v>
      </c>
      <c r="R2520">
        <v>-6.4180280000000006E-2</v>
      </c>
      <c r="S2520">
        <v>-3.0243229999999999</v>
      </c>
      <c r="T2520">
        <v>-0.3186466</v>
      </c>
      <c r="U2520">
        <v>0.1481934</v>
      </c>
      <c r="V2520">
        <v>-5.2358719999999997E-2</v>
      </c>
      <c r="W2520">
        <v>5.3585899999999999E-2</v>
      </c>
      <c r="X2520">
        <v>0.99718960000000001</v>
      </c>
      <c r="Y2520">
        <v>6.0518349999999999E-2</v>
      </c>
      <c r="Z2520">
        <v>4.4370900000000003E-3</v>
      </c>
      <c r="AA2520">
        <v>0.99815719999999997</v>
      </c>
      <c r="AB2520">
        <v>22</v>
      </c>
      <c r="AC2520">
        <v>-0.56589999999999896</v>
      </c>
      <c r="AD2520">
        <v>-7.9020999999999994E-2</v>
      </c>
      <c r="AE2520">
        <v>4.0700000000015203E-2</v>
      </c>
      <c r="AF2520">
        <v>4.65813973085005E-2</v>
      </c>
      <c r="AG2520">
        <v>-7.9020999999999994E-2</v>
      </c>
      <c r="AH2520">
        <v>0.55461252150338503</v>
      </c>
      <c r="AI2520">
        <v>98.080831348398505</v>
      </c>
      <c r="AJ2520">
        <v>85.199047744879707</v>
      </c>
      <c r="AK2520">
        <v>0.56214695056057695</v>
      </c>
      <c r="AL2520">
        <v>86.928282817694495</v>
      </c>
      <c r="AM2520">
        <v>93.005628397149195</v>
      </c>
      <c r="AN2520">
        <v>0.99999999129350403</v>
      </c>
    </row>
    <row r="2521" spans="1:40" x14ac:dyDescent="0.25">
      <c r="A2521" t="str">
        <f>"20190312160651213"</f>
        <v>20190312160651213</v>
      </c>
      <c r="B2521" t="str">
        <f>"1552378011207996"</f>
        <v>1552378011207996</v>
      </c>
      <c r="C2521" t="s">
        <v>40</v>
      </c>
      <c r="D2521">
        <v>6.3040320000000003</v>
      </c>
      <c r="E2521">
        <v>0.54737939999999996</v>
      </c>
      <c r="F2521" t="s">
        <v>44</v>
      </c>
      <c r="G2521">
        <v>-461.50720000000001</v>
      </c>
      <c r="H2521">
        <v>1.028108</v>
      </c>
      <c r="I2521">
        <v>285.46600000000001</v>
      </c>
      <c r="J2521">
        <v>-460.96519999999998</v>
      </c>
      <c r="K2521">
        <v>1.1131150000000001</v>
      </c>
      <c r="L2521">
        <v>285.41809999999998</v>
      </c>
      <c r="M2521">
        <v>-0.99949739999999998</v>
      </c>
      <c r="N2521">
        <v>0</v>
      </c>
      <c r="O2521">
        <v>-1.3866409999999999E-2</v>
      </c>
      <c r="P2521">
        <v>-0.99744869999999997</v>
      </c>
      <c r="Q2521">
        <v>2.4536490000000001E-2</v>
      </c>
      <c r="R2521">
        <v>-6.7037810000000003E-2</v>
      </c>
      <c r="S2521">
        <v>-3.0268250000000001</v>
      </c>
      <c r="T2521">
        <v>-0.33963910000000003</v>
      </c>
      <c r="U2521">
        <v>0.17214969999999999</v>
      </c>
      <c r="V2521">
        <v>-5.3345589999999998E-2</v>
      </c>
      <c r="W2521">
        <v>5.2836429999999997E-2</v>
      </c>
      <c r="X2521">
        <v>0.99717730000000004</v>
      </c>
      <c r="Y2521">
        <v>7.0101689999999994E-2</v>
      </c>
      <c r="Z2521">
        <v>5.4681879999999997E-3</v>
      </c>
      <c r="AA2521">
        <v>0.99752490000000005</v>
      </c>
      <c r="AB2521">
        <v>22</v>
      </c>
      <c r="AC2521">
        <v>-0.54200000000003001</v>
      </c>
      <c r="AD2521">
        <v>-8.5006999999999805E-2</v>
      </c>
      <c r="AE2521">
        <v>4.79000000000269E-2</v>
      </c>
      <c r="AF2521">
        <v>5.4093722017549098E-2</v>
      </c>
      <c r="AG2521">
        <v>-8.5006999999999805E-2</v>
      </c>
      <c r="AH2521">
        <v>0.52838652502540495</v>
      </c>
      <c r="AI2521">
        <v>99.092725674448502</v>
      </c>
      <c r="AJ2521">
        <v>84.154692350703201</v>
      </c>
      <c r="AK2521">
        <v>0.53790765066053303</v>
      </c>
      <c r="AL2521">
        <v>86.971285247635393</v>
      </c>
      <c r="AM2521">
        <v>93.062210096891505</v>
      </c>
      <c r="AN2521">
        <v>1.0000000039714401</v>
      </c>
    </row>
    <row r="2522" spans="1:40" x14ac:dyDescent="0.25">
      <c r="A2522" t="str">
        <f>"20190312160651235"</f>
        <v>20190312160651235</v>
      </c>
      <c r="B2522" t="str">
        <f>"1552378011227516"</f>
        <v>1552378011227516</v>
      </c>
      <c r="C2522" t="s">
        <v>40</v>
      </c>
      <c r="D2522">
        <v>6.3564949999999998</v>
      </c>
      <c r="E2522">
        <v>0.54919249999999997</v>
      </c>
      <c r="F2522" t="s">
        <v>44</v>
      </c>
      <c r="G2522">
        <v>-461.69979999999998</v>
      </c>
      <c r="H2522">
        <v>1.028921</v>
      </c>
      <c r="I2522">
        <v>285.46379999999999</v>
      </c>
      <c r="J2522">
        <v>-461.17520000000002</v>
      </c>
      <c r="K2522">
        <v>1.1131260000000001</v>
      </c>
      <c r="L2522">
        <v>285.4128</v>
      </c>
      <c r="M2522">
        <v>-0.9994729</v>
      </c>
      <c r="N2522">
        <v>0</v>
      </c>
      <c r="O2522">
        <v>-1.578833E-2</v>
      </c>
      <c r="P2522">
        <v>-0.99725540000000001</v>
      </c>
      <c r="Q2522">
        <v>2.3886480000000002E-2</v>
      </c>
      <c r="R2522">
        <v>-7.0082050000000007E-2</v>
      </c>
      <c r="S2522">
        <v>-3.0287169999999999</v>
      </c>
      <c r="T2522">
        <v>-0.34784359999999998</v>
      </c>
      <c r="U2522">
        <v>0.18643190000000001</v>
      </c>
      <c r="V2522">
        <v>-5.4472380000000001E-2</v>
      </c>
      <c r="W2522">
        <v>5.2034530000000002E-2</v>
      </c>
      <c r="X2522">
        <v>0.99715849999999995</v>
      </c>
      <c r="Y2522">
        <v>7.6590499999999895E-2</v>
      </c>
      <c r="Z2522">
        <v>6.1861629999999997E-3</v>
      </c>
      <c r="AA2522">
        <v>0.99704340000000002</v>
      </c>
      <c r="AB2522">
        <v>22</v>
      </c>
      <c r="AC2522">
        <v>-0.52459999999996398</v>
      </c>
      <c r="AD2522">
        <v>-8.4205000000000002E-2</v>
      </c>
      <c r="AE2522">
        <v>5.0999999999987701E-2</v>
      </c>
      <c r="AF2522">
        <v>5.7804186655832299E-2</v>
      </c>
      <c r="AG2522">
        <v>-8.4205000000000002E-2</v>
      </c>
      <c r="AH2522">
        <v>0.51069450936114402</v>
      </c>
      <c r="AI2522">
        <v>99.304512833637901</v>
      </c>
      <c r="AJ2522">
        <v>83.542323038341905</v>
      </c>
      <c r="AK2522">
        <v>0.52080772643228102</v>
      </c>
      <c r="AL2522">
        <v>87.017293876676604</v>
      </c>
      <c r="AM2522">
        <v>93.126823315254299</v>
      </c>
      <c r="AN2522">
        <v>0.99999995330871605</v>
      </c>
    </row>
    <row r="2523" spans="1:40" x14ac:dyDescent="0.25">
      <c r="A2523" t="str">
        <f>"20190312160651249"</f>
        <v>20190312160651249</v>
      </c>
      <c r="B2523" t="str">
        <f>"1552378011238252"</f>
        <v>1552378011238252</v>
      </c>
      <c r="C2523" t="s">
        <v>40</v>
      </c>
      <c r="D2523">
        <v>6.3509900000000004</v>
      </c>
      <c r="E2523">
        <v>0.54986250000000003</v>
      </c>
      <c r="F2523" t="s">
        <v>44</v>
      </c>
      <c r="G2523">
        <v>-462.06790000000001</v>
      </c>
      <c r="H2523">
        <v>1.010067</v>
      </c>
      <c r="I2523">
        <v>285.46960000000001</v>
      </c>
      <c r="J2523">
        <v>-461.31240000000003</v>
      </c>
      <c r="K2523">
        <v>1.11313</v>
      </c>
      <c r="L2523">
        <v>285.40910000000002</v>
      </c>
      <c r="M2523">
        <v>-0.99945450000000002</v>
      </c>
      <c r="N2523">
        <v>0</v>
      </c>
      <c r="O2523">
        <v>-1.7084189999999999E-2</v>
      </c>
      <c r="P2523">
        <v>-0.99718859999999998</v>
      </c>
      <c r="Q2523">
        <v>2.333447E-2</v>
      </c>
      <c r="R2523">
        <v>-7.1209030000000006E-2</v>
      </c>
      <c r="S2523">
        <v>-3.0301209999999998</v>
      </c>
      <c r="T2523">
        <v>-0.35009380000000001</v>
      </c>
      <c r="U2523">
        <v>0.19192500000000001</v>
      </c>
      <c r="V2523">
        <v>-5.4305909999999999E-2</v>
      </c>
      <c r="W2523">
        <v>5.1381669999999997E-2</v>
      </c>
      <c r="X2523">
        <v>0.99720149999999996</v>
      </c>
      <c r="Y2523">
        <v>7.9619040000000002E-2</v>
      </c>
      <c r="Z2523">
        <v>6.5460730000000003E-3</v>
      </c>
      <c r="AA2523">
        <v>0.99680389999999996</v>
      </c>
      <c r="AB2523">
        <v>21</v>
      </c>
      <c r="AC2523">
        <v>-0.75549999999998296</v>
      </c>
      <c r="AD2523">
        <v>-0.103062999999999</v>
      </c>
      <c r="AE2523">
        <v>6.0499999999990402E-2</v>
      </c>
      <c r="AF2523">
        <v>7.2070766311573595E-2</v>
      </c>
      <c r="AG2523">
        <v>-0.103062999999999</v>
      </c>
      <c r="AH2523">
        <v>0.74066009423531998</v>
      </c>
      <c r="AI2523">
        <v>97.885080635251398</v>
      </c>
      <c r="AJ2523">
        <v>84.442266544862207</v>
      </c>
      <c r="AK2523">
        <v>0.75126130774745103</v>
      </c>
      <c r="AL2523">
        <v>87.054750304931503</v>
      </c>
      <c r="AM2523">
        <v>93.1171523256006</v>
      </c>
      <c r="AN2523">
        <v>1.00000001973758</v>
      </c>
    </row>
    <row r="2524" spans="1:40" x14ac:dyDescent="0.25">
      <c r="A2524" t="str">
        <f>"20190312160651268"</f>
        <v>20190312160651268</v>
      </c>
      <c r="B2524" t="str">
        <f>"1552378011257771"</f>
        <v>1552378011257771</v>
      </c>
      <c r="C2524" t="s">
        <v>40</v>
      </c>
      <c r="D2524">
        <v>5.9869159999999999</v>
      </c>
      <c r="E2524">
        <v>0.55211379999999999</v>
      </c>
      <c r="F2524" t="s">
        <v>44</v>
      </c>
      <c r="G2524">
        <v>-462.07499999999999</v>
      </c>
      <c r="H2524">
        <v>1.0243640000000001</v>
      </c>
      <c r="I2524">
        <v>285.4581</v>
      </c>
      <c r="J2524">
        <v>-461.48289999999997</v>
      </c>
      <c r="K2524">
        <v>1.1131260000000001</v>
      </c>
      <c r="L2524">
        <v>285.4042</v>
      </c>
      <c r="M2524">
        <v>-0.99942869999999995</v>
      </c>
      <c r="N2524">
        <v>0</v>
      </c>
      <c r="O2524">
        <v>-1.8721979999999999E-2</v>
      </c>
      <c r="P2524">
        <v>-0.99705370000000004</v>
      </c>
      <c r="Q2524">
        <v>2.2561250000000001E-2</v>
      </c>
      <c r="R2524">
        <v>-7.3314229999999994E-2</v>
      </c>
      <c r="S2524">
        <v>-3.0305789999999999</v>
      </c>
      <c r="T2524">
        <v>-0.35302850000000002</v>
      </c>
      <c r="U2524">
        <v>0.19354250000000001</v>
      </c>
      <c r="V2524">
        <v>-5.4775829999999998E-2</v>
      </c>
      <c r="W2524">
        <v>5.0480659999999997E-2</v>
      </c>
      <c r="X2524">
        <v>0.99722180000000005</v>
      </c>
      <c r="Y2524">
        <v>8.1736710000000004E-2</v>
      </c>
      <c r="Z2524">
        <v>6.9123369999999898E-3</v>
      </c>
      <c r="AA2524">
        <v>0.99663000000000002</v>
      </c>
      <c r="AB2524">
        <v>21</v>
      </c>
      <c r="AC2524">
        <v>-0.59210000000001595</v>
      </c>
      <c r="AD2524">
        <v>-8.8761999999999994E-2</v>
      </c>
      <c r="AE2524">
        <v>5.3899999999998699E-2</v>
      </c>
      <c r="AF2524">
        <v>6.3563488873532095E-2</v>
      </c>
      <c r="AG2524">
        <v>-8.8761999999999994E-2</v>
      </c>
      <c r="AH2524">
        <v>0.57810163318182395</v>
      </c>
      <c r="AI2524">
        <v>98.677559557240599</v>
      </c>
      <c r="AJ2524">
        <v>83.725413152737801</v>
      </c>
      <c r="AK2524">
        <v>0.58832007279139098</v>
      </c>
      <c r="AL2524">
        <v>87.106441415462498</v>
      </c>
      <c r="AM2524">
        <v>93.144007915640699</v>
      </c>
      <c r="AN2524">
        <v>1.0000000034907299</v>
      </c>
    </row>
    <row r="2525" spans="1:40" x14ac:dyDescent="0.25">
      <c r="A2525" t="str">
        <f>"20190312160651284"</f>
        <v>20190312160651284</v>
      </c>
      <c r="B2525" t="str">
        <f>"1552378011277292"</f>
        <v>1552378011277292</v>
      </c>
      <c r="C2525" t="s">
        <v>40</v>
      </c>
      <c r="D2525">
        <v>6.0237699999999998</v>
      </c>
      <c r="E2525">
        <v>0.55283959999999999</v>
      </c>
      <c r="F2525" t="s">
        <v>44</v>
      </c>
      <c r="G2525">
        <v>-462.25689999999997</v>
      </c>
      <c r="H2525">
        <v>1.017334</v>
      </c>
      <c r="I2525">
        <v>285.45679999999999</v>
      </c>
      <c r="J2525">
        <v>-461.62020000000001</v>
      </c>
      <c r="K2525">
        <v>1.1131200000000001</v>
      </c>
      <c r="L2525">
        <v>285.3999</v>
      </c>
      <c r="M2525">
        <v>-0.99940560000000001</v>
      </c>
      <c r="N2525">
        <v>0</v>
      </c>
      <c r="O2525">
        <v>-2.0063500000000001E-2</v>
      </c>
      <c r="P2525">
        <v>-0.99693030000000005</v>
      </c>
      <c r="Q2525">
        <v>2.2386929999999999E-2</v>
      </c>
      <c r="R2525">
        <v>-7.5027029999999995E-2</v>
      </c>
      <c r="S2525">
        <v>-3.0324710000000001</v>
      </c>
      <c r="T2525">
        <v>-0.375442</v>
      </c>
      <c r="U2525">
        <v>0.20538329999999999</v>
      </c>
      <c r="V2525">
        <v>-5.5150339999999999E-2</v>
      </c>
      <c r="W2525">
        <v>5.0207309999999998E-2</v>
      </c>
      <c r="X2525">
        <v>0.99721499999999996</v>
      </c>
      <c r="Y2525">
        <v>8.6772840000000004E-2</v>
      </c>
      <c r="Z2525">
        <v>7.8181009999999992E-3</v>
      </c>
      <c r="AA2525">
        <v>0.99619749999999996</v>
      </c>
      <c r="AB2525">
        <v>21</v>
      </c>
      <c r="AC2525">
        <v>-0.63669999999996196</v>
      </c>
      <c r="AD2525">
        <v>-9.5786000000000093E-2</v>
      </c>
      <c r="AE2525">
        <v>5.6899999999984602E-2</v>
      </c>
      <c r="AF2525">
        <v>6.8138067902769994E-2</v>
      </c>
      <c r="AG2525">
        <v>-9.5786000000000093E-2</v>
      </c>
      <c r="AH2525">
        <v>0.62147551447142801</v>
      </c>
      <c r="AI2525">
        <v>98.710477512906607</v>
      </c>
      <c r="AJ2525">
        <v>83.743128423618302</v>
      </c>
      <c r="AK2525">
        <v>0.632494718698148</v>
      </c>
      <c r="AL2525">
        <v>87.122123221997796</v>
      </c>
      <c r="AM2525">
        <v>93.165481911195002</v>
      </c>
      <c r="AN2525">
        <v>1.0000000451022699</v>
      </c>
    </row>
    <row r="2526" spans="1:40" x14ac:dyDescent="0.25">
      <c r="A2526" t="str">
        <f>"20190312160651296"</f>
        <v>20190312160651296</v>
      </c>
      <c r="B2526" t="str">
        <f>"1552378011288029"</f>
        <v>1552378011288029</v>
      </c>
      <c r="C2526" t="s">
        <v>40</v>
      </c>
      <c r="D2526">
        <v>6.5864900000000004</v>
      </c>
      <c r="E2526">
        <v>0.55283959999999999</v>
      </c>
      <c r="F2526" t="s">
        <v>44</v>
      </c>
      <c r="G2526">
        <v>-462.43740000000003</v>
      </c>
      <c r="H2526">
        <v>1.01159</v>
      </c>
      <c r="I2526">
        <v>285.45600000000002</v>
      </c>
      <c r="J2526">
        <v>-461.74310000000003</v>
      </c>
      <c r="K2526">
        <v>1.113111</v>
      </c>
      <c r="L2526">
        <v>285.39609999999999</v>
      </c>
      <c r="M2526">
        <v>-0.99938280000000002</v>
      </c>
      <c r="N2526">
        <v>0</v>
      </c>
      <c r="O2526">
        <v>-2.1277540000000001E-2</v>
      </c>
      <c r="P2526">
        <v>-0.99679399999999996</v>
      </c>
      <c r="Q2526">
        <v>2.2207250000000001E-2</v>
      </c>
      <c r="R2526">
        <v>-7.6870350000000004E-2</v>
      </c>
      <c r="S2526">
        <v>-3.0332340000000002</v>
      </c>
      <c r="T2526">
        <v>-0.37745139999999999</v>
      </c>
      <c r="U2526">
        <v>0.20632929999999999</v>
      </c>
      <c r="V2526">
        <v>-5.5782079999999998E-2</v>
      </c>
      <c r="W2526">
        <v>4.994109E-2</v>
      </c>
      <c r="X2526">
        <v>0.9971932</v>
      </c>
      <c r="Y2526">
        <v>8.8246270000000002E-2</v>
      </c>
      <c r="Z2526">
        <v>8.0992119999999997E-3</v>
      </c>
      <c r="AA2526">
        <v>0.99606570000000005</v>
      </c>
      <c r="AB2526">
        <v>21</v>
      </c>
      <c r="AC2526">
        <v>-0.69429999999999803</v>
      </c>
      <c r="AD2526">
        <v>-0.101520999999999</v>
      </c>
      <c r="AE2526">
        <v>5.9899999999970498E-2</v>
      </c>
      <c r="AF2526">
        <v>7.3113545442455893E-2</v>
      </c>
      <c r="AG2526">
        <v>-0.101520999999999</v>
      </c>
      <c r="AH2526">
        <v>0.67846885363836995</v>
      </c>
      <c r="AI2526">
        <v>98.461896544249797</v>
      </c>
      <c r="AJ2526">
        <v>83.849394947968804</v>
      </c>
      <c r="AK2526">
        <v>0.68990730487909002</v>
      </c>
      <c r="AL2526">
        <v>87.137395578302701</v>
      </c>
      <c r="AM2526">
        <v>93.201736934036504</v>
      </c>
      <c r="AN2526">
        <v>1.0000000155228701</v>
      </c>
    </row>
    <row r="2527" spans="1:40" x14ac:dyDescent="0.25">
      <c r="A2527" t="str">
        <f>"20190312160651313"</f>
        <v>20190312160651313</v>
      </c>
      <c r="B2527" t="str">
        <f>"1552378011307548"</f>
        <v>1552378011307548</v>
      </c>
      <c r="C2527" t="s">
        <v>40</v>
      </c>
      <c r="D2527">
        <v>6.6895189999999998</v>
      </c>
      <c r="E2527">
        <v>0.48047250000000002</v>
      </c>
      <c r="F2527" t="s">
        <v>44</v>
      </c>
      <c r="G2527">
        <v>-462.61500000000001</v>
      </c>
      <c r="H2527">
        <v>1.004559</v>
      </c>
      <c r="I2527">
        <v>285.45389999999998</v>
      </c>
      <c r="J2527">
        <v>-461.89299999999997</v>
      </c>
      <c r="K2527">
        <v>1.1130930000000001</v>
      </c>
      <c r="L2527">
        <v>285.39100000000002</v>
      </c>
      <c r="M2527">
        <v>-0.99935249999999998</v>
      </c>
      <c r="N2527">
        <v>0</v>
      </c>
      <c r="O2527">
        <v>-2.2779379999999998E-2</v>
      </c>
      <c r="P2527">
        <v>-0.99660179999999998</v>
      </c>
      <c r="Q2527">
        <v>2.2022480000000001E-2</v>
      </c>
      <c r="R2527">
        <v>-7.9372520000000002E-2</v>
      </c>
      <c r="S2527">
        <v>-3.0335390000000002</v>
      </c>
      <c r="T2527">
        <v>-0.37780340000000001</v>
      </c>
      <c r="U2527">
        <v>0.20092769999999999</v>
      </c>
      <c r="V2527">
        <v>-5.6786160000000002E-2</v>
      </c>
      <c r="W2527">
        <v>4.9652469999999997E-2</v>
      </c>
      <c r="X2527">
        <v>0.99715089999999995</v>
      </c>
      <c r="Y2527">
        <v>8.7959679999999998E-2</v>
      </c>
      <c r="Z2527">
        <v>8.2748249999999995E-3</v>
      </c>
      <c r="AA2527">
        <v>0.99608960000000002</v>
      </c>
      <c r="AB2527">
        <v>21</v>
      </c>
      <c r="AC2527">
        <v>-0.72199999999997999</v>
      </c>
      <c r="AD2527">
        <v>-0.10853400000000001</v>
      </c>
      <c r="AE2527">
        <v>6.2900000000013195E-2</v>
      </c>
      <c r="AF2527">
        <v>7.7596494753428905E-2</v>
      </c>
      <c r="AG2527">
        <v>-0.10853400000000001</v>
      </c>
      <c r="AH2527">
        <v>0.70457748517817698</v>
      </c>
      <c r="AI2527">
        <v>98.705261283285097</v>
      </c>
      <c r="AJ2527">
        <v>83.715231632368102</v>
      </c>
      <c r="AK2527">
        <v>0.71709851329787599</v>
      </c>
      <c r="AL2527">
        <v>87.153952716405698</v>
      </c>
      <c r="AM2527">
        <v>93.259383158307799</v>
      </c>
      <c r="AN2527">
        <v>0.99999997655772799</v>
      </c>
    </row>
    <row r="2528" spans="1:40" x14ac:dyDescent="0.25">
      <c r="A2528" t="str">
        <f>"20190312160651329"</f>
        <v>20190312160651329</v>
      </c>
      <c r="B2528" t="str">
        <f>"1552378011317308"</f>
        <v>1552378011317308</v>
      </c>
      <c r="C2528" t="s">
        <v>40</v>
      </c>
      <c r="D2528">
        <v>6.3486770000000003</v>
      </c>
      <c r="E2528">
        <v>0.48047250000000002</v>
      </c>
      <c r="F2528" t="s">
        <v>61</v>
      </c>
      <c r="G2528">
        <v>-489.23989999999998</v>
      </c>
      <c r="H2528" s="1">
        <v>3.6008619999999999E-6</v>
      </c>
      <c r="I2528">
        <v>281.82659999999998</v>
      </c>
      <c r="J2528">
        <v>-462.03129999999999</v>
      </c>
      <c r="K2528">
        <v>1.11307</v>
      </c>
      <c r="L2528">
        <v>285.3861</v>
      </c>
      <c r="M2528">
        <v>-0.9993223</v>
      </c>
      <c r="N2528">
        <v>0</v>
      </c>
      <c r="O2528">
        <v>-2.4181310000000001E-2</v>
      </c>
      <c r="P2528">
        <v>-0.99646679999999999</v>
      </c>
      <c r="Q2528">
        <v>2.152155E-2</v>
      </c>
      <c r="R2528">
        <v>-8.1182729999999995E-2</v>
      </c>
      <c r="S2528">
        <v>-2.9819640000000001</v>
      </c>
      <c r="T2528">
        <v>-0.12137390000000001</v>
      </c>
      <c r="U2528">
        <v>-0.38867190000000001</v>
      </c>
      <c r="V2528">
        <v>-5.7194870000000002E-2</v>
      </c>
      <c r="W2528">
        <v>4.9049059999999998E-2</v>
      </c>
      <c r="X2528">
        <v>0.99715750000000003</v>
      </c>
      <c r="Y2528">
        <v>-0.10515620000000001</v>
      </c>
      <c r="Z2528">
        <v>-1.150566E-3</v>
      </c>
      <c r="AA2528">
        <v>0.99445499999999998</v>
      </c>
      <c r="AB2528">
        <v>21</v>
      </c>
      <c r="AC2528">
        <v>-27.208599999999901</v>
      </c>
      <c r="AD2528">
        <v>-1.1130663991380001</v>
      </c>
      <c r="AE2528">
        <v>-3.5595000000000101</v>
      </c>
      <c r="AF2528">
        <v>-2.8955011198866201</v>
      </c>
      <c r="AG2528">
        <v>-1.1130663991380001</v>
      </c>
      <c r="AH2528">
        <v>27.241921662140701</v>
      </c>
      <c r="AI2528">
        <v>92.326632299829697</v>
      </c>
      <c r="AJ2528">
        <v>96.067099809176995</v>
      </c>
      <c r="AK2528">
        <v>27.417971102734199</v>
      </c>
      <c r="AL2528">
        <v>87.188568009660003</v>
      </c>
      <c r="AM2528">
        <v>93.282769282669094</v>
      </c>
      <c r="AN2528">
        <v>1.0000000716237201</v>
      </c>
    </row>
    <row r="2529" spans="1:40" x14ac:dyDescent="0.25">
      <c r="A2529" t="str">
        <f>"20190312160651346"</f>
        <v>20190312160651346</v>
      </c>
      <c r="B2529" t="str">
        <f>"1552378011337804"</f>
        <v>1552378011337804</v>
      </c>
      <c r="C2529" t="s">
        <v>40</v>
      </c>
      <c r="D2529">
        <v>6.1010439999999999</v>
      </c>
      <c r="E2529">
        <v>0.40997250000000002</v>
      </c>
      <c r="F2529" t="s">
        <v>61</v>
      </c>
      <c r="G2529">
        <v>-489.02080000000001</v>
      </c>
      <c r="H2529" s="1">
        <v>3.561326E-6</v>
      </c>
      <c r="I2529">
        <v>281.81869999999998</v>
      </c>
      <c r="J2529">
        <v>-462.19029999999998</v>
      </c>
      <c r="K2529">
        <v>1.1130409999999999</v>
      </c>
      <c r="L2529">
        <v>285.38029999999998</v>
      </c>
      <c r="M2529">
        <v>-0.99928530000000004</v>
      </c>
      <c r="N2529">
        <v>0</v>
      </c>
      <c r="O2529">
        <v>-2.5800099999999999E-2</v>
      </c>
      <c r="P2529">
        <v>-0.99629590000000001</v>
      </c>
      <c r="Q2529">
        <v>2.0663919999999999E-2</v>
      </c>
      <c r="R2529">
        <v>-8.3470429999999998E-2</v>
      </c>
      <c r="S2529">
        <v>-2.981201</v>
      </c>
      <c r="T2529">
        <v>-0.12294670000000001</v>
      </c>
      <c r="U2529">
        <v>-0.39404299999999998</v>
      </c>
      <c r="V2529">
        <v>-5.7864270000000002E-2</v>
      </c>
      <c r="W2529">
        <v>4.8065570000000002E-2</v>
      </c>
      <c r="X2529">
        <v>0.99716669999999996</v>
      </c>
      <c r="Y2529">
        <v>-0.1053388</v>
      </c>
      <c r="Z2529">
        <v>-1.1029799999999999E-3</v>
      </c>
      <c r="AA2529">
        <v>0.99443579999999998</v>
      </c>
      <c r="AB2529">
        <v>20</v>
      </c>
      <c r="AC2529">
        <v>-26.830500000000001</v>
      </c>
      <c r="AD2529">
        <v>-1.1130374386739901</v>
      </c>
      <c r="AE2529">
        <v>-3.5615999999999901</v>
      </c>
      <c r="AF2529">
        <v>-2.8630777869205399</v>
      </c>
      <c r="AG2529">
        <v>-1.1130374386739901</v>
      </c>
      <c r="AH2529">
        <v>26.868049366107801</v>
      </c>
      <c r="AI2529">
        <v>92.358842544273202</v>
      </c>
      <c r="AJ2529">
        <v>96.082524185218006</v>
      </c>
      <c r="AK2529">
        <v>27.043079401086199</v>
      </c>
      <c r="AL2529">
        <v>87.244984185982702</v>
      </c>
      <c r="AM2529">
        <v>93.321074233494102</v>
      </c>
      <c r="AN2529">
        <v>1.0000000001754701</v>
      </c>
    </row>
    <row r="2530" spans="1:40" x14ac:dyDescent="0.25">
      <c r="A2530" t="str">
        <f>"20190312160651370"</f>
        <v>20190312160651370</v>
      </c>
      <c r="B2530" t="str">
        <f>"1552378011357324"</f>
        <v>1552378011357324</v>
      </c>
      <c r="C2530" t="s">
        <v>40</v>
      </c>
      <c r="D2530">
        <v>6.1244350000000001</v>
      </c>
      <c r="E2530">
        <v>0.40467259999999999</v>
      </c>
      <c r="F2530" t="s">
        <v>61</v>
      </c>
      <c r="G2530">
        <v>-474.6859</v>
      </c>
      <c r="H2530" s="1">
        <v>4.2465589999999996E-6</v>
      </c>
      <c r="I2530">
        <v>281.30419999999998</v>
      </c>
      <c r="J2530">
        <v>-462.39089999999999</v>
      </c>
      <c r="K2530">
        <v>1.1129899999999999</v>
      </c>
      <c r="L2530">
        <v>285.3725</v>
      </c>
      <c r="M2530">
        <v>-0.99923510000000004</v>
      </c>
      <c r="N2530">
        <v>0</v>
      </c>
      <c r="O2530">
        <v>-2.78464E-2</v>
      </c>
      <c r="P2530">
        <v>-0.99606340000000004</v>
      </c>
      <c r="Q2530">
        <v>1.9250799999999998E-2</v>
      </c>
      <c r="R2530">
        <v>-8.6528309999999997E-2</v>
      </c>
      <c r="S2530">
        <v>-2.9363709999999998</v>
      </c>
      <c r="T2530">
        <v>-0.26155600000000001</v>
      </c>
      <c r="U2530">
        <v>-0.95785520000000002</v>
      </c>
      <c r="V2530">
        <v>-5.8875719999999999E-2</v>
      </c>
      <c r="W2530">
        <v>4.6485180000000001E-2</v>
      </c>
      <c r="X2530">
        <v>0.99718240000000002</v>
      </c>
      <c r="Y2530">
        <v>-0.28260740000000001</v>
      </c>
      <c r="Z2530">
        <v>-9.8346809999999996E-3</v>
      </c>
      <c r="AA2530">
        <v>0.95918519999999896</v>
      </c>
      <c r="AB2530">
        <v>20</v>
      </c>
      <c r="AC2530">
        <v>-12.295</v>
      </c>
      <c r="AD2530">
        <v>-1.1129857534409999</v>
      </c>
      <c r="AE2530">
        <v>-4.0683000000000202</v>
      </c>
      <c r="AF2530">
        <v>-3.6969157882638299</v>
      </c>
      <c r="AG2530">
        <v>-1.1129857534409999</v>
      </c>
      <c r="AH2530">
        <v>12.312619886002301</v>
      </c>
      <c r="AI2530">
        <v>94.948078363366307</v>
      </c>
      <c r="AJ2530">
        <v>106.712605111256</v>
      </c>
      <c r="AK2530">
        <v>12.903741011429799</v>
      </c>
      <c r="AL2530">
        <v>87.335635177753801</v>
      </c>
      <c r="AM2530">
        <v>93.378939176474901</v>
      </c>
      <c r="AN2530">
        <v>0.99999998061745499</v>
      </c>
    </row>
    <row r="2531" spans="1:40" x14ac:dyDescent="0.25">
      <c r="A2531" t="str">
        <f>"20190312160651392"</f>
        <v>20190312160651392</v>
      </c>
      <c r="B2531" t="str">
        <f>"1552378011387225"</f>
        <v>1552378011387225</v>
      </c>
      <c r="C2531" t="s">
        <v>40</v>
      </c>
      <c r="D2531">
        <v>6.317177</v>
      </c>
      <c r="E2531">
        <v>0.40557549999999998</v>
      </c>
      <c r="F2531" t="s">
        <v>61</v>
      </c>
      <c r="G2531">
        <v>-473.91239999999999</v>
      </c>
      <c r="H2531" s="1">
        <v>4.5983240000000003E-6</v>
      </c>
      <c r="I2531">
        <v>281.40429999999998</v>
      </c>
      <c r="J2531">
        <v>-462.58319999999998</v>
      </c>
      <c r="K2531">
        <v>1.1129370000000001</v>
      </c>
      <c r="L2531">
        <v>285.36470000000003</v>
      </c>
      <c r="M2531">
        <v>-0.99918289999999998</v>
      </c>
      <c r="N2531">
        <v>0</v>
      </c>
      <c r="O2531">
        <v>-2.980913E-2</v>
      </c>
      <c r="P2531">
        <v>-0.99584799999999996</v>
      </c>
      <c r="Q2531">
        <v>1.8517059999999998E-2</v>
      </c>
      <c r="R2531">
        <v>-8.9129199999999895E-2</v>
      </c>
      <c r="S2531">
        <v>-2.9296570000000002</v>
      </c>
      <c r="T2531">
        <v>-0.28300730000000002</v>
      </c>
      <c r="U2531">
        <v>-1.0090330000000001</v>
      </c>
      <c r="V2531">
        <v>-5.9514839999999999E-2</v>
      </c>
      <c r="W2531">
        <v>4.559349E-2</v>
      </c>
      <c r="X2531">
        <v>0.99718560000000001</v>
      </c>
      <c r="Y2531">
        <v>-0.29620079999999999</v>
      </c>
      <c r="Z2531">
        <v>-1.1085899999999999E-2</v>
      </c>
      <c r="AA2531">
        <v>0.9550613</v>
      </c>
      <c r="AB2531">
        <v>20</v>
      </c>
      <c r="AC2531">
        <v>-11.3292</v>
      </c>
      <c r="AD2531">
        <v>-1.112932401676</v>
      </c>
      <c r="AE2531">
        <v>-3.9604000000000399</v>
      </c>
      <c r="AF2531">
        <v>-3.5899280567107099</v>
      </c>
      <c r="AG2531">
        <v>-1.112932401676</v>
      </c>
      <c r="AH2531">
        <v>11.3447041351245</v>
      </c>
      <c r="AI2531">
        <v>95.343350599164197</v>
      </c>
      <c r="AJ2531">
        <v>107.559499943533</v>
      </c>
      <c r="AK2531">
        <v>11.95108839799</v>
      </c>
      <c r="AL2531">
        <v>87.386779410423998</v>
      </c>
      <c r="AM2531">
        <v>93.415521636254596</v>
      </c>
      <c r="AN2531">
        <v>0.99999995167898104</v>
      </c>
    </row>
    <row r="2532" spans="1:40" x14ac:dyDescent="0.25">
      <c r="A2532" t="str">
        <f>"20190312160651414"</f>
        <v>20190312160651414</v>
      </c>
      <c r="B2532" t="str">
        <f>"1552378011407722"</f>
        <v>1552378011407722</v>
      </c>
      <c r="C2532" t="s">
        <v>40</v>
      </c>
      <c r="D2532">
        <v>6.318276</v>
      </c>
      <c r="E2532">
        <v>0.40554709999999999</v>
      </c>
      <c r="F2532" t="s">
        <v>61</v>
      </c>
      <c r="G2532">
        <v>-473.72250000000003</v>
      </c>
      <c r="H2532" s="1">
        <v>4.6931699999999998E-6</v>
      </c>
      <c r="I2532">
        <v>281.5258</v>
      </c>
      <c r="J2532">
        <v>-462.77379999999999</v>
      </c>
      <c r="K2532">
        <v>1.1128849999999999</v>
      </c>
      <c r="L2532">
        <v>285.35660000000001</v>
      </c>
      <c r="M2532">
        <v>-0.99912699999999999</v>
      </c>
      <c r="N2532">
        <v>0</v>
      </c>
      <c r="O2532">
        <v>-3.1753539999999997E-2</v>
      </c>
      <c r="P2532">
        <v>-0.99558440000000004</v>
      </c>
      <c r="Q2532">
        <v>1.7426279999999999E-2</v>
      </c>
      <c r="R2532">
        <v>-9.2240500000000003E-2</v>
      </c>
      <c r="S2532">
        <v>-2.9276430000000002</v>
      </c>
      <c r="T2532">
        <v>-0.29250340000000002</v>
      </c>
      <c r="U2532">
        <v>-1.008942</v>
      </c>
      <c r="V2532">
        <v>-6.068316E-2</v>
      </c>
      <c r="W2532">
        <v>4.4354970000000001E-2</v>
      </c>
      <c r="X2532">
        <v>0.99717109999999998</v>
      </c>
      <c r="Y2532">
        <v>-0.29445789999999999</v>
      </c>
      <c r="Z2532">
        <v>-1.1191359999999999E-2</v>
      </c>
      <c r="AA2532">
        <v>0.95559899999999998</v>
      </c>
      <c r="AB2532">
        <v>20</v>
      </c>
      <c r="AC2532">
        <v>-10.948700000000001</v>
      </c>
      <c r="AD2532">
        <v>-1.1128803068299999</v>
      </c>
      <c r="AE2532">
        <v>-3.8308</v>
      </c>
      <c r="AF2532">
        <v>-3.4493281422751298</v>
      </c>
      <c r="AG2532">
        <v>-1.1128803068299999</v>
      </c>
      <c r="AH2532">
        <v>10.9639398130739</v>
      </c>
      <c r="AI2532">
        <v>95.5304233875233</v>
      </c>
      <c r="AJ2532">
        <v>107.463921009115</v>
      </c>
      <c r="AK2532">
        <v>11.5474821253435</v>
      </c>
      <c r="AL2532">
        <v>87.457813401180303</v>
      </c>
      <c r="AM2532">
        <v>93.482457924836993</v>
      </c>
      <c r="AN2532">
        <v>1.0000000059732399</v>
      </c>
    </row>
    <row r="2533" spans="1:40" x14ac:dyDescent="0.25">
      <c r="A2533" t="str">
        <f>"20190312160651436"</f>
        <v>20190312160651436</v>
      </c>
      <c r="B2533" t="str">
        <f>"1552378011428218"</f>
        <v>1552378011428218</v>
      </c>
      <c r="C2533" t="s">
        <v>40</v>
      </c>
      <c r="D2533">
        <v>6.3315650000000003</v>
      </c>
      <c r="E2533">
        <v>0.40616920000000001</v>
      </c>
      <c r="F2533" t="s">
        <v>61</v>
      </c>
      <c r="G2533">
        <v>-474.392</v>
      </c>
      <c r="H2533" s="1">
        <v>4.3774090000000003E-6</v>
      </c>
      <c r="I2533">
        <v>281.31020000000001</v>
      </c>
      <c r="J2533">
        <v>-462.9588</v>
      </c>
      <c r="K2533">
        <v>1.1128279999999999</v>
      </c>
      <c r="L2533">
        <v>285.34829999999999</v>
      </c>
      <c r="M2533">
        <v>-0.9990696</v>
      </c>
      <c r="N2533">
        <v>0</v>
      </c>
      <c r="O2533">
        <v>-3.3637930000000003E-2</v>
      </c>
      <c r="P2533">
        <v>-0.9952877</v>
      </c>
      <c r="Q2533">
        <v>1.6302150000000001E-2</v>
      </c>
      <c r="R2533">
        <v>-9.5587690000000003E-2</v>
      </c>
      <c r="S2533">
        <v>-2.9238590000000002</v>
      </c>
      <c r="T2533">
        <v>-0.28006950000000003</v>
      </c>
      <c r="U2533">
        <v>-1.018311</v>
      </c>
      <c r="V2533">
        <v>-6.2149160000000002E-2</v>
      </c>
      <c r="W2533">
        <v>4.3081130000000002E-2</v>
      </c>
      <c r="X2533">
        <v>0.99713669999999999</v>
      </c>
      <c r="Y2533">
        <v>-0.29586800000000002</v>
      </c>
      <c r="Z2533">
        <v>-1.061633E-2</v>
      </c>
      <c r="AA2533">
        <v>0.95516990000000002</v>
      </c>
      <c r="AB2533">
        <v>19</v>
      </c>
      <c r="AC2533">
        <v>-11.433199999999999</v>
      </c>
      <c r="AD2533">
        <v>-1.112823622591</v>
      </c>
      <c r="AE2533">
        <v>-4.0380999999999796</v>
      </c>
      <c r="AF2533">
        <v>-3.6205878012495201</v>
      </c>
      <c r="AG2533">
        <v>-1.112823622591</v>
      </c>
      <c r="AH2533">
        <v>11.4660302425214</v>
      </c>
      <c r="AI2533">
        <v>95.287637925614007</v>
      </c>
      <c r="AJ2533">
        <v>107.52436944527901</v>
      </c>
      <c r="AK2533">
        <v>12.0754661178759</v>
      </c>
      <c r="AL2533">
        <v>87.530869018397198</v>
      </c>
      <c r="AM2533">
        <v>93.566496206643507</v>
      </c>
      <c r="AN2533">
        <v>1.00000005016883</v>
      </c>
    </row>
    <row r="2534" spans="1:40" x14ac:dyDescent="0.25">
      <c r="A2534" t="str">
        <f>"20190312160651451"</f>
        <v>20190312160651451</v>
      </c>
      <c r="B2534" t="str">
        <f>"1552378011447738"</f>
        <v>1552378011447738</v>
      </c>
      <c r="C2534" t="s">
        <v>40</v>
      </c>
      <c r="D2534">
        <v>6.2784639999999996</v>
      </c>
      <c r="E2534">
        <v>0.40649190000000002</v>
      </c>
      <c r="F2534" t="s">
        <v>61</v>
      </c>
      <c r="G2534">
        <v>-474.61250000000001</v>
      </c>
      <c r="H2534" s="1">
        <v>4.27544E-6</v>
      </c>
      <c r="I2534">
        <v>281.26229999999998</v>
      </c>
      <c r="J2534">
        <v>-463.08909999999997</v>
      </c>
      <c r="K2534">
        <v>1.112792</v>
      </c>
      <c r="L2534">
        <v>285.34230000000002</v>
      </c>
      <c r="M2534">
        <v>-0.99902709999999995</v>
      </c>
      <c r="N2534">
        <v>0</v>
      </c>
      <c r="O2534">
        <v>-3.4961640000000002E-2</v>
      </c>
      <c r="P2534">
        <v>-0.99509650000000005</v>
      </c>
      <c r="Q2534">
        <v>1.5919719999999998E-2</v>
      </c>
      <c r="R2534">
        <v>-9.7620440000000003E-2</v>
      </c>
      <c r="S2534">
        <v>-2.9204409999999998</v>
      </c>
      <c r="T2534">
        <v>-0.27887519999999999</v>
      </c>
      <c r="U2534">
        <v>-1.0239560000000001</v>
      </c>
      <c r="V2534">
        <v>-6.2861310000000004E-2</v>
      </c>
      <c r="W2534">
        <v>4.2587569999999998E-2</v>
      </c>
      <c r="X2534">
        <v>0.99711320000000003</v>
      </c>
      <c r="Y2534">
        <v>-0.29660540000000002</v>
      </c>
      <c r="Z2534">
        <v>-1.049166E-2</v>
      </c>
      <c r="AA2534">
        <v>0.95494250000000003</v>
      </c>
      <c r="AB2534">
        <v>19</v>
      </c>
      <c r="AC2534">
        <v>-11.523400000000001</v>
      </c>
      <c r="AD2534">
        <v>-1.11278772456</v>
      </c>
      <c r="AE2534">
        <v>-4.08000000000004</v>
      </c>
      <c r="AF2534">
        <v>-3.64428291690666</v>
      </c>
      <c r="AG2534">
        <v>-1.11278772456</v>
      </c>
      <c r="AH2534">
        <v>11.5632263403932</v>
      </c>
      <c r="AI2534">
        <v>95.2441778158272</v>
      </c>
      <c r="AJ2534">
        <v>107.492841134307</v>
      </c>
      <c r="AK2534">
        <v>12.174863362582499</v>
      </c>
      <c r="AL2534">
        <v>87.559173752623096</v>
      </c>
      <c r="AM2534">
        <v>93.607341190991093</v>
      </c>
      <c r="AN2534">
        <v>0.99999998951382996</v>
      </c>
    </row>
    <row r="2535" spans="1:40" x14ac:dyDescent="0.25">
      <c r="A2535" t="str">
        <f>"20190312160651470"</f>
        <v>20190312160651470</v>
      </c>
      <c r="B2535" t="str">
        <f>"1552378011457498"</f>
        <v>1552378011457498</v>
      </c>
      <c r="C2535" t="s">
        <v>40</v>
      </c>
      <c r="D2535">
        <v>6.2717539999999996</v>
      </c>
      <c r="E2535">
        <v>0.40653020000000001</v>
      </c>
      <c r="F2535" t="s">
        <v>61</v>
      </c>
      <c r="G2535">
        <v>-474.6003</v>
      </c>
      <c r="H2535" s="1">
        <v>4.2832309999999997E-6</v>
      </c>
      <c r="I2535">
        <v>281.28960000000001</v>
      </c>
      <c r="J2535">
        <v>-463.23660000000001</v>
      </c>
      <c r="K2535">
        <v>1.112757</v>
      </c>
      <c r="L2535">
        <v>285.33519999999999</v>
      </c>
      <c r="M2535">
        <v>-0.99897709999999995</v>
      </c>
      <c r="N2535">
        <v>0</v>
      </c>
      <c r="O2535">
        <v>-3.6455410000000001E-2</v>
      </c>
      <c r="P2535">
        <v>-0.99485889999999999</v>
      </c>
      <c r="Q2535">
        <v>1.5446029999999999E-2</v>
      </c>
      <c r="R2535">
        <v>-0.10008649999999999</v>
      </c>
      <c r="S2535">
        <v>-2.9185180000000002</v>
      </c>
      <c r="T2535">
        <v>-0.28213169999999999</v>
      </c>
      <c r="U2535">
        <v>-1.027496</v>
      </c>
      <c r="V2535">
        <v>-6.3838539999999999E-2</v>
      </c>
      <c r="W2535">
        <v>4.1988249999999998E-2</v>
      </c>
      <c r="X2535">
        <v>0.99707650000000003</v>
      </c>
      <c r="Y2535">
        <v>-0.29638700000000001</v>
      </c>
      <c r="Z2535">
        <v>-1.046852E-2</v>
      </c>
      <c r="AA2535">
        <v>0.95501049999999998</v>
      </c>
      <c r="AB2535">
        <v>19</v>
      </c>
      <c r="AC2535">
        <v>-11.3636999999999</v>
      </c>
      <c r="AD2535">
        <v>-1.1127527167689999</v>
      </c>
      <c r="AE2535">
        <v>-4.0455999999999701</v>
      </c>
      <c r="AF2535">
        <v>-3.5978740768141799</v>
      </c>
      <c r="AG2535">
        <v>-1.1127527167689999</v>
      </c>
      <c r="AH2535">
        <v>11.4066068132359</v>
      </c>
      <c r="AI2535">
        <v>95.315215324852304</v>
      </c>
      <c r="AJ2535">
        <v>107.50632653059699</v>
      </c>
      <c r="AK2535">
        <v>12.012226915649199</v>
      </c>
      <c r="AL2535">
        <v>87.593542932482194</v>
      </c>
      <c r="AM2535">
        <v>93.663403162908295</v>
      </c>
      <c r="AN2535">
        <v>0.99999995958982102</v>
      </c>
    </row>
    <row r="2536" spans="1:40" x14ac:dyDescent="0.25">
      <c r="A2536" t="str">
        <f>"20190312160651485"</f>
        <v>20190312160651485</v>
      </c>
      <c r="B2536" t="str">
        <f>"1552378011477994"</f>
        <v>1552378011477994</v>
      </c>
      <c r="C2536" t="s">
        <v>40</v>
      </c>
      <c r="D2536">
        <v>6.2851239999999997</v>
      </c>
      <c r="E2536">
        <v>0.40679939999999998</v>
      </c>
      <c r="F2536" t="s">
        <v>61</v>
      </c>
      <c r="G2536">
        <v>-474.6705</v>
      </c>
      <c r="H2536" s="1">
        <v>4.2513469999999997E-6</v>
      </c>
      <c r="I2536">
        <v>281.28070000000002</v>
      </c>
      <c r="J2536">
        <v>-463.36430000000001</v>
      </c>
      <c r="K2536">
        <v>1.1127229999999999</v>
      </c>
      <c r="L2536">
        <v>285.32889999999998</v>
      </c>
      <c r="M2536">
        <v>-0.99893209999999999</v>
      </c>
      <c r="N2536">
        <v>0</v>
      </c>
      <c r="O2536">
        <v>-3.7746050000000003E-2</v>
      </c>
      <c r="P2536">
        <v>-0.99468559999999995</v>
      </c>
      <c r="Q2536">
        <v>1.5538430000000001E-2</v>
      </c>
      <c r="R2536">
        <v>-0.1017817</v>
      </c>
      <c r="S2536">
        <v>-2.9158940000000002</v>
      </c>
      <c r="T2536">
        <v>-0.28377809999999998</v>
      </c>
      <c r="U2536">
        <v>-1.0339969999999901</v>
      </c>
      <c r="V2536">
        <v>-6.4247449999999998E-2</v>
      </c>
      <c r="W2536">
        <v>4.1975859999999997E-2</v>
      </c>
      <c r="X2536">
        <v>0.99705080000000001</v>
      </c>
      <c r="Y2536">
        <v>-0.297303599999999</v>
      </c>
      <c r="Z2536">
        <v>-1.0456490000000001E-2</v>
      </c>
      <c r="AA2536">
        <v>0.95472570000000001</v>
      </c>
      <c r="AB2536">
        <v>19</v>
      </c>
      <c r="AC2536">
        <v>-11.306199999999899</v>
      </c>
      <c r="AD2536">
        <v>-1.1127187486529999</v>
      </c>
      <c r="AE2536">
        <v>-4.0481999999999498</v>
      </c>
      <c r="AF2536">
        <v>-3.5875968218119998</v>
      </c>
      <c r="AG2536">
        <v>-1.1127187486529999</v>
      </c>
      <c r="AH2536">
        <v>11.353522480126101</v>
      </c>
      <c r="AI2536">
        <v>95.338893629173995</v>
      </c>
      <c r="AJ2536">
        <v>107.536002628896</v>
      </c>
      <c r="AK2536">
        <v>11.958740179308499</v>
      </c>
      <c r="AL2536">
        <v>87.594253557454607</v>
      </c>
      <c r="AM2536">
        <v>93.686898900926295</v>
      </c>
      <c r="AN2536">
        <v>1.0000000027174401</v>
      </c>
    </row>
    <row r="2537" spans="1:40" x14ac:dyDescent="0.25">
      <c r="A2537" t="str">
        <f>"20190312160651504"</f>
        <v>20190312160651504</v>
      </c>
      <c r="B2537" t="str">
        <f>"1552378011497517"</f>
        <v>1552378011497517</v>
      </c>
      <c r="C2537" t="s">
        <v>40</v>
      </c>
      <c r="D2537">
        <v>6.3163839999999896</v>
      </c>
      <c r="E2537">
        <v>0.4066089</v>
      </c>
      <c r="F2537" t="s">
        <v>61</v>
      </c>
      <c r="G2537">
        <v>-474.80160000000001</v>
      </c>
      <c r="H2537" s="1">
        <v>4.1914509999999997E-6</v>
      </c>
      <c r="I2537">
        <v>281.26060000000001</v>
      </c>
      <c r="J2537">
        <v>-463.512</v>
      </c>
      <c r="K2537">
        <v>1.1126860000000001</v>
      </c>
      <c r="L2537">
        <v>285.32150000000001</v>
      </c>
      <c r="M2537">
        <v>-0.99887769999999998</v>
      </c>
      <c r="N2537">
        <v>0</v>
      </c>
      <c r="O2537">
        <v>-3.9239379999999997E-2</v>
      </c>
      <c r="P2537">
        <v>-0.99454359999999997</v>
      </c>
      <c r="Q2537">
        <v>1.4041029999999999E-2</v>
      </c>
      <c r="R2537">
        <v>-0.1033748</v>
      </c>
      <c r="S2537">
        <v>-2.9143680000000001</v>
      </c>
      <c r="T2537">
        <v>-0.28353450000000002</v>
      </c>
      <c r="U2537">
        <v>-1.0366519999999999</v>
      </c>
      <c r="V2537">
        <v>-6.4346819999999999E-2</v>
      </c>
      <c r="W2537">
        <v>4.0362189999999999E-2</v>
      </c>
      <c r="X2537">
        <v>0.99711099999999997</v>
      </c>
      <c r="Y2537">
        <v>-0.29681610000000003</v>
      </c>
      <c r="Z2537">
        <v>-1.028806E-2</v>
      </c>
      <c r="AA2537">
        <v>0.95487920000000004</v>
      </c>
      <c r="AB2537">
        <v>18</v>
      </c>
      <c r="AC2537">
        <v>-11.2896</v>
      </c>
      <c r="AD2537">
        <v>-1.112681808549</v>
      </c>
      <c r="AE2537">
        <v>-4.0609000000000002</v>
      </c>
      <c r="AF2537">
        <v>-3.5837936667168999</v>
      </c>
      <c r="AG2537">
        <v>-1.112681808549</v>
      </c>
      <c r="AH2537">
        <v>11.3427448649373</v>
      </c>
      <c r="AI2537">
        <v>95.343814281279805</v>
      </c>
      <c r="AJ2537">
        <v>107.53417681967299</v>
      </c>
      <c r="AK2537">
        <v>11.9473636809021</v>
      </c>
      <c r="AL2537">
        <v>87.686788453597799</v>
      </c>
      <c r="AM2537">
        <v>93.692363253760305</v>
      </c>
      <c r="AN2537">
        <v>0.99999998297335402</v>
      </c>
    </row>
    <row r="2538" spans="1:40" x14ac:dyDescent="0.25">
      <c r="A2538" t="str">
        <f>"20190312160651525"</f>
        <v>20190312160651525</v>
      </c>
      <c r="B2538" t="str">
        <f>"1552378011518010"</f>
        <v>1552378011518010</v>
      </c>
      <c r="C2538" t="s">
        <v>40</v>
      </c>
      <c r="D2538">
        <v>6.3032719999999998</v>
      </c>
      <c r="E2538">
        <v>0.40662939999999997</v>
      </c>
      <c r="F2538" t="s">
        <v>61</v>
      </c>
      <c r="G2538">
        <v>-475.05650000000003</v>
      </c>
      <c r="H2538" s="1">
        <v>4.0718679999999999E-6</v>
      </c>
      <c r="I2538">
        <v>281.18619999999999</v>
      </c>
      <c r="J2538">
        <v>-463.68799999999999</v>
      </c>
      <c r="K2538">
        <v>1.112636</v>
      </c>
      <c r="L2538">
        <v>285.31229999999999</v>
      </c>
      <c r="M2538">
        <v>-0.99880979999999997</v>
      </c>
      <c r="N2538">
        <v>0</v>
      </c>
      <c r="O2538">
        <v>-4.1021769999999999E-2</v>
      </c>
      <c r="P2538">
        <v>-0.99441409999999997</v>
      </c>
      <c r="Q2538">
        <v>1.308718E-2</v>
      </c>
      <c r="R2538">
        <v>-0.1047362</v>
      </c>
      <c r="S2538">
        <v>-2.9119869999999999</v>
      </c>
      <c r="T2538">
        <v>-0.2806611</v>
      </c>
      <c r="U2538">
        <v>-1.043091</v>
      </c>
      <c r="V2538">
        <v>-6.3925940000000001E-2</v>
      </c>
      <c r="W2538">
        <v>3.9277289999999999E-2</v>
      </c>
      <c r="X2538">
        <v>0.9971814</v>
      </c>
      <c r="Y2538">
        <v>-0.29725849999999998</v>
      </c>
      <c r="Z2538">
        <v>-1.0043450000000001E-2</v>
      </c>
      <c r="AA2538">
        <v>0.95474420000000004</v>
      </c>
      <c r="AB2538">
        <v>18</v>
      </c>
      <c r="AC2538">
        <v>-11.3684999999999</v>
      </c>
      <c r="AD2538">
        <v>-1.1126319281319901</v>
      </c>
      <c r="AE2538">
        <v>-4.1261000000000001</v>
      </c>
      <c r="AF2538">
        <v>-3.6254219046040901</v>
      </c>
      <c r="AG2538">
        <v>-1.1126319281319901</v>
      </c>
      <c r="AH2538">
        <v>11.431491215315001</v>
      </c>
      <c r="AI2538">
        <v>95.300526780100995</v>
      </c>
      <c r="AJ2538">
        <v>107.596080351702</v>
      </c>
      <c r="AK2538">
        <v>12.044111640121301</v>
      </c>
      <c r="AL2538">
        <v>87.748997999687504</v>
      </c>
      <c r="AM2538">
        <v>93.668020115099694</v>
      </c>
      <c r="AN2538">
        <v>0.99999998791029299</v>
      </c>
    </row>
    <row r="2539" spans="1:40" x14ac:dyDescent="0.25">
      <c r="A2539" t="str">
        <f>"20190312160651548"</f>
        <v>20190312160651548</v>
      </c>
      <c r="B2539" t="str">
        <f>"1552378011537530"</f>
        <v>1552378011537530</v>
      </c>
      <c r="C2539" t="s">
        <v>40</v>
      </c>
      <c r="D2539">
        <v>6.2952219999999999</v>
      </c>
      <c r="E2539">
        <v>0.40701009999999999</v>
      </c>
      <c r="F2539" t="s">
        <v>61</v>
      </c>
      <c r="G2539">
        <v>-475.22199999999998</v>
      </c>
      <c r="H2539" s="1">
        <v>3.9962869999999996E-6</v>
      </c>
      <c r="I2539">
        <v>281.16109999999998</v>
      </c>
      <c r="J2539">
        <v>-463.8623</v>
      </c>
      <c r="K2539">
        <v>1.112601</v>
      </c>
      <c r="L2539">
        <v>285.30290000000002</v>
      </c>
      <c r="M2539">
        <v>-0.99873909999999999</v>
      </c>
      <c r="N2539">
        <v>0</v>
      </c>
      <c r="O2539">
        <v>-4.2787119999999998E-2</v>
      </c>
      <c r="P2539">
        <v>-0.99422600000000005</v>
      </c>
      <c r="Q2539">
        <v>1.2494679999999999E-2</v>
      </c>
      <c r="R2539">
        <v>-0.10657759999999999</v>
      </c>
      <c r="S2539">
        <v>-2.9102169999999998</v>
      </c>
      <c r="T2539">
        <v>-0.28073409999999999</v>
      </c>
      <c r="U2539">
        <v>-1.0474239999999999</v>
      </c>
      <c r="V2539">
        <v>-6.4006660000000007E-2</v>
      </c>
      <c r="W2539">
        <v>3.8561140000000001E-2</v>
      </c>
      <c r="X2539">
        <v>0.99720419999999999</v>
      </c>
      <c r="Y2539">
        <v>-0.29702250000000002</v>
      </c>
      <c r="Z2539">
        <v>-9.8742580000000003E-3</v>
      </c>
      <c r="AA2539">
        <v>0.95481939999999998</v>
      </c>
      <c r="AB2539">
        <v>18</v>
      </c>
      <c r="AC2539">
        <v>-11.359699999999901</v>
      </c>
      <c r="AD2539">
        <v>-1.112597003713</v>
      </c>
      <c r="AE2539">
        <v>-4.1418000000000399</v>
      </c>
      <c r="AF2539">
        <v>-3.62112730698792</v>
      </c>
      <c r="AG2539">
        <v>-1.112597003713</v>
      </c>
      <c r="AH2539">
        <v>11.4297890004253</v>
      </c>
      <c r="AI2539">
        <v>95.301644996148397</v>
      </c>
      <c r="AJ2539">
        <v>107.578976846682</v>
      </c>
      <c r="AK2539">
        <v>12.0412005904863</v>
      </c>
      <c r="AL2539">
        <v>87.790061545382997</v>
      </c>
      <c r="AM2539">
        <v>93.672555355508194</v>
      </c>
      <c r="AN2539">
        <v>1.0000000152700399</v>
      </c>
    </row>
    <row r="2540" spans="1:40" x14ac:dyDescent="0.25">
      <c r="A2540" t="str">
        <f>"20190312160651570"</f>
        <v>20190312160651570</v>
      </c>
      <c r="B2540" t="str">
        <f>"1552378011558026"</f>
        <v>1552378011558026</v>
      </c>
      <c r="C2540" t="s">
        <v>40</v>
      </c>
      <c r="D2540">
        <v>6.2797169999999998</v>
      </c>
      <c r="E2540">
        <v>0.40723369999999998</v>
      </c>
      <c r="F2540" t="s">
        <v>61</v>
      </c>
      <c r="G2540">
        <v>-475.35700000000003</v>
      </c>
      <c r="H2540" s="1">
        <v>3.9358389999999997E-6</v>
      </c>
      <c r="I2540">
        <v>281.15410000000003</v>
      </c>
      <c r="J2540">
        <v>-464.03769999999997</v>
      </c>
      <c r="K2540">
        <v>1.1125590000000001</v>
      </c>
      <c r="L2540">
        <v>285.29320000000001</v>
      </c>
      <c r="M2540">
        <v>-0.99866469999999896</v>
      </c>
      <c r="N2540">
        <v>0</v>
      </c>
      <c r="O2540">
        <v>-4.456268E-2</v>
      </c>
      <c r="P2540">
        <v>-0.99404499999999996</v>
      </c>
      <c r="Q2540">
        <v>1.2341009999999999E-2</v>
      </c>
      <c r="R2540">
        <v>-0.1082708</v>
      </c>
      <c r="S2540">
        <v>-2.9084469999999998</v>
      </c>
      <c r="T2540">
        <v>-0.28151540000000003</v>
      </c>
      <c r="U2540">
        <v>-1.049744</v>
      </c>
      <c r="V2540">
        <v>-6.3929330000000006E-2</v>
      </c>
      <c r="W2540">
        <v>3.8290980000000002E-2</v>
      </c>
      <c r="X2540">
        <v>0.99721959999999998</v>
      </c>
      <c r="Y2540">
        <v>-0.29618870000000003</v>
      </c>
      <c r="Z2540">
        <v>-9.7014219999999995E-3</v>
      </c>
      <c r="AA2540">
        <v>0.95508020000000005</v>
      </c>
      <c r="AB2540">
        <v>18</v>
      </c>
      <c r="AC2540">
        <v>-11.319299999999901</v>
      </c>
      <c r="AD2540">
        <v>-1.112555064161</v>
      </c>
      <c r="AE2540">
        <v>-4.1390999999999796</v>
      </c>
      <c r="AF2540">
        <v>-3.59972073113929</v>
      </c>
      <c r="AG2540">
        <v>-1.112555064161</v>
      </c>
      <c r="AH2540">
        <v>11.3954570242514</v>
      </c>
      <c r="AI2540">
        <v>95.318731980725104</v>
      </c>
      <c r="AJ2540">
        <v>107.530850519778</v>
      </c>
      <c r="AK2540">
        <v>12.002175173881801</v>
      </c>
      <c r="AL2540">
        <v>87.805552077714097</v>
      </c>
      <c r="AM2540">
        <v>93.668073966716705</v>
      </c>
      <c r="AN2540">
        <v>1.0000000445038799</v>
      </c>
    </row>
    <row r="2541" spans="1:40" x14ac:dyDescent="0.25">
      <c r="A2541" t="str">
        <f>"20190312160651593"</f>
        <v>20190312160651593</v>
      </c>
      <c r="B2541" t="str">
        <f>"1552378011587306"</f>
        <v>1552378011587306</v>
      </c>
      <c r="C2541" t="s">
        <v>40</v>
      </c>
      <c r="D2541">
        <v>6.2644129999999896</v>
      </c>
      <c r="E2541">
        <v>0.408418</v>
      </c>
      <c r="F2541" t="s">
        <v>61</v>
      </c>
      <c r="G2541">
        <v>-475.53190000000001</v>
      </c>
      <c r="H2541" s="1">
        <v>3.8561869999999999E-6</v>
      </c>
      <c r="I2541">
        <v>281.13029999999998</v>
      </c>
      <c r="J2541">
        <v>-464.20850000000002</v>
      </c>
      <c r="K2541">
        <v>1.112525</v>
      </c>
      <c r="L2541">
        <v>285.28339999999997</v>
      </c>
      <c r="M2541">
        <v>-0.9985889</v>
      </c>
      <c r="N2541">
        <v>0</v>
      </c>
      <c r="O2541">
        <v>-4.629428E-2</v>
      </c>
      <c r="P2541">
        <v>-0.99392290000000005</v>
      </c>
      <c r="Q2541">
        <v>1.17606E-2</v>
      </c>
      <c r="R2541">
        <v>-0.10945009999999999</v>
      </c>
      <c r="S2541">
        <v>-2.9067989999999999</v>
      </c>
      <c r="T2541">
        <v>-0.28135749999999998</v>
      </c>
      <c r="U2541">
        <v>-1.052765</v>
      </c>
      <c r="V2541">
        <v>-6.337893E-2</v>
      </c>
      <c r="W2541">
        <v>3.7601009999999997E-2</v>
      </c>
      <c r="X2541">
        <v>0.99728099999999997</v>
      </c>
      <c r="Y2541">
        <v>-0.29559410000000003</v>
      </c>
      <c r="Z2541">
        <v>-9.5103289999999997E-3</v>
      </c>
      <c r="AA2541">
        <v>0.95526630000000001</v>
      </c>
      <c r="AB2541">
        <v>18</v>
      </c>
      <c r="AC2541">
        <v>-11.3233999999999</v>
      </c>
      <c r="AD2541">
        <v>-1.112521143813</v>
      </c>
      <c r="AE2541">
        <v>-4.1530999999999896</v>
      </c>
      <c r="AF2541">
        <v>-3.5936813771796499</v>
      </c>
      <c r="AG2541">
        <v>-1.112521143813</v>
      </c>
      <c r="AH2541">
        <v>11.4065293974728</v>
      </c>
      <c r="AI2541">
        <v>95.314705057961504</v>
      </c>
      <c r="AJ2541">
        <v>107.487281556588</v>
      </c>
      <c r="AK2541">
        <v>12.0108768219281</v>
      </c>
      <c r="AL2541">
        <v>87.845112968713394</v>
      </c>
      <c r="AM2541">
        <v>93.636355476833003</v>
      </c>
      <c r="AN2541">
        <v>1.0000000588409801</v>
      </c>
    </row>
    <row r="2542" spans="1:40" x14ac:dyDescent="0.25">
      <c r="A2542" t="str">
        <f>"20190312160651616"</f>
        <v>20190312160651616</v>
      </c>
      <c r="B2542" t="str">
        <f>"1552378011607802"</f>
        <v>1552378011607802</v>
      </c>
      <c r="C2542" t="s">
        <v>40</v>
      </c>
      <c r="D2542">
        <v>6.2539819999999997</v>
      </c>
      <c r="E2542">
        <v>0.40904610000000002</v>
      </c>
      <c r="F2542" t="s">
        <v>61</v>
      </c>
      <c r="G2542">
        <v>-475.22739999999999</v>
      </c>
      <c r="H2542" s="1">
        <v>4.0074519999999997E-6</v>
      </c>
      <c r="I2542">
        <v>281.31610000000001</v>
      </c>
      <c r="J2542">
        <v>-464.37900000000002</v>
      </c>
      <c r="K2542">
        <v>1.112492</v>
      </c>
      <c r="L2542">
        <v>285.27330000000001</v>
      </c>
      <c r="M2542">
        <v>-0.9985098</v>
      </c>
      <c r="N2542">
        <v>0</v>
      </c>
      <c r="O2542">
        <v>-4.803205E-2</v>
      </c>
      <c r="P2542">
        <v>-0.99380400000000002</v>
      </c>
      <c r="Q2542">
        <v>1.085713E-2</v>
      </c>
      <c r="R2542">
        <v>-0.1106148</v>
      </c>
      <c r="S2542">
        <v>-2.9066160000000001</v>
      </c>
      <c r="T2542">
        <v>-0.29346509999999998</v>
      </c>
      <c r="U2542">
        <v>-1.0465089999999999</v>
      </c>
      <c r="V2542">
        <v>-6.2807299999999996E-2</v>
      </c>
      <c r="W2542">
        <v>3.6586529999999999E-2</v>
      </c>
      <c r="X2542">
        <v>0.99735490000000004</v>
      </c>
      <c r="Y2542">
        <v>-0.29206339999999997</v>
      </c>
      <c r="Z2542">
        <v>-9.5804250000000001E-3</v>
      </c>
      <c r="AA2542">
        <v>0.95635099999999995</v>
      </c>
      <c r="AB2542">
        <v>17</v>
      </c>
      <c r="AC2542">
        <v>-10.8483999999999</v>
      </c>
      <c r="AD2542">
        <v>-1.112487992548</v>
      </c>
      <c r="AE2542">
        <v>-3.9571999999999998</v>
      </c>
      <c r="AF2542">
        <v>-3.3998290051126898</v>
      </c>
      <c r="AG2542">
        <v>-1.112487992548</v>
      </c>
      <c r="AH2542">
        <v>10.924612431686899</v>
      </c>
      <c r="AI2542">
        <v>95.553606664167802</v>
      </c>
      <c r="AJ2542">
        <v>107.28657027339101</v>
      </c>
      <c r="AK2542">
        <v>11.495374007840599</v>
      </c>
      <c r="AL2542">
        <v>87.903278430751797</v>
      </c>
      <c r="AM2542">
        <v>93.603378806173495</v>
      </c>
      <c r="AN2542">
        <v>1.0000000638323601</v>
      </c>
    </row>
    <row r="2543" spans="1:40" x14ac:dyDescent="0.25">
      <c r="A2543" t="str">
        <f>"20190312160651648"</f>
        <v>20190312160651648</v>
      </c>
      <c r="B2543" t="str">
        <f>"1552378011638058"</f>
        <v>1552378011638058</v>
      </c>
      <c r="C2543" t="s">
        <v>40</v>
      </c>
      <c r="D2543">
        <v>6.263719</v>
      </c>
      <c r="E2543">
        <v>0.40981859999999998</v>
      </c>
      <c r="F2543" t="s">
        <v>61</v>
      </c>
      <c r="G2543">
        <v>-475.08260000000001</v>
      </c>
      <c r="H2543" s="1">
        <v>4.0810049999999999E-6</v>
      </c>
      <c r="I2543">
        <v>281.42290000000003</v>
      </c>
      <c r="J2543">
        <v>-464.62130000000002</v>
      </c>
      <c r="K2543">
        <v>1.112449</v>
      </c>
      <c r="L2543">
        <v>285.25850000000003</v>
      </c>
      <c r="M2543">
        <v>-0.99839149999999999</v>
      </c>
      <c r="N2543">
        <v>0</v>
      </c>
      <c r="O2543">
        <v>-5.051216E-2</v>
      </c>
      <c r="P2543">
        <v>-0.99354960000000003</v>
      </c>
      <c r="Q2543">
        <v>1.067245E-2</v>
      </c>
      <c r="R2543">
        <v>-0.1128957</v>
      </c>
      <c r="S2543">
        <v>-2.9056700000000002</v>
      </c>
      <c r="T2543">
        <v>-0.30200199999999999</v>
      </c>
      <c r="U2543">
        <v>-1.045258</v>
      </c>
      <c r="V2543">
        <v>-6.2615450000000003E-2</v>
      </c>
      <c r="W2543">
        <v>3.6252960000000001E-2</v>
      </c>
      <c r="X2543">
        <v>0.99737909999999996</v>
      </c>
      <c r="Y2543">
        <v>-0.28938170000000002</v>
      </c>
      <c r="Z2543">
        <v>-9.4785800000000003E-3</v>
      </c>
      <c r="AA2543">
        <v>0.95716690000000004</v>
      </c>
      <c r="AB2543">
        <v>17</v>
      </c>
      <c r="AC2543">
        <v>-10.4612999999999</v>
      </c>
      <c r="AD2543">
        <v>-1.1124449189949901</v>
      </c>
      <c r="AE2543">
        <v>-3.8355999999999999</v>
      </c>
      <c r="AF2543">
        <v>-3.2695117974533199</v>
      </c>
      <c r="AG2543">
        <v>-1.1124449189949901</v>
      </c>
      <c r="AH2543">
        <v>10.5367154123917</v>
      </c>
      <c r="AI2543">
        <v>95.757962423813595</v>
      </c>
      <c r="AJ2543">
        <v>107.23896284126501</v>
      </c>
      <c r="AK2543">
        <v>11.0882646420987</v>
      </c>
      <c r="AL2543">
        <v>87.922403180302993</v>
      </c>
      <c r="AM2543">
        <v>93.592313924493695</v>
      </c>
      <c r="AN2543">
        <v>1.00000002040213</v>
      </c>
    </row>
    <row r="2544" spans="1:40" x14ac:dyDescent="0.25">
      <c r="A2544" t="str">
        <f>"20190312160651671"</f>
        <v>20190312160651671</v>
      </c>
      <c r="B2544" t="str">
        <f>"1552378011667342"</f>
        <v>1552378011667342</v>
      </c>
      <c r="C2544" t="s">
        <v>40</v>
      </c>
      <c r="D2544">
        <v>6.2463379999999997</v>
      </c>
      <c r="E2544">
        <v>0.4104719</v>
      </c>
      <c r="F2544" t="s">
        <v>61</v>
      </c>
      <c r="G2544">
        <v>-475.05309999999997</v>
      </c>
      <c r="H2544" s="1">
        <v>4.1009269999999997E-6</v>
      </c>
      <c r="I2544">
        <v>281.50119999999998</v>
      </c>
      <c r="J2544">
        <v>-464.78640000000001</v>
      </c>
      <c r="K2544">
        <v>1.1124259999999999</v>
      </c>
      <c r="L2544">
        <v>285.24799999999999</v>
      </c>
      <c r="M2544">
        <v>-0.99830680000000005</v>
      </c>
      <c r="N2544">
        <v>0</v>
      </c>
      <c r="O2544">
        <v>-5.2203989999999999E-2</v>
      </c>
      <c r="P2544">
        <v>-0.99338760000000004</v>
      </c>
      <c r="Q2544">
        <v>1.037036E-2</v>
      </c>
      <c r="R2544">
        <v>-0.114340899999999</v>
      </c>
      <c r="S2544">
        <v>-2.9039609999999998</v>
      </c>
      <c r="T2544">
        <v>-0.30967630000000002</v>
      </c>
      <c r="U2544">
        <v>-1.0459290000000001</v>
      </c>
      <c r="V2544">
        <v>-6.2373310000000001E-2</v>
      </c>
      <c r="W2544">
        <v>3.5863640000000002E-2</v>
      </c>
      <c r="X2544">
        <v>0.99740830000000003</v>
      </c>
      <c r="Y2544">
        <v>-0.28809099999999999</v>
      </c>
      <c r="Z2544">
        <v>-9.4831110000000007E-3</v>
      </c>
      <c r="AA2544">
        <v>0.95755610000000002</v>
      </c>
      <c r="AB2544">
        <v>17</v>
      </c>
      <c r="AC2544">
        <v>-10.266699999999901</v>
      </c>
      <c r="AD2544">
        <v>-1.1124218990729999</v>
      </c>
      <c r="AE2544">
        <v>-3.7467999999999999</v>
      </c>
      <c r="AF2544">
        <v>-3.1726782774973099</v>
      </c>
      <c r="AG2544">
        <v>-1.1124218990729999</v>
      </c>
      <c r="AH2544">
        <v>10.3412148509699</v>
      </c>
      <c r="AI2544">
        <v>95.871686684849706</v>
      </c>
      <c r="AJ2544">
        <v>107.055980854437</v>
      </c>
      <c r="AK2544">
        <v>10.8740100481819</v>
      </c>
      <c r="AL2544">
        <v>87.944723992378101</v>
      </c>
      <c r="AM2544">
        <v>93.578353776061405</v>
      </c>
      <c r="AN2544">
        <v>0.99999997369164695</v>
      </c>
    </row>
    <row r="2545" spans="1:40" x14ac:dyDescent="0.25">
      <c r="A2545" t="str">
        <f>"20190312160651693"</f>
        <v>20190312160651693</v>
      </c>
      <c r="B2545" t="str">
        <f>"1552378011687834"</f>
        <v>1552378011687834</v>
      </c>
      <c r="C2545" t="s">
        <v>40</v>
      </c>
      <c r="D2545">
        <v>6.2931239999999997</v>
      </c>
      <c r="E2545">
        <v>0.4107229</v>
      </c>
      <c r="F2545" t="s">
        <v>61</v>
      </c>
      <c r="G2545">
        <v>-474.96280000000002</v>
      </c>
      <c r="H2545" s="1">
        <v>4.1483980000000003E-6</v>
      </c>
      <c r="I2545">
        <v>281.58600000000001</v>
      </c>
      <c r="J2545">
        <v>-464.94459999999998</v>
      </c>
      <c r="K2545">
        <v>1.112398</v>
      </c>
      <c r="L2545">
        <v>285.23770000000002</v>
      </c>
      <c r="M2545">
        <v>-0.99822279999999997</v>
      </c>
      <c r="N2545">
        <v>0</v>
      </c>
      <c r="O2545">
        <v>-5.3821800000000003E-2</v>
      </c>
      <c r="P2545">
        <v>-0.99322029999999994</v>
      </c>
      <c r="Q2545">
        <v>1.008941E-2</v>
      </c>
      <c r="R2545">
        <v>-0.1158071</v>
      </c>
      <c r="S2545">
        <v>-2.9030459999999998</v>
      </c>
      <c r="T2545">
        <v>-0.31734449999999997</v>
      </c>
      <c r="U2545">
        <v>-1.044678</v>
      </c>
      <c r="V2545">
        <v>-6.2226660000000003E-2</v>
      </c>
      <c r="W2545">
        <v>3.5507669999999998E-2</v>
      </c>
      <c r="X2545">
        <v>0.99743020000000004</v>
      </c>
      <c r="Y2545">
        <v>-0.2862287</v>
      </c>
      <c r="Z2545">
        <v>-9.4517149999999994E-3</v>
      </c>
      <c r="AA2545">
        <v>0.95811469999999999</v>
      </c>
      <c r="AB2545">
        <v>17</v>
      </c>
      <c r="AC2545">
        <v>-10.0182</v>
      </c>
      <c r="AD2545">
        <v>-1.112393851602</v>
      </c>
      <c r="AE2545">
        <v>-3.6516999999999999</v>
      </c>
      <c r="AF2545">
        <v>-3.0735789116257801</v>
      </c>
      <c r="AG2545">
        <v>-1.112393851602</v>
      </c>
      <c r="AH2545">
        <v>10.0904578584723</v>
      </c>
      <c r="AI2545">
        <v>96.020064515434996</v>
      </c>
      <c r="AJ2545">
        <v>106.940867993371</v>
      </c>
      <c r="AK2545">
        <v>10.6066793672986</v>
      </c>
      <c r="AL2545">
        <v>87.965132579092796</v>
      </c>
      <c r="AM2545">
        <v>93.569884075347204</v>
      </c>
      <c r="AN2545">
        <v>0.99999997785781203</v>
      </c>
    </row>
    <row r="2546" spans="1:40" x14ac:dyDescent="0.25">
      <c r="A2546" t="str">
        <f>"20190312160651716"</f>
        <v>20190312160651716</v>
      </c>
      <c r="B2546" t="str">
        <f>"1552378011707358"</f>
        <v>1552378011707358</v>
      </c>
      <c r="C2546" t="s">
        <v>40</v>
      </c>
      <c r="D2546">
        <v>6.2507849999999996</v>
      </c>
      <c r="E2546">
        <v>0.41100579999999998</v>
      </c>
      <c r="F2546" t="s">
        <v>61</v>
      </c>
      <c r="G2546">
        <v>-475.0009</v>
      </c>
      <c r="H2546" s="1">
        <v>4.1335670000000003E-6</v>
      </c>
      <c r="I2546">
        <v>281.60950000000003</v>
      </c>
      <c r="J2546">
        <v>-465.10219999999998</v>
      </c>
      <c r="K2546">
        <v>1.112371</v>
      </c>
      <c r="L2546">
        <v>285.22719999999998</v>
      </c>
      <c r="M2546">
        <v>-0.99813649999999998</v>
      </c>
      <c r="N2546">
        <v>0</v>
      </c>
      <c r="O2546">
        <v>-5.5434570000000002E-2</v>
      </c>
      <c r="P2546">
        <v>-0.99306749999999999</v>
      </c>
      <c r="Q2546">
        <v>9.830297E-3</v>
      </c>
      <c r="R2546">
        <v>-0.1171354</v>
      </c>
      <c r="S2546">
        <v>-2.9016419999999998</v>
      </c>
      <c r="T2546">
        <v>-0.3209708</v>
      </c>
      <c r="U2546">
        <v>-1.046875</v>
      </c>
      <c r="V2546">
        <v>-6.1946290000000001E-2</v>
      </c>
      <c r="W2546">
        <v>3.5179340000000003E-2</v>
      </c>
      <c r="X2546">
        <v>0.99745930000000005</v>
      </c>
      <c r="Y2546">
        <v>-0.28545530000000002</v>
      </c>
      <c r="Z2546">
        <v>-9.3494540000000001E-3</v>
      </c>
      <c r="AA2546">
        <v>0.95834640000000004</v>
      </c>
      <c r="AB2546">
        <v>16</v>
      </c>
      <c r="AC2546">
        <v>-9.8987000000000194</v>
      </c>
      <c r="AD2546">
        <v>-1.112366866433</v>
      </c>
      <c r="AE2546">
        <v>-3.61769999999995</v>
      </c>
      <c r="AF2546">
        <v>-3.0294759215776499</v>
      </c>
      <c r="AG2546">
        <v>-1.112366866433</v>
      </c>
      <c r="AH2546">
        <v>9.9729793891496996</v>
      </c>
      <c r="AI2546">
        <v>96.091706318711402</v>
      </c>
      <c r="AJ2546">
        <v>106.89712354116099</v>
      </c>
      <c r="AK2546">
        <v>10.482146836471999</v>
      </c>
      <c r="AL2546">
        <v>87.983956291971296</v>
      </c>
      <c r="AM2546">
        <v>93.553737417050201</v>
      </c>
      <c r="AN2546">
        <v>0.99999999198204403</v>
      </c>
    </row>
    <row r="2547" spans="1:40" x14ac:dyDescent="0.25">
      <c r="A2547" t="str">
        <f>"20190312160651737"</f>
        <v>20190312160651737</v>
      </c>
      <c r="B2547" t="str">
        <f>"1552378011727850"</f>
        <v>1552378011727850</v>
      </c>
      <c r="C2547" t="s">
        <v>40</v>
      </c>
      <c r="D2547">
        <v>6.2799969999999998</v>
      </c>
      <c r="E2547">
        <v>0.41134330000000002</v>
      </c>
      <c r="F2547" t="s">
        <v>61</v>
      </c>
      <c r="G2547">
        <v>-475.0521</v>
      </c>
      <c r="H2547" s="1">
        <v>4.1125949999999999E-6</v>
      </c>
      <c r="I2547">
        <v>281.6293</v>
      </c>
      <c r="J2547">
        <v>-465.25540000000001</v>
      </c>
      <c r="K2547">
        <v>1.112349</v>
      </c>
      <c r="L2547">
        <v>285.2167</v>
      </c>
      <c r="M2547">
        <v>-0.99804990000000005</v>
      </c>
      <c r="N2547">
        <v>0</v>
      </c>
      <c r="O2547">
        <v>-5.7003579999999998E-2</v>
      </c>
      <c r="P2547">
        <v>-0.99290199999999995</v>
      </c>
      <c r="Q2547">
        <v>9.7037400000000006E-3</v>
      </c>
      <c r="R2547">
        <v>-0.1185406</v>
      </c>
      <c r="S2547">
        <v>-2.9004819999999998</v>
      </c>
      <c r="T2547">
        <v>-0.32426640000000001</v>
      </c>
      <c r="U2547">
        <v>-1.0488280000000001</v>
      </c>
      <c r="V2547">
        <v>-6.1787370000000001E-2</v>
      </c>
      <c r="W2547">
        <v>3.4990149999999998E-2</v>
      </c>
      <c r="X2547">
        <v>0.99747580000000002</v>
      </c>
      <c r="Y2547">
        <v>-0.28462959999999998</v>
      </c>
      <c r="Z2547">
        <v>-9.2342659999999997E-3</v>
      </c>
      <c r="AA2547">
        <v>0.95859309999999998</v>
      </c>
      <c r="AB2547">
        <v>16</v>
      </c>
      <c r="AC2547">
        <v>-9.79669999999998</v>
      </c>
      <c r="AD2547">
        <v>-1.1123448874049999</v>
      </c>
      <c r="AE2547">
        <v>-3.5874000000000001</v>
      </c>
      <c r="AF2547">
        <v>-2.9889578215738899</v>
      </c>
      <c r="AG2547">
        <v>-1.1123448874049999</v>
      </c>
      <c r="AH2547">
        <v>9.8730868487994705</v>
      </c>
      <c r="AI2547">
        <v>96.154496581841499</v>
      </c>
      <c r="AJ2547">
        <v>106.84305438985901</v>
      </c>
      <c r="AK2547">
        <v>10.375404759893501</v>
      </c>
      <c r="AL2547">
        <v>87.994802735569095</v>
      </c>
      <c r="AM2547">
        <v>93.544585277068094</v>
      </c>
      <c r="AN2547">
        <v>0.99999998063708895</v>
      </c>
    </row>
    <row r="2548" spans="1:40" x14ac:dyDescent="0.25">
      <c r="A2548" t="str">
        <f>"20190312160651760"</f>
        <v>20190312160651760</v>
      </c>
      <c r="B2548" t="str">
        <f>"1552378011747373"</f>
        <v>1552378011747373</v>
      </c>
      <c r="C2548" t="s">
        <v>40</v>
      </c>
      <c r="D2548">
        <v>6.2439720000000003</v>
      </c>
      <c r="E2548">
        <v>0.41163640000000001</v>
      </c>
      <c r="F2548" t="s">
        <v>61</v>
      </c>
      <c r="G2548">
        <v>-475.1268</v>
      </c>
      <c r="H2548" s="1">
        <v>4.0804230000000004E-6</v>
      </c>
      <c r="I2548">
        <v>281.64010000000002</v>
      </c>
      <c r="J2548">
        <v>-465.40750000000003</v>
      </c>
      <c r="K2548">
        <v>1.1123259999999999</v>
      </c>
      <c r="L2548">
        <v>285.20609999999999</v>
      </c>
      <c r="M2548">
        <v>-0.99796130000000005</v>
      </c>
      <c r="N2548">
        <v>0</v>
      </c>
      <c r="O2548">
        <v>-5.8566050000000001E-2</v>
      </c>
      <c r="P2548">
        <v>-0.99272199999999999</v>
      </c>
      <c r="Q2548">
        <v>1.0363839999999999E-2</v>
      </c>
      <c r="R2548">
        <v>-0.11998200000000001</v>
      </c>
      <c r="S2548">
        <v>-2.8992309999999999</v>
      </c>
      <c r="T2548">
        <v>-0.32669619999999999</v>
      </c>
      <c r="U2548">
        <v>-1.050446</v>
      </c>
      <c r="V2548">
        <v>-6.1673850000000002E-2</v>
      </c>
      <c r="W2548">
        <v>3.557486E-2</v>
      </c>
      <c r="X2548">
        <v>0.99746219999999997</v>
      </c>
      <c r="Y2548">
        <v>-0.28372890000000001</v>
      </c>
      <c r="Z2548">
        <v>-9.087833E-3</v>
      </c>
      <c r="AA2548">
        <v>0.95886150000000003</v>
      </c>
      <c r="AB2548">
        <v>16</v>
      </c>
      <c r="AC2548">
        <v>-9.7192999999999703</v>
      </c>
      <c r="AD2548">
        <v>-1.112321919577</v>
      </c>
      <c r="AE2548">
        <v>-3.5659999999999701</v>
      </c>
      <c r="AF2548">
        <v>-2.9563440120745001</v>
      </c>
      <c r="AG2548">
        <v>-1.112321919577</v>
      </c>
      <c r="AH2548">
        <v>9.79841088141775</v>
      </c>
      <c r="AI2548">
        <v>96.202650621657199</v>
      </c>
      <c r="AJ2548">
        <v>106.789438779965</v>
      </c>
      <c r="AK2548">
        <v>10.294954384143001</v>
      </c>
      <c r="AL2548">
        <v>87.961280563347202</v>
      </c>
      <c r="AM2548">
        <v>93.538137597360304</v>
      </c>
      <c r="AN2548">
        <v>1.00000003743334</v>
      </c>
    </row>
    <row r="2549" spans="1:40" x14ac:dyDescent="0.25">
      <c r="A2549" t="str">
        <f>"20190312160651783"</f>
        <v>20190312160651783</v>
      </c>
      <c r="B2549" t="str">
        <f>"1552378011777627"</f>
        <v>1552378011777627</v>
      </c>
      <c r="C2549" t="s">
        <v>40</v>
      </c>
      <c r="D2549">
        <v>6.2158699999999998</v>
      </c>
      <c r="E2549">
        <v>0.41204839999999998</v>
      </c>
      <c r="F2549" t="s">
        <v>61</v>
      </c>
      <c r="G2549">
        <v>-475.27350000000001</v>
      </c>
      <c r="H2549" s="1">
        <v>4.0139580000000001E-6</v>
      </c>
      <c r="I2549">
        <v>281.6241</v>
      </c>
      <c r="J2549">
        <v>-465.56490000000002</v>
      </c>
      <c r="K2549">
        <v>1.112296</v>
      </c>
      <c r="L2549">
        <v>285.19479999999999</v>
      </c>
      <c r="M2549">
        <v>-0.99786730000000001</v>
      </c>
      <c r="N2549">
        <v>0</v>
      </c>
      <c r="O2549">
        <v>-6.0187940000000002E-2</v>
      </c>
      <c r="P2549">
        <v>-0.99252149999999995</v>
      </c>
      <c r="Q2549">
        <v>1.011563E-2</v>
      </c>
      <c r="R2549">
        <v>-0.12165090000000001</v>
      </c>
      <c r="S2549">
        <v>-2.8982540000000001</v>
      </c>
      <c r="T2549">
        <v>-0.32675949999999998</v>
      </c>
      <c r="U2549">
        <v>-1.052246</v>
      </c>
      <c r="V2549">
        <v>-6.172739E-2</v>
      </c>
      <c r="W2549">
        <v>3.5234139999999997E-2</v>
      </c>
      <c r="X2549">
        <v>0.99747090000000005</v>
      </c>
      <c r="Y2549">
        <v>-0.28281440000000002</v>
      </c>
      <c r="Z2549">
        <v>-8.866156E-3</v>
      </c>
      <c r="AA2549">
        <v>0.95913369999999998</v>
      </c>
      <c r="AB2549">
        <v>15</v>
      </c>
      <c r="AC2549">
        <v>-9.7085999999999899</v>
      </c>
      <c r="AD2549">
        <v>-1.112291986042</v>
      </c>
      <c r="AE2549">
        <v>-3.57069999999998</v>
      </c>
      <c r="AF2549">
        <v>-2.9456382626870101</v>
      </c>
      <c r="AG2549">
        <v>-1.112291986042</v>
      </c>
      <c r="AH2549">
        <v>9.7927473812471408</v>
      </c>
      <c r="AI2549">
        <v>96.207606816725701</v>
      </c>
      <c r="AJ2549">
        <v>106.741178807418</v>
      </c>
      <c r="AK2549">
        <v>10.286490145318799</v>
      </c>
      <c r="AL2549">
        <v>87.980814462454703</v>
      </c>
      <c r="AM2549">
        <v>93.541170487406006</v>
      </c>
      <c r="AN2549">
        <v>0.99999995582227996</v>
      </c>
    </row>
    <row r="2550" spans="1:40" x14ac:dyDescent="0.25">
      <c r="A2550" t="str">
        <f>"20190312160651804"</f>
        <v>20190312160651804</v>
      </c>
      <c r="B2550" t="str">
        <f>"1552378011798122"</f>
        <v>1552378011798122</v>
      </c>
      <c r="C2550" t="s">
        <v>40</v>
      </c>
      <c r="D2550">
        <v>6.2077479999999996</v>
      </c>
      <c r="E2550">
        <v>0.41223369999999998</v>
      </c>
      <c r="F2550" t="s">
        <v>61</v>
      </c>
      <c r="G2550">
        <v>-475.28370000000001</v>
      </c>
      <c r="H2550" s="1">
        <v>4.0124809999999998E-6</v>
      </c>
      <c r="I2550">
        <v>281.6592</v>
      </c>
      <c r="J2550">
        <v>-465.70940000000002</v>
      </c>
      <c r="K2550">
        <v>1.112269</v>
      </c>
      <c r="L2550">
        <v>285.18419999999998</v>
      </c>
      <c r="M2550">
        <v>-0.9977781</v>
      </c>
      <c r="N2550">
        <v>0</v>
      </c>
      <c r="O2550">
        <v>-6.1689130000000002E-2</v>
      </c>
      <c r="P2550">
        <v>-0.99238090000000001</v>
      </c>
      <c r="Q2550">
        <v>9.3359589999999996E-3</v>
      </c>
      <c r="R2550">
        <v>-0.1228553</v>
      </c>
      <c r="S2550">
        <v>-2.89682</v>
      </c>
      <c r="T2550">
        <v>-0.3315324</v>
      </c>
      <c r="U2550">
        <v>-1.053833</v>
      </c>
      <c r="V2550">
        <v>-6.1434349999999999E-2</v>
      </c>
      <c r="W2550">
        <v>3.4363480000000002E-2</v>
      </c>
      <c r="X2550">
        <v>0.99751939999999995</v>
      </c>
      <c r="Y2550">
        <v>-0.28196459999999901</v>
      </c>
      <c r="Z2550">
        <v>-8.7864139999999993E-3</v>
      </c>
      <c r="AA2550">
        <v>0.95938460000000003</v>
      </c>
      <c r="AB2550">
        <v>15</v>
      </c>
      <c r="AC2550">
        <v>-9.5742999999999903</v>
      </c>
      <c r="AD2550">
        <v>-1.112264987519</v>
      </c>
      <c r="AE2550">
        <v>-3.5249999999999702</v>
      </c>
      <c r="AF2550">
        <v>-2.8930807300343702</v>
      </c>
      <c r="AG2550">
        <v>-1.112264987519</v>
      </c>
      <c r="AH2550">
        <v>9.6587827111040099</v>
      </c>
      <c r="AI2550">
        <v>96.295049374387602</v>
      </c>
      <c r="AJ2550">
        <v>106.67445683011501</v>
      </c>
      <c r="AK2550">
        <v>10.1439209861511</v>
      </c>
      <c r="AL2550">
        <v>88.030729910286993</v>
      </c>
      <c r="AM2550">
        <v>93.524230947358106</v>
      </c>
      <c r="AN2550">
        <v>0.99999999074699597</v>
      </c>
    </row>
    <row r="2551" spans="1:40" x14ac:dyDescent="0.25">
      <c r="A2551" t="str">
        <f>"20190312160651827"</f>
        <v>20190312160651827</v>
      </c>
      <c r="B2551" t="str">
        <f>"1552378011817642"</f>
        <v>1552378011817642</v>
      </c>
      <c r="C2551" t="s">
        <v>40</v>
      </c>
      <c r="D2551">
        <v>6.2379110000000004</v>
      </c>
      <c r="E2551">
        <v>0.41240670000000001</v>
      </c>
      <c r="F2551" t="s">
        <v>61</v>
      </c>
      <c r="G2551">
        <v>-475.30970000000002</v>
      </c>
      <c r="H2551" s="1">
        <v>4.0030490000000003E-6</v>
      </c>
      <c r="I2551">
        <v>281.68290000000002</v>
      </c>
      <c r="J2551">
        <v>-465.85329999999999</v>
      </c>
      <c r="K2551">
        <v>1.112247</v>
      </c>
      <c r="L2551">
        <v>285.17340000000002</v>
      </c>
      <c r="M2551">
        <v>-0.99768570000000001</v>
      </c>
      <c r="N2551">
        <v>0</v>
      </c>
      <c r="O2551">
        <v>-6.3200850000000003E-2</v>
      </c>
      <c r="P2551">
        <v>-0.99218839999999997</v>
      </c>
      <c r="Q2551">
        <v>8.7602849999999996E-3</v>
      </c>
      <c r="R2551">
        <v>-0.1244421</v>
      </c>
      <c r="S2551">
        <v>-2.8954469999999999</v>
      </c>
      <c r="T2551">
        <v>-0.33546150000000002</v>
      </c>
      <c r="U2551">
        <v>-1.056</v>
      </c>
      <c r="V2551">
        <v>-6.1516130000000002E-2</v>
      </c>
      <c r="W2551">
        <v>3.3697730000000002E-2</v>
      </c>
      <c r="X2551">
        <v>0.99753709999999995</v>
      </c>
      <c r="Y2551">
        <v>-0.28127390000000002</v>
      </c>
      <c r="Z2551">
        <v>-8.6861349999999993E-3</v>
      </c>
      <c r="AA2551">
        <v>0.9595882</v>
      </c>
      <c r="AB2551">
        <v>15</v>
      </c>
      <c r="AC2551">
        <v>-9.4564000000000306</v>
      </c>
      <c r="AD2551">
        <v>-1.1122429969509999</v>
      </c>
      <c r="AE2551">
        <v>-3.4904999999999902</v>
      </c>
      <c r="AF2551">
        <v>-2.8509659372782798</v>
      </c>
      <c r="AG2551">
        <v>-1.1122429969509999</v>
      </c>
      <c r="AH2551">
        <v>9.5419797801838993</v>
      </c>
      <c r="AI2551">
        <v>96.372648359825206</v>
      </c>
      <c r="AJ2551">
        <v>106.635166366452</v>
      </c>
      <c r="AK2551">
        <v>10.020702040537101</v>
      </c>
      <c r="AL2551">
        <v>88.068896736832201</v>
      </c>
      <c r="AM2551">
        <v>93.528848017664401</v>
      </c>
      <c r="AN2551">
        <v>1.00000001856686</v>
      </c>
    </row>
    <row r="2552" spans="1:40" x14ac:dyDescent="0.25">
      <c r="A2552" t="str">
        <f>"20190312160651848"</f>
        <v>20190312160651848</v>
      </c>
      <c r="B2552" t="str">
        <f>"1552378011838138"</f>
        <v>1552378011838138</v>
      </c>
      <c r="C2552" t="s">
        <v>40</v>
      </c>
      <c r="D2552">
        <v>6.2201170000000001</v>
      </c>
      <c r="E2552">
        <v>0.41256959999999998</v>
      </c>
      <c r="F2552" t="s">
        <v>61</v>
      </c>
      <c r="G2552">
        <v>-475.35849999999999</v>
      </c>
      <c r="H2552" s="1">
        <v>3.9821949999999901E-6</v>
      </c>
      <c r="I2552">
        <v>281.69189999999998</v>
      </c>
      <c r="J2552">
        <v>-465.99579999999997</v>
      </c>
      <c r="K2552">
        <v>1.1122299999999901</v>
      </c>
      <c r="L2552">
        <v>285.16250000000002</v>
      </c>
      <c r="M2552">
        <v>-0.99759030000000004</v>
      </c>
      <c r="N2552">
        <v>0</v>
      </c>
      <c r="O2552">
        <v>-6.4723459999999997E-2</v>
      </c>
      <c r="P2552">
        <v>-0.99192670000000005</v>
      </c>
      <c r="Q2552">
        <v>8.2045809999999903E-3</v>
      </c>
      <c r="R2552">
        <v>-0.12654889999999999</v>
      </c>
      <c r="S2552">
        <v>-2.8936459999999999</v>
      </c>
      <c r="T2552">
        <v>-0.33859990000000001</v>
      </c>
      <c r="U2552">
        <v>-1.0598749999999999</v>
      </c>
      <c r="V2552">
        <v>-6.211013E-2</v>
      </c>
      <c r="W2552">
        <v>3.3057209999999997E-2</v>
      </c>
      <c r="X2552">
        <v>0.99752169999999896</v>
      </c>
      <c r="Y2552">
        <v>-0.28112140000000002</v>
      </c>
      <c r="Z2552">
        <v>-8.5906809999999993E-3</v>
      </c>
      <c r="AA2552">
        <v>0.95963379999999998</v>
      </c>
      <c r="AB2552">
        <v>15</v>
      </c>
      <c r="AC2552">
        <v>-9.3627000000000091</v>
      </c>
      <c r="AD2552">
        <v>-1.1122260178050001</v>
      </c>
      <c r="AE2552">
        <v>-3.4706000000000401</v>
      </c>
      <c r="AF2552">
        <v>-2.8221285265538598</v>
      </c>
      <c r="AG2552">
        <v>-1.1122260178050001</v>
      </c>
      <c r="AH2552">
        <v>9.4505030030633108</v>
      </c>
      <c r="AI2552">
        <v>96.433999443481198</v>
      </c>
      <c r="AJ2552">
        <v>106.626784640409</v>
      </c>
      <c r="AK2552">
        <v>9.9253948609604503</v>
      </c>
      <c r="AL2552">
        <v>88.105616243708894</v>
      </c>
      <c r="AM2552">
        <v>93.5628900979939</v>
      </c>
      <c r="AN2552">
        <v>0.99999999467624501</v>
      </c>
    </row>
    <row r="2553" spans="1:40" x14ac:dyDescent="0.25">
      <c r="A2553" t="str">
        <f>"20190312160651873"</f>
        <v>20190312160651873</v>
      </c>
      <c r="B2553" t="str">
        <f>"1552378011867422"</f>
        <v>1552378011867422</v>
      </c>
      <c r="C2553" t="s">
        <v>40</v>
      </c>
      <c r="D2553">
        <v>6.1821339999999996</v>
      </c>
      <c r="E2553">
        <v>0.41282049999999998</v>
      </c>
      <c r="F2553" t="s">
        <v>61</v>
      </c>
      <c r="G2553">
        <v>-475.4101</v>
      </c>
      <c r="H2553" s="1">
        <v>3.9596430000000003E-6</v>
      </c>
      <c r="I2553">
        <v>281.69600000000003</v>
      </c>
      <c r="J2553">
        <v>-466.1429</v>
      </c>
      <c r="K2553">
        <v>1.112225</v>
      </c>
      <c r="L2553">
        <v>285.15100000000001</v>
      </c>
      <c r="M2553">
        <v>-0.99748689999999995</v>
      </c>
      <c r="N2553">
        <v>0</v>
      </c>
      <c r="O2553">
        <v>-6.6330189999999997E-2</v>
      </c>
      <c r="P2553">
        <v>-0.99170760000000002</v>
      </c>
      <c r="Q2553">
        <v>8.2250459999999997E-3</v>
      </c>
      <c r="R2553">
        <v>-0.12825119999999901</v>
      </c>
      <c r="S2553">
        <v>-2.8914179999999998</v>
      </c>
      <c r="T2553">
        <v>-0.34159919999999999</v>
      </c>
      <c r="U2553">
        <v>-1.064667</v>
      </c>
      <c r="V2553">
        <v>-6.2216349999999997E-2</v>
      </c>
      <c r="W2553">
        <v>3.2983819999999997E-2</v>
      </c>
      <c r="X2553">
        <v>0.99751749999999995</v>
      </c>
      <c r="Y2553">
        <v>-0.2812018</v>
      </c>
      <c r="Z2553">
        <v>-8.4929429999999993E-3</v>
      </c>
      <c r="AA2553">
        <v>0.95961110000000005</v>
      </c>
      <c r="AB2553">
        <v>15</v>
      </c>
      <c r="AC2553">
        <v>-9.2672000000000008</v>
      </c>
      <c r="AD2553">
        <v>-1.1122210403569901</v>
      </c>
      <c r="AE2553">
        <v>-3.45500000000004</v>
      </c>
      <c r="AF2553">
        <v>-2.7971272840475501</v>
      </c>
      <c r="AG2553">
        <v>-1.1122210403569901</v>
      </c>
      <c r="AH2553">
        <v>9.3576803343653303</v>
      </c>
      <c r="AI2553">
        <v>96.496735901357596</v>
      </c>
      <c r="AJ2553">
        <v>106.64206086586999</v>
      </c>
      <c r="AK2553">
        <v>9.8299103722233205</v>
      </c>
      <c r="AL2553">
        <v>88.109823456434896</v>
      </c>
      <c r="AM2553">
        <v>93.568982562278407</v>
      </c>
      <c r="AN2553">
        <v>0.99999998469768203</v>
      </c>
    </row>
    <row r="2554" spans="1:40" x14ac:dyDescent="0.25">
      <c r="A2554" t="str">
        <f>"20190312160651894"</f>
        <v>20190312160651894</v>
      </c>
      <c r="B2554" t="str">
        <f>"1552378011887914"</f>
        <v>1552378011887914</v>
      </c>
      <c r="C2554" t="s">
        <v>40</v>
      </c>
      <c r="D2554">
        <v>6.2110859999999999</v>
      </c>
      <c r="E2554">
        <v>0.41272229999999999</v>
      </c>
      <c r="F2554" t="s">
        <v>61</v>
      </c>
      <c r="G2554">
        <v>-475.4796</v>
      </c>
      <c r="H2554" s="1">
        <v>3.9292740000000004E-6</v>
      </c>
      <c r="I2554">
        <v>281.70080000000002</v>
      </c>
      <c r="J2554">
        <v>-466.27800000000002</v>
      </c>
      <c r="K2554">
        <v>1.1122190000000001</v>
      </c>
      <c r="L2554">
        <v>285.14019999999999</v>
      </c>
      <c r="M2554">
        <v>-0.99738800000000005</v>
      </c>
      <c r="N2554">
        <v>0</v>
      </c>
      <c r="O2554">
        <v>-6.784482E-2</v>
      </c>
      <c r="P2554">
        <v>-0.99148429999999999</v>
      </c>
      <c r="Q2554">
        <v>8.4893450000000006E-3</v>
      </c>
      <c r="R2554">
        <v>-0.12995110000000001</v>
      </c>
      <c r="S2554">
        <v>-2.8898009999999998</v>
      </c>
      <c r="T2554">
        <v>-0.34424650000000001</v>
      </c>
      <c r="U2554">
        <v>-1.067871</v>
      </c>
      <c r="V2554">
        <v>-6.2412479999999999E-2</v>
      </c>
      <c r="W2554">
        <v>3.3134900000000002E-2</v>
      </c>
      <c r="X2554">
        <v>0.99750019999999995</v>
      </c>
      <c r="Y2554">
        <v>-0.2808467</v>
      </c>
      <c r="Z2554">
        <v>-8.3680990000000004E-3</v>
      </c>
      <c r="AA2554">
        <v>0.95971609999999996</v>
      </c>
      <c r="AB2554">
        <v>14</v>
      </c>
      <c r="AC2554">
        <v>-9.2015999999999796</v>
      </c>
      <c r="AD2554">
        <v>-1.1122150707259999</v>
      </c>
      <c r="AE2554">
        <v>-3.4393999999999698</v>
      </c>
      <c r="AF2554">
        <v>-2.77147007949553</v>
      </c>
      <c r="AG2554">
        <v>-1.1122150707259999</v>
      </c>
      <c r="AH2554">
        <v>9.2946541512565695</v>
      </c>
      <c r="AI2554">
        <v>96.541678236449499</v>
      </c>
      <c r="AJ2554">
        <v>106.603472176911</v>
      </c>
      <c r="AK2554">
        <v>9.7626156616226591</v>
      </c>
      <c r="AL2554">
        <v>88.101162398684494</v>
      </c>
      <c r="AM2554">
        <v>93.580266089466505</v>
      </c>
      <c r="AN2554">
        <v>0.99999994412889803</v>
      </c>
    </row>
    <row r="2555" spans="1:40" x14ac:dyDescent="0.25">
      <c r="A2555" t="str">
        <f>"20190312160651916"</f>
        <v>20190312160651916</v>
      </c>
      <c r="B2555" t="str">
        <f>"1552378011907434"</f>
        <v>1552378011907434</v>
      </c>
      <c r="C2555" t="s">
        <v>40</v>
      </c>
      <c r="D2555">
        <v>6.2144079999999997</v>
      </c>
      <c r="E2555">
        <v>0.41264230000000002</v>
      </c>
      <c r="F2555" t="s">
        <v>61</v>
      </c>
      <c r="G2555">
        <v>-475.67790000000002</v>
      </c>
      <c r="H2555" s="1">
        <v>3.8365399999999999E-6</v>
      </c>
      <c r="I2555">
        <v>281.64600000000002</v>
      </c>
      <c r="J2555">
        <v>-466.41890000000001</v>
      </c>
      <c r="K2555">
        <v>1.111872</v>
      </c>
      <c r="L2555">
        <v>285.12869999999998</v>
      </c>
      <c r="M2555">
        <v>-0.99730819999999998</v>
      </c>
      <c r="N2555">
        <v>0</v>
      </c>
      <c r="O2555">
        <v>-6.9506189999999995E-2</v>
      </c>
      <c r="P2555">
        <v>-0.9912552</v>
      </c>
      <c r="Q2555">
        <v>9.7286939999999995E-3</v>
      </c>
      <c r="R2555">
        <v>-0.1316003</v>
      </c>
      <c r="S2555">
        <v>-2.8879999999999999</v>
      </c>
      <c r="T2555">
        <v>-0.34171610000000002</v>
      </c>
      <c r="U2555">
        <v>-1.073547</v>
      </c>
      <c r="V2555">
        <v>-6.2414320000000002E-2</v>
      </c>
      <c r="W2555">
        <v>3.2936170000000001E-2</v>
      </c>
      <c r="X2555">
        <v>0.99750669999999997</v>
      </c>
      <c r="Y2555">
        <v>-0.28113110000000002</v>
      </c>
      <c r="Z2555">
        <v>-8.1375330000000006E-3</v>
      </c>
      <c r="AA2555">
        <v>0.95963480000000001</v>
      </c>
      <c r="AB2555">
        <v>14</v>
      </c>
      <c r="AC2555">
        <v>-9.2590000000000092</v>
      </c>
      <c r="AD2555">
        <v>-1.1118681634600001</v>
      </c>
      <c r="AE2555">
        <v>-3.4827000000000199</v>
      </c>
      <c r="AF2555">
        <v>-2.7952269209234299</v>
      </c>
      <c r="AG2555">
        <v>-1.1118681634600001</v>
      </c>
      <c r="AH2555">
        <v>9.36047868147371</v>
      </c>
      <c r="AI2555">
        <v>96.493283515365206</v>
      </c>
      <c r="AJ2555">
        <v>106.626681466821</v>
      </c>
      <c r="AK2555">
        <v>9.8319939736909294</v>
      </c>
      <c r="AL2555">
        <v>88.112555071121506</v>
      </c>
      <c r="AM2555">
        <v>93.580348095849899</v>
      </c>
      <c r="AN2555">
        <v>0.99999997759010995</v>
      </c>
    </row>
    <row r="2556" spans="1:40" x14ac:dyDescent="0.25">
      <c r="A2556" t="str">
        <f>"20190312160651938"</f>
        <v>20190312160651938</v>
      </c>
      <c r="B2556" t="str">
        <f>"1552378011927930"</f>
        <v>1552378011927930</v>
      </c>
      <c r="C2556" t="s">
        <v>40</v>
      </c>
      <c r="D2556">
        <v>6.4531879999999999</v>
      </c>
      <c r="E2556">
        <v>0.41284670000000001</v>
      </c>
      <c r="F2556" t="s">
        <v>61</v>
      </c>
      <c r="G2556">
        <v>-475.95170000000002</v>
      </c>
      <c r="H2556" s="1">
        <v>3.7080919999999999E-6</v>
      </c>
      <c r="I2556">
        <v>281.56560000000002</v>
      </c>
      <c r="J2556">
        <v>-466.55540000000002</v>
      </c>
      <c r="K2556">
        <v>1.1119380000000001</v>
      </c>
      <c r="L2556">
        <v>285.11720000000003</v>
      </c>
      <c r="M2556">
        <v>-0.997201</v>
      </c>
      <c r="N2556">
        <v>0</v>
      </c>
      <c r="O2556">
        <v>-7.0957060000000002E-2</v>
      </c>
      <c r="P2556">
        <v>-0.99102900000000005</v>
      </c>
      <c r="Q2556">
        <v>8.8875510000000005E-3</v>
      </c>
      <c r="R2556">
        <v>-0.13335339999999901</v>
      </c>
      <c r="S2556">
        <v>-2.886536</v>
      </c>
      <c r="T2556">
        <v>-0.33667659999999899</v>
      </c>
      <c r="U2556">
        <v>-1.0788879999999901</v>
      </c>
      <c r="V2556">
        <v>-6.2719999999999998E-2</v>
      </c>
      <c r="W2556">
        <v>3.2320889999999998E-2</v>
      </c>
      <c r="X2556">
        <v>0.9975077</v>
      </c>
      <c r="Y2556">
        <v>-0.281497</v>
      </c>
      <c r="Z2556">
        <v>-7.8783210000000006E-3</v>
      </c>
      <c r="AA2556">
        <v>0.95952979999999999</v>
      </c>
      <c r="AB2556">
        <v>14</v>
      </c>
      <c r="AC2556">
        <v>-9.3962999999999894</v>
      </c>
      <c r="AD2556">
        <v>-1.111934291908</v>
      </c>
      <c r="AE2556">
        <v>-3.5516000000000001</v>
      </c>
      <c r="AF2556">
        <v>-2.840913548254</v>
      </c>
      <c r="AG2556">
        <v>-1.111934291908</v>
      </c>
      <c r="AH2556">
        <v>9.5081779949084204</v>
      </c>
      <c r="AI2556">
        <v>96.393347040088798</v>
      </c>
      <c r="AJ2556">
        <v>106.63542612678</v>
      </c>
      <c r="AK2556">
        <v>9.9856214849670106</v>
      </c>
      <c r="AL2556">
        <v>88.147826887940397</v>
      </c>
      <c r="AM2556">
        <v>93.597833642929899</v>
      </c>
      <c r="AN2556">
        <v>1.00000002494484</v>
      </c>
    </row>
    <row r="2557" spans="1:40" x14ac:dyDescent="0.25">
      <c r="A2557" t="str">
        <f>"20190312160651961"</f>
        <v>20190312160651961</v>
      </c>
      <c r="B2557" t="str">
        <f>"1552378011958186"</f>
        <v>1552378011958186</v>
      </c>
      <c r="C2557" t="s">
        <v>40</v>
      </c>
      <c r="D2557">
        <v>7.1684619999999999</v>
      </c>
      <c r="E2557">
        <v>0.43491629999999998</v>
      </c>
      <c r="F2557" t="s">
        <v>61</v>
      </c>
      <c r="G2557">
        <v>-476.02140000000003</v>
      </c>
      <c r="H2557" s="1">
        <v>3.6772149999999999E-6</v>
      </c>
      <c r="I2557">
        <v>281.56619999999998</v>
      </c>
      <c r="J2557">
        <v>-466.68439999999998</v>
      </c>
      <c r="K2557">
        <v>1.112141</v>
      </c>
      <c r="L2557">
        <v>285.10640000000001</v>
      </c>
      <c r="M2557">
        <v>-0.99708470000000005</v>
      </c>
      <c r="N2557">
        <v>0</v>
      </c>
      <c r="O2557">
        <v>-7.2237109999999993E-2</v>
      </c>
      <c r="P2557">
        <v>-0.99089740000000004</v>
      </c>
      <c r="Q2557">
        <v>7.3410480000000002E-3</v>
      </c>
      <c r="R2557">
        <v>-0.13441929999999999</v>
      </c>
      <c r="S2557">
        <v>-2.8845830000000001</v>
      </c>
      <c r="T2557">
        <v>-0.33883920000000001</v>
      </c>
      <c r="U2557">
        <v>-1.0821229999999999</v>
      </c>
      <c r="V2557">
        <v>-6.2500799999999995E-2</v>
      </c>
      <c r="W2557">
        <v>3.1800929999999998E-2</v>
      </c>
      <c r="X2557">
        <v>0.99753809999999998</v>
      </c>
      <c r="Y2557">
        <v>-0.281412</v>
      </c>
      <c r="Z2557">
        <v>-7.7834050000000002E-3</v>
      </c>
      <c r="AA2557">
        <v>0.95955539999999995</v>
      </c>
      <c r="AB2557">
        <v>14</v>
      </c>
      <c r="AC2557">
        <v>-9.3370000000000406</v>
      </c>
      <c r="AD2557">
        <v>-1.112137322785</v>
      </c>
      <c r="AE2557">
        <v>-3.54020000000002</v>
      </c>
      <c r="AF2557">
        <v>-2.8212685139196201</v>
      </c>
      <c r="AG2557">
        <v>-1.112137322785</v>
      </c>
      <c r="AH2557">
        <v>9.4511695970974703</v>
      </c>
      <c r="AI2557">
        <v>96.433236668664307</v>
      </c>
      <c r="AJ2557">
        <v>106.62088971498299</v>
      </c>
      <c r="AK2557">
        <v>9.9257751438094406</v>
      </c>
      <c r="AL2557">
        <v>88.177633596824407</v>
      </c>
      <c r="AM2557">
        <v>93.585183459906204</v>
      </c>
      <c r="AN2557">
        <v>0.99999995505055606</v>
      </c>
    </row>
    <row r="2558" spans="1:40" x14ac:dyDescent="0.25">
      <c r="A2558" t="str">
        <f>"20190312160651984"</f>
        <v>20190312160651984</v>
      </c>
      <c r="B2558" t="str">
        <f>"1552378011977706"</f>
        <v>1552378011977706</v>
      </c>
      <c r="C2558" t="s">
        <v>40</v>
      </c>
      <c r="D2558">
        <v>6.0348030000000001</v>
      </c>
      <c r="E2558">
        <v>0.43671599999999999</v>
      </c>
      <c r="F2558" t="s">
        <v>61</v>
      </c>
      <c r="G2558">
        <v>-477.77839999999998</v>
      </c>
      <c r="H2558" s="1">
        <v>2.9033109999999999E-6</v>
      </c>
      <c r="I2558">
        <v>281.62599999999998</v>
      </c>
      <c r="J2558">
        <v>-466.81380000000001</v>
      </c>
      <c r="K2558">
        <v>1.1123730000000001</v>
      </c>
      <c r="L2558">
        <v>285.09550000000002</v>
      </c>
      <c r="M2558">
        <v>-0.99696759999999995</v>
      </c>
      <c r="N2558">
        <v>0</v>
      </c>
      <c r="O2558">
        <v>-7.3394810000000005E-2</v>
      </c>
      <c r="P2558">
        <v>-0.99081580000000002</v>
      </c>
      <c r="Q2558">
        <v>5.7254699999999999E-3</v>
      </c>
      <c r="R2558">
        <v>-0.135099</v>
      </c>
      <c r="S2558">
        <v>-2.9060060000000001</v>
      </c>
      <c r="T2558">
        <v>-0.29131869999999999</v>
      </c>
      <c r="U2558">
        <v>-0.91168210000000005</v>
      </c>
      <c r="V2558">
        <v>-6.2015760000000003E-2</v>
      </c>
      <c r="W2558">
        <v>3.1488759999999998E-2</v>
      </c>
      <c r="X2558">
        <v>0.99757830000000003</v>
      </c>
      <c r="Y2558">
        <v>-0.2277766</v>
      </c>
      <c r="Z2558">
        <v>-3.9773300000000003E-3</v>
      </c>
      <c r="AA2558">
        <v>0.9737053</v>
      </c>
      <c r="AB2558">
        <v>13</v>
      </c>
      <c r="AC2558">
        <v>-10.9645999999999</v>
      </c>
      <c r="AD2558">
        <v>-1.112370096689</v>
      </c>
      <c r="AE2558">
        <v>-3.4695000000000298</v>
      </c>
      <c r="AF2558">
        <v>-2.63051242863795</v>
      </c>
      <c r="AG2558">
        <v>-1.112370096689</v>
      </c>
      <c r="AH2558">
        <v>11.0860206545303</v>
      </c>
      <c r="AI2558">
        <v>95.576065976930295</v>
      </c>
      <c r="AJ2558">
        <v>103.348390764111</v>
      </c>
      <c r="AK2558">
        <v>11.448004927580101</v>
      </c>
      <c r="AL2558">
        <v>88.195528629474197</v>
      </c>
      <c r="AM2558">
        <v>93.557289238812103</v>
      </c>
      <c r="AN2558">
        <v>0.99999998056280204</v>
      </c>
    </row>
    <row r="2559" spans="1:40" x14ac:dyDescent="0.25">
      <c r="A2559" t="str">
        <f>"20190312160652006"</f>
        <v>20190312160652006</v>
      </c>
      <c r="B2559" t="str">
        <f>"1552378011997226"</f>
        <v>1552378011997226</v>
      </c>
      <c r="C2559" t="s">
        <v>40</v>
      </c>
      <c r="D2559">
        <v>6.1941439999999997</v>
      </c>
      <c r="E2559">
        <v>0.43736459999999999</v>
      </c>
      <c r="F2559" t="s">
        <v>61</v>
      </c>
      <c r="G2559">
        <v>-477.92700000000002</v>
      </c>
      <c r="H2559" s="1">
        <v>2.8401280000000001E-6</v>
      </c>
      <c r="I2559">
        <v>281.65730000000002</v>
      </c>
      <c r="J2559">
        <v>-466.93329999999997</v>
      </c>
      <c r="K2559">
        <v>1.1125609999999999</v>
      </c>
      <c r="L2559">
        <v>285.08530000000002</v>
      </c>
      <c r="M2559">
        <v>-0.99686240000000004</v>
      </c>
      <c r="N2559">
        <v>0</v>
      </c>
      <c r="O2559">
        <v>-7.4360800000000005E-2</v>
      </c>
      <c r="P2559">
        <v>-0.99073180000000005</v>
      </c>
      <c r="Q2559">
        <v>3.5124760000000001E-3</v>
      </c>
      <c r="R2559">
        <v>-0.135788299999999</v>
      </c>
      <c r="S2559">
        <v>-2.9068299999999998</v>
      </c>
      <c r="T2559">
        <v>-0.2909561</v>
      </c>
      <c r="U2559">
        <v>-0.89929199999999998</v>
      </c>
      <c r="V2559">
        <v>-6.1733099999999999E-2</v>
      </c>
      <c r="W2559">
        <v>3.0548889999999999E-2</v>
      </c>
      <c r="X2559">
        <v>0.99762510000000004</v>
      </c>
      <c r="Y2559">
        <v>-0.2229931</v>
      </c>
      <c r="Z2559">
        <v>-3.6463089999999999E-3</v>
      </c>
      <c r="AA2559">
        <v>0.97481320000000005</v>
      </c>
      <c r="AB2559">
        <v>13</v>
      </c>
      <c r="AC2559">
        <v>-10.993699999999899</v>
      </c>
      <c r="AD2559">
        <v>-1.112558159872</v>
      </c>
      <c r="AE2559">
        <v>-3.4279999999999902</v>
      </c>
      <c r="AF2559">
        <v>-2.5766509290897601</v>
      </c>
      <c r="AG2559">
        <v>-1.112558159872</v>
      </c>
      <c r="AH2559">
        <v>11.114502053152201</v>
      </c>
      <c r="AI2559">
        <v>95.569508144002597</v>
      </c>
      <c r="AJ2559">
        <v>103.052190127782</v>
      </c>
      <c r="AK2559">
        <v>11.463379587146299</v>
      </c>
      <c r="AL2559">
        <v>88.249405220378705</v>
      </c>
      <c r="AM2559">
        <v>93.540951218404203</v>
      </c>
      <c r="AN2559">
        <v>1.00000002523292</v>
      </c>
    </row>
    <row r="2560" spans="1:40" x14ac:dyDescent="0.25">
      <c r="A2560" t="str">
        <f>"20190312160652029"</f>
        <v>20190312160652029</v>
      </c>
      <c r="B2560" t="str">
        <f>"1552378012017722"</f>
        <v>1552378012017722</v>
      </c>
      <c r="C2560" t="s">
        <v>40</v>
      </c>
      <c r="D2560">
        <v>6.0488460000000002</v>
      </c>
      <c r="E2560">
        <v>0.43820110000000001</v>
      </c>
      <c r="F2560" t="s">
        <v>61</v>
      </c>
      <c r="G2560">
        <v>-477.2362</v>
      </c>
      <c r="H2560" s="1">
        <v>3.1685860000000001E-6</v>
      </c>
      <c r="I2560">
        <v>281.91050000000001</v>
      </c>
      <c r="J2560">
        <v>-467.05149999999998</v>
      </c>
      <c r="K2560">
        <v>1.1127229999999999</v>
      </c>
      <c r="L2560">
        <v>285.07510000000002</v>
      </c>
      <c r="M2560">
        <v>-0.9967551</v>
      </c>
      <c r="N2560">
        <v>0</v>
      </c>
      <c r="O2560">
        <v>-7.5302179999999996E-2</v>
      </c>
      <c r="P2560">
        <v>-0.99063129999999999</v>
      </c>
      <c r="Q2560">
        <v>1.776892E-3</v>
      </c>
      <c r="R2560">
        <v>-0.1365517</v>
      </c>
      <c r="S2560">
        <v>-2.9064329999999998</v>
      </c>
      <c r="T2560">
        <v>-0.31385109999999999</v>
      </c>
      <c r="U2560">
        <v>-0.89559940000000005</v>
      </c>
      <c r="V2560">
        <v>-6.1552160000000002E-2</v>
      </c>
      <c r="W2560">
        <v>3.0131850000000002E-2</v>
      </c>
      <c r="X2560">
        <v>0.99764900000000001</v>
      </c>
      <c r="Y2560">
        <v>-0.22088189999999999</v>
      </c>
      <c r="Z2560">
        <v>-3.7231299999999998E-3</v>
      </c>
      <c r="AA2560">
        <v>0.97529350000000004</v>
      </c>
      <c r="AB2560">
        <v>12</v>
      </c>
      <c r="AC2560">
        <v>-10.184699999999999</v>
      </c>
      <c r="AD2560">
        <v>-1.1127198314140001</v>
      </c>
      <c r="AE2560">
        <v>-3.1646000000000001</v>
      </c>
      <c r="AF2560">
        <v>-2.3626486184120101</v>
      </c>
      <c r="AG2560">
        <v>-1.1127198314140001</v>
      </c>
      <c r="AH2560">
        <v>10.2822304183236</v>
      </c>
      <c r="AI2560">
        <v>96.020683947618807</v>
      </c>
      <c r="AJ2560">
        <v>102.940780067726</v>
      </c>
      <c r="AK2560">
        <v>10.608700028410899</v>
      </c>
      <c r="AL2560">
        <v>88.273310920887297</v>
      </c>
      <c r="AM2560">
        <v>93.530514598571898</v>
      </c>
      <c r="AN2560">
        <v>1.00000006199304</v>
      </c>
    </row>
    <row r="2561" spans="1:40" x14ac:dyDescent="0.25">
      <c r="A2561" t="str">
        <f>"20190312160652050"</f>
        <v>20190312160652050</v>
      </c>
      <c r="B2561" t="str">
        <f>"1552378012037242"</f>
        <v>1552378012037242</v>
      </c>
      <c r="C2561" t="s">
        <v>40</v>
      </c>
      <c r="D2561">
        <v>6.090319</v>
      </c>
      <c r="E2561">
        <v>0.4388146</v>
      </c>
      <c r="F2561" t="s">
        <v>61</v>
      </c>
      <c r="G2561">
        <v>-476.94740000000002</v>
      </c>
      <c r="H2561" s="1">
        <v>3.308209E-6</v>
      </c>
      <c r="I2561">
        <v>282.04239999999999</v>
      </c>
      <c r="J2561">
        <v>-467.16039999999998</v>
      </c>
      <c r="K2561">
        <v>1.1128359999999999</v>
      </c>
      <c r="L2561">
        <v>285.06569999999999</v>
      </c>
      <c r="M2561">
        <v>-0.99664940000000002</v>
      </c>
      <c r="N2561">
        <v>0</v>
      </c>
      <c r="O2561">
        <v>-7.6357149999999999E-2</v>
      </c>
      <c r="P2561">
        <v>-0.99054799999999998</v>
      </c>
      <c r="Q2561">
        <v>3.8709310000000001E-4</v>
      </c>
      <c r="R2561">
        <v>-0.13716719999999999</v>
      </c>
      <c r="S2561">
        <v>-2.9061889999999999</v>
      </c>
      <c r="T2561">
        <v>-0.32677909999999999</v>
      </c>
      <c r="U2561">
        <v>-0.890625</v>
      </c>
      <c r="V2561">
        <v>-6.1114960000000003E-2</v>
      </c>
      <c r="W2561">
        <v>2.9616139999999999E-2</v>
      </c>
      <c r="X2561">
        <v>0.99769129999999995</v>
      </c>
      <c r="Y2561">
        <v>-0.21830060000000001</v>
      </c>
      <c r="Z2561">
        <v>-3.6203120000000001E-3</v>
      </c>
      <c r="AA2561">
        <v>0.97587480000000004</v>
      </c>
      <c r="AB2561">
        <v>12</v>
      </c>
      <c r="AC2561">
        <v>-9.7870000000000292</v>
      </c>
      <c r="AD2561">
        <v>-1.1128326917910001</v>
      </c>
      <c r="AE2561">
        <v>-3.0232999999999999</v>
      </c>
      <c r="AF2561">
        <v>-2.2403946632538601</v>
      </c>
      <c r="AG2561">
        <v>-1.1128326917910001</v>
      </c>
      <c r="AH2561">
        <v>9.8728273231332402</v>
      </c>
      <c r="AI2561">
        <v>96.272884018192798</v>
      </c>
      <c r="AJ2561">
        <v>102.785338228347</v>
      </c>
      <c r="AK2561">
        <v>10.1848163557062</v>
      </c>
      <c r="AL2561">
        <v>88.302872086020102</v>
      </c>
      <c r="AM2561">
        <v>93.505352140886203</v>
      </c>
      <c r="AN2561">
        <v>1.0000000420899899</v>
      </c>
    </row>
    <row r="2562" spans="1:40" x14ac:dyDescent="0.25">
      <c r="A2562" t="str">
        <f>"20190312160652073"</f>
        <v>20190312160652073</v>
      </c>
      <c r="B2562" t="str">
        <f>"1552378012067498"</f>
        <v>1552378012067498</v>
      </c>
      <c r="C2562" t="s">
        <v>40</v>
      </c>
      <c r="D2562">
        <v>6.0887949999999904</v>
      </c>
      <c r="E2562">
        <v>0.43925350000000002</v>
      </c>
      <c r="F2562" t="s">
        <v>61</v>
      </c>
      <c r="G2562">
        <v>-476.81549999999999</v>
      </c>
      <c r="H2562" s="1">
        <v>3.3731899999999999E-6</v>
      </c>
      <c r="I2562">
        <v>282.11660000000001</v>
      </c>
      <c r="J2562">
        <v>-467.27609999999999</v>
      </c>
      <c r="K2562">
        <v>1.1126020000000001</v>
      </c>
      <c r="L2562">
        <v>285.05529999999999</v>
      </c>
      <c r="M2562">
        <v>-0.99656489999999998</v>
      </c>
      <c r="N2562">
        <v>0</v>
      </c>
      <c r="O2562">
        <v>-7.7770370000000005E-2</v>
      </c>
      <c r="P2562">
        <v>-0.99046889999999999</v>
      </c>
      <c r="Q2562">
        <v>1.872067E-3</v>
      </c>
      <c r="R2562">
        <v>-0.1377246</v>
      </c>
      <c r="S2562">
        <v>-2.9058839999999999</v>
      </c>
      <c r="T2562">
        <v>-0.3349279</v>
      </c>
      <c r="U2562">
        <v>-0.88757319999999995</v>
      </c>
      <c r="V2562">
        <v>-6.0274639999999997E-2</v>
      </c>
      <c r="W2562">
        <v>3.0226220000000002E-2</v>
      </c>
      <c r="X2562">
        <v>0.9977241</v>
      </c>
      <c r="Y2562">
        <v>-0.21599090000000001</v>
      </c>
      <c r="Z2562">
        <v>-3.4237870000000002E-3</v>
      </c>
      <c r="AA2562">
        <v>0.97638939999999996</v>
      </c>
      <c r="AB2562">
        <v>11</v>
      </c>
      <c r="AC2562">
        <v>-9.5394000000000005</v>
      </c>
      <c r="AD2562">
        <v>-1.1125986268100001</v>
      </c>
      <c r="AE2562">
        <v>-2.9386999999999799</v>
      </c>
      <c r="AF2562">
        <v>-2.1607636947915898</v>
      </c>
      <c r="AG2562">
        <v>-1.1125986268100001</v>
      </c>
      <c r="AH2562">
        <v>9.6196072831358901</v>
      </c>
      <c r="AI2562">
        <v>96.438456424528297</v>
      </c>
      <c r="AJ2562">
        <v>102.659701090322</v>
      </c>
      <c r="AK2562">
        <v>9.9218758171461694</v>
      </c>
      <c r="AL2562">
        <v>88.267901378602602</v>
      </c>
      <c r="AM2562">
        <v>93.457158500573598</v>
      </c>
      <c r="AN2562">
        <v>1.0000000181617099</v>
      </c>
    </row>
    <row r="2563" spans="1:40" x14ac:dyDescent="0.25">
      <c r="A2563" t="str">
        <f>"20190312160652095"</f>
        <v>20190312160652095</v>
      </c>
      <c r="B2563" t="str">
        <f>"1552378012087994"</f>
        <v>1552378012087994</v>
      </c>
      <c r="C2563" t="s">
        <v>40</v>
      </c>
      <c r="D2563">
        <v>6.0702509999999998</v>
      </c>
      <c r="E2563">
        <v>0.43955090000000002</v>
      </c>
      <c r="F2563" t="s">
        <v>61</v>
      </c>
      <c r="G2563">
        <v>-477.1114</v>
      </c>
      <c r="H2563" s="1">
        <v>3.2367229999999999E-6</v>
      </c>
      <c r="I2563">
        <v>282.0566</v>
      </c>
      <c r="J2563">
        <v>-467.39060000000001</v>
      </c>
      <c r="K2563">
        <v>1.112236</v>
      </c>
      <c r="L2563">
        <v>285.0446</v>
      </c>
      <c r="M2563">
        <v>-0.99649460000000001</v>
      </c>
      <c r="N2563">
        <v>0</v>
      </c>
      <c r="O2563">
        <v>-7.9289730000000003E-2</v>
      </c>
      <c r="P2563">
        <v>-0.99038579999999998</v>
      </c>
      <c r="Q2563">
        <v>4.5954610000000003E-3</v>
      </c>
      <c r="R2563">
        <v>-0.13825760000000001</v>
      </c>
      <c r="S2563">
        <v>-2.90625</v>
      </c>
      <c r="T2563">
        <v>-0.32876460000000002</v>
      </c>
      <c r="U2563">
        <v>-0.88610840000000002</v>
      </c>
      <c r="V2563">
        <v>-5.9307640000000002E-2</v>
      </c>
      <c r="W2563">
        <v>3.114608E-2</v>
      </c>
      <c r="X2563">
        <v>0.99775369999999997</v>
      </c>
      <c r="Y2563">
        <v>-0.2140715</v>
      </c>
      <c r="Z2563">
        <v>-3.0892879999999999E-3</v>
      </c>
      <c r="AA2563">
        <v>0.97681309999999999</v>
      </c>
      <c r="AB2563">
        <v>11</v>
      </c>
      <c r="AC2563">
        <v>-9.7207999999999899</v>
      </c>
      <c r="AD2563">
        <v>-1.1122327632769999</v>
      </c>
      <c r="AE2563">
        <v>-2.9879999999999902</v>
      </c>
      <c r="AF2563">
        <v>-2.1814588379475199</v>
      </c>
      <c r="AG2563">
        <v>-1.1122327632769999</v>
      </c>
      <c r="AH2563">
        <v>9.8098370821998593</v>
      </c>
      <c r="AI2563">
        <v>96.315556784460696</v>
      </c>
      <c r="AJ2563">
        <v>102.53712853202001</v>
      </c>
      <c r="AK2563">
        <v>10.1108223187171</v>
      </c>
      <c r="AL2563">
        <v>88.215172346725097</v>
      </c>
      <c r="AM2563">
        <v>93.401725135132097</v>
      </c>
      <c r="AN2563">
        <v>0.99999996016271198</v>
      </c>
    </row>
    <row r="2564" spans="1:40" x14ac:dyDescent="0.25">
      <c r="A2564" t="str">
        <f>"20190312160652117"</f>
        <v>20190312160652117</v>
      </c>
      <c r="B2564" t="str">
        <f>"1552378012107518"</f>
        <v>1552378012107518</v>
      </c>
      <c r="C2564" t="s">
        <v>40</v>
      </c>
      <c r="D2564">
        <v>6.004041</v>
      </c>
      <c r="E2564">
        <v>0.43981890000000001</v>
      </c>
      <c r="F2564" t="s">
        <v>61</v>
      </c>
      <c r="G2564">
        <v>-477.48039999999997</v>
      </c>
      <c r="H2564" s="1">
        <v>3.0655140000000001E-6</v>
      </c>
      <c r="I2564">
        <v>281.9701</v>
      </c>
      <c r="J2564">
        <v>-467.50229999999999</v>
      </c>
      <c r="K2564">
        <v>1.1120620000000001</v>
      </c>
      <c r="L2564">
        <v>285.03390000000002</v>
      </c>
      <c r="M2564">
        <v>-0.99640850000000003</v>
      </c>
      <c r="N2564">
        <v>0</v>
      </c>
      <c r="O2564">
        <v>-8.0728919999999996E-2</v>
      </c>
      <c r="P2564">
        <v>-0.990228</v>
      </c>
      <c r="Q2564">
        <v>6.2729830000000002E-3</v>
      </c>
      <c r="R2564">
        <v>-0.1393161</v>
      </c>
      <c r="S2564">
        <v>-2.9069820000000002</v>
      </c>
      <c r="T2564">
        <v>-0.32044640000000002</v>
      </c>
      <c r="U2564">
        <v>-0.88580319999999901</v>
      </c>
      <c r="V2564">
        <v>-5.8944089999999998E-2</v>
      </c>
      <c r="W2564">
        <v>3.1687970000000003E-2</v>
      </c>
      <c r="X2564">
        <v>0.99775820000000004</v>
      </c>
      <c r="Y2564">
        <v>-0.2125561</v>
      </c>
      <c r="Z2564">
        <v>-2.7762400000000001E-3</v>
      </c>
      <c r="AA2564">
        <v>0.97714489999999998</v>
      </c>
      <c r="AB2564">
        <v>12</v>
      </c>
      <c r="AC2564">
        <v>-9.97809999999998</v>
      </c>
      <c r="AD2564">
        <v>-1.1120589344859999</v>
      </c>
      <c r="AE2564">
        <v>-3.0638000000000098</v>
      </c>
      <c r="AF2564">
        <v>-2.2227785798923998</v>
      </c>
      <c r="AG2564">
        <v>-1.1120589344859999</v>
      </c>
      <c r="AH2564">
        <v>10.078528615295401</v>
      </c>
      <c r="AI2564">
        <v>96.149894332208802</v>
      </c>
      <c r="AJ2564">
        <v>102.43725117109101</v>
      </c>
      <c r="AK2564">
        <v>10.380470063457</v>
      </c>
      <c r="AL2564">
        <v>88.184109036137201</v>
      </c>
      <c r="AM2564">
        <v>93.380906201154602</v>
      </c>
      <c r="AN2564">
        <v>0.99999997942794405</v>
      </c>
    </row>
    <row r="2565" spans="1:40" x14ac:dyDescent="0.25">
      <c r="A2565" t="str">
        <f>"20190312160652140"</f>
        <v>20190312160652140</v>
      </c>
      <c r="B2565" t="str">
        <f>"1552378012128010"</f>
        <v>1552378012128010</v>
      </c>
      <c r="C2565" t="s">
        <v>40</v>
      </c>
      <c r="D2565">
        <v>6.0404</v>
      </c>
      <c r="E2565">
        <v>0.4400213</v>
      </c>
      <c r="F2565" t="s">
        <v>61</v>
      </c>
      <c r="G2565">
        <v>-477.62990000000002</v>
      </c>
      <c r="H2565" s="1">
        <v>2.9970280000000002E-6</v>
      </c>
      <c r="I2565">
        <v>281.94479999999999</v>
      </c>
      <c r="J2565">
        <v>-467.61259999999999</v>
      </c>
      <c r="K2565">
        <v>1.112009</v>
      </c>
      <c r="L2565">
        <v>285.02300000000002</v>
      </c>
      <c r="M2565">
        <v>-0.99630160000000001</v>
      </c>
      <c r="N2565">
        <v>0</v>
      </c>
      <c r="O2565">
        <v>-8.2163539999999993E-2</v>
      </c>
      <c r="P2565">
        <v>-0.99004289999999995</v>
      </c>
      <c r="Q2565">
        <v>5.7846929999999996E-3</v>
      </c>
      <c r="R2565">
        <v>-0.14064989999999999</v>
      </c>
      <c r="S2565">
        <v>-2.9068909999999999</v>
      </c>
      <c r="T2565">
        <v>-0.31919170000000002</v>
      </c>
      <c r="U2565">
        <v>-0.88665769999999899</v>
      </c>
      <c r="V2565">
        <v>-5.8847719999999999E-2</v>
      </c>
      <c r="W2565">
        <v>3.0802920000000001E-2</v>
      </c>
      <c r="X2565">
        <v>0.9977916</v>
      </c>
      <c r="Y2565">
        <v>-0.2114412</v>
      </c>
      <c r="Z2565">
        <v>-2.553493E-3</v>
      </c>
      <c r="AA2565">
        <v>0.97738740000000002</v>
      </c>
      <c r="AB2565">
        <v>12</v>
      </c>
      <c r="AC2565">
        <v>-10.017300000000001</v>
      </c>
      <c r="AD2565">
        <v>-1.112006002972</v>
      </c>
      <c r="AE2565">
        <v>-3.0781999999999798</v>
      </c>
      <c r="AF2565">
        <v>-2.2194777959232201</v>
      </c>
      <c r="AG2565">
        <v>-1.112006002972</v>
      </c>
      <c r="AH2565">
        <v>10.1224290327073</v>
      </c>
      <c r="AI2565">
        <v>96.124771443719595</v>
      </c>
      <c r="AJ2565">
        <v>102.367154400671</v>
      </c>
      <c r="AK2565">
        <v>10.4223897719975</v>
      </c>
      <c r="AL2565">
        <v>88.234843433102995</v>
      </c>
      <c r="AM2565">
        <v>93.375278689742302</v>
      </c>
      <c r="AN2565">
        <v>0.99999997553014197</v>
      </c>
    </row>
    <row r="2566" spans="1:40" x14ac:dyDescent="0.25">
      <c r="A2566" t="str">
        <f>"20190312160652162"</f>
        <v>20190312160652162</v>
      </c>
      <c r="B2566" t="str">
        <f>"1552378012157905"</f>
        <v>1552378012157905</v>
      </c>
      <c r="C2566" t="s">
        <v>40</v>
      </c>
      <c r="D2566">
        <v>6.1580649999999997</v>
      </c>
      <c r="E2566">
        <v>0.43974069999999998</v>
      </c>
      <c r="F2566" t="s">
        <v>61</v>
      </c>
      <c r="G2566">
        <v>-477.67950000000002</v>
      </c>
      <c r="H2566" s="1">
        <v>2.9749320000000001E-6</v>
      </c>
      <c r="I2566">
        <v>281.94400000000002</v>
      </c>
      <c r="J2566">
        <v>-467.72210000000001</v>
      </c>
      <c r="K2566">
        <v>1.1118870000000001</v>
      </c>
      <c r="L2566">
        <v>285.01209999999998</v>
      </c>
      <c r="M2566">
        <v>-0.9961816</v>
      </c>
      <c r="N2566">
        <v>0</v>
      </c>
      <c r="O2566">
        <v>-8.3722320000000003E-2</v>
      </c>
      <c r="P2566">
        <v>-0.98982769999999998</v>
      </c>
      <c r="Q2566">
        <v>5.3835829999999999E-3</v>
      </c>
      <c r="R2566">
        <v>-0.14216970000000001</v>
      </c>
      <c r="S2566">
        <v>-2.9058229999999998</v>
      </c>
      <c r="T2566">
        <v>-0.32098090000000001</v>
      </c>
      <c r="U2566">
        <v>-0.88876339999999998</v>
      </c>
      <c r="V2566">
        <v>-5.8810109999999999E-2</v>
      </c>
      <c r="W2566">
        <v>3.0018889999999999E-2</v>
      </c>
      <c r="X2566">
        <v>0.99781779999999998</v>
      </c>
      <c r="Y2566">
        <v>-0.21066560000000001</v>
      </c>
      <c r="Z2566">
        <v>-2.3603109999999999E-3</v>
      </c>
      <c r="AA2566">
        <v>0.97755530000000002</v>
      </c>
      <c r="AB2566">
        <v>11</v>
      </c>
      <c r="AC2566">
        <v>-9.9573999999999998</v>
      </c>
      <c r="AD2566">
        <v>-1.111884025068</v>
      </c>
      <c r="AE2566">
        <v>-3.0680999999999501</v>
      </c>
      <c r="AF2566">
        <v>-2.1983749991197898</v>
      </c>
      <c r="AG2566">
        <v>-1.111884025068</v>
      </c>
      <c r="AH2566">
        <v>10.064751896350501</v>
      </c>
      <c r="AI2566">
        <v>96.160003060537306</v>
      </c>
      <c r="AJ2566">
        <v>102.321215143769</v>
      </c>
      <c r="AK2566">
        <v>10.3618709438521</v>
      </c>
      <c r="AL2566">
        <v>88.2797859815348</v>
      </c>
      <c r="AM2566">
        <v>93.373038142752094</v>
      </c>
      <c r="AN2566">
        <v>1.00000006239594</v>
      </c>
    </row>
    <row r="2567" spans="1:40" x14ac:dyDescent="0.25">
      <c r="A2567" t="str">
        <f>"20190312160652174"</f>
        <v>20190312160652174</v>
      </c>
      <c r="B2567" t="str">
        <f>"1552378012167665"</f>
        <v>1552378012167665</v>
      </c>
      <c r="C2567" t="s">
        <v>40</v>
      </c>
      <c r="D2567">
        <v>5.9865320000000004</v>
      </c>
      <c r="E2567">
        <v>0.43964510000000001</v>
      </c>
      <c r="F2567" t="s">
        <v>61</v>
      </c>
      <c r="G2567">
        <v>-478.02539999999999</v>
      </c>
      <c r="H2567" s="1">
        <v>2.8119230000000001E-6</v>
      </c>
      <c r="I2567">
        <v>281.83390000000003</v>
      </c>
      <c r="J2567">
        <v>-467.77960000000002</v>
      </c>
      <c r="K2567">
        <v>1.111775</v>
      </c>
      <c r="L2567">
        <v>285.00639999999999</v>
      </c>
      <c r="M2567">
        <v>-0.99611769999999999</v>
      </c>
      <c r="N2567">
        <v>0</v>
      </c>
      <c r="O2567">
        <v>-8.4580559999999999E-2</v>
      </c>
      <c r="P2567">
        <v>-0.98965380000000003</v>
      </c>
      <c r="Q2567">
        <v>5.550218E-3</v>
      </c>
      <c r="R2567">
        <v>-0.1433683</v>
      </c>
      <c r="S2567">
        <v>-2.9038390000000001</v>
      </c>
      <c r="T2567">
        <v>-0.31336839999999999</v>
      </c>
      <c r="U2567">
        <v>-0.89575199999999999</v>
      </c>
      <c r="V2567">
        <v>-5.9155350000000002E-2</v>
      </c>
      <c r="W2567">
        <v>2.9850640000000001E-2</v>
      </c>
      <c r="X2567">
        <v>0.99780239999999998</v>
      </c>
      <c r="Y2567">
        <v>-0.2121895</v>
      </c>
      <c r="Z2567">
        <v>-2.2962989999999999E-3</v>
      </c>
      <c r="AA2567">
        <v>0.97722580000000003</v>
      </c>
      <c r="AB2567">
        <v>11</v>
      </c>
      <c r="AC2567">
        <v>-10.2457999999999</v>
      </c>
      <c r="AD2567">
        <v>-1.111772188077</v>
      </c>
      <c r="AE2567">
        <v>-3.1724999999999501</v>
      </c>
      <c r="AF2567">
        <v>-2.26988298840087</v>
      </c>
      <c r="AG2567">
        <v>-1.111772188077</v>
      </c>
      <c r="AH2567">
        <v>10.366098987266801</v>
      </c>
      <c r="AI2567">
        <v>95.9809696102092</v>
      </c>
      <c r="AJ2567">
        <v>102.351212653695</v>
      </c>
      <c r="AK2567">
        <v>10.6697898007893</v>
      </c>
      <c r="AL2567">
        <v>88.289430250151</v>
      </c>
      <c r="AM2567">
        <v>93.392845411361094</v>
      </c>
      <c r="AN2567">
        <v>1.0000000227938901</v>
      </c>
    </row>
    <row r="2568" spans="1:40" x14ac:dyDescent="0.25">
      <c r="A2568" t="str">
        <f>"20190312160652196"</f>
        <v>20190312160652196</v>
      </c>
      <c r="B2568" t="str">
        <f>"1552378012188161"</f>
        <v>1552378012188161</v>
      </c>
      <c r="C2568" t="s">
        <v>40</v>
      </c>
      <c r="D2568">
        <v>6.0308780000000004</v>
      </c>
      <c r="E2568">
        <v>0.4392799</v>
      </c>
      <c r="F2568" t="s">
        <v>61</v>
      </c>
      <c r="G2568">
        <v>-478.23840000000001</v>
      </c>
      <c r="H2568" s="1">
        <v>2.7113210000000001E-6</v>
      </c>
      <c r="I2568">
        <v>281.76330000000002</v>
      </c>
      <c r="J2568">
        <v>-467.8852</v>
      </c>
      <c r="K2568">
        <v>1.1115389999999901</v>
      </c>
      <c r="L2568">
        <v>284.99579999999997</v>
      </c>
      <c r="M2568">
        <v>-0.99601379999999995</v>
      </c>
      <c r="N2568">
        <v>0</v>
      </c>
      <c r="O2568">
        <v>-8.6073860000000002E-2</v>
      </c>
      <c r="P2568">
        <v>-0.98932019999999998</v>
      </c>
      <c r="Q2568">
        <v>5.6349130000000001E-3</v>
      </c>
      <c r="R2568">
        <v>-0.14565149999999999</v>
      </c>
      <c r="S2568">
        <v>-2.9027099999999999</v>
      </c>
      <c r="T2568">
        <v>-0.3085598</v>
      </c>
      <c r="U2568">
        <v>-0.90008539999999904</v>
      </c>
      <c r="V2568">
        <v>-5.995959E-2</v>
      </c>
      <c r="W2568">
        <v>2.8943139999999999E-2</v>
      </c>
      <c r="X2568">
        <v>0.99778109999999998</v>
      </c>
      <c r="Y2568">
        <v>-0.2121932</v>
      </c>
      <c r="Z2568">
        <v>-2.1088209999999999E-3</v>
      </c>
      <c r="AA2568">
        <v>0.97722549999999997</v>
      </c>
      <c r="AB2568">
        <v>11</v>
      </c>
      <c r="AC2568">
        <v>-10.353199999999999</v>
      </c>
      <c r="AD2568">
        <v>-1.1115362886789999</v>
      </c>
      <c r="AE2568">
        <v>-3.2324999999999502</v>
      </c>
      <c r="AF2568">
        <v>-2.3049050598259599</v>
      </c>
      <c r="AG2568">
        <v>-1.1115362886789999</v>
      </c>
      <c r="AH2568">
        <v>10.4829663670582</v>
      </c>
      <c r="AI2568">
        <v>95.912415340562504</v>
      </c>
      <c r="AJ2568">
        <v>102.40039322367601</v>
      </c>
      <c r="AK2568">
        <v>10.7907684670154</v>
      </c>
      <c r="AL2568">
        <v>88.3414485987538</v>
      </c>
      <c r="AM2568">
        <v>93.438935741898703</v>
      </c>
      <c r="AN2568">
        <v>0.99999999065161804</v>
      </c>
    </row>
    <row r="2569" spans="1:40" x14ac:dyDescent="0.25">
      <c r="A2569" t="str">
        <f>"20190312160652218"</f>
        <v>20190312160652218</v>
      </c>
      <c r="B2569" t="str">
        <f>"1552378012207683"</f>
        <v>1552378012207683</v>
      </c>
      <c r="C2569" t="s">
        <v>40</v>
      </c>
      <c r="D2569">
        <v>6.029725</v>
      </c>
      <c r="E2569">
        <v>0.43892999999999999</v>
      </c>
      <c r="F2569" t="s">
        <v>61</v>
      </c>
      <c r="G2569">
        <v>-478.55939999999998</v>
      </c>
      <c r="H2569" s="1">
        <v>2.558846E-6</v>
      </c>
      <c r="I2569">
        <v>281.64760000000001</v>
      </c>
      <c r="J2569">
        <v>-467.99270000000001</v>
      </c>
      <c r="K2569">
        <v>1.1113660000000001</v>
      </c>
      <c r="L2569">
        <v>284.98500000000001</v>
      </c>
      <c r="M2569">
        <v>-0.99592049999999999</v>
      </c>
      <c r="N2569">
        <v>0</v>
      </c>
      <c r="O2569">
        <v>-8.7413589999999999E-2</v>
      </c>
      <c r="P2569">
        <v>-0.98903010000000002</v>
      </c>
      <c r="Q2569">
        <v>5.0747939999999997E-3</v>
      </c>
      <c r="R2569">
        <v>-0.14762700000000001</v>
      </c>
      <c r="S2569">
        <v>-2.9001459999999999</v>
      </c>
      <c r="T2569">
        <v>-0.30200120000000003</v>
      </c>
      <c r="U2569">
        <v>-0.90969849999999997</v>
      </c>
      <c r="V2569">
        <v>-6.0610289999999997E-2</v>
      </c>
      <c r="W2569">
        <v>2.736162E-2</v>
      </c>
      <c r="X2569">
        <v>0.99778639999999996</v>
      </c>
      <c r="Y2569">
        <v>-0.2141007</v>
      </c>
      <c r="Z2569">
        <v>-2.0275789999999998E-3</v>
      </c>
      <c r="AA2569">
        <v>0.9768095</v>
      </c>
      <c r="AB2569">
        <v>11</v>
      </c>
      <c r="AC2569">
        <v>-10.5666999999999</v>
      </c>
      <c r="AD2569">
        <v>-1.1113634411540001</v>
      </c>
      <c r="AE2569">
        <v>-3.3374000000000001</v>
      </c>
      <c r="AF2569">
        <v>-2.3768062889658501</v>
      </c>
      <c r="AG2569">
        <v>-1.1113634411540001</v>
      </c>
      <c r="AH2569">
        <v>10.710308092683301</v>
      </c>
      <c r="AI2569">
        <v>95.784406557696997</v>
      </c>
      <c r="AJ2569">
        <v>102.512176563748</v>
      </c>
      <c r="AK2569">
        <v>11.027013932783399</v>
      </c>
      <c r="AL2569">
        <v>88.432098947807503</v>
      </c>
      <c r="AM2569">
        <v>93.476146690691607</v>
      </c>
      <c r="AN2569">
        <v>0.99999998276393398</v>
      </c>
    </row>
    <row r="2570" spans="1:40" x14ac:dyDescent="0.25">
      <c r="A2570" t="str">
        <f>"20190312160652240"</f>
        <v>20190312160652240</v>
      </c>
      <c r="B2570" t="str">
        <f>"1552378012227203"</f>
        <v>1552378012227203</v>
      </c>
      <c r="C2570" t="s">
        <v>40</v>
      </c>
      <c r="D2570">
        <v>6.08108</v>
      </c>
      <c r="E2570">
        <v>0.43875459999999999</v>
      </c>
      <c r="F2570" t="s">
        <v>61</v>
      </c>
      <c r="G2570">
        <v>-478.80799999999999</v>
      </c>
      <c r="H2570" s="1">
        <v>2.4405210000000001E-6</v>
      </c>
      <c r="I2570">
        <v>281.55540000000002</v>
      </c>
      <c r="J2570">
        <v>-468.09930000000003</v>
      </c>
      <c r="K2570">
        <v>1.1111899999999999</v>
      </c>
      <c r="L2570">
        <v>284.97399999999999</v>
      </c>
      <c r="M2570">
        <v>-0.99583449999999996</v>
      </c>
      <c r="N2570">
        <v>0</v>
      </c>
      <c r="O2570">
        <v>-8.865932E-2</v>
      </c>
      <c r="P2570">
        <v>-0.98881280000000005</v>
      </c>
      <c r="Q2570">
        <v>5.012089E-3</v>
      </c>
      <c r="R2570">
        <v>-0.14907879999999901</v>
      </c>
      <c r="S2570">
        <v>-2.8976440000000001</v>
      </c>
      <c r="T2570">
        <v>-0.29775620000000003</v>
      </c>
      <c r="U2570">
        <v>-0.91885380000000005</v>
      </c>
      <c r="V2570">
        <v>-6.0827220000000001E-2</v>
      </c>
      <c r="W2570">
        <v>2.620809E-2</v>
      </c>
      <c r="X2570">
        <v>0.99780420000000003</v>
      </c>
      <c r="Y2570">
        <v>-0.21594260000000001</v>
      </c>
      <c r="Z2570">
        <v>-1.9691280000000001E-3</v>
      </c>
      <c r="AA2570">
        <v>0.9764041</v>
      </c>
      <c r="AB2570">
        <v>11</v>
      </c>
      <c r="AC2570">
        <v>-10.7087</v>
      </c>
      <c r="AD2570">
        <v>-1.1111875594789999</v>
      </c>
      <c r="AE2570">
        <v>-3.4185999999999601</v>
      </c>
      <c r="AF2570">
        <v>-2.4317289338302199</v>
      </c>
      <c r="AG2570">
        <v>-1.1111875594789999</v>
      </c>
      <c r="AH2570">
        <v>10.8635182949903</v>
      </c>
      <c r="AI2570">
        <v>95.700156836568894</v>
      </c>
      <c r="AJ2570">
        <v>102.61730312940099</v>
      </c>
      <c r="AK2570">
        <v>11.187675055415101</v>
      </c>
      <c r="AL2570">
        <v>88.498215127303098</v>
      </c>
      <c r="AM2570">
        <v>93.488495400131399</v>
      </c>
      <c r="AN2570">
        <v>1.000000018106</v>
      </c>
    </row>
    <row r="2571" spans="1:40" x14ac:dyDescent="0.25">
      <c r="A2571" t="str">
        <f>"20190312160652263"</f>
        <v>20190312160652263</v>
      </c>
      <c r="B2571" t="str">
        <f>"1552378012257537"</f>
        <v>1552378012257537</v>
      </c>
      <c r="C2571" t="s">
        <v>40</v>
      </c>
      <c r="D2571">
        <v>6.038157</v>
      </c>
      <c r="E2571">
        <v>0.43873129999999999</v>
      </c>
      <c r="F2571" t="s">
        <v>61</v>
      </c>
      <c r="G2571">
        <v>-479.11259999999999</v>
      </c>
      <c r="H2571" s="1">
        <v>2.2967470000000002E-6</v>
      </c>
      <c r="I2571">
        <v>281.45569999999998</v>
      </c>
      <c r="J2571">
        <v>-468.21350000000001</v>
      </c>
      <c r="K2571">
        <v>1.1109070000000001</v>
      </c>
      <c r="L2571">
        <v>284.96210000000002</v>
      </c>
      <c r="M2571">
        <v>-0.99574689999999999</v>
      </c>
      <c r="N2571">
        <v>0</v>
      </c>
      <c r="O2571">
        <v>-9.0021859999999995E-2</v>
      </c>
      <c r="P2571">
        <v>-0.98862399999999995</v>
      </c>
      <c r="Q2571">
        <v>5.575071E-3</v>
      </c>
      <c r="R2571">
        <v>-0.15030569999999999</v>
      </c>
      <c r="S2571">
        <v>-2.895966</v>
      </c>
      <c r="T2571">
        <v>-0.292189799999999</v>
      </c>
      <c r="U2571">
        <v>-0.92514039999999997</v>
      </c>
      <c r="V2571">
        <v>-6.0702890000000002E-2</v>
      </c>
      <c r="W2571">
        <v>2.508264E-2</v>
      </c>
      <c r="X2571">
        <v>0.99784070000000002</v>
      </c>
      <c r="Y2571">
        <v>-0.2167222</v>
      </c>
      <c r="Z2571">
        <v>-1.8392079999999999E-3</v>
      </c>
      <c r="AA2571">
        <v>0.97623159999999998</v>
      </c>
      <c r="AB2571">
        <v>11</v>
      </c>
      <c r="AC2571">
        <v>-10.899099999999899</v>
      </c>
      <c r="AD2571">
        <v>-1.1109047032529999</v>
      </c>
      <c r="AE2571">
        <v>-3.5064000000000402</v>
      </c>
      <c r="AF2571">
        <v>-2.4873943040112598</v>
      </c>
      <c r="AG2571">
        <v>-1.1109047032529999</v>
      </c>
      <c r="AH2571">
        <v>11.066358757868199</v>
      </c>
      <c r="AI2571">
        <v>95.593829099563493</v>
      </c>
      <c r="AJ2571">
        <v>102.66788343351899</v>
      </c>
      <c r="AK2571">
        <v>11.3967335601559</v>
      </c>
      <c r="AL2571">
        <v>88.562719884332097</v>
      </c>
      <c r="AM2571">
        <v>93.481255486500302</v>
      </c>
      <c r="AN2571">
        <v>1.0000000211300999</v>
      </c>
    </row>
    <row r="2572" spans="1:40" x14ac:dyDescent="0.25">
      <c r="A2572" t="str">
        <f>"20190312160652284"</f>
        <v>20190312160652284</v>
      </c>
      <c r="B2572" t="str">
        <f>"1552378012278033"</f>
        <v>1552378012278033</v>
      </c>
      <c r="C2572" t="s">
        <v>40</v>
      </c>
      <c r="D2572">
        <v>6.0402290000000001</v>
      </c>
      <c r="E2572">
        <v>0.438724</v>
      </c>
      <c r="F2572" t="s">
        <v>61</v>
      </c>
      <c r="G2572">
        <v>-479.56110000000001</v>
      </c>
      <c r="H2572" s="1">
        <v>2.0861720000000001E-6</v>
      </c>
      <c r="I2572">
        <v>281.32190000000003</v>
      </c>
      <c r="J2572">
        <v>-468.32190000000003</v>
      </c>
      <c r="K2572">
        <v>1.1107279999999999</v>
      </c>
      <c r="L2572">
        <v>284.95069999999998</v>
      </c>
      <c r="M2572">
        <v>-0.99565459999999995</v>
      </c>
      <c r="N2572">
        <v>0</v>
      </c>
      <c r="O2572">
        <v>-9.132527E-2</v>
      </c>
      <c r="P2572">
        <v>-0.98840459999999997</v>
      </c>
      <c r="Q2572">
        <v>5.8745530000000002E-3</v>
      </c>
      <c r="R2572">
        <v>-0.15173110000000001</v>
      </c>
      <c r="S2572">
        <v>-2.8949280000000002</v>
      </c>
      <c r="T2572">
        <v>-0.2834082</v>
      </c>
      <c r="U2572">
        <v>-0.92868039999999996</v>
      </c>
      <c r="V2572">
        <v>-6.083773E-2</v>
      </c>
      <c r="W2572">
        <v>2.3999119999999999E-2</v>
      </c>
      <c r="X2572">
        <v>0.9978591</v>
      </c>
      <c r="Y2572">
        <v>-0.216671</v>
      </c>
      <c r="Z2572">
        <v>-1.659404E-3</v>
      </c>
      <c r="AA2572">
        <v>0.97624330000000004</v>
      </c>
      <c r="AB2572">
        <v>11</v>
      </c>
      <c r="AC2572">
        <v>-11.239199999999901</v>
      </c>
      <c r="AD2572">
        <v>-1.1107259138279999</v>
      </c>
      <c r="AE2572">
        <v>-3.6287999999999498</v>
      </c>
      <c r="AF2572">
        <v>-2.5643567438362198</v>
      </c>
      <c r="AG2572">
        <v>-1.1107259138279999</v>
      </c>
      <c r="AH2572">
        <v>11.422644600374801</v>
      </c>
      <c r="AI2572">
        <v>95.419854206144706</v>
      </c>
      <c r="AJ2572">
        <v>102.65298431487</v>
      </c>
      <c r="AK2572">
        <v>11.759525808117401</v>
      </c>
      <c r="AL2572">
        <v>88.624819662578602</v>
      </c>
      <c r="AM2572">
        <v>93.488905180899593</v>
      </c>
      <c r="AN2572">
        <v>0.99999998530256795</v>
      </c>
    </row>
    <row r="2573" spans="1:40" x14ac:dyDescent="0.25">
      <c r="A2573" t="str">
        <f>"20190312160652298"</f>
        <v>20190312160652298</v>
      </c>
      <c r="B2573" t="str">
        <f>"1552378012287794"</f>
        <v>1552378012287794</v>
      </c>
      <c r="C2573" t="s">
        <v>40</v>
      </c>
      <c r="D2573">
        <v>5.9419709999999997</v>
      </c>
      <c r="E2573">
        <v>0.43873810000000002</v>
      </c>
      <c r="F2573" t="s">
        <v>61</v>
      </c>
      <c r="G2573">
        <v>-479.87860000000001</v>
      </c>
      <c r="H2573" s="1">
        <v>1.9367780000000001E-6</v>
      </c>
      <c r="I2573">
        <v>281.22379999999998</v>
      </c>
      <c r="J2573">
        <v>-468.38549999999998</v>
      </c>
      <c r="K2573">
        <v>1.1106990000000001</v>
      </c>
      <c r="L2573">
        <v>284.94400000000002</v>
      </c>
      <c r="M2573">
        <v>-0.99559500000000001</v>
      </c>
      <c r="N2573">
        <v>0</v>
      </c>
      <c r="O2573">
        <v>-9.2075820000000003E-2</v>
      </c>
      <c r="P2573">
        <v>-0.98834540000000004</v>
      </c>
      <c r="Q2573">
        <v>5.6919700000000002E-3</v>
      </c>
      <c r="R2573">
        <v>-0.15212220000000001</v>
      </c>
      <c r="S2573">
        <v>-2.8936160000000002</v>
      </c>
      <c r="T2573">
        <v>-0.278109</v>
      </c>
      <c r="U2573">
        <v>-0.93316650000000001</v>
      </c>
      <c r="V2573">
        <v>-6.0479980000000003E-2</v>
      </c>
      <c r="W2573">
        <v>2.3285500000000001E-2</v>
      </c>
      <c r="X2573">
        <v>0.9978977</v>
      </c>
      <c r="Y2573">
        <v>-0.21745600000000001</v>
      </c>
      <c r="Z2573">
        <v>-1.5962870000000001E-3</v>
      </c>
      <c r="AA2573">
        <v>0.97606879999999996</v>
      </c>
      <c r="AB2573">
        <v>11</v>
      </c>
      <c r="AC2573">
        <v>-11.4931</v>
      </c>
      <c r="AD2573">
        <v>-1.1106970632219999</v>
      </c>
      <c r="AE2573">
        <v>-3.7202000000000299</v>
      </c>
      <c r="AF2573">
        <v>-2.6238088680369498</v>
      </c>
      <c r="AG2573">
        <v>-1.1106970632219999</v>
      </c>
      <c r="AH2573">
        <v>11.6880496310713</v>
      </c>
      <c r="AI2573">
        <v>95.297367513960197</v>
      </c>
      <c r="AJ2573">
        <v>102.65237445282</v>
      </c>
      <c r="AK2573">
        <v>12.030316916882301</v>
      </c>
      <c r="AL2573">
        <v>88.665718437845399</v>
      </c>
      <c r="AM2573">
        <v>93.468305430048503</v>
      </c>
      <c r="AN2573">
        <v>0.99999993107816698</v>
      </c>
    </row>
    <row r="2574" spans="1:40" x14ac:dyDescent="0.25">
      <c r="A2574" t="str">
        <f>"20190312160652319"</f>
        <v>20190312160652319</v>
      </c>
      <c r="B2574" t="str">
        <f>"1552378012307313"</f>
        <v>1552378012307313</v>
      </c>
      <c r="C2574" t="s">
        <v>40</v>
      </c>
      <c r="D2574">
        <v>6.1438490000000003</v>
      </c>
      <c r="E2574">
        <v>0.43869900000000001</v>
      </c>
      <c r="F2574" t="s">
        <v>61</v>
      </c>
      <c r="G2574">
        <v>-480.02949999999998</v>
      </c>
      <c r="H2574" s="1">
        <v>1.9108410000000001E-6</v>
      </c>
      <c r="I2574">
        <v>281.18310000000002</v>
      </c>
      <c r="J2574">
        <v>-468.48439999999999</v>
      </c>
      <c r="K2574">
        <v>1.1107629999999999</v>
      </c>
      <c r="L2574">
        <v>284.93349999999998</v>
      </c>
      <c r="M2574">
        <v>-0.99549560000000004</v>
      </c>
      <c r="N2574">
        <v>0</v>
      </c>
      <c r="O2574">
        <v>-9.3217060000000004E-2</v>
      </c>
      <c r="P2574">
        <v>-0.98828870000000002</v>
      </c>
      <c r="Q2574">
        <v>4.8992929999999999E-3</v>
      </c>
      <c r="R2574">
        <v>-0.152517299999999</v>
      </c>
      <c r="S2574">
        <v>-2.8931269999999998</v>
      </c>
      <c r="T2574">
        <v>-0.27596929999999997</v>
      </c>
      <c r="U2574">
        <v>-0.93444819999999995</v>
      </c>
      <c r="V2574">
        <v>-5.973212E-2</v>
      </c>
      <c r="W2574">
        <v>2.2112779999999999E-2</v>
      </c>
      <c r="X2574">
        <v>0.99796949999999995</v>
      </c>
      <c r="Y2574">
        <v>-0.21679280000000001</v>
      </c>
      <c r="Z2574">
        <v>-1.4486830000000001E-3</v>
      </c>
      <c r="AA2574">
        <v>0.97621659999999999</v>
      </c>
      <c r="AB2574">
        <v>11</v>
      </c>
      <c r="AC2574">
        <v>-11.5450999999999</v>
      </c>
      <c r="AD2574">
        <v>-1.1107610891589901</v>
      </c>
      <c r="AE2574">
        <v>-3.7503999999999502</v>
      </c>
      <c r="AF2574">
        <v>-2.6356359269920202</v>
      </c>
      <c r="AG2574">
        <v>-1.1107610891589901</v>
      </c>
      <c r="AH2574">
        <v>11.746119611027099</v>
      </c>
      <c r="AI2574">
        <v>95.271743928229796</v>
      </c>
      <c r="AJ2574">
        <v>102.64676057013</v>
      </c>
      <c r="AK2574">
        <v>12.0893214389144</v>
      </c>
      <c r="AL2574">
        <v>88.732927772561595</v>
      </c>
      <c r="AM2574">
        <v>93.425275292904203</v>
      </c>
      <c r="AN2574">
        <v>1.00000001206463</v>
      </c>
    </row>
    <row r="2575" spans="1:40" x14ac:dyDescent="0.25">
      <c r="A2575" t="str">
        <f>"20190312160652332"</f>
        <v>20190312160652332</v>
      </c>
      <c r="B2575" t="str">
        <f>"1552378012327810"</f>
        <v>1552378012327810</v>
      </c>
      <c r="C2575" t="s">
        <v>40</v>
      </c>
      <c r="D2575">
        <v>5.996149</v>
      </c>
      <c r="E2575">
        <v>0.43864059999999999</v>
      </c>
      <c r="F2575" t="s">
        <v>61</v>
      </c>
      <c r="G2575">
        <v>-480.21839999999997</v>
      </c>
      <c r="H2575" s="1">
        <v>1.9401080000000001E-6</v>
      </c>
      <c r="I2575">
        <v>281.13459999999998</v>
      </c>
      <c r="J2575">
        <v>-468.55160000000001</v>
      </c>
      <c r="K2575">
        <v>1.110811</v>
      </c>
      <c r="L2575">
        <v>284.92630000000003</v>
      </c>
      <c r="M2575">
        <v>-0.99542620000000004</v>
      </c>
      <c r="N2575">
        <v>0</v>
      </c>
      <c r="O2575">
        <v>-9.3991089999999999E-2</v>
      </c>
      <c r="P2575">
        <v>-0.98824009999999995</v>
      </c>
      <c r="Q2575">
        <v>4.8571420000000001E-3</v>
      </c>
      <c r="R2575">
        <v>-0.15283369999999999</v>
      </c>
      <c r="S2575">
        <v>-2.8924259999999999</v>
      </c>
      <c r="T2575">
        <v>-0.27380310000000002</v>
      </c>
      <c r="U2575">
        <v>-0.93643189999999998</v>
      </c>
      <c r="V2575">
        <v>-5.927462E-2</v>
      </c>
      <c r="W2575">
        <v>2.188681E-2</v>
      </c>
      <c r="X2575">
        <v>0.99800180000000005</v>
      </c>
      <c r="Y2575">
        <v>-0.21672069999999999</v>
      </c>
      <c r="Z2575">
        <v>-1.36377E-3</v>
      </c>
      <c r="AA2575">
        <v>0.97623269999999995</v>
      </c>
      <c r="AB2575">
        <v>11</v>
      </c>
      <c r="AC2575">
        <v>-11.666799999999901</v>
      </c>
      <c r="AD2575">
        <v>-1.110809059892</v>
      </c>
      <c r="AE2575">
        <v>-3.79170000000004</v>
      </c>
      <c r="AF2575">
        <v>-2.6563936786394202</v>
      </c>
      <c r="AG2575">
        <v>-1.110809059892</v>
      </c>
      <c r="AH2575">
        <v>11.874216286656701</v>
      </c>
      <c r="AI2575">
        <v>95.216156831942399</v>
      </c>
      <c r="AJ2575">
        <v>102.610072607913</v>
      </c>
      <c r="AK2575">
        <v>12.218319711227</v>
      </c>
      <c r="AL2575">
        <v>88.745878085254006</v>
      </c>
      <c r="AM2575">
        <v>93.398992435223306</v>
      </c>
      <c r="AN2575">
        <v>1.0000000529156701</v>
      </c>
    </row>
    <row r="2576" spans="1:40" x14ac:dyDescent="0.25">
      <c r="A2576" t="str">
        <f>"20190312160652344"</f>
        <v>20190312160652344</v>
      </c>
      <c r="B2576" t="str">
        <f>"1552378012338076"</f>
        <v>1552378012338076</v>
      </c>
      <c r="C2576" t="s">
        <v>40</v>
      </c>
      <c r="D2576">
        <v>6.0033609999999999</v>
      </c>
      <c r="E2576">
        <v>0.43868649999999998</v>
      </c>
      <c r="F2576" t="s">
        <v>61</v>
      </c>
      <c r="G2576">
        <v>-480.38</v>
      </c>
      <c r="H2576" s="1">
        <v>1.9647949999999999E-6</v>
      </c>
      <c r="I2576">
        <v>281.08909999999997</v>
      </c>
      <c r="J2576">
        <v>-468.61290000000002</v>
      </c>
      <c r="K2576">
        <v>1.110816</v>
      </c>
      <c r="L2576">
        <v>284.91969999999998</v>
      </c>
      <c r="M2576">
        <v>-0.99536239999999998</v>
      </c>
      <c r="N2576">
        <v>0</v>
      </c>
      <c r="O2576">
        <v>-9.4716939999999999E-2</v>
      </c>
      <c r="P2576">
        <v>-0.9881856</v>
      </c>
      <c r="Q2576">
        <v>4.6615190000000003E-3</v>
      </c>
      <c r="R2576">
        <v>-0.153191299999999</v>
      </c>
      <c r="S2576">
        <v>-2.891937</v>
      </c>
      <c r="T2576">
        <v>-0.27158339999999997</v>
      </c>
      <c r="U2576">
        <v>-0.93817139999999999</v>
      </c>
      <c r="V2576">
        <v>-5.8907870000000001E-2</v>
      </c>
      <c r="W2576">
        <v>2.1391489999999999E-2</v>
      </c>
      <c r="X2576">
        <v>0.99803419999999998</v>
      </c>
      <c r="Y2576">
        <v>-0.2166004</v>
      </c>
      <c r="Z2576">
        <v>-1.281836E-3</v>
      </c>
      <c r="AA2576">
        <v>0.97625949999999995</v>
      </c>
      <c r="AB2576">
        <v>11</v>
      </c>
      <c r="AC2576">
        <v>-11.7670999999999</v>
      </c>
      <c r="AD2576">
        <v>-1.110814035205</v>
      </c>
      <c r="AE2576">
        <v>-3.8306</v>
      </c>
      <c r="AF2576">
        <v>-2.6771018754700999</v>
      </c>
      <c r="AG2576">
        <v>-1.110814035205</v>
      </c>
      <c r="AH2576">
        <v>11.9805241124032</v>
      </c>
      <c r="AI2576">
        <v>95.170427797811996</v>
      </c>
      <c r="AJ2576">
        <v>102.596071202914</v>
      </c>
      <c r="AK2576">
        <v>12.3261405265529</v>
      </c>
      <c r="AL2576">
        <v>88.774264409845102</v>
      </c>
      <c r="AM2576">
        <v>93.377901283631502</v>
      </c>
      <c r="AN2576">
        <v>0.99999999868099798</v>
      </c>
    </row>
    <row r="2577" spans="1:40" x14ac:dyDescent="0.25">
      <c r="A2577" t="str">
        <f>"20190312160652364"</f>
        <v>20190312160652364</v>
      </c>
      <c r="B2577" t="str">
        <f>"1552378012357600"</f>
        <v>1552378012357600</v>
      </c>
      <c r="C2577" t="s">
        <v>40</v>
      </c>
      <c r="D2577">
        <v>6.1039089999999998</v>
      </c>
      <c r="E2577">
        <v>0.43877539999999998</v>
      </c>
      <c r="F2577" t="s">
        <v>61</v>
      </c>
      <c r="G2577">
        <v>-480.41860000000003</v>
      </c>
      <c r="H2577" s="1">
        <v>1.9714450000000001E-6</v>
      </c>
      <c r="I2577">
        <v>281.08690000000001</v>
      </c>
      <c r="J2577">
        <v>-468.70429999999999</v>
      </c>
      <c r="K2577">
        <v>1.1107940000000001</v>
      </c>
      <c r="L2577">
        <v>284.90980000000002</v>
      </c>
      <c r="M2577">
        <v>-0.99526720000000002</v>
      </c>
      <c r="N2577">
        <v>0</v>
      </c>
      <c r="O2577">
        <v>-9.5810960000000001E-2</v>
      </c>
      <c r="P2577">
        <v>-0.98815430000000004</v>
      </c>
      <c r="Q2577">
        <v>4.5978629999999998E-3</v>
      </c>
      <c r="R2577">
        <v>-0.15339620000000001</v>
      </c>
      <c r="S2577">
        <v>-2.8916019999999998</v>
      </c>
      <c r="T2577">
        <v>-0.27207589999999998</v>
      </c>
      <c r="U2577">
        <v>-0.93878170000000005</v>
      </c>
      <c r="V2577">
        <v>-5.8018199999999999E-2</v>
      </c>
      <c r="W2577">
        <v>2.076602E-2</v>
      </c>
      <c r="X2577">
        <v>0.99809950000000003</v>
      </c>
      <c r="Y2577">
        <v>-0.2157538</v>
      </c>
      <c r="Z2577">
        <v>-1.1465259999999999E-3</v>
      </c>
      <c r="AA2577">
        <v>0.97644710000000001</v>
      </c>
      <c r="AB2577">
        <v>11</v>
      </c>
      <c r="AC2577">
        <v>-11.7143</v>
      </c>
      <c r="AD2577">
        <v>-1.1107920285549999</v>
      </c>
      <c r="AE2577">
        <v>-3.8229000000000002</v>
      </c>
      <c r="AF2577">
        <v>-2.6611771429165798</v>
      </c>
      <c r="AG2577">
        <v>-1.1107920285549999</v>
      </c>
      <c r="AH2577">
        <v>11.929776357312999</v>
      </c>
      <c r="AI2577">
        <v>95.192621932441</v>
      </c>
      <c r="AJ2577">
        <v>102.57509647365301</v>
      </c>
      <c r="AK2577">
        <v>12.273356780122899</v>
      </c>
      <c r="AL2577">
        <v>88.8101091381602</v>
      </c>
      <c r="AM2577">
        <v>93.326784028860004</v>
      </c>
      <c r="AN2577">
        <v>0.99999997550906405</v>
      </c>
    </row>
    <row r="2578" spans="1:40" x14ac:dyDescent="0.25">
      <c r="A2578" t="str">
        <f>"20190312160652378"</f>
        <v>20190312160652378</v>
      </c>
      <c r="B2578" t="str">
        <f>"1552378012367357"</f>
        <v>1552378012367357</v>
      </c>
      <c r="C2578" t="s">
        <v>40</v>
      </c>
      <c r="D2578">
        <v>5.9594149999999999</v>
      </c>
      <c r="E2578">
        <v>0.43888110000000002</v>
      </c>
      <c r="F2578" t="s">
        <v>61</v>
      </c>
      <c r="G2578">
        <v>-480.5727</v>
      </c>
      <c r="H2578" s="1">
        <v>1.9959950000000001E-6</v>
      </c>
      <c r="I2578">
        <v>281.05500000000001</v>
      </c>
      <c r="J2578">
        <v>-468.7731</v>
      </c>
      <c r="K2578">
        <v>1.1107689999999999</v>
      </c>
      <c r="L2578">
        <v>284.90230000000003</v>
      </c>
      <c r="M2578">
        <v>-0.99519480000000005</v>
      </c>
      <c r="N2578">
        <v>0</v>
      </c>
      <c r="O2578">
        <v>-9.6636940000000005E-2</v>
      </c>
      <c r="P2578">
        <v>-0.98808309999999999</v>
      </c>
      <c r="Q2578">
        <v>4.4085089999999997E-3</v>
      </c>
      <c r="R2578">
        <v>-0.15385929999999901</v>
      </c>
      <c r="S2578">
        <v>-2.8914789999999999</v>
      </c>
      <c r="T2578">
        <v>-0.27062129999999901</v>
      </c>
      <c r="U2578">
        <v>-0.93914790000000004</v>
      </c>
      <c r="V2578">
        <v>-5.7658689999999999E-2</v>
      </c>
      <c r="W2578">
        <v>2.0111939999999998E-2</v>
      </c>
      <c r="X2578">
        <v>0.99813379999999996</v>
      </c>
      <c r="Y2578">
        <v>-0.21507899999999999</v>
      </c>
      <c r="Z2578">
        <v>-1.035408E-3</v>
      </c>
      <c r="AA2578">
        <v>0.97659609999999997</v>
      </c>
      <c r="AB2578">
        <v>11</v>
      </c>
      <c r="AC2578">
        <v>-11.7995999999999</v>
      </c>
      <c r="AD2578">
        <v>-1.1107670040049999</v>
      </c>
      <c r="AE2578">
        <v>-3.8473000000000099</v>
      </c>
      <c r="AF2578">
        <v>-2.6675031964643399</v>
      </c>
      <c r="AG2578">
        <v>-1.1107670040049999</v>
      </c>
      <c r="AH2578">
        <v>12.019918151796601</v>
      </c>
      <c r="AI2578">
        <v>95.155021744510506</v>
      </c>
      <c r="AJ2578">
        <v>102.512500637101</v>
      </c>
      <c r="AK2578">
        <v>12.3623545094057</v>
      </c>
      <c r="AL2578">
        <v>88.847593077842504</v>
      </c>
      <c r="AM2578">
        <v>93.306102108371903</v>
      </c>
      <c r="AN2578">
        <v>1.0000000486827501</v>
      </c>
    </row>
    <row r="2579" spans="1:40" x14ac:dyDescent="0.25">
      <c r="A2579" t="str">
        <f>"20190312160652390"</f>
        <v>20190312160652390</v>
      </c>
      <c r="B2579" t="str">
        <f>"1552378012378093"</f>
        <v>1552378012378093</v>
      </c>
      <c r="C2579" t="s">
        <v>40</v>
      </c>
      <c r="D2579">
        <v>6.052454</v>
      </c>
      <c r="E2579">
        <v>0.43892399999999998</v>
      </c>
      <c r="F2579" t="s">
        <v>61</v>
      </c>
      <c r="G2579">
        <v>-480.6123</v>
      </c>
      <c r="H2579" s="1">
        <v>2.0028429999999998E-6</v>
      </c>
      <c r="I2579">
        <v>281.053</v>
      </c>
      <c r="J2579">
        <v>-468.84019999999998</v>
      </c>
      <c r="K2579">
        <v>1.11076</v>
      </c>
      <c r="L2579">
        <v>284.89479999999998</v>
      </c>
      <c r="M2579">
        <v>-0.99512279999999997</v>
      </c>
      <c r="N2579">
        <v>0</v>
      </c>
      <c r="O2579">
        <v>-9.7438769999999994E-2</v>
      </c>
      <c r="P2579">
        <v>-0.98799809999999999</v>
      </c>
      <c r="Q2579">
        <v>4.2495559999999998E-3</v>
      </c>
      <c r="R2579">
        <v>-0.154408399999999</v>
      </c>
      <c r="S2579">
        <v>-2.8910520000000002</v>
      </c>
      <c r="T2579">
        <v>-0.2712425</v>
      </c>
      <c r="U2579">
        <v>-0.93997189999999997</v>
      </c>
      <c r="V2579">
        <v>-5.74104E-2</v>
      </c>
      <c r="W2579">
        <v>1.9553669999999999E-2</v>
      </c>
      <c r="X2579">
        <v>0.99815920000000002</v>
      </c>
      <c r="Y2579">
        <v>-0.2145899</v>
      </c>
      <c r="Z2579">
        <v>-9.4325370000000004E-4</v>
      </c>
      <c r="AA2579">
        <v>0.97670380000000001</v>
      </c>
      <c r="AB2579">
        <v>11</v>
      </c>
      <c r="AC2579">
        <v>-11.7721</v>
      </c>
      <c r="AD2579">
        <v>-1.1107579971570001</v>
      </c>
      <c r="AE2579">
        <v>-3.8417999999999699</v>
      </c>
      <c r="AF2579">
        <v>-2.6549583367593002</v>
      </c>
      <c r="AG2579">
        <v>-1.1107579971570001</v>
      </c>
      <c r="AH2579">
        <v>11.993950969972801</v>
      </c>
      <c r="AI2579">
        <v>95.166694337285705</v>
      </c>
      <c r="AJ2579">
        <v>102.48161906780101</v>
      </c>
      <c r="AK2579">
        <v>12.334400957010001</v>
      </c>
      <c r="AL2579">
        <v>88.879585879255501</v>
      </c>
      <c r="AM2579">
        <v>93.291813155998099</v>
      </c>
      <c r="AN2579">
        <v>1.0000000442916299</v>
      </c>
    </row>
    <row r="2580" spans="1:40" x14ac:dyDescent="0.25">
      <c r="A2580" t="str">
        <f>"20190312160652409"</f>
        <v>20190312160652409</v>
      </c>
      <c r="B2580" t="str">
        <f>"1552378012397612"</f>
        <v>1552378012397612</v>
      </c>
      <c r="C2580" t="s">
        <v>40</v>
      </c>
      <c r="D2580">
        <v>5.8842189999999999</v>
      </c>
      <c r="E2580">
        <v>0.4389364</v>
      </c>
      <c r="F2580" t="s">
        <v>61</v>
      </c>
      <c r="G2580">
        <v>-480.64229999999998</v>
      </c>
      <c r="H2580" s="1">
        <v>2.008003E-6</v>
      </c>
      <c r="I2580">
        <v>281.05110000000002</v>
      </c>
      <c r="J2580">
        <v>-468.92619999999999</v>
      </c>
      <c r="K2580">
        <v>1.110779</v>
      </c>
      <c r="L2580">
        <v>284.8852</v>
      </c>
      <c r="M2580">
        <v>-0.9950272</v>
      </c>
      <c r="N2580">
        <v>0</v>
      </c>
      <c r="O2580">
        <v>-9.846452E-2</v>
      </c>
      <c r="P2580">
        <v>-0.98792270000000004</v>
      </c>
      <c r="Q2580">
        <v>3.8057970000000001E-3</v>
      </c>
      <c r="R2580">
        <v>-0.15490190000000001</v>
      </c>
      <c r="S2580">
        <v>-2.8905029999999998</v>
      </c>
      <c r="T2580">
        <v>-0.27204109999999998</v>
      </c>
      <c r="U2580">
        <v>-0.94137570000000004</v>
      </c>
      <c r="V2580">
        <v>-5.6880569999999998E-2</v>
      </c>
      <c r="W2580">
        <v>1.8758449999999999E-2</v>
      </c>
      <c r="X2580">
        <v>0.9982048</v>
      </c>
      <c r="Y2580">
        <v>-0.2140705</v>
      </c>
      <c r="Z2580">
        <v>-8.2958209999999997E-4</v>
      </c>
      <c r="AA2580">
        <v>0.97681779999999996</v>
      </c>
      <c r="AB2580">
        <v>11</v>
      </c>
      <c r="AC2580">
        <v>-11.7160999999999</v>
      </c>
      <c r="AD2580">
        <v>-1.1107769919970001</v>
      </c>
      <c r="AE2580">
        <v>-3.8340999999999701</v>
      </c>
      <c r="AF2580">
        <v>-2.6402774339355002</v>
      </c>
      <c r="AG2580">
        <v>-1.1107769919970001</v>
      </c>
      <c r="AH2580">
        <v>11.9397795766796</v>
      </c>
      <c r="AI2580">
        <v>95.190341688999595</v>
      </c>
      <c r="AJ2580">
        <v>102.469314580279</v>
      </c>
      <c r="AK2580">
        <v>12.278567782677101</v>
      </c>
      <c r="AL2580">
        <v>88.925156997162304</v>
      </c>
      <c r="AM2580">
        <v>93.261350837260295</v>
      </c>
      <c r="AN2580">
        <v>1.0000000507164799</v>
      </c>
    </row>
    <row r="2581" spans="1:40" x14ac:dyDescent="0.25">
      <c r="A2581" t="str">
        <f>"20190312160652431"</f>
        <v>20190312160652431</v>
      </c>
      <c r="B2581" t="str">
        <f>"1552378012427869"</f>
        <v>1552378012427869</v>
      </c>
      <c r="C2581" t="s">
        <v>40</v>
      </c>
      <c r="D2581">
        <v>6.0356199999999998</v>
      </c>
      <c r="E2581">
        <v>0.43897560000000002</v>
      </c>
      <c r="F2581" t="s">
        <v>61</v>
      </c>
      <c r="G2581">
        <v>-480.72359999999998</v>
      </c>
      <c r="H2581" s="1">
        <v>2.0211629999999998E-6</v>
      </c>
      <c r="I2581">
        <v>281.0367</v>
      </c>
      <c r="J2581">
        <v>-469.0342</v>
      </c>
      <c r="K2581">
        <v>1.1108150000000001</v>
      </c>
      <c r="L2581">
        <v>284.87299999999999</v>
      </c>
      <c r="M2581">
        <v>-0.99490179999999995</v>
      </c>
      <c r="N2581">
        <v>0</v>
      </c>
      <c r="O2581">
        <v>-9.9768029999999994E-2</v>
      </c>
      <c r="P2581">
        <v>-0.98771149999999996</v>
      </c>
      <c r="Q2581">
        <v>3.3119880000000001E-3</v>
      </c>
      <c r="R2581">
        <v>-0.1562529</v>
      </c>
      <c r="S2581">
        <v>-2.8898929999999998</v>
      </c>
      <c r="T2581">
        <v>-0.27209620000000001</v>
      </c>
      <c r="U2581">
        <v>-0.94271850000000001</v>
      </c>
      <c r="V2581">
        <v>-5.6938519999999999E-2</v>
      </c>
      <c r="W2581">
        <v>1.7956070000000001E-2</v>
      </c>
      <c r="X2581">
        <v>0.9982162</v>
      </c>
      <c r="Y2581">
        <v>-0.2132703</v>
      </c>
      <c r="Z2581">
        <v>-6.7528239999999995E-4</v>
      </c>
      <c r="AA2581">
        <v>0.976993</v>
      </c>
      <c r="AB2581">
        <v>11</v>
      </c>
      <c r="AC2581">
        <v>-11.6893999999999</v>
      </c>
      <c r="AD2581">
        <v>-1.11081297883699</v>
      </c>
      <c r="AE2581">
        <v>-3.8362999999999898</v>
      </c>
      <c r="AF2581">
        <v>-2.6293656417512898</v>
      </c>
      <c r="AG2581">
        <v>-1.11081297883699</v>
      </c>
      <c r="AH2581">
        <v>11.9167003704981</v>
      </c>
      <c r="AI2581">
        <v>95.201037323021296</v>
      </c>
      <c r="AJ2581">
        <v>102.442687692055</v>
      </c>
      <c r="AK2581">
        <v>12.2537837777645</v>
      </c>
      <c r="AL2581">
        <v>88.971137678287405</v>
      </c>
      <c r="AM2581">
        <v>93.264629119421201</v>
      </c>
      <c r="AN2581">
        <v>0.99999999872603695</v>
      </c>
    </row>
    <row r="2582" spans="1:40" x14ac:dyDescent="0.25">
      <c r="A2582" t="str">
        <f>"20190312160652453"</f>
        <v>20190312160652453</v>
      </c>
      <c r="B2582" t="str">
        <f>"1552378012447896"</f>
        <v>1552378012447896</v>
      </c>
      <c r="C2582" t="s">
        <v>40</v>
      </c>
      <c r="D2582">
        <v>5.9436220000000004</v>
      </c>
      <c r="E2582">
        <v>0.43884659999999898</v>
      </c>
      <c r="F2582" t="s">
        <v>61</v>
      </c>
      <c r="G2582">
        <v>-480.79570000000001</v>
      </c>
      <c r="H2582" s="1">
        <v>2.0321730000000001E-6</v>
      </c>
      <c r="I2582">
        <v>281.01620000000003</v>
      </c>
      <c r="J2582">
        <v>-469.14240000000001</v>
      </c>
      <c r="K2582">
        <v>1.110832</v>
      </c>
      <c r="L2582">
        <v>284.86059999999998</v>
      </c>
      <c r="M2582">
        <v>-0.9947722</v>
      </c>
      <c r="N2582">
        <v>0</v>
      </c>
      <c r="O2582">
        <v>-0.1010944</v>
      </c>
      <c r="P2582">
        <v>-0.98747459999999998</v>
      </c>
      <c r="Q2582">
        <v>2.296387E-3</v>
      </c>
      <c r="R2582">
        <v>-0.15776299999999999</v>
      </c>
      <c r="S2582">
        <v>-2.8883359999999998</v>
      </c>
      <c r="T2582">
        <v>-0.27278770000000002</v>
      </c>
      <c r="U2582">
        <v>-0.94711299999999998</v>
      </c>
      <c r="V2582">
        <v>-5.7132589999999997E-2</v>
      </c>
      <c r="W2582">
        <v>1.665403E-2</v>
      </c>
      <c r="X2582">
        <v>0.99822770000000005</v>
      </c>
      <c r="Y2582">
        <v>-0.2134683</v>
      </c>
      <c r="Z2582">
        <v>-5.6609140000000004E-4</v>
      </c>
      <c r="AA2582">
        <v>0.97694979999999998</v>
      </c>
      <c r="AB2582">
        <v>11</v>
      </c>
      <c r="AC2582">
        <v>-11.6533</v>
      </c>
      <c r="AD2582">
        <v>-1.1108299678269999</v>
      </c>
      <c r="AE2582">
        <v>-3.8443999999999501</v>
      </c>
      <c r="AF2582">
        <v>-2.6249835128429599</v>
      </c>
      <c r="AG2582">
        <v>-1.1108299678269999</v>
      </c>
      <c r="AH2582">
        <v>11.8848809226621</v>
      </c>
      <c r="AI2582">
        <v>95.214722357373006</v>
      </c>
      <c r="AJ2582">
        <v>102.454817407571</v>
      </c>
      <c r="AK2582">
        <v>12.2219014971476</v>
      </c>
      <c r="AL2582">
        <v>89.045750268988897</v>
      </c>
      <c r="AM2582">
        <v>93.275694477996893</v>
      </c>
      <c r="AN2582">
        <v>1.00000001530131</v>
      </c>
    </row>
    <row r="2583" spans="1:40" x14ac:dyDescent="0.25">
      <c r="A2583" t="str">
        <f>"20190312160652475"</f>
        <v>20190312160652475</v>
      </c>
      <c r="B2583" t="str">
        <f>"1552378012467416"</f>
        <v>1552378012467416</v>
      </c>
      <c r="C2583" t="s">
        <v>40</v>
      </c>
      <c r="D2583">
        <v>5.9678760000000004</v>
      </c>
      <c r="E2583">
        <v>0.43873499999999999</v>
      </c>
      <c r="F2583" t="s">
        <v>61</v>
      </c>
      <c r="G2583">
        <v>-480.94470000000001</v>
      </c>
      <c r="H2583" s="1">
        <v>2.0540210000000001E-6</v>
      </c>
      <c r="I2583">
        <v>280.96390000000002</v>
      </c>
      <c r="J2583">
        <v>-469.2509</v>
      </c>
      <c r="K2583">
        <v>1.1108129999999901</v>
      </c>
      <c r="L2583">
        <v>284.84800000000001</v>
      </c>
      <c r="M2583">
        <v>-0.99463869999999999</v>
      </c>
      <c r="N2583">
        <v>0</v>
      </c>
      <c r="O2583">
        <v>-0.1024432</v>
      </c>
      <c r="P2583">
        <v>-0.98726029999999998</v>
      </c>
      <c r="Q2583">
        <v>9.7564509999999995E-4</v>
      </c>
      <c r="R2583">
        <v>-0.159111</v>
      </c>
      <c r="S2583">
        <v>-2.886444</v>
      </c>
      <c r="T2583">
        <v>-0.27167129999999901</v>
      </c>
      <c r="U2583">
        <v>-0.95300289999999999</v>
      </c>
      <c r="V2583">
        <v>-5.7140730000000001E-2</v>
      </c>
      <c r="W2583">
        <v>1.501629E-2</v>
      </c>
      <c r="X2583">
        <v>0.99825319999999995</v>
      </c>
      <c r="Y2583">
        <v>-0.21413850000000001</v>
      </c>
      <c r="Z2583">
        <v>-4.729526E-4</v>
      </c>
      <c r="AA2583">
        <v>0.97680319999999998</v>
      </c>
      <c r="AB2583">
        <v>11</v>
      </c>
      <c r="AC2583">
        <v>-11.6938</v>
      </c>
      <c r="AD2583">
        <v>-1.1108109459790001</v>
      </c>
      <c r="AE2583">
        <v>-3.8840999999999801</v>
      </c>
      <c r="AF2583">
        <v>-2.6441033657341899</v>
      </c>
      <c r="AG2583">
        <v>-1.1108109459790001</v>
      </c>
      <c r="AH2583">
        <v>11.933225339971401</v>
      </c>
      <c r="AI2583">
        <v>95.192852961712802</v>
      </c>
      <c r="AJ2583">
        <v>102.49346009995899</v>
      </c>
      <c r="AK2583">
        <v>12.273021249102801</v>
      </c>
      <c r="AL2583">
        <v>89.139597623202405</v>
      </c>
      <c r="AM2583">
        <v>93.276076662011604</v>
      </c>
      <c r="AN2583">
        <v>1.0000000016502599</v>
      </c>
    </row>
    <row r="2584" spans="1:40" x14ac:dyDescent="0.25">
      <c r="A2584" t="str">
        <f>"20190312160652496"</f>
        <v>20190312160652496</v>
      </c>
      <c r="B2584" t="str">
        <f>"1552378012487912"</f>
        <v>1552378012487912</v>
      </c>
      <c r="C2584" t="s">
        <v>40</v>
      </c>
      <c r="D2584">
        <v>6.1761910000000002</v>
      </c>
      <c r="E2584">
        <v>0.43867050000000002</v>
      </c>
      <c r="F2584" t="s">
        <v>61</v>
      </c>
      <c r="G2584">
        <v>-481.02</v>
      </c>
      <c r="H2584" s="1">
        <v>2.0651349999999998E-6</v>
      </c>
      <c r="I2584">
        <v>280.9384</v>
      </c>
      <c r="J2584">
        <v>-469.3571</v>
      </c>
      <c r="K2584">
        <v>1.110784</v>
      </c>
      <c r="L2584">
        <v>284.83539999999999</v>
      </c>
      <c r="M2584">
        <v>-0.99450609999999995</v>
      </c>
      <c r="N2584">
        <v>0</v>
      </c>
      <c r="O2584">
        <v>-0.1037612</v>
      </c>
      <c r="P2584">
        <v>-0.98706700000000003</v>
      </c>
      <c r="Q2584">
        <v>4.3183369999999998E-4</v>
      </c>
      <c r="R2584">
        <v>-0.16030800000000001</v>
      </c>
      <c r="S2584">
        <v>-2.8845519999999998</v>
      </c>
      <c r="T2584">
        <v>-0.27225480000000002</v>
      </c>
      <c r="U2584">
        <v>-0.9582214</v>
      </c>
      <c r="V2584">
        <v>-5.7027660000000001E-2</v>
      </c>
      <c r="W2584">
        <v>1.4187160000000001E-2</v>
      </c>
      <c r="X2584">
        <v>0.99827180000000004</v>
      </c>
      <c r="Y2584">
        <v>-0.21462890000000001</v>
      </c>
      <c r="Z2584">
        <v>-3.7745109999999998E-4</v>
      </c>
      <c r="AA2584">
        <v>0.9766956</v>
      </c>
      <c r="AB2584">
        <v>11</v>
      </c>
      <c r="AC2584">
        <v>-11.662899999999899</v>
      </c>
      <c r="AD2584">
        <v>-1.1107819348649901</v>
      </c>
      <c r="AE2584">
        <v>-3.89699999999999</v>
      </c>
      <c r="AF2584">
        <v>-2.64411332663291</v>
      </c>
      <c r="AG2584">
        <v>-1.1107819348649901</v>
      </c>
      <c r="AH2584">
        <v>11.9071707499343</v>
      </c>
      <c r="AI2584">
        <v>95.2034867875565</v>
      </c>
      <c r="AJ2584">
        <v>102.519982205405</v>
      </c>
      <c r="AK2584">
        <v>12.247689049734699</v>
      </c>
      <c r="AL2584">
        <v>89.187108344551206</v>
      </c>
      <c r="AM2584">
        <v>93.269547256578505</v>
      </c>
      <c r="AN2584">
        <v>1.0000000080945901</v>
      </c>
    </row>
    <row r="2585" spans="1:40" x14ac:dyDescent="0.25">
      <c r="A2585" t="str">
        <f>"20190312160652520"</f>
        <v>20190312160652520</v>
      </c>
      <c r="B2585" t="str">
        <f>"1552378012507437"</f>
        <v>1552378012507437</v>
      </c>
      <c r="C2585" t="s">
        <v>40</v>
      </c>
      <c r="D2585">
        <v>5.9960529999999999</v>
      </c>
      <c r="E2585">
        <v>0.43865490000000001</v>
      </c>
      <c r="F2585" t="s">
        <v>61</v>
      </c>
      <c r="G2585">
        <v>-480.96</v>
      </c>
      <c r="H2585" s="1">
        <v>2.0565670000000001E-6</v>
      </c>
      <c r="I2585">
        <v>280.96199999999999</v>
      </c>
      <c r="J2585">
        <v>-469.4674</v>
      </c>
      <c r="K2585">
        <v>1.1107560000000001</v>
      </c>
      <c r="L2585">
        <v>284.82240000000002</v>
      </c>
      <c r="M2585">
        <v>-0.99436829999999998</v>
      </c>
      <c r="N2585">
        <v>0</v>
      </c>
      <c r="O2585">
        <v>-0.10510510000000001</v>
      </c>
      <c r="P2585">
        <v>-0.98681580000000002</v>
      </c>
      <c r="Q2585">
        <v>4.086491E-4</v>
      </c>
      <c r="R2585">
        <v>-0.1618494</v>
      </c>
      <c r="S2585">
        <v>-2.8831180000000001</v>
      </c>
      <c r="T2585">
        <v>-0.27601059999999999</v>
      </c>
      <c r="U2585">
        <v>-0.96249390000000001</v>
      </c>
      <c r="V2585">
        <v>-5.723731E-2</v>
      </c>
      <c r="W2585">
        <v>1.393113E-2</v>
      </c>
      <c r="X2585">
        <v>0.99826340000000002</v>
      </c>
      <c r="Y2585">
        <v>-0.2147502</v>
      </c>
      <c r="Z2585">
        <v>-2.6514380000000002E-4</v>
      </c>
      <c r="AA2585">
        <v>0.97666900000000001</v>
      </c>
      <c r="AB2585">
        <v>11</v>
      </c>
      <c r="AC2585">
        <v>-11.4925999999999</v>
      </c>
      <c r="AD2585">
        <v>-1.1107539434329901</v>
      </c>
      <c r="AE2585">
        <v>-3.8604000000000198</v>
      </c>
      <c r="AF2585">
        <v>-2.6090707746298598</v>
      </c>
      <c r="AG2585">
        <v>-1.1107539434329901</v>
      </c>
      <c r="AH2585">
        <v>11.7362033397324</v>
      </c>
      <c r="AI2585">
        <v>95.278454485496994</v>
      </c>
      <c r="AJ2585">
        <v>102.533578891364</v>
      </c>
      <c r="AK2585">
        <v>12.073917900227199</v>
      </c>
      <c r="AL2585">
        <v>89.2017792271578</v>
      </c>
      <c r="AM2585">
        <v>93.281568380309594</v>
      </c>
      <c r="AN2585">
        <v>1.0000000009093299</v>
      </c>
    </row>
    <row r="2586" spans="1:40" x14ac:dyDescent="0.25">
      <c r="A2586" t="str">
        <f>"20190312160652543"</f>
        <v>20190312160652543</v>
      </c>
      <c r="B2586" t="str">
        <f>"1552378012538195"</f>
        <v>1552378012538195</v>
      </c>
      <c r="C2586" t="s">
        <v>40</v>
      </c>
      <c r="D2586">
        <v>6.0550810000000004</v>
      </c>
      <c r="E2586">
        <v>0.43848559999999998</v>
      </c>
      <c r="F2586" t="s">
        <v>61</v>
      </c>
      <c r="G2586">
        <v>-481.00920000000002</v>
      </c>
      <c r="H2586" s="1">
        <v>2.0639619999999999E-6</v>
      </c>
      <c r="I2586">
        <v>280.94670000000002</v>
      </c>
      <c r="J2586">
        <v>-469.5772</v>
      </c>
      <c r="K2586">
        <v>1.1107370000000001</v>
      </c>
      <c r="L2586">
        <v>284.8091</v>
      </c>
      <c r="M2586">
        <v>-0.99422900000000003</v>
      </c>
      <c r="N2586">
        <v>0</v>
      </c>
      <c r="O2586">
        <v>-0.1064378</v>
      </c>
      <c r="P2586">
        <v>-0.98661759999999998</v>
      </c>
      <c r="Q2586">
        <v>1.5652729999999999E-4</v>
      </c>
      <c r="R2586">
        <v>-0.16305229999999901</v>
      </c>
      <c r="S2586">
        <v>-2.8815</v>
      </c>
      <c r="T2586">
        <v>-0.27730759999999899</v>
      </c>
      <c r="U2586">
        <v>-0.96759030000000001</v>
      </c>
      <c r="V2586">
        <v>-5.7116260000000002E-2</v>
      </c>
      <c r="W2586">
        <v>1.3492479999999999E-2</v>
      </c>
      <c r="X2586">
        <v>0.99827639999999995</v>
      </c>
      <c r="Y2586">
        <v>-0.21515889999999999</v>
      </c>
      <c r="Z2586">
        <v>-1.6282309999999999E-4</v>
      </c>
      <c r="AA2586">
        <v>0.97657910000000003</v>
      </c>
      <c r="AB2586">
        <v>11</v>
      </c>
      <c r="AC2586">
        <v>-11.432</v>
      </c>
      <c r="AD2586">
        <v>-1.1107349360379899</v>
      </c>
      <c r="AE2586">
        <v>-3.8623999999999801</v>
      </c>
      <c r="AF2586">
        <v>-2.6015065138853402</v>
      </c>
      <c r="AG2586">
        <v>-1.1107349360379899</v>
      </c>
      <c r="AH2586">
        <v>11.6792322870386</v>
      </c>
      <c r="AI2586">
        <v>95.303477584406295</v>
      </c>
      <c r="AJ2586">
        <v>102.557422355849</v>
      </c>
      <c r="AK2586">
        <v>12.0169062180965</v>
      </c>
      <c r="AL2586">
        <v>89.226914416150095</v>
      </c>
      <c r="AM2586">
        <v>93.274600827679905</v>
      </c>
      <c r="AN2586">
        <v>1.00000004248494</v>
      </c>
    </row>
    <row r="2587" spans="1:40" x14ac:dyDescent="0.25">
      <c r="A2587" t="str">
        <f>"20190312160652565"</f>
        <v>20190312160652565</v>
      </c>
      <c r="B2587" t="str">
        <f>"1552378012557715"</f>
        <v>1552378012557715</v>
      </c>
      <c r="C2587" t="s">
        <v>40</v>
      </c>
      <c r="D2587">
        <v>6.0361570000000002</v>
      </c>
      <c r="E2587">
        <v>0.438504</v>
      </c>
      <c r="F2587" t="s">
        <v>61</v>
      </c>
      <c r="G2587">
        <v>-481.09039999999999</v>
      </c>
      <c r="H2587" s="1">
        <v>2.076104E-6</v>
      </c>
      <c r="I2587">
        <v>280.92090000000002</v>
      </c>
      <c r="J2587">
        <v>-469.68799999999999</v>
      </c>
      <c r="K2587">
        <v>1.110722</v>
      </c>
      <c r="L2587">
        <v>284.79570000000001</v>
      </c>
      <c r="M2587">
        <v>-0.99408640000000004</v>
      </c>
      <c r="N2587">
        <v>0</v>
      </c>
      <c r="O2587">
        <v>-0.1077824</v>
      </c>
      <c r="P2587">
        <v>-0.98641230000000002</v>
      </c>
      <c r="Q2587" s="1">
        <v>6.1143019999999995E-5</v>
      </c>
      <c r="R2587">
        <v>-0.1642904</v>
      </c>
      <c r="S2587">
        <v>-2.8799739999999998</v>
      </c>
      <c r="T2587">
        <v>-0.27784569999999997</v>
      </c>
      <c r="U2587">
        <v>-0.97262570000000004</v>
      </c>
      <c r="V2587">
        <v>-5.7017940000000003E-2</v>
      </c>
      <c r="W2587">
        <v>1.32269E-2</v>
      </c>
      <c r="X2587">
        <v>0.99828550000000005</v>
      </c>
      <c r="Y2587">
        <v>-0.21553020000000001</v>
      </c>
      <c r="Z2587" s="1">
        <v>-5.6494959999999998E-5</v>
      </c>
      <c r="AA2587">
        <v>0.97649719999999995</v>
      </c>
      <c r="AB2587">
        <v>11</v>
      </c>
      <c r="AC2587">
        <v>-11.402399999999901</v>
      </c>
      <c r="AD2587">
        <v>-1.1107199238959999</v>
      </c>
      <c r="AE2587">
        <v>-3.8747999999999898</v>
      </c>
      <c r="AF2587">
        <v>-2.6010120098389802</v>
      </c>
      <c r="AG2587">
        <v>-1.1107199238959999</v>
      </c>
      <c r="AH2587">
        <v>11.6544957057845</v>
      </c>
      <c r="AI2587">
        <v>95.314115379796405</v>
      </c>
      <c r="AJ2587">
        <v>102.580911732866</v>
      </c>
      <c r="AK2587">
        <v>11.9927574969569</v>
      </c>
      <c r="AL2587">
        <v>89.2421323302936</v>
      </c>
      <c r="AM2587">
        <v>93.268946427037605</v>
      </c>
      <c r="AN2587">
        <v>0.99999996793785095</v>
      </c>
    </row>
    <row r="2588" spans="1:40" x14ac:dyDescent="0.25">
      <c r="A2588" t="str">
        <f>"20190312160652586"</f>
        <v>20190312160652586</v>
      </c>
      <c r="B2588" t="str">
        <f>"1552378012578214"</f>
        <v>1552378012578214</v>
      </c>
      <c r="C2588" t="s">
        <v>40</v>
      </c>
      <c r="D2588">
        <v>6.0324669999999996</v>
      </c>
      <c r="E2588">
        <v>0.43861470000000002</v>
      </c>
      <c r="F2588" t="s">
        <v>61</v>
      </c>
      <c r="G2588">
        <v>-481.1816</v>
      </c>
      <c r="H2588" s="1">
        <v>2.0899859999999999E-6</v>
      </c>
      <c r="I2588">
        <v>280.89460000000003</v>
      </c>
      <c r="J2588">
        <v>-469.7946</v>
      </c>
      <c r="K2588">
        <v>1.110716</v>
      </c>
      <c r="L2588">
        <v>284.7826</v>
      </c>
      <c r="M2588">
        <v>-0.9939479</v>
      </c>
      <c r="N2588">
        <v>0</v>
      </c>
      <c r="O2588">
        <v>-0.1090705</v>
      </c>
      <c r="P2588">
        <v>-0.98628959999999999</v>
      </c>
      <c r="Q2588">
        <v>8.0416009999999998E-4</v>
      </c>
      <c r="R2588">
        <v>-0.16502269999999999</v>
      </c>
      <c r="S2588">
        <v>-2.8786320000000001</v>
      </c>
      <c r="T2588">
        <v>-0.27818520000000002</v>
      </c>
      <c r="U2588">
        <v>-0.9770508</v>
      </c>
      <c r="V2588">
        <v>-5.6466719999999998E-2</v>
      </c>
      <c r="W2588">
        <v>1.382194E-2</v>
      </c>
      <c r="X2588">
        <v>0.9983088</v>
      </c>
      <c r="Y2588">
        <v>-0.2157531</v>
      </c>
      <c r="Z2588" s="1">
        <v>5.1978039999999999E-5</v>
      </c>
      <c r="AA2588">
        <v>0.97644790000000004</v>
      </c>
      <c r="AB2588">
        <v>11</v>
      </c>
      <c r="AC2588">
        <v>-11.387</v>
      </c>
      <c r="AD2588">
        <v>-1.110713910014</v>
      </c>
      <c r="AE2588">
        <v>-3.8879999999999701</v>
      </c>
      <c r="AF2588">
        <v>-2.6005486657733301</v>
      </c>
      <c r="AG2588">
        <v>-1.110713910014</v>
      </c>
      <c r="AH2588">
        <v>11.643937106665</v>
      </c>
      <c r="AI2588">
        <v>95.318695066255501</v>
      </c>
      <c r="AJ2588">
        <v>102.589784703955</v>
      </c>
      <c r="AK2588">
        <v>11.9823958412717</v>
      </c>
      <c r="AL2588">
        <v>89.208035953694804</v>
      </c>
      <c r="AM2588">
        <v>93.237336089999005</v>
      </c>
      <c r="AN2588">
        <v>0.99999999832518005</v>
      </c>
    </row>
    <row r="2589" spans="1:40" x14ac:dyDescent="0.25">
      <c r="A2589" t="str">
        <f>"20190312160652610"</f>
        <v>20190312160652610</v>
      </c>
      <c r="B2589" t="str">
        <f>"1552378012597730"</f>
        <v>1552378012597730</v>
      </c>
      <c r="C2589" t="s">
        <v>40</v>
      </c>
      <c r="D2589">
        <v>6.1817679999999999</v>
      </c>
      <c r="E2589">
        <v>0.43865599999999999</v>
      </c>
      <c r="F2589" t="s">
        <v>61</v>
      </c>
      <c r="G2589">
        <v>-481.45589999999999</v>
      </c>
      <c r="H2589" s="1">
        <v>2.1318660000000002E-6</v>
      </c>
      <c r="I2589">
        <v>280.81709999999998</v>
      </c>
      <c r="J2589">
        <v>-469.9051</v>
      </c>
      <c r="K2589">
        <v>1.110708</v>
      </c>
      <c r="L2589">
        <v>284.76889999999997</v>
      </c>
      <c r="M2589">
        <v>-0.99380290000000004</v>
      </c>
      <c r="N2589">
        <v>0</v>
      </c>
      <c r="O2589">
        <v>-0.1103997</v>
      </c>
      <c r="P2589">
        <v>-0.98625980000000002</v>
      </c>
      <c r="Q2589">
        <v>1.163966E-3</v>
      </c>
      <c r="R2589">
        <v>-0.1651985</v>
      </c>
      <c r="S2589">
        <v>-2.8781430000000001</v>
      </c>
      <c r="T2589">
        <v>-0.2741362</v>
      </c>
      <c r="U2589">
        <v>-0.97872919999999997</v>
      </c>
      <c r="V2589">
        <v>-5.5309270000000001E-2</v>
      </c>
      <c r="W2589">
        <v>1.40508E-2</v>
      </c>
      <c r="X2589">
        <v>0.99837039999999999</v>
      </c>
      <c r="Y2589">
        <v>-0.21502940000000001</v>
      </c>
      <c r="Z2589">
        <v>2.058176E-4</v>
      </c>
      <c r="AA2589">
        <v>0.97660760000000002</v>
      </c>
      <c r="AB2589">
        <v>11</v>
      </c>
      <c r="AC2589">
        <v>-11.550799999999899</v>
      </c>
      <c r="AD2589">
        <v>-1.1107058681340001</v>
      </c>
      <c r="AE2589">
        <v>-3.9517999999999902</v>
      </c>
      <c r="AF2589">
        <v>-2.6305533103600198</v>
      </c>
      <c r="AG2589">
        <v>-1.1107058681340001</v>
      </c>
      <c r="AH2589">
        <v>11.818665690634401</v>
      </c>
      <c r="AI2589">
        <v>95.241310916316706</v>
      </c>
      <c r="AJ2589">
        <v>102.54813147930901</v>
      </c>
      <c r="AK2589">
        <v>12.1587144448388</v>
      </c>
      <c r="AL2589">
        <v>89.194921967675896</v>
      </c>
      <c r="AM2589">
        <v>93.170919034871503</v>
      </c>
      <c r="AN2589">
        <v>0.99999999796236605</v>
      </c>
    </row>
    <row r="2590" spans="1:40" x14ac:dyDescent="0.25">
      <c r="A2590" t="str">
        <f>"20190312160652631"</f>
        <v>20190312160652631</v>
      </c>
      <c r="B2590" t="str">
        <f>"1552378012627987"</f>
        <v>1552378012627987</v>
      </c>
      <c r="C2590" t="s">
        <v>40</v>
      </c>
      <c r="D2590">
        <v>5.6577299999999999</v>
      </c>
      <c r="E2590">
        <v>0.43850729999999999</v>
      </c>
      <c r="F2590" t="s">
        <v>61</v>
      </c>
      <c r="G2590">
        <v>-481.7527</v>
      </c>
      <c r="H2590" s="1">
        <v>2.1775599999999999E-6</v>
      </c>
      <c r="I2590">
        <v>280.73759999999999</v>
      </c>
      <c r="J2590">
        <v>-470.0129</v>
      </c>
      <c r="K2590">
        <v>1.110698</v>
      </c>
      <c r="L2590">
        <v>284.75540000000001</v>
      </c>
      <c r="M2590">
        <v>-0.99365939999999997</v>
      </c>
      <c r="N2590">
        <v>0</v>
      </c>
      <c r="O2590">
        <v>-0.11169560000000001</v>
      </c>
      <c r="P2590">
        <v>-0.98632430000000004</v>
      </c>
      <c r="Q2590">
        <v>1.4129500000000001E-3</v>
      </c>
      <c r="R2590">
        <v>-0.16481109999999999</v>
      </c>
      <c r="S2590">
        <v>-2.8781129999999999</v>
      </c>
      <c r="T2590">
        <v>-0.26982070000000002</v>
      </c>
      <c r="U2590">
        <v>-0.97930910000000004</v>
      </c>
      <c r="V2590">
        <v>-5.3615740000000002E-2</v>
      </c>
      <c r="W2590">
        <v>1.419432E-2</v>
      </c>
      <c r="X2590">
        <v>0.99846080000000004</v>
      </c>
      <c r="Y2590">
        <v>-0.2139578</v>
      </c>
      <c r="Z2590">
        <v>3.6761630000000002E-4</v>
      </c>
      <c r="AA2590">
        <v>0.97684280000000001</v>
      </c>
      <c r="AB2590">
        <v>11</v>
      </c>
      <c r="AC2590">
        <v>-11.739800000000001</v>
      </c>
      <c r="AD2590">
        <v>-1.1106958224400001</v>
      </c>
      <c r="AE2590">
        <v>-4.0178000000000198</v>
      </c>
      <c r="AF2590">
        <v>-2.65994929701119</v>
      </c>
      <c r="AG2590">
        <v>-1.1106958224400001</v>
      </c>
      <c r="AH2590">
        <v>12.0188327296846</v>
      </c>
      <c r="AI2590">
        <v>95.155815271879504</v>
      </c>
      <c r="AJ2590">
        <v>102.479270367607</v>
      </c>
      <c r="AK2590">
        <v>12.359664868304201</v>
      </c>
      <c r="AL2590">
        <v>89.186698097687298</v>
      </c>
      <c r="AM2590">
        <v>93.073739135589307</v>
      </c>
      <c r="AN2590">
        <v>1.00000004771632</v>
      </c>
    </row>
    <row r="2591" spans="1:40" x14ac:dyDescent="0.25">
      <c r="A2591" t="str">
        <f>"20190312160652665"</f>
        <v>20190312160652665</v>
      </c>
      <c r="B2591" t="str">
        <f>"1552378012657775"</f>
        <v>1552378012657775</v>
      </c>
      <c r="C2591" t="s">
        <v>40</v>
      </c>
      <c r="D2591">
        <v>6.123348</v>
      </c>
      <c r="E2591">
        <v>0.43836219999999998</v>
      </c>
      <c r="F2591" t="s">
        <v>61</v>
      </c>
      <c r="G2591">
        <v>-482.12310000000002</v>
      </c>
      <c r="H2591" s="1">
        <v>2.2338800000000002E-6</v>
      </c>
      <c r="I2591">
        <v>280.63029999999998</v>
      </c>
      <c r="J2591">
        <v>-470.17439999999999</v>
      </c>
      <c r="K2591">
        <v>1.1106879999999999</v>
      </c>
      <c r="L2591">
        <v>284.73480000000001</v>
      </c>
      <c r="M2591">
        <v>-0.99344089999999996</v>
      </c>
      <c r="N2591">
        <v>0</v>
      </c>
      <c r="O2591">
        <v>-0.11363769999999999</v>
      </c>
      <c r="P2591">
        <v>-0.98650859999999996</v>
      </c>
      <c r="Q2591">
        <v>1.804976E-3</v>
      </c>
      <c r="R2591">
        <v>-0.1636997</v>
      </c>
      <c r="S2591">
        <v>-2.8781430000000001</v>
      </c>
      <c r="T2591">
        <v>-0.2639725</v>
      </c>
      <c r="U2591">
        <v>-0.98037719999999995</v>
      </c>
      <c r="V2591">
        <v>-5.0539199999999999E-2</v>
      </c>
      <c r="W2591">
        <v>1.445512E-2</v>
      </c>
      <c r="X2591">
        <v>0.99861750000000005</v>
      </c>
      <c r="Y2591">
        <v>-0.21240039999999999</v>
      </c>
      <c r="Z2591">
        <v>5.9940570000000003E-4</v>
      </c>
      <c r="AA2591">
        <v>0.97718249999999995</v>
      </c>
      <c r="AB2591">
        <v>11</v>
      </c>
      <c r="AC2591">
        <v>-11.948700000000001</v>
      </c>
      <c r="AD2591">
        <v>-1.11068576611999</v>
      </c>
      <c r="AE2591">
        <v>-4.10450000000003</v>
      </c>
      <c r="AF2591">
        <v>-2.6991149207835101</v>
      </c>
      <c r="AG2591">
        <v>-1.11068576611999</v>
      </c>
      <c r="AH2591">
        <v>12.243128496152</v>
      </c>
      <c r="AI2591">
        <v>95.062717110591393</v>
      </c>
      <c r="AJ2591">
        <v>102.432532263757</v>
      </c>
      <c r="AK2591">
        <v>12.586224199494801</v>
      </c>
      <c r="AL2591">
        <v>89.171753816235807</v>
      </c>
      <c r="AM2591">
        <v>92.897219832969498</v>
      </c>
      <c r="AN2591">
        <v>1.0000000362685499</v>
      </c>
    </row>
    <row r="2592" spans="1:40" x14ac:dyDescent="0.25">
      <c r="A2592" t="str">
        <f>"20190312160652687"</f>
        <v>20190312160652687</v>
      </c>
      <c r="B2592" t="str">
        <f>"1552378012678270"</f>
        <v>1552378012678270</v>
      </c>
      <c r="C2592" t="s">
        <v>40</v>
      </c>
      <c r="D2592">
        <v>5.9337220000000004</v>
      </c>
      <c r="E2592">
        <v>0.43835289999999999</v>
      </c>
      <c r="F2592" t="s">
        <v>61</v>
      </c>
      <c r="G2592">
        <v>-482.7251</v>
      </c>
      <c r="H2592" s="1">
        <v>2.3265640000000002E-6</v>
      </c>
      <c r="I2592">
        <v>280.46899999999999</v>
      </c>
      <c r="J2592">
        <v>-470.2833</v>
      </c>
      <c r="K2592">
        <v>1.1106750000000001</v>
      </c>
      <c r="L2592">
        <v>284.7208</v>
      </c>
      <c r="M2592">
        <v>-0.99329100000000004</v>
      </c>
      <c r="N2592">
        <v>0</v>
      </c>
      <c r="O2592">
        <v>-0.11495080000000001</v>
      </c>
      <c r="P2592">
        <v>-0.98653489999999999</v>
      </c>
      <c r="Q2592">
        <v>2.3737960000000001E-3</v>
      </c>
      <c r="R2592">
        <v>-0.16353489999999901</v>
      </c>
      <c r="S2592">
        <v>-2.8791199999999999</v>
      </c>
      <c r="T2592">
        <v>-0.25478990000000001</v>
      </c>
      <c r="U2592">
        <v>-0.97857669999999997</v>
      </c>
      <c r="V2592">
        <v>-4.9052640000000002E-2</v>
      </c>
      <c r="W2592">
        <v>1.4947159999999999E-2</v>
      </c>
      <c r="X2592">
        <v>0.99868429999999997</v>
      </c>
      <c r="Y2592">
        <v>-0.21049609999999999</v>
      </c>
      <c r="Z2592">
        <v>7.7162219999999998E-4</v>
      </c>
      <c r="AA2592">
        <v>0.97759439999999997</v>
      </c>
      <c r="AB2592">
        <v>11</v>
      </c>
      <c r="AC2592">
        <v>-12.441800000000001</v>
      </c>
      <c r="AD2592">
        <v>-1.110672673436</v>
      </c>
      <c r="AE2592">
        <v>-4.2518000000000002</v>
      </c>
      <c r="AF2592">
        <v>-2.7735113463525498</v>
      </c>
      <c r="AG2592">
        <v>-1.110672673436</v>
      </c>
      <c r="AH2592">
        <v>12.757068486878101</v>
      </c>
      <c r="AI2592">
        <v>94.862779737527404</v>
      </c>
      <c r="AJ2592">
        <v>102.265784073067</v>
      </c>
      <c r="AK2592">
        <v>13.102242378873999</v>
      </c>
      <c r="AL2592">
        <v>89.1435588851284</v>
      </c>
      <c r="AM2592">
        <v>92.811952074145907</v>
      </c>
      <c r="AN2592">
        <v>0.99999995507476103</v>
      </c>
    </row>
    <row r="2593" spans="1:40" x14ac:dyDescent="0.25">
      <c r="A2593" t="str">
        <f>"20190312160652743"</f>
        <v>20190312160652743</v>
      </c>
      <c r="B2593" t="str">
        <f>"1552378012738317"</f>
        <v>1552378012738317</v>
      </c>
      <c r="C2593" t="s">
        <v>40</v>
      </c>
      <c r="D2593">
        <v>5.349558</v>
      </c>
      <c r="E2593">
        <v>0.4325118</v>
      </c>
      <c r="F2593" t="s">
        <v>61</v>
      </c>
      <c r="G2593">
        <v>-482.94009999999997</v>
      </c>
      <c r="H2593" s="1">
        <v>2.360418E-6</v>
      </c>
      <c r="I2593">
        <v>280.41989999999998</v>
      </c>
      <c r="J2593">
        <v>-470.55540000000002</v>
      </c>
      <c r="K2593">
        <v>1.1106240000000001</v>
      </c>
      <c r="L2593">
        <v>284.68520000000001</v>
      </c>
      <c r="M2593">
        <v>-0.99290639999999997</v>
      </c>
      <c r="N2593">
        <v>0</v>
      </c>
      <c r="O2593">
        <v>-0.1182426</v>
      </c>
      <c r="P2593">
        <v>-0.98664810000000003</v>
      </c>
      <c r="Q2593">
        <v>2.3346909999999998E-3</v>
      </c>
      <c r="R2593">
        <v>-0.16285079999999999</v>
      </c>
      <c r="S2593">
        <v>-2.8793639999999998</v>
      </c>
      <c r="T2593">
        <v>-0.2526717</v>
      </c>
      <c r="U2593">
        <v>-0.97842410000000002</v>
      </c>
      <c r="V2593">
        <v>-4.5048400000000002E-2</v>
      </c>
      <c r="W2593">
        <v>1.4763119999999999E-2</v>
      </c>
      <c r="X2593">
        <v>0.99887570000000003</v>
      </c>
      <c r="Y2593">
        <v>-0.20721110000000001</v>
      </c>
      <c r="Z2593">
        <v>1.181507E-3</v>
      </c>
      <c r="AA2593">
        <v>0.97829560000000004</v>
      </c>
      <c r="AB2593">
        <v>11</v>
      </c>
      <c r="AC2593">
        <v>-12.384699999999899</v>
      </c>
      <c r="AD2593">
        <v>-1.1106216395819899</v>
      </c>
      <c r="AE2593">
        <v>-4.2653000000000203</v>
      </c>
      <c r="AF2593">
        <v>-2.7510819402560198</v>
      </c>
      <c r="AG2593">
        <v>-1.1106216395819899</v>
      </c>
      <c r="AH2593">
        <v>12.710803123307899</v>
      </c>
      <c r="AI2593">
        <v>94.881150358367904</v>
      </c>
      <c r="AJ2593">
        <v>102.21252668292701</v>
      </c>
      <c r="AK2593">
        <v>13.0524498967743</v>
      </c>
      <c r="AL2593">
        <v>89.154104790755696</v>
      </c>
      <c r="AM2593">
        <v>92.582238623576501</v>
      </c>
      <c r="AN2593">
        <v>0.99999998605259199</v>
      </c>
    </row>
    <row r="2594" spans="1:40" x14ac:dyDescent="0.25">
      <c r="A2594" t="str">
        <f>"20190312160652764"</f>
        <v>20190312160652764</v>
      </c>
      <c r="B2594" t="str">
        <f>"1552378012757832"</f>
        <v>1552378012757832</v>
      </c>
      <c r="C2594" t="s">
        <v>40</v>
      </c>
      <c r="D2594">
        <v>6.3318859999999999</v>
      </c>
      <c r="E2594">
        <v>0.44979849999999999</v>
      </c>
      <c r="F2594" t="s">
        <v>61</v>
      </c>
      <c r="G2594">
        <v>-474.6003</v>
      </c>
      <c r="H2594" s="1">
        <v>4.4530439999999999E-6</v>
      </c>
      <c r="I2594">
        <v>283.23180000000002</v>
      </c>
      <c r="J2594">
        <v>-470.66090000000003</v>
      </c>
      <c r="K2594">
        <v>1.110614</v>
      </c>
      <c r="L2594">
        <v>284.67110000000002</v>
      </c>
      <c r="M2594">
        <v>-0.99275400000000003</v>
      </c>
      <c r="N2594">
        <v>0</v>
      </c>
      <c r="O2594">
        <v>-0.119519</v>
      </c>
      <c r="P2594">
        <v>-0.9867726</v>
      </c>
      <c r="Q2594">
        <v>9.0096610000000004E-4</v>
      </c>
      <c r="R2594">
        <v>-0.16210939999999999</v>
      </c>
      <c r="S2594">
        <v>-2.872131</v>
      </c>
      <c r="T2594">
        <v>-0.78861139999999996</v>
      </c>
      <c r="U2594">
        <v>-1.031952</v>
      </c>
      <c r="V2594">
        <v>-4.3012059999999998E-2</v>
      </c>
      <c r="W2594">
        <v>1.3287449999999999E-2</v>
      </c>
      <c r="X2594">
        <v>0.99898620000000005</v>
      </c>
      <c r="Y2594">
        <v>-0.21994549999999999</v>
      </c>
      <c r="Z2594">
        <v>2.2859830000000001E-3</v>
      </c>
      <c r="AA2594">
        <v>0.97550950000000003</v>
      </c>
      <c r="AB2594">
        <v>11</v>
      </c>
      <c r="AC2594">
        <v>-3.9393999999999698</v>
      </c>
      <c r="AD2594">
        <v>-1.110609546956</v>
      </c>
      <c r="AE2594">
        <v>-1.4393</v>
      </c>
      <c r="AF2594">
        <v>-0.89533066588047405</v>
      </c>
      <c r="AG2594">
        <v>-1.110609546956</v>
      </c>
      <c r="AH2594">
        <v>3.8156396779997701</v>
      </c>
      <c r="AI2594">
        <v>105.82119752948201</v>
      </c>
      <c r="AJ2594">
        <v>103.205414967648</v>
      </c>
      <c r="AK2594">
        <v>4.0735950608009599</v>
      </c>
      <c r="AL2594">
        <v>89.238662798393406</v>
      </c>
      <c r="AM2594">
        <v>92.465387771883798</v>
      </c>
      <c r="AN2594">
        <v>1.00000001071169</v>
      </c>
    </row>
    <row r="2595" spans="1:40" x14ac:dyDescent="0.25">
      <c r="A2595" t="str">
        <f>"20190312160652787"</f>
        <v>20190312160652787</v>
      </c>
      <c r="B2595" t="str">
        <f>"1552378012777352"</f>
        <v>1552378012777352</v>
      </c>
      <c r="C2595" t="s">
        <v>40</v>
      </c>
      <c r="D2595">
        <v>5.6240269999999999</v>
      </c>
      <c r="E2595">
        <v>0.44070700000000002</v>
      </c>
      <c r="F2595" t="s">
        <v>61</v>
      </c>
      <c r="G2595">
        <v>-473.52769999999998</v>
      </c>
      <c r="H2595" s="1">
        <v>4.9766419999999998E-6</v>
      </c>
      <c r="I2595">
        <v>283.78019999999998</v>
      </c>
      <c r="J2595">
        <v>-470.76900000000001</v>
      </c>
      <c r="K2595">
        <v>1.1105929999999999</v>
      </c>
      <c r="L2595">
        <v>284.65649999999999</v>
      </c>
      <c r="M2595">
        <v>-0.99259620000000004</v>
      </c>
      <c r="N2595">
        <v>0</v>
      </c>
      <c r="O2595">
        <v>-0.1208265</v>
      </c>
      <c r="P2595">
        <v>-0.98685279999999997</v>
      </c>
      <c r="Q2595">
        <v>-5.6364290000000003E-4</v>
      </c>
      <c r="R2595">
        <v>-0.1616213</v>
      </c>
      <c r="S2595">
        <v>-2.8935240000000002</v>
      </c>
      <c r="T2595">
        <v>-1.1209709999999999</v>
      </c>
      <c r="U2595">
        <v>-0.89920040000000001</v>
      </c>
      <c r="V2595">
        <v>-4.1200720000000003E-2</v>
      </c>
      <c r="W2595">
        <v>1.178411E-2</v>
      </c>
      <c r="X2595">
        <v>0.99908140000000001</v>
      </c>
      <c r="Y2595">
        <v>-0.17557490000000001</v>
      </c>
      <c r="Z2595">
        <v>1.181975E-2</v>
      </c>
      <c r="AA2595">
        <v>0.98439509999999997</v>
      </c>
      <c r="AB2595">
        <v>11</v>
      </c>
      <c r="AC2595">
        <v>-2.75869999999997</v>
      </c>
      <c r="AD2595">
        <v>-1.1105880233580001</v>
      </c>
      <c r="AE2595">
        <v>-0.87630000000001396</v>
      </c>
      <c r="AF2595">
        <v>-0.46768022659348102</v>
      </c>
      <c r="AG2595">
        <v>-1.1105880233580001</v>
      </c>
      <c r="AH2595">
        <v>2.4793756427458198</v>
      </c>
      <c r="AI2595">
        <v>113.75756981584</v>
      </c>
      <c r="AJ2595">
        <v>100.682089616499</v>
      </c>
      <c r="AK2595">
        <v>2.75670711716243</v>
      </c>
      <c r="AL2595">
        <v>89.324804607041401</v>
      </c>
      <c r="AM2595">
        <v>92.361459791152697</v>
      </c>
      <c r="AN2595">
        <v>1.0000000042014801</v>
      </c>
    </row>
    <row r="2596" spans="1:40" x14ac:dyDescent="0.25">
      <c r="A2596" t="str">
        <f>"20190312160652810"</f>
        <v>20190312160652810</v>
      </c>
      <c r="B2596" t="str">
        <f>"1552378012807609"</f>
        <v>1552378012807609</v>
      </c>
      <c r="C2596" t="s">
        <v>40</v>
      </c>
      <c r="D2596">
        <v>6.5416449999999999</v>
      </c>
      <c r="E2596">
        <v>0.43441380000000002</v>
      </c>
      <c r="F2596" t="s">
        <v>61</v>
      </c>
      <c r="G2596">
        <v>-474.13279999999997</v>
      </c>
      <c r="H2596" s="1">
        <v>4.6861470000000001E-6</v>
      </c>
      <c r="I2596">
        <v>283.52699999999999</v>
      </c>
      <c r="J2596">
        <v>-470.88049999999998</v>
      </c>
      <c r="K2596">
        <v>1.110574</v>
      </c>
      <c r="L2596">
        <v>284.6413</v>
      </c>
      <c r="M2596">
        <v>-0.99243190000000003</v>
      </c>
      <c r="N2596">
        <v>0</v>
      </c>
      <c r="O2596">
        <v>-0.1221744</v>
      </c>
      <c r="P2596">
        <v>-0.98680029999999996</v>
      </c>
      <c r="Q2596">
        <v>-2.0048660000000001E-3</v>
      </c>
      <c r="R2596">
        <v>-0.16192970000000001</v>
      </c>
      <c r="S2596">
        <v>-2.8810120000000001</v>
      </c>
      <c r="T2596">
        <v>-0.95118259999999999</v>
      </c>
      <c r="U2596">
        <v>-0.96737669999999998</v>
      </c>
      <c r="V2596">
        <v>-4.0155660000000003E-2</v>
      </c>
      <c r="W2596">
        <v>1.030791E-2</v>
      </c>
      <c r="X2596">
        <v>0.99914029999999998</v>
      </c>
      <c r="Y2596">
        <v>-0.1965548</v>
      </c>
      <c r="Z2596">
        <v>7.2392840000000003E-3</v>
      </c>
      <c r="AA2596">
        <v>0.98046610000000001</v>
      </c>
      <c r="AB2596">
        <v>11</v>
      </c>
      <c r="AC2596">
        <v>-3.2522999999999902</v>
      </c>
      <c r="AD2596">
        <v>-1.110569313853</v>
      </c>
      <c r="AE2596">
        <v>-1.1143000000000101</v>
      </c>
      <c r="AF2596">
        <v>-0.64161807314226704</v>
      </c>
      <c r="AG2596">
        <v>-1.110569313853</v>
      </c>
      <c r="AH2596">
        <v>3.0462003792775101</v>
      </c>
      <c r="AI2596">
        <v>109.633740025298</v>
      </c>
      <c r="AJ2596">
        <v>101.89429040424</v>
      </c>
      <c r="AK2596">
        <v>3.3052041848220401</v>
      </c>
      <c r="AL2596">
        <v>89.409389822479</v>
      </c>
      <c r="AM2596">
        <v>92.301490867989102</v>
      </c>
      <c r="AN2596">
        <v>1.00000003456134</v>
      </c>
    </row>
    <row r="2597" spans="1:40" x14ac:dyDescent="0.25">
      <c r="A2597" t="str">
        <f>"20190312160652833"</f>
        <v>20190312160652833</v>
      </c>
      <c r="B2597" t="str">
        <f>"1552378012828104"</f>
        <v>1552378012828104</v>
      </c>
      <c r="C2597" t="s">
        <v>40</v>
      </c>
      <c r="D2597">
        <v>6.1950070000000004</v>
      </c>
      <c r="E2597">
        <v>0.4349191</v>
      </c>
      <c r="F2597" t="s">
        <v>61</v>
      </c>
      <c r="G2597">
        <v>-475.1139</v>
      </c>
      <c r="H2597" s="1">
        <v>4.2177609999999996E-6</v>
      </c>
      <c r="I2597">
        <v>283.14600000000002</v>
      </c>
      <c r="J2597">
        <v>-470.98849999999999</v>
      </c>
      <c r="K2597">
        <v>1.1105529999999999</v>
      </c>
      <c r="L2597">
        <v>284.62639999999999</v>
      </c>
      <c r="M2597">
        <v>-0.99227030000000005</v>
      </c>
      <c r="N2597">
        <v>0</v>
      </c>
      <c r="O2597">
        <v>-0.1234816</v>
      </c>
      <c r="P2597">
        <v>-0.98656189999999999</v>
      </c>
      <c r="Q2597">
        <v>-3.2225489999999999E-3</v>
      </c>
      <c r="R2597">
        <v>-0.163356</v>
      </c>
      <c r="S2597">
        <v>-2.872131</v>
      </c>
      <c r="T2597">
        <v>-0.75345249999999997</v>
      </c>
      <c r="U2597">
        <v>-1.0144959999999901</v>
      </c>
      <c r="V2597">
        <v>-4.0282869999999998E-2</v>
      </c>
      <c r="W2597">
        <v>9.0600839999999995E-3</v>
      </c>
      <c r="X2597">
        <v>0.99914720000000001</v>
      </c>
      <c r="Y2597">
        <v>-0.21142830000000001</v>
      </c>
      <c r="Z2597">
        <v>4.2371989999999997E-3</v>
      </c>
      <c r="AA2597">
        <v>0.97738429999999998</v>
      </c>
      <c r="AB2597">
        <v>11</v>
      </c>
      <c r="AC2597">
        <v>-4.1254000000000097</v>
      </c>
      <c r="AD2597">
        <v>-1.1105487822390001</v>
      </c>
      <c r="AE2597">
        <v>-1.4804000000000299</v>
      </c>
      <c r="AF2597">
        <v>-0.90172776210766603</v>
      </c>
      <c r="AG2597">
        <v>-1.1105487822390001</v>
      </c>
      <c r="AH2597">
        <v>4.0186413854636802</v>
      </c>
      <c r="AI2597">
        <v>105.090587818719</v>
      </c>
      <c r="AJ2597">
        <v>102.646906799061</v>
      </c>
      <c r="AK2597">
        <v>4.2656664355818599</v>
      </c>
      <c r="AL2597">
        <v>89.480888302465402</v>
      </c>
      <c r="AM2597">
        <v>92.308758007312903</v>
      </c>
      <c r="AN2597">
        <v>0.99999996100268096</v>
      </c>
    </row>
    <row r="2598" spans="1:40" x14ac:dyDescent="0.25">
      <c r="A2598" t="str">
        <f>"20190312160652854"</f>
        <v>20190312160652854</v>
      </c>
      <c r="B2598" t="str">
        <f>"1552378012848134"</f>
        <v>1552378012848134</v>
      </c>
      <c r="C2598" t="s">
        <v>40</v>
      </c>
      <c r="D2598">
        <v>6.2668900000000001</v>
      </c>
      <c r="E2598">
        <v>0.43562430000000002</v>
      </c>
      <c r="F2598" t="s">
        <v>61</v>
      </c>
      <c r="G2598">
        <v>-475.62709999999998</v>
      </c>
      <c r="H2598" s="1">
        <v>3.9764590000000003E-6</v>
      </c>
      <c r="I2598">
        <v>282.98899999999998</v>
      </c>
      <c r="J2598">
        <v>-471.09469999999999</v>
      </c>
      <c r="K2598">
        <v>1.11053</v>
      </c>
      <c r="L2598">
        <v>284.61169999999998</v>
      </c>
      <c r="M2598">
        <v>-0.99211020000000005</v>
      </c>
      <c r="N2598">
        <v>0</v>
      </c>
      <c r="O2598">
        <v>-0.1247651</v>
      </c>
      <c r="P2598">
        <v>-0.9862069</v>
      </c>
      <c r="Q2598">
        <v>-4.4217099999999997E-3</v>
      </c>
      <c r="R2598">
        <v>-0.1654601</v>
      </c>
      <c r="S2598">
        <v>-2.8707889999999998</v>
      </c>
      <c r="T2598">
        <v>-0.68731140000000002</v>
      </c>
      <c r="U2598">
        <v>-1.0133669999999999</v>
      </c>
      <c r="V2598">
        <v>-4.112085E-2</v>
      </c>
      <c r="W2598">
        <v>7.8332279999999994E-3</v>
      </c>
      <c r="X2598">
        <v>0.99912350000000005</v>
      </c>
      <c r="Y2598">
        <v>-0.21045720000000001</v>
      </c>
      <c r="Z2598">
        <v>4.2778790000000001E-3</v>
      </c>
      <c r="AA2598">
        <v>0.97759370000000001</v>
      </c>
      <c r="AB2598">
        <v>11</v>
      </c>
      <c r="AC2598">
        <v>-4.5323999999999902</v>
      </c>
      <c r="AD2598">
        <v>-1.1105260235409999</v>
      </c>
      <c r="AE2598">
        <v>-1.6226999999999501</v>
      </c>
      <c r="AF2598">
        <v>-0.99171787563065195</v>
      </c>
      <c r="AG2598">
        <v>-1.1105260235409999</v>
      </c>
      <c r="AH2598">
        <v>4.46201175491922</v>
      </c>
      <c r="AI2598">
        <v>103.65577236346699</v>
      </c>
      <c r="AJ2598">
        <v>102.53076196330299</v>
      </c>
      <c r="AK2598">
        <v>4.7038623805171502</v>
      </c>
      <c r="AL2598">
        <v>89.551184517383803</v>
      </c>
      <c r="AM2598">
        <v>92.356787930962398</v>
      </c>
      <c r="AN2598">
        <v>1.0000000260089299</v>
      </c>
    </row>
    <row r="2599" spans="1:40" x14ac:dyDescent="0.25">
      <c r="A2599" t="str">
        <f>"20190312160652877"</f>
        <v>20190312160652877</v>
      </c>
      <c r="B2599" t="str">
        <f>"1552378012867650"</f>
        <v>1552378012867650</v>
      </c>
      <c r="C2599" t="s">
        <v>40</v>
      </c>
      <c r="D2599">
        <v>6.1620429999999997</v>
      </c>
      <c r="E2599">
        <v>0.43137409999999998</v>
      </c>
      <c r="F2599" t="s">
        <v>61</v>
      </c>
      <c r="G2599">
        <v>-475.83440000000002</v>
      </c>
      <c r="H2599" s="1">
        <v>3.879989E-6</v>
      </c>
      <c r="I2599">
        <v>282.93689999999998</v>
      </c>
      <c r="J2599">
        <v>-471.2022</v>
      </c>
      <c r="K2599">
        <v>1.1105160000000001</v>
      </c>
      <c r="L2599">
        <v>284.59660000000002</v>
      </c>
      <c r="M2599">
        <v>-0.99194599999999999</v>
      </c>
      <c r="N2599">
        <v>0</v>
      </c>
      <c r="O2599">
        <v>-0.12606439999999999</v>
      </c>
      <c r="P2599">
        <v>-0.98580860000000003</v>
      </c>
      <c r="Q2599">
        <v>-5.9424500000000002E-3</v>
      </c>
      <c r="R2599">
        <v>-0.16776859999999999</v>
      </c>
      <c r="S2599">
        <v>-2.8688660000000001</v>
      </c>
      <c r="T2599">
        <v>-0.67218789999999995</v>
      </c>
      <c r="U2599">
        <v>-1.013733</v>
      </c>
      <c r="V2599">
        <v>-4.215083E-2</v>
      </c>
      <c r="W2599">
        <v>6.2887890000000004E-3</v>
      </c>
      <c r="X2599">
        <v>0.99909139999999996</v>
      </c>
      <c r="Y2599">
        <v>-0.20963419999999999</v>
      </c>
      <c r="Z2599">
        <v>4.5678450000000001E-3</v>
      </c>
      <c r="AA2599">
        <v>0.9777692</v>
      </c>
      <c r="AB2599">
        <v>11</v>
      </c>
      <c r="AC2599">
        <v>-4.6322000000000099</v>
      </c>
      <c r="AD2599">
        <v>-1.110512120011</v>
      </c>
      <c r="AE2599">
        <v>-1.6597000000000399</v>
      </c>
      <c r="AF2599">
        <v>-1.0109637786266601</v>
      </c>
      <c r="AG2599">
        <v>-1.110512120011</v>
      </c>
      <c r="AH2599">
        <v>4.5716270859291601</v>
      </c>
      <c r="AI2599">
        <v>103.343066362004</v>
      </c>
      <c r="AJ2599">
        <v>102.469635662985</v>
      </c>
      <c r="AK2599">
        <v>4.81197040132081</v>
      </c>
      <c r="AL2599">
        <v>89.639676532979493</v>
      </c>
      <c r="AM2599">
        <v>92.415828333527799</v>
      </c>
      <c r="AN2599">
        <v>0.99999993344536497</v>
      </c>
    </row>
    <row r="2600" spans="1:40" x14ac:dyDescent="0.25">
      <c r="A2600" t="str">
        <f>"20190312160652899"</f>
        <v>20190312160652899</v>
      </c>
      <c r="B2600" t="str">
        <f>"1552378012888147"</f>
        <v>1552378012888147</v>
      </c>
      <c r="C2600" t="s">
        <v>40</v>
      </c>
      <c r="D2600">
        <v>6.1719019999999896</v>
      </c>
      <c r="E2600">
        <v>0.43457050000000003</v>
      </c>
      <c r="F2600" t="s">
        <v>61</v>
      </c>
      <c r="G2600">
        <v>-481.24180000000001</v>
      </c>
      <c r="H2600" s="1">
        <v>2.103083E-6</v>
      </c>
      <c r="I2600">
        <v>280.92230000000001</v>
      </c>
      <c r="J2600">
        <v>-471.31180000000001</v>
      </c>
      <c r="K2600">
        <v>1.110498</v>
      </c>
      <c r="L2600">
        <v>284.58100000000002</v>
      </c>
      <c r="M2600">
        <v>-0.99177689999999996</v>
      </c>
      <c r="N2600">
        <v>0</v>
      </c>
      <c r="O2600">
        <v>-0.1273898</v>
      </c>
      <c r="P2600">
        <v>-0.98547839999999998</v>
      </c>
      <c r="Q2600">
        <v>-7.4772060000000001E-3</v>
      </c>
      <c r="R2600">
        <v>-0.16963689999999901</v>
      </c>
      <c r="S2600">
        <v>-2.8630070000000001</v>
      </c>
      <c r="T2600">
        <v>-0.3166873</v>
      </c>
      <c r="U2600">
        <v>-1.0477909999999999</v>
      </c>
      <c r="V2600">
        <v>-4.2709539999999997E-2</v>
      </c>
      <c r="W2600">
        <v>4.732417E-3</v>
      </c>
      <c r="X2600">
        <v>0.99907630000000003</v>
      </c>
      <c r="Y2600">
        <v>-0.22074379999999999</v>
      </c>
      <c r="Z2600">
        <v>1.71556799999999E-3</v>
      </c>
      <c r="AA2600">
        <v>0.97533040000000004</v>
      </c>
      <c r="AB2600">
        <v>11</v>
      </c>
      <c r="AC2600">
        <v>-9.93</v>
      </c>
      <c r="AD2600">
        <v>-1.110495896917</v>
      </c>
      <c r="AE2600">
        <v>-3.6586999999999499</v>
      </c>
      <c r="AF2600">
        <v>-2.3380653528733402</v>
      </c>
      <c r="AG2600">
        <v>-1.110495896917</v>
      </c>
      <c r="AH2600">
        <v>10.202851680271401</v>
      </c>
      <c r="AI2600">
        <v>96.055955827351298</v>
      </c>
      <c r="AJ2600">
        <v>102.90693831130901</v>
      </c>
      <c r="AK2600">
        <v>10.5260597158192</v>
      </c>
      <c r="AL2600">
        <v>89.728851460637202</v>
      </c>
      <c r="AM2600">
        <v>92.447848436398203</v>
      </c>
      <c r="AN2600">
        <v>0.99999997689968101</v>
      </c>
    </row>
    <row r="2601" spans="1:40" x14ac:dyDescent="0.25">
      <c r="A2601" t="str">
        <f>"20190312160652922"</f>
        <v>20190312160652922</v>
      </c>
      <c r="B2601" t="str">
        <f>"1552378012917440"</f>
        <v>1552378012917440</v>
      </c>
      <c r="C2601" t="s">
        <v>40</v>
      </c>
      <c r="D2601">
        <v>9.5989229999999992</v>
      </c>
      <c r="E2601">
        <v>0.4364247</v>
      </c>
      <c r="F2601" t="s">
        <v>61</v>
      </c>
      <c r="G2601">
        <v>-480.5129</v>
      </c>
      <c r="H2601" s="1">
        <v>2.0048439999999998E-6</v>
      </c>
      <c r="I2601">
        <v>281.27749999999997</v>
      </c>
      <c r="J2601">
        <v>-471.41919999999999</v>
      </c>
      <c r="K2601">
        <v>1.1104959999999999</v>
      </c>
      <c r="L2601">
        <v>284.56569999999999</v>
      </c>
      <c r="M2601">
        <v>-0.99160970000000004</v>
      </c>
      <c r="N2601">
        <v>0</v>
      </c>
      <c r="O2601">
        <v>-0.1286872</v>
      </c>
      <c r="P2601">
        <v>-0.98512909999999998</v>
      </c>
      <c r="Q2601">
        <v>-8.6427840000000006E-3</v>
      </c>
      <c r="R2601">
        <v>-0.17159820000000001</v>
      </c>
      <c r="S2601">
        <v>-2.8645320000000001</v>
      </c>
      <c r="T2601">
        <v>-0.34572419999999998</v>
      </c>
      <c r="U2601">
        <v>-1.028473</v>
      </c>
      <c r="V2601">
        <v>-4.339146E-2</v>
      </c>
      <c r="W2601">
        <v>3.548917E-3</v>
      </c>
      <c r="X2601">
        <v>0.99905189999999999</v>
      </c>
      <c r="Y2601">
        <v>-0.21343819999999999</v>
      </c>
      <c r="Z2601">
        <v>2.4493359999999999E-3</v>
      </c>
      <c r="AA2601">
        <v>0.97695350000000003</v>
      </c>
      <c r="AB2601">
        <v>11</v>
      </c>
      <c r="AC2601">
        <v>-9.0937000000000108</v>
      </c>
      <c r="AD2601">
        <v>-1.110493995156</v>
      </c>
      <c r="AE2601">
        <v>-3.28820000000001</v>
      </c>
      <c r="AF2601">
        <v>-2.0633134402244999</v>
      </c>
      <c r="AG2601">
        <v>-1.110493995156</v>
      </c>
      <c r="AH2601">
        <v>9.3183651808321102</v>
      </c>
      <c r="AI2601">
        <v>96.636772780725295</v>
      </c>
      <c r="AJ2601">
        <v>102.485239779808</v>
      </c>
      <c r="AK2601">
        <v>9.6084540332580506</v>
      </c>
      <c r="AL2601">
        <v>89.796661618659897</v>
      </c>
      <c r="AM2601">
        <v>92.486943878741698</v>
      </c>
      <c r="AN2601">
        <v>1.0000000562532001</v>
      </c>
    </row>
    <row r="2602" spans="1:40" x14ac:dyDescent="0.25">
      <c r="A2602" t="str">
        <f>"20190312160652943"</f>
        <v>20190312160652943</v>
      </c>
      <c r="B2602" t="str">
        <f>"1552378012937923"</f>
        <v>1552378012937923</v>
      </c>
      <c r="C2602" t="s">
        <v>40</v>
      </c>
      <c r="D2602">
        <v>6.1137990000000002</v>
      </c>
      <c r="E2602">
        <v>0.43540319999999999</v>
      </c>
      <c r="F2602" t="s">
        <v>61</v>
      </c>
      <c r="G2602">
        <v>-480.23660000000001</v>
      </c>
      <c r="H2602" s="1">
        <v>1.9688530000000001E-6</v>
      </c>
      <c r="I2602">
        <v>281.42649999999998</v>
      </c>
      <c r="J2602">
        <v>-471.5265</v>
      </c>
      <c r="K2602">
        <v>1.110492</v>
      </c>
      <c r="L2602">
        <v>284.55009999999999</v>
      </c>
      <c r="M2602">
        <v>-0.99144049999999995</v>
      </c>
      <c r="N2602">
        <v>0</v>
      </c>
      <c r="O2602">
        <v>-0.1299855</v>
      </c>
      <c r="P2602">
        <v>-0.98482420000000004</v>
      </c>
      <c r="Q2602">
        <v>-8.2478840000000005E-3</v>
      </c>
      <c r="R2602">
        <v>-0.17335929999999999</v>
      </c>
      <c r="S2602">
        <v>-2.8645320000000001</v>
      </c>
      <c r="T2602">
        <v>-0.36076930000000001</v>
      </c>
      <c r="U2602">
        <v>-1.019836</v>
      </c>
      <c r="V2602">
        <v>-4.3869690000000003E-2</v>
      </c>
      <c r="W2602">
        <v>3.9275220000000001E-3</v>
      </c>
      <c r="X2602">
        <v>0.99902950000000001</v>
      </c>
      <c r="Y2602">
        <v>-0.20953289999999999</v>
      </c>
      <c r="Z2602">
        <v>2.9501779999999999E-3</v>
      </c>
      <c r="AA2602">
        <v>0.97779720000000003</v>
      </c>
      <c r="AB2602">
        <v>11</v>
      </c>
      <c r="AC2602">
        <v>-8.7101000000000095</v>
      </c>
      <c r="AD2602">
        <v>-1.1104900311470001</v>
      </c>
      <c r="AE2602">
        <v>-3.1236000000000099</v>
      </c>
      <c r="AF2602">
        <v>-1.93692697613178</v>
      </c>
      <c r="AG2602">
        <v>-1.1104900311470001</v>
      </c>
      <c r="AH2602">
        <v>8.91386194642463</v>
      </c>
      <c r="AI2602">
        <v>96.940988285174697</v>
      </c>
      <c r="AJ2602">
        <v>102.25943938702601</v>
      </c>
      <c r="AK2602">
        <v>9.1892224382730507</v>
      </c>
      <c r="AL2602">
        <v>89.7749689775805</v>
      </c>
      <c r="AM2602">
        <v>92.514374535561203</v>
      </c>
      <c r="AN2602">
        <v>0.99999995850000201</v>
      </c>
    </row>
    <row r="2603" spans="1:40" x14ac:dyDescent="0.25">
      <c r="A2603" t="str">
        <f>"20190312160652966"</f>
        <v>20190312160652966</v>
      </c>
      <c r="B2603" t="str">
        <f>"1552378012957443"</f>
        <v>1552378012957443</v>
      </c>
      <c r="C2603" t="s">
        <v>40</v>
      </c>
      <c r="D2603">
        <v>6.225568</v>
      </c>
      <c r="E2603">
        <v>0.43576209999999999</v>
      </c>
      <c r="F2603" t="s">
        <v>61</v>
      </c>
      <c r="G2603">
        <v>-480.60700000000003</v>
      </c>
      <c r="H2603" s="1">
        <v>2.0210670000000002E-6</v>
      </c>
      <c r="I2603">
        <v>281.27210000000002</v>
      </c>
      <c r="J2603">
        <v>-471.63260000000002</v>
      </c>
      <c r="K2603">
        <v>1.1104909999999999</v>
      </c>
      <c r="L2603">
        <v>284.53469999999999</v>
      </c>
      <c r="M2603">
        <v>-0.99127180000000004</v>
      </c>
      <c r="N2603">
        <v>0</v>
      </c>
      <c r="O2603">
        <v>-0.131267299999999</v>
      </c>
      <c r="P2603">
        <v>-0.98444290000000001</v>
      </c>
      <c r="Q2603">
        <v>-7.9833600000000001E-3</v>
      </c>
      <c r="R2603">
        <v>-0.17552329999999999</v>
      </c>
      <c r="S2603">
        <v>-2.8615110000000001</v>
      </c>
      <c r="T2603">
        <v>-0.34994399999999998</v>
      </c>
      <c r="U2603">
        <v>-1.0329900000000001</v>
      </c>
      <c r="V2603">
        <v>-4.4773300000000002E-2</v>
      </c>
      <c r="W2603">
        <v>4.1778600000000003E-3</v>
      </c>
      <c r="X2603">
        <v>0.9989884</v>
      </c>
      <c r="Y2603">
        <v>-0.21259719999999999</v>
      </c>
      <c r="Z2603">
        <v>2.8295939999999999E-3</v>
      </c>
      <c r="AA2603">
        <v>0.9771358</v>
      </c>
      <c r="AB2603">
        <v>11</v>
      </c>
      <c r="AC2603">
        <v>-8.9743999999999406</v>
      </c>
      <c r="AD2603">
        <v>-1.1104889789329999</v>
      </c>
      <c r="AE2603">
        <v>-3.26259999999996</v>
      </c>
      <c r="AF2603">
        <v>-2.02879384962778</v>
      </c>
      <c r="AG2603">
        <v>-1.1104889789329999</v>
      </c>
      <c r="AH2603">
        <v>9.2006078073136397</v>
      </c>
      <c r="AI2603">
        <v>96.722201593988501</v>
      </c>
      <c r="AJ2603">
        <v>102.435096299622</v>
      </c>
      <c r="AK2603">
        <v>9.4868527068053403</v>
      </c>
      <c r="AL2603">
        <v>89.760625549411202</v>
      </c>
      <c r="AM2603">
        <v>92.566201499142196</v>
      </c>
      <c r="AN2603">
        <v>0.99999996312081396</v>
      </c>
    </row>
    <row r="2604" spans="1:40" x14ac:dyDescent="0.25">
      <c r="A2604" t="str">
        <f>"20190312160652988"</f>
        <v>20190312160652988</v>
      </c>
      <c r="B2604" t="str">
        <f>"1552378012977939"</f>
        <v>1552378012977939</v>
      </c>
      <c r="C2604" t="s">
        <v>40</v>
      </c>
      <c r="D2604">
        <v>6.5543279999999999</v>
      </c>
      <c r="E2604">
        <v>0.4359962</v>
      </c>
      <c r="F2604" t="s">
        <v>61</v>
      </c>
      <c r="G2604">
        <v>-480.9692</v>
      </c>
      <c r="H2604" s="1">
        <v>2.074747E-6</v>
      </c>
      <c r="I2604">
        <v>281.15140000000002</v>
      </c>
      <c r="J2604">
        <v>-471.74119999999999</v>
      </c>
      <c r="K2604">
        <v>1.1104830000000001</v>
      </c>
      <c r="L2604">
        <v>284.51870000000002</v>
      </c>
      <c r="M2604">
        <v>-0.99109729999999996</v>
      </c>
      <c r="N2604">
        <v>0</v>
      </c>
      <c r="O2604">
        <v>-0.13258020000000001</v>
      </c>
      <c r="P2604">
        <v>-0.98416329999999996</v>
      </c>
      <c r="Q2604">
        <v>-7.2509829999999999E-3</v>
      </c>
      <c r="R2604">
        <v>-0.1771161</v>
      </c>
      <c r="S2604">
        <v>-2.8598940000000002</v>
      </c>
      <c r="T2604">
        <v>-0.34015489999999998</v>
      </c>
      <c r="U2604">
        <v>-1.036346</v>
      </c>
      <c r="V2604">
        <v>-4.5066589999999997E-2</v>
      </c>
      <c r="W2604">
        <v>4.8978770000000001E-3</v>
      </c>
      <c r="X2604">
        <v>0.99897199999999997</v>
      </c>
      <c r="Y2604">
        <v>-0.21253140000000001</v>
      </c>
      <c r="Z2604">
        <v>2.9034880000000001E-3</v>
      </c>
      <c r="AA2604">
        <v>0.97714990000000002</v>
      </c>
      <c r="AB2604">
        <v>11</v>
      </c>
      <c r="AC2604">
        <v>-9.2279999999999998</v>
      </c>
      <c r="AD2604">
        <v>-1.1104809252529999</v>
      </c>
      <c r="AE2604">
        <v>-3.3673000000000002</v>
      </c>
      <c r="AF2604">
        <v>-2.08735333151734</v>
      </c>
      <c r="AG2604">
        <v>-1.1104809252529999</v>
      </c>
      <c r="AH2604">
        <v>9.4719480047512192</v>
      </c>
      <c r="AI2604">
        <v>96.531456621456698</v>
      </c>
      <c r="AJ2604">
        <v>102.427753951122</v>
      </c>
      <c r="AK2604">
        <v>9.7625821799694901</v>
      </c>
      <c r="AL2604">
        <v>89.719371203414198</v>
      </c>
      <c r="AM2604">
        <v>92.583031199612407</v>
      </c>
      <c r="AN2604">
        <v>1.00000002175866</v>
      </c>
    </row>
    <row r="2605" spans="1:40" x14ac:dyDescent="0.25">
      <c r="A2605" t="str">
        <f>"20190312160653012"</f>
        <v>20190312160653012</v>
      </c>
      <c r="B2605" t="str">
        <f>"1552378013008195"</f>
        <v>1552378013008195</v>
      </c>
      <c r="C2605" t="s">
        <v>40</v>
      </c>
      <c r="D2605">
        <v>6.2842580000000003</v>
      </c>
      <c r="E2605">
        <v>0.43717790000000001</v>
      </c>
      <c r="F2605" t="s">
        <v>61</v>
      </c>
      <c r="G2605">
        <v>-480.85050000000001</v>
      </c>
      <c r="H2605" s="1">
        <v>2.058396E-6</v>
      </c>
      <c r="I2605">
        <v>281.20510000000002</v>
      </c>
      <c r="J2605">
        <v>-471.85</v>
      </c>
      <c r="K2605">
        <v>1.110479</v>
      </c>
      <c r="L2605">
        <v>284.5025</v>
      </c>
      <c r="M2605">
        <v>-0.99092040000000003</v>
      </c>
      <c r="N2605">
        <v>0</v>
      </c>
      <c r="O2605">
        <v>-0.13389599999999999</v>
      </c>
      <c r="P2605">
        <v>-0.98396749999999999</v>
      </c>
      <c r="Q2605">
        <v>-6.485785E-3</v>
      </c>
      <c r="R2605">
        <v>-0.17822959999999999</v>
      </c>
      <c r="S2605">
        <v>-2.8585820000000002</v>
      </c>
      <c r="T2605">
        <v>-0.3484796</v>
      </c>
      <c r="U2605">
        <v>-1.039825</v>
      </c>
      <c r="V2605">
        <v>-4.4870630000000002E-2</v>
      </c>
      <c r="W2605">
        <v>5.6526989999999997E-3</v>
      </c>
      <c r="X2605">
        <v>0.9989768</v>
      </c>
      <c r="Y2605">
        <v>-0.21241309999999999</v>
      </c>
      <c r="Z2605">
        <v>3.1335009999999999E-3</v>
      </c>
      <c r="AA2605">
        <v>0.97717489999999996</v>
      </c>
      <c r="AB2605">
        <v>11</v>
      </c>
      <c r="AC2605">
        <v>-9.0004999999999793</v>
      </c>
      <c r="AD2605">
        <v>-1.1104769416039999</v>
      </c>
      <c r="AE2605">
        <v>-3.2973999999999801</v>
      </c>
      <c r="AF2605">
        <v>-2.0351689643921498</v>
      </c>
      <c r="AG2605">
        <v>-1.1104769416039999</v>
      </c>
      <c r="AH2605">
        <v>9.2370121568539503</v>
      </c>
      <c r="AI2605">
        <v>96.696127062432396</v>
      </c>
      <c r="AJ2605">
        <v>102.425322308533</v>
      </c>
      <c r="AK2605">
        <v>9.5235216877648199</v>
      </c>
      <c r="AL2605">
        <v>89.676122475305704</v>
      </c>
      <c r="AM2605">
        <v>92.571802352452806</v>
      </c>
      <c r="AN2605">
        <v>0.99999998669041001</v>
      </c>
    </row>
    <row r="2606" spans="1:40" x14ac:dyDescent="0.25">
      <c r="A2606" t="str">
        <f>"20190312160653034"</f>
        <v>20190312160653034</v>
      </c>
      <c r="B2606" t="str">
        <f>"1552378013027715"</f>
        <v>1552378013027715</v>
      </c>
      <c r="C2606" t="s">
        <v>40</v>
      </c>
      <c r="D2606">
        <v>6.1473639999999996</v>
      </c>
      <c r="E2606">
        <v>0.43813429999999998</v>
      </c>
      <c r="F2606" t="s">
        <v>61</v>
      </c>
      <c r="G2606">
        <v>-480.94670000000002</v>
      </c>
      <c r="H2606" s="1">
        <v>2.0761459999999999E-6</v>
      </c>
      <c r="I2606">
        <v>281.21289999999999</v>
      </c>
      <c r="J2606">
        <v>-471.95780000000002</v>
      </c>
      <c r="K2606">
        <v>1.110479</v>
      </c>
      <c r="L2606">
        <v>284.4864</v>
      </c>
      <c r="M2606">
        <v>-0.99074329999999999</v>
      </c>
      <c r="N2606">
        <v>0</v>
      </c>
      <c r="O2606">
        <v>-0.1352013</v>
      </c>
      <c r="P2606">
        <v>-0.98386079999999998</v>
      </c>
      <c r="Q2606">
        <v>-6.174634E-3</v>
      </c>
      <c r="R2606">
        <v>-0.17882970000000001</v>
      </c>
      <c r="S2606">
        <v>-2.859283</v>
      </c>
      <c r="T2606">
        <v>-0.34904659999999998</v>
      </c>
      <c r="U2606">
        <v>-1.0339969999999901</v>
      </c>
      <c r="V2606">
        <v>-4.4164120000000001E-2</v>
      </c>
      <c r="W2606">
        <v>5.9559629999999999E-3</v>
      </c>
      <c r="X2606">
        <v>0.99900650000000002</v>
      </c>
      <c r="Y2606">
        <v>-0.2093139</v>
      </c>
      <c r="Z2606">
        <v>3.4732169999999998E-3</v>
      </c>
      <c r="AA2606">
        <v>0.97784230000000005</v>
      </c>
      <c r="AB2606">
        <v>11</v>
      </c>
      <c r="AC2606">
        <v>-8.9888999999999992</v>
      </c>
      <c r="AD2606">
        <v>-1.110476923854</v>
      </c>
      <c r="AE2606">
        <v>-3.2735000000000101</v>
      </c>
      <c r="AF2606">
        <v>-2.0010736214281</v>
      </c>
      <c r="AG2606">
        <v>-1.110476923854</v>
      </c>
      <c r="AH2606">
        <v>9.2246669677378801</v>
      </c>
      <c r="AI2606">
        <v>96.709723432219207</v>
      </c>
      <c r="AJ2606">
        <v>102.239335212371</v>
      </c>
      <c r="AK2606">
        <v>9.5043114060126399</v>
      </c>
      <c r="AL2606">
        <v>89.658746427629097</v>
      </c>
      <c r="AM2606">
        <v>92.5312860035136</v>
      </c>
      <c r="AN2606">
        <v>0.99999996501643995</v>
      </c>
    </row>
    <row r="2607" spans="1:40" x14ac:dyDescent="0.25">
      <c r="A2607" t="str">
        <f>"20190312160653056"</f>
        <v>20190312160653056</v>
      </c>
      <c r="B2607" t="str">
        <f>"1552378013048211"</f>
        <v>1552378013048211</v>
      </c>
      <c r="C2607" t="s">
        <v>40</v>
      </c>
      <c r="D2607">
        <v>6.3392369999999998</v>
      </c>
      <c r="E2607">
        <v>0.43846499999999999</v>
      </c>
      <c r="F2607" t="s">
        <v>61</v>
      </c>
      <c r="G2607">
        <v>-480.74669999999998</v>
      </c>
      <c r="H2607" s="1">
        <v>2.0505769999999999E-6</v>
      </c>
      <c r="I2607">
        <v>281.32639999999998</v>
      </c>
      <c r="J2607">
        <v>-472.06459999999998</v>
      </c>
      <c r="K2607">
        <v>1.1104849999999999</v>
      </c>
      <c r="L2607">
        <v>284.47019999999998</v>
      </c>
      <c r="M2607">
        <v>-0.99056580000000005</v>
      </c>
      <c r="N2607">
        <v>0</v>
      </c>
      <c r="O2607">
        <v>-0.13649749999999999</v>
      </c>
      <c r="P2607">
        <v>-0.98394349999999997</v>
      </c>
      <c r="Q2607">
        <v>-5.6200819999999898E-3</v>
      </c>
      <c r="R2607">
        <v>-0.17839240000000001</v>
      </c>
      <c r="S2607">
        <v>-2.8600159999999999</v>
      </c>
      <c r="T2607">
        <v>-0.36136420000000002</v>
      </c>
      <c r="U2607">
        <v>-1.0283199999999999</v>
      </c>
      <c r="V2607">
        <v>-4.24128E-2</v>
      </c>
      <c r="W2607">
        <v>6.5052690000000002E-3</v>
      </c>
      <c r="X2607">
        <v>0.99907900000000005</v>
      </c>
      <c r="Y2607">
        <v>-0.20623140000000001</v>
      </c>
      <c r="Z2607">
        <v>3.9391679999999998E-3</v>
      </c>
      <c r="AA2607">
        <v>0.97849529999999996</v>
      </c>
      <c r="AB2607">
        <v>11</v>
      </c>
      <c r="AC2607">
        <v>-8.6820999999999895</v>
      </c>
      <c r="AD2607">
        <v>-1.110482949423</v>
      </c>
      <c r="AE2607">
        <v>-3.1437999999999899</v>
      </c>
      <c r="AF2607">
        <v>-1.9016937047540901</v>
      </c>
      <c r="AG2607">
        <v>-1.110482949423</v>
      </c>
      <c r="AH2607">
        <v>8.9012386075833696</v>
      </c>
      <c r="AI2607">
        <v>96.9558663790297</v>
      </c>
      <c r="AJ2607">
        <v>102.059583632555</v>
      </c>
      <c r="AK2607">
        <v>9.1696052301499495</v>
      </c>
      <c r="AL2607">
        <v>89.627272915099695</v>
      </c>
      <c r="AM2607">
        <v>92.430855033984599</v>
      </c>
      <c r="AN2607">
        <v>1.0000000061848</v>
      </c>
    </row>
    <row r="2608" spans="1:40" x14ac:dyDescent="0.25">
      <c r="A2608" t="str">
        <f>"20190312160653078"</f>
        <v>20190312160653078</v>
      </c>
      <c r="B2608" t="str">
        <f>"1552378013067731"</f>
        <v>1552378013067731</v>
      </c>
      <c r="C2608" t="s">
        <v>40</v>
      </c>
      <c r="D2608">
        <v>6.3968160000000003</v>
      </c>
      <c r="E2608">
        <v>0.43870599999999998</v>
      </c>
      <c r="F2608" t="s">
        <v>61</v>
      </c>
      <c r="G2608">
        <v>-480.8442</v>
      </c>
      <c r="H2608" s="1">
        <v>2.067857E-6</v>
      </c>
      <c r="I2608">
        <v>281.32600000000002</v>
      </c>
      <c r="J2608">
        <v>-472.17079999999999</v>
      </c>
      <c r="K2608">
        <v>1.1104780000000001</v>
      </c>
      <c r="L2608">
        <v>284.45400000000001</v>
      </c>
      <c r="M2608">
        <v>-0.9903864</v>
      </c>
      <c r="N2608">
        <v>0</v>
      </c>
      <c r="O2608">
        <v>-0.13779169999999999</v>
      </c>
      <c r="P2608">
        <v>-0.98400270000000001</v>
      </c>
      <c r="Q2608">
        <v>-5.8945079999999997E-3</v>
      </c>
      <c r="R2608">
        <v>-0.17805660000000001</v>
      </c>
      <c r="S2608">
        <v>-2.8611149999999999</v>
      </c>
      <c r="T2608">
        <v>-0.36188720000000002</v>
      </c>
      <c r="U2608">
        <v>-1.0246280000000001</v>
      </c>
      <c r="V2608">
        <v>-4.0766379999999998E-2</v>
      </c>
      <c r="W2608">
        <v>6.2258490000000003E-3</v>
      </c>
      <c r="X2608">
        <v>0.99914930000000002</v>
      </c>
      <c r="Y2608">
        <v>-0.2037388</v>
      </c>
      <c r="Z2608">
        <v>4.2521490000000002E-3</v>
      </c>
      <c r="AA2608">
        <v>0.97901609999999994</v>
      </c>
      <c r="AB2608">
        <v>11</v>
      </c>
      <c r="AC2608">
        <v>-8.6734000000000098</v>
      </c>
      <c r="AD2608">
        <v>-1.110475932143</v>
      </c>
      <c r="AE2608">
        <v>-3.1280000000000401</v>
      </c>
      <c r="AF2608">
        <v>-1.87573838815755</v>
      </c>
      <c r="AG2608">
        <v>-1.110475932143</v>
      </c>
      <c r="AH2608">
        <v>8.8927041581753006</v>
      </c>
      <c r="AI2608">
        <v>96.966234254689297</v>
      </c>
      <c r="AJ2608">
        <v>101.910805869679</v>
      </c>
      <c r="AK2608">
        <v>9.1559673733311797</v>
      </c>
      <c r="AL2608">
        <v>89.643282820825803</v>
      </c>
      <c r="AM2608">
        <v>92.336434292286995</v>
      </c>
      <c r="AN2608">
        <v>0.99999999131228201</v>
      </c>
    </row>
    <row r="2609" spans="1:40" x14ac:dyDescent="0.25">
      <c r="A2609" t="str">
        <f>"20190312160653100"</f>
        <v>20190312160653100</v>
      </c>
      <c r="B2609" t="str">
        <f>"1552378013097988"</f>
        <v>1552378013097988</v>
      </c>
      <c r="C2609" t="s">
        <v>40</v>
      </c>
      <c r="D2609">
        <v>6.170814</v>
      </c>
      <c r="E2609">
        <v>0.43933620000000001</v>
      </c>
      <c r="F2609" t="s">
        <v>61</v>
      </c>
      <c r="G2609">
        <v>-480.9128</v>
      </c>
      <c r="H2609" s="1">
        <v>2.0805339999999999E-6</v>
      </c>
      <c r="I2609">
        <v>281.33190000000002</v>
      </c>
      <c r="J2609">
        <v>-472.27769999999998</v>
      </c>
      <c r="K2609">
        <v>1.110476</v>
      </c>
      <c r="L2609">
        <v>284.4375</v>
      </c>
      <c r="M2609">
        <v>-0.99020330000000001</v>
      </c>
      <c r="N2609">
        <v>0</v>
      </c>
      <c r="O2609">
        <v>-0.13910249999999999</v>
      </c>
      <c r="P2609">
        <v>-0.98397900000000005</v>
      </c>
      <c r="Q2609">
        <v>-6.521186E-3</v>
      </c>
      <c r="R2609">
        <v>-0.17816599999999999</v>
      </c>
      <c r="S2609">
        <v>-2.8616640000000002</v>
      </c>
      <c r="T2609">
        <v>-0.36350949999999999</v>
      </c>
      <c r="U2609">
        <v>-1.022003</v>
      </c>
      <c r="V2609">
        <v>-3.9554449999999998E-2</v>
      </c>
      <c r="W2609">
        <v>5.5940499999999997E-3</v>
      </c>
      <c r="X2609">
        <v>0.99920180000000003</v>
      </c>
      <c r="Y2609">
        <v>-0.2016068</v>
      </c>
      <c r="Z2609">
        <v>4.5599289999999999E-3</v>
      </c>
      <c r="AA2609">
        <v>0.97945590000000005</v>
      </c>
      <c r="AB2609">
        <v>11</v>
      </c>
      <c r="AC2609">
        <v>-8.6351000000000209</v>
      </c>
      <c r="AD2609">
        <v>-1.110473919466</v>
      </c>
      <c r="AE2609">
        <v>-3.1055999999999799</v>
      </c>
      <c r="AF2609">
        <v>-1.8471013545622199</v>
      </c>
      <c r="AG2609">
        <v>-1.110473919466</v>
      </c>
      <c r="AH2609">
        <v>8.8535162948258801</v>
      </c>
      <c r="AI2609">
        <v>96.999954526433399</v>
      </c>
      <c r="AJ2609">
        <v>101.784530590991</v>
      </c>
      <c r="AK2609">
        <v>9.1120626930781796</v>
      </c>
      <c r="AL2609">
        <v>89.679482886549295</v>
      </c>
      <c r="AM2609">
        <v>92.266929813852499</v>
      </c>
      <c r="AN2609">
        <v>1.0000000425167199</v>
      </c>
    </row>
    <row r="2610" spans="1:40" x14ac:dyDescent="0.25">
      <c r="A2610" t="str">
        <f>"20190312160653123"</f>
        <v>20190312160653123</v>
      </c>
      <c r="B2610" t="str">
        <f>"1552378013117514"</f>
        <v>1552378013117514</v>
      </c>
      <c r="C2610" t="s">
        <v>40</v>
      </c>
      <c r="D2610">
        <v>6.3313739999999896</v>
      </c>
      <c r="E2610">
        <v>0.43959749999999997</v>
      </c>
      <c r="F2610" t="s">
        <v>61</v>
      </c>
      <c r="G2610">
        <v>-480.83760000000001</v>
      </c>
      <c r="H2610" s="1">
        <v>2.0726179999999999E-6</v>
      </c>
      <c r="I2610">
        <v>281.39389999999997</v>
      </c>
      <c r="J2610">
        <v>-472.38580000000002</v>
      </c>
      <c r="K2610">
        <v>1.110476</v>
      </c>
      <c r="L2610">
        <v>284.42070000000001</v>
      </c>
      <c r="M2610">
        <v>-0.99001530000000004</v>
      </c>
      <c r="N2610">
        <v>0</v>
      </c>
      <c r="O2610">
        <v>-0.14043549999999999</v>
      </c>
      <c r="P2610">
        <v>-0.98394190000000004</v>
      </c>
      <c r="Q2610">
        <v>-6.1733999999999999E-3</v>
      </c>
      <c r="R2610">
        <v>-0.17838380000000001</v>
      </c>
      <c r="S2610">
        <v>-2.8620909999999999</v>
      </c>
      <c r="T2610">
        <v>-0.3712974</v>
      </c>
      <c r="U2610">
        <v>-1.0176700000000001</v>
      </c>
      <c r="V2610">
        <v>-3.8430859999999997E-2</v>
      </c>
      <c r="W2610">
        <v>5.9378440000000003E-3</v>
      </c>
      <c r="X2610">
        <v>0.99924360000000001</v>
      </c>
      <c r="Y2610">
        <v>-0.19893520000000001</v>
      </c>
      <c r="Z2610">
        <v>4.9892230000000001E-3</v>
      </c>
      <c r="AA2610">
        <v>0.98</v>
      </c>
      <c r="AB2610">
        <v>11</v>
      </c>
      <c r="AC2610">
        <v>-8.4517999999999898</v>
      </c>
      <c r="AD2610">
        <v>-1.1104739273819999</v>
      </c>
      <c r="AE2610">
        <v>-3.0268000000000299</v>
      </c>
      <c r="AF2610">
        <v>-1.78250549283663</v>
      </c>
      <c r="AG2610">
        <v>-1.1104739273819999</v>
      </c>
      <c r="AH2610">
        <v>8.6606167328812198</v>
      </c>
      <c r="AI2610">
        <v>97.158224178033606</v>
      </c>
      <c r="AJ2610">
        <v>101.63006295898499</v>
      </c>
      <c r="AK2610">
        <v>8.9116081808644498</v>
      </c>
      <c r="AL2610">
        <v>89.659784593542597</v>
      </c>
      <c r="AM2610">
        <v>92.202507347386401</v>
      </c>
      <c r="AN2610">
        <v>0.99999998056633299</v>
      </c>
    </row>
    <row r="2611" spans="1:40" x14ac:dyDescent="0.25">
      <c r="A2611" t="str">
        <f>"20190312160653144"</f>
        <v>20190312160653144</v>
      </c>
      <c r="B2611" t="str">
        <f>"1552378013138003"</f>
        <v>1552378013138003</v>
      </c>
      <c r="C2611" t="s">
        <v>40</v>
      </c>
      <c r="D2611">
        <v>6.220116</v>
      </c>
      <c r="E2611">
        <v>0.43980269999999999</v>
      </c>
      <c r="F2611" t="s">
        <v>61</v>
      </c>
      <c r="G2611">
        <v>-480.97399999999999</v>
      </c>
      <c r="H2611" s="1">
        <v>2.0947890000000002E-6</v>
      </c>
      <c r="I2611">
        <v>281.37079999999997</v>
      </c>
      <c r="J2611">
        <v>-472.49169999999998</v>
      </c>
      <c r="K2611">
        <v>1.1104750000000001</v>
      </c>
      <c r="L2611">
        <v>284.40410000000003</v>
      </c>
      <c r="M2611">
        <v>-0.98982749999999997</v>
      </c>
      <c r="N2611">
        <v>0</v>
      </c>
      <c r="O2611">
        <v>-0.14175399999999999</v>
      </c>
      <c r="P2611">
        <v>-0.98381059999999998</v>
      </c>
      <c r="Q2611">
        <v>-6.7494599999999997E-3</v>
      </c>
      <c r="R2611">
        <v>-0.17908489999999999</v>
      </c>
      <c r="S2611">
        <v>-2.8623349999999999</v>
      </c>
      <c r="T2611">
        <v>-0.37010660000000001</v>
      </c>
      <c r="U2611">
        <v>-1.01651</v>
      </c>
      <c r="V2611">
        <v>-3.7812039999999998E-2</v>
      </c>
      <c r="W2611">
        <v>5.3570659999999997E-3</v>
      </c>
      <c r="X2611">
        <v>0.99927049999999995</v>
      </c>
      <c r="Y2611">
        <v>-0.19727520000000001</v>
      </c>
      <c r="Z2611">
        <v>5.2387140000000002E-3</v>
      </c>
      <c r="AA2611">
        <v>0.98033419999999905</v>
      </c>
      <c r="AB2611">
        <v>11</v>
      </c>
      <c r="AC2611">
        <v>-8.4823000000000093</v>
      </c>
      <c r="AD2611">
        <v>-1.1104729052110001</v>
      </c>
      <c r="AE2611">
        <v>-3.0333000000000498</v>
      </c>
      <c r="AF2611">
        <v>-1.77323062163449</v>
      </c>
      <c r="AG2611">
        <v>-1.1104729052110001</v>
      </c>
      <c r="AH2611">
        <v>8.6945255082660999</v>
      </c>
      <c r="AI2611">
        <v>97.133183008039296</v>
      </c>
      <c r="AJ2611">
        <v>101.527267062397</v>
      </c>
      <c r="AK2611">
        <v>8.9427216620333105</v>
      </c>
      <c r="AL2611">
        <v>89.693061256556305</v>
      </c>
      <c r="AM2611">
        <v>92.167018021862205</v>
      </c>
      <c r="AN2611">
        <v>0.99999999034766895</v>
      </c>
    </row>
    <row r="2612" spans="1:40" x14ac:dyDescent="0.25">
      <c r="A2612" t="str">
        <f>"20190312160653167"</f>
        <v>20190312160653167</v>
      </c>
      <c r="B2612" t="str">
        <f>"1552378013157527"</f>
        <v>1552378013157527</v>
      </c>
      <c r="C2612" t="s">
        <v>40</v>
      </c>
      <c r="D2612">
        <v>6.1289239999999996</v>
      </c>
      <c r="E2612">
        <v>0.43996249999999998</v>
      </c>
      <c r="F2612" t="s">
        <v>61</v>
      </c>
      <c r="G2612">
        <v>-480.95139999999998</v>
      </c>
      <c r="H2612" s="1">
        <v>2.0931380000000001E-6</v>
      </c>
      <c r="I2612">
        <v>281.39769999999999</v>
      </c>
      <c r="J2612">
        <v>-472.59789999999998</v>
      </c>
      <c r="K2612">
        <v>1.1104700000000001</v>
      </c>
      <c r="L2612">
        <v>284.38729999999998</v>
      </c>
      <c r="M2612">
        <v>-0.98963520000000005</v>
      </c>
      <c r="N2612">
        <v>0</v>
      </c>
      <c r="O2612">
        <v>-0.14308940000000001</v>
      </c>
      <c r="P2612">
        <v>-0.98353749999999995</v>
      </c>
      <c r="Q2612">
        <v>-7.9189240000000008E-3</v>
      </c>
      <c r="R2612">
        <v>-0.18052960000000001</v>
      </c>
      <c r="S2612">
        <v>-2.8616640000000002</v>
      </c>
      <c r="T2612">
        <v>-0.37563869999999999</v>
      </c>
      <c r="U2612">
        <v>-1.0169680000000001</v>
      </c>
      <c r="V2612">
        <v>-3.7931380000000001E-2</v>
      </c>
      <c r="W2612">
        <v>4.1826290000000002E-3</v>
      </c>
      <c r="X2612">
        <v>0.99927160000000004</v>
      </c>
      <c r="Y2612">
        <v>-0.19617000000000001</v>
      </c>
      <c r="Z2612">
        <v>5.5535790000000003E-3</v>
      </c>
      <c r="AA2612">
        <v>0.98055420000000004</v>
      </c>
      <c r="AB2612">
        <v>11</v>
      </c>
      <c r="AC2612">
        <v>-8.3534999999999897</v>
      </c>
      <c r="AD2612">
        <v>-1.110467906862</v>
      </c>
      <c r="AE2612">
        <v>-2.98959999999999</v>
      </c>
      <c r="AF2612">
        <v>-1.73624767094035</v>
      </c>
      <c r="AG2612">
        <v>-1.110467906862</v>
      </c>
      <c r="AH2612">
        <v>8.5612266180581393</v>
      </c>
      <c r="AI2612">
        <v>97.244646006515495</v>
      </c>
      <c r="AJ2612">
        <v>101.464305662999</v>
      </c>
      <c r="AK2612">
        <v>8.8058103632069802</v>
      </c>
      <c r="AL2612">
        <v>89.760352314021603</v>
      </c>
      <c r="AM2612">
        <v>92.173848486776393</v>
      </c>
      <c r="AN2612">
        <v>1.0000000072702999</v>
      </c>
    </row>
    <row r="2613" spans="1:40" x14ac:dyDescent="0.25">
      <c r="A2613" t="str">
        <f>"20190312160653246"</f>
        <v>20190312160653246</v>
      </c>
      <c r="B2613" t="str">
        <f>"1552378013237556"</f>
        <v>1552378013237556</v>
      </c>
      <c r="C2613" t="s">
        <v>40</v>
      </c>
      <c r="D2613">
        <v>6.0044890000000004</v>
      </c>
      <c r="E2613">
        <v>0.45162160000000001</v>
      </c>
      <c r="F2613" t="s">
        <v>61</v>
      </c>
      <c r="G2613">
        <v>-480.97199999999998</v>
      </c>
      <c r="H2613" s="1">
        <v>2.0971409999999999E-6</v>
      </c>
      <c r="I2613">
        <v>281.40179999999998</v>
      </c>
      <c r="J2613">
        <v>-472.9742</v>
      </c>
      <c r="K2613">
        <v>1.1104940000000001</v>
      </c>
      <c r="L2613">
        <v>284.3263</v>
      </c>
      <c r="M2613">
        <v>-0.9889232</v>
      </c>
      <c r="N2613">
        <v>0</v>
      </c>
      <c r="O2613">
        <v>-0.14793149999999999</v>
      </c>
      <c r="P2613">
        <v>-0.98178540000000003</v>
      </c>
      <c r="Q2613">
        <v>-4.9119209999999996E-3</v>
      </c>
      <c r="R2613">
        <v>-0.1899313</v>
      </c>
      <c r="S2613">
        <v>-2.859985</v>
      </c>
      <c r="T2613">
        <v>-0.37925609999999998</v>
      </c>
      <c r="U2613">
        <v>-1.0196229999999999</v>
      </c>
      <c r="V2613">
        <v>-4.2600770000000003E-2</v>
      </c>
      <c r="W2613">
        <v>7.1699659999999998E-3</v>
      </c>
      <c r="X2613">
        <v>0.99906649999999997</v>
      </c>
      <c r="Y2613">
        <v>-0.19241630000000001</v>
      </c>
      <c r="Z2613">
        <v>6.4568280000000004E-3</v>
      </c>
      <c r="AA2613">
        <v>0.9812921</v>
      </c>
      <c r="AB2613">
        <v>11</v>
      </c>
      <c r="AC2613">
        <v>-7.9977999999999803</v>
      </c>
      <c r="AD2613">
        <v>-1.1104919028589999</v>
      </c>
      <c r="AE2613">
        <v>-2.9245000000000201</v>
      </c>
      <c r="AF2613">
        <v>-1.6805270161739501</v>
      </c>
      <c r="AG2613">
        <v>-1.1104919028589999</v>
      </c>
      <c r="AH2613">
        <v>8.2029546919701009</v>
      </c>
      <c r="AI2613">
        <v>97.554623918141601</v>
      </c>
      <c r="AJ2613">
        <v>101.577895458081</v>
      </c>
      <c r="AK2613">
        <v>8.4466460205764609</v>
      </c>
      <c r="AL2613">
        <v>89.589187710686502</v>
      </c>
      <c r="AM2613">
        <v>92.441645883648505</v>
      </c>
      <c r="AN2613">
        <v>1.00000005271964</v>
      </c>
    </row>
    <row r="2614" spans="1:40" x14ac:dyDescent="0.25">
      <c r="A2614" t="str">
        <f>"20190312160653267"</f>
        <v>20190312160653267</v>
      </c>
      <c r="B2614" t="str">
        <f>"1552378013258051"</f>
        <v>1552378013258051</v>
      </c>
      <c r="C2614" t="s">
        <v>40</v>
      </c>
      <c r="D2614">
        <v>6.4473580000000004</v>
      </c>
      <c r="E2614">
        <v>0.44930609999999999</v>
      </c>
      <c r="F2614" t="s">
        <v>61</v>
      </c>
      <c r="G2614">
        <v>-475.82479999999998</v>
      </c>
      <c r="H2614" s="1">
        <v>3.9213180000000001E-6</v>
      </c>
      <c r="I2614">
        <v>283.36099999999999</v>
      </c>
      <c r="J2614">
        <v>-473.07889999999998</v>
      </c>
      <c r="K2614">
        <v>1.1105020000000001</v>
      </c>
      <c r="L2614">
        <v>284.30889999999999</v>
      </c>
      <c r="M2614">
        <v>-0.98871739999999997</v>
      </c>
      <c r="N2614">
        <v>0</v>
      </c>
      <c r="O2614">
        <v>-0.14930189999999999</v>
      </c>
      <c r="P2614">
        <v>-0.98136129999999999</v>
      </c>
      <c r="Q2614">
        <v>-3.8538919999999998E-3</v>
      </c>
      <c r="R2614">
        <v>-0.19213459999999999</v>
      </c>
      <c r="S2614">
        <v>-2.8625790000000002</v>
      </c>
      <c r="T2614">
        <v>-1.1151789999999999</v>
      </c>
      <c r="U2614">
        <v>-0.96936040000000001</v>
      </c>
      <c r="V2614">
        <v>-4.3459339999999999E-2</v>
      </c>
      <c r="W2614">
        <v>8.2237449999999993E-3</v>
      </c>
      <c r="X2614">
        <v>0.99902139999999995</v>
      </c>
      <c r="Y2614">
        <v>-0.17405409999999999</v>
      </c>
      <c r="Z2614">
        <v>2.2352629999999998E-2</v>
      </c>
      <c r="AA2614">
        <v>0.98448230000000003</v>
      </c>
      <c r="AB2614">
        <v>11</v>
      </c>
      <c r="AC2614">
        <v>-2.7458999999999998</v>
      </c>
      <c r="AD2614">
        <v>-1.110498078682</v>
      </c>
      <c r="AE2614">
        <v>-0.94790000000000396</v>
      </c>
      <c r="AF2614">
        <v>-0.46004458988207197</v>
      </c>
      <c r="AG2614">
        <v>-1.110498078682</v>
      </c>
      <c r="AH2614">
        <v>2.49240953022312</v>
      </c>
      <c r="AI2614">
        <v>113.660668404898</v>
      </c>
      <c r="AJ2614">
        <v>100.45785156037</v>
      </c>
      <c r="AK2614">
        <v>2.7671198517200599</v>
      </c>
      <c r="AL2614">
        <v>89.528808832499095</v>
      </c>
      <c r="AM2614">
        <v>92.490905414855206</v>
      </c>
      <c r="AN2614">
        <v>1.0000000509364999</v>
      </c>
    </row>
    <row r="2615" spans="1:40" x14ac:dyDescent="0.25">
      <c r="A2615" t="str">
        <f>"20190312160653280"</f>
        <v>20190312160653280</v>
      </c>
      <c r="B2615" t="str">
        <f>"1552378013277572"</f>
        <v>1552378013277572</v>
      </c>
      <c r="C2615" t="s">
        <v>40</v>
      </c>
      <c r="D2615">
        <v>6.1514150000000001</v>
      </c>
      <c r="E2615">
        <v>0.44617689999999999</v>
      </c>
      <c r="F2615" t="s">
        <v>61</v>
      </c>
      <c r="G2615">
        <v>-476.03359999999998</v>
      </c>
      <c r="H2615" s="1">
        <v>3.8218199999999899E-6</v>
      </c>
      <c r="I2615">
        <v>283.28199999999998</v>
      </c>
      <c r="J2615">
        <v>-473.1395</v>
      </c>
      <c r="K2615">
        <v>1.1105100000000001</v>
      </c>
      <c r="L2615">
        <v>284.29880000000003</v>
      </c>
      <c r="M2615">
        <v>-0.9885969</v>
      </c>
      <c r="N2615">
        <v>0</v>
      </c>
      <c r="O2615">
        <v>-0.15009749999999999</v>
      </c>
      <c r="P2615">
        <v>-0.98117719999999997</v>
      </c>
      <c r="Q2615">
        <v>-3.2440139999999999E-3</v>
      </c>
      <c r="R2615">
        <v>-0.1930837</v>
      </c>
      <c r="S2615">
        <v>-2.8583069999999999</v>
      </c>
      <c r="T2615">
        <v>-1.074281</v>
      </c>
      <c r="U2615">
        <v>-0.99340819999999996</v>
      </c>
      <c r="V2615">
        <v>-4.3622029999999999E-2</v>
      </c>
      <c r="W2615">
        <v>8.832164E-3</v>
      </c>
      <c r="X2615">
        <v>0.99900909999999998</v>
      </c>
      <c r="Y2615">
        <v>-0.18087010000000001</v>
      </c>
      <c r="Z2615">
        <v>2.064616E-2</v>
      </c>
      <c r="AA2615">
        <v>0.98329029999999995</v>
      </c>
      <c r="AB2615">
        <v>11</v>
      </c>
      <c r="AC2615">
        <v>-2.8940999999999799</v>
      </c>
      <c r="AD2615">
        <v>-1.1105061781799901</v>
      </c>
      <c r="AE2615">
        <v>-1.0168000000000399</v>
      </c>
      <c r="AF2615">
        <v>-0.504704146864002</v>
      </c>
      <c r="AG2615">
        <v>-1.1105061781799901</v>
      </c>
      <c r="AH2615">
        <v>2.6647056004326801</v>
      </c>
      <c r="AI2615">
        <v>112.267454950987</v>
      </c>
      <c r="AJ2615">
        <v>100.724968625559</v>
      </c>
      <c r="AK2615">
        <v>2.9306323864679702</v>
      </c>
      <c r="AL2615">
        <v>89.493947717246698</v>
      </c>
      <c r="AM2615">
        <v>92.500249050331206</v>
      </c>
      <c r="AN2615">
        <v>1.00000003525252</v>
      </c>
    </row>
    <row r="2616" spans="1:40" x14ac:dyDescent="0.25">
      <c r="A2616" t="str">
        <f>"20190312160653292"</f>
        <v>20190312160653292</v>
      </c>
      <c r="B2616" t="str">
        <f>"1552378013287332"</f>
        <v>1552378013287332</v>
      </c>
      <c r="C2616" t="s">
        <v>40</v>
      </c>
      <c r="D2616">
        <v>6.2933979999999998</v>
      </c>
      <c r="E2616">
        <v>0.43378369999999999</v>
      </c>
      <c r="F2616" t="s">
        <v>61</v>
      </c>
      <c r="G2616">
        <v>-476.31060000000002</v>
      </c>
      <c r="H2616" s="1">
        <v>3.6888900000000001E-6</v>
      </c>
      <c r="I2616">
        <v>283.1669</v>
      </c>
      <c r="J2616">
        <v>-473.19690000000003</v>
      </c>
      <c r="K2616">
        <v>1.1105160000000001</v>
      </c>
      <c r="L2616">
        <v>284.28919999999999</v>
      </c>
      <c r="M2616">
        <v>-0.98848219999999998</v>
      </c>
      <c r="N2616">
        <v>0</v>
      </c>
      <c r="O2616">
        <v>-0.15085009999999999</v>
      </c>
      <c r="P2616">
        <v>-0.98102710000000004</v>
      </c>
      <c r="Q2616">
        <v>-2.3883749999999999E-3</v>
      </c>
      <c r="R2616">
        <v>-0.19385730000000001</v>
      </c>
      <c r="S2616">
        <v>-2.85379</v>
      </c>
      <c r="T2616">
        <v>-0.99937869999999995</v>
      </c>
      <c r="U2616">
        <v>-1.0186459999999999</v>
      </c>
      <c r="V2616">
        <v>-4.3649309999999997E-2</v>
      </c>
      <c r="W2616">
        <v>9.6861459999999996E-3</v>
      </c>
      <c r="X2616">
        <v>0.999</v>
      </c>
      <c r="Y2616">
        <v>-0.1882413</v>
      </c>
      <c r="Z2616">
        <v>1.8302280000000001E-2</v>
      </c>
      <c r="AA2616">
        <v>0.9819523</v>
      </c>
      <c r="AB2616">
        <v>11</v>
      </c>
      <c r="AC2616">
        <v>-3.1136999999999899</v>
      </c>
      <c r="AD2616">
        <v>-1.1105123111099999</v>
      </c>
      <c r="AE2616">
        <v>-1.1222999999999901</v>
      </c>
      <c r="AF2616">
        <v>-0.57498862235892001</v>
      </c>
      <c r="AG2616">
        <v>-1.1105123111099999</v>
      </c>
      <c r="AH2616">
        <v>2.9187887350699402</v>
      </c>
      <c r="AI2616">
        <v>110.470397274234</v>
      </c>
      <c r="AJ2616">
        <v>101.144320147575</v>
      </c>
      <c r="AK2616">
        <v>3.17540189408211</v>
      </c>
      <c r="AL2616">
        <v>89.445016059214197</v>
      </c>
      <c r="AM2616">
        <v>92.501833410548002</v>
      </c>
      <c r="AN2616">
        <v>1.0000000418438999</v>
      </c>
    </row>
    <row r="2617" spans="1:40" x14ac:dyDescent="0.25">
      <c r="A2617" t="str">
        <f>"20190312160653303"</f>
        <v>20190312160653303</v>
      </c>
      <c r="B2617" t="str">
        <f>"1552378013298068"</f>
        <v>1552378013298068</v>
      </c>
      <c r="C2617" t="s">
        <v>40</v>
      </c>
      <c r="D2617">
        <v>6.7306899999999903</v>
      </c>
      <c r="E2617">
        <v>0.43285610000000002</v>
      </c>
      <c r="F2617" t="s">
        <v>61</v>
      </c>
      <c r="G2617">
        <v>-480.0831</v>
      </c>
      <c r="H2617" s="1">
        <v>1.9568559999999999E-6</v>
      </c>
      <c r="I2617">
        <v>281.60070000000002</v>
      </c>
      <c r="J2617">
        <v>-473.25240000000002</v>
      </c>
      <c r="K2617">
        <v>1.1105210000000001</v>
      </c>
      <c r="L2617">
        <v>284.2799</v>
      </c>
      <c r="M2617">
        <v>-0.98837050000000004</v>
      </c>
      <c r="N2617">
        <v>0</v>
      </c>
      <c r="O2617">
        <v>-0.15158099999999999</v>
      </c>
      <c r="P2617">
        <v>-0.98089119999999996</v>
      </c>
      <c r="Q2617">
        <v>-1.37906799999999E-3</v>
      </c>
      <c r="R2617">
        <v>-0.1945529</v>
      </c>
      <c r="S2617">
        <v>-2.8379819999999998</v>
      </c>
      <c r="T2617">
        <v>-0.45767099999999999</v>
      </c>
      <c r="U2617">
        <v>-1.1080319999999999</v>
      </c>
      <c r="V2617">
        <v>-4.3620279999999997E-2</v>
      </c>
      <c r="W2617">
        <v>1.06946E-2</v>
      </c>
      <c r="X2617">
        <v>0.99899099999999996</v>
      </c>
      <c r="Y2617">
        <v>-0.21753929999999999</v>
      </c>
      <c r="Z2617">
        <v>6.3900220000000004E-3</v>
      </c>
      <c r="AA2617">
        <v>0.97603059999999997</v>
      </c>
      <c r="AB2617">
        <v>11</v>
      </c>
      <c r="AC2617">
        <v>-6.83069999999997</v>
      </c>
      <c r="AD2617">
        <v>-1.110519043144</v>
      </c>
      <c r="AE2617">
        <v>-2.6791999999999798</v>
      </c>
      <c r="AF2617">
        <v>-1.5766397943133199</v>
      </c>
      <c r="AG2617">
        <v>-1.110519043144</v>
      </c>
      <c r="AH2617">
        <v>6.9976076019987996</v>
      </c>
      <c r="AI2617">
        <v>98.800592189648995</v>
      </c>
      <c r="AJ2617">
        <v>102.697356974142</v>
      </c>
      <c r="AK2617">
        <v>7.2584817791153302</v>
      </c>
      <c r="AL2617">
        <v>89.387232912411207</v>
      </c>
      <c r="AM2617">
        <v>92.500194115176896</v>
      </c>
      <c r="AN2617">
        <v>1.0000000606887101</v>
      </c>
    </row>
    <row r="2618" spans="1:40" x14ac:dyDescent="0.25">
      <c r="A2618" t="str">
        <f>"20190312160653324"</f>
        <v>20190312160653324</v>
      </c>
      <c r="B2618" t="str">
        <f>"1552378013317587"</f>
        <v>1552378013317587</v>
      </c>
      <c r="C2618" t="s">
        <v>40</v>
      </c>
      <c r="D2618">
        <v>5.6668620000000001</v>
      </c>
      <c r="E2618">
        <v>0.4325312</v>
      </c>
      <c r="F2618" t="s">
        <v>61</v>
      </c>
      <c r="G2618">
        <v>-480.83449999999999</v>
      </c>
      <c r="H2618" s="1">
        <v>2.0634410000000001E-6</v>
      </c>
      <c r="I2618">
        <v>281.2953</v>
      </c>
      <c r="J2618">
        <v>-473.34629999999999</v>
      </c>
      <c r="K2618">
        <v>1.110517</v>
      </c>
      <c r="L2618">
        <v>284.26400000000001</v>
      </c>
      <c r="M2618">
        <v>-0.98818079999999997</v>
      </c>
      <c r="N2618">
        <v>0</v>
      </c>
      <c r="O2618">
        <v>-0.15281310000000001</v>
      </c>
      <c r="P2618">
        <v>-0.98075250000000003</v>
      </c>
      <c r="Q2618">
        <v>4.7444460000000001E-4</v>
      </c>
      <c r="R2618">
        <v>-0.19525490000000001</v>
      </c>
      <c r="S2618">
        <v>-2.8363649999999998</v>
      </c>
      <c r="T2618">
        <v>-0.41543219999999997</v>
      </c>
      <c r="U2618">
        <v>-1.1165160000000001</v>
      </c>
      <c r="V2618">
        <v>-4.3091549999999999E-2</v>
      </c>
      <c r="W2618">
        <v>1.254747E-2</v>
      </c>
      <c r="X2618">
        <v>0.99899230000000006</v>
      </c>
      <c r="Y2618">
        <v>-0.21916740000000001</v>
      </c>
      <c r="Z2618">
        <v>5.8597529999999997E-3</v>
      </c>
      <c r="AA2618">
        <v>0.97566969999999997</v>
      </c>
      <c r="AB2618">
        <v>11</v>
      </c>
      <c r="AC2618">
        <v>-7.4882</v>
      </c>
      <c r="AD2618">
        <v>-1.1105149365589999</v>
      </c>
      <c r="AE2618">
        <v>-2.9687000000000099</v>
      </c>
      <c r="AF2618">
        <v>-1.7560724000544501</v>
      </c>
      <c r="AG2618">
        <v>-1.1105149365589999</v>
      </c>
      <c r="AH2618">
        <v>7.70743920531483</v>
      </c>
      <c r="AI2618">
        <v>97.996766762730601</v>
      </c>
      <c r="AJ2618">
        <v>102.83523501881101</v>
      </c>
      <c r="AK2618">
        <v>7.9825843435680497</v>
      </c>
      <c r="AL2618">
        <v>89.281064036876302</v>
      </c>
      <c r="AM2618">
        <v>92.469923320733699</v>
      </c>
      <c r="AN2618">
        <v>0.99999996807204605</v>
      </c>
    </row>
    <row r="2619" spans="1:40" x14ac:dyDescent="0.25">
      <c r="A2619" t="str">
        <f>"20190312160653336"</f>
        <v>20190312160653336</v>
      </c>
      <c r="B2619" t="str">
        <f>"1552378013327348"</f>
        <v>1552378013327348</v>
      </c>
      <c r="C2619" t="s">
        <v>40</v>
      </c>
      <c r="D2619">
        <v>6.1174239999999998</v>
      </c>
      <c r="E2619">
        <v>0.4320485</v>
      </c>
      <c r="F2619" t="s">
        <v>61</v>
      </c>
      <c r="G2619">
        <v>-483.45699999999999</v>
      </c>
      <c r="H2619" s="1">
        <v>2.439351E-6</v>
      </c>
      <c r="I2619">
        <v>280.274</v>
      </c>
      <c r="J2619">
        <v>-473.40649999999999</v>
      </c>
      <c r="K2619">
        <v>1.1105149999999999</v>
      </c>
      <c r="L2619">
        <v>284.25369999999998</v>
      </c>
      <c r="M2619">
        <v>-0.98805829999999994</v>
      </c>
      <c r="N2619">
        <v>0</v>
      </c>
      <c r="O2619">
        <v>-0.15360309999999999</v>
      </c>
      <c r="P2619">
        <v>-0.98063959999999994</v>
      </c>
      <c r="Q2619">
        <v>1.1233180000000001E-3</v>
      </c>
      <c r="R2619">
        <v>-0.1958182</v>
      </c>
      <c r="S2619">
        <v>-2.836182</v>
      </c>
      <c r="T2619">
        <v>-0.31151380000000001</v>
      </c>
      <c r="U2619">
        <v>-1.119232</v>
      </c>
      <c r="V2619">
        <v>-4.2866830000000002E-2</v>
      </c>
      <c r="W2619">
        <v>1.3195429999999999E-2</v>
      </c>
      <c r="X2619">
        <v>0.99899360000000004</v>
      </c>
      <c r="Y2619">
        <v>-0.2194875</v>
      </c>
      <c r="Z2619">
        <v>4.4668310000000001E-3</v>
      </c>
      <c r="AA2619">
        <v>0.9756051</v>
      </c>
      <c r="AB2619">
        <v>11</v>
      </c>
      <c r="AC2619">
        <v>-10.0505</v>
      </c>
      <c r="AD2619">
        <v>-1.1105125606489901</v>
      </c>
      <c r="AE2619">
        <v>-3.9796999999999798</v>
      </c>
      <c r="AF2619">
        <v>-2.3636175216609399</v>
      </c>
      <c r="AG2619">
        <v>-1.1105125606489901</v>
      </c>
      <c r="AH2619">
        <v>10.432444711179899</v>
      </c>
      <c r="AI2619">
        <v>95.927030942210195</v>
      </c>
      <c r="AJ2619">
        <v>102.76565336951499</v>
      </c>
      <c r="AK2619">
        <v>10.7543399884831</v>
      </c>
      <c r="AL2619">
        <v>89.243935571332003</v>
      </c>
      <c r="AM2619">
        <v>92.457055443751102</v>
      </c>
      <c r="AN2619">
        <v>0.99999994866404496</v>
      </c>
    </row>
    <row r="2620" spans="1:40" x14ac:dyDescent="0.25">
      <c r="A2620" t="str">
        <f>"20190312160653357"</f>
        <v>20190312160653357</v>
      </c>
      <c r="B2620" t="str">
        <f>"1552378013347843"</f>
        <v>1552378013347843</v>
      </c>
      <c r="C2620" t="s">
        <v>40</v>
      </c>
      <c r="D2620">
        <v>6.3443639999999997</v>
      </c>
      <c r="E2620">
        <v>0.43242180000000002</v>
      </c>
      <c r="F2620" t="s">
        <v>61</v>
      </c>
      <c r="G2620">
        <v>-484.62400000000002</v>
      </c>
      <c r="H2620" s="1">
        <v>2.6053689999999999E-6</v>
      </c>
      <c r="I2620">
        <v>279.80520000000001</v>
      </c>
      <c r="J2620">
        <v>-473.50580000000002</v>
      </c>
      <c r="K2620">
        <v>1.1105130000000001</v>
      </c>
      <c r="L2620">
        <v>284.23669999999998</v>
      </c>
      <c r="M2620">
        <v>-0.98785500000000004</v>
      </c>
      <c r="N2620">
        <v>0</v>
      </c>
      <c r="O2620">
        <v>-0.15490419999999999</v>
      </c>
      <c r="P2620">
        <v>-0.98057439999999996</v>
      </c>
      <c r="Q2620">
        <v>1.5968620000000001E-3</v>
      </c>
      <c r="R2620">
        <v>-0.19614010000000001</v>
      </c>
      <c r="S2620">
        <v>-2.835083</v>
      </c>
      <c r="T2620">
        <v>-0.2806689</v>
      </c>
      <c r="U2620">
        <v>-1.124298</v>
      </c>
      <c r="V2620">
        <v>-4.1879529999999998E-2</v>
      </c>
      <c r="W2620">
        <v>1.366889E-2</v>
      </c>
      <c r="X2620">
        <v>0.99902919999999995</v>
      </c>
      <c r="Y2620">
        <v>-0.2199072</v>
      </c>
      <c r="Z2620">
        <v>4.1272089999999997E-3</v>
      </c>
      <c r="AA2620">
        <v>0.97551209999999999</v>
      </c>
      <c r="AB2620">
        <v>11</v>
      </c>
      <c r="AC2620">
        <v>-11.1182</v>
      </c>
      <c r="AD2620">
        <v>-1.11051039463099</v>
      </c>
      <c r="AE2620">
        <v>-4.4314999999999696</v>
      </c>
      <c r="AF2620">
        <v>-2.6329524274721399</v>
      </c>
      <c r="AG2620">
        <v>-1.11051039463099</v>
      </c>
      <c r="AH2620">
        <v>11.570874929445401</v>
      </c>
      <c r="AI2620">
        <v>95.346305822619598</v>
      </c>
      <c r="AJ2620">
        <v>102.819370667993</v>
      </c>
      <c r="AK2620">
        <v>11.918507392068101</v>
      </c>
      <c r="AL2620">
        <v>89.216805932383494</v>
      </c>
      <c r="AM2620">
        <v>92.400446587377601</v>
      </c>
      <c r="AN2620">
        <v>1.00000003801974</v>
      </c>
    </row>
    <row r="2621" spans="1:40" x14ac:dyDescent="0.25">
      <c r="A2621" t="str">
        <f>"20190312160653369"</f>
        <v>20190312160653369</v>
      </c>
      <c r="B2621" t="str">
        <f>"1552378013357606"</f>
        <v>1552378013357606</v>
      </c>
      <c r="C2621" t="s">
        <v>40</v>
      </c>
      <c r="D2621">
        <v>6.3479010000000002</v>
      </c>
      <c r="E2621">
        <v>0.43468669999999998</v>
      </c>
      <c r="F2621" t="s">
        <v>61</v>
      </c>
      <c r="G2621">
        <v>-485.96429999999998</v>
      </c>
      <c r="H2621" s="1">
        <v>2.7174820000000002E-6</v>
      </c>
      <c r="I2621">
        <v>279.30759999999998</v>
      </c>
      <c r="J2621">
        <v>-473.56209999999999</v>
      </c>
      <c r="K2621">
        <v>1.110511</v>
      </c>
      <c r="L2621">
        <v>284.22699999999998</v>
      </c>
      <c r="M2621">
        <v>-0.98773940000000005</v>
      </c>
      <c r="N2621">
        <v>0</v>
      </c>
      <c r="O2621">
        <v>-0.15564040000000001</v>
      </c>
      <c r="P2621">
        <v>-0.98051379999999999</v>
      </c>
      <c r="Q2621">
        <v>1.816289E-3</v>
      </c>
      <c r="R2621">
        <v>-0.19644300000000001</v>
      </c>
      <c r="S2621">
        <v>-2.83548</v>
      </c>
      <c r="T2621">
        <v>-0.25274539999999901</v>
      </c>
      <c r="U2621">
        <v>-1.121826</v>
      </c>
      <c r="V2621">
        <v>-4.1443519999999998E-2</v>
      </c>
      <c r="W2621">
        <v>1.388869E-2</v>
      </c>
      <c r="X2621">
        <v>0.9990443</v>
      </c>
      <c r="Y2621">
        <v>-0.21845709999999999</v>
      </c>
      <c r="Z2621">
        <v>3.842215E-3</v>
      </c>
      <c r="AA2621">
        <v>0.97583900000000001</v>
      </c>
      <c r="AB2621">
        <v>11</v>
      </c>
      <c r="AC2621">
        <v>-12.402199999999899</v>
      </c>
      <c r="AD2621">
        <v>-1.1105082825179999</v>
      </c>
      <c r="AE2621">
        <v>-4.9194000000000502</v>
      </c>
      <c r="AF2621">
        <v>-2.90886539952283</v>
      </c>
      <c r="AG2621">
        <v>-1.1105082825179999</v>
      </c>
      <c r="AH2621">
        <v>12.9272000630428</v>
      </c>
      <c r="AI2621">
        <v>94.790717803046903</v>
      </c>
      <c r="AJ2621">
        <v>102.681418675164</v>
      </c>
      <c r="AK2621">
        <v>13.296887907627699</v>
      </c>
      <c r="AL2621">
        <v>89.204211084413899</v>
      </c>
      <c r="AM2621">
        <v>92.375448327357105</v>
      </c>
      <c r="AN2621">
        <v>0.99999998721119798</v>
      </c>
    </row>
    <row r="2622" spans="1:40" x14ac:dyDescent="0.25">
      <c r="A2622" t="str">
        <f>"20190312160653380"</f>
        <v>20190312160653380</v>
      </c>
      <c r="B2622" t="str">
        <f>"1552378013378100"</f>
        <v>1552378013378100</v>
      </c>
      <c r="C2622" t="s">
        <v>40</v>
      </c>
      <c r="D2622">
        <v>6.4563709999999999</v>
      </c>
      <c r="E2622">
        <v>0.43757020000000002</v>
      </c>
      <c r="F2622" t="s">
        <v>61</v>
      </c>
      <c r="G2622">
        <v>-486.0027</v>
      </c>
      <c r="H2622" s="1">
        <v>2.7514940000000001E-6</v>
      </c>
      <c r="I2622">
        <v>279.38459999999998</v>
      </c>
      <c r="J2622">
        <v>-473.61500000000001</v>
      </c>
      <c r="K2622">
        <v>1.110511</v>
      </c>
      <c r="L2622">
        <v>284.21780000000001</v>
      </c>
      <c r="M2622">
        <v>-0.98763020000000001</v>
      </c>
      <c r="N2622">
        <v>0</v>
      </c>
      <c r="O2622">
        <v>-0.15633229999999901</v>
      </c>
      <c r="P2622">
        <v>-0.98043389999999997</v>
      </c>
      <c r="Q2622">
        <v>1.832251E-3</v>
      </c>
      <c r="R2622">
        <v>-0.19684080000000001</v>
      </c>
      <c r="S2622">
        <v>-2.8387150000000001</v>
      </c>
      <c r="T2622">
        <v>-0.2533977</v>
      </c>
      <c r="U2622">
        <v>-1.1049500000000001</v>
      </c>
      <c r="V2622">
        <v>-4.1149579999999998E-2</v>
      </c>
      <c r="W2622">
        <v>1.3904420000000001E-2</v>
      </c>
      <c r="X2622">
        <v>0.99905619999999995</v>
      </c>
      <c r="Y2622">
        <v>-0.2123826</v>
      </c>
      <c r="Z2622">
        <v>4.1726480000000002E-3</v>
      </c>
      <c r="AA2622">
        <v>0.97717770000000004</v>
      </c>
      <c r="AB2622">
        <v>11</v>
      </c>
      <c r="AC2622">
        <v>-12.387699999999899</v>
      </c>
      <c r="AD2622">
        <v>-1.1105082485060001</v>
      </c>
      <c r="AE2622">
        <v>-4.8332000000000299</v>
      </c>
      <c r="AF2622">
        <v>-2.8173745932419898</v>
      </c>
      <c r="AG2622">
        <v>-1.1105082485060001</v>
      </c>
      <c r="AH2622">
        <v>12.901024883435101</v>
      </c>
      <c r="AI2622">
        <v>94.807096100185305</v>
      </c>
      <c r="AJ2622">
        <v>102.319061154971</v>
      </c>
      <c r="AK2622">
        <v>13.251689371987901</v>
      </c>
      <c r="AL2622">
        <v>89.2033097097233</v>
      </c>
      <c r="AM2622">
        <v>92.358591387837507</v>
      </c>
      <c r="AN2622">
        <v>0.99999995579407497</v>
      </c>
    </row>
    <row r="2623" spans="1:40" x14ac:dyDescent="0.25">
      <c r="A2623" t="str">
        <f>"20190312160653391"</f>
        <v>20190312160653391</v>
      </c>
      <c r="B2623" t="str">
        <f>"1552378013387860"</f>
        <v>1552378013387860</v>
      </c>
      <c r="C2623" t="s">
        <v>40</v>
      </c>
      <c r="D2623">
        <v>6.5182760000000002</v>
      </c>
      <c r="E2623">
        <v>0.4387083</v>
      </c>
      <c r="F2623" t="s">
        <v>61</v>
      </c>
      <c r="G2623">
        <v>-485.4196</v>
      </c>
      <c r="H2623" s="1">
        <v>2.7388130000000001E-6</v>
      </c>
      <c r="I2623">
        <v>279.7174</v>
      </c>
      <c r="J2623">
        <v>-473.67090000000002</v>
      </c>
      <c r="K2623">
        <v>1.110511</v>
      </c>
      <c r="L2623">
        <v>284.2081</v>
      </c>
      <c r="M2623">
        <v>-0.98751420000000001</v>
      </c>
      <c r="N2623">
        <v>0</v>
      </c>
      <c r="O2623">
        <v>-0.1570627</v>
      </c>
      <c r="P2623">
        <v>-0.9804136</v>
      </c>
      <c r="Q2623">
        <v>1.6628039999999999E-3</v>
      </c>
      <c r="R2623">
        <v>-0.19694249999999999</v>
      </c>
      <c r="S2623">
        <v>-2.842743</v>
      </c>
      <c r="T2623">
        <v>-0.26742909999999998</v>
      </c>
      <c r="U2623">
        <v>-1.08377099999999</v>
      </c>
      <c r="V2623">
        <v>-4.0513680000000003E-2</v>
      </c>
      <c r="W2623">
        <v>1.373516E-2</v>
      </c>
      <c r="X2623">
        <v>0.99908459999999999</v>
      </c>
      <c r="Y2623">
        <v>-0.2048538</v>
      </c>
      <c r="Z2623">
        <v>4.8107640000000004E-3</v>
      </c>
      <c r="AA2623">
        <v>0.97878069999999895</v>
      </c>
      <c r="AB2623">
        <v>11</v>
      </c>
      <c r="AC2623">
        <v>-11.7486999999999</v>
      </c>
      <c r="AD2623">
        <v>-1.1105082611870001</v>
      </c>
      <c r="AE2623">
        <v>-4.4907000000000004</v>
      </c>
      <c r="AF2623">
        <v>-2.5695073412573</v>
      </c>
      <c r="AG2623">
        <v>-1.1105082611870001</v>
      </c>
      <c r="AH2623">
        <v>12.213028161730501</v>
      </c>
      <c r="AI2623">
        <v>95.084796852099103</v>
      </c>
      <c r="AJ2623">
        <v>101.881216483043</v>
      </c>
      <c r="AK2623">
        <v>12.529710828832499</v>
      </c>
      <c r="AL2623">
        <v>89.213008574819895</v>
      </c>
      <c r="AM2623">
        <v>92.322117460375907</v>
      </c>
      <c r="AN2623">
        <v>1.0000000254222601</v>
      </c>
    </row>
    <row r="2624" spans="1:40" x14ac:dyDescent="0.25">
      <c r="A2624" t="str">
        <f>"20190312160653404"</f>
        <v>20190312160653404</v>
      </c>
      <c r="B2624" t="str">
        <f>"1552378013397619"</f>
        <v>1552378013397619</v>
      </c>
      <c r="C2624" t="s">
        <v>40</v>
      </c>
      <c r="D2624">
        <v>6.660266</v>
      </c>
      <c r="E2624">
        <v>0.43961159999999999</v>
      </c>
      <c r="F2624" t="s">
        <v>61</v>
      </c>
      <c r="G2624">
        <v>-485.19130000000001</v>
      </c>
      <c r="H2624" s="1">
        <v>2.7101629999999999E-6</v>
      </c>
      <c r="I2624">
        <v>279.85289999999998</v>
      </c>
      <c r="J2624">
        <v>-473.7287</v>
      </c>
      <c r="K2624">
        <v>1.1105050000000001</v>
      </c>
      <c r="L2624">
        <v>284.19799999999998</v>
      </c>
      <c r="M2624">
        <v>-0.98739399999999999</v>
      </c>
      <c r="N2624">
        <v>0</v>
      </c>
      <c r="O2624">
        <v>-0.15781789999999901</v>
      </c>
      <c r="P2624">
        <v>-0.98024520000000004</v>
      </c>
      <c r="Q2624">
        <v>1.521735E-3</v>
      </c>
      <c r="R2624">
        <v>-0.1977807</v>
      </c>
      <c r="S2624">
        <v>-2.84436</v>
      </c>
      <c r="T2624">
        <v>-0.27418199999999998</v>
      </c>
      <c r="U2624">
        <v>-1.0752870000000001</v>
      </c>
      <c r="V2624">
        <v>-4.0603809999999997E-2</v>
      </c>
      <c r="W2624">
        <v>1.359308E-2</v>
      </c>
      <c r="X2624">
        <v>0.9990829</v>
      </c>
      <c r="Y2624">
        <v>-0.2013742</v>
      </c>
      <c r="Z2624">
        <v>5.1627770000000003E-3</v>
      </c>
      <c r="AA2624">
        <v>0.97950079999999995</v>
      </c>
      <c r="AB2624">
        <v>11</v>
      </c>
      <c r="AC2624">
        <v>-11.4626</v>
      </c>
      <c r="AD2624">
        <v>-1.1105022898369901</v>
      </c>
      <c r="AE2624">
        <v>-4.3451000000000004</v>
      </c>
      <c r="AF2624">
        <v>-2.4613051523317502</v>
      </c>
      <c r="AG2624">
        <v>-1.1105022898369901</v>
      </c>
      <c r="AH2624">
        <v>11.907000954467</v>
      </c>
      <c r="AI2624">
        <v>95.218559535249398</v>
      </c>
      <c r="AJ2624">
        <v>101.67916039119901</v>
      </c>
      <c r="AK2624">
        <v>12.209337005681601</v>
      </c>
      <c r="AL2624">
        <v>89.221149931279797</v>
      </c>
      <c r="AM2624">
        <v>92.327281711839106</v>
      </c>
      <c r="AN2624">
        <v>1.0000000411414001</v>
      </c>
    </row>
    <row r="2625" spans="1:40" x14ac:dyDescent="0.25">
      <c r="A2625" t="str">
        <f>"20190312160653418"</f>
        <v>20190312160653418</v>
      </c>
      <c r="B2625" t="str">
        <f>"1552378013407379"</f>
        <v>1552378013407379</v>
      </c>
      <c r="C2625" t="s">
        <v>40</v>
      </c>
      <c r="D2625">
        <v>6.2693909999999997</v>
      </c>
      <c r="E2625">
        <v>0.44082739999999998</v>
      </c>
      <c r="F2625" t="s">
        <v>61</v>
      </c>
      <c r="G2625">
        <v>-484.8322</v>
      </c>
      <c r="H2625" s="1">
        <v>2.6610239999999998E-6</v>
      </c>
      <c r="I2625">
        <v>280.01949999999999</v>
      </c>
      <c r="J2625">
        <v>-473.79500000000002</v>
      </c>
      <c r="K2625">
        <v>1.1105020000000001</v>
      </c>
      <c r="L2625">
        <v>284.18630000000002</v>
      </c>
      <c r="M2625">
        <v>-0.98725510000000005</v>
      </c>
      <c r="N2625">
        <v>0</v>
      </c>
      <c r="O2625">
        <v>-0.15868409999999999</v>
      </c>
      <c r="P2625">
        <v>-0.98010269999999999</v>
      </c>
      <c r="Q2625">
        <v>1.261819E-3</v>
      </c>
      <c r="R2625">
        <v>-0.198488</v>
      </c>
      <c r="S2625">
        <v>-2.84491</v>
      </c>
      <c r="T2625">
        <v>-0.28453119999999998</v>
      </c>
      <c r="U2625">
        <v>-1.0706180000000001</v>
      </c>
      <c r="V2625">
        <v>-4.0447209999999997E-2</v>
      </c>
      <c r="W2625">
        <v>1.333228E-2</v>
      </c>
      <c r="X2625">
        <v>0.99909269999999994</v>
      </c>
      <c r="Y2625">
        <v>-0.19904430000000001</v>
      </c>
      <c r="Z2625">
        <v>5.5517910000000004E-3</v>
      </c>
      <c r="AA2625">
        <v>0.97997469999999998</v>
      </c>
      <c r="AB2625">
        <v>11</v>
      </c>
      <c r="AC2625">
        <v>-11.037199999999901</v>
      </c>
      <c r="AD2625">
        <v>-1.1104993389760001</v>
      </c>
      <c r="AE2625">
        <v>-4.1668000000000198</v>
      </c>
      <c r="AF2625">
        <v>-2.3416913903399199</v>
      </c>
      <c r="AG2625">
        <v>-1.1104993389760001</v>
      </c>
      <c r="AH2625">
        <v>11.457070616665501</v>
      </c>
      <c r="AI2625">
        <v>95.424753841049593</v>
      </c>
      <c r="AJ2625">
        <v>101.551488815027</v>
      </c>
      <c r="AK2625">
        <v>11.7465396804641</v>
      </c>
      <c r="AL2625">
        <v>89.236093973676503</v>
      </c>
      <c r="AM2625">
        <v>92.318292993285397</v>
      </c>
      <c r="AN2625">
        <v>0.999999974840035</v>
      </c>
    </row>
    <row r="2626" spans="1:40" x14ac:dyDescent="0.25">
      <c r="A2626" t="str">
        <f>"20190312160653436"</f>
        <v>20190312160653436</v>
      </c>
      <c r="B2626" t="str">
        <f>"1552378013427875"</f>
        <v>1552378013427875</v>
      </c>
      <c r="C2626" t="s">
        <v>40</v>
      </c>
      <c r="D2626">
        <v>6.4694880000000001</v>
      </c>
      <c r="E2626">
        <v>0.44210529999999998</v>
      </c>
      <c r="F2626" t="s">
        <v>61</v>
      </c>
      <c r="G2626">
        <v>-484.40410000000003</v>
      </c>
      <c r="H2626" s="1">
        <v>2.60285E-6</v>
      </c>
      <c r="I2626">
        <v>280.22269999999997</v>
      </c>
      <c r="J2626">
        <v>-473.87810000000002</v>
      </c>
      <c r="K2626">
        <v>1.1104909999999999</v>
      </c>
      <c r="L2626">
        <v>284.17169999999999</v>
      </c>
      <c r="M2626">
        <v>-0.98707979999999995</v>
      </c>
      <c r="N2626">
        <v>0</v>
      </c>
      <c r="O2626">
        <v>-0.15977140000000001</v>
      </c>
      <c r="P2626">
        <v>-0.97981770000000001</v>
      </c>
      <c r="Q2626">
        <v>3.864141E-4</v>
      </c>
      <c r="R2626">
        <v>-0.1998944</v>
      </c>
      <c r="S2626">
        <v>-2.8459780000000001</v>
      </c>
      <c r="T2626">
        <v>-0.29790119999999998</v>
      </c>
      <c r="U2626">
        <v>-1.063293</v>
      </c>
      <c r="V2626">
        <v>-4.0779719999999998E-2</v>
      </c>
      <c r="W2626">
        <v>1.245544E-2</v>
      </c>
      <c r="X2626">
        <v>0.99909060000000005</v>
      </c>
      <c r="Y2626">
        <v>-0.19563520000000001</v>
      </c>
      <c r="Z2626">
        <v>6.0920519999999997E-3</v>
      </c>
      <c r="AA2626">
        <v>0.98065780000000002</v>
      </c>
      <c r="AB2626">
        <v>11</v>
      </c>
      <c r="AC2626">
        <v>-10.526</v>
      </c>
      <c r="AD2626">
        <v>-1.1104883971499999</v>
      </c>
      <c r="AE2626">
        <v>-3.9490000000000101</v>
      </c>
      <c r="AF2626">
        <v>-2.1949707402579501</v>
      </c>
      <c r="AG2626">
        <v>-1.1104883971499999</v>
      </c>
      <c r="AH2626">
        <v>10.9152482183001</v>
      </c>
      <c r="AI2626">
        <v>95.695881540384093</v>
      </c>
      <c r="AJ2626">
        <v>101.37008869133599</v>
      </c>
      <c r="AK2626">
        <v>11.189000165247</v>
      </c>
      <c r="AL2626">
        <v>89.286337456240403</v>
      </c>
      <c r="AM2626">
        <v>92.337335163081704</v>
      </c>
      <c r="AN2626">
        <v>1.00000007527861</v>
      </c>
    </row>
    <row r="2627" spans="1:40" x14ac:dyDescent="0.25">
      <c r="A2627" t="str">
        <f>"20190312160653458"</f>
        <v>20190312160653458</v>
      </c>
      <c r="B2627" t="str">
        <f>"1552378013447396"</f>
        <v>1552378013447396</v>
      </c>
      <c r="C2627" t="s">
        <v>40</v>
      </c>
      <c r="D2627">
        <v>6.2509670000000002</v>
      </c>
      <c r="E2627">
        <v>0.44213730000000001</v>
      </c>
      <c r="F2627" t="s">
        <v>61</v>
      </c>
      <c r="G2627">
        <v>-483.95940000000002</v>
      </c>
      <c r="H2627" s="1">
        <v>2.541756E-6</v>
      </c>
      <c r="I2627">
        <v>280.42610000000002</v>
      </c>
      <c r="J2627">
        <v>-473.98379999999997</v>
      </c>
      <c r="K2627">
        <v>1.1104810000000001</v>
      </c>
      <c r="L2627">
        <v>284.15289999999999</v>
      </c>
      <c r="M2627">
        <v>-0.98685420000000001</v>
      </c>
      <c r="N2627">
        <v>0</v>
      </c>
      <c r="O2627">
        <v>-0.16115879999999999</v>
      </c>
      <c r="P2627">
        <v>-0.97946569999999999</v>
      </c>
      <c r="Q2627" s="1">
        <v>8.993037E-5</v>
      </c>
      <c r="R2627">
        <v>-0.20161229999999999</v>
      </c>
      <c r="S2627">
        <v>-2.8461910000000001</v>
      </c>
      <c r="T2627">
        <v>-0.31351699999999999</v>
      </c>
      <c r="U2627">
        <v>-1.0574650000000001</v>
      </c>
      <c r="V2627">
        <v>-4.112764E-2</v>
      </c>
      <c r="W2627">
        <v>1.2156490000000001E-2</v>
      </c>
      <c r="X2627">
        <v>0.99907990000000002</v>
      </c>
      <c r="Y2627">
        <v>-0.1924727</v>
      </c>
      <c r="Z2627">
        <v>6.7241310000000004E-3</v>
      </c>
      <c r="AA2627">
        <v>0.98127929999999997</v>
      </c>
      <c r="AB2627">
        <v>11</v>
      </c>
      <c r="AC2627">
        <v>-9.9756000000000409</v>
      </c>
      <c r="AD2627">
        <v>-1.1104784582439999</v>
      </c>
      <c r="AE2627">
        <v>-3.7267999999999599</v>
      </c>
      <c r="AF2627">
        <v>-2.0480333845278702</v>
      </c>
      <c r="AG2627">
        <v>-1.1104784582439999</v>
      </c>
      <c r="AH2627">
        <v>10.333466111855801</v>
      </c>
      <c r="AI2627">
        <v>96.017544665760497</v>
      </c>
      <c r="AJ2627">
        <v>101.210414496184</v>
      </c>
      <c r="AK2627">
        <v>10.592833664097499</v>
      </c>
      <c r="AL2627">
        <v>89.303467241475502</v>
      </c>
      <c r="AM2627">
        <v>92.357279403546698</v>
      </c>
      <c r="AN2627">
        <v>0.999999954802548</v>
      </c>
    </row>
    <row r="2628" spans="1:40" x14ac:dyDescent="0.25">
      <c r="A2628" t="str">
        <f>"20190312160653480"</f>
        <v>20190312160653480</v>
      </c>
      <c r="B2628" t="str">
        <f>"1552378013467892"</f>
        <v>1552378013467892</v>
      </c>
      <c r="C2628" t="s">
        <v>40</v>
      </c>
      <c r="D2628">
        <v>6.3501479999999999</v>
      </c>
      <c r="E2628">
        <v>0.44207669999999999</v>
      </c>
      <c r="F2628" t="s">
        <v>61</v>
      </c>
      <c r="G2628">
        <v>-484.70530000000002</v>
      </c>
      <c r="H2628" s="1">
        <v>2.6500309999999998E-6</v>
      </c>
      <c r="I2628">
        <v>280.15100000000001</v>
      </c>
      <c r="J2628">
        <v>-474.08850000000001</v>
      </c>
      <c r="K2628">
        <v>1.110476</v>
      </c>
      <c r="L2628">
        <v>284.13409999999999</v>
      </c>
      <c r="M2628">
        <v>-0.98662780000000005</v>
      </c>
      <c r="N2628">
        <v>0</v>
      </c>
      <c r="O2628">
        <v>-0.16253870000000001</v>
      </c>
      <c r="P2628">
        <v>-0.9790124</v>
      </c>
      <c r="Q2628">
        <v>2.7825499999999998E-4</v>
      </c>
      <c r="R2628">
        <v>-0.20380100000000001</v>
      </c>
      <c r="S2628">
        <v>-2.8443909999999999</v>
      </c>
      <c r="T2628">
        <v>-0.29460560000000002</v>
      </c>
      <c r="U2628">
        <v>-1.0616760000000001</v>
      </c>
      <c r="V2628">
        <v>-4.1964090000000003E-2</v>
      </c>
      <c r="W2628">
        <v>1.234244E-2</v>
      </c>
      <c r="X2628">
        <v>0.99904289999999996</v>
      </c>
      <c r="Y2628">
        <v>-0.19260450000000001</v>
      </c>
      <c r="Z2628">
        <v>6.4502079999999998E-3</v>
      </c>
      <c r="AA2628">
        <v>0.98125530000000005</v>
      </c>
      <c r="AB2628">
        <v>11</v>
      </c>
      <c r="AC2628">
        <v>-10.6168</v>
      </c>
      <c r="AD2628">
        <v>-1.110473349969</v>
      </c>
      <c r="AE2628">
        <v>-3.9830999999999701</v>
      </c>
      <c r="AF2628">
        <v>-2.1834181757203899</v>
      </c>
      <c r="AG2628">
        <v>-1.110473349969</v>
      </c>
      <c r="AH2628">
        <v>11.017392695568301</v>
      </c>
      <c r="AI2628">
        <v>95.646476811143103</v>
      </c>
      <c r="AJ2628">
        <v>101.209586278518</v>
      </c>
      <c r="AK2628">
        <v>11.286425820401201</v>
      </c>
      <c r="AL2628">
        <v>89.2928123363113</v>
      </c>
      <c r="AM2628">
        <v>92.405254756744995</v>
      </c>
      <c r="AN2628">
        <v>1.0000000183575399</v>
      </c>
    </row>
    <row r="2629" spans="1:40" x14ac:dyDescent="0.25">
      <c r="A2629" t="str">
        <f>"20190312160653492"</f>
        <v>20190312160653492</v>
      </c>
      <c r="B2629" t="str">
        <f>"1552378013487412"</f>
        <v>1552378013487412</v>
      </c>
      <c r="C2629" t="s">
        <v>40</v>
      </c>
      <c r="D2629">
        <v>9.9453870000000002</v>
      </c>
      <c r="E2629">
        <v>0.44232630000000001</v>
      </c>
      <c r="F2629" t="s">
        <v>61</v>
      </c>
      <c r="G2629">
        <v>-485.54680000000002</v>
      </c>
      <c r="H2629" s="1">
        <v>2.7709169999999999E-6</v>
      </c>
      <c r="I2629">
        <v>279.82650000000001</v>
      </c>
      <c r="J2629">
        <v>-474.14440000000002</v>
      </c>
      <c r="K2629">
        <v>1.1104769999999999</v>
      </c>
      <c r="L2629">
        <v>284.12400000000002</v>
      </c>
      <c r="M2629">
        <v>-0.98650570000000004</v>
      </c>
      <c r="N2629">
        <v>0</v>
      </c>
      <c r="O2629">
        <v>-0.1632787</v>
      </c>
      <c r="P2629">
        <v>-0.97877970000000003</v>
      </c>
      <c r="Q2629">
        <v>1.349077E-4</v>
      </c>
      <c r="R2629">
        <v>-0.20491609999999999</v>
      </c>
      <c r="S2629">
        <v>-2.842041</v>
      </c>
      <c r="T2629">
        <v>-0.27543509999999999</v>
      </c>
      <c r="U2629">
        <v>-1.0684199999999999</v>
      </c>
      <c r="V2629">
        <v>-4.2352420000000002E-2</v>
      </c>
      <c r="W2629">
        <v>1.21975E-2</v>
      </c>
      <c r="X2629">
        <v>0.99902829999999998</v>
      </c>
      <c r="Y2629">
        <v>-0.19419059999999999</v>
      </c>
      <c r="Z2629">
        <v>6.0271419999999897E-3</v>
      </c>
      <c r="AA2629">
        <v>0.98094530000000002</v>
      </c>
      <c r="AB2629">
        <v>11</v>
      </c>
      <c r="AC2629">
        <v>-11.4024</v>
      </c>
      <c r="AD2629">
        <v>-1.1104742290830001</v>
      </c>
      <c r="AE2629">
        <v>-4.2975000000000101</v>
      </c>
      <c r="AF2629">
        <v>-2.3583275618633199</v>
      </c>
      <c r="AG2629">
        <v>-1.1104742290830001</v>
      </c>
      <c r="AH2629">
        <v>11.8526623328115</v>
      </c>
      <c r="AI2629">
        <v>95.250086461561196</v>
      </c>
      <c r="AJ2629">
        <v>101.253191911062</v>
      </c>
      <c r="AK2629">
        <v>12.1359163757069</v>
      </c>
      <c r="AL2629">
        <v>89.301117416528399</v>
      </c>
      <c r="AM2629">
        <v>92.427521587400506</v>
      </c>
      <c r="AN2629">
        <v>1.00000002534349</v>
      </c>
    </row>
    <row r="2630" spans="1:40" x14ac:dyDescent="0.25">
      <c r="A2630" t="str">
        <f>"20190312160653504"</f>
        <v>20190312160653504</v>
      </c>
      <c r="B2630" t="str">
        <f>"1552378013498148"</f>
        <v>1552378013498148</v>
      </c>
      <c r="C2630" t="s">
        <v>40</v>
      </c>
      <c r="D2630">
        <v>6.482647</v>
      </c>
      <c r="E2630">
        <v>0.44244650000000002</v>
      </c>
      <c r="F2630" t="s">
        <v>61</v>
      </c>
      <c r="G2630">
        <v>-485.95260000000002</v>
      </c>
      <c r="H2630" s="1">
        <v>2.830076E-6</v>
      </c>
      <c r="I2630">
        <v>279.67970000000003</v>
      </c>
      <c r="J2630">
        <v>-474.20650000000001</v>
      </c>
      <c r="K2630">
        <v>1.1104769999999999</v>
      </c>
      <c r="L2630">
        <v>284.11270000000002</v>
      </c>
      <c r="M2630">
        <v>-0.98636860000000004</v>
      </c>
      <c r="N2630">
        <v>0</v>
      </c>
      <c r="O2630">
        <v>-0.16410469999999999</v>
      </c>
      <c r="P2630">
        <v>-0.97852059999999996</v>
      </c>
      <c r="Q2630">
        <v>-1.6549509999999999E-4</v>
      </c>
      <c r="R2630">
        <v>-0.20615</v>
      </c>
      <c r="S2630">
        <v>-2.8412480000000002</v>
      </c>
      <c r="T2630">
        <v>-0.26719769999999998</v>
      </c>
      <c r="U2630">
        <v>-1.069366</v>
      </c>
      <c r="V2630">
        <v>-4.277512E-2</v>
      </c>
      <c r="W2630">
        <v>1.189568E-2</v>
      </c>
      <c r="X2630">
        <v>0.99901390000000001</v>
      </c>
      <c r="Y2630">
        <v>-0.19375780000000001</v>
      </c>
      <c r="Z2630">
        <v>5.9414259999999997E-3</v>
      </c>
      <c r="AA2630">
        <v>0.9810314</v>
      </c>
      <c r="AB2630">
        <v>11</v>
      </c>
      <c r="AC2630">
        <v>-11.7461</v>
      </c>
      <c r="AD2630">
        <v>-1.1104741699239999</v>
      </c>
      <c r="AE2630">
        <v>-4.4329999999999901</v>
      </c>
      <c r="AF2630">
        <v>-2.4261799311848198</v>
      </c>
      <c r="AG2630">
        <v>-1.1104741699239999</v>
      </c>
      <c r="AH2630">
        <v>12.218770109432199</v>
      </c>
      <c r="AI2630">
        <v>95.094015278669403</v>
      </c>
      <c r="AJ2630">
        <v>101.230672390539</v>
      </c>
      <c r="AK2630">
        <v>12.5067119950731</v>
      </c>
      <c r="AL2630">
        <v>89.318411662732004</v>
      </c>
      <c r="AM2630">
        <v>92.451755440725606</v>
      </c>
      <c r="AN2630">
        <v>0.99999999524344296</v>
      </c>
    </row>
    <row r="2631" spans="1:40" x14ac:dyDescent="0.25">
      <c r="A2631" t="str">
        <f>"20190312160653525"</f>
        <v>20190312160653525</v>
      </c>
      <c r="B2631" t="str">
        <f>"1552378013517667"</f>
        <v>1552378013517667</v>
      </c>
      <c r="C2631" t="s">
        <v>40</v>
      </c>
      <c r="D2631">
        <v>6.6054940000000002</v>
      </c>
      <c r="E2631">
        <v>0.44168429999999997</v>
      </c>
      <c r="F2631" t="s">
        <v>61</v>
      </c>
      <c r="G2631">
        <v>-486.15260000000001</v>
      </c>
      <c r="H2631" s="1">
        <v>2.8556740000000002E-6</v>
      </c>
      <c r="I2631">
        <v>279.60410000000002</v>
      </c>
      <c r="J2631">
        <v>-474.30290000000002</v>
      </c>
      <c r="K2631">
        <v>1.110473</v>
      </c>
      <c r="L2631">
        <v>284.0951</v>
      </c>
      <c r="M2631">
        <v>-0.98615249999999999</v>
      </c>
      <c r="N2631">
        <v>0</v>
      </c>
      <c r="O2631">
        <v>-0.1653985</v>
      </c>
      <c r="P2631">
        <v>-0.97806009999999999</v>
      </c>
      <c r="Q2631" s="1">
        <v>-6.2409790000000006E-5</v>
      </c>
      <c r="R2631">
        <v>-0.2083247</v>
      </c>
      <c r="S2631">
        <v>-2.8400270000000001</v>
      </c>
      <c r="T2631">
        <v>-0.26399889999999998</v>
      </c>
      <c r="U2631">
        <v>-1.071869</v>
      </c>
      <c r="V2631">
        <v>-4.3685380000000003E-2</v>
      </c>
      <c r="W2631">
        <v>1.1995810000000001E-2</v>
      </c>
      <c r="X2631">
        <v>0.99897329999999995</v>
      </c>
      <c r="Y2631">
        <v>-0.19337560000000001</v>
      </c>
      <c r="Z2631">
        <v>6.0020459999999996E-3</v>
      </c>
      <c r="AA2631">
        <v>0.98110649999999999</v>
      </c>
      <c r="AB2631">
        <v>11</v>
      </c>
      <c r="AC2631">
        <v>-11.849699999999901</v>
      </c>
      <c r="AD2631">
        <v>-1.1104701443260001</v>
      </c>
      <c r="AE2631">
        <v>-4.4909999999999801</v>
      </c>
      <c r="AF2631">
        <v>-2.4502535028517101</v>
      </c>
      <c r="AG2631">
        <v>-1.1104701443260001</v>
      </c>
      <c r="AH2631">
        <v>12.3346082701974</v>
      </c>
      <c r="AI2631">
        <v>95.046322369021595</v>
      </c>
      <c r="AJ2631">
        <v>101.23546545078101</v>
      </c>
      <c r="AK2631">
        <v>12.6245573129872</v>
      </c>
      <c r="AL2631">
        <v>89.312674218499694</v>
      </c>
      <c r="AM2631">
        <v>92.503965030566903</v>
      </c>
      <c r="AN2631">
        <v>0.99999998299809501</v>
      </c>
    </row>
    <row r="2632" spans="1:40" x14ac:dyDescent="0.25">
      <c r="A2632" t="str">
        <f>"20190312160653547"</f>
        <v>20190312160653547</v>
      </c>
      <c r="B2632" t="str">
        <f>"1552378013538165"</f>
        <v>1552378013538165</v>
      </c>
      <c r="C2632" t="s">
        <v>40</v>
      </c>
      <c r="D2632">
        <v>6.489198</v>
      </c>
      <c r="E2632">
        <v>0.44214330000000002</v>
      </c>
      <c r="F2632" t="s">
        <v>61</v>
      </c>
      <c r="G2632">
        <v>-486.75569999999999</v>
      </c>
      <c r="H2632" s="1">
        <v>2.8675259999999902E-6</v>
      </c>
      <c r="I2632">
        <v>279.33499999999998</v>
      </c>
      <c r="J2632">
        <v>-474.40750000000003</v>
      </c>
      <c r="K2632">
        <v>1.1104719999999999</v>
      </c>
      <c r="L2632">
        <v>284.07580000000002</v>
      </c>
      <c r="M2632">
        <v>-0.9859137</v>
      </c>
      <c r="N2632">
        <v>0</v>
      </c>
      <c r="O2632">
        <v>-0.16681670000000001</v>
      </c>
      <c r="P2632">
        <v>-0.97750959999999998</v>
      </c>
      <c r="Q2632">
        <v>-5.9134230000000001E-4</v>
      </c>
      <c r="R2632">
        <v>-0.21089089999999999</v>
      </c>
      <c r="S2632">
        <v>-2.8363339999999999</v>
      </c>
      <c r="T2632">
        <v>-0.25292890000000001</v>
      </c>
      <c r="U2632">
        <v>-1.084198</v>
      </c>
      <c r="V2632">
        <v>-4.4870779999999999E-2</v>
      </c>
      <c r="W2632">
        <v>1.146322E-2</v>
      </c>
      <c r="X2632">
        <v>0.99892709999999996</v>
      </c>
      <c r="Y2632">
        <v>-0.1961165</v>
      </c>
      <c r="Z2632">
        <v>5.7537369999999897E-3</v>
      </c>
      <c r="AA2632">
        <v>0.98056379999999999</v>
      </c>
      <c r="AB2632">
        <v>11</v>
      </c>
      <c r="AC2632">
        <v>-12.348199999999901</v>
      </c>
      <c r="AD2632">
        <v>-1.1104691324739999</v>
      </c>
      <c r="AE2632">
        <v>-4.7408000000000303</v>
      </c>
      <c r="AF2632">
        <v>-2.5960271654454501</v>
      </c>
      <c r="AG2632">
        <v>-1.1104691324739999</v>
      </c>
      <c r="AH2632">
        <v>12.8753026991683</v>
      </c>
      <c r="AI2632">
        <v>94.832667171270302</v>
      </c>
      <c r="AJ2632">
        <v>101.399618348647</v>
      </c>
      <c r="AK2632">
        <v>13.181271499105</v>
      </c>
      <c r="AL2632">
        <v>89.343191536238905</v>
      </c>
      <c r="AM2632">
        <v>92.571938722773595</v>
      </c>
      <c r="AN2632">
        <v>1.0000000717124899</v>
      </c>
    </row>
    <row r="2633" spans="1:40" x14ac:dyDescent="0.25">
      <c r="A2633" t="str">
        <f>"20190312160653570"</f>
        <v>20190312160653570</v>
      </c>
      <c r="B2633" t="str">
        <f>"1552378013557685"</f>
        <v>1552378013557685</v>
      </c>
      <c r="C2633" t="s">
        <v>40</v>
      </c>
      <c r="D2633">
        <v>6.498723</v>
      </c>
      <c r="E2633">
        <v>0.44260349999999998</v>
      </c>
      <c r="F2633" t="s">
        <v>61</v>
      </c>
      <c r="G2633">
        <v>-486.9853</v>
      </c>
      <c r="H2633" s="1">
        <v>2.8778269999999999E-6</v>
      </c>
      <c r="I2633">
        <v>279.24889999999999</v>
      </c>
      <c r="J2633">
        <v>-474.51159999999999</v>
      </c>
      <c r="K2633">
        <v>1.1104700000000001</v>
      </c>
      <c r="L2633">
        <v>284.0564</v>
      </c>
      <c r="M2633">
        <v>-0.9856703</v>
      </c>
      <c r="N2633">
        <v>0</v>
      </c>
      <c r="O2633">
        <v>-0.1682486</v>
      </c>
      <c r="P2633">
        <v>-0.97701870000000002</v>
      </c>
      <c r="Q2633">
        <v>-9.891177000000001E-4</v>
      </c>
      <c r="R2633">
        <v>-0.2131517</v>
      </c>
      <c r="S2633">
        <v>-2.8342290000000001</v>
      </c>
      <c r="T2633">
        <v>-0.25022860000000002</v>
      </c>
      <c r="U2633">
        <v>-1.087677</v>
      </c>
      <c r="V2633">
        <v>-4.5730729999999997E-2</v>
      </c>
      <c r="W2633">
        <v>1.10627E-2</v>
      </c>
      <c r="X2633">
        <v>0.99889249999999996</v>
      </c>
      <c r="Y2633">
        <v>-0.19599179999999999</v>
      </c>
      <c r="Z2633">
        <v>5.8188889999999998E-3</v>
      </c>
      <c r="AA2633">
        <v>0.98058829999999997</v>
      </c>
      <c r="AB2633">
        <v>11</v>
      </c>
      <c r="AC2633">
        <v>-12.473699999999999</v>
      </c>
      <c r="AD2633">
        <v>-1.110467122173</v>
      </c>
      <c r="AE2633">
        <v>-4.8075000000000001</v>
      </c>
      <c r="AF2633">
        <v>-2.6220277261829601</v>
      </c>
      <c r="AG2633">
        <v>-1.110467122173</v>
      </c>
      <c r="AH2633">
        <v>13.014962106690099</v>
      </c>
      <c r="AI2633">
        <v>94.781195311998502</v>
      </c>
      <c r="AJ2633">
        <v>101.390485860175</v>
      </c>
      <c r="AK2633">
        <v>13.3228152154444</v>
      </c>
      <c r="AL2633">
        <v>89.366141021904397</v>
      </c>
      <c r="AM2633">
        <v>92.621252580759005</v>
      </c>
      <c r="AN2633">
        <v>0.99999995477693504</v>
      </c>
    </row>
    <row r="2634" spans="1:40" x14ac:dyDescent="0.25">
      <c r="A2634" t="str">
        <f>"20190312160653592"</f>
        <v>20190312160653592</v>
      </c>
      <c r="B2634" t="str">
        <f>"1552378013587940"</f>
        <v>1552378013587940</v>
      </c>
      <c r="C2634" t="s">
        <v>40</v>
      </c>
      <c r="D2634">
        <v>6.5731119999999903</v>
      </c>
      <c r="E2634">
        <v>0.44377369999999999</v>
      </c>
      <c r="F2634" t="s">
        <v>61</v>
      </c>
      <c r="G2634">
        <v>-487.19880000000001</v>
      </c>
      <c r="H2634" s="1">
        <v>2.8881330000000002E-6</v>
      </c>
      <c r="I2634">
        <v>279.17090000000002</v>
      </c>
      <c r="J2634">
        <v>-474.61689999999999</v>
      </c>
      <c r="K2634">
        <v>1.110482</v>
      </c>
      <c r="L2634">
        <v>284.0367</v>
      </c>
      <c r="M2634">
        <v>-0.98541840000000003</v>
      </c>
      <c r="N2634">
        <v>0</v>
      </c>
      <c r="O2634">
        <v>-0.1697168</v>
      </c>
      <c r="P2634">
        <v>-0.97664459999999997</v>
      </c>
      <c r="Q2634">
        <v>-1.533071E-3</v>
      </c>
      <c r="R2634">
        <v>-0.2148553</v>
      </c>
      <c r="S2634">
        <v>-2.8323670000000001</v>
      </c>
      <c r="T2634">
        <v>-0.24790799999999999</v>
      </c>
      <c r="U2634">
        <v>-1.090668</v>
      </c>
      <c r="V2634">
        <v>-4.5984879999999999E-2</v>
      </c>
      <c r="W2634">
        <v>1.051675E-2</v>
      </c>
      <c r="X2634">
        <v>0.99888679999999996</v>
      </c>
      <c r="Y2634">
        <v>-0.1956562</v>
      </c>
      <c r="Z2634">
        <v>5.9020030000000003E-3</v>
      </c>
      <c r="AA2634">
        <v>0.98065480000000005</v>
      </c>
      <c r="AB2634">
        <v>11</v>
      </c>
      <c r="AC2634">
        <v>-12.581899999999999</v>
      </c>
      <c r="AD2634">
        <v>-1.1104791118670001</v>
      </c>
      <c r="AE2634">
        <v>-4.8657999999999699</v>
      </c>
      <c r="AF2634">
        <v>-2.6417825770056802</v>
      </c>
      <c r="AG2634">
        <v>-1.1104791118670001</v>
      </c>
      <c r="AH2634">
        <v>13.1361987974008</v>
      </c>
      <c r="AI2634">
        <v>94.737645654698397</v>
      </c>
      <c r="AJ2634">
        <v>101.37091080319099</v>
      </c>
      <c r="AK2634">
        <v>13.4451440262609</v>
      </c>
      <c r="AL2634">
        <v>89.397423517955801</v>
      </c>
      <c r="AM2634">
        <v>92.635814807869593</v>
      </c>
      <c r="AN2634">
        <v>1.0000000252167001</v>
      </c>
    </row>
    <row r="2635" spans="1:40" x14ac:dyDescent="0.25">
      <c r="A2635" t="str">
        <f>"20190312160653604"</f>
        <v>20190312160653604</v>
      </c>
      <c r="B2635" t="str">
        <f>"1552378013597699"</f>
        <v>1552378013597699</v>
      </c>
      <c r="C2635" t="s">
        <v>40</v>
      </c>
      <c r="D2635">
        <v>6.3786809999999896</v>
      </c>
      <c r="E2635">
        <v>0.44416719999999998</v>
      </c>
      <c r="F2635" t="s">
        <v>61</v>
      </c>
      <c r="G2635">
        <v>-486.76369999999997</v>
      </c>
      <c r="H2635" s="1">
        <v>2.8836530000000002E-6</v>
      </c>
      <c r="I2635">
        <v>279.3766</v>
      </c>
      <c r="J2635">
        <v>-474.67430000000002</v>
      </c>
      <c r="K2635">
        <v>1.11049</v>
      </c>
      <c r="L2635">
        <v>284.0258</v>
      </c>
      <c r="M2635">
        <v>-0.98527819999999999</v>
      </c>
      <c r="N2635">
        <v>0</v>
      </c>
      <c r="O2635">
        <v>-0.17052890000000001</v>
      </c>
      <c r="P2635">
        <v>-0.97643979999999997</v>
      </c>
      <c r="Q2635">
        <v>-1.42848E-3</v>
      </c>
      <c r="R2635">
        <v>-0.215785</v>
      </c>
      <c r="S2635">
        <v>-2.832306</v>
      </c>
      <c r="T2635">
        <v>-0.25893270000000002</v>
      </c>
      <c r="U2635">
        <v>-1.0866089999999999</v>
      </c>
      <c r="V2635">
        <v>-4.6112479999999997E-2</v>
      </c>
      <c r="W2635">
        <v>1.062022E-2</v>
      </c>
      <c r="X2635">
        <v>0.99887979999999998</v>
      </c>
      <c r="Y2635">
        <v>-0.1936321</v>
      </c>
      <c r="Z2635">
        <v>6.3244119999999997E-3</v>
      </c>
      <c r="AA2635">
        <v>0.98105379999999998</v>
      </c>
      <c r="AB2635">
        <v>11</v>
      </c>
      <c r="AC2635">
        <v>-12.0893999999999</v>
      </c>
      <c r="AD2635">
        <v>-1.110487116347</v>
      </c>
      <c r="AE2635">
        <v>-4.6492000000000004</v>
      </c>
      <c r="AF2635">
        <v>-2.5009648890854099</v>
      </c>
      <c r="AG2635">
        <v>-1.110487116347</v>
      </c>
      <c r="AH2635">
        <v>12.612469771228699</v>
      </c>
      <c r="AI2635">
        <v>94.936112290213202</v>
      </c>
      <c r="AJ2635">
        <v>101.215861308936</v>
      </c>
      <c r="AK2635">
        <v>12.9059056536985</v>
      </c>
      <c r="AL2635">
        <v>89.391494778783994</v>
      </c>
      <c r="AM2635">
        <v>92.643136871632194</v>
      </c>
      <c r="AN2635">
        <v>1.00000000236631</v>
      </c>
    </row>
    <row r="2636" spans="1:40" x14ac:dyDescent="0.25">
      <c r="A2636" t="str">
        <f>"20190312160653618"</f>
        <v>20190312160653618</v>
      </c>
      <c r="B2636" t="str">
        <f>"1552378013607460"</f>
        <v>1552378013607460</v>
      </c>
      <c r="C2636" t="s">
        <v>40</v>
      </c>
      <c r="D2636">
        <v>6.3656689999999996</v>
      </c>
      <c r="E2636">
        <v>0.44456669999999998</v>
      </c>
      <c r="F2636" t="s">
        <v>61</v>
      </c>
      <c r="G2636">
        <v>-486.66649999999998</v>
      </c>
      <c r="H2636" s="1">
        <v>2.8841079999999998E-6</v>
      </c>
      <c r="I2636">
        <v>279.42660000000001</v>
      </c>
      <c r="J2636">
        <v>-474.73869999999999</v>
      </c>
      <c r="K2636">
        <v>1.1104989999999999</v>
      </c>
      <c r="L2636">
        <v>284.01350000000002</v>
      </c>
      <c r="M2636">
        <v>-0.98511950000000004</v>
      </c>
      <c r="N2636">
        <v>0</v>
      </c>
      <c r="O2636">
        <v>-0.17144419999999999</v>
      </c>
      <c r="P2636">
        <v>-0.9762246</v>
      </c>
      <c r="Q2636">
        <v>-9.2671349999999997E-4</v>
      </c>
      <c r="R2636">
        <v>-0.2167607</v>
      </c>
      <c r="S2636">
        <v>-2.8319399999999999</v>
      </c>
      <c r="T2636">
        <v>-0.26223960000000002</v>
      </c>
      <c r="U2636">
        <v>-1.08609</v>
      </c>
      <c r="V2636">
        <v>-4.6182719999999997E-2</v>
      </c>
      <c r="W2636">
        <v>1.112087E-2</v>
      </c>
      <c r="X2636">
        <v>0.99887110000000001</v>
      </c>
      <c r="Y2636">
        <v>-0.19261110000000001</v>
      </c>
      <c r="Z2636">
        <v>6.5309620000000004E-3</v>
      </c>
      <c r="AA2636">
        <v>0.98125340000000005</v>
      </c>
      <c r="AB2636">
        <v>11</v>
      </c>
      <c r="AC2636">
        <v>-11.9277999999999</v>
      </c>
      <c r="AD2636">
        <v>-1.1104961158919999</v>
      </c>
      <c r="AE2636">
        <v>-4.5869000000000097</v>
      </c>
      <c r="AF2636">
        <v>-2.4553329667705199</v>
      </c>
      <c r="AG2636">
        <v>-1.1104961158919999</v>
      </c>
      <c r="AH2636">
        <v>12.4436593906868</v>
      </c>
      <c r="AI2636">
        <v>95.003704052098399</v>
      </c>
      <c r="AJ2636">
        <v>101.161988682157</v>
      </c>
      <c r="AK2636">
        <v>12.732105899361301</v>
      </c>
      <c r="AL2636">
        <v>89.362807947422397</v>
      </c>
      <c r="AM2636">
        <v>92.647180282898006</v>
      </c>
      <c r="AN2636">
        <v>0.999999995895682</v>
      </c>
    </row>
    <row r="2637" spans="1:40" x14ac:dyDescent="0.25">
      <c r="A2637" t="str">
        <f>"20190312160653637"</f>
        <v>20190312160653637</v>
      </c>
      <c r="B2637" t="str">
        <f>"1552378013627956"</f>
        <v>1552378013627956</v>
      </c>
      <c r="C2637" t="s">
        <v>40</v>
      </c>
      <c r="D2637">
        <v>6.3880670000000004</v>
      </c>
      <c r="E2637">
        <v>0.4453317</v>
      </c>
      <c r="F2637" t="s">
        <v>61</v>
      </c>
      <c r="G2637">
        <v>-486.65120000000002</v>
      </c>
      <c r="H2637" s="1">
        <v>2.8881489999999998E-6</v>
      </c>
      <c r="I2637">
        <v>279.44569999999999</v>
      </c>
      <c r="J2637">
        <v>-474.82839999999999</v>
      </c>
      <c r="K2637">
        <v>1.110517</v>
      </c>
      <c r="L2637">
        <v>283.99639999999999</v>
      </c>
      <c r="M2637">
        <v>-0.9848943</v>
      </c>
      <c r="N2637">
        <v>0</v>
      </c>
      <c r="O2637">
        <v>-0.17273339999999901</v>
      </c>
      <c r="P2637">
        <v>-0.97591719999999904</v>
      </c>
      <c r="Q2637">
        <v>5.8099019999999896E-4</v>
      </c>
      <c r="R2637">
        <v>-0.2181409</v>
      </c>
      <c r="S2637">
        <v>-2.8317260000000002</v>
      </c>
      <c r="T2637">
        <v>-0.26397559999999998</v>
      </c>
      <c r="U2637">
        <v>-1.085815</v>
      </c>
      <c r="V2637">
        <v>-4.6290020000000001E-2</v>
      </c>
      <c r="W2637">
        <v>1.262662E-2</v>
      </c>
      <c r="X2637">
        <v>0.99884830000000002</v>
      </c>
      <c r="Y2637">
        <v>-0.191277</v>
      </c>
      <c r="Z2637">
        <v>6.747276E-3</v>
      </c>
      <c r="AA2637">
        <v>0.98151290000000002</v>
      </c>
      <c r="AB2637">
        <v>11</v>
      </c>
      <c r="AC2637">
        <v>-11.822800000000001</v>
      </c>
      <c r="AD2637">
        <v>-1.110514111851</v>
      </c>
      <c r="AE2637">
        <v>-4.5507</v>
      </c>
      <c r="AF2637">
        <v>-2.4213382422092602</v>
      </c>
      <c r="AG2637">
        <v>-1.110514111851</v>
      </c>
      <c r="AH2637">
        <v>12.3363791170416</v>
      </c>
      <c r="AI2637">
        <v>95.048064286989103</v>
      </c>
      <c r="AJ2637">
        <v>101.104637194604</v>
      </c>
      <c r="AK2637">
        <v>12.6207119527856</v>
      </c>
      <c r="AL2637">
        <v>89.276528784414396</v>
      </c>
      <c r="AM2637">
        <v>92.653382387833702</v>
      </c>
      <c r="AN2637">
        <v>1.0000000619485501</v>
      </c>
    </row>
    <row r="2638" spans="1:40" x14ac:dyDescent="0.25">
      <c r="A2638" t="str">
        <f>"20190312160653660"</f>
        <v>20190312160653660</v>
      </c>
      <c r="B2638" t="str">
        <f>"1552378013647475"</f>
        <v>1552378013647475</v>
      </c>
      <c r="C2638" t="s">
        <v>40</v>
      </c>
      <c r="D2638">
        <v>6.4272669999999996</v>
      </c>
      <c r="E2638">
        <v>0.4460673</v>
      </c>
      <c r="F2638" t="s">
        <v>61</v>
      </c>
      <c r="G2638">
        <v>-486.63670000000002</v>
      </c>
      <c r="H2638" s="1">
        <v>2.896664E-6</v>
      </c>
      <c r="I2638">
        <v>279.47710000000001</v>
      </c>
      <c r="J2638">
        <v>-474.93470000000002</v>
      </c>
      <c r="K2638">
        <v>1.1105259999999999</v>
      </c>
      <c r="L2638">
        <v>283.97579999999999</v>
      </c>
      <c r="M2638">
        <v>-0.98462190000000005</v>
      </c>
      <c r="N2638">
        <v>0</v>
      </c>
      <c r="O2638">
        <v>-0.1742792</v>
      </c>
      <c r="P2638">
        <v>-0.97558219999999995</v>
      </c>
      <c r="Q2638">
        <v>2.075674E-3</v>
      </c>
      <c r="R2638">
        <v>-0.21962590000000001</v>
      </c>
      <c r="S2638">
        <v>-2.8319399999999999</v>
      </c>
      <c r="T2638">
        <v>-0.26632990000000001</v>
      </c>
      <c r="U2638">
        <v>-1.0838319999999999</v>
      </c>
      <c r="V2638">
        <v>-4.6244309999999997E-2</v>
      </c>
      <c r="W2638">
        <v>1.4120890000000001E-2</v>
      </c>
      <c r="X2638">
        <v>0.99883029999999995</v>
      </c>
      <c r="Y2638">
        <v>-0.18912399999999999</v>
      </c>
      <c r="Z2638">
        <v>7.0416860000000001E-3</v>
      </c>
      <c r="AA2638">
        <v>0.98192789999999996</v>
      </c>
      <c r="AB2638">
        <v>11</v>
      </c>
      <c r="AC2638">
        <v>-11.7019999999999</v>
      </c>
      <c r="AD2638">
        <v>-1.1105231033359999</v>
      </c>
      <c r="AE2638">
        <v>-4.4986999999999799</v>
      </c>
      <c r="AF2638">
        <v>-2.3716692985019199</v>
      </c>
      <c r="AG2638">
        <v>-1.1105231033359999</v>
      </c>
      <c r="AH2638">
        <v>12.211162786606</v>
      </c>
      <c r="AI2638">
        <v>95.101558738445803</v>
      </c>
      <c r="AJ2638">
        <v>100.991227157716</v>
      </c>
      <c r="AK2638">
        <v>12.488817935477</v>
      </c>
      <c r="AL2638">
        <v>89.190905670811304</v>
      </c>
      <c r="AM2638">
        <v>92.650813693223796</v>
      </c>
      <c r="AN2638">
        <v>0.99999995196992797</v>
      </c>
    </row>
    <row r="2639" spans="1:40" x14ac:dyDescent="0.25">
      <c r="A2639" t="str">
        <f>"20190312160653681"</f>
        <v>20190312160653681</v>
      </c>
      <c r="B2639" t="str">
        <f>"1552378013677732"</f>
        <v>1552378013677732</v>
      </c>
      <c r="C2639" t="s">
        <v>40</v>
      </c>
      <c r="D2639">
        <v>6.3956249999999999</v>
      </c>
      <c r="E2639">
        <v>0.44695940000000001</v>
      </c>
      <c r="F2639" t="s">
        <v>61</v>
      </c>
      <c r="G2639">
        <v>-486.67430000000002</v>
      </c>
      <c r="H2639" s="1">
        <v>2.9073180000000002E-6</v>
      </c>
      <c r="I2639">
        <v>279.48840000000001</v>
      </c>
      <c r="J2639">
        <v>-475.03789999999998</v>
      </c>
      <c r="K2639">
        <v>1.1105370000000001</v>
      </c>
      <c r="L2639">
        <v>283.95569999999998</v>
      </c>
      <c r="M2639">
        <v>-0.98435300000000003</v>
      </c>
      <c r="N2639">
        <v>0</v>
      </c>
      <c r="O2639">
        <v>-0.17579120000000001</v>
      </c>
      <c r="P2639">
        <v>-0.97528530000000002</v>
      </c>
      <c r="Q2639">
        <v>2.3259499999999998E-3</v>
      </c>
      <c r="R2639">
        <v>-0.22093769999999999</v>
      </c>
      <c r="S2639">
        <v>-2.8319700000000001</v>
      </c>
      <c r="T2639">
        <v>-0.26789359999999901</v>
      </c>
      <c r="U2639">
        <v>-1.0825199999999999</v>
      </c>
      <c r="V2639">
        <v>-4.6054119999999997E-2</v>
      </c>
      <c r="W2639">
        <v>1.437072E-2</v>
      </c>
      <c r="X2639">
        <v>0.99883560000000005</v>
      </c>
      <c r="Y2639">
        <v>-0.18722730000000001</v>
      </c>
      <c r="Z2639">
        <v>7.3040709999999997E-3</v>
      </c>
      <c r="AA2639">
        <v>0.98228950000000004</v>
      </c>
      <c r="AB2639">
        <v>11</v>
      </c>
      <c r="AC2639">
        <v>-11.6364</v>
      </c>
      <c r="AD2639">
        <v>-1.110534092682</v>
      </c>
      <c r="AE2639">
        <v>-4.4672999999999599</v>
      </c>
      <c r="AF2639">
        <v>-2.33347250178445</v>
      </c>
      <c r="AG2639">
        <v>-1.110534092682</v>
      </c>
      <c r="AH2639">
        <v>12.144133171562901</v>
      </c>
      <c r="AI2639">
        <v>95.131587934565104</v>
      </c>
      <c r="AJ2639">
        <v>100.87671069199</v>
      </c>
      <c r="AK2639">
        <v>12.4160521252228</v>
      </c>
      <c r="AL2639">
        <v>89.176590075142798</v>
      </c>
      <c r="AM2639">
        <v>92.639913099681294</v>
      </c>
      <c r="AN2639">
        <v>1.00000002769482</v>
      </c>
    </row>
    <row r="2640" spans="1:40" x14ac:dyDescent="0.25">
      <c r="A2640" t="str">
        <f>"20190312160653694"</f>
        <v>20190312160653694</v>
      </c>
      <c r="B2640" t="str">
        <f>"1552378013687492"</f>
        <v>1552378013687492</v>
      </c>
      <c r="C2640" t="s">
        <v>40</v>
      </c>
      <c r="D2640">
        <v>6.5636419999999998</v>
      </c>
      <c r="E2640">
        <v>0.447135</v>
      </c>
      <c r="F2640" t="s">
        <v>61</v>
      </c>
      <c r="G2640">
        <v>-486.5641</v>
      </c>
      <c r="H2640" s="1">
        <v>2.9136630000000002E-6</v>
      </c>
      <c r="I2640">
        <v>279.5616</v>
      </c>
      <c r="J2640">
        <v>-475.09730000000002</v>
      </c>
      <c r="K2640">
        <v>1.110536</v>
      </c>
      <c r="L2640">
        <v>283.94409999999999</v>
      </c>
      <c r="M2640">
        <v>-0.98419659999999998</v>
      </c>
      <c r="N2640">
        <v>0</v>
      </c>
      <c r="O2640">
        <v>-0.17666479999999901</v>
      </c>
      <c r="P2640">
        <v>-0.97516769999999997</v>
      </c>
      <c r="Q2640">
        <v>2.6755590000000001E-3</v>
      </c>
      <c r="R2640">
        <v>-0.2214518</v>
      </c>
      <c r="S2640">
        <v>-2.8321230000000002</v>
      </c>
      <c r="T2640">
        <v>-0.27287220000000001</v>
      </c>
      <c r="U2640">
        <v>-1.0796809999999999</v>
      </c>
      <c r="V2640">
        <v>-4.5694760000000001E-2</v>
      </c>
      <c r="W2640">
        <v>1.4720209999999999E-2</v>
      </c>
      <c r="X2640">
        <v>0.99884700000000004</v>
      </c>
      <c r="Y2640">
        <v>-0.1854867</v>
      </c>
      <c r="Z2640">
        <v>7.6002119999999899E-3</v>
      </c>
      <c r="AA2640">
        <v>0.98261739999999997</v>
      </c>
      <c r="AB2640">
        <v>11</v>
      </c>
      <c r="AC2640">
        <v>-11.4667999999999</v>
      </c>
      <c r="AD2640">
        <v>-1.110533086337</v>
      </c>
      <c r="AE2640">
        <v>-4.3824999999999896</v>
      </c>
      <c r="AF2640">
        <v>-2.2690592956648299</v>
      </c>
      <c r="AG2640">
        <v>-1.110533086337</v>
      </c>
      <c r="AH2640">
        <v>11.962799153395</v>
      </c>
      <c r="AI2640">
        <v>95.211303101370902</v>
      </c>
      <c r="AJ2640">
        <v>100.740064731212</v>
      </c>
      <c r="AK2640">
        <v>12.2266298466732</v>
      </c>
      <c r="AL2640">
        <v>89.156563642219197</v>
      </c>
      <c r="AM2640">
        <v>92.619312823219303</v>
      </c>
      <c r="AN2640">
        <v>1.0000000125414501</v>
      </c>
    </row>
    <row r="2641" spans="1:40" x14ac:dyDescent="0.25">
      <c r="A2641" t="str">
        <f>"20190312160653707"</f>
        <v>20190312160653707</v>
      </c>
      <c r="B2641" t="str">
        <f>"1552378013698227"</f>
        <v>1552378013698227</v>
      </c>
      <c r="C2641" t="s">
        <v>40</v>
      </c>
      <c r="D2641">
        <v>6.3482849999999997</v>
      </c>
      <c r="E2641">
        <v>0.4473934</v>
      </c>
      <c r="F2641" t="s">
        <v>61</v>
      </c>
      <c r="G2641">
        <v>-486.61040000000003</v>
      </c>
      <c r="H2641" s="1">
        <v>2.919239E-6</v>
      </c>
      <c r="I2641">
        <v>279.55419999999998</v>
      </c>
      <c r="J2641">
        <v>-475.15899999999999</v>
      </c>
      <c r="K2641">
        <v>1.1105370000000001</v>
      </c>
      <c r="L2641">
        <v>283.93189999999998</v>
      </c>
      <c r="M2641">
        <v>-0.98403260000000004</v>
      </c>
      <c r="N2641">
        <v>0</v>
      </c>
      <c r="O2641">
        <v>-0.17757590000000001</v>
      </c>
      <c r="P2641">
        <v>-0.97501119999999997</v>
      </c>
      <c r="Q2641">
        <v>2.6135279999999999E-3</v>
      </c>
      <c r="R2641">
        <v>-0.22214049999999999</v>
      </c>
      <c r="S2641">
        <v>-2.8319399999999999</v>
      </c>
      <c r="T2641">
        <v>-0.27316380000000001</v>
      </c>
      <c r="U2641">
        <v>-1.0798030000000001</v>
      </c>
      <c r="V2641">
        <v>-4.5475229999999998E-2</v>
      </c>
      <c r="W2641">
        <v>1.46587E-2</v>
      </c>
      <c r="X2641">
        <v>0.99885789999999997</v>
      </c>
      <c r="Y2641">
        <v>-0.18464179999999999</v>
      </c>
      <c r="Z2641">
        <v>7.7303319999999899E-3</v>
      </c>
      <c r="AA2641">
        <v>0.98277550000000002</v>
      </c>
      <c r="AB2641">
        <v>11</v>
      </c>
      <c r="AC2641">
        <v>-11.4514</v>
      </c>
      <c r="AD2641">
        <v>-1.110534080761</v>
      </c>
      <c r="AE2641">
        <v>-4.3776999999999999</v>
      </c>
      <c r="AF2641">
        <v>-2.2559621918132602</v>
      </c>
      <c r="AG2641">
        <v>-1.110534080761</v>
      </c>
      <c r="AH2641">
        <v>11.948761968244</v>
      </c>
      <c r="AI2641">
        <v>95.218224003492494</v>
      </c>
      <c r="AJ2641">
        <v>100.69175951862</v>
      </c>
      <c r="AK2641">
        <v>12.2104694393449</v>
      </c>
      <c r="AL2641">
        <v>89.160088266270805</v>
      </c>
      <c r="AM2641">
        <v>92.606717928048099</v>
      </c>
      <c r="AN2641">
        <v>0.999999989210826</v>
      </c>
    </row>
    <row r="2642" spans="1:40" x14ac:dyDescent="0.25">
      <c r="A2642" t="str">
        <f>"20190312160653725"</f>
        <v>20190312160653725</v>
      </c>
      <c r="B2642" t="str">
        <f>"1552378013717748"</f>
        <v>1552378013717748</v>
      </c>
      <c r="C2642" t="s">
        <v>40</v>
      </c>
      <c r="D2642">
        <v>6.3567010000000002</v>
      </c>
      <c r="E2642">
        <v>0.44796380000000002</v>
      </c>
      <c r="F2642" t="s">
        <v>61</v>
      </c>
      <c r="G2642">
        <v>-486.58629999999999</v>
      </c>
      <c r="H2642" s="1">
        <v>2.922385E-6</v>
      </c>
      <c r="I2642">
        <v>279.5752</v>
      </c>
      <c r="J2642">
        <v>-475.24549999999999</v>
      </c>
      <c r="K2642">
        <v>1.110536</v>
      </c>
      <c r="L2642">
        <v>283.91469999999998</v>
      </c>
      <c r="M2642">
        <v>-0.98380080000000003</v>
      </c>
      <c r="N2642">
        <v>0</v>
      </c>
      <c r="O2642">
        <v>-0.17885680000000001</v>
      </c>
      <c r="P2642">
        <v>-0.97478220000000004</v>
      </c>
      <c r="Q2642">
        <v>3.666112E-3</v>
      </c>
      <c r="R2642">
        <v>-0.22312870000000001</v>
      </c>
      <c r="S2642">
        <v>-2.8316650000000001</v>
      </c>
      <c r="T2642">
        <v>-0.27518870000000001</v>
      </c>
      <c r="U2642">
        <v>-1.07959</v>
      </c>
      <c r="V2642">
        <v>-4.518921E-2</v>
      </c>
      <c r="W2642">
        <v>1.571096E-2</v>
      </c>
      <c r="X2642">
        <v>0.99885489999999999</v>
      </c>
      <c r="Y2642">
        <v>-0.18333920000000001</v>
      </c>
      <c r="Z2642">
        <v>7.96585E-3</v>
      </c>
      <c r="AA2642">
        <v>0.98301740000000004</v>
      </c>
      <c r="AB2642">
        <v>11</v>
      </c>
      <c r="AC2642">
        <v>-11.3408</v>
      </c>
      <c r="AD2642">
        <v>-1.110533077615</v>
      </c>
      <c r="AE2642">
        <v>-4.3394999999999797</v>
      </c>
      <c r="AF2642">
        <v>-2.2223992742710301</v>
      </c>
      <c r="AG2642">
        <v>-1.110533077615</v>
      </c>
      <c r="AH2642">
        <v>11.835116571582899</v>
      </c>
      <c r="AI2642">
        <v>95.269020588257703</v>
      </c>
      <c r="AJ2642">
        <v>100.63515752886801</v>
      </c>
      <c r="AK2642">
        <v>12.093069358674599</v>
      </c>
      <c r="AL2642">
        <v>89.099791268183694</v>
      </c>
      <c r="AM2642">
        <v>92.590352943974295</v>
      </c>
      <c r="AN2642">
        <v>1.0000000051092699</v>
      </c>
    </row>
    <row r="2643" spans="1:40" x14ac:dyDescent="0.25">
      <c r="A2643" t="str">
        <f>"20190312160653739"</f>
        <v>20190312160653739</v>
      </c>
      <c r="B2643" t="str">
        <f>"1552378013727508"</f>
        <v>1552378013727508</v>
      </c>
      <c r="C2643" t="s">
        <v>40</v>
      </c>
      <c r="D2643">
        <v>6.5399659999999997</v>
      </c>
      <c r="E2643">
        <v>0.44811810000000002</v>
      </c>
      <c r="F2643" t="s">
        <v>61</v>
      </c>
      <c r="G2643">
        <v>-486.58479999999997</v>
      </c>
      <c r="H2643" s="1">
        <v>2.9308599999999999E-6</v>
      </c>
      <c r="I2643">
        <v>279.59989999999999</v>
      </c>
      <c r="J2643">
        <v>-475.30869999999999</v>
      </c>
      <c r="K2643">
        <v>1.1105370000000001</v>
      </c>
      <c r="L2643">
        <v>283.90210000000002</v>
      </c>
      <c r="M2643">
        <v>-0.98363009999999995</v>
      </c>
      <c r="N2643">
        <v>0</v>
      </c>
      <c r="O2643">
        <v>-0.17979300000000001</v>
      </c>
      <c r="P2643">
        <v>-0.9746667</v>
      </c>
      <c r="Q2643">
        <v>4.1902980000000003E-3</v>
      </c>
      <c r="R2643">
        <v>-0.22362399999999999</v>
      </c>
      <c r="S2643">
        <v>-2.8320310000000002</v>
      </c>
      <c r="T2643">
        <v>-0.27735979999999999</v>
      </c>
      <c r="U2643">
        <v>-1.077637</v>
      </c>
      <c r="V2643">
        <v>-4.4746830000000001E-2</v>
      </c>
      <c r="W2643">
        <v>1.6235889999999999E-2</v>
      </c>
      <c r="X2643">
        <v>0.99886640000000004</v>
      </c>
      <c r="Y2643">
        <v>-0.18177869999999999</v>
      </c>
      <c r="Z2643">
        <v>8.1882150000000004E-3</v>
      </c>
      <c r="AA2643">
        <v>0.9833054</v>
      </c>
      <c r="AB2643">
        <v>11</v>
      </c>
      <c r="AC2643">
        <v>-11.2760999999999</v>
      </c>
      <c r="AD2643">
        <v>-1.1105340691399901</v>
      </c>
      <c r="AE2643">
        <v>-4.3022000000000196</v>
      </c>
      <c r="AF2643">
        <v>-2.18606163701073</v>
      </c>
      <c r="AG2643">
        <v>-1.1105340691399901</v>
      </c>
      <c r="AH2643">
        <v>11.7662608836002</v>
      </c>
      <c r="AI2643">
        <v>95.301576756008004</v>
      </c>
      <c r="AJ2643">
        <v>100.525015519082</v>
      </c>
      <c r="AK2643">
        <v>12.019028520661401</v>
      </c>
      <c r="AL2643">
        <v>89.069711137078002</v>
      </c>
      <c r="AM2643">
        <v>92.564999214218702</v>
      </c>
      <c r="AN2643">
        <v>0.99999998398404999</v>
      </c>
    </row>
    <row r="2644" spans="1:40" x14ac:dyDescent="0.25">
      <c r="A2644" t="str">
        <f>"20190312160653751"</f>
        <v>20190312160653751</v>
      </c>
      <c r="B2644" t="str">
        <f>"1552378013748004"</f>
        <v>1552378013748004</v>
      </c>
      <c r="C2644" t="s">
        <v>40</v>
      </c>
      <c r="D2644">
        <v>6.3363129999999996</v>
      </c>
      <c r="E2644">
        <v>0.4485557</v>
      </c>
      <c r="F2644" t="s">
        <v>61</v>
      </c>
      <c r="G2644">
        <v>-486.68729999999999</v>
      </c>
      <c r="H2644" s="1">
        <v>2.93898E-6</v>
      </c>
      <c r="I2644">
        <v>279.57139999999998</v>
      </c>
      <c r="J2644">
        <v>-475.36799999999999</v>
      </c>
      <c r="K2644">
        <v>1.110538</v>
      </c>
      <c r="L2644">
        <v>283.89019999999999</v>
      </c>
      <c r="M2644">
        <v>-0.98346869999999997</v>
      </c>
      <c r="N2644">
        <v>0</v>
      </c>
      <c r="O2644">
        <v>-0.18067349999999999</v>
      </c>
      <c r="P2644">
        <v>-0.97450040000000004</v>
      </c>
      <c r="Q2644">
        <v>4.9906589999999997E-3</v>
      </c>
      <c r="R2644">
        <v>-0.22433149999999999</v>
      </c>
      <c r="S2644">
        <v>-2.831909</v>
      </c>
      <c r="T2644">
        <v>-0.27638980000000002</v>
      </c>
      <c r="U2644">
        <v>-1.07782</v>
      </c>
      <c r="V2644">
        <v>-4.4579059999999997E-2</v>
      </c>
      <c r="W2644">
        <v>1.70364E-2</v>
      </c>
      <c r="X2644">
        <v>0.99886059999999999</v>
      </c>
      <c r="Y2644">
        <v>-0.18097489999999999</v>
      </c>
      <c r="Z2644">
        <v>8.2782159999999997E-3</v>
      </c>
      <c r="AA2644">
        <v>0.98345289999999996</v>
      </c>
      <c r="AB2644">
        <v>11</v>
      </c>
      <c r="AC2644">
        <v>-11.319299999999901</v>
      </c>
      <c r="AD2644">
        <v>-1.11053506102</v>
      </c>
      <c r="AE2644">
        <v>-4.3188000000000004</v>
      </c>
      <c r="AF2644">
        <v>-2.1841165450253102</v>
      </c>
      <c r="AG2644">
        <v>-1.11053506102</v>
      </c>
      <c r="AH2644">
        <v>11.814075824145499</v>
      </c>
      <c r="AI2644">
        <v>95.281108334134203</v>
      </c>
      <c r="AJ2644">
        <v>100.474242738396</v>
      </c>
      <c r="AK2644">
        <v>12.065489661951901</v>
      </c>
      <c r="AL2644">
        <v>89.0238389725518</v>
      </c>
      <c r="AM2644">
        <v>92.555409812532304</v>
      </c>
      <c r="AN2644">
        <v>1.0000000148738999</v>
      </c>
    </row>
    <row r="2645" spans="1:40" x14ac:dyDescent="0.25">
      <c r="A2645" t="str">
        <f>"20190312160653764"</f>
        <v>20190312160653764</v>
      </c>
      <c r="B2645" t="str">
        <f>"1552378013757763"</f>
        <v>1552378013757763</v>
      </c>
      <c r="C2645" t="s">
        <v>40</v>
      </c>
      <c r="D2645">
        <v>6.3700479999999997</v>
      </c>
      <c r="E2645">
        <v>0.44879750000000002</v>
      </c>
      <c r="F2645" t="s">
        <v>61</v>
      </c>
      <c r="G2645">
        <v>-486.71589999999998</v>
      </c>
      <c r="H2645" s="1">
        <v>2.9457110000000001E-6</v>
      </c>
      <c r="I2645">
        <v>279.5761</v>
      </c>
      <c r="J2645">
        <v>-475.42619999999999</v>
      </c>
      <c r="K2645">
        <v>1.110538</v>
      </c>
      <c r="L2645">
        <v>283.8784</v>
      </c>
      <c r="M2645">
        <v>-0.98330930000000005</v>
      </c>
      <c r="N2645">
        <v>0</v>
      </c>
      <c r="O2645">
        <v>-0.18153929999999999</v>
      </c>
      <c r="P2645">
        <v>-0.9743811</v>
      </c>
      <c r="Q2645">
        <v>4.827418E-3</v>
      </c>
      <c r="R2645">
        <v>-0.2248522</v>
      </c>
      <c r="S2645">
        <v>-2.8320919999999998</v>
      </c>
      <c r="T2645">
        <v>-0.27715659999999998</v>
      </c>
      <c r="U2645">
        <v>-1.07666</v>
      </c>
      <c r="V2645">
        <v>-4.423291E-2</v>
      </c>
      <c r="W2645">
        <v>1.6873340000000001E-2</v>
      </c>
      <c r="X2645">
        <v>0.99887870000000001</v>
      </c>
      <c r="Y2645">
        <v>-0.1797443</v>
      </c>
      <c r="Z2645">
        <v>8.4387049999999995E-3</v>
      </c>
      <c r="AA2645">
        <v>0.98367709999999997</v>
      </c>
      <c r="AB2645">
        <v>11</v>
      </c>
      <c r="AC2645">
        <v>-11.2896999999999</v>
      </c>
      <c r="AD2645">
        <v>-1.110535054289</v>
      </c>
      <c r="AE2645">
        <v>-4.3022999999999998</v>
      </c>
      <c r="AF2645">
        <v>-2.1628528039259001</v>
      </c>
      <c r="AG2645">
        <v>-1.110535054289</v>
      </c>
      <c r="AH2645">
        <v>11.783612132592999</v>
      </c>
      <c r="AI2645">
        <v>95.295928263218201</v>
      </c>
      <c r="AJ2645">
        <v>100.400730389633</v>
      </c>
      <c r="AK2645">
        <v>12.0318217760091</v>
      </c>
      <c r="AL2645">
        <v>89.033182910983996</v>
      </c>
      <c r="AM2645">
        <v>92.535547534405794</v>
      </c>
      <c r="AN2645">
        <v>0.99999995862175595</v>
      </c>
    </row>
    <row r="2646" spans="1:40" x14ac:dyDescent="0.25">
      <c r="A2646" t="str">
        <f>"20190312160653782"</f>
        <v>20190312160653782</v>
      </c>
      <c r="B2646" t="str">
        <f>"1552378013778260"</f>
        <v>1552378013778260</v>
      </c>
      <c r="C2646" t="s">
        <v>40</v>
      </c>
      <c r="D2646">
        <v>6.3672839999999997</v>
      </c>
      <c r="E2646">
        <v>0.4492236</v>
      </c>
      <c r="F2646" t="s">
        <v>61</v>
      </c>
      <c r="G2646">
        <v>-486.66930000000002</v>
      </c>
      <c r="H2646" s="1">
        <v>2.9476290000000001E-6</v>
      </c>
      <c r="I2646">
        <v>279.60489999999999</v>
      </c>
      <c r="J2646">
        <v>-475.50900000000001</v>
      </c>
      <c r="K2646">
        <v>1.1105259999999999</v>
      </c>
      <c r="L2646">
        <v>283.86160000000001</v>
      </c>
      <c r="M2646">
        <v>-0.98308039999999997</v>
      </c>
      <c r="N2646">
        <v>0</v>
      </c>
      <c r="O2646">
        <v>-0.18277470000000001</v>
      </c>
      <c r="P2646">
        <v>-0.97404369999999996</v>
      </c>
      <c r="Q2646">
        <v>4.7994600000000002E-3</v>
      </c>
      <c r="R2646">
        <v>-0.22631029999999999</v>
      </c>
      <c r="S2646">
        <v>-2.8318479999999999</v>
      </c>
      <c r="T2646">
        <v>-0.27971570000000001</v>
      </c>
      <c r="U2646">
        <v>-1.0763849999999999</v>
      </c>
      <c r="V2646">
        <v>-4.4472989999999997E-2</v>
      </c>
      <c r="W2646">
        <v>1.6844729999999999E-2</v>
      </c>
      <c r="X2646">
        <v>0.9988686</v>
      </c>
      <c r="Y2646">
        <v>-0.17846329999999999</v>
      </c>
      <c r="Z2646">
        <v>8.692366E-3</v>
      </c>
      <c r="AA2646">
        <v>0.98390820000000001</v>
      </c>
      <c r="AB2646">
        <v>11</v>
      </c>
      <c r="AC2646">
        <v>-11.160299999999999</v>
      </c>
      <c r="AD2646">
        <v>-1.1105230523709999</v>
      </c>
      <c r="AE2646">
        <v>-4.2567000000000199</v>
      </c>
      <c r="AF2646">
        <v>-2.1266321020362602</v>
      </c>
      <c r="AG2646">
        <v>-1.1105230523709999</v>
      </c>
      <c r="AH2646">
        <v>11.649648940377499</v>
      </c>
      <c r="AI2646">
        <v>95.357359962296599</v>
      </c>
      <c r="AJ2646">
        <v>100.345375724013</v>
      </c>
      <c r="AK2646">
        <v>11.8941223291715</v>
      </c>
      <c r="AL2646">
        <v>89.034822450921396</v>
      </c>
      <c r="AM2646">
        <v>92.549317191976201</v>
      </c>
      <c r="AN2646">
        <v>1.0000000359171299</v>
      </c>
    </row>
    <row r="2647" spans="1:40" x14ac:dyDescent="0.25">
      <c r="A2647" t="str">
        <f>"20190312160653804"</f>
        <v>20190312160653804</v>
      </c>
      <c r="B2647" t="str">
        <f>"1552378013797779"</f>
        <v>1552378013797779</v>
      </c>
      <c r="C2647" t="s">
        <v>40</v>
      </c>
      <c r="D2647">
        <v>6.3451250000000003</v>
      </c>
      <c r="E2647">
        <v>0.44955099999999998</v>
      </c>
      <c r="F2647" t="s">
        <v>61</v>
      </c>
      <c r="G2647">
        <v>-486.64370000000002</v>
      </c>
      <c r="H2647" s="1">
        <v>2.947777E-6</v>
      </c>
      <c r="I2647">
        <v>279.62389999999999</v>
      </c>
      <c r="J2647">
        <v>-475.61250000000001</v>
      </c>
      <c r="K2647">
        <v>1.1105259999999999</v>
      </c>
      <c r="L2647">
        <v>283.84050000000002</v>
      </c>
      <c r="M2647">
        <v>-0.98279059999999996</v>
      </c>
      <c r="N2647">
        <v>0</v>
      </c>
      <c r="O2647">
        <v>-0.18432589999999999</v>
      </c>
      <c r="P2647">
        <v>-0.97343970000000002</v>
      </c>
      <c r="Q2647">
        <v>4.9072100000000004E-3</v>
      </c>
      <c r="R2647">
        <v>-0.22889109999999999</v>
      </c>
      <c r="S2647">
        <v>-2.8309630000000001</v>
      </c>
      <c r="T2647">
        <v>-0.28234670000000001</v>
      </c>
      <c r="U2647">
        <v>-1.077423</v>
      </c>
      <c r="V2647">
        <v>-4.5544550000000003E-2</v>
      </c>
      <c r="W2647">
        <v>1.6950099999999999E-2</v>
      </c>
      <c r="X2647">
        <v>0.99881850000000005</v>
      </c>
      <c r="Y2647">
        <v>-0.177339</v>
      </c>
      <c r="Z2647">
        <v>8.9744249999999994E-3</v>
      </c>
      <c r="AA2647">
        <v>0.98410889999999995</v>
      </c>
      <c r="AB2647">
        <v>11</v>
      </c>
      <c r="AC2647">
        <v>-11.0312</v>
      </c>
      <c r="AD2647">
        <v>-1.1105230522229901</v>
      </c>
      <c r="AE2647">
        <v>-4.2166000000000201</v>
      </c>
      <c r="AF2647">
        <v>-2.0923517302618202</v>
      </c>
      <c r="AG2647">
        <v>-1.1105230522229901</v>
      </c>
      <c r="AH2647">
        <v>11.5175937070261</v>
      </c>
      <c r="AI2647">
        <v>95.419260047671798</v>
      </c>
      <c r="AJ2647">
        <v>100.296389281773</v>
      </c>
      <c r="AK2647">
        <v>11.7586632749125</v>
      </c>
      <c r="AL2647">
        <v>89.028784301710999</v>
      </c>
      <c r="AM2647">
        <v>92.610788815782598</v>
      </c>
      <c r="AN2647">
        <v>1.00000000393348</v>
      </c>
    </row>
    <row r="2648" spans="1:40" x14ac:dyDescent="0.25">
      <c r="A2648" t="str">
        <f>"20190312160653827"</f>
        <v>20190312160653827</v>
      </c>
      <c r="B2648" t="str">
        <f>"1552378013818276"</f>
        <v>1552378013818276</v>
      </c>
      <c r="C2648" t="s">
        <v>40</v>
      </c>
      <c r="D2648">
        <v>6.3548150000000003</v>
      </c>
      <c r="E2648">
        <v>0.44982680000000003</v>
      </c>
      <c r="F2648" t="s">
        <v>61</v>
      </c>
      <c r="G2648">
        <v>-486.62130000000002</v>
      </c>
      <c r="H2648" s="1">
        <v>2.9442530000000001E-6</v>
      </c>
      <c r="I2648">
        <v>279.62900000000002</v>
      </c>
      <c r="J2648">
        <v>-475.71780000000001</v>
      </c>
      <c r="K2648">
        <v>1.110528</v>
      </c>
      <c r="L2648">
        <v>283.81869999999998</v>
      </c>
      <c r="M2648">
        <v>-0.98249149999999996</v>
      </c>
      <c r="N2648">
        <v>0</v>
      </c>
      <c r="O2648">
        <v>-0.18591389999999999</v>
      </c>
      <c r="P2648">
        <v>-0.97285909999999998</v>
      </c>
      <c r="Q2648">
        <v>5.1288669999999996E-3</v>
      </c>
      <c r="R2648">
        <v>-0.2313412</v>
      </c>
      <c r="S2648">
        <v>-2.828827</v>
      </c>
      <c r="T2648">
        <v>-0.2853618</v>
      </c>
      <c r="U2648">
        <v>-1.082184</v>
      </c>
      <c r="V2648">
        <v>-4.644595E-2</v>
      </c>
      <c r="W2648">
        <v>1.716989E-2</v>
      </c>
      <c r="X2648">
        <v>0.99877320000000003</v>
      </c>
      <c r="Y2648">
        <v>-0.17744799999999999</v>
      </c>
      <c r="Z2648">
        <v>9.2173429999999994E-3</v>
      </c>
      <c r="AA2648">
        <v>0.98408700000000005</v>
      </c>
      <c r="AB2648">
        <v>11</v>
      </c>
      <c r="AC2648">
        <v>-10.903499999999999</v>
      </c>
      <c r="AD2648">
        <v>-1.1105250557469999</v>
      </c>
      <c r="AE2648">
        <v>-4.1896999999999496</v>
      </c>
      <c r="AF2648">
        <v>-2.0706688965494702</v>
      </c>
      <c r="AG2648">
        <v>-1.1105250557469999</v>
      </c>
      <c r="AH2648">
        <v>11.389413523535501</v>
      </c>
      <c r="AI2648">
        <v>95.479755923636304</v>
      </c>
      <c r="AJ2648">
        <v>100.30419606756701</v>
      </c>
      <c r="AK2648">
        <v>11.629259477226899</v>
      </c>
      <c r="AL2648">
        <v>89.016189394252606</v>
      </c>
      <c r="AM2648">
        <v>92.662507483486095</v>
      </c>
      <c r="AN2648">
        <v>0.99999996821612602</v>
      </c>
    </row>
    <row r="2649" spans="1:40" x14ac:dyDescent="0.25">
      <c r="A2649" t="str">
        <f>"20190312160653850"</f>
        <v>20190312160653850</v>
      </c>
      <c r="B2649" t="str">
        <f>"1552378013837796"</f>
        <v>1552378013837796</v>
      </c>
      <c r="C2649" t="s">
        <v>40</v>
      </c>
      <c r="D2649">
        <v>6.3265909999999996</v>
      </c>
      <c r="E2649">
        <v>0.44970840000000001</v>
      </c>
      <c r="F2649" t="s">
        <v>61</v>
      </c>
      <c r="G2649">
        <v>-486.57839999999999</v>
      </c>
      <c r="H2649" s="1">
        <v>2.937775E-6</v>
      </c>
      <c r="I2649">
        <v>279.642</v>
      </c>
      <c r="J2649">
        <v>-475.82350000000002</v>
      </c>
      <c r="K2649">
        <v>1.1105370000000001</v>
      </c>
      <c r="L2649">
        <v>283.79669999999999</v>
      </c>
      <c r="M2649">
        <v>-0.98218550000000004</v>
      </c>
      <c r="N2649">
        <v>0</v>
      </c>
      <c r="O2649">
        <v>-0.1875231</v>
      </c>
      <c r="P2649">
        <v>-0.97221610000000003</v>
      </c>
      <c r="Q2649">
        <v>5.2264959999999997E-3</v>
      </c>
      <c r="R2649">
        <v>-0.23402729999999999</v>
      </c>
      <c r="S2649">
        <v>-2.826721</v>
      </c>
      <c r="T2649">
        <v>-0.28904030000000003</v>
      </c>
      <c r="U2649">
        <v>-1.087097</v>
      </c>
      <c r="V2649">
        <v>-4.7568840000000001E-2</v>
      </c>
      <c r="W2649">
        <v>1.7264290000000002E-2</v>
      </c>
      <c r="X2649">
        <v>0.99871869999999996</v>
      </c>
      <c r="Y2649">
        <v>-0.17757870000000001</v>
      </c>
      <c r="Z2649">
        <v>9.4858170000000006E-3</v>
      </c>
      <c r="AA2649">
        <v>0.98406090000000002</v>
      </c>
      <c r="AB2649">
        <v>11</v>
      </c>
      <c r="AC2649">
        <v>-10.7548999999999</v>
      </c>
      <c r="AD2649">
        <v>-1.110534062225</v>
      </c>
      <c r="AE2649">
        <v>-4.1546999999999903</v>
      </c>
      <c r="AF2649">
        <v>-2.0450716780849398</v>
      </c>
      <c r="AG2649">
        <v>-1.110534062225</v>
      </c>
      <c r="AH2649">
        <v>11.2389689351079</v>
      </c>
      <c r="AI2649">
        <v>95.552545483364597</v>
      </c>
      <c r="AJ2649">
        <v>100.312854400061</v>
      </c>
      <c r="AK2649">
        <v>11.4773702038484</v>
      </c>
      <c r="AL2649">
        <v>89.010779848675696</v>
      </c>
      <c r="AM2649">
        <v>92.726929561698597</v>
      </c>
      <c r="AN2649">
        <v>0.99999994598891795</v>
      </c>
    </row>
    <row r="2650" spans="1:40" x14ac:dyDescent="0.25">
      <c r="A2650" t="str">
        <f>"20190312160653874"</f>
        <v>20190312160653874</v>
      </c>
      <c r="B2650" t="str">
        <f>"1552378013868052"</f>
        <v>1552378013868052</v>
      </c>
      <c r="C2650" t="s">
        <v>40</v>
      </c>
      <c r="D2650">
        <v>6.4223210000000002</v>
      </c>
      <c r="E2650">
        <v>0.42213790000000001</v>
      </c>
      <c r="F2650" t="s">
        <v>61</v>
      </c>
      <c r="G2650">
        <v>-486.6225</v>
      </c>
      <c r="H2650" s="1">
        <v>2.938973E-6</v>
      </c>
      <c r="I2650">
        <v>279.60390000000001</v>
      </c>
      <c r="J2650">
        <v>-475.9359</v>
      </c>
      <c r="K2650">
        <v>1.11054599999999</v>
      </c>
      <c r="L2650">
        <v>283.77319999999997</v>
      </c>
      <c r="M2650">
        <v>-0.9818538</v>
      </c>
      <c r="N2650">
        <v>0</v>
      </c>
      <c r="O2650">
        <v>-0.18925230000000001</v>
      </c>
      <c r="P2650">
        <v>-0.97153310000000004</v>
      </c>
      <c r="Q2650">
        <v>4.9791920000000003E-3</v>
      </c>
      <c r="R2650">
        <v>-0.2368516</v>
      </c>
      <c r="S2650">
        <v>-2.8234249999999999</v>
      </c>
      <c r="T2650">
        <v>-0.290352</v>
      </c>
      <c r="U2650">
        <v>-1.096222</v>
      </c>
      <c r="V2650">
        <v>-4.8712440000000003E-2</v>
      </c>
      <c r="W2650">
        <v>1.7013509999999999E-2</v>
      </c>
      <c r="X2650">
        <v>0.998668</v>
      </c>
      <c r="Y2650">
        <v>-0.17899880000000001</v>
      </c>
      <c r="Z2650">
        <v>9.6278879999999994E-3</v>
      </c>
      <c r="AA2650">
        <v>0.98380219999999896</v>
      </c>
      <c r="AB2650">
        <v>11</v>
      </c>
      <c r="AC2650">
        <v>-10.6866</v>
      </c>
      <c r="AD2650">
        <v>-1.11054306102699</v>
      </c>
      <c r="AE2650">
        <v>-4.1692999999999598</v>
      </c>
      <c r="AF2650">
        <v>-2.0520978706280602</v>
      </c>
      <c r="AG2650">
        <v>-1.11054306102699</v>
      </c>
      <c r="AH2650">
        <v>11.177791108371199</v>
      </c>
      <c r="AI2650">
        <v>95.581195253195702</v>
      </c>
      <c r="AJ2650">
        <v>100.40292223410999</v>
      </c>
      <c r="AK2650">
        <v>11.4187313491217</v>
      </c>
      <c r="AL2650">
        <v>89.025150714614398</v>
      </c>
      <c r="AM2650">
        <v>92.792526525514205</v>
      </c>
      <c r="AN2650">
        <v>1.00000006777863</v>
      </c>
    </row>
    <row r="2651" spans="1:40" x14ac:dyDescent="0.25">
      <c r="A2651" t="str">
        <f>"20190312160653894"</f>
        <v>20190312160653894</v>
      </c>
      <c r="B2651" t="str">
        <f>"1552378013887571"</f>
        <v>1552378013887571</v>
      </c>
      <c r="C2651" t="s">
        <v>40</v>
      </c>
      <c r="D2651">
        <v>6.4688169999999996</v>
      </c>
      <c r="E2651">
        <v>0.4212745</v>
      </c>
      <c r="F2651" t="s">
        <v>61</v>
      </c>
      <c r="G2651">
        <v>-484.08550000000002</v>
      </c>
      <c r="H2651" s="1">
        <v>2.5172479999999999E-6</v>
      </c>
      <c r="I2651">
        <v>279.88979999999998</v>
      </c>
      <c r="J2651">
        <v>-476.0308</v>
      </c>
      <c r="K2651">
        <v>1.110557</v>
      </c>
      <c r="L2651">
        <v>283.75299999999999</v>
      </c>
      <c r="M2651">
        <v>-0.98156710000000003</v>
      </c>
      <c r="N2651">
        <v>0</v>
      </c>
      <c r="O2651">
        <v>-0.19073370000000001</v>
      </c>
      <c r="P2651">
        <v>-0.97090699999999996</v>
      </c>
      <c r="Q2651">
        <v>5.4758009999999998E-3</v>
      </c>
      <c r="R2651">
        <v>-0.23939440000000001</v>
      </c>
      <c r="S2651">
        <v>-2.7682799999999999</v>
      </c>
      <c r="T2651">
        <v>-0.37723050000000002</v>
      </c>
      <c r="U2651">
        <v>-1.3190919999999999</v>
      </c>
      <c r="V2651">
        <v>-4.982201E-2</v>
      </c>
      <c r="W2651">
        <v>1.7507439999999999E-2</v>
      </c>
      <c r="X2651">
        <v>0.99860470000000001</v>
      </c>
      <c r="Y2651">
        <v>-0.2496196</v>
      </c>
      <c r="Z2651">
        <v>8.1199589999999995E-3</v>
      </c>
      <c r="AA2651">
        <v>0.96830989999999995</v>
      </c>
      <c r="AB2651">
        <v>11</v>
      </c>
      <c r="AC2651">
        <v>-8.05470000000002</v>
      </c>
      <c r="AD2651">
        <v>-1.110554482752</v>
      </c>
      <c r="AE2651">
        <v>-3.8632</v>
      </c>
      <c r="AF2651">
        <v>-2.2215196150249401</v>
      </c>
      <c r="AG2651">
        <v>-1.110554482752</v>
      </c>
      <c r="AH2651">
        <v>8.5121513774505893</v>
      </c>
      <c r="AI2651">
        <v>97.194880888483297</v>
      </c>
      <c r="AJ2651">
        <v>104.626913740422</v>
      </c>
      <c r="AK2651">
        <v>8.8670853008040496</v>
      </c>
      <c r="AL2651">
        <v>88.996846372434206</v>
      </c>
      <c r="AM2651">
        <v>92.856211177839299</v>
      </c>
      <c r="AN2651">
        <v>1.0000000449989399</v>
      </c>
    </row>
    <row r="2652" spans="1:40" x14ac:dyDescent="0.25">
      <c r="A2652" t="str">
        <f>"20190312160653915"</f>
        <v>20190312160653915</v>
      </c>
      <c r="B2652" t="str">
        <f>"1552378013908071"</f>
        <v>1552378013908071</v>
      </c>
      <c r="C2652" t="s">
        <v>40</v>
      </c>
      <c r="D2652">
        <v>6.316865</v>
      </c>
      <c r="E2652">
        <v>0.42171979999999998</v>
      </c>
      <c r="F2652" t="s">
        <v>61</v>
      </c>
      <c r="G2652">
        <v>-484.08780000000002</v>
      </c>
      <c r="H2652" s="1">
        <v>2.5157899999999998E-6</v>
      </c>
      <c r="I2652">
        <v>279.86849999999998</v>
      </c>
      <c r="J2652">
        <v>-476.13459999999998</v>
      </c>
      <c r="K2652">
        <v>1.110563</v>
      </c>
      <c r="L2652">
        <v>283.73079999999999</v>
      </c>
      <c r="M2652">
        <v>-0.98124659999999997</v>
      </c>
      <c r="N2652">
        <v>0</v>
      </c>
      <c r="O2652">
        <v>-0.19237609999999999</v>
      </c>
      <c r="P2652">
        <v>-0.97022719999999996</v>
      </c>
      <c r="Q2652">
        <v>6.0193719999999899E-3</v>
      </c>
      <c r="R2652">
        <v>-0.24212249999999999</v>
      </c>
      <c r="S2652">
        <v>-2.7634889999999999</v>
      </c>
      <c r="T2652">
        <v>-0.380911</v>
      </c>
      <c r="U2652">
        <v>-1.3323670000000001</v>
      </c>
      <c r="V2652">
        <v>-5.0959070000000002E-2</v>
      </c>
      <c r="W2652">
        <v>1.8047609999999999E-2</v>
      </c>
      <c r="X2652">
        <v>0.99853769999999997</v>
      </c>
      <c r="Y2652">
        <v>-0.25241370000000002</v>
      </c>
      <c r="Z2652">
        <v>8.2249790000000003E-3</v>
      </c>
      <c r="AA2652">
        <v>0.96758440000000001</v>
      </c>
      <c r="AB2652">
        <v>11</v>
      </c>
      <c r="AC2652">
        <v>-7.95320000000003</v>
      </c>
      <c r="AD2652">
        <v>-1.1105604842100001</v>
      </c>
      <c r="AE2652">
        <v>-3.8622999999999998</v>
      </c>
      <c r="AF2652">
        <v>-2.2249248401433399</v>
      </c>
      <c r="AG2652">
        <v>-1.1105604842100001</v>
      </c>
      <c r="AH2652">
        <v>8.4149239478789397</v>
      </c>
      <c r="AI2652">
        <v>97.271116552284596</v>
      </c>
      <c r="AJ2652">
        <v>104.81022115440101</v>
      </c>
      <c r="AK2652">
        <v>8.7746555591636799</v>
      </c>
      <c r="AL2652">
        <v>88.965892015966702</v>
      </c>
      <c r="AM2652">
        <v>92.921480913604398</v>
      </c>
      <c r="AN2652">
        <v>1.0000000406816301</v>
      </c>
    </row>
    <row r="2653" spans="1:40" x14ac:dyDescent="0.25">
      <c r="A2653" t="str">
        <f>"20190312160653938"</f>
        <v>20190312160653938</v>
      </c>
      <c r="B2653" t="str">
        <f>"1552378013927588"</f>
        <v>1552378013927588</v>
      </c>
      <c r="C2653" t="s">
        <v>40</v>
      </c>
      <c r="D2653">
        <v>6.2979779999999996</v>
      </c>
      <c r="E2653">
        <v>0.42217379999999999</v>
      </c>
      <c r="F2653" t="s">
        <v>61</v>
      </c>
      <c r="G2653">
        <v>-484.10770000000002</v>
      </c>
      <c r="H2653" s="1">
        <v>2.5194890000000001E-6</v>
      </c>
      <c r="I2653">
        <v>279.87040000000002</v>
      </c>
      <c r="J2653">
        <v>-476.23590000000002</v>
      </c>
      <c r="K2653">
        <v>1.1105700000000001</v>
      </c>
      <c r="L2653">
        <v>283.70890000000003</v>
      </c>
      <c r="M2653">
        <v>-0.9809272</v>
      </c>
      <c r="N2653">
        <v>0</v>
      </c>
      <c r="O2653">
        <v>-0.19399820000000001</v>
      </c>
      <c r="P2653">
        <v>-0.96976969999999996</v>
      </c>
      <c r="Q2653">
        <v>5.5911709999999998E-3</v>
      </c>
      <c r="R2653">
        <v>-0.24395800000000001</v>
      </c>
      <c r="S2653">
        <v>-2.7608640000000002</v>
      </c>
      <c r="T2653">
        <v>-0.38455630000000002</v>
      </c>
      <c r="U2653">
        <v>-1.3367610000000001</v>
      </c>
      <c r="V2653">
        <v>-5.1197050000000001E-2</v>
      </c>
      <c r="W2653">
        <v>1.761805E-2</v>
      </c>
      <c r="X2653">
        <v>0.99853309999999995</v>
      </c>
      <c r="Y2653">
        <v>-0.25242530000000002</v>
      </c>
      <c r="Z2653">
        <v>8.5111909999999995E-3</v>
      </c>
      <c r="AA2653">
        <v>0.96757890000000002</v>
      </c>
      <c r="AB2653">
        <v>11</v>
      </c>
      <c r="AC2653">
        <v>-7.8718000000000004</v>
      </c>
      <c r="AD2653">
        <v>-1.110567480511</v>
      </c>
      <c r="AE2653">
        <v>-3.83850000000001</v>
      </c>
      <c r="AF2653">
        <v>-2.2029141527855902</v>
      </c>
      <c r="AG2653">
        <v>-1.110567480511</v>
      </c>
      <c r="AH2653">
        <v>8.3329475526913601</v>
      </c>
      <c r="AI2653">
        <v>97.341988438280794</v>
      </c>
      <c r="AJ2653">
        <v>104.808062175562</v>
      </c>
      <c r="AK2653">
        <v>8.6904663746669293</v>
      </c>
      <c r="AL2653">
        <v>88.990507805643801</v>
      </c>
      <c r="AM2653">
        <v>92.935113991626906</v>
      </c>
      <c r="AN2653">
        <v>0.99999994270505499</v>
      </c>
    </row>
    <row r="2654" spans="1:40" x14ac:dyDescent="0.25">
      <c r="A2654" t="str">
        <f>"20190312160653960"</f>
        <v>20190312160653960</v>
      </c>
      <c r="B2654" t="str">
        <f>"1552378013957844"</f>
        <v>1552378013957844</v>
      </c>
      <c r="C2654" t="s">
        <v>40</v>
      </c>
      <c r="D2654">
        <v>6.2951790000000001</v>
      </c>
      <c r="E2654">
        <v>0.42288150000000002</v>
      </c>
      <c r="F2654" t="s">
        <v>61</v>
      </c>
      <c r="G2654">
        <v>-484.0736</v>
      </c>
      <c r="H2654" s="1">
        <v>2.5165570000000001E-6</v>
      </c>
      <c r="I2654">
        <v>279.90609999999998</v>
      </c>
      <c r="J2654">
        <v>-476.34030000000001</v>
      </c>
      <c r="K2654">
        <v>1.1105799999999999</v>
      </c>
      <c r="L2654">
        <v>283.68619999999999</v>
      </c>
      <c r="M2654">
        <v>-0.98059200000000002</v>
      </c>
      <c r="N2654">
        <v>0</v>
      </c>
      <c r="O2654">
        <v>-0.19568579999999999</v>
      </c>
      <c r="P2654">
        <v>-0.96931429999999996</v>
      </c>
      <c r="Q2654">
        <v>5.8521399999999996E-3</v>
      </c>
      <c r="R2654">
        <v>-0.24575520000000001</v>
      </c>
      <c r="S2654">
        <v>-2.7590029999999999</v>
      </c>
      <c r="T2654">
        <v>-0.39093739999999999</v>
      </c>
      <c r="U2654">
        <v>-1.338654</v>
      </c>
      <c r="V2654">
        <v>-5.1331080000000001E-2</v>
      </c>
      <c r="W2654">
        <v>1.7877879999999999E-2</v>
      </c>
      <c r="X2654">
        <v>0.99852169999999896</v>
      </c>
      <c r="Y2654">
        <v>-0.2515578</v>
      </c>
      <c r="Z2654">
        <v>8.9300719999999903E-3</v>
      </c>
      <c r="AA2654">
        <v>0.96780109999999997</v>
      </c>
      <c r="AB2654">
        <v>11</v>
      </c>
      <c r="AC2654">
        <v>-7.7332999999999803</v>
      </c>
      <c r="AD2654">
        <v>-1.110577483443</v>
      </c>
      <c r="AE2654">
        <v>-3.7801</v>
      </c>
      <c r="AF2654">
        <v>-2.1576817850563699</v>
      </c>
      <c r="AG2654">
        <v>-1.110577483443</v>
      </c>
      <c r="AH2654">
        <v>8.1872452269615703</v>
      </c>
      <c r="AI2654">
        <v>97.472746467438398</v>
      </c>
      <c r="AJ2654">
        <v>104.764135307315</v>
      </c>
      <c r="AK2654">
        <v>8.5393183240057091</v>
      </c>
      <c r="AL2654">
        <v>88.975618398740593</v>
      </c>
      <c r="AM2654">
        <v>92.942817947528596</v>
      </c>
      <c r="AN2654">
        <v>1.00000004186907</v>
      </c>
    </row>
    <row r="2655" spans="1:40" x14ac:dyDescent="0.25">
      <c r="A2655" t="str">
        <f>"20190312160653985"</f>
        <v>20190312160653985</v>
      </c>
      <c r="B2655" t="str">
        <f>"1552378013978340"</f>
        <v>1552378013978340</v>
      </c>
      <c r="C2655" t="s">
        <v>40</v>
      </c>
      <c r="D2655">
        <v>6.2823539999999998</v>
      </c>
      <c r="E2655">
        <v>0.4228364</v>
      </c>
      <c r="F2655" t="s">
        <v>61</v>
      </c>
      <c r="G2655">
        <v>-484.16129999999998</v>
      </c>
      <c r="H2655" s="1">
        <v>2.53091E-6</v>
      </c>
      <c r="I2655">
        <v>279.89240000000001</v>
      </c>
      <c r="J2655">
        <v>-476.45490000000001</v>
      </c>
      <c r="K2655">
        <v>1.1105849999999999</v>
      </c>
      <c r="L2655">
        <v>283.661</v>
      </c>
      <c r="M2655">
        <v>-0.98021740000000002</v>
      </c>
      <c r="N2655">
        <v>0</v>
      </c>
      <c r="O2655">
        <v>-0.19755410000000001</v>
      </c>
      <c r="P2655">
        <v>-0.96893499999999999</v>
      </c>
      <c r="Q2655">
        <v>6.40794E-3</v>
      </c>
      <c r="R2655">
        <v>-0.24723329999999999</v>
      </c>
      <c r="S2655">
        <v>-2.7581180000000001</v>
      </c>
      <c r="T2655">
        <v>-0.39165100000000003</v>
      </c>
      <c r="U2655">
        <v>-1.3379209999999999</v>
      </c>
      <c r="V2655">
        <v>-5.0952509999999999E-2</v>
      </c>
      <c r="W2655">
        <v>1.843378E-2</v>
      </c>
      <c r="X2655">
        <v>0.9985309</v>
      </c>
      <c r="Y2655">
        <v>-0.24965480000000001</v>
      </c>
      <c r="Z2655">
        <v>9.3178080000000003E-3</v>
      </c>
      <c r="AA2655">
        <v>0.96828999999999998</v>
      </c>
      <c r="AB2655">
        <v>11</v>
      </c>
      <c r="AC2655">
        <v>-7.7063999999999702</v>
      </c>
      <c r="AD2655">
        <v>-1.1105824690899999</v>
      </c>
      <c r="AE2655">
        <v>-3.76859999999999</v>
      </c>
      <c r="AF2655">
        <v>-2.13597594609702</v>
      </c>
      <c r="AG2655">
        <v>-1.1105824690899999</v>
      </c>
      <c r="AH2655">
        <v>8.16225611758966</v>
      </c>
      <c r="AI2655">
        <v>97.498771218197007</v>
      </c>
      <c r="AJ2655">
        <v>104.66484553648699</v>
      </c>
      <c r="AK2655">
        <v>8.5098890469902706</v>
      </c>
      <c r="AL2655">
        <v>88.943762338917693</v>
      </c>
      <c r="AM2655">
        <v>92.921125338820104</v>
      </c>
      <c r="AN2655">
        <v>0.99999996038759797</v>
      </c>
    </row>
    <row r="2656" spans="1:40" x14ac:dyDescent="0.25">
      <c r="A2656" t="str">
        <f>"20190312160654005"</f>
        <v>20190312160654005</v>
      </c>
      <c r="B2656" t="str">
        <f>"1552378013997860"</f>
        <v>1552378013997860</v>
      </c>
      <c r="C2656" t="s">
        <v>40</v>
      </c>
      <c r="D2656">
        <v>6.230855</v>
      </c>
      <c r="E2656">
        <v>0.42289900000000002</v>
      </c>
      <c r="F2656" t="s">
        <v>61</v>
      </c>
      <c r="G2656">
        <v>-484.3064</v>
      </c>
      <c r="H2656" s="1">
        <v>2.551868E-6</v>
      </c>
      <c r="I2656">
        <v>279.83760000000001</v>
      </c>
      <c r="J2656">
        <v>-476.54899999999998</v>
      </c>
      <c r="K2656">
        <v>1.1105849999999999</v>
      </c>
      <c r="L2656">
        <v>283.64010000000002</v>
      </c>
      <c r="M2656">
        <v>-0.97990480000000002</v>
      </c>
      <c r="N2656">
        <v>0</v>
      </c>
      <c r="O2656">
        <v>-0.19909869999999999</v>
      </c>
      <c r="P2656">
        <v>-0.9685492</v>
      </c>
      <c r="Q2656">
        <v>6.1008819999999898E-3</v>
      </c>
      <c r="R2656">
        <v>-0.24874750000000001</v>
      </c>
      <c r="S2656">
        <v>-2.7563170000000001</v>
      </c>
      <c r="T2656">
        <v>-0.389876</v>
      </c>
      <c r="U2656">
        <v>-1.3422240000000001</v>
      </c>
      <c r="V2656">
        <v>-5.0938990000000003E-2</v>
      </c>
      <c r="W2656">
        <v>1.8126750000000001E-2</v>
      </c>
      <c r="X2656">
        <v>0.99853720000000001</v>
      </c>
      <c r="Y2656">
        <v>-0.2496158</v>
      </c>
      <c r="Z2656">
        <v>9.4783190000000007E-3</v>
      </c>
      <c r="AA2656">
        <v>0.96829860000000001</v>
      </c>
      <c r="AB2656">
        <v>11</v>
      </c>
      <c r="AC2656">
        <v>-7.7573999999999597</v>
      </c>
      <c r="AD2656">
        <v>-1.1105824481319999</v>
      </c>
      <c r="AE2656">
        <v>-3.8025000000000002</v>
      </c>
      <c r="AF2656">
        <v>-2.14629103988799</v>
      </c>
      <c r="AG2656">
        <v>-1.1105824481319999</v>
      </c>
      <c r="AH2656">
        <v>8.2233044418377599</v>
      </c>
      <c r="AI2656">
        <v>97.444967708220503</v>
      </c>
      <c r="AJ2656">
        <v>104.62792692149699</v>
      </c>
      <c r="AK2656">
        <v>8.5710381252886094</v>
      </c>
      <c r="AL2656">
        <v>88.961356791844594</v>
      </c>
      <c r="AM2656">
        <v>92.920333181107694</v>
      </c>
      <c r="AN2656">
        <v>0.99999994977580997</v>
      </c>
    </row>
    <row r="2657" spans="1:40" x14ac:dyDescent="0.25">
      <c r="A2657" t="str">
        <f>"20190312160654027"</f>
        <v>20190312160654027</v>
      </c>
      <c r="B2657" t="str">
        <f>"1552378014017380"</f>
        <v>1552378014017380</v>
      </c>
      <c r="C2657" t="s">
        <v>40</v>
      </c>
      <c r="D2657">
        <v>6.2550460000000001</v>
      </c>
      <c r="E2657">
        <v>0.42296280000000003</v>
      </c>
      <c r="F2657" t="s">
        <v>61</v>
      </c>
      <c r="G2657">
        <v>-484.36759999999998</v>
      </c>
      <c r="H2657" s="1">
        <v>2.5612449999999999E-6</v>
      </c>
      <c r="I2657">
        <v>279.82080000000002</v>
      </c>
      <c r="J2657">
        <v>-476.65010000000001</v>
      </c>
      <c r="K2657">
        <v>1.1105849999999999</v>
      </c>
      <c r="L2657">
        <v>283.61750000000001</v>
      </c>
      <c r="M2657">
        <v>-0.97956449999999995</v>
      </c>
      <c r="N2657">
        <v>0</v>
      </c>
      <c r="O2657">
        <v>-0.200766</v>
      </c>
      <c r="P2657">
        <v>-0.96816100000000005</v>
      </c>
      <c r="Q2657">
        <v>5.5136940000000004E-3</v>
      </c>
      <c r="R2657">
        <v>-0.25026759999999998</v>
      </c>
      <c r="S2657">
        <v>-2.7543329999999999</v>
      </c>
      <c r="T2657">
        <v>-0.39123950000000002</v>
      </c>
      <c r="U2657">
        <v>-1.3454900000000001</v>
      </c>
      <c r="V2657">
        <v>-5.0805250000000003E-2</v>
      </c>
      <c r="W2657">
        <v>1.753938E-2</v>
      </c>
      <c r="X2657">
        <v>0.99855450000000001</v>
      </c>
      <c r="Y2657">
        <v>-0.24918299999999999</v>
      </c>
      <c r="Z2657">
        <v>9.757936E-3</v>
      </c>
      <c r="AA2657">
        <v>0.96840729999999997</v>
      </c>
      <c r="AB2657">
        <v>11</v>
      </c>
      <c r="AC2657">
        <v>-7.7174999999999701</v>
      </c>
      <c r="AD2657">
        <v>-1.1105824387549901</v>
      </c>
      <c r="AE2657">
        <v>-3.79669999999998</v>
      </c>
      <c r="AF2657">
        <v>-2.1342746519157401</v>
      </c>
      <c r="AG2657">
        <v>-1.1105824387549901</v>
      </c>
      <c r="AH2657">
        <v>8.1861573641463501</v>
      </c>
      <c r="AI2657">
        <v>97.478881832222896</v>
      </c>
      <c r="AJ2657">
        <v>104.612717245422</v>
      </c>
      <c r="AK2657">
        <v>8.5323908744061097</v>
      </c>
      <c r="AL2657">
        <v>88.995015965154707</v>
      </c>
      <c r="AM2657">
        <v>92.912628709365407</v>
      </c>
      <c r="AN2657">
        <v>0.99999994637429701</v>
      </c>
    </row>
    <row r="2658" spans="1:40" x14ac:dyDescent="0.25">
      <c r="A2658" t="str">
        <f>"20190312160654050"</f>
        <v>20190312160654050</v>
      </c>
      <c r="B2658" t="str">
        <f>"1552378014037876"</f>
        <v>1552378014037876</v>
      </c>
      <c r="C2658" t="s">
        <v>40</v>
      </c>
      <c r="D2658">
        <v>6.221438</v>
      </c>
      <c r="E2658">
        <v>0.42283710000000002</v>
      </c>
      <c r="F2658" t="s">
        <v>61</v>
      </c>
      <c r="G2658">
        <v>-484.45409999999998</v>
      </c>
      <c r="H2658" s="1">
        <v>2.5739769999999998E-6</v>
      </c>
      <c r="I2658">
        <v>279.79090000000002</v>
      </c>
      <c r="J2658">
        <v>-476.75729999999999</v>
      </c>
      <c r="K2658">
        <v>1.110576</v>
      </c>
      <c r="L2658">
        <v>283.5933</v>
      </c>
      <c r="M2658">
        <v>-0.97919849999999997</v>
      </c>
      <c r="N2658">
        <v>0</v>
      </c>
      <c r="O2658">
        <v>-0.2025438</v>
      </c>
      <c r="P2658">
        <v>-0.96760020000000002</v>
      </c>
      <c r="Q2658">
        <v>5.1082480000000001E-3</v>
      </c>
      <c r="R2658">
        <v>-0.25243599999999999</v>
      </c>
      <c r="S2658">
        <v>-2.752075</v>
      </c>
      <c r="T2658">
        <v>-0.39164670000000001</v>
      </c>
      <c r="U2658">
        <v>-1.3494569999999999</v>
      </c>
      <c r="V2658">
        <v>-5.1228900000000001E-2</v>
      </c>
      <c r="W2658">
        <v>1.7132700000000001E-2</v>
      </c>
      <c r="X2658">
        <v>0.99853999999999998</v>
      </c>
      <c r="Y2658">
        <v>-0.24887980000000001</v>
      </c>
      <c r="Z2658">
        <v>1.002082E-2</v>
      </c>
      <c r="AA2658">
        <v>0.96848259999999997</v>
      </c>
      <c r="AB2658">
        <v>11</v>
      </c>
      <c r="AC2658">
        <v>-7.6967999999999899</v>
      </c>
      <c r="AD2658">
        <v>-1.110573426023</v>
      </c>
      <c r="AE2658">
        <v>-3.8023999999999698</v>
      </c>
      <c r="AF2658">
        <v>-2.1288959253884099</v>
      </c>
      <c r="AG2658">
        <v>-1.110573426023</v>
      </c>
      <c r="AH2658">
        <v>8.1707160422838001</v>
      </c>
      <c r="AI2658">
        <v>97.493094491580706</v>
      </c>
      <c r="AJ2658">
        <v>104.60383370016299</v>
      </c>
      <c r="AK2658">
        <v>8.5162299076150898</v>
      </c>
      <c r="AL2658">
        <v>89.018320599088796</v>
      </c>
      <c r="AM2658">
        <v>92.936916489350295</v>
      </c>
      <c r="AN2658">
        <v>1.0000000306022401</v>
      </c>
    </row>
    <row r="2659" spans="1:40" x14ac:dyDescent="0.25">
      <c r="A2659" t="str">
        <f>"20190312160654073"</f>
        <v>20190312160654073</v>
      </c>
      <c r="B2659" t="str">
        <f>"1552378014068132"</f>
        <v>1552378014068132</v>
      </c>
      <c r="C2659" t="s">
        <v>40</v>
      </c>
      <c r="D2659">
        <v>6.1708480000000003</v>
      </c>
      <c r="E2659">
        <v>0.42231010000000002</v>
      </c>
      <c r="F2659" t="s">
        <v>61</v>
      </c>
      <c r="G2659">
        <v>-484.56209999999999</v>
      </c>
      <c r="H2659" s="1">
        <v>2.5890110000000002E-6</v>
      </c>
      <c r="I2659">
        <v>279.74369999999999</v>
      </c>
      <c r="J2659">
        <v>-476.86079999999998</v>
      </c>
      <c r="K2659">
        <v>1.110573</v>
      </c>
      <c r="L2659">
        <v>283.56979999999999</v>
      </c>
      <c r="M2659">
        <v>-0.97884090000000001</v>
      </c>
      <c r="N2659">
        <v>0</v>
      </c>
      <c r="O2659">
        <v>-0.20426469999999999</v>
      </c>
      <c r="P2659">
        <v>-0.96677619999999997</v>
      </c>
      <c r="Q2659">
        <v>5.1660630000000003E-3</v>
      </c>
      <c r="R2659">
        <v>-0.25557289999999999</v>
      </c>
      <c r="S2659">
        <v>-2.7488100000000002</v>
      </c>
      <c r="T2659">
        <v>-0.39113890000000001</v>
      </c>
      <c r="U2659">
        <v>-1.3558349999999999</v>
      </c>
      <c r="V2659">
        <v>-5.2712920000000003E-2</v>
      </c>
      <c r="W2659">
        <v>1.718801E-2</v>
      </c>
      <c r="X2659">
        <v>0.99846179999999995</v>
      </c>
      <c r="Y2659">
        <v>-0.24945100000000001</v>
      </c>
      <c r="Z2659">
        <v>1.019545E-2</v>
      </c>
      <c r="AA2659">
        <v>0.96833380000000002</v>
      </c>
      <c r="AB2659">
        <v>11</v>
      </c>
      <c r="AC2659">
        <v>-7.7012999999999998</v>
      </c>
      <c r="AD2659">
        <v>-1.110570410989</v>
      </c>
      <c r="AE2659">
        <v>-3.8260999999999901</v>
      </c>
      <c r="AF2659">
        <v>-2.1365635874948898</v>
      </c>
      <c r="AG2659">
        <v>-1.110570410989</v>
      </c>
      <c r="AH2659">
        <v>8.1839962009452591</v>
      </c>
      <c r="AI2659">
        <v>97.480124695703296</v>
      </c>
      <c r="AJ2659">
        <v>104.631414094646</v>
      </c>
      <c r="AK2659">
        <v>8.5308888410446304</v>
      </c>
      <c r="AL2659">
        <v>89.015151095268607</v>
      </c>
      <c r="AM2659">
        <v>93.022075067851702</v>
      </c>
      <c r="AN2659">
        <v>1.00000002284096</v>
      </c>
    </row>
    <row r="2660" spans="1:40" x14ac:dyDescent="0.25">
      <c r="A2660" t="str">
        <f>"20190312160654095"</f>
        <v>20190312160654095</v>
      </c>
      <c r="B2660" t="str">
        <f>"1552378014087651"</f>
        <v>1552378014087651</v>
      </c>
      <c r="C2660" t="s">
        <v>40</v>
      </c>
      <c r="D2660">
        <v>6.1540650000000001</v>
      </c>
      <c r="E2660">
        <v>0.42178189999999999</v>
      </c>
      <c r="F2660" t="s">
        <v>61</v>
      </c>
      <c r="G2660">
        <v>-484.6696</v>
      </c>
      <c r="H2660" s="1">
        <v>2.6021180000000001E-6</v>
      </c>
      <c r="I2660">
        <v>279.67540000000002</v>
      </c>
      <c r="J2660">
        <v>-476.9624</v>
      </c>
      <c r="K2660">
        <v>1.110571</v>
      </c>
      <c r="L2660">
        <v>283.54649999999998</v>
      </c>
      <c r="M2660">
        <v>-0.97848500000000005</v>
      </c>
      <c r="N2660">
        <v>0</v>
      </c>
      <c r="O2660">
        <v>-0.20596200000000001</v>
      </c>
      <c r="P2660">
        <v>-0.96602149999999998</v>
      </c>
      <c r="Q2660">
        <v>5.0783319999999996E-3</v>
      </c>
      <c r="R2660">
        <v>-0.25841209999999998</v>
      </c>
      <c r="S2660">
        <v>-2.743439</v>
      </c>
      <c r="T2660">
        <v>-0.39017049999999998</v>
      </c>
      <c r="U2660">
        <v>-1.3681950000000001</v>
      </c>
      <c r="V2660">
        <v>-5.3914190000000001E-2</v>
      </c>
      <c r="W2660">
        <v>1.7097419999999999E-2</v>
      </c>
      <c r="X2660">
        <v>0.99839920000000004</v>
      </c>
      <c r="Y2660">
        <v>-0.25201709999999999</v>
      </c>
      <c r="Z2660">
        <v>1.022198E-2</v>
      </c>
      <c r="AA2660">
        <v>0.9676688</v>
      </c>
      <c r="AB2660">
        <v>11</v>
      </c>
      <c r="AC2660">
        <v>-7.7072000000000003</v>
      </c>
      <c r="AD2660">
        <v>-1.110568397882</v>
      </c>
      <c r="AE2660">
        <v>-3.87109999999995</v>
      </c>
      <c r="AF2660">
        <v>-2.1646927719029501</v>
      </c>
      <c r="AG2660">
        <v>-1.110568397882</v>
      </c>
      <c r="AH2660">
        <v>8.2032766907522507</v>
      </c>
      <c r="AI2660">
        <v>97.457629413040493</v>
      </c>
      <c r="AJ2660">
        <v>104.782329035896</v>
      </c>
      <c r="AK2660">
        <v>8.5564598653965707</v>
      </c>
      <c r="AL2660">
        <v>89.0203422721317</v>
      </c>
      <c r="AM2660">
        <v>93.091006235743393</v>
      </c>
      <c r="AN2660">
        <v>1.00000001210732</v>
      </c>
    </row>
    <row r="2661" spans="1:40" x14ac:dyDescent="0.25">
      <c r="A2661" t="str">
        <f>"20190312160654161"</f>
        <v>20190312160654161</v>
      </c>
      <c r="B2661" t="str">
        <f>"1552378014157925"</f>
        <v>1552378014157925</v>
      </c>
      <c r="C2661" t="s">
        <v>40</v>
      </c>
      <c r="D2661">
        <v>5.9849769999999998</v>
      </c>
      <c r="E2661">
        <v>0.43648890000000001</v>
      </c>
      <c r="F2661" t="s">
        <v>61</v>
      </c>
      <c r="G2661">
        <v>-484.78769999999997</v>
      </c>
      <c r="H2661" s="1">
        <v>2.6128740000000001E-6</v>
      </c>
      <c r="I2661">
        <v>279.60210000000001</v>
      </c>
      <c r="J2661">
        <v>-477.27170000000001</v>
      </c>
      <c r="K2661">
        <v>1.1105860000000001</v>
      </c>
      <c r="L2661">
        <v>283.47430000000003</v>
      </c>
      <c r="M2661">
        <v>-0.97737149999999995</v>
      </c>
      <c r="N2661">
        <v>0</v>
      </c>
      <c r="O2661">
        <v>-0.2111828</v>
      </c>
      <c r="P2661">
        <v>-0.96409339999999999</v>
      </c>
      <c r="Q2661">
        <v>5.0196980000000004E-3</v>
      </c>
      <c r="R2661">
        <v>-0.26551609999999998</v>
      </c>
      <c r="S2661">
        <v>-2.7383730000000002</v>
      </c>
      <c r="T2661">
        <v>-0.38863229999999999</v>
      </c>
      <c r="U2661">
        <v>-1.38028</v>
      </c>
      <c r="V2661">
        <v>-5.593364E-2</v>
      </c>
      <c r="W2661">
        <v>1.7034009999999999E-2</v>
      </c>
      <c r="X2661">
        <v>0.99828919999999999</v>
      </c>
      <c r="Y2661">
        <v>-0.25102760000000002</v>
      </c>
      <c r="Z2661">
        <v>1.0920040000000001E-2</v>
      </c>
      <c r="AA2661">
        <v>0.96791830000000001</v>
      </c>
      <c r="AB2661">
        <v>11</v>
      </c>
      <c r="AC2661">
        <v>-7.51599999999996</v>
      </c>
      <c r="AD2661">
        <v>-1.110583387126</v>
      </c>
      <c r="AE2661">
        <v>-3.8722000000000198</v>
      </c>
      <c r="AF2661">
        <v>-2.1602166746650302</v>
      </c>
      <c r="AG2661">
        <v>-1.110583387126</v>
      </c>
      <c r="AH2661">
        <v>8.0257876571800395</v>
      </c>
      <c r="AI2661">
        <v>97.610852672992493</v>
      </c>
      <c r="AJ2661">
        <v>105.064678530048</v>
      </c>
      <c r="AK2661">
        <v>8.3852965993699105</v>
      </c>
      <c r="AL2661">
        <v>89.023975942352607</v>
      </c>
      <c r="AM2661">
        <v>93.206900599053199</v>
      </c>
      <c r="AN2661">
        <v>1.00000002820848</v>
      </c>
    </row>
    <row r="2662" spans="1:40" x14ac:dyDescent="0.25">
      <c r="A2662" t="str">
        <f>"20190312160654184"</f>
        <v>20190312160654184</v>
      </c>
      <c r="B2662" t="str">
        <f>"1552378014177448"</f>
        <v>1552378014177448</v>
      </c>
      <c r="C2662" t="s">
        <v>40</v>
      </c>
      <c r="D2662">
        <v>6.055453</v>
      </c>
      <c r="E2662">
        <v>0.43170890000000001</v>
      </c>
      <c r="F2662" t="s">
        <v>61</v>
      </c>
      <c r="G2662">
        <v>-480.59589999999997</v>
      </c>
      <c r="H2662" s="1">
        <v>2.0759520000000001E-6</v>
      </c>
      <c r="I2662">
        <v>281.92250000000001</v>
      </c>
      <c r="J2662">
        <v>-477.37470000000002</v>
      </c>
      <c r="K2662">
        <v>1.1105879999999999</v>
      </c>
      <c r="L2662">
        <v>283.44979999999998</v>
      </c>
      <c r="M2662">
        <v>-0.97698989999999997</v>
      </c>
      <c r="N2662">
        <v>0</v>
      </c>
      <c r="O2662">
        <v>-0.2129424</v>
      </c>
      <c r="P2662">
        <v>-0.96326179999999995</v>
      </c>
      <c r="Q2662">
        <v>6.3466989999999999E-3</v>
      </c>
      <c r="R2662">
        <v>-0.2684899</v>
      </c>
      <c r="S2662">
        <v>-2.761536</v>
      </c>
      <c r="T2662">
        <v>-0.92259420000000003</v>
      </c>
      <c r="U2662">
        <v>-1.289093</v>
      </c>
      <c r="V2662">
        <v>-5.7220359999999998E-2</v>
      </c>
      <c r="W2662">
        <v>1.8357979999999999E-2</v>
      </c>
      <c r="X2662">
        <v>0.99819279999999999</v>
      </c>
      <c r="Y2662">
        <v>-0.21989880000000001</v>
      </c>
      <c r="Z2662">
        <v>3.0830340000000001E-2</v>
      </c>
      <c r="AA2662">
        <v>0.9750354</v>
      </c>
      <c r="AB2662">
        <v>11</v>
      </c>
      <c r="AC2662">
        <v>-3.2211999999999499</v>
      </c>
      <c r="AD2662">
        <v>-1.1105859240479901</v>
      </c>
      <c r="AE2662">
        <v>-1.5272999999999599</v>
      </c>
      <c r="AF2662">
        <v>-0.73495715429123698</v>
      </c>
      <c r="AG2662">
        <v>-1.1105859240479901</v>
      </c>
      <c r="AH2662">
        <v>3.1653590578486801</v>
      </c>
      <c r="AI2662">
        <v>108.86861690873801</v>
      </c>
      <c r="AJ2662">
        <v>103.07175090279399</v>
      </c>
      <c r="AK2662">
        <v>3.43410265985775</v>
      </c>
      <c r="AL2662">
        <v>88.948106162720805</v>
      </c>
      <c r="AM2662">
        <v>93.280830236990298</v>
      </c>
      <c r="AN2662">
        <v>1.0000000255000201</v>
      </c>
    </row>
    <row r="2663" spans="1:40" x14ac:dyDescent="0.25">
      <c r="A2663" t="str">
        <f>"20190312160654205"</f>
        <v>20190312160654205</v>
      </c>
      <c r="B2663" t="str">
        <f>"1552378014197940"</f>
        <v>1552378014197940</v>
      </c>
      <c r="C2663" t="s">
        <v>40</v>
      </c>
      <c r="D2663">
        <v>6.2718759999999998</v>
      </c>
      <c r="E2663">
        <v>0.40495969999999998</v>
      </c>
      <c r="F2663" t="s">
        <v>61</v>
      </c>
      <c r="G2663">
        <v>-481.29820000000001</v>
      </c>
      <c r="H2663" s="1">
        <v>2.1676260000000001E-6</v>
      </c>
      <c r="I2663">
        <v>281.5462</v>
      </c>
      <c r="J2663">
        <v>-477.4744</v>
      </c>
      <c r="K2663">
        <v>1.1105940000000001</v>
      </c>
      <c r="L2663">
        <v>283.42599999999999</v>
      </c>
      <c r="M2663">
        <v>-0.97661439999999999</v>
      </c>
      <c r="N2663">
        <v>0</v>
      </c>
      <c r="O2663">
        <v>-0.21465880000000001</v>
      </c>
      <c r="P2663">
        <v>-0.96255619999999997</v>
      </c>
      <c r="Q2663">
        <v>7.0471259999999999E-3</v>
      </c>
      <c r="R2663">
        <v>-0.27099109999999998</v>
      </c>
      <c r="S2663">
        <v>-2.7478940000000001</v>
      </c>
      <c r="T2663">
        <v>-0.77782200000000001</v>
      </c>
      <c r="U2663">
        <v>-1.3332520000000001</v>
      </c>
      <c r="V2663">
        <v>-5.8061580000000002E-2</v>
      </c>
      <c r="W2663">
        <v>1.9055949999999999E-2</v>
      </c>
      <c r="X2663">
        <v>0.99813110000000005</v>
      </c>
      <c r="Y2663">
        <v>-0.23256540000000001</v>
      </c>
      <c r="Z2663">
        <v>2.4935220000000001E-2</v>
      </c>
      <c r="AA2663">
        <v>0.97226109999999999</v>
      </c>
      <c r="AB2663">
        <v>11</v>
      </c>
      <c r="AC2663">
        <v>-3.8237999999999999</v>
      </c>
      <c r="AD2663">
        <v>-1.1105918323740001</v>
      </c>
      <c r="AE2663">
        <v>-1.8797999999999799</v>
      </c>
      <c r="AF2663">
        <v>-0.95052506404138004</v>
      </c>
      <c r="AG2663">
        <v>-1.1105918323740001</v>
      </c>
      <c r="AH2663">
        <v>3.8749413182556198</v>
      </c>
      <c r="AI2663">
        <v>105.554880773471</v>
      </c>
      <c r="AJ2663">
        <v>103.782542282617</v>
      </c>
      <c r="AK2663">
        <v>4.1415072540599596</v>
      </c>
      <c r="AL2663">
        <v>88.908108383750601</v>
      </c>
      <c r="AM2663">
        <v>93.329160695500903</v>
      </c>
      <c r="AN2663">
        <v>0.99999998454485395</v>
      </c>
    </row>
    <row r="2664" spans="1:40" x14ac:dyDescent="0.25">
      <c r="A2664" t="str">
        <f>"20190312160654228"</f>
        <v>20190312160654228</v>
      </c>
      <c r="B2664" t="str">
        <f>"1552378014217460"</f>
        <v>1552378014217460</v>
      </c>
      <c r="C2664" t="s">
        <v>40</v>
      </c>
      <c r="D2664">
        <v>5.9974470000000002</v>
      </c>
      <c r="E2664">
        <v>0.42475930000000001</v>
      </c>
      <c r="F2664" t="s">
        <v>61</v>
      </c>
      <c r="G2664">
        <v>-487.75229999999999</v>
      </c>
      <c r="H2664" s="1">
        <v>2.3997660000000002E-6</v>
      </c>
      <c r="I2664">
        <v>277.51170000000002</v>
      </c>
      <c r="J2664">
        <v>-477.57650000000001</v>
      </c>
      <c r="K2664">
        <v>1.1106</v>
      </c>
      <c r="L2664">
        <v>283.40129999999999</v>
      </c>
      <c r="M2664">
        <v>-0.97622249999999999</v>
      </c>
      <c r="N2664">
        <v>0</v>
      </c>
      <c r="O2664">
        <v>-0.2164333</v>
      </c>
      <c r="P2664">
        <v>-0.96185279999999995</v>
      </c>
      <c r="Q2664">
        <v>7.5385649999999997E-3</v>
      </c>
      <c r="R2664">
        <v>-0.27346429999999999</v>
      </c>
      <c r="S2664">
        <v>-2.684021</v>
      </c>
      <c r="T2664">
        <v>-0.29002519999999998</v>
      </c>
      <c r="U2664">
        <v>-1.544495</v>
      </c>
      <c r="V2664">
        <v>-5.881492E-2</v>
      </c>
      <c r="W2664">
        <v>1.954461E-2</v>
      </c>
      <c r="X2664">
        <v>0.99807760000000001</v>
      </c>
      <c r="Y2664">
        <v>-0.29896719999999999</v>
      </c>
      <c r="Z2664">
        <v>6.2698989999999998E-3</v>
      </c>
      <c r="AA2664">
        <v>0.95424279999999995</v>
      </c>
      <c r="AB2664">
        <v>11</v>
      </c>
      <c r="AC2664">
        <v>-10.175799999999899</v>
      </c>
      <c r="AD2664">
        <v>-1.1105976002339999</v>
      </c>
      <c r="AE2664">
        <v>-5.8895999999999704</v>
      </c>
      <c r="AF2664">
        <v>-3.5160646016584298</v>
      </c>
      <c r="AG2664">
        <v>-1.1105976002339999</v>
      </c>
      <c r="AH2664">
        <v>11.110236613011001</v>
      </c>
      <c r="AI2664">
        <v>95.444019411004206</v>
      </c>
      <c r="AJ2664">
        <v>107.561054591633</v>
      </c>
      <c r="AK2664">
        <v>11.706130654907801</v>
      </c>
      <c r="AL2664">
        <v>88.880105074649705</v>
      </c>
      <c r="AM2664">
        <v>93.372437334067996</v>
      </c>
      <c r="AN2664">
        <v>1.0000000411082</v>
      </c>
    </row>
    <row r="2665" spans="1:40" x14ac:dyDescent="0.25">
      <c r="A2665" t="str">
        <f>"20190312160654251"</f>
        <v>20190312160654251</v>
      </c>
      <c r="B2665" t="str">
        <f>"1552378014247716"</f>
        <v>1552378014247716</v>
      </c>
      <c r="C2665" t="s">
        <v>40</v>
      </c>
      <c r="D2665">
        <v>5.9807350000000001</v>
      </c>
      <c r="E2665">
        <v>0.43065350000000002</v>
      </c>
      <c r="F2665" t="s">
        <v>61</v>
      </c>
      <c r="G2665">
        <v>-487.4393</v>
      </c>
      <c r="H2665" s="1">
        <v>2.6345279999999999E-6</v>
      </c>
      <c r="I2665">
        <v>278.33280000000002</v>
      </c>
      <c r="J2665">
        <v>-477.68259999999998</v>
      </c>
      <c r="K2665">
        <v>1.1106049999999901</v>
      </c>
      <c r="L2665">
        <v>283.37549999999999</v>
      </c>
      <c r="M2665">
        <v>-0.9758076</v>
      </c>
      <c r="N2665">
        <v>0</v>
      </c>
      <c r="O2665">
        <v>-0.2182965</v>
      </c>
      <c r="P2665">
        <v>-0.96132759999999995</v>
      </c>
      <c r="Q2665">
        <v>7.3379090000000001E-3</v>
      </c>
      <c r="R2665">
        <v>-0.27531080000000002</v>
      </c>
      <c r="S2665">
        <v>-2.7234799999999999</v>
      </c>
      <c r="T2665">
        <v>-0.30667470000000002</v>
      </c>
      <c r="U2665">
        <v>-1.399597</v>
      </c>
      <c r="V2665">
        <v>-5.882561E-2</v>
      </c>
      <c r="W2665">
        <v>1.9342950000000001E-2</v>
      </c>
      <c r="X2665">
        <v>0.99808079999999999</v>
      </c>
      <c r="Y2665">
        <v>-0.2517026</v>
      </c>
      <c r="Z2665">
        <v>9.3390250000000008E-3</v>
      </c>
      <c r="AA2665">
        <v>0.96775949999999999</v>
      </c>
      <c r="AB2665">
        <v>11</v>
      </c>
      <c r="AC2665">
        <v>-9.7567000000000199</v>
      </c>
      <c r="AD2665">
        <v>-1.1106023654720001</v>
      </c>
      <c r="AE2665">
        <v>-5.04269999999996</v>
      </c>
      <c r="AF2665">
        <v>-2.7628040627976902</v>
      </c>
      <c r="AG2665">
        <v>-1.1106023654720001</v>
      </c>
      <c r="AH2665">
        <v>10.5147223149498</v>
      </c>
      <c r="AI2665">
        <v>95.832870913626905</v>
      </c>
      <c r="AJ2665">
        <v>104.72201341884499</v>
      </c>
      <c r="AK2665">
        <v>10.9282161977199</v>
      </c>
      <c r="AL2665">
        <v>88.891661416752896</v>
      </c>
      <c r="AM2665">
        <v>93.373038092125995</v>
      </c>
      <c r="AN2665">
        <v>0.99999994271760495</v>
      </c>
    </row>
    <row r="2666" spans="1:40" x14ac:dyDescent="0.25">
      <c r="A2666" t="str">
        <f>"20190312160654276"</f>
        <v>20190312160654276</v>
      </c>
      <c r="B2666" t="str">
        <f>"1552378014268212"</f>
        <v>1552378014268212</v>
      </c>
      <c r="C2666" t="s">
        <v>40</v>
      </c>
      <c r="D2666">
        <v>6.0235139999999996</v>
      </c>
      <c r="E2666">
        <v>0.43345459999999902</v>
      </c>
      <c r="F2666" t="s">
        <v>61</v>
      </c>
      <c r="G2666">
        <v>-488.01870000000002</v>
      </c>
      <c r="H2666" s="1">
        <v>2.7030979999999999E-6</v>
      </c>
      <c r="I2666">
        <v>278.23610000000002</v>
      </c>
      <c r="J2666">
        <v>-477.79629999999997</v>
      </c>
      <c r="K2666">
        <v>1.110617</v>
      </c>
      <c r="L2666">
        <v>283.34750000000003</v>
      </c>
      <c r="M2666">
        <v>-0.97535260000000001</v>
      </c>
      <c r="N2666">
        <v>0</v>
      </c>
      <c r="O2666">
        <v>-0.2203196</v>
      </c>
      <c r="P2666">
        <v>-0.96070259999999996</v>
      </c>
      <c r="Q2666">
        <v>7.493548E-3</v>
      </c>
      <c r="R2666">
        <v>-0.27747889999999997</v>
      </c>
      <c r="S2666">
        <v>-2.7336429999999998</v>
      </c>
      <c r="T2666">
        <v>-0.29372809999999999</v>
      </c>
      <c r="U2666">
        <v>-1.359253</v>
      </c>
      <c r="V2666">
        <v>-5.9008669999999999E-2</v>
      </c>
      <c r="W2666">
        <v>1.9497420000000001E-2</v>
      </c>
      <c r="X2666">
        <v>0.99806700000000004</v>
      </c>
      <c r="Y2666">
        <v>-0.2369078</v>
      </c>
      <c r="Z2666">
        <v>9.8981940000000008E-3</v>
      </c>
      <c r="AA2666">
        <v>0.9714817</v>
      </c>
      <c r="AB2666">
        <v>11</v>
      </c>
      <c r="AC2666">
        <v>-10.2224</v>
      </c>
      <c r="AD2666">
        <v>-1.1106142969020001</v>
      </c>
      <c r="AE2666">
        <v>-5.1113999999999997</v>
      </c>
      <c r="AF2666">
        <v>-2.7078526419104501</v>
      </c>
      <c r="AG2666">
        <v>-1.1106142969020001</v>
      </c>
      <c r="AH2666">
        <v>10.9935883618963</v>
      </c>
      <c r="AI2666">
        <v>95.602336625220801</v>
      </c>
      <c r="AJ2666">
        <v>103.837194054085</v>
      </c>
      <c r="AK2666">
        <v>11.376507158069501</v>
      </c>
      <c r="AL2666">
        <v>88.882809280923396</v>
      </c>
      <c r="AM2666">
        <v>93.383557008550397</v>
      </c>
      <c r="AN2666">
        <v>0.99999995450541102</v>
      </c>
    </row>
    <row r="2667" spans="1:40" x14ac:dyDescent="0.25">
      <c r="A2667" t="str">
        <f>"20190312160654295"</f>
        <v>20190312160654295</v>
      </c>
      <c r="B2667" t="str">
        <f>"1552378014287732"</f>
        <v>1552378014287732</v>
      </c>
      <c r="C2667" t="s">
        <v>40</v>
      </c>
      <c r="D2667">
        <v>5.975492</v>
      </c>
      <c r="E2667">
        <v>0.43613010000000002</v>
      </c>
      <c r="F2667" t="s">
        <v>61</v>
      </c>
      <c r="G2667">
        <v>-488.26979999999998</v>
      </c>
      <c r="H2667" s="1">
        <v>2.7368990000000002E-6</v>
      </c>
      <c r="I2667">
        <v>278.20569999999998</v>
      </c>
      <c r="J2667">
        <v>-477.88389999999998</v>
      </c>
      <c r="K2667">
        <v>1.1106240000000001</v>
      </c>
      <c r="L2667">
        <v>283.32580000000002</v>
      </c>
      <c r="M2667">
        <v>-0.97499360000000002</v>
      </c>
      <c r="N2667">
        <v>0</v>
      </c>
      <c r="O2667">
        <v>-0.2219023</v>
      </c>
      <c r="P2667">
        <v>-0.96037600000000001</v>
      </c>
      <c r="Q2667">
        <v>7.80714199999999E-3</v>
      </c>
      <c r="R2667">
        <v>-0.27859790000000001</v>
      </c>
      <c r="S2667">
        <v>-2.7368769999999998</v>
      </c>
      <c r="T2667">
        <v>-0.29021750000000002</v>
      </c>
      <c r="U2667">
        <v>-1.343628</v>
      </c>
      <c r="V2667">
        <v>-5.8553319999999999E-2</v>
      </c>
      <c r="W2667">
        <v>1.9810640000000001E-2</v>
      </c>
      <c r="X2667">
        <v>0.99808770000000002</v>
      </c>
      <c r="Y2667">
        <v>-0.2304457</v>
      </c>
      <c r="Z2667">
        <v>1.025967E-2</v>
      </c>
      <c r="AA2667">
        <v>0.97303110000000004</v>
      </c>
      <c r="AB2667">
        <v>11</v>
      </c>
      <c r="AC2667">
        <v>-10.3858999999999</v>
      </c>
      <c r="AD2667">
        <v>-1.110621263101</v>
      </c>
      <c r="AE2667">
        <v>-5.1201000000000301</v>
      </c>
      <c r="AF2667">
        <v>-2.6631079330352199</v>
      </c>
      <c r="AG2667">
        <v>-1.110621263101</v>
      </c>
      <c r="AH2667">
        <v>11.160504865685001</v>
      </c>
      <c r="AI2667">
        <v>95.528775060925099</v>
      </c>
      <c r="AJ2667">
        <v>103.420890998291</v>
      </c>
      <c r="AK2667">
        <v>11.527466864408099</v>
      </c>
      <c r="AL2667">
        <v>88.864859685952098</v>
      </c>
      <c r="AM2667">
        <v>93.357437729005198</v>
      </c>
      <c r="AN2667">
        <v>1.00000000481576</v>
      </c>
    </row>
    <row r="2668" spans="1:40" x14ac:dyDescent="0.25">
      <c r="A2668" t="str">
        <f>"20190312160654317"</f>
        <v>20190312160654317</v>
      </c>
      <c r="B2668" t="str">
        <f>"1552378014308228"</f>
        <v>1552378014308228</v>
      </c>
      <c r="C2668" t="s">
        <v>40</v>
      </c>
      <c r="D2668">
        <v>5.9733029999999996</v>
      </c>
      <c r="E2668">
        <v>0.4377933</v>
      </c>
      <c r="F2668" t="s">
        <v>61</v>
      </c>
      <c r="G2668">
        <v>-488.4479</v>
      </c>
      <c r="H2668" s="1">
        <v>2.7717870000000001E-6</v>
      </c>
      <c r="I2668">
        <v>278.21499999999997</v>
      </c>
      <c r="J2668">
        <v>-477.98719999999997</v>
      </c>
      <c r="K2668">
        <v>1.1106389999999999</v>
      </c>
      <c r="L2668">
        <v>283.29989999999998</v>
      </c>
      <c r="M2668">
        <v>-0.97456220000000005</v>
      </c>
      <c r="N2668">
        <v>0</v>
      </c>
      <c r="O2668">
        <v>-0.2237904</v>
      </c>
      <c r="P2668">
        <v>-0.96001340000000002</v>
      </c>
      <c r="Q2668">
        <v>8.1328790000000008E-3</v>
      </c>
      <c r="R2668">
        <v>-0.27983599999999997</v>
      </c>
      <c r="S2668">
        <v>-2.7413940000000001</v>
      </c>
      <c r="T2668">
        <v>-0.28821000000000002</v>
      </c>
      <c r="U2668">
        <v>-1.326263</v>
      </c>
      <c r="V2668">
        <v>-5.790853E-2</v>
      </c>
      <c r="W2668">
        <v>2.0137209999999999E-2</v>
      </c>
      <c r="X2668">
        <v>0.99811879999999997</v>
      </c>
      <c r="Y2668">
        <v>-0.2229787</v>
      </c>
      <c r="Z2668">
        <v>1.0741240000000001E-2</v>
      </c>
      <c r="AA2668">
        <v>0.97476419999999997</v>
      </c>
      <c r="AB2668">
        <v>11</v>
      </c>
      <c r="AC2668">
        <v>-10.460699999999999</v>
      </c>
      <c r="AD2668">
        <v>-1.110636228213</v>
      </c>
      <c r="AE2668">
        <v>-5.0849000000000002</v>
      </c>
      <c r="AF2668">
        <v>-2.5911125603098402</v>
      </c>
      <c r="AG2668">
        <v>-1.110636228213</v>
      </c>
      <c r="AH2668">
        <v>11.230979416919</v>
      </c>
      <c r="AI2668">
        <v>95.503981099684395</v>
      </c>
      <c r="AJ2668">
        <v>102.99145908458</v>
      </c>
      <c r="AK2668">
        <v>11.5793901305238</v>
      </c>
      <c r="AL2668">
        <v>88.846144889484293</v>
      </c>
      <c r="AM2668">
        <v>93.320445533885803</v>
      </c>
      <c r="AN2668">
        <v>1.00000002199339</v>
      </c>
    </row>
    <row r="2669" spans="1:40" x14ac:dyDescent="0.25">
      <c r="A2669" t="str">
        <f>"20190312160654328"</f>
        <v>20190312160654328</v>
      </c>
      <c r="B2669" t="str">
        <f>"1552378014317988"</f>
        <v>1552378014317988</v>
      </c>
      <c r="C2669" t="s">
        <v>40</v>
      </c>
      <c r="D2669">
        <v>5.9402889999999999</v>
      </c>
      <c r="E2669">
        <v>0.43844440000000001</v>
      </c>
      <c r="F2669" t="s">
        <v>61</v>
      </c>
      <c r="G2669">
        <v>-488.62310000000002</v>
      </c>
      <c r="H2669" s="1">
        <v>2.7950989999999999E-6</v>
      </c>
      <c r="I2669">
        <v>278.19299999999998</v>
      </c>
      <c r="J2669">
        <v>-478.03960000000001</v>
      </c>
      <c r="K2669">
        <v>1.1106469999999999</v>
      </c>
      <c r="L2669">
        <v>283.2867</v>
      </c>
      <c r="M2669">
        <v>-0.97433950000000003</v>
      </c>
      <c r="N2669">
        <v>0</v>
      </c>
      <c r="O2669">
        <v>-0.22475790000000001</v>
      </c>
      <c r="P2669">
        <v>-0.95976660000000003</v>
      </c>
      <c r="Q2669">
        <v>7.9987779999999998E-3</v>
      </c>
      <c r="R2669">
        <v>-0.28068530000000003</v>
      </c>
      <c r="S2669">
        <v>-2.7434080000000001</v>
      </c>
      <c r="T2669">
        <v>-0.28647640000000002</v>
      </c>
      <c r="U2669">
        <v>-1.317261</v>
      </c>
      <c r="V2669">
        <v>-5.7800169999999998E-2</v>
      </c>
      <c r="W2669">
        <v>2.0002289999999999E-2</v>
      </c>
      <c r="X2669">
        <v>0.99812780000000001</v>
      </c>
      <c r="Y2669">
        <v>-0.21915270000000001</v>
      </c>
      <c r="Z2669">
        <v>1.0959200000000001E-2</v>
      </c>
      <c r="AA2669">
        <v>0.97562899999999997</v>
      </c>
      <c r="AB2669">
        <v>11</v>
      </c>
      <c r="AC2669">
        <v>-10.583500000000001</v>
      </c>
      <c r="AD2669">
        <v>-1.1106442049009999</v>
      </c>
      <c r="AE2669">
        <v>-5.0937000000000099</v>
      </c>
      <c r="AF2669">
        <v>-2.5615530693667399</v>
      </c>
      <c r="AG2669">
        <v>-1.1106442049009999</v>
      </c>
      <c r="AH2669">
        <v>11.3560704159582</v>
      </c>
      <c r="AI2669">
        <v>95.449797573966094</v>
      </c>
      <c r="AJ2669">
        <v>102.711293050601</v>
      </c>
      <c r="AK2669">
        <v>11.6942473023818</v>
      </c>
      <c r="AL2669">
        <v>88.853876800343301</v>
      </c>
      <c r="AM2669">
        <v>93.314216272709203</v>
      </c>
      <c r="AN2669">
        <v>1.0000000281950501</v>
      </c>
    </row>
    <row r="2670" spans="1:40" x14ac:dyDescent="0.25">
      <c r="A2670" t="str">
        <f>"20190312160654340"</f>
        <v>20190312160654340</v>
      </c>
      <c r="B2670" t="str">
        <f>"1552378014327748"</f>
        <v>1552378014327748</v>
      </c>
      <c r="C2670" t="s">
        <v>40</v>
      </c>
      <c r="D2670">
        <v>5.9642210000000002</v>
      </c>
      <c r="E2670">
        <v>0.43894369999999999</v>
      </c>
      <c r="F2670" t="s">
        <v>61</v>
      </c>
      <c r="G2670">
        <v>-488.63159999999999</v>
      </c>
      <c r="H2670" s="1">
        <v>2.8028000000000001E-6</v>
      </c>
      <c r="I2670">
        <v>278.2106</v>
      </c>
      <c r="J2670">
        <v>-478.08780000000002</v>
      </c>
      <c r="K2670">
        <v>1.110646</v>
      </c>
      <c r="L2670">
        <v>283.27440000000001</v>
      </c>
      <c r="M2670">
        <v>-0.97413249999999996</v>
      </c>
      <c r="N2670">
        <v>0</v>
      </c>
      <c r="O2670">
        <v>-0.22565350000000001</v>
      </c>
      <c r="P2670">
        <v>-0.95962159999999996</v>
      </c>
      <c r="Q2670">
        <v>8.4089509999999996E-3</v>
      </c>
      <c r="R2670">
        <v>-0.28116910000000001</v>
      </c>
      <c r="S2670">
        <v>-2.7436219999999998</v>
      </c>
      <c r="T2670">
        <v>-0.28768909999999998</v>
      </c>
      <c r="U2670">
        <v>-1.3148500000000001</v>
      </c>
      <c r="V2670">
        <v>-5.7387050000000002E-2</v>
      </c>
      <c r="W2670">
        <v>2.0412759999999999E-2</v>
      </c>
      <c r="X2670">
        <v>0.99814329999999996</v>
      </c>
      <c r="Y2670">
        <v>-0.21753980000000001</v>
      </c>
      <c r="Z2670">
        <v>1.117195E-2</v>
      </c>
      <c r="AA2670">
        <v>0.97598750000000001</v>
      </c>
      <c r="AB2670">
        <v>11</v>
      </c>
      <c r="AC2670">
        <v>-10.5437999999999</v>
      </c>
      <c r="AD2670">
        <v>-1.1106431971999999</v>
      </c>
      <c r="AE2670">
        <v>-5.0638000000000103</v>
      </c>
      <c r="AF2670">
        <v>-2.5309344975411401</v>
      </c>
      <c r="AG2670">
        <v>-1.1106431971999999</v>
      </c>
      <c r="AH2670">
        <v>11.312562534081399</v>
      </c>
      <c r="AI2670">
        <v>95.472764462699502</v>
      </c>
      <c r="AJ2670">
        <v>102.610984145355</v>
      </c>
      <c r="AK2670">
        <v>11.645309305889301</v>
      </c>
      <c r="AL2670">
        <v>88.830353766955994</v>
      </c>
      <c r="AM2670">
        <v>93.290529550553202</v>
      </c>
      <c r="AN2670">
        <v>1.0000000008067</v>
      </c>
    </row>
    <row r="2671" spans="1:40" x14ac:dyDescent="0.25">
      <c r="A2671" t="str">
        <f>"20190312160654351"</f>
        <v>20190312160654351</v>
      </c>
      <c r="B2671" t="str">
        <f>"1552378014347269"</f>
        <v>1552378014347269</v>
      </c>
      <c r="C2671" t="s">
        <v>40</v>
      </c>
      <c r="D2671">
        <v>5.9946489999999999</v>
      </c>
      <c r="E2671">
        <v>0.43997340000000001</v>
      </c>
      <c r="F2671" t="s">
        <v>61</v>
      </c>
      <c r="G2671">
        <v>-488.73649999999998</v>
      </c>
      <c r="H2671" s="1">
        <v>2.810845E-6</v>
      </c>
      <c r="I2671">
        <v>278.1807</v>
      </c>
      <c r="J2671">
        <v>-478.13920000000002</v>
      </c>
      <c r="K2671">
        <v>1.1106510000000001</v>
      </c>
      <c r="L2671">
        <v>283.26139999999998</v>
      </c>
      <c r="M2671">
        <v>-0.97391000000000005</v>
      </c>
      <c r="N2671">
        <v>0</v>
      </c>
      <c r="O2671">
        <v>-0.2266116</v>
      </c>
      <c r="P2671">
        <v>-0.95935910000000002</v>
      </c>
      <c r="Q2671">
        <v>8.3216619999999901E-3</v>
      </c>
      <c r="R2671">
        <v>-0.28206599999999998</v>
      </c>
      <c r="S2671">
        <v>-2.7441409999999999</v>
      </c>
      <c r="T2671">
        <v>-0.28621200000000002</v>
      </c>
      <c r="U2671">
        <v>-1.3126530000000001</v>
      </c>
      <c r="V2671">
        <v>-5.7338130000000001E-2</v>
      </c>
      <c r="W2671">
        <v>2.032552E-2</v>
      </c>
      <c r="X2671">
        <v>0.99814789999999998</v>
      </c>
      <c r="Y2671">
        <v>-0.2158824</v>
      </c>
      <c r="Z2671">
        <v>1.128737E-2</v>
      </c>
      <c r="AA2671">
        <v>0.9763541</v>
      </c>
      <c r="AB2671">
        <v>11</v>
      </c>
      <c r="AC2671">
        <v>-10.597299999999899</v>
      </c>
      <c r="AD2671">
        <v>-1.110648189155</v>
      </c>
      <c r="AE2671">
        <v>-5.08069999999997</v>
      </c>
      <c r="AF2671">
        <v>-2.52431491072507</v>
      </c>
      <c r="AG2671">
        <v>-1.110648189155</v>
      </c>
      <c r="AH2671">
        <v>11.371442160817599</v>
      </c>
      <c r="AI2671">
        <v>95.446622637985897</v>
      </c>
      <c r="AJ2671">
        <v>102.51597644000501</v>
      </c>
      <c r="AK2671">
        <v>11.7010855045762</v>
      </c>
      <c r="AL2671">
        <v>88.835353297675198</v>
      </c>
      <c r="AM2671">
        <v>93.287715552705393</v>
      </c>
      <c r="AN2671">
        <v>1.00000000909478</v>
      </c>
    </row>
    <row r="2672" spans="1:40" x14ac:dyDescent="0.25">
      <c r="A2672" t="str">
        <f>"20190312160654362"</f>
        <v>20190312160654362</v>
      </c>
      <c r="B2672" t="str">
        <f>"1552378014358005"</f>
        <v>1552378014358005</v>
      </c>
      <c r="C2672" t="s">
        <v>40</v>
      </c>
      <c r="D2672">
        <v>6.0622339999999904</v>
      </c>
      <c r="E2672">
        <v>0.44016559999999999</v>
      </c>
      <c r="F2672" t="s">
        <v>61</v>
      </c>
      <c r="G2672">
        <v>-488.72559999999999</v>
      </c>
      <c r="H2672" s="1">
        <v>2.8228669999999998E-6</v>
      </c>
      <c r="I2672">
        <v>278.22019999999998</v>
      </c>
      <c r="J2672">
        <v>-478.19069999999999</v>
      </c>
      <c r="K2672">
        <v>1.1106560000000001</v>
      </c>
      <c r="L2672">
        <v>283.2482</v>
      </c>
      <c r="M2672">
        <v>-0.9736823</v>
      </c>
      <c r="N2672">
        <v>0</v>
      </c>
      <c r="O2672">
        <v>-0.2275877</v>
      </c>
      <c r="P2672">
        <v>-0.95916279999999998</v>
      </c>
      <c r="Q2672">
        <v>8.3746930000000008E-3</v>
      </c>
      <c r="R2672">
        <v>-0.282730599999999</v>
      </c>
      <c r="S2672">
        <v>-2.7452390000000002</v>
      </c>
      <c r="T2672">
        <v>-0.28800979999999998</v>
      </c>
      <c r="U2672">
        <v>-1.3072809999999999</v>
      </c>
      <c r="V2672">
        <v>-5.7029650000000001E-2</v>
      </c>
      <c r="W2672">
        <v>2.037891E-2</v>
      </c>
      <c r="X2672">
        <v>0.99816450000000001</v>
      </c>
      <c r="Y2672">
        <v>-0.21321080000000001</v>
      </c>
      <c r="Z2672">
        <v>1.1584769999999999E-2</v>
      </c>
      <c r="AA2672">
        <v>0.97693750000000001</v>
      </c>
      <c r="AB2672">
        <v>11</v>
      </c>
      <c r="AC2672">
        <v>-10.534899999999899</v>
      </c>
      <c r="AD2672">
        <v>-1.1106531771329999</v>
      </c>
      <c r="AE2672">
        <v>-5.02800000000002</v>
      </c>
      <c r="AF2672">
        <v>-2.4758314034371902</v>
      </c>
      <c r="AG2672">
        <v>-1.1106531771329999</v>
      </c>
      <c r="AH2672">
        <v>11.300493819689599</v>
      </c>
      <c r="AI2672">
        <v>95.483954744936796</v>
      </c>
      <c r="AJ2672">
        <v>102.357706972659</v>
      </c>
      <c r="AK2672">
        <v>11.6217232881773</v>
      </c>
      <c r="AL2672">
        <v>88.832293660877099</v>
      </c>
      <c r="AM2672">
        <v>93.270011818104905</v>
      </c>
      <c r="AN2672">
        <v>1.0000000250060801</v>
      </c>
    </row>
    <row r="2673" spans="1:40" x14ac:dyDescent="0.25">
      <c r="A2673" t="str">
        <f>"20190312160654375"</f>
        <v>20190312160654375</v>
      </c>
      <c r="B2673" t="str">
        <f>"1552378014367764"</f>
        <v>1552378014367764</v>
      </c>
      <c r="C2673" t="s">
        <v>40</v>
      </c>
      <c r="D2673">
        <v>5.9827089999999998</v>
      </c>
      <c r="E2673">
        <v>0.44062259999999998</v>
      </c>
      <c r="F2673" t="s">
        <v>61</v>
      </c>
      <c r="G2673">
        <v>-488.68869999999998</v>
      </c>
      <c r="H2673" s="1">
        <v>2.825835E-6</v>
      </c>
      <c r="I2673">
        <v>278.24709999999999</v>
      </c>
      <c r="J2673">
        <v>-478.24799999999999</v>
      </c>
      <c r="K2673">
        <v>1.110663</v>
      </c>
      <c r="L2673">
        <v>283.23349999999999</v>
      </c>
      <c r="M2673">
        <v>-0.97342770000000001</v>
      </c>
      <c r="N2673">
        <v>0</v>
      </c>
      <c r="O2673">
        <v>-0.22867509999999999</v>
      </c>
      <c r="P2673">
        <v>-0.95887979999999995</v>
      </c>
      <c r="Q2673">
        <v>8.4473429999999995E-3</v>
      </c>
      <c r="R2673">
        <v>-0.28368710000000003</v>
      </c>
      <c r="S2673">
        <v>-2.7448429999999999</v>
      </c>
      <c r="T2673">
        <v>-0.29039609999999999</v>
      </c>
      <c r="U2673">
        <v>-1.307617</v>
      </c>
      <c r="V2673">
        <v>-5.6911040000000003E-2</v>
      </c>
      <c r="W2673">
        <v>2.045137E-2</v>
      </c>
      <c r="X2673">
        <v>0.9981698</v>
      </c>
      <c r="Y2673">
        <v>-0.2122812</v>
      </c>
      <c r="Z2673">
        <v>1.1831970000000001E-2</v>
      </c>
      <c r="AA2673">
        <v>0.97713700000000003</v>
      </c>
      <c r="AB2673">
        <v>11</v>
      </c>
      <c r="AC2673">
        <v>-10.4406999999999</v>
      </c>
      <c r="AD2673">
        <v>-1.110660174165</v>
      </c>
      <c r="AE2673">
        <v>-4.9863999999999997</v>
      </c>
      <c r="AF2673">
        <v>-2.4440315856969099</v>
      </c>
      <c r="AG2673">
        <v>-1.110660174165</v>
      </c>
      <c r="AH2673">
        <v>11.201145695049799</v>
      </c>
      <c r="AI2673">
        <v>95.533356425709599</v>
      </c>
      <c r="AJ2673">
        <v>102.30872504394701</v>
      </c>
      <c r="AK2673">
        <v>11.518355841703</v>
      </c>
      <c r="AL2673">
        <v>88.828141157800204</v>
      </c>
      <c r="AM2673">
        <v>93.263208286262397</v>
      </c>
      <c r="AN2673">
        <v>1.0000000373203899</v>
      </c>
    </row>
    <row r="2674" spans="1:40" x14ac:dyDescent="0.25">
      <c r="A2674" t="str">
        <f>"20190312160654387"</f>
        <v>20190312160654387</v>
      </c>
      <c r="B2674" t="str">
        <f>"1552378014377525"</f>
        <v>1552378014377525</v>
      </c>
      <c r="C2674" t="s">
        <v>40</v>
      </c>
      <c r="D2674">
        <v>5.9862859999999998</v>
      </c>
      <c r="E2674">
        <v>0.44057429999999997</v>
      </c>
      <c r="F2674" t="s">
        <v>61</v>
      </c>
      <c r="G2674">
        <v>-488.70890000000003</v>
      </c>
      <c r="H2674" s="1">
        <v>2.8310340000000002E-6</v>
      </c>
      <c r="I2674">
        <v>278.2516</v>
      </c>
      <c r="J2674">
        <v>-478.30650000000003</v>
      </c>
      <c r="K2674">
        <v>1.11067</v>
      </c>
      <c r="L2674">
        <v>283.21839999999997</v>
      </c>
      <c r="M2674">
        <v>-0.97316210000000003</v>
      </c>
      <c r="N2674">
        <v>0</v>
      </c>
      <c r="O2674">
        <v>-0.22980229999999999</v>
      </c>
      <c r="P2674">
        <v>-0.95853630000000001</v>
      </c>
      <c r="Q2674">
        <v>8.7425579999999992E-3</v>
      </c>
      <c r="R2674">
        <v>-0.28483639999999999</v>
      </c>
      <c r="S2674">
        <v>-2.744507</v>
      </c>
      <c r="T2674">
        <v>-0.2913907</v>
      </c>
      <c r="U2674">
        <v>-1.307037</v>
      </c>
      <c r="V2674">
        <v>-5.6953539999999997E-2</v>
      </c>
      <c r="W2674">
        <v>2.0745530000000002E-2</v>
      </c>
      <c r="X2674">
        <v>0.99816130000000003</v>
      </c>
      <c r="Y2674">
        <v>-0.21103810000000001</v>
      </c>
      <c r="Z2674">
        <v>1.2044819999999999E-2</v>
      </c>
      <c r="AA2674">
        <v>0.97740360000000004</v>
      </c>
      <c r="AB2674">
        <v>11</v>
      </c>
      <c r="AC2674">
        <v>-10.4024</v>
      </c>
      <c r="AD2674">
        <v>-1.1106671689659999</v>
      </c>
      <c r="AE2674">
        <v>-4.9667999999999699</v>
      </c>
      <c r="AF2674">
        <v>-2.42071229091622</v>
      </c>
      <c r="AG2674">
        <v>-1.1106671689659999</v>
      </c>
      <c r="AH2674">
        <v>11.1618077544203</v>
      </c>
      <c r="AI2674">
        <v>95.5542842523205</v>
      </c>
      <c r="AJ2674">
        <v>102.236500207944</v>
      </c>
      <c r="AK2674">
        <v>11.4751636982768</v>
      </c>
      <c r="AL2674">
        <v>88.8112834485663</v>
      </c>
      <c r="AM2674">
        <v>93.265667660092703</v>
      </c>
      <c r="AN2674">
        <v>1.0000000317755999</v>
      </c>
    </row>
    <row r="2675" spans="1:40" x14ac:dyDescent="0.25">
      <c r="A2675" t="str">
        <f>"20190312160654400"</f>
        <v>20190312160654400</v>
      </c>
      <c r="B2675" t="str">
        <f>"1552378014398021"</f>
        <v>1552378014398021</v>
      </c>
      <c r="C2675" t="s">
        <v>40</v>
      </c>
      <c r="D2675">
        <v>5.9896330000000004</v>
      </c>
      <c r="E2675">
        <v>0.4410269</v>
      </c>
      <c r="F2675" t="s">
        <v>61</v>
      </c>
      <c r="G2675">
        <v>-488.92950000000002</v>
      </c>
      <c r="H2675" s="1">
        <v>2.8317619999999999E-6</v>
      </c>
      <c r="I2675">
        <v>278.14299999999997</v>
      </c>
      <c r="J2675">
        <v>-478.36399999999998</v>
      </c>
      <c r="K2675">
        <v>1.110681</v>
      </c>
      <c r="L2675">
        <v>283.20350000000002</v>
      </c>
      <c r="M2675">
        <v>-0.97289760000000003</v>
      </c>
      <c r="N2675">
        <v>0</v>
      </c>
      <c r="O2675">
        <v>-0.23091919999999999</v>
      </c>
      <c r="P2675">
        <v>-0.95817770000000002</v>
      </c>
      <c r="Q2675">
        <v>8.7671750000000003E-3</v>
      </c>
      <c r="R2675">
        <v>-0.28603919999999999</v>
      </c>
      <c r="S2675">
        <v>-2.7429809999999999</v>
      </c>
      <c r="T2675">
        <v>-0.28678579999999998</v>
      </c>
      <c r="U2675">
        <v>-1.310516</v>
      </c>
      <c r="V2675">
        <v>-5.7060600000000003E-2</v>
      </c>
      <c r="W2675">
        <v>2.076888E-2</v>
      </c>
      <c r="X2675">
        <v>0.9981546</v>
      </c>
      <c r="Y2675">
        <v>-0.2111391</v>
      </c>
      <c r="Z2675">
        <v>1.1957880000000001E-2</v>
      </c>
      <c r="AA2675">
        <v>0.97738290000000005</v>
      </c>
      <c r="AB2675">
        <v>11</v>
      </c>
      <c r="AC2675">
        <v>-10.565499999999901</v>
      </c>
      <c r="AD2675">
        <v>-1.110678168238</v>
      </c>
      <c r="AE2675">
        <v>-5.0605000000000402</v>
      </c>
      <c r="AF2675">
        <v>-2.4616265269898201</v>
      </c>
      <c r="AG2675">
        <v>-1.110678168238</v>
      </c>
      <c r="AH2675">
        <v>11.3465635734554</v>
      </c>
      <c r="AI2675">
        <v>95.464365835857706</v>
      </c>
      <c r="AJ2675">
        <v>102.240577305515</v>
      </c>
      <c r="AK2675">
        <v>11.663520741107501</v>
      </c>
      <c r="AL2675">
        <v>88.809945185063299</v>
      </c>
      <c r="AM2675">
        <v>93.271814979805399</v>
      </c>
      <c r="AN2675">
        <v>0.99999993197498405</v>
      </c>
    </row>
    <row r="2676" spans="1:40" x14ac:dyDescent="0.25">
      <c r="A2676" t="str">
        <f>"20190312160654413"</f>
        <v>20190312160654413</v>
      </c>
      <c r="B2676" t="str">
        <f>"1552378014407780"</f>
        <v>1552378014407780</v>
      </c>
      <c r="C2676" t="s">
        <v>40</v>
      </c>
      <c r="D2676">
        <v>5.9865459999999997</v>
      </c>
      <c r="E2676">
        <v>0.44129040000000003</v>
      </c>
      <c r="F2676" t="s">
        <v>61</v>
      </c>
      <c r="G2676">
        <v>-489.04700000000003</v>
      </c>
      <c r="H2676" s="1">
        <v>2.8366999999999999E-6</v>
      </c>
      <c r="I2676">
        <v>278.09800000000001</v>
      </c>
      <c r="J2676">
        <v>-478.42180000000002</v>
      </c>
      <c r="K2676">
        <v>1.1106860000000001</v>
      </c>
      <c r="L2676">
        <v>283.1884</v>
      </c>
      <c r="M2676">
        <v>-0.97262870000000001</v>
      </c>
      <c r="N2676">
        <v>0</v>
      </c>
      <c r="O2676">
        <v>-0.23204929999999999</v>
      </c>
      <c r="P2676">
        <v>-0.9578023</v>
      </c>
      <c r="Q2676">
        <v>9.072353E-3</v>
      </c>
      <c r="R2676">
        <v>-0.2872847</v>
      </c>
      <c r="S2676">
        <v>-2.74234</v>
      </c>
      <c r="T2676">
        <v>-0.28511330000000001</v>
      </c>
      <c r="U2676">
        <v>-1.3105770000000001</v>
      </c>
      <c r="V2676">
        <v>-5.720016E-2</v>
      </c>
      <c r="W2676">
        <v>2.1073519999999998E-2</v>
      </c>
      <c r="X2676">
        <v>0.99814029999999998</v>
      </c>
      <c r="Y2676">
        <v>-0.2101181</v>
      </c>
      <c r="Z2676">
        <v>1.204714E-2</v>
      </c>
      <c r="AA2676">
        <v>0.97760179999999997</v>
      </c>
      <c r="AB2676">
        <v>11</v>
      </c>
      <c r="AC2676">
        <v>-10.6251999999999</v>
      </c>
      <c r="AD2676">
        <v>-1.1106831633000001</v>
      </c>
      <c r="AE2676">
        <v>-5.0903999999999803</v>
      </c>
      <c r="AF2676">
        <v>-2.4637846932287002</v>
      </c>
      <c r="AG2676">
        <v>-1.1106831633000001</v>
      </c>
      <c r="AH2676">
        <v>11.414993782278099</v>
      </c>
      <c r="AI2676">
        <v>95.433069733329702</v>
      </c>
      <c r="AJ2676">
        <v>102.179742034762</v>
      </c>
      <c r="AK2676">
        <v>11.730555619972799</v>
      </c>
      <c r="AL2676">
        <v>88.792486864587502</v>
      </c>
      <c r="AM2676">
        <v>93.279846690221206</v>
      </c>
      <c r="AN2676">
        <v>1.00000000501665</v>
      </c>
    </row>
    <row r="2677" spans="1:40" x14ac:dyDescent="0.25">
      <c r="A2677" t="str">
        <f>"20190312160654425"</f>
        <v>20190312160654425</v>
      </c>
      <c r="B2677" t="str">
        <f>"1552378014417541"</f>
        <v>1552378014417541</v>
      </c>
      <c r="C2677" t="s">
        <v>40</v>
      </c>
      <c r="D2677">
        <v>6.002173</v>
      </c>
      <c r="E2677">
        <v>0.44152370000000002</v>
      </c>
      <c r="F2677" t="s">
        <v>61</v>
      </c>
      <c r="G2677">
        <v>-489.13400000000001</v>
      </c>
      <c r="H2677" s="1">
        <v>2.8390139999999998E-6</v>
      </c>
      <c r="I2677">
        <v>278.0609</v>
      </c>
      <c r="J2677">
        <v>-478.47609999999997</v>
      </c>
      <c r="K2677">
        <v>1.110692</v>
      </c>
      <c r="L2677">
        <v>283.17410000000001</v>
      </c>
      <c r="M2677">
        <v>-0.9723716</v>
      </c>
      <c r="N2677">
        <v>0</v>
      </c>
      <c r="O2677">
        <v>-0.23312459999999999</v>
      </c>
      <c r="P2677">
        <v>-0.95745999999999998</v>
      </c>
      <c r="Q2677">
        <v>9.3690049999999997E-3</v>
      </c>
      <c r="R2677">
        <v>-0.28841409999999901</v>
      </c>
      <c r="S2677">
        <v>-2.7413020000000001</v>
      </c>
      <c r="T2677">
        <v>-0.28422779999999997</v>
      </c>
      <c r="U2677">
        <v>-1.3121339999999999</v>
      </c>
      <c r="V2677">
        <v>-5.7275479999999997E-2</v>
      </c>
      <c r="W2677">
        <v>2.1369570000000001E-2</v>
      </c>
      <c r="X2677">
        <v>0.99812970000000001</v>
      </c>
      <c r="Y2677">
        <v>-0.20963860000000001</v>
      </c>
      <c r="Z2677">
        <v>1.2136299999999999E-2</v>
      </c>
      <c r="AA2677">
        <v>0.97770360000000001</v>
      </c>
      <c r="AB2677">
        <v>11</v>
      </c>
      <c r="AC2677">
        <v>-10.6579</v>
      </c>
      <c r="AD2677">
        <v>-1.1106891609859999</v>
      </c>
      <c r="AE2677">
        <v>-5.1132</v>
      </c>
      <c r="AF2677">
        <v>-2.4657256677424102</v>
      </c>
      <c r="AG2677">
        <v>-1.1106891609859999</v>
      </c>
      <c r="AH2677">
        <v>11.4551680476711</v>
      </c>
      <c r="AI2677">
        <v>95.414809306147305</v>
      </c>
      <c r="AJ2677">
        <v>102.147574105559</v>
      </c>
      <c r="AK2677">
        <v>11.7700598333772</v>
      </c>
      <c r="AL2677">
        <v>88.775520644856002</v>
      </c>
      <c r="AM2677">
        <v>93.284190878858894</v>
      </c>
      <c r="AN2677">
        <v>1.00000001857665</v>
      </c>
    </row>
    <row r="2678" spans="1:40" x14ac:dyDescent="0.25">
      <c r="A2678" t="str">
        <f>"20190312160654438"</f>
        <v>20190312160654438</v>
      </c>
      <c r="B2678" t="str">
        <f>"1552378014428276"</f>
        <v>1552378014428276</v>
      </c>
      <c r="C2678" t="s">
        <v>40</v>
      </c>
      <c r="D2678">
        <v>5.9945909999999998</v>
      </c>
      <c r="E2678">
        <v>0.44171189999999999</v>
      </c>
      <c r="F2678" t="s">
        <v>61</v>
      </c>
      <c r="G2678">
        <v>-489.21069999999997</v>
      </c>
      <c r="H2678" s="1">
        <v>2.841117E-6</v>
      </c>
      <c r="I2678">
        <v>278.02839999999998</v>
      </c>
      <c r="J2678">
        <v>-478.53559999999999</v>
      </c>
      <c r="K2678">
        <v>1.1107009999999999</v>
      </c>
      <c r="L2678">
        <v>283.15839999999997</v>
      </c>
      <c r="M2678">
        <v>-0.97208629999999996</v>
      </c>
      <c r="N2678">
        <v>0</v>
      </c>
      <c r="O2678">
        <v>-0.23431160000000001</v>
      </c>
      <c r="P2678">
        <v>-0.95700130000000005</v>
      </c>
      <c r="Q2678">
        <v>9.1904220000000002E-3</v>
      </c>
      <c r="R2678">
        <v>-0.28993829999999998</v>
      </c>
      <c r="S2678">
        <v>-2.7403870000000001</v>
      </c>
      <c r="T2678">
        <v>-0.28354259999999998</v>
      </c>
      <c r="U2678">
        <v>-1.3136289999999999</v>
      </c>
      <c r="V2678">
        <v>-5.7645509999999997E-2</v>
      </c>
      <c r="W2678">
        <v>2.118983E-2</v>
      </c>
      <c r="X2678">
        <v>0.9981122</v>
      </c>
      <c r="Y2678">
        <v>-0.209013</v>
      </c>
      <c r="Z2678">
        <v>1.2250459999999999E-2</v>
      </c>
      <c r="AA2678">
        <v>0.97783609999999999</v>
      </c>
      <c r="AB2678">
        <v>11</v>
      </c>
      <c r="AC2678">
        <v>-10.675099999999899</v>
      </c>
      <c r="AD2678">
        <v>-1.1106981588829901</v>
      </c>
      <c r="AE2678">
        <v>-5.1299999999999901</v>
      </c>
      <c r="AF2678">
        <v>-2.46401492627139</v>
      </c>
      <c r="AG2678">
        <v>-1.1106981588829901</v>
      </c>
      <c r="AH2678">
        <v>11.4790313305729</v>
      </c>
      <c r="AI2678">
        <v>95.404321276991993</v>
      </c>
      <c r="AJ2678">
        <v>102.114906208801</v>
      </c>
      <c r="AK2678">
        <v>11.7929292478718</v>
      </c>
      <c r="AL2678">
        <v>88.785821284341395</v>
      </c>
      <c r="AM2678">
        <v>93.305419425716494</v>
      </c>
      <c r="AN2678">
        <v>0.99999998875371399</v>
      </c>
    </row>
    <row r="2679" spans="1:40" x14ac:dyDescent="0.25">
      <c r="A2679" t="str">
        <f>"20190312160654452"</f>
        <v>20190312160654452</v>
      </c>
      <c r="B2679" t="str">
        <f>"1552378014447797"</f>
        <v>1552378014447797</v>
      </c>
      <c r="C2679" t="s">
        <v>40</v>
      </c>
      <c r="D2679">
        <v>6.0099830000000001</v>
      </c>
      <c r="E2679">
        <v>0.44225789999999998</v>
      </c>
      <c r="F2679" t="s">
        <v>61</v>
      </c>
      <c r="G2679">
        <v>-489.22320000000002</v>
      </c>
      <c r="H2679" s="1">
        <v>2.840908E-6</v>
      </c>
      <c r="I2679">
        <v>278.0215</v>
      </c>
      <c r="J2679">
        <v>-478.5985</v>
      </c>
      <c r="K2679">
        <v>1.110711</v>
      </c>
      <c r="L2679">
        <v>283.14159999999998</v>
      </c>
      <c r="M2679">
        <v>-0.97178039999999999</v>
      </c>
      <c r="N2679">
        <v>0</v>
      </c>
      <c r="O2679">
        <v>-0.2355766</v>
      </c>
      <c r="P2679">
        <v>-0.95642459999999996</v>
      </c>
      <c r="Q2679">
        <v>9.5145170000000001E-3</v>
      </c>
      <c r="R2679">
        <v>-0.29182459999999999</v>
      </c>
      <c r="S2679">
        <v>-2.7387389999999998</v>
      </c>
      <c r="T2679">
        <v>-0.28462150000000003</v>
      </c>
      <c r="U2679">
        <v>-1.3163450000000001</v>
      </c>
      <c r="V2679">
        <v>-5.8316159999999999E-2</v>
      </c>
      <c r="W2679">
        <v>2.151163E-2</v>
      </c>
      <c r="X2679">
        <v>0.99806640000000002</v>
      </c>
      <c r="Y2679">
        <v>-0.20876449999999999</v>
      </c>
      <c r="Z2679">
        <v>1.2431009999999999E-2</v>
      </c>
      <c r="AA2679">
        <v>0.9778869</v>
      </c>
      <c r="AB2679">
        <v>11</v>
      </c>
      <c r="AC2679">
        <v>-10.624700000000001</v>
      </c>
      <c r="AD2679">
        <v>-1.110708159092</v>
      </c>
      <c r="AE2679">
        <v>-5.1200999999999697</v>
      </c>
      <c r="AF2679">
        <v>-2.4511243129308302</v>
      </c>
      <c r="AG2679">
        <v>-1.110708159092</v>
      </c>
      <c r="AH2679">
        <v>11.430518747524699</v>
      </c>
      <c r="AI2679">
        <v>95.427409621517398</v>
      </c>
      <c r="AJ2679">
        <v>102.103035508096</v>
      </c>
      <c r="AK2679">
        <v>11.7430167269585</v>
      </c>
      <c r="AL2679">
        <v>88.7673793513422</v>
      </c>
      <c r="AM2679">
        <v>93.343941134394797</v>
      </c>
      <c r="AN2679">
        <v>1.0000000317756801</v>
      </c>
    </row>
    <row r="2680" spans="1:40" x14ac:dyDescent="0.25">
      <c r="A2680" t="str">
        <f>"20190312160654468"</f>
        <v>20190312160654468</v>
      </c>
      <c r="B2680" t="str">
        <f>"1552378014457556"</f>
        <v>1552378014457556</v>
      </c>
      <c r="C2680" t="s">
        <v>40</v>
      </c>
      <c r="D2680">
        <v>5.9830079999999999</v>
      </c>
      <c r="E2680">
        <v>0.44252439999999998</v>
      </c>
      <c r="F2680" t="s">
        <v>61</v>
      </c>
      <c r="G2680">
        <v>-489.27289999999999</v>
      </c>
      <c r="H2680" s="1">
        <v>2.8437629999999998E-6</v>
      </c>
      <c r="I2680">
        <v>278.00459999999998</v>
      </c>
      <c r="J2680">
        <v>-478.66969999999998</v>
      </c>
      <c r="K2680">
        <v>1.1107199999999999</v>
      </c>
      <c r="L2680">
        <v>283.12259999999998</v>
      </c>
      <c r="M2680">
        <v>-0.9714275</v>
      </c>
      <c r="N2680">
        <v>0</v>
      </c>
      <c r="O2680">
        <v>-0.23702799999999999</v>
      </c>
      <c r="P2680">
        <v>-0.95593220000000001</v>
      </c>
      <c r="Q2680">
        <v>9.4691570000000006E-3</v>
      </c>
      <c r="R2680">
        <v>-0.29343570000000002</v>
      </c>
      <c r="S2680">
        <v>-2.7375180000000001</v>
      </c>
      <c r="T2680">
        <v>-0.2848485</v>
      </c>
      <c r="U2680">
        <v>-1.3174129999999999</v>
      </c>
      <c r="V2680">
        <v>-5.8507070000000001E-2</v>
      </c>
      <c r="W2680">
        <v>2.1465390000000001E-2</v>
      </c>
      <c r="X2680">
        <v>0.99805619999999995</v>
      </c>
      <c r="Y2680">
        <v>-0.2077939</v>
      </c>
      <c r="Z2680">
        <v>1.262829E-2</v>
      </c>
      <c r="AA2680">
        <v>0.97809109999999999</v>
      </c>
      <c r="AB2680">
        <v>11</v>
      </c>
      <c r="AC2680">
        <v>-10.603199999999999</v>
      </c>
      <c r="AD2680">
        <v>-1.110717156237</v>
      </c>
      <c r="AE2680">
        <v>-5.1179999999999897</v>
      </c>
      <c r="AF2680">
        <v>-2.4370019702929602</v>
      </c>
      <c r="AG2680">
        <v>-1.110717156237</v>
      </c>
      <c r="AH2680">
        <v>11.412622940074399</v>
      </c>
      <c r="AI2680">
        <v>95.436909467282106</v>
      </c>
      <c r="AJ2680">
        <v>102.053662521569</v>
      </c>
      <c r="AK2680">
        <v>11.722654715408201</v>
      </c>
      <c r="AL2680">
        <v>88.770029292323699</v>
      </c>
      <c r="AM2680">
        <v>93.354897461018098</v>
      </c>
      <c r="AN2680">
        <v>1.00000000928313</v>
      </c>
    </row>
    <row r="2681" spans="1:40" x14ac:dyDescent="0.25">
      <c r="A2681" t="str">
        <f>"20190312160654486"</f>
        <v>20190312160654486</v>
      </c>
      <c r="B2681" t="str">
        <f>"1552378014478052"</f>
        <v>1552378014478052</v>
      </c>
      <c r="C2681" t="s">
        <v>40</v>
      </c>
      <c r="D2681">
        <v>6.0159379999999896</v>
      </c>
      <c r="E2681">
        <v>0.44306519999999999</v>
      </c>
      <c r="F2681" t="s">
        <v>61</v>
      </c>
      <c r="G2681">
        <v>-489.35109999999997</v>
      </c>
      <c r="H2681" s="1">
        <v>2.8446170000000001E-6</v>
      </c>
      <c r="I2681">
        <v>277.96780000000001</v>
      </c>
      <c r="J2681">
        <v>-478.75119999999998</v>
      </c>
      <c r="K2681">
        <v>1.1107290000000001</v>
      </c>
      <c r="L2681">
        <v>283.10059999999999</v>
      </c>
      <c r="M2681">
        <v>-0.9710162</v>
      </c>
      <c r="N2681">
        <v>0</v>
      </c>
      <c r="O2681">
        <v>-0.23870669999999999</v>
      </c>
      <c r="P2681">
        <v>-0.95532899999999998</v>
      </c>
      <c r="Q2681">
        <v>9.8116609999999993E-3</v>
      </c>
      <c r="R2681">
        <v>-0.29538160000000002</v>
      </c>
      <c r="S2681">
        <v>-2.7358090000000002</v>
      </c>
      <c r="T2681">
        <v>-0.2844855</v>
      </c>
      <c r="U2681">
        <v>-1.320282</v>
      </c>
      <c r="V2681">
        <v>-5.8816439999999998E-2</v>
      </c>
      <c r="W2681">
        <v>2.1806720000000002E-2</v>
      </c>
      <c r="X2681">
        <v>0.99803059999999999</v>
      </c>
      <c r="Y2681">
        <v>-0.20718320000000001</v>
      </c>
      <c r="Z2681">
        <v>1.280301E-2</v>
      </c>
      <c r="AA2681">
        <v>0.97821840000000004</v>
      </c>
      <c r="AB2681">
        <v>11</v>
      </c>
      <c r="AC2681">
        <v>-10.5998999999999</v>
      </c>
      <c r="AD2681">
        <v>-1.1107261553829999</v>
      </c>
      <c r="AE2681">
        <v>-5.1327999999999703</v>
      </c>
      <c r="AF2681">
        <v>-2.4323103124314698</v>
      </c>
      <c r="AG2681">
        <v>-1.1107261553829999</v>
      </c>
      <c r="AH2681">
        <v>11.417201550161201</v>
      </c>
      <c r="AI2681">
        <v>95.435333230483906</v>
      </c>
      <c r="AJ2681">
        <v>102.026449544599</v>
      </c>
      <c r="AK2681">
        <v>11.7261390613115</v>
      </c>
      <c r="AL2681">
        <v>88.750467924077995</v>
      </c>
      <c r="AM2681">
        <v>93.372682744240805</v>
      </c>
      <c r="AN2681">
        <v>0.99999999259389505</v>
      </c>
    </row>
    <row r="2682" spans="1:40" x14ac:dyDescent="0.25">
      <c r="A2682" t="str">
        <f>"20190312160654508"</f>
        <v>20190312160654508</v>
      </c>
      <c r="B2682" t="str">
        <f>"1552378014497265"</f>
        <v>1552378014497265</v>
      </c>
      <c r="C2682" t="s">
        <v>40</v>
      </c>
      <c r="D2682">
        <v>6.0254029999999998</v>
      </c>
      <c r="E2682">
        <v>0.44352540000000001</v>
      </c>
      <c r="F2682" t="s">
        <v>61</v>
      </c>
      <c r="G2682">
        <v>-489.47210000000001</v>
      </c>
      <c r="H2682" s="1">
        <v>2.8490839999999902E-6</v>
      </c>
      <c r="I2682">
        <v>277.91969999999998</v>
      </c>
      <c r="J2682">
        <v>-478.8485</v>
      </c>
      <c r="K2682">
        <v>1.110738</v>
      </c>
      <c r="L2682">
        <v>283.07409999999999</v>
      </c>
      <c r="M2682">
        <v>-0.97051359999999998</v>
      </c>
      <c r="N2682">
        <v>0</v>
      </c>
      <c r="O2682">
        <v>-0.2407416</v>
      </c>
      <c r="P2682">
        <v>-0.95453540000000003</v>
      </c>
      <c r="Q2682">
        <v>9.9911540000000004E-3</v>
      </c>
      <c r="R2682">
        <v>-0.29793049999999999</v>
      </c>
      <c r="S2682">
        <v>-2.7346189999999999</v>
      </c>
      <c r="T2682">
        <v>-0.28331610000000002</v>
      </c>
      <c r="U2682">
        <v>-1.3215030000000001</v>
      </c>
      <c r="V2682">
        <v>-5.9389190000000001E-2</v>
      </c>
      <c r="W2682">
        <v>2.198406E-2</v>
      </c>
      <c r="X2682">
        <v>0.99799280000000001</v>
      </c>
      <c r="Y2682">
        <v>-0.2056666</v>
      </c>
      <c r="Z2682">
        <v>1.3017910000000001E-2</v>
      </c>
      <c r="AA2682">
        <v>0.9785355</v>
      </c>
      <c r="AB2682">
        <v>11</v>
      </c>
      <c r="AC2682">
        <v>-10.6236</v>
      </c>
      <c r="AD2682">
        <v>-1.1107351509159999</v>
      </c>
      <c r="AE2682">
        <v>-5.1544000000000096</v>
      </c>
      <c r="AF2682">
        <v>-2.4236071079633699</v>
      </c>
      <c r="AG2682">
        <v>-1.1107351509159999</v>
      </c>
      <c r="AH2682">
        <v>11.4507531448485</v>
      </c>
      <c r="AI2682">
        <v>95.421061330517304</v>
      </c>
      <c r="AJ2682">
        <v>101.950558391866</v>
      </c>
      <c r="AK2682">
        <v>11.757012867795501</v>
      </c>
      <c r="AL2682">
        <v>88.740304665602196</v>
      </c>
      <c r="AM2682">
        <v>93.405577429540401</v>
      </c>
      <c r="AN2682">
        <v>1.00000000181738</v>
      </c>
    </row>
    <row r="2683" spans="1:40" x14ac:dyDescent="0.25">
      <c r="A2683" t="str">
        <f>"20190312160654530"</f>
        <v>20190312160654530</v>
      </c>
      <c r="B2683" t="str">
        <f>"1552378014517762"</f>
        <v>1552378014517762</v>
      </c>
      <c r="C2683" t="s">
        <v>40</v>
      </c>
      <c r="D2683">
        <v>6.0182719999999996</v>
      </c>
      <c r="E2683">
        <v>0.44400719999999999</v>
      </c>
      <c r="F2683" t="s">
        <v>61</v>
      </c>
      <c r="G2683">
        <v>-489.61939999999998</v>
      </c>
      <c r="H2683" s="1">
        <v>2.8500319999999999E-6</v>
      </c>
      <c r="I2683">
        <v>277.8485</v>
      </c>
      <c r="J2683">
        <v>-478.9513</v>
      </c>
      <c r="K2683">
        <v>1.110749</v>
      </c>
      <c r="L2683">
        <v>283.04590000000002</v>
      </c>
      <c r="M2683">
        <v>-0.96996979999999999</v>
      </c>
      <c r="N2683">
        <v>0</v>
      </c>
      <c r="O2683">
        <v>-0.24292420000000001</v>
      </c>
      <c r="P2683">
        <v>-0.95360619999999996</v>
      </c>
      <c r="Q2683">
        <v>9.9983869999999992E-3</v>
      </c>
      <c r="R2683">
        <v>-0.30089090000000002</v>
      </c>
      <c r="S2683">
        <v>-2.7321469999999999</v>
      </c>
      <c r="T2683">
        <v>-0.28174709999999997</v>
      </c>
      <c r="U2683">
        <v>-1.325531</v>
      </c>
      <c r="V2683">
        <v>-6.0242410000000003E-2</v>
      </c>
      <c r="W2683">
        <v>2.1988830000000001E-2</v>
      </c>
      <c r="X2683">
        <v>0.99794159999999998</v>
      </c>
      <c r="Y2683">
        <v>-0.2049906</v>
      </c>
      <c r="Z2683">
        <v>1.3186720000000001E-2</v>
      </c>
      <c r="AA2683">
        <v>0.97867510000000002</v>
      </c>
      <c r="AB2683">
        <v>11</v>
      </c>
      <c r="AC2683">
        <v>-10.6680999999999</v>
      </c>
      <c r="AD2683">
        <v>-1.110746149968</v>
      </c>
      <c r="AE2683">
        <v>-5.1974000000000098</v>
      </c>
      <c r="AF2683">
        <v>-2.4286826909615802</v>
      </c>
      <c r="AG2683">
        <v>-1.110746149968</v>
      </c>
      <c r="AH2683">
        <v>11.510315522970499</v>
      </c>
      <c r="AI2683">
        <v>95.393937588554607</v>
      </c>
      <c r="AJ2683">
        <v>101.914672972402</v>
      </c>
      <c r="AK2683">
        <v>11.8160746469114</v>
      </c>
      <c r="AL2683">
        <v>88.740031355350197</v>
      </c>
      <c r="AM2683">
        <v>93.454563114992595</v>
      </c>
      <c r="AN2683">
        <v>1.00000004680896</v>
      </c>
    </row>
    <row r="2684" spans="1:40" x14ac:dyDescent="0.25">
      <c r="A2684" t="str">
        <f>"20190312160654544"</f>
        <v>20190312160654544</v>
      </c>
      <c r="B2684" t="str">
        <f>"1552378014537283"</f>
        <v>1552378014537283</v>
      </c>
      <c r="C2684" t="s">
        <v>40</v>
      </c>
      <c r="D2684">
        <v>6.0185879999999896</v>
      </c>
      <c r="E2684">
        <v>0.4444845</v>
      </c>
      <c r="F2684" t="s">
        <v>61</v>
      </c>
      <c r="G2684">
        <v>-489.74360000000001</v>
      </c>
      <c r="H2684" s="1">
        <v>2.8491969999999999E-6</v>
      </c>
      <c r="I2684">
        <v>277.78379999999999</v>
      </c>
      <c r="J2684">
        <v>-479.0102</v>
      </c>
      <c r="K2684">
        <v>1.110751</v>
      </c>
      <c r="L2684">
        <v>283.02949999999998</v>
      </c>
      <c r="M2684">
        <v>-0.96965100000000004</v>
      </c>
      <c r="N2684">
        <v>0</v>
      </c>
      <c r="O2684">
        <v>-0.24419360000000001</v>
      </c>
      <c r="P2684">
        <v>-0.95313859999999995</v>
      </c>
      <c r="Q2684">
        <v>1.000041E-2</v>
      </c>
      <c r="R2684">
        <v>-0.3023689</v>
      </c>
      <c r="S2684">
        <v>-2.7290040000000002</v>
      </c>
      <c r="T2684">
        <v>-0.2808679</v>
      </c>
      <c r="U2684">
        <v>-1.330597</v>
      </c>
      <c r="V2684">
        <v>-6.0483179999999998E-2</v>
      </c>
      <c r="W2684">
        <v>2.1990260000000001E-2</v>
      </c>
      <c r="X2684">
        <v>0.99792700000000001</v>
      </c>
      <c r="Y2684">
        <v>-0.20562259999999999</v>
      </c>
      <c r="Z2684">
        <v>1.323939E-2</v>
      </c>
      <c r="AA2684">
        <v>0.97854180000000002</v>
      </c>
      <c r="AB2684">
        <v>11</v>
      </c>
      <c r="AC2684">
        <v>-10.7334</v>
      </c>
      <c r="AD2684">
        <v>-1.1107481508029999</v>
      </c>
      <c r="AE2684">
        <v>-5.2456999999999896</v>
      </c>
      <c r="AF2684">
        <v>-2.4445197005873101</v>
      </c>
      <c r="AG2684">
        <v>-1.1107481508029999</v>
      </c>
      <c r="AH2684">
        <v>11.5892914038787</v>
      </c>
      <c r="AI2684">
        <v>95.357481250926199</v>
      </c>
      <c r="AJ2684">
        <v>101.91075888586199</v>
      </c>
      <c r="AK2684">
        <v>11.8962646769938</v>
      </c>
      <c r="AL2684">
        <v>88.739949396466599</v>
      </c>
      <c r="AM2684">
        <v>93.468386901127104</v>
      </c>
      <c r="AN2684">
        <v>1.0000000419633801</v>
      </c>
    </row>
    <row r="2685" spans="1:40" x14ac:dyDescent="0.25">
      <c r="A2685" t="str">
        <f>"20190312160654558"</f>
        <v>20190312160654558</v>
      </c>
      <c r="B2685" t="str">
        <f>"1552378014548019"</f>
        <v>1552378014548019</v>
      </c>
      <c r="C2685" t="s">
        <v>40</v>
      </c>
      <c r="D2685">
        <v>6.0299319999999996</v>
      </c>
      <c r="E2685">
        <v>0.44466850000000002</v>
      </c>
      <c r="F2685" t="s">
        <v>61</v>
      </c>
      <c r="G2685">
        <v>-489.80169999999998</v>
      </c>
      <c r="H2685" s="1">
        <v>2.8523589999999999E-6</v>
      </c>
      <c r="I2685">
        <v>277.7636</v>
      </c>
      <c r="J2685">
        <v>-479.07580000000002</v>
      </c>
      <c r="K2685">
        <v>1.1107579999999999</v>
      </c>
      <c r="L2685">
        <v>283.01130000000001</v>
      </c>
      <c r="M2685">
        <v>-0.96929140000000003</v>
      </c>
      <c r="N2685">
        <v>0</v>
      </c>
      <c r="O2685">
        <v>-0.24561620000000001</v>
      </c>
      <c r="P2685">
        <v>-0.9526386</v>
      </c>
      <c r="Q2685">
        <v>9.8178680000000004E-3</v>
      </c>
      <c r="R2685">
        <v>-0.303946299999999</v>
      </c>
      <c r="S2685">
        <v>-2.728119</v>
      </c>
      <c r="T2685">
        <v>-0.28079969999999999</v>
      </c>
      <c r="U2685">
        <v>-1.3312379999999999</v>
      </c>
      <c r="V2685">
        <v>-6.0670439999999999E-2</v>
      </c>
      <c r="W2685">
        <v>2.1806720000000002E-2</v>
      </c>
      <c r="X2685">
        <v>0.99791960000000002</v>
      </c>
      <c r="Y2685">
        <v>-0.2045073</v>
      </c>
      <c r="Z2685">
        <v>1.342467E-2</v>
      </c>
      <c r="AA2685">
        <v>0.978773</v>
      </c>
      <c r="AB2685">
        <v>11</v>
      </c>
      <c r="AC2685">
        <v>-10.7258999999999</v>
      </c>
      <c r="AD2685">
        <v>-1.11075514764099</v>
      </c>
      <c r="AE2685">
        <v>-5.2477</v>
      </c>
      <c r="AF2685">
        <v>-2.4312381932707701</v>
      </c>
      <c r="AG2685">
        <v>-1.11075514764099</v>
      </c>
      <c r="AH2685">
        <v>11.5860465693875</v>
      </c>
      <c r="AI2685">
        <v>95.360173690037698</v>
      </c>
      <c r="AJ2685">
        <v>101.851103781855</v>
      </c>
      <c r="AK2685">
        <v>11.8903814597533</v>
      </c>
      <c r="AL2685">
        <v>88.750467910458099</v>
      </c>
      <c r="AM2685">
        <v>93.479124660466098</v>
      </c>
      <c r="AN2685">
        <v>0.99999998169555504</v>
      </c>
    </row>
    <row r="2686" spans="1:40" x14ac:dyDescent="0.25">
      <c r="A2686" t="str">
        <f>"20190312160654575"</f>
        <v>20190312160654575</v>
      </c>
      <c r="B2686" t="str">
        <f>"1552378014567539"</f>
        <v>1552378014567539</v>
      </c>
      <c r="C2686" t="s">
        <v>40</v>
      </c>
      <c r="D2686">
        <v>6.0532659999999998</v>
      </c>
      <c r="E2686">
        <v>0.44509680000000001</v>
      </c>
      <c r="F2686" t="s">
        <v>61</v>
      </c>
      <c r="G2686">
        <v>-489.82549999999998</v>
      </c>
      <c r="H2686" s="1">
        <v>2.8517729999999998E-6</v>
      </c>
      <c r="I2686">
        <v>277.75</v>
      </c>
      <c r="J2686">
        <v>-479.15449999999998</v>
      </c>
      <c r="K2686">
        <v>1.110768</v>
      </c>
      <c r="L2686">
        <v>282.98919999999998</v>
      </c>
      <c r="M2686">
        <v>-0.96885160000000003</v>
      </c>
      <c r="N2686">
        <v>0</v>
      </c>
      <c r="O2686">
        <v>-0.2473457</v>
      </c>
      <c r="P2686">
        <v>-0.95189539999999995</v>
      </c>
      <c r="Q2686">
        <v>9.8919070000000001E-3</v>
      </c>
      <c r="R2686">
        <v>-0.30626330000000002</v>
      </c>
      <c r="S2686">
        <v>-2.726318</v>
      </c>
      <c r="T2686">
        <v>-0.28170780000000001</v>
      </c>
      <c r="U2686">
        <v>-1.3343510000000001</v>
      </c>
      <c r="V2686">
        <v>-6.1318900000000003E-2</v>
      </c>
      <c r="W2686">
        <v>2.1878700000000001E-2</v>
      </c>
      <c r="X2686">
        <v>0.99787840000000005</v>
      </c>
      <c r="Y2686">
        <v>-0.20392740000000001</v>
      </c>
      <c r="Z2686">
        <v>1.3660189999999999E-2</v>
      </c>
      <c r="AA2686">
        <v>0.9788907</v>
      </c>
      <c r="AB2686">
        <v>11</v>
      </c>
      <c r="AC2686">
        <v>-10.6709999999999</v>
      </c>
      <c r="AD2686">
        <v>-1.110765148227</v>
      </c>
      <c r="AE2686">
        <v>-5.2391999999999799</v>
      </c>
      <c r="AF2686">
        <v>-2.4156698872523799</v>
      </c>
      <c r="AG2686">
        <v>-1.110765148227</v>
      </c>
      <c r="AH2686">
        <v>11.534658269786</v>
      </c>
      <c r="AI2686">
        <v>95.3844079597731</v>
      </c>
      <c r="AJ2686">
        <v>101.828336495339</v>
      </c>
      <c r="AK2686">
        <v>11.8371280984636</v>
      </c>
      <c r="AL2686">
        <v>88.746342790293795</v>
      </c>
      <c r="AM2686">
        <v>93.516362374090306</v>
      </c>
      <c r="AN2686">
        <v>0.99999999309873</v>
      </c>
    </row>
    <row r="2687" spans="1:40" x14ac:dyDescent="0.25">
      <c r="A2687" t="str">
        <f>"20190312160654589"</f>
        <v>20190312160654589</v>
      </c>
      <c r="B2687" t="str">
        <f>"1552378014577298"</f>
        <v>1552378014577298</v>
      </c>
      <c r="C2687" t="s">
        <v>40</v>
      </c>
      <c r="D2687">
        <v>6.0515349999999897</v>
      </c>
      <c r="E2687">
        <v>0.44528770000000001</v>
      </c>
      <c r="F2687" t="s">
        <v>61</v>
      </c>
      <c r="G2687">
        <v>-489.89819999999997</v>
      </c>
      <c r="H2687" s="1">
        <v>2.8520099999999998E-6</v>
      </c>
      <c r="I2687">
        <v>277.71420000000001</v>
      </c>
      <c r="J2687">
        <v>-479.21839999999997</v>
      </c>
      <c r="K2687">
        <v>1.110776</v>
      </c>
      <c r="L2687">
        <v>282.97109999999998</v>
      </c>
      <c r="M2687">
        <v>-0.96848679999999998</v>
      </c>
      <c r="N2687">
        <v>0</v>
      </c>
      <c r="O2687">
        <v>-0.2487702</v>
      </c>
      <c r="P2687">
        <v>-0.95132729999999999</v>
      </c>
      <c r="Q2687">
        <v>9.5006859999999995E-3</v>
      </c>
      <c r="R2687">
        <v>-0.30803580000000003</v>
      </c>
      <c r="S2687">
        <v>-2.7241819999999999</v>
      </c>
      <c r="T2687">
        <v>-0.28164529999999999</v>
      </c>
      <c r="U2687">
        <v>-1.3375239999999999</v>
      </c>
      <c r="V2687">
        <v>-6.1709130000000001E-2</v>
      </c>
      <c r="W2687">
        <v>2.1486359999999999E-2</v>
      </c>
      <c r="X2687">
        <v>0.9978629</v>
      </c>
      <c r="Y2687">
        <v>-0.2037167</v>
      </c>
      <c r="Z2687">
        <v>1.380463E-2</v>
      </c>
      <c r="AA2687">
        <v>0.97893260000000004</v>
      </c>
      <c r="AB2687">
        <v>11</v>
      </c>
      <c r="AC2687">
        <v>-10.6798</v>
      </c>
      <c r="AD2687">
        <v>-1.11077314799</v>
      </c>
      <c r="AE2687">
        <v>-5.2568999999999697</v>
      </c>
      <c r="AF2687">
        <v>-2.4135841739450301</v>
      </c>
      <c r="AG2687">
        <v>-1.11077314799</v>
      </c>
      <c r="AH2687">
        <v>11.5512754251617</v>
      </c>
      <c r="AI2687">
        <v>95.377262309822299</v>
      </c>
      <c r="AJ2687">
        <v>101.801886854464</v>
      </c>
      <c r="AK2687">
        <v>11.852897093072199</v>
      </c>
      <c r="AL2687">
        <v>88.768827540538496</v>
      </c>
      <c r="AM2687">
        <v>93.538738447400803</v>
      </c>
      <c r="AN2687">
        <v>1.0000000237939</v>
      </c>
    </row>
    <row r="2688" spans="1:40" x14ac:dyDescent="0.25">
      <c r="A2688" t="str">
        <f>"20190312160654603"</f>
        <v>20190312160654603</v>
      </c>
      <c r="B2688" t="str">
        <f>"1552378014597794"</f>
        <v>1552378014597794</v>
      </c>
      <c r="C2688" t="s">
        <v>40</v>
      </c>
      <c r="D2688">
        <v>6.0714230000000002</v>
      </c>
      <c r="E2688">
        <v>0.4454919</v>
      </c>
      <c r="F2688" t="s">
        <v>61</v>
      </c>
      <c r="G2688">
        <v>-489.923</v>
      </c>
      <c r="H2688" s="1">
        <v>2.8507200000000002E-6</v>
      </c>
      <c r="I2688">
        <v>277.69810000000001</v>
      </c>
      <c r="J2688">
        <v>-479.28199999999998</v>
      </c>
      <c r="K2688">
        <v>1.1107830000000001</v>
      </c>
      <c r="L2688">
        <v>282.9529</v>
      </c>
      <c r="M2688">
        <v>-0.96811829999999999</v>
      </c>
      <c r="N2688">
        <v>0</v>
      </c>
      <c r="O2688">
        <v>-0.25020029999999999</v>
      </c>
      <c r="P2688">
        <v>-0.95078470000000004</v>
      </c>
      <c r="Q2688">
        <v>9.5659999999999999E-3</v>
      </c>
      <c r="R2688">
        <v>-0.30970449999999999</v>
      </c>
      <c r="S2688">
        <v>-2.7221679999999999</v>
      </c>
      <c r="T2688">
        <v>-0.282468099999999</v>
      </c>
      <c r="U2688">
        <v>-1.3409120000000001</v>
      </c>
      <c r="V2688">
        <v>-6.1986439999999997E-2</v>
      </c>
      <c r="W2688">
        <v>2.1550719999999999E-2</v>
      </c>
      <c r="X2688">
        <v>0.99784430000000002</v>
      </c>
      <c r="Y2688">
        <v>-0.20354559999999999</v>
      </c>
      <c r="Z2688">
        <v>1.399046E-2</v>
      </c>
      <c r="AA2688">
        <v>0.97896550000000004</v>
      </c>
      <c r="AB2688">
        <v>11</v>
      </c>
      <c r="AC2688">
        <v>-10.641</v>
      </c>
      <c r="AD2688">
        <v>-1.11078014927999</v>
      </c>
      <c r="AE2688">
        <v>-5.2547999999999799</v>
      </c>
      <c r="AF2688">
        <v>-2.4040048378405601</v>
      </c>
      <c r="AG2688">
        <v>-1.11078014927999</v>
      </c>
      <c r="AH2688">
        <v>11.5164643552292</v>
      </c>
      <c r="AI2688">
        <v>95.393669191170503</v>
      </c>
      <c r="AJ2688">
        <v>101.79089500592499</v>
      </c>
      <c r="AK2688">
        <v>11.8170225964775</v>
      </c>
      <c r="AL2688">
        <v>88.765139100395203</v>
      </c>
      <c r="AM2688">
        <v>93.554666323016903</v>
      </c>
      <c r="AN2688">
        <v>0.99999999965944097</v>
      </c>
    </row>
    <row r="2689" spans="1:40" x14ac:dyDescent="0.25">
      <c r="A2689" t="str">
        <f>"20190312160654617"</f>
        <v>20190312160654617</v>
      </c>
      <c r="B2689" t="str">
        <f>"1552378014607554"</f>
        <v>1552378014607554</v>
      </c>
      <c r="C2689" t="s">
        <v>40</v>
      </c>
      <c r="D2689">
        <v>5.8893519999999997</v>
      </c>
      <c r="E2689">
        <v>0.44559339999999997</v>
      </c>
      <c r="F2689" t="s">
        <v>61</v>
      </c>
      <c r="G2689">
        <v>-489.99459999999999</v>
      </c>
      <c r="H2689" s="1">
        <v>2.8402459999999999E-6</v>
      </c>
      <c r="I2689">
        <v>277.66019999999997</v>
      </c>
      <c r="J2689">
        <v>-479.3433</v>
      </c>
      <c r="K2689">
        <v>1.110784</v>
      </c>
      <c r="L2689">
        <v>282.93540000000002</v>
      </c>
      <c r="M2689">
        <v>-0.96775840000000002</v>
      </c>
      <c r="N2689">
        <v>0</v>
      </c>
      <c r="O2689">
        <v>-0.25158920000000001</v>
      </c>
      <c r="P2689">
        <v>-0.9503701</v>
      </c>
      <c r="Q2689">
        <v>9.6692359999999995E-3</v>
      </c>
      <c r="R2689">
        <v>-0.31097200000000003</v>
      </c>
      <c r="S2689">
        <v>-2.7203369999999998</v>
      </c>
      <c r="T2689">
        <v>-0.28207140000000003</v>
      </c>
      <c r="U2689">
        <v>-1.344025</v>
      </c>
      <c r="V2689">
        <v>-6.1885900000000001E-2</v>
      </c>
      <c r="W2689">
        <v>2.165417E-2</v>
      </c>
      <c r="X2689">
        <v>0.99784830000000002</v>
      </c>
      <c r="Y2689">
        <v>-0.20330870000000001</v>
      </c>
      <c r="Z2689">
        <v>1.4115330000000001E-2</v>
      </c>
      <c r="AA2689">
        <v>0.97901289999999996</v>
      </c>
      <c r="AB2689">
        <v>11</v>
      </c>
      <c r="AC2689">
        <v>-10.6512999999999</v>
      </c>
      <c r="AD2689">
        <v>-1.110781159754</v>
      </c>
      <c r="AE2689">
        <v>-5.2752000000000399</v>
      </c>
      <c r="AF2689">
        <v>-2.4045449869581099</v>
      </c>
      <c r="AG2689">
        <v>-1.110781159754</v>
      </c>
      <c r="AH2689">
        <v>11.5351798804213</v>
      </c>
      <c r="AI2689">
        <v>95.385286793886095</v>
      </c>
      <c r="AJ2689">
        <v>101.77487012683299</v>
      </c>
      <c r="AK2689">
        <v>11.835372670636399</v>
      </c>
      <c r="AL2689">
        <v>88.759210467371801</v>
      </c>
      <c r="AM2689">
        <v>93.548901326687101</v>
      </c>
      <c r="AN2689">
        <v>0.99999999875504397</v>
      </c>
    </row>
    <row r="2690" spans="1:40" x14ac:dyDescent="0.25">
      <c r="A2690" t="str">
        <f>"20190312160654630"</f>
        <v>20190312160654630</v>
      </c>
      <c r="B2690" t="str">
        <f>"1552378014617314"</f>
        <v>1552378014617314</v>
      </c>
      <c r="C2690" t="s">
        <v>40</v>
      </c>
      <c r="D2690">
        <v>6.0936680000000001</v>
      </c>
      <c r="E2690">
        <v>0.44570929999999997</v>
      </c>
      <c r="F2690" t="s">
        <v>61</v>
      </c>
      <c r="G2690">
        <v>-490.14019999999999</v>
      </c>
      <c r="H2690" s="1">
        <v>2.8008969999999999E-6</v>
      </c>
      <c r="I2690">
        <v>277.58550000000002</v>
      </c>
      <c r="J2690">
        <v>-479.40230000000003</v>
      </c>
      <c r="K2690">
        <v>1.1107899999999999</v>
      </c>
      <c r="L2690">
        <v>282.91840000000002</v>
      </c>
      <c r="M2690">
        <v>-0.96740559999999998</v>
      </c>
      <c r="N2690">
        <v>0</v>
      </c>
      <c r="O2690">
        <v>-0.25294240000000001</v>
      </c>
      <c r="P2690">
        <v>-0.94993470000000002</v>
      </c>
      <c r="Q2690">
        <v>9.1535639999999995E-3</v>
      </c>
      <c r="R2690">
        <v>-0.31231500000000001</v>
      </c>
      <c r="S2690">
        <v>-2.7187190000000001</v>
      </c>
      <c r="T2690">
        <v>-0.27970050000000002</v>
      </c>
      <c r="U2690">
        <v>-1.347137</v>
      </c>
      <c r="V2690">
        <v>-6.1898960000000003E-2</v>
      </c>
      <c r="W2690">
        <v>2.113835E-2</v>
      </c>
      <c r="X2690">
        <v>0.99785849999999998</v>
      </c>
      <c r="Y2690">
        <v>-0.20307439999999999</v>
      </c>
      <c r="Z2690">
        <v>1.4136070000000001E-2</v>
      </c>
      <c r="AA2690">
        <v>0.97906119999999996</v>
      </c>
      <c r="AB2690">
        <v>11</v>
      </c>
      <c r="AC2690">
        <v>-10.7378999999999</v>
      </c>
      <c r="AD2690">
        <v>-1.1107871991029901</v>
      </c>
      <c r="AE2690">
        <v>-5.3328999999999898</v>
      </c>
      <c r="AF2690">
        <v>-2.4223929384852001</v>
      </c>
      <c r="AG2690">
        <v>-1.1107871991029901</v>
      </c>
      <c r="AH2690">
        <v>11.637785365867501</v>
      </c>
      <c r="AI2690">
        <v>95.338433660017003</v>
      </c>
      <c r="AJ2690">
        <v>101.758164256434</v>
      </c>
      <c r="AK2690">
        <v>11.939006825197501</v>
      </c>
      <c r="AL2690">
        <v>88.788771483218</v>
      </c>
      <c r="AM2690">
        <v>93.5496121578215</v>
      </c>
      <c r="AN2690">
        <v>0.99999994855602503</v>
      </c>
    </row>
    <row r="2691" spans="1:40" x14ac:dyDescent="0.25">
      <c r="A2691" t="str">
        <f>"20190312160654645"</f>
        <v>20190312160654645</v>
      </c>
      <c r="B2691" t="str">
        <f>"1552378014637810"</f>
        <v>1552378014637810</v>
      </c>
      <c r="C2691" t="s">
        <v>40</v>
      </c>
      <c r="D2691">
        <v>6.0649129999999998</v>
      </c>
      <c r="E2691">
        <v>0.44597890000000001</v>
      </c>
      <c r="F2691" t="s">
        <v>61</v>
      </c>
      <c r="G2691">
        <v>-490.22590000000002</v>
      </c>
      <c r="H2691" s="1">
        <v>2.7774350000000002E-6</v>
      </c>
      <c r="I2691">
        <v>277.54059999999998</v>
      </c>
      <c r="J2691">
        <v>-479.4622</v>
      </c>
      <c r="K2691">
        <v>1.1107990000000001</v>
      </c>
      <c r="L2691">
        <v>282.90100000000001</v>
      </c>
      <c r="M2691">
        <v>-0.9670417</v>
      </c>
      <c r="N2691">
        <v>0</v>
      </c>
      <c r="O2691">
        <v>-0.25432939999999998</v>
      </c>
      <c r="P2691">
        <v>-0.9495228</v>
      </c>
      <c r="Q2691">
        <v>9.1208769999999995E-3</v>
      </c>
      <c r="R2691">
        <v>-0.31356529999999999</v>
      </c>
      <c r="S2691">
        <v>-2.71698</v>
      </c>
      <c r="T2691">
        <v>-0.27883449999999999</v>
      </c>
      <c r="U2691">
        <v>-1.349945</v>
      </c>
      <c r="V2691">
        <v>-6.1781950000000002E-2</v>
      </c>
      <c r="W2691">
        <v>2.1105459999999999E-2</v>
      </c>
      <c r="X2691">
        <v>0.99786649999999999</v>
      </c>
      <c r="Y2691">
        <v>-0.2027369</v>
      </c>
      <c r="Z2691">
        <v>1.4239979999999999E-2</v>
      </c>
      <c r="AA2691">
        <v>0.97912969999999999</v>
      </c>
      <c r="AB2691">
        <v>11</v>
      </c>
      <c r="AC2691">
        <v>-10.7637</v>
      </c>
      <c r="AD2691">
        <v>-1.1107962225650001</v>
      </c>
      <c r="AE2691">
        <v>-5.3604000000000198</v>
      </c>
      <c r="AF2691">
        <v>-2.4256850861228898</v>
      </c>
      <c r="AG2691">
        <v>-1.1107962225650001</v>
      </c>
      <c r="AH2691">
        <v>11.673503041008599</v>
      </c>
      <c r="AI2691">
        <v>95.322610813939704</v>
      </c>
      <c r="AJ2691">
        <v>101.73867526596</v>
      </c>
      <c r="AK2691">
        <v>11.974493293394101</v>
      </c>
      <c r="AL2691">
        <v>88.790656425201504</v>
      </c>
      <c r="AM2691">
        <v>93.542890964350704</v>
      </c>
      <c r="AN2691">
        <v>1.0000000008049299</v>
      </c>
    </row>
    <row r="2692" spans="1:40" x14ac:dyDescent="0.25">
      <c r="A2692" t="str">
        <f>"20190312160654658"</f>
        <v>20190312160654658</v>
      </c>
      <c r="B2692" t="str">
        <f>"1552378014648078"</f>
        <v>1552378014648078</v>
      </c>
      <c r="C2692" t="s">
        <v>40</v>
      </c>
      <c r="D2692">
        <v>6.0821170000000002</v>
      </c>
      <c r="E2692">
        <v>0.44611060000000002</v>
      </c>
      <c r="F2692" t="s">
        <v>61</v>
      </c>
      <c r="G2692">
        <v>-490.41109999999998</v>
      </c>
      <c r="H2692" s="1">
        <v>2.729789E-6</v>
      </c>
      <c r="I2692">
        <v>277.45229999999998</v>
      </c>
      <c r="J2692">
        <v>-479.52620000000002</v>
      </c>
      <c r="K2692">
        <v>1.1108049999999901</v>
      </c>
      <c r="L2692">
        <v>282.88229999999999</v>
      </c>
      <c r="M2692">
        <v>-0.96664660000000002</v>
      </c>
      <c r="N2692">
        <v>0</v>
      </c>
      <c r="O2692">
        <v>-0.25582670000000002</v>
      </c>
      <c r="P2692">
        <v>-0.9490632</v>
      </c>
      <c r="Q2692">
        <v>9.0673309999999997E-3</v>
      </c>
      <c r="R2692">
        <v>-0.31495570000000001</v>
      </c>
      <c r="S2692">
        <v>-2.7157900000000001</v>
      </c>
      <c r="T2692">
        <v>-0.27552399999999999</v>
      </c>
      <c r="U2692">
        <v>-1.3515010000000001</v>
      </c>
      <c r="V2692">
        <v>-6.1697809999999999E-2</v>
      </c>
      <c r="W2692">
        <v>2.1052540000000002E-2</v>
      </c>
      <c r="X2692">
        <v>0.9978728</v>
      </c>
      <c r="Y2692">
        <v>-0.20184589999999999</v>
      </c>
      <c r="Z2692">
        <v>1.425299E-2</v>
      </c>
      <c r="AA2692">
        <v>0.97931360000000001</v>
      </c>
      <c r="AB2692">
        <v>11</v>
      </c>
      <c r="AC2692">
        <v>-10.884899999999901</v>
      </c>
      <c r="AD2692">
        <v>-1.1108022702110001</v>
      </c>
      <c r="AE2692">
        <v>-5.43</v>
      </c>
      <c r="AF2692">
        <v>-2.4440434218668901</v>
      </c>
      <c r="AG2692">
        <v>-1.1108022702110001</v>
      </c>
      <c r="AH2692">
        <v>11.813355348436399</v>
      </c>
      <c r="AI2692">
        <v>95.260925215254304</v>
      </c>
      <c r="AJ2692">
        <v>101.68890842853899</v>
      </c>
      <c r="AK2692">
        <v>12.114561259901601</v>
      </c>
      <c r="AL2692">
        <v>88.793689163079506</v>
      </c>
      <c r="AM2692">
        <v>93.538055933321104</v>
      </c>
      <c r="AN2692">
        <v>0.99999997708954302</v>
      </c>
    </row>
    <row r="2693" spans="1:40" x14ac:dyDescent="0.25">
      <c r="A2693" t="str">
        <f>"20190312160654675"</f>
        <v>20190312160654675</v>
      </c>
      <c r="B2693" t="str">
        <f>"1552378014667597"</f>
        <v>1552378014667597</v>
      </c>
      <c r="C2693" t="s">
        <v>40</v>
      </c>
      <c r="D2693">
        <v>6.0772459999999997</v>
      </c>
      <c r="E2693">
        <v>0.44655270000000002</v>
      </c>
      <c r="F2693" t="s">
        <v>61</v>
      </c>
      <c r="G2693">
        <v>-490.5197</v>
      </c>
      <c r="H2693" s="1">
        <v>2.6999920000000002E-6</v>
      </c>
      <c r="I2693">
        <v>277.39530000000002</v>
      </c>
      <c r="J2693">
        <v>-479.60449999999997</v>
      </c>
      <c r="K2693">
        <v>1.110811</v>
      </c>
      <c r="L2693">
        <v>282.85930000000002</v>
      </c>
      <c r="M2693">
        <v>-0.96615450000000003</v>
      </c>
      <c r="N2693">
        <v>0</v>
      </c>
      <c r="O2693">
        <v>-0.25768000000000002</v>
      </c>
      <c r="P2693">
        <v>-0.94851560000000001</v>
      </c>
      <c r="Q2693">
        <v>8.8264999999999993E-3</v>
      </c>
      <c r="R2693">
        <v>-0.31660820000000001</v>
      </c>
      <c r="S2693">
        <v>-2.7140810000000002</v>
      </c>
      <c r="T2693">
        <v>-0.27423550000000002</v>
      </c>
      <c r="U2693">
        <v>-1.3546450000000001</v>
      </c>
      <c r="V2693">
        <v>-6.1521579999999999E-2</v>
      </c>
      <c r="W2693">
        <v>2.081179E-2</v>
      </c>
      <c r="X2693">
        <v>0.99788869999999996</v>
      </c>
      <c r="Y2693">
        <v>-0.2011299</v>
      </c>
      <c r="Z2693">
        <v>1.439109E-2</v>
      </c>
      <c r="AA2693">
        <v>0.97945890000000002</v>
      </c>
      <c r="AB2693">
        <v>11</v>
      </c>
      <c r="AC2693">
        <v>-10.9152</v>
      </c>
      <c r="AD2693">
        <v>-1.110808300008</v>
      </c>
      <c r="AE2693">
        <v>-5.4639999999999898</v>
      </c>
      <c r="AF2693">
        <v>-2.4463609715577599</v>
      </c>
      <c r="AG2693">
        <v>-1.110808300008</v>
      </c>
      <c r="AH2693">
        <v>11.856421669527901</v>
      </c>
      <c r="AI2693">
        <v>95.242525140932401</v>
      </c>
      <c r="AJ2693">
        <v>101.65835529258401</v>
      </c>
      <c r="AK2693">
        <v>12.1570272636109</v>
      </c>
      <c r="AL2693">
        <v>88.807486108804198</v>
      </c>
      <c r="AM2693">
        <v>93.527919527756197</v>
      </c>
      <c r="AN2693">
        <v>0.99999994649819302</v>
      </c>
    </row>
    <row r="2694" spans="1:40" x14ac:dyDescent="0.25">
      <c r="A2694" t="str">
        <f>"20190312160654698"</f>
        <v>20190312160654698</v>
      </c>
      <c r="B2694" t="str">
        <f>"1552378014688094"</f>
        <v>1552378014688094</v>
      </c>
      <c r="C2694" t="s">
        <v>40</v>
      </c>
      <c r="D2694">
        <v>6.0211629999999996</v>
      </c>
      <c r="E2694">
        <v>0.44699030000000001</v>
      </c>
      <c r="F2694" t="s">
        <v>61</v>
      </c>
      <c r="G2694">
        <v>-490.57139999999998</v>
      </c>
      <c r="H2694" s="1">
        <v>2.6893479999999999E-6</v>
      </c>
      <c r="I2694">
        <v>277.37810000000002</v>
      </c>
      <c r="J2694">
        <v>-479.70479999999998</v>
      </c>
      <c r="K2694">
        <v>1.110825</v>
      </c>
      <c r="L2694">
        <v>282.82940000000002</v>
      </c>
      <c r="M2694">
        <v>-0.96550780000000003</v>
      </c>
      <c r="N2694">
        <v>0</v>
      </c>
      <c r="O2694">
        <v>-0.2600922</v>
      </c>
      <c r="P2694">
        <v>-0.94776850000000001</v>
      </c>
      <c r="Q2694">
        <v>8.4651350000000004E-3</v>
      </c>
      <c r="R2694">
        <v>-0.31884679999999999</v>
      </c>
      <c r="S2694">
        <v>-2.7128909999999999</v>
      </c>
      <c r="T2694">
        <v>-0.27478039999999998</v>
      </c>
      <c r="U2694">
        <v>-1.3558650000000001</v>
      </c>
      <c r="V2694">
        <v>-6.1385000000000002E-2</v>
      </c>
      <c r="W2694">
        <v>2.045042E-2</v>
      </c>
      <c r="X2694">
        <v>0.99790469999999998</v>
      </c>
      <c r="Y2694">
        <v>-0.19922480000000001</v>
      </c>
      <c r="Z2694">
        <v>1.473173E-2</v>
      </c>
      <c r="AA2694">
        <v>0.97984309999999997</v>
      </c>
      <c r="AB2694">
        <v>11</v>
      </c>
      <c r="AC2694">
        <v>-10.8666</v>
      </c>
      <c r="AD2694">
        <v>-1.1108223106520001</v>
      </c>
      <c r="AE2694">
        <v>-5.4512999999999998</v>
      </c>
      <c r="AF2694">
        <v>-2.4169552938446799</v>
      </c>
      <c r="AG2694">
        <v>-1.1108223106520001</v>
      </c>
      <c r="AH2694">
        <v>11.811888346051999</v>
      </c>
      <c r="AI2694">
        <v>95.264011847131599</v>
      </c>
      <c r="AJ2694">
        <v>101.564261546682</v>
      </c>
      <c r="AK2694">
        <v>12.107696122627299</v>
      </c>
      <c r="AL2694">
        <v>88.828195631550997</v>
      </c>
      <c r="AM2694">
        <v>93.520050843804</v>
      </c>
      <c r="AN2694">
        <v>1.0000000640926301</v>
      </c>
    </row>
    <row r="2695" spans="1:40" x14ac:dyDescent="0.25">
      <c r="A2695" t="str">
        <f>"20190312160654714"</f>
        <v>20190312160654714</v>
      </c>
      <c r="B2695" t="str">
        <f>"1552378014707613"</f>
        <v>1552378014707613</v>
      </c>
      <c r="C2695" t="s">
        <v>40</v>
      </c>
      <c r="D2695">
        <v>6.0607040000000003</v>
      </c>
      <c r="E2695">
        <v>0.44744820000000002</v>
      </c>
      <c r="F2695" t="s">
        <v>61</v>
      </c>
      <c r="G2695">
        <v>-490.5729</v>
      </c>
      <c r="H2695" s="1">
        <v>2.690219E-6</v>
      </c>
      <c r="I2695">
        <v>277.38099999999997</v>
      </c>
      <c r="J2695">
        <v>-479.77589999999998</v>
      </c>
      <c r="K2695">
        <v>1.1108260000000001</v>
      </c>
      <c r="L2695">
        <v>282.80810000000002</v>
      </c>
      <c r="M2695">
        <v>-0.96504089999999998</v>
      </c>
      <c r="N2695">
        <v>0</v>
      </c>
      <c r="O2695">
        <v>-0.26181870000000002</v>
      </c>
      <c r="P2695">
        <v>-0.94713979999999998</v>
      </c>
      <c r="Q2695">
        <v>8.475514E-3</v>
      </c>
      <c r="R2695">
        <v>-0.32070920000000003</v>
      </c>
      <c r="S2695">
        <v>-2.7106319999999999</v>
      </c>
      <c r="T2695">
        <v>-0.27705350000000001</v>
      </c>
      <c r="U2695">
        <v>-1.3589169999999999</v>
      </c>
      <c r="V2695">
        <v>-6.1561999999999999E-2</v>
      </c>
      <c r="W2695">
        <v>2.0460430000000002E-2</v>
      </c>
      <c r="X2695">
        <v>0.99789349999999999</v>
      </c>
      <c r="Y2695">
        <v>-0.19869290000000001</v>
      </c>
      <c r="Z2695">
        <v>1.504204E-2</v>
      </c>
      <c r="AA2695">
        <v>0.9799464</v>
      </c>
      <c r="AB2695">
        <v>11</v>
      </c>
      <c r="AC2695">
        <v>-10.797000000000001</v>
      </c>
      <c r="AD2695">
        <v>-1.1108233097810001</v>
      </c>
      <c r="AE2695">
        <v>-5.42710000000005</v>
      </c>
      <c r="AF2695">
        <v>-2.3904947323376202</v>
      </c>
      <c r="AG2695">
        <v>-1.1108233097810001</v>
      </c>
      <c r="AH2695">
        <v>11.7421136303791</v>
      </c>
      <c r="AI2695">
        <v>95.296189922999005</v>
      </c>
      <c r="AJ2695">
        <v>101.507190815908</v>
      </c>
      <c r="AK2695">
        <v>12.034351914399901</v>
      </c>
      <c r="AL2695">
        <v>88.827621874221606</v>
      </c>
      <c r="AM2695">
        <v>93.530214591571607</v>
      </c>
      <c r="AN2695">
        <v>0.99999997319101697</v>
      </c>
    </row>
    <row r="2696" spans="1:40" x14ac:dyDescent="0.25">
      <c r="A2696" t="str">
        <f>"20190312160654726"</f>
        <v>20190312160654726</v>
      </c>
      <c r="B2696" t="str">
        <f>"1552378014718349"</f>
        <v>1552378014718349</v>
      </c>
      <c r="C2696" t="s">
        <v>40</v>
      </c>
      <c r="D2696">
        <v>5.881672</v>
      </c>
      <c r="E2696">
        <v>0.44756059999999998</v>
      </c>
      <c r="F2696" t="s">
        <v>61</v>
      </c>
      <c r="G2696">
        <v>-490.57530000000003</v>
      </c>
      <c r="H2696" s="1">
        <v>2.6913419999999999E-6</v>
      </c>
      <c r="I2696">
        <v>277.38470000000001</v>
      </c>
      <c r="J2696">
        <v>-479.83240000000001</v>
      </c>
      <c r="K2696">
        <v>1.1108279999999999</v>
      </c>
      <c r="L2696">
        <v>282.791</v>
      </c>
      <c r="M2696">
        <v>-0.96466300000000005</v>
      </c>
      <c r="N2696">
        <v>0</v>
      </c>
      <c r="O2696">
        <v>-0.2632082</v>
      </c>
      <c r="P2696">
        <v>-0.94655089999999997</v>
      </c>
      <c r="Q2696">
        <v>8.4483700000000002E-3</v>
      </c>
      <c r="R2696">
        <v>-0.32244440000000002</v>
      </c>
      <c r="S2696">
        <v>-2.7092290000000001</v>
      </c>
      <c r="T2696">
        <v>-0.27867130000000001</v>
      </c>
      <c r="U2696">
        <v>-1.360565</v>
      </c>
      <c r="V2696">
        <v>-6.1953639999999997E-2</v>
      </c>
      <c r="W2696">
        <v>2.0431830000000002E-2</v>
      </c>
      <c r="X2696">
        <v>0.99786980000000003</v>
      </c>
      <c r="Y2696">
        <v>-0.19797219999999999</v>
      </c>
      <c r="Z2696">
        <v>1.529579E-2</v>
      </c>
      <c r="AA2696">
        <v>0.98008830000000002</v>
      </c>
      <c r="AB2696">
        <v>11</v>
      </c>
      <c r="AC2696">
        <v>-10.742900000000001</v>
      </c>
      <c r="AD2696">
        <v>-1.110825308658</v>
      </c>
      <c r="AE2696">
        <v>-5.4062999999999803</v>
      </c>
      <c r="AF2696">
        <v>-2.3676148531403598</v>
      </c>
      <c r="AG2696">
        <v>-1.110825308658</v>
      </c>
      <c r="AH2696">
        <v>11.687418002046901</v>
      </c>
      <c r="AI2696">
        <v>95.321879977397103</v>
      </c>
      <c r="AJ2696">
        <v>101.45189435707</v>
      </c>
      <c r="AK2696">
        <v>11.976446572908699</v>
      </c>
      <c r="AL2696">
        <v>88.829260820305606</v>
      </c>
      <c r="AM2696">
        <v>93.552699640493501</v>
      </c>
      <c r="AN2696">
        <v>0.99999992546921601</v>
      </c>
    </row>
    <row r="2697" spans="1:40" x14ac:dyDescent="0.25">
      <c r="A2697" t="str">
        <f>"20190312160654738"</f>
        <v>20190312160654738</v>
      </c>
      <c r="B2697" t="str">
        <f>"1552378014728110"</f>
        <v>1552378014728110</v>
      </c>
      <c r="C2697" t="s">
        <v>40</v>
      </c>
      <c r="D2697">
        <v>6.0941390000000002</v>
      </c>
      <c r="E2697">
        <v>0.4476812</v>
      </c>
      <c r="F2697" t="s">
        <v>61</v>
      </c>
      <c r="G2697">
        <v>-490.66300000000001</v>
      </c>
      <c r="H2697" s="1">
        <v>2.6646810000000002E-6</v>
      </c>
      <c r="I2697">
        <v>277.3313</v>
      </c>
      <c r="J2697">
        <v>-479.88619999999997</v>
      </c>
      <c r="K2697">
        <v>1.1108309999999999</v>
      </c>
      <c r="L2697">
        <v>282.7747</v>
      </c>
      <c r="M2697">
        <v>-0.96429880000000001</v>
      </c>
      <c r="N2697">
        <v>0</v>
      </c>
      <c r="O2697">
        <v>-0.26453939999999998</v>
      </c>
      <c r="P2697">
        <v>-0.94595209999999996</v>
      </c>
      <c r="Q2697">
        <v>8.2678830000000002E-3</v>
      </c>
      <c r="R2697">
        <v>-0.32420159999999998</v>
      </c>
      <c r="S2697">
        <v>-2.707001</v>
      </c>
      <c r="T2697">
        <v>-0.27763919999999997</v>
      </c>
      <c r="U2697">
        <v>-1.3645940000000001</v>
      </c>
      <c r="V2697">
        <v>-6.2429209999999999E-2</v>
      </c>
      <c r="W2697">
        <v>2.0251149999999999E-2</v>
      </c>
      <c r="X2697">
        <v>0.99784390000000001</v>
      </c>
      <c r="Y2697">
        <v>-0.19810920000000001</v>
      </c>
      <c r="Z2697">
        <v>1.5359019999999999E-2</v>
      </c>
      <c r="AA2697">
        <v>0.98005960000000003</v>
      </c>
      <c r="AB2697">
        <v>11</v>
      </c>
      <c r="AC2697">
        <v>-10.7768</v>
      </c>
      <c r="AD2697">
        <v>-1.1108283353189901</v>
      </c>
      <c r="AE2697">
        <v>-5.4433999999999898</v>
      </c>
      <c r="AF2697">
        <v>-2.3782202686146898</v>
      </c>
      <c r="AG2697">
        <v>-1.1108283353189901</v>
      </c>
      <c r="AH2697">
        <v>11.7335926640212</v>
      </c>
      <c r="AI2697">
        <v>95.300961519115603</v>
      </c>
      <c r="AJ2697">
        <v>101.45776419731099</v>
      </c>
      <c r="AK2697">
        <v>12.0236046193215</v>
      </c>
      <c r="AL2697">
        <v>88.839615230613703</v>
      </c>
      <c r="AM2697">
        <v>93.579992984220695</v>
      </c>
      <c r="AN2697">
        <v>0.99999998205237794</v>
      </c>
    </row>
    <row r="2698" spans="1:40" x14ac:dyDescent="0.25">
      <c r="A2698" t="str">
        <f>"20190312160654751"</f>
        <v>20190312160654751</v>
      </c>
      <c r="B2698" t="str">
        <f>"1552378014737870"</f>
        <v>1552378014737870</v>
      </c>
      <c r="C2698" t="s">
        <v>40</v>
      </c>
      <c r="D2698">
        <v>5.9160329999999997</v>
      </c>
      <c r="E2698">
        <v>0.447801</v>
      </c>
      <c r="F2698" t="s">
        <v>61</v>
      </c>
      <c r="G2698">
        <v>-490.74349999999998</v>
      </c>
      <c r="H2698" s="1">
        <v>2.639665E-6</v>
      </c>
      <c r="I2698">
        <v>277.28070000000002</v>
      </c>
      <c r="J2698">
        <v>-479.9402</v>
      </c>
      <c r="K2698">
        <v>1.1108370000000001</v>
      </c>
      <c r="L2698">
        <v>282.75810000000001</v>
      </c>
      <c r="M2698">
        <v>-0.96392869999999997</v>
      </c>
      <c r="N2698">
        <v>0</v>
      </c>
      <c r="O2698">
        <v>-0.26588440000000002</v>
      </c>
      <c r="P2698">
        <v>-0.94535979999999997</v>
      </c>
      <c r="Q2698">
        <v>7.794306E-3</v>
      </c>
      <c r="R2698">
        <v>-0.32593610000000001</v>
      </c>
      <c r="S2698">
        <v>-2.7047729999999999</v>
      </c>
      <c r="T2698">
        <v>-0.2767309</v>
      </c>
      <c r="U2698">
        <v>-1.368652</v>
      </c>
      <c r="V2698">
        <v>-6.2865649999999995E-2</v>
      </c>
      <c r="W2698">
        <v>1.9775839999999999E-2</v>
      </c>
      <c r="X2698">
        <v>0.99782599999999999</v>
      </c>
      <c r="Y2698">
        <v>-0.19824079999999999</v>
      </c>
      <c r="Z2698">
        <v>1.5429719999999999E-2</v>
      </c>
      <c r="AA2698">
        <v>0.98003189999999996</v>
      </c>
      <c r="AB2698">
        <v>11</v>
      </c>
      <c r="AC2698">
        <v>-10.803299999999901</v>
      </c>
      <c r="AD2698">
        <v>-1.1108343603349999</v>
      </c>
      <c r="AE2698">
        <v>-5.4773999999999798</v>
      </c>
      <c r="AF2698">
        <v>-2.3874906804476801</v>
      </c>
      <c r="AG2698">
        <v>-1.1108343603349999</v>
      </c>
      <c r="AH2698">
        <v>11.771829656331599</v>
      </c>
      <c r="AI2698">
        <v>95.2837370236672</v>
      </c>
      <c r="AJ2698">
        <v>101.46487189040199</v>
      </c>
      <c r="AK2698">
        <v>12.062754170711299</v>
      </c>
      <c r="AL2698">
        <v>88.866853907679996</v>
      </c>
      <c r="AM2698">
        <v>93.605019293426807</v>
      </c>
      <c r="AN2698">
        <v>0.99999995003681197</v>
      </c>
    </row>
    <row r="2699" spans="1:40" x14ac:dyDescent="0.25">
      <c r="A2699" t="str">
        <f>"20190312160654776"</f>
        <v>20190312160654776</v>
      </c>
      <c r="B2699" t="str">
        <f>"1552378014767655"</f>
        <v>1552378014767655</v>
      </c>
      <c r="C2699" t="s">
        <v>40</v>
      </c>
      <c r="D2699">
        <v>6.0179769999999904</v>
      </c>
      <c r="E2699">
        <v>0.44818350000000001</v>
      </c>
      <c r="F2699" t="s">
        <v>61</v>
      </c>
      <c r="G2699">
        <v>-490.76</v>
      </c>
      <c r="H2699" s="1">
        <v>2.631788E-6</v>
      </c>
      <c r="I2699">
        <v>277.26260000000002</v>
      </c>
      <c r="J2699">
        <v>-480.05009999999999</v>
      </c>
      <c r="K2699">
        <v>1.110841</v>
      </c>
      <c r="L2699">
        <v>282.72430000000003</v>
      </c>
      <c r="M2699">
        <v>-0.96316020000000002</v>
      </c>
      <c r="N2699">
        <v>0</v>
      </c>
      <c r="O2699">
        <v>-0.26865480000000003</v>
      </c>
      <c r="P2699">
        <v>-0.94412119999999999</v>
      </c>
      <c r="Q2699">
        <v>6.1830189999999997E-3</v>
      </c>
      <c r="R2699">
        <v>-0.32954080000000002</v>
      </c>
      <c r="S2699">
        <v>-2.7023929999999998</v>
      </c>
      <c r="T2699">
        <v>-0.27744649999999998</v>
      </c>
      <c r="U2699">
        <v>-1.3725889999999901</v>
      </c>
      <c r="V2699">
        <v>-6.3798229999999997E-2</v>
      </c>
      <c r="W2699">
        <v>1.8162979999999999E-2</v>
      </c>
      <c r="X2699">
        <v>0.9977975</v>
      </c>
      <c r="Y2699">
        <v>-0.19692299999999999</v>
      </c>
      <c r="Z2699">
        <v>1.5790909999999998E-2</v>
      </c>
      <c r="AA2699">
        <v>0.98029180000000005</v>
      </c>
      <c r="AB2699">
        <v>11</v>
      </c>
      <c r="AC2699">
        <v>-10.709899999999999</v>
      </c>
      <c r="AD2699">
        <v>-1.110838368212</v>
      </c>
      <c r="AE2699">
        <v>-5.4617000000000004</v>
      </c>
      <c r="AF2699">
        <v>-2.3632249000841901</v>
      </c>
      <c r="AG2699">
        <v>-1.110838368212</v>
      </c>
      <c r="AH2699">
        <v>11.683775869296801</v>
      </c>
      <c r="AI2699">
        <v>95.323913374779906</v>
      </c>
      <c r="AJ2699">
        <v>101.43468968829499</v>
      </c>
      <c r="AK2699">
        <v>11.972026243398901</v>
      </c>
      <c r="AL2699">
        <v>88.959280654783498</v>
      </c>
      <c r="AM2699">
        <v>93.658457959130999</v>
      </c>
      <c r="AN2699">
        <v>0.99999997949993102</v>
      </c>
    </row>
    <row r="2700" spans="1:40" x14ac:dyDescent="0.25">
      <c r="A2700" t="str">
        <f>"20190312160654797"</f>
        <v>20190312160654797</v>
      </c>
      <c r="B2700" t="str">
        <f>"1552378014788151"</f>
        <v>1552378014788151</v>
      </c>
      <c r="C2700" t="s">
        <v>40</v>
      </c>
      <c r="D2700">
        <v>6.0501490000000002</v>
      </c>
      <c r="E2700">
        <v>0.44844430000000002</v>
      </c>
      <c r="F2700" t="s">
        <v>61</v>
      </c>
      <c r="G2700">
        <v>-490.82170000000002</v>
      </c>
      <c r="H2700" s="1">
        <v>2.6092369999999999E-6</v>
      </c>
      <c r="I2700">
        <v>277.21429999999998</v>
      </c>
      <c r="J2700">
        <v>-480.14940000000001</v>
      </c>
      <c r="K2700">
        <v>1.110849</v>
      </c>
      <c r="L2700">
        <v>282.69330000000002</v>
      </c>
      <c r="M2700">
        <v>-0.96244620000000003</v>
      </c>
      <c r="N2700">
        <v>0</v>
      </c>
      <c r="O2700">
        <v>-0.27120169999999999</v>
      </c>
      <c r="P2700">
        <v>-0.9430731</v>
      </c>
      <c r="Q2700">
        <v>6.5127880000000003E-3</v>
      </c>
      <c r="R2700">
        <v>-0.33252169999999998</v>
      </c>
      <c r="S2700">
        <v>-2.6976619999999998</v>
      </c>
      <c r="T2700">
        <v>-0.27820109999999998</v>
      </c>
      <c r="U2700">
        <v>-1.3799440000000001</v>
      </c>
      <c r="V2700">
        <v>-6.4312640000000004E-2</v>
      </c>
      <c r="W2700">
        <v>1.8490989999999999E-2</v>
      </c>
      <c r="X2700">
        <v>0.99775840000000005</v>
      </c>
      <c r="Y2700">
        <v>-0.19715460000000001</v>
      </c>
      <c r="Z2700">
        <v>1.6067479999999999E-2</v>
      </c>
      <c r="AA2700">
        <v>0.98024069999999996</v>
      </c>
      <c r="AB2700">
        <v>10</v>
      </c>
      <c r="AC2700">
        <v>-10.6723</v>
      </c>
      <c r="AD2700">
        <v>-1.110846390763</v>
      </c>
      <c r="AE2700">
        <v>-5.4790000000000401</v>
      </c>
      <c r="AF2700">
        <v>-2.3588463677298899</v>
      </c>
      <c r="AG2700">
        <v>-1.110846390763</v>
      </c>
      <c r="AH2700">
        <v>11.6583315663433</v>
      </c>
      <c r="AI2700">
        <v>95.335436228573499</v>
      </c>
      <c r="AJ2700">
        <v>101.43831556183</v>
      </c>
      <c r="AK2700">
        <v>11.946331269524601</v>
      </c>
      <c r="AL2700">
        <v>88.940483854735902</v>
      </c>
      <c r="AM2700">
        <v>93.688019424459995</v>
      </c>
      <c r="AN2700">
        <v>0.99999992857275199</v>
      </c>
    </row>
    <row r="2701" spans="1:40" x14ac:dyDescent="0.25">
      <c r="A2701" t="str">
        <f>"20190312160654820"</f>
        <v>20190312160654820</v>
      </c>
      <c r="B2701" t="str">
        <f>"1552378014807672"</f>
        <v>1552378014807672</v>
      </c>
      <c r="C2701" t="s">
        <v>40</v>
      </c>
      <c r="D2701">
        <v>6.0087289999999998</v>
      </c>
      <c r="E2701">
        <v>0.44865470000000002</v>
      </c>
      <c r="F2701" t="s">
        <v>61</v>
      </c>
      <c r="G2701">
        <v>-491.02949999999998</v>
      </c>
      <c r="H2701" s="1">
        <v>2.5488460000000001E-6</v>
      </c>
      <c r="I2701">
        <v>277.09559999999999</v>
      </c>
      <c r="J2701">
        <v>-480.24689999999998</v>
      </c>
      <c r="K2701">
        <v>1.1108610000000001</v>
      </c>
      <c r="L2701">
        <v>282.6626</v>
      </c>
      <c r="M2701">
        <v>-0.96172840000000004</v>
      </c>
      <c r="N2701">
        <v>0</v>
      </c>
      <c r="O2701">
        <v>-0.27373639999999999</v>
      </c>
      <c r="P2701">
        <v>-0.94199999999999995</v>
      </c>
      <c r="Q2701">
        <v>6.2557699999999999E-3</v>
      </c>
      <c r="R2701">
        <v>-0.3355552</v>
      </c>
      <c r="S2701">
        <v>-2.6942439999999999</v>
      </c>
      <c r="T2701">
        <v>-0.27507870000000001</v>
      </c>
      <c r="U2701">
        <v>-1.386169</v>
      </c>
      <c r="V2701">
        <v>-6.489433E-2</v>
      </c>
      <c r="W2701">
        <v>1.8232120000000001E-2</v>
      </c>
      <c r="X2701">
        <v>0.99772550000000004</v>
      </c>
      <c r="Y2701">
        <v>-0.19687289999999999</v>
      </c>
      <c r="Z2701">
        <v>1.6137660000000002E-2</v>
      </c>
      <c r="AA2701">
        <v>0.98029619999999995</v>
      </c>
      <c r="AB2701">
        <v>10</v>
      </c>
      <c r="AC2701">
        <v>-10.7826</v>
      </c>
      <c r="AD2701">
        <v>-1.1108584511540001</v>
      </c>
      <c r="AE2701">
        <v>-5.5670000000000002</v>
      </c>
      <c r="AF2701">
        <v>-2.3825624304192301</v>
      </c>
      <c r="AG2701">
        <v>-1.1108584511540001</v>
      </c>
      <c r="AH2701">
        <v>11.795847360691999</v>
      </c>
      <c r="AI2701">
        <v>95.274000157682195</v>
      </c>
      <c r="AJ2701">
        <v>101.419146689806</v>
      </c>
      <c r="AK2701">
        <v>12.0852234232591</v>
      </c>
      <c r="AL2701">
        <v>88.955318515464697</v>
      </c>
      <c r="AM2701">
        <v>93.721405592119595</v>
      </c>
      <c r="AN2701">
        <v>0.999999928808044</v>
      </c>
    </row>
    <row r="2702" spans="1:40" x14ac:dyDescent="0.25">
      <c r="A2702" t="str">
        <f>"20190312160654844"</f>
        <v>20190312160654844</v>
      </c>
      <c r="B2702" t="str">
        <f>"1552378014837927"</f>
        <v>1552378014837927</v>
      </c>
      <c r="C2702" t="s">
        <v>40</v>
      </c>
      <c r="D2702">
        <v>5.912204</v>
      </c>
      <c r="E2702">
        <v>0.45595150000000001</v>
      </c>
      <c r="F2702" t="s">
        <v>61</v>
      </c>
      <c r="G2702">
        <v>-491.06139999999999</v>
      </c>
      <c r="H2702" s="1">
        <v>2.533778E-6</v>
      </c>
      <c r="I2702">
        <v>277.0609</v>
      </c>
      <c r="J2702">
        <v>-480.35</v>
      </c>
      <c r="K2702">
        <v>1.1108720000000001</v>
      </c>
      <c r="L2702">
        <v>282.62979999999999</v>
      </c>
      <c r="M2702">
        <v>-0.96095129999999995</v>
      </c>
      <c r="N2702">
        <v>0</v>
      </c>
      <c r="O2702">
        <v>-0.27645170000000002</v>
      </c>
      <c r="P2702">
        <v>-0.94070750000000003</v>
      </c>
      <c r="Q2702">
        <v>6.0039339999999998E-3</v>
      </c>
      <c r="R2702">
        <v>-0.33916610000000003</v>
      </c>
      <c r="S2702">
        <v>-2.6901549999999999</v>
      </c>
      <c r="T2702">
        <v>-0.27633069999999998</v>
      </c>
      <c r="U2702">
        <v>-1.3934329999999999</v>
      </c>
      <c r="V2702">
        <v>-6.590319E-2</v>
      </c>
      <c r="W2702">
        <v>1.7977050000000001E-2</v>
      </c>
      <c r="X2702">
        <v>0.99766410000000005</v>
      </c>
      <c r="Y2702">
        <v>-0.19681219999999999</v>
      </c>
      <c r="Z2702">
        <v>1.646924E-2</v>
      </c>
      <c r="AA2702">
        <v>0.98030289999999998</v>
      </c>
      <c r="AB2702">
        <v>10</v>
      </c>
      <c r="AC2702">
        <v>-10.7113999999999</v>
      </c>
      <c r="AD2702">
        <v>-1.11086946622199</v>
      </c>
      <c r="AE2702">
        <v>-5.5688999999999798</v>
      </c>
      <c r="AF2702">
        <v>-2.37036297102141</v>
      </c>
      <c r="AG2702">
        <v>-1.11086946622199</v>
      </c>
      <c r="AH2702">
        <v>11.7341829671072</v>
      </c>
      <c r="AI2702">
        <v>95.301588056315396</v>
      </c>
      <c r="AJ2702">
        <v>101.42034632211799</v>
      </c>
      <c r="AK2702">
        <v>12.022632885143</v>
      </c>
      <c r="AL2702">
        <v>88.969935451612699</v>
      </c>
      <c r="AM2702">
        <v>93.779324831764598</v>
      </c>
      <c r="AN2702">
        <v>1.0000000306038399</v>
      </c>
    </row>
    <row r="2703" spans="1:40" x14ac:dyDescent="0.25">
      <c r="A2703" t="str">
        <f>"20190312160654865"</f>
        <v>20190312160654865</v>
      </c>
      <c r="B2703" t="str">
        <f>"1552378014857954"</f>
        <v>1552378014857954</v>
      </c>
      <c r="C2703" t="s">
        <v>40</v>
      </c>
      <c r="D2703">
        <v>6.0283089999999904</v>
      </c>
      <c r="E2703">
        <v>0.45618300000000001</v>
      </c>
      <c r="F2703" t="s">
        <v>61</v>
      </c>
      <c r="G2703">
        <v>-490.11750000000001</v>
      </c>
      <c r="H2703" s="1">
        <v>2.86406E-6</v>
      </c>
      <c r="I2703">
        <v>277.75850000000003</v>
      </c>
      <c r="J2703">
        <v>-480.44670000000002</v>
      </c>
      <c r="K2703">
        <v>1.110878</v>
      </c>
      <c r="L2703">
        <v>282.59859999999998</v>
      </c>
      <c r="M2703">
        <v>-0.96020450000000002</v>
      </c>
      <c r="N2703">
        <v>0</v>
      </c>
      <c r="O2703">
        <v>-0.27903420000000001</v>
      </c>
      <c r="P2703">
        <v>-0.93944430000000001</v>
      </c>
      <c r="Q2703">
        <v>5.874031E-3</v>
      </c>
      <c r="R2703">
        <v>-0.34265180000000001</v>
      </c>
      <c r="S2703">
        <v>-2.7047119999999998</v>
      </c>
      <c r="T2703">
        <v>-0.30760989999999999</v>
      </c>
      <c r="U2703">
        <v>-1.3489070000000001</v>
      </c>
      <c r="V2703">
        <v>-6.6919950000000006E-2</v>
      </c>
      <c r="W2703">
        <v>1.7844510000000001E-2</v>
      </c>
      <c r="X2703">
        <v>0.99759880000000001</v>
      </c>
      <c r="Y2703">
        <v>-0.17931920000000001</v>
      </c>
      <c r="Z2703">
        <v>1.9512359999999999E-2</v>
      </c>
      <c r="AA2703">
        <v>0.98359739999999996</v>
      </c>
      <c r="AB2703">
        <v>10</v>
      </c>
      <c r="AC2703">
        <v>-9.6707999999999803</v>
      </c>
      <c r="AD2703">
        <v>-1.11087513594</v>
      </c>
      <c r="AE2703">
        <v>-4.8400999999999499</v>
      </c>
      <c r="AF2703">
        <v>-1.92879310452548</v>
      </c>
      <c r="AG2703">
        <v>-1.11087513594</v>
      </c>
      <c r="AH2703">
        <v>10.5262116831829</v>
      </c>
      <c r="AI2703">
        <v>95.926412831138606</v>
      </c>
      <c r="AJ2703">
        <v>100.383526426746</v>
      </c>
      <c r="AK2703">
        <v>10.758969226040699</v>
      </c>
      <c r="AL2703">
        <v>88.977530657876699</v>
      </c>
      <c r="AM2703">
        <v>93.837710115600302</v>
      </c>
      <c r="AN2703">
        <v>1.0000000360032899</v>
      </c>
    </row>
    <row r="2704" spans="1:40" x14ac:dyDescent="0.25">
      <c r="A2704" t="str">
        <f>"20190312160654888"</f>
        <v>20190312160654888</v>
      </c>
      <c r="B2704" t="str">
        <f>"1552378014877475"</f>
        <v>1552378014877475</v>
      </c>
      <c r="C2704" t="s">
        <v>40</v>
      </c>
      <c r="D2704">
        <v>5.9619970000000002</v>
      </c>
      <c r="E2704">
        <v>0.45666770000000001</v>
      </c>
      <c r="F2704" t="s">
        <v>61</v>
      </c>
      <c r="G2704">
        <v>-491.20580000000001</v>
      </c>
      <c r="H2704" s="1">
        <v>2.5669509999999999E-6</v>
      </c>
      <c r="I2704">
        <v>277.19099999999997</v>
      </c>
      <c r="J2704">
        <v>-480.5446</v>
      </c>
      <c r="K2704">
        <v>1.110884</v>
      </c>
      <c r="L2704">
        <v>282.5668</v>
      </c>
      <c r="M2704">
        <v>-0.95943080000000003</v>
      </c>
      <c r="N2704">
        <v>0</v>
      </c>
      <c r="O2704">
        <v>-0.28168349999999998</v>
      </c>
      <c r="P2704">
        <v>-0.93832510000000002</v>
      </c>
      <c r="Q2704">
        <v>4.951469E-3</v>
      </c>
      <c r="R2704">
        <v>-0.34571940000000001</v>
      </c>
      <c r="S2704">
        <v>-2.7001650000000001</v>
      </c>
      <c r="T2704">
        <v>-0.27879130000000002</v>
      </c>
      <c r="U2704">
        <v>-1.3571169999999999</v>
      </c>
      <c r="V2704">
        <v>-6.7423360000000002E-2</v>
      </c>
      <c r="W2704">
        <v>1.6920540000000001E-2</v>
      </c>
      <c r="X2704">
        <v>0.99758089999999999</v>
      </c>
      <c r="Y2704">
        <v>-0.1795812</v>
      </c>
      <c r="Z2704">
        <v>1.7933770000000002E-2</v>
      </c>
      <c r="AA2704">
        <v>0.98357969999999895</v>
      </c>
      <c r="AB2704">
        <v>10</v>
      </c>
      <c r="AC2704">
        <v>-10.661199999999999</v>
      </c>
      <c r="AD2704">
        <v>-1.110881433049</v>
      </c>
      <c r="AE2704">
        <v>-5.3758000000000203</v>
      </c>
      <c r="AF2704">
        <v>-2.13628974557593</v>
      </c>
      <c r="AG2704">
        <v>-1.110881433049</v>
      </c>
      <c r="AH2704">
        <v>11.643034122889899</v>
      </c>
      <c r="AI2704">
        <v>95.361224860064098</v>
      </c>
      <c r="AJ2704">
        <v>100.39711076311001</v>
      </c>
      <c r="AK2704">
        <v>11.889408522804001</v>
      </c>
      <c r="AL2704">
        <v>89.030478139189796</v>
      </c>
      <c r="AM2704">
        <v>93.866561484014099</v>
      </c>
      <c r="AN2704">
        <v>0.99999993309619295</v>
      </c>
    </row>
    <row r="2705" spans="1:40" x14ac:dyDescent="0.25">
      <c r="A2705" t="str">
        <f>"20190312160654909"</f>
        <v>20190312160654909</v>
      </c>
      <c r="B2705" t="str">
        <f>"1552378014897970"</f>
        <v>1552378014897970</v>
      </c>
      <c r="C2705" t="s">
        <v>40</v>
      </c>
      <c r="D2705">
        <v>6.0190739999999998</v>
      </c>
      <c r="E2705">
        <v>0.45738099999999998</v>
      </c>
      <c r="F2705" t="s">
        <v>61</v>
      </c>
      <c r="G2705">
        <v>-491.38040000000001</v>
      </c>
      <c r="H2705" s="1">
        <v>2.516334E-6</v>
      </c>
      <c r="I2705">
        <v>277.0917</v>
      </c>
      <c r="J2705">
        <v>-480.64089999999999</v>
      </c>
      <c r="K2705">
        <v>1.110889</v>
      </c>
      <c r="L2705">
        <v>282.5351</v>
      </c>
      <c r="M2705">
        <v>-0.95865140000000004</v>
      </c>
      <c r="N2705">
        <v>0</v>
      </c>
      <c r="O2705">
        <v>-0.28432410000000002</v>
      </c>
      <c r="P2705">
        <v>-0.93729969999999996</v>
      </c>
      <c r="Q2705">
        <v>4.3777750000000004E-3</v>
      </c>
      <c r="R2705">
        <v>-0.34849740000000001</v>
      </c>
      <c r="S2705">
        <v>-2.696625</v>
      </c>
      <c r="T2705">
        <v>-0.2764567</v>
      </c>
      <c r="U2705">
        <v>-1.362549</v>
      </c>
      <c r="V2705">
        <v>-6.762949E-2</v>
      </c>
      <c r="W2705">
        <v>1.6346510000000002E-2</v>
      </c>
      <c r="X2705">
        <v>0.99757660000000004</v>
      </c>
      <c r="Y2705">
        <v>-0.1789763</v>
      </c>
      <c r="Z2705">
        <v>1.8063059999999999E-2</v>
      </c>
      <c r="AA2705">
        <v>0.9836876</v>
      </c>
      <c r="AB2705">
        <v>10</v>
      </c>
      <c r="AC2705">
        <v>-10.7395</v>
      </c>
      <c r="AD2705">
        <v>-1.110886483666</v>
      </c>
      <c r="AE2705">
        <v>-5.4433999999999898</v>
      </c>
      <c r="AF2705">
        <v>-2.1467094585818001</v>
      </c>
      <c r="AG2705">
        <v>-1.110886483666</v>
      </c>
      <c r="AH2705">
        <v>11.7440251483353</v>
      </c>
      <c r="AI2705">
        <v>95.316057776614102</v>
      </c>
      <c r="AJ2705">
        <v>100.358826700005</v>
      </c>
      <c r="AK2705">
        <v>11.9901858602729</v>
      </c>
      <c r="AL2705">
        <v>89.063372265271795</v>
      </c>
      <c r="AM2705">
        <v>93.878363170670497</v>
      </c>
      <c r="AN2705">
        <v>1.0000000145871999</v>
      </c>
    </row>
    <row r="2706" spans="1:40" x14ac:dyDescent="0.25">
      <c r="A2706" t="str">
        <f>"20190312160654934"</f>
        <v>20190312160654934</v>
      </c>
      <c r="B2706" t="str">
        <f>"1552378014928229"</f>
        <v>1552378014928229</v>
      </c>
      <c r="C2706" t="s">
        <v>40</v>
      </c>
      <c r="D2706">
        <v>5.9759140000000004</v>
      </c>
      <c r="E2706">
        <v>0.42812220000000001</v>
      </c>
      <c r="F2706" t="s">
        <v>61</v>
      </c>
      <c r="G2706">
        <v>-491.14190000000002</v>
      </c>
      <c r="H2706" s="1">
        <v>2.5818200000000001E-6</v>
      </c>
      <c r="I2706">
        <v>277.21710000000002</v>
      </c>
      <c r="J2706">
        <v>-480.7457</v>
      </c>
      <c r="K2706">
        <v>1.1108979999999999</v>
      </c>
      <c r="L2706">
        <v>282.50029999999998</v>
      </c>
      <c r="M2706">
        <v>-0.95778209999999997</v>
      </c>
      <c r="N2706">
        <v>0</v>
      </c>
      <c r="O2706">
        <v>-0.28723890000000002</v>
      </c>
      <c r="P2706">
        <v>-0.93581099999999995</v>
      </c>
      <c r="Q2706">
        <v>4.692941E-3</v>
      </c>
      <c r="R2706">
        <v>-0.35247139999999999</v>
      </c>
      <c r="S2706">
        <v>-2.6946110000000001</v>
      </c>
      <c r="T2706">
        <v>-0.28505779999999997</v>
      </c>
      <c r="U2706">
        <v>-1.3646240000000001</v>
      </c>
      <c r="V2706">
        <v>-6.8829689999999999E-2</v>
      </c>
      <c r="W2706">
        <v>1.665784E-2</v>
      </c>
      <c r="X2706">
        <v>0.99748930000000002</v>
      </c>
      <c r="Y2706">
        <v>-0.176928</v>
      </c>
      <c r="Z2706">
        <v>1.900402E-2</v>
      </c>
      <c r="AA2706">
        <v>0.98404029999999998</v>
      </c>
      <c r="AB2706">
        <v>10</v>
      </c>
      <c r="AC2706">
        <v>-10.3962</v>
      </c>
      <c r="AD2706">
        <v>-1.1108954181799999</v>
      </c>
      <c r="AE2706">
        <v>-5.2831999999999599</v>
      </c>
      <c r="AF2706">
        <v>-2.0554614988289801</v>
      </c>
      <c r="AG2706">
        <v>-1.1108954181799999</v>
      </c>
      <c r="AH2706">
        <v>11.372478719292801</v>
      </c>
      <c r="AI2706">
        <v>95.490706451346796</v>
      </c>
      <c r="AJ2706">
        <v>100.245035194312</v>
      </c>
      <c r="AK2706">
        <v>11.610007873557599</v>
      </c>
      <c r="AL2706">
        <v>89.045531885882795</v>
      </c>
      <c r="AM2706">
        <v>93.947319992901299</v>
      </c>
      <c r="AN2706">
        <v>0.99999995673672404</v>
      </c>
    </row>
    <row r="2707" spans="1:40" x14ac:dyDescent="0.25">
      <c r="A2707" t="str">
        <f>"20190312160654956"</f>
        <v>20190312160654956</v>
      </c>
      <c r="B2707" t="str">
        <f>"1552378014948255"</f>
        <v>1552378014948255</v>
      </c>
      <c r="C2707" t="s">
        <v>40</v>
      </c>
      <c r="D2707">
        <v>5.8968759999999998</v>
      </c>
      <c r="E2707">
        <v>0.4254368</v>
      </c>
      <c r="F2707" t="s">
        <v>61</v>
      </c>
      <c r="G2707">
        <v>-487.96940000000001</v>
      </c>
      <c r="H2707" s="1">
        <v>2.640001E-6</v>
      </c>
      <c r="I2707">
        <v>278.08229999999998</v>
      </c>
      <c r="J2707">
        <v>-480.8408</v>
      </c>
      <c r="K2707">
        <v>1.1109169999999999</v>
      </c>
      <c r="L2707">
        <v>282.4683</v>
      </c>
      <c r="M2707">
        <v>-0.95697160000000003</v>
      </c>
      <c r="N2707">
        <v>0</v>
      </c>
      <c r="O2707">
        <v>-0.28992800000000002</v>
      </c>
      <c r="P2707">
        <v>-0.93468419999999997</v>
      </c>
      <c r="Q2707">
        <v>4.6916730000000004E-3</v>
      </c>
      <c r="R2707">
        <v>-0.35544900000000001</v>
      </c>
      <c r="S2707">
        <v>-2.607208</v>
      </c>
      <c r="T2707">
        <v>-0.40094730000000001</v>
      </c>
      <c r="U2707">
        <v>-1.594543</v>
      </c>
      <c r="V2707">
        <v>-6.9204500000000002E-2</v>
      </c>
      <c r="W2707">
        <v>1.6655449999999999E-2</v>
      </c>
      <c r="X2707">
        <v>0.99746349999999995</v>
      </c>
      <c r="Y2707">
        <v>-0.25223400000000001</v>
      </c>
      <c r="Z2707">
        <v>2.1843629999999999E-2</v>
      </c>
      <c r="AA2707">
        <v>0.96741969999999999</v>
      </c>
      <c r="AB2707">
        <v>10</v>
      </c>
      <c r="AC2707">
        <v>-7.1285999999999996</v>
      </c>
      <c r="AD2707">
        <v>-1.1109143599989999</v>
      </c>
      <c r="AE2707">
        <v>-4.3860000000000197</v>
      </c>
      <c r="AF2707">
        <v>-2.0937677992932899</v>
      </c>
      <c r="AG2707">
        <v>-1.1109143599989999</v>
      </c>
      <c r="AH2707">
        <v>7.9539634425446897</v>
      </c>
      <c r="AI2707">
        <v>97.692206618874707</v>
      </c>
      <c r="AJ2707">
        <v>104.74773642285599</v>
      </c>
      <c r="AK2707">
        <v>8.2996101569861001</v>
      </c>
      <c r="AL2707">
        <v>89.045668931132496</v>
      </c>
      <c r="AM2707">
        <v>93.968848826245207</v>
      </c>
      <c r="AN2707">
        <v>1.0000000503336</v>
      </c>
    </row>
    <row r="2708" spans="1:40" x14ac:dyDescent="0.25">
      <c r="A2708" t="str">
        <f>"20190312160654976"</f>
        <v>20190312160654976</v>
      </c>
      <c r="B2708" t="str">
        <f>"1552378014967771"</f>
        <v>1552378014967771</v>
      </c>
      <c r="C2708" t="s">
        <v>40</v>
      </c>
      <c r="D2708">
        <v>5.9108900000000002</v>
      </c>
      <c r="E2708">
        <v>0.42368410000000001</v>
      </c>
      <c r="F2708" t="s">
        <v>61</v>
      </c>
      <c r="G2708">
        <v>-487.89139999999998</v>
      </c>
      <c r="H2708" s="1">
        <v>2.6174710000000002E-6</v>
      </c>
      <c r="I2708">
        <v>278.05770000000001</v>
      </c>
      <c r="J2708">
        <v>-480.93369999999999</v>
      </c>
      <c r="K2708">
        <v>1.1109359999999999</v>
      </c>
      <c r="L2708">
        <v>282.43669999999997</v>
      </c>
      <c r="M2708">
        <v>-0.95616020000000002</v>
      </c>
      <c r="N2708">
        <v>0</v>
      </c>
      <c r="O2708">
        <v>-0.29259279999999999</v>
      </c>
      <c r="P2708">
        <v>-0.93339349999999999</v>
      </c>
      <c r="Q2708">
        <v>4.8911220000000004E-3</v>
      </c>
      <c r="R2708">
        <v>-0.35882199999999997</v>
      </c>
      <c r="S2708">
        <v>-2.594452</v>
      </c>
      <c r="T2708">
        <v>-0.4087906</v>
      </c>
      <c r="U2708">
        <v>-1.622986</v>
      </c>
      <c r="V2708">
        <v>-7.0029469999999996E-2</v>
      </c>
      <c r="W2708">
        <v>1.6851410000000001E-2</v>
      </c>
      <c r="X2708">
        <v>0.99740260000000003</v>
      </c>
      <c r="Y2708">
        <v>-0.25927909999999998</v>
      </c>
      <c r="Z2708">
        <v>2.2134310000000001E-2</v>
      </c>
      <c r="AA2708">
        <v>0.96554879999999998</v>
      </c>
      <c r="AB2708">
        <v>10</v>
      </c>
      <c r="AC2708">
        <v>-6.9576999999999796</v>
      </c>
      <c r="AD2708">
        <v>-1.110933382529</v>
      </c>
      <c r="AE2708">
        <v>-4.3789999999999596</v>
      </c>
      <c r="AF2708">
        <v>-2.1128285272802301</v>
      </c>
      <c r="AG2708">
        <v>-1.110933382529</v>
      </c>
      <c r="AH2708">
        <v>7.79222960103702</v>
      </c>
      <c r="AI2708">
        <v>97.834749383671905</v>
      </c>
      <c r="AJ2708">
        <v>105.170733958182</v>
      </c>
      <c r="AK2708">
        <v>8.1496662214709197</v>
      </c>
      <c r="AL2708">
        <v>89.034439646957395</v>
      </c>
      <c r="AM2708">
        <v>94.016251015301407</v>
      </c>
      <c r="AN2708">
        <v>1.0000000215871101</v>
      </c>
    </row>
    <row r="2709" spans="1:40" x14ac:dyDescent="0.25">
      <c r="A2709" t="str">
        <f>"20190312160654999"</f>
        <v>20190312160654999</v>
      </c>
      <c r="B2709" t="str">
        <f>"1552378014988268"</f>
        <v>1552378014988268</v>
      </c>
      <c r="C2709" t="s">
        <v>40</v>
      </c>
      <c r="D2709">
        <v>5.7918820000000002</v>
      </c>
      <c r="E2709">
        <v>0.42186800000000002</v>
      </c>
      <c r="F2709" t="s">
        <v>61</v>
      </c>
      <c r="G2709">
        <v>-488.08510000000001</v>
      </c>
      <c r="H2709" s="1">
        <v>2.5897910000000001E-6</v>
      </c>
      <c r="I2709">
        <v>277.88220000000001</v>
      </c>
      <c r="J2709">
        <v>-481.03050000000002</v>
      </c>
      <c r="K2709">
        <v>1.110948</v>
      </c>
      <c r="L2709">
        <v>282.40350000000001</v>
      </c>
      <c r="M2709">
        <v>-0.95529620000000004</v>
      </c>
      <c r="N2709">
        <v>0</v>
      </c>
      <c r="O2709">
        <v>-0.29540090000000002</v>
      </c>
      <c r="P2709">
        <v>-0.93198579999999998</v>
      </c>
      <c r="Q2709">
        <v>5.8272480000000001E-3</v>
      </c>
      <c r="R2709">
        <v>-0.36244789999999999</v>
      </c>
      <c r="S2709">
        <v>-2.5836489999999999</v>
      </c>
      <c r="T2709">
        <v>-0.40135939999999998</v>
      </c>
      <c r="U2709">
        <v>-1.6454470000000001</v>
      </c>
      <c r="V2709">
        <v>-7.097995E-2</v>
      </c>
      <c r="W2709">
        <v>1.7784910000000001E-2</v>
      </c>
      <c r="X2709">
        <v>0.99731919999999996</v>
      </c>
      <c r="Y2709">
        <v>-0.26422069999999998</v>
      </c>
      <c r="Z2709">
        <v>2.177198E-2</v>
      </c>
      <c r="AA2709">
        <v>0.96421650000000003</v>
      </c>
      <c r="AB2709">
        <v>10</v>
      </c>
      <c r="AC2709">
        <v>-7.05459999999999</v>
      </c>
      <c r="AD2709">
        <v>-1.110945410209</v>
      </c>
      <c r="AE2709">
        <v>-4.5212999999999903</v>
      </c>
      <c r="AF2709">
        <v>-2.19679336195362</v>
      </c>
      <c r="AG2709">
        <v>-1.110945410209</v>
      </c>
      <c r="AH2709">
        <v>7.9359201684244001</v>
      </c>
      <c r="AI2709">
        <v>97.683708200214795</v>
      </c>
      <c r="AJ2709">
        <v>105.472964627472</v>
      </c>
      <c r="AK2709">
        <v>8.3089668250145898</v>
      </c>
      <c r="AL2709">
        <v>88.980946013439905</v>
      </c>
      <c r="AM2709">
        <v>94.070919104740497</v>
      </c>
      <c r="AN2709">
        <v>1.00000002150717</v>
      </c>
    </row>
    <row r="2710" spans="1:40" x14ac:dyDescent="0.25">
      <c r="A2710" t="str">
        <f>"20190312160655021"</f>
        <v>20190312160655021</v>
      </c>
      <c r="B2710" t="str">
        <f>"1552378015007787"</f>
        <v>1552378015007787</v>
      </c>
      <c r="C2710" t="s">
        <v>40</v>
      </c>
      <c r="D2710">
        <v>5.8819759999999999</v>
      </c>
      <c r="E2710">
        <v>0.42102109999999898</v>
      </c>
      <c r="F2710" t="s">
        <v>61</v>
      </c>
      <c r="G2710">
        <v>-488.34190000000001</v>
      </c>
      <c r="H2710" s="1">
        <v>2.5576310000000001E-6</v>
      </c>
      <c r="I2710">
        <v>277.66239999999999</v>
      </c>
      <c r="J2710">
        <v>-481.1293</v>
      </c>
      <c r="K2710">
        <v>1.110959</v>
      </c>
      <c r="L2710">
        <v>282.3691</v>
      </c>
      <c r="M2710">
        <v>-0.95439510000000005</v>
      </c>
      <c r="N2710">
        <v>0</v>
      </c>
      <c r="O2710">
        <v>-0.2982998</v>
      </c>
      <c r="P2710">
        <v>-0.93062739999999999</v>
      </c>
      <c r="Q2710">
        <v>5.7198919999999999E-3</v>
      </c>
      <c r="R2710">
        <v>-0.36592390000000002</v>
      </c>
      <c r="S2710">
        <v>-2.5726010000000001</v>
      </c>
      <c r="T2710">
        <v>-0.3908991</v>
      </c>
      <c r="U2710">
        <v>-1.6682129999999999</v>
      </c>
      <c r="V2710">
        <v>-7.1674379999999996E-2</v>
      </c>
      <c r="W2710">
        <v>1.7675739999999999E-2</v>
      </c>
      <c r="X2710">
        <v>0.99727149999999998</v>
      </c>
      <c r="Y2710">
        <v>-0.26916820000000002</v>
      </c>
      <c r="Z2710">
        <v>2.1255449999999999E-2</v>
      </c>
      <c r="AA2710">
        <v>0.96285860000000001</v>
      </c>
      <c r="AB2710">
        <v>10</v>
      </c>
      <c r="AC2710">
        <v>-7.2126000000000001</v>
      </c>
      <c r="AD2710">
        <v>-1.1109564423689999</v>
      </c>
      <c r="AE2710">
        <v>-4.7067000000000103</v>
      </c>
      <c r="AF2710">
        <v>-2.3023960075176899</v>
      </c>
      <c r="AG2710">
        <v>-1.1109564423689999</v>
      </c>
      <c r="AH2710">
        <v>8.1526326564535694</v>
      </c>
      <c r="AI2710">
        <v>97.471153647240897</v>
      </c>
      <c r="AJ2710">
        <v>105.77028205821</v>
      </c>
      <c r="AK2710">
        <v>8.5440430021944493</v>
      </c>
      <c r="AL2710">
        <v>88.987202002400906</v>
      </c>
      <c r="AM2710">
        <v>94.110806878222505</v>
      </c>
      <c r="AN2710">
        <v>1.00000004662259</v>
      </c>
    </row>
    <row r="2711" spans="1:40" x14ac:dyDescent="0.25">
      <c r="A2711" t="str">
        <f>"20190312160655044"</f>
        <v>20190312160655044</v>
      </c>
      <c r="B2711" t="str">
        <f>"1552378015038043"</f>
        <v>1552378015038043</v>
      </c>
      <c r="C2711" t="s">
        <v>40</v>
      </c>
      <c r="D2711">
        <v>5.8999100000000002</v>
      </c>
      <c r="E2711">
        <v>0.42060769999999997</v>
      </c>
      <c r="F2711" t="s">
        <v>61</v>
      </c>
      <c r="G2711">
        <v>-488.60520000000002</v>
      </c>
      <c r="H2711" s="1">
        <v>2.5315280000000002E-6</v>
      </c>
      <c r="I2711">
        <v>277.45639999999997</v>
      </c>
      <c r="J2711">
        <v>-481.22829999999999</v>
      </c>
      <c r="K2711">
        <v>1.110968</v>
      </c>
      <c r="L2711">
        <v>282.33440000000002</v>
      </c>
      <c r="M2711">
        <v>-0.95347079999999995</v>
      </c>
      <c r="N2711">
        <v>0</v>
      </c>
      <c r="O2711">
        <v>-0.30124040000000002</v>
      </c>
      <c r="P2711">
        <v>-0.92939360000000004</v>
      </c>
      <c r="Q2711">
        <v>6.2676869999999897E-3</v>
      </c>
      <c r="R2711">
        <v>-0.36903639999999999</v>
      </c>
      <c r="S2711">
        <v>-2.563599</v>
      </c>
      <c r="T2711">
        <v>-0.38096170000000001</v>
      </c>
      <c r="U2711">
        <v>-1.684631</v>
      </c>
      <c r="V2711">
        <v>-7.1940450000000003E-2</v>
      </c>
      <c r="W2711">
        <v>1.8223050000000001E-2</v>
      </c>
      <c r="X2711">
        <v>0.99724250000000003</v>
      </c>
      <c r="Y2711">
        <v>-0.27205089999999998</v>
      </c>
      <c r="Z2711">
        <v>2.090933E-2</v>
      </c>
      <c r="AA2711">
        <v>0.96205569999999896</v>
      </c>
      <c r="AB2711">
        <v>10</v>
      </c>
      <c r="AC2711">
        <v>-7.3769000000000302</v>
      </c>
      <c r="AD2711">
        <v>-1.1109654684720001</v>
      </c>
      <c r="AE2711">
        <v>-4.8780000000000401</v>
      </c>
      <c r="AF2711">
        <v>-2.3912545325829702</v>
      </c>
      <c r="AG2711">
        <v>-1.1109654684720001</v>
      </c>
      <c r="AH2711">
        <v>8.3716292304733493</v>
      </c>
      <c r="AI2711">
        <v>97.271791541876397</v>
      </c>
      <c r="AJ2711">
        <v>105.941349165972</v>
      </c>
      <c r="AK2711">
        <v>8.7770449744917904</v>
      </c>
      <c r="AL2711">
        <v>88.955838407241799</v>
      </c>
      <c r="AM2711">
        <v>94.126134001556196</v>
      </c>
      <c r="AN2711">
        <v>1.00000005585187</v>
      </c>
    </row>
    <row r="2712" spans="1:40" x14ac:dyDescent="0.25">
      <c r="A2712" t="str">
        <f>"20190312160655067"</f>
        <v>20190312160655067</v>
      </c>
      <c r="B2712" t="str">
        <f>"1552378015057564"</f>
        <v>1552378015057564</v>
      </c>
      <c r="C2712" t="s">
        <v>40</v>
      </c>
      <c r="D2712">
        <v>5.9088379999999896</v>
      </c>
      <c r="E2712">
        <v>0.42040899999999998</v>
      </c>
      <c r="F2712" t="s">
        <v>61</v>
      </c>
      <c r="G2712">
        <v>-488.88839999999999</v>
      </c>
      <c r="H2712" s="1">
        <v>2.5092399999999999E-6</v>
      </c>
      <c r="I2712">
        <v>277.25130000000001</v>
      </c>
      <c r="J2712">
        <v>-481.32549999999998</v>
      </c>
      <c r="K2712">
        <v>1.1109739999999999</v>
      </c>
      <c r="L2712">
        <v>282.2998</v>
      </c>
      <c r="M2712">
        <v>-0.95254280000000002</v>
      </c>
      <c r="N2712">
        <v>0</v>
      </c>
      <c r="O2712">
        <v>-0.30416199999999999</v>
      </c>
      <c r="P2712">
        <v>-0.92806339999999998</v>
      </c>
      <c r="Q2712">
        <v>6.8526269999999896E-3</v>
      </c>
      <c r="R2712">
        <v>-0.3723591</v>
      </c>
      <c r="S2712">
        <v>-2.5567319999999998</v>
      </c>
      <c r="T2712">
        <v>-0.37080970000000002</v>
      </c>
      <c r="U2712">
        <v>-1.6965939999999999</v>
      </c>
      <c r="V2712">
        <v>-7.2453710000000004E-2</v>
      </c>
      <c r="W2712">
        <v>1.8806610000000001E-2</v>
      </c>
      <c r="X2712">
        <v>0.99719449999999998</v>
      </c>
      <c r="Y2712">
        <v>-0.27341919999999997</v>
      </c>
      <c r="Z2712">
        <v>2.063479E-2</v>
      </c>
      <c r="AA2712">
        <v>0.96167360000000002</v>
      </c>
      <c r="AB2712">
        <v>10</v>
      </c>
      <c r="AC2712">
        <v>-7.5629000000000097</v>
      </c>
      <c r="AD2712">
        <v>-1.1109714907599999</v>
      </c>
      <c r="AE2712">
        <v>-5.04849999999999</v>
      </c>
      <c r="AF2712">
        <v>-2.4718528138345999</v>
      </c>
      <c r="AG2712">
        <v>-1.1109714907599999</v>
      </c>
      <c r="AH2712">
        <v>8.6116449855017407</v>
      </c>
      <c r="AI2712">
        <v>97.068648025068399</v>
      </c>
      <c r="AJ2712">
        <v>106.015388914292</v>
      </c>
      <c r="AK2712">
        <v>9.0279977482751299</v>
      </c>
      <c r="AL2712">
        <v>88.922397144662696</v>
      </c>
      <c r="AM2712">
        <v>94.155668517349298</v>
      </c>
      <c r="AN2712">
        <v>1.0000000497513499</v>
      </c>
    </row>
    <row r="2713" spans="1:40" x14ac:dyDescent="0.25">
      <c r="A2713" t="str">
        <f>"20190312160655088"</f>
        <v>20190312160655088</v>
      </c>
      <c r="B2713" t="str">
        <f>"1552378015078060"</f>
        <v>1552378015078060</v>
      </c>
      <c r="C2713" t="s">
        <v>40</v>
      </c>
      <c r="D2713">
        <v>5.8924960000000004</v>
      </c>
      <c r="E2713">
        <v>0.42035509999999898</v>
      </c>
      <c r="F2713" t="s">
        <v>61</v>
      </c>
      <c r="G2713">
        <v>-489.13510000000002</v>
      </c>
      <c r="H2713" s="1">
        <v>2.4897340000000002E-6</v>
      </c>
      <c r="I2713">
        <v>277.07229999999998</v>
      </c>
      <c r="J2713">
        <v>-481.42110000000002</v>
      </c>
      <c r="K2713">
        <v>1.1109830000000001</v>
      </c>
      <c r="L2713">
        <v>282.26549999999997</v>
      </c>
      <c r="M2713">
        <v>-0.95160869999999997</v>
      </c>
      <c r="N2713">
        <v>0</v>
      </c>
      <c r="O2713">
        <v>-0.30707259999999997</v>
      </c>
      <c r="P2713">
        <v>-0.92665560000000002</v>
      </c>
      <c r="Q2713">
        <v>5.8251400000000004E-3</v>
      </c>
      <c r="R2713">
        <v>-0.3758669</v>
      </c>
      <c r="S2713">
        <v>-2.5503230000000001</v>
      </c>
      <c r="T2713">
        <v>-0.36280119999999999</v>
      </c>
      <c r="U2713">
        <v>-1.7071229999999999</v>
      </c>
      <c r="V2713">
        <v>-7.3173550000000004E-2</v>
      </c>
      <c r="W2713">
        <v>1.7777290000000001E-2</v>
      </c>
      <c r="X2713">
        <v>0.99716079999999996</v>
      </c>
      <c r="Y2713">
        <v>-0.27434350000000002</v>
      </c>
      <c r="Z2713">
        <v>2.049229E-2</v>
      </c>
      <c r="AA2713">
        <v>0.96141339999999997</v>
      </c>
      <c r="AB2713">
        <v>10</v>
      </c>
      <c r="AC2713">
        <v>-7.7139999999999898</v>
      </c>
      <c r="AD2713">
        <v>-1.110980510266</v>
      </c>
      <c r="AE2713">
        <v>-5.1931999999999903</v>
      </c>
      <c r="AF2713">
        <v>-2.53711304672255</v>
      </c>
      <c r="AG2713">
        <v>-1.110980510266</v>
      </c>
      <c r="AH2713">
        <v>8.8103057490073997</v>
      </c>
      <c r="AI2713">
        <v>96.909174734026607</v>
      </c>
      <c r="AJ2713">
        <v>106.064869149841</v>
      </c>
      <c r="AK2713">
        <v>9.2354051181869501</v>
      </c>
      <c r="AL2713">
        <v>88.981382685729201</v>
      </c>
      <c r="AM2713">
        <v>94.196950324236397</v>
      </c>
      <c r="AN2713">
        <v>1.0000000307579899</v>
      </c>
    </row>
    <row r="2714" spans="1:40" x14ac:dyDescent="0.25">
      <c r="A2714" t="str">
        <f>"20190312160655112"</f>
        <v>20190312160655112</v>
      </c>
      <c r="B2714" t="str">
        <f>"1552378015097580"</f>
        <v>1552378015097580</v>
      </c>
      <c r="C2714" t="s">
        <v>40</v>
      </c>
      <c r="D2714">
        <v>5.8633689999999996</v>
      </c>
      <c r="E2714">
        <v>0.42032770000000003</v>
      </c>
      <c r="F2714" t="s">
        <v>61</v>
      </c>
      <c r="G2714">
        <v>-489.21300000000002</v>
      </c>
      <c r="H2714" s="1">
        <v>2.4800380000000002E-6</v>
      </c>
      <c r="I2714">
        <v>277.00569999999999</v>
      </c>
      <c r="J2714">
        <v>-481.51920000000001</v>
      </c>
      <c r="K2714">
        <v>1.110989</v>
      </c>
      <c r="L2714">
        <v>282.22989999999999</v>
      </c>
      <c r="M2714">
        <v>-0.95062840000000004</v>
      </c>
      <c r="N2714">
        <v>0</v>
      </c>
      <c r="O2714">
        <v>-0.31009350000000002</v>
      </c>
      <c r="P2714">
        <v>-0.92526299999999995</v>
      </c>
      <c r="Q2714">
        <v>5.6393759999999998E-3</v>
      </c>
      <c r="R2714">
        <v>-0.37928440000000002</v>
      </c>
      <c r="S2714">
        <v>-2.543396</v>
      </c>
      <c r="T2714">
        <v>-0.36264180000000001</v>
      </c>
      <c r="U2714">
        <v>-1.716858</v>
      </c>
      <c r="V2714">
        <v>-7.3686349999999998E-2</v>
      </c>
      <c r="W2714">
        <v>1.7589919999999998E-2</v>
      </c>
      <c r="X2714">
        <v>0.99712630000000002</v>
      </c>
      <c r="Y2714">
        <v>-0.2750454</v>
      </c>
      <c r="Z2714">
        <v>2.0815480000000001E-2</v>
      </c>
      <c r="AA2714">
        <v>0.96120589999999995</v>
      </c>
      <c r="AB2714">
        <v>10</v>
      </c>
      <c r="AC2714">
        <v>-7.6938000000000004</v>
      </c>
      <c r="AD2714">
        <v>-1.1109865199619999</v>
      </c>
      <c r="AE2714">
        <v>-5.22419999999999</v>
      </c>
      <c r="AF2714">
        <v>-2.5443544745077</v>
      </c>
      <c r="AG2714">
        <v>-1.1109865199619999</v>
      </c>
      <c r="AH2714">
        <v>8.80887959220113</v>
      </c>
      <c r="AI2714">
        <v>96.908736848222006</v>
      </c>
      <c r="AJ2714">
        <v>106.11081898891899</v>
      </c>
      <c r="AK2714">
        <v>9.2360375924625906</v>
      </c>
      <c r="AL2714">
        <v>88.992119814136004</v>
      </c>
      <c r="AM2714">
        <v>94.2264020344805</v>
      </c>
      <c r="AN2714">
        <v>0.99999997080680902</v>
      </c>
    </row>
    <row r="2715" spans="1:40" x14ac:dyDescent="0.25">
      <c r="A2715" t="str">
        <f>"20190312160655133"</f>
        <v>20190312160655133</v>
      </c>
      <c r="B2715" t="str">
        <f>"1552378015127367"</f>
        <v>1552378015127367</v>
      </c>
      <c r="C2715" t="s">
        <v>40</v>
      </c>
      <c r="D2715">
        <v>5.8389879999999996</v>
      </c>
      <c r="E2715">
        <v>0.42043589999999997</v>
      </c>
      <c r="F2715" t="s">
        <v>61</v>
      </c>
      <c r="G2715">
        <v>-489.34870000000001</v>
      </c>
      <c r="H2715" s="1">
        <v>2.4665279999999999E-6</v>
      </c>
      <c r="I2715">
        <v>276.89949999999999</v>
      </c>
      <c r="J2715">
        <v>-481.61380000000003</v>
      </c>
      <c r="K2715">
        <v>1.111002</v>
      </c>
      <c r="L2715">
        <v>282.1952</v>
      </c>
      <c r="M2715">
        <v>-0.94965929999999998</v>
      </c>
      <c r="N2715">
        <v>0</v>
      </c>
      <c r="O2715">
        <v>-0.31304850000000001</v>
      </c>
      <c r="P2715">
        <v>-0.92387030000000003</v>
      </c>
      <c r="Q2715">
        <v>5.5492220000000004E-3</v>
      </c>
      <c r="R2715">
        <v>-0.38266539999999999</v>
      </c>
      <c r="S2715">
        <v>-2.536591</v>
      </c>
      <c r="T2715">
        <v>-0.35993720000000001</v>
      </c>
      <c r="U2715">
        <v>-1.7269589999999999</v>
      </c>
      <c r="V2715">
        <v>-7.4232300000000001E-2</v>
      </c>
      <c r="W2715">
        <v>1.74979E-2</v>
      </c>
      <c r="X2715">
        <v>0.99708750000000002</v>
      </c>
      <c r="Y2715">
        <v>-0.27588069999999998</v>
      </c>
      <c r="Z2715">
        <v>2.097307E-2</v>
      </c>
      <c r="AA2715">
        <v>0.96096309999999996</v>
      </c>
      <c r="AB2715">
        <v>10</v>
      </c>
      <c r="AC2715">
        <v>-7.7348999999999801</v>
      </c>
      <c r="AD2715">
        <v>-1.110999533472</v>
      </c>
      <c r="AE2715">
        <v>-5.2957000000000098</v>
      </c>
      <c r="AF2715">
        <v>-2.5717799036968101</v>
      </c>
      <c r="AG2715">
        <v>-1.110999533472</v>
      </c>
      <c r="AH2715">
        <v>8.8792725724803301</v>
      </c>
      <c r="AI2715">
        <v>96.853121064227196</v>
      </c>
      <c r="AJ2715">
        <v>106.153055783697</v>
      </c>
      <c r="AK2715">
        <v>9.3107385986738596</v>
      </c>
      <c r="AL2715">
        <v>88.997393059657199</v>
      </c>
      <c r="AM2715">
        <v>94.257766239162706</v>
      </c>
      <c r="AN2715">
        <v>1.0000000467619701</v>
      </c>
    </row>
    <row r="2716" spans="1:40" x14ac:dyDescent="0.25">
      <c r="A2716" t="str">
        <f>"20190312160655155"</f>
        <v>20190312160655155</v>
      </c>
      <c r="B2716" t="str">
        <f>"1552378015147862"</f>
        <v>1552378015147862</v>
      </c>
      <c r="C2716" t="s">
        <v>40</v>
      </c>
      <c r="D2716">
        <v>5.8327260000000001</v>
      </c>
      <c r="E2716">
        <v>0.42043160000000002</v>
      </c>
      <c r="F2716" t="s">
        <v>61</v>
      </c>
      <c r="G2716">
        <v>-489.45100000000002</v>
      </c>
      <c r="H2716" s="1">
        <v>2.4567300000000001E-6</v>
      </c>
      <c r="I2716">
        <v>276.82040000000001</v>
      </c>
      <c r="J2716">
        <v>-481.70819999999998</v>
      </c>
      <c r="K2716">
        <v>1.1110180000000001</v>
      </c>
      <c r="L2716">
        <v>282.16019999999997</v>
      </c>
      <c r="M2716">
        <v>-0.94866660000000003</v>
      </c>
      <c r="N2716">
        <v>0</v>
      </c>
      <c r="O2716">
        <v>-0.3160443</v>
      </c>
      <c r="P2716">
        <v>-0.92253430000000003</v>
      </c>
      <c r="Q2716">
        <v>5.3068890000000004E-3</v>
      </c>
      <c r="R2716">
        <v>-0.38587909999999997</v>
      </c>
      <c r="S2716">
        <v>-2.5305179999999998</v>
      </c>
      <c r="T2716">
        <v>-0.358722599999999</v>
      </c>
      <c r="U2716">
        <v>-1.7354430000000001</v>
      </c>
      <c r="V2716">
        <v>-7.4555449999999995E-2</v>
      </c>
      <c r="W2716">
        <v>1.72538E-2</v>
      </c>
      <c r="X2716">
        <v>0.99706760000000005</v>
      </c>
      <c r="Y2716">
        <v>-0.27612900000000001</v>
      </c>
      <c r="Z2716">
        <v>2.125486E-2</v>
      </c>
      <c r="AA2716">
        <v>0.96088549999999995</v>
      </c>
      <c r="AB2716">
        <v>10</v>
      </c>
      <c r="AC2716">
        <v>-7.7427999999999804</v>
      </c>
      <c r="AD2716">
        <v>-1.11101554327</v>
      </c>
      <c r="AE2716">
        <v>-5.3397999999999604</v>
      </c>
      <c r="AF2716">
        <v>-2.58277765475452</v>
      </c>
      <c r="AG2716">
        <v>-1.11101554327</v>
      </c>
      <c r="AH2716">
        <v>8.9093035073772793</v>
      </c>
      <c r="AI2716">
        <v>96.829870246937503</v>
      </c>
      <c r="AJ2716">
        <v>106.166699169761</v>
      </c>
      <c r="AK2716">
        <v>9.3424185807451305</v>
      </c>
      <c r="AL2716">
        <v>89.011381028184204</v>
      </c>
      <c r="AM2716">
        <v>94.276317684339901</v>
      </c>
      <c r="AN2716">
        <v>1.0000000038544501</v>
      </c>
    </row>
    <row r="2717" spans="1:40" x14ac:dyDescent="0.25">
      <c r="A2717" t="str">
        <f>"20190312160655177"</f>
        <v>20190312160655177</v>
      </c>
      <c r="B2717" t="str">
        <f>"1552378015167383"</f>
        <v>1552378015167383</v>
      </c>
      <c r="C2717" t="s">
        <v>40</v>
      </c>
      <c r="D2717">
        <v>5.8106790000000004</v>
      </c>
      <c r="E2717">
        <v>0.41357709999999998</v>
      </c>
      <c r="F2717" t="s">
        <v>61</v>
      </c>
      <c r="G2717">
        <v>-489.57380000000001</v>
      </c>
      <c r="H2717" s="1">
        <v>2.4452849999999999E-6</v>
      </c>
      <c r="I2717">
        <v>276.72640000000001</v>
      </c>
      <c r="J2717">
        <v>-481.80290000000002</v>
      </c>
      <c r="K2717">
        <v>1.111027</v>
      </c>
      <c r="L2717">
        <v>282.12459999999999</v>
      </c>
      <c r="M2717">
        <v>-0.94764530000000002</v>
      </c>
      <c r="N2717">
        <v>0</v>
      </c>
      <c r="O2717">
        <v>-0.31909359999999998</v>
      </c>
      <c r="P2717">
        <v>-0.92111770000000004</v>
      </c>
      <c r="Q2717">
        <v>4.863572E-3</v>
      </c>
      <c r="R2717">
        <v>-0.3892543</v>
      </c>
      <c r="S2717">
        <v>-2.5245060000000001</v>
      </c>
      <c r="T2717">
        <v>-0.35658469999999998</v>
      </c>
      <c r="U2717">
        <v>-1.7439880000000001</v>
      </c>
      <c r="V2717">
        <v>-7.4998159999999994E-2</v>
      </c>
      <c r="W2717">
        <v>1.6808980000000001E-2</v>
      </c>
      <c r="X2717">
        <v>0.99704199999999998</v>
      </c>
      <c r="Y2717">
        <v>-0.27632449999999997</v>
      </c>
      <c r="Z2717">
        <v>2.148806E-2</v>
      </c>
      <c r="AA2717">
        <v>0.96082409999999996</v>
      </c>
      <c r="AB2717">
        <v>10</v>
      </c>
      <c r="AC2717">
        <v>-7.7708999999999797</v>
      </c>
      <c r="AD2717">
        <v>-1.1110245547149999</v>
      </c>
      <c r="AE2717">
        <v>-5.3981999999999699</v>
      </c>
      <c r="AF2717">
        <v>-2.6002772518049602</v>
      </c>
      <c r="AG2717">
        <v>-1.1110245547149999</v>
      </c>
      <c r="AH2717">
        <v>8.9636706738833301</v>
      </c>
      <c r="AI2717">
        <v>96.788538553845797</v>
      </c>
      <c r="AJ2717">
        <v>106.176951020619</v>
      </c>
      <c r="AK2717">
        <v>9.3991068350812004</v>
      </c>
      <c r="AL2717">
        <v>89.036871037916896</v>
      </c>
      <c r="AM2717">
        <v>94.301725444968497</v>
      </c>
      <c r="AN2717">
        <v>1.00000000778801</v>
      </c>
    </row>
    <row r="2718" spans="1:40" x14ac:dyDescent="0.25">
      <c r="A2718" t="str">
        <f>"20190312160655200"</f>
        <v>20190312160655200</v>
      </c>
      <c r="B2718" t="str">
        <f>"1552378015187879"</f>
        <v>1552378015187879</v>
      </c>
      <c r="C2718" t="s">
        <v>40</v>
      </c>
      <c r="D2718">
        <v>5.8084449999999999</v>
      </c>
      <c r="E2718">
        <v>0.41579719999999998</v>
      </c>
      <c r="F2718" t="s">
        <v>61</v>
      </c>
      <c r="G2718">
        <v>-493.34219999999999</v>
      </c>
      <c r="H2718" s="1">
        <v>1.3215719999999901E-6</v>
      </c>
      <c r="I2718">
        <v>273.78879999999998</v>
      </c>
      <c r="J2718">
        <v>-481.8997</v>
      </c>
      <c r="K2718">
        <v>1.1110370000000001</v>
      </c>
      <c r="L2718">
        <v>282.08780000000002</v>
      </c>
      <c r="M2718">
        <v>-0.94657530000000001</v>
      </c>
      <c r="N2718">
        <v>0</v>
      </c>
      <c r="O2718">
        <v>-0.32225359999999997</v>
      </c>
      <c r="P2718">
        <v>-0.91975739999999995</v>
      </c>
      <c r="Q2718">
        <v>4.5654500000000004E-3</v>
      </c>
      <c r="R2718">
        <v>-0.392461</v>
      </c>
      <c r="S2718">
        <v>-2.4961850000000001</v>
      </c>
      <c r="T2718">
        <v>-0.2403373</v>
      </c>
      <c r="U2718">
        <v>-1.803223</v>
      </c>
      <c r="V2718">
        <v>-7.5144489999999994E-2</v>
      </c>
      <c r="W2718">
        <v>1.6510520000000001E-2</v>
      </c>
      <c r="X2718">
        <v>0.99703600000000003</v>
      </c>
      <c r="Y2718">
        <v>-0.29315160000000001</v>
      </c>
      <c r="Z2718">
        <v>1.4056880000000001E-2</v>
      </c>
      <c r="AA2718">
        <v>0.9559626</v>
      </c>
      <c r="AB2718">
        <v>10</v>
      </c>
      <c r="AC2718">
        <v>-11.4424999999999</v>
      </c>
      <c r="AD2718">
        <v>-1.111035678428</v>
      </c>
      <c r="AE2718">
        <v>-8.2990000000000297</v>
      </c>
      <c r="AF2718">
        <v>-4.1429543260999298</v>
      </c>
      <c r="AG2718">
        <v>-1.111035678428</v>
      </c>
      <c r="AH2718">
        <v>13.423636902390999</v>
      </c>
      <c r="AI2718">
        <v>94.521891709471305</v>
      </c>
      <c r="AJ2718">
        <v>107.151862577934</v>
      </c>
      <c r="AK2718">
        <v>14.092285070708799</v>
      </c>
      <c r="AL2718">
        <v>89.053973938823702</v>
      </c>
      <c r="AM2718">
        <v>94.310112846439694</v>
      </c>
      <c r="AN2718">
        <v>1.00000003847201</v>
      </c>
    </row>
    <row r="2719" spans="1:40" x14ac:dyDescent="0.25">
      <c r="A2719" t="str">
        <f>"20190312160655223"</f>
        <v>20190312160655223</v>
      </c>
      <c r="B2719" t="str">
        <f>"1552378015218134"</f>
        <v>1552378015218134</v>
      </c>
      <c r="C2719" t="s">
        <v>40</v>
      </c>
      <c r="D2719">
        <v>5.7478119999999997</v>
      </c>
      <c r="E2719">
        <v>0.41745599999999999</v>
      </c>
      <c r="F2719" t="s">
        <v>61</v>
      </c>
      <c r="G2719">
        <v>-493.40249999999997</v>
      </c>
      <c r="H2719" s="1">
        <v>1.3208349999999901E-6</v>
      </c>
      <c r="I2719">
        <v>273.81490000000002</v>
      </c>
      <c r="J2719">
        <v>-481.9973</v>
      </c>
      <c r="K2719">
        <v>1.1110390000000001</v>
      </c>
      <c r="L2719">
        <v>282.05029999999999</v>
      </c>
      <c r="M2719">
        <v>-0.94547309999999996</v>
      </c>
      <c r="N2719">
        <v>0</v>
      </c>
      <c r="O2719">
        <v>-0.32547300000000001</v>
      </c>
      <c r="P2719">
        <v>-0.91840889999999997</v>
      </c>
      <c r="Q2719">
        <v>4.7192199999999997E-3</v>
      </c>
      <c r="R2719">
        <v>-0.39560469999999998</v>
      </c>
      <c r="S2719">
        <v>-2.4967350000000001</v>
      </c>
      <c r="T2719">
        <v>-0.2411547</v>
      </c>
      <c r="U2719">
        <v>-1.7956540000000001</v>
      </c>
      <c r="V2719">
        <v>-7.5162839999999995E-2</v>
      </c>
      <c r="W2719">
        <v>1.6664990000000001E-2</v>
      </c>
      <c r="X2719">
        <v>0.99703200000000003</v>
      </c>
      <c r="Y2719">
        <v>-0.28791050000000001</v>
      </c>
      <c r="Z2719">
        <v>1.459479E-2</v>
      </c>
      <c r="AA2719">
        <v>0.95754609999999996</v>
      </c>
      <c r="AB2719">
        <v>10</v>
      </c>
      <c r="AC2719">
        <v>-11.405199999999899</v>
      </c>
      <c r="AD2719">
        <v>-1.1110376791649901</v>
      </c>
      <c r="AE2719">
        <v>-8.2353999999999701</v>
      </c>
      <c r="AF2719">
        <v>-4.0493083411581603</v>
      </c>
      <c r="AG2719">
        <v>-1.1110376791649901</v>
      </c>
      <c r="AH2719">
        <v>13.381240634084399</v>
      </c>
      <c r="AI2719">
        <v>94.5437748751378</v>
      </c>
      <c r="AJ2719">
        <v>106.83638356216601</v>
      </c>
      <c r="AK2719">
        <v>14.0245821211745</v>
      </c>
      <c r="AL2719">
        <v>89.045122197571899</v>
      </c>
      <c r="AM2719">
        <v>94.311178622785704</v>
      </c>
      <c r="AN2719">
        <v>0.99999999171628196</v>
      </c>
    </row>
    <row r="2720" spans="1:40" x14ac:dyDescent="0.25">
      <c r="A2720" t="str">
        <f>"20190312160655244"</f>
        <v>20190312160655244</v>
      </c>
      <c r="B2720" t="str">
        <f>"1552378015237654"</f>
        <v>1552378015237654</v>
      </c>
      <c r="C2720" t="s">
        <v>40</v>
      </c>
      <c r="D2720">
        <v>5.768567</v>
      </c>
      <c r="E2720">
        <v>0.4183558</v>
      </c>
      <c r="F2720" t="s">
        <v>61</v>
      </c>
      <c r="G2720">
        <v>-493.44159999999999</v>
      </c>
      <c r="H2720" s="1">
        <v>1.32029E-6</v>
      </c>
      <c r="I2720">
        <v>273.83150000000001</v>
      </c>
      <c r="J2720">
        <v>-482.09120000000001</v>
      </c>
      <c r="K2720">
        <v>1.1110450000000001</v>
      </c>
      <c r="L2720">
        <v>282.0138</v>
      </c>
      <c r="M2720">
        <v>-0.94438699999999998</v>
      </c>
      <c r="N2720">
        <v>0</v>
      </c>
      <c r="O2720">
        <v>-0.3286113</v>
      </c>
      <c r="P2720">
        <v>-0.91721039999999998</v>
      </c>
      <c r="Q2720">
        <v>4.8494480000000001E-3</v>
      </c>
      <c r="R2720">
        <v>-0.39837450000000002</v>
      </c>
      <c r="S2720">
        <v>-2.4956969999999998</v>
      </c>
      <c r="T2720">
        <v>-0.2422879</v>
      </c>
      <c r="U2720">
        <v>-1.792297</v>
      </c>
      <c r="V2720">
        <v>-7.4861259999999999E-2</v>
      </c>
      <c r="W2720">
        <v>1.6797059999999999E-2</v>
      </c>
      <c r="X2720">
        <v>0.99705250000000001</v>
      </c>
      <c r="Y2720">
        <v>-0.28408749999999999</v>
      </c>
      <c r="Z2720">
        <v>1.508751E-2</v>
      </c>
      <c r="AA2720">
        <v>0.95867959999999997</v>
      </c>
      <c r="AB2720">
        <v>10</v>
      </c>
      <c r="AC2720">
        <v>-11.350399999999899</v>
      </c>
      <c r="AD2720">
        <v>-1.1110436797100001</v>
      </c>
      <c r="AE2720">
        <v>-8.1822999999999908</v>
      </c>
      <c r="AF2720">
        <v>-3.97263573341603</v>
      </c>
      <c r="AG2720">
        <v>-1.1110436797100001</v>
      </c>
      <c r="AH2720">
        <v>13.324942671824701</v>
      </c>
      <c r="AI2720">
        <v>94.568522049836304</v>
      </c>
      <c r="AJ2720">
        <v>106.601175976587</v>
      </c>
      <c r="AK2720">
        <v>13.948847620361001</v>
      </c>
      <c r="AL2720">
        <v>89.037554110459794</v>
      </c>
      <c r="AM2720">
        <v>94.293857514110599</v>
      </c>
      <c r="AN2720">
        <v>1.0000000186148399</v>
      </c>
    </row>
    <row r="2721" spans="1:40" x14ac:dyDescent="0.25">
      <c r="A2721" t="str">
        <f>"20190312160655267"</f>
        <v>20190312160655267</v>
      </c>
      <c r="B2721" t="str">
        <f>"1552378015258151"</f>
        <v>1552378015258151</v>
      </c>
      <c r="C2721" t="s">
        <v>40</v>
      </c>
      <c r="D2721">
        <v>5.6860600000000003</v>
      </c>
      <c r="E2721">
        <v>0.4189061</v>
      </c>
      <c r="F2721" t="s">
        <v>61</v>
      </c>
      <c r="G2721">
        <v>-493.42469999999997</v>
      </c>
      <c r="H2721" s="1">
        <v>1.327209E-6</v>
      </c>
      <c r="I2721">
        <v>273.8623</v>
      </c>
      <c r="J2721">
        <v>-482.18950000000001</v>
      </c>
      <c r="K2721">
        <v>1.111054</v>
      </c>
      <c r="L2721">
        <v>281.97519999999997</v>
      </c>
      <c r="M2721">
        <v>-0.94322660000000003</v>
      </c>
      <c r="N2721">
        <v>0</v>
      </c>
      <c r="O2721">
        <v>-0.33192709999999997</v>
      </c>
      <c r="P2721">
        <v>-0.91574979999999995</v>
      </c>
      <c r="Q2721">
        <v>4.703718E-3</v>
      </c>
      <c r="R2721">
        <v>-0.40172150000000001</v>
      </c>
      <c r="S2721">
        <v>-2.4931950000000001</v>
      </c>
      <c r="T2721">
        <v>-0.2444141</v>
      </c>
      <c r="U2721">
        <v>-1.7932129999999999</v>
      </c>
      <c r="V2721">
        <v>-7.499931E-2</v>
      </c>
      <c r="W2721">
        <v>1.6651639999999999E-2</v>
      </c>
      <c r="X2721">
        <v>0.99704459999999995</v>
      </c>
      <c r="Y2721">
        <v>-0.28142450000000002</v>
      </c>
      <c r="Z2721">
        <v>1.560979E-2</v>
      </c>
      <c r="AA2721">
        <v>0.95945639999999999</v>
      </c>
      <c r="AB2721">
        <v>10</v>
      </c>
      <c r="AC2721">
        <v>-11.235199999999899</v>
      </c>
      <c r="AD2721">
        <v>-1.111052672791</v>
      </c>
      <c r="AE2721">
        <v>-8.1128999999999607</v>
      </c>
      <c r="AF2721">
        <v>-3.8982690131015998</v>
      </c>
      <c r="AG2721">
        <v>-1.111052672791</v>
      </c>
      <c r="AH2721">
        <v>13.206327634401701</v>
      </c>
      <c r="AI2721">
        <v>94.613113507036303</v>
      </c>
      <c r="AJ2721">
        <v>106.445646999986</v>
      </c>
      <c r="AK2721">
        <v>13.8144138104874</v>
      </c>
      <c r="AL2721">
        <v>89.045887261819601</v>
      </c>
      <c r="AM2721">
        <v>94.301779983071398</v>
      </c>
      <c r="AN2721">
        <v>1.0000000540021601</v>
      </c>
    </row>
    <row r="2722" spans="1:40" x14ac:dyDescent="0.25">
      <c r="A2722" t="str">
        <f>"20190312160655290"</f>
        <v>20190312160655290</v>
      </c>
      <c r="B2722" t="str">
        <f>"1552378015277670"</f>
        <v>1552378015277670</v>
      </c>
      <c r="C2722" t="s">
        <v>40</v>
      </c>
      <c r="D2722">
        <v>5.7432910000000001</v>
      </c>
      <c r="E2722">
        <v>0.41946830000000002</v>
      </c>
      <c r="F2722" t="s">
        <v>61</v>
      </c>
      <c r="G2722">
        <v>-493.37740000000002</v>
      </c>
      <c r="H2722" s="1">
        <v>1.336267E-6</v>
      </c>
      <c r="I2722">
        <v>273.89</v>
      </c>
      <c r="J2722">
        <v>-482.2833</v>
      </c>
      <c r="K2722">
        <v>1.111062</v>
      </c>
      <c r="L2722">
        <v>281.93790000000001</v>
      </c>
      <c r="M2722">
        <v>-0.94209330000000002</v>
      </c>
      <c r="N2722">
        <v>0</v>
      </c>
      <c r="O2722">
        <v>-0.33513009999999999</v>
      </c>
      <c r="P2722">
        <v>-0.91453030000000002</v>
      </c>
      <c r="Q2722">
        <v>4.4473330000000004E-3</v>
      </c>
      <c r="R2722">
        <v>-0.40449309999999999</v>
      </c>
      <c r="S2722">
        <v>-2.4883730000000002</v>
      </c>
      <c r="T2722">
        <v>-0.24711449999999999</v>
      </c>
      <c r="U2722">
        <v>-1.798279</v>
      </c>
      <c r="V2722">
        <v>-7.4630210000000002E-2</v>
      </c>
      <c r="W2722">
        <v>1.639705E-2</v>
      </c>
      <c r="X2722">
        <v>0.99707650000000003</v>
      </c>
      <c r="Y2722">
        <v>-0.28034389999999998</v>
      </c>
      <c r="Z2722">
        <v>1.6100369999999999E-2</v>
      </c>
      <c r="AA2722">
        <v>0.95976459999999997</v>
      </c>
      <c r="AB2722">
        <v>10</v>
      </c>
      <c r="AC2722">
        <v>-11.094099999999999</v>
      </c>
      <c r="AD2722">
        <v>-1.1110606637330001</v>
      </c>
      <c r="AE2722">
        <v>-8.0479000000000198</v>
      </c>
      <c r="AF2722">
        <v>-3.8389638025637001</v>
      </c>
      <c r="AG2722">
        <v>-1.1110606637330001</v>
      </c>
      <c r="AH2722">
        <v>13.0638937534605</v>
      </c>
      <c r="AI2722">
        <v>94.664885206395596</v>
      </c>
      <c r="AJ2722">
        <v>106.37598485668001</v>
      </c>
      <c r="AK2722">
        <v>13.661530619868101</v>
      </c>
      <c r="AL2722">
        <v>89.060476171561405</v>
      </c>
      <c r="AM2722">
        <v>94.280551737074504</v>
      </c>
      <c r="AN2722">
        <v>1.0000000391727899</v>
      </c>
    </row>
    <row r="2723" spans="1:40" x14ac:dyDescent="0.25">
      <c r="A2723" t="str">
        <f>"20190312160655302"</f>
        <v>20190312160655302</v>
      </c>
      <c r="B2723" t="str">
        <f>"1552378015298167"</f>
        <v>1552378015298167</v>
      </c>
      <c r="C2723" t="s">
        <v>40</v>
      </c>
      <c r="D2723">
        <v>5.6877800000000001</v>
      </c>
      <c r="E2723">
        <v>0.42006880000000002</v>
      </c>
      <c r="F2723" t="s">
        <v>61</v>
      </c>
      <c r="G2723">
        <v>-493.3784</v>
      </c>
      <c r="H2723" s="1">
        <v>1.3368019999999999E-6</v>
      </c>
      <c r="I2723">
        <v>273.89350000000002</v>
      </c>
      <c r="J2723">
        <v>-482.3347</v>
      </c>
      <c r="K2723">
        <v>1.111067</v>
      </c>
      <c r="L2723">
        <v>281.91730000000001</v>
      </c>
      <c r="M2723">
        <v>-0.94146169999999996</v>
      </c>
      <c r="N2723">
        <v>0</v>
      </c>
      <c r="O2723">
        <v>-0.33689989999999997</v>
      </c>
      <c r="P2723">
        <v>-0.91383270000000005</v>
      </c>
      <c r="Q2723">
        <v>4.4508380000000004E-3</v>
      </c>
      <c r="R2723">
        <v>-0.4060665</v>
      </c>
      <c r="S2723">
        <v>-2.4847410000000001</v>
      </c>
      <c r="T2723">
        <v>-0.2488213</v>
      </c>
      <c r="U2723">
        <v>-1.801544</v>
      </c>
      <c r="V2723">
        <v>-7.4472830000000004E-2</v>
      </c>
      <c r="W2723">
        <v>1.640134E-2</v>
      </c>
      <c r="X2723">
        <v>0.99708810000000003</v>
      </c>
      <c r="Y2723">
        <v>-0.28004079999999998</v>
      </c>
      <c r="Z2723">
        <v>1.6379359999999999E-2</v>
      </c>
      <c r="AA2723">
        <v>0.95984829999999999</v>
      </c>
      <c r="AB2723">
        <v>10</v>
      </c>
      <c r="AC2723">
        <v>-11.043699999999999</v>
      </c>
      <c r="AD2723">
        <v>-1.111065663198</v>
      </c>
      <c r="AE2723">
        <v>-8.0237999999999907</v>
      </c>
      <c r="AF2723">
        <v>-3.8085331231391302</v>
      </c>
      <c r="AG2723">
        <v>-1.111065663198</v>
      </c>
      <c r="AH2723">
        <v>13.0151886866241</v>
      </c>
      <c r="AI2723">
        <v>94.683844553418794</v>
      </c>
      <c r="AJ2723">
        <v>106.31064742469501</v>
      </c>
      <c r="AK2723">
        <v>13.606414957894399</v>
      </c>
      <c r="AL2723">
        <v>89.060230249006196</v>
      </c>
      <c r="AM2723">
        <v>94.271508855417693</v>
      </c>
      <c r="AN2723">
        <v>0.99999994276180504</v>
      </c>
    </row>
    <row r="2724" spans="1:40" x14ac:dyDescent="0.25">
      <c r="A2724" t="str">
        <f>"20190312160655312"</f>
        <v>20190312160655312</v>
      </c>
      <c r="B2724" t="str">
        <f>"1552378015307927"</f>
        <v>1552378015307927</v>
      </c>
      <c r="C2724" t="s">
        <v>40</v>
      </c>
      <c r="D2724">
        <v>5.7113589999999999</v>
      </c>
      <c r="E2724">
        <v>0.4201783</v>
      </c>
      <c r="F2724" t="s">
        <v>61</v>
      </c>
      <c r="G2724">
        <v>-493.38040000000001</v>
      </c>
      <c r="H2724" s="1">
        <v>1.338538E-6</v>
      </c>
      <c r="I2724">
        <v>273.90440000000001</v>
      </c>
      <c r="J2724">
        <v>-482.38249999999999</v>
      </c>
      <c r="K2724">
        <v>1.1110719999999901</v>
      </c>
      <c r="L2724">
        <v>281.8981</v>
      </c>
      <c r="M2724">
        <v>-0.94086970000000003</v>
      </c>
      <c r="N2724">
        <v>0</v>
      </c>
      <c r="O2724">
        <v>-0.33854959999999901</v>
      </c>
      <c r="P2724">
        <v>-0.91304920000000001</v>
      </c>
      <c r="Q2724">
        <v>4.4669540000000004E-3</v>
      </c>
      <c r="R2724">
        <v>-0.40782459999999998</v>
      </c>
      <c r="S2724">
        <v>-2.4835509999999998</v>
      </c>
      <c r="T2724">
        <v>-0.2498165</v>
      </c>
      <c r="U2724">
        <v>-1.801666</v>
      </c>
      <c r="V2724">
        <v>-7.4644440000000006E-2</v>
      </c>
      <c r="W2724">
        <v>1.6417069999999999E-2</v>
      </c>
      <c r="X2724">
        <v>0.99707509999999999</v>
      </c>
      <c r="Y2724">
        <v>-0.27861770000000002</v>
      </c>
      <c r="Z2724">
        <v>1.6648130000000001E-2</v>
      </c>
      <c r="AA2724">
        <v>0.96025780000000005</v>
      </c>
      <c r="AB2724">
        <v>10</v>
      </c>
      <c r="AC2724">
        <v>-10.9979</v>
      </c>
      <c r="AD2724">
        <v>-1.1110706614619901</v>
      </c>
      <c r="AE2724">
        <v>-7.9936999999999898</v>
      </c>
      <c r="AF2724">
        <v>-3.7727820117290598</v>
      </c>
      <c r="AG2724">
        <v>-1.1110706614619901</v>
      </c>
      <c r="AH2724">
        <v>12.968219526496201</v>
      </c>
      <c r="AI2724">
        <v>94.702889757833901</v>
      </c>
      <c r="AJ2724">
        <v>106.22104527965099</v>
      </c>
      <c r="AK2724">
        <v>13.5514973272397</v>
      </c>
      <c r="AL2724">
        <v>89.059328950648805</v>
      </c>
      <c r="AM2724">
        <v>94.281370879273098</v>
      </c>
      <c r="AN2724">
        <v>1.00000003382515</v>
      </c>
    </row>
    <row r="2725" spans="1:40" x14ac:dyDescent="0.25">
      <c r="A2725" t="str">
        <f>"20190312160655323"</f>
        <v>20190312160655323</v>
      </c>
      <c r="B2725" t="str">
        <f>"1552378015317687"</f>
        <v>1552378015317687</v>
      </c>
      <c r="C2725" t="s">
        <v>40</v>
      </c>
      <c r="D2725">
        <v>5.6946700000000003</v>
      </c>
      <c r="E2725">
        <v>0.42039100000000001</v>
      </c>
      <c r="F2725" t="s">
        <v>61</v>
      </c>
      <c r="G2725">
        <v>-493.44200000000001</v>
      </c>
      <c r="H2725" s="1">
        <v>1.3228869999999999E-6</v>
      </c>
      <c r="I2725">
        <v>273.84649999999999</v>
      </c>
      <c r="J2725">
        <v>-482.42520000000002</v>
      </c>
      <c r="K2725">
        <v>1.111076</v>
      </c>
      <c r="L2725">
        <v>281.88069999999999</v>
      </c>
      <c r="M2725">
        <v>-0.94033359999999999</v>
      </c>
      <c r="N2725">
        <v>0</v>
      </c>
      <c r="O2725">
        <v>-0.340036</v>
      </c>
      <c r="P2725">
        <v>-0.91232100000000005</v>
      </c>
      <c r="Q2725">
        <v>4.59034E-3</v>
      </c>
      <c r="R2725">
        <v>-0.40944970000000003</v>
      </c>
      <c r="S2725">
        <v>-2.4803160000000002</v>
      </c>
      <c r="T2725">
        <v>-0.2491797</v>
      </c>
      <c r="U2725">
        <v>-1.805725</v>
      </c>
      <c r="V2725">
        <v>-7.4844930000000004E-2</v>
      </c>
      <c r="W2725">
        <v>1.654007E-2</v>
      </c>
      <c r="X2725">
        <v>0.997058</v>
      </c>
      <c r="Y2725">
        <v>-0.27872590000000003</v>
      </c>
      <c r="Z2725">
        <v>1.6729359999999999E-2</v>
      </c>
      <c r="AA2725">
        <v>0.960225</v>
      </c>
      <c r="AB2725">
        <v>10</v>
      </c>
      <c r="AC2725">
        <v>-11.0167999999999</v>
      </c>
      <c r="AD2725">
        <v>-1.111074677113</v>
      </c>
      <c r="AE2725">
        <v>-8.0341999999999896</v>
      </c>
      <c r="AF2725">
        <v>-3.7838772009791799</v>
      </c>
      <c r="AG2725">
        <v>-1.111074677113</v>
      </c>
      <c r="AH2725">
        <v>13.0059957785384</v>
      </c>
      <c r="AI2725">
        <v>94.689297848653993</v>
      </c>
      <c r="AJ2725">
        <v>106.22147225224801</v>
      </c>
      <c r="AK2725">
        <v>13.590737279543401</v>
      </c>
      <c r="AL2725">
        <v>89.052280577514097</v>
      </c>
      <c r="AM2725">
        <v>94.292900775219096</v>
      </c>
      <c r="AN2725">
        <v>0.99999999641315396</v>
      </c>
    </row>
    <row r="2726" spans="1:40" x14ac:dyDescent="0.25">
      <c r="A2726" t="str">
        <f>"20190312160655334"</f>
        <v>20190312160655334</v>
      </c>
      <c r="B2726" t="str">
        <f>"1552378015327446"</f>
        <v>1552378015327446</v>
      </c>
      <c r="C2726" t="s">
        <v>40</v>
      </c>
      <c r="D2726">
        <v>5.5629220000000004</v>
      </c>
      <c r="E2726">
        <v>0.42057600000000001</v>
      </c>
      <c r="F2726" t="s">
        <v>61</v>
      </c>
      <c r="G2726">
        <v>-493.45699999999999</v>
      </c>
      <c r="H2726" s="1">
        <v>1.3182429999999899E-6</v>
      </c>
      <c r="I2726">
        <v>273.82769999999999</v>
      </c>
      <c r="J2726">
        <v>-482.47210000000001</v>
      </c>
      <c r="K2726">
        <v>1.1110799999999901</v>
      </c>
      <c r="L2726">
        <v>281.86169999999998</v>
      </c>
      <c r="M2726">
        <v>-0.93974139999999995</v>
      </c>
      <c r="N2726">
        <v>0</v>
      </c>
      <c r="O2726">
        <v>-0.34166950000000001</v>
      </c>
      <c r="P2726">
        <v>-0.91159349999999995</v>
      </c>
      <c r="Q2726">
        <v>4.6452439999999998E-3</v>
      </c>
      <c r="R2726">
        <v>-0.41106720000000002</v>
      </c>
      <c r="S2726">
        <v>-2.477814</v>
      </c>
      <c r="T2726">
        <v>-0.2495552</v>
      </c>
      <c r="U2726">
        <v>-1.8087770000000001</v>
      </c>
      <c r="V2726">
        <v>-7.4880989999999994E-2</v>
      </c>
      <c r="W2726">
        <v>1.6594910000000001E-2</v>
      </c>
      <c r="X2726">
        <v>0.99705440000000001</v>
      </c>
      <c r="Y2726">
        <v>-0.27829680000000001</v>
      </c>
      <c r="Z2726">
        <v>1.691254E-2</v>
      </c>
      <c r="AA2726">
        <v>0.96034620000000004</v>
      </c>
      <c r="AB2726">
        <v>10</v>
      </c>
      <c r="AC2726">
        <v>-10.9848999999999</v>
      </c>
      <c r="AD2726">
        <v>-1.11107868175699</v>
      </c>
      <c r="AE2726">
        <v>-8.03399999999999</v>
      </c>
      <c r="AF2726">
        <v>-3.7718180200410698</v>
      </c>
      <c r="AG2726">
        <v>-1.11107868175699</v>
      </c>
      <c r="AH2726">
        <v>12.9823745263418</v>
      </c>
      <c r="AI2726">
        <v>94.698309604077707</v>
      </c>
      <c r="AJ2726">
        <v>106.20036447728199</v>
      </c>
      <c r="AK2726">
        <v>13.5647762737013</v>
      </c>
      <c r="AL2726">
        <v>89.049138063439599</v>
      </c>
      <c r="AM2726">
        <v>94.294976790285205</v>
      </c>
      <c r="AN2726">
        <v>1.0000000151303201</v>
      </c>
    </row>
    <row r="2727" spans="1:40" x14ac:dyDescent="0.25">
      <c r="A2727" t="str">
        <f>"20190312160655345"</f>
        <v>20190312160655345</v>
      </c>
      <c r="B2727" t="str">
        <f>"1552378015338183"</f>
        <v>1552378015338183</v>
      </c>
      <c r="C2727" t="s">
        <v>40</v>
      </c>
      <c r="D2727">
        <v>5.7238340000000001</v>
      </c>
      <c r="E2727">
        <v>0.42078399999999999</v>
      </c>
      <c r="F2727" t="s">
        <v>61</v>
      </c>
      <c r="G2727">
        <v>-493.46550000000002</v>
      </c>
      <c r="H2727" s="1">
        <v>1.3154200000000001E-6</v>
      </c>
      <c r="I2727">
        <v>273.8159</v>
      </c>
      <c r="J2727">
        <v>-482.51889999999997</v>
      </c>
      <c r="K2727">
        <v>1.1110819999999999</v>
      </c>
      <c r="L2727">
        <v>281.84249999999997</v>
      </c>
      <c r="M2727">
        <v>-0.93914129999999996</v>
      </c>
      <c r="N2727">
        <v>0</v>
      </c>
      <c r="O2727">
        <v>-0.3433155</v>
      </c>
      <c r="P2727">
        <v>-0.91074940000000004</v>
      </c>
      <c r="Q2727">
        <v>4.6328130000000004E-3</v>
      </c>
      <c r="R2727">
        <v>-0.41293370000000001</v>
      </c>
      <c r="S2727">
        <v>-2.475311</v>
      </c>
      <c r="T2727">
        <v>-0.25017250000000002</v>
      </c>
      <c r="U2727">
        <v>-1.8115840000000001</v>
      </c>
      <c r="V2727">
        <v>-7.5176720000000002E-2</v>
      </c>
      <c r="W2727">
        <v>1.6581559999999999E-2</v>
      </c>
      <c r="X2727">
        <v>0.99703229999999998</v>
      </c>
      <c r="Y2727">
        <v>-0.27779300000000001</v>
      </c>
      <c r="Z2727">
        <v>1.7117569999999999E-2</v>
      </c>
      <c r="AA2727">
        <v>0.96048840000000002</v>
      </c>
      <c r="AB2727">
        <v>10</v>
      </c>
      <c r="AC2727">
        <v>-10.9466</v>
      </c>
      <c r="AD2727">
        <v>-1.1110806845800001</v>
      </c>
      <c r="AE2727">
        <v>-8.02659999999997</v>
      </c>
      <c r="AF2727">
        <v>-3.7550949617831799</v>
      </c>
      <c r="AG2727">
        <v>-1.1110806845800001</v>
      </c>
      <c r="AH2727">
        <v>12.950259222343201</v>
      </c>
      <c r="AI2727">
        <v>94.710633567405793</v>
      </c>
      <c r="AJ2727">
        <v>106.170199211184</v>
      </c>
      <c r="AK2727">
        <v>13.529392166152199</v>
      </c>
      <c r="AL2727">
        <v>89.049903002895803</v>
      </c>
      <c r="AM2727">
        <v>94.311970454762701</v>
      </c>
      <c r="AN2727">
        <v>0.99999994730263897</v>
      </c>
    </row>
    <row r="2728" spans="1:40" x14ac:dyDescent="0.25">
      <c r="A2728" t="str">
        <f>"20190312160655356"</f>
        <v>20190312160655356</v>
      </c>
      <c r="B2728" t="str">
        <f>"1552378015347945"</f>
        <v>1552378015347945</v>
      </c>
      <c r="C2728" t="s">
        <v>40</v>
      </c>
      <c r="D2728">
        <v>5.828328</v>
      </c>
      <c r="E2728">
        <v>0.42101490000000003</v>
      </c>
      <c r="F2728" t="s">
        <v>61</v>
      </c>
      <c r="G2728">
        <v>-493.49590000000001</v>
      </c>
      <c r="H2728" s="1">
        <v>1.3072420000000001E-6</v>
      </c>
      <c r="I2728">
        <v>273.78480000000002</v>
      </c>
      <c r="J2728">
        <v>-482.56610000000001</v>
      </c>
      <c r="K2728">
        <v>1.111086</v>
      </c>
      <c r="L2728">
        <v>281.82299999999998</v>
      </c>
      <c r="M2728">
        <v>-0.93853169999999997</v>
      </c>
      <c r="N2728">
        <v>0</v>
      </c>
      <c r="O2728">
        <v>-0.34497830000000002</v>
      </c>
      <c r="P2728">
        <v>-0.90999940000000001</v>
      </c>
      <c r="Q2728">
        <v>4.7141259999999999E-3</v>
      </c>
      <c r="R2728">
        <v>-0.41458279999999997</v>
      </c>
      <c r="S2728">
        <v>-2.4724119999999998</v>
      </c>
      <c r="T2728">
        <v>-0.25025579999999997</v>
      </c>
      <c r="U2728">
        <v>-1.81488</v>
      </c>
      <c r="V2728">
        <v>-7.5217980000000004E-2</v>
      </c>
      <c r="W2728">
        <v>1.666308E-2</v>
      </c>
      <c r="X2728">
        <v>0.99702789999999997</v>
      </c>
      <c r="Y2728">
        <v>-0.27746670000000001</v>
      </c>
      <c r="Z2728">
        <v>1.72810999999999E-2</v>
      </c>
      <c r="AA2728">
        <v>0.96057979999999998</v>
      </c>
      <c r="AB2728">
        <v>10</v>
      </c>
      <c r="AC2728">
        <v>-10.9298</v>
      </c>
      <c r="AD2728">
        <v>-1.111084692758</v>
      </c>
      <c r="AE2728">
        <v>-8.0381999999999501</v>
      </c>
      <c r="AF2728">
        <v>-3.7487002647525198</v>
      </c>
      <c r="AG2728">
        <v>-1.111084692758</v>
      </c>
      <c r="AH2728">
        <v>12.945116187739</v>
      </c>
      <c r="AI2728">
        <v>94.712988635996297</v>
      </c>
      <c r="AJ2728">
        <v>106.150177649893</v>
      </c>
      <c r="AK2728">
        <v>13.5226955886576</v>
      </c>
      <c r="AL2728">
        <v>89.045231672868098</v>
      </c>
      <c r="AM2728">
        <v>94.314347071820293</v>
      </c>
      <c r="AN2728">
        <v>1.00000001806438</v>
      </c>
    </row>
    <row r="2729" spans="1:40" x14ac:dyDescent="0.25">
      <c r="A2729" t="str">
        <f>"20190312160655367"</f>
        <v>20190312160655367</v>
      </c>
      <c r="B2729" t="str">
        <f>"1552378015357703"</f>
        <v>1552378015357703</v>
      </c>
      <c r="C2729" t="s">
        <v>40</v>
      </c>
      <c r="D2729">
        <v>5.6816709999999997</v>
      </c>
      <c r="E2729">
        <v>0.42125820000000003</v>
      </c>
      <c r="F2729" t="s">
        <v>61</v>
      </c>
      <c r="G2729">
        <v>-493.54739999999998</v>
      </c>
      <c r="H2729" s="1">
        <v>1.29459E-6</v>
      </c>
      <c r="I2729">
        <v>273.7389</v>
      </c>
      <c r="J2729">
        <v>-482.6139</v>
      </c>
      <c r="K2729">
        <v>1.111089</v>
      </c>
      <c r="L2729">
        <v>281.8032</v>
      </c>
      <c r="M2729">
        <v>-0.93790720000000005</v>
      </c>
      <c r="N2729">
        <v>0</v>
      </c>
      <c r="O2729">
        <v>-0.3466727</v>
      </c>
      <c r="P2729">
        <v>-0.90918469999999996</v>
      </c>
      <c r="Q2729">
        <v>4.8752709999999996E-3</v>
      </c>
      <c r="R2729">
        <v>-0.41636489999999998</v>
      </c>
      <c r="S2729">
        <v>-2.4696959999999999</v>
      </c>
      <c r="T2729">
        <v>-0.2498832</v>
      </c>
      <c r="U2729">
        <v>-1.8181149999999999</v>
      </c>
      <c r="V2729">
        <v>-7.5370870000000006E-2</v>
      </c>
      <c r="W2729">
        <v>1.6824229999999999E-2</v>
      </c>
      <c r="X2729">
        <v>0.99701360000000006</v>
      </c>
      <c r="Y2729">
        <v>-0.27705750000000001</v>
      </c>
      <c r="Z2729">
        <v>1.741852E-2</v>
      </c>
      <c r="AA2729">
        <v>0.96069539999999998</v>
      </c>
      <c r="AB2729">
        <v>10</v>
      </c>
      <c r="AC2729">
        <v>-10.933499999999899</v>
      </c>
      <c r="AD2729">
        <v>-1.1110877054099999</v>
      </c>
      <c r="AE2729">
        <v>-8.0642999999999994</v>
      </c>
      <c r="AF2729">
        <v>-3.74842738963304</v>
      </c>
      <c r="AG2729">
        <v>-1.1110877054099999</v>
      </c>
      <c r="AH2729">
        <v>12.964535046685199</v>
      </c>
      <c r="AI2729">
        <v>94.706542667565799</v>
      </c>
      <c r="AJ2729">
        <v>106.126132753093</v>
      </c>
      <c r="AK2729">
        <v>13.541210904538501</v>
      </c>
      <c r="AL2729">
        <v>89.035997117928005</v>
      </c>
      <c r="AM2729">
        <v>94.323145083131607</v>
      </c>
      <c r="AN2729">
        <v>0.99999997067230395</v>
      </c>
    </row>
    <row r="2730" spans="1:40" x14ac:dyDescent="0.25">
      <c r="A2730" t="str">
        <f>"20190312160655379"</f>
        <v>20190312160655379</v>
      </c>
      <c r="B2730" t="str">
        <f>"1552378015367463"</f>
        <v>1552378015367463</v>
      </c>
      <c r="C2730" t="s">
        <v>40</v>
      </c>
      <c r="D2730">
        <v>5.694598</v>
      </c>
      <c r="E2730">
        <v>0.42149829999999999</v>
      </c>
      <c r="F2730" t="s">
        <v>61</v>
      </c>
      <c r="G2730">
        <v>-493.59190000000001</v>
      </c>
      <c r="H2730" s="1">
        <v>1.2835259999999999E-6</v>
      </c>
      <c r="I2730">
        <v>273.69850000000002</v>
      </c>
      <c r="J2730">
        <v>-482.65879999999999</v>
      </c>
      <c r="K2730">
        <v>1.1110960000000001</v>
      </c>
      <c r="L2730">
        <v>281.78449999999998</v>
      </c>
      <c r="M2730">
        <v>-0.93731620000000004</v>
      </c>
      <c r="N2730">
        <v>0</v>
      </c>
      <c r="O2730">
        <v>-0.34826750000000001</v>
      </c>
      <c r="P2730">
        <v>-0.90839329999999996</v>
      </c>
      <c r="Q2730">
        <v>4.8607650000000004E-3</v>
      </c>
      <c r="R2730">
        <v>-0.41808909999999999</v>
      </c>
      <c r="S2730">
        <v>-2.4669490000000001</v>
      </c>
      <c r="T2730">
        <v>-0.24968029999999999</v>
      </c>
      <c r="U2730">
        <v>-1.821259</v>
      </c>
      <c r="V2730">
        <v>-7.5567239999999994E-2</v>
      </c>
      <c r="W2730">
        <v>1.6808980000000001E-2</v>
      </c>
      <c r="X2730">
        <v>0.99699899999999997</v>
      </c>
      <c r="Y2730">
        <v>-0.27673150000000002</v>
      </c>
      <c r="Z2730">
        <v>1.7555930000000001E-2</v>
      </c>
      <c r="AA2730">
        <v>0.9607869</v>
      </c>
      <c r="AB2730">
        <v>10</v>
      </c>
      <c r="AC2730">
        <v>-10.9331</v>
      </c>
      <c r="AD2730">
        <v>-1.1110947164739999</v>
      </c>
      <c r="AE2730">
        <v>-8.0859999999999506</v>
      </c>
      <c r="AF2730">
        <v>-3.7467606617085298</v>
      </c>
      <c r="AG2730">
        <v>-1.1110947164739999</v>
      </c>
      <c r="AH2730">
        <v>12.978185573192</v>
      </c>
      <c r="AI2730">
        <v>94.702183913246401</v>
      </c>
      <c r="AJ2730">
        <v>106.103259663202</v>
      </c>
      <c r="AK2730">
        <v>13.553820409659901</v>
      </c>
      <c r="AL2730">
        <v>89.036871009017801</v>
      </c>
      <c r="AM2730">
        <v>94.334428895669106</v>
      </c>
      <c r="AN2730">
        <v>0.99999997778542804</v>
      </c>
    </row>
    <row r="2731" spans="1:40" x14ac:dyDescent="0.25">
      <c r="A2731" t="str">
        <f>"20190312160655390"</f>
        <v>20190312160655390</v>
      </c>
      <c r="B2731" t="str">
        <f>"1552378015378199"</f>
        <v>1552378015378199</v>
      </c>
      <c r="C2731" t="s">
        <v>40</v>
      </c>
      <c r="D2731">
        <v>5.6935630000000002</v>
      </c>
      <c r="E2731">
        <v>0.42149829999999999</v>
      </c>
      <c r="F2731" t="s">
        <v>61</v>
      </c>
      <c r="G2731">
        <v>-493.6037</v>
      </c>
      <c r="H2731" s="1">
        <v>1.2795640000000001E-6</v>
      </c>
      <c r="I2731">
        <v>273.68189999999998</v>
      </c>
      <c r="J2731">
        <v>-482.70909999999998</v>
      </c>
      <c r="K2731">
        <v>1.111097</v>
      </c>
      <c r="L2731">
        <v>281.76350000000002</v>
      </c>
      <c r="M2731">
        <v>-0.93664650000000005</v>
      </c>
      <c r="N2731">
        <v>0</v>
      </c>
      <c r="O2731">
        <v>-0.35006429999999999</v>
      </c>
      <c r="P2731">
        <v>-0.90737000000000001</v>
      </c>
      <c r="Q2731">
        <v>4.9868380000000004E-3</v>
      </c>
      <c r="R2731">
        <v>-0.42030309999999999</v>
      </c>
      <c r="S2731">
        <v>-2.464264</v>
      </c>
      <c r="T2731">
        <v>-0.250164</v>
      </c>
      <c r="U2731">
        <v>-1.8243100000000001</v>
      </c>
      <c r="V2731">
        <v>-7.6087150000000006E-2</v>
      </c>
      <c r="W2731">
        <v>1.693389E-2</v>
      </c>
      <c r="X2731">
        <v>0.99695739999999999</v>
      </c>
      <c r="Y2731">
        <v>-0.27616550000000001</v>
      </c>
      <c r="Z2731">
        <v>1.776869E-2</v>
      </c>
      <c r="AA2731">
        <v>0.96094579999999996</v>
      </c>
      <c r="AB2731">
        <v>10</v>
      </c>
      <c r="AC2731">
        <v>-10.894600000000001</v>
      </c>
      <c r="AD2731">
        <v>-1.1110957204359999</v>
      </c>
      <c r="AE2731">
        <v>-8.0816000000000301</v>
      </c>
      <c r="AF2731">
        <v>-3.7310379045153899</v>
      </c>
      <c r="AG2731">
        <v>-1.1110957204359999</v>
      </c>
      <c r="AH2731">
        <v>12.9475667384103</v>
      </c>
      <c r="AI2731">
        <v>94.713922240049499</v>
      </c>
      <c r="AJ2731">
        <v>106.075139419396</v>
      </c>
      <c r="AK2731">
        <v>13.520157617072799</v>
      </c>
      <c r="AL2731">
        <v>89.029713229003704</v>
      </c>
      <c r="AM2731">
        <v>94.364316772069103</v>
      </c>
      <c r="AN2731">
        <v>1.0000000342202</v>
      </c>
    </row>
    <row r="2732" spans="1:40" x14ac:dyDescent="0.25">
      <c r="A2732" t="str">
        <f>"20190312160655413"</f>
        <v>20190312160655413</v>
      </c>
      <c r="B2732" t="str">
        <f>"1552378015407479"</f>
        <v>1552378015407479</v>
      </c>
      <c r="C2732" t="s">
        <v>40</v>
      </c>
      <c r="D2732">
        <v>5.6700019999999904</v>
      </c>
      <c r="E2732">
        <v>0.42756149999999998</v>
      </c>
      <c r="F2732" t="s">
        <v>61</v>
      </c>
      <c r="G2732">
        <v>-493.64260000000002</v>
      </c>
      <c r="H2732" s="1">
        <v>1.2667239999999999E-6</v>
      </c>
      <c r="I2732">
        <v>273.62860000000001</v>
      </c>
      <c r="J2732">
        <v>-482.80020000000002</v>
      </c>
      <c r="K2732">
        <v>1.111097</v>
      </c>
      <c r="L2732">
        <v>281.72500000000002</v>
      </c>
      <c r="M2732">
        <v>-0.93541810000000003</v>
      </c>
      <c r="N2732">
        <v>0</v>
      </c>
      <c r="O2732">
        <v>-0.35333360000000003</v>
      </c>
      <c r="P2732">
        <v>-0.90547540000000004</v>
      </c>
      <c r="Q2732">
        <v>5.2538100000000003E-3</v>
      </c>
      <c r="R2732">
        <v>-0.42436649999999998</v>
      </c>
      <c r="S2732">
        <v>-2.4598390000000001</v>
      </c>
      <c r="T2732">
        <v>-0.249977</v>
      </c>
      <c r="U2732">
        <v>-1.8302</v>
      </c>
      <c r="V2732">
        <v>-7.7075580000000005E-2</v>
      </c>
      <c r="W2732">
        <v>1.7197540000000001E-2</v>
      </c>
      <c r="X2732">
        <v>0.99687689999999995</v>
      </c>
      <c r="Y2732">
        <v>-0.27512959999999997</v>
      </c>
      <c r="Z2732">
        <v>1.8077610000000001E-2</v>
      </c>
      <c r="AA2732">
        <v>0.96123720000000001</v>
      </c>
      <c r="AB2732">
        <v>10</v>
      </c>
      <c r="AC2732">
        <v>-10.8423999999999</v>
      </c>
      <c r="AD2732">
        <v>-1.1110957332760001</v>
      </c>
      <c r="AE2732">
        <v>-8.0964000000000098</v>
      </c>
      <c r="AF2732">
        <v>-3.7177472373124201</v>
      </c>
      <c r="AG2732">
        <v>-1.1110957332760001</v>
      </c>
      <c r="AH2732">
        <v>12.9167862120704</v>
      </c>
      <c r="AI2732">
        <v>94.725532843137898</v>
      </c>
      <c r="AJ2732">
        <v>106.057031708884</v>
      </c>
      <c r="AK2732">
        <v>13.487013913293801</v>
      </c>
      <c r="AL2732">
        <v>89.014604940690504</v>
      </c>
      <c r="AM2732">
        <v>94.421144825977706</v>
      </c>
      <c r="AN2732">
        <v>0.99999997708399802</v>
      </c>
    </row>
    <row r="2733" spans="1:40" x14ac:dyDescent="0.25">
      <c r="A2733" t="str">
        <f>"20190312160655425"</f>
        <v>20190312160655425</v>
      </c>
      <c r="B2733" t="str">
        <f>"1552378015418215"</f>
        <v>1552378015418215</v>
      </c>
      <c r="C2733" t="s">
        <v>40</v>
      </c>
      <c r="D2733">
        <v>5.6870940000000001</v>
      </c>
      <c r="E2733">
        <v>0.42770209999999997</v>
      </c>
      <c r="F2733" t="s">
        <v>61</v>
      </c>
      <c r="G2733">
        <v>-493.4932</v>
      </c>
      <c r="H2733" s="1">
        <v>1.337098E-6</v>
      </c>
      <c r="I2733">
        <v>273.95299999999997</v>
      </c>
      <c r="J2733">
        <v>-482.851</v>
      </c>
      <c r="K2733">
        <v>1.111097</v>
      </c>
      <c r="L2733">
        <v>281.70339999999999</v>
      </c>
      <c r="M2733">
        <v>-0.93472239999999995</v>
      </c>
      <c r="N2733">
        <v>0</v>
      </c>
      <c r="O2733">
        <v>-0.35516999999999999</v>
      </c>
      <c r="P2733">
        <v>-0.90447219999999995</v>
      </c>
      <c r="Q2733">
        <v>5.1935940000000002E-3</v>
      </c>
      <c r="R2733">
        <v>-0.42650120000000002</v>
      </c>
      <c r="S2733">
        <v>-2.4724430000000002</v>
      </c>
      <c r="T2733">
        <v>-0.25690770000000002</v>
      </c>
      <c r="U2733">
        <v>-1.797058</v>
      </c>
      <c r="V2733">
        <v>-7.7469250000000003E-2</v>
      </c>
      <c r="W2733">
        <v>1.7135560000000001E-2</v>
      </c>
      <c r="X2733">
        <v>0.9968475</v>
      </c>
      <c r="Y2733">
        <v>-0.26254749999999999</v>
      </c>
      <c r="Z2733">
        <v>1.9318180000000001E-2</v>
      </c>
      <c r="AA2733">
        <v>0.96472570000000002</v>
      </c>
      <c r="AB2733">
        <v>10</v>
      </c>
      <c r="AC2733">
        <v>-10.642200000000001</v>
      </c>
      <c r="AD2733">
        <v>-1.1110956629019999</v>
      </c>
      <c r="AE2733">
        <v>-7.7504000000000097</v>
      </c>
      <c r="AF2733">
        <v>-3.44043426301974</v>
      </c>
      <c r="AG2733">
        <v>-1.1110956629019999</v>
      </c>
      <c r="AH2733">
        <v>12.611328124590001</v>
      </c>
      <c r="AI2733">
        <v>94.858286260632298</v>
      </c>
      <c r="AJ2733">
        <v>105.25926753078799</v>
      </c>
      <c r="AK2733">
        <v>13.119326147190501</v>
      </c>
      <c r="AL2733">
        <v>89.018156703785095</v>
      </c>
      <c r="AM2733">
        <v>94.443766512464705</v>
      </c>
      <c r="AN2733">
        <v>1.0000000251841601</v>
      </c>
    </row>
    <row r="2734" spans="1:40" x14ac:dyDescent="0.25">
      <c r="A2734" t="str">
        <f>"20190312160655436"</f>
        <v>20190312160655436</v>
      </c>
      <c r="B2734" t="str">
        <f>"1552378015427975"</f>
        <v>1552378015427975</v>
      </c>
      <c r="C2734" t="s">
        <v>40</v>
      </c>
      <c r="D2734">
        <v>5.7978909999999999</v>
      </c>
      <c r="E2734">
        <v>0.42796050000000002</v>
      </c>
      <c r="F2734" t="s">
        <v>61</v>
      </c>
      <c r="G2734">
        <v>-493.45440000000002</v>
      </c>
      <c r="H2734" s="1">
        <v>1.3424639999999999E-6</v>
      </c>
      <c r="I2734">
        <v>273.96390000000002</v>
      </c>
      <c r="J2734">
        <v>-482.90010000000001</v>
      </c>
      <c r="K2734">
        <v>1.1110960000000001</v>
      </c>
      <c r="L2734">
        <v>281.68239999999997</v>
      </c>
      <c r="M2734">
        <v>-0.93404529999999997</v>
      </c>
      <c r="N2734">
        <v>0</v>
      </c>
      <c r="O2734">
        <v>-0.35694680000000001</v>
      </c>
      <c r="P2734">
        <v>-0.90369980000000005</v>
      </c>
      <c r="Q2734">
        <v>5.1055340000000001E-3</v>
      </c>
      <c r="R2734">
        <v>-0.42813600000000002</v>
      </c>
      <c r="S2734">
        <v>-2.468658</v>
      </c>
      <c r="T2734">
        <v>-0.25868239999999998</v>
      </c>
      <c r="U2734">
        <v>-1.8018799999999999</v>
      </c>
      <c r="V2734">
        <v>-7.737571E-2</v>
      </c>
      <c r="W2734">
        <v>1.7047840000000002E-2</v>
      </c>
      <c r="X2734">
        <v>0.99685630000000003</v>
      </c>
      <c r="Y2734">
        <v>-0.26265500000000003</v>
      </c>
      <c r="Z2734">
        <v>1.9605689999999999E-2</v>
      </c>
      <c r="AA2734">
        <v>0.96469059999999995</v>
      </c>
      <c r="AB2734">
        <v>10</v>
      </c>
      <c r="AC2734">
        <v>-10.5543</v>
      </c>
      <c r="AD2734">
        <v>-1.1110946575359999</v>
      </c>
      <c r="AE2734">
        <v>-7.7184999999999402</v>
      </c>
      <c r="AF2734">
        <v>-3.41768196066334</v>
      </c>
      <c r="AG2734">
        <v>-1.1110946575359999</v>
      </c>
      <c r="AH2734">
        <v>12.523791992266</v>
      </c>
      <c r="AI2734">
        <v>94.891963689872995</v>
      </c>
      <c r="AJ2734">
        <v>105.264070504508</v>
      </c>
      <c r="AK2734">
        <v>13.0292151408976</v>
      </c>
      <c r="AL2734">
        <v>89.023183453911201</v>
      </c>
      <c r="AM2734">
        <v>94.438383328539203</v>
      </c>
      <c r="AN2734">
        <v>1.0000000560981701</v>
      </c>
    </row>
    <row r="2735" spans="1:40" x14ac:dyDescent="0.25">
      <c r="A2735" t="str">
        <f>"20190312160655447"</f>
        <v>20190312160655447</v>
      </c>
      <c r="B2735" t="str">
        <f>"1552378015437736"</f>
        <v>1552378015437736</v>
      </c>
      <c r="C2735" t="s">
        <v>40</v>
      </c>
      <c r="D2735">
        <v>5.6680890000000002</v>
      </c>
      <c r="E2735">
        <v>0.42806889999999997</v>
      </c>
      <c r="F2735" t="s">
        <v>61</v>
      </c>
      <c r="G2735">
        <v>-493.59899999999999</v>
      </c>
      <c r="H2735" s="1">
        <v>1.310187E-6</v>
      </c>
      <c r="I2735">
        <v>273.8535</v>
      </c>
      <c r="J2735">
        <v>-482.94889999999998</v>
      </c>
      <c r="K2735">
        <v>1.1110960000000001</v>
      </c>
      <c r="L2735">
        <v>281.66140000000001</v>
      </c>
      <c r="M2735">
        <v>-0.93336509999999995</v>
      </c>
      <c r="N2735">
        <v>0</v>
      </c>
      <c r="O2735">
        <v>-0.35872199999999999</v>
      </c>
      <c r="P2735">
        <v>-0.90293210000000002</v>
      </c>
      <c r="Q2735">
        <v>4.6640190000000002E-3</v>
      </c>
      <c r="R2735">
        <v>-0.42975819999999998</v>
      </c>
      <c r="S2735">
        <v>-2.4662169999999999</v>
      </c>
      <c r="T2735">
        <v>-0.25612030000000002</v>
      </c>
      <c r="U2735">
        <v>-1.804657</v>
      </c>
      <c r="V2735">
        <v>-7.7268390000000006E-2</v>
      </c>
      <c r="W2735">
        <v>1.6606820000000001E-2</v>
      </c>
      <c r="X2735">
        <v>0.99687199999999998</v>
      </c>
      <c r="Y2735">
        <v>-0.26198510000000003</v>
      </c>
      <c r="Z2735">
        <v>1.9598009999999999E-2</v>
      </c>
      <c r="AA2735">
        <v>0.96487290000000003</v>
      </c>
      <c r="AB2735">
        <v>10</v>
      </c>
      <c r="AC2735">
        <v>-10.6501</v>
      </c>
      <c r="AD2735">
        <v>-1.1110946898130001</v>
      </c>
      <c r="AE2735">
        <v>-7.8079000000000098</v>
      </c>
      <c r="AF2735">
        <v>-3.4430786670974398</v>
      </c>
      <c r="AG2735">
        <v>-1.1110946898130001</v>
      </c>
      <c r="AH2735">
        <v>12.6526697643126</v>
      </c>
      <c r="AI2735">
        <v>94.8433177550435</v>
      </c>
      <c r="AJ2735">
        <v>105.222872445207</v>
      </c>
      <c r="AK2735">
        <v>13.159763458447999</v>
      </c>
      <c r="AL2735">
        <v>89.048455550347796</v>
      </c>
      <c r="AM2735">
        <v>94.432182317288493</v>
      </c>
      <c r="AN2735">
        <v>0.99999998747385199</v>
      </c>
    </row>
    <row r="2736" spans="1:40" x14ac:dyDescent="0.25">
      <c r="A2736" t="str">
        <f>"20190312160655462"</f>
        <v>20190312160655462</v>
      </c>
      <c r="B2736" t="str">
        <f>"1552378015447590"</f>
        <v>1552378015447590</v>
      </c>
      <c r="C2736" t="s">
        <v>40</v>
      </c>
      <c r="D2736">
        <v>5.652266</v>
      </c>
      <c r="E2736">
        <v>0.42840319999999998</v>
      </c>
      <c r="F2736" t="s">
        <v>61</v>
      </c>
      <c r="G2736">
        <v>-493.51979999999998</v>
      </c>
      <c r="H2736" s="1">
        <v>1.325251E-6</v>
      </c>
      <c r="I2736">
        <v>273.89909999999998</v>
      </c>
      <c r="J2736">
        <v>-483.00229999999999</v>
      </c>
      <c r="K2736">
        <v>1.111097</v>
      </c>
      <c r="L2736">
        <v>281.63819999999998</v>
      </c>
      <c r="M2736">
        <v>-0.93261490000000002</v>
      </c>
      <c r="N2736">
        <v>0</v>
      </c>
      <c r="O2736">
        <v>-0.36066789999999999</v>
      </c>
      <c r="P2736">
        <v>-0.90216589999999997</v>
      </c>
      <c r="Q2736">
        <v>4.385323E-3</v>
      </c>
      <c r="R2736">
        <v>-0.43136720000000001</v>
      </c>
      <c r="S2736">
        <v>-2.4629819999999998</v>
      </c>
      <c r="T2736">
        <v>-0.25888230000000001</v>
      </c>
      <c r="U2736">
        <v>-1.808594</v>
      </c>
      <c r="V2736">
        <v>-7.6964980000000002E-2</v>
      </c>
      <c r="W2736">
        <v>1.6328860000000001E-2</v>
      </c>
      <c r="X2736">
        <v>0.99690009999999996</v>
      </c>
      <c r="Y2736">
        <v>-0.26159199999999999</v>
      </c>
      <c r="Z2736">
        <v>1.9999599999999999E-2</v>
      </c>
      <c r="AA2736">
        <v>0.96497129999999998</v>
      </c>
      <c r="AB2736">
        <v>10</v>
      </c>
      <c r="AC2736">
        <v>-10.517499999999901</v>
      </c>
      <c r="AD2736">
        <v>-1.111095674749</v>
      </c>
      <c r="AE2736">
        <v>-7.7390999999999996</v>
      </c>
      <c r="AF2736">
        <v>-3.3999129759481601</v>
      </c>
      <c r="AG2736">
        <v>-1.111095674749</v>
      </c>
      <c r="AH2736">
        <v>12.510378004533701</v>
      </c>
      <c r="AI2736">
        <v>94.898581514826802</v>
      </c>
      <c r="AJ2736">
        <v>105.20391735535</v>
      </c>
      <c r="AK2736">
        <v>13.011667827714801</v>
      </c>
      <c r="AL2736">
        <v>89.064383680123399</v>
      </c>
      <c r="AM2736">
        <v>94.414723444276802</v>
      </c>
      <c r="AN2736">
        <v>1.0000000245976499</v>
      </c>
    </row>
    <row r="2737" spans="1:40" x14ac:dyDescent="0.25">
      <c r="A2737" t="str">
        <f>"20190312160655476"</f>
        <v>20190312160655476</v>
      </c>
      <c r="B2737" t="str">
        <f>"1552378015468084"</f>
        <v>1552378015468084</v>
      </c>
      <c r="C2737" t="s">
        <v>40</v>
      </c>
      <c r="D2737">
        <v>5.6219979999999996</v>
      </c>
      <c r="E2737">
        <v>0.42861250000000001</v>
      </c>
      <c r="F2737" t="s">
        <v>61</v>
      </c>
      <c r="G2737">
        <v>-493.46460000000002</v>
      </c>
      <c r="H2737" s="1">
        <v>1.3376419999999901E-6</v>
      </c>
      <c r="I2737">
        <v>273.94170000000003</v>
      </c>
      <c r="J2737">
        <v>-483.06849999999997</v>
      </c>
      <c r="K2737">
        <v>1.111097</v>
      </c>
      <c r="L2737">
        <v>281.60930000000002</v>
      </c>
      <c r="M2737">
        <v>-0.9316738</v>
      </c>
      <c r="N2737">
        <v>0</v>
      </c>
      <c r="O2737">
        <v>-0.36309239999999998</v>
      </c>
      <c r="P2737">
        <v>-0.90120370000000005</v>
      </c>
      <c r="Q2737">
        <v>4.5116499999999999E-3</v>
      </c>
      <c r="R2737">
        <v>-0.43337290000000001</v>
      </c>
      <c r="S2737">
        <v>-2.4609990000000002</v>
      </c>
      <c r="T2737">
        <v>-0.2613568</v>
      </c>
      <c r="U2737">
        <v>-1.810425</v>
      </c>
      <c r="V2737">
        <v>-7.6590249999999999E-2</v>
      </c>
      <c r="W2737">
        <v>1.6455689999999999E-2</v>
      </c>
      <c r="X2737">
        <v>0.9969268</v>
      </c>
      <c r="Y2737">
        <v>-0.25993680000000002</v>
      </c>
      <c r="Z2737">
        <v>2.048036E-2</v>
      </c>
      <c r="AA2737">
        <v>0.96540840000000006</v>
      </c>
      <c r="AB2737">
        <v>10</v>
      </c>
      <c r="AC2737">
        <v>-10.396100000000001</v>
      </c>
      <c r="AD2737">
        <v>-1.1110956623579999</v>
      </c>
      <c r="AE2737">
        <v>-7.6675999999999904</v>
      </c>
      <c r="AF2737">
        <v>-3.3444634075495299</v>
      </c>
      <c r="AG2737">
        <v>-1.1110956623579999</v>
      </c>
      <c r="AH2737">
        <v>12.379160483341201</v>
      </c>
      <c r="AI2737">
        <v>94.952237181039393</v>
      </c>
      <c r="AJ2737">
        <v>105.11859116658</v>
      </c>
      <c r="AK2737">
        <v>12.87103660657</v>
      </c>
      <c r="AL2737">
        <v>89.0571158100433</v>
      </c>
      <c r="AM2737">
        <v>94.393196026547002</v>
      </c>
      <c r="AN2737">
        <v>0.999999950343338</v>
      </c>
    </row>
    <row r="2738" spans="1:40" x14ac:dyDescent="0.25">
      <c r="A2738" t="str">
        <f>"20190312160655490"</f>
        <v>20190312160655490</v>
      </c>
      <c r="B2738" t="str">
        <f>"1552378015477844"</f>
        <v>1552378015477844</v>
      </c>
      <c r="C2738" t="s">
        <v>40</v>
      </c>
      <c r="D2738">
        <v>5.607831</v>
      </c>
      <c r="E2738">
        <v>0.42861250000000001</v>
      </c>
      <c r="F2738" t="s">
        <v>61</v>
      </c>
      <c r="G2738">
        <v>-493.42160000000001</v>
      </c>
      <c r="H2738" s="1">
        <v>1.3459009999999999E-6</v>
      </c>
      <c r="I2738">
        <v>273.96690000000001</v>
      </c>
      <c r="J2738">
        <v>-483.12740000000002</v>
      </c>
      <c r="K2738">
        <v>1.1110949999999999</v>
      </c>
      <c r="L2738">
        <v>281.58350000000002</v>
      </c>
      <c r="M2738">
        <v>-0.93082640000000005</v>
      </c>
      <c r="N2738">
        <v>0</v>
      </c>
      <c r="O2738">
        <v>-0.36525879999999999</v>
      </c>
      <c r="P2738">
        <v>-0.90022340000000001</v>
      </c>
      <c r="Q2738">
        <v>4.9642139999999998E-3</v>
      </c>
      <c r="R2738">
        <v>-0.43540010000000001</v>
      </c>
      <c r="S2738">
        <v>-2.4577640000000001</v>
      </c>
      <c r="T2738">
        <v>-0.26376709999999998</v>
      </c>
      <c r="U2738">
        <v>-1.81427</v>
      </c>
      <c r="V2738">
        <v>-7.6516929999999997E-2</v>
      </c>
      <c r="W2738">
        <v>1.6907189999999999E-2</v>
      </c>
      <c r="X2738">
        <v>0.9969249</v>
      </c>
      <c r="Y2738">
        <v>-0.25928970000000001</v>
      </c>
      <c r="Z2738">
        <v>2.0894220000000002E-2</v>
      </c>
      <c r="AA2738">
        <v>0.96557349999999997</v>
      </c>
      <c r="AB2738">
        <v>10</v>
      </c>
      <c r="AC2738">
        <v>-10.294199999999901</v>
      </c>
      <c r="AD2738">
        <v>-1.111093654099</v>
      </c>
      <c r="AE2738">
        <v>-7.6166</v>
      </c>
      <c r="AF2738">
        <v>-3.3050503053385198</v>
      </c>
      <c r="AG2738">
        <v>-1.111093654099</v>
      </c>
      <c r="AH2738">
        <v>12.272666305535401</v>
      </c>
      <c r="AI2738">
        <v>94.996067645813</v>
      </c>
      <c r="AJ2738">
        <v>105.072279219178</v>
      </c>
      <c r="AK2738">
        <v>12.758378614699501</v>
      </c>
      <c r="AL2738">
        <v>89.031243187876996</v>
      </c>
      <c r="AM2738">
        <v>94.389015184112793</v>
      </c>
      <c r="AN2738">
        <v>0.99999997494516502</v>
      </c>
    </row>
    <row r="2739" spans="1:40" x14ac:dyDescent="0.25">
      <c r="A2739" t="str">
        <f>"20190312160655505"</f>
        <v>20190312160655505</v>
      </c>
      <c r="B2739" t="str">
        <f>"1552378015498340"</f>
        <v>1552378015498340</v>
      </c>
      <c r="C2739" t="s">
        <v>40</v>
      </c>
      <c r="D2739">
        <v>5.6100849999999998</v>
      </c>
      <c r="E2739">
        <v>0.43432900000000002</v>
      </c>
      <c r="F2739" t="s">
        <v>61</v>
      </c>
      <c r="G2739">
        <v>-493.48719999999997</v>
      </c>
      <c r="H2739" s="1">
        <v>1.3288150000000001E-6</v>
      </c>
      <c r="I2739">
        <v>273.90289999999999</v>
      </c>
      <c r="J2739">
        <v>-483.18200000000002</v>
      </c>
      <c r="K2739">
        <v>1.111097</v>
      </c>
      <c r="L2739">
        <v>281.55930000000001</v>
      </c>
      <c r="M2739">
        <v>-0.9300311</v>
      </c>
      <c r="N2739">
        <v>0</v>
      </c>
      <c r="O2739">
        <v>-0.36727939999999998</v>
      </c>
      <c r="P2739">
        <v>-0.89927319999999999</v>
      </c>
      <c r="Q2739">
        <v>4.8528099999999999E-3</v>
      </c>
      <c r="R2739">
        <v>-0.43736079999999999</v>
      </c>
      <c r="S2739">
        <v>-2.4539789999999999</v>
      </c>
      <c r="T2739">
        <v>-0.26318940000000002</v>
      </c>
      <c r="U2739">
        <v>-1.8193360000000001</v>
      </c>
      <c r="V2739">
        <v>-7.6523729999999998E-2</v>
      </c>
      <c r="W2739">
        <v>1.6794670000000001E-2</v>
      </c>
      <c r="X2739">
        <v>0.99692630000000004</v>
      </c>
      <c r="Y2739">
        <v>-0.25919629999999999</v>
      </c>
      <c r="Z2739">
        <v>2.1035459999999999E-2</v>
      </c>
      <c r="AA2739">
        <v>0.96559550000000005</v>
      </c>
      <c r="AB2739">
        <v>10</v>
      </c>
      <c r="AC2739">
        <v>-10.305199999999999</v>
      </c>
      <c r="AD2739">
        <v>-1.111095671185</v>
      </c>
      <c r="AE2739">
        <v>-7.6564000000000103</v>
      </c>
      <c r="AF2739">
        <v>-3.3112470710313602</v>
      </c>
      <c r="AG2739">
        <v>-1.111095671185</v>
      </c>
      <c r="AH2739">
        <v>12.304944138801099</v>
      </c>
      <c r="AI2739">
        <v>94.983289651379195</v>
      </c>
      <c r="AJ2739">
        <v>105.06144362923</v>
      </c>
      <c r="AK2739">
        <v>12.791033617927599</v>
      </c>
      <c r="AL2739">
        <v>89.037691043878397</v>
      </c>
      <c r="AM2739">
        <v>94.389397568175895</v>
      </c>
      <c r="AN2739">
        <v>0.99999999491260505</v>
      </c>
    </row>
    <row r="2740" spans="1:40" x14ac:dyDescent="0.25">
      <c r="A2740" t="str">
        <f>"20190312160655525"</f>
        <v>20190312160655525</v>
      </c>
      <c r="B2740" t="str">
        <f>"1552378015517861"</f>
        <v>1552378015517861</v>
      </c>
      <c r="C2740" t="s">
        <v>40</v>
      </c>
      <c r="D2740">
        <v>5.6493019999999996</v>
      </c>
      <c r="E2740">
        <v>0.43190139999999999</v>
      </c>
      <c r="F2740" t="s">
        <v>61</v>
      </c>
      <c r="G2740">
        <v>-490.62479999999999</v>
      </c>
      <c r="H2740" s="1">
        <v>2.2622429999999998E-6</v>
      </c>
      <c r="I2740">
        <v>276.18329999999997</v>
      </c>
      <c r="J2740">
        <v>-483.27089999999998</v>
      </c>
      <c r="K2740">
        <v>1.1111009999999999</v>
      </c>
      <c r="L2740">
        <v>281.5197</v>
      </c>
      <c r="M2740">
        <v>-0.92871809999999999</v>
      </c>
      <c r="N2740">
        <v>0</v>
      </c>
      <c r="O2740">
        <v>-0.37058679999999999</v>
      </c>
      <c r="P2740">
        <v>-0.89762399999999998</v>
      </c>
      <c r="Q2740">
        <v>4.7335559999999999E-3</v>
      </c>
      <c r="R2740">
        <v>-0.44073679999999898</v>
      </c>
      <c r="S2740">
        <v>-2.470215</v>
      </c>
      <c r="T2740">
        <v>-0.3687648</v>
      </c>
      <c r="U2740">
        <v>-1.7842709999999999</v>
      </c>
      <c r="V2740">
        <v>-7.6721639999999994E-2</v>
      </c>
      <c r="W2740">
        <v>1.6672139999999998E-2</v>
      </c>
      <c r="X2740">
        <v>0.9969131</v>
      </c>
      <c r="Y2740">
        <v>-0.24417349999999999</v>
      </c>
      <c r="Z2740">
        <v>3.078902E-2</v>
      </c>
      <c r="AA2740">
        <v>0.96924270000000001</v>
      </c>
      <c r="AB2740">
        <v>10</v>
      </c>
      <c r="AC2740">
        <v>-7.3539000000000003</v>
      </c>
      <c r="AD2740">
        <v>-1.1110987377570001</v>
      </c>
      <c r="AE2740">
        <v>-5.3364000000000198</v>
      </c>
      <c r="AF2740">
        <v>-2.19804905241091</v>
      </c>
      <c r="AG2740">
        <v>-1.1110987377570001</v>
      </c>
      <c r="AH2740">
        <v>8.6781800472152497</v>
      </c>
      <c r="AI2740">
        <v>97.075046771264695</v>
      </c>
      <c r="AJ2740">
        <v>104.21322769936501</v>
      </c>
      <c r="AK2740">
        <v>9.0209073254154806</v>
      </c>
      <c r="AL2740">
        <v>89.044712435608403</v>
      </c>
      <c r="AM2740">
        <v>94.400763180383905</v>
      </c>
      <c r="AN2740">
        <v>0.99999994962403804</v>
      </c>
    </row>
    <row r="2741" spans="1:40" x14ac:dyDescent="0.25">
      <c r="A2741" t="str">
        <f>"20190312160655540"</f>
        <v>20190312160655540</v>
      </c>
      <c r="B2741" t="str">
        <f>"1552378015527621"</f>
        <v>1552378015527621</v>
      </c>
      <c r="C2741" t="s">
        <v>40</v>
      </c>
      <c r="D2741">
        <v>5.6042199999999998</v>
      </c>
      <c r="E2741">
        <v>0.43190139999999999</v>
      </c>
      <c r="F2741" t="s">
        <v>61</v>
      </c>
      <c r="G2741">
        <v>-493.666</v>
      </c>
      <c r="H2741" s="1">
        <v>1.3035530000000001E-6</v>
      </c>
      <c r="I2741">
        <v>273.84949999999998</v>
      </c>
      <c r="J2741">
        <v>-483.32960000000003</v>
      </c>
      <c r="K2741">
        <v>1.11111</v>
      </c>
      <c r="L2741">
        <v>281.49329999999998</v>
      </c>
      <c r="M2741">
        <v>-0.92783760000000004</v>
      </c>
      <c r="N2741">
        <v>0</v>
      </c>
      <c r="O2741">
        <v>-0.3727857</v>
      </c>
      <c r="P2741">
        <v>-0.89671859999999903</v>
      </c>
      <c r="Q2741">
        <v>4.7351329999999999E-3</v>
      </c>
      <c r="R2741">
        <v>-0.44257600000000002</v>
      </c>
      <c r="S2741">
        <v>-2.4543460000000001</v>
      </c>
      <c r="T2741">
        <v>-0.2623373</v>
      </c>
      <c r="U2741">
        <v>-1.8109740000000001</v>
      </c>
      <c r="V2741">
        <v>-7.6404089999999994E-2</v>
      </c>
      <c r="W2741">
        <v>1.6673090000000002E-2</v>
      </c>
      <c r="X2741">
        <v>0.99693750000000003</v>
      </c>
      <c r="Y2741">
        <v>-0.2513087</v>
      </c>
      <c r="Z2741">
        <v>2.1827200000000001E-2</v>
      </c>
      <c r="AA2741">
        <v>0.96766079999999999</v>
      </c>
      <c r="AB2741">
        <v>10</v>
      </c>
      <c r="AC2741">
        <v>-10.3363999999999</v>
      </c>
      <c r="AD2741">
        <v>-1.1111086964470001</v>
      </c>
      <c r="AE2741">
        <v>-7.6437999999999899</v>
      </c>
      <c r="AF2741">
        <v>-3.2151656154742798</v>
      </c>
      <c r="AG2741">
        <v>-1.1111086964470001</v>
      </c>
      <c r="AH2741">
        <v>12.348676934236</v>
      </c>
      <c r="AI2741">
        <v>94.976474640696296</v>
      </c>
      <c r="AJ2741">
        <v>104.59381340733999</v>
      </c>
      <c r="AK2741">
        <v>12.8086562330473</v>
      </c>
      <c r="AL2741">
        <v>89.044658024066393</v>
      </c>
      <c r="AM2741">
        <v>94.382512736529506</v>
      </c>
      <c r="AN2741">
        <v>0.99999997790256201</v>
      </c>
    </row>
    <row r="2742" spans="1:40" x14ac:dyDescent="0.25">
      <c r="A2742" t="str">
        <f>"20190312160655553"</f>
        <v>20190312160655553</v>
      </c>
      <c r="B2742" t="str">
        <f>"1552378015548117"</f>
        <v>1552378015548117</v>
      </c>
      <c r="C2742" t="s">
        <v>40</v>
      </c>
      <c r="D2742">
        <v>5.5859629999999996</v>
      </c>
      <c r="E2742">
        <v>0.43538830000000001</v>
      </c>
      <c r="F2742" t="s">
        <v>61</v>
      </c>
      <c r="G2742">
        <v>-493.72309999999999</v>
      </c>
      <c r="H2742" s="1">
        <v>1.2881250000000001E-6</v>
      </c>
      <c r="I2742">
        <v>273.79070000000002</v>
      </c>
      <c r="J2742">
        <v>-483.38869999999997</v>
      </c>
      <c r="K2742">
        <v>1.1111230000000001</v>
      </c>
      <c r="L2742">
        <v>281.46660000000003</v>
      </c>
      <c r="M2742">
        <v>-0.92694109999999996</v>
      </c>
      <c r="N2742">
        <v>0</v>
      </c>
      <c r="O2742">
        <v>-0.3750096</v>
      </c>
      <c r="P2742">
        <v>-0.89564290000000002</v>
      </c>
      <c r="Q2742">
        <v>4.9477469999999997E-3</v>
      </c>
      <c r="R2742">
        <v>-0.44474669999999999</v>
      </c>
      <c r="S2742">
        <v>-2.4505620000000001</v>
      </c>
      <c r="T2742">
        <v>-0.26197490000000001</v>
      </c>
      <c r="U2742">
        <v>-1.816101</v>
      </c>
      <c r="V2742">
        <v>-7.642997E-2</v>
      </c>
      <c r="W2742">
        <v>1.6884299999999901E-2</v>
      </c>
      <c r="X2742">
        <v>0.99693200000000004</v>
      </c>
      <c r="Y2742">
        <v>-0.25101630000000003</v>
      </c>
      <c r="Z2742">
        <v>2.200968E-2</v>
      </c>
      <c r="AA2742">
        <v>0.96773260000000005</v>
      </c>
      <c r="AB2742">
        <v>10</v>
      </c>
      <c r="AC2742">
        <v>-10.3344</v>
      </c>
      <c r="AD2742">
        <v>-1.1111217118750001</v>
      </c>
      <c r="AE2742">
        <v>-7.6759000000000102</v>
      </c>
      <c r="AF2742">
        <v>-3.2158896849530798</v>
      </c>
      <c r="AG2742">
        <v>-1.1111217118750001</v>
      </c>
      <c r="AH2742">
        <v>12.366707563879499</v>
      </c>
      <c r="AI2742">
        <v>94.969700115242006</v>
      </c>
      <c r="AJ2742">
        <v>104.576584427947</v>
      </c>
      <c r="AK2742">
        <v>12.826222900562</v>
      </c>
      <c r="AL2742">
        <v>89.032554915513401</v>
      </c>
      <c r="AM2742">
        <v>94.384015510251999</v>
      </c>
      <c r="AN2742">
        <v>1.0000000162623399</v>
      </c>
    </row>
    <row r="2743" spans="1:40" x14ac:dyDescent="0.25">
      <c r="A2743" t="str">
        <f>"20190312160655566"</f>
        <v>20190312160655566</v>
      </c>
      <c r="B2743" t="str">
        <f>"1552378015557877"</f>
        <v>1552378015557877</v>
      </c>
      <c r="C2743" t="s">
        <v>40</v>
      </c>
      <c r="D2743">
        <v>5.6179829999999997</v>
      </c>
      <c r="E2743">
        <v>0.43578440000000002</v>
      </c>
      <c r="F2743" t="s">
        <v>61</v>
      </c>
      <c r="G2743">
        <v>-491.12060000000002</v>
      </c>
      <c r="H2743" s="1">
        <v>2.0868690000000001E-6</v>
      </c>
      <c r="I2743">
        <v>275.8116</v>
      </c>
      <c r="J2743">
        <v>-483.43959999999998</v>
      </c>
      <c r="K2743">
        <v>1.1111310000000001</v>
      </c>
      <c r="L2743">
        <v>281.4434</v>
      </c>
      <c r="M2743">
        <v>-0.9261568</v>
      </c>
      <c r="N2743">
        <v>0</v>
      </c>
      <c r="O2743">
        <v>-0.37694250000000001</v>
      </c>
      <c r="P2743">
        <v>-0.8947659</v>
      </c>
      <c r="Q2743">
        <v>5.3788350000000002E-3</v>
      </c>
      <c r="R2743">
        <v>-0.4465035</v>
      </c>
      <c r="S2743">
        <v>-2.4585880000000002</v>
      </c>
      <c r="T2743">
        <v>-0.3533154</v>
      </c>
      <c r="U2743">
        <v>-1.798187</v>
      </c>
      <c r="V2743">
        <v>-7.6308669999999995E-2</v>
      </c>
      <c r="W2743">
        <v>1.7313869999999999E-2</v>
      </c>
      <c r="X2743">
        <v>0.99693390000000004</v>
      </c>
      <c r="Y2743">
        <v>-0.2432638</v>
      </c>
      <c r="Z2743">
        <v>3.034241E-2</v>
      </c>
      <c r="AA2743">
        <v>0.9694855</v>
      </c>
      <c r="AB2743">
        <v>10</v>
      </c>
      <c r="AC2743">
        <v>-7.68100000000004</v>
      </c>
      <c r="AD2743">
        <v>-1.11112891313099</v>
      </c>
      <c r="AE2743">
        <v>-5.6317999999999904</v>
      </c>
      <c r="AF2743">
        <v>-2.2896447028027298</v>
      </c>
      <c r="AG2743">
        <v>-1.11112891313099</v>
      </c>
      <c r="AH2743">
        <v>9.1133283236214702</v>
      </c>
      <c r="AI2743">
        <v>96.743827060695196</v>
      </c>
      <c r="AJ2743">
        <v>104.103163004143</v>
      </c>
      <c r="AK2743">
        <v>9.46202058023494</v>
      </c>
      <c r="AL2743">
        <v>89.007938744854798</v>
      </c>
      <c r="AM2743">
        <v>94.377076505315202</v>
      </c>
      <c r="AN2743">
        <v>0.99999999209037704</v>
      </c>
    </row>
    <row r="2744" spans="1:40" x14ac:dyDescent="0.25">
      <c r="A2744" t="str">
        <f>"20190312160655580"</f>
        <v>20190312160655580</v>
      </c>
      <c r="B2744" t="str">
        <f>"1552378015567638"</f>
        <v>1552378015567638</v>
      </c>
      <c r="C2744" t="s">
        <v>40</v>
      </c>
      <c r="D2744">
        <v>5.6151080000000002</v>
      </c>
      <c r="E2744">
        <v>0.43599349999999998</v>
      </c>
      <c r="F2744" t="s">
        <v>61</v>
      </c>
      <c r="G2744">
        <v>-491.2063</v>
      </c>
      <c r="H2744" s="1">
        <v>2.0587919999999999E-6</v>
      </c>
      <c r="I2744">
        <v>275.75360000000001</v>
      </c>
      <c r="J2744">
        <v>-483.49790000000002</v>
      </c>
      <c r="K2744">
        <v>1.11114</v>
      </c>
      <c r="L2744">
        <v>281.41660000000002</v>
      </c>
      <c r="M2744">
        <v>-0.92524779999999995</v>
      </c>
      <c r="N2744">
        <v>0</v>
      </c>
      <c r="O2744">
        <v>-0.3791679</v>
      </c>
      <c r="P2744">
        <v>-0.89336389999999999</v>
      </c>
      <c r="Q2744">
        <v>5.5835540000000001E-3</v>
      </c>
      <c r="R2744">
        <v>-0.44929920000000001</v>
      </c>
      <c r="S2744">
        <v>-2.4567570000000001</v>
      </c>
      <c r="T2744">
        <v>-0.35147240000000002</v>
      </c>
      <c r="U2744">
        <v>-1.799774</v>
      </c>
      <c r="V2744">
        <v>-7.7030940000000006E-2</v>
      </c>
      <c r="W2744">
        <v>1.7514109999999999E-2</v>
      </c>
      <c r="X2744">
        <v>0.99687490000000001</v>
      </c>
      <c r="Y2744">
        <v>-0.24169750000000001</v>
      </c>
      <c r="Z2744">
        <v>3.0546400000000001E-2</v>
      </c>
      <c r="AA2744">
        <v>0.96987069999999997</v>
      </c>
      <c r="AB2744">
        <v>10</v>
      </c>
      <c r="AC2744">
        <v>-7.7083999999999797</v>
      </c>
      <c r="AD2744">
        <v>-1.111137941208</v>
      </c>
      <c r="AE2744">
        <v>-5.66300000000001</v>
      </c>
      <c r="AF2744">
        <v>-2.2862200400843302</v>
      </c>
      <c r="AG2744">
        <v>-1.111137941208</v>
      </c>
      <c r="AH2744">
        <v>9.1565299782145697</v>
      </c>
      <c r="AI2744">
        <v>96.714798708098002</v>
      </c>
      <c r="AJ2744">
        <v>104.019089902313</v>
      </c>
      <c r="AK2744">
        <v>9.5028138379122797</v>
      </c>
      <c r="AL2744">
        <v>88.996464143981697</v>
      </c>
      <c r="AM2744">
        <v>94.418603196865305</v>
      </c>
      <c r="AN2744">
        <v>1.0000000380081899</v>
      </c>
    </row>
    <row r="2745" spans="1:40" x14ac:dyDescent="0.25">
      <c r="A2745" t="str">
        <f>"20190312160655603"</f>
        <v>20190312160655603</v>
      </c>
      <c r="B2745" t="str">
        <f>"1552378015597893"</f>
        <v>1552378015597893</v>
      </c>
      <c r="C2745" t="s">
        <v>40</v>
      </c>
      <c r="D2745">
        <v>5.6165890000000003</v>
      </c>
      <c r="E2745">
        <v>0.43656679999999998</v>
      </c>
      <c r="F2745" t="s">
        <v>61</v>
      </c>
      <c r="G2745">
        <v>-491.32760000000002</v>
      </c>
      <c r="H2745" s="1">
        <v>2.0114750000000001E-6</v>
      </c>
      <c r="I2745">
        <v>275.65019999999998</v>
      </c>
      <c r="J2745">
        <v>-483.59</v>
      </c>
      <c r="K2745">
        <v>1.1111489999999999</v>
      </c>
      <c r="L2745">
        <v>281.37400000000002</v>
      </c>
      <c r="M2745">
        <v>-0.92378439999999995</v>
      </c>
      <c r="N2745">
        <v>0</v>
      </c>
      <c r="O2745">
        <v>-0.38271939999999999</v>
      </c>
      <c r="P2745">
        <v>-0.89120140000000003</v>
      </c>
      <c r="Q2745">
        <v>6.236068E-3</v>
      </c>
      <c r="R2745">
        <v>-0.45356469999999999</v>
      </c>
      <c r="S2745">
        <v>-2.4520870000000001</v>
      </c>
      <c r="T2745">
        <v>-0.34798309999999999</v>
      </c>
      <c r="U2745">
        <v>-1.8059080000000001</v>
      </c>
      <c r="V2745">
        <v>-7.7971189999999996E-2</v>
      </c>
      <c r="W2745">
        <v>1.8159640000000001E-2</v>
      </c>
      <c r="X2745">
        <v>0.99679019999999996</v>
      </c>
      <c r="Y2745">
        <v>-0.24043639999999999</v>
      </c>
      <c r="Z2745">
        <v>3.0740509999999999E-2</v>
      </c>
      <c r="AA2745">
        <v>0.97017799999999998</v>
      </c>
      <c r="AB2745">
        <v>10</v>
      </c>
      <c r="AC2745">
        <v>-7.7376000000000396</v>
      </c>
      <c r="AD2745">
        <v>-1.111146988525</v>
      </c>
      <c r="AE2745">
        <v>-5.7238000000000397</v>
      </c>
      <c r="AF2745">
        <v>-2.2958004482241599</v>
      </c>
      <c r="AG2745">
        <v>-1.111146988525</v>
      </c>
      <c r="AH2745">
        <v>9.2163360506722594</v>
      </c>
      <c r="AI2745">
        <v>96.672574864406798</v>
      </c>
      <c r="AJ2745">
        <v>103.98776550100899</v>
      </c>
      <c r="AK2745">
        <v>9.5627505210109707</v>
      </c>
      <c r="AL2745">
        <v>88.959472066127603</v>
      </c>
      <c r="AM2745">
        <v>94.472698247216996</v>
      </c>
      <c r="AN2745">
        <v>0.99999999090549196</v>
      </c>
    </row>
    <row r="2746" spans="1:40" x14ac:dyDescent="0.25">
      <c r="A2746" t="str">
        <f>"20190312160655615"</f>
        <v>20190312160655615</v>
      </c>
      <c r="B2746" t="str">
        <f>"1552378015607652"</f>
        <v>1552378015607652</v>
      </c>
      <c r="C2746" t="s">
        <v>40</v>
      </c>
      <c r="D2746">
        <v>5.6346210000000001</v>
      </c>
      <c r="E2746">
        <v>0.43687290000000001</v>
      </c>
      <c r="F2746" t="s">
        <v>61</v>
      </c>
      <c r="G2746">
        <v>-491.4674</v>
      </c>
      <c r="H2746" s="1">
        <v>1.9572460000000001E-6</v>
      </c>
      <c r="I2746">
        <v>275.53190000000001</v>
      </c>
      <c r="J2746">
        <v>-483.63850000000002</v>
      </c>
      <c r="K2746">
        <v>1.111156</v>
      </c>
      <c r="L2746">
        <v>281.35129999999998</v>
      </c>
      <c r="M2746">
        <v>-0.92300280000000001</v>
      </c>
      <c r="N2746">
        <v>0</v>
      </c>
      <c r="O2746">
        <v>-0.38460030000000001</v>
      </c>
      <c r="P2746">
        <v>-0.88993290000000003</v>
      </c>
      <c r="Q2746">
        <v>5.9997719999999996E-3</v>
      </c>
      <c r="R2746">
        <v>-0.45605230000000002</v>
      </c>
      <c r="S2746">
        <v>-2.4456180000000001</v>
      </c>
      <c r="T2746">
        <v>-0.34496549999999998</v>
      </c>
      <c r="U2746">
        <v>-1.8137209999999999</v>
      </c>
      <c r="V2746">
        <v>-7.8723459999999995E-2</v>
      </c>
      <c r="W2746">
        <v>1.7918880000000002E-2</v>
      </c>
      <c r="X2746">
        <v>0.9967355</v>
      </c>
      <c r="Y2746">
        <v>-0.24167649999999999</v>
      </c>
      <c r="Z2746">
        <v>3.0636839999999999E-2</v>
      </c>
      <c r="AA2746">
        <v>0.96987310000000004</v>
      </c>
      <c r="AB2746">
        <v>10</v>
      </c>
      <c r="AC2746">
        <v>-7.8288999999999698</v>
      </c>
      <c r="AD2746">
        <v>-1.1111540427539901</v>
      </c>
      <c r="AE2746">
        <v>-5.8193999999999697</v>
      </c>
      <c r="AF2746">
        <v>-2.3302652167471498</v>
      </c>
      <c r="AG2746">
        <v>-1.1111540427539901</v>
      </c>
      <c r="AH2746">
        <v>9.3437075135897203</v>
      </c>
      <c r="AI2746">
        <v>96.582012430719601</v>
      </c>
      <c r="AJ2746">
        <v>104.003563603521</v>
      </c>
      <c r="AK2746">
        <v>9.6937954066827299</v>
      </c>
      <c r="AL2746">
        <v>88.973268917405306</v>
      </c>
      <c r="AM2746">
        <v>94.515920230149504</v>
      </c>
      <c r="AN2746">
        <v>1.0000000631875301</v>
      </c>
    </row>
    <row r="2747" spans="1:40" x14ac:dyDescent="0.25">
      <c r="A2747" t="str">
        <f>"20190312160655625"</f>
        <v>20190312160655625</v>
      </c>
      <c r="B2747" t="str">
        <f>"1552378015618389"</f>
        <v>1552378015618389</v>
      </c>
      <c r="C2747" t="s">
        <v>40</v>
      </c>
      <c r="D2747">
        <v>5.8838520000000001</v>
      </c>
      <c r="E2747">
        <v>0.43687290000000001</v>
      </c>
      <c r="F2747" t="s">
        <v>61</v>
      </c>
      <c r="G2747">
        <v>-491.48689999999999</v>
      </c>
      <c r="H2747" s="1">
        <v>1.9465290000000001E-6</v>
      </c>
      <c r="I2747">
        <v>275.50650000000002</v>
      </c>
      <c r="J2747">
        <v>-483.68430000000001</v>
      </c>
      <c r="K2747">
        <v>1.1111610000000001</v>
      </c>
      <c r="L2747">
        <v>281.32979999999998</v>
      </c>
      <c r="M2747">
        <v>-0.92225230000000002</v>
      </c>
      <c r="N2747">
        <v>0</v>
      </c>
      <c r="O2747">
        <v>-0.3863972</v>
      </c>
      <c r="P2747">
        <v>-0.88888559999999905</v>
      </c>
      <c r="Q2747">
        <v>6.1055629999999996E-3</v>
      </c>
      <c r="R2747">
        <v>-0.45808880000000002</v>
      </c>
      <c r="S2747">
        <v>-2.441589</v>
      </c>
      <c r="T2747">
        <v>-0.34567189999999998</v>
      </c>
      <c r="U2747">
        <v>-1.818298</v>
      </c>
      <c r="V2747">
        <v>-7.9065990000000003E-2</v>
      </c>
      <c r="W2747">
        <v>1.8021860000000001E-2</v>
      </c>
      <c r="X2747">
        <v>0.99670650000000005</v>
      </c>
      <c r="Y2747">
        <v>-0.24173559999999999</v>
      </c>
      <c r="Z2747">
        <v>3.0914460000000001E-2</v>
      </c>
      <c r="AA2747">
        <v>0.96984959999999998</v>
      </c>
      <c r="AB2747">
        <v>10</v>
      </c>
      <c r="AC2747">
        <v>-7.8025999999999804</v>
      </c>
      <c r="AD2747">
        <v>-1.1111590534710001</v>
      </c>
      <c r="AE2747">
        <v>-5.8232999999999597</v>
      </c>
      <c r="AF2747">
        <v>-2.3255327728173998</v>
      </c>
      <c r="AG2747">
        <v>-1.1111590534710001</v>
      </c>
      <c r="AH2747">
        <v>9.3253074585573792</v>
      </c>
      <c r="AI2747">
        <v>96.594938419216604</v>
      </c>
      <c r="AJ2747">
        <v>104.00273308778701</v>
      </c>
      <c r="AK2747">
        <v>9.67492306512999</v>
      </c>
      <c r="AL2747">
        <v>88.967367613953996</v>
      </c>
      <c r="AM2747">
        <v>94.535618851033504</v>
      </c>
      <c r="AN2747">
        <v>1.0000000326773899</v>
      </c>
    </row>
    <row r="2748" spans="1:40" x14ac:dyDescent="0.25">
      <c r="A2748" t="str">
        <f>"20190312160655636"</f>
        <v>20190312160655636</v>
      </c>
      <c r="B2748" t="str">
        <f>"1552378015628149"</f>
        <v>1552378015628149</v>
      </c>
      <c r="C2748" t="s">
        <v>40</v>
      </c>
      <c r="D2748">
        <v>5.7932649999999999</v>
      </c>
      <c r="E2748">
        <v>0.43591649999999998</v>
      </c>
      <c r="F2748" t="s">
        <v>61</v>
      </c>
      <c r="G2748">
        <v>-491.52699999999999</v>
      </c>
      <c r="H2748" s="1">
        <v>1.9269359999999999E-6</v>
      </c>
      <c r="I2748">
        <v>275.46109999999999</v>
      </c>
      <c r="J2748">
        <v>-483.73020000000002</v>
      </c>
      <c r="K2748">
        <v>1.111167</v>
      </c>
      <c r="L2748">
        <v>281.3082</v>
      </c>
      <c r="M2748">
        <v>-0.92149630000000005</v>
      </c>
      <c r="N2748">
        <v>0</v>
      </c>
      <c r="O2748">
        <v>-0.38819680000000001</v>
      </c>
      <c r="P2748">
        <v>-0.88769279999999995</v>
      </c>
      <c r="Q2748">
        <v>6.2621179999999997E-3</v>
      </c>
      <c r="R2748">
        <v>-0.46039390000000002</v>
      </c>
      <c r="S2748">
        <v>-2.4374389999999999</v>
      </c>
      <c r="T2748">
        <v>-0.34533599999999998</v>
      </c>
      <c r="U2748">
        <v>-1.823914</v>
      </c>
      <c r="V2748">
        <v>-7.9708299999999996E-2</v>
      </c>
      <c r="W2748">
        <v>1.8174429999999998E-2</v>
      </c>
      <c r="X2748">
        <v>0.99665250000000005</v>
      </c>
      <c r="Y2748">
        <v>-0.24207239999999999</v>
      </c>
      <c r="Z2748">
        <v>3.107969E-2</v>
      </c>
      <c r="AA2748">
        <v>0.96976030000000002</v>
      </c>
      <c r="AB2748">
        <v>10</v>
      </c>
      <c r="AC2748">
        <v>-7.7967999999999602</v>
      </c>
      <c r="AD2748">
        <v>-1.1111650730639999</v>
      </c>
      <c r="AE2748">
        <v>-5.84710000000001</v>
      </c>
      <c r="AF2748">
        <v>-2.3312572590229799</v>
      </c>
      <c r="AG2748">
        <v>-1.1111650730639999</v>
      </c>
      <c r="AH2748">
        <v>9.3339092999502302</v>
      </c>
      <c r="AI2748">
        <v>96.588361197573093</v>
      </c>
      <c r="AJ2748">
        <v>104.023416609699</v>
      </c>
      <c r="AK2748">
        <v>9.6845914238568795</v>
      </c>
      <c r="AL2748">
        <v>88.9586244940363</v>
      </c>
      <c r="AM2748">
        <v>94.572556026287202</v>
      </c>
      <c r="AN2748">
        <v>0.999999964375482</v>
      </c>
    </row>
    <row r="2749" spans="1:40" x14ac:dyDescent="0.25">
      <c r="A2749" t="str">
        <f>"20190312160655648"</f>
        <v>20190312160655648</v>
      </c>
      <c r="B2749" t="str">
        <f>"1552378015637909"</f>
        <v>1552378015637909</v>
      </c>
      <c r="C2749" t="s">
        <v>40</v>
      </c>
      <c r="D2749">
        <v>6.2970030000000001</v>
      </c>
      <c r="E2749">
        <v>0.43577260000000001</v>
      </c>
      <c r="F2749" t="s">
        <v>61</v>
      </c>
      <c r="G2749">
        <v>-494.26139999999998</v>
      </c>
      <c r="H2749" s="1">
        <v>1.1618550000000001E-6</v>
      </c>
      <c r="I2749">
        <v>273.34480000000002</v>
      </c>
      <c r="J2749">
        <v>-483.77769999999998</v>
      </c>
      <c r="K2749">
        <v>1.1111719999999901</v>
      </c>
      <c r="L2749">
        <v>281.28559999999999</v>
      </c>
      <c r="M2749">
        <v>-0.92070200000000002</v>
      </c>
      <c r="N2749">
        <v>0</v>
      </c>
      <c r="O2749">
        <v>-0.39007710000000001</v>
      </c>
      <c r="P2749">
        <v>-0.88653850000000001</v>
      </c>
      <c r="Q2749">
        <v>6.3432380000000002E-3</v>
      </c>
      <c r="R2749">
        <v>-0.46261190000000002</v>
      </c>
      <c r="S2749">
        <v>-2.428833</v>
      </c>
      <c r="T2749">
        <v>-0.2562701</v>
      </c>
      <c r="U2749">
        <v>-1.8366089999999999</v>
      </c>
      <c r="V2749">
        <v>-8.0166310000000005E-2</v>
      </c>
      <c r="W2749">
        <v>1.8251659999999999E-2</v>
      </c>
      <c r="X2749">
        <v>0.99661440000000001</v>
      </c>
      <c r="Y2749">
        <v>-0.24462110000000001</v>
      </c>
      <c r="Z2749">
        <v>2.315944E-2</v>
      </c>
      <c r="AA2749">
        <v>0.96934209999999998</v>
      </c>
      <c r="AB2749">
        <v>10</v>
      </c>
      <c r="AC2749">
        <v>-10.483700000000001</v>
      </c>
      <c r="AD2749">
        <v>-1.1111708381449901</v>
      </c>
      <c r="AE2749">
        <v>-7.9407999999999603</v>
      </c>
      <c r="AF2749">
        <v>-3.19906066170264</v>
      </c>
      <c r="AG2749">
        <v>-1.1111708381449901</v>
      </c>
      <c r="AH2749">
        <v>12.660453077759099</v>
      </c>
      <c r="AI2749">
        <v>94.863730721337006</v>
      </c>
      <c r="AJ2749">
        <v>104.180746190173</v>
      </c>
      <c r="AK2749">
        <v>13.105562249783</v>
      </c>
      <c r="AL2749">
        <v>88.954198855831095</v>
      </c>
      <c r="AM2749">
        <v>94.598892959759695</v>
      </c>
      <c r="AN2749">
        <v>1.00000001131956</v>
      </c>
    </row>
    <row r="2750" spans="1:40" x14ac:dyDescent="0.25">
      <c r="A2750" t="str">
        <f>"20190312160655660"</f>
        <v>20190312160655660</v>
      </c>
      <c r="B2750" t="str">
        <f>"1552378015647668"</f>
        <v>1552378015647668</v>
      </c>
      <c r="C2750" t="s">
        <v>40</v>
      </c>
      <c r="D2750">
        <v>5.5776940000000002</v>
      </c>
      <c r="E2750">
        <v>0.43577260000000001</v>
      </c>
      <c r="F2750" t="s">
        <v>61</v>
      </c>
      <c r="G2750">
        <v>-494.41739999999999</v>
      </c>
      <c r="H2750" s="1">
        <v>1.1211449999999999E-6</v>
      </c>
      <c r="I2750">
        <v>273.19220000000001</v>
      </c>
      <c r="J2750">
        <v>-483.82190000000003</v>
      </c>
      <c r="K2750">
        <v>1.1111770000000001</v>
      </c>
      <c r="L2750">
        <v>281.26440000000002</v>
      </c>
      <c r="M2750">
        <v>-0.91995510000000003</v>
      </c>
      <c r="N2750">
        <v>0</v>
      </c>
      <c r="O2750">
        <v>-0.39183499999999999</v>
      </c>
      <c r="P2750">
        <v>-0.88546569999999902</v>
      </c>
      <c r="Q2750">
        <v>6.2164269999999897E-3</v>
      </c>
      <c r="R2750">
        <v>-0.46466350000000001</v>
      </c>
      <c r="S2750">
        <v>-2.423737</v>
      </c>
      <c r="T2750">
        <v>-0.25312689999999999</v>
      </c>
      <c r="U2750">
        <v>-1.8436889999999999</v>
      </c>
      <c r="V2750">
        <v>-8.0569479999999999E-2</v>
      </c>
      <c r="W2750">
        <v>1.8121979999999999E-2</v>
      </c>
      <c r="X2750">
        <v>0.99658420000000003</v>
      </c>
      <c r="Y2750">
        <v>-0.24553720000000001</v>
      </c>
      <c r="Z2750">
        <v>2.299174E-2</v>
      </c>
      <c r="AA2750">
        <v>0.96911449999999999</v>
      </c>
      <c r="AB2750">
        <v>10</v>
      </c>
      <c r="AC2750">
        <v>-10.5954999999999</v>
      </c>
      <c r="AD2750">
        <v>-1.1111758788549999</v>
      </c>
      <c r="AE2750">
        <v>-8.0722000000000094</v>
      </c>
      <c r="AF2750">
        <v>-3.2519852913157399</v>
      </c>
      <c r="AG2750">
        <v>-1.1111758788549999</v>
      </c>
      <c r="AH2750">
        <v>12.8220802243212</v>
      </c>
      <c r="AI2750">
        <v>94.801660135970096</v>
      </c>
      <c r="AJ2750">
        <v>104.231493678543</v>
      </c>
      <c r="AK2750">
        <v>13.2746322528201</v>
      </c>
      <c r="AL2750">
        <v>88.961630145625094</v>
      </c>
      <c r="AM2750">
        <v>94.622061070951702</v>
      </c>
      <c r="AN2750">
        <v>0.99999995747811399</v>
      </c>
    </row>
    <row r="2751" spans="1:40" x14ac:dyDescent="0.25">
      <c r="A2751" t="str">
        <f>"20190312160655673"</f>
        <v>20190312160655673</v>
      </c>
      <c r="B2751" t="str">
        <f>"1552378015668164"</f>
        <v>1552378015668164</v>
      </c>
      <c r="C2751" t="s">
        <v>40</v>
      </c>
      <c r="D2751">
        <v>5.6274150000000001</v>
      </c>
      <c r="E2751">
        <v>0.43557410000000002</v>
      </c>
      <c r="F2751" t="s">
        <v>61</v>
      </c>
      <c r="G2751">
        <v>-494.42610000000002</v>
      </c>
      <c r="H2751" s="1">
        <v>1.114557E-6</v>
      </c>
      <c r="I2751">
        <v>273.1592</v>
      </c>
      <c r="J2751">
        <v>-483.87459999999999</v>
      </c>
      <c r="K2751">
        <v>1.1111799999999901</v>
      </c>
      <c r="L2751">
        <v>281.23910000000001</v>
      </c>
      <c r="M2751">
        <v>-0.91905709999999996</v>
      </c>
      <c r="N2751">
        <v>0</v>
      </c>
      <c r="O2751">
        <v>-0.39393679999999998</v>
      </c>
      <c r="P2751">
        <v>-0.88423090000000004</v>
      </c>
      <c r="Q2751">
        <v>6.3779700000000002E-3</v>
      </c>
      <c r="R2751">
        <v>-0.46700720000000001</v>
      </c>
      <c r="S2751">
        <v>-2.4194339999999999</v>
      </c>
      <c r="T2751">
        <v>-0.25352360000000002</v>
      </c>
      <c r="U2751">
        <v>-1.8492740000000001</v>
      </c>
      <c r="V2751">
        <v>-8.0931829999999996E-2</v>
      </c>
      <c r="W2751">
        <v>1.8280270000000001E-2</v>
      </c>
      <c r="X2751">
        <v>0.99655199999999999</v>
      </c>
      <c r="Y2751">
        <v>-0.24557229999999999</v>
      </c>
      <c r="Z2751">
        <v>2.3210359999999999E-2</v>
      </c>
      <c r="AA2751">
        <v>0.96910039999999997</v>
      </c>
      <c r="AB2751">
        <v>10</v>
      </c>
      <c r="AC2751">
        <v>-10.551500000000001</v>
      </c>
      <c r="AD2751">
        <v>-1.11117888544299</v>
      </c>
      <c r="AE2751">
        <v>-8.0799000000000092</v>
      </c>
      <c r="AF2751">
        <v>-3.2468090233281202</v>
      </c>
      <c r="AG2751">
        <v>-1.11117888544299</v>
      </c>
      <c r="AH2751">
        <v>12.7919266082846</v>
      </c>
      <c r="AI2751">
        <v>94.812718035809795</v>
      </c>
      <c r="AJ2751">
        <v>104.24189376256</v>
      </c>
      <c r="AK2751">
        <v>13.244239264720299</v>
      </c>
      <c r="AL2751">
        <v>88.952559347681301</v>
      </c>
      <c r="AM2751">
        <v>94.642906832472605</v>
      </c>
      <c r="AN2751">
        <v>1.00000000904121</v>
      </c>
    </row>
    <row r="2752" spans="1:40" x14ac:dyDescent="0.25">
      <c r="A2752" t="str">
        <f>"20190312160655687"</f>
        <v>20190312160655687</v>
      </c>
      <c r="B2752" t="str">
        <f>"1552378015677925"</f>
        <v>1552378015677925</v>
      </c>
      <c r="C2752" t="s">
        <v>40</v>
      </c>
      <c r="D2752">
        <v>5.6330460000000002</v>
      </c>
      <c r="E2752">
        <v>0.43449100000000002</v>
      </c>
      <c r="F2752" t="s">
        <v>61</v>
      </c>
      <c r="G2752">
        <v>-493.26850000000002</v>
      </c>
      <c r="H2752" s="1">
        <v>1.3672790000000001E-6</v>
      </c>
      <c r="I2752">
        <v>274.01119999999997</v>
      </c>
      <c r="J2752">
        <v>-483.9348</v>
      </c>
      <c r="K2752">
        <v>1.111181</v>
      </c>
      <c r="L2752">
        <v>281.2099</v>
      </c>
      <c r="M2752">
        <v>-0.91801469999999996</v>
      </c>
      <c r="N2752">
        <v>0</v>
      </c>
      <c r="O2752">
        <v>-0.39635959999999998</v>
      </c>
      <c r="P2752">
        <v>-0.88282450000000001</v>
      </c>
      <c r="Q2752">
        <v>6.2823250000000001E-3</v>
      </c>
      <c r="R2752">
        <v>-0.469661</v>
      </c>
      <c r="S2752">
        <v>-2.4138790000000001</v>
      </c>
      <c r="T2752">
        <v>-0.28553129999999999</v>
      </c>
      <c r="U2752">
        <v>-1.8573</v>
      </c>
      <c r="V2752">
        <v>-8.1296919999999995E-2</v>
      </c>
      <c r="W2752">
        <v>1.8181099999999999E-2</v>
      </c>
      <c r="X2752">
        <v>0.99652410000000002</v>
      </c>
      <c r="Y2752">
        <v>-0.24623680000000001</v>
      </c>
      <c r="Z2752">
        <v>2.633131E-2</v>
      </c>
      <c r="AA2752">
        <v>0.96885200000000005</v>
      </c>
      <c r="AB2752">
        <v>10</v>
      </c>
      <c r="AC2752">
        <v>-9.3337000000000199</v>
      </c>
      <c r="AD2752">
        <v>-1.111179632721</v>
      </c>
      <c r="AE2752">
        <v>-7.1987000000000299</v>
      </c>
      <c r="AF2752">
        <v>-2.8836003516172699</v>
      </c>
      <c r="AG2752">
        <v>-1.111179632721</v>
      </c>
      <c r="AH2752">
        <v>11.3219776664838</v>
      </c>
      <c r="AI2752">
        <v>95.432910119105301</v>
      </c>
      <c r="AJ2752">
        <v>104.28890120321201</v>
      </c>
      <c r="AK2752">
        <v>11.7361428691193</v>
      </c>
      <c r="AL2752">
        <v>88.958242317366</v>
      </c>
      <c r="AM2752">
        <v>94.663889170439006</v>
      </c>
      <c r="AN2752">
        <v>1.0000000117397501</v>
      </c>
    </row>
    <row r="2753" spans="1:40" x14ac:dyDescent="0.25">
      <c r="A2753" t="str">
        <f>"20190312160655702"</f>
        <v>20190312160655702</v>
      </c>
      <c r="B2753" t="str">
        <f>"1552378015697446"</f>
        <v>1552378015697446</v>
      </c>
      <c r="C2753" t="s">
        <v>40</v>
      </c>
      <c r="D2753">
        <v>5.6143769999999904</v>
      </c>
      <c r="E2753">
        <v>0.435971</v>
      </c>
      <c r="F2753" t="s">
        <v>61</v>
      </c>
      <c r="G2753">
        <v>-493.48719999999997</v>
      </c>
      <c r="H2753" s="1">
        <v>1.305705E-6</v>
      </c>
      <c r="I2753">
        <v>273.77170000000001</v>
      </c>
      <c r="J2753">
        <v>-483.99270000000001</v>
      </c>
      <c r="K2753">
        <v>1.111186</v>
      </c>
      <c r="L2753">
        <v>281.1816</v>
      </c>
      <c r="M2753">
        <v>-0.91699920000000001</v>
      </c>
      <c r="N2753">
        <v>0</v>
      </c>
      <c r="O2753">
        <v>-0.39870369999999999</v>
      </c>
      <c r="P2753">
        <v>-0.88143059999999995</v>
      </c>
      <c r="Q2753">
        <v>6.1246989999999999E-3</v>
      </c>
      <c r="R2753">
        <v>-0.47227429999999898</v>
      </c>
      <c r="S2753">
        <v>-2.4042050000000001</v>
      </c>
      <c r="T2753">
        <v>-0.27966829999999998</v>
      </c>
      <c r="U2753">
        <v>-1.872101</v>
      </c>
      <c r="V2753">
        <v>-8.1702469999999999E-2</v>
      </c>
      <c r="W2753">
        <v>1.8019480000000001E-2</v>
      </c>
      <c r="X2753">
        <v>0.99649390000000004</v>
      </c>
      <c r="Y2753">
        <v>-0.24934000000000001</v>
      </c>
      <c r="Z2753">
        <v>2.587099E-2</v>
      </c>
      <c r="AA2753">
        <v>0.9680704</v>
      </c>
      <c r="AB2753">
        <v>10</v>
      </c>
      <c r="AC2753">
        <v>-9.4944999999999595</v>
      </c>
      <c r="AD2753">
        <v>-1.1111846942949899</v>
      </c>
      <c r="AE2753">
        <v>-7.4098999999999897</v>
      </c>
      <c r="AF2753">
        <v>-2.98420006166194</v>
      </c>
      <c r="AG2753">
        <v>-1.1111846942949899</v>
      </c>
      <c r="AH2753">
        <v>11.563235386957199</v>
      </c>
      <c r="AI2753">
        <v>95.315930997744402</v>
      </c>
      <c r="AJ2753">
        <v>104.470941309018</v>
      </c>
      <c r="AK2753">
        <v>11.993689759496</v>
      </c>
      <c r="AL2753">
        <v>88.967504011744097</v>
      </c>
      <c r="AM2753">
        <v>94.687193011771598</v>
      </c>
      <c r="AN2753">
        <v>1.00000004400038</v>
      </c>
    </row>
    <row r="2754" spans="1:40" x14ac:dyDescent="0.25">
      <c r="A2754" t="str">
        <f>"20190312160655715"</f>
        <v>20190312160655715</v>
      </c>
      <c r="B2754" t="str">
        <f>"1552378015708181"</f>
        <v>1552378015708181</v>
      </c>
      <c r="C2754" t="s">
        <v>40</v>
      </c>
      <c r="D2754">
        <v>5.814603</v>
      </c>
      <c r="E2754">
        <v>0.43734119999999999</v>
      </c>
      <c r="F2754" t="s">
        <v>61</v>
      </c>
      <c r="G2754">
        <v>-493.03129999999999</v>
      </c>
      <c r="H2754" s="1">
        <v>1.4138469999999999E-6</v>
      </c>
      <c r="I2754">
        <v>274.15620000000001</v>
      </c>
      <c r="J2754">
        <v>-484.0444</v>
      </c>
      <c r="K2754">
        <v>1.111186</v>
      </c>
      <c r="L2754">
        <v>281.15629999999999</v>
      </c>
      <c r="M2754">
        <v>-0.91608420000000002</v>
      </c>
      <c r="N2754">
        <v>0</v>
      </c>
      <c r="O2754">
        <v>-0.40080169999999998</v>
      </c>
      <c r="P2754">
        <v>-0.88008609999999898</v>
      </c>
      <c r="Q2754">
        <v>5.7387189999999998E-3</v>
      </c>
      <c r="R2754">
        <v>-0.47477979999999997</v>
      </c>
      <c r="S2754">
        <v>-2.4042970000000001</v>
      </c>
      <c r="T2754">
        <v>-0.29557929999999999</v>
      </c>
      <c r="U2754">
        <v>-1.868805</v>
      </c>
      <c r="V2754">
        <v>-8.2254240000000006E-2</v>
      </c>
      <c r="W2754">
        <v>1.7629969999999998E-2</v>
      </c>
      <c r="X2754">
        <v>0.99645539999999999</v>
      </c>
      <c r="Y2754">
        <v>-0.2463581</v>
      </c>
      <c r="Z2754">
        <v>2.770529E-2</v>
      </c>
      <c r="AA2754">
        <v>0.96878280000000006</v>
      </c>
      <c r="AB2754">
        <v>10</v>
      </c>
      <c r="AC2754">
        <v>-8.9868999999999897</v>
      </c>
      <c r="AD2754">
        <v>-1.1111845861530001</v>
      </c>
      <c r="AE2754">
        <v>-7.0000999999999696</v>
      </c>
      <c r="AF2754">
        <v>-2.7844297941613299</v>
      </c>
      <c r="AG2754">
        <v>-1.1111845861530001</v>
      </c>
      <c r="AH2754">
        <v>10.935175524892999</v>
      </c>
      <c r="AI2754">
        <v>95.623978490239793</v>
      </c>
      <c r="AJ2754">
        <v>104.285674745772</v>
      </c>
      <c r="AK2754">
        <v>11.3386879409982</v>
      </c>
      <c r="AL2754">
        <v>88.989824761411995</v>
      </c>
      <c r="AM2754">
        <v>94.718886560397607</v>
      </c>
      <c r="AN2754">
        <v>0.999999970014668</v>
      </c>
    </row>
    <row r="2755" spans="1:40" x14ac:dyDescent="0.25">
      <c r="A2755" t="str">
        <f>"20190312160655728"</f>
        <v>20190312160655728</v>
      </c>
      <c r="B2755" t="str">
        <f>"1552378015717941"</f>
        <v>1552378015717941</v>
      </c>
      <c r="C2755" t="s">
        <v>40</v>
      </c>
      <c r="D2755">
        <v>5.7015900000000004</v>
      </c>
      <c r="E2755">
        <v>0.43786249999999999</v>
      </c>
      <c r="F2755" t="s">
        <v>61</v>
      </c>
      <c r="G2755">
        <v>-492.84730000000002</v>
      </c>
      <c r="H2755" s="1">
        <v>1.4593970000000001E-6</v>
      </c>
      <c r="I2755">
        <v>274.32209999999998</v>
      </c>
      <c r="J2755">
        <v>-484.1028</v>
      </c>
      <c r="K2755">
        <v>1.1111879999999901</v>
      </c>
      <c r="L2755">
        <v>281.12740000000002</v>
      </c>
      <c r="M2755">
        <v>-0.91503780000000001</v>
      </c>
      <c r="N2755">
        <v>0</v>
      </c>
      <c r="O2755">
        <v>-0.40318470000000001</v>
      </c>
      <c r="P2755">
        <v>-0.8787355</v>
      </c>
      <c r="Q2755">
        <v>5.9278619999999999E-3</v>
      </c>
      <c r="R2755">
        <v>-0.47727249999999999</v>
      </c>
      <c r="S2755">
        <v>-2.403931</v>
      </c>
      <c r="T2755">
        <v>-0.30344680000000002</v>
      </c>
      <c r="U2755">
        <v>-1.8663019999999999</v>
      </c>
      <c r="V2755">
        <v>-8.2486299999999999E-2</v>
      </c>
      <c r="W2755">
        <v>1.781543E-2</v>
      </c>
      <c r="X2755">
        <v>0.99643300000000001</v>
      </c>
      <c r="Y2755">
        <v>-0.2433322</v>
      </c>
      <c r="Z2755">
        <v>2.8849400000000001E-2</v>
      </c>
      <c r="AA2755">
        <v>0.96951390000000004</v>
      </c>
      <c r="AB2755">
        <v>10</v>
      </c>
      <c r="AC2755">
        <v>-8.7445000000000093</v>
      </c>
      <c r="AD2755">
        <v>-1.1111865406029999</v>
      </c>
      <c r="AE2755">
        <v>-6.8053000000000399</v>
      </c>
      <c r="AF2755">
        <v>-2.6747589236401801</v>
      </c>
      <c r="AG2755">
        <v>-1.1111865406029999</v>
      </c>
      <c r="AH2755">
        <v>10.639141905329501</v>
      </c>
      <c r="AI2755">
        <v>95.783831713166904</v>
      </c>
      <c r="AJ2755">
        <v>104.112112552439</v>
      </c>
      <c r="AK2755">
        <v>11.026350770284299</v>
      </c>
      <c r="AL2755">
        <v>88.979197099670202</v>
      </c>
      <c r="AM2755">
        <v>94.732245252804802</v>
      </c>
      <c r="AN2755">
        <v>1.00000005136138</v>
      </c>
    </row>
    <row r="2756" spans="1:40" x14ac:dyDescent="0.25">
      <c r="A2756" t="str">
        <f>"20190312160655748"</f>
        <v>20190312160655748</v>
      </c>
      <c r="B2756" t="str">
        <f>"1552378015737461"</f>
        <v>1552378015737461</v>
      </c>
      <c r="C2756" t="s">
        <v>40</v>
      </c>
      <c r="D2756">
        <v>5.6689819999999997</v>
      </c>
      <c r="E2756">
        <v>0.43810090000000002</v>
      </c>
      <c r="F2756" t="s">
        <v>61</v>
      </c>
      <c r="G2756">
        <v>-492.6422</v>
      </c>
      <c r="H2756" s="1">
        <v>1.50489299999999E-6</v>
      </c>
      <c r="I2756">
        <v>274.47710000000001</v>
      </c>
      <c r="J2756">
        <v>-484.178</v>
      </c>
      <c r="K2756">
        <v>1.1111930000000001</v>
      </c>
      <c r="L2756">
        <v>281.08999999999997</v>
      </c>
      <c r="M2756">
        <v>-0.9136744</v>
      </c>
      <c r="N2756">
        <v>0</v>
      </c>
      <c r="O2756">
        <v>-0.40626499999999999</v>
      </c>
      <c r="P2756">
        <v>-0.87708580000000003</v>
      </c>
      <c r="Q2756">
        <v>5.3443550000000003E-3</v>
      </c>
      <c r="R2756">
        <v>-0.48030420000000001</v>
      </c>
      <c r="S2756">
        <v>-2.4006349999999999</v>
      </c>
      <c r="T2756">
        <v>-0.31238329999999997</v>
      </c>
      <c r="U2756">
        <v>-1.8695679999999999</v>
      </c>
      <c r="V2756">
        <v>-8.2567450000000001E-2</v>
      </c>
      <c r="W2756">
        <v>1.7229959999999999E-2</v>
      </c>
      <c r="X2756">
        <v>0.99643649999999995</v>
      </c>
      <c r="Y2756">
        <v>-0.24159030000000001</v>
      </c>
      <c r="Z2756">
        <v>3.0117209999999998E-2</v>
      </c>
      <c r="AA2756">
        <v>0.96991090000000002</v>
      </c>
      <c r="AB2756">
        <v>10</v>
      </c>
      <c r="AC2756">
        <v>-8.4641999999999395</v>
      </c>
      <c r="AD2756">
        <v>-1.1111914951070001</v>
      </c>
      <c r="AE2756">
        <v>-6.6128999999999598</v>
      </c>
      <c r="AF2756">
        <v>-2.5759533138376098</v>
      </c>
      <c r="AG2756">
        <v>-1.1111914951070001</v>
      </c>
      <c r="AH2756">
        <v>10.310537560814801</v>
      </c>
      <c r="AI2756">
        <v>95.969077605127197</v>
      </c>
      <c r="AJ2756">
        <v>104.02745088474801</v>
      </c>
      <c r="AK2756">
        <v>10.685385664862199</v>
      </c>
      <c r="AL2756">
        <v>89.012747136054301</v>
      </c>
      <c r="AM2756">
        <v>94.7368630971051</v>
      </c>
      <c r="AN2756">
        <v>0.99999997692667597</v>
      </c>
    </row>
    <row r="2757" spans="1:40" x14ac:dyDescent="0.25">
      <c r="A2757" t="str">
        <f>"20190312160655759"</f>
        <v>20190312160655759</v>
      </c>
      <c r="B2757" t="str">
        <f>"1552378015748197"</f>
        <v>1552378015748197</v>
      </c>
      <c r="C2757" t="s">
        <v>40</v>
      </c>
      <c r="D2757">
        <v>5.7069330000000003</v>
      </c>
      <c r="E2757">
        <v>0.43765850000000001</v>
      </c>
      <c r="F2757" t="s">
        <v>61</v>
      </c>
      <c r="G2757">
        <v>-492.63679999999999</v>
      </c>
      <c r="H2757" s="1">
        <v>1.503397E-6</v>
      </c>
      <c r="I2757">
        <v>274.46589999999998</v>
      </c>
      <c r="J2757">
        <v>-484.22739999999999</v>
      </c>
      <c r="K2757">
        <v>1.111191</v>
      </c>
      <c r="L2757">
        <v>281.06509999999997</v>
      </c>
      <c r="M2757">
        <v>-0.91276809999999997</v>
      </c>
      <c r="N2757">
        <v>0</v>
      </c>
      <c r="O2757">
        <v>-0.40829749999999998</v>
      </c>
      <c r="P2757">
        <v>-0.87588549999999998</v>
      </c>
      <c r="Q2757">
        <v>5.4053779999999997E-3</v>
      </c>
      <c r="R2757">
        <v>-0.4824889</v>
      </c>
      <c r="S2757">
        <v>-2.395203</v>
      </c>
      <c r="T2757">
        <v>-0.31464710000000001</v>
      </c>
      <c r="U2757">
        <v>-1.8756710000000001</v>
      </c>
      <c r="V2757">
        <v>-8.2833450000000003E-2</v>
      </c>
      <c r="W2757">
        <v>1.7288129999999999E-2</v>
      </c>
      <c r="X2757">
        <v>0.9964134</v>
      </c>
      <c r="Y2757">
        <v>-0.2420475</v>
      </c>
      <c r="Z2757">
        <v>3.0537680000000001E-2</v>
      </c>
      <c r="AA2757">
        <v>0.96978370000000003</v>
      </c>
      <c r="AB2757">
        <v>10</v>
      </c>
      <c r="AC2757">
        <v>-8.4093999999999998</v>
      </c>
      <c r="AD2757">
        <v>-1.111189496603</v>
      </c>
      <c r="AE2757">
        <v>-6.59919999999999</v>
      </c>
      <c r="AF2757">
        <v>-2.5625036460894899</v>
      </c>
      <c r="AG2757">
        <v>-1.111189496603</v>
      </c>
      <c r="AH2757">
        <v>10.260165578607999</v>
      </c>
      <c r="AI2757">
        <v>95.998276796314798</v>
      </c>
      <c r="AJ2757">
        <v>104.022904777832</v>
      </c>
      <c r="AK2757">
        <v>10.633539614542</v>
      </c>
      <c r="AL2757">
        <v>89.009413728982295</v>
      </c>
      <c r="AM2757">
        <v>94.752163303681698</v>
      </c>
      <c r="AN2757">
        <v>0.999999961788678</v>
      </c>
    </row>
    <row r="2758" spans="1:40" x14ac:dyDescent="0.25">
      <c r="A2758" t="str">
        <f>"20190312160655770"</f>
        <v>20190312160655770</v>
      </c>
      <c r="B2758" t="str">
        <f>"1552378015767718"</f>
        <v>1552378015767718</v>
      </c>
      <c r="C2758" t="s">
        <v>40</v>
      </c>
      <c r="D2758">
        <v>5.1706329999999996</v>
      </c>
      <c r="E2758">
        <v>0.38785579999999997</v>
      </c>
      <c r="F2758" t="s">
        <v>61</v>
      </c>
      <c r="G2758">
        <v>-492.6019</v>
      </c>
      <c r="H2758" s="1">
        <v>1.5050519999999999E-6</v>
      </c>
      <c r="I2758">
        <v>274.45780000000002</v>
      </c>
      <c r="J2758">
        <v>-484.27159999999998</v>
      </c>
      <c r="K2758">
        <v>1.1111879999999901</v>
      </c>
      <c r="L2758">
        <v>281.0428</v>
      </c>
      <c r="M2758">
        <v>-0.91195110000000001</v>
      </c>
      <c r="N2758">
        <v>0</v>
      </c>
      <c r="O2758">
        <v>-0.41011890000000001</v>
      </c>
      <c r="P2758">
        <v>-0.87483899999999903</v>
      </c>
      <c r="Q2758">
        <v>5.200161E-3</v>
      </c>
      <c r="R2758">
        <v>-0.48438589999999998</v>
      </c>
      <c r="S2758">
        <v>-2.3888240000000001</v>
      </c>
      <c r="T2758">
        <v>-0.31696560000000001</v>
      </c>
      <c r="U2758">
        <v>-1.884735</v>
      </c>
      <c r="V2758">
        <v>-8.3002399999999907E-2</v>
      </c>
      <c r="W2758">
        <v>1.7080729999999999E-2</v>
      </c>
      <c r="X2758">
        <v>0.99640300000000004</v>
      </c>
      <c r="Y2758">
        <v>-0.24364930000000001</v>
      </c>
      <c r="Z2758">
        <v>3.0875449999999999E-2</v>
      </c>
      <c r="AA2758">
        <v>0.96937180000000001</v>
      </c>
      <c r="AB2758">
        <v>10</v>
      </c>
      <c r="AC2758">
        <v>-8.3303000000000207</v>
      </c>
      <c r="AD2758">
        <v>-1.1111864949479999</v>
      </c>
      <c r="AE2758">
        <v>-6.5849999999999804</v>
      </c>
      <c r="AF2758">
        <v>-2.5609322197210802</v>
      </c>
      <c r="AG2758">
        <v>-1.1111864949479999</v>
      </c>
      <c r="AH2758">
        <v>10.186670557833001</v>
      </c>
      <c r="AI2758">
        <v>96.038889146151007</v>
      </c>
      <c r="AJ2758">
        <v>104.111731326867</v>
      </c>
      <c r="AK2758">
        <v>10.5622614204716</v>
      </c>
      <c r="AL2758">
        <v>89.021298709633996</v>
      </c>
      <c r="AM2758">
        <v>94.761860929226302</v>
      </c>
      <c r="AN2758">
        <v>1.0000000440760399</v>
      </c>
    </row>
    <row r="2759" spans="1:40" x14ac:dyDescent="0.25">
      <c r="A2759" t="str">
        <f>"20190312160655781"</f>
        <v>20190312160655781</v>
      </c>
      <c r="B2759" t="str">
        <f>"1552378015777477"</f>
        <v>1552378015777477</v>
      </c>
      <c r="C2759" t="s">
        <v>40</v>
      </c>
      <c r="D2759">
        <v>5.9799439999999997</v>
      </c>
      <c r="E2759">
        <v>0.3774207</v>
      </c>
      <c r="F2759" t="s">
        <v>61</v>
      </c>
      <c r="G2759">
        <v>-494.58300000000003</v>
      </c>
      <c r="H2759" s="1">
        <v>3.1933669999999999E-7</v>
      </c>
      <c r="I2759">
        <v>270.5197</v>
      </c>
      <c r="J2759">
        <v>-484.3116</v>
      </c>
      <c r="K2759">
        <v>1.1111850000000001</v>
      </c>
      <c r="L2759">
        <v>281.02260000000001</v>
      </c>
      <c r="M2759">
        <v>-0.91120610000000002</v>
      </c>
      <c r="N2759">
        <v>0</v>
      </c>
      <c r="O2759">
        <v>-0.41177130000000001</v>
      </c>
      <c r="P2759">
        <v>-0.87389709999999998</v>
      </c>
      <c r="Q2759">
        <v>5.2073930000000003E-3</v>
      </c>
      <c r="R2759">
        <v>-0.4860833</v>
      </c>
      <c r="S2759">
        <v>-2.1920169999999999</v>
      </c>
      <c r="T2759">
        <v>-0.23621809999999999</v>
      </c>
      <c r="U2759">
        <v>-2.2370299999999999</v>
      </c>
      <c r="V2759">
        <v>-8.3130670000000004E-2</v>
      </c>
      <c r="W2759">
        <v>1.7085980000000001E-2</v>
      </c>
      <c r="X2759">
        <v>0.99639219999999895</v>
      </c>
      <c r="Y2759">
        <v>-0.36274250000000002</v>
      </c>
      <c r="Z2759">
        <v>1.812391E-2</v>
      </c>
      <c r="AA2759">
        <v>0.93171320000000002</v>
      </c>
      <c r="AB2759">
        <v>10</v>
      </c>
      <c r="AC2759">
        <v>-10.2714</v>
      </c>
      <c r="AD2759">
        <v>-1.1111846806632999</v>
      </c>
      <c r="AE2759">
        <v>-10.5029</v>
      </c>
      <c r="AF2759">
        <v>-5.3108486239340102</v>
      </c>
      <c r="AG2759">
        <v>-1.1111846806632999</v>
      </c>
      <c r="AH2759">
        <v>13.607315047865599</v>
      </c>
      <c r="AI2759">
        <v>94.350232925862599</v>
      </c>
      <c r="AJ2759">
        <v>111.32038573129</v>
      </c>
      <c r="AK2759">
        <v>14.6491934014386</v>
      </c>
      <c r="AL2759">
        <v>89.020997846783999</v>
      </c>
      <c r="AM2759">
        <v>94.769237336977596</v>
      </c>
      <c r="AN2759">
        <v>1.00000002761402</v>
      </c>
    </row>
    <row r="2760" spans="1:40" x14ac:dyDescent="0.25">
      <c r="A2760" t="str">
        <f>"20190312160655792"</f>
        <v>20190312160655792</v>
      </c>
      <c r="B2760" t="str">
        <f>"1552378015788213"</f>
        <v>1552378015788213</v>
      </c>
      <c r="C2760" t="s">
        <v>40</v>
      </c>
      <c r="D2760">
        <v>5.4018199999999998</v>
      </c>
      <c r="E2760">
        <v>0.3721352</v>
      </c>
      <c r="F2760" t="s">
        <v>47</v>
      </c>
      <c r="G2760">
        <v>-495.74459999999999</v>
      </c>
      <c r="H2760" s="1">
        <v>-5.0053839999999999E-6</v>
      </c>
      <c r="I2760">
        <v>268.70100000000002</v>
      </c>
      <c r="J2760">
        <v>-484.35680000000002</v>
      </c>
      <c r="K2760">
        <v>1.111183</v>
      </c>
      <c r="L2760">
        <v>280.99959999999999</v>
      </c>
      <c r="M2760">
        <v>-0.91036030000000001</v>
      </c>
      <c r="N2760">
        <v>0</v>
      </c>
      <c r="O2760">
        <v>-0.41363830000000001</v>
      </c>
      <c r="P2760">
        <v>-0.87285440000000003</v>
      </c>
      <c r="Q2760">
        <v>4.8272740000000003E-3</v>
      </c>
      <c r="R2760">
        <v>-0.48795699999999997</v>
      </c>
      <c r="S2760">
        <v>-2.1470639999999999</v>
      </c>
      <c r="T2760">
        <v>-0.20867620000000001</v>
      </c>
      <c r="U2760">
        <v>-2.3139340000000002</v>
      </c>
      <c r="V2760">
        <v>-8.3223870000000005E-2</v>
      </c>
      <c r="W2760">
        <v>1.6703610000000001E-2</v>
      </c>
      <c r="X2760">
        <v>0.99639089999999997</v>
      </c>
      <c r="Y2760">
        <v>-0.38602690000000001</v>
      </c>
      <c r="Z2760">
        <v>1.524243E-2</v>
      </c>
      <c r="AA2760">
        <v>0.9223616</v>
      </c>
      <c r="AB2760">
        <v>10</v>
      </c>
      <c r="AC2760">
        <v>-11.387799999999899</v>
      </c>
      <c r="AD2760">
        <v>-1.111188005384</v>
      </c>
      <c r="AE2760">
        <v>-12.2986</v>
      </c>
      <c r="AF2760">
        <v>-6.4578227160686401</v>
      </c>
      <c r="AG2760">
        <v>-1.111188005384</v>
      </c>
      <c r="AH2760">
        <v>15.387682879181099</v>
      </c>
      <c r="AI2760">
        <v>93.809510942852896</v>
      </c>
      <c r="AJ2760">
        <v>112.766565182809</v>
      </c>
      <c r="AK2760">
        <v>16.7248018644684</v>
      </c>
      <c r="AL2760">
        <v>89.042909157755105</v>
      </c>
      <c r="AM2760">
        <v>94.774565750880598</v>
      </c>
      <c r="AN2760">
        <v>1.0000000243638001</v>
      </c>
    </row>
    <row r="2761" spans="1:40" x14ac:dyDescent="0.25">
      <c r="A2761" t="str">
        <f>"20190312160655803"</f>
        <v>20190312160655803</v>
      </c>
      <c r="B2761" t="str">
        <f>"1552378015797973"</f>
        <v>1552378015797973</v>
      </c>
      <c r="C2761" t="s">
        <v>40</v>
      </c>
      <c r="D2761">
        <v>8.0738979999999998</v>
      </c>
      <c r="E2761">
        <v>0.36376259999999999</v>
      </c>
      <c r="F2761" t="s">
        <v>47</v>
      </c>
      <c r="G2761">
        <v>-494.67039999999997</v>
      </c>
      <c r="H2761" s="1">
        <v>-5.103601E-6</v>
      </c>
      <c r="I2761">
        <v>269.54950000000002</v>
      </c>
      <c r="J2761">
        <v>-484.40179999999998</v>
      </c>
      <c r="K2761">
        <v>1.1111789999999999</v>
      </c>
      <c r="L2761">
        <v>280.97649999999999</v>
      </c>
      <c r="M2761">
        <v>-0.90951020000000005</v>
      </c>
      <c r="N2761">
        <v>0</v>
      </c>
      <c r="O2761">
        <v>-0.41550340000000002</v>
      </c>
      <c r="P2761">
        <v>-0.87172590000000005</v>
      </c>
      <c r="Q2761">
        <v>4.8299700000000003E-3</v>
      </c>
      <c r="R2761">
        <v>-0.4899694</v>
      </c>
      <c r="S2761">
        <v>-2.1215820000000001</v>
      </c>
      <c r="T2761">
        <v>-0.22857769999999999</v>
      </c>
      <c r="U2761">
        <v>-2.3553470000000001</v>
      </c>
      <c r="V2761">
        <v>-8.3480429999999994E-2</v>
      </c>
      <c r="W2761">
        <v>1.6703610000000001E-2</v>
      </c>
      <c r="X2761">
        <v>0.99636939999999996</v>
      </c>
      <c r="Y2761">
        <v>-0.39771610000000002</v>
      </c>
      <c r="Z2761">
        <v>1.6334999999999999E-2</v>
      </c>
      <c r="AA2761">
        <v>0.91736309999999999</v>
      </c>
      <c r="AB2761">
        <v>10</v>
      </c>
      <c r="AC2761">
        <v>-10.2685999999999</v>
      </c>
      <c r="AD2761">
        <v>-1.111184103601</v>
      </c>
      <c r="AE2761">
        <v>-11.4269999999999</v>
      </c>
      <c r="AF2761">
        <v>-6.0949034079744902</v>
      </c>
      <c r="AG2761">
        <v>-1.111184103601</v>
      </c>
      <c r="AH2761">
        <v>14.0150779944971</v>
      </c>
      <c r="AI2761">
        <v>94.158496628010894</v>
      </c>
      <c r="AJ2761">
        <v>113.503348862555</v>
      </c>
      <c r="AK2761">
        <v>15.3233478344803</v>
      </c>
      <c r="AL2761">
        <v>89.042909122008595</v>
      </c>
      <c r="AM2761">
        <v>94.789319139447102</v>
      </c>
      <c r="AN2761">
        <v>0.99999998701818804</v>
      </c>
    </row>
    <row r="2762" spans="1:40" x14ac:dyDescent="0.25">
      <c r="A2762" t="str">
        <f>"20190312160655814"</f>
        <v>20190312160655814</v>
      </c>
      <c r="B2762" t="str">
        <f>"1552378015807733"</f>
        <v>1552378015807733</v>
      </c>
      <c r="C2762" t="s">
        <v>40</v>
      </c>
      <c r="D2762">
        <v>5.5342039999999999</v>
      </c>
      <c r="E2762">
        <v>0.36031849999999999</v>
      </c>
      <c r="F2762" t="s">
        <v>47</v>
      </c>
      <c r="G2762">
        <v>-494.91219999999998</v>
      </c>
      <c r="H2762" s="1">
        <v>-4.8836710000000002E-6</v>
      </c>
      <c r="I2762">
        <v>268.77719999999999</v>
      </c>
      <c r="J2762">
        <v>-484.44639999999998</v>
      </c>
      <c r="K2762">
        <v>1.1111719999999901</v>
      </c>
      <c r="L2762">
        <v>280.95350000000002</v>
      </c>
      <c r="M2762">
        <v>-0.9086632</v>
      </c>
      <c r="N2762">
        <v>0</v>
      </c>
      <c r="O2762">
        <v>-0.41735339999999999</v>
      </c>
      <c r="P2762">
        <v>-0.87060689999999996</v>
      </c>
      <c r="Q2762">
        <v>4.673137E-3</v>
      </c>
      <c r="R2762">
        <v>-0.49195729999999999</v>
      </c>
      <c r="S2762">
        <v>-2.083466</v>
      </c>
      <c r="T2762">
        <v>-0.2202682</v>
      </c>
      <c r="U2762">
        <v>-2.4182429999999999</v>
      </c>
      <c r="V2762">
        <v>-8.3725330000000001E-2</v>
      </c>
      <c r="W2762">
        <v>1.6544369999999999E-2</v>
      </c>
      <c r="X2762">
        <v>0.99635149999999995</v>
      </c>
      <c r="Y2762">
        <v>-0.41597499999999998</v>
      </c>
      <c r="Z2762">
        <v>1.5120150000000001E-2</v>
      </c>
      <c r="AA2762">
        <v>0.90925040000000001</v>
      </c>
      <c r="AB2762">
        <v>10</v>
      </c>
      <c r="AC2762">
        <v>-10.4658</v>
      </c>
      <c r="AD2762">
        <v>-1.1111768836710001</v>
      </c>
      <c r="AE2762">
        <v>-12.176299999999999</v>
      </c>
      <c r="AF2762">
        <v>-6.6647907236790198</v>
      </c>
      <c r="AG2762">
        <v>-1.1111768836710001</v>
      </c>
      <c r="AH2762">
        <v>14.5232233415349</v>
      </c>
      <c r="AI2762">
        <v>93.977818101561994</v>
      </c>
      <c r="AJ2762">
        <v>114.650662438358</v>
      </c>
      <c r="AK2762">
        <v>16.018057487890001</v>
      </c>
      <c r="AL2762">
        <v>89.052034155727895</v>
      </c>
      <c r="AM2762">
        <v>94.803389438424304</v>
      </c>
      <c r="AN2762">
        <v>0.99999997930727702</v>
      </c>
    </row>
    <row r="2763" spans="1:40" x14ac:dyDescent="0.25">
      <c r="A2763" t="str">
        <f>"20190312160655825"</f>
        <v>20190312160655825</v>
      </c>
      <c r="B2763" t="str">
        <f>"1552378015817493"</f>
        <v>1552378015817493</v>
      </c>
      <c r="C2763" t="s">
        <v>40</v>
      </c>
      <c r="D2763">
        <v>5.5646240000000002</v>
      </c>
      <c r="E2763">
        <v>0.35822979999999999</v>
      </c>
      <c r="F2763" t="s">
        <v>47</v>
      </c>
      <c r="G2763">
        <v>-494.3716</v>
      </c>
      <c r="H2763" s="1">
        <v>-4.9287029999999998E-6</v>
      </c>
      <c r="I2763">
        <v>269.19130000000001</v>
      </c>
      <c r="J2763">
        <v>-484.49160000000001</v>
      </c>
      <c r="K2763">
        <v>1.1111660000000001</v>
      </c>
      <c r="L2763">
        <v>280.93</v>
      </c>
      <c r="M2763">
        <v>-0.90779679999999996</v>
      </c>
      <c r="N2763">
        <v>0</v>
      </c>
      <c r="O2763">
        <v>-0.41923480000000002</v>
      </c>
      <c r="P2763">
        <v>-0.86944500000000002</v>
      </c>
      <c r="Q2763">
        <v>4.6230330000000004E-3</v>
      </c>
      <c r="R2763">
        <v>-0.49400870000000002</v>
      </c>
      <c r="S2763">
        <v>-2.064575</v>
      </c>
      <c r="T2763">
        <v>-0.2311386</v>
      </c>
      <c r="U2763">
        <v>-2.4466860000000001</v>
      </c>
      <c r="V2763">
        <v>-8.4009979999999998E-2</v>
      </c>
      <c r="W2763">
        <v>1.6490970000000001E-2</v>
      </c>
      <c r="X2763">
        <v>0.99632849999999995</v>
      </c>
      <c r="Y2763">
        <v>-0.42339789999999999</v>
      </c>
      <c r="Z2763">
        <v>1.5686470000000001E-2</v>
      </c>
      <c r="AA2763">
        <v>0.90580799999999995</v>
      </c>
      <c r="AB2763">
        <v>10</v>
      </c>
      <c r="AC2763">
        <v>-9.8799999999999901</v>
      </c>
      <c r="AD2763">
        <v>-1.1111709287029901</v>
      </c>
      <c r="AE2763">
        <v>-11.7386999999999</v>
      </c>
      <c r="AF2763">
        <v>-6.4808029033431902</v>
      </c>
      <c r="AG2763">
        <v>-1.1111709287029901</v>
      </c>
      <c r="AH2763">
        <v>13.818848081023001</v>
      </c>
      <c r="AI2763">
        <v>94.163859318339902</v>
      </c>
      <c r="AJ2763">
        <v>115.125772367075</v>
      </c>
      <c r="AK2763">
        <v>15.303465927402501</v>
      </c>
      <c r="AL2763">
        <v>89.055094238818</v>
      </c>
      <c r="AM2763">
        <v>94.8197539757481</v>
      </c>
      <c r="AN2763">
        <v>1.00000005437169</v>
      </c>
    </row>
    <row r="2764" spans="1:40" x14ac:dyDescent="0.25">
      <c r="A2764" t="str">
        <f>"20190312160655837"</f>
        <v>20190312160655837</v>
      </c>
      <c r="B2764" t="str">
        <f>"1552378015828229"</f>
        <v>1552378015828229</v>
      </c>
      <c r="C2764" t="s">
        <v>40</v>
      </c>
      <c r="D2764">
        <v>6.1366959999999997</v>
      </c>
      <c r="E2764">
        <v>0.35461540000000003</v>
      </c>
      <c r="F2764" t="s">
        <v>61</v>
      </c>
      <c r="G2764">
        <v>-493.8639</v>
      </c>
      <c r="H2764" s="1">
        <v>1.4069759999999999E-8</v>
      </c>
      <c r="I2764">
        <v>269.65609999999998</v>
      </c>
      <c r="J2764">
        <v>-484.53469999999999</v>
      </c>
      <c r="K2764">
        <v>1.1111610000000001</v>
      </c>
      <c r="L2764">
        <v>280.9076</v>
      </c>
      <c r="M2764">
        <v>-0.90696810000000005</v>
      </c>
      <c r="N2764">
        <v>0</v>
      </c>
      <c r="O2764">
        <v>-0.42102489999999998</v>
      </c>
      <c r="P2764">
        <v>-0.86838309999999996</v>
      </c>
      <c r="Q2764">
        <v>4.1354540000000002E-3</v>
      </c>
      <c r="R2764">
        <v>-0.49587720000000002</v>
      </c>
      <c r="S2764">
        <v>-2.0503849999999999</v>
      </c>
      <c r="T2764">
        <v>-0.2430909</v>
      </c>
      <c r="U2764">
        <v>-2.4664000000000001</v>
      </c>
      <c r="V2764">
        <v>-8.4184529999999994E-2</v>
      </c>
      <c r="W2764">
        <v>1.60018E-2</v>
      </c>
      <c r="X2764">
        <v>0.99632169999999998</v>
      </c>
      <c r="Y2764">
        <v>-0.42824380000000001</v>
      </c>
      <c r="Z2764">
        <v>1.6420669999999998E-2</v>
      </c>
      <c r="AA2764">
        <v>0.90351400000000004</v>
      </c>
      <c r="AB2764">
        <v>10</v>
      </c>
      <c r="AC2764">
        <v>-9.3292000000000108</v>
      </c>
      <c r="AD2764">
        <v>-1.11116098593024</v>
      </c>
      <c r="AE2764">
        <v>-11.2515</v>
      </c>
      <c r="AF2764">
        <v>-6.24131540277242</v>
      </c>
      <c r="AG2764">
        <v>-1.11116098593024</v>
      </c>
      <c r="AH2764">
        <v>13.1235701393837</v>
      </c>
      <c r="AI2764">
        <v>94.372469820619202</v>
      </c>
      <c r="AJ2764">
        <v>115.434854162457</v>
      </c>
      <c r="AK2764">
        <v>14.574525374668699</v>
      </c>
      <c r="AL2764">
        <v>89.083125274112007</v>
      </c>
      <c r="AM2764">
        <v>94.829753606053103</v>
      </c>
      <c r="AN2764">
        <v>1.0000000112927201</v>
      </c>
    </row>
    <row r="2765" spans="1:40" x14ac:dyDescent="0.25">
      <c r="A2765" t="str">
        <f>"20190312160655847"</f>
        <v>20190312160655847</v>
      </c>
      <c r="B2765" t="str">
        <f>"1552378015837989"</f>
        <v>1552378015837989</v>
      </c>
      <c r="C2765" t="s">
        <v>40</v>
      </c>
      <c r="D2765">
        <v>5.5717819999999998</v>
      </c>
      <c r="E2765">
        <v>0.35138599999999998</v>
      </c>
      <c r="F2765" t="s">
        <v>47</v>
      </c>
      <c r="G2765">
        <v>-494.09649999999999</v>
      </c>
      <c r="H2765" s="1">
        <v>-4.8678820000000004E-6</v>
      </c>
      <c r="I2765">
        <v>269.15600000000001</v>
      </c>
      <c r="J2765">
        <v>-484.57870000000003</v>
      </c>
      <c r="K2765">
        <v>1.1111519999999999</v>
      </c>
      <c r="L2765">
        <v>280.88459999999998</v>
      </c>
      <c r="M2765">
        <v>-0.90611699999999995</v>
      </c>
      <c r="N2765">
        <v>0</v>
      </c>
      <c r="O2765">
        <v>-0.42285329999999899</v>
      </c>
      <c r="P2765">
        <v>-0.86744709999999903</v>
      </c>
      <c r="Q2765">
        <v>3.9036700000000001E-3</v>
      </c>
      <c r="R2765">
        <v>-0.49751430000000002</v>
      </c>
      <c r="S2765">
        <v>-2.0306700000000002</v>
      </c>
      <c r="T2765">
        <v>-0.23598189999999999</v>
      </c>
      <c r="U2765">
        <v>-2.4957280000000002</v>
      </c>
      <c r="V2765">
        <v>-8.4053249999999996E-2</v>
      </c>
      <c r="W2765">
        <v>1.5768649999999999E-2</v>
      </c>
      <c r="X2765">
        <v>0.99633649999999996</v>
      </c>
      <c r="Y2765">
        <v>-0.435919</v>
      </c>
      <c r="Z2765">
        <v>1.5742929999999999E-2</v>
      </c>
      <c r="AA2765">
        <v>0.89984819999999999</v>
      </c>
      <c r="AB2765">
        <v>10</v>
      </c>
      <c r="AC2765">
        <v>-9.5177999999999603</v>
      </c>
      <c r="AD2765">
        <v>-1.1111568678820001</v>
      </c>
      <c r="AE2765">
        <v>-11.728599999999901</v>
      </c>
      <c r="AF2765">
        <v>-6.5677934298320899</v>
      </c>
      <c r="AG2765">
        <v>-1.1111568678820001</v>
      </c>
      <c r="AH2765">
        <v>13.5115959967629</v>
      </c>
      <c r="AI2765">
        <v>94.230025684805398</v>
      </c>
      <c r="AJ2765">
        <v>115.92372325532401</v>
      </c>
      <c r="AK2765">
        <v>15.0643223047612</v>
      </c>
      <c r="AL2765">
        <v>89.096485469758093</v>
      </c>
      <c r="AM2765">
        <v>94.822186187400604</v>
      </c>
      <c r="AN2765">
        <v>1.0000000101953099</v>
      </c>
    </row>
    <row r="2766" spans="1:40" x14ac:dyDescent="0.25">
      <c r="A2766" t="str">
        <f>"20190312160655859"</f>
        <v>20190312160655859</v>
      </c>
      <c r="B2766" t="str">
        <f>"1552378015847749"</f>
        <v>1552378015847749</v>
      </c>
      <c r="C2766" t="s">
        <v>40</v>
      </c>
      <c r="D2766">
        <v>5.5598640000000001</v>
      </c>
      <c r="E2766">
        <v>0.35091129999999998</v>
      </c>
      <c r="F2766" t="s">
        <v>47</v>
      </c>
      <c r="G2766">
        <v>-494.4</v>
      </c>
      <c r="H2766" s="1">
        <v>-4.7251879999999998E-6</v>
      </c>
      <c r="I2766">
        <v>268.57850000000002</v>
      </c>
      <c r="J2766">
        <v>-484.6232</v>
      </c>
      <c r="K2766">
        <v>1.111146</v>
      </c>
      <c r="L2766">
        <v>280.8612</v>
      </c>
      <c r="M2766">
        <v>-0.90525160000000005</v>
      </c>
      <c r="N2766">
        <v>0</v>
      </c>
      <c r="O2766">
        <v>-0.42470239999999998</v>
      </c>
      <c r="P2766">
        <v>-0.86650930000000004</v>
      </c>
      <c r="Q2766">
        <v>3.5936520000000001E-3</v>
      </c>
      <c r="R2766">
        <v>-0.49914809999999998</v>
      </c>
      <c r="S2766">
        <v>-2.0128780000000002</v>
      </c>
      <c r="T2766">
        <v>-0.22773189999999999</v>
      </c>
      <c r="U2766">
        <v>-2.5221559999999998</v>
      </c>
      <c r="V2766">
        <v>-8.3894960000000005E-2</v>
      </c>
      <c r="W2766">
        <v>1.5456839999999999E-2</v>
      </c>
      <c r="X2766">
        <v>0.99635469999999904</v>
      </c>
      <c r="Y2766">
        <v>-0.4425654</v>
      </c>
      <c r="Z2766">
        <v>1.5045630000000001E-2</v>
      </c>
      <c r="AA2766">
        <v>0.89661000000000002</v>
      </c>
      <c r="AB2766">
        <v>10</v>
      </c>
      <c r="AC2766">
        <v>-9.7767999999999802</v>
      </c>
      <c r="AD2766">
        <v>-1.111150725188</v>
      </c>
      <c r="AE2766">
        <v>-12.282699999999901</v>
      </c>
      <c r="AF2766">
        <v>-6.93248691182177</v>
      </c>
      <c r="AG2766">
        <v>-1.111150725188</v>
      </c>
      <c r="AH2766">
        <v>13.9978671111407</v>
      </c>
      <c r="AI2766">
        <v>94.068834993820104</v>
      </c>
      <c r="AJ2766">
        <v>116.34705588528399</v>
      </c>
      <c r="AK2766">
        <v>15.659958951983899</v>
      </c>
      <c r="AL2766">
        <v>89.114353020573802</v>
      </c>
      <c r="AM2766">
        <v>94.813060189851598</v>
      </c>
      <c r="AN2766">
        <v>0.99999998321413797</v>
      </c>
    </row>
    <row r="2767" spans="1:40" x14ac:dyDescent="0.25">
      <c r="A2767" t="str">
        <f>"20190312160655871"</f>
        <v>20190312160655871</v>
      </c>
      <c r="B2767" t="str">
        <f>"1552378015868245"</f>
        <v>1552378015868245</v>
      </c>
      <c r="C2767" t="s">
        <v>40</v>
      </c>
      <c r="D2767">
        <v>5.5340220000000002</v>
      </c>
      <c r="E2767">
        <v>0.34934730000000003</v>
      </c>
      <c r="F2767" t="s">
        <v>47</v>
      </c>
      <c r="G2767">
        <v>-494.08350000000002</v>
      </c>
      <c r="H2767" s="1">
        <v>-4.7917150000000004E-6</v>
      </c>
      <c r="I2767">
        <v>268.93900000000002</v>
      </c>
      <c r="J2767">
        <v>-484.67239999999998</v>
      </c>
      <c r="K2767">
        <v>1.11114</v>
      </c>
      <c r="L2767">
        <v>280.83530000000002</v>
      </c>
      <c r="M2767">
        <v>-0.90428949999999997</v>
      </c>
      <c r="N2767">
        <v>0</v>
      </c>
      <c r="O2767">
        <v>-0.4267475</v>
      </c>
      <c r="P2767">
        <v>-0.86545260000000002</v>
      </c>
      <c r="Q2767">
        <v>2.9558459999999998E-3</v>
      </c>
      <c r="R2767">
        <v>-0.50098240000000005</v>
      </c>
      <c r="S2767">
        <v>-2.0065</v>
      </c>
      <c r="T2767">
        <v>-0.2356722</v>
      </c>
      <c r="U2767">
        <v>-2.5286870000000001</v>
      </c>
      <c r="V2767">
        <v>-8.3750399999999905E-2</v>
      </c>
      <c r="W2767">
        <v>1.4817479999999999E-2</v>
      </c>
      <c r="X2767">
        <v>0.99637659999999995</v>
      </c>
      <c r="Y2767">
        <v>-0.44305129999999998</v>
      </c>
      <c r="Z2767">
        <v>1.5709750000000001E-2</v>
      </c>
      <c r="AA2767">
        <v>0.89635849999999995</v>
      </c>
      <c r="AB2767">
        <v>10</v>
      </c>
      <c r="AC2767">
        <v>-9.4111000000000296</v>
      </c>
      <c r="AD2767">
        <v>-1.1111447917149999</v>
      </c>
      <c r="AE2767">
        <v>-11.896299999999901</v>
      </c>
      <c r="AF2767">
        <v>-6.7060476352141203</v>
      </c>
      <c r="AG2767">
        <v>-1.1111447917149999</v>
      </c>
      <c r="AH2767">
        <v>13.515551418965799</v>
      </c>
      <c r="AI2767">
        <v>94.211962898604298</v>
      </c>
      <c r="AJ2767">
        <v>116.389352221697</v>
      </c>
      <c r="AK2767">
        <v>15.1286432898864</v>
      </c>
      <c r="AL2767">
        <v>89.1509898701552</v>
      </c>
      <c r="AM2767">
        <v>94.804700518858297</v>
      </c>
      <c r="AN2767">
        <v>1.0000000081206299</v>
      </c>
    </row>
    <row r="2768" spans="1:40" x14ac:dyDescent="0.25">
      <c r="A2768" t="str">
        <f>"20190312160655883"</f>
        <v>20190312160655883</v>
      </c>
      <c r="B2768" t="str">
        <f>"1552378015878005"</f>
        <v>1552378015878005</v>
      </c>
      <c r="C2768" t="s">
        <v>40</v>
      </c>
      <c r="D2768">
        <v>5.5367309999999996</v>
      </c>
      <c r="E2768">
        <v>0.34894439999999999</v>
      </c>
      <c r="F2768" t="s">
        <v>47</v>
      </c>
      <c r="G2768">
        <v>-493.82850000000002</v>
      </c>
      <c r="H2768" s="1">
        <v>-4.8210120000000004E-6</v>
      </c>
      <c r="I2768">
        <v>269.15800000000002</v>
      </c>
      <c r="J2768">
        <v>-484.72059999999999</v>
      </c>
      <c r="K2768">
        <v>1.1111340000000001</v>
      </c>
      <c r="L2768">
        <v>280.80959999999999</v>
      </c>
      <c r="M2768">
        <v>-0.90333790000000003</v>
      </c>
      <c r="N2768">
        <v>0</v>
      </c>
      <c r="O2768">
        <v>-0.42875809999999998</v>
      </c>
      <c r="P2768">
        <v>-0.8643556</v>
      </c>
      <c r="Q2768">
        <v>2.784365E-3</v>
      </c>
      <c r="R2768">
        <v>-0.50287349999999997</v>
      </c>
      <c r="S2768">
        <v>-1.994629</v>
      </c>
      <c r="T2768">
        <v>-0.24205840000000001</v>
      </c>
      <c r="U2768">
        <v>-2.5438540000000001</v>
      </c>
      <c r="V2768">
        <v>-8.3711179999999996E-2</v>
      </c>
      <c r="W2768">
        <v>1.4643929999999999E-2</v>
      </c>
      <c r="X2768">
        <v>0.99638249999999995</v>
      </c>
      <c r="Y2768">
        <v>-0.44623879999999999</v>
      </c>
      <c r="Z2768">
        <v>1.6151579999999999E-2</v>
      </c>
      <c r="AA2768">
        <v>0.89476819999999901</v>
      </c>
      <c r="AB2768">
        <v>10</v>
      </c>
      <c r="AC2768">
        <v>-9.1079000000000292</v>
      </c>
      <c r="AD2768">
        <v>-1.1111388210119999</v>
      </c>
      <c r="AE2768">
        <v>-11.651599999999901</v>
      </c>
      <c r="AF2768">
        <v>-6.58356907065376</v>
      </c>
      <c r="AG2768">
        <v>-1.1111388210119999</v>
      </c>
      <c r="AH2768">
        <v>13.149970963315999</v>
      </c>
      <c r="AI2768">
        <v>94.320890983146796</v>
      </c>
      <c r="AJ2768">
        <v>116.59496303034</v>
      </c>
      <c r="AK2768">
        <v>14.747872644001299</v>
      </c>
      <c r="AL2768">
        <v>89.160934663712993</v>
      </c>
      <c r="AM2768">
        <v>94.802432717269497</v>
      </c>
      <c r="AN2768">
        <v>1.00000004632454</v>
      </c>
    </row>
    <row r="2769" spans="1:40" x14ac:dyDescent="0.25">
      <c r="A2769" t="str">
        <f>"20190312160655897"</f>
        <v>20190312160655897</v>
      </c>
      <c r="B2769" t="str">
        <f>"1552378015887765"</f>
        <v>1552378015887765</v>
      </c>
      <c r="C2769" t="s">
        <v>40</v>
      </c>
      <c r="D2769">
        <v>7.982958</v>
      </c>
      <c r="E2769">
        <v>0.34894439999999999</v>
      </c>
      <c r="F2769" t="s">
        <v>47</v>
      </c>
      <c r="G2769">
        <v>-493.70690000000002</v>
      </c>
      <c r="H2769" s="1">
        <v>-4.8398860000000001E-6</v>
      </c>
      <c r="I2769">
        <v>269.27679999999998</v>
      </c>
      <c r="J2769">
        <v>-484.7715</v>
      </c>
      <c r="K2769">
        <v>1.111127</v>
      </c>
      <c r="L2769">
        <v>280.7824</v>
      </c>
      <c r="M2769">
        <v>-0.90232950000000001</v>
      </c>
      <c r="N2769">
        <v>0</v>
      </c>
      <c r="O2769">
        <v>-0.4308766</v>
      </c>
      <c r="P2769">
        <v>-0.86309400000000003</v>
      </c>
      <c r="Q2769">
        <v>2.5537120000000001E-3</v>
      </c>
      <c r="R2769">
        <v>-0.50503719999999996</v>
      </c>
      <c r="S2769">
        <v>-1.987549</v>
      </c>
      <c r="T2769">
        <v>-0.24575749999999999</v>
      </c>
      <c r="U2769">
        <v>-2.5507810000000002</v>
      </c>
      <c r="V2769">
        <v>-8.3867789999999998E-2</v>
      </c>
      <c r="W2769">
        <v>1.440982E-2</v>
      </c>
      <c r="X2769">
        <v>0.9963727</v>
      </c>
      <c r="Y2769">
        <v>-0.44686340000000002</v>
      </c>
      <c r="Z2769">
        <v>1.6545529999999999E-2</v>
      </c>
      <c r="AA2769">
        <v>0.89444920000000006</v>
      </c>
      <c r="AB2769">
        <v>10</v>
      </c>
      <c r="AC2769">
        <v>-8.9354000000000102</v>
      </c>
      <c r="AD2769">
        <v>-1.111131839886</v>
      </c>
      <c r="AE2769">
        <v>-11.505599999999999</v>
      </c>
      <c r="AF2769">
        <v>-6.4944847377444699</v>
      </c>
      <c r="AG2769">
        <v>-1.111131839886</v>
      </c>
      <c r="AH2769">
        <v>12.9458111428939</v>
      </c>
      <c r="AI2769">
        <v>94.386965787423307</v>
      </c>
      <c r="AJ2769">
        <v>116.641404560426</v>
      </c>
      <c r="AK2769">
        <v>14.5260790346838</v>
      </c>
      <c r="AL2769">
        <v>89.174349558014399</v>
      </c>
      <c r="AM2769">
        <v>94.811422249629004</v>
      </c>
      <c r="AN2769">
        <v>1.0000000032086001</v>
      </c>
    </row>
    <row r="2770" spans="1:40" x14ac:dyDescent="0.25">
      <c r="A2770" t="str">
        <f>"20190312160655911"</f>
        <v>20190312160655911</v>
      </c>
      <c r="B2770" t="str">
        <f>"1552378015897525"</f>
        <v>1552378015897525</v>
      </c>
      <c r="C2770" t="s">
        <v>40</v>
      </c>
      <c r="D2770">
        <v>5.648269</v>
      </c>
      <c r="E2770">
        <v>0.3487132</v>
      </c>
      <c r="F2770" t="s">
        <v>44</v>
      </c>
      <c r="G2770">
        <v>-485.37670000000003</v>
      </c>
      <c r="H2770">
        <v>1.035606</v>
      </c>
      <c r="I2770">
        <v>280.0018</v>
      </c>
      <c r="J2770">
        <v>-484.82729999999998</v>
      </c>
      <c r="K2770">
        <v>1.11112099999999</v>
      </c>
      <c r="L2770">
        <v>280.7525</v>
      </c>
      <c r="M2770">
        <v>-0.9012175</v>
      </c>
      <c r="N2770">
        <v>0</v>
      </c>
      <c r="O2770">
        <v>-0.43319760000000002</v>
      </c>
      <c r="P2770">
        <v>-0.86163219999999996</v>
      </c>
      <c r="Q2770">
        <v>2.4286099999999999E-3</v>
      </c>
      <c r="R2770">
        <v>-0.50752749999999902</v>
      </c>
      <c r="S2770">
        <v>-1.9811399999999999</v>
      </c>
      <c r="T2770">
        <v>-0.24725040000000001</v>
      </c>
      <c r="U2770">
        <v>-2.5557249999999998</v>
      </c>
      <c r="V2770">
        <v>-8.4180060000000001E-2</v>
      </c>
      <c r="W2770">
        <v>1.428109E-2</v>
      </c>
      <c r="X2770">
        <v>0.99634820000000002</v>
      </c>
      <c r="Y2770">
        <v>-0.44680389999999998</v>
      </c>
      <c r="Z2770">
        <v>1.6845410000000002E-2</v>
      </c>
      <c r="AA2770">
        <v>0.89447330000000003</v>
      </c>
      <c r="AB2770">
        <v>10</v>
      </c>
      <c r="AC2770">
        <v>-0.54940000000004796</v>
      </c>
      <c r="AD2770">
        <v>-7.5514999999999693E-2</v>
      </c>
      <c r="AE2770">
        <v>-0.75069999999999404</v>
      </c>
      <c r="AF2770">
        <v>-0.43570632308238</v>
      </c>
      <c r="AG2770">
        <v>-7.5514999999999693E-2</v>
      </c>
      <c r="AH2770">
        <v>0.81501998001692899</v>
      </c>
      <c r="AI2770">
        <v>94.671306424641003</v>
      </c>
      <c r="AJ2770">
        <v>118.128776364929</v>
      </c>
      <c r="AK2770">
        <v>0.92725405527598603</v>
      </c>
      <c r="AL2770">
        <v>89.181725986887201</v>
      </c>
      <c r="AM2770">
        <v>94.829370527280304</v>
      </c>
      <c r="AN2770">
        <v>0.99999998383821498</v>
      </c>
    </row>
    <row r="2771" spans="1:40" x14ac:dyDescent="0.25">
      <c r="A2771" t="str">
        <f>"20190312160655927"</f>
        <v>20190312160655927</v>
      </c>
      <c r="B2771" t="str">
        <f>"1552378015918022"</f>
        <v>1552378015918022</v>
      </c>
      <c r="C2771" t="s">
        <v>40</v>
      </c>
      <c r="D2771">
        <v>5.5466410000000002</v>
      </c>
      <c r="E2771">
        <v>0.34645599999999999</v>
      </c>
      <c r="F2771" t="s">
        <v>47</v>
      </c>
      <c r="G2771">
        <v>-493.5018</v>
      </c>
      <c r="H2771" s="1">
        <v>-4.8737189999999999E-6</v>
      </c>
      <c r="I2771">
        <v>269.48309999999998</v>
      </c>
      <c r="J2771">
        <v>-484.89170000000001</v>
      </c>
      <c r="K2771">
        <v>1.1111139999999999</v>
      </c>
      <c r="L2771">
        <v>280.7176</v>
      </c>
      <c r="M2771">
        <v>-0.89992419999999995</v>
      </c>
      <c r="N2771">
        <v>0</v>
      </c>
      <c r="O2771">
        <v>-0.43587819999999999</v>
      </c>
      <c r="P2771">
        <v>-0.8598114</v>
      </c>
      <c r="Q2771">
        <v>2.302999E-3</v>
      </c>
      <c r="R2771">
        <v>-0.51060680000000003</v>
      </c>
      <c r="S2771">
        <v>-1.972809</v>
      </c>
      <c r="T2771">
        <v>-0.25269720000000001</v>
      </c>
      <c r="U2771">
        <v>-2.5629270000000002</v>
      </c>
      <c r="V2771">
        <v>-8.4778370000000006E-2</v>
      </c>
      <c r="W2771">
        <v>1.414997E-2</v>
      </c>
      <c r="X2771">
        <v>0.9962993</v>
      </c>
      <c r="Y2771">
        <v>-0.44718350000000001</v>
      </c>
      <c r="Z2771">
        <v>1.7429070000000001E-2</v>
      </c>
      <c r="AA2771">
        <v>0.89427239999999997</v>
      </c>
      <c r="AB2771">
        <v>10</v>
      </c>
      <c r="AC2771">
        <v>-8.6100999999999797</v>
      </c>
      <c r="AD2771">
        <v>-1.1111188737190001</v>
      </c>
      <c r="AE2771">
        <v>-11.234500000000001</v>
      </c>
      <c r="AF2771">
        <v>-6.3187720685412003</v>
      </c>
      <c r="AG2771">
        <v>-1.1111188737190001</v>
      </c>
      <c r="AH2771">
        <v>12.568786684885501</v>
      </c>
      <c r="AI2771">
        <v>94.516044255117706</v>
      </c>
      <c r="AJ2771">
        <v>116.690288406389</v>
      </c>
      <c r="AK2771">
        <v>14.111550741710399</v>
      </c>
      <c r="AL2771">
        <v>89.189239336862798</v>
      </c>
      <c r="AM2771">
        <v>94.863768787643394</v>
      </c>
      <c r="AN2771">
        <v>0.99999994442567197</v>
      </c>
    </row>
    <row r="2772" spans="1:40" x14ac:dyDescent="0.25">
      <c r="A2772" t="str">
        <f>"20190312160655939"</f>
        <v>20190312160655939</v>
      </c>
      <c r="B2772" t="str">
        <f>"1552378015927782"</f>
        <v>1552378015927782</v>
      </c>
      <c r="C2772" t="s">
        <v>40</v>
      </c>
      <c r="D2772">
        <v>6.1262210000000001</v>
      </c>
      <c r="E2772">
        <v>0.3454274</v>
      </c>
      <c r="F2772" t="s">
        <v>47</v>
      </c>
      <c r="G2772">
        <v>-493.75889999999998</v>
      </c>
      <c r="H2772" s="1">
        <v>-4.75077099999999E-6</v>
      </c>
      <c r="I2772">
        <v>268.98790000000002</v>
      </c>
      <c r="J2772">
        <v>-484.94040000000001</v>
      </c>
      <c r="K2772">
        <v>1.1111089999999999</v>
      </c>
      <c r="L2772">
        <v>280.69110000000001</v>
      </c>
      <c r="M2772">
        <v>-0.89893729999999905</v>
      </c>
      <c r="N2772">
        <v>0</v>
      </c>
      <c r="O2772">
        <v>-0.43791010000000002</v>
      </c>
      <c r="P2772">
        <v>-0.85844979999999904</v>
      </c>
      <c r="Q2772">
        <v>2.075768E-3</v>
      </c>
      <c r="R2772">
        <v>-0.51289370000000001</v>
      </c>
      <c r="S2772">
        <v>-1.9544680000000001</v>
      </c>
      <c r="T2772">
        <v>-0.24490709999999999</v>
      </c>
      <c r="U2772">
        <v>-2.5854189999999999</v>
      </c>
      <c r="V2772">
        <v>-8.517864E-2</v>
      </c>
      <c r="W2772">
        <v>1.391825E-2</v>
      </c>
      <c r="X2772">
        <v>0.9962685</v>
      </c>
      <c r="Y2772">
        <v>-0.45294630000000002</v>
      </c>
      <c r="Z2772">
        <v>1.6798130000000001E-2</v>
      </c>
      <c r="AA2772">
        <v>0.89137949999999999</v>
      </c>
      <c r="AB2772">
        <v>10</v>
      </c>
      <c r="AC2772">
        <v>-8.81849999999997</v>
      </c>
      <c r="AD2772">
        <v>-1.1111137507709901</v>
      </c>
      <c r="AE2772">
        <v>-11.703199999999899</v>
      </c>
      <c r="AF2772">
        <v>-6.6211528489676104</v>
      </c>
      <c r="AG2772">
        <v>-1.1111137507709901</v>
      </c>
      <c r="AH2772">
        <v>12.9785650984141</v>
      </c>
      <c r="AI2772">
        <v>94.360978429953207</v>
      </c>
      <c r="AJ2772">
        <v>117.028884495347</v>
      </c>
      <c r="AK2772">
        <v>14.612234286046601</v>
      </c>
      <c r="AL2772">
        <v>89.202517284570106</v>
      </c>
      <c r="AM2772">
        <v>94.886771839812596</v>
      </c>
      <c r="AN2772">
        <v>1.0000000212437801</v>
      </c>
    </row>
    <row r="2773" spans="1:40" x14ac:dyDescent="0.25">
      <c r="A2773" t="str">
        <f>"20190312160655950"</f>
        <v>20190312160655950</v>
      </c>
      <c r="B2773" t="str">
        <f>"1552378015948277"</f>
        <v>1552378015948277</v>
      </c>
      <c r="C2773" t="s">
        <v>40</v>
      </c>
      <c r="D2773">
        <v>5.5056849999999997</v>
      </c>
      <c r="E2773">
        <v>0.34570849999999997</v>
      </c>
      <c r="F2773" t="s">
        <v>44</v>
      </c>
      <c r="G2773">
        <v>-485.51530000000002</v>
      </c>
      <c r="H2773">
        <v>1.039642</v>
      </c>
      <c r="I2773">
        <v>279.92259999999999</v>
      </c>
      <c r="J2773">
        <v>-484.98320000000001</v>
      </c>
      <c r="K2773">
        <v>1.111103</v>
      </c>
      <c r="L2773">
        <v>280.66759999999999</v>
      </c>
      <c r="M2773">
        <v>-0.89806659999999905</v>
      </c>
      <c r="N2773">
        <v>0</v>
      </c>
      <c r="O2773">
        <v>-0.439693</v>
      </c>
      <c r="P2773">
        <v>-0.85730930000000005</v>
      </c>
      <c r="Q2773">
        <v>1.8369669999999999E-3</v>
      </c>
      <c r="R2773">
        <v>-0.5147986</v>
      </c>
      <c r="S2773">
        <v>-1.9433290000000001</v>
      </c>
      <c r="T2773">
        <v>-0.24157580000000001</v>
      </c>
      <c r="U2773">
        <v>-2.597534</v>
      </c>
      <c r="V2773">
        <v>-8.5413130000000004E-2</v>
      </c>
      <c r="W2773">
        <v>1.3676519999999999E-2</v>
      </c>
      <c r="X2773">
        <v>0.99625180000000002</v>
      </c>
      <c r="Y2773">
        <v>-0.4556249</v>
      </c>
      <c r="Z2773">
        <v>1.6597009999999999E-2</v>
      </c>
      <c r="AA2773">
        <v>0.89001719999999895</v>
      </c>
      <c r="AB2773">
        <v>10</v>
      </c>
      <c r="AC2773">
        <v>-0.53210000000001401</v>
      </c>
      <c r="AD2773">
        <v>-7.1461000000000205E-2</v>
      </c>
      <c r="AE2773">
        <v>-0.74500000000000399</v>
      </c>
      <c r="AF2773">
        <v>-0.43249574475237201</v>
      </c>
      <c r="AG2773">
        <v>-7.1461000000000205E-2</v>
      </c>
      <c r="AH2773">
        <v>0.80061356491164104</v>
      </c>
      <c r="AI2773">
        <v>94.490317462665203</v>
      </c>
      <c r="AJ2773">
        <v>118.378155660554</v>
      </c>
      <c r="AK2773">
        <v>0.91276575531208204</v>
      </c>
      <c r="AL2773">
        <v>89.216368733722703</v>
      </c>
      <c r="AM2773">
        <v>94.900241059139006</v>
      </c>
      <c r="AN2773">
        <v>1.0000000494894701</v>
      </c>
    </row>
    <row r="2774" spans="1:40" x14ac:dyDescent="0.25">
      <c r="A2774" t="str">
        <f>"20190312160655960"</f>
        <v>20190312160655960</v>
      </c>
      <c r="B2774" t="str">
        <f>"1552378015948277"</f>
        <v>1552378015948277</v>
      </c>
      <c r="C2774" t="s">
        <v>40</v>
      </c>
      <c r="D2774">
        <v>5.5056849999999997</v>
      </c>
      <c r="E2774">
        <v>0.34570849999999997</v>
      </c>
      <c r="F2774" t="s">
        <v>47</v>
      </c>
      <c r="G2774">
        <v>-493.59949999999998</v>
      </c>
      <c r="H2774" s="1">
        <v>-4.7653370000000003E-6</v>
      </c>
      <c r="I2774">
        <v>269.11369999999999</v>
      </c>
      <c r="J2774">
        <v>-485.02530000000002</v>
      </c>
      <c r="K2774">
        <v>1.111097</v>
      </c>
      <c r="L2774">
        <v>280.64449999999999</v>
      </c>
      <c r="M2774">
        <v>-0.89720619999999995</v>
      </c>
      <c r="N2774">
        <v>0</v>
      </c>
      <c r="O2774">
        <v>-0.4414457</v>
      </c>
      <c r="P2774">
        <v>-0.85610929999999996</v>
      </c>
      <c r="Q2774">
        <v>1.8366879999999999E-3</v>
      </c>
      <c r="R2774">
        <v>-0.51679189999999997</v>
      </c>
      <c r="S2774">
        <v>-1.9387509999999999</v>
      </c>
      <c r="T2774">
        <v>-0.25001240000000002</v>
      </c>
      <c r="U2774">
        <v>-2.5997620000000001</v>
      </c>
      <c r="V2774">
        <v>-8.5785559999999997E-2</v>
      </c>
      <c r="W2774">
        <v>1.367223E-2</v>
      </c>
      <c r="X2774">
        <v>0.99621979999999999</v>
      </c>
      <c r="Y2774">
        <v>-0.45525640000000001</v>
      </c>
      <c r="Z2774">
        <v>1.7345639999999999E-2</v>
      </c>
      <c r="AA2774">
        <v>0.89019139999999997</v>
      </c>
      <c r="AB2774">
        <v>10</v>
      </c>
      <c r="AC2774">
        <v>-8.5741999999999603</v>
      </c>
      <c r="AD2774">
        <v>-1.1111017653369999</v>
      </c>
      <c r="AE2774">
        <v>-11.530799999999999</v>
      </c>
      <c r="AF2774">
        <v>-6.5219473546387503</v>
      </c>
      <c r="AG2774">
        <v>-1.1111017653369999</v>
      </c>
      <c r="AH2774">
        <v>12.7080026762233</v>
      </c>
      <c r="AI2774">
        <v>94.447917483235003</v>
      </c>
      <c r="AJ2774">
        <v>117.167609723463</v>
      </c>
      <c r="AK2774">
        <v>14.3270260852877</v>
      </c>
      <c r="AL2774">
        <v>89.216614509801104</v>
      </c>
      <c r="AM2774">
        <v>94.921660351483197</v>
      </c>
      <c r="AN2774">
        <v>0.99999999104486303</v>
      </c>
    </row>
    <row r="2775" spans="1:40" x14ac:dyDescent="0.25">
      <c r="A2775" t="str">
        <f>"20190312160655983"</f>
        <v>20190312160655983</v>
      </c>
      <c r="B2775" t="str">
        <f>"1552378015977558"</f>
        <v>1552378015977558</v>
      </c>
      <c r="C2775" t="s">
        <v>40</v>
      </c>
      <c r="D2775">
        <v>9.3709319999999998</v>
      </c>
      <c r="E2775">
        <v>0.34570849999999997</v>
      </c>
      <c r="F2775" t="s">
        <v>44</v>
      </c>
      <c r="G2775">
        <v>-485.60019999999997</v>
      </c>
      <c r="H2775">
        <v>1.0368139999999999</v>
      </c>
      <c r="I2775">
        <v>279.87020000000001</v>
      </c>
      <c r="J2775">
        <v>-485.11160000000001</v>
      </c>
      <c r="K2775">
        <v>1.111083</v>
      </c>
      <c r="L2775">
        <v>280.5967</v>
      </c>
      <c r="M2775">
        <v>-0.89542790000000005</v>
      </c>
      <c r="N2775">
        <v>0</v>
      </c>
      <c r="O2775">
        <v>-0.4450423</v>
      </c>
      <c r="P2775">
        <v>-0.85376030000000003</v>
      </c>
      <c r="Q2775">
        <v>1.503447E-3</v>
      </c>
      <c r="R2775">
        <v>-0.52066449999999997</v>
      </c>
      <c r="S2775">
        <v>-1.9326479999999999</v>
      </c>
      <c r="T2775">
        <v>-0.24974540000000001</v>
      </c>
      <c r="U2775">
        <v>-2.6043090000000002</v>
      </c>
      <c r="V2775">
        <v>-8.6299470000000003E-2</v>
      </c>
      <c r="W2775">
        <v>1.3331799999999901E-2</v>
      </c>
      <c r="X2775">
        <v>0.99618010000000001</v>
      </c>
      <c r="Y2775">
        <v>-0.45378459999999998</v>
      </c>
      <c r="Z2775">
        <v>1.769662E-2</v>
      </c>
      <c r="AA2775">
        <v>0.8909357</v>
      </c>
      <c r="AB2775">
        <v>10</v>
      </c>
      <c r="AC2775">
        <v>-0.48859999999996201</v>
      </c>
      <c r="AD2775">
        <v>-7.4269000000000099E-2</v>
      </c>
      <c r="AE2775">
        <v>-0.72649999999998705</v>
      </c>
      <c r="AF2775">
        <v>-0.43001800522476602</v>
      </c>
      <c r="AG2775">
        <v>-7.4269000000000099E-2</v>
      </c>
      <c r="AH2775">
        <v>0.75544880656014401</v>
      </c>
      <c r="AI2775">
        <v>94.883436225232401</v>
      </c>
      <c r="AJ2775">
        <v>119.64947971072201</v>
      </c>
      <c r="AK2775">
        <v>0.87243009376776604</v>
      </c>
      <c r="AL2775">
        <v>89.236121545844199</v>
      </c>
      <c r="AM2775">
        <v>94.951194434241401</v>
      </c>
      <c r="AN2775">
        <v>1.0000000635247599</v>
      </c>
    </row>
    <row r="2776" spans="1:40" x14ac:dyDescent="0.25">
      <c r="A2776" t="str">
        <f>"20190312160656021"</f>
        <v>20190312160656021</v>
      </c>
      <c r="B2776" t="str">
        <f>"1552378016017574"</f>
        <v>1552378016017574</v>
      </c>
      <c r="C2776" t="s">
        <v>40</v>
      </c>
      <c r="D2776">
        <v>4.8244239999999996</v>
      </c>
      <c r="E2776">
        <v>0.34742440000000002</v>
      </c>
      <c r="F2776" t="s">
        <v>44</v>
      </c>
      <c r="G2776">
        <v>-485.68389999999999</v>
      </c>
      <c r="H2776">
        <v>1.03643</v>
      </c>
      <c r="I2776">
        <v>279.81830000000002</v>
      </c>
      <c r="J2776">
        <v>-485.25850000000003</v>
      </c>
      <c r="K2776">
        <v>1.1110739999999999</v>
      </c>
      <c r="L2776">
        <v>280.51440000000002</v>
      </c>
      <c r="M2776">
        <v>-0.89236130000000002</v>
      </c>
      <c r="N2776">
        <v>0</v>
      </c>
      <c r="O2776">
        <v>-0.4511598</v>
      </c>
      <c r="P2776">
        <v>-0.8495663</v>
      </c>
      <c r="Q2776">
        <v>1.851639E-3</v>
      </c>
      <c r="R2776">
        <v>-0.52747909999999998</v>
      </c>
      <c r="S2776">
        <v>-1.920593</v>
      </c>
      <c r="T2776">
        <v>-0.25055690000000003</v>
      </c>
      <c r="U2776">
        <v>-2.6133730000000002</v>
      </c>
      <c r="V2776">
        <v>-8.7453779999999995E-2</v>
      </c>
      <c r="W2776">
        <v>1.366698E-2</v>
      </c>
      <c r="X2776">
        <v>0.99607480000000004</v>
      </c>
      <c r="Y2776">
        <v>-0.45184639999999998</v>
      </c>
      <c r="Z2776">
        <v>1.8360669999999999E-2</v>
      </c>
      <c r="AA2776">
        <v>0.8919068</v>
      </c>
      <c r="AB2776">
        <v>10</v>
      </c>
      <c r="AC2776">
        <v>-0.42539999999996703</v>
      </c>
      <c r="AD2776">
        <v>-7.4643999999999905E-2</v>
      </c>
      <c r="AE2776">
        <v>-0.69610000000000105</v>
      </c>
      <c r="AF2776">
        <v>-0.42571659870217399</v>
      </c>
      <c r="AG2776">
        <v>-7.4643999999999905E-2</v>
      </c>
      <c r="AH2776">
        <v>0.68795398643528904</v>
      </c>
      <c r="AI2776">
        <v>95.271446546450207</v>
      </c>
      <c r="AJ2776">
        <v>121.74986476212401</v>
      </c>
      <c r="AK2776">
        <v>0.81245740602123495</v>
      </c>
      <c r="AL2776">
        <v>89.216915330997594</v>
      </c>
      <c r="AM2776">
        <v>95.017611671701303</v>
      </c>
      <c r="AN2776">
        <v>0.99999997858682399</v>
      </c>
    </row>
    <row r="2777" spans="1:40" x14ac:dyDescent="0.25">
      <c r="A2777" t="str">
        <f>"20190312160656031"</f>
        <v>20190312160656031</v>
      </c>
      <c r="B2777" t="str">
        <f>"1552378016028310"</f>
        <v>1552378016028310</v>
      </c>
      <c r="C2777" t="s">
        <v>40</v>
      </c>
      <c r="D2777">
        <v>5.4201420000000002</v>
      </c>
      <c r="E2777">
        <v>0.41861359999999997</v>
      </c>
      <c r="F2777" t="s">
        <v>44</v>
      </c>
      <c r="G2777">
        <v>-485.8304</v>
      </c>
      <c r="H2777">
        <v>1.033207</v>
      </c>
      <c r="I2777">
        <v>279.7296</v>
      </c>
      <c r="J2777">
        <v>-485.30200000000002</v>
      </c>
      <c r="K2777">
        <v>1.1110690000000001</v>
      </c>
      <c r="L2777">
        <v>280.4898</v>
      </c>
      <c r="M2777">
        <v>-0.89144419999999902</v>
      </c>
      <c r="N2777">
        <v>0</v>
      </c>
      <c r="O2777">
        <v>-0.45296969999999998</v>
      </c>
      <c r="P2777">
        <v>-0.84834089999999995</v>
      </c>
      <c r="Q2777">
        <v>1.8909980000000001E-3</v>
      </c>
      <c r="R2777">
        <v>-0.52944729999999995</v>
      </c>
      <c r="S2777">
        <v>-1.907227</v>
      </c>
      <c r="T2777">
        <v>-0.25965860000000002</v>
      </c>
      <c r="U2777">
        <v>-2.6165470000000002</v>
      </c>
      <c r="V2777">
        <v>-8.7742509999999996E-2</v>
      </c>
      <c r="W2777">
        <v>1.370274E-2</v>
      </c>
      <c r="X2777">
        <v>0.99604890000000001</v>
      </c>
      <c r="Y2777">
        <v>-0.45351409999999998</v>
      </c>
      <c r="Z2777">
        <v>1.9148209999999999E-2</v>
      </c>
      <c r="AA2777">
        <v>0.89104340000000004</v>
      </c>
      <c r="AB2777">
        <v>10</v>
      </c>
      <c r="AC2777">
        <v>-0.52840000000003295</v>
      </c>
      <c r="AD2777">
        <v>-7.7862000000000098E-2</v>
      </c>
      <c r="AE2777">
        <v>-0.76019999999999699</v>
      </c>
      <c r="AF2777">
        <v>-0.43527981539607802</v>
      </c>
      <c r="AG2777">
        <v>-7.7862000000000098E-2</v>
      </c>
      <c r="AH2777">
        <v>0.80971880351769399</v>
      </c>
      <c r="AI2777">
        <v>94.841227732021196</v>
      </c>
      <c r="AJ2777">
        <v>118.26110161085801</v>
      </c>
      <c r="AK2777">
        <v>0.92259175668622195</v>
      </c>
      <c r="AL2777">
        <v>89.214866229105397</v>
      </c>
      <c r="AM2777">
        <v>95.034222637514503</v>
      </c>
      <c r="AN2777">
        <v>0.99999996216790799</v>
      </c>
    </row>
    <row r="2778" spans="1:40" x14ac:dyDescent="0.25">
      <c r="A2778" t="str">
        <f>"20190312160656042"</f>
        <v>20190312160656042</v>
      </c>
      <c r="B2778" t="str">
        <f>"1552378016038070"</f>
        <v>1552378016038070</v>
      </c>
      <c r="C2778" t="s">
        <v>40</v>
      </c>
      <c r="D2778">
        <v>8.9742870000000003</v>
      </c>
      <c r="E2778">
        <v>0.41751519999999998</v>
      </c>
      <c r="F2778" t="s">
        <v>61</v>
      </c>
      <c r="G2778">
        <v>-489.2328</v>
      </c>
      <c r="H2778" s="1">
        <v>2.3652619999999998E-6</v>
      </c>
      <c r="I2778">
        <v>276.67110000000002</v>
      </c>
      <c r="J2778">
        <v>-485.34309999999999</v>
      </c>
      <c r="K2778">
        <v>1.111067</v>
      </c>
      <c r="L2778">
        <v>280.46629999999999</v>
      </c>
      <c r="M2778">
        <v>-0.89056990000000003</v>
      </c>
      <c r="N2778">
        <v>0</v>
      </c>
      <c r="O2778">
        <v>-0.45468599999999998</v>
      </c>
      <c r="P2778">
        <v>-0.84691280000000002</v>
      </c>
      <c r="Q2778">
        <v>1.8263610000000001E-3</v>
      </c>
      <c r="R2778">
        <v>-0.53172869999999905</v>
      </c>
      <c r="S2778">
        <v>-2.2024539999999999</v>
      </c>
      <c r="T2778">
        <v>-0.6225309</v>
      </c>
      <c r="U2778">
        <v>-2.1395870000000001</v>
      </c>
      <c r="V2778">
        <v>-8.8504399999999997E-2</v>
      </c>
      <c r="W2778">
        <v>1.3632180000000001E-2</v>
      </c>
      <c r="X2778">
        <v>0.99598249999999999</v>
      </c>
      <c r="Y2778">
        <v>-0.29681999999999997</v>
      </c>
      <c r="Z2778">
        <v>6.3982380000000005E-2</v>
      </c>
      <c r="AA2778">
        <v>0.95278759999999996</v>
      </c>
      <c r="AB2778">
        <v>10</v>
      </c>
      <c r="AC2778">
        <v>-3.8896999999999999</v>
      </c>
      <c r="AD2778">
        <v>-1.111064634738</v>
      </c>
      <c r="AE2778">
        <v>-3.7951999999999599</v>
      </c>
      <c r="AF2778">
        <v>-1.5467630579267799</v>
      </c>
      <c r="AG2778">
        <v>-1.111064634738</v>
      </c>
      <c r="AH2778">
        <v>4.9818173678481097</v>
      </c>
      <c r="AI2778">
        <v>102.023974079865</v>
      </c>
      <c r="AJ2778">
        <v>107.248611667142</v>
      </c>
      <c r="AK2778">
        <v>5.3334271220787901</v>
      </c>
      <c r="AL2778">
        <v>89.218909428793594</v>
      </c>
      <c r="AM2778">
        <v>95.078045244275401</v>
      </c>
      <c r="AN2778">
        <v>1.00000000272858</v>
      </c>
    </row>
    <row r="2779" spans="1:40" x14ac:dyDescent="0.25">
      <c r="A2779" t="str">
        <f>"20190312160656054"</f>
        <v>20190312160656054</v>
      </c>
      <c r="B2779" t="str">
        <f>"1552378016047830"</f>
        <v>1552378016047830</v>
      </c>
      <c r="C2779" t="s">
        <v>40</v>
      </c>
      <c r="D2779">
        <v>5.3675800000000002</v>
      </c>
      <c r="E2779">
        <v>0.42117900000000003</v>
      </c>
      <c r="F2779" t="s">
        <v>61</v>
      </c>
      <c r="G2779">
        <v>-489.67489999999998</v>
      </c>
      <c r="H2779" s="1">
        <v>2.281411E-6</v>
      </c>
      <c r="I2779">
        <v>276.21210000000002</v>
      </c>
      <c r="J2779">
        <v>-485.38869999999997</v>
      </c>
      <c r="K2779">
        <v>1.1110629999999999</v>
      </c>
      <c r="L2779">
        <v>280.44029999999998</v>
      </c>
      <c r="M2779">
        <v>-0.88959820000000001</v>
      </c>
      <c r="N2779">
        <v>0</v>
      </c>
      <c r="O2779">
        <v>-0.4565844</v>
      </c>
      <c r="P2779">
        <v>-0.84549359999999996</v>
      </c>
      <c r="Q2779">
        <v>1.73612299999999E-3</v>
      </c>
      <c r="R2779">
        <v>-0.53398319999999999</v>
      </c>
      <c r="S2779">
        <v>-2.1919249999999999</v>
      </c>
      <c r="T2779">
        <v>-0.56220870000000001</v>
      </c>
      <c r="U2779">
        <v>-2.152679</v>
      </c>
      <c r="V2779">
        <v>-8.9032609999999998E-2</v>
      </c>
      <c r="W2779">
        <v>1.3537769999999999E-2</v>
      </c>
      <c r="X2779">
        <v>0.99593670000000001</v>
      </c>
      <c r="Y2779">
        <v>-0.29952499999999999</v>
      </c>
      <c r="Z2779">
        <v>5.801825E-2</v>
      </c>
      <c r="AA2779">
        <v>0.95232280000000002</v>
      </c>
      <c r="AB2779">
        <v>10</v>
      </c>
      <c r="AC2779">
        <v>-4.2862</v>
      </c>
      <c r="AD2779">
        <v>-1.111060718589</v>
      </c>
      <c r="AE2779">
        <v>-4.2281999999999504</v>
      </c>
      <c r="AF2779">
        <v>-1.74508998992342</v>
      </c>
      <c r="AG2779">
        <v>-1.111060718589</v>
      </c>
      <c r="AH2779">
        <v>5.5547780872460004</v>
      </c>
      <c r="AI2779">
        <v>100.803507348908</v>
      </c>
      <c r="AJ2779">
        <v>107.440641307166</v>
      </c>
      <c r="AK2779">
        <v>5.9275082953860796</v>
      </c>
      <c r="AL2779">
        <v>89.224319215485295</v>
      </c>
      <c r="AM2779">
        <v>95.108425718427995</v>
      </c>
      <c r="AN2779">
        <v>0.99999999363343695</v>
      </c>
    </row>
    <row r="2780" spans="1:40" x14ac:dyDescent="0.25">
      <c r="A2780" t="str">
        <f>"20190312160656064"</f>
        <v>20190312160656064</v>
      </c>
      <c r="B2780" t="str">
        <f>"1552378016057590"</f>
        <v>1552378016057590</v>
      </c>
      <c r="C2780" t="s">
        <v>40</v>
      </c>
      <c r="D2780">
        <v>5.504861</v>
      </c>
      <c r="E2780">
        <v>0.42246879999999998</v>
      </c>
      <c r="F2780" t="s">
        <v>61</v>
      </c>
      <c r="G2780">
        <v>-490.54219999999998</v>
      </c>
      <c r="H2780" s="1">
        <v>2.0094889999999999E-6</v>
      </c>
      <c r="I2780">
        <v>275.44749999999999</v>
      </c>
      <c r="J2780">
        <v>-485.43119999999999</v>
      </c>
      <c r="K2780">
        <v>1.111059</v>
      </c>
      <c r="L2780">
        <v>280.41579999999999</v>
      </c>
      <c r="M2780">
        <v>-0.88868670000000005</v>
      </c>
      <c r="N2780">
        <v>0</v>
      </c>
      <c r="O2780">
        <v>-0.4583564</v>
      </c>
      <c r="P2780">
        <v>-0.84392699999999998</v>
      </c>
      <c r="Q2780">
        <v>2.0392370000000002E-3</v>
      </c>
      <c r="R2780">
        <v>-0.536454599999999</v>
      </c>
      <c r="S2780">
        <v>-2.2019350000000002</v>
      </c>
      <c r="T2780">
        <v>-0.47472880000000001</v>
      </c>
      <c r="U2780">
        <v>-2.13327</v>
      </c>
      <c r="V2780">
        <v>-8.9963479999999998E-2</v>
      </c>
      <c r="W2780">
        <v>1.3834819999999999E-2</v>
      </c>
      <c r="X2780">
        <v>0.99584899999999998</v>
      </c>
      <c r="Y2780">
        <v>-0.290684</v>
      </c>
      <c r="Z2780">
        <v>5.0171199999999999E-2</v>
      </c>
      <c r="AA2780">
        <v>0.95550279999999999</v>
      </c>
      <c r="AB2780">
        <v>10</v>
      </c>
      <c r="AC2780">
        <v>-5.11099999999999</v>
      </c>
      <c r="AD2780">
        <v>-1.1110569905109999</v>
      </c>
      <c r="AE2780">
        <v>-4.9682999999999904</v>
      </c>
      <c r="AF2780">
        <v>-2.0235859051088201</v>
      </c>
      <c r="AG2780">
        <v>-1.1110569905109999</v>
      </c>
      <c r="AH2780">
        <v>6.6580539412151998</v>
      </c>
      <c r="AI2780">
        <v>99.071430932458298</v>
      </c>
      <c r="AJ2780">
        <v>106.90562846092099</v>
      </c>
      <c r="AK2780">
        <v>7.0469163352241999</v>
      </c>
      <c r="AL2780">
        <v>89.207297938903693</v>
      </c>
      <c r="AM2780">
        <v>95.162001342723102</v>
      </c>
      <c r="AN2780">
        <v>1.00000003038957</v>
      </c>
    </row>
    <row r="2781" spans="1:40" x14ac:dyDescent="0.25">
      <c r="A2781" t="str">
        <f>"20190312160656077"</f>
        <v>20190312160656077</v>
      </c>
      <c r="B2781" t="str">
        <f>"1552378016068326"</f>
        <v>1552378016068326</v>
      </c>
      <c r="C2781" t="s">
        <v>40</v>
      </c>
      <c r="D2781">
        <v>5.4247059999999996</v>
      </c>
      <c r="E2781">
        <v>0.425869</v>
      </c>
      <c r="F2781" t="s">
        <v>61</v>
      </c>
      <c r="G2781">
        <v>-491.86970000000002</v>
      </c>
      <c r="H2781" s="1">
        <v>1.521586E-6</v>
      </c>
      <c r="I2781">
        <v>274.18290000000002</v>
      </c>
      <c r="J2781">
        <v>-485.4778</v>
      </c>
      <c r="K2781">
        <v>1.111056</v>
      </c>
      <c r="L2781">
        <v>280.38900000000001</v>
      </c>
      <c r="M2781">
        <v>-0.88768259999999899</v>
      </c>
      <c r="N2781">
        <v>0</v>
      </c>
      <c r="O2781">
        <v>-0.46029809999999999</v>
      </c>
      <c r="P2781">
        <v>-0.84246679999999996</v>
      </c>
      <c r="Q2781">
        <v>1.858497E-3</v>
      </c>
      <c r="R2781">
        <v>-0.53874549999999999</v>
      </c>
      <c r="S2781">
        <v>-2.2011720000000001</v>
      </c>
      <c r="T2781">
        <v>-0.37984489999999999</v>
      </c>
      <c r="U2781">
        <v>-2.13089</v>
      </c>
      <c r="V2781">
        <v>-9.0491269999999999E-2</v>
      </c>
      <c r="W2781">
        <v>1.364887E-2</v>
      </c>
      <c r="X2781">
        <v>0.99580369999999996</v>
      </c>
      <c r="Y2781">
        <v>-0.28771849999999999</v>
      </c>
      <c r="Z2781">
        <v>4.0707399999999998E-2</v>
      </c>
      <c r="AA2781">
        <v>0.95684950000000002</v>
      </c>
      <c r="AB2781">
        <v>10</v>
      </c>
      <c r="AC2781">
        <v>-6.3919000000000201</v>
      </c>
      <c r="AD2781">
        <v>-1.111054478414</v>
      </c>
      <c r="AE2781">
        <v>-6.2060999999999904</v>
      </c>
      <c r="AF2781">
        <v>-2.5277410622515801</v>
      </c>
      <c r="AG2781">
        <v>-1.111054478414</v>
      </c>
      <c r="AH2781">
        <v>8.4006028723714294</v>
      </c>
      <c r="AI2781">
        <v>97.218060406170906</v>
      </c>
      <c r="AJ2781">
        <v>106.746538810137</v>
      </c>
      <c r="AK2781">
        <v>8.84273970843266</v>
      </c>
      <c r="AL2781">
        <v>89.217953059603104</v>
      </c>
      <c r="AM2781">
        <v>95.192355188654503</v>
      </c>
      <c r="AN2781">
        <v>0.99999998526608902</v>
      </c>
    </row>
    <row r="2782" spans="1:40" x14ac:dyDescent="0.25">
      <c r="A2782" t="str">
        <f>"20190312160656090"</f>
        <v>20190312160656090</v>
      </c>
      <c r="B2782" t="str">
        <f>"1552378016078085"</f>
        <v>1552378016078085</v>
      </c>
      <c r="C2782" t="s">
        <v>40</v>
      </c>
      <c r="D2782">
        <v>5.4683440000000001</v>
      </c>
      <c r="E2782">
        <v>0.42860310000000001</v>
      </c>
      <c r="F2782" t="s">
        <v>61</v>
      </c>
      <c r="G2782">
        <v>-492.54649999999998</v>
      </c>
      <c r="H2782" s="1">
        <v>1.36393E-6</v>
      </c>
      <c r="I2782">
        <v>273.62849999999997</v>
      </c>
      <c r="J2782">
        <v>-485.52780000000001</v>
      </c>
      <c r="K2782">
        <v>1.111054</v>
      </c>
      <c r="L2782">
        <v>280.35989999999998</v>
      </c>
      <c r="M2782">
        <v>-0.88659900000000003</v>
      </c>
      <c r="N2782">
        <v>0</v>
      </c>
      <c r="O2782">
        <v>-0.46238180000000001</v>
      </c>
      <c r="P2782">
        <v>-0.84060809999999997</v>
      </c>
      <c r="Q2782">
        <v>1.6807839999999901E-3</v>
      </c>
      <c r="R2782">
        <v>-0.54164159999999995</v>
      </c>
      <c r="S2782">
        <v>-2.210083</v>
      </c>
      <c r="T2782">
        <v>-0.34738140000000001</v>
      </c>
      <c r="U2782">
        <v>-2.1137079999999999</v>
      </c>
      <c r="V2782">
        <v>-9.1578820000000005E-2</v>
      </c>
      <c r="W2782">
        <v>1.3463869999999999E-2</v>
      </c>
      <c r="X2782">
        <v>0.9957068</v>
      </c>
      <c r="Y2782">
        <v>-0.27954879999999999</v>
      </c>
      <c r="Z2782">
        <v>3.8012749999999998E-2</v>
      </c>
      <c r="AA2782">
        <v>0.95937870000000003</v>
      </c>
      <c r="AB2782">
        <v>10</v>
      </c>
      <c r="AC2782">
        <v>-7.01869999999996</v>
      </c>
      <c r="AD2782">
        <v>-1.1110526360699999</v>
      </c>
      <c r="AE2782">
        <v>-6.7313999999999998</v>
      </c>
      <c r="AF2782">
        <v>-2.6878476971679599</v>
      </c>
      <c r="AG2782">
        <v>-1.1110526360699999</v>
      </c>
      <c r="AH2782">
        <v>9.2156391385418601</v>
      </c>
      <c r="AI2782">
        <v>96.602001051494497</v>
      </c>
      <c r="AJ2782">
        <v>106.259935111728</v>
      </c>
      <c r="AK2782">
        <v>9.6636932864776899</v>
      </c>
      <c r="AL2782">
        <v>89.228553759698201</v>
      </c>
      <c r="AM2782">
        <v>95.254919649787993</v>
      </c>
      <c r="AN2782">
        <v>0.99999999381710403</v>
      </c>
    </row>
    <row r="2783" spans="1:40" x14ac:dyDescent="0.25">
      <c r="A2783" t="str">
        <f>"20190312160656106"</f>
        <v>20190312160656106</v>
      </c>
      <c r="B2783" t="str">
        <f>"1552378016097606"</f>
        <v>1552378016097606</v>
      </c>
      <c r="C2783" t="s">
        <v>40</v>
      </c>
      <c r="D2783">
        <v>5.5454100000000004</v>
      </c>
      <c r="E2783">
        <v>0.4299134</v>
      </c>
      <c r="F2783" t="s">
        <v>61</v>
      </c>
      <c r="G2783">
        <v>-493.06119999999999</v>
      </c>
      <c r="H2783" s="1">
        <v>1.244119E-6</v>
      </c>
      <c r="I2783">
        <v>273.20749999999998</v>
      </c>
      <c r="J2783">
        <v>-485.589</v>
      </c>
      <c r="K2783">
        <v>1.111048</v>
      </c>
      <c r="L2783">
        <v>280.32420000000002</v>
      </c>
      <c r="M2783">
        <v>-0.88526299999999902</v>
      </c>
      <c r="N2783">
        <v>0</v>
      </c>
      <c r="O2783">
        <v>-0.46493430000000002</v>
      </c>
      <c r="P2783">
        <v>-0.83765159999999905</v>
      </c>
      <c r="Q2783">
        <v>1.5735930000000001E-3</v>
      </c>
      <c r="R2783">
        <v>-0.54620279999999999</v>
      </c>
      <c r="S2783">
        <v>-2.214661</v>
      </c>
      <c r="T2783">
        <v>-0.32662449999999998</v>
      </c>
      <c r="U2783">
        <v>-2.1026609999999999</v>
      </c>
      <c r="V2783">
        <v>-9.4121640000000006E-2</v>
      </c>
      <c r="W2783">
        <v>1.334372E-2</v>
      </c>
      <c r="X2783">
        <v>0.99547129999999995</v>
      </c>
      <c r="Y2783">
        <v>-0.27321260000000003</v>
      </c>
      <c r="Z2783">
        <v>3.6416999999999998E-2</v>
      </c>
      <c r="AA2783">
        <v>0.96126409999999995</v>
      </c>
      <c r="AB2783">
        <v>10</v>
      </c>
      <c r="AC2783">
        <v>-7.4721999999999804</v>
      </c>
      <c r="AD2783">
        <v>-1.111046755881</v>
      </c>
      <c r="AE2783">
        <v>-7.11670000000003</v>
      </c>
      <c r="AF2783">
        <v>-2.79388554757413</v>
      </c>
      <c r="AG2783">
        <v>-1.111046755881</v>
      </c>
      <c r="AH2783">
        <v>9.8106484511671095</v>
      </c>
      <c r="AI2783">
        <v>96.216066764569206</v>
      </c>
      <c r="AJ2783">
        <v>105.895942175039</v>
      </c>
      <c r="AK2783">
        <v>10.261044994496601</v>
      </c>
      <c r="AL2783">
        <v>89.235438488875602</v>
      </c>
      <c r="AM2783">
        <v>95.401249149441597</v>
      </c>
      <c r="AN2783">
        <v>1.0000000235516999</v>
      </c>
    </row>
    <row r="2784" spans="1:40" x14ac:dyDescent="0.25">
      <c r="A2784" t="str">
        <f>"20190312160656120"</f>
        <v>20190312160656120</v>
      </c>
      <c r="B2784" t="str">
        <f>"1552378016108344"</f>
        <v>1552378016108344</v>
      </c>
      <c r="C2784" t="s">
        <v>40</v>
      </c>
      <c r="D2784">
        <v>5.4331909999999999</v>
      </c>
      <c r="E2784">
        <v>0.43138359999999898</v>
      </c>
      <c r="F2784" t="s">
        <v>61</v>
      </c>
      <c r="G2784">
        <v>-494.82569999999998</v>
      </c>
      <c r="H2784" s="1">
        <v>6.7310539999999996E-7</v>
      </c>
      <c r="I2784">
        <v>271.5204</v>
      </c>
      <c r="J2784">
        <v>-485.63909999999998</v>
      </c>
      <c r="K2784">
        <v>1.1110409999999999</v>
      </c>
      <c r="L2784">
        <v>280.29469999999998</v>
      </c>
      <c r="M2784">
        <v>-0.88416240000000001</v>
      </c>
      <c r="N2784">
        <v>0</v>
      </c>
      <c r="O2784">
        <v>-0.46702389999999999</v>
      </c>
      <c r="P2784">
        <v>-0.83549069999999903</v>
      </c>
      <c r="Q2784">
        <v>1.360893E-3</v>
      </c>
      <c r="R2784">
        <v>-0.54950330000000003</v>
      </c>
      <c r="S2784">
        <v>-2.209015</v>
      </c>
      <c r="T2784">
        <v>-0.26571519999999998</v>
      </c>
      <c r="U2784">
        <v>-2.1054689999999998</v>
      </c>
      <c r="V2784">
        <v>-9.5696310000000007E-2</v>
      </c>
      <c r="W2784">
        <v>1.312201E-2</v>
      </c>
      <c r="X2784">
        <v>0.99532410000000004</v>
      </c>
      <c r="Y2784">
        <v>-0.27253430000000001</v>
      </c>
      <c r="Z2784">
        <v>2.9904090000000001E-2</v>
      </c>
      <c r="AA2784">
        <v>0.96168120000000001</v>
      </c>
      <c r="AB2784">
        <v>10</v>
      </c>
      <c r="AC2784">
        <v>-9.1866000000000003</v>
      </c>
      <c r="AD2784">
        <v>-1.1110403268946001</v>
      </c>
      <c r="AE2784">
        <v>-8.7742999999999807</v>
      </c>
      <c r="AF2784">
        <v>-3.4414728991193</v>
      </c>
      <c r="AG2784">
        <v>-1.1110403268946001</v>
      </c>
      <c r="AH2784">
        <v>12.128373468364799</v>
      </c>
      <c r="AI2784">
        <v>95.0363243950476</v>
      </c>
      <c r="AJ2784">
        <v>105.841495872057</v>
      </c>
      <c r="AK2784">
        <v>12.656049514421699</v>
      </c>
      <c r="AL2784">
        <v>89.248142643656706</v>
      </c>
      <c r="AM2784">
        <v>95.491872226656696</v>
      </c>
      <c r="AN2784">
        <v>1.0000000174674299</v>
      </c>
    </row>
    <row r="2785" spans="1:40" x14ac:dyDescent="0.25">
      <c r="A2785" t="str">
        <f>"20190312160656132"</f>
        <v>20190312160656132</v>
      </c>
      <c r="B2785" t="str">
        <f>"1552378016127861"</f>
        <v>1552378016127861</v>
      </c>
      <c r="C2785" t="s">
        <v>40</v>
      </c>
      <c r="D2785">
        <v>5.494014</v>
      </c>
      <c r="E2785">
        <v>0.4340736</v>
      </c>
      <c r="F2785" t="s">
        <v>61</v>
      </c>
      <c r="G2785">
        <v>-494.89609999999999</v>
      </c>
      <c r="H2785" s="1">
        <v>6.5505619999999896E-7</v>
      </c>
      <c r="I2785">
        <v>271.46940000000001</v>
      </c>
      <c r="J2785">
        <v>-485.6909</v>
      </c>
      <c r="K2785">
        <v>1.111035</v>
      </c>
      <c r="L2785">
        <v>280.26420000000002</v>
      </c>
      <c r="M2785">
        <v>-0.88301989999999997</v>
      </c>
      <c r="N2785">
        <v>0</v>
      </c>
      <c r="O2785">
        <v>-0.46918100000000001</v>
      </c>
      <c r="P2785">
        <v>-0.83327999999999902</v>
      </c>
      <c r="Q2785">
        <v>1.0665430000000001E-3</v>
      </c>
      <c r="R2785">
        <v>-0.55285050000000002</v>
      </c>
      <c r="S2785">
        <v>-2.2071529999999999</v>
      </c>
      <c r="T2785">
        <v>-0.26490439999999998</v>
      </c>
      <c r="U2785">
        <v>-2.1042179999999999</v>
      </c>
      <c r="V2785">
        <v>-9.7258510000000006E-2</v>
      </c>
      <c r="W2785">
        <v>1.281877E-2</v>
      </c>
      <c r="X2785">
        <v>0.99517659999999997</v>
      </c>
      <c r="Y2785">
        <v>-0.27031450000000001</v>
      </c>
      <c r="Z2785">
        <v>3.0125280000000001E-2</v>
      </c>
      <c r="AA2785">
        <v>0.96230070000000001</v>
      </c>
      <c r="AB2785">
        <v>10</v>
      </c>
      <c r="AC2785">
        <v>-9.2051999999999907</v>
      </c>
      <c r="AD2785">
        <v>-1.1110343449438</v>
      </c>
      <c r="AE2785">
        <v>-8.7948000000000093</v>
      </c>
      <c r="AF2785">
        <v>-3.42127284120079</v>
      </c>
      <c r="AG2785">
        <v>-1.1110343449438</v>
      </c>
      <c r="AH2785">
        <v>12.162986089026401</v>
      </c>
      <c r="AI2785">
        <v>95.025266469743599</v>
      </c>
      <c r="AJ2785">
        <v>105.710528028501</v>
      </c>
      <c r="AK2785">
        <v>12.683758739878</v>
      </c>
      <c r="AL2785">
        <v>89.265518465810302</v>
      </c>
      <c r="AM2785">
        <v>95.581785070515195</v>
      </c>
      <c r="AN2785">
        <v>1.00000000190964</v>
      </c>
    </row>
    <row r="2786" spans="1:40" x14ac:dyDescent="0.25">
      <c r="A2786" t="str">
        <f>"20190312160656145"</f>
        <v>20190312160656145</v>
      </c>
      <c r="B2786" t="str">
        <f>"1552378016137621"</f>
        <v>1552378016137621</v>
      </c>
      <c r="C2786" t="s">
        <v>40</v>
      </c>
      <c r="D2786">
        <v>5.5895720000000004</v>
      </c>
      <c r="E2786">
        <v>0.43526989999999999</v>
      </c>
      <c r="F2786" t="s">
        <v>61</v>
      </c>
      <c r="G2786">
        <v>-495.36930000000001</v>
      </c>
      <c r="H2786" s="1">
        <v>5.2156670000000002E-7</v>
      </c>
      <c r="I2786">
        <v>271.09179999999998</v>
      </c>
      <c r="J2786">
        <v>-485.74079999999998</v>
      </c>
      <c r="K2786">
        <v>1.1110279999999999</v>
      </c>
      <c r="L2786">
        <v>280.23450000000003</v>
      </c>
      <c r="M2786">
        <v>-0.88190749999999996</v>
      </c>
      <c r="N2786">
        <v>0</v>
      </c>
      <c r="O2786">
        <v>-0.47126859999999998</v>
      </c>
      <c r="P2786">
        <v>-0.83119270000000001</v>
      </c>
      <c r="Q2786">
        <v>6.1274039999999999E-4</v>
      </c>
      <c r="R2786">
        <v>-0.55598479999999995</v>
      </c>
      <c r="S2786">
        <v>-2.2106020000000002</v>
      </c>
      <c r="T2786">
        <v>-0.25376569999999998</v>
      </c>
      <c r="U2786">
        <v>-2.0950319999999998</v>
      </c>
      <c r="V2786">
        <v>-9.8650810000000005E-2</v>
      </c>
      <c r="W2786">
        <v>1.2356270000000001E-2</v>
      </c>
      <c r="X2786">
        <v>0.99504539999999997</v>
      </c>
      <c r="Y2786">
        <v>-0.265154</v>
      </c>
      <c r="Z2786">
        <v>2.9286420000000001E-2</v>
      </c>
      <c r="AA2786">
        <v>0.96376119999999998</v>
      </c>
      <c r="AB2786">
        <v>10</v>
      </c>
      <c r="AC2786">
        <v>-9.6285000000000291</v>
      </c>
      <c r="AD2786">
        <v>-1.1110274784333001</v>
      </c>
      <c r="AE2786">
        <v>-9.1427000000000405</v>
      </c>
      <c r="AF2786">
        <v>-3.5011476693206198</v>
      </c>
      <c r="AG2786">
        <v>-1.1110274784333001</v>
      </c>
      <c r="AH2786">
        <v>12.7120362199614</v>
      </c>
      <c r="AI2786">
        <v>94.816488374497794</v>
      </c>
      <c r="AJ2786">
        <v>105.398615525718</v>
      </c>
      <c r="AK2786">
        <v>13.232092877464</v>
      </c>
      <c r="AL2786">
        <v>89.292019865022993</v>
      </c>
      <c r="AM2786">
        <v>95.661917046444302</v>
      </c>
      <c r="AN2786">
        <v>1.00000000389156</v>
      </c>
    </row>
    <row r="2787" spans="1:40" x14ac:dyDescent="0.25">
      <c r="A2787" t="str">
        <f>"20190312160656156"</f>
        <v>20190312160656156</v>
      </c>
      <c r="B2787" t="str">
        <f>"1552378016148358"</f>
        <v>1552378016148358</v>
      </c>
      <c r="C2787" t="s">
        <v>40</v>
      </c>
      <c r="D2787">
        <v>5.5427759999999999</v>
      </c>
      <c r="E2787">
        <v>0.43649549999999998</v>
      </c>
      <c r="F2787" t="s">
        <v>61</v>
      </c>
      <c r="G2787">
        <v>-495.40359999999998</v>
      </c>
      <c r="H2787" s="1">
        <v>5.1301189999999997E-7</v>
      </c>
      <c r="I2787">
        <v>271.06760000000003</v>
      </c>
      <c r="J2787">
        <v>-485.78230000000002</v>
      </c>
      <c r="K2787">
        <v>1.1110279999999999</v>
      </c>
      <c r="L2787">
        <v>280.20979999999997</v>
      </c>
      <c r="M2787">
        <v>-0.88098180000000004</v>
      </c>
      <c r="N2787">
        <v>0</v>
      </c>
      <c r="O2787">
        <v>-0.47299669999999999</v>
      </c>
      <c r="P2787">
        <v>-0.82916039999999902</v>
      </c>
      <c r="Q2787">
        <v>-1.020208E-4</v>
      </c>
      <c r="R2787">
        <v>-0.55901109999999998</v>
      </c>
      <c r="S2787">
        <v>-2.208221</v>
      </c>
      <c r="T2787">
        <v>-0.25390230000000003</v>
      </c>
      <c r="U2787">
        <v>-2.09491</v>
      </c>
      <c r="V2787">
        <v>-0.1003255</v>
      </c>
      <c r="W2787">
        <v>1.1632480000000001E-2</v>
      </c>
      <c r="X2787">
        <v>0.99488670000000001</v>
      </c>
      <c r="Y2787">
        <v>-0.26376339999999998</v>
      </c>
      <c r="Z2787">
        <v>2.952747E-2</v>
      </c>
      <c r="AA2787">
        <v>0.96413530000000003</v>
      </c>
      <c r="AB2787">
        <v>10</v>
      </c>
      <c r="AC2787">
        <v>-9.6212999999999607</v>
      </c>
      <c r="AD2787">
        <v>-1.1110274869881001</v>
      </c>
      <c r="AE2787">
        <v>-9.1421999999999404</v>
      </c>
      <c r="AF2787">
        <v>-3.47914259549185</v>
      </c>
      <c r="AG2787">
        <v>-1.1110274869881001</v>
      </c>
      <c r="AH2787">
        <v>12.7122675773794</v>
      </c>
      <c r="AI2787">
        <v>94.818526307917793</v>
      </c>
      <c r="AJ2787">
        <v>105.306120858329</v>
      </c>
      <c r="AK2787">
        <v>13.226509828201101</v>
      </c>
      <c r="AL2787">
        <v>89.333492980920397</v>
      </c>
      <c r="AM2787">
        <v>95.758305245797999</v>
      </c>
      <c r="AN2787">
        <v>1.00000003318904</v>
      </c>
    </row>
    <row r="2788" spans="1:40" x14ac:dyDescent="0.25">
      <c r="A2788" t="str">
        <f>"20190312160656166"</f>
        <v>20190312160656166</v>
      </c>
      <c r="B2788" t="str">
        <f>"1552378016158118"</f>
        <v>1552378016158118</v>
      </c>
      <c r="C2788" t="s">
        <v>40</v>
      </c>
      <c r="D2788">
        <v>5.5306689999999996</v>
      </c>
      <c r="E2788">
        <v>0.43749759999999999</v>
      </c>
      <c r="F2788" t="s">
        <v>61</v>
      </c>
      <c r="G2788">
        <v>-495.35410000000002</v>
      </c>
      <c r="H2788" s="1">
        <v>5.3163920000000002E-7</v>
      </c>
      <c r="I2788">
        <v>271.12029999999999</v>
      </c>
      <c r="J2788">
        <v>-485.8261</v>
      </c>
      <c r="K2788">
        <v>1.111024</v>
      </c>
      <c r="L2788">
        <v>280.18349999999998</v>
      </c>
      <c r="M2788">
        <v>-0.87999869999999902</v>
      </c>
      <c r="N2788">
        <v>0</v>
      </c>
      <c r="O2788">
        <v>-0.47482350000000001</v>
      </c>
      <c r="P2788">
        <v>-0.82709809999999995</v>
      </c>
      <c r="Q2788">
        <v>-1.225407E-3</v>
      </c>
      <c r="R2788">
        <v>-0.56205640000000001</v>
      </c>
      <c r="S2788">
        <v>-2.2058719999999998</v>
      </c>
      <c r="T2788">
        <v>-0.25604139999999997</v>
      </c>
      <c r="U2788">
        <v>-2.0947269999999998</v>
      </c>
      <c r="V2788">
        <v>-0.1019178</v>
      </c>
      <c r="W2788">
        <v>1.049959E-2</v>
      </c>
      <c r="X2788">
        <v>0.99473739999999999</v>
      </c>
      <c r="Y2788">
        <v>-0.26225150000000003</v>
      </c>
      <c r="Z2788">
        <v>3.0016350000000001E-2</v>
      </c>
      <c r="AA2788">
        <v>0.96453259999999996</v>
      </c>
      <c r="AB2788">
        <v>10</v>
      </c>
      <c r="AC2788">
        <v>-9.5280000000000094</v>
      </c>
      <c r="AD2788">
        <v>-1.1110234683608</v>
      </c>
      <c r="AE2788">
        <v>-9.0631999999999895</v>
      </c>
      <c r="AF2788">
        <v>-3.4272714170887499</v>
      </c>
      <c r="AG2788">
        <v>-1.1110234683608</v>
      </c>
      <c r="AH2788">
        <v>12.5990327771213</v>
      </c>
      <c r="AI2788">
        <v>94.863645784850505</v>
      </c>
      <c r="AJ2788">
        <v>105.217743102634</v>
      </c>
      <c r="AK2788">
        <v>13.104052404986</v>
      </c>
      <c r="AL2788">
        <v>89.398406744895198</v>
      </c>
      <c r="AM2788">
        <v>95.849940316947595</v>
      </c>
      <c r="AN2788">
        <v>0.99999998715288396</v>
      </c>
    </row>
    <row r="2789" spans="1:40" x14ac:dyDescent="0.25">
      <c r="A2789" t="str">
        <f>"20190312160656178"</f>
        <v>20190312160656178</v>
      </c>
      <c r="B2789" t="str">
        <f>"1552378016167877"</f>
        <v>1552378016167877</v>
      </c>
      <c r="C2789" t="s">
        <v>40</v>
      </c>
      <c r="D2789">
        <v>6.4696870000000004</v>
      </c>
      <c r="E2789">
        <v>0.43831219999999999</v>
      </c>
      <c r="F2789" t="s">
        <v>61</v>
      </c>
      <c r="G2789">
        <v>-495.28649999999999</v>
      </c>
      <c r="H2789" s="1">
        <v>5.5341209999999897E-7</v>
      </c>
      <c r="I2789">
        <v>271.18189999999998</v>
      </c>
      <c r="J2789">
        <v>-485.86630000000002</v>
      </c>
      <c r="K2789">
        <v>1.111016</v>
      </c>
      <c r="L2789">
        <v>280.15929999999997</v>
      </c>
      <c r="M2789">
        <v>-0.879090699999999</v>
      </c>
      <c r="N2789">
        <v>0</v>
      </c>
      <c r="O2789">
        <v>-0.47650239999999999</v>
      </c>
      <c r="P2789">
        <v>-0.82520819999999995</v>
      </c>
      <c r="Q2789">
        <v>-1.9891050000000001E-3</v>
      </c>
      <c r="R2789">
        <v>-0.56482500000000002</v>
      </c>
      <c r="S2789">
        <v>-2.2025760000000001</v>
      </c>
      <c r="T2789">
        <v>-0.25866790000000001</v>
      </c>
      <c r="U2789">
        <v>-2.095764</v>
      </c>
      <c r="V2789">
        <v>-0.1033514</v>
      </c>
      <c r="W2789">
        <v>9.7281039999999996E-3</v>
      </c>
      <c r="X2789">
        <v>0.99459730000000002</v>
      </c>
      <c r="Y2789">
        <v>-0.2613876</v>
      </c>
      <c r="Z2789">
        <v>3.052624E-2</v>
      </c>
      <c r="AA2789">
        <v>0.96475109999999997</v>
      </c>
      <c r="AB2789">
        <v>10</v>
      </c>
      <c r="AC2789">
        <v>-9.4201999999999604</v>
      </c>
      <c r="AD2789">
        <v>-1.1110154465878901</v>
      </c>
      <c r="AE2789">
        <v>-8.9773999999999798</v>
      </c>
      <c r="AF2789">
        <v>-3.3788178938732898</v>
      </c>
      <c r="AG2789">
        <v>-1.1110154465878901</v>
      </c>
      <c r="AH2789">
        <v>12.46898116206</v>
      </c>
      <c r="AI2789">
        <v>94.915388098067197</v>
      </c>
      <c r="AJ2789">
        <v>105.161782911665</v>
      </c>
      <c r="AK2789">
        <v>12.9663509478312</v>
      </c>
      <c r="AL2789">
        <v>89.4426118888601</v>
      </c>
      <c r="AM2789">
        <v>95.932473875696303</v>
      </c>
      <c r="AN2789">
        <v>0.99999996852834105</v>
      </c>
    </row>
    <row r="2790" spans="1:40" x14ac:dyDescent="0.25">
      <c r="A2790" t="str">
        <f>"20190312160656190"</f>
        <v>20190312160656190</v>
      </c>
      <c r="B2790" t="str">
        <f>"1552378016177638"</f>
        <v>1552378016177638</v>
      </c>
      <c r="C2790" t="s">
        <v>40</v>
      </c>
      <c r="D2790">
        <v>5.6345400000000003</v>
      </c>
      <c r="E2790">
        <v>0.43917650000000003</v>
      </c>
      <c r="F2790" t="s">
        <v>61</v>
      </c>
      <c r="G2790">
        <v>-495.37099999999998</v>
      </c>
      <c r="H2790" s="1">
        <v>5.2173E-7</v>
      </c>
      <c r="I2790">
        <v>271.09219999999999</v>
      </c>
      <c r="J2790">
        <v>-485.9126</v>
      </c>
      <c r="K2790">
        <v>1.1110100000000001</v>
      </c>
      <c r="L2790">
        <v>280.13130000000001</v>
      </c>
      <c r="M2790">
        <v>-0.87804059999999995</v>
      </c>
      <c r="N2790">
        <v>0</v>
      </c>
      <c r="O2790">
        <v>-0.4784349</v>
      </c>
      <c r="P2790">
        <v>-0.82346430000000004</v>
      </c>
      <c r="Q2790">
        <v>-2.1199330000000001E-3</v>
      </c>
      <c r="R2790">
        <v>-0.56736409999999904</v>
      </c>
      <c r="S2790">
        <v>-2.1990050000000001</v>
      </c>
      <c r="T2790">
        <v>-0.25704359999999998</v>
      </c>
      <c r="U2790">
        <v>-2.0977480000000002</v>
      </c>
      <c r="V2790">
        <v>-0.104227</v>
      </c>
      <c r="W2790">
        <v>9.5903050000000004E-3</v>
      </c>
      <c r="X2790">
        <v>0.99450729999999998</v>
      </c>
      <c r="Y2790">
        <v>-0.26050279999999998</v>
      </c>
      <c r="Z2790">
        <v>3.0556799999999999E-2</v>
      </c>
      <c r="AA2790">
        <v>0.9649894</v>
      </c>
      <c r="AB2790">
        <v>10</v>
      </c>
      <c r="AC2790">
        <v>-9.4583999999999797</v>
      </c>
      <c r="AD2790">
        <v>-1.11100947827</v>
      </c>
      <c r="AE2790">
        <v>-9.0391000000000101</v>
      </c>
      <c r="AF2790">
        <v>-3.3872881551790099</v>
      </c>
      <c r="AG2790">
        <v>-1.11100947827</v>
      </c>
      <c r="AH2790">
        <v>12.5399642559521</v>
      </c>
      <c r="AI2790">
        <v>94.888726044091101</v>
      </c>
      <c r="AJ2790">
        <v>105.115953491036</v>
      </c>
      <c r="AK2790">
        <v>13.0368234876284</v>
      </c>
      <c r="AL2790">
        <v>89.450507578958593</v>
      </c>
      <c r="AM2790">
        <v>95.982908674134194</v>
      </c>
      <c r="AN2790">
        <v>1.00000000561614</v>
      </c>
    </row>
    <row r="2791" spans="1:40" x14ac:dyDescent="0.25">
      <c r="A2791" t="str">
        <f>"20190312160656201"</f>
        <v>20190312160656201</v>
      </c>
      <c r="B2791" t="str">
        <f>"1552378016198133"</f>
        <v>1552378016198133</v>
      </c>
      <c r="C2791" t="s">
        <v>40</v>
      </c>
      <c r="D2791">
        <v>5.6198519999999998</v>
      </c>
      <c r="E2791">
        <v>0.44111529999999999</v>
      </c>
      <c r="F2791" t="s">
        <v>61</v>
      </c>
      <c r="G2791">
        <v>-495.52190000000002</v>
      </c>
      <c r="H2791" s="1">
        <v>4.7066660000000002E-7</v>
      </c>
      <c r="I2791">
        <v>270.94779999999997</v>
      </c>
      <c r="J2791">
        <v>-485.95389999999998</v>
      </c>
      <c r="K2791">
        <v>1.1110070000000001</v>
      </c>
      <c r="L2791">
        <v>280.10610000000003</v>
      </c>
      <c r="M2791">
        <v>-0.87709809999999999</v>
      </c>
      <c r="N2791">
        <v>0</v>
      </c>
      <c r="O2791">
        <v>-0.48016059999999999</v>
      </c>
      <c r="P2791">
        <v>-0.82158359999999997</v>
      </c>
      <c r="Q2791">
        <v>-2.4118199999999998E-3</v>
      </c>
      <c r="R2791">
        <v>-0.57008269999999905</v>
      </c>
      <c r="S2791">
        <v>-2.1963200000000001</v>
      </c>
      <c r="T2791">
        <v>-0.25393460000000001</v>
      </c>
      <c r="U2791">
        <v>-2.0989990000000001</v>
      </c>
      <c r="V2791">
        <v>-0.1055579</v>
      </c>
      <c r="W2791">
        <v>9.2903859999999994E-3</v>
      </c>
      <c r="X2791">
        <v>0.99436970000000002</v>
      </c>
      <c r="Y2791">
        <v>-0.25947399999999998</v>
      </c>
      <c r="Z2791">
        <v>3.0393389999999999E-2</v>
      </c>
      <c r="AA2791">
        <v>0.96527169999999896</v>
      </c>
      <c r="AB2791">
        <v>10</v>
      </c>
      <c r="AC2791">
        <v>-9.5680000000000298</v>
      </c>
      <c r="AD2791">
        <v>-1.1110065293333999</v>
      </c>
      <c r="AE2791">
        <v>-9.1583000000000503</v>
      </c>
      <c r="AF2791">
        <v>-3.41477199870452</v>
      </c>
      <c r="AG2791">
        <v>-1.1110065293333999</v>
      </c>
      <c r="AH2791">
        <v>12.7010849000829</v>
      </c>
      <c r="AI2791">
        <v>94.828516219283998</v>
      </c>
      <c r="AJ2791">
        <v>105.04850319369299</v>
      </c>
      <c r="AK2791">
        <v>13.198960601141</v>
      </c>
      <c r="AL2791">
        <v>89.467692403148504</v>
      </c>
      <c r="AM2791">
        <v>96.059573357741399</v>
      </c>
      <c r="AN2791">
        <v>0.99999994090126199</v>
      </c>
    </row>
    <row r="2792" spans="1:40" x14ac:dyDescent="0.25">
      <c r="A2792" t="str">
        <f>"20190312160656212"</f>
        <v>20190312160656212</v>
      </c>
      <c r="B2792" t="str">
        <f>"1552378016207894"</f>
        <v>1552378016207894</v>
      </c>
      <c r="C2792" t="s">
        <v>40</v>
      </c>
      <c r="D2792">
        <v>5.6191490000000002</v>
      </c>
      <c r="E2792">
        <v>0.44184780000000001</v>
      </c>
      <c r="F2792" t="s">
        <v>61</v>
      </c>
      <c r="G2792">
        <v>-495.42110000000002</v>
      </c>
      <c r="H2792" s="1">
        <v>5.2083499999999997E-7</v>
      </c>
      <c r="I2792">
        <v>271.08969999999999</v>
      </c>
      <c r="J2792">
        <v>-485.99700000000001</v>
      </c>
      <c r="K2792">
        <v>1.1110040000000001</v>
      </c>
      <c r="L2792">
        <v>280.07979999999998</v>
      </c>
      <c r="M2792">
        <v>-0.87610929999999998</v>
      </c>
      <c r="N2792">
        <v>0</v>
      </c>
      <c r="O2792">
        <v>-0.48196240000000001</v>
      </c>
      <c r="P2792">
        <v>-0.82015099999999996</v>
      </c>
      <c r="Q2792">
        <v>-2.330501E-3</v>
      </c>
      <c r="R2792">
        <v>-0.57214279999999995</v>
      </c>
      <c r="S2792">
        <v>-2.1981199999999999</v>
      </c>
      <c r="T2792">
        <v>-0.25795459999999998</v>
      </c>
      <c r="U2792">
        <v>-2.093445</v>
      </c>
      <c r="V2792">
        <v>-0.106009199999999</v>
      </c>
      <c r="W2792">
        <v>9.3666770000000003E-3</v>
      </c>
      <c r="X2792">
        <v>0.99432100000000001</v>
      </c>
      <c r="Y2792">
        <v>-0.25584950000000001</v>
      </c>
      <c r="Z2792">
        <v>3.120349E-2</v>
      </c>
      <c r="AA2792">
        <v>0.96621290000000004</v>
      </c>
      <c r="AB2792">
        <v>10</v>
      </c>
      <c r="AC2792">
        <v>-9.4241000000000597</v>
      </c>
      <c r="AD2792">
        <v>-1.1110034791650001</v>
      </c>
      <c r="AE2792">
        <v>-8.9900999999999804</v>
      </c>
      <c r="AF2792">
        <v>-3.31040202498771</v>
      </c>
      <c r="AG2792">
        <v>-1.1110034791650001</v>
      </c>
      <c r="AH2792">
        <v>12.499392984731999</v>
      </c>
      <c r="AI2792">
        <v>94.910920487176995</v>
      </c>
      <c r="AJ2792">
        <v>104.833929870462</v>
      </c>
      <c r="AK2792">
        <v>12.977978089229699</v>
      </c>
      <c r="AL2792">
        <v>89.463321074957307</v>
      </c>
      <c r="AM2792">
        <v>96.085582162375999</v>
      </c>
      <c r="AN2792">
        <v>0.99999996808183</v>
      </c>
    </row>
    <row r="2793" spans="1:40" x14ac:dyDescent="0.25">
      <c r="A2793" t="str">
        <f>"20190312160656223"</f>
        <v>20190312160656223</v>
      </c>
      <c r="B2793" t="str">
        <f>"1552378016217653"</f>
        <v>1552378016217653</v>
      </c>
      <c r="C2793" t="s">
        <v>40</v>
      </c>
      <c r="D2793">
        <v>5.7451359999999996</v>
      </c>
      <c r="E2793">
        <v>0.4424691</v>
      </c>
      <c r="F2793" t="s">
        <v>61</v>
      </c>
      <c r="G2793">
        <v>-495.44</v>
      </c>
      <c r="H2793" s="1">
        <v>5.155775E-7</v>
      </c>
      <c r="I2793">
        <v>271.07479999999998</v>
      </c>
      <c r="J2793">
        <v>-486.03829999999999</v>
      </c>
      <c r="K2793">
        <v>1.111003</v>
      </c>
      <c r="L2793">
        <v>280.05450000000002</v>
      </c>
      <c r="M2793">
        <v>-0.87515880000000001</v>
      </c>
      <c r="N2793">
        <v>0</v>
      </c>
      <c r="O2793">
        <v>-0.48368650000000002</v>
      </c>
      <c r="P2793">
        <v>-0.81880640000000005</v>
      </c>
      <c r="Q2793">
        <v>-2.4357820000000001E-3</v>
      </c>
      <c r="R2793">
        <v>-0.57406499999999905</v>
      </c>
      <c r="S2793">
        <v>-2.196167</v>
      </c>
      <c r="T2793">
        <v>-0.25838670000000002</v>
      </c>
      <c r="U2793">
        <v>-2.0942989999999999</v>
      </c>
      <c r="V2793">
        <v>-0.1063838</v>
      </c>
      <c r="W2793">
        <v>9.2570110000000008E-3</v>
      </c>
      <c r="X2793">
        <v>0.99428209999999995</v>
      </c>
      <c r="Y2793">
        <v>-0.25458239999999999</v>
      </c>
      <c r="Z2793">
        <v>3.1470379999999999E-2</v>
      </c>
      <c r="AA2793">
        <v>0.96653889999999998</v>
      </c>
      <c r="AB2793">
        <v>10</v>
      </c>
      <c r="AC2793">
        <v>-9.4016999999999999</v>
      </c>
      <c r="AD2793">
        <v>-1.1110024844224999</v>
      </c>
      <c r="AE2793">
        <v>-8.9797000000000295</v>
      </c>
      <c r="AF2793">
        <v>-3.2874207498145198</v>
      </c>
      <c r="AG2793">
        <v>-1.1110024844224999</v>
      </c>
      <c r="AH2793">
        <v>12.4811043984694</v>
      </c>
      <c r="AI2793">
        <v>94.919833030491404</v>
      </c>
      <c r="AJ2793">
        <v>104.75609675067599</v>
      </c>
      <c r="AK2793">
        <v>12.9545138354242</v>
      </c>
      <c r="AL2793">
        <v>89.469604789880094</v>
      </c>
      <c r="AM2793">
        <v>96.107161418269101</v>
      </c>
      <c r="AN2793">
        <v>1.0000000497677499</v>
      </c>
    </row>
    <row r="2794" spans="1:40" x14ac:dyDescent="0.25">
      <c r="A2794" t="str">
        <f>"20190312160656234"</f>
        <v>20190312160656234</v>
      </c>
      <c r="B2794" t="str">
        <f>"1552378016228389"</f>
        <v>1552378016228389</v>
      </c>
      <c r="C2794" t="s">
        <v>40</v>
      </c>
      <c r="D2794">
        <v>5.6962529999999996</v>
      </c>
      <c r="E2794">
        <v>0.44307029999999997</v>
      </c>
      <c r="F2794" t="s">
        <v>61</v>
      </c>
      <c r="G2794">
        <v>-495.3458</v>
      </c>
      <c r="H2794" s="1">
        <v>5.4706360000000001E-7</v>
      </c>
      <c r="I2794">
        <v>271.16390000000001</v>
      </c>
      <c r="J2794">
        <v>-486.07850000000002</v>
      </c>
      <c r="K2794">
        <v>1.110997</v>
      </c>
      <c r="L2794">
        <v>280.02980000000002</v>
      </c>
      <c r="M2794">
        <v>-0.87422909999999998</v>
      </c>
      <c r="N2794">
        <v>0</v>
      </c>
      <c r="O2794">
        <v>-0.48536439999999997</v>
      </c>
      <c r="P2794">
        <v>-0.81749269999999996</v>
      </c>
      <c r="Q2794">
        <v>-2.2699080000000002E-3</v>
      </c>
      <c r="R2794">
        <v>-0.57593409999999901</v>
      </c>
      <c r="S2794">
        <v>-2.1938780000000002</v>
      </c>
      <c r="T2794">
        <v>-0.26187630000000001</v>
      </c>
      <c r="U2794">
        <v>-2.095612</v>
      </c>
      <c r="V2794">
        <v>-0.1067482</v>
      </c>
      <c r="W2794">
        <v>9.4176969999999992E-3</v>
      </c>
      <c r="X2794">
        <v>0.9942415</v>
      </c>
      <c r="Y2794">
        <v>-0.25355820000000001</v>
      </c>
      <c r="Z2794">
        <v>3.209658E-2</v>
      </c>
      <c r="AA2794">
        <v>0.96678750000000002</v>
      </c>
      <c r="AB2794">
        <v>10</v>
      </c>
      <c r="AC2794">
        <v>-9.2672999999999703</v>
      </c>
      <c r="AD2794">
        <v>-1.11099645293639</v>
      </c>
      <c r="AE2794">
        <v>-8.8658999999999999</v>
      </c>
      <c r="AF2794">
        <v>-3.2288168433488198</v>
      </c>
      <c r="AG2794">
        <v>-1.11099645293639</v>
      </c>
      <c r="AH2794">
        <v>12.313434091816999</v>
      </c>
      <c r="AI2794">
        <v>94.987893806083207</v>
      </c>
      <c r="AJ2794">
        <v>104.69324267133599</v>
      </c>
      <c r="AK2794">
        <v>12.778115293729799</v>
      </c>
      <c r="AL2794">
        <v>89.460397740984703</v>
      </c>
      <c r="AM2794">
        <v>96.128169920475401</v>
      </c>
      <c r="AN2794">
        <v>1.00000001577113</v>
      </c>
    </row>
    <row r="2795" spans="1:40" x14ac:dyDescent="0.25">
      <c r="A2795" t="str">
        <f>"20190312160656244"</f>
        <v>20190312160656244</v>
      </c>
      <c r="B2795" t="str">
        <f>"1552378016238150"</f>
        <v>1552378016238150</v>
      </c>
      <c r="C2795" t="s">
        <v>40</v>
      </c>
      <c r="D2795">
        <v>5.5990349999999998</v>
      </c>
      <c r="E2795">
        <v>0.4437681</v>
      </c>
      <c r="F2795" t="s">
        <v>61</v>
      </c>
      <c r="G2795">
        <v>-495.38159999999999</v>
      </c>
      <c r="H2795" s="1">
        <v>5.3544589999999899E-7</v>
      </c>
      <c r="I2795">
        <v>271.13099999999997</v>
      </c>
      <c r="J2795">
        <v>-486.11930000000001</v>
      </c>
      <c r="K2795">
        <v>1.110992</v>
      </c>
      <c r="L2795">
        <v>280.00439999999998</v>
      </c>
      <c r="M2795">
        <v>-0.87327999999999995</v>
      </c>
      <c r="N2795">
        <v>0</v>
      </c>
      <c r="O2795">
        <v>-0.48707050000000002</v>
      </c>
      <c r="P2795">
        <v>-0.81645330000000005</v>
      </c>
      <c r="Q2795">
        <v>-2.5309479999999999E-3</v>
      </c>
      <c r="R2795">
        <v>-0.57740619999999998</v>
      </c>
      <c r="S2795">
        <v>-2.1919249999999999</v>
      </c>
      <c r="T2795">
        <v>-0.26176480000000002</v>
      </c>
      <c r="U2795">
        <v>-2.0966490000000002</v>
      </c>
      <c r="V2795">
        <v>-0.1065977</v>
      </c>
      <c r="W2795">
        <v>9.1549700000000001E-3</v>
      </c>
      <c r="X2795">
        <v>0.99426009999999998</v>
      </c>
      <c r="Y2795">
        <v>-0.25234640000000003</v>
      </c>
      <c r="Z2795">
        <v>3.229547E-2</v>
      </c>
      <c r="AA2795">
        <v>0.96709789999999995</v>
      </c>
      <c r="AB2795">
        <v>10</v>
      </c>
      <c r="AC2795">
        <v>-9.2622999999999802</v>
      </c>
      <c r="AD2795">
        <v>-1.1109914645540999</v>
      </c>
      <c r="AE2795">
        <v>-8.8734000000000002</v>
      </c>
      <c r="AF2795">
        <v>-3.2136939195423402</v>
      </c>
      <c r="AG2795">
        <v>-1.1109914645540999</v>
      </c>
      <c r="AH2795">
        <v>12.319030013424801</v>
      </c>
      <c r="AI2795">
        <v>94.987252827162905</v>
      </c>
      <c r="AJ2795">
        <v>104.621021681046</v>
      </c>
      <c r="AK2795">
        <v>12.779696049377501</v>
      </c>
      <c r="AL2795">
        <v>89.475451537641803</v>
      </c>
      <c r="AM2795">
        <v>96.119482050447999</v>
      </c>
      <c r="AN2795">
        <v>1.0000000147865</v>
      </c>
    </row>
    <row r="2796" spans="1:40" x14ac:dyDescent="0.25">
      <c r="A2796" t="str">
        <f>"20190312160656255"</f>
        <v>20190312160656255</v>
      </c>
      <c r="B2796" t="str">
        <f>"1552378016247910"</f>
        <v>1552378016247910</v>
      </c>
      <c r="C2796" t="s">
        <v>40</v>
      </c>
      <c r="D2796">
        <v>5.6466459999999996</v>
      </c>
      <c r="E2796">
        <v>0.44443070000000001</v>
      </c>
      <c r="F2796" t="s">
        <v>61</v>
      </c>
      <c r="G2796">
        <v>-495.38709999999998</v>
      </c>
      <c r="H2796" s="1">
        <v>5.3909179999999996E-7</v>
      </c>
      <c r="I2796">
        <v>271.14139999999998</v>
      </c>
      <c r="J2796">
        <v>-486.15769999999998</v>
      </c>
      <c r="K2796">
        <v>1.110992</v>
      </c>
      <c r="L2796">
        <v>279.98059999999998</v>
      </c>
      <c r="M2796">
        <v>-0.8723843</v>
      </c>
      <c r="N2796">
        <v>0</v>
      </c>
      <c r="O2796">
        <v>-0.48867329999999998</v>
      </c>
      <c r="P2796">
        <v>-0.81551130000000005</v>
      </c>
      <c r="Q2796">
        <v>-3.0698629999999999E-3</v>
      </c>
      <c r="R2796">
        <v>-0.57873339999999995</v>
      </c>
      <c r="S2796">
        <v>-2.1914669999999998</v>
      </c>
      <c r="T2796">
        <v>-0.26270520000000003</v>
      </c>
      <c r="U2796">
        <v>-2.095764</v>
      </c>
      <c r="V2796">
        <v>-0.1063882</v>
      </c>
      <c r="W2796">
        <v>8.6137839999999993E-3</v>
      </c>
      <c r="X2796">
        <v>0.99428740000000004</v>
      </c>
      <c r="Y2796">
        <v>-0.25048120000000001</v>
      </c>
      <c r="Z2796">
        <v>3.2643180000000001E-2</v>
      </c>
      <c r="AA2796">
        <v>0.96757099999999996</v>
      </c>
      <c r="AB2796">
        <v>10</v>
      </c>
      <c r="AC2796">
        <v>-9.2293999999999894</v>
      </c>
      <c r="AD2796">
        <v>-1.1109914609081999</v>
      </c>
      <c r="AE2796">
        <v>-8.8391999999999999</v>
      </c>
      <c r="AF2796">
        <v>-3.1772353496205099</v>
      </c>
      <c r="AG2796">
        <v>-1.1109914609081999</v>
      </c>
      <c r="AH2796">
        <v>12.279151404575501</v>
      </c>
      <c r="AI2796">
        <v>95.005939131322805</v>
      </c>
      <c r="AJ2796">
        <v>104.507132540822</v>
      </c>
      <c r="AK2796">
        <v>12.732112382066701</v>
      </c>
      <c r="AL2796">
        <v>89.5064604476038</v>
      </c>
      <c r="AM2796">
        <v>96.107379790329702</v>
      </c>
      <c r="AN2796">
        <v>1.00000004008639</v>
      </c>
    </row>
    <row r="2797" spans="1:40" x14ac:dyDescent="0.25">
      <c r="A2797" t="str">
        <f>"20190312160656265"</f>
        <v>20190312160656265</v>
      </c>
      <c r="B2797" t="str">
        <f>"1552378016257669"</f>
        <v>1552378016257669</v>
      </c>
      <c r="C2797" t="s">
        <v>40</v>
      </c>
      <c r="D2797">
        <v>5.7216639999999996</v>
      </c>
      <c r="E2797">
        <v>0.44518920000000001</v>
      </c>
      <c r="F2797" t="s">
        <v>61</v>
      </c>
      <c r="G2797">
        <v>-495.34390000000002</v>
      </c>
      <c r="H2797" s="1">
        <v>5.5843839999999998E-7</v>
      </c>
      <c r="I2797">
        <v>271.1961</v>
      </c>
      <c r="J2797">
        <v>-486.19909999999999</v>
      </c>
      <c r="K2797">
        <v>1.1109880000000001</v>
      </c>
      <c r="L2797">
        <v>279.95479999999998</v>
      </c>
      <c r="M2797">
        <v>-0.87141290000000005</v>
      </c>
      <c r="N2797">
        <v>0</v>
      </c>
      <c r="O2797">
        <v>-0.49040339999999999</v>
      </c>
      <c r="P2797">
        <v>-0.81445310000000004</v>
      </c>
      <c r="Q2797">
        <v>-3.555023E-3</v>
      </c>
      <c r="R2797">
        <v>-0.58021880000000003</v>
      </c>
      <c r="S2797">
        <v>-2.1908569999999998</v>
      </c>
      <c r="T2797">
        <v>-0.26496510000000001</v>
      </c>
      <c r="U2797">
        <v>-2.095062</v>
      </c>
      <c r="V2797">
        <v>-0.1062279</v>
      </c>
      <c r="W2797">
        <v>8.1259939999999992E-3</v>
      </c>
      <c r="X2797">
        <v>0.99430859999999999</v>
      </c>
      <c r="Y2797">
        <v>-0.2485552</v>
      </c>
      <c r="Z2797">
        <v>3.3170970000000001E-2</v>
      </c>
      <c r="AA2797">
        <v>0.96804959999999995</v>
      </c>
      <c r="AB2797">
        <v>10</v>
      </c>
      <c r="AC2797">
        <v>-9.1448000000000302</v>
      </c>
      <c r="AD2797">
        <v>-1.1109874415615999</v>
      </c>
      <c r="AE2797">
        <v>-8.7586999999999708</v>
      </c>
      <c r="AF2797">
        <v>-3.1239819187361002</v>
      </c>
      <c r="AG2797">
        <v>-1.1109874415615999</v>
      </c>
      <c r="AH2797">
        <v>12.171382748670201</v>
      </c>
      <c r="AI2797">
        <v>95.052547723806697</v>
      </c>
      <c r="AJ2797">
        <v>104.395150747183</v>
      </c>
      <c r="AK2797">
        <v>12.614916334979201</v>
      </c>
      <c r="AL2797">
        <v>89.534409713196595</v>
      </c>
      <c r="AM2797">
        <v>96.098117868606394</v>
      </c>
      <c r="AN2797">
        <v>0.99999999527542904</v>
      </c>
    </row>
    <row r="2798" spans="1:40" x14ac:dyDescent="0.25">
      <c r="A2798" t="str">
        <f>"20190312160656276"</f>
        <v>20190312160656276</v>
      </c>
      <c r="B2798" t="str">
        <f>"1552378016268406"</f>
        <v>1552378016268406</v>
      </c>
      <c r="C2798" t="s">
        <v>40</v>
      </c>
      <c r="D2798">
        <v>5.709117</v>
      </c>
      <c r="E2798">
        <v>0.44588909999999998</v>
      </c>
      <c r="F2798" t="s">
        <v>61</v>
      </c>
      <c r="G2798">
        <v>-495.34539999999998</v>
      </c>
      <c r="H2798" s="1">
        <v>5.637291E-7</v>
      </c>
      <c r="I2798">
        <v>271.21109999999999</v>
      </c>
      <c r="J2798">
        <v>-486.23559999999998</v>
      </c>
      <c r="K2798">
        <v>1.1109819999999999</v>
      </c>
      <c r="L2798">
        <v>279.93189999999998</v>
      </c>
      <c r="M2798">
        <v>-0.87055249999999995</v>
      </c>
      <c r="N2798">
        <v>0</v>
      </c>
      <c r="O2798">
        <v>-0.4919288</v>
      </c>
      <c r="P2798">
        <v>-0.8139383</v>
      </c>
      <c r="Q2798">
        <v>-4.3171290000000003E-3</v>
      </c>
      <c r="R2798">
        <v>-0.58093539999999999</v>
      </c>
      <c r="S2798">
        <v>-2.1904910000000002</v>
      </c>
      <c r="T2798">
        <v>-0.2660768</v>
      </c>
      <c r="U2798">
        <v>-2.0940859999999999</v>
      </c>
      <c r="V2798">
        <v>-0.1053613</v>
      </c>
      <c r="W2798">
        <v>7.3640329999999999E-3</v>
      </c>
      <c r="X2798">
        <v>0.99440680000000004</v>
      </c>
      <c r="Y2798">
        <v>-0.2467297</v>
      </c>
      <c r="Z2798">
        <v>3.3535769999999999E-2</v>
      </c>
      <c r="AA2798">
        <v>0.96850389999999997</v>
      </c>
      <c r="AB2798">
        <v>10</v>
      </c>
      <c r="AC2798">
        <v>-9.1097999999999999</v>
      </c>
      <c r="AD2798">
        <v>-1.1109814362708901</v>
      </c>
      <c r="AE2798">
        <v>-8.7207999999999899</v>
      </c>
      <c r="AF2798">
        <v>-3.0868098328198998</v>
      </c>
      <c r="AG2798">
        <v>-1.1109814362708901</v>
      </c>
      <c r="AH2798">
        <v>12.1273367491778</v>
      </c>
      <c r="AI2798">
        <v>95.073357682127707</v>
      </c>
      <c r="AJ2798">
        <v>104.280436337032</v>
      </c>
      <c r="AK2798">
        <v>12.5632388866761</v>
      </c>
      <c r="AL2798">
        <v>89.578068199915506</v>
      </c>
      <c r="AM2798">
        <v>96.048147244536196</v>
      </c>
      <c r="AN2798">
        <v>1.00000005820297</v>
      </c>
    </row>
    <row r="2799" spans="1:40" x14ac:dyDescent="0.25">
      <c r="A2799" t="str">
        <f>"20190312160656287"</f>
        <v>20190312160656287</v>
      </c>
      <c r="B2799" t="str">
        <f>"1552378016278166"</f>
        <v>1552378016278166</v>
      </c>
      <c r="C2799" t="s">
        <v>40</v>
      </c>
      <c r="D2799">
        <v>5.810416</v>
      </c>
      <c r="E2799">
        <v>0.44656170000000001</v>
      </c>
      <c r="F2799" t="s">
        <v>61</v>
      </c>
      <c r="G2799">
        <v>-495.30599999999998</v>
      </c>
      <c r="H2799" s="1">
        <v>5.8687489999999995E-7</v>
      </c>
      <c r="I2799">
        <v>271.2765</v>
      </c>
      <c r="J2799">
        <v>-486.28140000000002</v>
      </c>
      <c r="K2799">
        <v>1.1109789999999999</v>
      </c>
      <c r="L2799">
        <v>279.90300000000002</v>
      </c>
      <c r="M2799">
        <v>-0.86946669999999904</v>
      </c>
      <c r="N2799">
        <v>0</v>
      </c>
      <c r="O2799">
        <v>-0.49384610000000001</v>
      </c>
      <c r="P2799">
        <v>-0.81337700000000002</v>
      </c>
      <c r="Q2799">
        <v>-5.3033009999999998E-3</v>
      </c>
      <c r="R2799">
        <v>-0.58171329999999999</v>
      </c>
      <c r="S2799">
        <v>-2.1916500000000001</v>
      </c>
      <c r="T2799">
        <v>-0.26844230000000002</v>
      </c>
      <c r="U2799">
        <v>-2.09137</v>
      </c>
      <c r="V2799">
        <v>-0.10412059999999999</v>
      </c>
      <c r="W2799">
        <v>6.3789090000000003E-3</v>
      </c>
      <c r="X2799">
        <v>0.99454419999999999</v>
      </c>
      <c r="Y2799">
        <v>-0.24373710000000001</v>
      </c>
      <c r="Z2799">
        <v>3.4145790000000002E-2</v>
      </c>
      <c r="AA2799">
        <v>0.96924010000000005</v>
      </c>
      <c r="AB2799">
        <v>10</v>
      </c>
      <c r="AC2799">
        <v>-9.0245999999999604</v>
      </c>
      <c r="AD2799">
        <v>-1.1109784131250999</v>
      </c>
      <c r="AE2799">
        <v>-8.6265000000000196</v>
      </c>
      <c r="AF2799">
        <v>-3.0199939772651598</v>
      </c>
      <c r="AG2799">
        <v>-1.1109784131250999</v>
      </c>
      <c r="AH2799">
        <v>12.012494087392399</v>
      </c>
      <c r="AI2799">
        <v>95.125380713684095</v>
      </c>
      <c r="AJ2799">
        <v>104.111951781451</v>
      </c>
      <c r="AK2799">
        <v>12.4360223084709</v>
      </c>
      <c r="AL2799">
        <v>89.634512949614901</v>
      </c>
      <c r="AM2799">
        <v>95.976625113049906</v>
      </c>
      <c r="AN2799">
        <v>0.99999997778901395</v>
      </c>
    </row>
    <row r="2800" spans="1:40" x14ac:dyDescent="0.25">
      <c r="A2800" t="str">
        <f>"20190312160656300"</f>
        <v>20190312160656300</v>
      </c>
      <c r="B2800" t="str">
        <f>"1552378016287927"</f>
        <v>1552378016287927</v>
      </c>
      <c r="C2800" t="s">
        <v>40</v>
      </c>
      <c r="D2800">
        <v>5.7509389999999998</v>
      </c>
      <c r="E2800">
        <v>0.44718809999999898</v>
      </c>
      <c r="F2800" t="s">
        <v>61</v>
      </c>
      <c r="G2800">
        <v>-495.24590000000001</v>
      </c>
      <c r="H2800" s="1">
        <v>6.1642379999999998E-7</v>
      </c>
      <c r="I2800">
        <v>271.36009999999999</v>
      </c>
      <c r="J2800">
        <v>-486.3279</v>
      </c>
      <c r="K2800">
        <v>1.110976</v>
      </c>
      <c r="L2800">
        <v>279.87360000000001</v>
      </c>
      <c r="M2800">
        <v>-0.86836009999999997</v>
      </c>
      <c r="N2800">
        <v>0</v>
      </c>
      <c r="O2800">
        <v>-0.49578899999999998</v>
      </c>
      <c r="P2800">
        <v>-0.81275710000000001</v>
      </c>
      <c r="Q2800">
        <v>-6.1104599999999998E-3</v>
      </c>
      <c r="R2800">
        <v>-0.5825707</v>
      </c>
      <c r="S2800">
        <v>-2.1923520000000001</v>
      </c>
      <c r="T2800">
        <v>-0.27170159999999999</v>
      </c>
      <c r="U2800">
        <v>-2.089264</v>
      </c>
      <c r="V2800">
        <v>-0.1029468</v>
      </c>
      <c r="W2800">
        <v>5.5721159999999898E-3</v>
      </c>
      <c r="X2800">
        <v>0.99467130000000004</v>
      </c>
      <c r="Y2800">
        <v>-0.2409579</v>
      </c>
      <c r="Z2800">
        <v>3.4868000000000003E-2</v>
      </c>
      <c r="AA2800">
        <v>0.96990900000000002</v>
      </c>
      <c r="AB2800">
        <v>10</v>
      </c>
      <c r="AC2800">
        <v>-8.9179999999999993</v>
      </c>
      <c r="AD2800">
        <v>-1.1109753835762</v>
      </c>
      <c r="AE2800">
        <v>-8.5135000000000201</v>
      </c>
      <c r="AF2800">
        <v>-2.9476178465582499</v>
      </c>
      <c r="AG2800">
        <v>-1.1109753835762</v>
      </c>
      <c r="AH2800">
        <v>11.869421458704</v>
      </c>
      <c r="AI2800">
        <v>95.190535004106394</v>
      </c>
      <c r="AJ2800">
        <v>103.946536477222</v>
      </c>
      <c r="AK2800">
        <v>12.2803046801211</v>
      </c>
      <c r="AL2800">
        <v>89.680739632048699</v>
      </c>
      <c r="AM2800">
        <v>95.908977572732894</v>
      </c>
      <c r="AN2800">
        <v>1.00000004357532</v>
      </c>
    </row>
    <row r="2801" spans="1:40" x14ac:dyDescent="0.25">
      <c r="A2801" t="str">
        <f>"20190312160656325"</f>
        <v>20190312160656325</v>
      </c>
      <c r="B2801" t="str">
        <f>"1552378016318181"</f>
        <v>1552378016318181</v>
      </c>
      <c r="C2801" t="s">
        <v>40</v>
      </c>
      <c r="D2801">
        <v>6.0636580000000002</v>
      </c>
      <c r="E2801">
        <v>0.44830779999999998</v>
      </c>
      <c r="F2801" t="s">
        <v>61</v>
      </c>
      <c r="G2801">
        <v>-495.21519999999998</v>
      </c>
      <c r="H2801" s="1">
        <v>6.3507839999999996E-7</v>
      </c>
      <c r="I2801">
        <v>271.41289999999998</v>
      </c>
      <c r="J2801">
        <v>-486.41969999999998</v>
      </c>
      <c r="K2801">
        <v>1.1109610000000001</v>
      </c>
      <c r="L2801">
        <v>279.8152</v>
      </c>
      <c r="M2801">
        <v>-0.86615900000000001</v>
      </c>
      <c r="N2801">
        <v>0</v>
      </c>
      <c r="O2801">
        <v>-0.49962479999999998</v>
      </c>
      <c r="P2801">
        <v>-0.81179950000000001</v>
      </c>
      <c r="Q2801">
        <v>-6.5113280000000003E-3</v>
      </c>
      <c r="R2801">
        <v>-0.58389990000000003</v>
      </c>
      <c r="S2801">
        <v>-2.1927490000000001</v>
      </c>
      <c r="T2801">
        <v>-0.27410770000000001</v>
      </c>
      <c r="U2801">
        <v>-2.087494</v>
      </c>
      <c r="V2801">
        <v>-0.10017529999999999</v>
      </c>
      <c r="W2801">
        <v>5.1730090000000001E-3</v>
      </c>
      <c r="X2801">
        <v>0.99495639999999996</v>
      </c>
      <c r="Y2801">
        <v>-0.2362051</v>
      </c>
      <c r="Z2801">
        <v>3.5750610000000002E-2</v>
      </c>
      <c r="AA2801">
        <v>0.9710453</v>
      </c>
      <c r="AB2801">
        <v>10</v>
      </c>
      <c r="AC2801">
        <v>-8.7955000000000005</v>
      </c>
      <c r="AD2801">
        <v>-1.1109603649216</v>
      </c>
      <c r="AE2801">
        <v>-8.4023000000000199</v>
      </c>
      <c r="AF2801">
        <v>-2.859630773633</v>
      </c>
      <c r="AG2801">
        <v>-1.1109603649216</v>
      </c>
      <c r="AH2801">
        <v>11.7193881375362</v>
      </c>
      <c r="AI2801">
        <v>95.261798602398798</v>
      </c>
      <c r="AJ2801">
        <v>103.712698597645</v>
      </c>
      <c r="AK2801">
        <v>12.1142799791056</v>
      </c>
      <c r="AL2801">
        <v>89.703607108131493</v>
      </c>
      <c r="AM2801">
        <v>95.749342046704498</v>
      </c>
      <c r="AN2801">
        <v>1.00000004432658</v>
      </c>
    </row>
    <row r="2802" spans="1:40" x14ac:dyDescent="0.25">
      <c r="A2802" t="str">
        <f>"20190312160656340"</f>
        <v>20190312160656340</v>
      </c>
      <c r="B2802" t="str">
        <f>"1552378016327942"</f>
        <v>1552378016327942</v>
      </c>
      <c r="C2802" t="s">
        <v>40</v>
      </c>
      <c r="D2802">
        <v>5.852671</v>
      </c>
      <c r="E2802">
        <v>0.4487968</v>
      </c>
      <c r="F2802" t="s">
        <v>61</v>
      </c>
      <c r="G2802">
        <v>-495.38630000000001</v>
      </c>
      <c r="H2802" s="1">
        <v>5.9551039999999999E-7</v>
      </c>
      <c r="I2802">
        <v>271.30099999999999</v>
      </c>
      <c r="J2802">
        <v>-486.47770000000003</v>
      </c>
      <c r="K2802">
        <v>1.1109530000000001</v>
      </c>
      <c r="L2802">
        <v>279.77800000000002</v>
      </c>
      <c r="M2802">
        <v>-0.86475740000000001</v>
      </c>
      <c r="N2802">
        <v>0</v>
      </c>
      <c r="O2802">
        <v>-0.50204720000000003</v>
      </c>
      <c r="P2802">
        <v>-0.81169650000000004</v>
      </c>
      <c r="Q2802">
        <v>-7.2199269999999897E-3</v>
      </c>
      <c r="R2802">
        <v>-0.58403519999999998</v>
      </c>
      <c r="S2802">
        <v>-2.1945190000000001</v>
      </c>
      <c r="T2802">
        <v>-0.27190009999999998</v>
      </c>
      <c r="U2802">
        <v>-2.0838009999999998</v>
      </c>
      <c r="V2802">
        <v>-9.7557389999999994E-2</v>
      </c>
      <c r="W2802">
        <v>4.4682519999999998E-3</v>
      </c>
      <c r="X2802">
        <v>0.99521990000000005</v>
      </c>
      <c r="Y2802">
        <v>-0.23224030000000001</v>
      </c>
      <c r="Z2802">
        <v>3.5871069999999998E-2</v>
      </c>
      <c r="AA2802">
        <v>0.97199679999999999</v>
      </c>
      <c r="AB2802">
        <v>10</v>
      </c>
      <c r="AC2802">
        <v>-8.9085999999999697</v>
      </c>
      <c r="AD2802">
        <v>-1.1109524044896</v>
      </c>
      <c r="AE2802">
        <v>-8.4770000000000305</v>
      </c>
      <c r="AF2802">
        <v>-2.8350768265008601</v>
      </c>
      <c r="AG2802">
        <v>-1.1109524044896</v>
      </c>
      <c r="AH2802">
        <v>11.863662408787199</v>
      </c>
      <c r="AI2802">
        <v>95.204070581412594</v>
      </c>
      <c r="AJ2802">
        <v>103.43999929947501</v>
      </c>
      <c r="AK2802">
        <v>12.248198300438901</v>
      </c>
      <c r="AL2802">
        <v>89.743987174249099</v>
      </c>
      <c r="AM2802">
        <v>95.598587293103407</v>
      </c>
      <c r="AN2802">
        <v>1.00000002948777</v>
      </c>
    </row>
    <row r="2803" spans="1:40" x14ac:dyDescent="0.25">
      <c r="A2803" t="str">
        <f>"20190312160656354"</f>
        <v>20190312160656354</v>
      </c>
      <c r="B2803" t="str">
        <f>"1552378016348438"</f>
        <v>1552378016348438</v>
      </c>
      <c r="C2803" t="s">
        <v>40</v>
      </c>
      <c r="D2803">
        <v>5.7976929999999998</v>
      </c>
      <c r="E2803">
        <v>0.44995669999999999</v>
      </c>
      <c r="F2803" t="s">
        <v>61</v>
      </c>
      <c r="G2803">
        <v>-495.48660000000001</v>
      </c>
      <c r="H2803" s="1">
        <v>5.7466239999999996E-7</v>
      </c>
      <c r="I2803">
        <v>271.24200000000002</v>
      </c>
      <c r="J2803">
        <v>-486.5274</v>
      </c>
      <c r="K2803">
        <v>1.1109450000000001</v>
      </c>
      <c r="L2803">
        <v>279.74590000000001</v>
      </c>
      <c r="M2803">
        <v>-0.86354629999999999</v>
      </c>
      <c r="N2803">
        <v>0</v>
      </c>
      <c r="O2803">
        <v>-0.5041274</v>
      </c>
      <c r="P2803">
        <v>-0.81111119999999903</v>
      </c>
      <c r="Q2803">
        <v>-7.5823849999999996E-3</v>
      </c>
      <c r="R2803">
        <v>-0.58484349999999996</v>
      </c>
      <c r="S2803">
        <v>-2.196259</v>
      </c>
      <c r="T2803">
        <v>-0.2708353</v>
      </c>
      <c r="U2803">
        <v>-2.0809630000000001</v>
      </c>
      <c r="V2803">
        <v>-9.6153210000000003E-2</v>
      </c>
      <c r="W2803">
        <v>4.105381E-3</v>
      </c>
      <c r="X2803">
        <v>0.99535799999999997</v>
      </c>
      <c r="Y2803">
        <v>-0.2288616</v>
      </c>
      <c r="Z2803">
        <v>3.6073439999999998E-2</v>
      </c>
      <c r="AA2803">
        <v>0.97279040000000006</v>
      </c>
      <c r="AB2803">
        <v>10</v>
      </c>
      <c r="AC2803">
        <v>-8.9592000000000098</v>
      </c>
      <c r="AD2803">
        <v>-1.1109444253376</v>
      </c>
      <c r="AE2803">
        <v>-8.5038999999999803</v>
      </c>
      <c r="AF2803">
        <v>-2.8044515538744799</v>
      </c>
      <c r="AG2803">
        <v>-1.1109444253376</v>
      </c>
      <c r="AH2803">
        <v>11.928112405955099</v>
      </c>
      <c r="AI2803">
        <v>95.180528197387403</v>
      </c>
      <c r="AJ2803">
        <v>103.23067415928701</v>
      </c>
      <c r="AK2803">
        <v>12.303617825799</v>
      </c>
      <c r="AL2803">
        <v>89.7647783160903</v>
      </c>
      <c r="AM2803">
        <v>95.517744835064605</v>
      </c>
      <c r="AN2803">
        <v>0.99999992105522595</v>
      </c>
    </row>
    <row r="2804" spans="1:40" x14ac:dyDescent="0.25">
      <c r="A2804" t="str">
        <f>"20190312160656377"</f>
        <v>20190312160656377</v>
      </c>
      <c r="B2804" t="str">
        <f>"1552378016367959"</f>
        <v>1552378016367959</v>
      </c>
      <c r="C2804" t="s">
        <v>40</v>
      </c>
      <c r="D2804">
        <v>5.8406010000000004</v>
      </c>
      <c r="E2804">
        <v>0.45044659999999898</v>
      </c>
      <c r="F2804" t="s">
        <v>61</v>
      </c>
      <c r="G2804">
        <v>-495.51670000000001</v>
      </c>
      <c r="H2804" s="1">
        <v>5.8170340000000003E-7</v>
      </c>
      <c r="I2804">
        <v>271.26190000000003</v>
      </c>
      <c r="J2804">
        <v>-486.6148</v>
      </c>
      <c r="K2804">
        <v>1.1109359999999999</v>
      </c>
      <c r="L2804">
        <v>279.68900000000002</v>
      </c>
      <c r="M2804">
        <v>-0.86140119999999898</v>
      </c>
      <c r="N2804">
        <v>0</v>
      </c>
      <c r="O2804">
        <v>-0.50778429999999997</v>
      </c>
      <c r="P2804">
        <v>-0.80993579999999998</v>
      </c>
      <c r="Q2804">
        <v>-8.2362249999999998E-3</v>
      </c>
      <c r="R2804">
        <v>-0.58646109999999996</v>
      </c>
      <c r="S2804">
        <v>-2.1994020000000001</v>
      </c>
      <c r="T2804">
        <v>-0.27181359999999999</v>
      </c>
      <c r="U2804">
        <v>-2.0757750000000001</v>
      </c>
      <c r="V2804">
        <v>-9.3921050000000006E-2</v>
      </c>
      <c r="W2804">
        <v>3.4511659999999999E-3</v>
      </c>
      <c r="X2804">
        <v>0.99557359999999995</v>
      </c>
      <c r="Y2804">
        <v>-0.22285869999999999</v>
      </c>
      <c r="Z2804">
        <v>3.680924E-2</v>
      </c>
      <c r="AA2804">
        <v>0.97415549999999995</v>
      </c>
      <c r="AB2804">
        <v>10</v>
      </c>
      <c r="AC2804">
        <v>-8.9019000000000101</v>
      </c>
      <c r="AD2804">
        <v>-1.1109354182966</v>
      </c>
      <c r="AE2804">
        <v>-8.4270999999999905</v>
      </c>
      <c r="AF2804">
        <v>-2.7167505861401602</v>
      </c>
      <c r="AG2804">
        <v>-1.1109354182966</v>
      </c>
      <c r="AH2804">
        <v>11.8507734264742</v>
      </c>
      <c r="AI2804">
        <v>95.220814254334897</v>
      </c>
      <c r="AJ2804">
        <v>102.91176483654201</v>
      </c>
      <c r="AK2804">
        <v>12.208838685827001</v>
      </c>
      <c r="AL2804">
        <v>89.802262348142193</v>
      </c>
      <c r="AM2804">
        <v>95.389255416708295</v>
      </c>
      <c r="AN2804">
        <v>0.999999933598408</v>
      </c>
    </row>
    <row r="2805" spans="1:40" x14ac:dyDescent="0.25">
      <c r="A2805" t="str">
        <f>"20190312160656387"</f>
        <v>20190312160656387</v>
      </c>
      <c r="B2805" t="str">
        <f>"1552378016377718"</f>
        <v>1552378016377718</v>
      </c>
      <c r="C2805" t="s">
        <v>40</v>
      </c>
      <c r="D2805">
        <v>5.7936300000000003</v>
      </c>
      <c r="E2805">
        <v>0.45092379999999999</v>
      </c>
      <c r="F2805" t="s">
        <v>61</v>
      </c>
      <c r="G2805">
        <v>-495.51600000000002</v>
      </c>
      <c r="H2805" s="1">
        <v>5.8650430000000005E-7</v>
      </c>
      <c r="I2805">
        <v>271.27550000000002</v>
      </c>
      <c r="J2805">
        <v>-486.65440000000001</v>
      </c>
      <c r="K2805">
        <v>1.11093</v>
      </c>
      <c r="L2805">
        <v>279.66300000000001</v>
      </c>
      <c r="M2805">
        <v>-0.86042109999999905</v>
      </c>
      <c r="N2805">
        <v>0</v>
      </c>
      <c r="O2805">
        <v>-0.50944319999999998</v>
      </c>
      <c r="P2805">
        <v>-0.80925719999999901</v>
      </c>
      <c r="Q2805">
        <v>-8.3304709999999903E-3</v>
      </c>
      <c r="R2805">
        <v>-0.58739540000000001</v>
      </c>
      <c r="S2805">
        <v>-2.197327</v>
      </c>
      <c r="T2805">
        <v>-0.27424189999999998</v>
      </c>
      <c r="U2805">
        <v>-2.0769350000000002</v>
      </c>
      <c r="V2805">
        <v>-9.3151999999999999E-2</v>
      </c>
      <c r="W2805">
        <v>3.355322E-3</v>
      </c>
      <c r="X2805">
        <v>0.99564620000000004</v>
      </c>
      <c r="Y2805">
        <v>-0.2217355</v>
      </c>
      <c r="Z2805">
        <v>3.7350420000000002E-2</v>
      </c>
      <c r="AA2805">
        <v>0.97439120000000001</v>
      </c>
      <c r="AB2805">
        <v>10</v>
      </c>
      <c r="AC2805">
        <v>-8.8615999999999495</v>
      </c>
      <c r="AD2805">
        <v>-1.1109294134957</v>
      </c>
      <c r="AE2805">
        <v>-8.3874999999999797</v>
      </c>
      <c r="AF2805">
        <v>-2.6802747214677098</v>
      </c>
      <c r="AG2805">
        <v>-1.1109294134957</v>
      </c>
      <c r="AH2805">
        <v>11.800689256128599</v>
      </c>
      <c r="AI2805">
        <v>95.245216499978795</v>
      </c>
      <c r="AJ2805">
        <v>102.796416723446</v>
      </c>
      <c r="AK2805">
        <v>12.152131651032199</v>
      </c>
      <c r="AL2805">
        <v>89.807753841007298</v>
      </c>
      <c r="AM2805">
        <v>95.344995936363105</v>
      </c>
      <c r="AN2805">
        <v>0.99999995443208001</v>
      </c>
    </row>
    <row r="2806" spans="1:40" x14ac:dyDescent="0.25">
      <c r="A2806" t="str">
        <f>"20190312160656400"</f>
        <v>20190312160656400</v>
      </c>
      <c r="B2806" t="str">
        <f>"1552378016388455"</f>
        <v>1552378016388455</v>
      </c>
      <c r="C2806" t="s">
        <v>40</v>
      </c>
      <c r="D2806">
        <v>5.832662</v>
      </c>
      <c r="E2806">
        <v>0.4512603</v>
      </c>
      <c r="F2806" t="s">
        <v>61</v>
      </c>
      <c r="G2806">
        <v>-495.56909999999999</v>
      </c>
      <c r="H2806" s="1">
        <v>5.7387400000000005E-7</v>
      </c>
      <c r="I2806">
        <v>271.23970000000003</v>
      </c>
      <c r="J2806">
        <v>-486.69569999999999</v>
      </c>
      <c r="K2806">
        <v>1.110924</v>
      </c>
      <c r="L2806">
        <v>279.63589999999999</v>
      </c>
      <c r="M2806">
        <v>-0.85939759999999998</v>
      </c>
      <c r="N2806">
        <v>0</v>
      </c>
      <c r="O2806">
        <v>-0.51116790000000001</v>
      </c>
      <c r="P2806">
        <v>-0.80839780000000006</v>
      </c>
      <c r="Q2806">
        <v>-8.3875960000000006E-3</v>
      </c>
      <c r="R2806">
        <v>-0.58857660000000001</v>
      </c>
      <c r="S2806">
        <v>-2.1972960000000001</v>
      </c>
      <c r="T2806">
        <v>-0.27382210000000001</v>
      </c>
      <c r="U2806">
        <v>-2.0761720000000001</v>
      </c>
      <c r="V2806">
        <v>-9.2608880000000005E-2</v>
      </c>
      <c r="W2806">
        <v>3.296195E-3</v>
      </c>
      <c r="X2806">
        <v>0.9956971</v>
      </c>
      <c r="Y2806">
        <v>-0.21961649999999999</v>
      </c>
      <c r="Z2806">
        <v>3.7551689999999999E-2</v>
      </c>
      <c r="AA2806">
        <v>0.97486329999999999</v>
      </c>
      <c r="AB2806">
        <v>10</v>
      </c>
      <c r="AC2806">
        <v>-8.8734000000000002</v>
      </c>
      <c r="AD2806">
        <v>-1.1109234261259999</v>
      </c>
      <c r="AE2806">
        <v>-8.3961999999999595</v>
      </c>
      <c r="AF2806">
        <v>-2.6580865004679102</v>
      </c>
      <c r="AG2806">
        <v>-1.1109234261259999</v>
      </c>
      <c r="AH2806">
        <v>11.8207428413423</v>
      </c>
      <c r="AI2806">
        <v>95.238873209010293</v>
      </c>
      <c r="AJ2806">
        <v>102.67309101236</v>
      </c>
      <c r="AK2806">
        <v>12.166738923139199</v>
      </c>
      <c r="AL2806">
        <v>89.811141594595597</v>
      </c>
      <c r="AM2806">
        <v>95.313740922986</v>
      </c>
      <c r="AN2806">
        <v>0.99999999225237102</v>
      </c>
    </row>
    <row r="2807" spans="1:40" x14ac:dyDescent="0.25">
      <c r="A2807" t="str">
        <f>"20190312160656410"</f>
        <v>20190312160656410</v>
      </c>
      <c r="B2807" t="str">
        <f>"1552378016398215"</f>
        <v>1552378016398215</v>
      </c>
      <c r="C2807" t="s">
        <v>40</v>
      </c>
      <c r="D2807">
        <v>5.8762040000000004</v>
      </c>
      <c r="E2807">
        <v>0.45158320000000002</v>
      </c>
      <c r="F2807" t="s">
        <v>61</v>
      </c>
      <c r="G2807">
        <v>-495.67950000000002</v>
      </c>
      <c r="H2807" s="1">
        <v>5.369669E-7</v>
      </c>
      <c r="I2807">
        <v>271.13529999999997</v>
      </c>
      <c r="J2807">
        <v>-486.73790000000002</v>
      </c>
      <c r="K2807">
        <v>1.110927</v>
      </c>
      <c r="L2807">
        <v>279.608</v>
      </c>
      <c r="M2807">
        <v>-0.85834519999999903</v>
      </c>
      <c r="N2807">
        <v>0</v>
      </c>
      <c r="O2807">
        <v>-0.51293350000000004</v>
      </c>
      <c r="P2807">
        <v>-0.80696369999999995</v>
      </c>
      <c r="Q2807">
        <v>-8.4234770000000004E-3</v>
      </c>
      <c r="R2807">
        <v>-0.59054110000000004</v>
      </c>
      <c r="S2807">
        <v>-2.1955870000000002</v>
      </c>
      <c r="T2807">
        <v>-0.2715031</v>
      </c>
      <c r="U2807">
        <v>-2.0774840000000001</v>
      </c>
      <c r="V2807">
        <v>-9.2983969999999999E-2</v>
      </c>
      <c r="W2807">
        <v>3.254233E-3</v>
      </c>
      <c r="X2807">
        <v>0.9956623</v>
      </c>
      <c r="Y2807">
        <v>-0.21829100000000001</v>
      </c>
      <c r="Z2807">
        <v>3.7460880000000002E-2</v>
      </c>
      <c r="AA2807">
        <v>0.97516449999999999</v>
      </c>
      <c r="AB2807">
        <v>10</v>
      </c>
      <c r="AC2807">
        <v>-8.9415999999999904</v>
      </c>
      <c r="AD2807">
        <v>-1.1109264630330999</v>
      </c>
      <c r="AE2807">
        <v>-8.4727000000000299</v>
      </c>
      <c r="AF2807">
        <v>-2.66457478293915</v>
      </c>
      <c r="AG2807">
        <v>-1.1109264630330999</v>
      </c>
      <c r="AH2807">
        <v>11.9247797627312</v>
      </c>
      <c r="AI2807">
        <v>95.194995288528304</v>
      </c>
      <c r="AJ2807">
        <v>102.595747351952</v>
      </c>
      <c r="AK2807">
        <v>12.2692497231814</v>
      </c>
      <c r="AL2807">
        <v>89.813545856724403</v>
      </c>
      <c r="AM2807">
        <v>95.335324407141798</v>
      </c>
      <c r="AN2807">
        <v>1.0000000121753301</v>
      </c>
    </row>
    <row r="2808" spans="1:40" x14ac:dyDescent="0.25">
      <c r="A2808" t="str">
        <f>"20190312160656421"</f>
        <v>20190312160656421</v>
      </c>
      <c r="B2808" t="str">
        <f>"1552378016407974"</f>
        <v>1552378016407974</v>
      </c>
      <c r="C2808" t="s">
        <v>40</v>
      </c>
      <c r="D2808">
        <v>5.803401</v>
      </c>
      <c r="E2808">
        <v>0.45191009999999998</v>
      </c>
      <c r="F2808" t="s">
        <v>61</v>
      </c>
      <c r="G2808">
        <v>-495.79140000000001</v>
      </c>
      <c r="H2808" s="1">
        <v>4.9451969999999998E-7</v>
      </c>
      <c r="I2808">
        <v>271.01530000000002</v>
      </c>
      <c r="J2808">
        <v>-486.77440000000001</v>
      </c>
      <c r="K2808">
        <v>1.1109260000000001</v>
      </c>
      <c r="L2808">
        <v>279.5838</v>
      </c>
      <c r="M2808">
        <v>-0.85742790000000002</v>
      </c>
      <c r="N2808">
        <v>0</v>
      </c>
      <c r="O2808">
        <v>-0.51446559999999997</v>
      </c>
      <c r="P2808">
        <v>-0.8060254</v>
      </c>
      <c r="Q2808">
        <v>-8.5352169999999995E-3</v>
      </c>
      <c r="R2808">
        <v>-0.5918196</v>
      </c>
      <c r="S2808">
        <v>-2.1922299999999999</v>
      </c>
      <c r="T2808">
        <v>-0.26900030000000003</v>
      </c>
      <c r="U2808">
        <v>-2.0806580000000001</v>
      </c>
      <c r="V2808">
        <v>-9.278459E-2</v>
      </c>
      <c r="W2808">
        <v>3.142653E-3</v>
      </c>
      <c r="X2808">
        <v>0.99568120000000004</v>
      </c>
      <c r="Y2808">
        <v>-0.2180252</v>
      </c>
      <c r="Z2808">
        <v>3.7275790000000003E-2</v>
      </c>
      <c r="AA2808">
        <v>0.97523099999999996</v>
      </c>
      <c r="AB2808">
        <v>10</v>
      </c>
      <c r="AC2808">
        <v>-9.0169999999999906</v>
      </c>
      <c r="AD2808">
        <v>-1.1109255054803</v>
      </c>
      <c r="AE2808">
        <v>-8.56849999999997</v>
      </c>
      <c r="AF2808">
        <v>-2.68669743663536</v>
      </c>
      <c r="AG2808">
        <v>-1.1109255054803</v>
      </c>
      <c r="AH2808">
        <v>12.0444198126344</v>
      </c>
      <c r="AI2808">
        <v>95.144082464500201</v>
      </c>
      <c r="AJ2808">
        <v>102.574855211917</v>
      </c>
      <c r="AK2808">
        <v>12.390340883838901</v>
      </c>
      <c r="AL2808">
        <v>89.819938941993499</v>
      </c>
      <c r="AM2808">
        <v>95.3238495175938</v>
      </c>
      <c r="AN2808">
        <v>0.99999995422139198</v>
      </c>
    </row>
    <row r="2809" spans="1:40" x14ac:dyDescent="0.25">
      <c r="A2809" t="str">
        <f>"20190312160656431"</f>
        <v>20190312160656431</v>
      </c>
      <c r="B2809" t="str">
        <f>"1552378016427494"</f>
        <v>1552378016427494</v>
      </c>
      <c r="C2809" t="s">
        <v>40</v>
      </c>
      <c r="D2809">
        <v>6.1989939999999999</v>
      </c>
      <c r="E2809">
        <v>0.45232689999999998</v>
      </c>
      <c r="F2809" t="s">
        <v>61</v>
      </c>
      <c r="G2809">
        <v>-495.892</v>
      </c>
      <c r="H2809" s="1">
        <v>4.6000300000000002E-7</v>
      </c>
      <c r="I2809">
        <v>270.91759999999999</v>
      </c>
      <c r="J2809">
        <v>-486.81580000000002</v>
      </c>
      <c r="K2809">
        <v>1.1109290000000001</v>
      </c>
      <c r="L2809">
        <v>279.55630000000002</v>
      </c>
      <c r="M2809">
        <v>-0.85638700000000001</v>
      </c>
      <c r="N2809">
        <v>0</v>
      </c>
      <c r="O2809">
        <v>-0.5161964</v>
      </c>
      <c r="P2809">
        <v>-0.80513500000000005</v>
      </c>
      <c r="Q2809">
        <v>-8.7916850000000005E-3</v>
      </c>
      <c r="R2809">
        <v>-0.59302699999999997</v>
      </c>
      <c r="S2809">
        <v>-2.1904910000000002</v>
      </c>
      <c r="T2809">
        <v>-0.26689849999999998</v>
      </c>
      <c r="U2809">
        <v>-2.0820310000000002</v>
      </c>
      <c r="V2809">
        <v>-9.226666E-2</v>
      </c>
      <c r="W2809">
        <v>2.8885009999999999E-3</v>
      </c>
      <c r="X2809">
        <v>0.99573020000000001</v>
      </c>
      <c r="Y2809">
        <v>-0.21675649999999999</v>
      </c>
      <c r="Z2809">
        <v>3.7201940000000003E-2</v>
      </c>
      <c r="AA2809">
        <v>0.97551659999999996</v>
      </c>
      <c r="AB2809">
        <v>10</v>
      </c>
      <c r="AC2809">
        <v>-9.0761999999999698</v>
      </c>
      <c r="AD2809">
        <v>-1.1109285399969999</v>
      </c>
      <c r="AE2809">
        <v>-8.6387000000000196</v>
      </c>
      <c r="AF2809">
        <v>-2.6920010886374399</v>
      </c>
      <c r="AG2809">
        <v>-1.1109285399969999</v>
      </c>
      <c r="AH2809">
        <v>12.137468921318</v>
      </c>
      <c r="AI2809">
        <v>95.106239922307495</v>
      </c>
      <c r="AJ2809">
        <v>102.505349760393</v>
      </c>
      <c r="AK2809">
        <v>12.4819543300785</v>
      </c>
      <c r="AL2809">
        <v>89.834500862641406</v>
      </c>
      <c r="AM2809">
        <v>95.294041711075593</v>
      </c>
      <c r="AN2809">
        <v>1.0000000555888</v>
      </c>
    </row>
    <row r="2810" spans="1:40" x14ac:dyDescent="0.25">
      <c r="A2810" t="str">
        <f>"20190312160656443"</f>
        <v>20190312160656443</v>
      </c>
      <c r="B2810" t="str">
        <f>"1552378016438230"</f>
        <v>1552378016438230</v>
      </c>
      <c r="C2810" t="s">
        <v>40</v>
      </c>
      <c r="D2810">
        <v>6.1518560000000004</v>
      </c>
      <c r="E2810">
        <v>0.49407519999999999</v>
      </c>
      <c r="F2810" t="s">
        <v>61</v>
      </c>
      <c r="G2810">
        <v>-495.97190000000001</v>
      </c>
      <c r="H2810" s="1">
        <v>4.3410169999999998E-7</v>
      </c>
      <c r="I2810">
        <v>270.84440000000001</v>
      </c>
      <c r="J2810">
        <v>-486.85579999999999</v>
      </c>
      <c r="K2810">
        <v>1.1108849999999999</v>
      </c>
      <c r="L2810">
        <v>279.52949999999998</v>
      </c>
      <c r="M2810">
        <v>-0.85534299999999996</v>
      </c>
      <c r="N2810">
        <v>0</v>
      </c>
      <c r="O2810">
        <v>-0.51793149999999999</v>
      </c>
      <c r="P2810">
        <v>-0.80416469999999995</v>
      </c>
      <c r="Q2810">
        <v>-8.7648610000000005E-3</v>
      </c>
      <c r="R2810">
        <v>-0.59434219999999904</v>
      </c>
      <c r="S2810">
        <v>-2.1890559999999999</v>
      </c>
      <c r="T2810">
        <v>-0.2656018</v>
      </c>
      <c r="U2810">
        <v>-2.0828549999999999</v>
      </c>
      <c r="V2810">
        <v>-9.1877410000000007E-2</v>
      </c>
      <c r="W2810">
        <v>2.59334E-3</v>
      </c>
      <c r="X2810">
        <v>0.99576690000000001</v>
      </c>
      <c r="Y2810">
        <v>-0.21529180000000001</v>
      </c>
      <c r="Z2810">
        <v>3.7246670000000003E-2</v>
      </c>
      <c r="AA2810">
        <v>0.97583920000000002</v>
      </c>
      <c r="AB2810">
        <v>10</v>
      </c>
      <c r="AC2810">
        <v>-9.1161000000000101</v>
      </c>
      <c r="AD2810">
        <v>-1.1108845658983</v>
      </c>
      <c r="AE2810">
        <v>-8.6850999999999701</v>
      </c>
      <c r="AF2810">
        <v>-2.6864950694160599</v>
      </c>
      <c r="AG2810">
        <v>-1.1108845658983</v>
      </c>
      <c r="AH2810">
        <v>12.201531824678799</v>
      </c>
      <c r="AI2810">
        <v>95.081091164996494</v>
      </c>
      <c r="AJ2810">
        <v>102.41708415955</v>
      </c>
      <c r="AK2810">
        <v>12.5430737518918</v>
      </c>
      <c r="AL2810">
        <v>89.851412389399698</v>
      </c>
      <c r="AM2810">
        <v>95.271640372228006</v>
      </c>
      <c r="AN2810">
        <v>0.99999995150813503</v>
      </c>
    </row>
    <row r="2811" spans="1:40" x14ac:dyDescent="0.25">
      <c r="A2811" t="str">
        <f>"20190312160656452"</f>
        <v>20190312160656452</v>
      </c>
      <c r="B2811" t="str">
        <f>"1552378016447990"</f>
        <v>1552378016447990</v>
      </c>
      <c r="C2811" t="s">
        <v>40</v>
      </c>
      <c r="D2811">
        <v>5.9714130000000001</v>
      </c>
      <c r="E2811">
        <v>0.49407519999999999</v>
      </c>
      <c r="F2811" t="s">
        <v>61</v>
      </c>
      <c r="G2811">
        <v>-498.6771</v>
      </c>
      <c r="H2811" s="1">
        <v>2.7057979999999999E-7</v>
      </c>
      <c r="I2811">
        <v>270.50779999999997</v>
      </c>
      <c r="J2811">
        <v>-486.89479999999998</v>
      </c>
      <c r="K2811">
        <v>1.110827</v>
      </c>
      <c r="L2811">
        <v>279.5034</v>
      </c>
      <c r="M2811">
        <v>-0.85431389999999996</v>
      </c>
      <c r="N2811">
        <v>0</v>
      </c>
      <c r="O2811">
        <v>-0.51963599999999999</v>
      </c>
      <c r="P2811">
        <v>-0.80313109999999999</v>
      </c>
      <c r="Q2811">
        <v>-8.6558099999999999E-3</v>
      </c>
      <c r="R2811">
        <v>-0.59573999999999905</v>
      </c>
      <c r="S2811">
        <v>-2.383667</v>
      </c>
      <c r="T2811">
        <v>-0.2240009</v>
      </c>
      <c r="U2811">
        <v>-1.819153</v>
      </c>
      <c r="V2811">
        <v>-9.162534E-2</v>
      </c>
      <c r="W2811">
        <v>2.3072380000000001E-3</v>
      </c>
      <c r="X2811">
        <v>0.99579090000000003</v>
      </c>
      <c r="Y2811">
        <v>-0.1061657</v>
      </c>
      <c r="Z2811">
        <v>3.5360120000000002E-2</v>
      </c>
      <c r="AA2811">
        <v>0.99371949999999998</v>
      </c>
      <c r="AB2811">
        <v>10</v>
      </c>
      <c r="AC2811">
        <v>-11.782299999999999</v>
      </c>
      <c r="AD2811">
        <v>-1.1108267294201899</v>
      </c>
      <c r="AE2811">
        <v>-8.9956000000000191</v>
      </c>
      <c r="AF2811">
        <v>-1.5539316045034299</v>
      </c>
      <c r="AG2811">
        <v>-1.1108267294201899</v>
      </c>
      <c r="AH2811">
        <v>14.6588358872339</v>
      </c>
      <c r="AI2811">
        <v>94.309460166015498</v>
      </c>
      <c r="AJ2811">
        <v>96.051125221997097</v>
      </c>
      <c r="AK2811">
        <v>14.782763916911</v>
      </c>
      <c r="AL2811">
        <v>89.867804885809804</v>
      </c>
      <c r="AM2811">
        <v>95.257132533375795</v>
      </c>
      <c r="AN2811">
        <v>1.00000002140005</v>
      </c>
    </row>
    <row r="2812" spans="1:40" x14ac:dyDescent="0.25">
      <c r="A2812" t="str">
        <f>"20190312160656463"</f>
        <v>20190312160656463</v>
      </c>
      <c r="B2812" t="str">
        <f>"1552378016457750"</f>
        <v>1552378016457750</v>
      </c>
      <c r="C2812" t="s">
        <v>40</v>
      </c>
      <c r="D2812">
        <v>5.7305140000000003</v>
      </c>
      <c r="E2812">
        <v>0.55611739999999998</v>
      </c>
      <c r="F2812" t="s">
        <v>61</v>
      </c>
      <c r="G2812">
        <v>-498.7199</v>
      </c>
      <c r="H2812" s="1">
        <v>2.5614880000000002E-7</v>
      </c>
      <c r="I2812">
        <v>270.44740000000002</v>
      </c>
      <c r="J2812">
        <v>-486.93389999999999</v>
      </c>
      <c r="K2812">
        <v>1.1107689999999999</v>
      </c>
      <c r="L2812">
        <v>279.47699999999998</v>
      </c>
      <c r="M2812">
        <v>-0.85325810000000002</v>
      </c>
      <c r="N2812">
        <v>0</v>
      </c>
      <c r="O2812">
        <v>-0.52137739999999999</v>
      </c>
      <c r="P2812">
        <v>-0.80201339999999999</v>
      </c>
      <c r="Q2812">
        <v>-8.2200639999999991E-3</v>
      </c>
      <c r="R2812">
        <v>-0.59724980000000005</v>
      </c>
      <c r="S2812">
        <v>-2.3806150000000001</v>
      </c>
      <c r="T2812">
        <v>-0.22362889999999999</v>
      </c>
      <c r="U2812">
        <v>-1.8231200000000001</v>
      </c>
      <c r="V2812">
        <v>-9.1468649999999999E-2</v>
      </c>
      <c r="W2812">
        <v>2.2695689999999999E-3</v>
      </c>
      <c r="X2812">
        <v>0.99580539999999995</v>
      </c>
      <c r="Y2812">
        <v>-0.1058009</v>
      </c>
      <c r="Z2812">
        <v>3.5447020000000003E-2</v>
      </c>
      <c r="AA2812">
        <v>0.99375530000000001</v>
      </c>
      <c r="AB2812">
        <v>10</v>
      </c>
      <c r="AC2812">
        <v>-11.786</v>
      </c>
      <c r="AD2812">
        <v>-1.1107687438511999</v>
      </c>
      <c r="AE2812">
        <v>-9.0296000000000092</v>
      </c>
      <c r="AF2812">
        <v>-1.5510349048521801</v>
      </c>
      <c r="AG2812">
        <v>-1.1107687438511999</v>
      </c>
      <c r="AH2812">
        <v>14.6830075788573</v>
      </c>
      <c r="AI2812">
        <v>94.302335458315696</v>
      </c>
      <c r="AJ2812">
        <v>96.030058890048096</v>
      </c>
      <c r="AK2812">
        <v>14.806425228230101</v>
      </c>
      <c r="AL2812">
        <v>89.869963167222195</v>
      </c>
      <c r="AM2812">
        <v>95.248116477517897</v>
      </c>
      <c r="AN2812">
        <v>1.0000000297727101</v>
      </c>
    </row>
    <row r="2813" spans="1:40" x14ac:dyDescent="0.25">
      <c r="A2813" t="str">
        <f>"20190312160656473"</f>
        <v>20190312160656473</v>
      </c>
      <c r="B2813" t="str">
        <f>"1552378016467510"</f>
        <v>1552378016467510</v>
      </c>
      <c r="C2813" t="s">
        <v>40</v>
      </c>
      <c r="D2813">
        <v>5.7950860000000004</v>
      </c>
      <c r="E2813">
        <v>0.55376169999999902</v>
      </c>
      <c r="F2813" t="s">
        <v>44</v>
      </c>
      <c r="G2813">
        <v>-487.58499999999998</v>
      </c>
      <c r="H2813">
        <v>0.95516199999999996</v>
      </c>
      <c r="I2813">
        <v>279.12950000000001</v>
      </c>
      <c r="J2813">
        <v>-486.97579999999999</v>
      </c>
      <c r="K2813">
        <v>1.110708</v>
      </c>
      <c r="L2813">
        <v>279.44869999999997</v>
      </c>
      <c r="M2813">
        <v>-0.85212180000000004</v>
      </c>
      <c r="N2813">
        <v>0</v>
      </c>
      <c r="O2813">
        <v>-0.52324300000000001</v>
      </c>
      <c r="P2813">
        <v>-0.80076320000000001</v>
      </c>
      <c r="Q2813">
        <v>-8.1901430000000004E-3</v>
      </c>
      <c r="R2813">
        <v>-0.59892570000000001</v>
      </c>
      <c r="S2813">
        <v>-2.6714169999999999</v>
      </c>
      <c r="T2813">
        <v>-0.63977320000000004</v>
      </c>
      <c r="U2813">
        <v>-1.4268799999999999</v>
      </c>
      <c r="V2813">
        <v>-9.1374250000000004E-2</v>
      </c>
      <c r="W2813">
        <v>1.78128799999999E-3</v>
      </c>
      <c r="X2813">
        <v>0.99581500000000001</v>
      </c>
      <c r="Y2813">
        <v>4.913816E-2</v>
      </c>
      <c r="Z2813">
        <v>0.1133879</v>
      </c>
      <c r="AA2813">
        <v>0.99233499999999997</v>
      </c>
      <c r="AB2813">
        <v>10</v>
      </c>
      <c r="AC2813">
        <v>-0.60919999999998697</v>
      </c>
      <c r="AD2813">
        <v>-0.15554599999999899</v>
      </c>
      <c r="AE2813">
        <v>-0.31919999999996601</v>
      </c>
      <c r="AF2813">
        <v>4.4489201016098698E-2</v>
      </c>
      <c r="AG2813">
        <v>-0.15554599999999899</v>
      </c>
      <c r="AH2813">
        <v>0.65277834567014004</v>
      </c>
      <c r="AI2813">
        <v>103.372775983693</v>
      </c>
      <c r="AJ2813">
        <v>86.101114971863893</v>
      </c>
      <c r="AK2813">
        <v>0.67252763192220999</v>
      </c>
      <c r="AL2813">
        <v>89.897939658507696</v>
      </c>
      <c r="AM2813">
        <v>95.242680109353202</v>
      </c>
      <c r="AN2813">
        <v>0.99999997038749999</v>
      </c>
    </row>
    <row r="2814" spans="1:40" x14ac:dyDescent="0.25">
      <c r="A2814" t="str">
        <f>"20190312160656486"</f>
        <v>20190312160656486</v>
      </c>
      <c r="B2814" t="str">
        <f>"1552378016478246"</f>
        <v>1552378016478246</v>
      </c>
      <c r="C2814" t="s">
        <v>40</v>
      </c>
      <c r="D2814">
        <v>5.5350789999999996</v>
      </c>
      <c r="E2814">
        <v>0.55455399999999999</v>
      </c>
      <c r="F2814" t="s">
        <v>44</v>
      </c>
      <c r="G2814">
        <v>-487.59120000000001</v>
      </c>
      <c r="H2814">
        <v>0.98273429999999995</v>
      </c>
      <c r="I2814">
        <v>279.11360000000002</v>
      </c>
      <c r="J2814">
        <v>-487.01799999999997</v>
      </c>
      <c r="K2814">
        <v>1.1107590000000001</v>
      </c>
      <c r="L2814">
        <v>279.41989999999998</v>
      </c>
      <c r="M2814">
        <v>-0.85106399999999904</v>
      </c>
      <c r="N2814">
        <v>0</v>
      </c>
      <c r="O2814">
        <v>-0.5249547</v>
      </c>
      <c r="P2814">
        <v>-0.79958109999999905</v>
      </c>
      <c r="Q2814">
        <v>-8.7227789999999999E-3</v>
      </c>
      <c r="R2814">
        <v>-0.60049540000000001</v>
      </c>
      <c r="S2814">
        <v>-2.657562</v>
      </c>
      <c r="T2814">
        <v>-0.55380309999999999</v>
      </c>
      <c r="U2814">
        <v>-1.448151</v>
      </c>
      <c r="V2814">
        <v>-9.1325820000000002E-2</v>
      </c>
      <c r="W2814">
        <v>1.6091499999999999E-3</v>
      </c>
      <c r="X2814">
        <v>0.99581969999999997</v>
      </c>
      <c r="Y2814">
        <v>4.5557760000000003E-2</v>
      </c>
      <c r="Z2814">
        <v>9.8580000000000001E-2</v>
      </c>
      <c r="AA2814">
        <v>0.99408569999999996</v>
      </c>
      <c r="AB2814">
        <v>10</v>
      </c>
      <c r="AC2814">
        <v>-0.57319999999998505</v>
      </c>
      <c r="AD2814">
        <v>-0.12802469999999999</v>
      </c>
      <c r="AE2814">
        <v>-0.30629999999996399</v>
      </c>
      <c r="AF2814">
        <v>3.8722764098857498E-2</v>
      </c>
      <c r="AG2814">
        <v>-0.12802469999999999</v>
      </c>
      <c r="AH2814">
        <v>0.624429143612661</v>
      </c>
      <c r="AI2814">
        <v>101.564983272916</v>
      </c>
      <c r="AJ2814">
        <v>86.451457316892402</v>
      </c>
      <c r="AK2814">
        <v>0.63859340089166805</v>
      </c>
      <c r="AL2814">
        <v>89.907802450599604</v>
      </c>
      <c r="AM2814">
        <v>95.239892272949902</v>
      </c>
      <c r="AN2814">
        <v>0.99999993483523997</v>
      </c>
    </row>
    <row r="2815" spans="1:40" x14ac:dyDescent="0.25">
      <c r="A2815" t="str">
        <f>"20190312160656498"</f>
        <v>20190312160656498</v>
      </c>
      <c r="B2815" t="str">
        <f>"1552378016488006"</f>
        <v>1552378016488006</v>
      </c>
      <c r="C2815" t="s">
        <v>40</v>
      </c>
      <c r="D2815">
        <v>5.6219679999999999</v>
      </c>
      <c r="E2815">
        <v>0.55469089999999999</v>
      </c>
      <c r="F2815" t="s">
        <v>44</v>
      </c>
      <c r="G2815">
        <v>-487.67020000000002</v>
      </c>
      <c r="H2815">
        <v>0.99039569999999999</v>
      </c>
      <c r="I2815">
        <v>279.06470000000002</v>
      </c>
      <c r="J2815">
        <v>-487.06630000000001</v>
      </c>
      <c r="K2815">
        <v>1.1108309999999999</v>
      </c>
      <c r="L2815">
        <v>279.38690000000003</v>
      </c>
      <c r="M2815">
        <v>-0.84987630000000003</v>
      </c>
      <c r="N2815">
        <v>0</v>
      </c>
      <c r="O2815">
        <v>-0.52686269999999902</v>
      </c>
      <c r="P2815">
        <v>-0.798079599999999</v>
      </c>
      <c r="Q2815">
        <v>-9.2409569999999993E-3</v>
      </c>
      <c r="R2815">
        <v>-0.60248169999999901</v>
      </c>
      <c r="S2815">
        <v>-2.6584469999999998</v>
      </c>
      <c r="T2815">
        <v>-0.49170599999999998</v>
      </c>
      <c r="U2815">
        <v>-1.4488829999999999</v>
      </c>
      <c r="V2815">
        <v>-9.1566579999999995E-2</v>
      </c>
      <c r="W2815">
        <v>1.7083319999999999E-3</v>
      </c>
      <c r="X2815">
        <v>0.9957975</v>
      </c>
      <c r="Y2815">
        <v>4.9391119999999997E-2</v>
      </c>
      <c r="Z2815">
        <v>8.825123E-2</v>
      </c>
      <c r="AA2815">
        <v>0.99487300000000001</v>
      </c>
      <c r="AB2815">
        <v>11</v>
      </c>
      <c r="AC2815">
        <v>-0.60390000000000998</v>
      </c>
      <c r="AD2815">
        <v>-0.120435299999999</v>
      </c>
      <c r="AE2815">
        <v>-0.32220000000000898</v>
      </c>
      <c r="AF2815">
        <v>4.3013371766979697E-2</v>
      </c>
      <c r="AG2815">
        <v>-0.120435299999999</v>
      </c>
      <c r="AH2815">
        <v>0.66252713374813599</v>
      </c>
      <c r="AI2815">
        <v>100.28163961937901</v>
      </c>
      <c r="AJ2815">
        <v>86.285388699002397</v>
      </c>
      <c r="AK2815">
        <v>0.67475700410546002</v>
      </c>
      <c r="AL2815">
        <v>89.902119739663704</v>
      </c>
      <c r="AM2815">
        <v>95.253745341972504</v>
      </c>
      <c r="AN2815">
        <v>1.00000000898868</v>
      </c>
    </row>
    <row r="2816" spans="1:40" x14ac:dyDescent="0.25">
      <c r="A2816" t="str">
        <f>"20190312160656512"</f>
        <v>20190312160656512</v>
      </c>
      <c r="B2816" t="str">
        <f>"1552378016507527"</f>
        <v>1552378016507527</v>
      </c>
      <c r="C2816" t="s">
        <v>40</v>
      </c>
      <c r="D2816">
        <v>5.4271099999999999</v>
      </c>
      <c r="E2816">
        <v>0.55563370000000001</v>
      </c>
      <c r="F2816" t="s">
        <v>44</v>
      </c>
      <c r="G2816">
        <v>-487.7432</v>
      </c>
      <c r="H2816">
        <v>0.99372899999999997</v>
      </c>
      <c r="I2816">
        <v>279.01609999999999</v>
      </c>
      <c r="J2816">
        <v>-487.1155</v>
      </c>
      <c r="K2816">
        <v>1.1109279999999999</v>
      </c>
      <c r="L2816">
        <v>279.35329999999999</v>
      </c>
      <c r="M2816">
        <v>-0.84871569999999996</v>
      </c>
      <c r="N2816">
        <v>0</v>
      </c>
      <c r="O2816">
        <v>-0.52870899999999998</v>
      </c>
      <c r="P2816">
        <v>-0.79661249999999995</v>
      </c>
      <c r="Q2816">
        <v>-1.061406E-2</v>
      </c>
      <c r="R2816">
        <v>-0.60439750000000003</v>
      </c>
      <c r="S2816">
        <v>-2.6553040000000001</v>
      </c>
      <c r="T2816">
        <v>-0.46000269999999999</v>
      </c>
      <c r="U2816">
        <v>-1.454895</v>
      </c>
      <c r="V2816">
        <v>-9.1795000000000002E-2</v>
      </c>
      <c r="W2816">
        <v>1.34116799999999E-3</v>
      </c>
      <c r="X2816">
        <v>0.99577700000000002</v>
      </c>
      <c r="Y2816">
        <v>5.0121699999999998E-2</v>
      </c>
      <c r="Z2816">
        <v>8.2963040000000002E-2</v>
      </c>
      <c r="AA2816">
        <v>0.99529140000000005</v>
      </c>
      <c r="AB2816">
        <v>10</v>
      </c>
      <c r="AC2816">
        <v>-0.62770000000000403</v>
      </c>
      <c r="AD2816">
        <v>-0.117199</v>
      </c>
      <c r="AE2816">
        <v>-0.337199999999995</v>
      </c>
      <c r="AF2816">
        <v>4.4483637267833998E-2</v>
      </c>
      <c r="AG2816">
        <v>-0.117199</v>
      </c>
      <c r="AH2816">
        <v>0.692341705302287</v>
      </c>
      <c r="AI2816">
        <v>99.588494749305198</v>
      </c>
      <c r="AJ2816">
        <v>86.323742872980404</v>
      </c>
      <c r="AK2816">
        <v>0.70359891734315105</v>
      </c>
      <c r="AL2816">
        <v>89.923156709196505</v>
      </c>
      <c r="AM2816">
        <v>95.266885425750701</v>
      </c>
      <c r="AN2816">
        <v>0.99999997724280199</v>
      </c>
    </row>
    <row r="2817" spans="1:40" x14ac:dyDescent="0.25">
      <c r="A2817" t="str">
        <f>"20190312160656528"</f>
        <v>20190312160656528</v>
      </c>
      <c r="B2817" t="str">
        <f>"1552378016518262"</f>
        <v>1552378016518262</v>
      </c>
      <c r="C2817" t="s">
        <v>40</v>
      </c>
      <c r="D2817">
        <v>6.0547570000000004</v>
      </c>
      <c r="E2817">
        <v>0.5559847</v>
      </c>
      <c r="F2817" t="s">
        <v>44</v>
      </c>
      <c r="G2817">
        <v>-487.74740000000003</v>
      </c>
      <c r="H2817">
        <v>1.0104489999999999</v>
      </c>
      <c r="I2817">
        <v>279.00729999999999</v>
      </c>
      <c r="J2817">
        <v>-487.1678</v>
      </c>
      <c r="K2817">
        <v>1.1110260000000001</v>
      </c>
      <c r="L2817">
        <v>279.31760000000003</v>
      </c>
      <c r="M2817">
        <v>-0.84755149999999901</v>
      </c>
      <c r="N2817">
        <v>0</v>
      </c>
      <c r="O2817">
        <v>-0.53054330000000005</v>
      </c>
      <c r="P2817">
        <v>-0.79507890000000003</v>
      </c>
      <c r="Q2817">
        <v>-1.1875129999999999E-2</v>
      </c>
      <c r="R2817">
        <v>-0.60638999999999998</v>
      </c>
      <c r="S2817">
        <v>-2.6561889999999999</v>
      </c>
      <c r="T2817">
        <v>-0.42316789999999999</v>
      </c>
      <c r="U2817">
        <v>-1.4551700000000001</v>
      </c>
      <c r="V2817">
        <v>-9.2133069999999997E-2</v>
      </c>
      <c r="W2817">
        <v>1.366917E-3</v>
      </c>
      <c r="X2817">
        <v>0.99574580000000001</v>
      </c>
      <c r="Y2817">
        <v>5.3191750000000003E-2</v>
      </c>
      <c r="Z2817">
        <v>7.6813899999999893E-2</v>
      </c>
      <c r="AA2817">
        <v>0.9956256</v>
      </c>
      <c r="AB2817">
        <v>10</v>
      </c>
      <c r="AC2817">
        <v>-0.57960000000002698</v>
      </c>
      <c r="AD2817">
        <v>-0.100577</v>
      </c>
      <c r="AE2817">
        <v>-0.31030000000003999</v>
      </c>
      <c r="AF2817">
        <v>4.3493750214439797E-2</v>
      </c>
      <c r="AG2817">
        <v>-0.100577</v>
      </c>
      <c r="AH2817">
        <v>0.64092729003110405</v>
      </c>
      <c r="AI2817">
        <v>98.898226922620296</v>
      </c>
      <c r="AJ2817">
        <v>86.117822402769605</v>
      </c>
      <c r="AK2817">
        <v>0.65022706060524005</v>
      </c>
      <c r="AL2817">
        <v>89.921681403278498</v>
      </c>
      <c r="AM2817">
        <v>95.286337741639599</v>
      </c>
      <c r="AN2817">
        <v>1.0000000346336699</v>
      </c>
    </row>
    <row r="2818" spans="1:40" x14ac:dyDescent="0.25">
      <c r="A2818" t="str">
        <f>"20190312160656542"</f>
        <v>20190312160656542</v>
      </c>
      <c r="B2818" t="str">
        <f>"1552378016537781"</f>
        <v>1552378016537781</v>
      </c>
      <c r="C2818" t="s">
        <v>40</v>
      </c>
      <c r="D2818">
        <v>5.9946929999999998</v>
      </c>
      <c r="E2818">
        <v>0.55609640000000005</v>
      </c>
      <c r="F2818" t="s">
        <v>44</v>
      </c>
      <c r="G2818">
        <v>-487.81659999999999</v>
      </c>
      <c r="H2818">
        <v>1.010389</v>
      </c>
      <c r="I2818">
        <v>278.96109999999999</v>
      </c>
      <c r="J2818">
        <v>-487.21390000000002</v>
      </c>
      <c r="K2818">
        <v>1.11113</v>
      </c>
      <c r="L2818">
        <v>279.286</v>
      </c>
      <c r="M2818">
        <v>-0.84657260000000001</v>
      </c>
      <c r="N2818">
        <v>0</v>
      </c>
      <c r="O2818">
        <v>-0.53207369999999898</v>
      </c>
      <c r="P2818">
        <v>-0.79321769999999903</v>
      </c>
      <c r="Q2818">
        <v>-1.262022E-2</v>
      </c>
      <c r="R2818">
        <v>-0.60880769999999995</v>
      </c>
      <c r="S2818">
        <v>-2.654083</v>
      </c>
      <c r="T2818">
        <v>-0.41260550000000001</v>
      </c>
      <c r="U2818">
        <v>-1.45929</v>
      </c>
      <c r="V2818">
        <v>-9.3361250000000007E-2</v>
      </c>
      <c r="W2818">
        <v>1.80656E-3</v>
      </c>
      <c r="X2818">
        <v>0.99563069999999998</v>
      </c>
      <c r="Y2818">
        <v>5.3709260000000002E-2</v>
      </c>
      <c r="Z2818">
        <v>7.5149919999999995E-2</v>
      </c>
      <c r="AA2818">
        <v>0.99572470000000002</v>
      </c>
      <c r="AB2818">
        <v>10</v>
      </c>
      <c r="AC2818">
        <v>-0.60269999999997004</v>
      </c>
      <c r="AD2818">
        <v>-0.100740999999999</v>
      </c>
      <c r="AE2818">
        <v>-0.32490000000001301</v>
      </c>
      <c r="AF2818">
        <v>4.4667270216613597E-2</v>
      </c>
      <c r="AG2818">
        <v>-0.100740999999999</v>
      </c>
      <c r="AH2818">
        <v>0.66869665408222401</v>
      </c>
      <c r="AI2818">
        <v>98.548571938817702</v>
      </c>
      <c r="AJ2818">
        <v>86.178461735531002</v>
      </c>
      <c r="AK2818">
        <v>0.67771611260937703</v>
      </c>
      <c r="AL2818">
        <v>89.896491684268099</v>
      </c>
      <c r="AM2818">
        <v>95.357015694200499</v>
      </c>
      <c r="AN2818">
        <v>1.00000003872154</v>
      </c>
    </row>
    <row r="2819" spans="1:40" x14ac:dyDescent="0.25">
      <c r="A2819" t="str">
        <f>"20190312160656558"</f>
        <v>20190312160656558</v>
      </c>
      <c r="B2819" t="str">
        <f>"1552378016547542"</f>
        <v>1552378016547542</v>
      </c>
      <c r="C2819" t="s">
        <v>40</v>
      </c>
      <c r="D2819">
        <v>5.5515790000000003</v>
      </c>
      <c r="E2819">
        <v>0.55643500000000001</v>
      </c>
      <c r="F2819" t="s">
        <v>44</v>
      </c>
      <c r="G2819">
        <v>-487.88249999999999</v>
      </c>
      <c r="H2819">
        <v>1.0090629999999901</v>
      </c>
      <c r="I2819">
        <v>278.9162</v>
      </c>
      <c r="J2819">
        <v>-487.26639999999998</v>
      </c>
      <c r="K2819">
        <v>1.111264</v>
      </c>
      <c r="L2819">
        <v>279.25009999999997</v>
      </c>
      <c r="M2819">
        <v>-0.84549180000000002</v>
      </c>
      <c r="N2819">
        <v>0</v>
      </c>
      <c r="O2819">
        <v>-0.53375309999999998</v>
      </c>
      <c r="P2819">
        <v>-0.79174270000000002</v>
      </c>
      <c r="Q2819">
        <v>-1.38601E-2</v>
      </c>
      <c r="R2819">
        <v>-0.61069779999999996</v>
      </c>
      <c r="S2819">
        <v>-2.650055</v>
      </c>
      <c r="T2819">
        <v>-0.4052346</v>
      </c>
      <c r="U2819">
        <v>-1.4664919999999999</v>
      </c>
      <c r="V2819">
        <v>-9.3758140000000004E-2</v>
      </c>
      <c r="W2819">
        <v>1.8547209999999999E-3</v>
      </c>
      <c r="X2819">
        <v>0.99559319999999896</v>
      </c>
      <c r="Y2819">
        <v>5.3144839999999999E-2</v>
      </c>
      <c r="Z2819">
        <v>7.4012300000000003E-2</v>
      </c>
      <c r="AA2819">
        <v>0.99584030000000001</v>
      </c>
      <c r="AB2819">
        <v>9</v>
      </c>
      <c r="AC2819">
        <v>-0.61610000000001697</v>
      </c>
      <c r="AD2819">
        <v>-0.102201</v>
      </c>
      <c r="AE2819">
        <v>-0.333899999999971</v>
      </c>
      <c r="AF2819">
        <v>4.5572099561353802E-2</v>
      </c>
      <c r="AG2819">
        <v>-0.102201</v>
      </c>
      <c r="AH2819">
        <v>0.68465290660439904</v>
      </c>
      <c r="AI2819">
        <v>98.471616583000696</v>
      </c>
      <c r="AJ2819">
        <v>86.191876234739595</v>
      </c>
      <c r="AK2819">
        <v>0.693737315690371</v>
      </c>
      <c r="AL2819">
        <v>89.893732245559406</v>
      </c>
      <c r="AM2819">
        <v>95.379857130935605</v>
      </c>
      <c r="AN2819">
        <v>0.99999992434623997</v>
      </c>
    </row>
    <row r="2820" spans="1:40" x14ac:dyDescent="0.25">
      <c r="A2820" t="str">
        <f>"20190312160656570"</f>
        <v>20190312160656570</v>
      </c>
      <c r="B2820" t="str">
        <f>"1552378016568037"</f>
        <v>1552378016568037</v>
      </c>
      <c r="C2820" t="s">
        <v>40</v>
      </c>
      <c r="D2820">
        <v>5.9247629999999996</v>
      </c>
      <c r="E2820">
        <v>0.55703219999999898</v>
      </c>
      <c r="F2820" t="s">
        <v>44</v>
      </c>
      <c r="G2820">
        <v>-487.94779999999997</v>
      </c>
      <c r="H2820">
        <v>1.0084329999999999</v>
      </c>
      <c r="I2820">
        <v>278.87200000000001</v>
      </c>
      <c r="J2820">
        <v>-487.31009999999998</v>
      </c>
      <c r="K2820">
        <v>1.111402</v>
      </c>
      <c r="L2820">
        <v>279.2201</v>
      </c>
      <c r="M2820">
        <v>-0.84457859999999996</v>
      </c>
      <c r="N2820">
        <v>0</v>
      </c>
      <c r="O2820">
        <v>-0.53517320000000002</v>
      </c>
      <c r="P2820">
        <v>-0.7903348</v>
      </c>
      <c r="Q2820">
        <v>-1.455295E-2</v>
      </c>
      <c r="R2820">
        <v>-0.61250249999999995</v>
      </c>
      <c r="S2820">
        <v>-2.6478579999999998</v>
      </c>
      <c r="T2820">
        <v>-0.40087820000000002</v>
      </c>
      <c r="U2820">
        <v>-1.4705509999999999</v>
      </c>
      <c r="V2820">
        <v>-9.4355339999999996E-2</v>
      </c>
      <c r="W2820">
        <v>1.9219549999999999E-3</v>
      </c>
      <c r="X2820">
        <v>0.99553670000000005</v>
      </c>
      <c r="Y2820">
        <v>5.3396800000000001E-2</v>
      </c>
      <c r="Z2820">
        <v>7.3422570000000006E-2</v>
      </c>
      <c r="AA2820">
        <v>0.99587040000000004</v>
      </c>
      <c r="AB2820">
        <v>9</v>
      </c>
      <c r="AC2820">
        <v>-0.63769999999999505</v>
      </c>
      <c r="AD2820">
        <v>-0.102969</v>
      </c>
      <c r="AE2820">
        <v>-0.34809999999998797</v>
      </c>
      <c r="AF2820">
        <v>4.6357497626620697E-2</v>
      </c>
      <c r="AG2820">
        <v>-0.102969</v>
      </c>
      <c r="AH2820">
        <v>0.71070590531890698</v>
      </c>
      <c r="AI2820">
        <v>98.226563647618505</v>
      </c>
      <c r="AJ2820">
        <v>86.268032033509698</v>
      </c>
      <c r="AK2820">
        <v>0.71962109224394499</v>
      </c>
      <c r="AL2820">
        <v>89.889880019269896</v>
      </c>
      <c r="AM2820">
        <v>95.414227025943902</v>
      </c>
      <c r="AN2820">
        <v>0.99999997257221296</v>
      </c>
    </row>
    <row r="2821" spans="1:40" x14ac:dyDescent="0.25">
      <c r="A2821" t="str">
        <f>"20190312160656583"</f>
        <v>20190312160656583</v>
      </c>
      <c r="B2821" t="str">
        <f>"1552378016577798"</f>
        <v>1552378016577798</v>
      </c>
      <c r="C2821" t="s">
        <v>40</v>
      </c>
      <c r="D2821">
        <v>5.4959309999999997</v>
      </c>
      <c r="E2821">
        <v>0.55724719999999905</v>
      </c>
      <c r="F2821" t="s">
        <v>44</v>
      </c>
      <c r="G2821">
        <v>-487.9486</v>
      </c>
      <c r="H2821">
        <v>1.0171589999999999</v>
      </c>
      <c r="I2821">
        <v>278.86509999999998</v>
      </c>
      <c r="J2821">
        <v>-487.3503</v>
      </c>
      <c r="K2821">
        <v>1.1114440000000001</v>
      </c>
      <c r="L2821">
        <v>279.19229999999999</v>
      </c>
      <c r="M2821">
        <v>-0.84364069999999902</v>
      </c>
      <c r="N2821">
        <v>0</v>
      </c>
      <c r="O2821">
        <v>-0.53665069999999904</v>
      </c>
      <c r="P2821">
        <v>-0.78891099999999903</v>
      </c>
      <c r="Q2821">
        <v>-1.4398340000000001E-2</v>
      </c>
      <c r="R2821">
        <v>-0.61433890000000002</v>
      </c>
      <c r="S2821">
        <v>-2.6472470000000001</v>
      </c>
      <c r="T2821">
        <v>-0.39201160000000002</v>
      </c>
      <c r="U2821">
        <v>-1.4727779999999999</v>
      </c>
      <c r="V2821">
        <v>-9.4927330000000004E-2</v>
      </c>
      <c r="W2821">
        <v>2.033534E-3</v>
      </c>
      <c r="X2821">
        <v>0.99548210000000004</v>
      </c>
      <c r="Y2821">
        <v>5.458213E-2</v>
      </c>
      <c r="Z2821">
        <v>7.2054129999999994E-2</v>
      </c>
      <c r="AA2821">
        <v>0.99590610000000002</v>
      </c>
      <c r="AB2821">
        <v>9</v>
      </c>
      <c r="AC2821">
        <v>-0.59829999999999395</v>
      </c>
      <c r="AD2821">
        <v>-9.4285000000000105E-2</v>
      </c>
      <c r="AE2821">
        <v>-0.32720000000000399</v>
      </c>
      <c r="AF2821">
        <v>4.42001451055846E-2</v>
      </c>
      <c r="AG2821">
        <v>-9.4285000000000105E-2</v>
      </c>
      <c r="AH2821">
        <v>0.667672737408888</v>
      </c>
      <c r="AI2821">
        <v>98.020514525102797</v>
      </c>
      <c r="AJ2821">
        <v>86.212527776024999</v>
      </c>
      <c r="AK2821">
        <v>0.67574418113028001</v>
      </c>
      <c r="AL2821">
        <v>89.883487000777805</v>
      </c>
      <c r="AM2821">
        <v>95.447148673850904</v>
      </c>
      <c r="AN2821">
        <v>0.99999997233093296</v>
      </c>
    </row>
    <row r="2822" spans="1:40" x14ac:dyDescent="0.25">
      <c r="A2822" t="str">
        <f>"20190312160656597"</f>
        <v>20190312160656597</v>
      </c>
      <c r="B2822" t="str">
        <f>"1552378016587558"</f>
        <v>1552378016587558</v>
      </c>
      <c r="C2822" t="s">
        <v>40</v>
      </c>
      <c r="D2822">
        <v>6.0223899999999997</v>
      </c>
      <c r="E2822">
        <v>0.55754119999999996</v>
      </c>
      <c r="F2822" t="s">
        <v>44</v>
      </c>
      <c r="G2822">
        <v>-488.01530000000002</v>
      </c>
      <c r="H2822">
        <v>1.013865</v>
      </c>
      <c r="I2822">
        <v>278.82069999999999</v>
      </c>
      <c r="J2822">
        <v>-487.39699999999999</v>
      </c>
      <c r="K2822">
        <v>1.1114459999999999</v>
      </c>
      <c r="L2822">
        <v>279.15969999999999</v>
      </c>
      <c r="M2822">
        <v>-0.84248020000000001</v>
      </c>
      <c r="N2822">
        <v>0</v>
      </c>
      <c r="O2822">
        <v>-0.53848260000000003</v>
      </c>
      <c r="P2822">
        <v>-0.78745699999999996</v>
      </c>
      <c r="Q2822">
        <v>-1.3916960000000001E-2</v>
      </c>
      <c r="R2822">
        <v>-0.61621250000000005</v>
      </c>
      <c r="S2822">
        <v>-2.6448360000000002</v>
      </c>
      <c r="T2822">
        <v>-0.38801029999999997</v>
      </c>
      <c r="U2822">
        <v>-1.477814</v>
      </c>
      <c r="V2822">
        <v>-9.5131430000000003E-2</v>
      </c>
      <c r="W2822">
        <v>2.074542E-3</v>
      </c>
      <c r="X2822">
        <v>0.99546250000000003</v>
      </c>
      <c r="Y2822">
        <v>5.4986930000000003E-2</v>
      </c>
      <c r="Z2822">
        <v>7.1568350000000003E-2</v>
      </c>
      <c r="AA2822">
        <v>0.99591890000000005</v>
      </c>
      <c r="AB2822">
        <v>9</v>
      </c>
      <c r="AC2822">
        <v>-0.61830000000003305</v>
      </c>
      <c r="AD2822">
        <v>-9.7580999999999904E-2</v>
      </c>
      <c r="AE2822">
        <v>-0.33899999999999803</v>
      </c>
      <c r="AF2822">
        <v>4.64595109203048E-2</v>
      </c>
      <c r="AG2822">
        <v>-9.7580999999999904E-2</v>
      </c>
      <c r="AH2822">
        <v>0.69032363546539799</v>
      </c>
      <c r="AI2822">
        <v>98.027841465029994</v>
      </c>
      <c r="AJ2822">
        <v>86.149739588796606</v>
      </c>
      <c r="AK2822">
        <v>0.69873260937079396</v>
      </c>
      <c r="AL2822">
        <v>89.8811374066822</v>
      </c>
      <c r="AM2822">
        <v>95.458896563623199</v>
      </c>
      <c r="AN2822">
        <v>0.99999994080230004</v>
      </c>
    </row>
    <row r="2823" spans="1:40" x14ac:dyDescent="0.25">
      <c r="A2823" t="str">
        <f>"20190312160656608"</f>
        <v>20190312160656608</v>
      </c>
      <c r="B2823" t="str">
        <f>"1552378016598294"</f>
        <v>1552378016598294</v>
      </c>
      <c r="C2823" t="s">
        <v>40</v>
      </c>
      <c r="D2823">
        <v>5.4626190000000001</v>
      </c>
      <c r="E2823">
        <v>0.55765769999999903</v>
      </c>
      <c r="F2823" t="s">
        <v>44</v>
      </c>
      <c r="G2823">
        <v>-488.084</v>
      </c>
      <c r="H2823">
        <v>1.012084</v>
      </c>
      <c r="I2823">
        <v>278.77449999999999</v>
      </c>
      <c r="J2823">
        <v>-487.43639999999999</v>
      </c>
      <c r="K2823">
        <v>1.111399</v>
      </c>
      <c r="L2823">
        <v>279.13200000000001</v>
      </c>
      <c r="M2823">
        <v>-0.84141250000000001</v>
      </c>
      <c r="N2823">
        <v>0</v>
      </c>
      <c r="O2823">
        <v>-0.54016779999999998</v>
      </c>
      <c r="P2823">
        <v>-0.78624939999999999</v>
      </c>
      <c r="Q2823">
        <v>-1.32201E-2</v>
      </c>
      <c r="R2823">
        <v>-0.61776779999999998</v>
      </c>
      <c r="S2823">
        <v>-2.6429140000000002</v>
      </c>
      <c r="T2823">
        <v>-0.38327879999999998</v>
      </c>
      <c r="U2823">
        <v>-1.4824219999999999</v>
      </c>
      <c r="V2823">
        <v>-9.5107670000000005E-2</v>
      </c>
      <c r="W2823">
        <v>2.1126890000000001E-3</v>
      </c>
      <c r="X2823">
        <v>0.99546469999999998</v>
      </c>
      <c r="Y2823">
        <v>5.5436140000000002E-2</v>
      </c>
      <c r="Z2823">
        <v>7.0922319999999997E-2</v>
      </c>
      <c r="AA2823">
        <v>0.99594020000000005</v>
      </c>
      <c r="AB2823">
        <v>9</v>
      </c>
      <c r="AC2823">
        <v>-0.64760000000001094</v>
      </c>
      <c r="AD2823">
        <v>-9.9315000000000001E-2</v>
      </c>
      <c r="AE2823">
        <v>-0.35750000000001497</v>
      </c>
      <c r="AF2823">
        <v>4.81458148670382E-2</v>
      </c>
      <c r="AG2823">
        <v>-9.9315000000000001E-2</v>
      </c>
      <c r="AH2823">
        <v>0.72502958591588296</v>
      </c>
      <c r="AI2823">
        <v>97.782937758011101</v>
      </c>
      <c r="AJ2823">
        <v>86.200833762685505</v>
      </c>
      <c r="AK2823">
        <v>0.73338215765559001</v>
      </c>
      <c r="AL2823">
        <v>89.878951740853097</v>
      </c>
      <c r="AM2823">
        <v>95.457529395490795</v>
      </c>
      <c r="AN2823">
        <v>0.99999995064686298</v>
      </c>
    </row>
    <row r="2824" spans="1:40" x14ac:dyDescent="0.25">
      <c r="A2824" t="str">
        <f>"20190312160656618"</f>
        <v>20190312160656618</v>
      </c>
      <c r="B2824" t="str">
        <f>"1552378016608055"</f>
        <v>1552378016608055</v>
      </c>
      <c r="C2824" t="s">
        <v>40</v>
      </c>
      <c r="D2824">
        <v>5.4481659999999996</v>
      </c>
      <c r="E2824">
        <v>0.55780039999999997</v>
      </c>
      <c r="F2824" t="s">
        <v>44</v>
      </c>
      <c r="G2824">
        <v>-488.0838</v>
      </c>
      <c r="H2824">
        <v>1.019147</v>
      </c>
      <c r="I2824">
        <v>278.76749999999998</v>
      </c>
      <c r="J2824">
        <v>-487.47179999999997</v>
      </c>
      <c r="K2824">
        <v>1.111386</v>
      </c>
      <c r="L2824">
        <v>279.10700000000003</v>
      </c>
      <c r="M2824">
        <v>-0.84044399999999997</v>
      </c>
      <c r="N2824">
        <v>0</v>
      </c>
      <c r="O2824">
        <v>-0.54168629999999995</v>
      </c>
      <c r="P2824">
        <v>-0.78519069999999902</v>
      </c>
      <c r="Q2824">
        <v>-1.2890510000000001E-2</v>
      </c>
      <c r="R2824">
        <v>-0.61912049999999996</v>
      </c>
      <c r="S2824">
        <v>-2.6405940000000001</v>
      </c>
      <c r="T2824">
        <v>-0.37729449999999998</v>
      </c>
      <c r="U2824">
        <v>-1.4873350000000001</v>
      </c>
      <c r="V2824">
        <v>-9.5025589999999993E-2</v>
      </c>
      <c r="W2824">
        <v>1.9672539999999999E-3</v>
      </c>
      <c r="X2824">
        <v>0.99547289999999999</v>
      </c>
      <c r="Y2824">
        <v>5.5568770000000003E-2</v>
      </c>
      <c r="Z2824">
        <v>7.0007890000000003E-2</v>
      </c>
      <c r="AA2824">
        <v>0.99599749999999998</v>
      </c>
      <c r="AB2824">
        <v>9</v>
      </c>
      <c r="AC2824">
        <v>-0.61200000000002297</v>
      </c>
      <c r="AD2824">
        <v>-9.2238999999999904E-2</v>
      </c>
      <c r="AE2824">
        <v>-0.33950000000004299</v>
      </c>
      <c r="AF2824">
        <v>4.5398009773178698E-2</v>
      </c>
      <c r="AG2824">
        <v>-9.2238999999999904E-2</v>
      </c>
      <c r="AH2824">
        <v>0.68641133078393402</v>
      </c>
      <c r="AI2824">
        <v>97.636991759879095</v>
      </c>
      <c r="AJ2824">
        <v>86.216071161125001</v>
      </c>
      <c r="AK2824">
        <v>0.69406737961161702</v>
      </c>
      <c r="AL2824">
        <v>89.887284577415102</v>
      </c>
      <c r="AM2824">
        <v>95.452803182822606</v>
      </c>
      <c r="AN2824">
        <v>1.0000000137387699</v>
      </c>
    </row>
    <row r="2825" spans="1:40" x14ac:dyDescent="0.25">
      <c r="A2825" t="str">
        <f>"20190312160656629"</f>
        <v>20190312160656629</v>
      </c>
      <c r="B2825" t="str">
        <f>"1552378016617815"</f>
        <v>1552378016617815</v>
      </c>
      <c r="C2825" t="s">
        <v>40</v>
      </c>
      <c r="D2825">
        <v>5.5076299999999998</v>
      </c>
      <c r="E2825">
        <v>0.55784350000000005</v>
      </c>
      <c r="F2825" t="s">
        <v>44</v>
      </c>
      <c r="G2825">
        <v>-488.15170000000001</v>
      </c>
      <c r="H2825">
        <v>1.0154729999999901</v>
      </c>
      <c r="I2825">
        <v>278.72289999999998</v>
      </c>
      <c r="J2825">
        <v>-487.50979999999998</v>
      </c>
      <c r="K2825">
        <v>1.1114040000000001</v>
      </c>
      <c r="L2825">
        <v>279.0797</v>
      </c>
      <c r="M2825">
        <v>-0.83939149999999996</v>
      </c>
      <c r="N2825">
        <v>0</v>
      </c>
      <c r="O2825">
        <v>-0.54332429999999998</v>
      </c>
      <c r="P2825">
        <v>-0.78400780000000003</v>
      </c>
      <c r="Q2825">
        <v>-1.228954E-2</v>
      </c>
      <c r="R2825">
        <v>-0.62062949999999995</v>
      </c>
      <c r="S2825">
        <v>-2.638916</v>
      </c>
      <c r="T2825">
        <v>-0.3722645</v>
      </c>
      <c r="U2825">
        <v>-1.491028</v>
      </c>
      <c r="V2825">
        <v>-9.4997999999999999E-2</v>
      </c>
      <c r="W2825">
        <v>2.2204540000000002E-3</v>
      </c>
      <c r="X2825">
        <v>0.995475</v>
      </c>
      <c r="Y2825">
        <v>5.6275279999999997E-2</v>
      </c>
      <c r="Z2825">
        <v>6.9307800000000003E-2</v>
      </c>
      <c r="AA2825">
        <v>0.99600679999999997</v>
      </c>
      <c r="AB2825">
        <v>10</v>
      </c>
      <c r="AC2825">
        <v>-0.64190000000002101</v>
      </c>
      <c r="AD2825">
        <v>-9.5931000000000197E-2</v>
      </c>
      <c r="AE2825">
        <v>-0.35680000000002099</v>
      </c>
      <c r="AF2825">
        <v>4.8443822206253803E-2</v>
      </c>
      <c r="AG2825">
        <v>-9.5931000000000197E-2</v>
      </c>
      <c r="AH2825">
        <v>0.72045132901207398</v>
      </c>
      <c r="AI2825">
        <v>97.567659434445901</v>
      </c>
      <c r="AJ2825">
        <v>86.153168758444707</v>
      </c>
      <c r="AK2825">
        <v>0.72842273313386796</v>
      </c>
      <c r="AL2825">
        <v>89.872777254310094</v>
      </c>
      <c r="AM2825">
        <v>95.451218108143195</v>
      </c>
      <c r="AN2825">
        <v>1.00000001302248</v>
      </c>
    </row>
    <row r="2826" spans="1:40" x14ac:dyDescent="0.25">
      <c r="A2826" t="str">
        <f>"20190312160656642"</f>
        <v>20190312160656642</v>
      </c>
      <c r="B2826" t="str">
        <f>"1552378016638311"</f>
        <v>1552378016638311</v>
      </c>
      <c r="C2826" t="s">
        <v>40</v>
      </c>
      <c r="D2826">
        <v>5.9182870000000003</v>
      </c>
      <c r="E2826">
        <v>0.55824240000000003</v>
      </c>
      <c r="F2826" t="s">
        <v>44</v>
      </c>
      <c r="G2826">
        <v>-488.15100000000001</v>
      </c>
      <c r="H2826">
        <v>1.021857</v>
      </c>
      <c r="I2826">
        <v>278.71589999999998</v>
      </c>
      <c r="J2826">
        <v>-487.54939999999999</v>
      </c>
      <c r="K2826">
        <v>1.1114440000000001</v>
      </c>
      <c r="L2826">
        <v>279.05110000000002</v>
      </c>
      <c r="M2826">
        <v>-0.83829789999999904</v>
      </c>
      <c r="N2826">
        <v>0</v>
      </c>
      <c r="O2826">
        <v>-0.54501279999999996</v>
      </c>
      <c r="P2826">
        <v>-0.78274880000000002</v>
      </c>
      <c r="Q2826">
        <v>-1.1870260000000001E-2</v>
      </c>
      <c r="R2826">
        <v>-0.62222500000000003</v>
      </c>
      <c r="S2826">
        <v>-2.6364139999999998</v>
      </c>
      <c r="T2826">
        <v>-0.36814330000000001</v>
      </c>
      <c r="U2826">
        <v>-1.496094</v>
      </c>
      <c r="V2826">
        <v>-9.5020720000000003E-2</v>
      </c>
      <c r="W2826">
        <v>2.533258E-3</v>
      </c>
      <c r="X2826">
        <v>0.99547209999999997</v>
      </c>
      <c r="Y2826">
        <v>5.6503449999999997E-2</v>
      </c>
      <c r="Z2826">
        <v>6.875204E-2</v>
      </c>
      <c r="AA2826">
        <v>0.99603240000000004</v>
      </c>
      <c r="AB2826">
        <v>10</v>
      </c>
      <c r="AC2826">
        <v>-0.60160000000001901</v>
      </c>
      <c r="AD2826">
        <v>-8.9587E-2</v>
      </c>
      <c r="AE2826">
        <v>-0.33520000000004302</v>
      </c>
      <c r="AF2826">
        <v>4.61071195594134E-2</v>
      </c>
      <c r="AG2826">
        <v>-8.9587E-2</v>
      </c>
      <c r="AH2826">
        <v>0.67564969561055699</v>
      </c>
      <c r="AI2826">
        <v>97.535686793049095</v>
      </c>
      <c r="AJ2826">
        <v>86.096121919605395</v>
      </c>
      <c r="AK2826">
        <v>0.68312093235510196</v>
      </c>
      <c r="AL2826">
        <v>89.854854857040195</v>
      </c>
      <c r="AM2826">
        <v>95.452529769832395</v>
      </c>
      <c r="AN2826">
        <v>1.0000000282519099</v>
      </c>
    </row>
    <row r="2827" spans="1:40" x14ac:dyDescent="0.25">
      <c r="A2827" t="str">
        <f>"20190312160656651"</f>
        <v>20190312160656651</v>
      </c>
      <c r="B2827" t="str">
        <f>"1552378016648070"</f>
        <v>1552378016648070</v>
      </c>
      <c r="C2827" t="s">
        <v>40</v>
      </c>
      <c r="D2827">
        <v>5.4722249999999999</v>
      </c>
      <c r="E2827">
        <v>0.5584093</v>
      </c>
      <c r="F2827" t="s">
        <v>44</v>
      </c>
      <c r="G2827">
        <v>-488.21800000000002</v>
      </c>
      <c r="H2827">
        <v>1.0201519999999999</v>
      </c>
      <c r="I2827">
        <v>278.6712</v>
      </c>
      <c r="J2827">
        <v>-487.58440000000002</v>
      </c>
      <c r="K2827">
        <v>1.1114839999999999</v>
      </c>
      <c r="L2827">
        <v>279.0258</v>
      </c>
      <c r="M2827">
        <v>-0.83733329999999995</v>
      </c>
      <c r="N2827">
        <v>0</v>
      </c>
      <c r="O2827">
        <v>-0.54649239999999999</v>
      </c>
      <c r="P2827">
        <v>-0.78152819999999901</v>
      </c>
      <c r="Q2827">
        <v>-1.1600340000000001E-2</v>
      </c>
      <c r="R2827">
        <v>-0.62376219999999905</v>
      </c>
      <c r="S2827">
        <v>-2.635345</v>
      </c>
      <c r="T2827">
        <v>-0.36158899999999999</v>
      </c>
      <c r="U2827">
        <v>-1.499268</v>
      </c>
      <c r="V2827">
        <v>-9.5217650000000001E-2</v>
      </c>
      <c r="W2827">
        <v>2.833665E-3</v>
      </c>
      <c r="X2827">
        <v>0.99545249999999996</v>
      </c>
      <c r="Y2827">
        <v>5.730785E-2</v>
      </c>
      <c r="Z2827">
        <v>6.7737240000000004E-2</v>
      </c>
      <c r="AA2827">
        <v>0.99605600000000005</v>
      </c>
      <c r="AB2827">
        <v>9</v>
      </c>
      <c r="AC2827">
        <v>-0.63360000000000105</v>
      </c>
      <c r="AD2827">
        <v>-9.1331999999999899E-2</v>
      </c>
      <c r="AE2827">
        <v>-0.35460000000000402</v>
      </c>
      <c r="AF2827">
        <v>4.8575999949896899E-2</v>
      </c>
      <c r="AG2827">
        <v>-9.1331999999999899E-2</v>
      </c>
      <c r="AH2827">
        <v>0.713116531533596</v>
      </c>
      <c r="AI2827">
        <v>97.281700146262295</v>
      </c>
      <c r="AJ2827">
        <v>86.103151620031596</v>
      </c>
      <c r="AK2827">
        <v>0.72058056422695604</v>
      </c>
      <c r="AL2827">
        <v>89.837642746619494</v>
      </c>
      <c r="AM2827">
        <v>95.463868727274303</v>
      </c>
      <c r="AN2827">
        <v>1.0000000551425501</v>
      </c>
    </row>
    <row r="2828" spans="1:40" x14ac:dyDescent="0.25">
      <c r="A2828" t="str">
        <f>"20190312160656663"</f>
        <v>20190312160656663</v>
      </c>
      <c r="B2828" t="str">
        <f>"1552378016657829"</f>
        <v>1552378016657829</v>
      </c>
      <c r="C2828" t="s">
        <v>40</v>
      </c>
      <c r="D2828">
        <v>5.4224839999999999</v>
      </c>
      <c r="E2828">
        <v>0.55835959999999996</v>
      </c>
      <c r="F2828" t="s">
        <v>44</v>
      </c>
      <c r="G2828">
        <v>-488.21719999999999</v>
      </c>
      <c r="H2828">
        <v>1.0256110000000001</v>
      </c>
      <c r="I2828">
        <v>278.66489999999999</v>
      </c>
      <c r="J2828">
        <v>-487.62079999999997</v>
      </c>
      <c r="K2828">
        <v>1.111478</v>
      </c>
      <c r="L2828">
        <v>278.99919999999997</v>
      </c>
      <c r="M2828">
        <v>-0.83628060000000004</v>
      </c>
      <c r="N2828">
        <v>0</v>
      </c>
      <c r="O2828">
        <v>-0.54809949999999996</v>
      </c>
      <c r="P2828">
        <v>-0.78036740000000004</v>
      </c>
      <c r="Q2828">
        <v>-1.1472619999999999E-2</v>
      </c>
      <c r="R2828">
        <v>-0.62521610000000005</v>
      </c>
      <c r="S2828">
        <v>-2.6333310000000001</v>
      </c>
      <c r="T2828">
        <v>-0.35932160000000002</v>
      </c>
      <c r="U2828">
        <v>-1.5035099999999999</v>
      </c>
      <c r="V2828">
        <v>-9.5157759999999994E-2</v>
      </c>
      <c r="W2828">
        <v>3.0539629999999998E-3</v>
      </c>
      <c r="X2828">
        <v>0.9954575</v>
      </c>
      <c r="Y2828">
        <v>5.772215E-2</v>
      </c>
      <c r="Z2828">
        <v>6.7514809999999995E-2</v>
      </c>
      <c r="AA2828">
        <v>0.99604709999999996</v>
      </c>
      <c r="AB2828">
        <v>9</v>
      </c>
      <c r="AC2828">
        <v>-0.59640000000001603</v>
      </c>
      <c r="AD2828">
        <v>-8.5866999999999902E-2</v>
      </c>
      <c r="AE2828">
        <v>-0.334299999999984</v>
      </c>
      <c r="AF2828">
        <v>4.6588339190017501E-2</v>
      </c>
      <c r="AG2828">
        <v>-8.5866999999999902E-2</v>
      </c>
      <c r="AH2828">
        <v>0.67147180905173198</v>
      </c>
      <c r="AI2828">
        <v>97.270073019611999</v>
      </c>
      <c r="AJ2828">
        <v>86.031040747664605</v>
      </c>
      <c r="AK2828">
        <v>0.67854108599899099</v>
      </c>
      <c r="AL2828">
        <v>89.825020533838895</v>
      </c>
      <c r="AM2828">
        <v>95.460425579923694</v>
      </c>
      <c r="AN2828">
        <v>0.99999998014223601</v>
      </c>
    </row>
    <row r="2829" spans="1:40" x14ac:dyDescent="0.25">
      <c r="A2829" t="str">
        <f>"20190312160656676"</f>
        <v>20190312160656676</v>
      </c>
      <c r="B2829" t="str">
        <f>"1552378016667590"</f>
        <v>1552378016667590</v>
      </c>
      <c r="C2829" t="s">
        <v>40</v>
      </c>
      <c r="D2829">
        <v>5.8657519999999996</v>
      </c>
      <c r="E2829">
        <v>0.55798110000000001</v>
      </c>
      <c r="F2829" t="s">
        <v>44</v>
      </c>
      <c r="G2829">
        <v>-488.28190000000001</v>
      </c>
      <c r="H2829">
        <v>1.021665</v>
      </c>
      <c r="I2829">
        <v>278.62009999999998</v>
      </c>
      <c r="J2829">
        <v>-487.66109999999998</v>
      </c>
      <c r="K2829">
        <v>1.11145</v>
      </c>
      <c r="L2829">
        <v>278.96969999999999</v>
      </c>
      <c r="M2829">
        <v>-0.83509219999999895</v>
      </c>
      <c r="N2829">
        <v>0</v>
      </c>
      <c r="O2829">
        <v>-0.54990680000000003</v>
      </c>
      <c r="P2829">
        <v>-0.77910140000000006</v>
      </c>
      <c r="Q2829">
        <v>-1.136029E-2</v>
      </c>
      <c r="R2829">
        <v>-0.62679530000000006</v>
      </c>
      <c r="S2829">
        <v>-2.6304630000000002</v>
      </c>
      <c r="T2829">
        <v>-0.35761510000000002</v>
      </c>
      <c r="U2829">
        <v>-1.508575</v>
      </c>
      <c r="V2829">
        <v>-9.5019099999999995E-2</v>
      </c>
      <c r="W2829">
        <v>3.252802E-3</v>
      </c>
      <c r="X2829">
        <v>0.99547010000000002</v>
      </c>
      <c r="Y2829">
        <v>5.7991500000000001E-2</v>
      </c>
      <c r="Z2829">
        <v>6.7417489999999997E-2</v>
      </c>
      <c r="AA2829">
        <v>0.99603810000000004</v>
      </c>
      <c r="AB2829">
        <v>9</v>
      </c>
      <c r="AC2829">
        <v>-0.62080000000003099</v>
      </c>
      <c r="AD2829">
        <v>-8.9785000000000004E-2</v>
      </c>
      <c r="AE2829">
        <v>-0.34960000000000901</v>
      </c>
      <c r="AF2829">
        <v>4.8666565518747602E-2</v>
      </c>
      <c r="AG2829">
        <v>-8.9785000000000004E-2</v>
      </c>
      <c r="AH2829">
        <v>0.69964116745526705</v>
      </c>
      <c r="AI2829">
        <v>97.295364880156001</v>
      </c>
      <c r="AJ2829">
        <v>86.020953679959007</v>
      </c>
      <c r="AK2829">
        <v>0.70705554521731895</v>
      </c>
      <c r="AL2829">
        <v>89.813627838632996</v>
      </c>
      <c r="AM2829">
        <v>95.452448258824603</v>
      </c>
      <c r="AN2829">
        <v>0.99999996503983501</v>
      </c>
    </row>
    <row r="2830" spans="1:40" x14ac:dyDescent="0.25">
      <c r="A2830" t="str">
        <f>"20190312160656686"</f>
        <v>20190312160656686</v>
      </c>
      <c r="B2830" t="str">
        <f>"1552378016677349"</f>
        <v>1552378016677349</v>
      </c>
      <c r="C2830" t="s">
        <v>40</v>
      </c>
      <c r="D2830">
        <v>5.514437</v>
      </c>
      <c r="E2830">
        <v>0.55769959999999996</v>
      </c>
      <c r="F2830" t="s">
        <v>44</v>
      </c>
      <c r="G2830">
        <v>-488.34679999999997</v>
      </c>
      <c r="H2830">
        <v>1.0184789999999999</v>
      </c>
      <c r="I2830">
        <v>278.57400000000001</v>
      </c>
      <c r="J2830">
        <v>-487.69569999999999</v>
      </c>
      <c r="K2830">
        <v>1.111364</v>
      </c>
      <c r="L2830">
        <v>278.94420000000002</v>
      </c>
      <c r="M2830">
        <v>-0.83401360000000002</v>
      </c>
      <c r="N2830">
        <v>0</v>
      </c>
      <c r="O2830">
        <v>-0.55154349999999996</v>
      </c>
      <c r="P2830">
        <v>-0.77790649999999995</v>
      </c>
      <c r="Q2830">
        <v>-1.133995E-2</v>
      </c>
      <c r="R2830">
        <v>-0.62827840000000001</v>
      </c>
      <c r="S2830">
        <v>-2.6254270000000002</v>
      </c>
      <c r="T2830">
        <v>-0.35785850000000002</v>
      </c>
      <c r="U2830">
        <v>-1.5164489999999999</v>
      </c>
      <c r="V2830">
        <v>-9.4963099999999995E-2</v>
      </c>
      <c r="W2830">
        <v>3.2060729999999998E-3</v>
      </c>
      <c r="X2830">
        <v>0.99547560000000002</v>
      </c>
      <c r="Y2830">
        <v>5.6871539999999998E-2</v>
      </c>
      <c r="Z2830">
        <v>6.7605670000000007E-2</v>
      </c>
      <c r="AA2830">
        <v>0.99608989999999997</v>
      </c>
      <c r="AB2830">
        <v>9</v>
      </c>
      <c r="AC2830">
        <v>-0.65109999999998502</v>
      </c>
      <c r="AD2830">
        <v>-9.2884999999999801E-2</v>
      </c>
      <c r="AE2830">
        <v>-0.37020000000001102</v>
      </c>
      <c r="AF2830">
        <v>4.9600865409539403E-2</v>
      </c>
      <c r="AG2830">
        <v>-9.2884999999999801E-2</v>
      </c>
      <c r="AH2830">
        <v>0.73597134219910798</v>
      </c>
      <c r="AI2830">
        <v>97.177008027633306</v>
      </c>
      <c r="AJ2830">
        <v>86.144375451023294</v>
      </c>
      <c r="AK2830">
        <v>0.74346599492695797</v>
      </c>
      <c r="AL2830">
        <v>89.816305228030998</v>
      </c>
      <c r="AM2830">
        <v>95.449224252742894</v>
      </c>
      <c r="AN2830">
        <v>0.99999996973052496</v>
      </c>
    </row>
    <row r="2831" spans="1:40" x14ac:dyDescent="0.25">
      <c r="A2831" t="str">
        <f>"20190312160656698"</f>
        <v>20190312160656698</v>
      </c>
      <c r="B2831" t="str">
        <f>"1552378016688086"</f>
        <v>1552378016688086</v>
      </c>
      <c r="C2831" t="s">
        <v>40</v>
      </c>
      <c r="D2831">
        <v>5.8027470000000001</v>
      </c>
      <c r="E2831">
        <v>0.55745080000000002</v>
      </c>
      <c r="F2831" t="s">
        <v>44</v>
      </c>
      <c r="G2831">
        <v>-488.34500000000003</v>
      </c>
      <c r="H2831">
        <v>1.022807</v>
      </c>
      <c r="I2831">
        <v>278.56740000000002</v>
      </c>
      <c r="J2831">
        <v>-487.7353</v>
      </c>
      <c r="K2831">
        <v>1.1112569999999999</v>
      </c>
      <c r="L2831">
        <v>278.9151</v>
      </c>
      <c r="M2831">
        <v>-0.83277919999999905</v>
      </c>
      <c r="N2831">
        <v>0</v>
      </c>
      <c r="O2831">
        <v>-0.5534095</v>
      </c>
      <c r="P2831">
        <v>-0.77676619999999996</v>
      </c>
      <c r="Q2831">
        <v>-1.126306E-2</v>
      </c>
      <c r="R2831">
        <v>-0.62968840000000004</v>
      </c>
      <c r="S2831">
        <v>-2.621124</v>
      </c>
      <c r="T2831">
        <v>-0.35949019999999998</v>
      </c>
      <c r="U2831">
        <v>-1.5231319999999999</v>
      </c>
      <c r="V2831">
        <v>-9.4540639999999995E-2</v>
      </c>
      <c r="W2831">
        <v>3.1512369999999999E-3</v>
      </c>
      <c r="X2831">
        <v>0.99551599999999996</v>
      </c>
      <c r="Y2831">
        <v>5.6454169999999998E-2</v>
      </c>
      <c r="Z2831">
        <v>6.8114369999999994E-2</v>
      </c>
      <c r="AA2831">
        <v>0.99607900000000005</v>
      </c>
      <c r="AB2831">
        <v>9</v>
      </c>
      <c r="AC2831">
        <v>-0.60970000000003199</v>
      </c>
      <c r="AD2831">
        <v>-8.8449999999999904E-2</v>
      </c>
      <c r="AE2831">
        <v>-0.34769999999997397</v>
      </c>
      <c r="AF2831">
        <v>4.7113427039941903E-2</v>
      </c>
      <c r="AG2831">
        <v>-8.8449999999999904E-2</v>
      </c>
      <c r="AH2831">
        <v>0.68929521224123802</v>
      </c>
      <c r="AI2831">
        <v>97.295367930918005</v>
      </c>
      <c r="AJ2831">
        <v>86.089906633212493</v>
      </c>
      <c r="AK2831">
        <v>0.69654215028678701</v>
      </c>
      <c r="AL2831">
        <v>89.819447118045801</v>
      </c>
      <c r="AM2831">
        <v>95.424908528294594</v>
      </c>
      <c r="AN2831">
        <v>0.99999998458111905</v>
      </c>
    </row>
    <row r="2832" spans="1:40" x14ac:dyDescent="0.25">
      <c r="A2832" t="str">
        <f>"20190312160656710"</f>
        <v>20190312160656710</v>
      </c>
      <c r="B2832" t="str">
        <f>"1552378016697846"</f>
        <v>1552378016697846</v>
      </c>
      <c r="C2832" t="s">
        <v>40</v>
      </c>
      <c r="D2832">
        <v>5.3372469999999996</v>
      </c>
      <c r="E2832">
        <v>0.55718049999999997</v>
      </c>
      <c r="F2832" t="s">
        <v>44</v>
      </c>
      <c r="G2832">
        <v>-488.40989999999999</v>
      </c>
      <c r="H2832">
        <v>1.018605</v>
      </c>
      <c r="I2832">
        <v>278.52109999999999</v>
      </c>
      <c r="J2832">
        <v>-487.77569999999997</v>
      </c>
      <c r="K2832">
        <v>1.111135</v>
      </c>
      <c r="L2832">
        <v>278.88529999999997</v>
      </c>
      <c r="M2832">
        <v>-0.83151399999999998</v>
      </c>
      <c r="N2832">
        <v>0</v>
      </c>
      <c r="O2832">
        <v>-0.555315</v>
      </c>
      <c r="P2832">
        <v>-0.77541230000000005</v>
      </c>
      <c r="Q2832">
        <v>-1.127216E-2</v>
      </c>
      <c r="R2832">
        <v>-0.63135490000000005</v>
      </c>
      <c r="S2832">
        <v>-2.6169739999999999</v>
      </c>
      <c r="T2832">
        <v>-0.36046430000000002</v>
      </c>
      <c r="U2832">
        <v>-1.5295719999999999</v>
      </c>
      <c r="V2832">
        <v>-9.4400200000000004E-2</v>
      </c>
      <c r="W2832">
        <v>2.9109119999999999E-3</v>
      </c>
      <c r="X2832">
        <v>0.99553009999999997</v>
      </c>
      <c r="Y2832">
        <v>5.6192560000000003E-2</v>
      </c>
      <c r="Z2832">
        <v>6.8512660000000003E-2</v>
      </c>
      <c r="AA2832">
        <v>0.99606649999999997</v>
      </c>
      <c r="AB2832">
        <v>9</v>
      </c>
      <c r="AC2832">
        <v>-0.63420000000002097</v>
      </c>
      <c r="AD2832">
        <v>-9.2530000000000001E-2</v>
      </c>
      <c r="AE2832">
        <v>-0.36419999999998198</v>
      </c>
      <c r="AF2832">
        <v>4.8571032964499702E-2</v>
      </c>
      <c r="AG2832">
        <v>-9.2530000000000001E-2</v>
      </c>
      <c r="AH2832">
        <v>0.71817205222543001</v>
      </c>
      <c r="AI2832">
        <v>97.325048877393499</v>
      </c>
      <c r="AJ2832">
        <v>86.130894037593904</v>
      </c>
      <c r="AK2832">
        <v>0.72573551845071205</v>
      </c>
      <c r="AL2832">
        <v>89.833216796595906</v>
      </c>
      <c r="AM2832">
        <v>95.416821539107502</v>
      </c>
      <c r="AN2832">
        <v>1.00000002558736</v>
      </c>
    </row>
    <row r="2833" spans="1:40" x14ac:dyDescent="0.25">
      <c r="A2833" t="str">
        <f>"20190312160656723"</f>
        <v>20190312160656723</v>
      </c>
      <c r="B2833" t="str">
        <f>"1552378016717365"</f>
        <v>1552378016717365</v>
      </c>
      <c r="C2833" t="s">
        <v>40</v>
      </c>
      <c r="D2833">
        <v>5.6558820000000001</v>
      </c>
      <c r="E2833">
        <v>0.55658719999999995</v>
      </c>
      <c r="F2833" t="s">
        <v>44</v>
      </c>
      <c r="G2833">
        <v>-488.40809999999999</v>
      </c>
      <c r="H2833">
        <v>1.023771</v>
      </c>
      <c r="I2833">
        <v>278.51369999999997</v>
      </c>
      <c r="J2833">
        <v>-487.81270000000001</v>
      </c>
      <c r="K2833">
        <v>1.111049</v>
      </c>
      <c r="L2833">
        <v>278.85789999999997</v>
      </c>
      <c r="M2833">
        <v>-0.8303931</v>
      </c>
      <c r="N2833">
        <v>0</v>
      </c>
      <c r="O2833">
        <v>-0.55699549999999998</v>
      </c>
      <c r="P2833">
        <v>-0.7741865</v>
      </c>
      <c r="Q2833">
        <v>-1.116019E-2</v>
      </c>
      <c r="R2833">
        <v>-0.63285959999999997</v>
      </c>
      <c r="S2833">
        <v>-2.6127319999999998</v>
      </c>
      <c r="T2833">
        <v>-0.36205720000000002</v>
      </c>
      <c r="U2833">
        <v>-1.536346</v>
      </c>
      <c r="V2833">
        <v>-9.4320479999999998E-2</v>
      </c>
      <c r="W2833">
        <v>2.8217440000000002E-3</v>
      </c>
      <c r="X2833">
        <v>0.99553789999999998</v>
      </c>
      <c r="Y2833">
        <v>5.5544290000000003E-2</v>
      </c>
      <c r="Z2833">
        <v>6.8981200000000006E-2</v>
      </c>
      <c r="AA2833">
        <v>0.99607049999999997</v>
      </c>
      <c r="AB2833">
        <v>9</v>
      </c>
      <c r="AC2833">
        <v>-0.59539999999998305</v>
      </c>
      <c r="AD2833">
        <v>-8.7277999999999897E-2</v>
      </c>
      <c r="AE2833">
        <v>-0.34420000000000001</v>
      </c>
      <c r="AF2833">
        <v>4.50922449189314E-2</v>
      </c>
      <c r="AG2833">
        <v>-8.7277999999999897E-2</v>
      </c>
      <c r="AH2833">
        <v>0.67532724648289999</v>
      </c>
      <c r="AI2833">
        <v>97.347796976743595</v>
      </c>
      <c r="AJ2833">
        <v>86.179976387341895</v>
      </c>
      <c r="AK2833">
        <v>0.68243508825235899</v>
      </c>
      <c r="AL2833">
        <v>89.838325765448204</v>
      </c>
      <c r="AM2833">
        <v>95.412232110705503</v>
      </c>
      <c r="AN2833">
        <v>1.0000000127615201</v>
      </c>
    </row>
    <row r="2834" spans="1:40" x14ac:dyDescent="0.25">
      <c r="A2834" t="str">
        <f>"20190312160656735"</f>
        <v>20190312160656735</v>
      </c>
      <c r="B2834" t="str">
        <f>"1552378016728102"</f>
        <v>1552378016728102</v>
      </c>
      <c r="C2834" t="s">
        <v>40</v>
      </c>
      <c r="D2834">
        <v>5.5707839999999997</v>
      </c>
      <c r="E2834">
        <v>0.556421099999999</v>
      </c>
      <c r="F2834" t="s">
        <v>44</v>
      </c>
      <c r="G2834">
        <v>-488.47239999999999</v>
      </c>
      <c r="H2834">
        <v>1.018993</v>
      </c>
      <c r="I2834">
        <v>278.46710000000002</v>
      </c>
      <c r="J2834">
        <v>-487.85680000000002</v>
      </c>
      <c r="K2834">
        <v>1.110965</v>
      </c>
      <c r="L2834">
        <v>278.82530000000003</v>
      </c>
      <c r="M2834">
        <v>-0.82908359999999903</v>
      </c>
      <c r="N2834">
        <v>0</v>
      </c>
      <c r="O2834">
        <v>-0.55894840000000001</v>
      </c>
      <c r="P2834">
        <v>-0.77271369999999995</v>
      </c>
      <c r="Q2834">
        <v>-1.101224E-2</v>
      </c>
      <c r="R2834">
        <v>-0.63465969999999905</v>
      </c>
      <c r="S2834">
        <v>-2.6066280000000002</v>
      </c>
      <c r="T2834">
        <v>-0.36471700000000001</v>
      </c>
      <c r="U2834">
        <v>-1.5451969999999999</v>
      </c>
      <c r="V2834">
        <v>-9.4294409999999995E-2</v>
      </c>
      <c r="W2834">
        <v>2.7473580000000001E-3</v>
      </c>
      <c r="X2834">
        <v>0.9955406</v>
      </c>
      <c r="Y2834">
        <v>5.4305840000000001E-2</v>
      </c>
      <c r="Z2834">
        <v>6.9667590000000001E-2</v>
      </c>
      <c r="AA2834">
        <v>0.99609099999999995</v>
      </c>
      <c r="AB2834">
        <v>9</v>
      </c>
      <c r="AC2834">
        <v>-0.61559999999997195</v>
      </c>
      <c r="AD2834">
        <v>-9.1971999999999901E-2</v>
      </c>
      <c r="AE2834">
        <v>-0.35820000000001001</v>
      </c>
      <c r="AF2834">
        <v>4.6342756630137399E-2</v>
      </c>
      <c r="AG2834">
        <v>-9.1971999999999901E-2</v>
      </c>
      <c r="AH2834">
        <v>0.69901301469902699</v>
      </c>
      <c r="AI2834">
        <v>97.4793513091969</v>
      </c>
      <c r="AJ2834">
        <v>86.206988572481393</v>
      </c>
      <c r="AK2834">
        <v>0.70655905244692896</v>
      </c>
      <c r="AL2834">
        <v>89.842587789272102</v>
      </c>
      <c r="AM2834">
        <v>95.410730471956199</v>
      </c>
      <c r="AN2834">
        <v>1.00000003499079</v>
      </c>
    </row>
    <row r="2835" spans="1:40" x14ac:dyDescent="0.25">
      <c r="A2835" t="str">
        <f>"20190312160656748"</f>
        <v>20190312160656748</v>
      </c>
      <c r="B2835" t="str">
        <f>"1552378016737861"</f>
        <v>1552378016737861</v>
      </c>
      <c r="C2835" t="s">
        <v>40</v>
      </c>
      <c r="D2835">
        <v>5.6441800000000004</v>
      </c>
      <c r="E2835">
        <v>0.55623350000000005</v>
      </c>
      <c r="F2835" t="s">
        <v>44</v>
      </c>
      <c r="G2835">
        <v>-488.5369</v>
      </c>
      <c r="H2835">
        <v>1.0155259999999999</v>
      </c>
      <c r="I2835">
        <v>278.41969999999998</v>
      </c>
      <c r="J2835">
        <v>-487.8981</v>
      </c>
      <c r="K2835">
        <v>1.110927</v>
      </c>
      <c r="L2835">
        <v>278.79450000000003</v>
      </c>
      <c r="M2835">
        <v>-0.82790450000000004</v>
      </c>
      <c r="N2835">
        <v>0</v>
      </c>
      <c r="O2835">
        <v>-0.560697</v>
      </c>
      <c r="P2835">
        <v>-0.77137040000000001</v>
      </c>
      <c r="Q2835">
        <v>-1.059824E-2</v>
      </c>
      <c r="R2835">
        <v>-0.63629849999999999</v>
      </c>
      <c r="S2835">
        <v>-2.6022949999999998</v>
      </c>
      <c r="T2835">
        <v>-0.365759</v>
      </c>
      <c r="U2835">
        <v>-1.552216</v>
      </c>
      <c r="V2835">
        <v>-9.4305700000000006E-2</v>
      </c>
      <c r="W2835">
        <v>3.0372730000000001E-3</v>
      </c>
      <c r="X2835">
        <v>0.9955387</v>
      </c>
      <c r="Y2835">
        <v>5.3671400000000001E-2</v>
      </c>
      <c r="Z2835">
        <v>7.0041870000000006E-2</v>
      </c>
      <c r="AA2835">
        <v>0.99609919999999996</v>
      </c>
      <c r="AB2835">
        <v>9</v>
      </c>
      <c r="AC2835">
        <v>-0.63880000000000303</v>
      </c>
      <c r="AD2835">
        <v>-9.5401E-2</v>
      </c>
      <c r="AE2835">
        <v>-0.37480000000004998</v>
      </c>
      <c r="AF2835">
        <v>4.7097813777956098E-2</v>
      </c>
      <c r="AG2835">
        <v>-9.5401E-2</v>
      </c>
      <c r="AH2835">
        <v>0.727023234293662</v>
      </c>
      <c r="AI2835">
        <v>97.460257836059796</v>
      </c>
      <c r="AJ2835">
        <v>86.293460250403996</v>
      </c>
      <c r="AK2835">
        <v>0.73476685966807198</v>
      </c>
      <c r="AL2835">
        <v>89.825976816424998</v>
      </c>
      <c r="AM2835">
        <v>95.411384727167601</v>
      </c>
      <c r="AN2835">
        <v>1.00000004663872</v>
      </c>
    </row>
    <row r="2836" spans="1:40" x14ac:dyDescent="0.25">
      <c r="A2836" t="str">
        <f>"20190312160656761"</f>
        <v>20190312160656761</v>
      </c>
      <c r="B2836" t="str">
        <f>"1552378016757888"</f>
        <v>1552378016757888</v>
      </c>
      <c r="C2836" t="s">
        <v>40</v>
      </c>
      <c r="D2836">
        <v>5.2280819999999997</v>
      </c>
      <c r="E2836">
        <v>0.55578329999999998</v>
      </c>
      <c r="F2836" t="s">
        <v>44</v>
      </c>
      <c r="G2836">
        <v>-488.53530000000001</v>
      </c>
      <c r="H2836">
        <v>1.0212600000000001</v>
      </c>
      <c r="I2836">
        <v>278.41219999999998</v>
      </c>
      <c r="J2836">
        <v>-487.94049999999999</v>
      </c>
      <c r="K2836">
        <v>1.110908</v>
      </c>
      <c r="L2836">
        <v>278.7627</v>
      </c>
      <c r="M2836">
        <v>-0.8267021</v>
      </c>
      <c r="N2836">
        <v>0</v>
      </c>
      <c r="O2836">
        <v>-0.56247060000000004</v>
      </c>
      <c r="P2836">
        <v>-0.76988659999999998</v>
      </c>
      <c r="Q2836">
        <v>-1.0413560000000001E-2</v>
      </c>
      <c r="R2836">
        <v>-0.63809589999999905</v>
      </c>
      <c r="S2836">
        <v>-2.5980219999999998</v>
      </c>
      <c r="T2836">
        <v>-0.36622850000000001</v>
      </c>
      <c r="U2836">
        <v>-1.559113</v>
      </c>
      <c r="V2836">
        <v>-9.4492709999999994E-2</v>
      </c>
      <c r="W2836">
        <v>3.1211960000000001E-3</v>
      </c>
      <c r="X2836">
        <v>0.99552070000000004</v>
      </c>
      <c r="Y2836">
        <v>5.3126420000000001E-2</v>
      </c>
      <c r="Z2836">
        <v>7.0315509999999998E-2</v>
      </c>
      <c r="AA2836">
        <v>0.99610909999999997</v>
      </c>
      <c r="AB2836">
        <v>9</v>
      </c>
      <c r="AC2836">
        <v>-0.59480000000001998</v>
      </c>
      <c r="AD2836">
        <v>-8.9647999999999894E-2</v>
      </c>
      <c r="AE2836">
        <v>-0.35050000000001003</v>
      </c>
      <c r="AF2836">
        <v>4.4059784732543697E-2</v>
      </c>
      <c r="AG2836">
        <v>-8.9647999999999894E-2</v>
      </c>
      <c r="AH2836">
        <v>0.677510206289618</v>
      </c>
      <c r="AI2836">
        <v>97.521871447643406</v>
      </c>
      <c r="AJ2836">
        <v>86.279185248228899</v>
      </c>
      <c r="AK2836">
        <v>0.68483436549378796</v>
      </c>
      <c r="AL2836">
        <v>89.821168358802694</v>
      </c>
      <c r="AM2836">
        <v>95.422149169542394</v>
      </c>
      <c r="AN2836">
        <v>1.0000000391180499</v>
      </c>
    </row>
    <row r="2837" spans="1:40" x14ac:dyDescent="0.25">
      <c r="A2837" t="str">
        <f>"20190312160656775"</f>
        <v>20190312160656775</v>
      </c>
      <c r="B2837" t="str">
        <f>"1552378016767648"</f>
        <v>1552378016767648</v>
      </c>
      <c r="C2837" t="s">
        <v>40</v>
      </c>
      <c r="D2837">
        <v>5.2171890000000003</v>
      </c>
      <c r="E2837">
        <v>0.55552400000000002</v>
      </c>
      <c r="F2837" t="s">
        <v>44</v>
      </c>
      <c r="G2837">
        <v>-488.5992</v>
      </c>
      <c r="H2837">
        <v>1.017525</v>
      </c>
      <c r="I2837">
        <v>278.36470000000003</v>
      </c>
      <c r="J2837">
        <v>-487.98599999999999</v>
      </c>
      <c r="K2837">
        <v>1.1109039999999999</v>
      </c>
      <c r="L2837">
        <v>278.7285</v>
      </c>
      <c r="M2837">
        <v>-0.82541949999999997</v>
      </c>
      <c r="N2837">
        <v>0</v>
      </c>
      <c r="O2837">
        <v>-0.564353199999999</v>
      </c>
      <c r="P2837">
        <v>-0.76847589999999999</v>
      </c>
      <c r="Q2837">
        <v>-1.022403E-2</v>
      </c>
      <c r="R2837">
        <v>-0.63979730000000001</v>
      </c>
      <c r="S2837">
        <v>-2.5921940000000001</v>
      </c>
      <c r="T2837">
        <v>-0.3689615</v>
      </c>
      <c r="U2837">
        <v>-1.567871</v>
      </c>
      <c r="V2837">
        <v>-9.442528E-2</v>
      </c>
      <c r="W2837">
        <v>3.22609999999999E-3</v>
      </c>
      <c r="X2837">
        <v>0.99552669999999999</v>
      </c>
      <c r="Y2837">
        <v>5.1883079999999998E-2</v>
      </c>
      <c r="Z2837">
        <v>7.1007219999999996E-2</v>
      </c>
      <c r="AA2837">
        <v>0.99612560000000006</v>
      </c>
      <c r="AB2837">
        <v>9</v>
      </c>
      <c r="AC2837">
        <v>-0.61320000000000596</v>
      </c>
      <c r="AD2837">
        <v>-9.3379000000000101E-2</v>
      </c>
      <c r="AE2837">
        <v>-0.36379999999996898</v>
      </c>
      <c r="AF2837">
        <v>4.5006114476987602E-2</v>
      </c>
      <c r="AG2837">
        <v>-9.3379000000000101E-2</v>
      </c>
      <c r="AH2837">
        <v>0.69952733673815404</v>
      </c>
      <c r="AI2837">
        <v>97.587885031573904</v>
      </c>
      <c r="AJ2837">
        <v>86.318784009960396</v>
      </c>
      <c r="AK2837">
        <v>0.70716595140411798</v>
      </c>
      <c r="AL2837">
        <v>89.815157760611001</v>
      </c>
      <c r="AM2837">
        <v>95.418270497478503</v>
      </c>
      <c r="AN2837">
        <v>0.99999997581858802</v>
      </c>
    </row>
    <row r="2838" spans="1:40" x14ac:dyDescent="0.25">
      <c r="A2838" t="str">
        <f>"20190312160656786"</f>
        <v>20190312160656786</v>
      </c>
      <c r="B2838" t="str">
        <f>"1552378016777408"</f>
        <v>1552378016777408</v>
      </c>
      <c r="C2838" t="s">
        <v>40</v>
      </c>
      <c r="D2838">
        <v>5.2098120000000003</v>
      </c>
      <c r="E2838">
        <v>0.5554135</v>
      </c>
      <c r="F2838" t="s">
        <v>44</v>
      </c>
      <c r="G2838">
        <v>-488.66289999999998</v>
      </c>
      <c r="H2838">
        <v>1.014235</v>
      </c>
      <c r="I2838">
        <v>278.31650000000002</v>
      </c>
      <c r="J2838">
        <v>-488.02190000000002</v>
      </c>
      <c r="K2838">
        <v>1.110897</v>
      </c>
      <c r="L2838">
        <v>278.70139999999998</v>
      </c>
      <c r="M2838">
        <v>-0.82440389999999997</v>
      </c>
      <c r="N2838">
        <v>0</v>
      </c>
      <c r="O2838">
        <v>-0.5658377</v>
      </c>
      <c r="P2838">
        <v>-0.76703310000000002</v>
      </c>
      <c r="Q2838">
        <v>-9.8084629999999999E-3</v>
      </c>
      <c r="R2838">
        <v>-0.64153260000000001</v>
      </c>
      <c r="S2838">
        <v>-2.5877379999999999</v>
      </c>
      <c r="T2838">
        <v>-0.36966060000000001</v>
      </c>
      <c r="U2838">
        <v>-1.574921</v>
      </c>
      <c r="V2838">
        <v>-9.4882289999999994E-2</v>
      </c>
      <c r="W2838">
        <v>3.5574999999999999E-3</v>
      </c>
      <c r="X2838">
        <v>0.99548210000000004</v>
      </c>
      <c r="Y2838">
        <v>5.091851E-2</v>
      </c>
      <c r="Z2838">
        <v>7.1272160000000001E-2</v>
      </c>
      <c r="AA2838">
        <v>0.99615640000000005</v>
      </c>
      <c r="AB2838">
        <v>9</v>
      </c>
      <c r="AC2838">
        <v>-0.64099999999996204</v>
      </c>
      <c r="AD2838">
        <v>-9.6661999999999998E-2</v>
      </c>
      <c r="AE2838">
        <v>-0.384899999999959</v>
      </c>
      <c r="AF2838">
        <v>4.4646901405160498E-2</v>
      </c>
      <c r="AG2838">
        <v>-9.6661999999999998E-2</v>
      </c>
      <c r="AH2838">
        <v>0.73403464045399303</v>
      </c>
      <c r="AI2838">
        <v>97.488199023453603</v>
      </c>
      <c r="AJ2838">
        <v>86.519331272784399</v>
      </c>
      <c r="AK2838">
        <v>0.74171675283460103</v>
      </c>
      <c r="AL2838">
        <v>89.796169825899099</v>
      </c>
      <c r="AM2838">
        <v>95.444579709095507</v>
      </c>
      <c r="AN2838">
        <v>0.99999995809115105</v>
      </c>
    </row>
    <row r="2839" spans="1:40" x14ac:dyDescent="0.25">
      <c r="A2839" t="str">
        <f>"20190312160656797"</f>
        <v>20190312160656797</v>
      </c>
      <c r="B2839" t="str">
        <f>"1552378016788145"</f>
        <v>1552378016788145</v>
      </c>
      <c r="C2839" t="s">
        <v>40</v>
      </c>
      <c r="D2839">
        <v>5.2053159999999998</v>
      </c>
      <c r="E2839">
        <v>0.55529490000000004</v>
      </c>
      <c r="F2839" t="s">
        <v>44</v>
      </c>
      <c r="G2839">
        <v>-488.66140000000001</v>
      </c>
      <c r="H2839">
        <v>1.0192829999999999</v>
      </c>
      <c r="I2839">
        <v>278.3098</v>
      </c>
      <c r="J2839">
        <v>-488.05840000000001</v>
      </c>
      <c r="K2839">
        <v>1.1108910000000001</v>
      </c>
      <c r="L2839">
        <v>278.6737</v>
      </c>
      <c r="M2839">
        <v>-0.82336620000000005</v>
      </c>
      <c r="N2839">
        <v>0</v>
      </c>
      <c r="O2839">
        <v>-0.56734890000000004</v>
      </c>
      <c r="P2839">
        <v>-0.76562719999999995</v>
      </c>
      <c r="Q2839">
        <v>-9.4865160000000004E-3</v>
      </c>
      <c r="R2839">
        <v>-0.64321479999999998</v>
      </c>
      <c r="S2839">
        <v>-2.583466</v>
      </c>
      <c r="T2839">
        <v>-0.3701931</v>
      </c>
      <c r="U2839">
        <v>-1.581726</v>
      </c>
      <c r="V2839">
        <v>-9.5240610000000003E-2</v>
      </c>
      <c r="W2839">
        <v>3.7863800000000002E-3</v>
      </c>
      <c r="X2839">
        <v>0.99544710000000003</v>
      </c>
      <c r="Y2839">
        <v>5.0090759999999998E-2</v>
      </c>
      <c r="Z2839">
        <v>7.1514649999999999E-2</v>
      </c>
      <c r="AA2839">
        <v>0.99618099999999998</v>
      </c>
      <c r="AB2839">
        <v>9</v>
      </c>
      <c r="AC2839">
        <v>-0.60300000000000797</v>
      </c>
      <c r="AD2839">
        <v>-9.1608000000000106E-2</v>
      </c>
      <c r="AE2839">
        <v>-0.363900000000001</v>
      </c>
      <c r="AF2839">
        <v>4.17853836923903E-2</v>
      </c>
      <c r="AG2839">
        <v>-9.1608000000000106E-2</v>
      </c>
      <c r="AH2839">
        <v>0.69131661920005205</v>
      </c>
      <c r="AI2839">
        <v>97.534829174542494</v>
      </c>
      <c r="AJ2839">
        <v>86.541068320436096</v>
      </c>
      <c r="AK2839">
        <v>0.69861055813415096</v>
      </c>
      <c r="AL2839">
        <v>89.783055892259</v>
      </c>
      <c r="AM2839">
        <v>95.465207731034695</v>
      </c>
      <c r="AN2839">
        <v>1.00000001968254</v>
      </c>
    </row>
    <row r="2840" spans="1:40" x14ac:dyDescent="0.25">
      <c r="A2840" t="str">
        <f>"20190312160656808"</f>
        <v>20190312160656808</v>
      </c>
      <c r="B2840" t="str">
        <f>"1552378016797904"</f>
        <v>1552378016797904</v>
      </c>
      <c r="C2840" t="s">
        <v>40</v>
      </c>
      <c r="D2840">
        <v>5.4127700000000001</v>
      </c>
      <c r="E2840">
        <v>0.55505319999999903</v>
      </c>
      <c r="F2840" t="s">
        <v>44</v>
      </c>
      <c r="G2840">
        <v>-488.72570000000002</v>
      </c>
      <c r="H2840">
        <v>1.015288</v>
      </c>
      <c r="I2840">
        <v>278.26319999999998</v>
      </c>
      <c r="J2840">
        <v>-488.09500000000003</v>
      </c>
      <c r="K2840">
        <v>1.110886</v>
      </c>
      <c r="L2840">
        <v>278.64580000000001</v>
      </c>
      <c r="M2840">
        <v>-0.82232039999999995</v>
      </c>
      <c r="N2840">
        <v>0</v>
      </c>
      <c r="O2840">
        <v>-0.56886639999999999</v>
      </c>
      <c r="P2840">
        <v>-0.76414559999999998</v>
      </c>
      <c r="Q2840">
        <v>-9.1186519999999997E-3</v>
      </c>
      <c r="R2840">
        <v>-0.64497979999999999</v>
      </c>
      <c r="S2840">
        <v>-2.57959</v>
      </c>
      <c r="T2840">
        <v>-0.3708051</v>
      </c>
      <c r="U2840">
        <v>-1.588074</v>
      </c>
      <c r="V2840">
        <v>-9.5700930000000003E-2</v>
      </c>
      <c r="W2840">
        <v>4.0453009999999899E-3</v>
      </c>
      <c r="X2840">
        <v>0.99540189999999995</v>
      </c>
      <c r="Y2840">
        <v>4.9466690000000001E-2</v>
      </c>
      <c r="Z2840">
        <v>7.1781049999999999E-2</v>
      </c>
      <c r="AA2840">
        <v>0.996193</v>
      </c>
      <c r="AB2840">
        <v>9</v>
      </c>
      <c r="AC2840">
        <v>-0.63069999999999005</v>
      </c>
      <c r="AD2840">
        <v>-9.5598000000000002E-2</v>
      </c>
      <c r="AE2840">
        <v>-0.38260000000002398</v>
      </c>
      <c r="AF2840">
        <v>4.3438701881718597E-2</v>
      </c>
      <c r="AG2840">
        <v>-9.5598000000000002E-2</v>
      </c>
      <c r="AH2840">
        <v>0.72418970495739698</v>
      </c>
      <c r="AI2840">
        <v>97.506618312553996</v>
      </c>
      <c r="AJ2840">
        <v>86.567369277443404</v>
      </c>
      <c r="AK2840">
        <v>0.73176268502257702</v>
      </c>
      <c r="AL2840">
        <v>89.768220690781007</v>
      </c>
      <c r="AM2840">
        <v>95.491709103052699</v>
      </c>
      <c r="AN2840">
        <v>0.99999998749332697</v>
      </c>
    </row>
    <row r="2841" spans="1:40" x14ac:dyDescent="0.25">
      <c r="A2841" t="str">
        <f>"20190312160656820"</f>
        <v>20190312160656820</v>
      </c>
      <c r="B2841" t="str">
        <f>"1552378016807665"</f>
        <v>1552378016807665</v>
      </c>
      <c r="C2841" t="s">
        <v>40</v>
      </c>
      <c r="D2841">
        <v>5.3265760000000002</v>
      </c>
      <c r="E2841">
        <v>0.55505319999999903</v>
      </c>
      <c r="F2841" t="s">
        <v>44</v>
      </c>
      <c r="G2841">
        <v>-488.7242</v>
      </c>
      <c r="H2841">
        <v>1.020553</v>
      </c>
      <c r="I2841">
        <v>278.25630000000001</v>
      </c>
      <c r="J2841">
        <v>-488.13010000000003</v>
      </c>
      <c r="K2841">
        <v>1.1108769999999999</v>
      </c>
      <c r="L2841">
        <v>278.61900000000003</v>
      </c>
      <c r="M2841">
        <v>-0.82131790000000005</v>
      </c>
      <c r="N2841">
        <v>0</v>
      </c>
      <c r="O2841">
        <v>-0.57031489999999996</v>
      </c>
      <c r="P2841">
        <v>-0.76249369999999905</v>
      </c>
      <c r="Q2841">
        <v>-8.7793530000000002E-3</v>
      </c>
      <c r="R2841">
        <v>-0.64693619999999996</v>
      </c>
      <c r="S2841">
        <v>-2.5748600000000001</v>
      </c>
      <c r="T2841">
        <v>-0.37092380000000003</v>
      </c>
      <c r="U2841">
        <v>-1.5954900000000001</v>
      </c>
      <c r="V2841">
        <v>-9.6496289999999998E-2</v>
      </c>
      <c r="W2841">
        <v>4.2808560000000004E-3</v>
      </c>
      <c r="X2841">
        <v>0.99532410000000004</v>
      </c>
      <c r="Y2841">
        <v>4.8327830000000002E-2</v>
      </c>
      <c r="Z2841">
        <v>7.192258E-2</v>
      </c>
      <c r="AA2841">
        <v>0.99623870000000003</v>
      </c>
      <c r="AB2841">
        <v>9</v>
      </c>
      <c r="AC2841">
        <v>-0.59409999999996899</v>
      </c>
      <c r="AD2841">
        <v>-9.0324000000000002E-2</v>
      </c>
      <c r="AE2841">
        <v>-0.36270000000001701</v>
      </c>
      <c r="AF2841">
        <v>4.0257832313507401E-2</v>
      </c>
      <c r="AG2841">
        <v>-9.0324000000000002E-2</v>
      </c>
      <c r="AH2841">
        <v>0.68335322149865596</v>
      </c>
      <c r="AI2841">
        <v>97.516689305424407</v>
      </c>
      <c r="AJ2841">
        <v>86.628477211798696</v>
      </c>
      <c r="AK2841">
        <v>0.69047139214537601</v>
      </c>
      <c r="AL2841">
        <v>89.754724259999193</v>
      </c>
      <c r="AM2841">
        <v>95.537497734263496</v>
      </c>
      <c r="AN2841">
        <v>0.999999961876332</v>
      </c>
    </row>
    <row r="2842" spans="1:40" x14ac:dyDescent="0.25">
      <c r="A2842" t="str">
        <f>"20190312160656831"</f>
        <v>20190312160656831</v>
      </c>
      <c r="B2842" t="str">
        <f>"1552378016828161"</f>
        <v>1552378016828161</v>
      </c>
      <c r="C2842" t="s">
        <v>40</v>
      </c>
      <c r="D2842">
        <v>5.1316499999999996</v>
      </c>
      <c r="E2842">
        <v>0.55317229999999995</v>
      </c>
      <c r="F2842" t="s">
        <v>44</v>
      </c>
      <c r="G2842">
        <v>-488.78789999999998</v>
      </c>
      <c r="H2842">
        <v>1.0162949999999999</v>
      </c>
      <c r="I2842">
        <v>278.209</v>
      </c>
      <c r="J2842">
        <v>-488.16640000000001</v>
      </c>
      <c r="K2842">
        <v>1.1108659999999999</v>
      </c>
      <c r="L2842">
        <v>278.59100000000001</v>
      </c>
      <c r="M2842">
        <v>-0.82027669999999997</v>
      </c>
      <c r="N2842">
        <v>0</v>
      </c>
      <c r="O2842">
        <v>-0.57181409999999999</v>
      </c>
      <c r="P2842">
        <v>-0.76095139999999994</v>
      </c>
      <c r="Q2842">
        <v>-8.3926869999999994E-3</v>
      </c>
      <c r="R2842">
        <v>-0.64875509999999903</v>
      </c>
      <c r="S2842">
        <v>-2.5709230000000001</v>
      </c>
      <c r="T2842">
        <v>-0.36979260000000003</v>
      </c>
      <c r="U2842">
        <v>-1.6020810000000001</v>
      </c>
      <c r="V2842">
        <v>-9.7054310000000005E-2</v>
      </c>
      <c r="W2842">
        <v>4.5636180000000002E-3</v>
      </c>
      <c r="X2842">
        <v>0.99526859999999995</v>
      </c>
      <c r="Y2842">
        <v>4.764413E-2</v>
      </c>
      <c r="Z2842">
        <v>7.1846549999999995E-2</v>
      </c>
      <c r="AA2842">
        <v>0.99627719999999997</v>
      </c>
      <c r="AB2842">
        <v>9</v>
      </c>
      <c r="AC2842">
        <v>-0.62149999999996897</v>
      </c>
      <c r="AD2842">
        <v>-9.4570999999999697E-2</v>
      </c>
      <c r="AE2842">
        <v>-0.382000000000005</v>
      </c>
      <c r="AF2842">
        <v>4.1345602698341699E-2</v>
      </c>
      <c r="AG2842">
        <v>-9.4570999999999697E-2</v>
      </c>
      <c r="AH2842">
        <v>0.71626144462240804</v>
      </c>
      <c r="AI2842">
        <v>97.509138613327096</v>
      </c>
      <c r="AJ2842">
        <v>86.696314386322598</v>
      </c>
      <c r="AK2842">
        <v>0.72365985791397003</v>
      </c>
      <c r="AL2842">
        <v>89.738523035375806</v>
      </c>
      <c r="AM2842">
        <v>95.569627909121905</v>
      </c>
      <c r="AN2842">
        <v>0.99999997592239198</v>
      </c>
    </row>
    <row r="2843" spans="1:40" x14ac:dyDescent="0.25">
      <c r="A2843" t="str">
        <f>"20190312160656842"</f>
        <v>20190312160656842</v>
      </c>
      <c r="B2843" t="str">
        <f>"1552378016837920"</f>
        <v>1552378016837920</v>
      </c>
      <c r="C2843" t="s">
        <v>40</v>
      </c>
      <c r="D2843">
        <v>5.769641</v>
      </c>
      <c r="E2843">
        <v>0.45834190000000002</v>
      </c>
      <c r="F2843" t="s">
        <v>44</v>
      </c>
      <c r="G2843">
        <v>-488.78460000000001</v>
      </c>
      <c r="H2843">
        <v>1.021598</v>
      </c>
      <c r="I2843">
        <v>278.1995</v>
      </c>
      <c r="J2843">
        <v>-488.20400000000001</v>
      </c>
      <c r="K2843">
        <v>1.1108530000000001</v>
      </c>
      <c r="L2843">
        <v>278.56200000000001</v>
      </c>
      <c r="M2843">
        <v>-0.81919799999999998</v>
      </c>
      <c r="N2843">
        <v>0</v>
      </c>
      <c r="O2843">
        <v>-0.57336089999999995</v>
      </c>
      <c r="P2843">
        <v>-0.75935629999999998</v>
      </c>
      <c r="Q2843">
        <v>-8.0803439999999997E-3</v>
      </c>
      <c r="R2843">
        <v>-0.65062509999999996</v>
      </c>
      <c r="S2843">
        <v>-2.5574949999999999</v>
      </c>
      <c r="T2843">
        <v>-0.36947170000000001</v>
      </c>
      <c r="U2843">
        <v>-1.61972</v>
      </c>
      <c r="V2843">
        <v>-9.7624150000000007E-2</v>
      </c>
      <c r="W2843">
        <v>4.7834389999999996E-3</v>
      </c>
      <c r="X2843">
        <v>0.99521179999999998</v>
      </c>
      <c r="Y2843">
        <v>4.2282409999999999E-2</v>
      </c>
      <c r="Z2843">
        <v>7.1748060000000002E-2</v>
      </c>
      <c r="AA2843">
        <v>0.99652620000000003</v>
      </c>
      <c r="AB2843">
        <v>9</v>
      </c>
      <c r="AC2843">
        <v>-0.580600000000004</v>
      </c>
      <c r="AD2843">
        <v>-8.9255000000000001E-2</v>
      </c>
      <c r="AE2843">
        <v>-0.36250000000001098</v>
      </c>
      <c r="AF2843">
        <v>3.5336291675691703E-2</v>
      </c>
      <c r="AG2843">
        <v>-8.9255000000000001E-2</v>
      </c>
      <c r="AH2843">
        <v>0.67210000103497902</v>
      </c>
      <c r="AI2843">
        <v>97.554314345178994</v>
      </c>
      <c r="AJ2843">
        <v>86.990391376117103</v>
      </c>
      <c r="AK2843">
        <v>0.67892084952931597</v>
      </c>
      <c r="AL2843">
        <v>89.725928072489296</v>
      </c>
      <c r="AM2843">
        <v>95.602439433761504</v>
      </c>
      <c r="AN2843">
        <v>0.99999994140556203</v>
      </c>
    </row>
    <row r="2844" spans="1:40" x14ac:dyDescent="0.25">
      <c r="A2844" t="str">
        <f>"20190312160656854"</f>
        <v>20190312160656854</v>
      </c>
      <c r="B2844" t="str">
        <f>"1552378016847680"</f>
        <v>1552378016847680</v>
      </c>
      <c r="C2844" t="s">
        <v>40</v>
      </c>
      <c r="D2844">
        <v>5.0307570000000004</v>
      </c>
      <c r="E2844">
        <v>0.44334980000000002</v>
      </c>
      <c r="F2844" t="s">
        <v>61</v>
      </c>
      <c r="G2844">
        <v>-491.6241</v>
      </c>
      <c r="H2844" s="1">
        <v>1.726126E-6</v>
      </c>
      <c r="I2844">
        <v>274.91739999999999</v>
      </c>
      <c r="J2844">
        <v>-488.24040000000002</v>
      </c>
      <c r="K2844">
        <v>1.1108439999999999</v>
      </c>
      <c r="L2844">
        <v>278.53390000000002</v>
      </c>
      <c r="M2844">
        <v>-0.81815079999999996</v>
      </c>
      <c r="N2844">
        <v>0</v>
      </c>
      <c r="O2844">
        <v>-0.57485559999999902</v>
      </c>
      <c r="P2844">
        <v>-0.75780249999999905</v>
      </c>
      <c r="Q2844">
        <v>-8.1094719999999995E-3</v>
      </c>
      <c r="R2844">
        <v>-0.65243359999999995</v>
      </c>
      <c r="S2844">
        <v>-2.061401</v>
      </c>
      <c r="T2844">
        <v>-0.66953609999999997</v>
      </c>
      <c r="U2844">
        <v>-2.1966860000000001</v>
      </c>
      <c r="V2844">
        <v>-9.8180379999999998E-2</v>
      </c>
      <c r="W2844">
        <v>4.6709050000000004E-3</v>
      </c>
      <c r="X2844">
        <v>0.99515770000000003</v>
      </c>
      <c r="Y2844">
        <v>-0.20972560000000001</v>
      </c>
      <c r="Z2844">
        <v>0.10672429999999999</v>
      </c>
      <c r="AA2844">
        <v>0.97191830000000001</v>
      </c>
      <c r="AB2844">
        <v>9</v>
      </c>
      <c r="AC2844">
        <v>-3.38369999999997</v>
      </c>
      <c r="AD2844">
        <v>-1.110842273874</v>
      </c>
      <c r="AE2844">
        <v>-3.61650000000003</v>
      </c>
      <c r="AF2844">
        <v>-0.96523130831999204</v>
      </c>
      <c r="AG2844">
        <v>-1.110842273874</v>
      </c>
      <c r="AH2844">
        <v>4.6155572244131697</v>
      </c>
      <c r="AI2844">
        <v>103.25589298913199</v>
      </c>
      <c r="AJ2844">
        <v>101.811788927496</v>
      </c>
      <c r="AK2844">
        <v>4.8444824829716602</v>
      </c>
      <c r="AL2844">
        <v>89.732375890836096</v>
      </c>
      <c r="AM2844">
        <v>95.634459791111595</v>
      </c>
      <c r="AN2844">
        <v>1.00000002611987</v>
      </c>
    </row>
    <row r="2845" spans="1:40" x14ac:dyDescent="0.25">
      <c r="A2845" t="str">
        <f>"20190312160656921"</f>
        <v>20190312160656921</v>
      </c>
      <c r="B2845" t="str">
        <f>"1552378016917484"</f>
        <v>1552378016917484</v>
      </c>
      <c r="C2845" t="s">
        <v>40</v>
      </c>
      <c r="D2845">
        <v>7.5635500000000002</v>
      </c>
      <c r="E2845">
        <v>0.44334980000000002</v>
      </c>
      <c r="F2845" t="s">
        <v>61</v>
      </c>
      <c r="G2845">
        <v>-491.33139999999997</v>
      </c>
      <c r="H2845" s="1">
        <v>1.764346E-6</v>
      </c>
      <c r="I2845">
        <v>274.95209999999997</v>
      </c>
      <c r="J2845">
        <v>-488.45440000000002</v>
      </c>
      <c r="K2845">
        <v>1.1107849999999999</v>
      </c>
      <c r="L2845">
        <v>278.36610000000002</v>
      </c>
      <c r="M2845">
        <v>-0.81178719999999904</v>
      </c>
      <c r="N2845">
        <v>0</v>
      </c>
      <c r="O2845">
        <v>-0.58381640000000001</v>
      </c>
      <c r="P2845">
        <v>-0.74959719999999996</v>
      </c>
      <c r="Q2845">
        <v>-6.8412259999999997E-3</v>
      </c>
      <c r="R2845">
        <v>-0.66185899999999998</v>
      </c>
      <c r="S2845">
        <v>-1.977905</v>
      </c>
      <c r="T2845">
        <v>-0.71081640000000001</v>
      </c>
      <c r="U2845">
        <v>-2.291992</v>
      </c>
      <c r="V2845">
        <v>-9.9680260000000007E-2</v>
      </c>
      <c r="W2845">
        <v>5.5506590000000003E-3</v>
      </c>
      <c r="X2845">
        <v>0.99500409999999995</v>
      </c>
      <c r="Y2845">
        <v>-0.23972760000000001</v>
      </c>
      <c r="Z2845">
        <v>0.1118176</v>
      </c>
      <c r="AA2845">
        <v>0.96437930000000005</v>
      </c>
      <c r="AB2845">
        <v>9</v>
      </c>
      <c r="AC2845">
        <v>-2.87699999999995</v>
      </c>
      <c r="AD2845">
        <v>-1.1107832356539999</v>
      </c>
      <c r="AE2845">
        <v>-3.4140000000000401</v>
      </c>
      <c r="AF2845">
        <v>-1.02824015111705</v>
      </c>
      <c r="AG2845">
        <v>-1.1107832356539999</v>
      </c>
      <c r="AH2845">
        <v>4.0766587287579199</v>
      </c>
      <c r="AI2845">
        <v>104.799366673636</v>
      </c>
      <c r="AJ2845">
        <v>104.15622940484</v>
      </c>
      <c r="AK2845">
        <v>4.3485932892991199</v>
      </c>
      <c r="AL2845">
        <v>89.681969052259703</v>
      </c>
      <c r="AM2845">
        <v>95.720846800828994</v>
      </c>
      <c r="AN2845">
        <v>1.0000000615329001</v>
      </c>
    </row>
    <row r="2846" spans="1:40" x14ac:dyDescent="0.25">
      <c r="A2846" t="str">
        <f>"20190312160656933"</f>
        <v>20190312160656933</v>
      </c>
      <c r="B2846" t="str">
        <f>"1552378016928219"</f>
        <v>1552378016928219</v>
      </c>
      <c r="C2846" t="s">
        <v>40</v>
      </c>
      <c r="D2846">
        <v>5.3118049999999997</v>
      </c>
      <c r="E2846">
        <v>0.26657019999999998</v>
      </c>
      <c r="F2846" t="s">
        <v>61</v>
      </c>
      <c r="G2846">
        <v>-491.51519999999999</v>
      </c>
      <c r="H2846" s="1">
        <v>1.6700380000000001E-6</v>
      </c>
      <c r="I2846">
        <v>274.73140000000001</v>
      </c>
      <c r="J2846">
        <v>-488.49439999999998</v>
      </c>
      <c r="K2846">
        <v>1.110776</v>
      </c>
      <c r="L2846">
        <v>278.33440000000002</v>
      </c>
      <c r="M2846">
        <v>-0.81056700000000004</v>
      </c>
      <c r="N2846">
        <v>0</v>
      </c>
      <c r="O2846">
        <v>-0.58551070000000005</v>
      </c>
      <c r="P2846">
        <v>-0.74815669999999901</v>
      </c>
      <c r="Q2846">
        <v>-6.7628840000000003E-3</v>
      </c>
      <c r="R2846">
        <v>-0.66348750000000001</v>
      </c>
      <c r="S2846">
        <v>-1.950531</v>
      </c>
      <c r="T2846">
        <v>-0.70786349999999998</v>
      </c>
      <c r="U2846">
        <v>-2.3162539999999998</v>
      </c>
      <c r="V2846">
        <v>-9.9766140000000003E-2</v>
      </c>
      <c r="W2846">
        <v>5.5640100000000003E-3</v>
      </c>
      <c r="X2846">
        <v>0.99499539999999997</v>
      </c>
      <c r="Y2846">
        <v>-0.24915380000000001</v>
      </c>
      <c r="Z2846">
        <v>0.110845899999999</v>
      </c>
      <c r="AA2846">
        <v>0.96209960000000005</v>
      </c>
      <c r="AB2846">
        <v>9</v>
      </c>
      <c r="AC2846">
        <v>-3.0207999999999999</v>
      </c>
      <c r="AD2846">
        <v>-1.1107743299619901</v>
      </c>
      <c r="AE2846">
        <v>-3.6030000000000002</v>
      </c>
      <c r="AF2846">
        <v>-1.0909648231809701</v>
      </c>
      <c r="AG2846">
        <v>-1.1107743299619901</v>
      </c>
      <c r="AH2846">
        <v>4.3175473021442601</v>
      </c>
      <c r="AI2846">
        <v>104.00550969205</v>
      </c>
      <c r="AJ2846">
        <v>104.180759219465</v>
      </c>
      <c r="AK2846">
        <v>4.5896882861229198</v>
      </c>
      <c r="AL2846">
        <v>89.681204078779999</v>
      </c>
      <c r="AM2846">
        <v>95.725792619920099</v>
      </c>
      <c r="AN2846">
        <v>1.00000004345946</v>
      </c>
    </row>
    <row r="2847" spans="1:40" x14ac:dyDescent="0.25">
      <c r="A2847" t="str">
        <f>"20190312160656945"</f>
        <v>20190312160656945</v>
      </c>
      <c r="B2847" t="str">
        <f>"1552378016937979"</f>
        <v>1552378016937979</v>
      </c>
      <c r="C2847" t="s">
        <v>40</v>
      </c>
      <c r="D2847">
        <v>5.1325900000000004</v>
      </c>
      <c r="E2847">
        <v>0.26657019999999998</v>
      </c>
      <c r="F2847" t="s">
        <v>81</v>
      </c>
      <c r="G2847">
        <v>-510.17590000000001</v>
      </c>
      <c r="H2847">
        <v>6.5804479999999996</v>
      </c>
      <c r="I2847">
        <v>205.58410000000001</v>
      </c>
      <c r="J2847">
        <v>-488.53289999999998</v>
      </c>
      <c r="K2847">
        <v>1.1107739999999999</v>
      </c>
      <c r="L2847">
        <v>278.30360000000002</v>
      </c>
      <c r="M2847">
        <v>-0.80938169999999898</v>
      </c>
      <c r="N2847">
        <v>0</v>
      </c>
      <c r="O2847">
        <v>-0.58714940000000004</v>
      </c>
      <c r="P2847">
        <v>-0.74678149999999999</v>
      </c>
      <c r="Q2847">
        <v>-6.8001099999999998E-3</v>
      </c>
      <c r="R2847">
        <v>-0.66503509999999999</v>
      </c>
      <c r="S2847">
        <v>-1.0091859999999999</v>
      </c>
      <c r="T2847">
        <v>0.25459120000000002</v>
      </c>
      <c r="U2847">
        <v>-3.3862000000000001</v>
      </c>
      <c r="V2847">
        <v>-9.9813639999999995E-2</v>
      </c>
      <c r="W2847">
        <v>5.4724589999999998E-3</v>
      </c>
      <c r="X2847">
        <v>0.99499110000000002</v>
      </c>
      <c r="Y2847">
        <v>-0.60781370000000001</v>
      </c>
      <c r="Z2847">
        <v>-2.2511960000000001E-2</v>
      </c>
      <c r="AA2847">
        <v>0.79376049999999998</v>
      </c>
      <c r="AB2847">
        <v>9</v>
      </c>
      <c r="AC2847">
        <v>-21.643000000000001</v>
      </c>
      <c r="AD2847">
        <v>5.4696740000000004</v>
      </c>
      <c r="AE2847">
        <v>-72.719499999999996</v>
      </c>
      <c r="AF2847">
        <v>-45.9151521424631</v>
      </c>
      <c r="AG2847">
        <v>5.4696740000000004</v>
      </c>
      <c r="AH2847">
        <v>59.908033720740903</v>
      </c>
      <c r="AI2847">
        <v>85.855273562375103</v>
      </c>
      <c r="AJ2847">
        <v>127.467540658197</v>
      </c>
      <c r="AK2847">
        <v>75.677546433649994</v>
      </c>
      <c r="AL2847">
        <v>89.686449630643907</v>
      </c>
      <c r="AM2847">
        <v>95.728525211847298</v>
      </c>
      <c r="AN2847">
        <v>0.99999999980838306</v>
      </c>
    </row>
    <row r="2848" spans="1:40" x14ac:dyDescent="0.25">
      <c r="A2848" t="str">
        <f>"20190312160656958"</f>
        <v>20190312160656958</v>
      </c>
      <c r="B2848" t="str">
        <f>"1552378016947739"</f>
        <v>1552378016947739</v>
      </c>
      <c r="C2848" t="s">
        <v>40</v>
      </c>
      <c r="D2848">
        <v>5.132339</v>
      </c>
      <c r="E2848">
        <v>0.3361114</v>
      </c>
      <c r="F2848" t="s">
        <v>81</v>
      </c>
      <c r="G2848">
        <v>-510.17590000000001</v>
      </c>
      <c r="H2848">
        <v>6.6119490000000001</v>
      </c>
      <c r="I2848">
        <v>205.1292</v>
      </c>
      <c r="J2848">
        <v>-488.57089999999999</v>
      </c>
      <c r="K2848">
        <v>1.1107689999999999</v>
      </c>
      <c r="L2848">
        <v>278.27319999999997</v>
      </c>
      <c r="M2848">
        <v>-0.8082085</v>
      </c>
      <c r="N2848">
        <v>0</v>
      </c>
      <c r="O2848">
        <v>-0.58876419999999996</v>
      </c>
      <c r="P2848">
        <v>-0.74535640000000003</v>
      </c>
      <c r="Q2848">
        <v>-6.4804469999999899E-3</v>
      </c>
      <c r="R2848">
        <v>-0.66663470000000002</v>
      </c>
      <c r="S2848">
        <v>-1.002167</v>
      </c>
      <c r="T2848">
        <v>0.25472939999999999</v>
      </c>
      <c r="U2848">
        <v>-3.3882750000000001</v>
      </c>
      <c r="V2848">
        <v>-9.9959599999999996E-2</v>
      </c>
      <c r="W2848">
        <v>5.7409139999999997E-3</v>
      </c>
      <c r="X2848">
        <v>0.9949749</v>
      </c>
      <c r="Y2848">
        <v>-0.60787500000000005</v>
      </c>
      <c r="Z2848">
        <v>-2.2666410000000001E-2</v>
      </c>
      <c r="AA2848">
        <v>0.7937092</v>
      </c>
      <c r="AB2848">
        <v>9</v>
      </c>
      <c r="AC2848">
        <v>-21.605</v>
      </c>
      <c r="AD2848">
        <v>5.5011799999999997</v>
      </c>
      <c r="AE2848">
        <v>-73.143999999999906</v>
      </c>
      <c r="AF2848">
        <v>-46.158816199469399</v>
      </c>
      <c r="AG2848">
        <v>5.5011799999999997</v>
      </c>
      <c r="AH2848">
        <v>60.217336162406902</v>
      </c>
      <c r="AI2848">
        <v>85.8530386596439</v>
      </c>
      <c r="AJ2848">
        <v>127.47150017362701</v>
      </c>
      <c r="AK2848">
        <v>76.072510598935295</v>
      </c>
      <c r="AL2848">
        <v>89.671068039117401</v>
      </c>
      <c r="AM2848">
        <v>95.736939126083499</v>
      </c>
      <c r="AN2848">
        <v>0.99999996567786198</v>
      </c>
    </row>
    <row r="2849" spans="1:40" x14ac:dyDescent="0.25">
      <c r="A2849" t="str">
        <f>"20190312160656976"</f>
        <v>20190312160656976</v>
      </c>
      <c r="B2849" t="str">
        <f>"1552378016967765"</f>
        <v>1552378016967765</v>
      </c>
      <c r="C2849" t="s">
        <v>40</v>
      </c>
      <c r="D2849">
        <v>5.2574909999999999</v>
      </c>
      <c r="E2849">
        <v>0.33222190000000001</v>
      </c>
      <c r="F2849" t="s">
        <v>43</v>
      </c>
      <c r="G2849">
        <v>-501.65600000000001</v>
      </c>
      <c r="H2849">
        <v>0.10047780000000001</v>
      </c>
      <c r="I2849">
        <v>249.76070000000001</v>
      </c>
      <c r="J2849">
        <v>-488.62990000000002</v>
      </c>
      <c r="K2849">
        <v>1.1107689999999999</v>
      </c>
      <c r="L2849">
        <v>278.22579999999999</v>
      </c>
      <c r="M2849">
        <v>-0.80637879999999995</v>
      </c>
      <c r="N2849">
        <v>0</v>
      </c>
      <c r="O2849">
        <v>-0.59126969999999901</v>
      </c>
      <c r="P2849">
        <v>-0.74317040000000001</v>
      </c>
      <c r="Q2849">
        <v>-6.2796989999999997E-3</v>
      </c>
      <c r="R2849">
        <v>-0.66907340000000004</v>
      </c>
      <c r="S2849">
        <v>-1.3645940000000001</v>
      </c>
      <c r="T2849">
        <v>-0.1053592</v>
      </c>
      <c r="U2849">
        <v>-2.9734500000000001</v>
      </c>
      <c r="V2849">
        <v>-0.10013130000000001</v>
      </c>
      <c r="W2849">
        <v>5.8696579999999998E-3</v>
      </c>
      <c r="X2849">
        <v>0.99495690000000003</v>
      </c>
      <c r="Y2849">
        <v>-0.48631659999999999</v>
      </c>
      <c r="Z2849">
        <v>1.229802E-2</v>
      </c>
      <c r="AA2849">
        <v>0.87369609999999998</v>
      </c>
      <c r="AB2849">
        <v>9</v>
      </c>
      <c r="AC2849">
        <v>-13.0260999999999</v>
      </c>
      <c r="AD2849">
        <v>-1.0102911999999999</v>
      </c>
      <c r="AE2849">
        <v>-28.4650999999999</v>
      </c>
      <c r="AF2849">
        <v>-15.2370140870841</v>
      </c>
      <c r="AG2849">
        <v>-1.0102911999999999</v>
      </c>
      <c r="AH2849">
        <v>27.308174770167501</v>
      </c>
      <c r="AI2849">
        <v>91.850419861756194</v>
      </c>
      <c r="AJ2849">
        <v>119.160001347711</v>
      </c>
      <c r="AK2849">
        <v>31.2877563253872</v>
      </c>
      <c r="AL2849">
        <v>89.663691432037794</v>
      </c>
      <c r="AM2849">
        <v>95.746830800786398</v>
      </c>
      <c r="AN2849">
        <v>0.99999998149116798</v>
      </c>
    </row>
    <row r="2850" spans="1:40" x14ac:dyDescent="0.25">
      <c r="A2850" t="str">
        <f>"20190312160656988"</f>
        <v>20190312160656988</v>
      </c>
      <c r="B2850" t="str">
        <f>"1552378016977525"</f>
        <v>1552378016977525</v>
      </c>
      <c r="C2850" t="s">
        <v>40</v>
      </c>
      <c r="D2850">
        <v>4.8319839999999896</v>
      </c>
      <c r="E2850">
        <v>0.33130959999999998</v>
      </c>
      <c r="F2850" t="s">
        <v>45</v>
      </c>
      <c r="G2850">
        <v>-512.41250000000002</v>
      </c>
      <c r="H2850">
        <v>-0.05</v>
      </c>
      <c r="I2850">
        <v>224.7253</v>
      </c>
      <c r="J2850">
        <v>-488.66719999999998</v>
      </c>
      <c r="K2850">
        <v>1.1107670000000001</v>
      </c>
      <c r="L2850">
        <v>278.19549999999998</v>
      </c>
      <c r="M2850">
        <v>-0.80521339999999997</v>
      </c>
      <c r="N2850">
        <v>0</v>
      </c>
      <c r="O2850">
        <v>-0.59285650000000001</v>
      </c>
      <c r="P2850">
        <v>-0.74178369999999905</v>
      </c>
      <c r="Q2850">
        <v>-6.3244410000000001E-3</v>
      </c>
      <c r="R2850">
        <v>-0.67060949999999997</v>
      </c>
      <c r="S2850">
        <v>-1.3341670000000001</v>
      </c>
      <c r="T2850">
        <v>-6.5117120000000001E-2</v>
      </c>
      <c r="U2850">
        <v>-3.0012819999999998</v>
      </c>
      <c r="V2850">
        <v>-0.1002314</v>
      </c>
      <c r="W2850">
        <v>5.7828740000000003E-3</v>
      </c>
      <c r="X2850">
        <v>0.99494729999999998</v>
      </c>
      <c r="Y2850">
        <v>-0.49500850000000002</v>
      </c>
      <c r="Z2850">
        <v>7.5250769999999998E-3</v>
      </c>
      <c r="AA2850">
        <v>0.8688555</v>
      </c>
      <c r="AB2850">
        <v>9</v>
      </c>
      <c r="AC2850">
        <v>-23.7453</v>
      </c>
      <c r="AD2850">
        <v>-1.1607670000000001</v>
      </c>
      <c r="AE2850">
        <v>-53.470199999999899</v>
      </c>
      <c r="AF2850">
        <v>-28.968173666041999</v>
      </c>
      <c r="AG2850">
        <v>-1.1607670000000001</v>
      </c>
      <c r="AH2850">
        <v>50.804067798040101</v>
      </c>
      <c r="AI2850">
        <v>91.1370626164057</v>
      </c>
      <c r="AJ2850">
        <v>119.69152825520401</v>
      </c>
      <c r="AK2850">
        <v>58.494066112744399</v>
      </c>
      <c r="AL2850">
        <v>89.668663863843705</v>
      </c>
      <c r="AM2850">
        <v>95.752592456737304</v>
      </c>
      <c r="AN2850">
        <v>0.99999995247747298</v>
      </c>
    </row>
    <row r="2851" spans="1:40" x14ac:dyDescent="0.25">
      <c r="A2851" t="str">
        <f>"20190312160657000"</f>
        <v>20190312160657000</v>
      </c>
      <c r="B2851" t="str">
        <f>"1552378016998022"</f>
        <v>1552378016998022</v>
      </c>
      <c r="C2851" t="s">
        <v>40</v>
      </c>
      <c r="D2851">
        <v>5.2574589999999999</v>
      </c>
      <c r="E2851">
        <v>0.33081690000000002</v>
      </c>
      <c r="F2851" t="s">
        <v>75</v>
      </c>
      <c r="G2851">
        <v>-512.8252</v>
      </c>
      <c r="H2851">
        <v>0.18141460000000001</v>
      </c>
      <c r="I2851">
        <v>223.24449999999999</v>
      </c>
      <c r="J2851">
        <v>-488.70519999999999</v>
      </c>
      <c r="K2851">
        <v>1.11077</v>
      </c>
      <c r="L2851">
        <v>278.16469999999998</v>
      </c>
      <c r="M2851">
        <v>-0.80402459999999998</v>
      </c>
      <c r="N2851">
        <v>0</v>
      </c>
      <c r="O2851">
        <v>-0.594468</v>
      </c>
      <c r="P2851">
        <v>-0.74041000000000001</v>
      </c>
      <c r="Q2851">
        <v>-6.6211639999999997E-3</v>
      </c>
      <c r="R2851">
        <v>-0.67212249999999996</v>
      </c>
      <c r="S2851">
        <v>-1.3230900000000001</v>
      </c>
      <c r="T2851">
        <v>-5.0895089999999997E-2</v>
      </c>
      <c r="U2851">
        <v>-3.0095519999999998</v>
      </c>
      <c r="V2851">
        <v>-0.1002715</v>
      </c>
      <c r="W2851">
        <v>5.4471859999999997E-3</v>
      </c>
      <c r="X2851">
        <v>0.99494519999999997</v>
      </c>
      <c r="Y2851">
        <v>-0.49682920000000003</v>
      </c>
      <c r="Z2851">
        <v>5.8921859999999998E-3</v>
      </c>
      <c r="AA2851">
        <v>0.86782839999999895</v>
      </c>
      <c r="AB2851">
        <v>9</v>
      </c>
      <c r="AC2851">
        <v>-24.12</v>
      </c>
      <c r="AD2851">
        <v>-0.92935540000000005</v>
      </c>
      <c r="AE2851">
        <v>-54.920200000000001</v>
      </c>
      <c r="AF2851">
        <v>-29.813736928386099</v>
      </c>
      <c r="AG2851">
        <v>-0.92935540000000005</v>
      </c>
      <c r="AH2851">
        <v>52.032846138590102</v>
      </c>
      <c r="AI2851">
        <v>90.887857338526601</v>
      </c>
      <c r="AJ2851">
        <v>119.811810275765</v>
      </c>
      <c r="AK2851">
        <v>59.976159333327701</v>
      </c>
      <c r="AL2851">
        <v>89.687897687984602</v>
      </c>
      <c r="AM2851">
        <v>95.754890541200396</v>
      </c>
      <c r="AN2851">
        <v>0.99999999827530395</v>
      </c>
    </row>
    <row r="2852" spans="1:40" x14ac:dyDescent="0.25">
      <c r="A2852" t="str">
        <f>"20190312160657010"</f>
        <v>20190312160657010</v>
      </c>
      <c r="B2852" t="str">
        <f>"1552378017007782"</f>
        <v>1552378017007782</v>
      </c>
      <c r="C2852" t="s">
        <v>40</v>
      </c>
      <c r="D2852">
        <v>5.2226790000000003</v>
      </c>
      <c r="E2852">
        <v>0.33057789999999998</v>
      </c>
      <c r="F2852" t="s">
        <v>75</v>
      </c>
      <c r="G2852">
        <v>-512.82529999999997</v>
      </c>
      <c r="H2852">
        <v>0.27190829999999999</v>
      </c>
      <c r="I2852">
        <v>222.84100000000001</v>
      </c>
      <c r="J2852">
        <v>-488.73910000000001</v>
      </c>
      <c r="K2852">
        <v>1.1107769999999999</v>
      </c>
      <c r="L2852">
        <v>278.13709999999998</v>
      </c>
      <c r="M2852">
        <v>-0.80296140000000005</v>
      </c>
      <c r="N2852">
        <v>0</v>
      </c>
      <c r="O2852">
        <v>-0.59590449999999995</v>
      </c>
      <c r="P2852">
        <v>-0.73925069999999904</v>
      </c>
      <c r="Q2852">
        <v>-6.7337169999999898E-3</v>
      </c>
      <c r="R2852">
        <v>-0.67339680000000002</v>
      </c>
      <c r="S2852">
        <v>-1.314484</v>
      </c>
      <c r="T2852">
        <v>-4.571211E-2</v>
      </c>
      <c r="U2852">
        <v>-3.0149840000000001</v>
      </c>
      <c r="V2852">
        <v>-0.100207</v>
      </c>
      <c r="W2852">
        <v>5.3050900000000002E-3</v>
      </c>
      <c r="X2852">
        <v>0.99495239999999996</v>
      </c>
      <c r="Y2852">
        <v>-0.49793300000000001</v>
      </c>
      <c r="Z2852">
        <v>5.3060659999999999E-3</v>
      </c>
      <c r="AA2852">
        <v>0.86719930000000001</v>
      </c>
      <c r="AB2852">
        <v>9</v>
      </c>
      <c r="AC2852">
        <v>-24.086199999999899</v>
      </c>
      <c r="AD2852">
        <v>-0.83886870000000002</v>
      </c>
      <c r="AE2852">
        <v>-55.296100000000003</v>
      </c>
      <c r="AF2852">
        <v>-30.044013253638301</v>
      </c>
      <c r="AG2852">
        <v>-0.83886870000000002</v>
      </c>
      <c r="AH2852">
        <v>52.285313235574101</v>
      </c>
      <c r="AI2852">
        <v>90.796990202252502</v>
      </c>
      <c r="AJ2852">
        <v>119.882393737288</v>
      </c>
      <c r="AK2852">
        <v>60.308377637130398</v>
      </c>
      <c r="AL2852">
        <v>89.696039286771096</v>
      </c>
      <c r="AM2852">
        <v>95.751172171115201</v>
      </c>
      <c r="AN2852">
        <v>0.99999993254733099</v>
      </c>
    </row>
    <row r="2853" spans="1:40" x14ac:dyDescent="0.25">
      <c r="A2853" t="str">
        <f>"20190312160657022"</f>
        <v>20190312160657022</v>
      </c>
      <c r="B2853" t="str">
        <f>"1552378017017542"</f>
        <v>1552378017017542</v>
      </c>
      <c r="C2853" t="s">
        <v>40</v>
      </c>
      <c r="D2853">
        <v>5.3002630000000002</v>
      </c>
      <c r="E2853">
        <v>0.33074589999999998</v>
      </c>
      <c r="F2853" t="s">
        <v>75</v>
      </c>
      <c r="G2853">
        <v>-512.82529999999997</v>
      </c>
      <c r="H2853">
        <v>0.30073060000000001</v>
      </c>
      <c r="I2853">
        <v>222.53630000000001</v>
      </c>
      <c r="J2853">
        <v>-488.77190000000002</v>
      </c>
      <c r="K2853">
        <v>1.1108009999999999</v>
      </c>
      <c r="L2853">
        <v>278.11020000000002</v>
      </c>
      <c r="M2853">
        <v>-0.80194489999999996</v>
      </c>
      <c r="N2853">
        <v>0</v>
      </c>
      <c r="O2853">
        <v>-0.59726950000000001</v>
      </c>
      <c r="P2853">
        <v>-0.73810450000000005</v>
      </c>
      <c r="Q2853">
        <v>-7.2146700000000003E-3</v>
      </c>
      <c r="R2853">
        <v>-0.67464840000000004</v>
      </c>
      <c r="S2853">
        <v>-1.3078000000000001</v>
      </c>
      <c r="T2853">
        <v>-4.3979049999999999E-2</v>
      </c>
      <c r="U2853">
        <v>-3.0189210000000002</v>
      </c>
      <c r="V2853">
        <v>-0.1002006</v>
      </c>
      <c r="W2853">
        <v>4.9288719999999999E-3</v>
      </c>
      <c r="X2853">
        <v>0.99495509999999998</v>
      </c>
      <c r="Y2853">
        <v>-0.49848619999999999</v>
      </c>
      <c r="Z2853">
        <v>5.1216689999999997E-3</v>
      </c>
      <c r="AA2853">
        <v>0.8668825</v>
      </c>
      <c r="AB2853">
        <v>9</v>
      </c>
      <c r="AC2853">
        <v>-24.0533999999999</v>
      </c>
      <c r="AD2853">
        <v>-0.81007039999999997</v>
      </c>
      <c r="AE2853">
        <v>-55.573900000000002</v>
      </c>
      <c r="AF2853">
        <v>-30.197758107600201</v>
      </c>
      <c r="AG2853">
        <v>-0.81007039999999997</v>
      </c>
      <c r="AH2853">
        <v>52.476735246616101</v>
      </c>
      <c r="AI2853">
        <v>90.7665496545102</v>
      </c>
      <c r="AJ2853">
        <v>119.918291823898</v>
      </c>
      <c r="AK2853">
        <v>60.5505454221639</v>
      </c>
      <c r="AL2853">
        <v>89.717595308016996</v>
      </c>
      <c r="AM2853">
        <v>95.750791817184606</v>
      </c>
      <c r="AN2853">
        <v>1.0000000525177799</v>
      </c>
    </row>
    <row r="2854" spans="1:40" x14ac:dyDescent="0.25">
      <c r="A2854" t="str">
        <f>"20190312160657032"</f>
        <v>20190312160657032</v>
      </c>
      <c r="B2854" t="str">
        <f>"1552378017028277"</f>
        <v>1552378017028277</v>
      </c>
      <c r="C2854" t="s">
        <v>40</v>
      </c>
      <c r="D2854">
        <v>5.2652219999999996</v>
      </c>
      <c r="E2854">
        <v>0.33090049999999999</v>
      </c>
      <c r="F2854" t="s">
        <v>75</v>
      </c>
      <c r="G2854">
        <v>-512.79499999999996</v>
      </c>
      <c r="H2854">
        <v>0.2629089</v>
      </c>
      <c r="I2854">
        <v>222.446</v>
      </c>
      <c r="J2854">
        <v>-488.80500000000001</v>
      </c>
      <c r="K2854">
        <v>1.1108309999999999</v>
      </c>
      <c r="L2854">
        <v>278.0831</v>
      </c>
      <c r="M2854">
        <v>-0.80092559999999902</v>
      </c>
      <c r="N2854">
        <v>0</v>
      </c>
      <c r="O2854">
        <v>-0.59863230000000001</v>
      </c>
      <c r="P2854">
        <v>-0.73709089999999999</v>
      </c>
      <c r="Q2854">
        <v>-7.4515889999999998E-3</v>
      </c>
      <c r="R2854">
        <v>-0.67575280000000004</v>
      </c>
      <c r="S2854">
        <v>-1.3034669999999999</v>
      </c>
      <c r="T2854">
        <v>-4.600191E-2</v>
      </c>
      <c r="U2854">
        <v>-3.0202640000000001</v>
      </c>
      <c r="V2854">
        <v>-9.9998500000000004E-2</v>
      </c>
      <c r="W2854">
        <v>4.8559149999999997E-3</v>
      </c>
      <c r="X2854">
        <v>0.99497570000000002</v>
      </c>
      <c r="Y2854">
        <v>-0.49819960000000002</v>
      </c>
      <c r="Z2854">
        <v>5.3828670000000004E-3</v>
      </c>
      <c r="AA2854">
        <v>0.86704559999999997</v>
      </c>
      <c r="AB2854">
        <v>9</v>
      </c>
      <c r="AC2854">
        <v>-23.989999999999899</v>
      </c>
      <c r="AD2854">
        <v>-0.84792209999999901</v>
      </c>
      <c r="AE2854">
        <v>-55.637099999999997</v>
      </c>
      <c r="AF2854">
        <v>-30.196454130174502</v>
      </c>
      <c r="AG2854">
        <v>-0.84792209999999901</v>
      </c>
      <c r="AH2854">
        <v>52.514223148815603</v>
      </c>
      <c r="AI2854">
        <v>90.801941463563097</v>
      </c>
      <c r="AJ2854">
        <v>119.899537971703</v>
      </c>
      <c r="AK2854">
        <v>60.582905566232199</v>
      </c>
      <c r="AL2854">
        <v>89.721775460758394</v>
      </c>
      <c r="AM2854">
        <v>95.739152212846804</v>
      </c>
      <c r="AN2854">
        <v>0.99999996175161299</v>
      </c>
    </row>
    <row r="2855" spans="1:40" x14ac:dyDescent="0.25">
      <c r="A2855" t="str">
        <f>"20190312160657043"</f>
        <v>20190312160657043</v>
      </c>
      <c r="B2855" t="str">
        <f>"1552378017038038"</f>
        <v>1552378017038038</v>
      </c>
      <c r="C2855" t="s">
        <v>40</v>
      </c>
      <c r="D2855">
        <v>5.3183550000000004</v>
      </c>
      <c r="E2855">
        <v>0.33110050000000002</v>
      </c>
      <c r="F2855" t="s">
        <v>75</v>
      </c>
      <c r="G2855">
        <v>-512.73580000000004</v>
      </c>
      <c r="H2855">
        <v>0.2477647</v>
      </c>
      <c r="I2855">
        <v>222.446</v>
      </c>
      <c r="J2855">
        <v>-488.84010000000001</v>
      </c>
      <c r="K2855">
        <v>1.110865</v>
      </c>
      <c r="L2855">
        <v>278.05410000000001</v>
      </c>
      <c r="M2855">
        <v>-0.79984029999999995</v>
      </c>
      <c r="N2855">
        <v>0</v>
      </c>
      <c r="O2855">
        <v>-0.60007709999999903</v>
      </c>
      <c r="P2855">
        <v>-0.73586339999999995</v>
      </c>
      <c r="Q2855">
        <v>-7.9042149999999992E-3</v>
      </c>
      <c r="R2855">
        <v>-0.67708400000000002</v>
      </c>
      <c r="S2855">
        <v>-1.2995909999999999</v>
      </c>
      <c r="T2855">
        <v>-4.6866060000000001E-2</v>
      </c>
      <c r="U2855">
        <v>-3.021423</v>
      </c>
      <c r="V2855">
        <v>-0.10000050000000001</v>
      </c>
      <c r="W2855">
        <v>4.6179769999999997E-3</v>
      </c>
      <c r="X2855">
        <v>0.99497659999999999</v>
      </c>
      <c r="Y2855">
        <v>-0.49769190000000002</v>
      </c>
      <c r="Z2855">
        <v>5.5130519999999896E-3</v>
      </c>
      <c r="AA2855">
        <v>0.86733629999999995</v>
      </c>
      <c r="AB2855">
        <v>9</v>
      </c>
      <c r="AC2855">
        <v>-23.895700000000001</v>
      </c>
      <c r="AD2855">
        <v>-0.86310029999999904</v>
      </c>
      <c r="AE2855">
        <v>-55.6081</v>
      </c>
      <c r="AF2855">
        <v>-30.1346651036135</v>
      </c>
      <c r="AG2855">
        <v>-0.86310029999999904</v>
      </c>
      <c r="AH2855">
        <v>52.475497075078202</v>
      </c>
      <c r="AI2855">
        <v>90.817162775557406</v>
      </c>
      <c r="AJ2855">
        <v>119.867098507351</v>
      </c>
      <c r="AK2855">
        <v>60.5187638366098</v>
      </c>
      <c r="AL2855">
        <v>89.735408449084801</v>
      </c>
      <c r="AM2855">
        <v>95.739261074576703</v>
      </c>
      <c r="AN2855">
        <v>0.99999993012968802</v>
      </c>
    </row>
    <row r="2856" spans="1:40" x14ac:dyDescent="0.25">
      <c r="A2856" t="str">
        <f>"20190312160657055"</f>
        <v>20190312160657055</v>
      </c>
      <c r="B2856" t="str">
        <f>"1552378017047798"</f>
        <v>1552378017047798</v>
      </c>
      <c r="C2856" t="s">
        <v>40</v>
      </c>
      <c r="D2856">
        <v>5.3246989999999998</v>
      </c>
      <c r="E2856">
        <v>0.33119510000000002</v>
      </c>
      <c r="F2856" t="s">
        <v>75</v>
      </c>
      <c r="G2856">
        <v>-512.67989999999998</v>
      </c>
      <c r="H2856">
        <v>0.23740729999999999</v>
      </c>
      <c r="I2856">
        <v>222.446</v>
      </c>
      <c r="J2856">
        <v>-488.87430000000001</v>
      </c>
      <c r="K2856">
        <v>1.110892</v>
      </c>
      <c r="L2856">
        <v>278.02600000000001</v>
      </c>
      <c r="M2856">
        <v>-0.79877940000000003</v>
      </c>
      <c r="N2856">
        <v>0</v>
      </c>
      <c r="O2856">
        <v>-0.60148440000000003</v>
      </c>
      <c r="P2856">
        <v>-0.73463259999999997</v>
      </c>
      <c r="Q2856">
        <v>-7.9032949999999994E-3</v>
      </c>
      <c r="R2856">
        <v>-0.67841929999999995</v>
      </c>
      <c r="S2856">
        <v>-1.2956240000000001</v>
      </c>
      <c r="T2856">
        <v>-4.746616E-2</v>
      </c>
      <c r="U2856">
        <v>-3.022125</v>
      </c>
      <c r="V2856">
        <v>-0.1000545</v>
      </c>
      <c r="W2856">
        <v>4.8215840000000003E-3</v>
      </c>
      <c r="X2856">
        <v>0.99497029999999997</v>
      </c>
      <c r="Y2856">
        <v>-0.49719790000000003</v>
      </c>
      <c r="Z2856">
        <v>5.6131230000000002E-3</v>
      </c>
      <c r="AA2856">
        <v>0.86761900000000003</v>
      </c>
      <c r="AB2856">
        <v>9</v>
      </c>
      <c r="AC2856">
        <v>-23.805599999999899</v>
      </c>
      <c r="AD2856">
        <v>-0.8734847</v>
      </c>
      <c r="AE2856">
        <v>-55.58</v>
      </c>
      <c r="AF2856">
        <v>-30.0737122516685</v>
      </c>
      <c r="AG2856">
        <v>-0.8734847</v>
      </c>
      <c r="AH2856">
        <v>52.439387384754397</v>
      </c>
      <c r="AI2856">
        <v>90.827836502916895</v>
      </c>
      <c r="AJ2856">
        <v>119.834043759786</v>
      </c>
      <c r="AK2856">
        <v>60.4572617094557</v>
      </c>
      <c r="AL2856">
        <v>89.723742522537194</v>
      </c>
      <c r="AM2856">
        <v>95.742375670490105</v>
      </c>
      <c r="AN2856">
        <v>1.0000000242622999</v>
      </c>
    </row>
    <row r="2857" spans="1:40" x14ac:dyDescent="0.25">
      <c r="A2857" t="str">
        <f>"20190312160657065"</f>
        <v>20190312160657065</v>
      </c>
      <c r="B2857" t="str">
        <f>"1552378017058066"</f>
        <v>1552378017058066</v>
      </c>
      <c r="C2857" t="s">
        <v>40</v>
      </c>
      <c r="D2857">
        <v>5.3189270000000004</v>
      </c>
      <c r="E2857">
        <v>0.33143109999999998</v>
      </c>
      <c r="F2857" t="s">
        <v>75</v>
      </c>
      <c r="G2857">
        <v>-512.58630000000005</v>
      </c>
      <c r="H2857">
        <v>0.2406374</v>
      </c>
      <c r="I2857">
        <v>222.446</v>
      </c>
      <c r="J2857">
        <v>-488.90769999999998</v>
      </c>
      <c r="K2857">
        <v>1.1109039999999999</v>
      </c>
      <c r="L2857">
        <v>277.99829999999997</v>
      </c>
      <c r="M2857">
        <v>-0.79771429999999999</v>
      </c>
      <c r="N2857">
        <v>0</v>
      </c>
      <c r="O2857">
        <v>-0.60289510000000002</v>
      </c>
      <c r="P2857">
        <v>-0.73345199999999999</v>
      </c>
      <c r="Q2857">
        <v>-7.9511310000000002E-3</v>
      </c>
      <c r="R2857">
        <v>-0.67969499999999905</v>
      </c>
      <c r="S2857">
        <v>-1.2902830000000001</v>
      </c>
      <c r="T2857">
        <v>-4.7350879999999998E-2</v>
      </c>
      <c r="U2857">
        <v>-3.0243530000000001</v>
      </c>
      <c r="V2857">
        <v>-0.10002460000000001</v>
      </c>
      <c r="W2857">
        <v>4.8244450000000001E-3</v>
      </c>
      <c r="X2857">
        <v>0.9949732</v>
      </c>
      <c r="Y2857">
        <v>-0.49719089999999999</v>
      </c>
      <c r="Z2857">
        <v>5.6240329999999996E-3</v>
      </c>
      <c r="AA2857">
        <v>0.86762299999999903</v>
      </c>
      <c r="AB2857">
        <v>9</v>
      </c>
      <c r="AC2857">
        <v>-23.678599999999999</v>
      </c>
      <c r="AD2857">
        <v>-0.8702666</v>
      </c>
      <c r="AE2857">
        <v>-55.552299999999903</v>
      </c>
      <c r="AF2857">
        <v>-30.0354588937555</v>
      </c>
      <c r="AG2857">
        <v>-0.8702666</v>
      </c>
      <c r="AH2857">
        <v>52.374527073045101</v>
      </c>
      <c r="AI2857">
        <v>90.825815459266494</v>
      </c>
      <c r="AJ2857">
        <v>119.833174184771</v>
      </c>
      <c r="AK2857">
        <v>60.381928099711097</v>
      </c>
      <c r="AL2857">
        <v>89.7235785719879</v>
      </c>
      <c r="AM2857">
        <v>95.740654478338001</v>
      </c>
      <c r="AN2857">
        <v>0.99999993229647599</v>
      </c>
    </row>
    <row r="2858" spans="1:40" x14ac:dyDescent="0.25">
      <c r="A2858" t="str">
        <f>"20190312160657076"</f>
        <v>20190312160657076</v>
      </c>
      <c r="B2858" t="str">
        <f>"1552378017067825"</f>
        <v>1552378017067825</v>
      </c>
      <c r="C2858" t="s">
        <v>40</v>
      </c>
      <c r="D2858">
        <v>5.3237410000000001</v>
      </c>
      <c r="E2858">
        <v>0.33155980000000002</v>
      </c>
      <c r="F2858" t="s">
        <v>75</v>
      </c>
      <c r="G2858">
        <v>-512.53970000000004</v>
      </c>
      <c r="H2858">
        <v>0.22293689999999999</v>
      </c>
      <c r="I2858">
        <v>222.446</v>
      </c>
      <c r="J2858">
        <v>-488.94099999999997</v>
      </c>
      <c r="K2858">
        <v>1.1109089999999999</v>
      </c>
      <c r="L2858">
        <v>277.97059999999999</v>
      </c>
      <c r="M2858">
        <v>-0.79664299999999999</v>
      </c>
      <c r="N2858">
        <v>0</v>
      </c>
      <c r="O2858">
        <v>-0.60431000000000001</v>
      </c>
      <c r="P2858">
        <v>-0.73212519999999903</v>
      </c>
      <c r="Q2858">
        <v>-7.9721150000000001E-3</v>
      </c>
      <c r="R2858">
        <v>-0.681123699999999</v>
      </c>
      <c r="S2858">
        <v>-1.286713</v>
      </c>
      <c r="T2858">
        <v>-4.8344140000000001E-2</v>
      </c>
      <c r="U2858">
        <v>-3.024689</v>
      </c>
      <c r="V2858">
        <v>-0.1001992</v>
      </c>
      <c r="W2858">
        <v>4.804895E-3</v>
      </c>
      <c r="X2858">
        <v>0.99495579999999995</v>
      </c>
      <c r="Y2858">
        <v>-0.49655260000000001</v>
      </c>
      <c r="Z2858">
        <v>5.7735140000000004E-3</v>
      </c>
      <c r="AA2858">
        <v>0.86798750000000002</v>
      </c>
      <c r="AB2858">
        <v>9</v>
      </c>
      <c r="AC2858">
        <v>-23.598700000000001</v>
      </c>
      <c r="AD2858">
        <v>-0.88797209999999904</v>
      </c>
      <c r="AE2858">
        <v>-55.5245999999999</v>
      </c>
      <c r="AF2858">
        <v>-29.968399869217802</v>
      </c>
      <c r="AG2858">
        <v>-0.88797209999999904</v>
      </c>
      <c r="AH2858">
        <v>52.346904201741701</v>
      </c>
      <c r="AI2858">
        <v>90.843414625967995</v>
      </c>
      <c r="AJ2858">
        <v>119.790970130563</v>
      </c>
      <c r="AK2858">
        <v>60.324885948321899</v>
      </c>
      <c r="AL2858">
        <v>89.724698737641404</v>
      </c>
      <c r="AM2858">
        <v>95.750707987034204</v>
      </c>
      <c r="AN2858">
        <v>1.0000000053251199</v>
      </c>
    </row>
    <row r="2859" spans="1:40" x14ac:dyDescent="0.25">
      <c r="A2859" t="str">
        <f>"20190312160657087"</f>
        <v>20190312160657087</v>
      </c>
      <c r="B2859" t="str">
        <f>"1552378017077585"</f>
        <v>1552378017077585</v>
      </c>
      <c r="C2859" t="s">
        <v>40</v>
      </c>
      <c r="D2859">
        <v>5.3638810000000001</v>
      </c>
      <c r="E2859">
        <v>0.33176679999999997</v>
      </c>
      <c r="F2859" t="s">
        <v>75</v>
      </c>
      <c r="G2859">
        <v>-512.44659999999999</v>
      </c>
      <c r="H2859">
        <v>0.2084713</v>
      </c>
      <c r="I2859">
        <v>222.446</v>
      </c>
      <c r="J2859">
        <v>-488.97469999999998</v>
      </c>
      <c r="K2859">
        <v>1.110903</v>
      </c>
      <c r="L2859">
        <v>277.9425</v>
      </c>
      <c r="M2859">
        <v>-0.79553560000000001</v>
      </c>
      <c r="N2859">
        <v>0</v>
      </c>
      <c r="O2859">
        <v>-0.60577009999999998</v>
      </c>
      <c r="P2859">
        <v>-0.73103769999999901</v>
      </c>
      <c r="Q2859">
        <v>-8.0460440000000005E-3</v>
      </c>
      <c r="R2859">
        <v>-0.68228979999999995</v>
      </c>
      <c r="S2859">
        <v>-1.2813110000000001</v>
      </c>
      <c r="T2859">
        <v>-4.918873E-2</v>
      </c>
      <c r="U2859">
        <v>-3.026672</v>
      </c>
      <c r="V2859">
        <v>-9.9962579999999995E-2</v>
      </c>
      <c r="W2859">
        <v>4.5860290000000001E-3</v>
      </c>
      <c r="X2859">
        <v>0.99498059999999999</v>
      </c>
      <c r="Y2859">
        <v>-0.49647989999999997</v>
      </c>
      <c r="Z2859">
        <v>5.9016509999999999E-3</v>
      </c>
      <c r="AA2859">
        <v>0.86802819999999903</v>
      </c>
      <c r="AB2859">
        <v>9</v>
      </c>
      <c r="AC2859">
        <v>-23.471900000000002</v>
      </c>
      <c r="AD2859">
        <v>-0.90243169999999995</v>
      </c>
      <c r="AE2859">
        <v>-55.496499999999997</v>
      </c>
      <c r="AF2859">
        <v>-29.926633707616599</v>
      </c>
      <c r="AG2859">
        <v>-0.90243169999999995</v>
      </c>
      <c r="AH2859">
        <v>52.283457983150498</v>
      </c>
      <c r="AI2859">
        <v>90.858225140992204</v>
      </c>
      <c r="AJ2859">
        <v>119.786477145871</v>
      </c>
      <c r="AK2859">
        <v>60.249296815140298</v>
      </c>
      <c r="AL2859">
        <v>89.737238965088594</v>
      </c>
      <c r="AM2859">
        <v>95.737076367826901</v>
      </c>
      <c r="AN2859">
        <v>0.99999997171930199</v>
      </c>
    </row>
    <row r="2860" spans="1:40" x14ac:dyDescent="0.25">
      <c r="A2860" t="str">
        <f>"20190312160657099"</f>
        <v>20190312160657099</v>
      </c>
      <c r="B2860" t="str">
        <f>"1552378017088321"</f>
        <v>1552378017088321</v>
      </c>
      <c r="C2860" t="s">
        <v>40</v>
      </c>
      <c r="D2860">
        <v>5.353847</v>
      </c>
      <c r="E2860">
        <v>0.33198519999999998</v>
      </c>
      <c r="F2860" t="s">
        <v>75</v>
      </c>
      <c r="G2860">
        <v>-512.4</v>
      </c>
      <c r="H2860">
        <v>0.19501940000000001</v>
      </c>
      <c r="I2860">
        <v>222.446</v>
      </c>
      <c r="J2860">
        <v>-489.00880000000001</v>
      </c>
      <c r="K2860">
        <v>1.110895</v>
      </c>
      <c r="L2860">
        <v>277.91390000000001</v>
      </c>
      <c r="M2860">
        <v>-0.79440739999999999</v>
      </c>
      <c r="N2860">
        <v>0</v>
      </c>
      <c r="O2860">
        <v>-0.60725240000000003</v>
      </c>
      <c r="P2860">
        <v>-0.72958659999999997</v>
      </c>
      <c r="Q2860">
        <v>-7.9974959999999998E-3</v>
      </c>
      <c r="R2860">
        <v>-0.6838417</v>
      </c>
      <c r="S2860">
        <v>-1.2778320000000001</v>
      </c>
      <c r="T2860">
        <v>-4.9957040000000001E-2</v>
      </c>
      <c r="U2860">
        <v>-3.0272830000000002</v>
      </c>
      <c r="V2860">
        <v>-0.1002231</v>
      </c>
      <c r="W2860">
        <v>4.4496550000000003E-3</v>
      </c>
      <c r="X2860">
        <v>0.99495509999999998</v>
      </c>
      <c r="Y2860">
        <v>-0.49577189999999999</v>
      </c>
      <c r="Z2860">
        <v>6.0276130000000002E-3</v>
      </c>
      <c r="AA2860">
        <v>0.86843189999999904</v>
      </c>
      <c r="AB2860">
        <v>9</v>
      </c>
      <c r="AC2860">
        <v>-23.391199999999898</v>
      </c>
      <c r="AD2860">
        <v>-0.91587560000000001</v>
      </c>
      <c r="AE2860">
        <v>-55.4679</v>
      </c>
      <c r="AF2860">
        <v>-29.855247190793101</v>
      </c>
      <c r="AG2860">
        <v>-0.91587560000000001</v>
      </c>
      <c r="AH2860">
        <v>52.257279962902899</v>
      </c>
      <c r="AI2860">
        <v>90.871850134779294</v>
      </c>
      <c r="AJ2860">
        <v>119.73987587547001</v>
      </c>
      <c r="AK2860">
        <v>60.191344245325197</v>
      </c>
      <c r="AL2860">
        <v>89.745052722229005</v>
      </c>
      <c r="AM2860">
        <v>95.752074496699805</v>
      </c>
      <c r="AN2860">
        <v>1.00000006010961</v>
      </c>
    </row>
    <row r="2861" spans="1:40" x14ac:dyDescent="0.25">
      <c r="A2861" t="str">
        <f>"20190312160657110"</f>
        <v>20190312160657110</v>
      </c>
      <c r="B2861" t="str">
        <f>"1552378017107841"</f>
        <v>1552378017107841</v>
      </c>
      <c r="C2861" t="s">
        <v>40</v>
      </c>
      <c r="D2861">
        <v>5.3809290000000001</v>
      </c>
      <c r="E2861">
        <v>0.33254640000000002</v>
      </c>
      <c r="F2861" t="s">
        <v>75</v>
      </c>
      <c r="G2861">
        <v>-512.31259999999997</v>
      </c>
      <c r="H2861">
        <v>0.20139499999999999</v>
      </c>
      <c r="I2861">
        <v>222.446</v>
      </c>
      <c r="J2861">
        <v>-489.04640000000001</v>
      </c>
      <c r="K2861">
        <v>1.1108789999999999</v>
      </c>
      <c r="L2861">
        <v>277.88229999999999</v>
      </c>
      <c r="M2861">
        <v>-0.79315279999999999</v>
      </c>
      <c r="N2861">
        <v>0</v>
      </c>
      <c r="O2861">
        <v>-0.60889519999999997</v>
      </c>
      <c r="P2861">
        <v>-0.72828309999999996</v>
      </c>
      <c r="Q2861">
        <v>-8.0812999999999996E-3</v>
      </c>
      <c r="R2861">
        <v>-0.68522939999999999</v>
      </c>
      <c r="S2861">
        <v>-1.272491</v>
      </c>
      <c r="T2861">
        <v>-4.9658889999999997E-2</v>
      </c>
      <c r="U2861">
        <v>-3.028778</v>
      </c>
      <c r="V2861">
        <v>-0.10006</v>
      </c>
      <c r="W2861">
        <v>4.1101509999999898E-3</v>
      </c>
      <c r="X2861">
        <v>0.99497290000000005</v>
      </c>
      <c r="Y2861">
        <v>-0.49543090000000001</v>
      </c>
      <c r="Z2861">
        <v>6.0252760000000004E-3</v>
      </c>
      <c r="AA2861">
        <v>0.86862640000000002</v>
      </c>
      <c r="AB2861">
        <v>9</v>
      </c>
      <c r="AC2861">
        <v>-23.266199999999898</v>
      </c>
      <c r="AD2861">
        <v>-0.90948399999999996</v>
      </c>
      <c r="AE2861">
        <v>-55.436299999999903</v>
      </c>
      <c r="AF2861">
        <v>-29.798273897091999</v>
      </c>
      <c r="AG2861">
        <v>-0.90948399999999996</v>
      </c>
      <c r="AH2861">
        <v>52.200656492939999</v>
      </c>
      <c r="AI2861">
        <v>90.866881730166497</v>
      </c>
      <c r="AJ2861">
        <v>119.719495494852</v>
      </c>
      <c r="AK2861">
        <v>60.113832240893601</v>
      </c>
      <c r="AL2861">
        <v>89.764505027797497</v>
      </c>
      <c r="AM2861">
        <v>95.742674313254099</v>
      </c>
      <c r="AN2861">
        <v>0.999999984337826</v>
      </c>
    </row>
    <row r="2862" spans="1:40" x14ac:dyDescent="0.25">
      <c r="A2862" t="str">
        <f>"20190312160657123"</f>
        <v>20190312160657123</v>
      </c>
      <c r="B2862" t="str">
        <f>"1552378017117600"</f>
        <v>1552378017117600</v>
      </c>
      <c r="C2862" t="s">
        <v>40</v>
      </c>
      <c r="D2862">
        <v>5.5101060000000004</v>
      </c>
      <c r="E2862">
        <v>0.33279520000000001</v>
      </c>
      <c r="F2862" t="s">
        <v>75</v>
      </c>
      <c r="G2862">
        <v>-512.29269999999997</v>
      </c>
      <c r="H2862">
        <v>0.1993588</v>
      </c>
      <c r="I2862">
        <v>222.446</v>
      </c>
      <c r="J2862">
        <v>-489.08199999999999</v>
      </c>
      <c r="K2862">
        <v>1.1108750000000001</v>
      </c>
      <c r="L2862">
        <v>277.85210000000001</v>
      </c>
      <c r="M2862">
        <v>-0.79195470000000001</v>
      </c>
      <c r="N2862">
        <v>0</v>
      </c>
      <c r="O2862">
        <v>-0.61045709999999997</v>
      </c>
      <c r="P2862">
        <v>-0.72687669999999904</v>
      </c>
      <c r="Q2862">
        <v>-8.2177989999999996E-3</v>
      </c>
      <c r="R2862">
        <v>-0.68671919999999897</v>
      </c>
      <c r="S2862">
        <v>-1.2697449999999999</v>
      </c>
      <c r="T2862">
        <v>-4.9784540000000002E-2</v>
      </c>
      <c r="U2862">
        <v>-3.0279850000000001</v>
      </c>
      <c r="V2862">
        <v>-0.1001399</v>
      </c>
      <c r="W2862">
        <v>3.742988E-3</v>
      </c>
      <c r="X2862">
        <v>0.99496629999999997</v>
      </c>
      <c r="Y2862">
        <v>-0.49430930000000001</v>
      </c>
      <c r="Z2862">
        <v>6.0805929999999996E-3</v>
      </c>
      <c r="AA2862">
        <v>0.86926479999999995</v>
      </c>
      <c r="AB2862">
        <v>9</v>
      </c>
      <c r="AC2862">
        <v>-23.2106999999999</v>
      </c>
      <c r="AD2862">
        <v>-0.9115162</v>
      </c>
      <c r="AE2862">
        <v>-55.406100000000002</v>
      </c>
      <c r="AF2862">
        <v>-29.7053718792809</v>
      </c>
      <c r="AG2862">
        <v>-0.9115162</v>
      </c>
      <c r="AH2862">
        <v>52.196764683083799</v>
      </c>
      <c r="AI2862">
        <v>90.869532753114797</v>
      </c>
      <c r="AJ2862">
        <v>119.64436439048799</v>
      </c>
      <c r="AK2862">
        <v>60.064483878998402</v>
      </c>
      <c r="AL2862">
        <v>89.785542078460395</v>
      </c>
      <c r="AM2862">
        <v>95.7472671413787</v>
      </c>
      <c r="AN2862">
        <v>0.99999997383343298</v>
      </c>
    </row>
    <row r="2863" spans="1:40" x14ac:dyDescent="0.25">
      <c r="A2863" t="str">
        <f>"20190312160657135"</f>
        <v>20190312160657135</v>
      </c>
      <c r="B2863" t="str">
        <f>"1552378017128337"</f>
        <v>1552378017128337</v>
      </c>
      <c r="C2863" t="s">
        <v>40</v>
      </c>
      <c r="D2863">
        <v>5.4348219999999996</v>
      </c>
      <c r="E2863">
        <v>0.33306639999999998</v>
      </c>
      <c r="F2863" t="s">
        <v>75</v>
      </c>
      <c r="G2863">
        <v>-512.22299999999996</v>
      </c>
      <c r="H2863">
        <v>0.19572500000000001</v>
      </c>
      <c r="I2863">
        <v>222.446</v>
      </c>
      <c r="J2863">
        <v>-489.1207</v>
      </c>
      <c r="K2863">
        <v>1.110873</v>
      </c>
      <c r="L2863">
        <v>277.81920000000002</v>
      </c>
      <c r="M2863">
        <v>-0.79064769999999995</v>
      </c>
      <c r="N2863">
        <v>0</v>
      </c>
      <c r="O2863">
        <v>-0.61215369999999902</v>
      </c>
      <c r="P2863">
        <v>-0.72540629999999995</v>
      </c>
      <c r="Q2863">
        <v>-8.0030159999999999E-3</v>
      </c>
      <c r="R2863">
        <v>-0.68827450000000001</v>
      </c>
      <c r="S2863">
        <v>-1.2650760000000001</v>
      </c>
      <c r="T2863">
        <v>-5.0025699999999902E-2</v>
      </c>
      <c r="U2863">
        <v>-3.028931</v>
      </c>
      <c r="V2863">
        <v>-0.1001394</v>
      </c>
      <c r="W2863">
        <v>3.715332E-3</v>
      </c>
      <c r="X2863">
        <v>0.99496640000000003</v>
      </c>
      <c r="Y2863">
        <v>-0.49368469999999998</v>
      </c>
      <c r="Z2863">
        <v>6.1475100000000001E-3</v>
      </c>
      <c r="AA2863">
        <v>0.86961929999999998</v>
      </c>
      <c r="AB2863">
        <v>9</v>
      </c>
      <c r="AC2863">
        <v>-23.1023</v>
      </c>
      <c r="AD2863">
        <v>-0.91514799999999996</v>
      </c>
      <c r="AE2863">
        <v>-55.373199999999997</v>
      </c>
      <c r="AF2863">
        <v>-29.633775811357701</v>
      </c>
      <c r="AG2863">
        <v>-0.91514799999999996</v>
      </c>
      <c r="AH2863">
        <v>52.154313985533001</v>
      </c>
      <c r="AI2863">
        <v>90.874048691742203</v>
      </c>
      <c r="AJ2863">
        <v>119.60498462849</v>
      </c>
      <c r="AK2863">
        <v>59.992254766772</v>
      </c>
      <c r="AL2863">
        <v>89.787126650165504</v>
      </c>
      <c r="AM2863">
        <v>95.747238063527007</v>
      </c>
      <c r="AN2863">
        <v>0.999999920126592</v>
      </c>
    </row>
    <row r="2864" spans="1:40" x14ac:dyDescent="0.25">
      <c r="A2864" t="str">
        <f>"20190312160657147"</f>
        <v>20190312160657147</v>
      </c>
      <c r="B2864" t="str">
        <f>"1552378017138097"</f>
        <v>1552378017138097</v>
      </c>
      <c r="C2864" t="s">
        <v>40</v>
      </c>
      <c r="D2864">
        <v>5.4399220000000001</v>
      </c>
      <c r="E2864">
        <v>0.33330070000000001</v>
      </c>
      <c r="F2864" t="s">
        <v>75</v>
      </c>
      <c r="G2864">
        <v>-512.14369999999997</v>
      </c>
      <c r="H2864">
        <v>0.2040363</v>
      </c>
      <c r="I2864">
        <v>222.446</v>
      </c>
      <c r="J2864">
        <v>-489.15949999999998</v>
      </c>
      <c r="K2864">
        <v>1.1108750000000001</v>
      </c>
      <c r="L2864">
        <v>277.786</v>
      </c>
      <c r="M2864">
        <v>-0.78932979999999997</v>
      </c>
      <c r="N2864">
        <v>0</v>
      </c>
      <c r="O2864">
        <v>-0.6138557</v>
      </c>
      <c r="P2864">
        <v>-0.72402529999999998</v>
      </c>
      <c r="Q2864">
        <v>-7.4751000000000001E-3</v>
      </c>
      <c r="R2864">
        <v>-0.68973319999999905</v>
      </c>
      <c r="S2864">
        <v>-1.2599180000000001</v>
      </c>
      <c r="T2864">
        <v>-4.9622180000000002E-2</v>
      </c>
      <c r="U2864">
        <v>-3.030243</v>
      </c>
      <c r="V2864">
        <v>-9.9996970000000004E-2</v>
      </c>
      <c r="W2864">
        <v>4.0410100000000003E-3</v>
      </c>
      <c r="X2864">
        <v>0.99497959999999996</v>
      </c>
      <c r="Y2864">
        <v>-0.49320770000000003</v>
      </c>
      <c r="Z2864">
        <v>6.1338479999999999E-3</v>
      </c>
      <c r="AA2864">
        <v>0.86988999999999905</v>
      </c>
      <c r="AB2864">
        <v>9</v>
      </c>
      <c r="AC2864">
        <v>-22.984199999999898</v>
      </c>
      <c r="AD2864">
        <v>-0.9068387</v>
      </c>
      <c r="AE2864">
        <v>-55.34</v>
      </c>
      <c r="AF2864">
        <v>-29.567822444461601</v>
      </c>
      <c r="AG2864">
        <v>-0.9068387</v>
      </c>
      <c r="AH2864">
        <v>52.104594591155802</v>
      </c>
      <c r="AI2864">
        <v>90.867209479179706</v>
      </c>
      <c r="AJ2864">
        <v>119.573633744962</v>
      </c>
      <c r="AK2864">
        <v>59.916335485773203</v>
      </c>
      <c r="AL2864">
        <v>89.768466566719098</v>
      </c>
      <c r="AM2864">
        <v>95.739042643544593</v>
      </c>
      <c r="AN2864">
        <v>1.00000006409357</v>
      </c>
    </row>
    <row r="2865" spans="1:40" x14ac:dyDescent="0.25">
      <c r="A2865" t="str">
        <f>"20190312160657161"</f>
        <v>20190312160657161</v>
      </c>
      <c r="B2865" t="str">
        <f>"1552378017158126"</f>
        <v>1552378017158126</v>
      </c>
      <c r="C2865" t="s">
        <v>40</v>
      </c>
      <c r="D2865">
        <v>5.6175430000000004</v>
      </c>
      <c r="E2865">
        <v>0.3338409</v>
      </c>
      <c r="F2865" t="s">
        <v>75</v>
      </c>
      <c r="G2865">
        <v>-512.06799999999998</v>
      </c>
      <c r="H2865">
        <v>0.2300653</v>
      </c>
      <c r="I2865">
        <v>222.446</v>
      </c>
      <c r="J2865">
        <v>-489.19900000000001</v>
      </c>
      <c r="K2865">
        <v>1.1108659999999999</v>
      </c>
      <c r="L2865">
        <v>277.75200000000001</v>
      </c>
      <c r="M2865">
        <v>-0.7879775</v>
      </c>
      <c r="N2865">
        <v>0</v>
      </c>
      <c r="O2865">
        <v>-0.61559419999999898</v>
      </c>
      <c r="P2865">
        <v>-0.7227481</v>
      </c>
      <c r="Q2865">
        <v>-7.1975299999999997E-3</v>
      </c>
      <c r="R2865">
        <v>-0.69107399999999997</v>
      </c>
      <c r="S2865">
        <v>-1.254974</v>
      </c>
      <c r="T2865">
        <v>-4.8248649999999997E-2</v>
      </c>
      <c r="U2865">
        <v>-3.0316160000000001</v>
      </c>
      <c r="V2865">
        <v>-9.9648689999999998E-2</v>
      </c>
      <c r="W2865">
        <v>4.1230249999999998E-3</v>
      </c>
      <c r="X2865">
        <v>0.99501410000000001</v>
      </c>
      <c r="Y2865">
        <v>-0.49264170000000002</v>
      </c>
      <c r="Z2865">
        <v>6.0000549999999998E-3</v>
      </c>
      <c r="AA2865">
        <v>0.87021159999999997</v>
      </c>
      <c r="AB2865">
        <v>9</v>
      </c>
      <c r="AC2865">
        <v>-22.8689999999999</v>
      </c>
      <c r="AD2865">
        <v>-0.88080069999999999</v>
      </c>
      <c r="AE2865">
        <v>-55.305999999999997</v>
      </c>
      <c r="AF2865">
        <v>-29.4974657959064</v>
      </c>
      <c r="AG2865">
        <v>-0.88080069999999999</v>
      </c>
      <c r="AH2865">
        <v>52.058555424169697</v>
      </c>
      <c r="AI2865">
        <v>90.8433651595155</v>
      </c>
      <c r="AJ2865">
        <v>119.536797572211</v>
      </c>
      <c r="AK2865">
        <v>59.841202286594701</v>
      </c>
      <c r="AL2865">
        <v>89.763767389915301</v>
      </c>
      <c r="AM2865">
        <v>95.718989852860403</v>
      </c>
      <c r="AN2865">
        <v>0.99999995997633695</v>
      </c>
    </row>
    <row r="2866" spans="1:40" x14ac:dyDescent="0.25">
      <c r="A2866" t="str">
        <f>"20190312160657173"</f>
        <v>20190312160657173</v>
      </c>
      <c r="B2866" t="str">
        <f>"1552378017167886"</f>
        <v>1552378017167886</v>
      </c>
      <c r="C2866" t="s">
        <v>40</v>
      </c>
      <c r="D2866">
        <v>5.4691479999999997</v>
      </c>
      <c r="E2866">
        <v>0.3340706</v>
      </c>
      <c r="F2866" t="s">
        <v>75</v>
      </c>
      <c r="G2866">
        <v>-512.05679999999995</v>
      </c>
      <c r="H2866">
        <v>0.2122436</v>
      </c>
      <c r="I2866">
        <v>222.446</v>
      </c>
      <c r="J2866">
        <v>-489.23939999999999</v>
      </c>
      <c r="K2866">
        <v>1.1108499999999999</v>
      </c>
      <c r="L2866">
        <v>277.71710000000002</v>
      </c>
      <c r="M2866">
        <v>-0.78658280000000003</v>
      </c>
      <c r="N2866">
        <v>0</v>
      </c>
      <c r="O2866">
        <v>-0.61737919999999902</v>
      </c>
      <c r="P2866">
        <v>-0.72132959999999902</v>
      </c>
      <c r="Q2866">
        <v>-6.9050919999999998E-3</v>
      </c>
      <c r="R2866">
        <v>-0.69255789999999995</v>
      </c>
      <c r="S2866">
        <v>-1.2525630000000001</v>
      </c>
      <c r="T2866">
        <v>-4.9238799999999999E-2</v>
      </c>
      <c r="U2866">
        <v>-3.03064</v>
      </c>
      <c r="V2866">
        <v>-9.9437990000000004E-2</v>
      </c>
      <c r="W2866">
        <v>4.2250669999999999E-3</v>
      </c>
      <c r="X2866">
        <v>0.9950348</v>
      </c>
      <c r="Y2866">
        <v>-0.49116169999999998</v>
      </c>
      <c r="Z2866">
        <v>6.1696059999999898E-3</v>
      </c>
      <c r="AA2866">
        <v>0.87104649999999995</v>
      </c>
      <c r="AB2866">
        <v>9</v>
      </c>
      <c r="AC2866">
        <v>-22.8173999999999</v>
      </c>
      <c r="AD2866">
        <v>-0.89860639999999903</v>
      </c>
      <c r="AE2866">
        <v>-55.271099999999997</v>
      </c>
      <c r="AF2866">
        <v>-29.3835891114406</v>
      </c>
      <c r="AG2866">
        <v>-0.89860639999999903</v>
      </c>
      <c r="AH2866">
        <v>52.062640049285399</v>
      </c>
      <c r="AI2866">
        <v>90.861167037307297</v>
      </c>
      <c r="AJ2866">
        <v>119.439911224049</v>
      </c>
      <c r="AK2866">
        <v>59.788972991961899</v>
      </c>
      <c r="AL2866">
        <v>89.757920774712403</v>
      </c>
      <c r="AM2866">
        <v>95.706859425559102</v>
      </c>
      <c r="AN2866">
        <v>1.00000000912871</v>
      </c>
    </row>
    <row r="2867" spans="1:40" x14ac:dyDescent="0.25">
      <c r="A2867" t="str">
        <f>"20190312160657184"</f>
        <v>20190312160657184</v>
      </c>
      <c r="B2867" t="str">
        <f>"1552378017177646"</f>
        <v>1552378017177646</v>
      </c>
      <c r="C2867" t="s">
        <v>40</v>
      </c>
      <c r="D2867">
        <v>5.5150769999999998</v>
      </c>
      <c r="E2867">
        <v>0.33437060000000002</v>
      </c>
      <c r="F2867" t="s">
        <v>75</v>
      </c>
      <c r="G2867">
        <v>-511.97590000000002</v>
      </c>
      <c r="H2867">
        <v>0.20903920000000001</v>
      </c>
      <c r="I2867">
        <v>222.446</v>
      </c>
      <c r="J2867">
        <v>-489.27190000000002</v>
      </c>
      <c r="K2867">
        <v>1.1108279999999999</v>
      </c>
      <c r="L2867">
        <v>277.68889999999999</v>
      </c>
      <c r="M2867">
        <v>-0.78545410000000004</v>
      </c>
      <c r="N2867">
        <v>0</v>
      </c>
      <c r="O2867">
        <v>-0.61881719999999996</v>
      </c>
      <c r="P2867">
        <v>-0.72013780000000005</v>
      </c>
      <c r="Q2867">
        <v>-6.7995659999999999E-3</v>
      </c>
      <c r="R2867">
        <v>-0.69379820000000003</v>
      </c>
      <c r="S2867">
        <v>-1.247314</v>
      </c>
      <c r="T2867">
        <v>-4.9468760000000001E-2</v>
      </c>
      <c r="U2867">
        <v>-3.0321349999999998</v>
      </c>
      <c r="V2867">
        <v>-9.9330310000000005E-2</v>
      </c>
      <c r="W2867">
        <v>4.1769069999999997E-3</v>
      </c>
      <c r="X2867">
        <v>0.99504570000000003</v>
      </c>
      <c r="Y2867">
        <v>-0.4910099</v>
      </c>
      <c r="Z2867">
        <v>6.2268430000000001E-3</v>
      </c>
      <c r="AA2867">
        <v>0.87113169999999995</v>
      </c>
      <c r="AB2867">
        <v>9</v>
      </c>
      <c r="AC2867">
        <v>-22.704000000000001</v>
      </c>
      <c r="AD2867">
        <v>-0.90178879999999995</v>
      </c>
      <c r="AE2867">
        <v>-55.242899999999899</v>
      </c>
      <c r="AF2867">
        <v>-29.3363140599836</v>
      </c>
      <c r="AG2867">
        <v>-0.90178879999999995</v>
      </c>
      <c r="AH2867">
        <v>52.009656831253899</v>
      </c>
      <c r="AI2867">
        <v>90.865220299970701</v>
      </c>
      <c r="AJ2867">
        <v>119.425394911655</v>
      </c>
      <c r="AK2867">
        <v>59.719652957553301</v>
      </c>
      <c r="AL2867">
        <v>89.760680149881793</v>
      </c>
      <c r="AM2867">
        <v>95.700658238252601</v>
      </c>
      <c r="AN2867">
        <v>0.99999995106263495</v>
      </c>
    </row>
    <row r="2868" spans="1:40" x14ac:dyDescent="0.25">
      <c r="A2868" t="str">
        <f>"20190312160657194"</f>
        <v>20190312160657194</v>
      </c>
      <c r="B2868" t="str">
        <f>"1552378017188382"</f>
        <v>1552378017188382</v>
      </c>
      <c r="C2868" t="s">
        <v>40</v>
      </c>
      <c r="D2868">
        <v>5.4527049999999999</v>
      </c>
      <c r="E2868">
        <v>0.33464470000000002</v>
      </c>
      <c r="F2868" t="s">
        <v>75</v>
      </c>
      <c r="G2868">
        <v>-511.95870000000002</v>
      </c>
      <c r="H2868">
        <v>0.19315109999999999</v>
      </c>
      <c r="I2868">
        <v>222.38570000000001</v>
      </c>
      <c r="J2868">
        <v>-489.30549999999999</v>
      </c>
      <c r="K2868">
        <v>1.110803</v>
      </c>
      <c r="L2868">
        <v>277.65960000000001</v>
      </c>
      <c r="M2868">
        <v>-0.78427550000000001</v>
      </c>
      <c r="N2868">
        <v>0</v>
      </c>
      <c r="O2868">
        <v>-0.620313</v>
      </c>
      <c r="P2868">
        <v>-0.71881600000000001</v>
      </c>
      <c r="Q2868">
        <v>-6.647928E-3</v>
      </c>
      <c r="R2868">
        <v>-0.69516899999999904</v>
      </c>
      <c r="S2868">
        <v>-1.2439579999999999</v>
      </c>
      <c r="T2868">
        <v>-5.0313950000000003E-2</v>
      </c>
      <c r="U2868">
        <v>-3.032349</v>
      </c>
      <c r="V2868">
        <v>-9.9330310000000005E-2</v>
      </c>
      <c r="W2868">
        <v>4.1688009999999998E-3</v>
      </c>
      <c r="X2868">
        <v>0.99504579999999998</v>
      </c>
      <c r="Y2868">
        <v>-0.49019760000000001</v>
      </c>
      <c r="Z2868">
        <v>6.3689910000000001E-3</v>
      </c>
      <c r="AA2868">
        <v>0.87158809999999998</v>
      </c>
      <c r="AB2868">
        <v>9</v>
      </c>
      <c r="AC2868">
        <v>-22.653199999999998</v>
      </c>
      <c r="AD2868">
        <v>-0.91765189999999996</v>
      </c>
      <c r="AE2868">
        <v>-55.273899999999998</v>
      </c>
      <c r="AF2868">
        <v>-29.292790992013799</v>
      </c>
      <c r="AG2868">
        <v>-0.91765189999999996</v>
      </c>
      <c r="AH2868">
        <v>52.0444071279694</v>
      </c>
      <c r="AI2868">
        <v>90.880306422173604</v>
      </c>
      <c r="AJ2868">
        <v>119.372647406479</v>
      </c>
      <c r="AK2868">
        <v>59.7288037919161</v>
      </c>
      <c r="AL2868">
        <v>89.7611446092248</v>
      </c>
      <c r="AM2868">
        <v>95.700657669121895</v>
      </c>
      <c r="AN2868">
        <v>1.00000001674205</v>
      </c>
    </row>
    <row r="2869" spans="1:40" x14ac:dyDescent="0.25">
      <c r="A2869" t="str">
        <f>"20190312160657204"</f>
        <v>20190312160657204</v>
      </c>
      <c r="B2869" t="str">
        <f>"1552378017198143"</f>
        <v>1552378017198143</v>
      </c>
      <c r="C2869" t="s">
        <v>40</v>
      </c>
      <c r="D2869">
        <v>5.514589</v>
      </c>
      <c r="E2869">
        <v>0.33489869999999999</v>
      </c>
      <c r="F2869" t="s">
        <v>75</v>
      </c>
      <c r="G2869">
        <v>-511.95870000000002</v>
      </c>
      <c r="H2869">
        <v>0.17802490000000001</v>
      </c>
      <c r="I2869">
        <v>222.22989999999999</v>
      </c>
      <c r="J2869">
        <v>-489.33949999999999</v>
      </c>
      <c r="K2869">
        <v>1.1107769999999999</v>
      </c>
      <c r="L2869">
        <v>277.62990000000002</v>
      </c>
      <c r="M2869">
        <v>-0.78307879999999996</v>
      </c>
      <c r="N2869">
        <v>0</v>
      </c>
      <c r="O2869">
        <v>-0.62182609999999905</v>
      </c>
      <c r="P2869">
        <v>-0.71736089999999997</v>
      </c>
      <c r="Q2869">
        <v>-6.5419639999999999E-3</v>
      </c>
      <c r="R2869">
        <v>-0.69667109999999999</v>
      </c>
      <c r="S2869">
        <v>-1.2396240000000001</v>
      </c>
      <c r="T2869">
        <v>-5.1039580000000001E-2</v>
      </c>
      <c r="U2869">
        <v>-3.0332029999999999</v>
      </c>
      <c r="V2869">
        <v>-9.9491640000000006E-2</v>
      </c>
      <c r="W2869">
        <v>4.1158719999999996E-3</v>
      </c>
      <c r="X2869">
        <v>0.99502990000000002</v>
      </c>
      <c r="Y2869">
        <v>-0.48966890000000002</v>
      </c>
      <c r="Z2869">
        <v>6.4948949999999997E-3</v>
      </c>
      <c r="AA2869">
        <v>0.87188429999999995</v>
      </c>
      <c r="AB2869">
        <v>9</v>
      </c>
      <c r="AC2869">
        <v>-22.619199999999999</v>
      </c>
      <c r="AD2869">
        <v>-0.93275209999999997</v>
      </c>
      <c r="AE2869">
        <v>-55.4</v>
      </c>
      <c r="AF2869">
        <v>-29.311992295467402</v>
      </c>
      <c r="AG2869">
        <v>-0.93275209999999997</v>
      </c>
      <c r="AH2869">
        <v>52.152237701921202</v>
      </c>
      <c r="AI2869">
        <v>90.893243514276904</v>
      </c>
      <c r="AJ2869">
        <v>119.338019445142</v>
      </c>
      <c r="AK2869">
        <v>59.832422783364599</v>
      </c>
      <c r="AL2869">
        <v>89.764177242945806</v>
      </c>
      <c r="AM2869">
        <v>95.709946052280898</v>
      </c>
      <c r="AN2869">
        <v>1.00000001436311</v>
      </c>
    </row>
    <row r="2870" spans="1:40" x14ac:dyDescent="0.25">
      <c r="A2870" t="str">
        <f>"20190312160657216"</f>
        <v>20190312160657216</v>
      </c>
      <c r="B2870" t="str">
        <f>"1552378017207902"</f>
        <v>1552378017207902</v>
      </c>
      <c r="C2870" t="s">
        <v>40</v>
      </c>
      <c r="D2870">
        <v>5.469633</v>
      </c>
      <c r="E2870">
        <v>0.3351789</v>
      </c>
      <c r="F2870" t="s">
        <v>75</v>
      </c>
      <c r="G2870">
        <v>-511.95870000000002</v>
      </c>
      <c r="H2870">
        <v>0.16445290000000001</v>
      </c>
      <c r="I2870">
        <v>222.05330000000001</v>
      </c>
      <c r="J2870">
        <v>-489.37270000000001</v>
      </c>
      <c r="K2870">
        <v>1.1107479999999901</v>
      </c>
      <c r="L2870">
        <v>277.60079999999999</v>
      </c>
      <c r="M2870">
        <v>-0.78190649999999995</v>
      </c>
      <c r="N2870">
        <v>0</v>
      </c>
      <c r="O2870">
        <v>-0.62330189999999996</v>
      </c>
      <c r="P2870">
        <v>-0.71629880000000001</v>
      </c>
      <c r="Q2870">
        <v>-6.6081400000000002E-3</v>
      </c>
      <c r="R2870">
        <v>-0.69776249999999995</v>
      </c>
      <c r="S2870">
        <v>-1.2348939999999999</v>
      </c>
      <c r="T2870">
        <v>-5.1660659999999997E-2</v>
      </c>
      <c r="U2870">
        <v>-3.0341800000000001</v>
      </c>
      <c r="V2870">
        <v>-9.9130659999999995E-2</v>
      </c>
      <c r="W2870">
        <v>3.89939E-3</v>
      </c>
      <c r="X2870">
        <v>0.99506680000000003</v>
      </c>
      <c r="Y2870">
        <v>-0.48928939999999999</v>
      </c>
      <c r="Z2870">
        <v>6.6066509999999998E-3</v>
      </c>
      <c r="AA2870">
        <v>0.87209650000000005</v>
      </c>
      <c r="AB2870">
        <v>9</v>
      </c>
      <c r="AC2870">
        <v>-22.585999999999999</v>
      </c>
      <c r="AD2870">
        <v>-0.94629509999999895</v>
      </c>
      <c r="AE2870">
        <v>-55.5474999999999</v>
      </c>
      <c r="AF2870">
        <v>-29.349462230255501</v>
      </c>
      <c r="AG2870">
        <v>-0.94629509999999895</v>
      </c>
      <c r="AH2870">
        <v>52.273042182628402</v>
      </c>
      <c r="AI2870">
        <v>90.904341510968393</v>
      </c>
      <c r="AJ2870">
        <v>119.31266804346301</v>
      </c>
      <c r="AK2870">
        <v>59.956295304566098</v>
      </c>
      <c r="AL2870">
        <v>89.776580847422196</v>
      </c>
      <c r="AM2870">
        <v>95.689155535875898</v>
      </c>
      <c r="AN2870">
        <v>1.0000000147283199</v>
      </c>
    </row>
    <row r="2871" spans="1:40" x14ac:dyDescent="0.25">
      <c r="A2871" t="str">
        <f>"20190312160657227"</f>
        <v>20190312160657227</v>
      </c>
      <c r="B2871" t="str">
        <f>"1552378017217662"</f>
        <v>1552378017217662</v>
      </c>
      <c r="C2871" t="s">
        <v>40</v>
      </c>
      <c r="D2871">
        <v>5.5241959999999999</v>
      </c>
      <c r="E2871">
        <v>0.33544469999999998</v>
      </c>
      <c r="F2871" t="s">
        <v>75</v>
      </c>
      <c r="G2871">
        <v>-511.95870000000002</v>
      </c>
      <c r="H2871">
        <v>0.14317449999999901</v>
      </c>
      <c r="I2871">
        <v>221.9503</v>
      </c>
      <c r="J2871">
        <v>-489.4092</v>
      </c>
      <c r="K2871">
        <v>1.110725</v>
      </c>
      <c r="L2871">
        <v>277.5686</v>
      </c>
      <c r="M2871">
        <v>-0.78061250000000004</v>
      </c>
      <c r="N2871">
        <v>0</v>
      </c>
      <c r="O2871">
        <v>-0.62492440000000005</v>
      </c>
      <c r="P2871">
        <v>-0.71479009999999998</v>
      </c>
      <c r="Q2871">
        <v>-6.8040100000000001E-3</v>
      </c>
      <c r="R2871">
        <v>-0.69930579999999998</v>
      </c>
      <c r="S2871">
        <v>-1.2316279999999999</v>
      </c>
      <c r="T2871">
        <v>-5.2758569999999998E-2</v>
      </c>
      <c r="U2871">
        <v>-3.034637</v>
      </c>
      <c r="V2871">
        <v>-9.9211919999999995E-2</v>
      </c>
      <c r="W2871">
        <v>3.549871E-3</v>
      </c>
      <c r="X2871">
        <v>0.99505999999999994</v>
      </c>
      <c r="Y2871">
        <v>-0.48833080000000001</v>
      </c>
      <c r="Z2871">
        <v>6.7876439999999998E-3</v>
      </c>
      <c r="AA2871">
        <v>0.87263219999999997</v>
      </c>
      <c r="AB2871">
        <v>9</v>
      </c>
      <c r="AC2871">
        <v>-22.549499999999998</v>
      </c>
      <c r="AD2871">
        <v>-0.96755049999999898</v>
      </c>
      <c r="AE2871">
        <v>-55.618299999999998</v>
      </c>
      <c r="AF2871">
        <v>-29.318653376611099</v>
      </c>
      <c r="AG2871">
        <v>-0.96755049999999898</v>
      </c>
      <c r="AH2871">
        <v>52.349023210267603</v>
      </c>
      <c r="AI2871">
        <v>90.923862122454295</v>
      </c>
      <c r="AJ2871">
        <v>119.25149283284</v>
      </c>
      <c r="AK2871">
        <v>60.007831329394499</v>
      </c>
      <c r="AL2871">
        <v>89.796606947746298</v>
      </c>
      <c r="AM2871">
        <v>95.693827109943697</v>
      </c>
      <c r="AN2871">
        <v>1.0000000051271001</v>
      </c>
    </row>
    <row r="2872" spans="1:40" x14ac:dyDescent="0.25">
      <c r="A2872" t="str">
        <f>"20190312160657238"</f>
        <v>20190312160657238</v>
      </c>
      <c r="B2872" t="str">
        <f>"1552378017228398"</f>
        <v>1552378017228398</v>
      </c>
      <c r="C2872" t="s">
        <v>40</v>
      </c>
      <c r="D2872">
        <v>5.5447379999999997</v>
      </c>
      <c r="E2872">
        <v>0.3356171</v>
      </c>
      <c r="F2872" t="s">
        <v>75</v>
      </c>
      <c r="G2872">
        <v>-511.95859999999999</v>
      </c>
      <c r="H2872">
        <v>0.11749419999999999</v>
      </c>
      <c r="I2872">
        <v>221.77850000000001</v>
      </c>
      <c r="J2872">
        <v>-489.44240000000002</v>
      </c>
      <c r="K2872">
        <v>1.110708</v>
      </c>
      <c r="L2872">
        <v>277.53919999999999</v>
      </c>
      <c r="M2872">
        <v>-0.77942939999999905</v>
      </c>
      <c r="N2872">
        <v>0</v>
      </c>
      <c r="O2872">
        <v>-0.62640189999999996</v>
      </c>
      <c r="P2872">
        <v>-0.71351809999999904</v>
      </c>
      <c r="Q2872">
        <v>-7.0739519999999997E-3</v>
      </c>
      <c r="R2872">
        <v>-0.70060129999999998</v>
      </c>
      <c r="S2872">
        <v>-1.2268680000000001</v>
      </c>
      <c r="T2872">
        <v>-5.4035659999999999E-2</v>
      </c>
      <c r="U2872">
        <v>-3.0354000000000001</v>
      </c>
      <c r="V2872">
        <v>-9.9134239999999998E-2</v>
      </c>
      <c r="W2872">
        <v>3.1488530000000001E-3</v>
      </c>
      <c r="X2872">
        <v>0.99506910000000004</v>
      </c>
      <c r="Y2872">
        <v>-0.48793140000000002</v>
      </c>
      <c r="Z2872">
        <v>6.9868169999999898E-3</v>
      </c>
      <c r="AA2872">
        <v>0.87285400000000002</v>
      </c>
      <c r="AB2872">
        <v>9</v>
      </c>
      <c r="AC2872">
        <v>-22.516199999999898</v>
      </c>
      <c r="AD2872">
        <v>-0.99321380000000004</v>
      </c>
      <c r="AE2872">
        <v>-55.7606999999999</v>
      </c>
      <c r="AF2872">
        <v>-29.350953517971799</v>
      </c>
      <c r="AG2872">
        <v>-0.99321380000000004</v>
      </c>
      <c r="AH2872">
        <v>52.466983086685097</v>
      </c>
      <c r="AI2872">
        <v>90.946489950549704</v>
      </c>
      <c r="AJ2872">
        <v>119.22341707298</v>
      </c>
      <c r="AK2872">
        <v>60.126942881583098</v>
      </c>
      <c r="AL2872">
        <v>89.819583717044495</v>
      </c>
      <c r="AM2872">
        <v>95.689346581800905</v>
      </c>
      <c r="AN2872">
        <v>1.0000000132952001</v>
      </c>
    </row>
    <row r="2873" spans="1:40" x14ac:dyDescent="0.25">
      <c r="A2873" t="str">
        <f>"20190312160657247"</f>
        <v>20190312160657247</v>
      </c>
      <c r="B2873" t="str">
        <f>"1552378017238159"</f>
        <v>1552378017238159</v>
      </c>
      <c r="C2873" t="s">
        <v>40</v>
      </c>
      <c r="D2873">
        <v>5.5769719999999996</v>
      </c>
      <c r="E2873">
        <v>0.33587600000000001</v>
      </c>
      <c r="F2873" t="s">
        <v>75</v>
      </c>
      <c r="G2873">
        <v>-511.95859999999999</v>
      </c>
      <c r="H2873">
        <v>0.1050963</v>
      </c>
      <c r="I2873">
        <v>221.58</v>
      </c>
      <c r="J2873">
        <v>-489.4744</v>
      </c>
      <c r="K2873">
        <v>1.1106959999999999</v>
      </c>
      <c r="L2873">
        <v>277.51089999999999</v>
      </c>
      <c r="M2873">
        <v>-0.77829009999999998</v>
      </c>
      <c r="N2873">
        <v>0</v>
      </c>
      <c r="O2873">
        <v>-0.6278186</v>
      </c>
      <c r="P2873">
        <v>-0.71225760000000005</v>
      </c>
      <c r="Q2873">
        <v>-7.3699830000000001E-3</v>
      </c>
      <c r="R2873">
        <v>-0.70187959999999905</v>
      </c>
      <c r="S2873">
        <v>-1.2219850000000001</v>
      </c>
      <c r="T2873">
        <v>-5.4571990000000001E-2</v>
      </c>
      <c r="U2873">
        <v>-3.0369570000000001</v>
      </c>
      <c r="V2873">
        <v>-9.910969E-2</v>
      </c>
      <c r="W2873">
        <v>2.7387750000000002E-3</v>
      </c>
      <c r="X2873">
        <v>0.99507270000000003</v>
      </c>
      <c r="Y2873">
        <v>-0.48770720000000001</v>
      </c>
      <c r="Z2873">
        <v>7.0873079999999996E-3</v>
      </c>
      <c r="AA2873">
        <v>0.87297849999999999</v>
      </c>
      <c r="AB2873">
        <v>10</v>
      </c>
      <c r="AC2873">
        <v>-22.484199999999898</v>
      </c>
      <c r="AD2873">
        <v>-1.0055997000000001</v>
      </c>
      <c r="AE2873">
        <v>-55.930899999999902</v>
      </c>
      <c r="AF2873">
        <v>-29.407876339627599</v>
      </c>
      <c r="AG2873">
        <v>-1.0055997000000001</v>
      </c>
      <c r="AH2873">
        <v>52.601901258848102</v>
      </c>
      <c r="AI2873">
        <v>90.955977137507304</v>
      </c>
      <c r="AJ2873">
        <v>119.208023201654</v>
      </c>
      <c r="AK2873">
        <v>60.272667417404698</v>
      </c>
      <c r="AL2873">
        <v>89.843079548214703</v>
      </c>
      <c r="AM2873">
        <v>95.687926445957203</v>
      </c>
      <c r="AN2873">
        <v>0.99999995491284199</v>
      </c>
    </row>
    <row r="2874" spans="1:40" x14ac:dyDescent="0.25">
      <c r="A2874" t="str">
        <f>"20190312160657258"</f>
        <v>20190312160657258</v>
      </c>
      <c r="B2874" t="str">
        <f>"1552378017247919"</f>
        <v>1552378017247919</v>
      </c>
      <c r="C2874" t="s">
        <v>40</v>
      </c>
      <c r="D2874">
        <v>5.6031089999999999</v>
      </c>
      <c r="E2874">
        <v>0.33605889999999999</v>
      </c>
      <c r="F2874" t="s">
        <v>75</v>
      </c>
      <c r="G2874">
        <v>-511.95859999999999</v>
      </c>
      <c r="H2874">
        <v>7.6173480000000002E-2</v>
      </c>
      <c r="I2874">
        <v>221.43799999999999</v>
      </c>
      <c r="J2874">
        <v>-489.50369999999998</v>
      </c>
      <c r="K2874">
        <v>1.11069</v>
      </c>
      <c r="L2874">
        <v>277.48489999999998</v>
      </c>
      <c r="M2874">
        <v>-0.7772443</v>
      </c>
      <c r="N2874">
        <v>0</v>
      </c>
      <c r="O2874">
        <v>-0.62911450000000002</v>
      </c>
      <c r="P2874">
        <v>-0.71117189999999997</v>
      </c>
      <c r="Q2874">
        <v>-7.6816130000000003E-3</v>
      </c>
      <c r="R2874">
        <v>-0.70297659999999995</v>
      </c>
      <c r="S2874">
        <v>-1.218018</v>
      </c>
      <c r="T2874">
        <v>-5.6038379999999999E-2</v>
      </c>
      <c r="U2874">
        <v>-3.0375670000000001</v>
      </c>
      <c r="V2874">
        <v>-9.8987359999999996E-2</v>
      </c>
      <c r="W2874">
        <v>2.3291729999999999E-3</v>
      </c>
      <c r="X2874">
        <v>0.99508600000000003</v>
      </c>
      <c r="Y2874">
        <v>-0.48729620000000001</v>
      </c>
      <c r="Z2874">
        <v>7.3099269999999999E-3</v>
      </c>
      <c r="AA2874">
        <v>0.87320609999999999</v>
      </c>
      <c r="AB2874">
        <v>10</v>
      </c>
      <c r="AC2874">
        <v>-22.454899999999999</v>
      </c>
      <c r="AD2874">
        <v>-1.0345165199999999</v>
      </c>
      <c r="AE2874">
        <v>-56.046900000000001</v>
      </c>
      <c r="AF2874">
        <v>-29.428354708884399</v>
      </c>
      <c r="AG2874">
        <v>-1.0345165199999999</v>
      </c>
      <c r="AH2874">
        <v>52.700189431303997</v>
      </c>
      <c r="AI2874">
        <v>90.981901244023206</v>
      </c>
      <c r="AJ2874">
        <v>119.179462458038</v>
      </c>
      <c r="AK2874">
        <v>60.368934489498798</v>
      </c>
      <c r="AL2874">
        <v>89.866548101343099</v>
      </c>
      <c r="AM2874">
        <v>95.680876418065296</v>
      </c>
      <c r="AN2874">
        <v>1.0000000349413101</v>
      </c>
    </row>
    <row r="2875" spans="1:40" x14ac:dyDescent="0.25">
      <c r="A2875" t="str">
        <f>"20190312160657267"</f>
        <v>20190312160657267</v>
      </c>
      <c r="B2875" t="str">
        <f>"1552378017258184"</f>
        <v>1552378017258184</v>
      </c>
      <c r="C2875" t="s">
        <v>40</v>
      </c>
      <c r="D2875">
        <v>5.1883749999999997</v>
      </c>
      <c r="E2875">
        <v>0.33630090000000001</v>
      </c>
      <c r="F2875" t="s">
        <v>75</v>
      </c>
      <c r="G2875">
        <v>-511.95859999999999</v>
      </c>
      <c r="H2875">
        <v>6.1324360000000001E-2</v>
      </c>
      <c r="I2875">
        <v>221.30250000000001</v>
      </c>
      <c r="J2875">
        <v>-489.53769999999997</v>
      </c>
      <c r="K2875">
        <v>1.1106879999999999</v>
      </c>
      <c r="L2875">
        <v>277.4545</v>
      </c>
      <c r="M2875">
        <v>-0.77602439999999995</v>
      </c>
      <c r="N2875">
        <v>0</v>
      </c>
      <c r="O2875">
        <v>-0.63062039999999997</v>
      </c>
      <c r="P2875">
        <v>-0.70981030000000001</v>
      </c>
      <c r="Q2875">
        <v>-7.7435669999999998E-3</v>
      </c>
      <c r="R2875">
        <v>-0.70435040000000004</v>
      </c>
      <c r="S2875">
        <v>-1.2144170000000001</v>
      </c>
      <c r="T2875">
        <v>-5.6748270000000003E-2</v>
      </c>
      <c r="U2875">
        <v>-3.0384519999999999</v>
      </c>
      <c r="V2875">
        <v>-9.8983139999999997E-2</v>
      </c>
      <c r="W2875">
        <v>2.1618029999999999E-3</v>
      </c>
      <c r="X2875">
        <v>0.99508680000000005</v>
      </c>
      <c r="Y2875">
        <v>-0.48658390000000001</v>
      </c>
      <c r="Z2875">
        <v>7.4411449999999997E-3</v>
      </c>
      <c r="AA2875">
        <v>0.873602199999999</v>
      </c>
      <c r="AB2875">
        <v>10</v>
      </c>
      <c r="AC2875">
        <v>-22.4209</v>
      </c>
      <c r="AD2875">
        <v>-1.0493636399999999</v>
      </c>
      <c r="AE2875">
        <v>-56.152000000000001</v>
      </c>
      <c r="AF2875">
        <v>-29.428912177524499</v>
      </c>
      <c r="AG2875">
        <v>-1.0493636399999999</v>
      </c>
      <c r="AH2875">
        <v>52.796606476370997</v>
      </c>
      <c r="AI2875">
        <v>90.994598809536996</v>
      </c>
      <c r="AJ2875">
        <v>119.13536480431701</v>
      </c>
      <c r="AK2875">
        <v>60.453649115848997</v>
      </c>
      <c r="AL2875">
        <v>89.876137720125499</v>
      </c>
      <c r="AM2875">
        <v>95.680631279556493</v>
      </c>
      <c r="AN2875">
        <v>1.0000000374653499</v>
      </c>
    </row>
    <row r="2876" spans="1:40" x14ac:dyDescent="0.25">
      <c r="A2876" t="str">
        <f>"20190312160657278"</f>
        <v>20190312160657278</v>
      </c>
      <c r="B2876" t="str">
        <f>"1552378017267944"</f>
        <v>1552378017267944</v>
      </c>
      <c r="C2876" t="s">
        <v>40</v>
      </c>
      <c r="D2876">
        <v>5.6011670000000002</v>
      </c>
      <c r="E2876">
        <v>0.33654600000000001</v>
      </c>
      <c r="F2876" t="s">
        <v>75</v>
      </c>
      <c r="G2876">
        <v>-511.95859999999999</v>
      </c>
      <c r="H2876">
        <v>4.5609950000000003E-2</v>
      </c>
      <c r="I2876">
        <v>221.13079999999999</v>
      </c>
      <c r="J2876">
        <v>-489.56810000000002</v>
      </c>
      <c r="K2876">
        <v>1.1106849999999999</v>
      </c>
      <c r="L2876">
        <v>277.42720000000003</v>
      </c>
      <c r="M2876">
        <v>-0.77492869999999903</v>
      </c>
      <c r="N2876">
        <v>0</v>
      </c>
      <c r="O2876">
        <v>-0.63196750000000002</v>
      </c>
      <c r="P2876">
        <v>-0.70868330000000002</v>
      </c>
      <c r="Q2876">
        <v>-8.0748940000000009E-3</v>
      </c>
      <c r="R2876">
        <v>-0.70548029999999995</v>
      </c>
      <c r="S2876">
        <v>-1.2099</v>
      </c>
      <c r="T2876">
        <v>-5.7470800000000002E-2</v>
      </c>
      <c r="U2876">
        <v>-3.0393680000000001</v>
      </c>
      <c r="V2876">
        <v>-9.8842289999999999E-2</v>
      </c>
      <c r="W2876">
        <v>1.7402800000000001E-3</v>
      </c>
      <c r="X2876">
        <v>0.99510160000000003</v>
      </c>
      <c r="Y2876">
        <v>-0.48627779999999998</v>
      </c>
      <c r="Z2876">
        <v>7.5689640000000001E-3</v>
      </c>
      <c r="AA2876">
        <v>0.87377150000000003</v>
      </c>
      <c r="AB2876">
        <v>10</v>
      </c>
      <c r="AC2876">
        <v>-22.3904999999999</v>
      </c>
      <c r="AD2876">
        <v>-1.0650750499999999</v>
      </c>
      <c r="AE2876">
        <v>-56.296399999999998</v>
      </c>
      <c r="AF2876">
        <v>-29.4680328746703</v>
      </c>
      <c r="AG2876">
        <v>-1.0650750499999999</v>
      </c>
      <c r="AH2876">
        <v>52.914898311120901</v>
      </c>
      <c r="AI2876">
        <v>91.007447946948602</v>
      </c>
      <c r="AJ2876">
        <v>119.11320735729601</v>
      </c>
      <c r="AK2876">
        <v>60.576280916222103</v>
      </c>
      <c r="AL2876">
        <v>89.900289251555094</v>
      </c>
      <c r="AM2876">
        <v>95.672516852714296</v>
      </c>
      <c r="AN2876">
        <v>1.00000001059474</v>
      </c>
    </row>
    <row r="2877" spans="1:40" x14ac:dyDescent="0.25">
      <c r="A2877" t="str">
        <f>"20190312160657289"</f>
        <v>20190312160657289</v>
      </c>
      <c r="B2877" t="str">
        <f>"1552378017277704"</f>
        <v>1552378017277704</v>
      </c>
      <c r="C2877" t="s">
        <v>40</v>
      </c>
      <c r="D2877">
        <v>5.5850819999999999</v>
      </c>
      <c r="E2877">
        <v>0.33654600000000001</v>
      </c>
      <c r="F2877" t="s">
        <v>75</v>
      </c>
      <c r="G2877">
        <v>-511.95859999999999</v>
      </c>
      <c r="H2877">
        <v>1.402891E-2</v>
      </c>
      <c r="I2877">
        <v>220.9923</v>
      </c>
      <c r="J2877">
        <v>-489.60309999999998</v>
      </c>
      <c r="K2877">
        <v>1.110689</v>
      </c>
      <c r="L2877">
        <v>277.39580000000001</v>
      </c>
      <c r="M2877">
        <v>-0.77366550000000001</v>
      </c>
      <c r="N2877">
        <v>0</v>
      </c>
      <c r="O2877">
        <v>-0.6335153</v>
      </c>
      <c r="P2877">
        <v>-0.70722149999999995</v>
      </c>
      <c r="Q2877">
        <v>-8.3338119999999995E-3</v>
      </c>
      <c r="R2877">
        <v>-0.70694330000000005</v>
      </c>
      <c r="S2877">
        <v>-1.2061770000000001</v>
      </c>
      <c r="T2877">
        <v>-5.9072970000000002E-2</v>
      </c>
      <c r="U2877">
        <v>-3.0401310000000001</v>
      </c>
      <c r="V2877">
        <v>-9.8910680000000001E-2</v>
      </c>
      <c r="W2877">
        <v>1.3802679999999901E-3</v>
      </c>
      <c r="X2877">
        <v>0.99509539999999996</v>
      </c>
      <c r="Y2877">
        <v>-0.48553180000000001</v>
      </c>
      <c r="Z2877">
        <v>7.8217330000000009E-3</v>
      </c>
      <c r="AA2877">
        <v>0.87418399999999996</v>
      </c>
      <c r="AB2877">
        <v>10</v>
      </c>
      <c r="AC2877">
        <v>-22.355499999999999</v>
      </c>
      <c r="AD2877">
        <v>-1.0966600900000001</v>
      </c>
      <c r="AE2877">
        <v>-56.403500000000001</v>
      </c>
      <c r="AF2877">
        <v>-29.466738354646701</v>
      </c>
      <c r="AG2877">
        <v>-1.0966600900000001</v>
      </c>
      <c r="AH2877">
        <v>53.013492384387099</v>
      </c>
      <c r="AI2877">
        <v>91.035855175855602</v>
      </c>
      <c r="AJ2877">
        <v>119.066824095144</v>
      </c>
      <c r="AK2877">
        <v>60.6623582413647</v>
      </c>
      <c r="AL2877">
        <v>89.920916447168494</v>
      </c>
      <c r="AM2877">
        <v>95.676451238528301</v>
      </c>
      <c r="AN2877">
        <v>1.0000000414294801</v>
      </c>
    </row>
    <row r="2878" spans="1:40" x14ac:dyDescent="0.25">
      <c r="A2878" t="str">
        <f>"20190312160657300"</f>
        <v>20190312160657300</v>
      </c>
      <c r="B2878" t="str">
        <f>"1552378017288442"</f>
        <v>1552378017288442</v>
      </c>
      <c r="C2878" t="s">
        <v>40</v>
      </c>
      <c r="D2878">
        <v>5.60494</v>
      </c>
      <c r="E2878">
        <v>0.34666059999999999</v>
      </c>
      <c r="F2878" t="s">
        <v>75</v>
      </c>
      <c r="G2878">
        <v>-511.95859999999999</v>
      </c>
      <c r="H2878">
        <v>-6.5436959999999999E-3</v>
      </c>
      <c r="I2878">
        <v>220.7029</v>
      </c>
      <c r="J2878">
        <v>-489.63709999999998</v>
      </c>
      <c r="K2878">
        <v>1.1106959999999999</v>
      </c>
      <c r="L2878">
        <v>277.36509999999998</v>
      </c>
      <c r="M2878">
        <v>-0.77242789999999995</v>
      </c>
      <c r="N2878">
        <v>0</v>
      </c>
      <c r="O2878">
        <v>-0.63502510000000001</v>
      </c>
      <c r="P2878">
        <v>-0.70607430000000004</v>
      </c>
      <c r="Q2878">
        <v>-8.7188609999999996E-3</v>
      </c>
      <c r="R2878">
        <v>-0.70808459999999995</v>
      </c>
      <c r="S2878">
        <v>-1.1997990000000001</v>
      </c>
      <c r="T2878">
        <v>-5.9956910000000002E-2</v>
      </c>
      <c r="U2878">
        <v>-3.0426329999999999</v>
      </c>
      <c r="V2878">
        <v>-9.857668E-2</v>
      </c>
      <c r="W2878">
        <v>9.0009379999999998E-4</v>
      </c>
      <c r="X2878">
        <v>0.99512900000000004</v>
      </c>
      <c r="Y2878">
        <v>-0.48565659999999999</v>
      </c>
      <c r="Z2878">
        <v>7.971255E-3</v>
      </c>
      <c r="AA2878">
        <v>0.87411329999999998</v>
      </c>
      <c r="AB2878">
        <v>10</v>
      </c>
      <c r="AC2878">
        <v>-22.3215</v>
      </c>
      <c r="AD2878">
        <v>-1.1172396959999999</v>
      </c>
      <c r="AE2878">
        <v>-56.662199999999899</v>
      </c>
      <c r="AF2878">
        <v>-29.584248753735601</v>
      </c>
      <c r="AG2878">
        <v>-1.1172396959999999</v>
      </c>
      <c r="AH2878">
        <v>53.208376289873598</v>
      </c>
      <c r="AI2878">
        <v>91.051348010990594</v>
      </c>
      <c r="AJ2878">
        <v>119.074381425607</v>
      </c>
      <c r="AK2878">
        <v>60.890124866566097</v>
      </c>
      <c r="AL2878">
        <v>89.948428414517096</v>
      </c>
      <c r="AM2878">
        <v>95.657217863094004</v>
      </c>
      <c r="AN2878">
        <v>0.99999994932483405</v>
      </c>
    </row>
    <row r="2879" spans="1:40" x14ac:dyDescent="0.25">
      <c r="A2879" t="str">
        <f>"20190312160657311"</f>
        <v>20190312160657311</v>
      </c>
      <c r="B2879" t="str">
        <f>"1552378017307960"</f>
        <v>1552378017307960</v>
      </c>
      <c r="C2879" t="s">
        <v>40</v>
      </c>
      <c r="D2879">
        <v>5.5983320000000001</v>
      </c>
      <c r="E2879">
        <v>0.34647339999999999</v>
      </c>
      <c r="F2879" t="s">
        <v>43</v>
      </c>
      <c r="G2879">
        <v>-501.61270000000002</v>
      </c>
      <c r="H2879">
        <v>0.1845387</v>
      </c>
      <c r="I2879">
        <v>248.791</v>
      </c>
      <c r="J2879">
        <v>-489.67630000000003</v>
      </c>
      <c r="K2879">
        <v>1.1107</v>
      </c>
      <c r="L2879">
        <v>277.32960000000003</v>
      </c>
      <c r="M2879">
        <v>-0.77099589999999996</v>
      </c>
      <c r="N2879">
        <v>0</v>
      </c>
      <c r="O2879">
        <v>-0.63676469999999996</v>
      </c>
      <c r="P2879">
        <v>-0.70471930000000005</v>
      </c>
      <c r="Q2879">
        <v>-9.0012789999999992E-3</v>
      </c>
      <c r="R2879">
        <v>-0.70942939999999999</v>
      </c>
      <c r="S2879">
        <v>-1.2519530000000001</v>
      </c>
      <c r="T2879">
        <v>-9.6822019999999995E-2</v>
      </c>
      <c r="U2879">
        <v>-2.9871829999999999</v>
      </c>
      <c r="V2879">
        <v>-9.8233630000000002E-2</v>
      </c>
      <c r="W2879">
        <v>5.1051769999999996E-4</v>
      </c>
      <c r="X2879">
        <v>0.99516329999999997</v>
      </c>
      <c r="Y2879">
        <v>-0.46498709999999999</v>
      </c>
      <c r="Z2879">
        <v>1.334697E-2</v>
      </c>
      <c r="AA2879">
        <v>0.88521679999999903</v>
      </c>
      <c r="AB2879">
        <v>10</v>
      </c>
      <c r="AC2879">
        <v>-11.9363999999999</v>
      </c>
      <c r="AD2879">
        <v>-0.92616129999999997</v>
      </c>
      <c r="AE2879">
        <v>-28.538599999999999</v>
      </c>
      <c r="AF2879">
        <v>-14.390257899776699</v>
      </c>
      <c r="AG2879">
        <v>-0.92616129999999997</v>
      </c>
      <c r="AH2879">
        <v>27.3520852389689</v>
      </c>
      <c r="AI2879">
        <v>91.716439502654794</v>
      </c>
      <c r="AJ2879">
        <v>117.749392483837</v>
      </c>
      <c r="AK2879">
        <v>30.920444112197401</v>
      </c>
      <c r="AL2879">
        <v>89.970749490620406</v>
      </c>
      <c r="AM2879">
        <v>95.637464548653995</v>
      </c>
      <c r="AN2879">
        <v>1.00000005017909</v>
      </c>
    </row>
    <row r="2880" spans="1:40" x14ac:dyDescent="0.25">
      <c r="A2880" t="str">
        <f>"20190312160657325"</f>
        <v>20190312160657325</v>
      </c>
      <c r="B2880" t="str">
        <f>"1552378017317720"</f>
        <v>1552378017317720</v>
      </c>
      <c r="C2880" t="s">
        <v>40</v>
      </c>
      <c r="D2880">
        <v>5.5997199999999996</v>
      </c>
      <c r="E2880">
        <v>0.34669070000000002</v>
      </c>
      <c r="F2880" t="s">
        <v>47</v>
      </c>
      <c r="G2880">
        <v>-504.14879999999999</v>
      </c>
      <c r="H2880">
        <v>7.9986130000000003E-2</v>
      </c>
      <c r="I2880">
        <v>242.58109999999999</v>
      </c>
      <c r="J2880">
        <v>-489.71710000000002</v>
      </c>
      <c r="K2880">
        <v>1.1107119999999999</v>
      </c>
      <c r="L2880">
        <v>277.29239999999999</v>
      </c>
      <c r="M2880">
        <v>-0.76949330000000005</v>
      </c>
      <c r="N2880">
        <v>0</v>
      </c>
      <c r="O2880">
        <v>-0.63858110000000001</v>
      </c>
      <c r="P2880">
        <v>-0.70349300000000003</v>
      </c>
      <c r="Q2880">
        <v>-9.1674779999999997E-3</v>
      </c>
      <c r="R2880">
        <v>-0.71064320000000003</v>
      </c>
      <c r="S2880">
        <v>-1.2454529999999999</v>
      </c>
      <c r="T2880">
        <v>-8.8699459999999994E-2</v>
      </c>
      <c r="U2880">
        <v>-2.990326</v>
      </c>
      <c r="V2880">
        <v>-9.7603919999999997E-2</v>
      </c>
      <c r="W2880">
        <v>2.3729E-4</v>
      </c>
      <c r="X2880">
        <v>0.99522529999999998</v>
      </c>
      <c r="Y2880">
        <v>-0.46486670000000002</v>
      </c>
      <c r="Z2880">
        <v>1.228779E-2</v>
      </c>
      <c r="AA2880">
        <v>0.88529539999999995</v>
      </c>
      <c r="AB2880">
        <v>10</v>
      </c>
      <c r="AC2880">
        <v>-14.4316999999999</v>
      </c>
      <c r="AD2880">
        <v>-1.0307258699999999</v>
      </c>
      <c r="AE2880">
        <v>-34.711299999999902</v>
      </c>
      <c r="AF2880">
        <v>-17.481983470185501</v>
      </c>
      <c r="AG2880">
        <v>-1.0307258699999999</v>
      </c>
      <c r="AH2880">
        <v>33.247649068730297</v>
      </c>
      <c r="AI2880">
        <v>91.571771292772297</v>
      </c>
      <c r="AJ2880">
        <v>117.73589262096399</v>
      </c>
      <c r="AK2880">
        <v>37.5777635107303</v>
      </c>
      <c r="AL2880">
        <v>89.986404284210806</v>
      </c>
      <c r="AM2880">
        <v>95.601210364334193</v>
      </c>
      <c r="AN2880">
        <v>0.99999998963299996</v>
      </c>
    </row>
    <row r="2881" spans="1:40" x14ac:dyDescent="0.25">
      <c r="A2881" t="str">
        <f>"20190312160657339"</f>
        <v>20190312160657339</v>
      </c>
      <c r="B2881" t="str">
        <f>"1552378017328456"</f>
        <v>1552378017328456</v>
      </c>
      <c r="C2881" t="s">
        <v>40</v>
      </c>
      <c r="D2881">
        <v>5.6361169999999996</v>
      </c>
      <c r="E2881">
        <v>0.3466669</v>
      </c>
      <c r="F2881" t="s">
        <v>47</v>
      </c>
      <c r="G2881">
        <v>-504.15359999999998</v>
      </c>
      <c r="H2881">
        <v>7.9986150000000006E-2</v>
      </c>
      <c r="I2881">
        <v>242.5087</v>
      </c>
      <c r="J2881">
        <v>-489.75889999999998</v>
      </c>
      <c r="K2881">
        <v>1.110724</v>
      </c>
      <c r="L2881">
        <v>277.25409999999999</v>
      </c>
      <c r="M2881">
        <v>-0.76794309999999999</v>
      </c>
      <c r="N2881">
        <v>0</v>
      </c>
      <c r="O2881">
        <v>-0.64044609999999902</v>
      </c>
      <c r="P2881">
        <v>-0.70231779999999999</v>
      </c>
      <c r="Q2881">
        <v>-8.8627999999999901E-3</v>
      </c>
      <c r="R2881">
        <v>-0.71180869999999996</v>
      </c>
      <c r="S2881">
        <v>-1.2415160000000001</v>
      </c>
      <c r="T2881">
        <v>-8.8640689999999994E-2</v>
      </c>
      <c r="U2881">
        <v>-2.991333</v>
      </c>
      <c r="V2881">
        <v>-9.6837939999999997E-2</v>
      </c>
      <c r="W2881">
        <v>4.3470059999999998E-4</v>
      </c>
      <c r="X2881">
        <v>0.99530010000000002</v>
      </c>
      <c r="Y2881">
        <v>-0.46381899999999998</v>
      </c>
      <c r="Z2881">
        <v>1.2356499999999999E-2</v>
      </c>
      <c r="AA2881">
        <v>0.88584379999999996</v>
      </c>
      <c r="AB2881">
        <v>10</v>
      </c>
      <c r="AC2881">
        <v>-14.3947</v>
      </c>
      <c r="AD2881">
        <v>-1.03073785</v>
      </c>
      <c r="AE2881">
        <v>-34.745399999999897</v>
      </c>
      <c r="AF2881">
        <v>-17.451157831547</v>
      </c>
      <c r="AG2881">
        <v>-1.03073785</v>
      </c>
      <c r="AH2881">
        <v>33.283402022256602</v>
      </c>
      <c r="AI2881">
        <v>91.571065331965301</v>
      </c>
      <c r="AJ2881">
        <v>117.668927537147</v>
      </c>
      <c r="AK2881">
        <v>37.595081863883998</v>
      </c>
      <c r="AL2881">
        <v>89.975093490288799</v>
      </c>
      <c r="AM2881">
        <v>95.557114180127499</v>
      </c>
      <c r="AN2881">
        <v>1.0000000323240299</v>
      </c>
    </row>
    <row r="2882" spans="1:40" x14ac:dyDescent="0.25">
      <c r="A2882" t="str">
        <f>"20190312160657352"</f>
        <v>20190312160657352</v>
      </c>
      <c r="B2882" t="str">
        <f>"1552378017347977"</f>
        <v>1552378017347977</v>
      </c>
      <c r="C2882" t="s">
        <v>40</v>
      </c>
      <c r="D2882">
        <v>5.6483549999999996</v>
      </c>
      <c r="E2882">
        <v>0.35606969999999999</v>
      </c>
      <c r="F2882" t="s">
        <v>47</v>
      </c>
      <c r="G2882">
        <v>-504.45190000000002</v>
      </c>
      <c r="H2882">
        <v>7.9986409999999994E-2</v>
      </c>
      <c r="I2882">
        <v>241.68389999999999</v>
      </c>
      <c r="J2882">
        <v>-489.80270000000002</v>
      </c>
      <c r="K2882">
        <v>1.1107340000000001</v>
      </c>
      <c r="L2882">
        <v>277.21370000000002</v>
      </c>
      <c r="M2882">
        <v>-0.76630849999999995</v>
      </c>
      <c r="N2882">
        <v>0</v>
      </c>
      <c r="O2882">
        <v>-0.6424029</v>
      </c>
      <c r="P2882">
        <v>-0.70102050000000005</v>
      </c>
      <c r="Q2882">
        <v>-8.3048830000000008E-3</v>
      </c>
      <c r="R2882">
        <v>-0.71309279999999997</v>
      </c>
      <c r="S2882">
        <v>-1.2365109999999999</v>
      </c>
      <c r="T2882">
        <v>-8.6743589999999995E-2</v>
      </c>
      <c r="U2882">
        <v>-2.9934690000000002</v>
      </c>
      <c r="V2882">
        <v>-9.6118850000000006E-2</v>
      </c>
      <c r="W2882">
        <v>8.8483479999999998E-4</v>
      </c>
      <c r="X2882">
        <v>0.99536950000000002</v>
      </c>
      <c r="Y2882">
        <v>-0.46304770000000001</v>
      </c>
      <c r="Z2882">
        <v>1.2164579999999999E-2</v>
      </c>
      <c r="AA2882">
        <v>0.88624990000000003</v>
      </c>
      <c r="AB2882">
        <v>10</v>
      </c>
      <c r="AC2882">
        <v>-14.6492</v>
      </c>
      <c r="AD2882">
        <v>-1.03074759</v>
      </c>
      <c r="AE2882">
        <v>-35.529800000000002</v>
      </c>
      <c r="AF2882">
        <v>-17.804091953588401</v>
      </c>
      <c r="AG2882">
        <v>-1.03074759</v>
      </c>
      <c r="AH2882">
        <v>34.027304738557902</v>
      </c>
      <c r="AI2882">
        <v>91.537438630162399</v>
      </c>
      <c r="AJ2882">
        <v>117.61989441241499</v>
      </c>
      <c r="AK2882">
        <v>38.4175168205444</v>
      </c>
      <c r="AL2882">
        <v>89.949302695243105</v>
      </c>
      <c r="AM2882">
        <v>95.515721917275201</v>
      </c>
      <c r="AN2882">
        <v>1.00000002889409</v>
      </c>
    </row>
    <row r="2883" spans="1:40" x14ac:dyDescent="0.25">
      <c r="A2883" t="str">
        <f>"20190312160657366"</f>
        <v>20190312160657366</v>
      </c>
      <c r="B2883" t="str">
        <f>"1552378017358244"</f>
        <v>1552378017358244</v>
      </c>
      <c r="C2883" t="s">
        <v>40</v>
      </c>
      <c r="D2883">
        <v>5.5510339999999996</v>
      </c>
      <c r="E2883">
        <v>0.35606969999999999</v>
      </c>
      <c r="F2883" t="s">
        <v>47</v>
      </c>
      <c r="G2883">
        <v>-499.16739999999999</v>
      </c>
      <c r="H2883" s="1">
        <v>-4.6109280000000001E-6</v>
      </c>
      <c r="I2883">
        <v>255.7577</v>
      </c>
      <c r="J2883">
        <v>-489.84679999999997</v>
      </c>
      <c r="K2883">
        <v>1.1107469999999999</v>
      </c>
      <c r="L2883">
        <v>277.17290000000003</v>
      </c>
      <c r="M2883">
        <v>-0.76464709999999902</v>
      </c>
      <c r="N2883">
        <v>0</v>
      </c>
      <c r="O2883">
        <v>-0.64438070000000003</v>
      </c>
      <c r="P2883">
        <v>-0.69955000000000001</v>
      </c>
      <c r="Q2883">
        <v>-7.7664989999999996E-3</v>
      </c>
      <c r="R2883">
        <v>-0.7145416</v>
      </c>
      <c r="S2883">
        <v>-1.2843629999999999</v>
      </c>
      <c r="T2883">
        <v>-0.15233729999999901</v>
      </c>
      <c r="U2883">
        <v>-2.942688</v>
      </c>
      <c r="V2883">
        <v>-9.5603830000000001E-2</v>
      </c>
      <c r="W2883">
        <v>1.3211410000000001E-3</v>
      </c>
      <c r="X2883">
        <v>0.99541860000000004</v>
      </c>
      <c r="Y2883">
        <v>-0.4431465</v>
      </c>
      <c r="Z2883">
        <v>2.2078730000000001E-2</v>
      </c>
      <c r="AA2883">
        <v>0.89617729999999995</v>
      </c>
      <c r="AB2883">
        <v>10</v>
      </c>
      <c r="AC2883">
        <v>-9.3206000000000095</v>
      </c>
      <c r="AD2883">
        <v>-1.110751610928</v>
      </c>
      <c r="AE2883">
        <v>-21.415199999999999</v>
      </c>
      <c r="AF2883">
        <v>-10.346113084225101</v>
      </c>
      <c r="AG2883">
        <v>-1.110751610928</v>
      </c>
      <c r="AH2883">
        <v>20.8802089921959</v>
      </c>
      <c r="AI2883">
        <v>92.728984142601206</v>
      </c>
      <c r="AJ2883">
        <v>116.35834818853399</v>
      </c>
      <c r="AK2883">
        <v>23.329358170565499</v>
      </c>
      <c r="AL2883">
        <v>89.924304175558206</v>
      </c>
      <c r="AM2883">
        <v>95.486079642614399</v>
      </c>
      <c r="AN2883">
        <v>1.0000000134750799</v>
      </c>
    </row>
    <row r="2884" spans="1:40" x14ac:dyDescent="0.25">
      <c r="A2884" t="str">
        <f>"20190312160657378"</f>
        <v>20190312160657378</v>
      </c>
      <c r="B2884" t="str">
        <f>"1552378017368004"</f>
        <v>1552378017368004</v>
      </c>
      <c r="C2884" t="s">
        <v>40</v>
      </c>
      <c r="D2884">
        <v>5.6602100000000002</v>
      </c>
      <c r="E2884">
        <v>0.3930247</v>
      </c>
      <c r="F2884" t="s">
        <v>47</v>
      </c>
      <c r="G2884">
        <v>-499.25549999999998</v>
      </c>
      <c r="H2884" s="1">
        <v>-4.5366129999999996E-6</v>
      </c>
      <c r="I2884">
        <v>255.49340000000001</v>
      </c>
      <c r="J2884">
        <v>-489.8879</v>
      </c>
      <c r="K2884">
        <v>1.1107610000000001</v>
      </c>
      <c r="L2884">
        <v>277.13459999999998</v>
      </c>
      <c r="M2884">
        <v>-0.76308809999999905</v>
      </c>
      <c r="N2884">
        <v>0</v>
      </c>
      <c r="O2884">
        <v>-0.64622740000000001</v>
      </c>
      <c r="P2884">
        <v>-0.69825179999999998</v>
      </c>
      <c r="Q2884">
        <v>-6.7658140000000002E-3</v>
      </c>
      <c r="R2884">
        <v>-0.71582040000000002</v>
      </c>
      <c r="S2884">
        <v>-1.2782899999999999</v>
      </c>
      <c r="T2884">
        <v>-0.1509103</v>
      </c>
      <c r="U2884">
        <v>-2.9454349999999998</v>
      </c>
      <c r="V2884">
        <v>-9.5015089999999996E-2</v>
      </c>
      <c r="W2884">
        <v>2.2309439999999999E-3</v>
      </c>
      <c r="X2884">
        <v>0.99547330000000001</v>
      </c>
      <c r="Y2884">
        <v>-0.44283980000000001</v>
      </c>
      <c r="Z2884">
        <v>2.1981830000000001E-2</v>
      </c>
      <c r="AA2884">
        <v>0.89633130000000005</v>
      </c>
      <c r="AB2884">
        <v>10</v>
      </c>
      <c r="AC2884">
        <v>-9.3675999999999799</v>
      </c>
      <c r="AD2884">
        <v>-1.110765536613</v>
      </c>
      <c r="AE2884">
        <v>-21.641199999999898</v>
      </c>
      <c r="AF2884">
        <v>-10.437837541199301</v>
      </c>
      <c r="AG2884">
        <v>-1.110765536613</v>
      </c>
      <c r="AH2884">
        <v>21.087569858777801</v>
      </c>
      <c r="AI2884">
        <v>92.702783919962997</v>
      </c>
      <c r="AJ2884">
        <v>116.334298017317</v>
      </c>
      <c r="AK2884">
        <v>23.555633193837799</v>
      </c>
      <c r="AL2884">
        <v>89.872176214312205</v>
      </c>
      <c r="AM2884">
        <v>95.452202120170696</v>
      </c>
      <c r="AN2884">
        <v>0.99999996772586397</v>
      </c>
    </row>
    <row r="2885" spans="1:40" x14ac:dyDescent="0.25">
      <c r="A2885" t="str">
        <f>"20190312160657391"</f>
        <v>20190312160657391</v>
      </c>
      <c r="B2885" t="str">
        <f>"1552378017377763"</f>
        <v>1552378017377763</v>
      </c>
      <c r="C2885" t="s">
        <v>40</v>
      </c>
      <c r="D2885">
        <v>6.2448739999999896</v>
      </c>
      <c r="E2885">
        <v>0.3930247</v>
      </c>
      <c r="F2885" t="s">
        <v>47</v>
      </c>
      <c r="G2885">
        <v>-498.25799999999998</v>
      </c>
      <c r="H2885" s="1">
        <v>-3.0596770000000001E-6</v>
      </c>
      <c r="I2885">
        <v>261.67329999999998</v>
      </c>
      <c r="J2885">
        <v>-489.92630000000003</v>
      </c>
      <c r="K2885">
        <v>1.1107720000000001</v>
      </c>
      <c r="L2885">
        <v>277.09879999999998</v>
      </c>
      <c r="M2885">
        <v>-0.76162289999999999</v>
      </c>
      <c r="N2885">
        <v>0</v>
      </c>
      <c r="O2885">
        <v>-0.64795519999999995</v>
      </c>
      <c r="P2885">
        <v>-0.69660639999999996</v>
      </c>
      <c r="Q2885">
        <v>-6.4338729999999997E-3</v>
      </c>
      <c r="R2885">
        <v>-0.71742510000000004</v>
      </c>
      <c r="S2885">
        <v>-1.48407</v>
      </c>
      <c r="T2885">
        <v>-0.19694610000000001</v>
      </c>
      <c r="U2885">
        <v>-2.7413940000000001</v>
      </c>
      <c r="V2885">
        <v>-9.5049220000000004E-2</v>
      </c>
      <c r="W2885">
        <v>2.4793760000000001E-3</v>
      </c>
      <c r="X2885">
        <v>0.99546950000000001</v>
      </c>
      <c r="Y2885">
        <v>-0.36161539999999998</v>
      </c>
      <c r="Z2885">
        <v>3.1886730000000002E-2</v>
      </c>
      <c r="AA2885">
        <v>0.93178190000000005</v>
      </c>
      <c r="AB2885">
        <v>10</v>
      </c>
      <c r="AC2885">
        <v>-8.3317000000000103</v>
      </c>
      <c r="AD2885">
        <v>-1.1107750596770001</v>
      </c>
      <c r="AE2885">
        <v>-15.4255</v>
      </c>
      <c r="AF2885">
        <v>-6.3247255865753598</v>
      </c>
      <c r="AG2885">
        <v>-1.1107750596770001</v>
      </c>
      <c r="AH2885">
        <v>16.276002526947799</v>
      </c>
      <c r="AI2885">
        <v>93.639802828227999</v>
      </c>
      <c r="AJ2885">
        <v>111.23573187459</v>
      </c>
      <c r="AK2885">
        <v>17.496977831496899</v>
      </c>
      <c r="AL2885">
        <v>89.857942075742898</v>
      </c>
      <c r="AM2885">
        <v>95.454169471183206</v>
      </c>
      <c r="AN2885">
        <v>1.0000000134791001</v>
      </c>
    </row>
    <row r="2886" spans="1:40" x14ac:dyDescent="0.25">
      <c r="A2886" t="str">
        <f>"20190312160657401"</f>
        <v>20190312160657401</v>
      </c>
      <c r="B2886" t="str">
        <f>"1552378017398261"</f>
        <v>1552378017398261</v>
      </c>
      <c r="C2886" t="s">
        <v>40</v>
      </c>
      <c r="D2886">
        <v>5.6310960000000003</v>
      </c>
      <c r="E2886">
        <v>0.4869021</v>
      </c>
      <c r="F2886" t="s">
        <v>47</v>
      </c>
      <c r="G2886">
        <v>-498.31049999999999</v>
      </c>
      <c r="H2886" s="1">
        <v>-3.0184799999999999E-6</v>
      </c>
      <c r="I2886">
        <v>261.5249</v>
      </c>
      <c r="J2886">
        <v>-489.96050000000002</v>
      </c>
      <c r="K2886">
        <v>1.110781</v>
      </c>
      <c r="L2886">
        <v>277.06659999999999</v>
      </c>
      <c r="M2886">
        <v>-0.76030279999999995</v>
      </c>
      <c r="N2886">
        <v>0</v>
      </c>
      <c r="O2886">
        <v>-0.64950419999999998</v>
      </c>
      <c r="P2886">
        <v>-0.69534549999999995</v>
      </c>
      <c r="Q2886">
        <v>-5.9592830000000001E-3</v>
      </c>
      <c r="R2886">
        <v>-0.71865109999999999</v>
      </c>
      <c r="S2886">
        <v>-1.4777830000000001</v>
      </c>
      <c r="T2886">
        <v>-0.19578100000000001</v>
      </c>
      <c r="U2886">
        <v>-2.7449949999999999</v>
      </c>
      <c r="V2886">
        <v>-9.4775219999999993E-2</v>
      </c>
      <c r="W2886">
        <v>2.8837329999999999E-3</v>
      </c>
      <c r="X2886">
        <v>0.99549449999999995</v>
      </c>
      <c r="Y2886">
        <v>-0.3618808</v>
      </c>
      <c r="Z2886">
        <v>3.180231E-2</v>
      </c>
      <c r="AA2886">
        <v>0.9316818</v>
      </c>
      <c r="AB2886">
        <v>10</v>
      </c>
      <c r="AC2886">
        <v>-8.3499999999999606</v>
      </c>
      <c r="AD2886">
        <v>-1.11078401848</v>
      </c>
      <c r="AE2886">
        <v>-15.541699999999899</v>
      </c>
      <c r="AF2886">
        <v>-6.3680637354060901</v>
      </c>
      <c r="AG2886">
        <v>-1.11078401848</v>
      </c>
      <c r="AH2886">
        <v>16.378693974293</v>
      </c>
      <c r="AI2886">
        <v>93.616816467395296</v>
      </c>
      <c r="AJ2886">
        <v>111.246165087184</v>
      </c>
      <c r="AK2886">
        <v>17.608171204797198</v>
      </c>
      <c r="AL2886">
        <v>89.834774037367396</v>
      </c>
      <c r="AM2886">
        <v>95.438405289815194</v>
      </c>
      <c r="AN2886">
        <v>0.99999997888615599</v>
      </c>
    </row>
    <row r="2887" spans="1:40" x14ac:dyDescent="0.25">
      <c r="A2887" t="str">
        <f>"20190312160657411"</f>
        <v>20190312160657411</v>
      </c>
      <c r="B2887" t="str">
        <f>"1552378017408020"</f>
        <v>1552378017408020</v>
      </c>
      <c r="C2887" t="s">
        <v>40</v>
      </c>
      <c r="D2887">
        <v>5.9575490000000002</v>
      </c>
      <c r="E2887">
        <v>0.4992432</v>
      </c>
      <c r="F2887" t="s">
        <v>47</v>
      </c>
      <c r="G2887">
        <v>-498.27510000000001</v>
      </c>
      <c r="H2887" s="1">
        <v>-5.1682750000000001E-6</v>
      </c>
      <c r="I2887">
        <v>267.86059999999998</v>
      </c>
      <c r="J2887">
        <v>-489.99579999999997</v>
      </c>
      <c r="K2887">
        <v>1.110792</v>
      </c>
      <c r="L2887">
        <v>277.0333</v>
      </c>
      <c r="M2887">
        <v>-0.75893319999999997</v>
      </c>
      <c r="N2887">
        <v>0</v>
      </c>
      <c r="O2887">
        <v>-0.65110489999999999</v>
      </c>
      <c r="P2887">
        <v>-0.69387500000000002</v>
      </c>
      <c r="Q2887">
        <v>-5.6919020000000004E-3</v>
      </c>
      <c r="R2887">
        <v>-0.72007299999999996</v>
      </c>
      <c r="S2887">
        <v>-2.0109249999999999</v>
      </c>
      <c r="T2887">
        <v>-0.26864759999999999</v>
      </c>
      <c r="U2887">
        <v>-2.2265009999999998</v>
      </c>
      <c r="V2887">
        <v>-9.4715369999999993E-2</v>
      </c>
      <c r="W2887">
        <v>3.0797120000000001E-3</v>
      </c>
      <c r="X2887">
        <v>0.99549960000000004</v>
      </c>
      <c r="Y2887">
        <v>-0.12828349999999999</v>
      </c>
      <c r="Z2887">
        <v>5.3771659999999999E-2</v>
      </c>
      <c r="AA2887">
        <v>0.99027869999999996</v>
      </c>
      <c r="AB2887">
        <v>10</v>
      </c>
      <c r="AC2887">
        <v>-8.2793000000000294</v>
      </c>
      <c r="AD2887">
        <v>-1.110797168275</v>
      </c>
      <c r="AE2887">
        <v>-9.1727000000000096</v>
      </c>
      <c r="AF2887">
        <v>-1.5582464015138999</v>
      </c>
      <c r="AG2887">
        <v>-1.110797168275</v>
      </c>
      <c r="AH2887">
        <v>12.1580818954073</v>
      </c>
      <c r="AI2887">
        <v>95.178091575187096</v>
      </c>
      <c r="AJ2887">
        <v>97.303524579758502</v>
      </c>
      <c r="AK2887">
        <v>12.3077600550348</v>
      </c>
      <c r="AL2887">
        <v>89.823545216014594</v>
      </c>
      <c r="AM2887">
        <v>95.434963862526502</v>
      </c>
      <c r="AN2887">
        <v>0.999999969770199</v>
      </c>
    </row>
    <row r="2888" spans="1:40" x14ac:dyDescent="0.25">
      <c r="A2888" t="str">
        <f>"20190312160657424"</f>
        <v>20190312160657424</v>
      </c>
      <c r="B2888" t="str">
        <f>"1552378017417779"</f>
        <v>1552378017417779</v>
      </c>
      <c r="C2888" t="s">
        <v>40</v>
      </c>
      <c r="D2888">
        <v>5.817488</v>
      </c>
      <c r="E2888">
        <v>0.4992432</v>
      </c>
      <c r="F2888" t="s">
        <v>47</v>
      </c>
      <c r="G2888">
        <v>-499.01069999999999</v>
      </c>
      <c r="H2888" s="1">
        <v>-5.2263999999999996E-6</v>
      </c>
      <c r="I2888">
        <v>267.64800000000002</v>
      </c>
      <c r="J2888">
        <v>-490.03379999999999</v>
      </c>
      <c r="K2888">
        <v>1.1108020000000001</v>
      </c>
      <c r="L2888">
        <v>276.99720000000002</v>
      </c>
      <c r="M2888">
        <v>-0.75744489999999998</v>
      </c>
      <c r="N2888">
        <v>0</v>
      </c>
      <c r="O2888">
        <v>-0.65283669999999905</v>
      </c>
      <c r="P2888">
        <v>-0.69228190000000001</v>
      </c>
      <c r="Q2888">
        <v>-5.3352529999999999E-3</v>
      </c>
      <c r="R2888">
        <v>-0.72160709999999995</v>
      </c>
      <c r="S2888">
        <v>-2.0772400000000002</v>
      </c>
      <c r="T2888">
        <v>-0.25595560000000001</v>
      </c>
      <c r="U2888">
        <v>-2.162598</v>
      </c>
      <c r="V2888">
        <v>-9.4645019999999996E-2</v>
      </c>
      <c r="W2888">
        <v>3.364859E-3</v>
      </c>
      <c r="X2888">
        <v>0.99550539999999998</v>
      </c>
      <c r="Y2888">
        <v>-9.5485260000000002E-2</v>
      </c>
      <c r="Z2888">
        <v>5.249496E-2</v>
      </c>
      <c r="AA2888">
        <v>0.99404570000000003</v>
      </c>
      <c r="AB2888">
        <v>10</v>
      </c>
      <c r="AC2888">
        <v>-8.9769000000000005</v>
      </c>
      <c r="AD2888">
        <v>-1.1108072264</v>
      </c>
      <c r="AE2888">
        <v>-9.3492000000000495</v>
      </c>
      <c r="AF2888">
        <v>-1.2122002925014399</v>
      </c>
      <c r="AG2888">
        <v>-1.1108072264</v>
      </c>
      <c r="AH2888">
        <v>12.809449014841499</v>
      </c>
      <c r="AI2888">
        <v>94.9342299552914</v>
      </c>
      <c r="AJ2888">
        <v>95.405988724725503</v>
      </c>
      <c r="AK2888">
        <v>12.9145385634636</v>
      </c>
      <c r="AL2888">
        <v>89.807207417172606</v>
      </c>
      <c r="AM2888">
        <v>95.430919726882493</v>
      </c>
      <c r="AN2888">
        <v>1.00000000175802</v>
      </c>
    </row>
    <row r="2889" spans="1:40" x14ac:dyDescent="0.25">
      <c r="A2889" t="str">
        <f>"20190312160657435"</f>
        <v>20190312160657435</v>
      </c>
      <c r="B2889" t="str">
        <f>"1552378017428516"</f>
        <v>1552378017428516</v>
      </c>
      <c r="C2889" t="s">
        <v>40</v>
      </c>
      <c r="D2889">
        <v>6.0265950000000004</v>
      </c>
      <c r="E2889">
        <v>0.5608128</v>
      </c>
      <c r="F2889" t="s">
        <v>47</v>
      </c>
      <c r="G2889">
        <v>-499.06779999999998</v>
      </c>
      <c r="H2889" s="1">
        <v>-5.2038540000000003E-6</v>
      </c>
      <c r="I2889">
        <v>267.55200000000002</v>
      </c>
      <c r="J2889">
        <v>-490.06970000000001</v>
      </c>
      <c r="K2889">
        <v>1.110811</v>
      </c>
      <c r="L2889">
        <v>276.9631</v>
      </c>
      <c r="M2889">
        <v>-0.75603500000000001</v>
      </c>
      <c r="N2889">
        <v>0</v>
      </c>
      <c r="O2889">
        <v>-0.65446979999999999</v>
      </c>
      <c r="P2889">
        <v>-0.69076300000000002</v>
      </c>
      <c r="Q2889">
        <v>-5.077575E-3</v>
      </c>
      <c r="R2889">
        <v>-0.72306329999999996</v>
      </c>
      <c r="S2889">
        <v>-2.0726930000000001</v>
      </c>
      <c r="T2889">
        <v>-0.25485730000000001</v>
      </c>
      <c r="U2889">
        <v>-2.1670530000000001</v>
      </c>
      <c r="V2889">
        <v>-9.4592739999999995E-2</v>
      </c>
      <c r="W2889">
        <v>3.5560700000000002E-3</v>
      </c>
      <c r="X2889">
        <v>0.99550970000000005</v>
      </c>
      <c r="Y2889">
        <v>-9.5439529999999995E-2</v>
      </c>
      <c r="Z2889">
        <v>5.2415070000000001E-2</v>
      </c>
      <c r="AA2889">
        <v>0.99405429999999995</v>
      </c>
      <c r="AB2889">
        <v>10</v>
      </c>
      <c r="AC2889">
        <v>-8.99809999999996</v>
      </c>
      <c r="AD2889">
        <v>-1.1108162038539999</v>
      </c>
      <c r="AE2889">
        <v>-9.4110999999999692</v>
      </c>
      <c r="AF2889">
        <v>-1.2173255689809901</v>
      </c>
      <c r="AG2889">
        <v>-1.1108162038539999</v>
      </c>
      <c r="AH2889">
        <v>12.8690163968297</v>
      </c>
      <c r="AI2889">
        <v>94.911560374297196</v>
      </c>
      <c r="AJ2889">
        <v>95.403730376567907</v>
      </c>
      <c r="AK2889">
        <v>12.974104100149299</v>
      </c>
      <c r="AL2889">
        <v>89.796251767403703</v>
      </c>
      <c r="AM2889">
        <v>95.427914412871104</v>
      </c>
      <c r="AN2889">
        <v>0.999999997444321</v>
      </c>
    </row>
    <row r="2890" spans="1:40" x14ac:dyDescent="0.25">
      <c r="A2890" t="str">
        <f>"20190312160657446"</f>
        <v>20190312160657446</v>
      </c>
      <c r="B2890" t="str">
        <f>"1552378017438276"</f>
        <v>1552378017438276</v>
      </c>
      <c r="C2890" t="s">
        <v>40</v>
      </c>
      <c r="D2890">
        <v>5.9181800000000004</v>
      </c>
      <c r="E2890">
        <v>0.55528040000000001</v>
      </c>
      <c r="F2890" t="s">
        <v>44</v>
      </c>
      <c r="G2890">
        <v>-490.69420000000002</v>
      </c>
      <c r="H2890">
        <v>0.97907880000000003</v>
      </c>
      <c r="I2890">
        <v>276.49180000000001</v>
      </c>
      <c r="J2890">
        <v>-490.10449999999997</v>
      </c>
      <c r="K2890">
        <v>1.110822</v>
      </c>
      <c r="L2890">
        <v>276.92970000000003</v>
      </c>
      <c r="M2890">
        <v>-0.7546484</v>
      </c>
      <c r="N2890">
        <v>0</v>
      </c>
      <c r="O2890">
        <v>-0.65606919999999902</v>
      </c>
      <c r="P2890">
        <v>-0.68900130000000004</v>
      </c>
      <c r="Q2890">
        <v>-4.6280330000000001E-3</v>
      </c>
      <c r="R2890">
        <v>-0.72474559999999999</v>
      </c>
      <c r="S2890">
        <v>-2.423584</v>
      </c>
      <c r="T2890">
        <v>-0.51231269999999995</v>
      </c>
      <c r="U2890">
        <v>-1.8300780000000001</v>
      </c>
      <c r="V2890">
        <v>-9.4912070000000001E-2</v>
      </c>
      <c r="W2890">
        <v>3.9442130000000002E-3</v>
      </c>
      <c r="X2890">
        <v>0.99547790000000003</v>
      </c>
      <c r="Y2890">
        <v>6.094807E-2</v>
      </c>
      <c r="Z2890">
        <v>0.1134315</v>
      </c>
      <c r="AA2890">
        <v>0.99167470000000002</v>
      </c>
      <c r="AB2890">
        <v>10</v>
      </c>
      <c r="AC2890">
        <v>-0.58970000000004996</v>
      </c>
      <c r="AD2890">
        <v>-0.13174319999999901</v>
      </c>
      <c r="AE2890">
        <v>-0.437900000000013</v>
      </c>
      <c r="AF2890">
        <v>5.4667015604332597E-2</v>
      </c>
      <c r="AG2890">
        <v>-0.13174319999999901</v>
      </c>
      <c r="AH2890">
        <v>0.709512159759353</v>
      </c>
      <c r="AI2890">
        <v>100.488568219538</v>
      </c>
      <c r="AJ2890">
        <v>85.594137288830495</v>
      </c>
      <c r="AK2890">
        <v>0.72370730146082296</v>
      </c>
      <c r="AL2890">
        <v>89.774012667773206</v>
      </c>
      <c r="AM2890">
        <v>95.446301125612806</v>
      </c>
      <c r="AN2890">
        <v>1.0000000536181399</v>
      </c>
    </row>
    <row r="2891" spans="1:40" x14ac:dyDescent="0.25">
      <c r="A2891" t="str">
        <f>"20190312160657456"</f>
        <v>20190312160657456</v>
      </c>
      <c r="B2891" t="str">
        <f>"1552378017448036"</f>
        <v>1552378017448036</v>
      </c>
      <c r="C2891" t="s">
        <v>40</v>
      </c>
      <c r="D2891">
        <v>5.7169600000000003</v>
      </c>
      <c r="E2891">
        <v>0.55205150000000003</v>
      </c>
      <c r="F2891" t="s">
        <v>44</v>
      </c>
      <c r="G2891">
        <v>-490.69200000000001</v>
      </c>
      <c r="H2891">
        <v>1.0044420000000001</v>
      </c>
      <c r="I2891">
        <v>276.47030000000001</v>
      </c>
      <c r="J2891">
        <v>-490.13889999999998</v>
      </c>
      <c r="K2891">
        <v>1.110833</v>
      </c>
      <c r="L2891">
        <v>276.89670000000001</v>
      </c>
      <c r="M2891">
        <v>-0.75326949999999904</v>
      </c>
      <c r="N2891">
        <v>0</v>
      </c>
      <c r="O2891">
        <v>-0.65765280000000004</v>
      </c>
      <c r="P2891">
        <v>-0.68717799999999996</v>
      </c>
      <c r="Q2891">
        <v>-4.2012509999999996E-3</v>
      </c>
      <c r="R2891">
        <v>-0.72647720000000005</v>
      </c>
      <c r="S2891">
        <v>-2.3868100000000001</v>
      </c>
      <c r="T2891">
        <v>-0.43326389999999998</v>
      </c>
      <c r="U2891">
        <v>-1.867432</v>
      </c>
      <c r="V2891">
        <v>-9.5326309999999997E-2</v>
      </c>
      <c r="W2891">
        <v>4.3113739999999998E-3</v>
      </c>
      <c r="X2891">
        <v>0.99543669999999995</v>
      </c>
      <c r="Y2891">
        <v>4.8260450000000003E-2</v>
      </c>
      <c r="Z2891">
        <v>9.5934220000000001E-2</v>
      </c>
      <c r="AA2891">
        <v>0.99421700000000002</v>
      </c>
      <c r="AB2891">
        <v>10</v>
      </c>
      <c r="AC2891">
        <v>-0.55309999999997195</v>
      </c>
      <c r="AD2891">
        <v>-0.106390999999999</v>
      </c>
      <c r="AE2891">
        <v>-0.426400000000001</v>
      </c>
      <c r="AF2891">
        <v>4.15901116295148E-2</v>
      </c>
      <c r="AG2891">
        <v>-0.106390999999999</v>
      </c>
      <c r="AH2891">
        <v>0.68127314596437305</v>
      </c>
      <c r="AI2891">
        <v>98.859671865366494</v>
      </c>
      <c r="AJ2891">
        <v>86.506563884159803</v>
      </c>
      <c r="AK2891">
        <v>0.69078352736479598</v>
      </c>
      <c r="AL2891">
        <v>89.752975690366696</v>
      </c>
      <c r="AM2891">
        <v>95.470152456588906</v>
      </c>
      <c r="AN2891">
        <v>0.99999995851543599</v>
      </c>
    </row>
    <row r="2892" spans="1:40" x14ac:dyDescent="0.25">
      <c r="A2892" t="str">
        <f>"20190312160657467"</f>
        <v>20190312160657467</v>
      </c>
      <c r="B2892" t="str">
        <f>"1552378017458301"</f>
        <v>1552378017458301</v>
      </c>
      <c r="C2892" t="s">
        <v>40</v>
      </c>
      <c r="D2892">
        <v>5.4441569999999997</v>
      </c>
      <c r="E2892">
        <v>0.54988249999999905</v>
      </c>
      <c r="F2892" t="s">
        <v>44</v>
      </c>
      <c r="G2892">
        <v>-490.75540000000001</v>
      </c>
      <c r="H2892">
        <v>1.0081389999999999</v>
      </c>
      <c r="I2892">
        <v>276.40339999999998</v>
      </c>
      <c r="J2892">
        <v>-490.17520000000002</v>
      </c>
      <c r="K2892">
        <v>1.1108439999999999</v>
      </c>
      <c r="L2892">
        <v>276.86149999999998</v>
      </c>
      <c r="M2892">
        <v>-0.75179989999999997</v>
      </c>
      <c r="N2892">
        <v>0</v>
      </c>
      <c r="O2892">
        <v>-0.6593329</v>
      </c>
      <c r="P2892">
        <v>-0.68527959999999999</v>
      </c>
      <c r="Q2892">
        <v>-3.9799620000000001E-3</v>
      </c>
      <c r="R2892">
        <v>-0.72826930000000001</v>
      </c>
      <c r="S2892">
        <v>-2.3635860000000002</v>
      </c>
      <c r="T2892">
        <v>-0.39387420000000001</v>
      </c>
      <c r="U2892">
        <v>-1.8914789999999999</v>
      </c>
      <c r="V2892">
        <v>-9.5703570000000002E-2</v>
      </c>
      <c r="W2892">
        <v>4.4744509999999999E-3</v>
      </c>
      <c r="X2892">
        <v>0.99539979999999995</v>
      </c>
      <c r="Y2892">
        <v>4.0529219999999998E-2</v>
      </c>
      <c r="Z2892">
        <v>8.7248790000000007E-2</v>
      </c>
      <c r="AA2892">
        <v>0.99536170000000002</v>
      </c>
      <c r="AB2892">
        <v>10</v>
      </c>
      <c r="AC2892">
        <v>-0.58019999999998995</v>
      </c>
      <c r="AD2892">
        <v>-0.102705</v>
      </c>
      <c r="AE2892">
        <v>-0.45810000000000101</v>
      </c>
      <c r="AF2892">
        <v>3.74245149484424E-2</v>
      </c>
      <c r="AG2892">
        <v>-0.102705</v>
      </c>
      <c r="AH2892">
        <v>0.72428301375904902</v>
      </c>
      <c r="AI2892">
        <v>98.060253266036597</v>
      </c>
      <c r="AJ2892">
        <v>87.042093438492003</v>
      </c>
      <c r="AK2892">
        <v>0.73248535505088197</v>
      </c>
      <c r="AL2892">
        <v>89.743631980954305</v>
      </c>
      <c r="AM2892">
        <v>95.491871186197002</v>
      </c>
      <c r="AN2892">
        <v>0.99999997793126705</v>
      </c>
    </row>
    <row r="2893" spans="1:40" x14ac:dyDescent="0.25">
      <c r="A2893" t="str">
        <f>"20190312160657479"</f>
        <v>20190312160657479</v>
      </c>
      <c r="B2893" t="str">
        <f>"1552378017468061"</f>
        <v>1552378017468061</v>
      </c>
      <c r="C2893" t="s">
        <v>40</v>
      </c>
      <c r="D2893">
        <v>5.6598470000000001</v>
      </c>
      <c r="E2893">
        <v>0.54910269999999906</v>
      </c>
      <c r="F2893" t="s">
        <v>44</v>
      </c>
      <c r="G2893">
        <v>-490.75290000000001</v>
      </c>
      <c r="H2893">
        <v>1.020446</v>
      </c>
      <c r="I2893">
        <v>276.3913</v>
      </c>
      <c r="J2893">
        <v>-490.21159999999998</v>
      </c>
      <c r="K2893">
        <v>1.1108469999999999</v>
      </c>
      <c r="L2893">
        <v>276.82619999999997</v>
      </c>
      <c r="M2893">
        <v>-0.75031919999999996</v>
      </c>
      <c r="N2893">
        <v>0</v>
      </c>
      <c r="O2893">
        <v>-0.66101799999999999</v>
      </c>
      <c r="P2893">
        <v>-0.68326989999999999</v>
      </c>
      <c r="Q2893">
        <v>-3.6713750000000002E-3</v>
      </c>
      <c r="R2893">
        <v>-0.73015699999999994</v>
      </c>
      <c r="S2893">
        <v>-2.3458860000000001</v>
      </c>
      <c r="T2893">
        <v>-0.3672724</v>
      </c>
      <c r="U2893">
        <v>-1.9099120000000001</v>
      </c>
      <c r="V2893">
        <v>-9.6216560000000007E-2</v>
      </c>
      <c r="W2893">
        <v>4.7262179999999999E-3</v>
      </c>
      <c r="X2893">
        <v>0.99534920000000005</v>
      </c>
      <c r="Y2893">
        <v>3.4985860000000001E-2</v>
      </c>
      <c r="Z2893">
        <v>8.1424949999999996E-2</v>
      </c>
      <c r="AA2893">
        <v>0.99606530000000004</v>
      </c>
      <c r="AB2893">
        <v>10</v>
      </c>
      <c r="AC2893">
        <v>-0.54130000000003498</v>
      </c>
      <c r="AD2893">
        <v>-9.0400999999999898E-2</v>
      </c>
      <c r="AE2893">
        <v>-0.43489999999996998</v>
      </c>
      <c r="AF2893">
        <v>3.09714584129194E-2</v>
      </c>
      <c r="AG2893">
        <v>-9.0400999999999898E-2</v>
      </c>
      <c r="AH2893">
        <v>0.682089550001726</v>
      </c>
      <c r="AI2893">
        <v>97.542036722413798</v>
      </c>
      <c r="AJ2893">
        <v>87.400171578936394</v>
      </c>
      <c r="AK2893">
        <v>0.68875084483344196</v>
      </c>
      <c r="AL2893">
        <v>89.729206646529406</v>
      </c>
      <c r="AM2893">
        <v>95.521406226461096</v>
      </c>
      <c r="AN2893">
        <v>0.99999999674772799</v>
      </c>
    </row>
    <row r="2894" spans="1:40" x14ac:dyDescent="0.25">
      <c r="A2894" t="str">
        <f>"20190312160657489"</f>
        <v>20190312160657489</v>
      </c>
      <c r="B2894" t="str">
        <f>"1552378017477821"</f>
        <v>1552378017477821</v>
      </c>
      <c r="C2894" t="s">
        <v>40</v>
      </c>
      <c r="D2894">
        <v>5.7844160000000002</v>
      </c>
      <c r="E2894">
        <v>0.54769409999999996</v>
      </c>
      <c r="F2894" t="s">
        <v>44</v>
      </c>
      <c r="G2894">
        <v>-490.81810000000002</v>
      </c>
      <c r="H2894">
        <v>1.020864</v>
      </c>
      <c r="I2894">
        <v>276.32799999999997</v>
      </c>
      <c r="J2894">
        <v>-490.24689999999998</v>
      </c>
      <c r="K2894">
        <v>1.1108559999999901</v>
      </c>
      <c r="L2894">
        <v>276.79180000000002</v>
      </c>
      <c r="M2894">
        <v>-0.74886940000000002</v>
      </c>
      <c r="N2894">
        <v>0</v>
      </c>
      <c r="O2894">
        <v>-0.66266069999999999</v>
      </c>
      <c r="P2894">
        <v>-0.68132789999999999</v>
      </c>
      <c r="Q2894">
        <v>-3.5642899999999999E-3</v>
      </c>
      <c r="R2894">
        <v>-0.73196969999999995</v>
      </c>
      <c r="S2894">
        <v>-2.3362430000000001</v>
      </c>
      <c r="T2894">
        <v>-0.34824480000000002</v>
      </c>
      <c r="U2894">
        <v>-1.920776</v>
      </c>
      <c r="V2894">
        <v>-9.6680210000000003E-2</v>
      </c>
      <c r="W2894">
        <v>4.7805770000000003E-3</v>
      </c>
      <c r="X2894">
        <v>0.99530399999999997</v>
      </c>
      <c r="Y2894">
        <v>3.2783960000000001E-2</v>
      </c>
      <c r="Z2894">
        <v>7.7351790000000004E-2</v>
      </c>
      <c r="AA2894">
        <v>0.99646469999999998</v>
      </c>
      <c r="AB2894">
        <v>10</v>
      </c>
      <c r="AC2894">
        <v>-0.57120000000003202</v>
      </c>
      <c r="AD2894">
        <v>-8.9991999999999794E-2</v>
      </c>
      <c r="AE2894">
        <v>-0.46380000000004801</v>
      </c>
      <c r="AF2894">
        <v>3.0727681487841E-2</v>
      </c>
      <c r="AG2894">
        <v>-8.9991999999999794E-2</v>
      </c>
      <c r="AH2894">
        <v>0.72428923456304295</v>
      </c>
      <c r="AI2894">
        <v>97.076328022353906</v>
      </c>
      <c r="AJ2894">
        <v>87.570706191992898</v>
      </c>
      <c r="AK2894">
        <v>0.73050506211629795</v>
      </c>
      <c r="AL2894">
        <v>89.726092066745096</v>
      </c>
      <c r="AM2894">
        <v>95.548097648510193</v>
      </c>
      <c r="AN2894">
        <v>0.99999998466904805</v>
      </c>
    </row>
    <row r="2895" spans="1:40" x14ac:dyDescent="0.25">
      <c r="A2895" t="str">
        <f>"20190312160657502"</f>
        <v>20190312160657502</v>
      </c>
      <c r="B2895" t="str">
        <f>"1552378017498317"</f>
        <v>1552378017498317</v>
      </c>
      <c r="C2895" t="s">
        <v>40</v>
      </c>
      <c r="D2895">
        <v>5.860519</v>
      </c>
      <c r="E2895">
        <v>0.54724740000000005</v>
      </c>
      <c r="F2895" t="s">
        <v>44</v>
      </c>
      <c r="G2895">
        <v>-490.81560000000002</v>
      </c>
      <c r="H2895">
        <v>1.0296270000000001</v>
      </c>
      <c r="I2895">
        <v>276.3186</v>
      </c>
      <c r="J2895">
        <v>-490.2835</v>
      </c>
      <c r="K2895">
        <v>1.110865</v>
      </c>
      <c r="L2895">
        <v>276.75599999999997</v>
      </c>
      <c r="M2895">
        <v>-0.74735719999999894</v>
      </c>
      <c r="N2895">
        <v>0</v>
      </c>
      <c r="O2895">
        <v>-0.66436609999999996</v>
      </c>
      <c r="P2895">
        <v>-0.6792629</v>
      </c>
      <c r="Q2895">
        <v>-3.3356710000000001E-3</v>
      </c>
      <c r="R2895">
        <v>-0.73388739999999997</v>
      </c>
      <c r="S2895">
        <v>-2.3229980000000001</v>
      </c>
      <c r="T2895">
        <v>-0.33371000000000001</v>
      </c>
      <c r="U2895">
        <v>-1.934723</v>
      </c>
      <c r="V2895">
        <v>-9.7217369999999997E-2</v>
      </c>
      <c r="W2895">
        <v>4.9555739999999999E-3</v>
      </c>
      <c r="X2895">
        <v>0.99525079999999999</v>
      </c>
      <c r="Y2895">
        <v>2.9023480000000001E-2</v>
      </c>
      <c r="Z2895">
        <v>7.4213050000000003E-2</v>
      </c>
      <c r="AA2895">
        <v>0.99682000000000004</v>
      </c>
      <c r="AB2895">
        <v>10</v>
      </c>
      <c r="AC2895">
        <v>-0.53210000000001401</v>
      </c>
      <c r="AD2895">
        <v>-8.1237999999999894E-2</v>
      </c>
      <c r="AE2895">
        <v>-0.43739999999996798</v>
      </c>
      <c r="AF2895">
        <v>2.62510064682141E-2</v>
      </c>
      <c r="AG2895">
        <v>-8.1237999999999894E-2</v>
      </c>
      <c r="AH2895">
        <v>0.67884549918732995</v>
      </c>
      <c r="AI2895">
        <v>96.819131379273003</v>
      </c>
      <c r="AJ2895">
        <v>87.785471310734806</v>
      </c>
      <c r="AK2895">
        <v>0.68419291121107795</v>
      </c>
      <c r="AL2895">
        <v>89.716065352607899</v>
      </c>
      <c r="AM2895">
        <v>95.5790255512497</v>
      </c>
      <c r="AN2895">
        <v>0.99999996482201203</v>
      </c>
    </row>
    <row r="2896" spans="1:40" x14ac:dyDescent="0.25">
      <c r="A2896" t="str">
        <f>"20190312160657513"</f>
        <v>20190312160657513</v>
      </c>
      <c r="B2896" t="str">
        <f>"1552378017508077"</f>
        <v>1552378017508077</v>
      </c>
      <c r="C2896" t="s">
        <v>40</v>
      </c>
      <c r="D2896">
        <v>5.8100019999999999</v>
      </c>
      <c r="E2896">
        <v>0.5474871</v>
      </c>
      <c r="F2896" t="s">
        <v>44</v>
      </c>
      <c r="G2896">
        <v>-490.88010000000003</v>
      </c>
      <c r="H2896">
        <v>1.0284089999999999</v>
      </c>
      <c r="I2896">
        <v>276.2552</v>
      </c>
      <c r="J2896">
        <v>-490.32350000000002</v>
      </c>
      <c r="K2896">
        <v>1.1108750000000001</v>
      </c>
      <c r="L2896">
        <v>276.71660000000003</v>
      </c>
      <c r="M2896">
        <v>-0.7456893</v>
      </c>
      <c r="N2896">
        <v>0</v>
      </c>
      <c r="O2896">
        <v>-0.66623849999999996</v>
      </c>
      <c r="P2896">
        <v>-0.67715550000000002</v>
      </c>
      <c r="Q2896">
        <v>-3.2064799999999998E-3</v>
      </c>
      <c r="R2896">
        <v>-0.73583319999999997</v>
      </c>
      <c r="S2896">
        <v>-2.3150940000000002</v>
      </c>
      <c r="T2896">
        <v>-0.32019530000000002</v>
      </c>
      <c r="U2896">
        <v>-1.943695</v>
      </c>
      <c r="V2896">
        <v>-9.7576579999999996E-2</v>
      </c>
      <c r="W2896">
        <v>5.0285290000000003E-3</v>
      </c>
      <c r="X2896">
        <v>0.99521530000000002</v>
      </c>
      <c r="Y2896">
        <v>2.7834919999999999E-2</v>
      </c>
      <c r="Z2896">
        <v>7.1386759999999994E-2</v>
      </c>
      <c r="AA2896">
        <v>0.99706019999999895</v>
      </c>
      <c r="AB2896">
        <v>10</v>
      </c>
      <c r="AC2896">
        <v>-0.55660000000000298</v>
      </c>
      <c r="AD2896">
        <v>-8.2466000000000095E-2</v>
      </c>
      <c r="AE2896">
        <v>-0.46140000000002601</v>
      </c>
      <c r="AF2896">
        <v>2.6424490137027402E-2</v>
      </c>
      <c r="AG2896">
        <v>-8.2466000000000095E-2</v>
      </c>
      <c r="AH2896">
        <v>0.71320046093418699</v>
      </c>
      <c r="AI2896">
        <v>96.591227841635501</v>
      </c>
      <c r="AJ2896">
        <v>87.878128759941404</v>
      </c>
      <c r="AK2896">
        <v>0.71843844016849401</v>
      </c>
      <c r="AL2896">
        <v>89.711885292366702</v>
      </c>
      <c r="AM2896">
        <v>95.5997072809717</v>
      </c>
      <c r="AN2896">
        <v>0.99999998421124503</v>
      </c>
    </row>
    <row r="2897" spans="1:40" x14ac:dyDescent="0.25">
      <c r="A2897" t="str">
        <f>"20190312160657526"</f>
        <v>20190312160657526</v>
      </c>
      <c r="B2897" t="str">
        <f>"1552378017517837"</f>
        <v>1552378017517837</v>
      </c>
      <c r="C2897" t="s">
        <v>40</v>
      </c>
      <c r="D2897">
        <v>5.689324</v>
      </c>
      <c r="E2897">
        <v>0.54738659999999995</v>
      </c>
      <c r="F2897" t="s">
        <v>44</v>
      </c>
      <c r="G2897">
        <v>-490.87830000000002</v>
      </c>
      <c r="H2897">
        <v>1.0342629999999999</v>
      </c>
      <c r="I2897">
        <v>276.24869999999999</v>
      </c>
      <c r="J2897">
        <v>-490.36470000000003</v>
      </c>
      <c r="K2897">
        <v>1.110886</v>
      </c>
      <c r="L2897">
        <v>276.67570000000001</v>
      </c>
      <c r="M2897">
        <v>-0.74395040000000001</v>
      </c>
      <c r="N2897">
        <v>0</v>
      </c>
      <c r="O2897">
        <v>-0.6681802</v>
      </c>
      <c r="P2897">
        <v>-0.67496669999999903</v>
      </c>
      <c r="Q2897">
        <v>-3.4183270000000001E-3</v>
      </c>
      <c r="R2897">
        <v>-0.7378403</v>
      </c>
      <c r="S2897">
        <v>-2.3106080000000002</v>
      </c>
      <c r="T2897">
        <v>-0.31922460000000003</v>
      </c>
      <c r="U2897">
        <v>-1.949371</v>
      </c>
      <c r="V2897">
        <v>-9.7936880000000004E-2</v>
      </c>
      <c r="W2897">
        <v>4.7624570000000003E-3</v>
      </c>
      <c r="X2897">
        <v>0.99518130000000005</v>
      </c>
      <c r="Y2897">
        <v>2.806461E-2</v>
      </c>
      <c r="Z2897">
        <v>7.1377019999999999E-2</v>
      </c>
      <c r="AA2897">
        <v>0.99705449999999995</v>
      </c>
      <c r="AB2897">
        <v>10</v>
      </c>
      <c r="AC2897">
        <v>-0.51359999999999595</v>
      </c>
      <c r="AD2897">
        <v>-7.6623000000000094E-2</v>
      </c>
      <c r="AE2897">
        <v>-0.42700000000001997</v>
      </c>
      <c r="AF2897">
        <v>2.5180078889572799E-2</v>
      </c>
      <c r="AG2897">
        <v>-7.6623000000000094E-2</v>
      </c>
      <c r="AH2897">
        <v>0.658760618921992</v>
      </c>
      <c r="AI2897">
        <v>96.629684002843803</v>
      </c>
      <c r="AJ2897">
        <v>87.811025420914007</v>
      </c>
      <c r="AK2897">
        <v>0.66367964677573998</v>
      </c>
      <c r="AL2897">
        <v>89.727130300479004</v>
      </c>
      <c r="AM2897">
        <v>95.620442757964796</v>
      </c>
      <c r="AN2897">
        <v>1.00000006666524</v>
      </c>
    </row>
    <row r="2898" spans="1:40" x14ac:dyDescent="0.25">
      <c r="A2898" t="str">
        <f>"20190312160657541"</f>
        <v>20190312160657541</v>
      </c>
      <c r="B2898" t="str">
        <f>"1552378017527597"</f>
        <v>1552378017527597</v>
      </c>
      <c r="C2898" t="s">
        <v>40</v>
      </c>
      <c r="D2898">
        <v>5.4485999999999999</v>
      </c>
      <c r="E2898">
        <v>0.54744999999999999</v>
      </c>
      <c r="F2898" t="s">
        <v>44</v>
      </c>
      <c r="G2898">
        <v>-490.9425</v>
      </c>
      <c r="H2898">
        <v>1.0313760000000001</v>
      </c>
      <c r="I2898">
        <v>276.18520000000001</v>
      </c>
      <c r="J2898">
        <v>-490.40980000000002</v>
      </c>
      <c r="K2898">
        <v>1.110897</v>
      </c>
      <c r="L2898">
        <v>276.63080000000002</v>
      </c>
      <c r="M2898">
        <v>-0.74203739999999996</v>
      </c>
      <c r="N2898">
        <v>0</v>
      </c>
      <c r="O2898">
        <v>-0.67030480000000003</v>
      </c>
      <c r="P2898">
        <v>-0.67280689999999999</v>
      </c>
      <c r="Q2898">
        <v>-3.4891549999999999E-3</v>
      </c>
      <c r="R2898">
        <v>-0.73980999999999997</v>
      </c>
      <c r="S2898">
        <v>-2.3037719999999999</v>
      </c>
      <c r="T2898">
        <v>-0.31796160000000001</v>
      </c>
      <c r="U2898">
        <v>-1.9569700000000001</v>
      </c>
      <c r="V2898">
        <v>-9.8000530000000002E-2</v>
      </c>
      <c r="W2898">
        <v>4.63562E-3</v>
      </c>
      <c r="X2898">
        <v>0.99517549999999999</v>
      </c>
      <c r="Y2898">
        <v>2.7567660000000001E-2</v>
      </c>
      <c r="Z2898">
        <v>7.1303870000000005E-2</v>
      </c>
      <c r="AA2898">
        <v>0.9970736</v>
      </c>
      <c r="AB2898">
        <v>10</v>
      </c>
      <c r="AC2898">
        <v>-0.53269999999997697</v>
      </c>
      <c r="AD2898">
        <v>-7.9520999999999897E-2</v>
      </c>
      <c r="AE2898">
        <v>-0.44560000000001299</v>
      </c>
      <c r="AF2898">
        <v>2.6078548431764399E-2</v>
      </c>
      <c r="AG2898">
        <v>-7.9520999999999897E-2</v>
      </c>
      <c r="AH2898">
        <v>0.68501519680678102</v>
      </c>
      <c r="AI2898">
        <v>96.616876035375697</v>
      </c>
      <c r="AJ2898">
        <v>87.819800877491303</v>
      </c>
      <c r="AK2898">
        <v>0.69010832481976403</v>
      </c>
      <c r="AL2898">
        <v>89.734397569870794</v>
      </c>
      <c r="AM2898">
        <v>95.624104687945504</v>
      </c>
      <c r="AN2898">
        <v>0.99999993432665502</v>
      </c>
    </row>
    <row r="2899" spans="1:40" x14ac:dyDescent="0.25">
      <c r="A2899" t="str">
        <f>"20190312160657558"</f>
        <v>20190312160657558</v>
      </c>
      <c r="B2899" t="str">
        <f>"1552378017548094"</f>
        <v>1552378017548094</v>
      </c>
      <c r="C2899" t="s">
        <v>40</v>
      </c>
      <c r="D2899">
        <v>5.4587969999999997</v>
      </c>
      <c r="E2899">
        <v>0.54744579999999998</v>
      </c>
      <c r="F2899" t="s">
        <v>44</v>
      </c>
      <c r="G2899">
        <v>-491.00689999999997</v>
      </c>
      <c r="H2899">
        <v>1.0286169999999999</v>
      </c>
      <c r="I2899">
        <v>276.12090000000001</v>
      </c>
      <c r="J2899">
        <v>-490.46879999999999</v>
      </c>
      <c r="K2899">
        <v>1.11091299999999</v>
      </c>
      <c r="L2899">
        <v>276.57159999999999</v>
      </c>
      <c r="M2899">
        <v>-0.73949900000000002</v>
      </c>
      <c r="N2899">
        <v>0</v>
      </c>
      <c r="O2899">
        <v>-0.67310499999999995</v>
      </c>
      <c r="P2899">
        <v>-0.66982439999999999</v>
      </c>
      <c r="Q2899">
        <v>-3.9724519999999996E-3</v>
      </c>
      <c r="R2899">
        <v>-0.74250879999999997</v>
      </c>
      <c r="S2899">
        <v>-2.2983699999999998</v>
      </c>
      <c r="T2899">
        <v>-0.31733600000000001</v>
      </c>
      <c r="U2899">
        <v>-1.963409</v>
      </c>
      <c r="V2899">
        <v>-9.824041E-2</v>
      </c>
      <c r="W2899">
        <v>4.0820170000000003E-3</v>
      </c>
      <c r="X2899">
        <v>0.99515430000000005</v>
      </c>
      <c r="Y2899">
        <v>2.8570269999999998E-2</v>
      </c>
      <c r="Z2899">
        <v>7.1490410000000004E-2</v>
      </c>
      <c r="AA2899">
        <v>0.99703200000000003</v>
      </c>
      <c r="AB2899">
        <v>10</v>
      </c>
      <c r="AC2899">
        <v>-0.53809999999998503</v>
      </c>
      <c r="AD2899">
        <v>-8.2295999999999703E-2</v>
      </c>
      <c r="AE2899">
        <v>-0.450699999999983</v>
      </c>
      <c r="AF2899">
        <v>2.8514650465335498E-2</v>
      </c>
      <c r="AG2899">
        <v>-8.2295999999999703E-2</v>
      </c>
      <c r="AH2899">
        <v>0.69180778967062495</v>
      </c>
      <c r="AI2899">
        <v>96.778204029191699</v>
      </c>
      <c r="AJ2899">
        <v>87.639742000053303</v>
      </c>
      <c r="AK2899">
        <v>0.69726876794828196</v>
      </c>
      <c r="AL2899">
        <v>89.766116995327906</v>
      </c>
      <c r="AM2899">
        <v>95.637901794195301</v>
      </c>
      <c r="AN2899">
        <v>0.99999996091412202</v>
      </c>
    </row>
    <row r="2900" spans="1:40" x14ac:dyDescent="0.25">
      <c r="A2900" t="str">
        <f>"20190312160657573"</f>
        <v>20190312160657573</v>
      </c>
      <c r="B2900" t="str">
        <f>"1552378017568119"</f>
        <v>1552378017568119</v>
      </c>
      <c r="C2900" t="s">
        <v>40</v>
      </c>
      <c r="D2900">
        <v>4.9949620000000001</v>
      </c>
      <c r="E2900">
        <v>0.54687109999999906</v>
      </c>
      <c r="F2900" t="s">
        <v>44</v>
      </c>
      <c r="G2900">
        <v>-491.07089999999999</v>
      </c>
      <c r="H2900">
        <v>1.028103</v>
      </c>
      <c r="I2900">
        <v>276.05360000000002</v>
      </c>
      <c r="J2900">
        <v>-490.51310000000001</v>
      </c>
      <c r="K2900">
        <v>1.110924</v>
      </c>
      <c r="L2900">
        <v>276.52690000000001</v>
      </c>
      <c r="M2900">
        <v>-0.73757649999999997</v>
      </c>
      <c r="N2900">
        <v>0</v>
      </c>
      <c r="O2900">
        <v>-0.67521149999999996</v>
      </c>
      <c r="P2900">
        <v>-0.66760580000000003</v>
      </c>
      <c r="Q2900">
        <v>-4.0922099999999998E-3</v>
      </c>
      <c r="R2900">
        <v>-0.74450399999999906</v>
      </c>
      <c r="S2900">
        <v>-2.2904659999999999</v>
      </c>
      <c r="T2900">
        <v>-0.31671860000000002</v>
      </c>
      <c r="U2900">
        <v>-1.9724120000000001</v>
      </c>
      <c r="V2900">
        <v>-9.8370979999999997E-2</v>
      </c>
      <c r="W2900">
        <v>3.9122640000000004E-3</v>
      </c>
      <c r="X2900">
        <v>0.99514210000000003</v>
      </c>
      <c r="Y2900">
        <v>2.7475260000000001E-2</v>
      </c>
      <c r="Z2900">
        <v>7.1529850000000006E-2</v>
      </c>
      <c r="AA2900">
        <v>0.99705999999999995</v>
      </c>
      <c r="AB2900">
        <v>11</v>
      </c>
      <c r="AC2900">
        <v>-0.55779999999998597</v>
      </c>
      <c r="AD2900">
        <v>-8.2821000000000006E-2</v>
      </c>
      <c r="AE2900">
        <v>-0.473299999999994</v>
      </c>
      <c r="AF2900">
        <v>2.71904726442731E-2</v>
      </c>
      <c r="AG2900">
        <v>-8.2821000000000006E-2</v>
      </c>
      <c r="AH2900">
        <v>0.72177218912334695</v>
      </c>
      <c r="AI2900">
        <v>96.541274534716294</v>
      </c>
      <c r="AJ2900">
        <v>87.8425838467967</v>
      </c>
      <c r="AK2900">
        <v>0.727017010004256</v>
      </c>
      <c r="AL2900">
        <v>89.775843207563398</v>
      </c>
      <c r="AM2900">
        <v>95.645415444380603</v>
      </c>
      <c r="AN2900">
        <v>0.99999997735408697</v>
      </c>
    </row>
    <row r="2901" spans="1:40" x14ac:dyDescent="0.25">
      <c r="A2901" t="str">
        <f>"20190312160657586"</f>
        <v>20190312160657586</v>
      </c>
      <c r="B2901" t="str">
        <f>"1552378017577880"</f>
        <v>1552378017577880</v>
      </c>
      <c r="C2901" t="s">
        <v>40</v>
      </c>
      <c r="D2901">
        <v>5.3883210000000004</v>
      </c>
      <c r="E2901">
        <v>0.54668059999999996</v>
      </c>
      <c r="F2901" t="s">
        <v>44</v>
      </c>
      <c r="G2901">
        <v>-491.06779999999998</v>
      </c>
      <c r="H2901">
        <v>1.0349079999999999</v>
      </c>
      <c r="I2901">
        <v>276.04509999999999</v>
      </c>
      <c r="J2901">
        <v>-490.56020000000001</v>
      </c>
      <c r="K2901">
        <v>1.1109309999999999</v>
      </c>
      <c r="L2901">
        <v>276.47890000000001</v>
      </c>
      <c r="M2901">
        <v>-0.73550269999999995</v>
      </c>
      <c r="N2901">
        <v>0</v>
      </c>
      <c r="O2901">
        <v>-0.67747029999999997</v>
      </c>
      <c r="P2901">
        <v>-0.66519069999999902</v>
      </c>
      <c r="Q2901">
        <v>-4.3042050000000002E-3</v>
      </c>
      <c r="R2901">
        <v>-0.74666119999999903</v>
      </c>
      <c r="S2901">
        <v>-2.2809140000000001</v>
      </c>
      <c r="T2901">
        <v>-0.31411719999999999</v>
      </c>
      <c r="U2901">
        <v>-1.982483</v>
      </c>
      <c r="V2901">
        <v>-9.8541420000000005E-2</v>
      </c>
      <c r="W2901">
        <v>3.6485749999999998E-3</v>
      </c>
      <c r="X2901">
        <v>0.99512619999999896</v>
      </c>
      <c r="Y2901">
        <v>2.6007189999999999E-2</v>
      </c>
      <c r="Z2901">
        <v>7.113601E-2</v>
      </c>
      <c r="AA2901">
        <v>0.99712750000000006</v>
      </c>
      <c r="AB2901">
        <v>11</v>
      </c>
      <c r="AC2901">
        <v>-0.50759999999996797</v>
      </c>
      <c r="AD2901">
        <v>-7.6022999999999896E-2</v>
      </c>
      <c r="AE2901">
        <v>-0.433800000000019</v>
      </c>
      <c r="AF2901">
        <v>2.45060433335576E-2</v>
      </c>
      <c r="AG2901">
        <v>-7.6022999999999896E-2</v>
      </c>
      <c r="AH2901">
        <v>0.65871207633114204</v>
      </c>
      <c r="AI2901">
        <v>96.578957858037597</v>
      </c>
      <c r="AJ2901">
        <v>87.869409624990993</v>
      </c>
      <c r="AK2901">
        <v>0.66353721990054904</v>
      </c>
      <c r="AL2901">
        <v>89.790951574642904</v>
      </c>
      <c r="AM2901">
        <v>95.6552232547118</v>
      </c>
      <c r="AN2901">
        <v>0.99999993874079096</v>
      </c>
    </row>
    <row r="2902" spans="1:40" x14ac:dyDescent="0.25">
      <c r="A2902" t="str">
        <f>"20190312160657598"</f>
        <v>20190312160657598</v>
      </c>
      <c r="B2902" t="str">
        <f>"1552378017587641"</f>
        <v>1552378017587641</v>
      </c>
      <c r="C2902" t="s">
        <v>40</v>
      </c>
      <c r="D2902">
        <v>4.9763630000000001</v>
      </c>
      <c r="E2902">
        <v>0.54646729999999999</v>
      </c>
      <c r="F2902" t="s">
        <v>44</v>
      </c>
      <c r="G2902">
        <v>-491.13150000000002</v>
      </c>
      <c r="H2902">
        <v>1.032041</v>
      </c>
      <c r="I2902">
        <v>275.9785</v>
      </c>
      <c r="J2902">
        <v>-490.5994</v>
      </c>
      <c r="K2902">
        <v>1.1109389999999999</v>
      </c>
      <c r="L2902">
        <v>276.4391</v>
      </c>
      <c r="M2902">
        <v>-0.73377409999999998</v>
      </c>
      <c r="N2902">
        <v>0</v>
      </c>
      <c r="O2902">
        <v>-0.67934280000000002</v>
      </c>
      <c r="P2902">
        <v>-0.66328030000000004</v>
      </c>
      <c r="Q2902">
        <v>-4.3391619999999997E-3</v>
      </c>
      <c r="R2902">
        <v>-0.74835869999999904</v>
      </c>
      <c r="S2902">
        <v>-2.273285</v>
      </c>
      <c r="T2902">
        <v>-0.31304739999999998</v>
      </c>
      <c r="U2902">
        <v>-1.9908140000000001</v>
      </c>
      <c r="V2902">
        <v>-9.8548090000000005E-2</v>
      </c>
      <c r="W2902">
        <v>3.5713279999999999E-3</v>
      </c>
      <c r="X2902">
        <v>0.99512590000000001</v>
      </c>
      <c r="Y2902">
        <v>2.4842820000000002E-2</v>
      </c>
      <c r="Z2902">
        <v>7.1048189999999997E-2</v>
      </c>
      <c r="AA2902">
        <v>0.99716349999999998</v>
      </c>
      <c r="AB2902">
        <v>11</v>
      </c>
      <c r="AC2902">
        <v>-0.53210000000001401</v>
      </c>
      <c r="AD2902">
        <v>-7.8897999999999899E-2</v>
      </c>
      <c r="AE2902">
        <v>-0.46059999999999901</v>
      </c>
      <c r="AF2902">
        <v>2.32110386644372E-2</v>
      </c>
      <c r="AG2902">
        <v>-7.8897999999999899E-2</v>
      </c>
      <c r="AH2902">
        <v>0.69464024267616997</v>
      </c>
      <c r="AI2902">
        <v>96.476363659003894</v>
      </c>
      <c r="AJ2902">
        <v>88.086203693957103</v>
      </c>
      <c r="AK2902">
        <v>0.69949175367911998</v>
      </c>
      <c r="AL2902">
        <v>89.795377547183193</v>
      </c>
      <c r="AM2902">
        <v>95.655605253773103</v>
      </c>
      <c r="AN2902">
        <v>1.00000001863857</v>
      </c>
    </row>
    <row r="2903" spans="1:40" x14ac:dyDescent="0.25">
      <c r="A2903" t="str">
        <f>"20190312160657610"</f>
        <v>20190312160657610</v>
      </c>
      <c r="B2903" t="str">
        <f>"1552378017598377"</f>
        <v>1552378017598377</v>
      </c>
      <c r="C2903" t="s">
        <v>40</v>
      </c>
      <c r="D2903">
        <v>5.0898750000000001</v>
      </c>
      <c r="E2903">
        <v>0.54636989999999996</v>
      </c>
      <c r="F2903" t="s">
        <v>44</v>
      </c>
      <c r="G2903">
        <v>-491.19670000000002</v>
      </c>
      <c r="H2903">
        <v>1.0289509999999999</v>
      </c>
      <c r="I2903">
        <v>275.91269999999997</v>
      </c>
      <c r="J2903">
        <v>-490.63850000000002</v>
      </c>
      <c r="K2903">
        <v>1.110949</v>
      </c>
      <c r="L2903">
        <v>276.39870000000002</v>
      </c>
      <c r="M2903">
        <v>-0.73202339999999999</v>
      </c>
      <c r="N2903">
        <v>0</v>
      </c>
      <c r="O2903">
        <v>-0.68122969999999905</v>
      </c>
      <c r="P2903">
        <v>-0.66122479999999995</v>
      </c>
      <c r="Q2903">
        <v>-4.38704E-3</v>
      </c>
      <c r="R2903">
        <v>-0.75017559999999905</v>
      </c>
      <c r="S2903">
        <v>-2.2669069999999998</v>
      </c>
      <c r="T2903">
        <v>-0.3121003</v>
      </c>
      <c r="U2903">
        <v>-1.997803</v>
      </c>
      <c r="V2903">
        <v>-9.8716109999999996E-2</v>
      </c>
      <c r="W2903">
        <v>3.480253E-3</v>
      </c>
      <c r="X2903">
        <v>0.99510960000000004</v>
      </c>
      <c r="Y2903">
        <v>2.430477E-2</v>
      </c>
      <c r="Z2903">
        <v>7.1010160000000003E-2</v>
      </c>
      <c r="AA2903">
        <v>0.99717940000000005</v>
      </c>
      <c r="AB2903">
        <v>11</v>
      </c>
      <c r="AC2903">
        <v>-0.55819999999999903</v>
      </c>
      <c r="AD2903">
        <v>-8.1998000000000001E-2</v>
      </c>
      <c r="AE2903">
        <v>-0.48600000000004601</v>
      </c>
      <c r="AF2903">
        <v>2.4202803969891801E-2</v>
      </c>
      <c r="AG2903">
        <v>-8.1998000000000001E-2</v>
      </c>
      <c r="AH2903">
        <v>0.73074873609478497</v>
      </c>
      <c r="AI2903">
        <v>96.398951436630796</v>
      </c>
      <c r="AJ2903">
        <v>88.103025401967798</v>
      </c>
      <c r="AK2903">
        <v>0.73573307865565696</v>
      </c>
      <c r="AL2903">
        <v>89.800595798750194</v>
      </c>
      <c r="AM2903">
        <v>95.6652773242769</v>
      </c>
      <c r="AN2903">
        <v>1.0000000492733101</v>
      </c>
    </row>
    <row r="2904" spans="1:40" x14ac:dyDescent="0.25">
      <c r="A2904" t="str">
        <f>"20190312160657625"</f>
        <v>20190312160657625</v>
      </c>
      <c r="B2904" t="str">
        <f>"1552378017617896"</f>
        <v>1552378017617896</v>
      </c>
      <c r="C2904" t="s">
        <v>40</v>
      </c>
      <c r="D2904">
        <v>5.5482310000000004</v>
      </c>
      <c r="E2904">
        <v>0.54636229999999997</v>
      </c>
      <c r="F2904" t="s">
        <v>44</v>
      </c>
      <c r="G2904">
        <v>-491.19420000000002</v>
      </c>
      <c r="H2904">
        <v>1.0341180000000001</v>
      </c>
      <c r="I2904">
        <v>275.90620000000001</v>
      </c>
      <c r="J2904">
        <v>-490.6909</v>
      </c>
      <c r="K2904">
        <v>1.1109629999999999</v>
      </c>
      <c r="L2904">
        <v>276.34449999999998</v>
      </c>
      <c r="M2904">
        <v>-0.72965590000000002</v>
      </c>
      <c r="N2904">
        <v>0</v>
      </c>
      <c r="O2904">
        <v>-0.68376530000000002</v>
      </c>
      <c r="P2904">
        <v>-0.65878749999999997</v>
      </c>
      <c r="Q2904">
        <v>-4.4187280000000002E-3</v>
      </c>
      <c r="R2904">
        <v>-0.75231610000000004</v>
      </c>
      <c r="S2904">
        <v>-2.261047</v>
      </c>
      <c r="T2904">
        <v>-0.31366460000000002</v>
      </c>
      <c r="U2904">
        <v>-2.0043639999999998</v>
      </c>
      <c r="V2904">
        <v>-9.8492150000000001E-2</v>
      </c>
      <c r="W2904">
        <v>3.3934690000000001E-3</v>
      </c>
      <c r="X2904">
        <v>0.99513200000000002</v>
      </c>
      <c r="Y2904">
        <v>2.4830430000000001E-2</v>
      </c>
      <c r="Z2904">
        <v>7.164276E-2</v>
      </c>
      <c r="AA2904">
        <v>0.99712120000000004</v>
      </c>
      <c r="AB2904">
        <v>11</v>
      </c>
      <c r="AC2904">
        <v>-0.50330000000002395</v>
      </c>
      <c r="AD2904">
        <v>-7.6844999999999802E-2</v>
      </c>
      <c r="AE2904">
        <v>-0.43829999999996899</v>
      </c>
      <c r="AF2904">
        <v>2.4013354531505701E-2</v>
      </c>
      <c r="AG2904">
        <v>-7.6844999999999802E-2</v>
      </c>
      <c r="AH2904">
        <v>0.65822610909309698</v>
      </c>
      <c r="AI2904">
        <v>96.6544995219989</v>
      </c>
      <c r="AJ2904">
        <v>87.910666347917896</v>
      </c>
      <c r="AK2904">
        <v>0.66313151479377996</v>
      </c>
      <c r="AL2904">
        <v>89.805568167121393</v>
      </c>
      <c r="AM2904">
        <v>95.652381267795505</v>
      </c>
      <c r="AN2904">
        <v>0.999999958333737</v>
      </c>
    </row>
    <row r="2905" spans="1:40" x14ac:dyDescent="0.25">
      <c r="A2905" t="str">
        <f>"20190312160657636"</f>
        <v>20190312160657636</v>
      </c>
      <c r="B2905" t="str">
        <f>"1552378017627655"</f>
        <v>1552378017627655</v>
      </c>
      <c r="C2905" t="s">
        <v>40</v>
      </c>
      <c r="D2905">
        <v>4.9331699999999996</v>
      </c>
      <c r="E2905">
        <v>0.54640569999999999</v>
      </c>
      <c r="F2905" t="s">
        <v>44</v>
      </c>
      <c r="G2905">
        <v>-491.25819999999999</v>
      </c>
      <c r="H2905">
        <v>1.0308299999999999</v>
      </c>
      <c r="I2905">
        <v>275.83839999999998</v>
      </c>
      <c r="J2905">
        <v>-490.72539999999998</v>
      </c>
      <c r="K2905">
        <v>1.1109719999999901</v>
      </c>
      <c r="L2905">
        <v>276.30860000000001</v>
      </c>
      <c r="M2905">
        <v>-0.72808580000000001</v>
      </c>
      <c r="N2905">
        <v>0</v>
      </c>
      <c r="O2905">
        <v>-0.68543759999999998</v>
      </c>
      <c r="P2905">
        <v>-0.65709530000000005</v>
      </c>
      <c r="Q2905">
        <v>-4.541369E-3</v>
      </c>
      <c r="R2905">
        <v>-0.75379410000000002</v>
      </c>
      <c r="S2905">
        <v>-2.2547000000000001</v>
      </c>
      <c r="T2905">
        <v>-0.31809809999999999</v>
      </c>
      <c r="U2905">
        <v>-2.011444</v>
      </c>
      <c r="V2905">
        <v>-9.8444760000000006E-2</v>
      </c>
      <c r="W2905">
        <v>3.2342059999999999E-3</v>
      </c>
      <c r="X2905">
        <v>0.9951373</v>
      </c>
      <c r="Y2905">
        <v>2.3901970000000002E-2</v>
      </c>
      <c r="Z2905">
        <v>7.2785580000000002E-2</v>
      </c>
      <c r="AA2905">
        <v>0.99706110000000003</v>
      </c>
      <c r="AB2905">
        <v>11</v>
      </c>
      <c r="AC2905">
        <v>-0.53280000000000804</v>
      </c>
      <c r="AD2905">
        <v>-8.0141999999999894E-2</v>
      </c>
      <c r="AE2905">
        <v>-0.47020000000003298</v>
      </c>
      <c r="AF2905">
        <v>2.25689099043236E-2</v>
      </c>
      <c r="AG2905">
        <v>-8.0141999999999894E-2</v>
      </c>
      <c r="AH2905">
        <v>0.70132020455183797</v>
      </c>
      <c r="AI2905">
        <v>96.515741669790302</v>
      </c>
      <c r="AJ2905">
        <v>88.156823118862704</v>
      </c>
      <c r="AK2905">
        <v>0.70624508859948998</v>
      </c>
      <c r="AL2905">
        <v>89.814693330176695</v>
      </c>
      <c r="AM2905">
        <v>95.649649299720295</v>
      </c>
      <c r="AN2905">
        <v>1.00000003835559</v>
      </c>
    </row>
    <row r="2906" spans="1:40" x14ac:dyDescent="0.25">
      <c r="A2906" t="str">
        <f>"20190312160657647"</f>
        <v>20190312160657647</v>
      </c>
      <c r="B2906" t="str">
        <f>"1552378017638393"</f>
        <v>1552378017638393</v>
      </c>
      <c r="C2906" t="s">
        <v>40</v>
      </c>
      <c r="D2906">
        <v>4.9235059999999997</v>
      </c>
      <c r="E2906">
        <v>0.5461975</v>
      </c>
      <c r="F2906" t="s">
        <v>44</v>
      </c>
      <c r="G2906">
        <v>-491.32380000000001</v>
      </c>
      <c r="H2906">
        <v>1.0258849999999999</v>
      </c>
      <c r="I2906">
        <v>275.77260000000001</v>
      </c>
      <c r="J2906">
        <v>-490.76139999999998</v>
      </c>
      <c r="K2906">
        <v>1.1109819999999999</v>
      </c>
      <c r="L2906">
        <v>276.27089999999998</v>
      </c>
      <c r="M2906">
        <v>-0.72642790000000002</v>
      </c>
      <c r="N2906">
        <v>0</v>
      </c>
      <c r="O2906">
        <v>-0.68719449999999904</v>
      </c>
      <c r="P2906">
        <v>-0.65535069999999995</v>
      </c>
      <c r="Q2906">
        <v>-4.6522100000000004E-3</v>
      </c>
      <c r="R2906">
        <v>-0.75531040000000005</v>
      </c>
      <c r="S2906">
        <v>-2.249908</v>
      </c>
      <c r="T2906">
        <v>-0.32125199999999998</v>
      </c>
      <c r="U2906">
        <v>-2.0166930000000001</v>
      </c>
      <c r="V2906">
        <v>-9.8340410000000003E-2</v>
      </c>
      <c r="W2906">
        <v>3.0859110000000002E-3</v>
      </c>
      <c r="X2906">
        <v>0.99514809999999998</v>
      </c>
      <c r="Y2906">
        <v>2.3907310000000001E-2</v>
      </c>
      <c r="Z2906">
        <v>7.3686760000000004E-2</v>
      </c>
      <c r="AA2906">
        <v>0.99699490000000002</v>
      </c>
      <c r="AB2906">
        <v>11</v>
      </c>
      <c r="AC2906">
        <v>-0.56240000000002499</v>
      </c>
      <c r="AD2906">
        <v>-8.5096999999999895E-2</v>
      </c>
      <c r="AE2906">
        <v>-0.49829999999997199</v>
      </c>
      <c r="AF2906">
        <v>2.4189718905495199E-2</v>
      </c>
      <c r="AG2906">
        <v>-8.5096999999999895E-2</v>
      </c>
      <c r="AH2906">
        <v>0.74148665301832295</v>
      </c>
      <c r="AI2906">
        <v>96.543478063296703</v>
      </c>
      <c r="AJ2906">
        <v>88.131487028453805</v>
      </c>
      <c r="AK2906">
        <v>0.74674567190847596</v>
      </c>
      <c r="AL2906">
        <v>89.823190051966094</v>
      </c>
      <c r="AM2906">
        <v>95.643638581706</v>
      </c>
      <c r="AN2906">
        <v>1.00000005000963</v>
      </c>
    </row>
    <row r="2907" spans="1:40" x14ac:dyDescent="0.25">
      <c r="A2907" t="str">
        <f>"20190312160657658"</f>
        <v>20190312160657658</v>
      </c>
      <c r="B2907" t="str">
        <f>"1552378017648152"</f>
        <v>1552378017648152</v>
      </c>
      <c r="C2907" t="s">
        <v>40</v>
      </c>
      <c r="D2907">
        <v>5.1957709999999997</v>
      </c>
      <c r="E2907">
        <v>0.54605780000000004</v>
      </c>
      <c r="F2907" t="s">
        <v>44</v>
      </c>
      <c r="G2907">
        <v>-491.32130000000001</v>
      </c>
      <c r="H2907">
        <v>1.0305679999999999</v>
      </c>
      <c r="I2907">
        <v>275.76659999999998</v>
      </c>
      <c r="J2907">
        <v>-490.7971</v>
      </c>
      <c r="K2907">
        <v>1.110992</v>
      </c>
      <c r="L2907">
        <v>276.23349999999999</v>
      </c>
      <c r="M2907">
        <v>-0.72478030000000004</v>
      </c>
      <c r="N2907">
        <v>0</v>
      </c>
      <c r="O2907">
        <v>-0.68893249999999995</v>
      </c>
      <c r="P2907">
        <v>-0.65313940000000004</v>
      </c>
      <c r="Q2907">
        <v>-4.6868889999999996E-3</v>
      </c>
      <c r="R2907">
        <v>-0.7572236</v>
      </c>
      <c r="S2907">
        <v>-2.244049</v>
      </c>
      <c r="T2907">
        <v>-0.323679299999999</v>
      </c>
      <c r="U2907">
        <v>-2.0227659999999998</v>
      </c>
      <c r="V2907">
        <v>-9.8867140000000006E-2</v>
      </c>
      <c r="W2907">
        <v>3.0129549999999999E-3</v>
      </c>
      <c r="X2907">
        <v>0.99509610000000004</v>
      </c>
      <c r="Y2907">
        <v>2.3467490000000001E-2</v>
      </c>
      <c r="Z2907">
        <v>7.4411909999999998E-2</v>
      </c>
      <c r="AA2907">
        <v>0.99695140000000004</v>
      </c>
      <c r="AB2907">
        <v>11</v>
      </c>
      <c r="AC2907">
        <v>-0.52420000000000699</v>
      </c>
      <c r="AD2907">
        <v>-8.0423999999999995E-2</v>
      </c>
      <c r="AE2907">
        <v>-0.46690000000000897</v>
      </c>
      <c r="AF2907">
        <v>2.2444641432931501E-2</v>
      </c>
      <c r="AG2907">
        <v>-8.0423999999999995E-2</v>
      </c>
      <c r="AH2907">
        <v>0.69252563275699297</v>
      </c>
      <c r="AI2907">
        <v>96.620723440152403</v>
      </c>
      <c r="AJ2907">
        <v>88.143703012470596</v>
      </c>
      <c r="AK2907">
        <v>0.69754106239742297</v>
      </c>
      <c r="AL2907">
        <v>89.827370136687605</v>
      </c>
      <c r="AM2907">
        <v>95.673964835068602</v>
      </c>
      <c r="AN2907">
        <v>1.0000000187524101</v>
      </c>
    </row>
    <row r="2908" spans="1:40" x14ac:dyDescent="0.25">
      <c r="A2908" t="str">
        <f>"20190312160657668"</f>
        <v>20190312160657668</v>
      </c>
      <c r="B2908" t="str">
        <f>"1552378017658419"</f>
        <v>1552378017658419</v>
      </c>
      <c r="C2908" t="s">
        <v>40</v>
      </c>
      <c r="D2908">
        <v>5.155043</v>
      </c>
      <c r="E2908">
        <v>0.54608040000000002</v>
      </c>
      <c r="F2908" t="s">
        <v>44</v>
      </c>
      <c r="G2908">
        <v>-491.38630000000001</v>
      </c>
      <c r="H2908">
        <v>1.0256259999999999</v>
      </c>
      <c r="I2908">
        <v>275.69920000000002</v>
      </c>
      <c r="J2908">
        <v>-490.83199999999999</v>
      </c>
      <c r="K2908">
        <v>1.111002</v>
      </c>
      <c r="L2908">
        <v>276.19650000000001</v>
      </c>
      <c r="M2908">
        <v>-0.72314709999999904</v>
      </c>
      <c r="N2908">
        <v>0</v>
      </c>
      <c r="O2908">
        <v>-0.69064689999999995</v>
      </c>
      <c r="P2908">
        <v>-0.65122440000000004</v>
      </c>
      <c r="Q2908">
        <v>-4.5339320000000001E-3</v>
      </c>
      <c r="R2908">
        <v>-0.75887169999999904</v>
      </c>
      <c r="S2908">
        <v>-2.2376399999999999</v>
      </c>
      <c r="T2908">
        <v>-0.32558140000000002</v>
      </c>
      <c r="U2908">
        <v>-2.029785</v>
      </c>
      <c r="V2908">
        <v>-9.9025580000000002E-2</v>
      </c>
      <c r="W2908">
        <v>3.1312100000000002E-3</v>
      </c>
      <c r="X2908">
        <v>0.99507990000000002</v>
      </c>
      <c r="Y2908">
        <v>2.2658439999999998E-2</v>
      </c>
      <c r="Z2908">
        <v>7.4996599999999997E-2</v>
      </c>
      <c r="AA2908">
        <v>0.99692630000000004</v>
      </c>
      <c r="AB2908">
        <v>11</v>
      </c>
      <c r="AC2908">
        <v>-0.55430000000001201</v>
      </c>
      <c r="AD2908">
        <v>-8.5376000000000105E-2</v>
      </c>
      <c r="AE2908">
        <v>-0.49729999999999502</v>
      </c>
      <c r="AF2908">
        <v>2.2904227202397601E-2</v>
      </c>
      <c r="AG2908">
        <v>-8.5376000000000105E-2</v>
      </c>
      <c r="AH2908">
        <v>0.73466694456914095</v>
      </c>
      <c r="AI2908">
        <v>96.625446813841094</v>
      </c>
      <c r="AJ2908">
        <v>88.214305632519697</v>
      </c>
      <c r="AK2908">
        <v>0.73996566436713596</v>
      </c>
      <c r="AL2908">
        <v>89.820594578065595</v>
      </c>
      <c r="AM2908">
        <v>95.683090115280706</v>
      </c>
      <c r="AN2908">
        <v>0.99999993867720305</v>
      </c>
    </row>
    <row r="2909" spans="1:40" x14ac:dyDescent="0.25">
      <c r="A2909" t="str">
        <f>"20190312160657680"</f>
        <v>20190312160657680</v>
      </c>
      <c r="B2909" t="str">
        <f>"1552378017668180"</f>
        <v>1552378017668180</v>
      </c>
      <c r="C2909" t="s">
        <v>40</v>
      </c>
      <c r="D2909">
        <v>5.1121869999999996</v>
      </c>
      <c r="E2909">
        <v>0.54618080000000002</v>
      </c>
      <c r="F2909" t="s">
        <v>44</v>
      </c>
      <c r="G2909">
        <v>-491.38400000000001</v>
      </c>
      <c r="H2909">
        <v>1.0303899999999999</v>
      </c>
      <c r="I2909">
        <v>275.6934</v>
      </c>
      <c r="J2909">
        <v>-490.86869999999999</v>
      </c>
      <c r="K2909">
        <v>1.1110169999999999</v>
      </c>
      <c r="L2909">
        <v>276.15750000000003</v>
      </c>
      <c r="M2909">
        <v>-0.72141829999999996</v>
      </c>
      <c r="N2909">
        <v>0</v>
      </c>
      <c r="O2909">
        <v>-0.69245310000000004</v>
      </c>
      <c r="P2909">
        <v>-0.64902159999999998</v>
      </c>
      <c r="Q2909">
        <v>-4.5477499999999997E-3</v>
      </c>
      <c r="R2909">
        <v>-0.76075700000000002</v>
      </c>
      <c r="S2909">
        <v>-2.2322389999999999</v>
      </c>
      <c r="T2909">
        <v>-0.32746979999999998</v>
      </c>
      <c r="U2909">
        <v>-2.0356749999999999</v>
      </c>
      <c r="V2909">
        <v>-9.9422259999999998E-2</v>
      </c>
      <c r="W2909">
        <v>3.0806649999999998E-3</v>
      </c>
      <c r="X2909">
        <v>0.99504049999999999</v>
      </c>
      <c r="Y2909">
        <v>2.2478789999999998E-2</v>
      </c>
      <c r="Z2909">
        <v>7.5613940000000004E-2</v>
      </c>
      <c r="AA2909">
        <v>0.99688370000000004</v>
      </c>
      <c r="AB2909">
        <v>11</v>
      </c>
      <c r="AC2909">
        <v>-0.51530000000002396</v>
      </c>
      <c r="AD2909">
        <v>-8.0627000000000004E-2</v>
      </c>
      <c r="AE2909">
        <v>-0.46410000000002999</v>
      </c>
      <c r="AF2909">
        <v>2.17179918991912E-2</v>
      </c>
      <c r="AG2909">
        <v>-8.0627000000000004E-2</v>
      </c>
      <c r="AH2909">
        <v>0.68389234831228496</v>
      </c>
      <c r="AI2909">
        <v>96.720451263173103</v>
      </c>
      <c r="AJ2909">
        <v>88.181100820646094</v>
      </c>
      <c r="AK2909">
        <v>0.68897106498112504</v>
      </c>
      <c r="AL2909">
        <v>89.823490606996501</v>
      </c>
      <c r="AM2909">
        <v>95.7059301500922</v>
      </c>
      <c r="AN2909">
        <v>0.99999993646029695</v>
      </c>
    </row>
    <row r="2910" spans="1:40" x14ac:dyDescent="0.25">
      <c r="A2910" t="str">
        <f>"20190312160657690"</f>
        <v>20190312160657690</v>
      </c>
      <c r="B2910" t="str">
        <f>"1552378017677939"</f>
        <v>1552378017677939</v>
      </c>
      <c r="C2910" t="s">
        <v>40</v>
      </c>
      <c r="D2910">
        <v>5.4486970000000001</v>
      </c>
      <c r="E2910">
        <v>0.54618080000000002</v>
      </c>
      <c r="F2910" t="s">
        <v>44</v>
      </c>
      <c r="G2910">
        <v>-491.44940000000003</v>
      </c>
      <c r="H2910">
        <v>1.025409</v>
      </c>
      <c r="I2910">
        <v>275.62560000000002</v>
      </c>
      <c r="J2910">
        <v>-490.90640000000002</v>
      </c>
      <c r="K2910">
        <v>1.1110310000000001</v>
      </c>
      <c r="L2910">
        <v>276.1173</v>
      </c>
      <c r="M2910">
        <v>-0.71963269999999901</v>
      </c>
      <c r="N2910">
        <v>0</v>
      </c>
      <c r="O2910">
        <v>-0.69430879999999995</v>
      </c>
      <c r="P2910">
        <v>-0.64672059999999998</v>
      </c>
      <c r="Q2910">
        <v>-4.3815299999999998E-3</v>
      </c>
      <c r="R2910">
        <v>-0.76271460000000002</v>
      </c>
      <c r="S2910">
        <v>-2.2272949999999998</v>
      </c>
      <c r="T2910">
        <v>-0.3297679</v>
      </c>
      <c r="U2910">
        <v>-2.0413510000000001</v>
      </c>
      <c r="V2910">
        <v>-9.9866789999999997E-2</v>
      </c>
      <c r="W2910">
        <v>3.2098880000000002E-3</v>
      </c>
      <c r="X2910">
        <v>0.99499570000000004</v>
      </c>
      <c r="Y2910">
        <v>2.2519890000000001E-2</v>
      </c>
      <c r="Z2910">
        <v>7.6335970000000003E-2</v>
      </c>
      <c r="AA2910">
        <v>0.99682780000000004</v>
      </c>
      <c r="AB2910">
        <v>11</v>
      </c>
      <c r="AC2910">
        <v>-0.54300000000000603</v>
      </c>
      <c r="AD2910">
        <v>-8.5621999999999795E-2</v>
      </c>
      <c r="AE2910">
        <v>-0.49169999999997999</v>
      </c>
      <c r="AF2910">
        <v>2.2854786108014499E-2</v>
      </c>
      <c r="AG2910">
        <v>-8.5621999999999795E-2</v>
      </c>
      <c r="AH2910">
        <v>0.72230767771626703</v>
      </c>
      <c r="AI2910">
        <v>96.756917037323802</v>
      </c>
      <c r="AJ2910">
        <v>88.187689150527106</v>
      </c>
      <c r="AK2910">
        <v>0.72772374526320704</v>
      </c>
      <c r="AL2910">
        <v>89.816086660299803</v>
      </c>
      <c r="AM2910">
        <v>95.731528982401997</v>
      </c>
      <c r="AN2910">
        <v>1.00000006107218</v>
      </c>
    </row>
    <row r="2911" spans="1:40" x14ac:dyDescent="0.25">
      <c r="A2911" t="str">
        <f>"20190312160657703"</f>
        <v>20190312160657703</v>
      </c>
      <c r="B2911" t="str">
        <f>"1552378017698438"</f>
        <v>1552378017698438</v>
      </c>
      <c r="C2911" t="s">
        <v>40</v>
      </c>
      <c r="D2911">
        <v>5.2623879999999996</v>
      </c>
      <c r="E2911">
        <v>0.55280649999999998</v>
      </c>
      <c r="F2911" t="s">
        <v>44</v>
      </c>
      <c r="G2911">
        <v>-491.44709999999998</v>
      </c>
      <c r="H2911">
        <v>1.031191</v>
      </c>
      <c r="I2911">
        <v>275.61900000000003</v>
      </c>
      <c r="J2911">
        <v>-490.94549999999998</v>
      </c>
      <c r="K2911">
        <v>1.1110450000000001</v>
      </c>
      <c r="L2911">
        <v>276.07530000000003</v>
      </c>
      <c r="M2911">
        <v>-0.71776019999999996</v>
      </c>
      <c r="N2911">
        <v>0</v>
      </c>
      <c r="O2911">
        <v>-0.69624469999999905</v>
      </c>
      <c r="P2911">
        <v>-0.64453739999999904</v>
      </c>
      <c r="Q2911">
        <v>-4.1515010000000001E-3</v>
      </c>
      <c r="R2911">
        <v>-0.7645615</v>
      </c>
      <c r="S2911">
        <v>-2.2207949999999999</v>
      </c>
      <c r="T2911">
        <v>-0.32933210000000002</v>
      </c>
      <c r="U2911">
        <v>-2.04834</v>
      </c>
      <c r="V2911">
        <v>-0.10003330000000001</v>
      </c>
      <c r="W2911">
        <v>3.4025290000000001E-3</v>
      </c>
      <c r="X2911">
        <v>0.99497820000000003</v>
      </c>
      <c r="Y2911">
        <v>2.206462E-2</v>
      </c>
      <c r="Z2911">
        <v>7.642678E-2</v>
      </c>
      <c r="AA2911">
        <v>0.99683100000000002</v>
      </c>
      <c r="AB2911">
        <v>11</v>
      </c>
      <c r="AC2911">
        <v>-0.50159999999999605</v>
      </c>
      <c r="AD2911">
        <v>-7.9853999999999994E-2</v>
      </c>
      <c r="AE2911">
        <v>-0.45629999999999798</v>
      </c>
      <c r="AF2911">
        <v>2.1425919254667601E-2</v>
      </c>
      <c r="AG2911">
        <v>-7.9853999999999994E-2</v>
      </c>
      <c r="AH2911">
        <v>0.66847612488307395</v>
      </c>
      <c r="AI2911">
        <v>96.808625018168797</v>
      </c>
      <c r="AJ2911">
        <v>88.164190802033403</v>
      </c>
      <c r="AK2911">
        <v>0.67356964069841996</v>
      </c>
      <c r="AL2911">
        <v>89.805049058503698</v>
      </c>
      <c r="AM2911">
        <v>95.741121799165896</v>
      </c>
      <c r="AN2911">
        <v>0.99999992839385998</v>
      </c>
    </row>
    <row r="2912" spans="1:40" x14ac:dyDescent="0.25">
      <c r="A2912" t="str">
        <f>"20190312160657715"</f>
        <v>20190312160657715</v>
      </c>
      <c r="B2912" t="str">
        <f>"1552378017708195"</f>
        <v>1552378017708195</v>
      </c>
      <c r="C2912" t="s">
        <v>40</v>
      </c>
      <c r="D2912">
        <v>5.2618989999999997</v>
      </c>
      <c r="E2912">
        <v>0.55179</v>
      </c>
      <c r="F2912" t="s">
        <v>44</v>
      </c>
      <c r="G2912">
        <v>-491.50909999999999</v>
      </c>
      <c r="H2912">
        <v>0.99194470000000001</v>
      </c>
      <c r="I2912">
        <v>275.57060000000001</v>
      </c>
      <c r="J2912">
        <v>-490.98390000000001</v>
      </c>
      <c r="K2912">
        <v>1.111054</v>
      </c>
      <c r="L2912">
        <v>276.03390000000002</v>
      </c>
      <c r="M2912">
        <v>-0.71590900000000002</v>
      </c>
      <c r="N2912">
        <v>0</v>
      </c>
      <c r="O2912">
        <v>-0.69814849999999995</v>
      </c>
      <c r="P2912">
        <v>-0.64246159999999997</v>
      </c>
      <c r="Q2912">
        <v>-4.0550730000000002E-3</v>
      </c>
      <c r="R2912">
        <v>-0.76630739999999997</v>
      </c>
      <c r="S2912">
        <v>-2.255798</v>
      </c>
      <c r="T2912">
        <v>-0.47660049999999998</v>
      </c>
      <c r="U2912">
        <v>-2.019501</v>
      </c>
      <c r="V2912">
        <v>-0.1000907</v>
      </c>
      <c r="W2912">
        <v>3.4630860000000002E-3</v>
      </c>
      <c r="X2912">
        <v>0.99497230000000003</v>
      </c>
      <c r="Y2912">
        <v>3.6040540000000003E-2</v>
      </c>
      <c r="Z2912">
        <v>0.11092440000000001</v>
      </c>
      <c r="AA2912">
        <v>0.99317509999999998</v>
      </c>
      <c r="AB2912">
        <v>11</v>
      </c>
      <c r="AC2912">
        <v>-0.52519999999998301</v>
      </c>
      <c r="AD2912">
        <v>-0.119109299999999</v>
      </c>
      <c r="AE2912">
        <v>-0.46330000000000299</v>
      </c>
      <c r="AF2912">
        <v>3.4004485864815297E-2</v>
      </c>
      <c r="AG2912">
        <v>-0.119109299999999</v>
      </c>
      <c r="AH2912">
        <v>0.67980645814519003</v>
      </c>
      <c r="AI2912">
        <v>99.9257906684402</v>
      </c>
      <c r="AJ2912">
        <v>87.1364040626096</v>
      </c>
      <c r="AK2912">
        <v>0.69099938563021002</v>
      </c>
      <c r="AL2912">
        <v>89.801579393380095</v>
      </c>
      <c r="AM2912">
        <v>95.744427916262794</v>
      </c>
      <c r="AN2912">
        <v>1.0000000094792101</v>
      </c>
    </row>
    <row r="2913" spans="1:40" x14ac:dyDescent="0.25">
      <c r="A2913" t="str">
        <f>"20190312160657726"</f>
        <v>20190312160657726</v>
      </c>
      <c r="B2913" t="str">
        <f>"1552378017717955"</f>
        <v>1552378017717955</v>
      </c>
      <c r="C2913" t="s">
        <v>40</v>
      </c>
      <c r="D2913">
        <v>5.2190750000000001</v>
      </c>
      <c r="E2913">
        <v>0.55090430000000001</v>
      </c>
      <c r="F2913" t="s">
        <v>44</v>
      </c>
      <c r="G2913">
        <v>-491.5736</v>
      </c>
      <c r="H2913">
        <v>0.98673880000000003</v>
      </c>
      <c r="I2913">
        <v>275.50020000000001</v>
      </c>
      <c r="J2913">
        <v>-491.02390000000003</v>
      </c>
      <c r="K2913">
        <v>1.1110660000000001</v>
      </c>
      <c r="L2913">
        <v>275.99040000000002</v>
      </c>
      <c r="M2913">
        <v>-0.71395450000000005</v>
      </c>
      <c r="N2913">
        <v>0</v>
      </c>
      <c r="O2913">
        <v>-0.70014730000000003</v>
      </c>
      <c r="P2913">
        <v>-0.64031979999999999</v>
      </c>
      <c r="Q2913">
        <v>-3.8466450000000001E-3</v>
      </c>
      <c r="R2913">
        <v>-0.76809890000000003</v>
      </c>
      <c r="S2913">
        <v>-2.2438349999999998</v>
      </c>
      <c r="T2913">
        <v>-0.47347070000000002</v>
      </c>
      <c r="U2913">
        <v>-2.0312190000000001</v>
      </c>
      <c r="V2913">
        <v>-0.1000878</v>
      </c>
      <c r="W2913">
        <v>3.6337930000000002E-3</v>
      </c>
      <c r="X2913">
        <v>0.99497199999999997</v>
      </c>
      <c r="Y2913">
        <v>3.3430170000000002E-2</v>
      </c>
      <c r="Z2913">
        <v>0.1104039</v>
      </c>
      <c r="AA2913">
        <v>0.9933244</v>
      </c>
      <c r="AB2913">
        <v>11</v>
      </c>
      <c r="AC2913">
        <v>-0.54969999999997299</v>
      </c>
      <c r="AD2913">
        <v>-0.124327199999999</v>
      </c>
      <c r="AE2913">
        <v>-0.49020000000001501</v>
      </c>
      <c r="AF2913">
        <v>3.3924899294265599E-2</v>
      </c>
      <c r="AG2913">
        <v>-0.124327199999999</v>
      </c>
      <c r="AH2913">
        <v>0.71531363035375495</v>
      </c>
      <c r="AI2913">
        <v>99.849109196580599</v>
      </c>
      <c r="AJ2913">
        <v>87.284690126851999</v>
      </c>
      <c r="AK2913">
        <v>0.72682992592616502</v>
      </c>
      <c r="AL2913">
        <v>89.791798544787994</v>
      </c>
      <c r="AM2913">
        <v>95.744264312270602</v>
      </c>
      <c r="AN2913">
        <v>1.0000000264722</v>
      </c>
    </row>
    <row r="2914" spans="1:40" x14ac:dyDescent="0.25">
      <c r="A2914" t="str">
        <f>"20190312160657740"</f>
        <v>20190312160657740</v>
      </c>
      <c r="B2914" t="str">
        <f>"1552378017727715"</f>
        <v>1552378017727715</v>
      </c>
      <c r="C2914" t="s">
        <v>40</v>
      </c>
      <c r="D2914">
        <v>5.1954529999999997</v>
      </c>
      <c r="E2914">
        <v>0.55041189999999995</v>
      </c>
      <c r="F2914" t="s">
        <v>44</v>
      </c>
      <c r="G2914">
        <v>-491.57049999999998</v>
      </c>
      <c r="H2914">
        <v>0.99593969999999998</v>
      </c>
      <c r="I2914">
        <v>275.49040000000002</v>
      </c>
      <c r="J2914">
        <v>-491.06509999999997</v>
      </c>
      <c r="K2914">
        <v>1.111081</v>
      </c>
      <c r="L2914">
        <v>275.94540000000001</v>
      </c>
      <c r="M2914">
        <v>-0.71192630000000001</v>
      </c>
      <c r="N2914">
        <v>0</v>
      </c>
      <c r="O2914">
        <v>-0.70221</v>
      </c>
      <c r="P2914">
        <v>-0.63808480000000001</v>
      </c>
      <c r="Q2914">
        <v>-3.9435080000000001E-3</v>
      </c>
      <c r="R2914">
        <v>-0.76995619999999998</v>
      </c>
      <c r="S2914">
        <v>-2.2325439999999999</v>
      </c>
      <c r="T2914">
        <v>-0.47077639999999998</v>
      </c>
      <c r="U2914">
        <v>-2.042297</v>
      </c>
      <c r="V2914">
        <v>-0.1001006</v>
      </c>
      <c r="W2914">
        <v>3.497418E-3</v>
      </c>
      <c r="X2914">
        <v>0.99497119999999994</v>
      </c>
      <c r="Y2914">
        <v>3.1202110000000002E-2</v>
      </c>
      <c r="Z2914">
        <v>0.1100068</v>
      </c>
      <c r="AA2914">
        <v>0.99344100000000002</v>
      </c>
      <c r="AB2914">
        <v>11</v>
      </c>
      <c r="AC2914">
        <v>-0.50540000000000795</v>
      </c>
      <c r="AD2914">
        <v>-0.1151413</v>
      </c>
      <c r="AE2914">
        <v>-0.45499999999998397</v>
      </c>
      <c r="AF2914">
        <v>3.0108291652321401E-2</v>
      </c>
      <c r="AG2914">
        <v>-0.1151413</v>
      </c>
      <c r="AH2914">
        <v>0.660401945784311</v>
      </c>
      <c r="AI2914">
        <v>99.880064393286602</v>
      </c>
      <c r="AJ2914">
        <v>87.389643787927994</v>
      </c>
      <c r="AK2914">
        <v>0.67104005706635395</v>
      </c>
      <c r="AL2914">
        <v>89.799612305982095</v>
      </c>
      <c r="AM2914">
        <v>95.744998607771294</v>
      </c>
      <c r="AN2914">
        <v>1.00000002544123</v>
      </c>
    </row>
    <row r="2915" spans="1:40" x14ac:dyDescent="0.25">
      <c r="A2915" t="str">
        <f>"20190312160657752"</f>
        <v>20190312160657752</v>
      </c>
      <c r="B2915" t="str">
        <f>"1552378017748211"</f>
        <v>1552378017748211</v>
      </c>
      <c r="C2915" t="s">
        <v>40</v>
      </c>
      <c r="D2915">
        <v>5.1746040000000004</v>
      </c>
      <c r="E2915">
        <v>0.55006330000000003</v>
      </c>
      <c r="F2915" t="s">
        <v>44</v>
      </c>
      <c r="G2915">
        <v>-491.6352</v>
      </c>
      <c r="H2915">
        <v>0.99022480000000002</v>
      </c>
      <c r="I2915">
        <v>275.4196</v>
      </c>
      <c r="J2915">
        <v>-491.10750000000002</v>
      </c>
      <c r="K2915">
        <v>1.1110910000000001</v>
      </c>
      <c r="L2915">
        <v>275.89870000000002</v>
      </c>
      <c r="M2915">
        <v>-0.70981349999999999</v>
      </c>
      <c r="N2915">
        <v>0</v>
      </c>
      <c r="O2915">
        <v>-0.70434619999999903</v>
      </c>
      <c r="P2915">
        <v>-0.63555680000000003</v>
      </c>
      <c r="Q2915">
        <v>-3.7617459999999998E-3</v>
      </c>
      <c r="R2915">
        <v>-0.77204549999999905</v>
      </c>
      <c r="S2915">
        <v>-2.2233580000000002</v>
      </c>
      <c r="T2915">
        <v>-0.47205459999999999</v>
      </c>
      <c r="U2915">
        <v>-2.0513309999999998</v>
      </c>
      <c r="V2915">
        <v>-0.1003752</v>
      </c>
      <c r="W2915">
        <v>3.6366549999999999E-3</v>
      </c>
      <c r="X2915">
        <v>0.99494300000000002</v>
      </c>
      <c r="Y2915">
        <v>2.9932440000000001E-2</v>
      </c>
      <c r="Z2915">
        <v>0.1105768</v>
      </c>
      <c r="AA2915">
        <v>0.99341670000000004</v>
      </c>
      <c r="AB2915">
        <v>11</v>
      </c>
      <c r="AC2915">
        <v>-0.52769999999998096</v>
      </c>
      <c r="AD2915">
        <v>-0.12086619999999999</v>
      </c>
      <c r="AE2915">
        <v>-0.47910000000001601</v>
      </c>
      <c r="AF2915">
        <v>3.0729134107964601E-2</v>
      </c>
      <c r="AG2915">
        <v>-0.12086619999999999</v>
      </c>
      <c r="AH2915">
        <v>0.69213885775403206</v>
      </c>
      <c r="AI2915">
        <v>99.895958063382693</v>
      </c>
      <c r="AJ2915">
        <v>87.457888372057894</v>
      </c>
      <c r="AK2915">
        <v>0.70328452023240295</v>
      </c>
      <c r="AL2915">
        <v>89.791634555513596</v>
      </c>
      <c r="AM2915">
        <v>95.760814846520404</v>
      </c>
      <c r="AN2915">
        <v>0.99999998964181402</v>
      </c>
    </row>
    <row r="2916" spans="1:40" x14ac:dyDescent="0.25">
      <c r="A2916" t="str">
        <f>"20190312160657764"</f>
        <v>20190312160657764</v>
      </c>
      <c r="B2916" t="str">
        <f>"1552378017758476"</f>
        <v>1552378017758476</v>
      </c>
      <c r="C2916" t="s">
        <v>40</v>
      </c>
      <c r="D2916">
        <v>5.1389389999999997</v>
      </c>
      <c r="E2916">
        <v>0.54999370000000003</v>
      </c>
      <c r="F2916" t="s">
        <v>44</v>
      </c>
      <c r="G2916">
        <v>-491.63249999999999</v>
      </c>
      <c r="H2916">
        <v>0.99908200000000003</v>
      </c>
      <c r="I2916">
        <v>275.41059999999999</v>
      </c>
      <c r="J2916">
        <v>-491.149</v>
      </c>
      <c r="K2916">
        <v>1.1111059999999999</v>
      </c>
      <c r="L2916">
        <v>275.8528</v>
      </c>
      <c r="M2916">
        <v>-0.70772650000000004</v>
      </c>
      <c r="N2916">
        <v>0</v>
      </c>
      <c r="O2916">
        <v>-0.70644340000000005</v>
      </c>
      <c r="P2916">
        <v>-0.63305129999999998</v>
      </c>
      <c r="Q2916">
        <v>-3.6600769999999999E-3</v>
      </c>
      <c r="R2916">
        <v>-0.77410129999999999</v>
      </c>
      <c r="S2916">
        <v>-2.2150880000000002</v>
      </c>
      <c r="T2916">
        <v>-0.47322999999999998</v>
      </c>
      <c r="U2916">
        <v>-2.0599669999999999</v>
      </c>
      <c r="V2916">
        <v>-0.1006566</v>
      </c>
      <c r="W2916">
        <v>3.6981660000000001E-3</v>
      </c>
      <c r="X2916">
        <v>0.99491439999999998</v>
      </c>
      <c r="Y2916">
        <v>2.8919199999999999E-2</v>
      </c>
      <c r="Z2916">
        <v>0.1111169</v>
      </c>
      <c r="AA2916">
        <v>0.99338649999999995</v>
      </c>
      <c r="AB2916">
        <v>11</v>
      </c>
      <c r="AC2916">
        <v>-0.48349999999999199</v>
      </c>
      <c r="AD2916">
        <v>-0.112023999999999</v>
      </c>
      <c r="AE2916">
        <v>-0.44220000000001303</v>
      </c>
      <c r="AF2916">
        <v>2.7797053315351601E-2</v>
      </c>
      <c r="AG2916">
        <v>-0.112023999999999</v>
      </c>
      <c r="AH2916">
        <v>0.63600376262126601</v>
      </c>
      <c r="AI2916">
        <v>99.980125085859797</v>
      </c>
      <c r="AJ2916">
        <v>87.497434767015307</v>
      </c>
      <c r="AK2916">
        <v>0.64639217106755198</v>
      </c>
      <c r="AL2916">
        <v>89.788110222905203</v>
      </c>
      <c r="AM2916">
        <v>95.777021043089704</v>
      </c>
      <c r="AN2916">
        <v>1.00000004544134</v>
      </c>
    </row>
    <row r="2917" spans="1:40" x14ac:dyDescent="0.25">
      <c r="A2917" t="str">
        <f>"20190312160657776"</f>
        <v>20190312160657776</v>
      </c>
      <c r="B2917" t="str">
        <f>"1552378017768237"</f>
        <v>1552378017768237</v>
      </c>
      <c r="C2917" t="s">
        <v>40</v>
      </c>
      <c r="D2917">
        <v>5.1081390000000004</v>
      </c>
      <c r="E2917">
        <v>0.54988459999999995</v>
      </c>
      <c r="F2917" t="s">
        <v>44</v>
      </c>
      <c r="G2917">
        <v>-491.69779999999997</v>
      </c>
      <c r="H2917">
        <v>0.99373319999999998</v>
      </c>
      <c r="I2917">
        <v>275.33920000000001</v>
      </c>
      <c r="J2917">
        <v>-491.18700000000001</v>
      </c>
      <c r="K2917">
        <v>1.11112099999999</v>
      </c>
      <c r="L2917">
        <v>275.81049999999999</v>
      </c>
      <c r="M2917">
        <v>-0.70579969999999903</v>
      </c>
      <c r="N2917">
        <v>0</v>
      </c>
      <c r="O2917">
        <v>-0.70836889999999997</v>
      </c>
      <c r="P2917">
        <v>-0.63067640000000003</v>
      </c>
      <c r="Q2917">
        <v>-3.5516430000000002E-3</v>
      </c>
      <c r="R2917">
        <v>-0.77603809999999995</v>
      </c>
      <c r="S2917">
        <v>-2.2083439999999999</v>
      </c>
      <c r="T2917">
        <v>-0.47279110000000002</v>
      </c>
      <c r="U2917">
        <v>-2.0673219999999999</v>
      </c>
      <c r="V2917">
        <v>-0.10099569999999999</v>
      </c>
      <c r="W2917">
        <v>3.7696909999999999E-3</v>
      </c>
      <c r="X2917">
        <v>0.99487969999999903</v>
      </c>
      <c r="Y2917">
        <v>2.8363880000000001E-2</v>
      </c>
      <c r="Z2917">
        <v>0.1112742</v>
      </c>
      <c r="AA2917">
        <v>0.99338490000000002</v>
      </c>
      <c r="AB2917">
        <v>11</v>
      </c>
      <c r="AC2917">
        <v>-0.51080000000001702</v>
      </c>
      <c r="AD2917">
        <v>-0.117387799999999</v>
      </c>
      <c r="AE2917">
        <v>-0.47129999999998501</v>
      </c>
      <c r="AF2917">
        <v>2.8382632113959302E-2</v>
      </c>
      <c r="AG2917">
        <v>-0.117387799999999</v>
      </c>
      <c r="AH2917">
        <v>0.67513774092930701</v>
      </c>
      <c r="AI2917">
        <v>99.855011150573205</v>
      </c>
      <c r="AJ2917">
        <v>87.592716378291399</v>
      </c>
      <c r="AK2917">
        <v>0.68585453167685995</v>
      </c>
      <c r="AL2917">
        <v>89.784012099699595</v>
      </c>
      <c r="AM2917">
        <v>95.796551627800596</v>
      </c>
      <c r="AN2917">
        <v>0.999999979730407</v>
      </c>
    </row>
    <row r="2918" spans="1:40" x14ac:dyDescent="0.25">
      <c r="A2918" t="str">
        <f>"20190312160657786"</f>
        <v>20190312160657786</v>
      </c>
      <c r="B2918" t="str">
        <f>"1552378017777998"</f>
        <v>1552378017777998</v>
      </c>
      <c r="C2918" t="s">
        <v>40</v>
      </c>
      <c r="D2918">
        <v>5.0689149999999996</v>
      </c>
      <c r="E2918">
        <v>0.54995169999999904</v>
      </c>
      <c r="F2918" t="s">
        <v>44</v>
      </c>
      <c r="G2918">
        <v>-491.76319999999998</v>
      </c>
      <c r="H2918">
        <v>0.98782239999999999</v>
      </c>
      <c r="I2918">
        <v>275.26749999999998</v>
      </c>
      <c r="J2918">
        <v>-491.2244</v>
      </c>
      <c r="K2918">
        <v>1.111137</v>
      </c>
      <c r="L2918">
        <v>275.76859999999999</v>
      </c>
      <c r="M2918">
        <v>-0.7038816</v>
      </c>
      <c r="N2918">
        <v>0</v>
      </c>
      <c r="O2918">
        <v>-0.71027510000000005</v>
      </c>
      <c r="P2918">
        <v>-0.62840130000000005</v>
      </c>
      <c r="Q2918">
        <v>-3.3551879999999998E-3</v>
      </c>
      <c r="R2918">
        <v>-0.77788219999999997</v>
      </c>
      <c r="S2918">
        <v>-2.2010190000000001</v>
      </c>
      <c r="T2918">
        <v>-0.47163310000000003</v>
      </c>
      <c r="U2918">
        <v>-2.0748289999999998</v>
      </c>
      <c r="V2918">
        <v>-0.10121960000000001</v>
      </c>
      <c r="W2918">
        <v>3.9299069999999998E-3</v>
      </c>
      <c r="X2918">
        <v>0.99485639999999997</v>
      </c>
      <c r="Y2918">
        <v>2.764132E-2</v>
      </c>
      <c r="Z2918">
        <v>0.11126270000000001</v>
      </c>
      <c r="AA2918">
        <v>0.99340649999999997</v>
      </c>
      <c r="AB2918">
        <v>11</v>
      </c>
      <c r="AC2918">
        <v>-0.53879999999997996</v>
      </c>
      <c r="AD2918">
        <v>-0.1233146</v>
      </c>
      <c r="AE2918">
        <v>-0.50110000000000798</v>
      </c>
      <c r="AF2918">
        <v>2.9162953252360901E-2</v>
      </c>
      <c r="AG2918">
        <v>-0.1233146</v>
      </c>
      <c r="AH2918">
        <v>0.71510709030424202</v>
      </c>
      <c r="AI2918">
        <v>99.776015600509993</v>
      </c>
      <c r="AJ2918">
        <v>87.664701160151594</v>
      </c>
      <c r="AK2918">
        <v>0.72624728503379499</v>
      </c>
      <c r="AL2918">
        <v>89.774832347613795</v>
      </c>
      <c r="AM2918">
        <v>95.809449486268093</v>
      </c>
      <c r="AN2918">
        <v>1.0000000541070699</v>
      </c>
    </row>
    <row r="2919" spans="1:40" x14ac:dyDescent="0.25">
      <c r="A2919" t="str">
        <f>"20190312160657796"</f>
        <v>20190312160657796</v>
      </c>
      <c r="B2919" t="str">
        <f>"1552378017787757"</f>
        <v>1552378017787757</v>
      </c>
      <c r="C2919" t="s">
        <v>40</v>
      </c>
      <c r="D2919">
        <v>5.2247399999999997</v>
      </c>
      <c r="E2919">
        <v>0.54946609999999996</v>
      </c>
      <c r="F2919" t="s">
        <v>44</v>
      </c>
      <c r="G2919">
        <v>-491.76119999999997</v>
      </c>
      <c r="H2919">
        <v>0.99583900000000003</v>
      </c>
      <c r="I2919">
        <v>275.25990000000002</v>
      </c>
      <c r="J2919">
        <v>-491.25740000000002</v>
      </c>
      <c r="K2919">
        <v>1.111154</v>
      </c>
      <c r="L2919">
        <v>275.73140000000001</v>
      </c>
      <c r="M2919">
        <v>-0.70217039999999997</v>
      </c>
      <c r="N2919">
        <v>0</v>
      </c>
      <c r="O2919">
        <v>-0.71196719999999902</v>
      </c>
      <c r="P2919">
        <v>-0.62635549999999995</v>
      </c>
      <c r="Q2919">
        <v>-3.395038E-3</v>
      </c>
      <c r="R2919">
        <v>-0.77953030000000001</v>
      </c>
      <c r="S2919">
        <v>-2.195465</v>
      </c>
      <c r="T2919">
        <v>-0.47226299999999999</v>
      </c>
      <c r="U2919">
        <v>-2.0810240000000002</v>
      </c>
      <c r="V2919">
        <v>-0.1014393</v>
      </c>
      <c r="W2919">
        <v>3.857905E-3</v>
      </c>
      <c r="X2919">
        <v>0.9948342</v>
      </c>
      <c r="Y2919">
        <v>2.7287059999999998E-2</v>
      </c>
      <c r="Z2919">
        <v>0.111637899999999</v>
      </c>
      <c r="AA2919">
        <v>0.99337419999999998</v>
      </c>
      <c r="AB2919">
        <v>11</v>
      </c>
      <c r="AC2919">
        <v>-0.50379999999995495</v>
      </c>
      <c r="AD2919">
        <v>-0.115315</v>
      </c>
      <c r="AE2919">
        <v>-0.47149999999999098</v>
      </c>
      <c r="AF2919">
        <v>2.68662168007569E-2</v>
      </c>
      <c r="AG2919">
        <v>-0.115315</v>
      </c>
      <c r="AH2919">
        <v>0.670733819201768</v>
      </c>
      <c r="AI2919">
        <v>99.747465688300494</v>
      </c>
      <c r="AJ2919">
        <v>87.7062459757243</v>
      </c>
      <c r="AK2919">
        <v>0.68110439658775901</v>
      </c>
      <c r="AL2919">
        <v>89.778957766427794</v>
      </c>
      <c r="AM2919">
        <v>95.822101561815202</v>
      </c>
      <c r="AN2919">
        <v>0.99999995025255795</v>
      </c>
    </row>
    <row r="2920" spans="1:40" x14ac:dyDescent="0.25">
      <c r="A2920" t="str">
        <f>"20190312160657806"</f>
        <v>20190312160657806</v>
      </c>
      <c r="B2920" t="str">
        <f>"1552378017798493"</f>
        <v>1552378017798493</v>
      </c>
      <c r="C2920" t="s">
        <v>40</v>
      </c>
      <c r="D2920">
        <v>5.0837279999999998</v>
      </c>
      <c r="E2920">
        <v>0.54946609999999996</v>
      </c>
      <c r="F2920" t="s">
        <v>44</v>
      </c>
      <c r="G2920">
        <v>-491.82619999999997</v>
      </c>
      <c r="H2920">
        <v>0.98790420000000001</v>
      </c>
      <c r="I2920">
        <v>275.18810000000002</v>
      </c>
      <c r="J2920">
        <v>-491.28969999999998</v>
      </c>
      <c r="K2920">
        <v>1.1111690000000001</v>
      </c>
      <c r="L2920">
        <v>275.69479999999999</v>
      </c>
      <c r="M2920">
        <v>-0.70048520000000003</v>
      </c>
      <c r="N2920">
        <v>0</v>
      </c>
      <c r="O2920">
        <v>-0.71362539999999997</v>
      </c>
      <c r="P2920">
        <v>-0.62428490000000003</v>
      </c>
      <c r="Q2920">
        <v>-3.4169719999999999E-3</v>
      </c>
      <c r="R2920">
        <v>-0.78118909999999997</v>
      </c>
      <c r="S2920">
        <v>-2.1869200000000002</v>
      </c>
      <c r="T2920">
        <v>-0.47415829999999998</v>
      </c>
      <c r="U2920">
        <v>-2.0892029999999999</v>
      </c>
      <c r="V2920">
        <v>-0.10172630000000001</v>
      </c>
      <c r="W2920">
        <v>3.8045000000000002E-3</v>
      </c>
      <c r="X2920">
        <v>0.99480519999999995</v>
      </c>
      <c r="Y2920">
        <v>2.5712479999999999E-2</v>
      </c>
      <c r="Z2920">
        <v>0.1122644</v>
      </c>
      <c r="AA2920">
        <v>0.99334560000000005</v>
      </c>
      <c r="AB2920">
        <v>11</v>
      </c>
      <c r="AC2920">
        <v>-0.53649999999998899</v>
      </c>
      <c r="AD2920">
        <v>-0.12326479999999999</v>
      </c>
      <c r="AE2920">
        <v>-0.50669999999996596</v>
      </c>
      <c r="AF2920">
        <v>2.71670186735576E-2</v>
      </c>
      <c r="AG2920">
        <v>-0.12326479999999999</v>
      </c>
      <c r="AH2920">
        <v>0.71740975278839503</v>
      </c>
      <c r="AI2920">
        <v>99.742472993460098</v>
      </c>
      <c r="AJ2920">
        <v>87.831347968945707</v>
      </c>
      <c r="AK2920">
        <v>0.72842913946282795</v>
      </c>
      <c r="AL2920">
        <v>89.782017691915797</v>
      </c>
      <c r="AM2920">
        <v>95.838629296794807</v>
      </c>
      <c r="AN2920">
        <v>1.0000000501394799</v>
      </c>
    </row>
    <row r="2921" spans="1:40" x14ac:dyDescent="0.25">
      <c r="A2921" t="str">
        <f>"20190312160657816"</f>
        <v>20190312160657816</v>
      </c>
      <c r="B2921" t="str">
        <f>"1552378017808254"</f>
        <v>1552378017808254</v>
      </c>
      <c r="C2921" t="s">
        <v>40</v>
      </c>
      <c r="D2921">
        <v>4.8292650000000004</v>
      </c>
      <c r="E2921">
        <v>0.48522870000000001</v>
      </c>
      <c r="F2921" t="s">
        <v>44</v>
      </c>
      <c r="G2921">
        <v>-491.82440000000003</v>
      </c>
      <c r="H2921">
        <v>0.99502489999999999</v>
      </c>
      <c r="I2921">
        <v>275.1814</v>
      </c>
      <c r="J2921">
        <v>-491.32010000000002</v>
      </c>
      <c r="K2921">
        <v>1.111175</v>
      </c>
      <c r="L2921">
        <v>275.66030000000001</v>
      </c>
      <c r="M2921">
        <v>-0.69889029999999996</v>
      </c>
      <c r="N2921">
        <v>0</v>
      </c>
      <c r="O2921">
        <v>-0.71518800000000005</v>
      </c>
      <c r="P2921">
        <v>-0.62221789999999999</v>
      </c>
      <c r="Q2921">
        <v>-3.0571830000000002E-3</v>
      </c>
      <c r="R2921">
        <v>-0.78283879999999995</v>
      </c>
      <c r="S2921">
        <v>-2.1812740000000002</v>
      </c>
      <c r="T2921">
        <v>-0.4741707</v>
      </c>
      <c r="U2921">
        <v>-2.095062</v>
      </c>
      <c r="V2921">
        <v>-0.1021379</v>
      </c>
      <c r="W2921">
        <v>4.1339920000000004E-3</v>
      </c>
      <c r="X2921">
        <v>0.99476160000000002</v>
      </c>
      <c r="Y2921">
        <v>2.5260910000000001E-2</v>
      </c>
      <c r="Z2921">
        <v>0.1124816</v>
      </c>
      <c r="AA2921">
        <v>0.99333269999999996</v>
      </c>
      <c r="AB2921">
        <v>11</v>
      </c>
      <c r="AC2921">
        <v>-0.50429999999999997</v>
      </c>
      <c r="AD2921">
        <v>-0.11615010000000001</v>
      </c>
      <c r="AE2921">
        <v>-0.47890000000000998</v>
      </c>
      <c r="AF2921">
        <v>2.5266737219572399E-2</v>
      </c>
      <c r="AG2921">
        <v>-0.11615010000000001</v>
      </c>
      <c r="AH2921">
        <v>0.676115325917795</v>
      </c>
      <c r="AI2921">
        <v>99.741045744467797</v>
      </c>
      <c r="AJ2921">
        <v>87.859826578361293</v>
      </c>
      <c r="AK2921">
        <v>0.68648465946491399</v>
      </c>
      <c r="AL2921">
        <v>89.763139017148305</v>
      </c>
      <c r="AM2921">
        <v>95.862344228198097</v>
      </c>
      <c r="AN2921">
        <v>0.99999994067041098</v>
      </c>
    </row>
    <row r="2922" spans="1:40" x14ac:dyDescent="0.25">
      <c r="A2922" t="str">
        <f>"20190312160657825"</f>
        <v>20190312160657825</v>
      </c>
      <c r="B2922" t="str">
        <f>"1552378017818013"</f>
        <v>1552378017818013</v>
      </c>
      <c r="C2922" t="s">
        <v>40</v>
      </c>
      <c r="D2922">
        <v>5.0171380000000001</v>
      </c>
      <c r="E2922">
        <v>0.46894619999999998</v>
      </c>
      <c r="F2922" t="s">
        <v>47</v>
      </c>
      <c r="G2922">
        <v>-496.94970000000001</v>
      </c>
      <c r="H2922" s="1">
        <v>-4.974753E-6</v>
      </c>
      <c r="I2922">
        <v>267.9828</v>
      </c>
      <c r="J2922">
        <v>-491.35340000000002</v>
      </c>
      <c r="K2922">
        <v>1.111189</v>
      </c>
      <c r="L2922">
        <v>275.62220000000002</v>
      </c>
      <c r="M2922">
        <v>-0.69711569999999901</v>
      </c>
      <c r="N2922">
        <v>0</v>
      </c>
      <c r="O2922">
        <v>-0.71691780000000005</v>
      </c>
      <c r="P2922">
        <v>-0.61986209999999997</v>
      </c>
      <c r="Q2922">
        <v>-2.7415249999999999E-3</v>
      </c>
      <c r="R2922">
        <v>-0.78470580000000001</v>
      </c>
      <c r="S2922">
        <v>-1.774689</v>
      </c>
      <c r="T2922">
        <v>-0.3502865</v>
      </c>
      <c r="U2922">
        <v>-2.420258</v>
      </c>
      <c r="V2922">
        <v>-0.1026642</v>
      </c>
      <c r="W2922">
        <v>4.4143699999999999E-3</v>
      </c>
      <c r="X2922">
        <v>0.99470630000000004</v>
      </c>
      <c r="Y2922">
        <v>-0.14070099999999999</v>
      </c>
      <c r="Z2922">
        <v>7.7519530000000003E-2</v>
      </c>
      <c r="AA2922">
        <v>0.98701260000000002</v>
      </c>
      <c r="AB2922">
        <v>11</v>
      </c>
      <c r="AC2922">
        <v>-5.5962999999999798</v>
      </c>
      <c r="AD2922">
        <v>-1.111193974753</v>
      </c>
      <c r="AE2922">
        <v>-7.6394000000000197</v>
      </c>
      <c r="AF2922">
        <v>-1.2956577008144201</v>
      </c>
      <c r="AG2922">
        <v>-1.111193974753</v>
      </c>
      <c r="AH2922">
        <v>9.2509921060198295</v>
      </c>
      <c r="AI2922">
        <v>96.783751400526697</v>
      </c>
      <c r="AJ2922">
        <v>97.972761813087899</v>
      </c>
      <c r="AK2922">
        <v>9.4071428113348095</v>
      </c>
      <c r="AL2922">
        <v>89.747074414395897</v>
      </c>
      <c r="AM2922">
        <v>95.892665210725994</v>
      </c>
      <c r="AN2922">
        <v>1.00000002394191</v>
      </c>
    </row>
    <row r="2923" spans="1:40" x14ac:dyDescent="0.25">
      <c r="A2923" t="str">
        <f>"20190312160657836"</f>
        <v>20190312160657836</v>
      </c>
      <c r="B2923" t="str">
        <f>"1552378017827772"</f>
        <v>1552378017827772</v>
      </c>
      <c r="C2923" t="s">
        <v>40</v>
      </c>
      <c r="D2923">
        <v>4.4250449999999999</v>
      </c>
      <c r="E2923">
        <v>0.46894619999999998</v>
      </c>
      <c r="F2923" t="s">
        <v>47</v>
      </c>
      <c r="G2923">
        <v>-496.53320000000002</v>
      </c>
      <c r="H2923" s="1">
        <v>-4.8495010000000001E-6</v>
      </c>
      <c r="I2923">
        <v>267.83179999999999</v>
      </c>
      <c r="J2923">
        <v>-491.38819999999998</v>
      </c>
      <c r="K2923">
        <v>1.1112059999999999</v>
      </c>
      <c r="L2923">
        <v>275.5822</v>
      </c>
      <c r="M2923">
        <v>-0.69525389999999998</v>
      </c>
      <c r="N2923">
        <v>0</v>
      </c>
      <c r="O2923">
        <v>-0.71872389999999997</v>
      </c>
      <c r="P2923">
        <v>-0.61725569999999996</v>
      </c>
      <c r="Q2923">
        <v>-2.6146810000000002E-3</v>
      </c>
      <c r="R2923">
        <v>-0.78675869999999903</v>
      </c>
      <c r="S2923">
        <v>-1.666077</v>
      </c>
      <c r="T2923">
        <v>-0.35741659999999997</v>
      </c>
      <c r="U2923">
        <v>-2.5057680000000002</v>
      </c>
      <c r="V2923">
        <v>-0.10338459999999999</v>
      </c>
      <c r="W2923">
        <v>4.5040139999999998E-3</v>
      </c>
      <c r="X2923">
        <v>0.99463120000000005</v>
      </c>
      <c r="Y2923">
        <v>-0.1832751</v>
      </c>
      <c r="Z2923">
        <v>7.7317620000000004E-2</v>
      </c>
      <c r="AA2923">
        <v>0.98001649999999996</v>
      </c>
      <c r="AB2923">
        <v>11</v>
      </c>
      <c r="AC2923">
        <v>-5.1450000000000298</v>
      </c>
      <c r="AD2923">
        <v>-1.111210849501</v>
      </c>
      <c r="AE2923">
        <v>-7.7504000000000097</v>
      </c>
      <c r="AF2923">
        <v>-1.6669258835984</v>
      </c>
      <c r="AG2923">
        <v>-1.111210849501</v>
      </c>
      <c r="AH2923">
        <v>9.0190560428498205</v>
      </c>
      <c r="AI2923">
        <v>96.908006419154404</v>
      </c>
      <c r="AJ2923">
        <v>100.47139296951001</v>
      </c>
      <c r="AK2923">
        <v>9.2388745720203893</v>
      </c>
      <c r="AL2923">
        <v>89.741938119661995</v>
      </c>
      <c r="AM2923">
        <v>95.934165173580894</v>
      </c>
      <c r="AN2923">
        <v>0.99999994283635396</v>
      </c>
    </row>
    <row r="2924" spans="1:40" x14ac:dyDescent="0.25">
      <c r="A2924" t="str">
        <f>"20190312160657847"</f>
        <v>20190312160657847</v>
      </c>
      <c r="B2924" t="str">
        <f>"1552378017838509"</f>
        <v>1552378017838509</v>
      </c>
      <c r="C2924" t="s">
        <v>40</v>
      </c>
      <c r="D2924">
        <v>4.6687779999999997</v>
      </c>
      <c r="E2924">
        <v>0.36989250000000001</v>
      </c>
      <c r="F2924" t="s">
        <v>47</v>
      </c>
      <c r="G2924">
        <v>-496.54649999999998</v>
      </c>
      <c r="H2924" s="1">
        <v>-4.8299439999999996E-6</v>
      </c>
      <c r="I2924">
        <v>267.76749999999998</v>
      </c>
      <c r="J2924">
        <v>-491.42579999999998</v>
      </c>
      <c r="K2924">
        <v>1.1112280000000001</v>
      </c>
      <c r="L2924">
        <v>275.53870000000001</v>
      </c>
      <c r="M2924">
        <v>-0.69321160000000004</v>
      </c>
      <c r="N2924">
        <v>0</v>
      </c>
      <c r="O2924">
        <v>-0.72069419999999995</v>
      </c>
      <c r="P2924">
        <v>-0.61438800000000005</v>
      </c>
      <c r="Q2924">
        <v>-2.346636E-3</v>
      </c>
      <c r="R2924">
        <v>-0.7890007</v>
      </c>
      <c r="S2924">
        <v>-1.657715</v>
      </c>
      <c r="T2924">
        <v>-0.35710700000000001</v>
      </c>
      <c r="U2924">
        <v>-2.5114139999999998</v>
      </c>
      <c r="V2924">
        <v>-0.1041841</v>
      </c>
      <c r="W2924">
        <v>4.7309860000000004E-3</v>
      </c>
      <c r="X2924">
        <v>0.99454679999999995</v>
      </c>
      <c r="Y2924">
        <v>-0.1837733</v>
      </c>
      <c r="Z2924">
        <v>7.7482229999999999E-2</v>
      </c>
      <c r="AA2924">
        <v>0.97991010000000001</v>
      </c>
      <c r="AB2924">
        <v>12</v>
      </c>
      <c r="AC2924">
        <v>-5.1206999999999896</v>
      </c>
      <c r="AD2924">
        <v>-1.111232829944</v>
      </c>
      <c r="AE2924">
        <v>-7.7712000000000199</v>
      </c>
      <c r="AF2924">
        <v>-1.67282662055642</v>
      </c>
      <c r="AG2924">
        <v>-1.111232829944</v>
      </c>
      <c r="AH2924">
        <v>9.0220242133156408</v>
      </c>
      <c r="AI2924">
        <v>96.905164825250594</v>
      </c>
      <c r="AJ2924">
        <v>100.504256444845</v>
      </c>
      <c r="AK2924">
        <v>9.2428409166468501</v>
      </c>
      <c r="AL2924">
        <v>89.728933464356004</v>
      </c>
      <c r="AM2924">
        <v>95.980228148191301</v>
      </c>
      <c r="AN2924">
        <v>1.00000002315579</v>
      </c>
    </row>
    <row r="2925" spans="1:40" x14ac:dyDescent="0.25">
      <c r="A2925" t="str">
        <f>"20190312160657858"</f>
        <v>20190312160657858</v>
      </c>
      <c r="B2925" t="str">
        <f>"1552378017848270"</f>
        <v>1552378017848270</v>
      </c>
      <c r="C2925" t="s">
        <v>40</v>
      </c>
      <c r="D2925">
        <v>4.9818239999999996</v>
      </c>
      <c r="E2925">
        <v>0.36038589999999998</v>
      </c>
      <c r="F2925" t="s">
        <v>47</v>
      </c>
      <c r="G2925">
        <v>-497.65300000000002</v>
      </c>
      <c r="H2925" s="1">
        <v>-4.8608689999999997E-6</v>
      </c>
      <c r="I2925">
        <v>257.28160000000003</v>
      </c>
      <c r="J2925">
        <v>-491.46269999999998</v>
      </c>
      <c r="K2925">
        <v>1.1112489999999999</v>
      </c>
      <c r="L2925">
        <v>275.49579999999997</v>
      </c>
      <c r="M2925">
        <v>-0.691191</v>
      </c>
      <c r="N2925">
        <v>0</v>
      </c>
      <c r="O2925">
        <v>-0.72263269999999902</v>
      </c>
      <c r="P2925">
        <v>-0.61166309999999902</v>
      </c>
      <c r="Q2925">
        <v>-2.3387600000000001E-3</v>
      </c>
      <c r="R2925">
        <v>-0.79111489999999995</v>
      </c>
      <c r="S2925">
        <v>-1.024567</v>
      </c>
      <c r="T2925">
        <v>-0.18283279999999999</v>
      </c>
      <c r="U2925">
        <v>-3.003876</v>
      </c>
      <c r="V2925">
        <v>-0.10482909999999999</v>
      </c>
      <c r="W2925">
        <v>4.6985619999999999E-3</v>
      </c>
      <c r="X2925">
        <v>0.99447920000000001</v>
      </c>
      <c r="Y2925">
        <v>-0.42108679999999898</v>
      </c>
      <c r="Z2925">
        <v>3.2794740000000003E-2</v>
      </c>
      <c r="AA2925">
        <v>0.90642730000000005</v>
      </c>
      <c r="AB2925">
        <v>12</v>
      </c>
      <c r="AC2925">
        <v>-6.1903000000000299</v>
      </c>
      <c r="AD2925">
        <v>-1.1112538608689999</v>
      </c>
      <c r="AE2925">
        <v>-18.214199999999899</v>
      </c>
      <c r="AF2925">
        <v>-8.0894161207546702</v>
      </c>
      <c r="AG2925">
        <v>-1.1112538608689999</v>
      </c>
      <c r="AH2925">
        <v>17.383347759220399</v>
      </c>
      <c r="AI2925">
        <v>93.317043036197006</v>
      </c>
      <c r="AJ2925">
        <v>114.955117632935</v>
      </c>
      <c r="AK2925">
        <v>19.205580377484399</v>
      </c>
      <c r="AL2925">
        <v>89.730791249994596</v>
      </c>
      <c r="AM2925">
        <v>96.017386750007205</v>
      </c>
      <c r="AN2925">
        <v>1.00000004796215</v>
      </c>
    </row>
    <row r="2926" spans="1:40" x14ac:dyDescent="0.25">
      <c r="A2926" t="str">
        <f>"20190312160657870"</f>
        <v>20190312160657870</v>
      </c>
      <c r="B2926" t="str">
        <f>"1552378017857558"</f>
        <v>1552378017857558</v>
      </c>
      <c r="C2926" t="s">
        <v>40</v>
      </c>
      <c r="D2926">
        <v>5.0761989999999999</v>
      </c>
      <c r="E2926">
        <v>0.35415259999999998</v>
      </c>
      <c r="F2926" t="s">
        <v>47</v>
      </c>
      <c r="G2926">
        <v>-497.34870000000001</v>
      </c>
      <c r="H2926" s="1">
        <v>-4.5963880000000002E-6</v>
      </c>
      <c r="I2926">
        <v>256.66300000000001</v>
      </c>
      <c r="J2926">
        <v>-491.50009999999997</v>
      </c>
      <c r="K2926">
        <v>1.1112690000000001</v>
      </c>
      <c r="L2926">
        <v>275.452</v>
      </c>
      <c r="M2926">
        <v>-0.68911979999999995</v>
      </c>
      <c r="N2926">
        <v>0</v>
      </c>
      <c r="O2926">
        <v>-0.72460839999999904</v>
      </c>
      <c r="P2926">
        <v>-0.60885059999999902</v>
      </c>
      <c r="Q2926">
        <v>-2.1032580000000002E-3</v>
      </c>
      <c r="R2926">
        <v>-0.79328199999999904</v>
      </c>
      <c r="S2926">
        <v>-0.95440670000000005</v>
      </c>
      <c r="T2926">
        <v>-0.1801883</v>
      </c>
      <c r="U2926">
        <v>-3.0537109999999998</v>
      </c>
      <c r="V2926">
        <v>-0.1055151</v>
      </c>
      <c r="W2926">
        <v>4.8921559999999999E-3</v>
      </c>
      <c r="X2926">
        <v>0.99440569999999895</v>
      </c>
      <c r="Y2926">
        <v>-0.44173249999999997</v>
      </c>
      <c r="Z2926">
        <v>3.1734180000000001E-2</v>
      </c>
      <c r="AA2926">
        <v>0.89658539999999998</v>
      </c>
      <c r="AB2926">
        <v>12</v>
      </c>
      <c r="AC2926">
        <v>-5.8486000000000304</v>
      </c>
      <c r="AD2926">
        <v>-1.1112735963880001</v>
      </c>
      <c r="AE2926">
        <v>-18.788999999999898</v>
      </c>
      <c r="AF2926">
        <v>-8.6824841645703703</v>
      </c>
      <c r="AG2926">
        <v>-1.1112735963880001</v>
      </c>
      <c r="AH2926">
        <v>17.589457599030901</v>
      </c>
      <c r="AI2926">
        <v>93.2424738538936</v>
      </c>
      <c r="AJ2926">
        <v>116.271805280045</v>
      </c>
      <c r="AK2926">
        <v>19.647123934615699</v>
      </c>
      <c r="AL2926">
        <v>89.719698999599402</v>
      </c>
      <c r="AM2926">
        <v>96.056917030041504</v>
      </c>
      <c r="AN2926">
        <v>1.0000000328554099</v>
      </c>
    </row>
    <row r="2927" spans="1:40" x14ac:dyDescent="0.25">
      <c r="A2927" t="str">
        <f>"20190312160657881"</f>
        <v>20190312160657881</v>
      </c>
      <c r="B2927" t="str">
        <f>"1552378017878055"</f>
        <v>1552378017878055</v>
      </c>
      <c r="C2927" t="s">
        <v>40</v>
      </c>
      <c r="D2927">
        <v>5.1656639999999996</v>
      </c>
      <c r="E2927">
        <v>0.34786280000000003</v>
      </c>
      <c r="F2927" t="s">
        <v>47</v>
      </c>
      <c r="G2927">
        <v>-497.4495</v>
      </c>
      <c r="H2927" s="1">
        <v>-4.0952180000000003E-6</v>
      </c>
      <c r="I2927">
        <v>255.1377</v>
      </c>
      <c r="J2927">
        <v>-491.5394</v>
      </c>
      <c r="K2927">
        <v>1.111291</v>
      </c>
      <c r="L2927">
        <v>275.40559999999999</v>
      </c>
      <c r="M2927">
        <v>-0.68691429999999998</v>
      </c>
      <c r="N2927">
        <v>0</v>
      </c>
      <c r="O2927">
        <v>-0.72669989999999995</v>
      </c>
      <c r="P2927">
        <v>-0.60589919999999997</v>
      </c>
      <c r="Q2927">
        <v>-2.0611610000000002E-3</v>
      </c>
      <c r="R2927">
        <v>-0.7955392</v>
      </c>
      <c r="S2927">
        <v>-0.90417479999999995</v>
      </c>
      <c r="T2927">
        <v>-0.1688886</v>
      </c>
      <c r="U2927">
        <v>-3.0873110000000001</v>
      </c>
      <c r="V2927">
        <v>-0.106187</v>
      </c>
      <c r="W2927">
        <v>4.8907250000000003E-3</v>
      </c>
      <c r="X2927">
        <v>0.99433419999999895</v>
      </c>
      <c r="Y2927">
        <v>-0.45508969999999999</v>
      </c>
      <c r="Z2927">
        <v>2.943842E-2</v>
      </c>
      <c r="AA2927">
        <v>0.8899589</v>
      </c>
      <c r="AB2927">
        <v>12</v>
      </c>
      <c r="AC2927">
        <v>-5.9100999999999999</v>
      </c>
      <c r="AD2927">
        <v>-1.1112950952180001</v>
      </c>
      <c r="AE2927">
        <v>-20.267900000000001</v>
      </c>
      <c r="AF2927">
        <v>-9.6011084345108397</v>
      </c>
      <c r="AG2927">
        <v>-1.1112950952180001</v>
      </c>
      <c r="AH2927">
        <v>18.737023332587601</v>
      </c>
      <c r="AI2927">
        <v>93.021490406886699</v>
      </c>
      <c r="AJ2927">
        <v>117.131225811875</v>
      </c>
      <c r="AK2927">
        <v>21.082986110269701</v>
      </c>
      <c r="AL2927">
        <v>89.719780995565202</v>
      </c>
      <c r="AM2927">
        <v>96.095631884633704</v>
      </c>
      <c r="AN2927">
        <v>1.00000004972483</v>
      </c>
    </row>
    <row r="2928" spans="1:40" x14ac:dyDescent="0.25">
      <c r="A2928" t="str">
        <f>"20190312160657892"</f>
        <v>20190312160657892</v>
      </c>
      <c r="B2928" t="str">
        <f>"1552378017887814"</f>
        <v>1552378017887814</v>
      </c>
      <c r="C2928" t="s">
        <v>40</v>
      </c>
      <c r="D2928">
        <v>4.9817159999999996</v>
      </c>
      <c r="E2928">
        <v>0.34512900000000002</v>
      </c>
      <c r="F2928" t="s">
        <v>44</v>
      </c>
      <c r="G2928">
        <v>-491.78030000000001</v>
      </c>
      <c r="H2928">
        <v>1.0668169999999999</v>
      </c>
      <c r="I2928">
        <v>274.5249</v>
      </c>
      <c r="J2928">
        <v>-491.57819999999998</v>
      </c>
      <c r="K2928">
        <v>1.1113120000000001</v>
      </c>
      <c r="L2928">
        <v>275.3596</v>
      </c>
      <c r="M2928">
        <v>-0.68471519999999997</v>
      </c>
      <c r="N2928">
        <v>0</v>
      </c>
      <c r="O2928">
        <v>-0.72877289999999995</v>
      </c>
      <c r="P2928">
        <v>-0.60311819999999905</v>
      </c>
      <c r="Q2928">
        <v>-1.888601E-3</v>
      </c>
      <c r="R2928">
        <v>-0.79764999999999997</v>
      </c>
      <c r="S2928">
        <v>-0.85290529999999998</v>
      </c>
      <c r="T2928">
        <v>-0.1575416</v>
      </c>
      <c r="U2928">
        <v>-3.1210939999999998</v>
      </c>
      <c r="V2928">
        <v>-0.1066549</v>
      </c>
      <c r="W2928">
        <v>5.0204220000000001E-3</v>
      </c>
      <c r="X2928">
        <v>0.99428340000000004</v>
      </c>
      <c r="Y2928">
        <v>-0.4684741</v>
      </c>
      <c r="Z2928">
        <v>2.7167489999999999E-2</v>
      </c>
      <c r="AA2928">
        <v>0.88305940000000005</v>
      </c>
      <c r="AB2928">
        <v>12</v>
      </c>
      <c r="AC2928">
        <v>-0.20210000000002901</v>
      </c>
      <c r="AD2928">
        <v>-4.4495000000000097E-2</v>
      </c>
      <c r="AE2928">
        <v>-0.834699999999997</v>
      </c>
      <c r="AF2928">
        <v>-0.42312271496065201</v>
      </c>
      <c r="AG2928">
        <v>-4.4495000000000097E-2</v>
      </c>
      <c r="AH2928">
        <v>0.74470930163039495</v>
      </c>
      <c r="AI2928">
        <v>92.973764916068404</v>
      </c>
      <c r="AJ2928">
        <v>119.604010462259</v>
      </c>
      <c r="AK2928">
        <v>0.85767393622256205</v>
      </c>
      <c r="AL2928">
        <v>89.712349792737797</v>
      </c>
      <c r="AM2928">
        <v>96.122598420416594</v>
      </c>
      <c r="AN2928">
        <v>0.99999997592331302</v>
      </c>
    </row>
    <row r="2929" spans="1:40" x14ac:dyDescent="0.25">
      <c r="A2929" t="str">
        <f>"20190312160657904"</f>
        <v>20190312160657904</v>
      </c>
      <c r="B2929" t="str">
        <f>"1552378017897575"</f>
        <v>1552378017897575</v>
      </c>
      <c r="C2929" t="s">
        <v>40</v>
      </c>
      <c r="D2929">
        <v>4.9918639999999996</v>
      </c>
      <c r="E2929">
        <v>0.34342460000000002</v>
      </c>
      <c r="F2929" t="s">
        <v>44</v>
      </c>
      <c r="G2929">
        <v>-491.81130000000002</v>
      </c>
      <c r="H2929">
        <v>1.069278</v>
      </c>
      <c r="I2929">
        <v>274.47370000000001</v>
      </c>
      <c r="J2929">
        <v>-491.6139</v>
      </c>
      <c r="K2929">
        <v>1.1113329999999999</v>
      </c>
      <c r="L2929">
        <v>275.31689999999998</v>
      </c>
      <c r="M2929">
        <v>-0.68266139999999997</v>
      </c>
      <c r="N2929">
        <v>0</v>
      </c>
      <c r="O2929">
        <v>-0.73069719999999905</v>
      </c>
      <c r="P2929">
        <v>-0.60027779999999997</v>
      </c>
      <c r="Q2929">
        <v>-1.8185689999999999E-3</v>
      </c>
      <c r="R2929">
        <v>-0.79978939999999998</v>
      </c>
      <c r="S2929">
        <v>-0.82443239999999995</v>
      </c>
      <c r="T2929">
        <v>-0.14880479999999999</v>
      </c>
      <c r="U2929">
        <v>-3.1373289999999998</v>
      </c>
      <c r="V2929">
        <v>-0.10739310000000001</v>
      </c>
      <c r="W2929">
        <v>5.0495089999999998E-3</v>
      </c>
      <c r="X2929">
        <v>0.99420379999999997</v>
      </c>
      <c r="Y2929">
        <v>-0.47460859999999999</v>
      </c>
      <c r="Z2929">
        <v>2.559372E-2</v>
      </c>
      <c r="AA2929">
        <v>0.87982479999999996</v>
      </c>
      <c r="AB2929">
        <v>12</v>
      </c>
      <c r="AC2929">
        <v>-0.19740000000001601</v>
      </c>
      <c r="AD2929">
        <v>-4.2054999999999697E-2</v>
      </c>
      <c r="AE2929">
        <v>-0.84319999999996698</v>
      </c>
      <c r="AF2929">
        <v>-0.43037736782404801</v>
      </c>
      <c r="AG2929">
        <v>-4.2054999999999697E-2</v>
      </c>
      <c r="AH2929">
        <v>0.74913520066705797</v>
      </c>
      <c r="AI2929">
        <v>92.7867857508935</v>
      </c>
      <c r="AJ2929">
        <v>119.87732124942301</v>
      </c>
      <c r="AK2929">
        <v>0.86498372853980898</v>
      </c>
      <c r="AL2929">
        <v>89.710683212063202</v>
      </c>
      <c r="AM2929">
        <v>96.165139886714698</v>
      </c>
      <c r="AN2929">
        <v>0.99999998570159498</v>
      </c>
    </row>
    <row r="2930" spans="1:40" x14ac:dyDescent="0.25">
      <c r="A2930" t="str">
        <f>"20190312160657917"</f>
        <v>20190312160657917</v>
      </c>
      <c r="B2930" t="str">
        <f>"1552378017908311"</f>
        <v>1552378017908311</v>
      </c>
      <c r="C2930" t="s">
        <v>40</v>
      </c>
      <c r="D2930">
        <v>5.2747380000000001</v>
      </c>
      <c r="E2930">
        <v>0.34442479999999998</v>
      </c>
      <c r="F2930" t="s">
        <v>44</v>
      </c>
      <c r="G2930">
        <v>-491.83870000000002</v>
      </c>
      <c r="H2930">
        <v>1.0721099999999999</v>
      </c>
      <c r="I2930">
        <v>274.43439999999998</v>
      </c>
      <c r="J2930">
        <v>-491.6551</v>
      </c>
      <c r="K2930">
        <v>1.1113569999999999</v>
      </c>
      <c r="L2930">
        <v>275.26740000000001</v>
      </c>
      <c r="M2930">
        <v>-0.68027289999999996</v>
      </c>
      <c r="N2930">
        <v>0</v>
      </c>
      <c r="O2930">
        <v>-0.73292170000000001</v>
      </c>
      <c r="P2930">
        <v>-0.59715090000000004</v>
      </c>
      <c r="Q2930">
        <v>-1.7505800000000001E-3</v>
      </c>
      <c r="R2930">
        <v>-0.80212720000000004</v>
      </c>
      <c r="S2930">
        <v>-0.80267330000000003</v>
      </c>
      <c r="T2930">
        <v>-0.1399754</v>
      </c>
      <c r="U2930">
        <v>-3.1482540000000001</v>
      </c>
      <c r="V2930">
        <v>-0.10803020000000001</v>
      </c>
      <c r="W2930">
        <v>5.070013E-3</v>
      </c>
      <c r="X2930">
        <v>0.99413470000000004</v>
      </c>
      <c r="Y2930">
        <v>-0.47817549999999998</v>
      </c>
      <c r="Z2930">
        <v>2.4097960000000002E-2</v>
      </c>
      <c r="AA2930">
        <v>0.87793359999999998</v>
      </c>
      <c r="AB2930">
        <v>12</v>
      </c>
      <c r="AC2930">
        <v>-0.183600000000012</v>
      </c>
      <c r="AD2930">
        <v>-3.9246999999999803E-2</v>
      </c>
      <c r="AE2930">
        <v>-0.83300000000002605</v>
      </c>
      <c r="AF2930">
        <v>-0.43120183497423398</v>
      </c>
      <c r="AG2930">
        <v>-3.9246999999999803E-2</v>
      </c>
      <c r="AH2930">
        <v>0.73388830116509696</v>
      </c>
      <c r="AI2930">
        <v>92.639941534572998</v>
      </c>
      <c r="AJ2930">
        <v>120.43669991341901</v>
      </c>
      <c r="AK2930">
        <v>0.85209587962924604</v>
      </c>
      <c r="AL2930">
        <v>89.709508412984903</v>
      </c>
      <c r="AM2930">
        <v>96.201857574969296</v>
      </c>
      <c r="AN2930">
        <v>1.0000000154439701</v>
      </c>
    </row>
    <row r="2931" spans="1:40" x14ac:dyDescent="0.25">
      <c r="A2931" t="str">
        <f>"20190312160657927"</f>
        <v>20190312160657927</v>
      </c>
      <c r="B2931" t="str">
        <f>"1552378017918070"</f>
        <v>1552378017918070</v>
      </c>
      <c r="C2931" t="s">
        <v>40</v>
      </c>
      <c r="D2931">
        <v>4.9753759999999998</v>
      </c>
      <c r="E2931">
        <v>0.34330329999999998</v>
      </c>
      <c r="F2931" t="s">
        <v>44</v>
      </c>
      <c r="G2931">
        <v>-491.88459999999998</v>
      </c>
      <c r="H2931">
        <v>1.0672999999999999</v>
      </c>
      <c r="I2931">
        <v>274.36259999999999</v>
      </c>
      <c r="J2931">
        <v>-491.69560000000001</v>
      </c>
      <c r="K2931">
        <v>1.1113820000000001</v>
      </c>
      <c r="L2931">
        <v>275.21839999999997</v>
      </c>
      <c r="M2931">
        <v>-0.67788909999999902</v>
      </c>
      <c r="N2931">
        <v>0</v>
      </c>
      <c r="O2931">
        <v>-0.73512730000000004</v>
      </c>
      <c r="P2931">
        <v>-0.59406630000000005</v>
      </c>
      <c r="Q2931">
        <v>-1.481734E-3</v>
      </c>
      <c r="R2931">
        <v>-0.80441470000000004</v>
      </c>
      <c r="S2931">
        <v>-0.79702759999999995</v>
      </c>
      <c r="T2931">
        <v>-0.1531477</v>
      </c>
      <c r="U2931">
        <v>-3.1463930000000002</v>
      </c>
      <c r="V2931">
        <v>-0.1086202</v>
      </c>
      <c r="W2931">
        <v>5.291263E-3</v>
      </c>
      <c r="X2931">
        <v>0.99406919999999999</v>
      </c>
      <c r="Y2931">
        <v>-0.47668909999999998</v>
      </c>
      <c r="Z2931">
        <v>2.6549050000000001E-2</v>
      </c>
      <c r="AA2931">
        <v>0.87867090000000003</v>
      </c>
      <c r="AB2931">
        <v>12</v>
      </c>
      <c r="AC2931">
        <v>-0.188999999999964</v>
      </c>
      <c r="AD2931">
        <v>-4.4081999999999899E-2</v>
      </c>
      <c r="AE2931">
        <v>-0.85579999999998702</v>
      </c>
      <c r="AF2931">
        <v>-0.44009700970606103</v>
      </c>
      <c r="AG2931">
        <v>-4.4081999999999899E-2</v>
      </c>
      <c r="AH2931">
        <v>0.75535257678423695</v>
      </c>
      <c r="AI2931">
        <v>92.886692560535494</v>
      </c>
      <c r="AJ2931">
        <v>120.22669729419</v>
      </c>
      <c r="AK2931">
        <v>0.87532057894853799</v>
      </c>
      <c r="AL2931">
        <v>89.696831534964801</v>
      </c>
      <c r="AM2931">
        <v>96.235870151089202</v>
      </c>
      <c r="AN2931">
        <v>0.99999995985040602</v>
      </c>
    </row>
    <row r="2932" spans="1:40" x14ac:dyDescent="0.25">
      <c r="A2932" t="str">
        <f>"20190312160657941"</f>
        <v>20190312160657941</v>
      </c>
      <c r="B2932" t="str">
        <f>"1552378017937590"</f>
        <v>1552378017937590</v>
      </c>
      <c r="C2932" t="s">
        <v>40</v>
      </c>
      <c r="D2932">
        <v>4.9769889999999997</v>
      </c>
      <c r="E2932">
        <v>0.34206510000000001</v>
      </c>
      <c r="F2932" t="s">
        <v>44</v>
      </c>
      <c r="G2932">
        <v>-491.90820000000002</v>
      </c>
      <c r="H2932">
        <v>1.0711930000000001</v>
      </c>
      <c r="I2932">
        <v>274.35640000000001</v>
      </c>
      <c r="J2932">
        <v>-491.73579999999998</v>
      </c>
      <c r="K2932">
        <v>1.111407</v>
      </c>
      <c r="L2932">
        <v>275.16930000000002</v>
      </c>
      <c r="M2932">
        <v>-0.67548769999999903</v>
      </c>
      <c r="N2932">
        <v>0</v>
      </c>
      <c r="O2932">
        <v>-0.73733479999999996</v>
      </c>
      <c r="P2932">
        <v>-0.59106309999999995</v>
      </c>
      <c r="Q2932">
        <v>-1.3486800000000001E-3</v>
      </c>
      <c r="R2932">
        <v>-0.80662440000000002</v>
      </c>
      <c r="S2932">
        <v>-0.77725219999999995</v>
      </c>
      <c r="T2932">
        <v>-0.14704120000000001</v>
      </c>
      <c r="U2932">
        <v>-3.155151</v>
      </c>
      <c r="V2932">
        <v>-0.10908519999999899</v>
      </c>
      <c r="W2932">
        <v>5.3766159999999999E-3</v>
      </c>
      <c r="X2932">
        <v>0.99401779999999995</v>
      </c>
      <c r="Y2932">
        <v>-0.47957939999999999</v>
      </c>
      <c r="Z2932">
        <v>2.5537000000000001E-2</v>
      </c>
      <c r="AA2932">
        <v>0.87712679999999998</v>
      </c>
      <c r="AB2932">
        <v>12</v>
      </c>
      <c r="AC2932">
        <v>-0.172400000000038</v>
      </c>
      <c r="AD2932">
        <v>-4.0213999999999903E-2</v>
      </c>
      <c r="AE2932">
        <v>-0.81290000000001295</v>
      </c>
      <c r="AF2932">
        <v>-0.42101279449791701</v>
      </c>
      <c r="AG2932">
        <v>-4.0213999999999903E-2</v>
      </c>
      <c r="AH2932">
        <v>0.71418022357793798</v>
      </c>
      <c r="AI2932">
        <v>92.777057235594995</v>
      </c>
      <c r="AJ2932">
        <v>120.519561146678</v>
      </c>
      <c r="AK2932">
        <v>0.83001345210591604</v>
      </c>
      <c r="AL2932">
        <v>89.691941091732403</v>
      </c>
      <c r="AM2932">
        <v>96.262675330225804</v>
      </c>
      <c r="AN2932">
        <v>0.99999993778774299</v>
      </c>
    </row>
    <row r="2933" spans="1:40" x14ac:dyDescent="0.25">
      <c r="A2933" t="str">
        <f>"20190312160657953"</f>
        <v>20190312160657953</v>
      </c>
      <c r="B2933" t="str">
        <f>"1552378017948326"</f>
        <v>1552378017948326</v>
      </c>
      <c r="C2933" t="s">
        <v>40</v>
      </c>
      <c r="D2933">
        <v>5.0657550000000002</v>
      </c>
      <c r="E2933">
        <v>0.34153640000000002</v>
      </c>
      <c r="F2933" t="s">
        <v>44</v>
      </c>
      <c r="G2933">
        <v>-491.94869999999997</v>
      </c>
      <c r="H2933">
        <v>1.0718799999999999</v>
      </c>
      <c r="I2933">
        <v>274.27960000000002</v>
      </c>
      <c r="J2933">
        <v>-491.77800000000002</v>
      </c>
      <c r="K2933">
        <v>1.1114389999999901</v>
      </c>
      <c r="L2933">
        <v>275.11750000000001</v>
      </c>
      <c r="M2933">
        <v>-0.67294580000000004</v>
      </c>
      <c r="N2933">
        <v>0</v>
      </c>
      <c r="O2933">
        <v>-0.73965619999999999</v>
      </c>
      <c r="P2933">
        <v>-0.58801870000000001</v>
      </c>
      <c r="Q2933">
        <v>-1.357781E-3</v>
      </c>
      <c r="R2933">
        <v>-0.80884650000000002</v>
      </c>
      <c r="S2933">
        <v>-0.75772090000000003</v>
      </c>
      <c r="T2933">
        <v>-0.14059479999999999</v>
      </c>
      <c r="U2933">
        <v>-3.1637270000000002</v>
      </c>
      <c r="V2933">
        <v>-0.1094099</v>
      </c>
      <c r="W2933">
        <v>5.3174889999999999E-3</v>
      </c>
      <c r="X2933">
        <v>0.99398249999999999</v>
      </c>
      <c r="Y2933">
        <v>-0.48221819999999999</v>
      </c>
      <c r="Z2933">
        <v>2.4472879999999999E-2</v>
      </c>
      <c r="AA2933">
        <v>0.87570919999999897</v>
      </c>
      <c r="AB2933">
        <v>12</v>
      </c>
      <c r="AC2933">
        <v>-0.170699999999953</v>
      </c>
      <c r="AD2933">
        <v>-3.95589999999999E-2</v>
      </c>
      <c r="AE2933">
        <v>-0.83789999999998999</v>
      </c>
      <c r="AF2933">
        <v>-0.43667893278188102</v>
      </c>
      <c r="AG2933">
        <v>-3.95589999999999E-2</v>
      </c>
      <c r="AH2933">
        <v>0.73308021361563303</v>
      </c>
      <c r="AI2933">
        <v>92.654379584199205</v>
      </c>
      <c r="AJ2933">
        <v>120.781279219428</v>
      </c>
      <c r="AK2933">
        <v>0.85420138399048795</v>
      </c>
      <c r="AL2933">
        <v>89.6953288887442</v>
      </c>
      <c r="AM2933">
        <v>96.281389143082606</v>
      </c>
      <c r="AN2933">
        <v>1.00000000610676</v>
      </c>
    </row>
    <row r="2934" spans="1:40" x14ac:dyDescent="0.25">
      <c r="A2934" t="str">
        <f>"20190312160657964"</f>
        <v>20190312160657964</v>
      </c>
      <c r="B2934" t="str">
        <f>"1552378017958088"</f>
        <v>1552378017958088</v>
      </c>
      <c r="C2934" t="s">
        <v>40</v>
      </c>
      <c r="D2934">
        <v>5.0397210000000001</v>
      </c>
      <c r="E2934">
        <v>0.34124549999999998</v>
      </c>
      <c r="F2934" t="s">
        <v>44</v>
      </c>
      <c r="G2934">
        <v>-491.99299999999999</v>
      </c>
      <c r="H2934">
        <v>1.0719959999999999</v>
      </c>
      <c r="I2934">
        <v>274.19909999999999</v>
      </c>
      <c r="J2934">
        <v>-491.81740000000002</v>
      </c>
      <c r="K2934">
        <v>1.1114599999999999</v>
      </c>
      <c r="L2934">
        <v>275.06869999999998</v>
      </c>
      <c r="M2934">
        <v>-0.67053130000000005</v>
      </c>
      <c r="N2934">
        <v>0</v>
      </c>
      <c r="O2934">
        <v>-0.74184609999999995</v>
      </c>
      <c r="P2934">
        <v>-0.58526800000000001</v>
      </c>
      <c r="Q2934">
        <v>-1.0760050000000001E-3</v>
      </c>
      <c r="R2934">
        <v>-0.81083969999999905</v>
      </c>
      <c r="S2934">
        <v>-0.74252320000000005</v>
      </c>
      <c r="T2934">
        <v>-0.13613639999999999</v>
      </c>
      <c r="U2934">
        <v>-3.1689759999999998</v>
      </c>
      <c r="V2934">
        <v>-0.109547699999999</v>
      </c>
      <c r="W2934">
        <v>5.5544729999999999E-3</v>
      </c>
      <c r="X2934">
        <v>0.99396600000000002</v>
      </c>
      <c r="Y2934">
        <v>-0.48366480000000001</v>
      </c>
      <c r="Z2934">
        <v>2.377901E-2</v>
      </c>
      <c r="AA2934">
        <v>0.87493029999999905</v>
      </c>
      <c r="AB2934">
        <v>12</v>
      </c>
      <c r="AC2934">
        <v>-0.17560000000003101</v>
      </c>
      <c r="AD2934">
        <v>-3.9464000000000103E-2</v>
      </c>
      <c r="AE2934">
        <v>-0.86959999999999105</v>
      </c>
      <c r="AF2934">
        <v>-0.45194333564757699</v>
      </c>
      <c r="AG2934">
        <v>-3.9464000000000103E-2</v>
      </c>
      <c r="AH2934">
        <v>0.76136794515611295</v>
      </c>
      <c r="AI2934">
        <v>92.552093927846499</v>
      </c>
      <c r="AJ2934">
        <v>120.693107650154</v>
      </c>
      <c r="AK2934">
        <v>0.88627948968906001</v>
      </c>
      <c r="AL2934">
        <v>89.681750496837594</v>
      </c>
      <c r="AM2934">
        <v>96.289340660365596</v>
      </c>
      <c r="AN2934">
        <v>0.99999997995079803</v>
      </c>
    </row>
    <row r="2935" spans="1:40" x14ac:dyDescent="0.25">
      <c r="A2935" t="str">
        <f>"20190312160657984"</f>
        <v>20190312160657984</v>
      </c>
      <c r="B2935" t="str">
        <f>"1552378017977606"</f>
        <v>1552378017977606</v>
      </c>
      <c r="C2935" t="s">
        <v>40</v>
      </c>
      <c r="D2935">
        <v>5.048813</v>
      </c>
      <c r="E2935">
        <v>0.34101920000000002</v>
      </c>
      <c r="F2935" t="s">
        <v>44</v>
      </c>
      <c r="G2935">
        <v>-492.0308</v>
      </c>
      <c r="H2935">
        <v>1.0724</v>
      </c>
      <c r="I2935">
        <v>274.14190000000002</v>
      </c>
      <c r="J2935">
        <v>-491.8802</v>
      </c>
      <c r="K2935">
        <v>1.11149599999999</v>
      </c>
      <c r="L2935">
        <v>274.99009999999998</v>
      </c>
      <c r="M2935">
        <v>-0.66662500000000002</v>
      </c>
      <c r="N2935">
        <v>0</v>
      </c>
      <c r="O2935">
        <v>-0.74535879999999999</v>
      </c>
      <c r="P2935">
        <v>-0.58118930000000002</v>
      </c>
      <c r="Q2935">
        <v>-1.5154729999999901E-3</v>
      </c>
      <c r="R2935">
        <v>-0.81376729999999997</v>
      </c>
      <c r="S2935">
        <v>-0.72949219999999904</v>
      </c>
      <c r="T2935">
        <v>-0.13367780000000001</v>
      </c>
      <c r="U2935">
        <v>-3.173187</v>
      </c>
      <c r="V2935">
        <v>-0.1093143</v>
      </c>
      <c r="W2935">
        <v>5.0461719999999998E-3</v>
      </c>
      <c r="X2935">
        <v>0.99399439999999994</v>
      </c>
      <c r="Y2935">
        <v>-0.48273379999999999</v>
      </c>
      <c r="Z2935">
        <v>2.3542770000000001E-2</v>
      </c>
      <c r="AA2935">
        <v>0.87545069999999903</v>
      </c>
      <c r="AB2935">
        <v>12</v>
      </c>
      <c r="AC2935">
        <v>-0.15059999999999699</v>
      </c>
      <c r="AD2935">
        <v>-3.9095999999999798E-2</v>
      </c>
      <c r="AE2935">
        <v>-0.84819999999996298</v>
      </c>
      <c r="AF2935">
        <v>-0.45226044233566198</v>
      </c>
      <c r="AG2935">
        <v>-3.9095999999999798E-2</v>
      </c>
      <c r="AH2935">
        <v>0.73112004239780004</v>
      </c>
      <c r="AI2935">
        <v>92.603821919054795</v>
      </c>
      <c r="AJ2935">
        <v>121.740344721821</v>
      </c>
      <c r="AK2935">
        <v>0.86058382584929505</v>
      </c>
      <c r="AL2935">
        <v>89.710874407028996</v>
      </c>
      <c r="AM2935">
        <v>96.275869881020995</v>
      </c>
      <c r="AN2935">
        <v>0.99999997363385096</v>
      </c>
    </row>
    <row r="2936" spans="1:40" x14ac:dyDescent="0.25">
      <c r="A2936" t="str">
        <f>"20190312160657996"</f>
        <v>20190312160657996</v>
      </c>
      <c r="B2936" t="str">
        <f>"1552378017988343"</f>
        <v>1552378017988343</v>
      </c>
      <c r="C2936" t="s">
        <v>40</v>
      </c>
      <c r="D2936">
        <v>5.105029</v>
      </c>
      <c r="E2936">
        <v>0.34111649999999999</v>
      </c>
      <c r="F2936" t="s">
        <v>44</v>
      </c>
      <c r="G2936">
        <v>-492.09070000000003</v>
      </c>
      <c r="H2936">
        <v>1.0725499999999999</v>
      </c>
      <c r="I2936">
        <v>274.05090000000001</v>
      </c>
      <c r="J2936">
        <v>-491.92149999999998</v>
      </c>
      <c r="K2936">
        <v>1.1115219999999999</v>
      </c>
      <c r="L2936">
        <v>274.93799999999999</v>
      </c>
      <c r="M2936">
        <v>-0.66401409999999905</v>
      </c>
      <c r="N2936">
        <v>0</v>
      </c>
      <c r="O2936">
        <v>-0.74768630000000003</v>
      </c>
      <c r="P2936">
        <v>-0.57837209999999994</v>
      </c>
      <c r="Q2936">
        <v>-1.4332639999999901E-3</v>
      </c>
      <c r="R2936">
        <v>-0.8157721</v>
      </c>
      <c r="S2936">
        <v>-0.71255489999999999</v>
      </c>
      <c r="T2936">
        <v>-0.13177920000000001</v>
      </c>
      <c r="U2936">
        <v>-3.1774290000000001</v>
      </c>
      <c r="V2936">
        <v>-0.10927539999999999</v>
      </c>
      <c r="W2936">
        <v>5.0824109999999898E-3</v>
      </c>
      <c r="X2936">
        <v>0.99399850000000001</v>
      </c>
      <c r="Y2936">
        <v>-0.48436220000000002</v>
      </c>
      <c r="Z2936">
        <v>2.3300700000000001E-2</v>
      </c>
      <c r="AA2936">
        <v>0.87455729999999998</v>
      </c>
      <c r="AB2936">
        <v>12</v>
      </c>
      <c r="AC2936">
        <v>-0.16920000000004601</v>
      </c>
      <c r="AD2936">
        <v>-3.8972E-2</v>
      </c>
      <c r="AE2936">
        <v>-0.88709999999997502</v>
      </c>
      <c r="AF2936">
        <v>-0.461690269581852</v>
      </c>
      <c r="AG2936">
        <v>-3.8972E-2</v>
      </c>
      <c r="AH2936">
        <v>0.77420150846059699</v>
      </c>
      <c r="AI2936">
        <v>92.475603016754306</v>
      </c>
      <c r="AJ2936">
        <v>120.80947508461399</v>
      </c>
      <c r="AK2936">
        <v>0.90225533942073599</v>
      </c>
      <c r="AL2936">
        <v>89.708798040731395</v>
      </c>
      <c r="AM2936">
        <v>96.273628723615104</v>
      </c>
      <c r="AN2936">
        <v>0.99999998097449105</v>
      </c>
    </row>
    <row r="2937" spans="1:40" x14ac:dyDescent="0.25">
      <c r="A2937" t="str">
        <f>"20190312160658005"</f>
        <v>20190312160658005</v>
      </c>
      <c r="B2937" t="str">
        <f>"1552378017998103"</f>
        <v>1552378017998103</v>
      </c>
      <c r="C2937" t="s">
        <v>40</v>
      </c>
      <c r="D2937">
        <v>5.1080310000000004</v>
      </c>
      <c r="E2937">
        <v>0.34114080000000002</v>
      </c>
      <c r="F2937" t="s">
        <v>44</v>
      </c>
      <c r="G2937">
        <v>-492.1268</v>
      </c>
      <c r="H2937">
        <v>1.0729919999999999</v>
      </c>
      <c r="I2937">
        <v>274.00889999999998</v>
      </c>
      <c r="J2937">
        <v>-491.9572</v>
      </c>
      <c r="K2937">
        <v>1.1115440000000001</v>
      </c>
      <c r="L2937">
        <v>274.89249999999998</v>
      </c>
      <c r="M2937">
        <v>-0.66172640000000005</v>
      </c>
      <c r="N2937">
        <v>0</v>
      </c>
      <c r="O2937">
        <v>-0.74971169999999998</v>
      </c>
      <c r="P2937">
        <v>-0.57594369999999995</v>
      </c>
      <c r="Q2937">
        <v>-1.391162E-3</v>
      </c>
      <c r="R2937">
        <v>-0.81748809999999905</v>
      </c>
      <c r="S2937">
        <v>-0.70208740000000003</v>
      </c>
      <c r="T2937">
        <v>-0.131831</v>
      </c>
      <c r="U2937">
        <v>-3.1795040000000001</v>
      </c>
      <c r="V2937">
        <v>-0.10919379999999999</v>
      </c>
      <c r="W2937">
        <v>5.0862249999999998E-3</v>
      </c>
      <c r="X2937">
        <v>0.99400750000000004</v>
      </c>
      <c r="Y2937">
        <v>-0.48455480000000001</v>
      </c>
      <c r="Z2937">
        <v>2.3414319999999999E-2</v>
      </c>
      <c r="AA2937">
        <v>0.87444750000000004</v>
      </c>
      <c r="AB2937">
        <v>12</v>
      </c>
      <c r="AC2937">
        <v>-0.169600000000002</v>
      </c>
      <c r="AD2937">
        <v>-3.85520000000001E-2</v>
      </c>
      <c r="AE2937">
        <v>-0.88360000000000105</v>
      </c>
      <c r="AF2937">
        <v>-0.45672336628944199</v>
      </c>
      <c r="AG2937">
        <v>-3.85520000000001E-2</v>
      </c>
      <c r="AH2937">
        <v>0.77327390977166399</v>
      </c>
      <c r="AI2937">
        <v>92.458032821949303</v>
      </c>
      <c r="AJ2937">
        <v>120.56762570279599</v>
      </c>
      <c r="AK2937">
        <v>0.89890768689132705</v>
      </c>
      <c r="AL2937">
        <v>89.708579526917305</v>
      </c>
      <c r="AM2937">
        <v>96.268924976327</v>
      </c>
      <c r="AN2937">
        <v>1.0000000328497101</v>
      </c>
    </row>
    <row r="2938" spans="1:40" x14ac:dyDescent="0.25">
      <c r="A2938" t="str">
        <f>"20190312160658016"</f>
        <v>20190312160658016</v>
      </c>
      <c r="B2938" t="str">
        <f>"1552378018007862"</f>
        <v>1552378018007862</v>
      </c>
      <c r="C2938" t="s">
        <v>40</v>
      </c>
      <c r="D2938">
        <v>5.122566</v>
      </c>
      <c r="E2938">
        <v>0.341360099999999</v>
      </c>
      <c r="F2938" t="s">
        <v>44</v>
      </c>
      <c r="G2938">
        <v>-492.16199999999998</v>
      </c>
      <c r="H2938">
        <v>1.0725849999999999</v>
      </c>
      <c r="I2938">
        <v>273.952</v>
      </c>
      <c r="J2938">
        <v>-491.98989999999998</v>
      </c>
      <c r="K2938">
        <v>1.1115619999999999</v>
      </c>
      <c r="L2938">
        <v>274.85079999999999</v>
      </c>
      <c r="M2938">
        <v>-0.6596166</v>
      </c>
      <c r="N2938">
        <v>0</v>
      </c>
      <c r="O2938">
        <v>-0.75156889999999998</v>
      </c>
      <c r="P2938">
        <v>-0.57366600000000001</v>
      </c>
      <c r="Q2938">
        <v>-1.2209930000000001E-3</v>
      </c>
      <c r="R2938">
        <v>-0.8190885</v>
      </c>
      <c r="S2938">
        <v>-0.69265750000000004</v>
      </c>
      <c r="T2938">
        <v>-0.13176760000000001</v>
      </c>
      <c r="U2938">
        <v>-3.18161</v>
      </c>
      <c r="V2938">
        <v>-0.10916820000000001</v>
      </c>
      <c r="W2938">
        <v>5.2206919999999999E-3</v>
      </c>
      <c r="X2938">
        <v>0.99400960000000005</v>
      </c>
      <c r="Y2938">
        <v>-0.48469129999999999</v>
      </c>
      <c r="Z2938">
        <v>2.3497710000000002E-2</v>
      </c>
      <c r="AA2938">
        <v>0.87436959999999997</v>
      </c>
      <c r="AB2938">
        <v>12</v>
      </c>
      <c r="AC2938">
        <v>-0.1721</v>
      </c>
      <c r="AD2938">
        <v>-3.8976999999999998E-2</v>
      </c>
      <c r="AE2938">
        <v>-0.89879999999999405</v>
      </c>
      <c r="AF2938">
        <v>-0.462690659921484</v>
      </c>
      <c r="AG2938">
        <v>-3.8976999999999998E-2</v>
      </c>
      <c r="AH2938">
        <v>0.78762112594103395</v>
      </c>
      <c r="AI2938">
        <v>92.443277580365503</v>
      </c>
      <c r="AJ2938">
        <v>120.432248207044</v>
      </c>
      <c r="AK2938">
        <v>0.91430240693995801</v>
      </c>
      <c r="AL2938">
        <v>89.700875028890806</v>
      </c>
      <c r="AM2938">
        <v>96.267453816677204</v>
      </c>
      <c r="AN2938">
        <v>1.0000000182041699</v>
      </c>
    </row>
    <row r="2939" spans="1:40" x14ac:dyDescent="0.25">
      <c r="A2939" t="str">
        <f>"20190312160658026"</f>
        <v>20190312160658026</v>
      </c>
      <c r="B2939" t="str">
        <f>"1552378018017623"</f>
        <v>1552378018017623</v>
      </c>
      <c r="C2939" t="s">
        <v>40</v>
      </c>
      <c r="D2939">
        <v>5.1472759999999997</v>
      </c>
      <c r="E2939">
        <v>0.34142339999999999</v>
      </c>
      <c r="F2939" t="s">
        <v>44</v>
      </c>
      <c r="G2939">
        <v>-492.1875</v>
      </c>
      <c r="H2939">
        <v>1.072956</v>
      </c>
      <c r="I2939">
        <v>273.93259999999998</v>
      </c>
      <c r="J2939">
        <v>-492.02440000000001</v>
      </c>
      <c r="K2939">
        <v>1.11158</v>
      </c>
      <c r="L2939">
        <v>274.80630000000002</v>
      </c>
      <c r="M2939">
        <v>-0.65735730000000003</v>
      </c>
      <c r="N2939">
        <v>0</v>
      </c>
      <c r="O2939">
        <v>-0.75354619999999894</v>
      </c>
      <c r="P2939">
        <v>-0.57112249999999998</v>
      </c>
      <c r="Q2939">
        <v>-6.6588050000000005E-4</v>
      </c>
      <c r="R2939">
        <v>-0.82086499999999996</v>
      </c>
      <c r="S2939">
        <v>-0.68521119999999902</v>
      </c>
      <c r="T2939">
        <v>-0.13383829999999999</v>
      </c>
      <c r="U2939">
        <v>-3.1825260000000002</v>
      </c>
      <c r="V2939">
        <v>-0.1092708</v>
      </c>
      <c r="W2939">
        <v>5.7375760000000003E-3</v>
      </c>
      <c r="X2939">
        <v>0.99399550000000003</v>
      </c>
      <c r="Y2939">
        <v>-0.48407349999999999</v>
      </c>
      <c r="Z2939">
        <v>2.3986810000000001E-2</v>
      </c>
      <c r="AA2939">
        <v>0.87469850000000005</v>
      </c>
      <c r="AB2939">
        <v>12</v>
      </c>
      <c r="AC2939">
        <v>-0.16309999999998501</v>
      </c>
      <c r="AD2939">
        <v>-3.8623999999999901E-2</v>
      </c>
      <c r="AE2939">
        <v>-0.873700000000042</v>
      </c>
      <c r="AF2939">
        <v>-0.45058993070544201</v>
      </c>
      <c r="AG2939">
        <v>-3.8623999999999901E-2</v>
      </c>
      <c r="AH2939">
        <v>0.76416413037790698</v>
      </c>
      <c r="AI2939">
        <v>92.493011959871893</v>
      </c>
      <c r="AJ2939">
        <v>120.525757841458</v>
      </c>
      <c r="AK2939">
        <v>0.88795828572369195</v>
      </c>
      <c r="AL2939">
        <v>89.671259320270593</v>
      </c>
      <c r="AM2939">
        <v>96.273385520706995</v>
      </c>
      <c r="AN2939">
        <v>1.00000004076562</v>
      </c>
    </row>
    <row r="2940" spans="1:40" x14ac:dyDescent="0.25">
      <c r="A2940" t="str">
        <f>"20190312160658037"</f>
        <v>20190312160658037</v>
      </c>
      <c r="B2940" t="str">
        <f>"1552378018028359"</f>
        <v>1552378018028359</v>
      </c>
      <c r="C2940" t="s">
        <v>40</v>
      </c>
      <c r="D2940">
        <v>5.1499560000000004</v>
      </c>
      <c r="E2940">
        <v>0.34147820000000001</v>
      </c>
      <c r="F2940" t="s">
        <v>44</v>
      </c>
      <c r="G2940">
        <v>-492.22359999999998</v>
      </c>
      <c r="H2940">
        <v>1.07273</v>
      </c>
      <c r="I2940">
        <v>273.86750000000001</v>
      </c>
      <c r="J2940">
        <v>-492.05930000000001</v>
      </c>
      <c r="K2940">
        <v>1.1115999999999999</v>
      </c>
      <c r="L2940">
        <v>274.7611</v>
      </c>
      <c r="M2940">
        <v>-0.65505829999999998</v>
      </c>
      <c r="N2940">
        <v>0</v>
      </c>
      <c r="O2940">
        <v>-0.75554569999999999</v>
      </c>
      <c r="P2940">
        <v>-0.56861430000000002</v>
      </c>
      <c r="Q2940">
        <v>-4.571488E-4</v>
      </c>
      <c r="R2940">
        <v>-0.82260419999999901</v>
      </c>
      <c r="S2940">
        <v>-0.67614750000000001</v>
      </c>
      <c r="T2940">
        <v>-0.13179549999999901</v>
      </c>
      <c r="U2940">
        <v>-3.184113</v>
      </c>
      <c r="V2940">
        <v>-0.10927729999999999</v>
      </c>
      <c r="W2940">
        <v>5.9078029999999997E-3</v>
      </c>
      <c r="X2940">
        <v>0.99399380000000004</v>
      </c>
      <c r="Y2940">
        <v>-0.48387750000000002</v>
      </c>
      <c r="Z2940">
        <v>2.3731729999999999E-2</v>
      </c>
      <c r="AA2940">
        <v>0.87481390000000003</v>
      </c>
      <c r="AB2940">
        <v>12</v>
      </c>
      <c r="AC2940">
        <v>-0.164299999999968</v>
      </c>
      <c r="AD2940">
        <v>-3.8869999999999898E-2</v>
      </c>
      <c r="AE2940">
        <v>-0.89359999999999196</v>
      </c>
      <c r="AF2940">
        <v>-0.46039269126510701</v>
      </c>
      <c r="AG2940">
        <v>-3.8869999999999898E-2</v>
      </c>
      <c r="AH2940">
        <v>0.78137093723419804</v>
      </c>
      <c r="AI2940">
        <v>92.454160648291904</v>
      </c>
      <c r="AJ2940">
        <v>120.50707837955299</v>
      </c>
      <c r="AK2940">
        <v>0.90775153463080305</v>
      </c>
      <c r="AL2940">
        <v>89.661505870606803</v>
      </c>
      <c r="AM2940">
        <v>96.2737663632264</v>
      </c>
      <c r="AN2940">
        <v>1.0000000524349999</v>
      </c>
    </row>
    <row r="2941" spans="1:40" x14ac:dyDescent="0.25">
      <c r="A2941" t="str">
        <f>"20190312160658060"</f>
        <v>20190312160658060</v>
      </c>
      <c r="B2941" t="str">
        <f>"1552378018047878"</f>
        <v>1552378018047878</v>
      </c>
      <c r="C2941" t="s">
        <v>40</v>
      </c>
      <c r="D2941">
        <v>5.1724750000000004</v>
      </c>
      <c r="E2941">
        <v>0.34159230000000002</v>
      </c>
      <c r="F2941" t="s">
        <v>44</v>
      </c>
      <c r="G2941">
        <v>-492.25380000000001</v>
      </c>
      <c r="H2941">
        <v>1.073231</v>
      </c>
      <c r="I2941">
        <v>273.83249999999998</v>
      </c>
      <c r="J2941">
        <v>-492.13510000000002</v>
      </c>
      <c r="K2941">
        <v>1.1116469999999901</v>
      </c>
      <c r="L2941">
        <v>274.6617</v>
      </c>
      <c r="M2941">
        <v>-0.64995909999999901</v>
      </c>
      <c r="N2941">
        <v>0</v>
      </c>
      <c r="O2941">
        <v>-0.75993719999999998</v>
      </c>
      <c r="P2941">
        <v>-0.56282860000000001</v>
      </c>
      <c r="Q2941">
        <v>-1.0295300000000001E-3</v>
      </c>
      <c r="R2941">
        <v>-0.82657329999999996</v>
      </c>
      <c r="S2941">
        <v>-0.6667786</v>
      </c>
      <c r="T2941">
        <v>-0.1316069</v>
      </c>
      <c r="U2941">
        <v>-3.1860050000000002</v>
      </c>
      <c r="V2941">
        <v>-0.109559199999999</v>
      </c>
      <c r="W2941">
        <v>5.2497790000000004E-3</v>
      </c>
      <c r="X2941">
        <v>0.99396640000000003</v>
      </c>
      <c r="Y2941">
        <v>-0.48055560000000003</v>
      </c>
      <c r="Z2941">
        <v>2.3982010000000002E-2</v>
      </c>
      <c r="AA2941">
        <v>0.87663630000000003</v>
      </c>
      <c r="AB2941">
        <v>12</v>
      </c>
      <c r="AC2941">
        <v>-0.11869999999998899</v>
      </c>
      <c r="AD2941">
        <v>-3.84159999999997E-2</v>
      </c>
      <c r="AE2941">
        <v>-0.82920000000001404</v>
      </c>
      <c r="AF2941">
        <v>-0.44781058053223</v>
      </c>
      <c r="AG2941">
        <v>-3.84159999999997E-2</v>
      </c>
      <c r="AH2941">
        <v>0.70582272687819003</v>
      </c>
      <c r="AI2941">
        <v>92.6313443955504</v>
      </c>
      <c r="AJ2941">
        <v>122.39316263640799</v>
      </c>
      <c r="AK2941">
        <v>0.83677704728940605</v>
      </c>
      <c r="AL2941">
        <v>89.699208435683005</v>
      </c>
      <c r="AM2941">
        <v>96.2899930944441</v>
      </c>
      <c r="AN2941">
        <v>0.99999999140657403</v>
      </c>
    </row>
    <row r="2942" spans="1:40" x14ac:dyDescent="0.25">
      <c r="A2942" t="str">
        <f>"20190312160658071"</f>
        <v>20190312160658071</v>
      </c>
      <c r="B2942" t="str">
        <f>"1552378018057638"</f>
        <v>1552378018057638</v>
      </c>
      <c r="C2942" t="s">
        <v>40</v>
      </c>
      <c r="D2942">
        <v>4.8271059999999997</v>
      </c>
      <c r="E2942">
        <v>0.34157169999999998</v>
      </c>
      <c r="F2942" t="s">
        <v>44</v>
      </c>
      <c r="G2942">
        <v>-492.32389999999998</v>
      </c>
      <c r="H2942">
        <v>1.073264</v>
      </c>
      <c r="I2942">
        <v>273.72739999999999</v>
      </c>
      <c r="J2942">
        <v>-492.17189999999999</v>
      </c>
      <c r="K2942">
        <v>1.1116680000000001</v>
      </c>
      <c r="L2942">
        <v>274.613</v>
      </c>
      <c r="M2942">
        <v>-0.64744460000000004</v>
      </c>
      <c r="N2942">
        <v>0</v>
      </c>
      <c r="O2942">
        <v>-0.76208129999999996</v>
      </c>
      <c r="P2942">
        <v>-0.56032019999999905</v>
      </c>
      <c r="Q2942">
        <v>-1.086905E-3</v>
      </c>
      <c r="R2942">
        <v>-0.82827549999999905</v>
      </c>
      <c r="S2942">
        <v>-0.64456179999999996</v>
      </c>
      <c r="T2942">
        <v>-0.13106139999999999</v>
      </c>
      <c r="U2942">
        <v>-3.190369</v>
      </c>
      <c r="V2942">
        <v>-0.1092877</v>
      </c>
      <c r="W2942">
        <v>5.1525049999999999E-3</v>
      </c>
      <c r="X2942">
        <v>0.99399680000000001</v>
      </c>
      <c r="Y2942">
        <v>-0.4837514</v>
      </c>
      <c r="Z2942">
        <v>2.3945689999999999E-2</v>
      </c>
      <c r="AA2942">
        <v>0.87487780000000004</v>
      </c>
      <c r="AB2942">
        <v>13</v>
      </c>
      <c r="AC2942">
        <v>-0.15199999999998601</v>
      </c>
      <c r="AD2942">
        <v>-3.8404000000000098E-2</v>
      </c>
      <c r="AE2942">
        <v>-0.88560000000001005</v>
      </c>
      <c r="AF2942">
        <v>-0.456717177590657</v>
      </c>
      <c r="AG2942">
        <v>-3.8404000000000098E-2</v>
      </c>
      <c r="AH2942">
        <v>0.771919107206402</v>
      </c>
      <c r="AI2942">
        <v>92.451796666735007</v>
      </c>
      <c r="AJ2942">
        <v>120.61129892853999</v>
      </c>
      <c r="AK2942">
        <v>0.89773300908048703</v>
      </c>
      <c r="AL2942">
        <v>89.704781901555094</v>
      </c>
      <c r="AM2942">
        <v>96.274339894593197</v>
      </c>
      <c r="AN2942">
        <v>0.99999999404465201</v>
      </c>
    </row>
    <row r="2943" spans="1:40" x14ac:dyDescent="0.25">
      <c r="A2943" t="str">
        <f>"20190312160658083"</f>
        <v>20190312160658083</v>
      </c>
      <c r="B2943" t="str">
        <f>"1552378018078138"</f>
        <v>1552378018078138</v>
      </c>
      <c r="C2943" t="s">
        <v>40</v>
      </c>
      <c r="D2943">
        <v>5.2362120000000001</v>
      </c>
      <c r="E2943">
        <v>0.34153739999999999</v>
      </c>
      <c r="F2943" t="s">
        <v>47</v>
      </c>
      <c r="G2943">
        <v>-497.60570000000001</v>
      </c>
      <c r="H2943" s="1">
        <v>-4.8592680000000002E-6</v>
      </c>
      <c r="I2943">
        <v>247.3015</v>
      </c>
      <c r="J2943">
        <v>-492.21170000000001</v>
      </c>
      <c r="K2943">
        <v>1.111693</v>
      </c>
      <c r="L2943">
        <v>274.55970000000002</v>
      </c>
      <c r="M2943">
        <v>-0.64468599999999998</v>
      </c>
      <c r="N2943">
        <v>0</v>
      </c>
      <c r="O2943">
        <v>-0.76441649999999906</v>
      </c>
      <c r="P2943">
        <v>-0.55764409999999998</v>
      </c>
      <c r="Q2943">
        <v>-1.1055850000000001E-3</v>
      </c>
      <c r="R2943">
        <v>-0.83007960000000003</v>
      </c>
      <c r="S2943">
        <v>-0.63510129999999998</v>
      </c>
      <c r="T2943">
        <v>-0.12993260000000001</v>
      </c>
      <c r="U2943">
        <v>-3.1921689999999998</v>
      </c>
      <c r="V2943">
        <v>-0.10890329999999999</v>
      </c>
      <c r="W2943">
        <v>5.0924250000000003E-3</v>
      </c>
      <c r="X2943">
        <v>0.99403929999999996</v>
      </c>
      <c r="Y2943">
        <v>-0.48317680000000002</v>
      </c>
      <c r="Z2943">
        <v>2.3870929999999999E-2</v>
      </c>
      <c r="AA2943">
        <v>0.87519740000000001</v>
      </c>
      <c r="AB2943">
        <v>13</v>
      </c>
      <c r="AC2943">
        <v>-5.3940000000000001</v>
      </c>
      <c r="AD2943">
        <v>-1.111697859268</v>
      </c>
      <c r="AE2943">
        <v>-27.258199999999999</v>
      </c>
      <c r="AF2943">
        <v>-13.428541489427399</v>
      </c>
      <c r="AG2943">
        <v>-1.111697859268</v>
      </c>
      <c r="AH2943">
        <v>24.275772993152302</v>
      </c>
      <c r="AI2943">
        <v>92.294740617913405</v>
      </c>
      <c r="AJ2943">
        <v>118.949893673772</v>
      </c>
      <c r="AK2943">
        <v>27.7646313333824</v>
      </c>
      <c r="AL2943">
        <v>89.708224277668705</v>
      </c>
      <c r="AM2943">
        <v>96.252180908901593</v>
      </c>
      <c r="AN2943">
        <v>0.99999999574387999</v>
      </c>
    </row>
    <row r="2944" spans="1:40" x14ac:dyDescent="0.25">
      <c r="A2944" t="str">
        <f>"20190312160658094"</f>
        <v>20190312160658094</v>
      </c>
      <c r="B2944" t="str">
        <f>"1552378018087894"</f>
        <v>1552378018087894</v>
      </c>
      <c r="C2944" t="s">
        <v>40</v>
      </c>
      <c r="D2944">
        <v>4.8322010000000004</v>
      </c>
      <c r="E2944">
        <v>0.34168219999999999</v>
      </c>
      <c r="F2944" t="s">
        <v>44</v>
      </c>
      <c r="G2944">
        <v>-492.39909999999998</v>
      </c>
      <c r="H2944">
        <v>1.073221</v>
      </c>
      <c r="I2944">
        <v>273.60160000000002</v>
      </c>
      <c r="J2944">
        <v>-492.24900000000002</v>
      </c>
      <c r="K2944">
        <v>1.1117140000000001</v>
      </c>
      <c r="L2944">
        <v>274.50959999999998</v>
      </c>
      <c r="M2944">
        <v>-0.64208889999999996</v>
      </c>
      <c r="N2944">
        <v>0</v>
      </c>
      <c r="O2944">
        <v>-0.766599699999999</v>
      </c>
      <c r="P2944">
        <v>-0.55507649999999997</v>
      </c>
      <c r="Q2944">
        <v>-1.0307949999999999E-3</v>
      </c>
      <c r="R2944">
        <v>-0.831798699999999</v>
      </c>
      <c r="S2944">
        <v>-0.62442019999999998</v>
      </c>
      <c r="T2944">
        <v>-0.12824079999999999</v>
      </c>
      <c r="U2944">
        <v>-3.194458</v>
      </c>
      <c r="V2944">
        <v>-0.1086023</v>
      </c>
      <c r="W2944">
        <v>5.1277099999999997E-3</v>
      </c>
      <c r="X2944">
        <v>0.99407210000000001</v>
      </c>
      <c r="Y2944">
        <v>-0.48314279999999998</v>
      </c>
      <c r="Z2944">
        <v>2.367201E-2</v>
      </c>
      <c r="AA2944">
        <v>0.87522149999999999</v>
      </c>
      <c r="AB2944">
        <v>13</v>
      </c>
      <c r="AC2944">
        <v>-0.15009999999995199</v>
      </c>
      <c r="AD2944">
        <v>-3.8492999999999798E-2</v>
      </c>
      <c r="AE2944">
        <v>-0.90799999999995795</v>
      </c>
      <c r="AF2944">
        <v>-0.46714383340873</v>
      </c>
      <c r="AG2944">
        <v>-3.8492999999999798E-2</v>
      </c>
      <c r="AH2944">
        <v>0.79108468884260597</v>
      </c>
      <c r="AI2944">
        <v>92.399216068411604</v>
      </c>
      <c r="AJ2944">
        <v>120.562297811851</v>
      </c>
      <c r="AK2944">
        <v>0.91952164578219997</v>
      </c>
      <c r="AL2944">
        <v>89.706202584591793</v>
      </c>
      <c r="AM2944">
        <v>96.234832562983001</v>
      </c>
      <c r="AN2944">
        <v>1.00000004648677</v>
      </c>
    </row>
    <row r="2945" spans="1:40" x14ac:dyDescent="0.25">
      <c r="A2945" t="str">
        <f>"20190312160658105"</f>
        <v>20190312160658105</v>
      </c>
      <c r="B2945" t="str">
        <f>"1552378018097654"</f>
        <v>1552378018097654</v>
      </c>
      <c r="C2945" t="s">
        <v>40</v>
      </c>
      <c r="D2945">
        <v>5.2659830000000003</v>
      </c>
      <c r="E2945">
        <v>0.34176849999999998</v>
      </c>
      <c r="F2945" t="s">
        <v>44</v>
      </c>
      <c r="G2945">
        <v>-492.43169999999998</v>
      </c>
      <c r="H2945">
        <v>1.073682</v>
      </c>
      <c r="I2945">
        <v>273.56099999999998</v>
      </c>
      <c r="J2945">
        <v>-492.28769999999997</v>
      </c>
      <c r="K2945">
        <v>1.1117349999999999</v>
      </c>
      <c r="L2945">
        <v>274.45710000000003</v>
      </c>
      <c r="M2945">
        <v>-0.63934740000000001</v>
      </c>
      <c r="N2945">
        <v>0</v>
      </c>
      <c r="O2945">
        <v>-0.76888809999999996</v>
      </c>
      <c r="P2945">
        <v>-0.55194529999999997</v>
      </c>
      <c r="Q2945">
        <v>-9.5677760000000001E-4</v>
      </c>
      <c r="R2945">
        <v>-0.83388009999999901</v>
      </c>
      <c r="S2945">
        <v>-0.61560059999999905</v>
      </c>
      <c r="T2945">
        <v>-0.12813169999999999</v>
      </c>
      <c r="U2945">
        <v>-3.1957089999999999</v>
      </c>
      <c r="V2945">
        <v>-0.1087905</v>
      </c>
      <c r="W2945">
        <v>5.1567959999999999E-3</v>
      </c>
      <c r="X2945">
        <v>0.99405129999999997</v>
      </c>
      <c r="Y2945">
        <v>-0.48240899999999998</v>
      </c>
      <c r="Z2945">
        <v>2.378421E-2</v>
      </c>
      <c r="AA2945">
        <v>0.87562320000000005</v>
      </c>
      <c r="AB2945">
        <v>13</v>
      </c>
      <c r="AC2945">
        <v>-0.14400000000000501</v>
      </c>
      <c r="AD2945">
        <v>-3.8053000000000101E-2</v>
      </c>
      <c r="AE2945">
        <v>-0.89610000000004597</v>
      </c>
      <c r="AF2945">
        <v>-0.46139885826157301</v>
      </c>
      <c r="AG2945">
        <v>-3.8053000000000101E-2</v>
      </c>
      <c r="AH2945">
        <v>0.77971396073460497</v>
      </c>
      <c r="AI2945">
        <v>92.405062485715305</v>
      </c>
      <c r="AJ2945">
        <v>120.615094787091</v>
      </c>
      <c r="AK2945">
        <v>0.90680251310774795</v>
      </c>
      <c r="AL2945">
        <v>89.704536036834796</v>
      </c>
      <c r="AM2945">
        <v>96.245681421478096</v>
      </c>
      <c r="AN2945">
        <v>0.99999997623346204</v>
      </c>
    </row>
    <row r="2946" spans="1:40" x14ac:dyDescent="0.25">
      <c r="A2946" t="str">
        <f>"20190312160658117"</f>
        <v>20190312160658117</v>
      </c>
      <c r="B2946" t="str">
        <f>"1552378018108390"</f>
        <v>1552378018108390</v>
      </c>
      <c r="C2946" t="s">
        <v>40</v>
      </c>
      <c r="D2946">
        <v>7.7429309999999996</v>
      </c>
      <c r="E2946">
        <v>0.34192820000000002</v>
      </c>
      <c r="F2946" t="s">
        <v>44</v>
      </c>
      <c r="G2946">
        <v>-492.47030000000001</v>
      </c>
      <c r="H2946">
        <v>1.0732389999999901</v>
      </c>
      <c r="I2946">
        <v>273.49040000000002</v>
      </c>
      <c r="J2946">
        <v>-492.3229</v>
      </c>
      <c r="K2946">
        <v>1.111747</v>
      </c>
      <c r="L2946">
        <v>274.4092</v>
      </c>
      <c r="M2946">
        <v>-0.63683919999999905</v>
      </c>
      <c r="N2946">
        <v>0</v>
      </c>
      <c r="O2946">
        <v>-0.77096709999999902</v>
      </c>
      <c r="P2946">
        <v>-0.54935009999999995</v>
      </c>
      <c r="Q2946">
        <v>-9.490942E-4</v>
      </c>
      <c r="R2946">
        <v>-0.83559219999999901</v>
      </c>
      <c r="S2946">
        <v>-0.60406490000000002</v>
      </c>
      <c r="T2946">
        <v>-0.12734970000000001</v>
      </c>
      <c r="U2946">
        <v>-3.1976619999999998</v>
      </c>
      <c r="V2946">
        <v>-0.10864260000000001</v>
      </c>
      <c r="W2946">
        <v>5.125325E-3</v>
      </c>
      <c r="X2946">
        <v>0.9940677</v>
      </c>
      <c r="Y2946">
        <v>-0.48270269999999998</v>
      </c>
      <c r="Z2946">
        <v>2.3743029999999998E-2</v>
      </c>
      <c r="AA2946">
        <v>0.87546239999999997</v>
      </c>
      <c r="AB2946">
        <v>13</v>
      </c>
      <c r="AC2946">
        <v>-0.147400000000004</v>
      </c>
      <c r="AD2946">
        <v>-3.8508000000000202E-2</v>
      </c>
      <c r="AE2946">
        <v>-0.91879999999997597</v>
      </c>
      <c r="AF2946">
        <v>-0.47069200028477898</v>
      </c>
      <c r="AG2946">
        <v>-3.8508000000000202E-2</v>
      </c>
      <c r="AH2946">
        <v>0.80088145782790698</v>
      </c>
      <c r="AI2946">
        <v>92.3737182638923</v>
      </c>
      <c r="AJ2946">
        <v>120.443496552441</v>
      </c>
      <c r="AK2946">
        <v>0.92975530904030901</v>
      </c>
      <c r="AL2946">
        <v>89.706339234275205</v>
      </c>
      <c r="AM2946">
        <v>96.237155334903306</v>
      </c>
      <c r="AN2946">
        <v>1.0000000378372</v>
      </c>
    </row>
    <row r="2947" spans="1:40" x14ac:dyDescent="0.25">
      <c r="A2947" t="str">
        <f>"20190312160658128"</f>
        <v>20190312160658128</v>
      </c>
      <c r="B2947" t="str">
        <f>"1552378018118150"</f>
        <v>1552378018118150</v>
      </c>
      <c r="C2947" t="s">
        <v>40</v>
      </c>
      <c r="D2947">
        <v>5.3023389999999999</v>
      </c>
      <c r="E2947">
        <v>0.34204390000000001</v>
      </c>
      <c r="F2947" t="s">
        <v>44</v>
      </c>
      <c r="G2947">
        <v>-492.50060000000002</v>
      </c>
      <c r="H2947">
        <v>1.073725</v>
      </c>
      <c r="I2947">
        <v>273.45429999999999</v>
      </c>
      <c r="J2947">
        <v>-492.36439999999999</v>
      </c>
      <c r="K2947">
        <v>1.1117680000000001</v>
      </c>
      <c r="L2947">
        <v>274.35180000000003</v>
      </c>
      <c r="M2947">
        <v>-0.63382689999999997</v>
      </c>
      <c r="N2947">
        <v>0</v>
      </c>
      <c r="O2947">
        <v>-0.77344579999999996</v>
      </c>
      <c r="P2947">
        <v>-0.54616039999999999</v>
      </c>
      <c r="Q2947">
        <v>-6.4162970000000003E-4</v>
      </c>
      <c r="R2947">
        <v>-0.8376806</v>
      </c>
      <c r="S2947">
        <v>-0.59515379999999996</v>
      </c>
      <c r="T2947">
        <v>-0.12735439999999901</v>
      </c>
      <c r="U2947">
        <v>-3.1988530000000002</v>
      </c>
      <c r="V2947">
        <v>-0.10855670000000001</v>
      </c>
      <c r="W2947">
        <v>5.3847219999999998E-3</v>
      </c>
      <c r="X2947">
        <v>0.99407570000000001</v>
      </c>
      <c r="Y2947">
        <v>-0.48170210000000002</v>
      </c>
      <c r="Z2947">
        <v>2.388968E-2</v>
      </c>
      <c r="AA2947">
        <v>0.87600929999999999</v>
      </c>
      <c r="AB2947">
        <v>13</v>
      </c>
      <c r="AC2947">
        <v>-0.13620000000002999</v>
      </c>
      <c r="AD2947">
        <v>-3.8043E-2</v>
      </c>
      <c r="AE2947">
        <v>-0.89750000000003605</v>
      </c>
      <c r="AF2947">
        <v>-0.46271411402194301</v>
      </c>
      <c r="AG2947">
        <v>-3.8043E-2</v>
      </c>
      <c r="AH2947">
        <v>0.779144021718429</v>
      </c>
      <c r="AI2947">
        <v>92.403952988092399</v>
      </c>
      <c r="AJ2947">
        <v>120.705015189332</v>
      </c>
      <c r="AK2947">
        <v>0.90698237454962705</v>
      </c>
      <c r="AL2947">
        <v>89.691476672248797</v>
      </c>
      <c r="AM2947">
        <v>96.232212890122199</v>
      </c>
      <c r="AN2947">
        <v>1.0000000248381899</v>
      </c>
    </row>
    <row r="2948" spans="1:40" x14ac:dyDescent="0.25">
      <c r="A2948" t="str">
        <f>"20190312160658140"</f>
        <v>20190312160658140</v>
      </c>
      <c r="B2948" t="str">
        <f>"1552378018127910"</f>
        <v>1552378018127910</v>
      </c>
      <c r="C2948" t="s">
        <v>40</v>
      </c>
      <c r="D2948">
        <v>4.9322670000000004</v>
      </c>
      <c r="E2948">
        <v>0.3422386</v>
      </c>
      <c r="F2948" t="s">
        <v>47</v>
      </c>
      <c r="G2948">
        <v>-497.52330000000001</v>
      </c>
      <c r="H2948" s="1">
        <v>-4.4226940000000003E-6</v>
      </c>
      <c r="I2948">
        <v>246.0616</v>
      </c>
      <c r="J2948">
        <v>-492.40069999999997</v>
      </c>
      <c r="K2948">
        <v>1.111785</v>
      </c>
      <c r="L2948">
        <v>274.30149999999998</v>
      </c>
      <c r="M2948">
        <v>-0.63117869999999998</v>
      </c>
      <c r="N2948">
        <v>0</v>
      </c>
      <c r="O2948">
        <v>-0.77560869999999904</v>
      </c>
      <c r="P2948">
        <v>-0.54298990000000003</v>
      </c>
      <c r="Q2948">
        <v>-5.4358119999999997E-4</v>
      </c>
      <c r="R2948">
        <v>-0.83973940000000002</v>
      </c>
      <c r="S2948">
        <v>-0.58364869999999902</v>
      </c>
      <c r="T2948">
        <v>-0.125782</v>
      </c>
      <c r="U2948">
        <v>-3.200653</v>
      </c>
      <c r="V2948">
        <v>-0.108915899999999</v>
      </c>
      <c r="W2948">
        <v>5.4371719999999997E-3</v>
      </c>
      <c r="X2948">
        <v>0.99403609999999998</v>
      </c>
      <c r="Y2948">
        <v>-0.48183969999999998</v>
      </c>
      <c r="Z2948">
        <v>2.370512E-2</v>
      </c>
      <c r="AA2948">
        <v>0.87593869999999896</v>
      </c>
      <c r="AB2948">
        <v>13</v>
      </c>
      <c r="AC2948">
        <v>-5.1226000000000296</v>
      </c>
      <c r="AD2948">
        <v>-1.1117894226939999</v>
      </c>
      <c r="AE2948">
        <v>-28.239899999999899</v>
      </c>
      <c r="AF2948">
        <v>-13.830844826548001</v>
      </c>
      <c r="AG2948">
        <v>-1.1117894226939999</v>
      </c>
      <c r="AH2948">
        <v>25.099285170804698</v>
      </c>
      <c r="AI2948">
        <v>92.221699950887199</v>
      </c>
      <c r="AJ2948">
        <v>118.856758210062</v>
      </c>
      <c r="AK2948">
        <v>28.679303694857101</v>
      </c>
      <c r="AL2948">
        <v>89.688471457612295</v>
      </c>
      <c r="AM2948">
        <v>96.252918520041305</v>
      </c>
      <c r="AN2948">
        <v>1.00000000210768</v>
      </c>
    </row>
    <row r="2949" spans="1:40" x14ac:dyDescent="0.25">
      <c r="A2949" t="str">
        <f>"20190312160658151"</f>
        <v>20190312160658151</v>
      </c>
      <c r="B2949" t="str">
        <f>"1552378018148406"</f>
        <v>1552378018148406</v>
      </c>
      <c r="C2949" t="s">
        <v>40</v>
      </c>
      <c r="D2949">
        <v>5.5751439999999999</v>
      </c>
      <c r="E2949">
        <v>0.34209410000000001</v>
      </c>
      <c r="F2949" t="s">
        <v>44</v>
      </c>
      <c r="G2949">
        <v>-492.57459999999998</v>
      </c>
      <c r="H2949">
        <v>1.0737019999999999</v>
      </c>
      <c r="I2949">
        <v>273.32909999999998</v>
      </c>
      <c r="J2949">
        <v>-492.43979999999999</v>
      </c>
      <c r="K2949">
        <v>1.1117999999999999</v>
      </c>
      <c r="L2949">
        <v>274.24680000000001</v>
      </c>
      <c r="M2949">
        <v>-0.62828980000000001</v>
      </c>
      <c r="N2949">
        <v>0</v>
      </c>
      <c r="O2949">
        <v>-0.77795110000000001</v>
      </c>
      <c r="P2949">
        <v>-0.53968490000000002</v>
      </c>
      <c r="Q2949">
        <v>-5.3876589999999995E-4</v>
      </c>
      <c r="R2949">
        <v>-0.84186729999999999</v>
      </c>
      <c r="S2949">
        <v>-0.57290649999999999</v>
      </c>
      <c r="T2949">
        <v>-0.12541630000000001</v>
      </c>
      <c r="U2949">
        <v>-3.202026</v>
      </c>
      <c r="V2949">
        <v>-0.109126399999999</v>
      </c>
      <c r="W2949">
        <v>5.3928269999999898E-3</v>
      </c>
      <c r="X2949">
        <v>0.99401320000000004</v>
      </c>
      <c r="Y2949">
        <v>-0.48149330000000001</v>
      </c>
      <c r="Z2949">
        <v>2.3764230000000001E-2</v>
      </c>
      <c r="AA2949">
        <v>0.87612749999999995</v>
      </c>
      <c r="AB2949">
        <v>13</v>
      </c>
      <c r="AC2949">
        <v>-0.13479999999998399</v>
      </c>
      <c r="AD2949">
        <v>-3.8097999999999903E-2</v>
      </c>
      <c r="AE2949">
        <v>-0.91770000000002405</v>
      </c>
      <c r="AF2949">
        <v>-0.47092963300664897</v>
      </c>
      <c r="AG2949">
        <v>-3.8097999999999903E-2</v>
      </c>
      <c r="AH2949">
        <v>0.79729168136418904</v>
      </c>
      <c r="AI2949">
        <v>92.356003072665402</v>
      </c>
      <c r="AJ2949">
        <v>120.568718272921</v>
      </c>
      <c r="AK2949">
        <v>0.92676868851958605</v>
      </c>
      <c r="AL2949">
        <v>89.6910122594104</v>
      </c>
      <c r="AM2949">
        <v>96.265050614547306</v>
      </c>
      <c r="AN2949">
        <v>0.99999994776712398</v>
      </c>
    </row>
    <row r="2950" spans="1:40" x14ac:dyDescent="0.25">
      <c r="A2950" t="str">
        <f>"20190312160658164"</f>
        <v>20190312160658164</v>
      </c>
      <c r="B2950" t="str">
        <f>"1552378018158167"</f>
        <v>1552378018158167</v>
      </c>
      <c r="C2950" t="s">
        <v>40</v>
      </c>
      <c r="D2950">
        <v>4.8929689999999999</v>
      </c>
      <c r="E2950">
        <v>0.341561</v>
      </c>
      <c r="F2950" t="s">
        <v>47</v>
      </c>
      <c r="G2950">
        <v>-497.44110000000001</v>
      </c>
      <c r="H2950" s="1">
        <v>-4.2539580000000004E-6</v>
      </c>
      <c r="I2950">
        <v>245.6086</v>
      </c>
      <c r="J2950">
        <v>-492.48020000000002</v>
      </c>
      <c r="K2950">
        <v>1.1118189999999999</v>
      </c>
      <c r="L2950">
        <v>274.18979999999999</v>
      </c>
      <c r="M2950">
        <v>-0.62527060000000001</v>
      </c>
      <c r="N2950">
        <v>0</v>
      </c>
      <c r="O2950">
        <v>-0.78037990000000002</v>
      </c>
      <c r="P2950">
        <v>-0.53622930000000002</v>
      </c>
      <c r="Q2950">
        <v>-1.026662E-3</v>
      </c>
      <c r="R2950">
        <v>-0.84407199999999905</v>
      </c>
      <c r="S2950">
        <v>-0.55966190000000005</v>
      </c>
      <c r="T2950">
        <v>-0.12441439999999999</v>
      </c>
      <c r="U2950">
        <v>-3.2047119999999998</v>
      </c>
      <c r="V2950">
        <v>-0.1093466</v>
      </c>
      <c r="W2950">
        <v>4.8554389999999996E-3</v>
      </c>
      <c r="X2950">
        <v>0.99399190000000004</v>
      </c>
      <c r="Y2950">
        <v>-0.48173569999999999</v>
      </c>
      <c r="Z2950">
        <v>2.369106E-2</v>
      </c>
      <c r="AA2950">
        <v>0.87599629999999995</v>
      </c>
      <c r="AB2950">
        <v>13</v>
      </c>
      <c r="AC2950">
        <v>-4.9608999999999801</v>
      </c>
      <c r="AD2950">
        <v>-1.111823253958</v>
      </c>
      <c r="AE2950">
        <v>-28.5811999999999</v>
      </c>
      <c r="AF2950">
        <v>-13.9793690533561</v>
      </c>
      <c r="AG2950">
        <v>-1.111823253958</v>
      </c>
      <c r="AH2950">
        <v>25.369389000610202</v>
      </c>
      <c r="AI2950">
        <v>92.198147547895701</v>
      </c>
      <c r="AJ2950">
        <v>118.856212085995</v>
      </c>
      <c r="AK2950">
        <v>28.987321510312999</v>
      </c>
      <c r="AL2950">
        <v>89.721802765584201</v>
      </c>
      <c r="AM2950">
        <v>96.277725123932001</v>
      </c>
      <c r="AN2950">
        <v>1.00000007574252</v>
      </c>
    </row>
    <row r="2951" spans="1:40" x14ac:dyDescent="0.25">
      <c r="A2951" t="str">
        <f>"20190312160658176"</f>
        <v>20190312160658176</v>
      </c>
      <c r="B2951" t="str">
        <f>"1552378018167926"</f>
        <v>1552378018167926</v>
      </c>
      <c r="C2951" t="s">
        <v>40</v>
      </c>
      <c r="D2951">
        <v>5.3846809999999996</v>
      </c>
      <c r="E2951">
        <v>0.341561</v>
      </c>
      <c r="F2951" t="s">
        <v>44</v>
      </c>
      <c r="G2951">
        <v>-492.64670000000001</v>
      </c>
      <c r="H2951">
        <v>1.073699</v>
      </c>
      <c r="I2951">
        <v>273.20549999999997</v>
      </c>
      <c r="J2951">
        <v>-492.5215</v>
      </c>
      <c r="K2951">
        <v>1.1118349999999999</v>
      </c>
      <c r="L2951">
        <v>274.1311</v>
      </c>
      <c r="M2951">
        <v>-0.62215399999999998</v>
      </c>
      <c r="N2951">
        <v>0</v>
      </c>
      <c r="O2951">
        <v>-0.78286739999999999</v>
      </c>
      <c r="P2951">
        <v>-0.53246850000000001</v>
      </c>
      <c r="Q2951">
        <v>-1.2336929999999999E-3</v>
      </c>
      <c r="R2951">
        <v>-0.84644909999999995</v>
      </c>
      <c r="S2951">
        <v>-0.5427246</v>
      </c>
      <c r="T2951">
        <v>-0.12427249999999999</v>
      </c>
      <c r="U2951">
        <v>-3.2092900000000002</v>
      </c>
      <c r="V2951">
        <v>-0.1098032</v>
      </c>
      <c r="W2951">
        <v>4.5960419999999998E-3</v>
      </c>
      <c r="X2951">
        <v>0.99394269999999996</v>
      </c>
      <c r="Y2951">
        <v>-0.48294340000000002</v>
      </c>
      <c r="Z2951">
        <v>2.3760079999999999E-2</v>
      </c>
      <c r="AA2951">
        <v>0.87532919999999903</v>
      </c>
      <c r="AB2951">
        <v>13</v>
      </c>
      <c r="AC2951">
        <v>-0.125200000000006</v>
      </c>
      <c r="AD2951">
        <v>-3.81360000000001E-2</v>
      </c>
      <c r="AE2951">
        <v>-0.92560000000003095</v>
      </c>
      <c r="AF2951">
        <v>-0.477065732311655</v>
      </c>
      <c r="AG2951">
        <v>-3.81360000000001E-2</v>
      </c>
      <c r="AH2951">
        <v>0.80119737604869801</v>
      </c>
      <c r="AI2951">
        <v>92.341956277104103</v>
      </c>
      <c r="AJ2951">
        <v>120.77130109845</v>
      </c>
      <c r="AK2951">
        <v>0.933254146966075</v>
      </c>
      <c r="AL2951">
        <v>89.736665258199807</v>
      </c>
      <c r="AM2951">
        <v>96.304038027862902</v>
      </c>
      <c r="AN2951">
        <v>0.99999997860779699</v>
      </c>
    </row>
    <row r="2952" spans="1:40" x14ac:dyDescent="0.25">
      <c r="A2952" t="str">
        <f>"20190312160658187"</f>
        <v>20190312160658187</v>
      </c>
      <c r="B2952" t="str">
        <f>"1552378018177687"</f>
        <v>1552378018177687</v>
      </c>
      <c r="C2952" t="s">
        <v>40</v>
      </c>
      <c r="D2952">
        <v>8.5539919999999992</v>
      </c>
      <c r="E2952">
        <v>0.313108099999999</v>
      </c>
      <c r="F2952" t="s">
        <v>44</v>
      </c>
      <c r="G2952">
        <v>-492.68110000000001</v>
      </c>
      <c r="H2952">
        <v>1.0741240000000001</v>
      </c>
      <c r="I2952">
        <v>273.16019999999997</v>
      </c>
      <c r="J2952">
        <v>-492.55849999999998</v>
      </c>
      <c r="K2952">
        <v>1.1118490000000001</v>
      </c>
      <c r="L2952">
        <v>274.07780000000002</v>
      </c>
      <c r="M2952">
        <v>-0.61932100000000001</v>
      </c>
      <c r="N2952">
        <v>0</v>
      </c>
      <c r="O2952">
        <v>-0.7851108</v>
      </c>
      <c r="P2952">
        <v>-0.52897919999999998</v>
      </c>
      <c r="Q2952">
        <v>-1.8297470000000001E-3</v>
      </c>
      <c r="R2952">
        <v>-0.84863299999999997</v>
      </c>
      <c r="S2952">
        <v>-0.52832029999999996</v>
      </c>
      <c r="T2952">
        <v>-0.1247528</v>
      </c>
      <c r="U2952">
        <v>-3.2116389999999999</v>
      </c>
      <c r="V2952">
        <v>-0.1102992</v>
      </c>
      <c r="W2952">
        <v>3.954702E-3</v>
      </c>
      <c r="X2952">
        <v>0.99389059999999996</v>
      </c>
      <c r="Y2952">
        <v>-0.48370419999999997</v>
      </c>
      <c r="Z2952">
        <v>2.395502E-2</v>
      </c>
      <c r="AA2952">
        <v>0.8749036</v>
      </c>
      <c r="AB2952">
        <v>13</v>
      </c>
      <c r="AC2952">
        <v>-0.122600000000034</v>
      </c>
      <c r="AD2952">
        <v>-3.7725000000000002E-2</v>
      </c>
      <c r="AE2952">
        <v>-0.91760000000005004</v>
      </c>
      <c r="AF2952">
        <v>-0.47126182238841402</v>
      </c>
      <c r="AG2952">
        <v>-3.7725000000000002E-2</v>
      </c>
      <c r="AH2952">
        <v>0.79504310440151504</v>
      </c>
      <c r="AI2952">
        <v>92.337415086235396</v>
      </c>
      <c r="AJ2952">
        <v>120.657343495953</v>
      </c>
      <c r="AK2952">
        <v>0.924988874918098</v>
      </c>
      <c r="AL2952">
        <v>89.773411684369805</v>
      </c>
      <c r="AM2952">
        <v>96.332612894447294</v>
      </c>
      <c r="AN2952">
        <v>1.00000003897845</v>
      </c>
    </row>
    <row r="2953" spans="1:40" x14ac:dyDescent="0.25">
      <c r="A2953" t="str">
        <f>"20190312160658197"</f>
        <v>20190312160658197</v>
      </c>
      <c r="B2953" t="str">
        <f>"1552378018188423"</f>
        <v>1552378018188423</v>
      </c>
      <c r="C2953" t="s">
        <v>40</v>
      </c>
      <c r="D2953">
        <v>5.5293380000000001</v>
      </c>
      <c r="E2953">
        <v>0.3179497</v>
      </c>
      <c r="F2953" t="s">
        <v>45</v>
      </c>
      <c r="G2953">
        <v>-520.44359999999995</v>
      </c>
      <c r="H2953">
        <v>-0.05</v>
      </c>
      <c r="I2953">
        <v>-14.77422</v>
      </c>
      <c r="J2953">
        <v>-492.58929999999998</v>
      </c>
      <c r="K2953">
        <v>1.111861</v>
      </c>
      <c r="L2953">
        <v>274.03339999999997</v>
      </c>
      <c r="M2953">
        <v>-0.616954</v>
      </c>
      <c r="N2953">
        <v>0</v>
      </c>
      <c r="O2953">
        <v>-0.78697259999999902</v>
      </c>
      <c r="P2953">
        <v>-0.52631810000000001</v>
      </c>
      <c r="Q2953">
        <v>-2.2637569999999999E-3</v>
      </c>
      <c r="R2953">
        <v>-0.85028539999999997</v>
      </c>
      <c r="S2953">
        <v>-0.3218994</v>
      </c>
      <c r="T2953">
        <v>-1.341212E-2</v>
      </c>
      <c r="U2953">
        <v>-3.3344420000000001</v>
      </c>
      <c r="V2953">
        <v>-0.1104165</v>
      </c>
      <c r="W2953">
        <v>3.4854980000000001E-3</v>
      </c>
      <c r="X2953">
        <v>0.99387930000000002</v>
      </c>
      <c r="Y2953">
        <v>-0.53848929999999995</v>
      </c>
      <c r="Z2953">
        <v>2.4289680000000001E-3</v>
      </c>
      <c r="AA2953">
        <v>0.84262879999999996</v>
      </c>
      <c r="AB2953">
        <v>13</v>
      </c>
      <c r="AC2953">
        <v>-27.854299999999899</v>
      </c>
      <c r="AD2953">
        <v>-1.161861</v>
      </c>
      <c r="AE2953">
        <v>-288.80761999999999</v>
      </c>
      <c r="AF2953">
        <v>-156.26121272164099</v>
      </c>
      <c r="AG2953">
        <v>-1.161861</v>
      </c>
      <c r="AH2953">
        <v>244.46970573117301</v>
      </c>
      <c r="AI2953">
        <v>90.229436377189899</v>
      </c>
      <c r="AJ2953">
        <v>122.586077661877</v>
      </c>
      <c r="AK2953">
        <v>290.14540069163201</v>
      </c>
      <c r="AL2953">
        <v>89.800295272250096</v>
      </c>
      <c r="AM2953">
        <v>96.3393641352326</v>
      </c>
      <c r="AN2953">
        <v>1.00000000756852</v>
      </c>
    </row>
    <row r="2954" spans="1:40" x14ac:dyDescent="0.25">
      <c r="A2954" t="str">
        <f>"20190312160658206"</f>
        <v>20190312160658206</v>
      </c>
      <c r="B2954" t="str">
        <f>"1552378018198183"</f>
        <v>1552378018198183</v>
      </c>
      <c r="C2954" t="s">
        <v>40</v>
      </c>
      <c r="D2954">
        <v>5.5021409999999999</v>
      </c>
      <c r="E2954">
        <v>0.31860300000000003</v>
      </c>
      <c r="F2954" t="s">
        <v>61</v>
      </c>
      <c r="G2954">
        <v>-499.03750000000002</v>
      </c>
      <c r="H2954" s="1">
        <v>1.5935160000000001E-6</v>
      </c>
      <c r="I2954">
        <v>212.0471</v>
      </c>
      <c r="J2954">
        <v>-492.62240000000003</v>
      </c>
      <c r="K2954">
        <v>1.1118749999999999</v>
      </c>
      <c r="L2954">
        <v>273.98520000000002</v>
      </c>
      <c r="M2954">
        <v>-0.61438470000000001</v>
      </c>
      <c r="N2954">
        <v>0</v>
      </c>
      <c r="O2954">
        <v>-0.78898009999999996</v>
      </c>
      <c r="P2954">
        <v>-0.52350680000000005</v>
      </c>
      <c r="Q2954">
        <v>-2.708561E-3</v>
      </c>
      <c r="R2954">
        <v>-0.85201740000000004</v>
      </c>
      <c r="S2954">
        <v>-0.34481810000000002</v>
      </c>
      <c r="T2954">
        <v>-5.9456349999999998E-2</v>
      </c>
      <c r="U2954">
        <v>-3.3146969999999998</v>
      </c>
      <c r="V2954">
        <v>-0.1104546</v>
      </c>
      <c r="W2954">
        <v>3.0062790000000002E-3</v>
      </c>
      <c r="X2954">
        <v>0.9938766</v>
      </c>
      <c r="Y2954">
        <v>-0.52946280000000001</v>
      </c>
      <c r="Z2954">
        <v>1.093501E-2</v>
      </c>
      <c r="AA2954">
        <v>0.84826270000000004</v>
      </c>
      <c r="AB2954">
        <v>13</v>
      </c>
      <c r="AC2954">
        <v>-6.41509999999999</v>
      </c>
      <c r="AD2954">
        <v>-1.1118734064839999</v>
      </c>
      <c r="AE2954">
        <v>-61.938099999999999</v>
      </c>
      <c r="AF2954">
        <v>-32.982609119878497</v>
      </c>
      <c r="AG2954">
        <v>-1.1118734064839999</v>
      </c>
      <c r="AH2954">
        <v>52.793540251589299</v>
      </c>
      <c r="AI2954">
        <v>91.023282061317701</v>
      </c>
      <c r="AJ2954">
        <v>121.99496057357899</v>
      </c>
      <c r="AK2954">
        <v>62.259510591739399</v>
      </c>
      <c r="AL2954">
        <v>89.827752637707405</v>
      </c>
      <c r="AM2954">
        <v>96.341550847611302</v>
      </c>
      <c r="AN2954">
        <v>0.99999997620107195</v>
      </c>
    </row>
    <row r="2955" spans="1:40" x14ac:dyDescent="0.25">
      <c r="A2955" t="str">
        <f>"20190312160658216"</f>
        <v>20190312160658216</v>
      </c>
      <c r="B2955" t="str">
        <f>"1552378018207943"</f>
        <v>1552378018207943</v>
      </c>
      <c r="C2955" t="s">
        <v>40</v>
      </c>
      <c r="D2955">
        <v>5.8091619999999997</v>
      </c>
      <c r="E2955">
        <v>0.31957380000000002</v>
      </c>
      <c r="F2955" t="s">
        <v>61</v>
      </c>
      <c r="G2955">
        <v>-498.52359999999999</v>
      </c>
      <c r="H2955" s="1">
        <v>1.863168E-6</v>
      </c>
      <c r="I2955">
        <v>216.13050000000001</v>
      </c>
      <c r="J2955">
        <v>-492.65480000000002</v>
      </c>
      <c r="K2955">
        <v>1.1118950000000001</v>
      </c>
      <c r="L2955">
        <v>273.93779999999998</v>
      </c>
      <c r="M2955">
        <v>-0.61185459999999903</v>
      </c>
      <c r="N2955">
        <v>0</v>
      </c>
      <c r="O2955">
        <v>-0.79094419999999899</v>
      </c>
      <c r="P2955">
        <v>-0.52080990000000005</v>
      </c>
      <c r="Q2955">
        <v>-2.9051060000000002E-3</v>
      </c>
      <c r="R2955">
        <v>-0.85366819999999899</v>
      </c>
      <c r="S2955">
        <v>-0.33795170000000002</v>
      </c>
      <c r="T2955">
        <v>-6.3674930000000005E-2</v>
      </c>
      <c r="U2955">
        <v>-3.3132320000000002</v>
      </c>
      <c r="V2955">
        <v>-0.11041239999999999</v>
      </c>
      <c r="W2955">
        <v>2.7764450000000002E-3</v>
      </c>
      <c r="X2955">
        <v>0.99388200000000004</v>
      </c>
      <c r="Y2955">
        <v>-0.52844599999999997</v>
      </c>
      <c r="Z2955">
        <v>1.177721E-2</v>
      </c>
      <c r="AA2955">
        <v>0.84888519999999901</v>
      </c>
      <c r="AB2955">
        <v>13</v>
      </c>
      <c r="AC2955">
        <v>-5.8687999999999603</v>
      </c>
      <c r="AD2955">
        <v>-1.111893136832</v>
      </c>
      <c r="AE2955">
        <v>-57.807299999999898</v>
      </c>
      <c r="AF2955">
        <v>-30.717154093691001</v>
      </c>
      <c r="AG2955">
        <v>-1.111893136832</v>
      </c>
      <c r="AH2955">
        <v>49.296165529663</v>
      </c>
      <c r="AI2955">
        <v>91.096685936411603</v>
      </c>
      <c r="AJ2955">
        <v>121.92763080897799</v>
      </c>
      <c r="AK2955">
        <v>58.093818930168801</v>
      </c>
      <c r="AL2955">
        <v>89.840921217983606</v>
      </c>
      <c r="AM2955">
        <v>96.339113576607005</v>
      </c>
      <c r="AN2955">
        <v>1.0000000183222899</v>
      </c>
    </row>
    <row r="2956" spans="1:40" x14ac:dyDescent="0.25">
      <c r="A2956" t="str">
        <f>"20190312160658227"</f>
        <v>20190312160658227</v>
      </c>
      <c r="B2956" t="str">
        <f>"1552378018217703"</f>
        <v>1552378018217703</v>
      </c>
      <c r="C2956" t="s">
        <v>40</v>
      </c>
      <c r="D2956">
        <v>5.4574889999999998</v>
      </c>
      <c r="E2956">
        <v>0.32053150000000002</v>
      </c>
      <c r="F2956" t="s">
        <v>47</v>
      </c>
      <c r="G2956">
        <v>-497.10309999999998</v>
      </c>
      <c r="H2956" s="1">
        <v>-2.0122980000000001E-6</v>
      </c>
      <c r="I2956">
        <v>229.87430000000001</v>
      </c>
      <c r="J2956">
        <v>-492.69119999999998</v>
      </c>
      <c r="K2956">
        <v>1.111909</v>
      </c>
      <c r="L2956">
        <v>273.88400000000001</v>
      </c>
      <c r="M2956">
        <v>-0.60898269999999899</v>
      </c>
      <c r="N2956">
        <v>0</v>
      </c>
      <c r="O2956">
        <v>-0.79315760000000002</v>
      </c>
      <c r="P2956">
        <v>-0.51805500000000004</v>
      </c>
      <c r="Q2956">
        <v>-3.0017730000000001E-3</v>
      </c>
      <c r="R2956">
        <v>-0.85534219999999905</v>
      </c>
      <c r="S2956">
        <v>-0.33416750000000001</v>
      </c>
      <c r="T2956">
        <v>-8.3527329999999997E-2</v>
      </c>
      <c r="U2956">
        <v>-3.3101199999999902</v>
      </c>
      <c r="V2956">
        <v>-0.1100115</v>
      </c>
      <c r="W2956">
        <v>2.6476989999999999E-3</v>
      </c>
      <c r="X2956">
        <v>0.9939268</v>
      </c>
      <c r="Y2956">
        <v>-0.52624550000000003</v>
      </c>
      <c r="Z2956">
        <v>1.556104E-2</v>
      </c>
      <c r="AA2956">
        <v>0.85019029999999995</v>
      </c>
      <c r="AB2956">
        <v>13</v>
      </c>
      <c r="AC2956">
        <v>-4.4119000000000002</v>
      </c>
      <c r="AD2956">
        <v>-1.111911012298</v>
      </c>
      <c r="AE2956">
        <v>-44.009700000000002</v>
      </c>
      <c r="AF2956">
        <v>-23.287575512765098</v>
      </c>
      <c r="AG2956">
        <v>-1.111911012298</v>
      </c>
      <c r="AH2956">
        <v>37.5704276298233</v>
      </c>
      <c r="AI2956">
        <v>91.440972442249105</v>
      </c>
      <c r="AJ2956">
        <v>121.792204153843</v>
      </c>
      <c r="AK2956">
        <v>44.216338062415304</v>
      </c>
      <c r="AL2956">
        <v>89.848297846467702</v>
      </c>
      <c r="AM2956">
        <v>96.316000646120301</v>
      </c>
      <c r="AN2956">
        <v>1.0000000121002399</v>
      </c>
    </row>
    <row r="2957" spans="1:40" x14ac:dyDescent="0.25">
      <c r="A2957" t="str">
        <f>"20190312160658239"</f>
        <v>20190312160658239</v>
      </c>
      <c r="B2957" t="str">
        <f>"1552378018228439"</f>
        <v>1552378018228439</v>
      </c>
      <c r="C2957" t="s">
        <v>40</v>
      </c>
      <c r="D2957">
        <v>5.5012499999999998</v>
      </c>
      <c r="E2957">
        <v>0.32140659999999999</v>
      </c>
      <c r="F2957" t="s">
        <v>47</v>
      </c>
      <c r="G2957">
        <v>-496.81360000000001</v>
      </c>
      <c r="H2957" s="1">
        <v>-3.0980650000000001E-6</v>
      </c>
      <c r="I2957">
        <v>232.5848</v>
      </c>
      <c r="J2957">
        <v>-492.72890000000001</v>
      </c>
      <c r="K2957">
        <v>1.111923</v>
      </c>
      <c r="L2957">
        <v>273.82799999999997</v>
      </c>
      <c r="M2957">
        <v>-0.60598680000000005</v>
      </c>
      <c r="N2957">
        <v>0</v>
      </c>
      <c r="O2957">
        <v>-0.79544899999999996</v>
      </c>
      <c r="P2957">
        <v>-0.51504519999999998</v>
      </c>
      <c r="Q2957">
        <v>-3.1089799999999999E-3</v>
      </c>
      <c r="R2957">
        <v>-0.85715759999999996</v>
      </c>
      <c r="S2957">
        <v>-0.33010859999999997</v>
      </c>
      <c r="T2957">
        <v>-8.9038010000000001E-2</v>
      </c>
      <c r="U2957">
        <v>-3.3070979999999999</v>
      </c>
      <c r="V2957">
        <v>-0.1097557</v>
      </c>
      <c r="W2957">
        <v>2.5075090000000002E-3</v>
      </c>
      <c r="X2957">
        <v>0.99395540000000004</v>
      </c>
      <c r="Y2957">
        <v>-0.52399209999999996</v>
      </c>
      <c r="Z2957">
        <v>1.6711480000000001E-2</v>
      </c>
      <c r="AA2957">
        <v>0.85155919999999896</v>
      </c>
      <c r="AB2957">
        <v>13</v>
      </c>
      <c r="AC2957">
        <v>-4.08469999999999</v>
      </c>
      <c r="AD2957">
        <v>-1.1119260980650001</v>
      </c>
      <c r="AE2957">
        <v>-41.243199999999902</v>
      </c>
      <c r="AF2957">
        <v>-21.728468772505501</v>
      </c>
      <c r="AG2957">
        <v>-1.1119260980650001</v>
      </c>
      <c r="AH2957">
        <v>35.257479675831497</v>
      </c>
      <c r="AI2957">
        <v>91.537923734234795</v>
      </c>
      <c r="AJ2957">
        <v>121.64468494246</v>
      </c>
      <c r="AK2957">
        <v>41.4300930235135</v>
      </c>
      <c r="AL2957">
        <v>89.856330162232396</v>
      </c>
      <c r="AM2957">
        <v>96.301253026260198</v>
      </c>
      <c r="AN2957">
        <v>0.99999996923651702</v>
      </c>
    </row>
    <row r="2958" spans="1:40" x14ac:dyDescent="0.25">
      <c r="A2958" t="str">
        <f>"20190312160658249"</f>
        <v>20190312160658249</v>
      </c>
      <c r="B2958" t="str">
        <f>"1552378018238199"</f>
        <v>1552378018238199</v>
      </c>
      <c r="C2958" t="s">
        <v>40</v>
      </c>
      <c r="D2958">
        <v>5.4734530000000001</v>
      </c>
      <c r="E2958">
        <v>0.32277359999999999</v>
      </c>
      <c r="F2958" t="s">
        <v>47</v>
      </c>
      <c r="G2958">
        <v>-496.7183</v>
      </c>
      <c r="H2958" s="1">
        <v>-3.318054E-6</v>
      </c>
      <c r="I2958">
        <v>233.23509999999999</v>
      </c>
      <c r="J2958">
        <v>-492.76499999999999</v>
      </c>
      <c r="K2958">
        <v>1.1119380000000001</v>
      </c>
      <c r="L2958">
        <v>273.77379999999999</v>
      </c>
      <c r="M2958">
        <v>-0.60308869999999903</v>
      </c>
      <c r="N2958">
        <v>0</v>
      </c>
      <c r="O2958">
        <v>-0.79764899999999905</v>
      </c>
      <c r="P2958">
        <v>-0.51203469999999995</v>
      </c>
      <c r="Q2958">
        <v>-3.606635E-3</v>
      </c>
      <c r="R2958">
        <v>-0.85895759999999899</v>
      </c>
      <c r="S2958">
        <v>-0.324768099999999</v>
      </c>
      <c r="T2958">
        <v>-9.0517520000000004E-2</v>
      </c>
      <c r="U2958">
        <v>-3.3045040000000001</v>
      </c>
      <c r="V2958">
        <v>-0.1096217</v>
      </c>
      <c r="W2958">
        <v>1.9786980000000001E-3</v>
      </c>
      <c r="X2958">
        <v>0.99397139999999995</v>
      </c>
      <c r="Y2958">
        <v>-0.52218889999999996</v>
      </c>
      <c r="Z2958">
        <v>1.710594E-2</v>
      </c>
      <c r="AA2958">
        <v>0.85265829999999998</v>
      </c>
      <c r="AB2958">
        <v>13</v>
      </c>
      <c r="AC2958">
        <v>-3.9533000000000098</v>
      </c>
      <c r="AD2958">
        <v>-1.1119413180540001</v>
      </c>
      <c r="AE2958">
        <v>-40.538699999999999</v>
      </c>
      <c r="AF2958">
        <v>-21.279653911001098</v>
      </c>
      <c r="AG2958">
        <v>-1.1119413180540001</v>
      </c>
      <c r="AH2958">
        <v>34.694683204472099</v>
      </c>
      <c r="AI2958">
        <v>91.5649299580068</v>
      </c>
      <c r="AJ2958">
        <v>121.52247510320601</v>
      </c>
      <c r="AK2958">
        <v>40.715858418133102</v>
      </c>
      <c r="AL2958">
        <v>89.886628880350401</v>
      </c>
      <c r="AM2958">
        <v>96.293521143624204</v>
      </c>
      <c r="AN2958">
        <v>0.99999998818731195</v>
      </c>
    </row>
    <row r="2959" spans="1:40" x14ac:dyDescent="0.25">
      <c r="A2959" t="str">
        <f>"20190312160658261"</f>
        <v>20190312160658261</v>
      </c>
      <c r="B2959" t="str">
        <f>"1552378018257719"</f>
        <v>1552378018257719</v>
      </c>
      <c r="C2959" t="s">
        <v>40</v>
      </c>
      <c r="D2959">
        <v>5.5108090000000001</v>
      </c>
      <c r="E2959">
        <v>0.32342009999999899</v>
      </c>
      <c r="F2959" t="s">
        <v>47</v>
      </c>
      <c r="G2959">
        <v>-496.45389999999998</v>
      </c>
      <c r="H2959" s="1">
        <v>-4.2103189999999996E-6</v>
      </c>
      <c r="I2959">
        <v>235.9949</v>
      </c>
      <c r="J2959">
        <v>-492.80149999999998</v>
      </c>
      <c r="K2959">
        <v>1.11195</v>
      </c>
      <c r="L2959">
        <v>273.71850000000001</v>
      </c>
      <c r="M2959">
        <v>-0.60013490000000003</v>
      </c>
      <c r="N2959">
        <v>0</v>
      </c>
      <c r="O2959">
        <v>-0.79987369999999902</v>
      </c>
      <c r="P2959">
        <v>-0.50914659999999901</v>
      </c>
      <c r="Q2959">
        <v>-3.800281E-3</v>
      </c>
      <c r="R2959">
        <v>-0.86067150000000003</v>
      </c>
      <c r="S2959">
        <v>-0.322235099999999</v>
      </c>
      <c r="T2959">
        <v>-9.7130889999999998E-2</v>
      </c>
      <c r="U2959">
        <v>-3.3000790000000002</v>
      </c>
      <c r="V2959">
        <v>-0.1092828</v>
      </c>
      <c r="W2959">
        <v>1.75792299999999E-3</v>
      </c>
      <c r="X2959">
        <v>0.99400909999999998</v>
      </c>
      <c r="Y2959">
        <v>-0.51957019999999998</v>
      </c>
      <c r="Z2959">
        <v>1.8499169999999999E-2</v>
      </c>
      <c r="AA2959">
        <v>0.85422749999999903</v>
      </c>
      <c r="AB2959">
        <v>13</v>
      </c>
      <c r="AC2959">
        <v>-3.6524000000000001</v>
      </c>
      <c r="AD2959">
        <v>-1.1119542103190001</v>
      </c>
      <c r="AE2959">
        <v>-37.723599999999998</v>
      </c>
      <c r="AF2959">
        <v>-19.701227666394001</v>
      </c>
      <c r="AG2959">
        <v>-1.1119542103190001</v>
      </c>
      <c r="AH2959">
        <v>32.338861391555703</v>
      </c>
      <c r="AI2959">
        <v>91.681973762980405</v>
      </c>
      <c r="AJ2959">
        <v>121.350281209626</v>
      </c>
      <c r="AK2959">
        <v>37.883726979155398</v>
      </c>
      <c r="AL2959">
        <v>89.899278375060007</v>
      </c>
      <c r="AM2959">
        <v>96.273983806168303</v>
      </c>
      <c r="AN2959">
        <v>0.99999995577596101</v>
      </c>
    </row>
    <row r="2960" spans="1:40" x14ac:dyDescent="0.25">
      <c r="A2960" t="str">
        <f>"20190312160658272"</f>
        <v>20190312160658272</v>
      </c>
      <c r="B2960" t="str">
        <f>"1552378018268454"</f>
        <v>1552378018268454</v>
      </c>
      <c r="C2960" t="s">
        <v>40</v>
      </c>
      <c r="D2960">
        <v>5.6620589999999904</v>
      </c>
      <c r="E2960">
        <v>0.3234535</v>
      </c>
      <c r="F2960" t="s">
        <v>47</v>
      </c>
      <c r="G2960">
        <v>-496.55380000000002</v>
      </c>
      <c r="H2960" s="1">
        <v>-3.737793E-6</v>
      </c>
      <c r="I2960">
        <v>234.55430000000001</v>
      </c>
      <c r="J2960">
        <v>-492.83929999999998</v>
      </c>
      <c r="K2960">
        <v>1.1119619999999999</v>
      </c>
      <c r="L2960">
        <v>273.661</v>
      </c>
      <c r="M2960">
        <v>-0.59705730000000001</v>
      </c>
      <c r="N2960">
        <v>0</v>
      </c>
      <c r="O2960">
        <v>-0.8021741</v>
      </c>
      <c r="P2960">
        <v>-0.50589569999999995</v>
      </c>
      <c r="Q2960">
        <v>-4.0925270000000003E-3</v>
      </c>
      <c r="R2960">
        <v>-0.86258519999999905</v>
      </c>
      <c r="S2960">
        <v>-0.3160095</v>
      </c>
      <c r="T2960">
        <v>-9.3645930000000002E-2</v>
      </c>
      <c r="U2960">
        <v>-3.2983090000000002</v>
      </c>
      <c r="V2960">
        <v>-0.1092108</v>
      </c>
      <c r="W2960">
        <v>1.435581E-3</v>
      </c>
      <c r="X2960">
        <v>0.99401759999999995</v>
      </c>
      <c r="Y2960">
        <v>-0.51783959999999996</v>
      </c>
      <c r="Z2960">
        <v>1.7956340000000001E-2</v>
      </c>
      <c r="AA2960">
        <v>0.85528930000000003</v>
      </c>
      <c r="AB2960">
        <v>14</v>
      </c>
      <c r="AC2960">
        <v>-3.7145000000000401</v>
      </c>
      <c r="AD2960">
        <v>-1.1119657377929999</v>
      </c>
      <c r="AE2960">
        <v>-39.106699999999897</v>
      </c>
      <c r="AF2960">
        <v>-20.3533566528295</v>
      </c>
      <c r="AG2960">
        <v>-1.1119657377929999</v>
      </c>
      <c r="AH2960">
        <v>33.561918919615998</v>
      </c>
      <c r="AI2960">
        <v>91.622722573662301</v>
      </c>
      <c r="AJ2960">
        <v>121.23438128180101</v>
      </c>
      <c r="AK2960">
        <v>39.267009007641299</v>
      </c>
      <c r="AL2960">
        <v>89.917747241306998</v>
      </c>
      <c r="AM2960">
        <v>96.269829991228207</v>
      </c>
      <c r="AN2960">
        <v>1.0000000244195999</v>
      </c>
    </row>
    <row r="2961" spans="1:40" x14ac:dyDescent="0.25">
      <c r="A2961" t="str">
        <f>"20190312160658284"</f>
        <v>20190312160658284</v>
      </c>
      <c r="B2961" t="str">
        <f>"1552378018278216"</f>
        <v>1552378018278216</v>
      </c>
      <c r="C2961" t="s">
        <v>40</v>
      </c>
      <c r="D2961">
        <v>5.5557650000000001</v>
      </c>
      <c r="E2961">
        <v>0.32383519999999999</v>
      </c>
      <c r="F2961" t="s">
        <v>47</v>
      </c>
      <c r="G2961">
        <v>-496.608</v>
      </c>
      <c r="H2961" s="1">
        <v>-3.0843330000000001E-6</v>
      </c>
      <c r="I2961">
        <v>232.68029999999999</v>
      </c>
      <c r="J2961">
        <v>-492.87720000000002</v>
      </c>
      <c r="K2961">
        <v>1.1119730000000001</v>
      </c>
      <c r="L2961">
        <v>273.60270000000003</v>
      </c>
      <c r="M2961">
        <v>-0.59393779999999996</v>
      </c>
      <c r="N2961">
        <v>0</v>
      </c>
      <c r="O2961">
        <v>-0.80448660000000005</v>
      </c>
      <c r="P2961">
        <v>-0.50274129999999995</v>
      </c>
      <c r="Q2961">
        <v>-4.516234E-3</v>
      </c>
      <c r="R2961">
        <v>-0.8644252</v>
      </c>
      <c r="S2961">
        <v>-0.30343629999999999</v>
      </c>
      <c r="T2961">
        <v>-8.9528919999999998E-2</v>
      </c>
      <c r="U2961">
        <v>-3.2995299999999999</v>
      </c>
      <c r="V2961">
        <v>-0.1089777</v>
      </c>
      <c r="W2961">
        <v>9.8544759999999996E-4</v>
      </c>
      <c r="X2961">
        <v>0.99404369999999997</v>
      </c>
      <c r="Y2961">
        <v>-0.51777870000000004</v>
      </c>
      <c r="Z2961">
        <v>1.72538E-2</v>
      </c>
      <c r="AA2961">
        <v>0.85534059999999901</v>
      </c>
      <c r="AB2961">
        <v>14</v>
      </c>
      <c r="AC2961">
        <v>-3.7307999999999799</v>
      </c>
      <c r="AD2961">
        <v>-1.11197608433299</v>
      </c>
      <c r="AE2961">
        <v>-40.922400000000003</v>
      </c>
      <c r="AF2961">
        <v>-21.288809936896399</v>
      </c>
      <c r="AG2961">
        <v>-1.11197608433299</v>
      </c>
      <c r="AH2961">
        <v>35.112362409116002</v>
      </c>
      <c r="AI2961">
        <v>91.551212838580199</v>
      </c>
      <c r="AJ2961">
        <v>121.228653540379</v>
      </c>
      <c r="AK2961">
        <v>41.077097186760099</v>
      </c>
      <c r="AL2961">
        <v>89.943538002103395</v>
      </c>
      <c r="AM2961">
        <v>96.256390907592603</v>
      </c>
      <c r="AN2961">
        <v>0.99999999385697602</v>
      </c>
    </row>
    <row r="2962" spans="1:40" x14ac:dyDescent="0.25">
      <c r="A2962" t="str">
        <f>"20190312160658295"</f>
        <v>20190312160658295</v>
      </c>
      <c r="B2962" t="str">
        <f>"1552378018287975"</f>
        <v>1552378018287975</v>
      </c>
      <c r="C2962" t="s">
        <v>40</v>
      </c>
      <c r="D2962">
        <v>5.5464330000000004</v>
      </c>
      <c r="E2962">
        <v>0.32457009999999997</v>
      </c>
      <c r="F2962" t="s">
        <v>47</v>
      </c>
      <c r="G2962">
        <v>-496.5453</v>
      </c>
      <c r="H2962" s="1">
        <v>-2.9651100000000001E-6</v>
      </c>
      <c r="I2962">
        <v>232.44120000000001</v>
      </c>
      <c r="J2962">
        <v>-492.9135</v>
      </c>
      <c r="K2962">
        <v>1.111985</v>
      </c>
      <c r="L2962">
        <v>273.54649999999998</v>
      </c>
      <c r="M2962">
        <v>-0.59092769999999994</v>
      </c>
      <c r="N2962">
        <v>0</v>
      </c>
      <c r="O2962">
        <v>-0.80670050000000004</v>
      </c>
      <c r="P2962">
        <v>-0.4998591</v>
      </c>
      <c r="Q2962">
        <v>-4.6928669999999999E-3</v>
      </c>
      <c r="R2962">
        <v>-0.86609419999999904</v>
      </c>
      <c r="S2962">
        <v>-0.2940063</v>
      </c>
      <c r="T2962">
        <v>-8.9125159999999995E-2</v>
      </c>
      <c r="U2962">
        <v>-3.2991030000000001</v>
      </c>
      <c r="V2962">
        <v>-0.1085724</v>
      </c>
      <c r="W2962">
        <v>7.8517589999999905E-4</v>
      </c>
      <c r="X2962">
        <v>0.99408819999999998</v>
      </c>
      <c r="Y2962">
        <v>-0.51699689999999998</v>
      </c>
      <c r="Z2962">
        <v>1.7272610000000001E-2</v>
      </c>
      <c r="AA2962">
        <v>0.85581299999999905</v>
      </c>
      <c r="AB2962">
        <v>14</v>
      </c>
      <c r="AC2962">
        <v>-3.6317999999999899</v>
      </c>
      <c r="AD2962">
        <v>-1.11198796511</v>
      </c>
      <c r="AE2962">
        <v>-41.1052999999999</v>
      </c>
      <c r="AF2962">
        <v>-21.345399452683498</v>
      </c>
      <c r="AG2962">
        <v>-1.11198796511</v>
      </c>
      <c r="AH2962">
        <v>35.280862208261901</v>
      </c>
      <c r="AI2962">
        <v>91.544707871911697</v>
      </c>
      <c r="AJ2962">
        <v>121.174506245364</v>
      </c>
      <c r="AK2962">
        <v>41.250476763154303</v>
      </c>
      <c r="AL2962">
        <v>89.955012728600806</v>
      </c>
      <c r="AM2962">
        <v>96.233029368780507</v>
      </c>
      <c r="AN2962">
        <v>0.99999996596109597</v>
      </c>
    </row>
    <row r="2963" spans="1:40" x14ac:dyDescent="0.25">
      <c r="A2963" t="str">
        <f>"20190312160658306"</f>
        <v>20190312160658306</v>
      </c>
      <c r="B2963" t="str">
        <f>"1552378018297734"</f>
        <v>1552378018297734</v>
      </c>
      <c r="C2963" t="s">
        <v>40</v>
      </c>
      <c r="D2963">
        <v>5.5713530000000002</v>
      </c>
      <c r="E2963">
        <v>0.32494129999999999</v>
      </c>
      <c r="F2963" t="s">
        <v>47</v>
      </c>
      <c r="G2963">
        <v>-496.44569999999999</v>
      </c>
      <c r="H2963" s="1">
        <v>-3.2477939999999999E-6</v>
      </c>
      <c r="I2963">
        <v>233.17070000000001</v>
      </c>
      <c r="J2963">
        <v>-492.9495</v>
      </c>
      <c r="K2963">
        <v>1.111996</v>
      </c>
      <c r="L2963">
        <v>273.49020000000002</v>
      </c>
      <c r="M2963">
        <v>-0.58791709999999997</v>
      </c>
      <c r="N2963">
        <v>0</v>
      </c>
      <c r="O2963">
        <v>-0.80889709999999904</v>
      </c>
      <c r="P2963">
        <v>-0.49667660000000002</v>
      </c>
      <c r="Q2963">
        <v>-5.0999319999999997E-3</v>
      </c>
      <c r="R2963">
        <v>-0.8679209</v>
      </c>
      <c r="S2963">
        <v>-0.2884216</v>
      </c>
      <c r="T2963">
        <v>-9.0799210000000005E-2</v>
      </c>
      <c r="U2963">
        <v>-3.296875</v>
      </c>
      <c r="V2963">
        <v>-0.1085127</v>
      </c>
      <c r="W2963">
        <v>3.5411509999999999E-4</v>
      </c>
      <c r="X2963">
        <v>0.99409499999999995</v>
      </c>
      <c r="Y2963">
        <v>-0.51519340000000002</v>
      </c>
      <c r="Z2963">
        <v>1.7712760000000001E-2</v>
      </c>
      <c r="AA2963">
        <v>0.85689090000000001</v>
      </c>
      <c r="AB2963">
        <v>14</v>
      </c>
      <c r="AC2963">
        <v>-3.49619999999998</v>
      </c>
      <c r="AD2963">
        <v>-1.1119992477939999</v>
      </c>
      <c r="AE2963">
        <v>-40.319499999999998</v>
      </c>
      <c r="AF2963">
        <v>-20.861114849393999</v>
      </c>
      <c r="AG2963">
        <v>-1.1119992477939999</v>
      </c>
      <c r="AH2963">
        <v>34.644322696358302</v>
      </c>
      <c r="AI2963">
        <v>91.5750838866294</v>
      </c>
      <c r="AJ2963">
        <v>121.054292128432</v>
      </c>
      <c r="AK2963">
        <v>40.455552773088002</v>
      </c>
      <c r="AL2963">
        <v>89.979710698888994</v>
      </c>
      <c r="AM2963">
        <v>96.229586729969199</v>
      </c>
      <c r="AN2963">
        <v>1.0000000002418901</v>
      </c>
    </row>
    <row r="2964" spans="1:40" x14ac:dyDescent="0.25">
      <c r="A2964" t="str">
        <f>"20190312160658317"</f>
        <v>20190312160658317</v>
      </c>
      <c r="B2964" t="str">
        <f>"1552378018308470"</f>
        <v>1552378018308470</v>
      </c>
      <c r="C2964" t="s">
        <v>40</v>
      </c>
      <c r="D2964">
        <v>5.5565199999999999</v>
      </c>
      <c r="E2964">
        <v>0.32529400000000003</v>
      </c>
      <c r="F2964" t="s">
        <v>47</v>
      </c>
      <c r="G2964">
        <v>-496.40280000000001</v>
      </c>
      <c r="H2964" s="1">
        <v>-3.0012230000000002E-6</v>
      </c>
      <c r="I2964">
        <v>232.6138</v>
      </c>
      <c r="J2964">
        <v>-492.98469999999998</v>
      </c>
      <c r="K2964">
        <v>1.112004</v>
      </c>
      <c r="L2964">
        <v>273.4348</v>
      </c>
      <c r="M2964">
        <v>-0.58495640000000004</v>
      </c>
      <c r="N2964">
        <v>0</v>
      </c>
      <c r="O2964">
        <v>-0.81104080000000001</v>
      </c>
      <c r="P2964">
        <v>-0.4936468</v>
      </c>
      <c r="Q2964">
        <v>-5.5036479999999999E-3</v>
      </c>
      <c r="R2964">
        <v>-0.86964509999999995</v>
      </c>
      <c r="S2964">
        <v>-0.27850340000000001</v>
      </c>
      <c r="T2964">
        <v>-8.9680670000000004E-2</v>
      </c>
      <c r="U2964">
        <v>-3.2966000000000002</v>
      </c>
      <c r="V2964">
        <v>-0.1083411</v>
      </c>
      <c r="W2964" s="1">
        <v>-7.1242799999999995E-5</v>
      </c>
      <c r="X2964">
        <v>0.99411380000000005</v>
      </c>
      <c r="Y2964">
        <v>-0.5146136</v>
      </c>
      <c r="Z2964">
        <v>1.7586750000000002E-2</v>
      </c>
      <c r="AA2964">
        <v>0.85724179999999905</v>
      </c>
      <c r="AB2964">
        <v>14</v>
      </c>
      <c r="AC2964">
        <v>-3.4181000000000301</v>
      </c>
      <c r="AD2964">
        <v>-1.1120070012229999</v>
      </c>
      <c r="AE2964">
        <v>-40.820999999999998</v>
      </c>
      <c r="AF2964">
        <v>-21.091154200549202</v>
      </c>
      <c r="AG2964">
        <v>-1.1120070012229999</v>
      </c>
      <c r="AH2964">
        <v>35.081765562273297</v>
      </c>
      <c r="AI2964">
        <v>91.556117710091996</v>
      </c>
      <c r="AJ2964">
        <v>121.014280962905</v>
      </c>
      <c r="AK2964">
        <v>40.948792656785599</v>
      </c>
      <c r="AL2964">
        <v>90.004081911669502</v>
      </c>
      <c r="AM2964">
        <v>96.219695945829898</v>
      </c>
      <c r="AN2964">
        <v>1.0000000231875901</v>
      </c>
    </row>
    <row r="2965" spans="1:40" x14ac:dyDescent="0.25">
      <c r="A2965" t="str">
        <f>"20190312160658328"</f>
        <v>20190312160658328</v>
      </c>
      <c r="B2965" t="str">
        <f>"1552378018318231"</f>
        <v>1552378018318231</v>
      </c>
      <c r="C2965" t="s">
        <v>40</v>
      </c>
      <c r="D2965">
        <v>5.6005370000000001</v>
      </c>
      <c r="E2965">
        <v>0.32583040000000002</v>
      </c>
      <c r="F2965" t="s">
        <v>47</v>
      </c>
      <c r="G2965">
        <v>-496.35199999999998</v>
      </c>
      <c r="H2965" s="1">
        <v>-2.8107750000000002E-6</v>
      </c>
      <c r="I2965">
        <v>232.20140000000001</v>
      </c>
      <c r="J2965">
        <v>-493.02229999999997</v>
      </c>
      <c r="K2965">
        <v>1.112017</v>
      </c>
      <c r="L2965">
        <v>273.37509999999997</v>
      </c>
      <c r="M2965">
        <v>-0.58176139999999998</v>
      </c>
      <c r="N2965">
        <v>0</v>
      </c>
      <c r="O2965">
        <v>-0.81333599999999995</v>
      </c>
      <c r="P2965">
        <v>-0.49062299999999998</v>
      </c>
      <c r="Q2965">
        <v>-5.6646329999999996E-3</v>
      </c>
      <c r="R2965">
        <v>-0.87135359999999995</v>
      </c>
      <c r="S2965">
        <v>-0.26919559999999998</v>
      </c>
      <c r="T2965">
        <v>-8.8897229999999994E-2</v>
      </c>
      <c r="U2965">
        <v>-3.2963260000000001</v>
      </c>
      <c r="V2965">
        <v>-0.1078818</v>
      </c>
      <c r="W2965">
        <v>-2.520159E-4</v>
      </c>
      <c r="X2965">
        <v>0.99416369999999998</v>
      </c>
      <c r="Y2965">
        <v>-0.51363829999999999</v>
      </c>
      <c r="Z2965">
        <v>1.7533719999999999E-2</v>
      </c>
      <c r="AA2965">
        <v>0.85782760000000002</v>
      </c>
      <c r="AB2965">
        <v>14</v>
      </c>
      <c r="AC2965">
        <v>-3.3296999999999999</v>
      </c>
      <c r="AD2965">
        <v>-1.1120198107749999</v>
      </c>
      <c r="AE2965">
        <v>-41.173699999999897</v>
      </c>
      <c r="AF2965">
        <v>-21.2301251999579</v>
      </c>
      <c r="AG2965">
        <v>-1.1120198107749999</v>
      </c>
      <c r="AH2965">
        <v>35.400166207250898</v>
      </c>
      <c r="AI2965">
        <v>91.543154297393201</v>
      </c>
      <c r="AJ2965">
        <v>120.951884512522</v>
      </c>
      <c r="AK2965">
        <v>41.293178269133399</v>
      </c>
      <c r="AL2965">
        <v>90.014439447530293</v>
      </c>
      <c r="AM2965">
        <v>96.193225140492501</v>
      </c>
      <c r="AN2965">
        <v>1.00000000434047</v>
      </c>
    </row>
    <row r="2966" spans="1:40" x14ac:dyDescent="0.25">
      <c r="A2966" t="str">
        <f>"20190312160658340"</f>
        <v>20190312160658340</v>
      </c>
      <c r="B2966" t="str">
        <f>"1552378018337750"</f>
        <v>1552378018337750</v>
      </c>
      <c r="C2966" t="s">
        <v>40</v>
      </c>
      <c r="D2966">
        <v>5.5986880000000001</v>
      </c>
      <c r="E2966">
        <v>0.32675939999999998</v>
      </c>
      <c r="F2966" t="s">
        <v>47</v>
      </c>
      <c r="G2966">
        <v>-496.29770000000002</v>
      </c>
      <c r="H2966" s="1">
        <v>-2.753748E-6</v>
      </c>
      <c r="I2966">
        <v>232.10210000000001</v>
      </c>
      <c r="J2966">
        <v>-493.05930000000001</v>
      </c>
      <c r="K2966">
        <v>1.1120319999999999</v>
      </c>
      <c r="L2966">
        <v>273.31580000000002</v>
      </c>
      <c r="M2966">
        <v>-0.57859059999999995</v>
      </c>
      <c r="N2966">
        <v>0</v>
      </c>
      <c r="O2966">
        <v>-0.81559469999999901</v>
      </c>
      <c r="P2966">
        <v>-0.48748340000000001</v>
      </c>
      <c r="Q2966">
        <v>-6.0131539999999997E-3</v>
      </c>
      <c r="R2966">
        <v>-0.87311149999999904</v>
      </c>
      <c r="S2966">
        <v>-0.26150509999999999</v>
      </c>
      <c r="T2966">
        <v>-8.8781120000000005E-2</v>
      </c>
      <c r="U2966">
        <v>-3.2951350000000001</v>
      </c>
      <c r="V2966">
        <v>-0.1075855</v>
      </c>
      <c r="W2966">
        <v>-6.2028560000000003E-4</v>
      </c>
      <c r="X2966">
        <v>0.99419559999999996</v>
      </c>
      <c r="Y2966">
        <v>-0.51226179999999999</v>
      </c>
      <c r="Z2966">
        <v>1.7617959999999998E-2</v>
      </c>
      <c r="AA2966">
        <v>0.85864859999999898</v>
      </c>
      <c r="AB2966">
        <v>14</v>
      </c>
      <c r="AC2966">
        <v>-3.2384000000000102</v>
      </c>
      <c r="AD2966">
        <v>-1.112034753748</v>
      </c>
      <c r="AE2966">
        <v>-41.213700000000003</v>
      </c>
      <c r="AF2966">
        <v>-21.1897103543279</v>
      </c>
      <c r="AG2966">
        <v>-1.112034753748</v>
      </c>
      <c r="AH2966">
        <v>35.462401448860597</v>
      </c>
      <c r="AI2966">
        <v>91.541956315478302</v>
      </c>
      <c r="AJ2966">
        <v>120.859419124787</v>
      </c>
      <c r="AK2966">
        <v>41.325807465964999</v>
      </c>
      <c r="AL2966">
        <v>90.035539750751099</v>
      </c>
      <c r="AM2966">
        <v>96.176150298260097</v>
      </c>
      <c r="AN2966">
        <v>0.99999995781191597</v>
      </c>
    </row>
    <row r="2967" spans="1:40" x14ac:dyDescent="0.25">
      <c r="A2967" t="str">
        <f>"20190312160658364"</f>
        <v>20190312160658364</v>
      </c>
      <c r="B2967" t="str">
        <f>"1552378018358246"</f>
        <v>1552378018358246</v>
      </c>
      <c r="C2967" t="s">
        <v>40</v>
      </c>
      <c r="D2967">
        <v>5.6317629999999896</v>
      </c>
      <c r="E2967">
        <v>0.32756469999999999</v>
      </c>
      <c r="F2967" t="s">
        <v>47</v>
      </c>
      <c r="G2967">
        <v>-496.2876</v>
      </c>
      <c r="H2967" s="1">
        <v>-2.6380099999999998E-6</v>
      </c>
      <c r="I2967">
        <v>231.83860000000001</v>
      </c>
      <c r="J2967">
        <v>-493.1352</v>
      </c>
      <c r="K2967">
        <v>1.1120669999999999</v>
      </c>
      <c r="L2967">
        <v>273.19260000000003</v>
      </c>
      <c r="M2967">
        <v>-0.57200569999999995</v>
      </c>
      <c r="N2967">
        <v>0</v>
      </c>
      <c r="O2967">
        <v>-0.82022659999999903</v>
      </c>
      <c r="P2967">
        <v>-0.4815873</v>
      </c>
      <c r="Q2967">
        <v>-6.2867840000000001E-3</v>
      </c>
      <c r="R2967">
        <v>-0.87637559999999903</v>
      </c>
      <c r="S2967">
        <v>-0.25625609999999999</v>
      </c>
      <c r="T2967">
        <v>-8.8270660000000001E-2</v>
      </c>
      <c r="U2967">
        <v>-3.2923580000000001</v>
      </c>
      <c r="V2967">
        <v>-0.10627880000000001</v>
      </c>
      <c r="W2967">
        <v>-9.2599390000000005E-4</v>
      </c>
      <c r="X2967">
        <v>0.99433590000000005</v>
      </c>
      <c r="Y2967">
        <v>-0.50664089999999995</v>
      </c>
      <c r="Z2967">
        <v>1.7759489999999999E-2</v>
      </c>
      <c r="AA2967">
        <v>0.86197420000000002</v>
      </c>
      <c r="AB2967">
        <v>14</v>
      </c>
      <c r="AC2967">
        <v>-3.1524000000000001</v>
      </c>
      <c r="AD2967">
        <v>-1.1120696380099999</v>
      </c>
      <c r="AE2967">
        <v>-41.353999999999999</v>
      </c>
      <c r="AF2967">
        <v>-21.054302166378001</v>
      </c>
      <c r="AG2967">
        <v>-1.1120696380099999</v>
      </c>
      <c r="AH2967">
        <v>35.697851044448598</v>
      </c>
      <c r="AI2967">
        <v>91.537045933592196</v>
      </c>
      <c r="AJ2967">
        <v>120.53175809689699</v>
      </c>
      <c r="AK2967">
        <v>41.4590992157882</v>
      </c>
      <c r="AL2967">
        <v>90.053055551954401</v>
      </c>
      <c r="AM2967">
        <v>96.100851558185596</v>
      </c>
      <c r="AN2967">
        <v>0.99999996141147496</v>
      </c>
    </row>
    <row r="2968" spans="1:40" x14ac:dyDescent="0.25">
      <c r="A2968" t="str">
        <f>"20190312160658374"</f>
        <v>20190312160658374</v>
      </c>
      <c r="B2968" t="str">
        <f>"1552378018368007"</f>
        <v>1552378018368007</v>
      </c>
      <c r="C2968" t="s">
        <v>40</v>
      </c>
      <c r="D2968">
        <v>5.6737900000000003</v>
      </c>
      <c r="E2968">
        <v>0.32730300000000001</v>
      </c>
      <c r="F2968" t="s">
        <v>47</v>
      </c>
      <c r="G2968">
        <v>-496.20310000000001</v>
      </c>
      <c r="H2968" s="1">
        <v>-2.269086E-6</v>
      </c>
      <c r="I2968">
        <v>231.03110000000001</v>
      </c>
      <c r="J2968">
        <v>-493.17160000000001</v>
      </c>
      <c r="K2968">
        <v>1.112079</v>
      </c>
      <c r="L2968">
        <v>273.13279999999997</v>
      </c>
      <c r="M2968">
        <v>-0.56880819999999999</v>
      </c>
      <c r="N2968">
        <v>0</v>
      </c>
      <c r="O2968">
        <v>-0.82244719999999905</v>
      </c>
      <c r="P2968">
        <v>-0.47892370000000001</v>
      </c>
      <c r="Q2968">
        <v>-6.2161400000000002E-3</v>
      </c>
      <c r="R2968">
        <v>-0.87783459999999902</v>
      </c>
      <c r="S2968">
        <v>-0.2394714</v>
      </c>
      <c r="T2968">
        <v>-8.6804389999999995E-2</v>
      </c>
      <c r="U2968">
        <v>-3.290985</v>
      </c>
      <c r="V2968">
        <v>-0.1054287</v>
      </c>
      <c r="W2968">
        <v>-8.6803559999999995E-4</v>
      </c>
      <c r="X2968">
        <v>0.99442649999999999</v>
      </c>
      <c r="Y2968">
        <v>-0.50762779999999996</v>
      </c>
      <c r="Z2968">
        <v>1.7550639999999999E-2</v>
      </c>
      <c r="AA2968">
        <v>0.86139769999999904</v>
      </c>
      <c r="AB2968">
        <v>14</v>
      </c>
      <c r="AC2968">
        <v>-3.0314999999999901</v>
      </c>
      <c r="AD2968">
        <v>-1.112081269086</v>
      </c>
      <c r="AE2968">
        <v>-42.101699999999902</v>
      </c>
      <c r="AF2968">
        <v>-21.440067629537701</v>
      </c>
      <c r="AG2968">
        <v>-1.112081269086</v>
      </c>
      <c r="AH2968">
        <v>36.3262406335758</v>
      </c>
      <c r="AI2968">
        <v>91.510210073181398</v>
      </c>
      <c r="AJ2968">
        <v>120.549479137388</v>
      </c>
      <c r="AK2968">
        <v>42.196077818639303</v>
      </c>
      <c r="AL2968">
        <v>90.049734781892298</v>
      </c>
      <c r="AM2968">
        <v>96.051868558525697</v>
      </c>
      <c r="AN2968">
        <v>1.00000001408587</v>
      </c>
    </row>
    <row r="2969" spans="1:40" x14ac:dyDescent="0.25">
      <c r="A2969" t="str">
        <f>"20190312160658385"</f>
        <v>20190312160658385</v>
      </c>
      <c r="B2969" t="str">
        <f>"1552378018377767"</f>
        <v>1552378018377767</v>
      </c>
      <c r="C2969" t="s">
        <v>40</v>
      </c>
      <c r="D2969">
        <v>5.5485329999999999</v>
      </c>
      <c r="E2969">
        <v>0.32706540000000001</v>
      </c>
      <c r="F2969" t="s">
        <v>61</v>
      </c>
      <c r="G2969">
        <v>-496.26310000000001</v>
      </c>
      <c r="H2969" s="1">
        <v>4.6894039999999996E-6</v>
      </c>
      <c r="I2969">
        <v>228.4144</v>
      </c>
      <c r="J2969">
        <v>-493.20580000000001</v>
      </c>
      <c r="K2969">
        <v>1.1120969999999999</v>
      </c>
      <c r="L2969">
        <v>273.07600000000002</v>
      </c>
      <c r="M2969">
        <v>-0.56577909999999998</v>
      </c>
      <c r="N2969">
        <v>0</v>
      </c>
      <c r="O2969">
        <v>-0.824534199999999</v>
      </c>
      <c r="P2969">
        <v>-0.47606920000000003</v>
      </c>
      <c r="Q2969">
        <v>-6.6303450000000002E-3</v>
      </c>
      <c r="R2969">
        <v>-0.87938300000000003</v>
      </c>
      <c r="S2969">
        <v>-0.22763059999999999</v>
      </c>
      <c r="T2969">
        <v>-8.1883189999999995E-2</v>
      </c>
      <c r="U2969">
        <v>-3.2926639999999998</v>
      </c>
      <c r="V2969">
        <v>-0.1049966</v>
      </c>
      <c r="W2969">
        <v>-1.295619E-3</v>
      </c>
      <c r="X2969">
        <v>0.99447169999999896</v>
      </c>
      <c r="Y2969">
        <v>-0.5075731</v>
      </c>
      <c r="Z2969">
        <v>1.6624719999999999E-2</v>
      </c>
      <c r="AA2969">
        <v>0.86144829999999994</v>
      </c>
      <c r="AB2969">
        <v>14</v>
      </c>
      <c r="AC2969">
        <v>-3.0572999999999899</v>
      </c>
      <c r="AD2969">
        <v>-1.1120923105960001</v>
      </c>
      <c r="AE2969">
        <v>-44.6615999999999</v>
      </c>
      <c r="AF2969">
        <v>-22.734146296976601</v>
      </c>
      <c r="AG2969">
        <v>-1.1120923105960001</v>
      </c>
      <c r="AH2969">
        <v>38.531713941087702</v>
      </c>
      <c r="AI2969">
        <v>91.423942708431596</v>
      </c>
      <c r="AJ2969">
        <v>120.54108473881899</v>
      </c>
      <c r="AK2969">
        <v>44.752331072218297</v>
      </c>
      <c r="AL2969">
        <v>90.074233524044502</v>
      </c>
      <c r="AM2969">
        <v>96.026975970540903</v>
      </c>
      <c r="AN2969">
        <v>0.99999996337052</v>
      </c>
    </row>
    <row r="2970" spans="1:40" x14ac:dyDescent="0.25">
      <c r="A2970" t="str">
        <f>"20190312160658396"</f>
        <v>20190312160658396</v>
      </c>
      <c r="B2970" t="str">
        <f>"1552378018388503"</f>
        <v>1552378018388503</v>
      </c>
      <c r="C2970" t="s">
        <v>40</v>
      </c>
      <c r="D2970">
        <v>5.6591740000000001</v>
      </c>
      <c r="E2970">
        <v>0.32693650000000002</v>
      </c>
      <c r="F2970" t="s">
        <v>61</v>
      </c>
      <c r="G2970">
        <v>-496.27589999999998</v>
      </c>
      <c r="H2970" s="1">
        <v>4.1383060000000004E-6</v>
      </c>
      <c r="I2970">
        <v>226.08609999999999</v>
      </c>
      <c r="J2970">
        <v>-493.24059999999997</v>
      </c>
      <c r="K2970">
        <v>1.1121129999999999</v>
      </c>
      <c r="L2970">
        <v>273.0179</v>
      </c>
      <c r="M2970">
        <v>-0.56267149999999999</v>
      </c>
      <c r="N2970">
        <v>0</v>
      </c>
      <c r="O2970">
        <v>-0.82665809999999995</v>
      </c>
      <c r="P2970">
        <v>-0.47332220000000003</v>
      </c>
      <c r="Q2970">
        <v>-6.5632499999999996E-3</v>
      </c>
      <c r="R2970">
        <v>-0.88086520000000001</v>
      </c>
      <c r="S2970">
        <v>-0.2152405</v>
      </c>
      <c r="T2970">
        <v>-7.7967289999999995E-2</v>
      </c>
      <c r="U2970">
        <v>-3.294403</v>
      </c>
      <c r="V2970">
        <v>-0.1043578</v>
      </c>
      <c r="W2970">
        <v>-1.240365E-3</v>
      </c>
      <c r="X2970">
        <v>0.99453899999999995</v>
      </c>
      <c r="Y2970">
        <v>-0.50758679999999901</v>
      </c>
      <c r="Z2970">
        <v>1.589577E-2</v>
      </c>
      <c r="AA2970">
        <v>0.86145400000000005</v>
      </c>
      <c r="AB2970">
        <v>14</v>
      </c>
      <c r="AC2970">
        <v>-3.0352999999999999</v>
      </c>
      <c r="AD2970">
        <v>-1.11210886169399</v>
      </c>
      <c r="AE2970">
        <v>-46.931800000000003</v>
      </c>
      <c r="AF2970">
        <v>-23.8851191649307</v>
      </c>
      <c r="AG2970">
        <v>-1.11210886169399</v>
      </c>
      <c r="AH2970">
        <v>40.482545383890098</v>
      </c>
      <c r="AI2970">
        <v>91.355370686439898</v>
      </c>
      <c r="AJ2970">
        <v>120.541043048462</v>
      </c>
      <c r="AK2970">
        <v>47.016722391101702</v>
      </c>
      <c r="AL2970">
        <v>90.071067700925298</v>
      </c>
      <c r="AM2970">
        <v>95.990172833150794</v>
      </c>
      <c r="AN2970">
        <v>0.99999995572358502</v>
      </c>
    </row>
    <row r="2971" spans="1:40" x14ac:dyDescent="0.25">
      <c r="A2971" t="str">
        <f>"20190312160658407"</f>
        <v>20190312160658407</v>
      </c>
      <c r="B2971" t="str">
        <f>"1552378018398262"</f>
        <v>1552378018398262</v>
      </c>
      <c r="C2971" t="s">
        <v>40</v>
      </c>
      <c r="D2971">
        <v>5.6843879999999896</v>
      </c>
      <c r="E2971">
        <v>0.32708500000000001</v>
      </c>
      <c r="F2971" t="s">
        <v>61</v>
      </c>
      <c r="G2971">
        <v>-496.33449999999999</v>
      </c>
      <c r="H2971" s="1">
        <v>3.3432609999999998E-6</v>
      </c>
      <c r="I2971">
        <v>223.13849999999999</v>
      </c>
      <c r="J2971">
        <v>-493.27620000000002</v>
      </c>
      <c r="K2971">
        <v>1.1121319999999999</v>
      </c>
      <c r="L2971">
        <v>272.95780000000002</v>
      </c>
      <c r="M2971">
        <v>-0.55945669999999903</v>
      </c>
      <c r="N2971">
        <v>0</v>
      </c>
      <c r="O2971">
        <v>-0.82883719999999905</v>
      </c>
      <c r="P2971">
        <v>-0.47014010000000001</v>
      </c>
      <c r="Q2971">
        <v>-7.0326099999999999E-3</v>
      </c>
      <c r="R2971">
        <v>-0.88256409999999996</v>
      </c>
      <c r="S2971">
        <v>-0.2044067</v>
      </c>
      <c r="T2971">
        <v>-7.3474289999999998E-2</v>
      </c>
      <c r="U2971">
        <v>-3.29541</v>
      </c>
      <c r="V2971">
        <v>-0.1040784</v>
      </c>
      <c r="W2971">
        <v>-1.723626E-3</v>
      </c>
      <c r="X2971">
        <v>0.9945676</v>
      </c>
      <c r="Y2971">
        <v>-0.50707860000000005</v>
      </c>
      <c r="Z2971">
        <v>1.5050640000000001E-2</v>
      </c>
      <c r="AA2971">
        <v>0.86176839999999999</v>
      </c>
      <c r="AB2971">
        <v>14</v>
      </c>
      <c r="AC2971">
        <v>-3.0582999999999698</v>
      </c>
      <c r="AD2971">
        <v>-1.1121286567390001</v>
      </c>
      <c r="AE2971">
        <v>-49.819299999999998</v>
      </c>
      <c r="AF2971">
        <v>-25.3248056703084</v>
      </c>
      <c r="AG2971">
        <v>-1.1121286567390001</v>
      </c>
      <c r="AH2971">
        <v>42.982534240335703</v>
      </c>
      <c r="AI2971">
        <v>91.277047048965599</v>
      </c>
      <c r="AJ2971">
        <v>120.506093821278</v>
      </c>
      <c r="AK2971">
        <v>49.9007100361273</v>
      </c>
      <c r="AL2971">
        <v>90.098756544395002</v>
      </c>
      <c r="AM2971">
        <v>95.974080770325799</v>
      </c>
      <c r="AN2971">
        <v>0.99999999760145297</v>
      </c>
    </row>
    <row r="2972" spans="1:40" x14ac:dyDescent="0.25">
      <c r="A2972" t="str">
        <f>"20190312160658417"</f>
        <v>20190312160658417</v>
      </c>
      <c r="B2972" t="str">
        <f>"1552378018408023"</f>
        <v>1552378018408023</v>
      </c>
      <c r="C2972" t="s">
        <v>40</v>
      </c>
      <c r="D2972">
        <v>5.6155809999999997</v>
      </c>
      <c r="E2972">
        <v>0.32735350000000002</v>
      </c>
      <c r="F2972" t="s">
        <v>61</v>
      </c>
      <c r="G2972">
        <v>-496.2038</v>
      </c>
      <c r="H2972" s="1">
        <v>3.3529519999999999E-6</v>
      </c>
      <c r="I2972">
        <v>223.05119999999999</v>
      </c>
      <c r="J2972">
        <v>-493.30950000000001</v>
      </c>
      <c r="K2972">
        <v>1.112144</v>
      </c>
      <c r="L2972">
        <v>272.90129999999999</v>
      </c>
      <c r="M2972">
        <v>-0.55643860000000001</v>
      </c>
      <c r="N2972">
        <v>0</v>
      </c>
      <c r="O2972">
        <v>-0.8308662</v>
      </c>
      <c r="P2972">
        <v>-0.46713779999999999</v>
      </c>
      <c r="Q2972">
        <v>-7.0650890000000001E-3</v>
      </c>
      <c r="R2972">
        <v>-0.88415630000000001</v>
      </c>
      <c r="S2972">
        <v>-0.1933289</v>
      </c>
      <c r="T2972">
        <v>-7.3441149999999997E-2</v>
      </c>
      <c r="U2972">
        <v>-3.2956539999999999</v>
      </c>
      <c r="V2972">
        <v>-0.1038413</v>
      </c>
      <c r="W2972">
        <v>-1.768246E-3</v>
      </c>
      <c r="X2972">
        <v>0.99459229999999998</v>
      </c>
      <c r="Y2972">
        <v>-0.50683409999999995</v>
      </c>
      <c r="Z2972">
        <v>1.5111080000000001E-2</v>
      </c>
      <c r="AA2972">
        <v>0.86191109999999904</v>
      </c>
      <c r="AB2972">
        <v>14</v>
      </c>
      <c r="AC2972">
        <v>-2.8942999999999799</v>
      </c>
      <c r="AD2972">
        <v>-1.112140647048</v>
      </c>
      <c r="AE2972">
        <v>-49.850099999999998</v>
      </c>
      <c r="AF2972">
        <v>-25.321657280244899</v>
      </c>
      <c r="AG2972">
        <v>-1.112140647048</v>
      </c>
      <c r="AH2972">
        <v>43.008734471704699</v>
      </c>
      <c r="AI2972">
        <v>91.276524217591501</v>
      </c>
      <c r="AJ2972">
        <v>120.487711386901</v>
      </c>
      <c r="AK2972">
        <v>49.9216829152884</v>
      </c>
      <c r="AL2972">
        <v>90.101313086471293</v>
      </c>
      <c r="AM2972">
        <v>95.960422404976896</v>
      </c>
      <c r="AN2972">
        <v>0.99999999274944795</v>
      </c>
    </row>
    <row r="2973" spans="1:40" x14ac:dyDescent="0.25">
      <c r="A2973" t="str">
        <f>"20190312160658428"</f>
        <v>20190312160658428</v>
      </c>
      <c r="B2973" t="str">
        <f>"1552378018417783"</f>
        <v>1552378018417783</v>
      </c>
      <c r="C2973" t="s">
        <v>40</v>
      </c>
      <c r="D2973">
        <v>5.5897249999999996</v>
      </c>
      <c r="E2973">
        <v>0.32759050000000001</v>
      </c>
      <c r="F2973" t="s">
        <v>61</v>
      </c>
      <c r="G2973">
        <v>-496.13260000000002</v>
      </c>
      <c r="H2973" s="1">
        <v>3.2300640000000001E-6</v>
      </c>
      <c r="I2973">
        <v>222.42410000000001</v>
      </c>
      <c r="J2973">
        <v>-493.34449999999998</v>
      </c>
      <c r="K2973">
        <v>1.112163</v>
      </c>
      <c r="L2973">
        <v>272.84120000000001</v>
      </c>
      <c r="M2973">
        <v>-0.55322839999999995</v>
      </c>
      <c r="N2973">
        <v>0</v>
      </c>
      <c r="O2973">
        <v>-0.83300730000000001</v>
      </c>
      <c r="P2973">
        <v>-0.46381830000000002</v>
      </c>
      <c r="Q2973">
        <v>-7.3155490000000002E-3</v>
      </c>
      <c r="R2973">
        <v>-0.88590040000000003</v>
      </c>
      <c r="S2973">
        <v>-0.18429570000000001</v>
      </c>
      <c r="T2973">
        <v>-7.2600129999999999E-2</v>
      </c>
      <c r="U2973">
        <v>-3.2951350000000001</v>
      </c>
      <c r="V2973">
        <v>-0.1037312</v>
      </c>
      <c r="W2973">
        <v>-2.0307099999999998E-3</v>
      </c>
      <c r="X2973">
        <v>0.99460329999999997</v>
      </c>
      <c r="Y2973">
        <v>-0.50585479999999905</v>
      </c>
      <c r="Z2973">
        <v>1.501651E-2</v>
      </c>
      <c r="AA2973">
        <v>0.86248789999999997</v>
      </c>
      <c r="AB2973">
        <v>14</v>
      </c>
      <c r="AC2973">
        <v>-2.78810000000004</v>
      </c>
      <c r="AD2973">
        <v>-1.112159769936</v>
      </c>
      <c r="AE2973">
        <v>-50.417099999999998</v>
      </c>
      <c r="AF2973">
        <v>-25.557740542786</v>
      </c>
      <c r="AG2973">
        <v>-1.112159769936</v>
      </c>
      <c r="AH2973">
        <v>43.519965218781103</v>
      </c>
      <c r="AI2973">
        <v>91.262377504401897</v>
      </c>
      <c r="AJ2973">
        <v>120.42421352005201</v>
      </c>
      <c r="AK2973">
        <v>50.481901446460498</v>
      </c>
      <c r="AL2973">
        <v>90.116351191800703</v>
      </c>
      <c r="AM2973">
        <v>95.954082783498507</v>
      </c>
      <c r="AN2973">
        <v>1.0000000050037099</v>
      </c>
    </row>
    <row r="2974" spans="1:40" x14ac:dyDescent="0.25">
      <c r="A2974" t="str">
        <f>"20190312160658441"</f>
        <v>20190312160658441</v>
      </c>
      <c r="B2974" t="str">
        <f>"1552378018438279"</f>
        <v>1552378018438279</v>
      </c>
      <c r="C2974" t="s">
        <v>40</v>
      </c>
      <c r="D2974">
        <v>5.6697610000000003</v>
      </c>
      <c r="E2974">
        <v>0.32801180000000002</v>
      </c>
      <c r="F2974" t="s">
        <v>61</v>
      </c>
      <c r="G2974">
        <v>-496.02409999999998</v>
      </c>
      <c r="H2974" s="1">
        <v>3.112676E-6</v>
      </c>
      <c r="I2974">
        <v>221.7843</v>
      </c>
      <c r="J2974">
        <v>-493.3818</v>
      </c>
      <c r="K2974">
        <v>1.1121840000000001</v>
      </c>
      <c r="L2974">
        <v>272.77659999999997</v>
      </c>
      <c r="M2974">
        <v>-0.54977379999999998</v>
      </c>
      <c r="N2974">
        <v>0</v>
      </c>
      <c r="O2974">
        <v>-0.83529140000000002</v>
      </c>
      <c r="P2974">
        <v>-0.46016639999999998</v>
      </c>
      <c r="Q2974">
        <v>-7.34354E-3</v>
      </c>
      <c r="R2974">
        <v>-0.88780249999999905</v>
      </c>
      <c r="S2974">
        <v>-0.17294309999999999</v>
      </c>
      <c r="T2974">
        <v>-7.1778419999999996E-2</v>
      </c>
      <c r="U2974">
        <v>-3.2951969999999999</v>
      </c>
      <c r="V2974">
        <v>-0.1037066</v>
      </c>
      <c r="W2974">
        <v>-2.0701109999999999E-3</v>
      </c>
      <c r="X2974">
        <v>0.99460579999999998</v>
      </c>
      <c r="Y2974">
        <v>-0.50524590000000003</v>
      </c>
      <c r="Z2974">
        <v>1.492371E-2</v>
      </c>
      <c r="AA2974">
        <v>0.86284640000000001</v>
      </c>
      <c r="AB2974">
        <v>14</v>
      </c>
      <c r="AC2974">
        <v>-2.6422999999999699</v>
      </c>
      <c r="AD2974">
        <v>-1.112180887324</v>
      </c>
      <c r="AE2974">
        <v>-50.992299999999901</v>
      </c>
      <c r="AF2974">
        <v>-25.815370757592099</v>
      </c>
      <c r="AG2974">
        <v>-1.112180887324</v>
      </c>
      <c r="AH2974">
        <v>44.026025348834402</v>
      </c>
      <c r="AI2974">
        <v>91.248384732053594</v>
      </c>
      <c r="AJ2974">
        <v>120.38591624715799</v>
      </c>
      <c r="AK2974">
        <v>51.048616256410803</v>
      </c>
      <c r="AL2974">
        <v>90.118608705667896</v>
      </c>
      <c r="AM2974">
        <v>95.952666049522406</v>
      </c>
      <c r="AN2974">
        <v>1.0000000208183699</v>
      </c>
    </row>
    <row r="2975" spans="1:40" x14ac:dyDescent="0.25">
      <c r="A2975" t="str">
        <f>"20190312160658452"</f>
        <v>20190312160658452</v>
      </c>
      <c r="B2975" t="str">
        <f>"1552378018448040"</f>
        <v>1552378018448040</v>
      </c>
      <c r="C2975" t="s">
        <v>40</v>
      </c>
      <c r="D2975">
        <v>5.742159</v>
      </c>
      <c r="E2975">
        <v>0.32832060000000002</v>
      </c>
      <c r="F2975" t="s">
        <v>61</v>
      </c>
      <c r="G2975">
        <v>-495.98219999999998</v>
      </c>
      <c r="H2975" s="1">
        <v>2.6233450000000001E-6</v>
      </c>
      <c r="I2975">
        <v>220.12309999999999</v>
      </c>
      <c r="J2975">
        <v>-493.41770000000002</v>
      </c>
      <c r="K2975">
        <v>1.1122099999999999</v>
      </c>
      <c r="L2975">
        <v>272.71390000000002</v>
      </c>
      <c r="M2975">
        <v>-0.54642309999999905</v>
      </c>
      <c r="N2975">
        <v>0</v>
      </c>
      <c r="O2975">
        <v>-0.83748729999999905</v>
      </c>
      <c r="P2975">
        <v>-0.45675260000000001</v>
      </c>
      <c r="Q2975">
        <v>-7.3868789999999998E-3</v>
      </c>
      <c r="R2975">
        <v>-0.8895634</v>
      </c>
      <c r="S2975">
        <v>-0.16268920000000001</v>
      </c>
      <c r="T2975">
        <v>-6.9582699999999997E-2</v>
      </c>
      <c r="U2975">
        <v>-3.2942200000000001</v>
      </c>
      <c r="V2975">
        <v>-0.1035425</v>
      </c>
      <c r="W2975">
        <v>-2.1216490000000002E-3</v>
      </c>
      <c r="X2975">
        <v>0.99462280000000003</v>
      </c>
      <c r="Y2975">
        <v>-0.50445429999999902</v>
      </c>
      <c r="Z2975">
        <v>1.454509E-2</v>
      </c>
      <c r="AA2975">
        <v>0.86331589999999903</v>
      </c>
      <c r="AB2975">
        <v>14</v>
      </c>
      <c r="AC2975">
        <v>-2.56449999999995</v>
      </c>
      <c r="AD2975">
        <v>-1.112207376655</v>
      </c>
      <c r="AE2975">
        <v>-52.590800000000002</v>
      </c>
      <c r="AF2975">
        <v>-26.577722547520001</v>
      </c>
      <c r="AG2975">
        <v>-1.112207376655</v>
      </c>
      <c r="AH2975">
        <v>45.425997109759599</v>
      </c>
      <c r="AI2975">
        <v>91.2106315592969</v>
      </c>
      <c r="AJ2975">
        <v>120.330936364999</v>
      </c>
      <c r="AK2975">
        <v>52.641557295330202</v>
      </c>
      <c r="AL2975">
        <v>90.121561620558097</v>
      </c>
      <c r="AM2975">
        <v>95.943213475427399</v>
      </c>
      <c r="AN2975">
        <v>1.00000003249028</v>
      </c>
    </row>
    <row r="2976" spans="1:40" x14ac:dyDescent="0.25">
      <c r="A2976" t="str">
        <f>"20190312160658463"</f>
        <v>20190312160658463</v>
      </c>
      <c r="B2976" t="str">
        <f>"1552378018457799"</f>
        <v>1552378018457799</v>
      </c>
      <c r="C2976" t="s">
        <v>40</v>
      </c>
      <c r="D2976">
        <v>5.7956300000000001</v>
      </c>
      <c r="E2976">
        <v>0.32821729999999999</v>
      </c>
      <c r="F2976" t="s">
        <v>61</v>
      </c>
      <c r="G2976">
        <v>-495.8075</v>
      </c>
      <c r="H2976" s="1">
        <v>2.9079280000000001E-6</v>
      </c>
      <c r="I2976">
        <v>220.9417</v>
      </c>
      <c r="J2976">
        <v>-493.45440000000002</v>
      </c>
      <c r="K2976">
        <v>1.1122320000000001</v>
      </c>
      <c r="L2976">
        <v>272.649</v>
      </c>
      <c r="M2976">
        <v>-0.54295609999999905</v>
      </c>
      <c r="N2976">
        <v>0</v>
      </c>
      <c r="O2976">
        <v>-0.83973920000000002</v>
      </c>
      <c r="P2976">
        <v>-0.45301360000000002</v>
      </c>
      <c r="Q2976">
        <v>-7.6239879999999999E-3</v>
      </c>
      <c r="R2976">
        <v>-0.89147119999999902</v>
      </c>
      <c r="S2976">
        <v>-0.1520386</v>
      </c>
      <c r="T2976">
        <v>-7.0758940000000006E-2</v>
      </c>
      <c r="U2976">
        <v>-3.2937620000000001</v>
      </c>
      <c r="V2976">
        <v>-0.1036031</v>
      </c>
      <c r="W2976">
        <v>-2.366515E-3</v>
      </c>
      <c r="X2976">
        <v>0.9946159</v>
      </c>
      <c r="Y2976">
        <v>-0.50366369999999905</v>
      </c>
      <c r="Z2976">
        <v>1.486936E-2</v>
      </c>
      <c r="AA2976">
        <v>0.86377190000000004</v>
      </c>
      <c r="AB2976">
        <v>14</v>
      </c>
      <c r="AC2976">
        <v>-2.35309999999998</v>
      </c>
      <c r="AD2976">
        <v>-1.1122290920719999</v>
      </c>
      <c r="AE2976">
        <v>-51.707299999999996</v>
      </c>
      <c r="AF2976">
        <v>-26.087237999196098</v>
      </c>
      <c r="AG2976">
        <v>-1.1122290920719999</v>
      </c>
      <c r="AH2976">
        <v>44.678468772548399</v>
      </c>
      <c r="AI2976">
        <v>91.231542397871607</v>
      </c>
      <c r="AJ2976">
        <v>120.28015850244</v>
      </c>
      <c r="AK2976">
        <v>51.748880295514901</v>
      </c>
      <c r="AL2976">
        <v>90.135591448808299</v>
      </c>
      <c r="AM2976">
        <v>95.946707881496096</v>
      </c>
      <c r="AN2976">
        <v>0.99999999562783204</v>
      </c>
    </row>
    <row r="2977" spans="1:40" x14ac:dyDescent="0.25">
      <c r="A2977" t="str">
        <f>"20190312160658475"</f>
        <v>20190312160658475</v>
      </c>
      <c r="B2977" t="str">
        <f>"1552378018468534"</f>
        <v>1552378018468534</v>
      </c>
      <c r="C2977" t="s">
        <v>40</v>
      </c>
      <c r="D2977">
        <v>5.752936</v>
      </c>
      <c r="E2977">
        <v>0.3281751</v>
      </c>
      <c r="F2977" t="s">
        <v>61</v>
      </c>
      <c r="G2977">
        <v>-495.64299999999997</v>
      </c>
      <c r="H2977" s="1">
        <v>2.7175470000000001E-6</v>
      </c>
      <c r="I2977">
        <v>220.233</v>
      </c>
      <c r="J2977">
        <v>-493.4905</v>
      </c>
      <c r="K2977">
        <v>1.1122529999999999</v>
      </c>
      <c r="L2977">
        <v>272.58479999999997</v>
      </c>
      <c r="M2977">
        <v>-0.53952250000000002</v>
      </c>
      <c r="N2977">
        <v>0</v>
      </c>
      <c r="O2977">
        <v>-0.84194939999999996</v>
      </c>
      <c r="P2977">
        <v>-0.44941110000000001</v>
      </c>
      <c r="Q2977">
        <v>-7.9560819999999997E-3</v>
      </c>
      <c r="R2977">
        <v>-0.89328989999999997</v>
      </c>
      <c r="S2977">
        <v>-0.13757320000000001</v>
      </c>
      <c r="T2977">
        <v>-6.991327E-2</v>
      </c>
      <c r="U2977">
        <v>-3.2948</v>
      </c>
      <c r="V2977">
        <v>-0.1035528</v>
      </c>
      <c r="W2977">
        <v>-2.7047730000000002E-3</v>
      </c>
      <c r="X2977">
        <v>0.99462030000000001</v>
      </c>
      <c r="Y2977">
        <v>-0.50393359999999998</v>
      </c>
      <c r="Z2977">
        <v>1.475452E-2</v>
      </c>
      <c r="AA2977">
        <v>0.8636163</v>
      </c>
      <c r="AB2977">
        <v>15</v>
      </c>
      <c r="AC2977">
        <v>-2.1525000000000301</v>
      </c>
      <c r="AD2977">
        <v>-1.1122502824529901</v>
      </c>
      <c r="AE2977">
        <v>-52.351799999999898</v>
      </c>
      <c r="AF2977">
        <v>-26.421256832530801</v>
      </c>
      <c r="AG2977">
        <v>-1.1122502824529901</v>
      </c>
      <c r="AH2977">
        <v>45.2193418447456</v>
      </c>
      <c r="AI2977">
        <v>91.216626106886494</v>
      </c>
      <c r="AJ2977">
        <v>120.297361802586</v>
      </c>
      <c r="AK2977">
        <v>52.384241811572799</v>
      </c>
      <c r="AL2977">
        <v>90.154972263349293</v>
      </c>
      <c r="AM2977">
        <v>95.943815283515505</v>
      </c>
      <c r="AN2977">
        <v>1.00000001967845</v>
      </c>
    </row>
    <row r="2978" spans="1:40" x14ac:dyDescent="0.25">
      <c r="A2978" t="str">
        <f>"20190312160658485"</f>
        <v>20190312160658485</v>
      </c>
      <c r="B2978" t="str">
        <f>"1552378018478296"</f>
        <v>1552378018478296</v>
      </c>
      <c r="C2978" t="s">
        <v>40</v>
      </c>
      <c r="D2978">
        <v>5.2704370000000003</v>
      </c>
      <c r="E2978">
        <v>0.3280169</v>
      </c>
      <c r="F2978" t="s">
        <v>61</v>
      </c>
      <c r="G2978">
        <v>-495.41719999999998</v>
      </c>
      <c r="H2978" s="1">
        <v>3.089391E-6</v>
      </c>
      <c r="I2978">
        <v>221.304</v>
      </c>
      <c r="J2978">
        <v>-493.52339999999998</v>
      </c>
      <c r="K2978">
        <v>1.1122719999999999</v>
      </c>
      <c r="L2978">
        <v>272.5256</v>
      </c>
      <c r="M2978">
        <v>-0.53635719999999898</v>
      </c>
      <c r="N2978">
        <v>0</v>
      </c>
      <c r="O2978">
        <v>-0.84396909999999903</v>
      </c>
      <c r="P2978">
        <v>-0.44587090000000001</v>
      </c>
      <c r="Q2978">
        <v>-8.2840559999999997E-3</v>
      </c>
      <c r="R2978">
        <v>-0.89505889999999999</v>
      </c>
      <c r="S2978">
        <v>-0.1238098</v>
      </c>
      <c r="T2978">
        <v>-7.1476100000000001E-2</v>
      </c>
      <c r="U2978">
        <v>-3.2954409999999998</v>
      </c>
      <c r="V2978">
        <v>-0.10375139999999999</v>
      </c>
      <c r="W2978">
        <v>-3.038795E-3</v>
      </c>
      <c r="X2978">
        <v>0.9945986</v>
      </c>
      <c r="Y2978">
        <v>-0.50429849999999998</v>
      </c>
      <c r="Z2978">
        <v>1.5143449999999999E-2</v>
      </c>
      <c r="AA2978">
        <v>0.86339659999999996</v>
      </c>
      <c r="AB2978">
        <v>15</v>
      </c>
      <c r="AC2978">
        <v>-1.8937999999999899</v>
      </c>
      <c r="AD2978">
        <v>-1.112268910609</v>
      </c>
      <c r="AE2978">
        <v>-51.221600000000002</v>
      </c>
      <c r="AF2978">
        <v>-25.863066746904099</v>
      </c>
      <c r="AG2978">
        <v>-1.112268910609</v>
      </c>
      <c r="AH2978">
        <v>44.225196729527802</v>
      </c>
      <c r="AI2978">
        <v>91.243709339611797</v>
      </c>
      <c r="AJ2978">
        <v>120.319261698861</v>
      </c>
      <c r="AK2978">
        <v>51.244544972609098</v>
      </c>
      <c r="AL2978">
        <v>90.174110399543395</v>
      </c>
      <c r="AM2978">
        <v>95.955261853923602</v>
      </c>
      <c r="AN2978">
        <v>0.99999998119948497</v>
      </c>
    </row>
    <row r="2979" spans="1:40" x14ac:dyDescent="0.25">
      <c r="A2979" t="str">
        <f>"20190312160658496"</f>
        <v>20190312160658496</v>
      </c>
      <c r="B2979" t="str">
        <f>"1552378018488055"</f>
        <v>1552378018488055</v>
      </c>
      <c r="C2979" t="s">
        <v>40</v>
      </c>
      <c r="D2979">
        <v>5.3385379999999998</v>
      </c>
      <c r="E2979">
        <v>0.3278393</v>
      </c>
      <c r="F2979" t="s">
        <v>61</v>
      </c>
      <c r="G2979">
        <v>-495.21429999999998</v>
      </c>
      <c r="H2979" s="1">
        <v>3.2728100000000001E-6</v>
      </c>
      <c r="I2979">
        <v>221.7799</v>
      </c>
      <c r="J2979">
        <v>-493.55759999999998</v>
      </c>
      <c r="K2979">
        <v>1.1122920000000001</v>
      </c>
      <c r="L2979">
        <v>272.46370000000002</v>
      </c>
      <c r="M2979">
        <v>-0.53304759999999995</v>
      </c>
      <c r="N2979">
        <v>0</v>
      </c>
      <c r="O2979">
        <v>-0.84606369999999897</v>
      </c>
      <c r="P2979">
        <v>-0.44269209999999898</v>
      </c>
      <c r="Q2979">
        <v>-8.8149739999999997E-3</v>
      </c>
      <c r="R2979">
        <v>-0.8966305</v>
      </c>
      <c r="S2979">
        <v>-0.10983279999999999</v>
      </c>
      <c r="T2979">
        <v>-7.2250490000000001E-2</v>
      </c>
      <c r="U2979">
        <v>-3.2963260000000001</v>
      </c>
      <c r="V2979">
        <v>-0.103378399999999</v>
      </c>
      <c r="W2979">
        <v>-3.5707669999999999E-3</v>
      </c>
      <c r="X2979">
        <v>0.99463570000000001</v>
      </c>
      <c r="Y2979">
        <v>-0.50458130000000001</v>
      </c>
      <c r="Z2979">
        <v>1.536907E-2</v>
      </c>
      <c r="AA2979">
        <v>0.86322739999999998</v>
      </c>
      <c r="AB2979">
        <v>15</v>
      </c>
      <c r="AC2979">
        <v>-1.6567000000000001</v>
      </c>
      <c r="AD2979">
        <v>-1.1122887271899999</v>
      </c>
      <c r="AE2979">
        <v>-50.683799999999998</v>
      </c>
      <c r="AF2979">
        <v>-25.6033536389827</v>
      </c>
      <c r="AG2979">
        <v>-1.1122887271899999</v>
      </c>
      <c r="AH2979">
        <v>43.744576027414197</v>
      </c>
      <c r="AI2979">
        <v>91.257124540316497</v>
      </c>
      <c r="AJ2979">
        <v>120.34010035233101</v>
      </c>
      <c r="AK2979">
        <v>50.6986867245461</v>
      </c>
      <c r="AL2979">
        <v>90.204590311480402</v>
      </c>
      <c r="AM2979">
        <v>95.933785184876996</v>
      </c>
      <c r="AN2979">
        <v>1.0000000098390001</v>
      </c>
    </row>
    <row r="2980" spans="1:40" x14ac:dyDescent="0.25">
      <c r="A2980" t="str">
        <f>"20190312160658507"</f>
        <v>20190312160658507</v>
      </c>
      <c r="B2980" t="str">
        <f>"1552378018497815"</f>
        <v>1552378018497815</v>
      </c>
      <c r="C2980" t="s">
        <v>40</v>
      </c>
      <c r="D2980">
        <v>5.8678119999999998</v>
      </c>
      <c r="E2980">
        <v>0.32769500000000001</v>
      </c>
      <c r="F2980" t="s">
        <v>61</v>
      </c>
      <c r="G2980">
        <v>-495.03559999999999</v>
      </c>
      <c r="H2980" s="1">
        <v>3.4055569999999999E-6</v>
      </c>
      <c r="I2980">
        <v>222.11760000000001</v>
      </c>
      <c r="J2980">
        <v>-493.59269999999998</v>
      </c>
      <c r="K2980">
        <v>1.1123130000000001</v>
      </c>
      <c r="L2980">
        <v>272.39940000000001</v>
      </c>
      <c r="M2980">
        <v>-0.52960719999999994</v>
      </c>
      <c r="N2980">
        <v>0</v>
      </c>
      <c r="O2980">
        <v>-0.84822129999999996</v>
      </c>
      <c r="P2980">
        <v>-0.43921769999999999</v>
      </c>
      <c r="Q2980">
        <v>-9.2777559999999999E-3</v>
      </c>
      <c r="R2980">
        <v>-0.8983331</v>
      </c>
      <c r="S2980">
        <v>-9.6801760000000001E-2</v>
      </c>
      <c r="T2980">
        <v>-7.2847490000000001E-2</v>
      </c>
      <c r="U2980">
        <v>-3.2973330000000001</v>
      </c>
      <c r="V2980">
        <v>-0.10318330000000001</v>
      </c>
      <c r="W2980">
        <v>-4.034106E-3</v>
      </c>
      <c r="X2980">
        <v>0.99465420000000004</v>
      </c>
      <c r="Y2980">
        <v>-0.50449189999999999</v>
      </c>
      <c r="Z2980">
        <v>1.5562049999999999E-2</v>
      </c>
      <c r="AA2980">
        <v>0.86327619999999905</v>
      </c>
      <c r="AB2980">
        <v>15</v>
      </c>
      <c r="AC2980">
        <v>-1.4429000000000001</v>
      </c>
      <c r="AD2980">
        <v>-1.1123095944429999</v>
      </c>
      <c r="AE2980">
        <v>-50.281799999999997</v>
      </c>
      <c r="AF2980">
        <v>-25.393756280241501</v>
      </c>
      <c r="AG2980">
        <v>-1.1123095944429999</v>
      </c>
      <c r="AH2980">
        <v>43.393845900619603</v>
      </c>
      <c r="AI2980">
        <v>91.267360652407504</v>
      </c>
      <c r="AJ2980">
        <v>120.335853770725</v>
      </c>
      <c r="AK2980">
        <v>50.290217266392098</v>
      </c>
      <c r="AL2980">
        <v>90.231137869635404</v>
      </c>
      <c r="AM2980">
        <v>95.922557001764801</v>
      </c>
      <c r="AN2980">
        <v>1.0000000224938701</v>
      </c>
    </row>
    <row r="2981" spans="1:40" x14ac:dyDescent="0.25">
      <c r="A2981" t="str">
        <f>"20190312160658519"</f>
        <v>20190312160658519</v>
      </c>
      <c r="B2981" t="str">
        <f>"1552378018508551"</f>
        <v>1552378018508551</v>
      </c>
      <c r="C2981" t="s">
        <v>40</v>
      </c>
      <c r="D2981">
        <v>5.8634550000000001</v>
      </c>
      <c r="E2981">
        <v>0.32767170000000001</v>
      </c>
      <c r="F2981" t="s">
        <v>61</v>
      </c>
      <c r="G2981">
        <v>-494.84840000000003</v>
      </c>
      <c r="H2981" s="1">
        <v>3.5525330000000001E-6</v>
      </c>
      <c r="I2981">
        <v>222.59469999999999</v>
      </c>
      <c r="J2981">
        <v>-493.62650000000002</v>
      </c>
      <c r="K2981">
        <v>1.1123350000000001</v>
      </c>
      <c r="L2981">
        <v>272.33690000000001</v>
      </c>
      <c r="M2981">
        <v>-0.5262635</v>
      </c>
      <c r="N2981">
        <v>0</v>
      </c>
      <c r="O2981">
        <v>-0.85029969999999999</v>
      </c>
      <c r="P2981">
        <v>-0.43612469999999998</v>
      </c>
      <c r="Q2981">
        <v>-9.7078459999999991E-3</v>
      </c>
      <c r="R2981">
        <v>-0.89983389999999996</v>
      </c>
      <c r="S2981">
        <v>-8.3160399999999995E-2</v>
      </c>
      <c r="T2981">
        <v>-7.3657749999999994E-2</v>
      </c>
      <c r="U2981">
        <v>-3.2980960000000001</v>
      </c>
      <c r="V2981">
        <v>-0.1026827</v>
      </c>
      <c r="W2981">
        <v>-4.4608499999999997E-3</v>
      </c>
      <c r="X2981">
        <v>0.99470420000000004</v>
      </c>
      <c r="Y2981">
        <v>-0.50466639999999996</v>
      </c>
      <c r="Z2981">
        <v>1.579852E-2</v>
      </c>
      <c r="AA2981">
        <v>0.86316979999999999</v>
      </c>
      <c r="AB2981">
        <v>15</v>
      </c>
      <c r="AC2981">
        <v>-1.2219</v>
      </c>
      <c r="AD2981">
        <v>-1.1123314474670001</v>
      </c>
      <c r="AE2981">
        <v>-49.742199999999997</v>
      </c>
      <c r="AF2981">
        <v>-25.126432970735902</v>
      </c>
      <c r="AG2981">
        <v>-1.1123314474670001</v>
      </c>
      <c r="AH2981">
        <v>42.9181681563105</v>
      </c>
      <c r="AI2981">
        <v>91.281284137452005</v>
      </c>
      <c r="AJ2981">
        <v>120.34683104886</v>
      </c>
      <c r="AK2981">
        <v>49.744789405275903</v>
      </c>
      <c r="AL2981">
        <v>90.2555887152905</v>
      </c>
      <c r="AM2981">
        <v>95.893731945084994</v>
      </c>
      <c r="AN2981">
        <v>1.00000004077982</v>
      </c>
    </row>
    <row r="2982" spans="1:40" x14ac:dyDescent="0.25">
      <c r="A2982" t="str">
        <f>"20190312160658530"</f>
        <v>20190312160658530</v>
      </c>
      <c r="B2982" t="str">
        <f>"1552378018528071"</f>
        <v>1552378018528071</v>
      </c>
      <c r="C2982" t="s">
        <v>40</v>
      </c>
      <c r="D2982">
        <v>5.8219510000000003</v>
      </c>
      <c r="E2982">
        <v>0.32775349999999998</v>
      </c>
      <c r="F2982" t="s">
        <v>61</v>
      </c>
      <c r="G2982">
        <v>-494.68560000000002</v>
      </c>
      <c r="H2982" s="1">
        <v>3.7601869999999999E-6</v>
      </c>
      <c r="I2982">
        <v>223.3706</v>
      </c>
      <c r="J2982">
        <v>-493.6662</v>
      </c>
      <c r="K2982">
        <v>1.1123590000000001</v>
      </c>
      <c r="L2982">
        <v>272.26280000000003</v>
      </c>
      <c r="M2982">
        <v>-0.52229619999999999</v>
      </c>
      <c r="N2982">
        <v>0</v>
      </c>
      <c r="O2982">
        <v>-0.85274229999999995</v>
      </c>
      <c r="P2982">
        <v>-0.43215629999999999</v>
      </c>
      <c r="Q2982">
        <v>-9.9168009999999994E-3</v>
      </c>
      <c r="R2982">
        <v>-0.9017442</v>
      </c>
      <c r="S2982">
        <v>-7.13501E-2</v>
      </c>
      <c r="T2982">
        <v>-7.4932219999999994E-2</v>
      </c>
      <c r="U2982">
        <v>-3.2986149999999999</v>
      </c>
      <c r="V2982">
        <v>-0.1024274</v>
      </c>
      <c r="W2982">
        <v>-4.6664460000000003E-3</v>
      </c>
      <c r="X2982">
        <v>0.99472950000000004</v>
      </c>
      <c r="Y2982">
        <v>-0.50373599999999996</v>
      </c>
      <c r="Z2982">
        <v>1.615728E-2</v>
      </c>
      <c r="AA2982">
        <v>0.86370650000000004</v>
      </c>
      <c r="AB2982">
        <v>15</v>
      </c>
      <c r="AC2982">
        <v>-1.0194000000000101</v>
      </c>
      <c r="AD2982">
        <v>-1.1123552398129899</v>
      </c>
      <c r="AE2982">
        <v>-48.892200000000003</v>
      </c>
      <c r="AF2982">
        <v>-24.6546281048578</v>
      </c>
      <c r="AG2982">
        <v>-1.1123552398129899</v>
      </c>
      <c r="AH2982">
        <v>42.203826379674702</v>
      </c>
      <c r="AI2982">
        <v>91.303712594850793</v>
      </c>
      <c r="AJ2982">
        <v>120.292614905638</v>
      </c>
      <c r="AK2982">
        <v>48.890193109192197</v>
      </c>
      <c r="AL2982">
        <v>90.267368641360406</v>
      </c>
      <c r="AM2982">
        <v>95.879032643966099</v>
      </c>
      <c r="AN2982">
        <v>0.99999996307963901</v>
      </c>
    </row>
    <row r="2983" spans="1:40" x14ac:dyDescent="0.25">
      <c r="A2983" t="str">
        <f>"20190312160658543"</f>
        <v>20190312160658543</v>
      </c>
      <c r="B2983" t="str">
        <f>"1552378018538809"</f>
        <v>1552378018538809</v>
      </c>
      <c r="C2983" t="s">
        <v>40</v>
      </c>
      <c r="D2983">
        <v>5.8037830000000001</v>
      </c>
      <c r="E2983">
        <v>0.3278237</v>
      </c>
      <c r="F2983" t="s">
        <v>61</v>
      </c>
      <c r="G2983">
        <v>-494.51190000000003</v>
      </c>
      <c r="H2983" s="1">
        <v>3.8929119999999999E-6</v>
      </c>
      <c r="I2983">
        <v>223.79669999999999</v>
      </c>
      <c r="J2983">
        <v>-493.70339999999999</v>
      </c>
      <c r="K2983">
        <v>1.112384</v>
      </c>
      <c r="L2983">
        <v>272.19240000000002</v>
      </c>
      <c r="M2983">
        <v>-0.51852640000000005</v>
      </c>
      <c r="N2983">
        <v>0</v>
      </c>
      <c r="O2983">
        <v>-0.85503980000000002</v>
      </c>
      <c r="P2983">
        <v>-0.42855009999999999</v>
      </c>
      <c r="Q2983">
        <v>-1.033266E-2</v>
      </c>
      <c r="R2983">
        <v>-0.90345909999999996</v>
      </c>
      <c r="S2983">
        <v>-5.755615E-2</v>
      </c>
      <c r="T2983">
        <v>-7.5704339999999995E-2</v>
      </c>
      <c r="U2983">
        <v>-3.298492</v>
      </c>
      <c r="V2983">
        <v>-0.1020046</v>
      </c>
      <c r="W2983">
        <v>-5.0756909999999898E-3</v>
      </c>
      <c r="X2983">
        <v>0.99477099999999996</v>
      </c>
      <c r="Y2983">
        <v>-0.50353210000000004</v>
      </c>
      <c r="Z2983">
        <v>1.6403210000000001E-2</v>
      </c>
      <c r="AA2983">
        <v>0.8638209</v>
      </c>
      <c r="AB2983">
        <v>15</v>
      </c>
      <c r="AC2983">
        <v>-0.80850000000003697</v>
      </c>
      <c r="AD2983">
        <v>-1.1123801070879999</v>
      </c>
      <c r="AE2983">
        <v>-48.395699999999998</v>
      </c>
      <c r="AF2983">
        <v>-24.390721320654901</v>
      </c>
      <c r="AG2983">
        <v>-1.1123801070879999</v>
      </c>
      <c r="AH2983">
        <v>41.778192211485603</v>
      </c>
      <c r="AI2983">
        <v>91.317228962127203</v>
      </c>
      <c r="AJ2983">
        <v>120.277009419362</v>
      </c>
      <c r="AK2983">
        <v>48.389689196194901</v>
      </c>
      <c r="AL2983">
        <v>90.290816914798</v>
      </c>
      <c r="AM2983">
        <v>95.854691535469996</v>
      </c>
      <c r="AN2983">
        <v>1.00000002175064</v>
      </c>
    </row>
    <row r="2984" spans="1:40" x14ac:dyDescent="0.25">
      <c r="A2984" t="str">
        <f>"20190312160658557"</f>
        <v>20190312160658557</v>
      </c>
      <c r="B2984" t="str">
        <f>"1552378018548567"</f>
        <v>1552378018548567</v>
      </c>
      <c r="C2984" t="s">
        <v>40</v>
      </c>
      <c r="D2984">
        <v>5.8355750000000004</v>
      </c>
      <c r="E2984">
        <v>0.32807890000000001</v>
      </c>
      <c r="F2984" t="s">
        <v>61</v>
      </c>
      <c r="G2984">
        <v>-494.35590000000002</v>
      </c>
      <c r="H2984" s="1">
        <v>4.0354049999999999E-6</v>
      </c>
      <c r="I2984">
        <v>224.28469999999999</v>
      </c>
      <c r="J2984">
        <v>-493.74400000000003</v>
      </c>
      <c r="K2984">
        <v>1.1124160000000001</v>
      </c>
      <c r="L2984">
        <v>272.11509999999998</v>
      </c>
      <c r="M2984">
        <v>-0.51438549999999905</v>
      </c>
      <c r="N2984">
        <v>0</v>
      </c>
      <c r="O2984">
        <v>-0.85753729999999995</v>
      </c>
      <c r="P2984">
        <v>-0.42445690000000003</v>
      </c>
      <c r="Q2984">
        <v>-1.030346E-2</v>
      </c>
      <c r="R2984">
        <v>-0.90538980000000002</v>
      </c>
      <c r="S2984">
        <v>-4.4921879999999997E-2</v>
      </c>
      <c r="T2984">
        <v>-7.6585769999999997E-2</v>
      </c>
      <c r="U2984">
        <v>-3.2983699999999998</v>
      </c>
      <c r="V2984">
        <v>-0.1016958</v>
      </c>
      <c r="W2984">
        <v>-5.039796E-3</v>
      </c>
      <c r="X2984">
        <v>0.99480279999999999</v>
      </c>
      <c r="Y2984">
        <v>-0.50266129999999998</v>
      </c>
      <c r="Z2984">
        <v>1.6686079999999999E-2</v>
      </c>
      <c r="AA2984">
        <v>0.86432240000000005</v>
      </c>
      <c r="AB2984">
        <v>15</v>
      </c>
      <c r="AC2984">
        <v>-0.61189999999999101</v>
      </c>
      <c r="AD2984">
        <v>-1.1124119645949999</v>
      </c>
      <c r="AE2984">
        <v>-47.830399999999997</v>
      </c>
      <c r="AF2984">
        <v>-24.0659713196073</v>
      </c>
      <c r="AG2984">
        <v>-1.1124119645949999</v>
      </c>
      <c r="AH2984">
        <v>41.309535167278</v>
      </c>
      <c r="AI2984">
        <v>91.332923387057903</v>
      </c>
      <c r="AJ2984">
        <v>120.22407965027099</v>
      </c>
      <c r="AK2984">
        <v>47.821398261361203</v>
      </c>
      <c r="AL2984">
        <v>90.288760256146205</v>
      </c>
      <c r="AM2984">
        <v>95.836904807658598</v>
      </c>
      <c r="AN2984">
        <v>1.0000000230846</v>
      </c>
    </row>
    <row r="2985" spans="1:40" x14ac:dyDescent="0.25">
      <c r="A2985" t="str">
        <f>"20190312160658569"</f>
        <v>20190312160658569</v>
      </c>
      <c r="B2985" t="str">
        <f>"1552378018558327"</f>
        <v>1552378018558327</v>
      </c>
      <c r="C2985" t="s">
        <v>40</v>
      </c>
      <c r="D2985">
        <v>5.8910980000000004</v>
      </c>
      <c r="E2985">
        <v>0.32835500000000001</v>
      </c>
      <c r="F2985" t="s">
        <v>61</v>
      </c>
      <c r="G2985">
        <v>-494.20069999999998</v>
      </c>
      <c r="H2985" s="1">
        <v>4.172782E-6</v>
      </c>
      <c r="I2985">
        <v>224.71199999999999</v>
      </c>
      <c r="J2985">
        <v>-493.7826</v>
      </c>
      <c r="K2985">
        <v>1.112441</v>
      </c>
      <c r="L2985">
        <v>272.04039999999998</v>
      </c>
      <c r="M2985">
        <v>-0.5103896</v>
      </c>
      <c r="N2985">
        <v>0</v>
      </c>
      <c r="O2985">
        <v>-0.85992159999999995</v>
      </c>
      <c r="P2985">
        <v>-0.420483</v>
      </c>
      <c r="Q2985">
        <v>-1.017883E-2</v>
      </c>
      <c r="R2985">
        <v>-0.90724369999999999</v>
      </c>
      <c r="S2985">
        <v>-3.17688E-2</v>
      </c>
      <c r="T2985">
        <v>-7.7387449999999997E-2</v>
      </c>
      <c r="U2985">
        <v>-3.2976990000000002</v>
      </c>
      <c r="V2985">
        <v>-0.1014307</v>
      </c>
      <c r="W2985">
        <v>-4.9079620000000001E-3</v>
      </c>
      <c r="X2985">
        <v>0.99483049999999995</v>
      </c>
      <c r="Y2985">
        <v>-0.5020829</v>
      </c>
      <c r="Z2985">
        <v>1.6950369999999999E-2</v>
      </c>
      <c r="AA2985">
        <v>0.86465329999999996</v>
      </c>
      <c r="AB2985">
        <v>15</v>
      </c>
      <c r="AC2985">
        <v>-0.41809999999998099</v>
      </c>
      <c r="AD2985">
        <v>-1.1124368272180001</v>
      </c>
      <c r="AE2985">
        <v>-47.328399999999903</v>
      </c>
      <c r="AF2985">
        <v>-23.783695012429899</v>
      </c>
      <c r="AG2985">
        <v>-1.1124368272180001</v>
      </c>
      <c r="AH2985">
        <v>40.890281531558998</v>
      </c>
      <c r="AI2985">
        <v>91.347159536404803</v>
      </c>
      <c r="AJ2985">
        <v>120.184279627005</v>
      </c>
      <c r="AK2985">
        <v>47.317193364241199</v>
      </c>
      <c r="AL2985">
        <v>90.281206637752902</v>
      </c>
      <c r="AM2985">
        <v>95.821632858932105</v>
      </c>
      <c r="AN2985">
        <v>0.99999999936186601</v>
      </c>
    </row>
    <row r="2986" spans="1:40" x14ac:dyDescent="0.25">
      <c r="A2986" t="str">
        <f>"20190312160658582"</f>
        <v>20190312160658582</v>
      </c>
      <c r="B2986" t="str">
        <f>"1552378018577847"</f>
        <v>1552378018577847</v>
      </c>
      <c r="C2986" t="s">
        <v>40</v>
      </c>
      <c r="D2986">
        <v>5.8801519999999998</v>
      </c>
      <c r="E2986">
        <v>0.32888060000000002</v>
      </c>
      <c r="F2986" t="s">
        <v>61</v>
      </c>
      <c r="G2986">
        <v>-494.05470000000003</v>
      </c>
      <c r="H2986" s="1">
        <v>4.2447469999999996E-6</v>
      </c>
      <c r="I2986">
        <v>224.8399</v>
      </c>
      <c r="J2986">
        <v>-493.82069999999999</v>
      </c>
      <c r="K2986">
        <v>1.1124620000000001</v>
      </c>
      <c r="L2986">
        <v>271.96570000000003</v>
      </c>
      <c r="M2986">
        <v>-0.50638899999999998</v>
      </c>
      <c r="N2986">
        <v>0</v>
      </c>
      <c r="O2986">
        <v>-0.86228340000000003</v>
      </c>
      <c r="P2986">
        <v>-0.4162362</v>
      </c>
      <c r="Q2986">
        <v>-9.9473210000000003E-3</v>
      </c>
      <c r="R2986">
        <v>-0.90920230000000002</v>
      </c>
      <c r="S2986">
        <v>-1.901245E-2</v>
      </c>
      <c r="T2986">
        <v>-7.7706810000000001E-2</v>
      </c>
      <c r="U2986">
        <v>-3.2970890000000002</v>
      </c>
      <c r="V2986">
        <v>-0.1014631</v>
      </c>
      <c r="W2986">
        <v>-4.6719049999999996E-3</v>
      </c>
      <c r="X2986">
        <v>0.9948283</v>
      </c>
      <c r="Y2986">
        <v>-0.50140859999999998</v>
      </c>
      <c r="Z2986">
        <v>1.7109949999999999E-2</v>
      </c>
      <c r="AA2986">
        <v>0.86504139999999996</v>
      </c>
      <c r="AB2986">
        <v>15</v>
      </c>
      <c r="AC2986">
        <v>-0.23400000000003701</v>
      </c>
      <c r="AD2986">
        <v>-1.1124577552529999</v>
      </c>
      <c r="AE2986">
        <v>-47.125799999999998</v>
      </c>
      <c r="AF2986">
        <v>-23.6494779898293</v>
      </c>
      <c r="AG2986">
        <v>-1.1124577552529999</v>
      </c>
      <c r="AH2986">
        <v>40.732357103897598</v>
      </c>
      <c r="AI2986">
        <v>91.353017049414007</v>
      </c>
      <c r="AJ2986">
        <v>120.139735961396</v>
      </c>
      <c r="AK2986">
        <v>47.1132708128833</v>
      </c>
      <c r="AL2986">
        <v>90.267681421413997</v>
      </c>
      <c r="AM2986">
        <v>95.823492473782295</v>
      </c>
      <c r="AN2986">
        <v>0.99999996691941395</v>
      </c>
    </row>
    <row r="2987" spans="1:40" x14ac:dyDescent="0.25">
      <c r="A2987" t="str">
        <f>"20190312160658597"</f>
        <v>20190312160658597</v>
      </c>
      <c r="B2987" t="str">
        <f>"1552378018588583"</f>
        <v>1552378018588583</v>
      </c>
      <c r="C2987" t="s">
        <v>40</v>
      </c>
      <c r="D2987">
        <v>5.8558139999999996</v>
      </c>
      <c r="E2987">
        <v>0.32914939999999998</v>
      </c>
      <c r="F2987" t="s">
        <v>61</v>
      </c>
      <c r="G2987">
        <v>-493.92509999999999</v>
      </c>
      <c r="H2987" s="1">
        <v>4.442853E-6</v>
      </c>
      <c r="I2987">
        <v>225.38659999999999</v>
      </c>
      <c r="J2987">
        <v>-493.86829999999998</v>
      </c>
      <c r="K2987">
        <v>1.112498</v>
      </c>
      <c r="L2987">
        <v>271.87180000000001</v>
      </c>
      <c r="M2987">
        <v>-0.50135339999999995</v>
      </c>
      <c r="N2987">
        <v>0</v>
      </c>
      <c r="O2987">
        <v>-0.86522080000000001</v>
      </c>
      <c r="P2987">
        <v>-0.41090280000000001</v>
      </c>
      <c r="Q2987">
        <v>-9.8663829999999994E-3</v>
      </c>
      <c r="R2987">
        <v>-0.91162600000000005</v>
      </c>
      <c r="S2987">
        <v>-7.385254E-3</v>
      </c>
      <c r="T2987">
        <v>-7.8701969999999996E-2</v>
      </c>
      <c r="U2987">
        <v>-3.2952880000000002</v>
      </c>
      <c r="V2987">
        <v>-0.1014921</v>
      </c>
      <c r="W2987">
        <v>-4.585352E-3</v>
      </c>
      <c r="X2987">
        <v>0.99482579999999998</v>
      </c>
      <c r="Y2987">
        <v>-0.49941269999999999</v>
      </c>
      <c r="Z2987">
        <v>1.7455910000000002E-2</v>
      </c>
      <c r="AA2987">
        <v>0.86618839999999997</v>
      </c>
      <c r="AB2987">
        <v>15</v>
      </c>
      <c r="AC2987">
        <v>-5.6800000000009697E-2</v>
      </c>
      <c r="AD2987">
        <v>-1.112493557147</v>
      </c>
      <c r="AE2987">
        <v>-46.485199999999999</v>
      </c>
      <c r="AF2987">
        <v>-23.243494629548401</v>
      </c>
      <c r="AG2987">
        <v>-1.112493557147</v>
      </c>
      <c r="AH2987">
        <v>40.226158700669401</v>
      </c>
      <c r="AI2987">
        <v>91.371736805047206</v>
      </c>
      <c r="AJ2987">
        <v>120.02019775680699</v>
      </c>
      <c r="AK2987">
        <v>46.471943453227603</v>
      </c>
      <c r="AL2987">
        <v>90.262722232028594</v>
      </c>
      <c r="AM2987">
        <v>95.825160027473501</v>
      </c>
      <c r="AN2987">
        <v>1.0000000220805001</v>
      </c>
    </row>
    <row r="2988" spans="1:40" x14ac:dyDescent="0.25">
      <c r="A2988" t="str">
        <f>"20190312160658609"</f>
        <v>20190312160658609</v>
      </c>
      <c r="B2988" t="str">
        <f>"1552378018598344"</f>
        <v>1552378018598344</v>
      </c>
      <c r="C2988" t="s">
        <v>40</v>
      </c>
      <c r="D2988">
        <v>6.0292219999999999</v>
      </c>
      <c r="E2988">
        <v>0.32951059999999999</v>
      </c>
      <c r="F2988" t="s">
        <v>61</v>
      </c>
      <c r="G2988">
        <v>-493.73520000000002</v>
      </c>
      <c r="H2988" s="1">
        <v>4.5744300000000002E-6</v>
      </c>
      <c r="I2988">
        <v>225.6754</v>
      </c>
      <c r="J2988">
        <v>-493.90339999999998</v>
      </c>
      <c r="K2988">
        <v>1.1125240000000001</v>
      </c>
      <c r="L2988">
        <v>271.80130000000003</v>
      </c>
      <c r="M2988">
        <v>-0.49757319999999999</v>
      </c>
      <c r="N2988">
        <v>0</v>
      </c>
      <c r="O2988">
        <v>-0.86739999999999995</v>
      </c>
      <c r="P2988">
        <v>-0.40711239999999999</v>
      </c>
      <c r="Q2988">
        <v>-1.001222E-2</v>
      </c>
      <c r="R2988">
        <v>-0.9133232</v>
      </c>
      <c r="S2988">
        <v>9.4909669999999995E-3</v>
      </c>
      <c r="T2988">
        <v>-7.9331520000000003E-2</v>
      </c>
      <c r="U2988">
        <v>-3.2942499999999999</v>
      </c>
      <c r="V2988">
        <v>-0.10128189999999999</v>
      </c>
      <c r="W2988">
        <v>-4.7250319999999997E-3</v>
      </c>
      <c r="X2988">
        <v>0.99484649999999997</v>
      </c>
      <c r="Y2988">
        <v>-0.50006899999999999</v>
      </c>
      <c r="Z2988">
        <v>1.7672920000000002E-2</v>
      </c>
      <c r="AA2988">
        <v>0.8658053</v>
      </c>
      <c r="AB2988">
        <v>15</v>
      </c>
      <c r="AC2988">
        <v>0.168199999999956</v>
      </c>
      <c r="AD2988">
        <v>-1.1125194255699999</v>
      </c>
      <c r="AE2988">
        <v>-46.125900000000001</v>
      </c>
      <c r="AF2988">
        <v>-23.083920384111401</v>
      </c>
      <c r="AG2988">
        <v>-1.1125194255699999</v>
      </c>
      <c r="AH2988">
        <v>39.903462520731203</v>
      </c>
      <c r="AI2988">
        <v>91.382454262657703</v>
      </c>
      <c r="AJ2988">
        <v>120.049131118082</v>
      </c>
      <c r="AK2988">
        <v>46.112811678704503</v>
      </c>
      <c r="AL2988">
        <v>90.270725411522804</v>
      </c>
      <c r="AM2988">
        <v>95.813058135848706</v>
      </c>
      <c r="AN2988">
        <v>0.99999995387862906</v>
      </c>
    </row>
    <row r="2989" spans="1:40" x14ac:dyDescent="0.25">
      <c r="A2989" t="str">
        <f>"20190312160658630"</f>
        <v>20190312160658630</v>
      </c>
      <c r="B2989" t="str">
        <f>"1552378018628598"</f>
        <v>1552378018628598</v>
      </c>
      <c r="C2989" t="s">
        <v>40</v>
      </c>
      <c r="D2989">
        <v>5.755331</v>
      </c>
      <c r="E2989">
        <v>0.32991239999999999</v>
      </c>
      <c r="F2989" t="s">
        <v>61</v>
      </c>
      <c r="G2989">
        <v>-493.62040000000002</v>
      </c>
      <c r="H2989" s="1">
        <v>4.9737349999999901E-6</v>
      </c>
      <c r="I2989">
        <v>226.88220000000001</v>
      </c>
      <c r="J2989">
        <v>-493.9667</v>
      </c>
      <c r="K2989">
        <v>1.112563</v>
      </c>
      <c r="L2989">
        <v>271.67259999999999</v>
      </c>
      <c r="M2989">
        <v>-0.49066690000000002</v>
      </c>
      <c r="N2989">
        <v>0</v>
      </c>
      <c r="O2989">
        <v>-0.87132540000000003</v>
      </c>
      <c r="P2989">
        <v>-0.4001535</v>
      </c>
      <c r="Q2989">
        <v>-1.0680749999999999E-2</v>
      </c>
      <c r="R2989">
        <v>-0.91638589999999998</v>
      </c>
      <c r="S2989">
        <v>2.0751950000000002E-2</v>
      </c>
      <c r="T2989">
        <v>-8.1560489999999999E-2</v>
      </c>
      <c r="U2989">
        <v>-3.293091</v>
      </c>
      <c r="V2989">
        <v>-0.1009362</v>
      </c>
      <c r="W2989">
        <v>-5.382838E-3</v>
      </c>
      <c r="X2989">
        <v>0.99487840000000005</v>
      </c>
      <c r="Y2989">
        <v>-0.49614550000000002</v>
      </c>
      <c r="Z2989">
        <v>1.8347749999999999E-2</v>
      </c>
      <c r="AA2989">
        <v>0.86804550000000003</v>
      </c>
      <c r="AB2989">
        <v>15</v>
      </c>
      <c r="AC2989">
        <v>0.34629999999998501</v>
      </c>
      <c r="AD2989">
        <v>-1.1125580262650001</v>
      </c>
      <c r="AE2989">
        <v>-44.790399999999899</v>
      </c>
      <c r="AF2989">
        <v>-22.265593723664701</v>
      </c>
      <c r="AG2989">
        <v>-1.1125580262650001</v>
      </c>
      <c r="AH2989">
        <v>38.833875808739002</v>
      </c>
      <c r="AI2989">
        <v>91.423724107302903</v>
      </c>
      <c r="AJ2989">
        <v>119.828015453714</v>
      </c>
      <c r="AK2989">
        <v>44.777945012669697</v>
      </c>
      <c r="AL2989">
        <v>90.308415369756702</v>
      </c>
      <c r="AM2989">
        <v>95.793167434206197</v>
      </c>
      <c r="AN2989">
        <v>1.0000000611009601</v>
      </c>
    </row>
    <row r="2990" spans="1:40" x14ac:dyDescent="0.25">
      <c r="A2990" t="str">
        <f>"20190312160658641"</f>
        <v>20190312160658641</v>
      </c>
      <c r="B2990" t="str">
        <f>"1552378018638359"</f>
        <v>1552378018638359</v>
      </c>
      <c r="C2990" t="s">
        <v>40</v>
      </c>
      <c r="D2990">
        <v>5.8031930000000003</v>
      </c>
      <c r="E2990">
        <v>0.3300574</v>
      </c>
      <c r="F2990" t="s">
        <v>61</v>
      </c>
      <c r="G2990">
        <v>-493.39249999999998</v>
      </c>
      <c r="H2990" s="1">
        <v>5.3118269999999901E-6</v>
      </c>
      <c r="I2990">
        <v>227.81049999999999</v>
      </c>
      <c r="J2990">
        <v>-493.99970000000002</v>
      </c>
      <c r="K2990">
        <v>1.1125879999999999</v>
      </c>
      <c r="L2990">
        <v>271.60430000000002</v>
      </c>
      <c r="M2990">
        <v>-0.48700539999999998</v>
      </c>
      <c r="N2990">
        <v>0</v>
      </c>
      <c r="O2990">
        <v>-0.87337690000000001</v>
      </c>
      <c r="P2990">
        <v>-0.39675739999999998</v>
      </c>
      <c r="Q2990">
        <v>-1.118215E-2</v>
      </c>
      <c r="R2990">
        <v>-0.91785559999999999</v>
      </c>
      <c r="S2990">
        <v>4.3090820000000002E-2</v>
      </c>
      <c r="T2990">
        <v>-8.3490969999999998E-2</v>
      </c>
      <c r="U2990">
        <v>-3.291595</v>
      </c>
      <c r="V2990">
        <v>-0.10043729999999999</v>
      </c>
      <c r="W2990">
        <v>-5.8746619999999897E-3</v>
      </c>
      <c r="X2990">
        <v>0.99492599999999998</v>
      </c>
      <c r="Y2990">
        <v>-0.49839220000000001</v>
      </c>
      <c r="Z2990">
        <v>1.8848609999999998E-2</v>
      </c>
      <c r="AA2990">
        <v>0.86674680000000004</v>
      </c>
      <c r="AB2990">
        <v>15</v>
      </c>
      <c r="AC2990">
        <v>0.60720000000003405</v>
      </c>
      <c r="AD2990">
        <v>-1.1125826881730001</v>
      </c>
      <c r="AE2990">
        <v>-43.793799999999997</v>
      </c>
      <c r="AF2990">
        <v>-21.844456620023401</v>
      </c>
      <c r="AG2990">
        <v>-1.1125826881730001</v>
      </c>
      <c r="AH2990">
        <v>37.929039521488498</v>
      </c>
      <c r="AI2990">
        <v>91.456086603029703</v>
      </c>
      <c r="AJ2990">
        <v>119.938913751401</v>
      </c>
      <c r="AK2990">
        <v>43.783903027080001</v>
      </c>
      <c r="AL2990">
        <v>90.336595290184206</v>
      </c>
      <c r="AM2990">
        <v>95.764452776598105</v>
      </c>
      <c r="AN2990">
        <v>0.99999995418045096</v>
      </c>
    </row>
    <row r="2991" spans="1:40" x14ac:dyDescent="0.25">
      <c r="A2991" t="str">
        <f>"20190312160658652"</f>
        <v>20190312160658652</v>
      </c>
      <c r="B2991" t="str">
        <f>"1552378018648123"</f>
        <v>1552378018648123</v>
      </c>
      <c r="C2991" t="s">
        <v>40</v>
      </c>
      <c r="D2991">
        <v>5.8134069999999998</v>
      </c>
      <c r="E2991">
        <v>0.33019870000000001</v>
      </c>
      <c r="F2991" t="s">
        <v>61</v>
      </c>
      <c r="G2991">
        <v>-493.29349999999999</v>
      </c>
      <c r="H2991" s="1">
        <v>5.4894180000000004E-6</v>
      </c>
      <c r="I2991">
        <v>228.459</v>
      </c>
      <c r="J2991">
        <v>-494.03289999999998</v>
      </c>
      <c r="K2991">
        <v>1.112611</v>
      </c>
      <c r="L2991">
        <v>271.53530000000001</v>
      </c>
      <c r="M2991">
        <v>-0.48330319999999999</v>
      </c>
      <c r="N2991">
        <v>0</v>
      </c>
      <c r="O2991">
        <v>-0.87543110000000002</v>
      </c>
      <c r="P2991">
        <v>-0.39312259999999999</v>
      </c>
      <c r="Q2991">
        <v>-1.1386479999999999E-2</v>
      </c>
      <c r="R2991">
        <v>-0.91941600000000001</v>
      </c>
      <c r="S2991">
        <v>5.386353E-2</v>
      </c>
      <c r="T2991">
        <v>-8.4857230000000006E-2</v>
      </c>
      <c r="U2991">
        <v>-3.2907099999999998</v>
      </c>
      <c r="V2991">
        <v>-0.1001582</v>
      </c>
      <c r="W2991">
        <v>-6.0709589999999999E-3</v>
      </c>
      <c r="X2991">
        <v>0.99495299999999998</v>
      </c>
      <c r="Y2991">
        <v>-0.49756080000000003</v>
      </c>
      <c r="Z2991">
        <v>1.92459E-2</v>
      </c>
      <c r="AA2991">
        <v>0.86721559999999898</v>
      </c>
      <c r="AB2991">
        <v>15</v>
      </c>
      <c r="AC2991">
        <v>0.73939999999998895</v>
      </c>
      <c r="AD2991">
        <v>-1.1126055105820001</v>
      </c>
      <c r="AE2991">
        <v>-43.076300000000003</v>
      </c>
      <c r="AF2991">
        <v>-21.452312510907301</v>
      </c>
      <c r="AG2991">
        <v>-1.1126055105820001</v>
      </c>
      <c r="AH2991">
        <v>37.328800067572303</v>
      </c>
      <c r="AI2991">
        <v>91.480315798673004</v>
      </c>
      <c r="AJ2991">
        <v>119.885349056154</v>
      </c>
      <c r="AK2991">
        <v>43.068305255403303</v>
      </c>
      <c r="AL2991">
        <v>90.347842466112994</v>
      </c>
      <c r="AM2991">
        <v>95.748386714747696</v>
      </c>
      <c r="AN2991">
        <v>0.99999999688970898</v>
      </c>
    </row>
    <row r="2992" spans="1:40" x14ac:dyDescent="0.25">
      <c r="A2992" t="str">
        <f>"20190312160658664"</f>
        <v>20190312160658664</v>
      </c>
      <c r="B2992" t="str">
        <f>"1552378018657879"</f>
        <v>1552378018657879</v>
      </c>
      <c r="C2992" t="s">
        <v>40</v>
      </c>
      <c r="D2992">
        <v>5.8119569999999996</v>
      </c>
      <c r="E2992">
        <v>0.33035940000000003</v>
      </c>
      <c r="F2992" t="s">
        <v>61</v>
      </c>
      <c r="G2992">
        <v>-493.17160000000001</v>
      </c>
      <c r="H2992" s="1">
        <v>5.5758419999999999E-6</v>
      </c>
      <c r="I2992">
        <v>228.70320000000001</v>
      </c>
      <c r="J2992">
        <v>-494.06760000000003</v>
      </c>
      <c r="K2992">
        <v>1.112636</v>
      </c>
      <c r="L2992">
        <v>271.46159999999998</v>
      </c>
      <c r="M2992">
        <v>-0.47934959999999999</v>
      </c>
      <c r="N2992">
        <v>0</v>
      </c>
      <c r="O2992">
        <v>-0.87760199999999999</v>
      </c>
      <c r="P2992">
        <v>-0.3895015</v>
      </c>
      <c r="Q2992">
        <v>-1.139691E-2</v>
      </c>
      <c r="R2992">
        <v>-0.92095570000000004</v>
      </c>
      <c r="S2992">
        <v>6.6162109999999996E-2</v>
      </c>
      <c r="T2992">
        <v>-8.5464949999999998E-2</v>
      </c>
      <c r="U2992">
        <v>-3.2901609999999999</v>
      </c>
      <c r="V2992">
        <v>-9.9585080000000006E-2</v>
      </c>
      <c r="W2992">
        <v>-6.0679089999999998E-3</v>
      </c>
      <c r="X2992">
        <v>0.99501059999999997</v>
      </c>
      <c r="Y2992">
        <v>-0.49689090000000002</v>
      </c>
      <c r="Z2992">
        <v>1.9474410000000001E-2</v>
      </c>
      <c r="AA2992">
        <v>0.86759449999999905</v>
      </c>
      <c r="AB2992">
        <v>15</v>
      </c>
      <c r="AC2992">
        <v>0.89600000000001501</v>
      </c>
      <c r="AD2992">
        <v>-1.1126304241580001</v>
      </c>
      <c r="AE2992">
        <v>-42.758399999999902</v>
      </c>
      <c r="AF2992">
        <v>-21.2685702255488</v>
      </c>
      <c r="AG2992">
        <v>-1.1126304241580001</v>
      </c>
      <c r="AH2992">
        <v>37.070987652146002</v>
      </c>
      <c r="AI2992">
        <v>91.491257158233495</v>
      </c>
      <c r="AJ2992">
        <v>119.843991723173</v>
      </c>
      <c r="AK2992">
        <v>42.7533408215712</v>
      </c>
      <c r="AL2992">
        <v>90.347667691989798</v>
      </c>
      <c r="AM2992">
        <v>95.715383325919504</v>
      </c>
      <c r="AN2992">
        <v>1.00000005089529</v>
      </c>
    </row>
    <row r="2993" spans="1:40" x14ac:dyDescent="0.25">
      <c r="A2993" t="str">
        <f>"20190312160658676"</f>
        <v>20190312160658676</v>
      </c>
      <c r="B2993" t="str">
        <f>"1552378018667639"</f>
        <v>1552378018667639</v>
      </c>
      <c r="C2993" t="s">
        <v>40</v>
      </c>
      <c r="D2993">
        <v>5.9905689999999998</v>
      </c>
      <c r="E2993">
        <v>0.33035940000000003</v>
      </c>
      <c r="F2993" t="s">
        <v>61</v>
      </c>
      <c r="G2993">
        <v>-493.05110000000002</v>
      </c>
      <c r="H2993" s="1">
        <v>5.5576160000000004E-6</v>
      </c>
      <c r="I2993">
        <v>228.47569999999999</v>
      </c>
      <c r="J2993">
        <v>-494.1003</v>
      </c>
      <c r="K2993">
        <v>1.112662</v>
      </c>
      <c r="L2993">
        <v>271.39190000000002</v>
      </c>
      <c r="M2993">
        <v>-0.47560530000000001</v>
      </c>
      <c r="N2993">
        <v>0</v>
      </c>
      <c r="O2993">
        <v>-0.8796368</v>
      </c>
      <c r="P2993">
        <v>-0.38587369999999999</v>
      </c>
      <c r="Q2993">
        <v>-1.137706E-2</v>
      </c>
      <c r="R2993">
        <v>-0.92248169999999996</v>
      </c>
      <c r="S2993">
        <v>7.778931E-2</v>
      </c>
      <c r="T2993">
        <v>-8.5139039999999999E-2</v>
      </c>
      <c r="U2993">
        <v>-3.289307</v>
      </c>
      <c r="V2993">
        <v>-9.9261509999999997E-2</v>
      </c>
      <c r="W2993">
        <v>-6.0369400000000002E-3</v>
      </c>
      <c r="X2993">
        <v>0.99504300000000001</v>
      </c>
      <c r="Y2993">
        <v>-0.4962626</v>
      </c>
      <c r="Z2993">
        <v>1.9486880000000002E-2</v>
      </c>
      <c r="AA2993">
        <v>0.8679538</v>
      </c>
      <c r="AB2993">
        <v>16</v>
      </c>
      <c r="AC2993">
        <v>1.0491999999999799</v>
      </c>
      <c r="AD2993">
        <v>-1.112656442384</v>
      </c>
      <c r="AE2993">
        <v>-42.916200000000003</v>
      </c>
      <c r="AF2993">
        <v>-21.320177678085599</v>
      </c>
      <c r="AG2993">
        <v>-1.112656442384</v>
      </c>
      <c r="AH2993">
        <v>37.227376362892599</v>
      </c>
      <c r="AI2993">
        <v>91.485685922393699</v>
      </c>
      <c r="AJ2993">
        <v>119.799835671411</v>
      </c>
      <c r="AK2993">
        <v>42.9146307388095</v>
      </c>
      <c r="AL2993">
        <v>90.345893307733405</v>
      </c>
      <c r="AM2993">
        <v>95.696751078742395</v>
      </c>
      <c r="AN2993">
        <v>0.99999993193051895</v>
      </c>
    </row>
    <row r="2994" spans="1:40" x14ac:dyDescent="0.25">
      <c r="A2994" t="str">
        <f>"20190312160658686"</f>
        <v>20190312160658686</v>
      </c>
      <c r="B2994" t="str">
        <f>"1552378018678375"</f>
        <v>1552378018678375</v>
      </c>
      <c r="C2994" t="s">
        <v>40</v>
      </c>
      <c r="D2994">
        <v>5.9181359999999996</v>
      </c>
      <c r="E2994">
        <v>0.33051249999999999</v>
      </c>
      <c r="F2994" t="s">
        <v>61</v>
      </c>
      <c r="G2994">
        <v>-492.91149999999999</v>
      </c>
      <c r="H2994" s="1">
        <v>5.5580830000000004E-6</v>
      </c>
      <c r="I2994">
        <v>228.3099</v>
      </c>
      <c r="J2994">
        <v>-494.13139999999999</v>
      </c>
      <c r="K2994">
        <v>1.1126849999999999</v>
      </c>
      <c r="L2994">
        <v>271.32459999999998</v>
      </c>
      <c r="M2994">
        <v>-0.47199750000000001</v>
      </c>
      <c r="N2994">
        <v>0</v>
      </c>
      <c r="O2994">
        <v>-0.88157770000000002</v>
      </c>
      <c r="P2994">
        <v>-0.3823144</v>
      </c>
      <c r="Q2994">
        <v>-1.143047E-2</v>
      </c>
      <c r="R2994">
        <v>-0.92396140000000004</v>
      </c>
      <c r="S2994">
        <v>9.0759279999999998E-2</v>
      </c>
      <c r="T2994">
        <v>-8.4942459999999997E-2</v>
      </c>
      <c r="U2994">
        <v>-3.2889710000000001</v>
      </c>
      <c r="V2994">
        <v>-9.9019979999999994E-2</v>
      </c>
      <c r="W2994">
        <v>-6.07904E-3</v>
      </c>
      <c r="X2994">
        <v>0.99506689999999998</v>
      </c>
      <c r="Y2994">
        <v>-0.49612869999999998</v>
      </c>
      <c r="Z2994">
        <v>1.951777E-2</v>
      </c>
      <c r="AA2994">
        <v>0.86802959999999996</v>
      </c>
      <c r="AB2994">
        <v>16</v>
      </c>
      <c r="AC2994">
        <v>1.21989999999999</v>
      </c>
      <c r="AD2994">
        <v>-1.1126794419169901</v>
      </c>
      <c r="AE2994">
        <v>-43.014699999999898</v>
      </c>
      <c r="AF2994">
        <v>-21.364401722063</v>
      </c>
      <c r="AG2994">
        <v>-1.1126794419169901</v>
      </c>
      <c r="AH2994">
        <v>37.320788859625402</v>
      </c>
      <c r="AI2994">
        <v>91.482158316389302</v>
      </c>
      <c r="AJ2994">
        <v>119.789113927475</v>
      </c>
      <c r="AK2994">
        <v>43.017635890258902</v>
      </c>
      <c r="AL2994">
        <v>90.348305472646302</v>
      </c>
      <c r="AM2994">
        <v>95.682844590532596</v>
      </c>
      <c r="AN2994">
        <v>1.00000002332106</v>
      </c>
    </row>
    <row r="2995" spans="1:40" x14ac:dyDescent="0.25">
      <c r="A2995" t="str">
        <f>"20190312160658697"</f>
        <v>20190312160658697</v>
      </c>
      <c r="B2995" t="str">
        <f>"1552378018688135"</f>
        <v>1552378018688135</v>
      </c>
      <c r="C2995" t="s">
        <v>40</v>
      </c>
      <c r="D2995">
        <v>5.871632</v>
      </c>
      <c r="E2995">
        <v>0.33071319999999998</v>
      </c>
      <c r="F2995" t="s">
        <v>61</v>
      </c>
      <c r="G2995">
        <v>-492.8023</v>
      </c>
      <c r="H2995" s="1">
        <v>5.6740869999999999E-6</v>
      </c>
      <c r="I2995">
        <v>228.70310000000001</v>
      </c>
      <c r="J2995">
        <v>-494.16239999999999</v>
      </c>
      <c r="K2995">
        <v>1.1127089999999999</v>
      </c>
      <c r="L2995">
        <v>271.25700000000001</v>
      </c>
      <c r="M2995">
        <v>-0.46836860000000002</v>
      </c>
      <c r="N2995">
        <v>0</v>
      </c>
      <c r="O2995">
        <v>-0.88351100000000005</v>
      </c>
      <c r="P2995">
        <v>-0.37876900000000002</v>
      </c>
      <c r="Q2995">
        <v>-1.138145E-2</v>
      </c>
      <c r="R2995">
        <v>-0.92542159999999996</v>
      </c>
      <c r="S2995">
        <v>0.10253909999999999</v>
      </c>
      <c r="T2995">
        <v>-8.5843089999999997E-2</v>
      </c>
      <c r="U2995">
        <v>-3.2882389999999999</v>
      </c>
      <c r="V2995">
        <v>-9.8744330000000005E-2</v>
      </c>
      <c r="W2995">
        <v>-6.0183669999999898E-3</v>
      </c>
      <c r="X2995">
        <v>0.9950947</v>
      </c>
      <c r="Y2995">
        <v>-0.49567050000000001</v>
      </c>
      <c r="Z2995">
        <v>1.9805900000000001E-2</v>
      </c>
      <c r="AA2995">
        <v>0.86828479999999997</v>
      </c>
      <c r="AB2995">
        <v>16</v>
      </c>
      <c r="AC2995">
        <v>1.3600999999999801</v>
      </c>
      <c r="AD2995">
        <v>-1.1127033259129999</v>
      </c>
      <c r="AE2995">
        <v>-42.553899999999999</v>
      </c>
      <c r="AF2995">
        <v>-21.1185632381146</v>
      </c>
      <c r="AG2995">
        <v>-1.1127033259129999</v>
      </c>
      <c r="AH2995">
        <v>36.935306703260103</v>
      </c>
      <c r="AI2995">
        <v>91.498091995851098</v>
      </c>
      <c r="AJ2995">
        <v>119.759699742336</v>
      </c>
      <c r="AK2995">
        <v>42.561117269141803</v>
      </c>
      <c r="AL2995">
        <v>90.344829088719194</v>
      </c>
      <c r="AM2995">
        <v>95.666970619328197</v>
      </c>
      <c r="AN2995">
        <v>1.0000000627082899</v>
      </c>
    </row>
    <row r="2996" spans="1:40" x14ac:dyDescent="0.25">
      <c r="A2996" t="str">
        <f>"20190312160658708"</f>
        <v>20190312160658708</v>
      </c>
      <c r="B2996" t="str">
        <f>"1552378018697895"</f>
        <v>1552378018697895</v>
      </c>
      <c r="C2996" t="s">
        <v>40</v>
      </c>
      <c r="D2996">
        <v>5.880204</v>
      </c>
      <c r="E2996">
        <v>0.33093450000000002</v>
      </c>
      <c r="F2996" t="s">
        <v>61</v>
      </c>
      <c r="G2996">
        <v>-492.68290000000002</v>
      </c>
      <c r="H2996" s="1">
        <v>5.6326110000000002E-6</v>
      </c>
      <c r="I2996">
        <v>228.37190000000001</v>
      </c>
      <c r="J2996">
        <v>-494.19499999999999</v>
      </c>
      <c r="K2996">
        <v>1.1127320000000001</v>
      </c>
      <c r="L2996">
        <v>271.18509999999998</v>
      </c>
      <c r="M2996">
        <v>-0.46450429999999998</v>
      </c>
      <c r="N2996">
        <v>0</v>
      </c>
      <c r="O2996">
        <v>-0.88554859999999902</v>
      </c>
      <c r="P2996">
        <v>-0.37473479999999998</v>
      </c>
      <c r="Q2996">
        <v>-1.1560809999999999E-2</v>
      </c>
      <c r="R2996">
        <v>-0.9270602</v>
      </c>
      <c r="S2996">
        <v>0.1134033</v>
      </c>
      <c r="T2996">
        <v>-8.5288520000000007E-2</v>
      </c>
      <c r="U2996">
        <v>-3.28714</v>
      </c>
      <c r="V2996">
        <v>-9.8728109999999994E-2</v>
      </c>
      <c r="W2996">
        <v>-6.1878669999999997E-3</v>
      </c>
      <c r="X2996">
        <v>0.99509519999999996</v>
      </c>
      <c r="Y2996">
        <v>-0.49475200000000003</v>
      </c>
      <c r="Z2996">
        <v>1.976866E-2</v>
      </c>
      <c r="AA2996">
        <v>0.86880930000000001</v>
      </c>
      <c r="AB2996">
        <v>16</v>
      </c>
      <c r="AC2996">
        <v>1.51209999999997</v>
      </c>
      <c r="AD2996">
        <v>-1.112726367389</v>
      </c>
      <c r="AE2996">
        <v>-42.813199999999902</v>
      </c>
      <c r="AF2996">
        <v>-21.212061276456801</v>
      </c>
      <c r="AG2996">
        <v>-1.112726367389</v>
      </c>
      <c r="AH2996">
        <v>37.186438130673402</v>
      </c>
      <c r="AI2996">
        <v>91.488873332602694</v>
      </c>
      <c r="AJ2996">
        <v>119.701501340069</v>
      </c>
      <c r="AK2996">
        <v>42.825470043085801</v>
      </c>
      <c r="AL2996">
        <v>90.354540928256299</v>
      </c>
      <c r="AM2996">
        <v>95.666042977139696</v>
      </c>
      <c r="AN2996">
        <v>0.99999999323261002</v>
      </c>
    </row>
    <row r="2997" spans="1:40" x14ac:dyDescent="0.25">
      <c r="A2997" t="str">
        <f>"20190312160658720"</f>
        <v>20190312160658720</v>
      </c>
      <c r="B2997" t="str">
        <f>"1552378018707655"</f>
        <v>1552378018707655</v>
      </c>
      <c r="C2997" t="s">
        <v>40</v>
      </c>
      <c r="D2997">
        <v>6.236472</v>
      </c>
      <c r="E2997">
        <v>0.33093450000000002</v>
      </c>
      <c r="F2997" t="s">
        <v>61</v>
      </c>
      <c r="G2997">
        <v>-492.55470000000003</v>
      </c>
      <c r="H2997" s="1">
        <v>5.6799539999999998E-6</v>
      </c>
      <c r="I2997">
        <v>228.43170000000001</v>
      </c>
      <c r="J2997">
        <v>-494.22579999999999</v>
      </c>
      <c r="K2997">
        <v>1.1127549999999999</v>
      </c>
      <c r="L2997">
        <v>271.1164</v>
      </c>
      <c r="M2997">
        <v>-0.46081909999999998</v>
      </c>
      <c r="N2997">
        <v>0</v>
      </c>
      <c r="O2997">
        <v>-0.88747169999999898</v>
      </c>
      <c r="P2997">
        <v>-0.37096770000000001</v>
      </c>
      <c r="Q2997">
        <v>-1.195477E-2</v>
      </c>
      <c r="R2997">
        <v>-0.92856859999999997</v>
      </c>
      <c r="S2997">
        <v>0.12606809999999999</v>
      </c>
      <c r="T2997">
        <v>-8.5523130000000003E-2</v>
      </c>
      <c r="U2997">
        <v>-3.2859799999999999</v>
      </c>
      <c r="V2997">
        <v>-9.8625820000000003E-2</v>
      </c>
      <c r="W2997">
        <v>-6.5717839999999998E-3</v>
      </c>
      <c r="X2997">
        <v>0.99510290000000001</v>
      </c>
      <c r="Y2997">
        <v>-0.49449419999999999</v>
      </c>
      <c r="Z2997">
        <v>1.990447E-2</v>
      </c>
      <c r="AA2997">
        <v>0.86895299999999998</v>
      </c>
      <c r="AB2997">
        <v>16</v>
      </c>
      <c r="AC2997">
        <v>1.6710999999999601</v>
      </c>
      <c r="AD2997">
        <v>-1.1127493200459999</v>
      </c>
      <c r="AE2997">
        <v>-42.6846999999999</v>
      </c>
      <c r="AF2997">
        <v>-21.139055292743699</v>
      </c>
      <c r="AG2997">
        <v>-1.1127493200459999</v>
      </c>
      <c r="AH2997">
        <v>37.086960334277002</v>
      </c>
      <c r="AI2997">
        <v>91.493177457464398</v>
      </c>
      <c r="AJ2997">
        <v>119.68254304240401</v>
      </c>
      <c r="AK2997">
        <v>42.702933114192199</v>
      </c>
      <c r="AL2997">
        <v>90.376538193249104</v>
      </c>
      <c r="AM2997">
        <v>95.660167141851602</v>
      </c>
      <c r="AN2997">
        <v>1.00000001115201</v>
      </c>
    </row>
    <row r="2998" spans="1:40" x14ac:dyDescent="0.25">
      <c r="A2998" t="str">
        <f>"20190312160658732"</f>
        <v>20190312160658732</v>
      </c>
      <c r="B2998" t="str">
        <f>"1552378018728151"</f>
        <v>1552378018728151</v>
      </c>
      <c r="C2998" t="s">
        <v>40</v>
      </c>
      <c r="D2998">
        <v>5.8811929999999997</v>
      </c>
      <c r="E2998">
        <v>0.3314704</v>
      </c>
      <c r="F2998" t="s">
        <v>61</v>
      </c>
      <c r="G2998">
        <v>-492.43490000000003</v>
      </c>
      <c r="H2998" s="1">
        <v>5.8420140000000001E-6</v>
      </c>
      <c r="I2998">
        <v>229.0206</v>
      </c>
      <c r="J2998">
        <v>-494.26100000000002</v>
      </c>
      <c r="K2998">
        <v>1.112779</v>
      </c>
      <c r="L2998">
        <v>271.0367</v>
      </c>
      <c r="M2998">
        <v>-0.45653650000000001</v>
      </c>
      <c r="N2998">
        <v>0</v>
      </c>
      <c r="O2998">
        <v>-0.88968219999999998</v>
      </c>
      <c r="P2998">
        <v>-0.36648579999999997</v>
      </c>
      <c r="Q2998">
        <v>-1.236041E-2</v>
      </c>
      <c r="R2998">
        <v>-0.93034139999999999</v>
      </c>
      <c r="S2998">
        <v>0.13977049999999999</v>
      </c>
      <c r="T2998">
        <v>-8.6848499999999995E-2</v>
      </c>
      <c r="U2998">
        <v>-3.2855219999999998</v>
      </c>
      <c r="V2998">
        <v>-9.8622249999999995E-2</v>
      </c>
      <c r="W2998">
        <v>-6.9670640000000002E-3</v>
      </c>
      <c r="X2998">
        <v>0.9951006</v>
      </c>
      <c r="Y2998">
        <v>-0.49392730000000001</v>
      </c>
      <c r="Z2998">
        <v>2.0304610000000001E-2</v>
      </c>
      <c r="AA2998">
        <v>0.86926610000000004</v>
      </c>
      <c r="AB2998">
        <v>16</v>
      </c>
      <c r="AC2998">
        <v>1.8260999999999401</v>
      </c>
      <c r="AD2998">
        <v>-1.1127731579860001</v>
      </c>
      <c r="AE2998">
        <v>-42.016100000000002</v>
      </c>
      <c r="AF2998">
        <v>-20.792391295681099</v>
      </c>
      <c r="AG2998">
        <v>-1.1127731579860001</v>
      </c>
      <c r="AH2998">
        <v>36.5224565813743</v>
      </c>
      <c r="AI2998">
        <v>91.516722844413906</v>
      </c>
      <c r="AJ2998">
        <v>119.653045041452</v>
      </c>
      <c r="AK2998">
        <v>42.041070807392899</v>
      </c>
      <c r="AL2998">
        <v>90.399186573838193</v>
      </c>
      <c r="AM2998">
        <v>95.659976585811293</v>
      </c>
      <c r="AN2998">
        <v>1.0000000461481</v>
      </c>
    </row>
    <row r="2999" spans="1:40" x14ac:dyDescent="0.25">
      <c r="A2999" t="str">
        <f>"20190312160658744"</f>
        <v>20190312160658744</v>
      </c>
      <c r="B2999" t="str">
        <f>"1552378018737911"</f>
        <v>1552378018737911</v>
      </c>
      <c r="C2999" t="s">
        <v>40</v>
      </c>
      <c r="D2999">
        <v>5.9169970000000003</v>
      </c>
      <c r="E2999">
        <v>0.33177040000000002</v>
      </c>
      <c r="F2999" t="s">
        <v>61</v>
      </c>
      <c r="G2999">
        <v>-492.3279</v>
      </c>
      <c r="H2999" s="1">
        <v>5.8973640000000003E-6</v>
      </c>
      <c r="I2999">
        <v>229.1422</v>
      </c>
      <c r="J2999">
        <v>-494.29520000000002</v>
      </c>
      <c r="K2999">
        <v>1.1128009999999999</v>
      </c>
      <c r="L2999">
        <v>270.95839999999998</v>
      </c>
      <c r="M2999">
        <v>-0.45233329999999999</v>
      </c>
      <c r="N2999">
        <v>0</v>
      </c>
      <c r="O2999">
        <v>-0.89182659999999903</v>
      </c>
      <c r="P2999">
        <v>-0.36233399999999999</v>
      </c>
      <c r="Q2999">
        <v>-1.260386E-2</v>
      </c>
      <c r="R2999">
        <v>-0.93196310000000004</v>
      </c>
      <c r="S2999">
        <v>0.15148929999999999</v>
      </c>
      <c r="T2999">
        <v>-8.7203619999999996E-2</v>
      </c>
      <c r="U2999">
        <v>-3.283112</v>
      </c>
      <c r="V2999">
        <v>-9.835969E-2</v>
      </c>
      <c r="W2999">
        <v>-7.198164E-3</v>
      </c>
      <c r="X2999">
        <v>0.99512489999999998</v>
      </c>
      <c r="Y2999">
        <v>-0.49294759999999999</v>
      </c>
      <c r="Z2999">
        <v>2.0492839999999998E-2</v>
      </c>
      <c r="AA2999">
        <v>0.86981759999999997</v>
      </c>
      <c r="AB2999">
        <v>16</v>
      </c>
      <c r="AC2999">
        <v>1.96730000000002</v>
      </c>
      <c r="AD2999">
        <v>-1.1127951026359999</v>
      </c>
      <c r="AE2999">
        <v>-41.816199999999903</v>
      </c>
      <c r="AF2999">
        <v>-20.655167396317999</v>
      </c>
      <c r="AG2999">
        <v>-1.1127951026359999</v>
      </c>
      <c r="AH2999">
        <v>36.377945354693502</v>
      </c>
      <c r="AI2999">
        <v>91.523763419918595</v>
      </c>
      <c r="AJ2999">
        <v>119.587636428439</v>
      </c>
      <c r="AK2999">
        <v>41.847690035884099</v>
      </c>
      <c r="AL2999">
        <v>90.412427977244903</v>
      </c>
      <c r="AM2999">
        <v>95.644868642457993</v>
      </c>
      <c r="AN2999">
        <v>1.0000000043909301</v>
      </c>
    </row>
    <row r="3000" spans="1:40" x14ac:dyDescent="0.25">
      <c r="A3000" t="str">
        <f>"20190312160658757"</f>
        <v>20190312160658757</v>
      </c>
      <c r="B3000" t="str">
        <f>"1552378018747671"</f>
        <v>1552378018747671</v>
      </c>
      <c r="C3000" t="s">
        <v>40</v>
      </c>
      <c r="D3000">
        <v>5.8766319999999999</v>
      </c>
      <c r="E3000">
        <v>0.33206249999999998</v>
      </c>
      <c r="F3000" t="s">
        <v>61</v>
      </c>
      <c r="G3000">
        <v>-492.22160000000002</v>
      </c>
      <c r="H3000" s="1">
        <v>5.9740669999999998E-6</v>
      </c>
      <c r="I3000">
        <v>229.36109999999999</v>
      </c>
      <c r="J3000">
        <v>-494.33190000000002</v>
      </c>
      <c r="K3000">
        <v>1.1128279999999999</v>
      </c>
      <c r="L3000">
        <v>270.8734</v>
      </c>
      <c r="M3000">
        <v>-0.44775809999999999</v>
      </c>
      <c r="N3000">
        <v>0</v>
      </c>
      <c r="O3000">
        <v>-0.89413240000000005</v>
      </c>
      <c r="P3000">
        <v>-0.35761079999999901</v>
      </c>
      <c r="Q3000">
        <v>-1.2729839999999999E-2</v>
      </c>
      <c r="R3000">
        <v>-0.93378410000000001</v>
      </c>
      <c r="S3000">
        <v>0.1635742</v>
      </c>
      <c r="T3000">
        <v>-8.7782739999999998E-2</v>
      </c>
      <c r="U3000">
        <v>-3.2814030000000001</v>
      </c>
      <c r="V3000">
        <v>-9.8296960000000003E-2</v>
      </c>
      <c r="W3000">
        <v>-7.313183E-3</v>
      </c>
      <c r="X3000">
        <v>0.99513019999999996</v>
      </c>
      <c r="Y3000">
        <v>-0.49170629999999999</v>
      </c>
      <c r="Z3000">
        <v>2.0738820000000002E-2</v>
      </c>
      <c r="AA3000">
        <v>0.87051420000000002</v>
      </c>
      <c r="AB3000">
        <v>16</v>
      </c>
      <c r="AC3000">
        <v>2.1102999999999899</v>
      </c>
      <c r="AD3000">
        <v>-1.1128220259329999</v>
      </c>
      <c r="AE3000">
        <v>-41.512300000000003</v>
      </c>
      <c r="AF3000">
        <v>-20.460099924804101</v>
      </c>
      <c r="AG3000">
        <v>-1.1128220259329999</v>
      </c>
      <c r="AH3000">
        <v>36.147401608547398</v>
      </c>
      <c r="AI3000">
        <v>91.534682025807996</v>
      </c>
      <c r="AJ3000">
        <v>119.51066611891</v>
      </c>
      <c r="AK3000">
        <v>41.5510373497941</v>
      </c>
      <c r="AL3000">
        <v>90.419018278855901</v>
      </c>
      <c r="AM3000">
        <v>95.641261941394205</v>
      </c>
      <c r="AN3000">
        <v>0.99999994497143496</v>
      </c>
    </row>
    <row r="3001" spans="1:40" x14ac:dyDescent="0.25">
      <c r="A3001" t="str">
        <f>"20190312160658781"</f>
        <v>20190312160658781</v>
      </c>
      <c r="B3001" t="str">
        <f>"1552378018777937"</f>
        <v>1552378018777937</v>
      </c>
      <c r="C3001" t="s">
        <v>40</v>
      </c>
      <c r="D3001">
        <v>5.905951</v>
      </c>
      <c r="E3001">
        <v>0.35250559999999997</v>
      </c>
      <c r="F3001" t="s">
        <v>61</v>
      </c>
      <c r="G3001">
        <v>-492.06709999999998</v>
      </c>
      <c r="H3001" s="1">
        <v>5.9754109999999997E-6</v>
      </c>
      <c r="I3001">
        <v>229.18119999999999</v>
      </c>
      <c r="J3001">
        <v>-494.39789999999999</v>
      </c>
      <c r="K3001">
        <v>1.112878</v>
      </c>
      <c r="L3001">
        <v>270.71699999999998</v>
      </c>
      <c r="M3001">
        <v>-0.43935360000000001</v>
      </c>
      <c r="N3001">
        <v>0</v>
      </c>
      <c r="O3001">
        <v>-0.89829159999999997</v>
      </c>
      <c r="P3001">
        <v>-0.3490799</v>
      </c>
      <c r="Q3001">
        <v>-1.24887E-2</v>
      </c>
      <c r="R3001">
        <v>-0.9370098</v>
      </c>
      <c r="S3001">
        <v>0.1781616</v>
      </c>
      <c r="T3001">
        <v>-8.7541339999999995E-2</v>
      </c>
      <c r="U3001">
        <v>-3.2797550000000002</v>
      </c>
      <c r="V3001">
        <v>-9.8043770000000002E-2</v>
      </c>
      <c r="W3001">
        <v>-7.051267E-3</v>
      </c>
      <c r="X3001">
        <v>0.99515710000000002</v>
      </c>
      <c r="Y3001">
        <v>-0.48741810000000002</v>
      </c>
      <c r="Z3001">
        <v>2.0887820000000001E-2</v>
      </c>
      <c r="AA3001">
        <v>0.87291879999999999</v>
      </c>
      <c r="AB3001">
        <v>16</v>
      </c>
      <c r="AC3001">
        <v>2.3308</v>
      </c>
      <c r="AD3001">
        <v>-1.112872024589</v>
      </c>
      <c r="AE3001">
        <v>-41.535800000000002</v>
      </c>
      <c r="AF3001">
        <v>-20.328507047215901</v>
      </c>
      <c r="AG3001">
        <v>-1.112872024589</v>
      </c>
      <c r="AH3001">
        <v>36.262002144483802</v>
      </c>
      <c r="AI3001">
        <v>91.533449692320204</v>
      </c>
      <c r="AJ3001">
        <v>119.275024503187</v>
      </c>
      <c r="AK3001">
        <v>41.586289596913701</v>
      </c>
      <c r="AL3001">
        <v>90.404011196411801</v>
      </c>
      <c r="AM3001">
        <v>95.626673612901897</v>
      </c>
      <c r="AN3001">
        <v>0.99999997744126301</v>
      </c>
    </row>
    <row r="3002" spans="1:40" x14ac:dyDescent="0.25">
      <c r="A3002" t="str">
        <f>"20190312160658798"</f>
        <v>20190312160658798</v>
      </c>
      <c r="B3002" t="str">
        <f>"1552378018787698"</f>
        <v>1552378018787698</v>
      </c>
      <c r="C3002" t="s">
        <v>40</v>
      </c>
      <c r="D3002">
        <v>5.9104570000000001</v>
      </c>
      <c r="E3002">
        <v>0.35362270000000001</v>
      </c>
      <c r="F3002" t="s">
        <v>44</v>
      </c>
      <c r="G3002">
        <v>-494.38099999999997</v>
      </c>
      <c r="H3002">
        <v>1.076176</v>
      </c>
      <c r="I3002">
        <v>269.73160000000001</v>
      </c>
      <c r="J3002">
        <v>-494.4436</v>
      </c>
      <c r="K3002">
        <v>1.112911</v>
      </c>
      <c r="L3002">
        <v>270.60640000000001</v>
      </c>
      <c r="M3002">
        <v>-0.43340529999999999</v>
      </c>
      <c r="N3002">
        <v>0</v>
      </c>
      <c r="O3002">
        <v>-0.90117639999999999</v>
      </c>
      <c r="P3002">
        <v>-0.34290690000000001</v>
      </c>
      <c r="Q3002">
        <v>-1.202027E-2</v>
      </c>
      <c r="R3002">
        <v>-0.93929260000000003</v>
      </c>
      <c r="S3002">
        <v>5.569458E-2</v>
      </c>
      <c r="T3002">
        <v>-0.11994059999999999</v>
      </c>
      <c r="U3002">
        <v>-3.220825</v>
      </c>
      <c r="V3002">
        <v>-9.8019880000000004E-2</v>
      </c>
      <c r="W3002">
        <v>-6.5703350000000001E-3</v>
      </c>
      <c r="X3002">
        <v>0.99516280000000001</v>
      </c>
      <c r="Y3002">
        <v>-0.44890530000000001</v>
      </c>
      <c r="Z3002">
        <v>2.9709559999999999E-2</v>
      </c>
      <c r="AA3002">
        <v>0.89308529999999997</v>
      </c>
      <c r="AB3002">
        <v>16</v>
      </c>
      <c r="AC3002">
        <v>6.26000000000317E-2</v>
      </c>
      <c r="AD3002">
        <v>-3.67349999999999E-2</v>
      </c>
      <c r="AE3002">
        <v>-0.87479999999999303</v>
      </c>
      <c r="AF3002">
        <v>-0.43480270533201598</v>
      </c>
      <c r="AG3002">
        <v>-3.67349999999999E-2</v>
      </c>
      <c r="AH3002">
        <v>0.75990037032308799</v>
      </c>
      <c r="AI3002">
        <v>92.402654752106699</v>
      </c>
      <c r="AJ3002">
        <v>119.777492023402</v>
      </c>
      <c r="AK3002">
        <v>0.87627131963006</v>
      </c>
      <c r="AL3002">
        <v>90.376455161896402</v>
      </c>
      <c r="AM3002">
        <v>95.625279361212904</v>
      </c>
      <c r="AN3002">
        <v>1.00000003234053</v>
      </c>
    </row>
    <row r="3003" spans="1:40" x14ac:dyDescent="0.25">
      <c r="A3003" t="str">
        <f>"20190312160658809"</f>
        <v>20190312160658809</v>
      </c>
      <c r="B3003" t="str">
        <f>"1552378018798434"</f>
        <v>1552378018798434</v>
      </c>
      <c r="C3003" t="s">
        <v>40</v>
      </c>
      <c r="D3003">
        <v>6.0054959999999999</v>
      </c>
      <c r="E3003">
        <v>0.35365990000000003</v>
      </c>
      <c r="F3003" t="s">
        <v>44</v>
      </c>
      <c r="G3003">
        <v>-494.42309999999998</v>
      </c>
      <c r="H3003">
        <v>1.0762320000000001</v>
      </c>
      <c r="I3003">
        <v>269.63850000000002</v>
      </c>
      <c r="J3003">
        <v>-494.47340000000003</v>
      </c>
      <c r="K3003">
        <v>1.1129370000000001</v>
      </c>
      <c r="L3003">
        <v>270.53309999999999</v>
      </c>
      <c r="M3003">
        <v>-0.42946390000000001</v>
      </c>
      <c r="N3003">
        <v>0</v>
      </c>
      <c r="O3003">
        <v>-0.90306129999999996</v>
      </c>
      <c r="P3003">
        <v>-0.33872259999999998</v>
      </c>
      <c r="Q3003">
        <v>-1.203019E-2</v>
      </c>
      <c r="R3003">
        <v>-0.94080940000000002</v>
      </c>
      <c r="S3003">
        <v>6.8420410000000001E-2</v>
      </c>
      <c r="T3003">
        <v>-0.1219045</v>
      </c>
      <c r="U3003">
        <v>-3.2173159999999998</v>
      </c>
      <c r="V3003">
        <v>-9.8100999999999994E-2</v>
      </c>
      <c r="W3003">
        <v>-6.5733689999999999E-3</v>
      </c>
      <c r="X3003">
        <v>0.99515469999999895</v>
      </c>
      <c r="Y3003">
        <v>-0.44854860000000002</v>
      </c>
      <c r="Z3003">
        <v>3.033607E-2</v>
      </c>
      <c r="AA3003">
        <v>0.89324349999999997</v>
      </c>
      <c r="AB3003">
        <v>16</v>
      </c>
      <c r="AC3003">
        <v>5.0300000000049701E-2</v>
      </c>
      <c r="AD3003">
        <v>-3.6704999999999897E-2</v>
      </c>
      <c r="AE3003">
        <v>-0.89459999999996798</v>
      </c>
      <c r="AF3003">
        <v>-0.42891144300533501</v>
      </c>
      <c r="AG3003">
        <v>-3.6704999999999897E-2</v>
      </c>
      <c r="AH3003">
        <v>0.78497546294376297</v>
      </c>
      <c r="AI3003">
        <v>92.349731167766393</v>
      </c>
      <c r="AJ3003">
        <v>118.65224013392201</v>
      </c>
      <c r="AK3003">
        <v>0.89526463148596203</v>
      </c>
      <c r="AL3003">
        <v>90.376629033499697</v>
      </c>
      <c r="AM3003">
        <v>95.629950404806607</v>
      </c>
      <c r="AN3003">
        <v>0.99999994615654797</v>
      </c>
    </row>
    <row r="3004" spans="1:40" x14ac:dyDescent="0.25">
      <c r="A3004" t="str">
        <f>"20190312160658821"</f>
        <v>20190312160658821</v>
      </c>
      <c r="B3004" t="str">
        <f>"1552378018817954"</f>
        <v>1552378018817954</v>
      </c>
      <c r="C3004" t="s">
        <v>40</v>
      </c>
      <c r="D3004">
        <v>5.5963159999999998</v>
      </c>
      <c r="E3004">
        <v>0.3534503</v>
      </c>
      <c r="F3004" t="s">
        <v>47</v>
      </c>
      <c r="G3004">
        <v>-493.77670000000001</v>
      </c>
      <c r="H3004" s="1">
        <v>-2.6293719999999998E-6</v>
      </c>
      <c r="I3004">
        <v>243.3758</v>
      </c>
      <c r="J3004">
        <v>-494.50490000000002</v>
      </c>
      <c r="K3004">
        <v>1.1129610000000001</v>
      </c>
      <c r="L3004">
        <v>270.45440000000002</v>
      </c>
      <c r="M3004">
        <v>-0.42522500000000002</v>
      </c>
      <c r="N3004">
        <v>0</v>
      </c>
      <c r="O3004">
        <v>-0.90506500000000001</v>
      </c>
      <c r="P3004">
        <v>-0.33436369999999999</v>
      </c>
      <c r="Q3004">
        <v>-1.194042E-2</v>
      </c>
      <c r="R3004">
        <v>-0.94236839999999999</v>
      </c>
      <c r="S3004">
        <v>8.2519529999999994E-2</v>
      </c>
      <c r="T3004">
        <v>-0.131827</v>
      </c>
      <c r="U3004">
        <v>-3.2167659999999998</v>
      </c>
      <c r="V3004">
        <v>-9.804272E-2</v>
      </c>
      <c r="W3004">
        <v>-6.4751359999999899E-3</v>
      </c>
      <c r="X3004">
        <v>0.99516110000000002</v>
      </c>
      <c r="Y3004">
        <v>-0.44826919999999998</v>
      </c>
      <c r="Z3004">
        <v>3.2929699999999999E-2</v>
      </c>
      <c r="AA3004">
        <v>0.89329190000000003</v>
      </c>
      <c r="AB3004">
        <v>16</v>
      </c>
      <c r="AC3004">
        <v>0.72820000000001495</v>
      </c>
      <c r="AD3004">
        <v>-1.112963629372</v>
      </c>
      <c r="AE3004">
        <v>-27.078600000000002</v>
      </c>
      <c r="AF3004">
        <v>-12.1532999957507</v>
      </c>
      <c r="AG3004">
        <v>-1.112963629372</v>
      </c>
      <c r="AH3004">
        <v>24.157960081376601</v>
      </c>
      <c r="AI3004">
        <v>92.356719552588203</v>
      </c>
      <c r="AJ3004">
        <v>116.705890141796</v>
      </c>
      <c r="AK3004">
        <v>27.065631788680001</v>
      </c>
      <c r="AL3004">
        <v>90.371000572461895</v>
      </c>
      <c r="AM3004">
        <v>95.626591269929605</v>
      </c>
      <c r="AN3004">
        <v>0.99999995864221203</v>
      </c>
    </row>
    <row r="3005" spans="1:40" x14ac:dyDescent="0.25">
      <c r="A3005" t="str">
        <f>"20190312160658831"</f>
        <v>20190312160658831</v>
      </c>
      <c r="B3005" t="str">
        <f>"1552378018827716"</f>
        <v>1552378018827716</v>
      </c>
      <c r="C3005" t="s">
        <v>40</v>
      </c>
      <c r="D3005">
        <v>5.9589720000000002</v>
      </c>
      <c r="E3005">
        <v>0.35364010000000001</v>
      </c>
      <c r="F3005" t="s">
        <v>47</v>
      </c>
      <c r="G3005">
        <v>-493.53989999999999</v>
      </c>
      <c r="H3005" s="1">
        <v>-4.7353229999999998E-6</v>
      </c>
      <c r="I3005">
        <v>239.0566</v>
      </c>
      <c r="J3005">
        <v>-494.53440000000001</v>
      </c>
      <c r="K3005">
        <v>1.112984</v>
      </c>
      <c r="L3005">
        <v>270.38029999999998</v>
      </c>
      <c r="M3005">
        <v>-0.42123359999999899</v>
      </c>
      <c r="N3005">
        <v>0</v>
      </c>
      <c r="O3005">
        <v>-0.9069294</v>
      </c>
      <c r="P3005">
        <v>-0.33029350000000002</v>
      </c>
      <c r="Q3005">
        <v>-1.222082E-2</v>
      </c>
      <c r="R3005">
        <v>-0.94379919999999995</v>
      </c>
      <c r="S3005">
        <v>9.8876950000000005E-2</v>
      </c>
      <c r="T3005">
        <v>-0.11403729999999999</v>
      </c>
      <c r="U3005">
        <v>-3.2171020000000001</v>
      </c>
      <c r="V3005">
        <v>-9.7949049999999996E-2</v>
      </c>
      <c r="W3005">
        <v>-6.7475809999999999E-3</v>
      </c>
      <c r="X3005">
        <v>0.99516859999999996</v>
      </c>
      <c r="Y3005">
        <v>-0.44887670000000002</v>
      </c>
      <c r="Z3005">
        <v>2.857867E-2</v>
      </c>
      <c r="AA3005">
        <v>0.89313659999999995</v>
      </c>
      <c r="AB3005">
        <v>16</v>
      </c>
      <c r="AC3005">
        <v>0.99450000000001604</v>
      </c>
      <c r="AD3005">
        <v>-1.1129887353229999</v>
      </c>
      <c r="AE3005">
        <v>-31.323699999999899</v>
      </c>
      <c r="AF3005">
        <v>-14.0790703391514</v>
      </c>
      <c r="AG3005">
        <v>-1.1129887353229999</v>
      </c>
      <c r="AH3005">
        <v>27.954788170675901</v>
      </c>
      <c r="AI3005">
        <v>92.036507577705905</v>
      </c>
      <c r="AJ3005">
        <v>116.731524000981</v>
      </c>
      <c r="AK3005">
        <v>31.319788428517398</v>
      </c>
      <c r="AL3005">
        <v>90.386610829841899</v>
      </c>
      <c r="AM3005">
        <v>95.621207977982706</v>
      </c>
      <c r="AN3005">
        <v>1.0000000443356001</v>
      </c>
    </row>
    <row r="3006" spans="1:40" x14ac:dyDescent="0.25">
      <c r="A3006" t="str">
        <f>"20190312160658844"</f>
        <v>20190312160658844</v>
      </c>
      <c r="B3006" t="str">
        <f>"1552378018838450"</f>
        <v>1552378018838450</v>
      </c>
      <c r="C3006" t="s">
        <v>40</v>
      </c>
      <c r="D3006">
        <v>5.6269410000000004</v>
      </c>
      <c r="E3006">
        <v>0.35376489999999999</v>
      </c>
      <c r="F3006" t="s">
        <v>47</v>
      </c>
      <c r="G3006">
        <v>-493.41820000000001</v>
      </c>
      <c r="H3006" s="1">
        <v>-4.3963910000000003E-6</v>
      </c>
      <c r="I3006">
        <v>238.1241</v>
      </c>
      <c r="J3006">
        <v>-494.5643</v>
      </c>
      <c r="K3006">
        <v>1.1130070000000001</v>
      </c>
      <c r="L3006">
        <v>270.30369999999999</v>
      </c>
      <c r="M3006">
        <v>-0.41711320000000002</v>
      </c>
      <c r="N3006">
        <v>0</v>
      </c>
      <c r="O3006">
        <v>-0.90883170000000002</v>
      </c>
      <c r="P3006">
        <v>-0.32619150000000002</v>
      </c>
      <c r="Q3006">
        <v>-1.247821E-2</v>
      </c>
      <c r="R3006">
        <v>-0.9452216</v>
      </c>
      <c r="S3006">
        <v>0.1112976</v>
      </c>
      <c r="T3006">
        <v>-0.11097319999999999</v>
      </c>
      <c r="U3006">
        <v>-3.2161870000000001</v>
      </c>
      <c r="V3006">
        <v>-9.775006E-2</v>
      </c>
      <c r="W3006">
        <v>-6.9960350000000003E-3</v>
      </c>
      <c r="X3006">
        <v>0.99518640000000003</v>
      </c>
      <c r="Y3006">
        <v>-0.44827620000000001</v>
      </c>
      <c r="Z3006">
        <v>2.792037E-2</v>
      </c>
      <c r="AA3006">
        <v>0.893459</v>
      </c>
      <c r="AB3006">
        <v>16</v>
      </c>
      <c r="AC3006">
        <v>1.1460999999999899</v>
      </c>
      <c r="AD3006">
        <v>-1.113011396391</v>
      </c>
      <c r="AE3006">
        <v>-32.179599999999901</v>
      </c>
      <c r="AF3006">
        <v>-14.447187034965699</v>
      </c>
      <c r="AG3006">
        <v>-1.113011396391</v>
      </c>
      <c r="AH3006">
        <v>28.734053535854699</v>
      </c>
      <c r="AI3006">
        <v>91.9820363733443</v>
      </c>
      <c r="AJ3006">
        <v>116.692780262651</v>
      </c>
      <c r="AK3006">
        <v>32.180830321686003</v>
      </c>
      <c r="AL3006">
        <v>90.400846550852194</v>
      </c>
      <c r="AM3006">
        <v>95.609761339864804</v>
      </c>
      <c r="AN3006">
        <v>0.99999999474034196</v>
      </c>
    </row>
    <row r="3007" spans="1:40" x14ac:dyDescent="0.25">
      <c r="A3007" t="str">
        <f>"20190312160658855"</f>
        <v>20190312160658855</v>
      </c>
      <c r="B3007" t="str">
        <f>"1552378018848210"</f>
        <v>1552378018848210</v>
      </c>
      <c r="C3007" t="s">
        <v>40</v>
      </c>
      <c r="D3007">
        <v>5.5850400000000002</v>
      </c>
      <c r="E3007">
        <v>0.35419309999999998</v>
      </c>
      <c r="F3007" t="s">
        <v>47</v>
      </c>
      <c r="G3007">
        <v>-493.2672</v>
      </c>
      <c r="H3007" s="1">
        <v>-3.8999630000000004E-6</v>
      </c>
      <c r="I3007">
        <v>236.7439</v>
      </c>
      <c r="J3007">
        <v>-494.59390000000002</v>
      </c>
      <c r="K3007">
        <v>1.1130310000000001</v>
      </c>
      <c r="L3007">
        <v>270.22710000000001</v>
      </c>
      <c r="M3007">
        <v>-0.41298430000000003</v>
      </c>
      <c r="N3007">
        <v>0</v>
      </c>
      <c r="O3007">
        <v>-0.91071539999999995</v>
      </c>
      <c r="P3007">
        <v>-0.32184380000000001</v>
      </c>
      <c r="Q3007">
        <v>-1.2644900000000001E-2</v>
      </c>
      <c r="R3007">
        <v>-0.94670849999999995</v>
      </c>
      <c r="S3007">
        <v>0.12426760000000001</v>
      </c>
      <c r="T3007">
        <v>-0.1066376</v>
      </c>
      <c r="U3007">
        <v>-3.215363</v>
      </c>
      <c r="V3007">
        <v>-9.7805459999999997E-2</v>
      </c>
      <c r="W3007">
        <v>-7.1566299999999998E-3</v>
      </c>
      <c r="X3007">
        <v>0.99517979999999995</v>
      </c>
      <c r="Y3007">
        <v>-0.44782889999999997</v>
      </c>
      <c r="Z3007">
        <v>2.6931960000000001E-2</v>
      </c>
      <c r="AA3007">
        <v>0.8937136</v>
      </c>
      <c r="AB3007">
        <v>16</v>
      </c>
      <c r="AC3007">
        <v>1.32670000000001</v>
      </c>
      <c r="AD3007">
        <v>-1.113034899963</v>
      </c>
      <c r="AE3007">
        <v>-33.483199999999997</v>
      </c>
      <c r="AF3007">
        <v>-15.020022346437599</v>
      </c>
      <c r="AG3007">
        <v>-1.113034899963</v>
      </c>
      <c r="AH3007">
        <v>29.9133773551956</v>
      </c>
      <c r="AI3007">
        <v>91.904507555041704</v>
      </c>
      <c r="AJ3007">
        <v>116.66201589897901</v>
      </c>
      <c r="AK3007">
        <v>33.491044515965001</v>
      </c>
      <c r="AL3007">
        <v>90.410048203116602</v>
      </c>
      <c r="AM3007">
        <v>95.612957371325194</v>
      </c>
      <c r="AN3007">
        <v>0.99999997984340305</v>
      </c>
    </row>
    <row r="3008" spans="1:40" x14ac:dyDescent="0.25">
      <c r="A3008" t="str">
        <f>"20190312160658866"</f>
        <v>20190312160658866</v>
      </c>
      <c r="B3008" t="str">
        <f>"1552378018857970"</f>
        <v>1552378018857970</v>
      </c>
      <c r="C3008" t="s">
        <v>40</v>
      </c>
      <c r="D3008">
        <v>5.9607609999999998</v>
      </c>
      <c r="E3008">
        <v>0.35456110000000002</v>
      </c>
      <c r="F3008" t="s">
        <v>47</v>
      </c>
      <c r="G3008">
        <v>-493.16269999999997</v>
      </c>
      <c r="H3008" s="1">
        <v>-3.7295239999999999E-6</v>
      </c>
      <c r="I3008">
        <v>236.3211</v>
      </c>
      <c r="J3008">
        <v>-494.62509999999997</v>
      </c>
      <c r="K3008">
        <v>1.1130549999999999</v>
      </c>
      <c r="L3008">
        <v>270.14490000000001</v>
      </c>
      <c r="M3008">
        <v>-0.40856160000000002</v>
      </c>
      <c r="N3008">
        <v>0</v>
      </c>
      <c r="O3008">
        <v>-0.91270790000000002</v>
      </c>
      <c r="P3008">
        <v>-0.31740679999999999</v>
      </c>
      <c r="Q3008">
        <v>-1.2372269999999999E-2</v>
      </c>
      <c r="R3008">
        <v>-0.94820899999999997</v>
      </c>
      <c r="S3008">
        <v>0.13565060000000001</v>
      </c>
      <c r="T3008">
        <v>-0.10549310000000001</v>
      </c>
      <c r="U3008">
        <v>-3.2135929999999999</v>
      </c>
      <c r="V3008">
        <v>-9.7642430000000002E-2</v>
      </c>
      <c r="W3008">
        <v>-6.8752409999999998E-3</v>
      </c>
      <c r="X3008">
        <v>0.99519780000000002</v>
      </c>
      <c r="Y3008">
        <v>-0.4466715</v>
      </c>
      <c r="Z3008">
        <v>2.676276E-2</v>
      </c>
      <c r="AA3008">
        <v>0.89429769999999897</v>
      </c>
      <c r="AB3008">
        <v>17</v>
      </c>
      <c r="AC3008">
        <v>1.4623999999999999</v>
      </c>
      <c r="AD3008">
        <v>-1.113058729524</v>
      </c>
      <c r="AE3008">
        <v>-33.823799999999999</v>
      </c>
      <c r="AF3008">
        <v>-15.1378036547846</v>
      </c>
      <c r="AG3008">
        <v>-1.113058729524</v>
      </c>
      <c r="AH3008">
        <v>30.241712464546101</v>
      </c>
      <c r="AI3008">
        <v>91.885060107870302</v>
      </c>
      <c r="AJ3008">
        <v>116.590732212329</v>
      </c>
      <c r="AK3008">
        <v>33.837156677452398</v>
      </c>
      <c r="AL3008">
        <v>90.393925400964505</v>
      </c>
      <c r="AM3008">
        <v>95.603560133322802</v>
      </c>
      <c r="AN3008">
        <v>0.99999998709997595</v>
      </c>
    </row>
    <row r="3009" spans="1:40" x14ac:dyDescent="0.25">
      <c r="A3009" t="str">
        <f>"20190312160658877"</f>
        <v>20190312160658877</v>
      </c>
      <c r="B3009" t="str">
        <f>"1552378018867729"</f>
        <v>1552378018867729</v>
      </c>
      <c r="C3009" t="s">
        <v>40</v>
      </c>
      <c r="D3009">
        <v>5.6408610000000001</v>
      </c>
      <c r="E3009">
        <v>0.35510249999999999</v>
      </c>
      <c r="F3009" t="s">
        <v>47</v>
      </c>
      <c r="G3009">
        <v>-493.01479999999998</v>
      </c>
      <c r="H3009" s="1">
        <v>-3.217981E-6</v>
      </c>
      <c r="I3009">
        <v>235.22040000000001</v>
      </c>
      <c r="J3009">
        <v>-494.65300000000002</v>
      </c>
      <c r="K3009">
        <v>1.1130799999999901</v>
      </c>
      <c r="L3009">
        <v>270.07100000000003</v>
      </c>
      <c r="M3009">
        <v>-0.4045762</v>
      </c>
      <c r="N3009">
        <v>0</v>
      </c>
      <c r="O3009">
        <v>-0.9144814</v>
      </c>
      <c r="P3009">
        <v>-0.31318559999999901</v>
      </c>
      <c r="Q3009">
        <v>-1.212717E-2</v>
      </c>
      <c r="R3009">
        <v>-0.94961450000000003</v>
      </c>
      <c r="S3009">
        <v>0.14810179999999901</v>
      </c>
      <c r="T3009">
        <v>-0.102371</v>
      </c>
      <c r="U3009">
        <v>-3.212097</v>
      </c>
      <c r="V3009">
        <v>-9.7730849999999994E-2</v>
      </c>
      <c r="W3009">
        <v>-6.6249150000000003E-3</v>
      </c>
      <c r="X3009">
        <v>0.99519089999999999</v>
      </c>
      <c r="Y3009">
        <v>-0.44624770000000002</v>
      </c>
      <c r="Z3009">
        <v>2.6068640000000001E-2</v>
      </c>
      <c r="AA3009">
        <v>0.89452980000000004</v>
      </c>
      <c r="AB3009">
        <v>17</v>
      </c>
      <c r="AC3009">
        <v>1.6382000000000401</v>
      </c>
      <c r="AD3009">
        <v>-1.11308321798099</v>
      </c>
      <c r="AE3009">
        <v>-34.850599999999901</v>
      </c>
      <c r="AF3009">
        <v>-15.5822931161055</v>
      </c>
      <c r="AG3009">
        <v>-1.11308321798099</v>
      </c>
      <c r="AH3009">
        <v>31.176369743100299</v>
      </c>
      <c r="AI3009">
        <v>91.829173756798696</v>
      </c>
      <c r="AJ3009">
        <v>116.556388250867</v>
      </c>
      <c r="AK3009">
        <v>34.871375702212802</v>
      </c>
      <c r="AL3009">
        <v>90.379582419972493</v>
      </c>
      <c r="AM3009">
        <v>95.608640731096898</v>
      </c>
      <c r="AN3009">
        <v>1.0000000679916401</v>
      </c>
    </row>
    <row r="3010" spans="1:40" x14ac:dyDescent="0.25">
      <c r="A3010" t="str">
        <f>"20190312160658888"</f>
        <v>20190312160658888</v>
      </c>
      <c r="B3010" t="str">
        <f>"1552378018878466"</f>
        <v>1552378018878466</v>
      </c>
      <c r="C3010" t="s">
        <v>40</v>
      </c>
      <c r="D3010">
        <v>5.6394859999999998</v>
      </c>
      <c r="E3010">
        <v>0.355689799999999</v>
      </c>
      <c r="F3010" t="s">
        <v>47</v>
      </c>
      <c r="G3010">
        <v>-492.9169</v>
      </c>
      <c r="H3010" s="1">
        <v>-3.0335159999999999E-6</v>
      </c>
      <c r="I3010">
        <v>234.85120000000001</v>
      </c>
      <c r="J3010">
        <v>-494.68110000000001</v>
      </c>
      <c r="K3010">
        <v>1.1131059999999999</v>
      </c>
      <c r="L3010">
        <v>269.9948</v>
      </c>
      <c r="M3010">
        <v>-0.40047480000000002</v>
      </c>
      <c r="N3010">
        <v>0</v>
      </c>
      <c r="O3010">
        <v>-0.91628489999999996</v>
      </c>
      <c r="P3010">
        <v>-0.30885230000000002</v>
      </c>
      <c r="Q3010">
        <v>-1.1907650000000001E-2</v>
      </c>
      <c r="R3010">
        <v>-0.95103559999999998</v>
      </c>
      <c r="S3010">
        <v>0.1582336</v>
      </c>
      <c r="T3010">
        <v>-0.1014521</v>
      </c>
      <c r="U3010">
        <v>-3.2101139999999999</v>
      </c>
      <c r="V3010">
        <v>-9.7812609999999994E-2</v>
      </c>
      <c r="W3010">
        <v>-6.4000979999999999E-3</v>
      </c>
      <c r="X3010">
        <v>0.99518419999999996</v>
      </c>
      <c r="Y3010">
        <v>-0.44508059999999999</v>
      </c>
      <c r="Z3010">
        <v>2.5942960000000001E-2</v>
      </c>
      <c r="AA3010">
        <v>0.89511469999999904</v>
      </c>
      <c r="AB3010">
        <v>17</v>
      </c>
      <c r="AC3010">
        <v>1.76420000000001</v>
      </c>
      <c r="AD3010">
        <v>-1.1131090335160001</v>
      </c>
      <c r="AE3010">
        <v>-35.1435999999999</v>
      </c>
      <c r="AF3010">
        <v>-15.675279116215201</v>
      </c>
      <c r="AG3010">
        <v>-1.1131090335160001</v>
      </c>
      <c r="AH3010">
        <v>31.464207257583901</v>
      </c>
      <c r="AI3010">
        <v>91.813664052370299</v>
      </c>
      <c r="AJ3010">
        <v>116.482210223316</v>
      </c>
      <c r="AK3010">
        <v>35.170296066992996</v>
      </c>
      <c r="AL3010">
        <v>90.366701133017301</v>
      </c>
      <c r="AM3010">
        <v>95.613340422275101</v>
      </c>
      <c r="AN3010">
        <v>0.99999992992952802</v>
      </c>
    </row>
    <row r="3011" spans="1:40" x14ac:dyDescent="0.25">
      <c r="A3011" t="str">
        <f>"20190312160658898"</f>
        <v>20190312160658898</v>
      </c>
      <c r="B3011" t="str">
        <f>"1552378018888227"</f>
        <v>1552378018888227</v>
      </c>
      <c r="C3011" t="s">
        <v>40</v>
      </c>
      <c r="D3011">
        <v>5.9736099999999999</v>
      </c>
      <c r="E3011">
        <v>0.35618280000000002</v>
      </c>
      <c r="F3011" t="s">
        <v>47</v>
      </c>
      <c r="G3011">
        <v>-492.8304</v>
      </c>
      <c r="H3011" s="1">
        <v>-2.9546189999999999E-6</v>
      </c>
      <c r="I3011">
        <v>234.7209</v>
      </c>
      <c r="J3011">
        <v>-494.70620000000002</v>
      </c>
      <c r="K3011">
        <v>1.113129</v>
      </c>
      <c r="L3011">
        <v>269.92610000000002</v>
      </c>
      <c r="M3011">
        <v>-0.39677059999999997</v>
      </c>
      <c r="N3011">
        <v>0</v>
      </c>
      <c r="O3011">
        <v>-0.91789489999999996</v>
      </c>
      <c r="P3011">
        <v>-0.30530350000000001</v>
      </c>
      <c r="Q3011">
        <v>-1.145418E-2</v>
      </c>
      <c r="R3011">
        <v>-0.95218639999999999</v>
      </c>
      <c r="S3011">
        <v>0.16830439999999999</v>
      </c>
      <c r="T3011">
        <v>-0.1012276</v>
      </c>
      <c r="U3011">
        <v>-3.2078549999999999</v>
      </c>
      <c r="V3011">
        <v>-9.7510609999999998E-2</v>
      </c>
      <c r="W3011">
        <v>-5.938006E-3</v>
      </c>
      <c r="X3011">
        <v>0.99521680000000001</v>
      </c>
      <c r="Y3011">
        <v>-0.44429760000000001</v>
      </c>
      <c r="Z3011">
        <v>2.5983510000000001E-2</v>
      </c>
      <c r="AA3011">
        <v>0.89550239999999903</v>
      </c>
      <c r="AB3011">
        <v>17</v>
      </c>
      <c r="AC3011">
        <v>1.8758000000000199</v>
      </c>
      <c r="AD3011">
        <v>-1.1131319546189999</v>
      </c>
      <c r="AE3011">
        <v>-35.205199999999998</v>
      </c>
      <c r="AF3011">
        <v>-15.6748792514587</v>
      </c>
      <c r="AG3011">
        <v>-1.1131319546189999</v>
      </c>
      <c r="AH3011">
        <v>31.539633294544199</v>
      </c>
      <c r="AI3011">
        <v>91.810235413225101</v>
      </c>
      <c r="AJ3011">
        <v>116.426912378151</v>
      </c>
      <c r="AK3011">
        <v>35.237613010113598</v>
      </c>
      <c r="AL3011">
        <v>90.340224672062305</v>
      </c>
      <c r="AM3011">
        <v>95.595937063440502</v>
      </c>
      <c r="AN3011">
        <v>1.0000000289900299</v>
      </c>
    </row>
    <row r="3012" spans="1:40" x14ac:dyDescent="0.25">
      <c r="A3012" t="str">
        <f>"20190312160658910"</f>
        <v>20190312160658910</v>
      </c>
      <c r="B3012" t="str">
        <f>"1552378018897987"</f>
        <v>1552378018897987</v>
      </c>
      <c r="C3012" t="s">
        <v>40</v>
      </c>
      <c r="D3012">
        <v>6.1155619999999997</v>
      </c>
      <c r="E3012">
        <v>0.35681560000000001</v>
      </c>
      <c r="F3012" t="s">
        <v>47</v>
      </c>
      <c r="G3012">
        <v>-492.72109999999998</v>
      </c>
      <c r="H3012" s="1">
        <v>-2.5634689999999999E-6</v>
      </c>
      <c r="I3012">
        <v>233.87690000000001</v>
      </c>
      <c r="J3012">
        <v>-494.7353</v>
      </c>
      <c r="K3012">
        <v>1.1131580000000001</v>
      </c>
      <c r="L3012">
        <v>269.84530000000001</v>
      </c>
      <c r="M3012">
        <v>-0.3924221</v>
      </c>
      <c r="N3012">
        <v>0</v>
      </c>
      <c r="O3012">
        <v>-0.91976230000000003</v>
      </c>
      <c r="P3012">
        <v>-0.30091079999999998</v>
      </c>
      <c r="Q3012">
        <v>-1.1159759999999999E-2</v>
      </c>
      <c r="R3012">
        <v>-0.95358719999999997</v>
      </c>
      <c r="S3012">
        <v>0.17654420000000001</v>
      </c>
      <c r="T3012">
        <v>-9.899616E-2</v>
      </c>
      <c r="U3012">
        <v>-3.2060240000000002</v>
      </c>
      <c r="V3012">
        <v>-9.7392599999999996E-2</v>
      </c>
      <c r="W3012">
        <v>-5.6361299999999996E-3</v>
      </c>
      <c r="X3012">
        <v>0.99523010000000001</v>
      </c>
      <c r="Y3012">
        <v>-0.44237979999999999</v>
      </c>
      <c r="Z3012">
        <v>2.55248E-2</v>
      </c>
      <c r="AA3012">
        <v>0.8964645</v>
      </c>
      <c r="AB3012">
        <v>17</v>
      </c>
      <c r="AC3012">
        <v>2.01420000000001</v>
      </c>
      <c r="AD3012">
        <v>-1.1131605634690001</v>
      </c>
      <c r="AE3012">
        <v>-35.968400000000003</v>
      </c>
      <c r="AF3012">
        <v>-15.952485788520701</v>
      </c>
      <c r="AG3012">
        <v>-1.1131605634690001</v>
      </c>
      <c r="AH3012">
        <v>32.261839521907199</v>
      </c>
      <c r="AI3012">
        <v>91.771558411862998</v>
      </c>
      <c r="AJ3012">
        <v>116.310977277031</v>
      </c>
      <c r="AK3012">
        <v>36.0075994563691</v>
      </c>
      <c r="AL3012">
        <v>90.322928165605603</v>
      </c>
      <c r="AM3012">
        <v>95.589133395894095</v>
      </c>
      <c r="AN3012">
        <v>1.00000001822107</v>
      </c>
    </row>
    <row r="3013" spans="1:40" x14ac:dyDescent="0.25">
      <c r="A3013" t="str">
        <f>"20190312160658923"</f>
        <v>20190312160658923</v>
      </c>
      <c r="B3013" t="str">
        <f>"1552378018917506"</f>
        <v>1552378018917506</v>
      </c>
      <c r="C3013" t="s">
        <v>40</v>
      </c>
      <c r="D3013">
        <v>5.975962</v>
      </c>
      <c r="E3013">
        <v>0.35784650000000001</v>
      </c>
      <c r="F3013" t="s">
        <v>47</v>
      </c>
      <c r="G3013">
        <v>-492.60610000000003</v>
      </c>
      <c r="H3013" s="1">
        <v>-2.2745430000000001E-6</v>
      </c>
      <c r="I3013">
        <v>233.2747</v>
      </c>
      <c r="J3013">
        <v>-494.76499999999999</v>
      </c>
      <c r="K3013">
        <v>1.113186</v>
      </c>
      <c r="L3013">
        <v>269.76170000000002</v>
      </c>
      <c r="M3013">
        <v>-0.3879127</v>
      </c>
      <c r="N3013">
        <v>0</v>
      </c>
      <c r="O3013">
        <v>-0.92167299999999996</v>
      </c>
      <c r="P3013">
        <v>-0.29656529999999998</v>
      </c>
      <c r="Q3013">
        <v>-1.11897E-2</v>
      </c>
      <c r="R3013">
        <v>-0.9549472</v>
      </c>
      <c r="S3013">
        <v>0.18652340000000001</v>
      </c>
      <c r="T3013">
        <v>-9.7516539999999999E-2</v>
      </c>
      <c r="U3013">
        <v>-3.2037049999999998</v>
      </c>
      <c r="V3013">
        <v>-9.7050440000000002E-2</v>
      </c>
      <c r="W3013">
        <v>-5.6560880000000001E-3</v>
      </c>
      <c r="X3013">
        <v>0.99526340000000002</v>
      </c>
      <c r="Y3013">
        <v>-0.440807</v>
      </c>
      <c r="Z3013">
        <v>2.5258200000000001E-2</v>
      </c>
      <c r="AA3013">
        <v>0.89724649999999995</v>
      </c>
      <c r="AB3013">
        <v>17</v>
      </c>
      <c r="AC3013">
        <v>2.1588999999999601</v>
      </c>
      <c r="AD3013">
        <v>-1.113188274543</v>
      </c>
      <c r="AE3013">
        <v>-36.487000000000002</v>
      </c>
      <c r="AF3013">
        <v>-16.1289539297555</v>
      </c>
      <c r="AG3013">
        <v>-1.113188274543</v>
      </c>
      <c r="AH3013">
        <v>32.761928073388901</v>
      </c>
      <c r="AI3013">
        <v>91.746072912484607</v>
      </c>
      <c r="AJ3013">
        <v>116.211384668257</v>
      </c>
      <c r="AK3013">
        <v>36.533905814854599</v>
      </c>
      <c r="AL3013">
        <v>90.324071696516199</v>
      </c>
      <c r="AM3013">
        <v>95.569436134675101</v>
      </c>
      <c r="AN3013">
        <v>1.0000000073076001</v>
      </c>
    </row>
    <row r="3014" spans="1:40" x14ac:dyDescent="0.25">
      <c r="A3014" t="str">
        <f>"20190312160658936"</f>
        <v>20190312160658936</v>
      </c>
      <c r="B3014" t="str">
        <f>"1552378018928242"</f>
        <v>1552378018928242</v>
      </c>
      <c r="C3014" t="s">
        <v>40</v>
      </c>
      <c r="D3014">
        <v>6.0409620000000004</v>
      </c>
      <c r="E3014">
        <v>0.35784650000000001</v>
      </c>
      <c r="F3014" t="s">
        <v>47</v>
      </c>
      <c r="G3014">
        <v>-492.53300000000002</v>
      </c>
      <c r="H3014" s="1">
        <v>-2.081012E-6</v>
      </c>
      <c r="I3014">
        <v>232.869</v>
      </c>
      <c r="J3014">
        <v>-494.79660000000001</v>
      </c>
      <c r="K3014">
        <v>1.113213</v>
      </c>
      <c r="L3014">
        <v>269.67169999999999</v>
      </c>
      <c r="M3014">
        <v>-0.38305980000000001</v>
      </c>
      <c r="N3014">
        <v>0</v>
      </c>
      <c r="O3014">
        <v>-0.92370030000000003</v>
      </c>
      <c r="P3014">
        <v>-0.29191650000000002</v>
      </c>
      <c r="Q3014">
        <v>-1.0828539999999999E-2</v>
      </c>
      <c r="R3014">
        <v>-0.95638270000000003</v>
      </c>
      <c r="S3014">
        <v>0.193634</v>
      </c>
      <c r="T3014">
        <v>-9.6572759999999994E-2</v>
      </c>
      <c r="U3014">
        <v>-3.2005620000000001</v>
      </c>
      <c r="V3014">
        <v>-9.6661940000000002E-2</v>
      </c>
      <c r="W3014">
        <v>-5.28409E-3</v>
      </c>
      <c r="X3014">
        <v>0.9953033</v>
      </c>
      <c r="Y3014">
        <v>-0.43812230000000002</v>
      </c>
      <c r="Z3014">
        <v>2.5148259999999999E-2</v>
      </c>
      <c r="AA3014">
        <v>0.89856360000000002</v>
      </c>
      <c r="AB3014">
        <v>17</v>
      </c>
      <c r="AC3014">
        <v>2.2635999999999901</v>
      </c>
      <c r="AD3014">
        <v>-1.1132150810120001</v>
      </c>
      <c r="AE3014">
        <v>-36.802699999999902</v>
      </c>
      <c r="AF3014">
        <v>-16.174127728364699</v>
      </c>
      <c r="AG3014">
        <v>-1.1132150810120001</v>
      </c>
      <c r="AH3014">
        <v>33.098113140638098</v>
      </c>
      <c r="AI3014">
        <v>91.730874764261998</v>
      </c>
      <c r="AJ3014">
        <v>116.04347403626799</v>
      </c>
      <c r="AK3014">
        <v>36.855484653719202</v>
      </c>
      <c r="AL3014">
        <v>90.302757447651004</v>
      </c>
      <c r="AM3014">
        <v>95.547059621608796</v>
      </c>
      <c r="AN3014">
        <v>1.00000005562128</v>
      </c>
    </row>
    <row r="3015" spans="1:40" x14ac:dyDescent="0.25">
      <c r="A3015" t="str">
        <f>"20190312160658948"</f>
        <v>20190312160658948</v>
      </c>
      <c r="B3015" t="str">
        <f>"1552378018938002"</f>
        <v>1552378018938002</v>
      </c>
      <c r="C3015" t="s">
        <v>40</v>
      </c>
      <c r="D3015">
        <v>6.0290019999999904</v>
      </c>
      <c r="E3015">
        <v>0.36924560000000001</v>
      </c>
      <c r="F3015" t="s">
        <v>47</v>
      </c>
      <c r="G3015">
        <v>-492.35739999999998</v>
      </c>
      <c r="H3015" s="1">
        <v>-1.7834999999999999E-6</v>
      </c>
      <c r="I3015">
        <v>232.28440000000001</v>
      </c>
      <c r="J3015">
        <v>-494.8297</v>
      </c>
      <c r="K3015">
        <v>1.113243</v>
      </c>
      <c r="L3015">
        <v>269.57490000000001</v>
      </c>
      <c r="M3015">
        <v>-0.37784329999999999</v>
      </c>
      <c r="N3015">
        <v>0</v>
      </c>
      <c r="O3015">
        <v>-0.92584639999999996</v>
      </c>
      <c r="P3015">
        <v>-0.28677000000000002</v>
      </c>
      <c r="Q3015">
        <v>-1.032082E-2</v>
      </c>
      <c r="R3015">
        <v>-0.95794389999999996</v>
      </c>
      <c r="S3015">
        <v>0.20874019999999999</v>
      </c>
      <c r="T3015">
        <v>-9.5264790000000002E-2</v>
      </c>
      <c r="U3015">
        <v>-3.1994630000000002</v>
      </c>
      <c r="V3015">
        <v>-9.6406389999999995E-2</v>
      </c>
      <c r="W3015">
        <v>-4.7665829999999996E-3</v>
      </c>
      <c r="X3015">
        <v>0.99533059999999995</v>
      </c>
      <c r="Y3015">
        <v>-0.43729689999999999</v>
      </c>
      <c r="Z3015">
        <v>2.4913979999999999E-2</v>
      </c>
      <c r="AA3015">
        <v>0.89897199999999899</v>
      </c>
      <c r="AB3015">
        <v>17</v>
      </c>
      <c r="AC3015">
        <v>2.4723000000000099</v>
      </c>
      <c r="AD3015">
        <v>-1.1132447834999999</v>
      </c>
      <c r="AE3015">
        <v>-37.290500000000002</v>
      </c>
      <c r="AF3015">
        <v>-16.3647660627887</v>
      </c>
      <c r="AG3015">
        <v>-1.1132447834999999</v>
      </c>
      <c r="AH3015">
        <v>33.5620731847565</v>
      </c>
      <c r="AI3015">
        <v>91.707730270825095</v>
      </c>
      <c r="AJ3015">
        <v>115.99372372099</v>
      </c>
      <c r="AK3015">
        <v>37.355824695711703</v>
      </c>
      <c r="AL3015">
        <v>90.273106134300903</v>
      </c>
      <c r="AM3015">
        <v>95.532334884959695</v>
      </c>
      <c r="AN3015">
        <v>0.99999995782134299</v>
      </c>
    </row>
    <row r="3016" spans="1:40" x14ac:dyDescent="0.25">
      <c r="A3016" t="str">
        <f>"20190312160658962"</f>
        <v>20190312160658962</v>
      </c>
      <c r="B3016" t="str">
        <f>"1552378018958498"</f>
        <v>1552378018958498</v>
      </c>
      <c r="C3016" t="s">
        <v>40</v>
      </c>
      <c r="D3016">
        <v>5.6459130000000002</v>
      </c>
      <c r="E3016">
        <v>0.36937500000000001</v>
      </c>
      <c r="F3016" t="s">
        <v>47</v>
      </c>
      <c r="G3016">
        <v>-493.31509999999997</v>
      </c>
      <c r="H3016" s="1">
        <v>-3.261983E-6</v>
      </c>
      <c r="I3016">
        <v>235.13679999999999</v>
      </c>
      <c r="J3016">
        <v>-494.86040000000003</v>
      </c>
      <c r="K3016">
        <v>1.113272</v>
      </c>
      <c r="L3016">
        <v>269.4837</v>
      </c>
      <c r="M3016">
        <v>-0.3729307</v>
      </c>
      <c r="N3016">
        <v>0</v>
      </c>
      <c r="O3016">
        <v>-0.92783590000000005</v>
      </c>
      <c r="P3016">
        <v>-0.28189609999999998</v>
      </c>
      <c r="Q3016">
        <v>-1.03266E-2</v>
      </c>
      <c r="R3016">
        <v>-0.9593893</v>
      </c>
      <c r="S3016">
        <v>0.13952639999999999</v>
      </c>
      <c r="T3016">
        <v>-0.1025509</v>
      </c>
      <c r="U3016">
        <v>-3.1723940000000002</v>
      </c>
      <c r="V3016">
        <v>-9.6190910000000004E-2</v>
      </c>
      <c r="W3016">
        <v>-4.7634940000000001E-3</v>
      </c>
      <c r="X3016">
        <v>0.99535149999999994</v>
      </c>
      <c r="Y3016">
        <v>-0.41332089999999999</v>
      </c>
      <c r="Z3016">
        <v>2.7345689999999999E-2</v>
      </c>
      <c r="AA3016">
        <v>0.9101747</v>
      </c>
      <c r="AB3016">
        <v>17</v>
      </c>
      <c r="AC3016">
        <v>1.5453000000000501</v>
      </c>
      <c r="AD3016">
        <v>-1.113275261983</v>
      </c>
      <c r="AE3016">
        <v>-34.346899999999998</v>
      </c>
      <c r="AF3016">
        <v>-14.2281884995552</v>
      </c>
      <c r="AG3016">
        <v>-1.113275261983</v>
      </c>
      <c r="AH3016">
        <v>31.2598988000133</v>
      </c>
      <c r="AI3016">
        <v>91.856528479250599</v>
      </c>
      <c r="AJ3016">
        <v>114.473027841248</v>
      </c>
      <c r="AK3016">
        <v>34.3636727195288</v>
      </c>
      <c r="AL3016">
        <v>90.2729291353929</v>
      </c>
      <c r="AM3016">
        <v>95.519930712025001</v>
      </c>
      <c r="AN3016">
        <v>0.99999999529698302</v>
      </c>
    </row>
    <row r="3017" spans="1:40" x14ac:dyDescent="0.25">
      <c r="A3017" t="str">
        <f>"20190312160658982"</f>
        <v>20190312160658982</v>
      </c>
      <c r="B3017" t="str">
        <f>"1552378018968258"</f>
        <v>1552378018968258</v>
      </c>
      <c r="C3017" t="s">
        <v>40</v>
      </c>
      <c r="D3017">
        <v>5.6876829999999998</v>
      </c>
      <c r="E3017">
        <v>0.3692085</v>
      </c>
      <c r="F3017" t="s">
        <v>47</v>
      </c>
      <c r="G3017">
        <v>-493.0985</v>
      </c>
      <c r="H3017" s="1">
        <v>-2.4344529999999999E-6</v>
      </c>
      <c r="I3017">
        <v>233.34209999999999</v>
      </c>
      <c r="J3017">
        <v>-494.90120000000002</v>
      </c>
      <c r="K3017">
        <v>1.1133029999999999</v>
      </c>
      <c r="L3017">
        <v>269.3603</v>
      </c>
      <c r="M3017">
        <v>-0.36628290000000002</v>
      </c>
      <c r="N3017">
        <v>0</v>
      </c>
      <c r="O3017">
        <v>-0.93048039999999999</v>
      </c>
      <c r="P3017">
        <v>-0.27514559999999999</v>
      </c>
      <c r="Q3017">
        <v>-9.7429769999999999E-3</v>
      </c>
      <c r="R3017">
        <v>-0.96135349999999997</v>
      </c>
      <c r="S3017">
        <v>0.15460209999999999</v>
      </c>
      <c r="T3017">
        <v>-9.7686770000000006E-2</v>
      </c>
      <c r="U3017">
        <v>-3.1713260000000001</v>
      </c>
      <c r="V3017">
        <v>-9.6073930000000002E-2</v>
      </c>
      <c r="W3017">
        <v>-4.1705559999999997E-3</v>
      </c>
      <c r="X3017">
        <v>0.99536539999999996</v>
      </c>
      <c r="Y3017">
        <v>-0.41113860000000002</v>
      </c>
      <c r="Z3017">
        <v>2.619254E-2</v>
      </c>
      <c r="AA3017">
        <v>0.91119649999999996</v>
      </c>
      <c r="AB3017">
        <v>17</v>
      </c>
      <c r="AC3017">
        <v>1.80270000000001</v>
      </c>
      <c r="AD3017">
        <v>-1.113305434453</v>
      </c>
      <c r="AE3017">
        <v>-36.0182</v>
      </c>
      <c r="AF3017">
        <v>-14.8563896406983</v>
      </c>
      <c r="AG3017">
        <v>-1.113305434453</v>
      </c>
      <c r="AH3017">
        <v>32.823357331673201</v>
      </c>
      <c r="AI3017">
        <v>91.7698938108135</v>
      </c>
      <c r="AJ3017">
        <v>114.35228708586899</v>
      </c>
      <c r="AK3017">
        <v>36.046144712983299</v>
      </c>
      <c r="AL3017">
        <v>90.238955964905401</v>
      </c>
      <c r="AM3017">
        <v>95.513182664871806</v>
      </c>
      <c r="AN3017">
        <v>0.99999993654007402</v>
      </c>
    </row>
    <row r="3018" spans="1:40" x14ac:dyDescent="0.25">
      <c r="A3018" t="str">
        <f>"20190312160658998"</f>
        <v>20190312160658998</v>
      </c>
      <c r="B3018" t="str">
        <f>"1552378018987778"</f>
        <v>1552378018987778</v>
      </c>
      <c r="C3018" t="s">
        <v>40</v>
      </c>
      <c r="D3018">
        <v>6.0235399999999997</v>
      </c>
      <c r="E3018">
        <v>0.33355750000000001</v>
      </c>
      <c r="F3018" t="s">
        <v>47</v>
      </c>
      <c r="G3018">
        <v>-492.89800000000002</v>
      </c>
      <c r="H3018" s="1">
        <v>-2.5132770000000001E-6</v>
      </c>
      <c r="I3018">
        <v>233.65020000000001</v>
      </c>
      <c r="J3018">
        <v>-494.94499999999999</v>
      </c>
      <c r="K3018">
        <v>1.1133379999999999</v>
      </c>
      <c r="L3018">
        <v>269.22449999999998</v>
      </c>
      <c r="M3018">
        <v>-0.35897230000000002</v>
      </c>
      <c r="N3018">
        <v>0</v>
      </c>
      <c r="O3018">
        <v>-0.93332490000000001</v>
      </c>
      <c r="P3018">
        <v>-0.26767059999999998</v>
      </c>
      <c r="Q3018">
        <v>-9.8695190000000002E-3</v>
      </c>
      <c r="R3018">
        <v>-0.96345999999999998</v>
      </c>
      <c r="S3018">
        <v>0.1778564</v>
      </c>
      <c r="T3018">
        <v>-9.8844290000000001E-2</v>
      </c>
      <c r="U3018">
        <v>-3.1705019999999999</v>
      </c>
      <c r="V3018">
        <v>-9.5994609999999994E-2</v>
      </c>
      <c r="W3018">
        <v>-4.2903250000000002E-3</v>
      </c>
      <c r="X3018">
        <v>0.99537260000000005</v>
      </c>
      <c r="Y3018">
        <v>-0.41066340000000001</v>
      </c>
      <c r="Z3018">
        <v>2.663977E-2</v>
      </c>
      <c r="AA3018">
        <v>0.91139780000000004</v>
      </c>
      <c r="AB3018">
        <v>17</v>
      </c>
      <c r="AC3018">
        <v>2.0469999999999602</v>
      </c>
      <c r="AD3018">
        <v>-1.113340513277</v>
      </c>
      <c r="AE3018">
        <v>-35.574299999999901</v>
      </c>
      <c r="AF3018">
        <v>-14.6667058844449</v>
      </c>
      <c r="AG3018">
        <v>-1.113340513277</v>
      </c>
      <c r="AH3018">
        <v>32.436604927556203</v>
      </c>
      <c r="AI3018">
        <v>91.791342834120897</v>
      </c>
      <c r="AJ3018">
        <v>114.33083026982401</v>
      </c>
      <c r="AK3018">
        <v>35.615798851432203</v>
      </c>
      <c r="AL3018">
        <v>90.245818271228103</v>
      </c>
      <c r="AM3018">
        <v>95.5086193111581</v>
      </c>
      <c r="AN3018">
        <v>0.99999999243420801</v>
      </c>
    </row>
    <row r="3019" spans="1:40" x14ac:dyDescent="0.25">
      <c r="A3019" t="str">
        <f>"20190312160659010"</f>
        <v>20190312160659010</v>
      </c>
      <c r="B3019" t="str">
        <f>"1552378018997538"</f>
        <v>1552378018997538</v>
      </c>
      <c r="C3019" t="s">
        <v>40</v>
      </c>
      <c r="D3019">
        <v>5.9921569999999997</v>
      </c>
      <c r="E3019">
        <v>0.33287440000000001</v>
      </c>
      <c r="F3019" t="s">
        <v>82</v>
      </c>
      <c r="G3019">
        <v>-474.47649999999999</v>
      </c>
      <c r="H3019">
        <v>6.1174659999999999E-2</v>
      </c>
      <c r="I3019">
        <v>129.60509999999999</v>
      </c>
      <c r="J3019">
        <v>-494.97320000000002</v>
      </c>
      <c r="K3019">
        <v>1.113364</v>
      </c>
      <c r="L3019">
        <v>269.13510000000002</v>
      </c>
      <c r="M3019">
        <v>-0.35416449999999999</v>
      </c>
      <c r="N3019">
        <v>0</v>
      </c>
      <c r="O3019">
        <v>-0.93515990000000004</v>
      </c>
      <c r="P3019">
        <v>-0.26316060000000002</v>
      </c>
      <c r="Q3019">
        <v>-9.8343949999999992E-3</v>
      </c>
      <c r="R3019">
        <v>-0.96470219999999995</v>
      </c>
      <c r="S3019">
        <v>0.47583009999999898</v>
      </c>
      <c r="T3019">
        <v>-2.4459600000000001E-2</v>
      </c>
      <c r="U3019">
        <v>-3.2457280000000002</v>
      </c>
      <c r="V3019">
        <v>-9.5529020000000006E-2</v>
      </c>
      <c r="W3019">
        <v>-4.2480950000000003E-3</v>
      </c>
      <c r="X3019">
        <v>0.99541760000000001</v>
      </c>
      <c r="Y3019">
        <v>-0.48607230000000001</v>
      </c>
      <c r="Z3019">
        <v>6.2877660000000002E-3</v>
      </c>
      <c r="AA3019">
        <v>0.87389599999999901</v>
      </c>
      <c r="AB3019">
        <v>17</v>
      </c>
      <c r="AC3019">
        <v>20.496700000000001</v>
      </c>
      <c r="AD3019">
        <v>-1.05218934</v>
      </c>
      <c r="AE3019">
        <v>-139.53</v>
      </c>
      <c r="AF3019">
        <v>-68.581937679523804</v>
      </c>
      <c r="AG3019">
        <v>-1.05218934</v>
      </c>
      <c r="AH3019">
        <v>123.219476606028</v>
      </c>
      <c r="AI3019">
        <v>90.427493049368707</v>
      </c>
      <c r="AJ3019">
        <v>119.099594156611</v>
      </c>
      <c r="AK3019">
        <v>141.02350404577501</v>
      </c>
      <c r="AL3019">
        <v>90.243398641880205</v>
      </c>
      <c r="AM3019">
        <v>95.481818418253894</v>
      </c>
      <c r="AN3019">
        <v>1.0000000191815199</v>
      </c>
    </row>
    <row r="3020" spans="1:40" x14ac:dyDescent="0.25">
      <c r="A3020" t="str">
        <f>"20190312160659023"</f>
        <v>20190312160659023</v>
      </c>
      <c r="B3020" t="str">
        <f>"1552378019018034"</f>
        <v>1552378019018034</v>
      </c>
      <c r="C3020" t="s">
        <v>40</v>
      </c>
      <c r="D3020">
        <v>6.0356079999999999</v>
      </c>
      <c r="E3020">
        <v>0.33384370000000002</v>
      </c>
      <c r="F3020" t="s">
        <v>47</v>
      </c>
      <c r="G3020">
        <v>-483.82639999999998</v>
      </c>
      <c r="H3020" s="1">
        <v>-3.9553290000000002E-6</v>
      </c>
      <c r="I3020">
        <v>196.3</v>
      </c>
      <c r="J3020">
        <v>-495.0016</v>
      </c>
      <c r="K3020">
        <v>1.113383</v>
      </c>
      <c r="L3020">
        <v>269.04340000000002</v>
      </c>
      <c r="M3020">
        <v>-0.34924290000000002</v>
      </c>
      <c r="N3020">
        <v>0</v>
      </c>
      <c r="O3020">
        <v>-0.93700890000000003</v>
      </c>
      <c r="P3020">
        <v>-0.2584959</v>
      </c>
      <c r="Q3020">
        <v>-9.3950820000000008E-3</v>
      </c>
      <c r="R3020">
        <v>-0.96596669999999996</v>
      </c>
      <c r="S3020">
        <v>0.49658200000000002</v>
      </c>
      <c r="T3020">
        <v>-4.9599289999999997E-2</v>
      </c>
      <c r="U3020">
        <v>-3.24472</v>
      </c>
      <c r="V3020">
        <v>-9.5111470000000004E-2</v>
      </c>
      <c r="W3020">
        <v>-3.8032130000000002E-3</v>
      </c>
      <c r="X3020">
        <v>0.99545939999999999</v>
      </c>
      <c r="Y3020">
        <v>-0.48697059999999998</v>
      </c>
      <c r="Z3020">
        <v>1.278554E-2</v>
      </c>
      <c r="AA3020">
        <v>0.87332480000000001</v>
      </c>
      <c r="AB3020">
        <v>17</v>
      </c>
      <c r="AC3020">
        <v>11.1752</v>
      </c>
      <c r="AD3020">
        <v>-1.1133869553289999</v>
      </c>
      <c r="AE3020">
        <v>-72.743399999999994</v>
      </c>
      <c r="AF3020">
        <v>-35.868953024622598</v>
      </c>
      <c r="AG3020">
        <v>-1.1133869553289999</v>
      </c>
      <c r="AH3020">
        <v>64.245055353293694</v>
      </c>
      <c r="AI3020">
        <v>90.866914234867707</v>
      </c>
      <c r="AJ3020">
        <v>119.175261238869</v>
      </c>
      <c r="AK3020">
        <v>73.588372443903495</v>
      </c>
      <c r="AL3020">
        <v>90.217908570836101</v>
      </c>
      <c r="AM3020">
        <v>95.457775015458097</v>
      </c>
      <c r="AN3020">
        <v>1.00000003660152</v>
      </c>
    </row>
    <row r="3021" spans="1:40" x14ac:dyDescent="0.25">
      <c r="A3021" t="str">
        <f>"20190312160659034"</f>
        <v>20190312160659034</v>
      </c>
      <c r="B3021" t="str">
        <f>"1552378019027794"</f>
        <v>1552378019027794</v>
      </c>
      <c r="C3021" t="s">
        <v>40</v>
      </c>
      <c r="D3021">
        <v>6.0692599999999999</v>
      </c>
      <c r="E3021">
        <v>0.33433659999999998</v>
      </c>
      <c r="F3021" t="s">
        <v>61</v>
      </c>
      <c r="G3021">
        <v>-487.2568</v>
      </c>
      <c r="H3021" s="1">
        <v>3.0424310000000001E-6</v>
      </c>
      <c r="I3021">
        <v>219.30879999999999</v>
      </c>
      <c r="J3021">
        <v>-495.02710000000002</v>
      </c>
      <c r="K3021">
        <v>1.1134010000000001</v>
      </c>
      <c r="L3021">
        <v>268.9599</v>
      </c>
      <c r="M3021">
        <v>-0.34476329999999999</v>
      </c>
      <c r="N3021">
        <v>0</v>
      </c>
      <c r="O3021">
        <v>-0.93866629999999995</v>
      </c>
      <c r="P3021">
        <v>-0.25412630000000003</v>
      </c>
      <c r="Q3021">
        <v>-9.2276059999999993E-3</v>
      </c>
      <c r="R3021">
        <v>-0.96712710000000002</v>
      </c>
      <c r="S3021">
        <v>0.50454709999999903</v>
      </c>
      <c r="T3021">
        <v>-7.2533249999999994E-2</v>
      </c>
      <c r="U3021">
        <v>-3.2400509999999998</v>
      </c>
      <c r="V3021">
        <v>-9.4859009999999994E-2</v>
      </c>
      <c r="W3021">
        <v>-3.6326169999999999E-3</v>
      </c>
      <c r="X3021">
        <v>0.99548409999999998</v>
      </c>
      <c r="Y3021">
        <v>-0.48506450000000001</v>
      </c>
      <c r="Z3021">
        <v>1.8785650000000001E-2</v>
      </c>
      <c r="AA3021">
        <v>0.87427659999999996</v>
      </c>
      <c r="AB3021">
        <v>17</v>
      </c>
      <c r="AC3021">
        <v>7.7703000000000104</v>
      </c>
      <c r="AD3021">
        <v>-1.1133979575690001</v>
      </c>
      <c r="AE3021">
        <v>-49.6511</v>
      </c>
      <c r="AF3021">
        <v>-24.400154580336</v>
      </c>
      <c r="AG3021">
        <v>-1.1133979575690001</v>
      </c>
      <c r="AH3021">
        <v>43.906312347231001</v>
      </c>
      <c r="AI3021">
        <v>91.269790206938296</v>
      </c>
      <c r="AJ3021">
        <v>119.062340493132</v>
      </c>
      <c r="AK3021">
        <v>50.243123534358602</v>
      </c>
      <c r="AL3021">
        <v>90.208134078252797</v>
      </c>
      <c r="AM3021">
        <v>95.443240999474497</v>
      </c>
      <c r="AN3021">
        <v>1.00000001051862</v>
      </c>
    </row>
    <row r="3022" spans="1:40" x14ac:dyDescent="0.25">
      <c r="A3022" t="str">
        <f>"20190312160659045"</f>
        <v>20190312160659045</v>
      </c>
      <c r="B3022" t="str">
        <f>"1552378019037554"</f>
        <v>1552378019037554</v>
      </c>
      <c r="C3022" t="s">
        <v>40</v>
      </c>
      <c r="D3022">
        <v>6.1064629999999998</v>
      </c>
      <c r="E3022">
        <v>0.33519939999999998</v>
      </c>
      <c r="F3022" t="s">
        <v>61</v>
      </c>
      <c r="G3022">
        <v>-487.82870000000003</v>
      </c>
      <c r="H3022" s="1">
        <v>4.3468259999999999E-6</v>
      </c>
      <c r="I3022">
        <v>223.76089999999999</v>
      </c>
      <c r="J3022">
        <v>-495.05239999999998</v>
      </c>
      <c r="K3022">
        <v>1.1134120000000001</v>
      </c>
      <c r="L3022">
        <v>268.87490000000003</v>
      </c>
      <c r="M3022">
        <v>-0.34022140000000001</v>
      </c>
      <c r="N3022">
        <v>0</v>
      </c>
      <c r="O3022">
        <v>-0.94032199999999999</v>
      </c>
      <c r="P3022">
        <v>-0.2496891</v>
      </c>
      <c r="Q3022">
        <v>-8.9471810000000002E-3</v>
      </c>
      <c r="R3022">
        <v>-0.96828479999999995</v>
      </c>
      <c r="S3022">
        <v>0.51547240000000005</v>
      </c>
      <c r="T3022">
        <v>-7.9729320000000006E-2</v>
      </c>
      <c r="U3022">
        <v>-3.2366640000000002</v>
      </c>
      <c r="V3022">
        <v>-9.4615119999999997E-2</v>
      </c>
      <c r="W3022">
        <v>-3.3492840000000001E-3</v>
      </c>
      <c r="X3022">
        <v>0.99550830000000001</v>
      </c>
      <c r="Y3022">
        <v>-0.48384779999999999</v>
      </c>
      <c r="Z3022">
        <v>2.0733709999999999E-2</v>
      </c>
      <c r="AA3022">
        <v>0.87490650000000003</v>
      </c>
      <c r="AB3022">
        <v>17</v>
      </c>
      <c r="AC3022">
        <v>7.2236999999999503</v>
      </c>
      <c r="AD3022">
        <v>-1.113407653174</v>
      </c>
      <c r="AE3022">
        <v>-45.113999999999997</v>
      </c>
      <c r="AF3022">
        <v>-22.1286971132734</v>
      </c>
      <c r="AG3022">
        <v>-1.113407653174</v>
      </c>
      <c r="AH3022">
        <v>39.941187456396797</v>
      </c>
      <c r="AI3022">
        <v>91.396818816845098</v>
      </c>
      <c r="AJ3022">
        <v>118.98785695303</v>
      </c>
      <c r="AK3022">
        <v>45.675128548917897</v>
      </c>
      <c r="AL3022">
        <v>90.191900195027898</v>
      </c>
      <c r="AM3022">
        <v>95.429198537583602</v>
      </c>
      <c r="AN3022">
        <v>1.0000000070024</v>
      </c>
    </row>
    <row r="3023" spans="1:40" x14ac:dyDescent="0.25">
      <c r="A3023" t="str">
        <f>"20190312160659066"</f>
        <v>20190312160659066</v>
      </c>
      <c r="B3023" t="str">
        <f>"1552378019058053"</f>
        <v>1552378019058053</v>
      </c>
      <c r="C3023" t="s">
        <v>40</v>
      </c>
      <c r="D3023">
        <v>6.042109</v>
      </c>
      <c r="E3023">
        <v>0.33316380000000001</v>
      </c>
      <c r="F3023" t="s">
        <v>61</v>
      </c>
      <c r="G3023">
        <v>-488.24090000000001</v>
      </c>
      <c r="H3023" s="1">
        <v>5.3099870000000003E-6</v>
      </c>
      <c r="I3023">
        <v>226.82069999999999</v>
      </c>
      <c r="J3023">
        <v>-495.09699999999998</v>
      </c>
      <c r="K3023">
        <v>1.1134269999999999</v>
      </c>
      <c r="L3023">
        <v>268.72230000000002</v>
      </c>
      <c r="M3023">
        <v>-0.33209480000000002</v>
      </c>
      <c r="N3023">
        <v>0</v>
      </c>
      <c r="O3023">
        <v>-0.94322289999999998</v>
      </c>
      <c r="P3023">
        <v>-0.2418247</v>
      </c>
      <c r="Q3023">
        <v>-8.4292399999999993E-3</v>
      </c>
      <c r="R3023">
        <v>-0.97028380000000003</v>
      </c>
      <c r="S3023">
        <v>0.52355959999999901</v>
      </c>
      <c r="T3023">
        <v>-8.5581660000000004E-2</v>
      </c>
      <c r="U3023">
        <v>-3.2324830000000002</v>
      </c>
      <c r="V3023">
        <v>-9.410876E-2</v>
      </c>
      <c r="W3023">
        <v>-2.82534E-3</v>
      </c>
      <c r="X3023">
        <v>0.9955579</v>
      </c>
      <c r="Y3023">
        <v>-0.47859040000000003</v>
      </c>
      <c r="Z3023">
        <v>2.2432250000000001E-2</v>
      </c>
      <c r="AA3023">
        <v>0.87775170000000002</v>
      </c>
      <c r="AB3023">
        <v>17</v>
      </c>
      <c r="AC3023">
        <v>6.8560999999999597</v>
      </c>
      <c r="AD3023">
        <v>-1.1134216900129901</v>
      </c>
      <c r="AE3023">
        <v>-41.901600000000002</v>
      </c>
      <c r="AF3023">
        <v>-20.368571413928102</v>
      </c>
      <c r="AG3023">
        <v>-1.1134216900129901</v>
      </c>
      <c r="AH3023">
        <v>37.220889669845</v>
      </c>
      <c r="AI3023">
        <v>91.503188440741198</v>
      </c>
      <c r="AJ3023">
        <v>118.689019397327</v>
      </c>
      <c r="AK3023">
        <v>42.444234439071401</v>
      </c>
      <c r="AL3023">
        <v>90.1618802752037</v>
      </c>
      <c r="AM3023">
        <v>95.400047395948306</v>
      </c>
      <c r="AN3023">
        <v>0.999999986753631</v>
      </c>
    </row>
    <row r="3024" spans="1:40" x14ac:dyDescent="0.25">
      <c r="A3024" t="str">
        <f>"20190312160659078"</f>
        <v>20190312160659078</v>
      </c>
      <c r="B3024" t="str">
        <f>"1552378019067810"</f>
        <v>1552378019067810</v>
      </c>
      <c r="C3024" t="s">
        <v>40</v>
      </c>
      <c r="D3024">
        <v>5.9804500000000003</v>
      </c>
      <c r="E3024">
        <v>0.33202280000000001</v>
      </c>
      <c r="F3024" t="s">
        <v>61</v>
      </c>
      <c r="G3024">
        <v>-485.91070000000002</v>
      </c>
      <c r="H3024" s="1">
        <v>2.6685860000000002E-6</v>
      </c>
      <c r="I3024">
        <v>216.21870000000001</v>
      </c>
      <c r="J3024">
        <v>-495.1207</v>
      </c>
      <c r="K3024">
        <v>1.113432</v>
      </c>
      <c r="L3024">
        <v>268.63920000000002</v>
      </c>
      <c r="M3024">
        <v>-0.3276869</v>
      </c>
      <c r="N3024">
        <v>0</v>
      </c>
      <c r="O3024">
        <v>-0.94476320000000003</v>
      </c>
      <c r="P3024">
        <v>-0.2376219</v>
      </c>
      <c r="Q3024">
        <v>-8.1605600000000007E-3</v>
      </c>
      <c r="R3024">
        <v>-0.97132379999999996</v>
      </c>
      <c r="S3024">
        <v>0.56552119999999995</v>
      </c>
      <c r="T3024">
        <v>-6.8544270000000004E-2</v>
      </c>
      <c r="U3024">
        <v>-3.232208</v>
      </c>
      <c r="V3024">
        <v>-9.3773659999999995E-2</v>
      </c>
      <c r="W3024">
        <v>-2.5525700000000001E-3</v>
      </c>
      <c r="X3024">
        <v>0.99559030000000004</v>
      </c>
      <c r="Y3024">
        <v>-0.48558669999999998</v>
      </c>
      <c r="Z3024">
        <v>1.7958470000000001E-2</v>
      </c>
      <c r="AA3024">
        <v>0.87400409999999995</v>
      </c>
      <c r="AB3024">
        <v>17</v>
      </c>
      <c r="AC3024">
        <v>9.2099999999999795</v>
      </c>
      <c r="AD3024">
        <v>-1.113429331414</v>
      </c>
      <c r="AE3024">
        <v>-52.420499999999997</v>
      </c>
      <c r="AF3024">
        <v>-25.868025914651099</v>
      </c>
      <c r="AG3024">
        <v>-1.113429331414</v>
      </c>
      <c r="AH3024">
        <v>46.487636340183798</v>
      </c>
      <c r="AI3024">
        <v>91.1989721655914</v>
      </c>
      <c r="AJ3024">
        <v>119.093732164819</v>
      </c>
      <c r="AK3024">
        <v>53.211792133833399</v>
      </c>
      <c r="AL3024">
        <v>90.146251642316699</v>
      </c>
      <c r="AM3024">
        <v>95.380758025940693</v>
      </c>
      <c r="AN3024">
        <v>1.00000003018874</v>
      </c>
    </row>
    <row r="3025" spans="1:40" x14ac:dyDescent="0.25">
      <c r="A3025" t="str">
        <f>"20190312160659090"</f>
        <v>20190312160659090</v>
      </c>
      <c r="B3025" t="str">
        <f>"1552378019078546"</f>
        <v>1552378019078546</v>
      </c>
      <c r="C3025" t="s">
        <v>40</v>
      </c>
      <c r="D3025">
        <v>6.0317689999999997</v>
      </c>
      <c r="E3025">
        <v>0.33117269999999999</v>
      </c>
      <c r="F3025" t="s">
        <v>61</v>
      </c>
      <c r="G3025">
        <v>-484.03579999999999</v>
      </c>
      <c r="H3025" s="1">
        <v>1.4743629999999901E-6</v>
      </c>
      <c r="I3025">
        <v>207.76650000000001</v>
      </c>
      <c r="J3025">
        <v>-495.14600000000002</v>
      </c>
      <c r="K3025">
        <v>1.113432</v>
      </c>
      <c r="L3025">
        <v>268.54919999999998</v>
      </c>
      <c r="M3025">
        <v>-0.32293169999999999</v>
      </c>
      <c r="N3025">
        <v>0</v>
      </c>
      <c r="O3025">
        <v>-0.94639899999999999</v>
      </c>
      <c r="P3025">
        <v>-0.23321839999999999</v>
      </c>
      <c r="Q3025">
        <v>-8.2704830000000003E-3</v>
      </c>
      <c r="R3025">
        <v>-0.97238950000000002</v>
      </c>
      <c r="S3025">
        <v>0.58856200000000003</v>
      </c>
      <c r="T3025">
        <v>-5.9118509999999999E-2</v>
      </c>
      <c r="U3025">
        <v>-3.2320859999999998</v>
      </c>
      <c r="V3025">
        <v>-9.3277040000000006E-2</v>
      </c>
      <c r="W3025">
        <v>-2.656313E-3</v>
      </c>
      <c r="X3025">
        <v>0.99563659999999998</v>
      </c>
      <c r="Y3025">
        <v>-0.48724250000000002</v>
      </c>
      <c r="Z3025">
        <v>1.551699E-2</v>
      </c>
      <c r="AA3025">
        <v>0.87312880000000004</v>
      </c>
      <c r="AB3025">
        <v>18</v>
      </c>
      <c r="AC3025">
        <v>11.110199999999899</v>
      </c>
      <c r="AD3025">
        <v>-1.1134305256370001</v>
      </c>
      <c r="AE3025">
        <v>-60.782699999999899</v>
      </c>
      <c r="AF3025">
        <v>-30.1342219078042</v>
      </c>
      <c r="AG3025">
        <v>-1.1134305256370001</v>
      </c>
      <c r="AH3025">
        <v>53.920530277410599</v>
      </c>
      <c r="AI3025">
        <v>91.032674103437003</v>
      </c>
      <c r="AJ3025">
        <v>119.199235739835</v>
      </c>
      <c r="AK3025">
        <v>61.7797267954574</v>
      </c>
      <c r="AL3025">
        <v>90.1521957104477</v>
      </c>
      <c r="AM3025">
        <v>95.352180312625805</v>
      </c>
      <c r="AN3025">
        <v>0.99999995072473602</v>
      </c>
    </row>
    <row r="3026" spans="1:40" x14ac:dyDescent="0.25">
      <c r="A3026" t="str">
        <f>"20190312160659100"</f>
        <v>20190312160659100</v>
      </c>
      <c r="B3026" t="str">
        <f>"1552378019098066"</f>
        <v>1552378019098066</v>
      </c>
      <c r="C3026" t="s">
        <v>40</v>
      </c>
      <c r="D3026">
        <v>6.491174</v>
      </c>
      <c r="E3026">
        <v>0.33015549999999999</v>
      </c>
      <c r="F3026" t="s">
        <v>47</v>
      </c>
      <c r="G3026">
        <v>-481.97899999999998</v>
      </c>
      <c r="H3026" s="1">
        <v>-5.3602279999999999E-6</v>
      </c>
      <c r="I3026">
        <v>198.81110000000001</v>
      </c>
      <c r="J3026">
        <v>-495.16759999999999</v>
      </c>
      <c r="K3026">
        <v>1.113429</v>
      </c>
      <c r="L3026">
        <v>268.47059999999999</v>
      </c>
      <c r="M3026">
        <v>-0.3188047</v>
      </c>
      <c r="N3026">
        <v>0</v>
      </c>
      <c r="O3026">
        <v>-0.94779720000000001</v>
      </c>
      <c r="P3026">
        <v>-0.2294745</v>
      </c>
      <c r="Q3026">
        <v>-8.2482670000000001E-3</v>
      </c>
      <c r="R3026">
        <v>-0.97327969999999997</v>
      </c>
      <c r="S3026">
        <v>0.61004639999999999</v>
      </c>
      <c r="T3026">
        <v>-5.1587340000000002E-2</v>
      </c>
      <c r="U3026">
        <v>-3.2310789999999998</v>
      </c>
      <c r="V3026">
        <v>-9.2770489999999997E-2</v>
      </c>
      <c r="W3026">
        <v>-2.6276820000000001E-3</v>
      </c>
      <c r="X3026">
        <v>0.99568400000000001</v>
      </c>
      <c r="Y3026">
        <v>-0.48910320000000002</v>
      </c>
      <c r="Z3026">
        <v>1.3561810000000001E-2</v>
      </c>
      <c r="AA3026">
        <v>0.87212049999999997</v>
      </c>
      <c r="AB3026">
        <v>18</v>
      </c>
      <c r="AC3026">
        <v>13.1885999999999</v>
      </c>
      <c r="AD3026">
        <v>-1.1134343602279999</v>
      </c>
      <c r="AE3026">
        <v>-69.659499999999895</v>
      </c>
      <c r="AF3026">
        <v>-34.700099658240902</v>
      </c>
      <c r="AG3026">
        <v>-1.1134343602279999</v>
      </c>
      <c r="AH3026">
        <v>61.804608556272399</v>
      </c>
      <c r="AI3026">
        <v>90.899975643179502</v>
      </c>
      <c r="AJ3026">
        <v>119.311963482986</v>
      </c>
      <c r="AK3026">
        <v>70.888266244565799</v>
      </c>
      <c r="AL3026">
        <v>90.150555269559604</v>
      </c>
      <c r="AM3026">
        <v>95.323030243916506</v>
      </c>
      <c r="AN3026">
        <v>0.99999994819176496</v>
      </c>
    </row>
    <row r="3027" spans="1:40" x14ac:dyDescent="0.25">
      <c r="A3027" t="str">
        <f>"20190312160659112"</f>
        <v>20190312160659112</v>
      </c>
      <c r="B3027" t="str">
        <f>"1552378019107827"</f>
        <v>1552378019107827</v>
      </c>
      <c r="C3027" t="s">
        <v>40</v>
      </c>
      <c r="D3027">
        <v>6.0567129999999896</v>
      </c>
      <c r="E3027">
        <v>0.3299899</v>
      </c>
      <c r="F3027" t="s">
        <v>47</v>
      </c>
      <c r="G3027">
        <v>-479.57049999999998</v>
      </c>
      <c r="H3027">
        <v>7.9986500000000002E-2</v>
      </c>
      <c r="I3027">
        <v>188.49809999999999</v>
      </c>
      <c r="J3027">
        <v>-495.1918</v>
      </c>
      <c r="K3027">
        <v>1.1134200000000001</v>
      </c>
      <c r="L3027">
        <v>268.38150000000002</v>
      </c>
      <c r="M3027">
        <v>-0.31413590000000002</v>
      </c>
      <c r="N3027">
        <v>0</v>
      </c>
      <c r="O3027">
        <v>-0.94935480000000005</v>
      </c>
      <c r="P3027">
        <v>-0.2250597</v>
      </c>
      <c r="Q3027">
        <v>-8.3537660000000003E-3</v>
      </c>
      <c r="R3027">
        <v>-0.97430939999999999</v>
      </c>
      <c r="S3027">
        <v>0.63006589999999996</v>
      </c>
      <c r="T3027">
        <v>-4.174721E-2</v>
      </c>
      <c r="U3027">
        <v>-3.230591</v>
      </c>
      <c r="V3027">
        <v>-9.2382099999999995E-2</v>
      </c>
      <c r="W3027">
        <v>-2.7278549999999999E-3</v>
      </c>
      <c r="X3027">
        <v>0.99571989999999999</v>
      </c>
      <c r="Y3027">
        <v>-0.49005349999999998</v>
      </c>
      <c r="Z3027">
        <v>1.099732E-2</v>
      </c>
      <c r="AA3027">
        <v>0.87162299999999904</v>
      </c>
      <c r="AB3027">
        <v>18</v>
      </c>
      <c r="AC3027">
        <v>15.6213</v>
      </c>
      <c r="AD3027">
        <v>-1.0334334999999999</v>
      </c>
      <c r="AE3027">
        <v>-79.883399999999995</v>
      </c>
      <c r="AF3027">
        <v>-39.918845498444398</v>
      </c>
      <c r="AG3027">
        <v>-1.0334334999999999</v>
      </c>
      <c r="AH3027">
        <v>70.920610051500205</v>
      </c>
      <c r="AI3027">
        <v>90.727522360220206</v>
      </c>
      <c r="AJ3027">
        <v>119.373708832593</v>
      </c>
      <c r="AK3027">
        <v>81.389895815171997</v>
      </c>
      <c r="AL3027">
        <v>90.156294771456501</v>
      </c>
      <c r="AM3027">
        <v>95.3006821973066</v>
      </c>
      <c r="AN3027">
        <v>1.0000000064246599</v>
      </c>
    </row>
    <row r="3028" spans="1:40" x14ac:dyDescent="0.25">
      <c r="A3028" t="str">
        <f>"20190312160659123"</f>
        <v>20190312160659123</v>
      </c>
      <c r="B3028" t="str">
        <f>"1552378019117586"</f>
        <v>1552378019117586</v>
      </c>
      <c r="C3028" t="s">
        <v>40</v>
      </c>
      <c r="D3028">
        <v>6.0044529999999998</v>
      </c>
      <c r="E3028">
        <v>0.33006149999999901</v>
      </c>
      <c r="F3028" t="s">
        <v>47</v>
      </c>
      <c r="G3028">
        <v>-477.27420000000001</v>
      </c>
      <c r="H3028">
        <v>7.9986710000000003E-2</v>
      </c>
      <c r="I3028">
        <v>178.84829999999999</v>
      </c>
      <c r="J3028">
        <v>-495.21249999999998</v>
      </c>
      <c r="K3028">
        <v>1.1134109999999999</v>
      </c>
      <c r="L3028">
        <v>268.30360000000002</v>
      </c>
      <c r="M3028">
        <v>-0.31008790000000003</v>
      </c>
      <c r="N3028">
        <v>0</v>
      </c>
      <c r="O3028">
        <v>-0.95068490000000005</v>
      </c>
      <c r="P3028">
        <v>-0.2210597</v>
      </c>
      <c r="Q3028">
        <v>-8.4917410000000006E-3</v>
      </c>
      <c r="R3028">
        <v>-0.97522350000000002</v>
      </c>
      <c r="S3028">
        <v>0.64599609999999996</v>
      </c>
      <c r="T3028">
        <v>-3.7258979999999997E-2</v>
      </c>
      <c r="U3028">
        <v>-3.2279969999999998</v>
      </c>
      <c r="V3028">
        <v>-9.2223470000000002E-2</v>
      </c>
      <c r="W3028">
        <v>-2.8629010000000002E-3</v>
      </c>
      <c r="X3028">
        <v>0.99573420000000001</v>
      </c>
      <c r="Y3028">
        <v>-0.49061329999999997</v>
      </c>
      <c r="Z3028">
        <v>9.8393790000000005E-3</v>
      </c>
      <c r="AA3028">
        <v>0.87132189999999998</v>
      </c>
      <c r="AB3028">
        <v>18</v>
      </c>
      <c r="AC3028">
        <v>17.938299999999899</v>
      </c>
      <c r="AD3028">
        <v>-1.0334242899999999</v>
      </c>
      <c r="AE3028">
        <v>-89.455299999999994</v>
      </c>
      <c r="AF3028">
        <v>-44.787909907378399</v>
      </c>
      <c r="AG3028">
        <v>-1.0334242899999999</v>
      </c>
      <c r="AH3028">
        <v>79.472894187697506</v>
      </c>
      <c r="AI3028">
        <v>90.649040103239102</v>
      </c>
      <c r="AJ3028">
        <v>119.40395914249</v>
      </c>
      <c r="AK3028">
        <v>91.230289653182496</v>
      </c>
      <c r="AL3028">
        <v>90.1640323716816</v>
      </c>
      <c r="AM3028">
        <v>95.291556506002394</v>
      </c>
      <c r="AN3028">
        <v>0.99999998083530794</v>
      </c>
    </row>
    <row r="3029" spans="1:40" x14ac:dyDescent="0.25">
      <c r="A3029" t="str">
        <f>"20190312160659135"</f>
        <v>20190312160659135</v>
      </c>
      <c r="B3029" t="str">
        <f>"1552378019128323"</f>
        <v>1552378019128323</v>
      </c>
      <c r="C3029" t="s">
        <v>40</v>
      </c>
      <c r="D3029">
        <v>6.060867</v>
      </c>
      <c r="E3029">
        <v>0.330011</v>
      </c>
      <c r="F3029" t="s">
        <v>47</v>
      </c>
      <c r="G3029">
        <v>-475.8777</v>
      </c>
      <c r="H3029">
        <v>7.9986719999999997E-2</v>
      </c>
      <c r="I3029">
        <v>173.63489999999999</v>
      </c>
      <c r="J3029">
        <v>-495.23610000000002</v>
      </c>
      <c r="K3029">
        <v>1.113399</v>
      </c>
      <c r="L3029">
        <v>268.214</v>
      </c>
      <c r="M3029">
        <v>-0.30544189999999999</v>
      </c>
      <c r="N3029">
        <v>0</v>
      </c>
      <c r="O3029">
        <v>-0.95218769999999997</v>
      </c>
      <c r="P3029">
        <v>-0.2166006</v>
      </c>
      <c r="Q3029">
        <v>-8.6373890000000005E-3</v>
      </c>
      <c r="R3029">
        <v>-0.97622229999999999</v>
      </c>
      <c r="S3029">
        <v>0.65869140000000004</v>
      </c>
      <c r="T3029">
        <v>-3.5206559999999998E-2</v>
      </c>
      <c r="U3029">
        <v>-3.2251590000000001</v>
      </c>
      <c r="V3029">
        <v>-9.1910060000000002E-2</v>
      </c>
      <c r="W3029">
        <v>-3.0035690000000002E-3</v>
      </c>
      <c r="X3029">
        <v>0.99576279999999995</v>
      </c>
      <c r="Y3029">
        <v>-0.48980180000000001</v>
      </c>
      <c r="Z3029">
        <v>9.3289099999999993E-3</v>
      </c>
      <c r="AA3029">
        <v>0.87178389999999994</v>
      </c>
      <c r="AB3029">
        <v>18</v>
      </c>
      <c r="AC3029">
        <v>19.3584</v>
      </c>
      <c r="AD3029">
        <v>-1.0334122800000001</v>
      </c>
      <c r="AE3029">
        <v>-94.579099999999997</v>
      </c>
      <c r="AF3029">
        <v>-47.316865573712903</v>
      </c>
      <c r="AG3029">
        <v>-1.0334122800000001</v>
      </c>
      <c r="AH3029">
        <v>84.136392392513798</v>
      </c>
      <c r="AI3029">
        <v>90.613370014147506</v>
      </c>
      <c r="AJ3029">
        <v>119.352655145711</v>
      </c>
      <c r="AK3029">
        <v>96.534378505733997</v>
      </c>
      <c r="AL3029">
        <v>90.172092082967893</v>
      </c>
      <c r="AM3029">
        <v>95.273524758604395</v>
      </c>
      <c r="AN3029">
        <v>1.00000001720989</v>
      </c>
    </row>
    <row r="3030" spans="1:40" x14ac:dyDescent="0.25">
      <c r="A3030" t="str">
        <f>"20190312160659147"</f>
        <v>20190312160659147</v>
      </c>
      <c r="B3030" t="str">
        <f>"1552378019138081"</f>
        <v>1552378019138081</v>
      </c>
      <c r="C3030" t="s">
        <v>40</v>
      </c>
      <c r="D3030">
        <v>6.0116239999999896</v>
      </c>
      <c r="E3030">
        <v>0.330318</v>
      </c>
      <c r="F3030" t="s">
        <v>45</v>
      </c>
      <c r="G3030">
        <v>-471.18029999999999</v>
      </c>
      <c r="H3030">
        <v>-0.05</v>
      </c>
      <c r="I3030">
        <v>153.20140000000001</v>
      </c>
      <c r="J3030">
        <v>-495.26229999999998</v>
      </c>
      <c r="K3030">
        <v>1.1133770000000001</v>
      </c>
      <c r="L3030">
        <v>268.11180000000002</v>
      </c>
      <c r="M3030">
        <v>-0.30020340000000001</v>
      </c>
      <c r="N3030">
        <v>0</v>
      </c>
      <c r="O3030">
        <v>-0.95385240000000004</v>
      </c>
      <c r="P3030">
        <v>-0.2116576</v>
      </c>
      <c r="Q3030">
        <v>-8.6190429999999998E-3</v>
      </c>
      <c r="R3030">
        <v>-0.97730600000000001</v>
      </c>
      <c r="S3030">
        <v>0.67398069999999999</v>
      </c>
      <c r="T3030">
        <v>-3.2595399999999997E-2</v>
      </c>
      <c r="U3030">
        <v>-3.2223510000000002</v>
      </c>
      <c r="V3030">
        <v>-9.1476539999999995E-2</v>
      </c>
      <c r="W3030">
        <v>-2.9785020000000001E-3</v>
      </c>
      <c r="X3030">
        <v>0.99580279999999999</v>
      </c>
      <c r="Y3030">
        <v>-0.48912660000000002</v>
      </c>
      <c r="Z3030">
        <v>8.6674600000000001E-3</v>
      </c>
      <c r="AA3030">
        <v>0.87216970000000005</v>
      </c>
      <c r="AB3030">
        <v>18</v>
      </c>
      <c r="AC3030">
        <v>24.081999999999901</v>
      </c>
      <c r="AD3030">
        <v>-1.1633770000000001</v>
      </c>
      <c r="AE3030">
        <v>-114.9104</v>
      </c>
      <c r="AF3030">
        <v>-57.462774621726297</v>
      </c>
      <c r="AG3030">
        <v>-1.1633770000000001</v>
      </c>
      <c r="AH3030">
        <v>102.37023879754</v>
      </c>
      <c r="AI3030">
        <v>90.567777918120498</v>
      </c>
      <c r="AJ3030">
        <v>119.30650172914901</v>
      </c>
      <c r="AK3030">
        <v>117.40097829548399</v>
      </c>
      <c r="AL3030">
        <v>90.170655842331897</v>
      </c>
      <c r="AM3030">
        <v>95.248580274215101</v>
      </c>
      <c r="AN3030">
        <v>1.00000002266618</v>
      </c>
    </row>
    <row r="3031" spans="1:40" x14ac:dyDescent="0.25">
      <c r="A3031" t="str">
        <f>"20190312160659168"</f>
        <v>20190312160659168</v>
      </c>
      <c r="B3031" t="str">
        <f>"1552378019157602"</f>
        <v>1552378019157602</v>
      </c>
      <c r="C3031" t="s">
        <v>40</v>
      </c>
      <c r="D3031">
        <v>6.0575559999999999</v>
      </c>
      <c r="E3031">
        <v>0.33100039999999997</v>
      </c>
      <c r="F3031" t="s">
        <v>45</v>
      </c>
      <c r="G3031">
        <v>-470.35939999999999</v>
      </c>
      <c r="H3031">
        <v>-0.05</v>
      </c>
      <c r="I3031">
        <v>151.5333</v>
      </c>
      <c r="J3031">
        <v>-495.30099999999999</v>
      </c>
      <c r="K3031">
        <v>1.1133489999999999</v>
      </c>
      <c r="L3031">
        <v>267.95710000000003</v>
      </c>
      <c r="M3031">
        <v>-0.29234490000000002</v>
      </c>
      <c r="N3031">
        <v>0</v>
      </c>
      <c r="O3031">
        <v>-0.95629019999999998</v>
      </c>
      <c r="P3031">
        <v>-0.20429739999999999</v>
      </c>
      <c r="Q3031">
        <v>-8.5515219999999902E-3</v>
      </c>
      <c r="R3031">
        <v>-0.97887150000000001</v>
      </c>
      <c r="S3031">
        <v>0.68746949999999996</v>
      </c>
      <c r="T3031">
        <v>-3.2116169999999999E-2</v>
      </c>
      <c r="U3031">
        <v>-3.2182620000000002</v>
      </c>
      <c r="V3031">
        <v>-9.0777099999999999E-2</v>
      </c>
      <c r="W3031">
        <v>-2.9002569999999998E-3</v>
      </c>
      <c r="X3031">
        <v>0.99586699999999995</v>
      </c>
      <c r="Y3031">
        <v>-0.48566740000000003</v>
      </c>
      <c r="Z3031">
        <v>8.5930439999999993E-3</v>
      </c>
      <c r="AA3031">
        <v>0.87410149999999998</v>
      </c>
      <c r="AB3031">
        <v>18</v>
      </c>
      <c r="AC3031">
        <v>24.941599999999902</v>
      </c>
      <c r="AD3031">
        <v>-1.163349</v>
      </c>
      <c r="AE3031">
        <v>-116.4238</v>
      </c>
      <c r="AF3031">
        <v>-57.883045423349898</v>
      </c>
      <c r="AG3031">
        <v>-1.163349</v>
      </c>
      <c r="AH3031">
        <v>104.035721246516</v>
      </c>
      <c r="AI3031">
        <v>90.559853609089004</v>
      </c>
      <c r="AJ3031">
        <v>119.090540965892</v>
      </c>
      <c r="AK3031">
        <v>119.05978172187299</v>
      </c>
      <c r="AL3031">
        <v>90.1661727206357</v>
      </c>
      <c r="AM3031">
        <v>95.208336679849197</v>
      </c>
      <c r="AN3031">
        <v>0.999999987532037</v>
      </c>
    </row>
    <row r="3032" spans="1:40" x14ac:dyDescent="0.25">
      <c r="A3032" t="str">
        <f>"20190312160659182"</f>
        <v>20190312160659182</v>
      </c>
      <c r="B3032" t="str">
        <f>"1552378019177740"</f>
        <v>1552378019177740</v>
      </c>
      <c r="C3032" t="s">
        <v>40</v>
      </c>
      <c r="D3032">
        <v>6.075482</v>
      </c>
      <c r="E3032">
        <v>0.3319453</v>
      </c>
      <c r="F3032" t="s">
        <v>83</v>
      </c>
      <c r="G3032">
        <v>-473.87380000000002</v>
      </c>
      <c r="H3032">
        <v>0.18053859999999999</v>
      </c>
      <c r="I3032">
        <v>170.57759999999999</v>
      </c>
      <c r="J3032">
        <v>-495.32659999999998</v>
      </c>
      <c r="K3032">
        <v>1.1133329999999999</v>
      </c>
      <c r="L3032">
        <v>267.85180000000003</v>
      </c>
      <c r="M3032">
        <v>-0.287055</v>
      </c>
      <c r="N3032">
        <v>0</v>
      </c>
      <c r="O3032">
        <v>-0.9578913</v>
      </c>
      <c r="P3032">
        <v>-0.1989775</v>
      </c>
      <c r="Q3032">
        <v>-8.6121909999999999E-3</v>
      </c>
      <c r="R3032">
        <v>-0.97996649999999996</v>
      </c>
      <c r="S3032">
        <v>0.70675659999999996</v>
      </c>
      <c r="T3032">
        <v>-3.0767920000000001E-2</v>
      </c>
      <c r="U3032">
        <v>-3.2119749999999998</v>
      </c>
      <c r="V3032">
        <v>-9.0681639999999994E-2</v>
      </c>
      <c r="W3032">
        <v>-2.9578719999999998E-3</v>
      </c>
      <c r="X3032">
        <v>0.99587550000000002</v>
      </c>
      <c r="Y3032">
        <v>-0.48619889999999999</v>
      </c>
      <c r="Z3032">
        <v>8.2644169999999996E-3</v>
      </c>
      <c r="AA3032">
        <v>0.87380910000000001</v>
      </c>
      <c r="AB3032">
        <v>18</v>
      </c>
      <c r="AC3032">
        <v>21.4527999999999</v>
      </c>
      <c r="AD3032">
        <v>-0.93279440000000002</v>
      </c>
      <c r="AE3032">
        <v>-97.274199999999993</v>
      </c>
      <c r="AF3032">
        <v>-48.469304458141501</v>
      </c>
      <c r="AG3032">
        <v>-0.93279440000000002</v>
      </c>
      <c r="AH3032">
        <v>87.014246861712394</v>
      </c>
      <c r="AI3032">
        <v>90.5365665018344</v>
      </c>
      <c r="AJ3032">
        <v>119.118997387774</v>
      </c>
      <c r="AK3032">
        <v>99.6073427863615</v>
      </c>
      <c r="AL3032">
        <v>90.1694738358119</v>
      </c>
      <c r="AM3032">
        <v>95.202845572854201</v>
      </c>
      <c r="AN3032">
        <v>0.99999996017005299</v>
      </c>
    </row>
    <row r="3033" spans="1:40" x14ac:dyDescent="0.25">
      <c r="A3033" t="str">
        <f>"20190312160659196"</f>
        <v>20190312160659196</v>
      </c>
      <c r="B3033" t="str">
        <f>"1552378019187499"</f>
        <v>1552378019187499</v>
      </c>
      <c r="C3033" t="s">
        <v>40</v>
      </c>
      <c r="D3033">
        <v>6.7848620000000004</v>
      </c>
      <c r="E3033">
        <v>0.33252949999999998</v>
      </c>
      <c r="F3033" t="s">
        <v>83</v>
      </c>
      <c r="G3033">
        <v>-473.8433</v>
      </c>
      <c r="H3033">
        <v>0.17211750000000001</v>
      </c>
      <c r="I3033">
        <v>171.72929999999999</v>
      </c>
      <c r="J3033">
        <v>-495.35250000000002</v>
      </c>
      <c r="K3033">
        <v>1.113313</v>
      </c>
      <c r="L3033">
        <v>267.74360000000001</v>
      </c>
      <c r="M3033">
        <v>-0.28165699999999999</v>
      </c>
      <c r="N3033">
        <v>0</v>
      </c>
      <c r="O3033">
        <v>-0.95949240000000002</v>
      </c>
      <c r="P3033">
        <v>-0.1940296</v>
      </c>
      <c r="Q3033">
        <v>-8.7561510000000002E-3</v>
      </c>
      <c r="R3033">
        <v>-0.98095699999999997</v>
      </c>
      <c r="S3033">
        <v>0.71667479999999995</v>
      </c>
      <c r="T3033">
        <v>-3.1398530000000001E-2</v>
      </c>
      <c r="U3033">
        <v>-3.206604</v>
      </c>
      <c r="V3033">
        <v>-9.0098460000000005E-2</v>
      </c>
      <c r="W3033">
        <v>-3.093307E-3</v>
      </c>
      <c r="X3033">
        <v>0.99592800000000004</v>
      </c>
      <c r="Y3033">
        <v>-0.48415979999999997</v>
      </c>
      <c r="Z3033">
        <v>8.4737649999999994E-3</v>
      </c>
      <c r="AA3033">
        <v>0.87493849999999995</v>
      </c>
      <c r="AB3033">
        <v>18</v>
      </c>
      <c r="AC3033">
        <v>21.5092</v>
      </c>
      <c r="AD3033">
        <v>-0.94119549999999996</v>
      </c>
      <c r="AE3033">
        <v>-96.014300000000006</v>
      </c>
      <c r="AF3033">
        <v>-47.6776922261026</v>
      </c>
      <c r="AG3033">
        <v>-0.94119549999999996</v>
      </c>
      <c r="AH3033">
        <v>86.060779094317496</v>
      </c>
      <c r="AI3033">
        <v>90.548100340286396</v>
      </c>
      <c r="AJ3033">
        <v>118.986463319584</v>
      </c>
      <c r="AK3033">
        <v>98.389561861495807</v>
      </c>
      <c r="AL3033">
        <v>90.177233728920598</v>
      </c>
      <c r="AM3033">
        <v>95.169296549733104</v>
      </c>
      <c r="AN3033">
        <v>0.99999994111328205</v>
      </c>
    </row>
    <row r="3034" spans="1:40" x14ac:dyDescent="0.25">
      <c r="A3034" t="str">
        <f>"20190312160659207"</f>
        <v>20190312160659207</v>
      </c>
      <c r="B3034" t="str">
        <f>"1552378019198236"</f>
        <v>1552378019198236</v>
      </c>
      <c r="C3034" t="s">
        <v>40</v>
      </c>
      <c r="D3034">
        <v>6.0771110000000004</v>
      </c>
      <c r="E3034">
        <v>0.33316649999999998</v>
      </c>
      <c r="F3034" t="s">
        <v>45</v>
      </c>
      <c r="G3034">
        <v>-469.59199999999998</v>
      </c>
      <c r="H3034">
        <v>-0.05</v>
      </c>
      <c r="I3034">
        <v>154.47040000000001</v>
      </c>
      <c r="J3034">
        <v>-495.37360000000001</v>
      </c>
      <c r="K3034">
        <v>1.113294</v>
      </c>
      <c r="L3034">
        <v>267.65320000000003</v>
      </c>
      <c r="M3034">
        <v>-0.27720260000000002</v>
      </c>
      <c r="N3034">
        <v>0</v>
      </c>
      <c r="O3034">
        <v>-0.96078869999999905</v>
      </c>
      <c r="P3034">
        <v>-0.18969800000000001</v>
      </c>
      <c r="Q3034">
        <v>-8.8440410000000004E-3</v>
      </c>
      <c r="R3034">
        <v>-0.98180279999999998</v>
      </c>
      <c r="S3034">
        <v>0.72817989999999999</v>
      </c>
      <c r="T3034">
        <v>-3.2883759999999998E-2</v>
      </c>
      <c r="U3034">
        <v>-3.2019350000000002</v>
      </c>
      <c r="V3034">
        <v>-8.9872850000000004E-2</v>
      </c>
      <c r="W3034">
        <v>-3.1769559999999999E-3</v>
      </c>
      <c r="X3034">
        <v>0.99594819999999995</v>
      </c>
      <c r="Y3034">
        <v>-0.48336249999999997</v>
      </c>
      <c r="Z3034">
        <v>8.9058750000000006E-3</v>
      </c>
      <c r="AA3034">
        <v>0.87537500000000001</v>
      </c>
      <c r="AB3034">
        <v>18</v>
      </c>
      <c r="AC3034">
        <v>25.781600000000001</v>
      </c>
      <c r="AD3034">
        <v>-1.1632940000000001</v>
      </c>
      <c r="AE3034">
        <v>-113.1828</v>
      </c>
      <c r="AF3034">
        <v>-56.140827758214002</v>
      </c>
      <c r="AG3034">
        <v>-1.1632940000000001</v>
      </c>
      <c r="AH3034">
        <v>101.590051062173</v>
      </c>
      <c r="AI3034">
        <v>90.574217213725206</v>
      </c>
      <c r="AJ3034">
        <v>118.92597539978701</v>
      </c>
      <c r="AK3034">
        <v>116.07620027000701</v>
      </c>
      <c r="AL3034">
        <v>90.182026473123202</v>
      </c>
      <c r="AM3034">
        <v>95.156318279739295</v>
      </c>
      <c r="AN3034">
        <v>1.0000000196498899</v>
      </c>
    </row>
    <row r="3035" spans="1:40" x14ac:dyDescent="0.25">
      <c r="A3035" t="str">
        <f>"20190312160659223"</f>
        <v>20190312160659223</v>
      </c>
      <c r="B3035" t="str">
        <f>"1552378019217756"</f>
        <v>1552378019217756</v>
      </c>
      <c r="C3035" t="s">
        <v>40</v>
      </c>
      <c r="D3035">
        <v>5.7362780000000004</v>
      </c>
      <c r="E3035">
        <v>0.3337927</v>
      </c>
      <c r="F3035" t="s">
        <v>45</v>
      </c>
      <c r="G3035">
        <v>-470.42410000000001</v>
      </c>
      <c r="H3035">
        <v>-0.05</v>
      </c>
      <c r="I3035">
        <v>159.48429999999999</v>
      </c>
      <c r="J3035">
        <v>-495.40230000000003</v>
      </c>
      <c r="K3035">
        <v>1.1132759999999999</v>
      </c>
      <c r="L3035">
        <v>267.52749999999997</v>
      </c>
      <c r="M3035">
        <v>-0.27106619999999998</v>
      </c>
      <c r="N3035">
        <v>0</v>
      </c>
      <c r="O3035">
        <v>-0.962538</v>
      </c>
      <c r="P3035">
        <v>-0.18408559999999999</v>
      </c>
      <c r="Q3035">
        <v>-8.7062219999999996E-3</v>
      </c>
      <c r="R3035">
        <v>-0.98287179999999996</v>
      </c>
      <c r="S3035">
        <v>0.73757930000000005</v>
      </c>
      <c r="T3035">
        <v>-3.4390329999999997E-2</v>
      </c>
      <c r="U3035">
        <v>-3.197784</v>
      </c>
      <c r="V3035">
        <v>-8.9209910000000003E-2</v>
      </c>
      <c r="W3035">
        <v>-3.0295420000000001E-3</v>
      </c>
      <c r="X3035">
        <v>0.99600820000000001</v>
      </c>
      <c r="Y3035">
        <v>-0.48046319999999998</v>
      </c>
      <c r="Z3035">
        <v>9.3592929999999994E-3</v>
      </c>
      <c r="AA3035">
        <v>0.87696499999999999</v>
      </c>
      <c r="AB3035">
        <v>18</v>
      </c>
      <c r="AC3035">
        <v>24.978200000000001</v>
      </c>
      <c r="AD3035">
        <v>-1.163276</v>
      </c>
      <c r="AE3035">
        <v>-108.043199999999</v>
      </c>
      <c r="AF3035">
        <v>-53.324624044058602</v>
      </c>
      <c r="AG3035">
        <v>-1.163276</v>
      </c>
      <c r="AH3035">
        <v>97.216367123027794</v>
      </c>
      <c r="AI3035">
        <v>90.601081509554902</v>
      </c>
      <c r="AJ3035">
        <v>118.745423755348</v>
      </c>
      <c r="AK3035">
        <v>110.886837708953</v>
      </c>
      <c r="AL3035">
        <v>90.173580242870003</v>
      </c>
      <c r="AM3035">
        <v>95.118179186706001</v>
      </c>
      <c r="AN3035">
        <v>0.99999996031708804</v>
      </c>
    </row>
    <row r="3036" spans="1:40" x14ac:dyDescent="0.25">
      <c r="A3036" t="str">
        <f>"20190312160659235"</f>
        <v>20190312160659235</v>
      </c>
      <c r="B3036" t="str">
        <f>"1552378019227516"</f>
        <v>1552378019227516</v>
      </c>
      <c r="C3036" t="s">
        <v>40</v>
      </c>
      <c r="D3036">
        <v>6.0901059999999996</v>
      </c>
      <c r="E3036">
        <v>0.34924090000000002</v>
      </c>
      <c r="F3036" t="s">
        <v>45</v>
      </c>
      <c r="G3036">
        <v>-470.59050000000002</v>
      </c>
      <c r="H3036">
        <v>-0.05</v>
      </c>
      <c r="I3036">
        <v>162.01390000000001</v>
      </c>
      <c r="J3036">
        <v>-495.42360000000002</v>
      </c>
      <c r="K3036">
        <v>1.1132599999999999</v>
      </c>
      <c r="L3036">
        <v>267.43259999999998</v>
      </c>
      <c r="M3036">
        <v>-0.26646429999999999</v>
      </c>
      <c r="N3036">
        <v>0</v>
      </c>
      <c r="O3036">
        <v>-0.96382199999999996</v>
      </c>
      <c r="P3036">
        <v>-0.17965639999999999</v>
      </c>
      <c r="Q3036">
        <v>-8.342627E-3</v>
      </c>
      <c r="R3036">
        <v>-0.98369419999999996</v>
      </c>
      <c r="S3036">
        <v>0.75073239999999997</v>
      </c>
      <c r="T3036">
        <v>-3.519738E-2</v>
      </c>
      <c r="U3036">
        <v>-3.1925349999999999</v>
      </c>
      <c r="V3036">
        <v>-8.8941660000000006E-2</v>
      </c>
      <c r="W3036">
        <v>-2.661489E-3</v>
      </c>
      <c r="X3036">
        <v>0.99603330000000001</v>
      </c>
      <c r="Y3036">
        <v>-0.48001500000000002</v>
      </c>
      <c r="Z3036">
        <v>9.6123230000000007E-3</v>
      </c>
      <c r="AA3036">
        <v>0.87720759999999898</v>
      </c>
      <c r="AB3036">
        <v>18</v>
      </c>
      <c r="AC3036">
        <v>24.833100000000002</v>
      </c>
      <c r="AD3036">
        <v>-1.16326</v>
      </c>
      <c r="AE3036">
        <v>-105.41869999999901</v>
      </c>
      <c r="AF3036">
        <v>-52.020149796284997</v>
      </c>
      <c r="AG3036">
        <v>-1.16326</v>
      </c>
      <c r="AH3036">
        <v>94.978857126521305</v>
      </c>
      <c r="AI3036">
        <v>90.615442938401799</v>
      </c>
      <c r="AJ3036">
        <v>118.709627215428</v>
      </c>
      <c r="AK3036">
        <v>108.297887605048</v>
      </c>
      <c r="AL3036">
        <v>90.152492264121307</v>
      </c>
      <c r="AM3036">
        <v>95.102742525248203</v>
      </c>
      <c r="AN3036">
        <v>1.00000001855807</v>
      </c>
    </row>
    <row r="3037" spans="1:40" x14ac:dyDescent="0.25">
      <c r="A3037" t="str">
        <f>"20190312160659246"</f>
        <v>20190312160659246</v>
      </c>
      <c r="B3037" t="str">
        <f>"1552378019238253"</f>
        <v>1552378019238253</v>
      </c>
      <c r="C3037" t="s">
        <v>40</v>
      </c>
      <c r="D3037">
        <v>6.4779059999999999</v>
      </c>
      <c r="E3037">
        <v>0.35078700000000002</v>
      </c>
      <c r="F3037" t="s">
        <v>61</v>
      </c>
      <c r="G3037">
        <v>-482.40179999999998</v>
      </c>
      <c r="H3037" s="1">
        <v>4.9945829999999997E-7</v>
      </c>
      <c r="I3037">
        <v>203.3886</v>
      </c>
      <c r="J3037">
        <v>-495.44310000000002</v>
      </c>
      <c r="K3037">
        <v>1.11324</v>
      </c>
      <c r="L3037">
        <v>267.34280000000001</v>
      </c>
      <c r="M3037">
        <v>-0.26217679999999999</v>
      </c>
      <c r="N3037">
        <v>0</v>
      </c>
      <c r="O3037">
        <v>-0.96499740000000001</v>
      </c>
      <c r="P3037">
        <v>-0.17530660000000001</v>
      </c>
      <c r="Q3037">
        <v>-8.2723940000000006E-3</v>
      </c>
      <c r="R3037">
        <v>-0.98447949999999995</v>
      </c>
      <c r="S3037">
        <v>0.64392090000000002</v>
      </c>
      <c r="T3037">
        <v>-5.5049899999999999E-2</v>
      </c>
      <c r="U3037">
        <v>-3.1669309999999999</v>
      </c>
      <c r="V3037">
        <v>-8.8917449999999995E-2</v>
      </c>
      <c r="W3037">
        <v>-2.5911020000000001E-3</v>
      </c>
      <c r="X3037">
        <v>0.99603560000000002</v>
      </c>
      <c r="Y3037">
        <v>-0.44917849999999998</v>
      </c>
      <c r="Z3037">
        <v>1.5376600000000001E-2</v>
      </c>
      <c r="AA3037">
        <v>0.89330969999999998</v>
      </c>
      <c r="AB3037">
        <v>18</v>
      </c>
      <c r="AC3037">
        <v>13.0413</v>
      </c>
      <c r="AD3037">
        <v>-1.1132395005417</v>
      </c>
      <c r="AE3037">
        <v>-63.9542</v>
      </c>
      <c r="AF3037">
        <v>-29.344227953988199</v>
      </c>
      <c r="AG3037">
        <v>-1.1132395005417</v>
      </c>
      <c r="AH3037">
        <v>58.280819879852302</v>
      </c>
      <c r="AI3037">
        <v>90.977416482151796</v>
      </c>
      <c r="AJ3037">
        <v>116.72512536454801</v>
      </c>
      <c r="AK3037">
        <v>65.260838044488594</v>
      </c>
      <c r="AL3037">
        <v>90.148459379226395</v>
      </c>
      <c r="AM3037">
        <v>95.101349166373893</v>
      </c>
      <c r="AN3037">
        <v>0.99999997159571796</v>
      </c>
    </row>
    <row r="3038" spans="1:40" x14ac:dyDescent="0.25">
      <c r="A3038" t="str">
        <f>"20190312160659257"</f>
        <v>20190312160659257</v>
      </c>
      <c r="B3038" t="str">
        <f>"1552378019248013"</f>
        <v>1552378019248013</v>
      </c>
      <c r="C3038" t="s">
        <v>40</v>
      </c>
      <c r="D3038">
        <v>6.0855459999999999</v>
      </c>
      <c r="E3038">
        <v>0.35102440000000001</v>
      </c>
      <c r="F3038" t="s">
        <v>61</v>
      </c>
      <c r="G3038">
        <v>-484.48180000000002</v>
      </c>
      <c r="H3038" s="1">
        <v>2.3055129999999999E-6</v>
      </c>
      <c r="I3038">
        <v>213.71100000000001</v>
      </c>
      <c r="J3038">
        <v>-495.46190000000001</v>
      </c>
      <c r="K3038">
        <v>1.113224</v>
      </c>
      <c r="L3038">
        <v>267.2552</v>
      </c>
      <c r="M3038">
        <v>-0.25801190000000002</v>
      </c>
      <c r="N3038">
        <v>0</v>
      </c>
      <c r="O3038">
        <v>-0.96611919999999996</v>
      </c>
      <c r="P3038">
        <v>-0.17100989999999999</v>
      </c>
      <c r="Q3038">
        <v>-8.0111509999999993E-3</v>
      </c>
      <c r="R3038">
        <v>-0.98523689999999997</v>
      </c>
      <c r="S3038">
        <v>0.6462097</v>
      </c>
      <c r="T3038">
        <v>-6.5629720000000002E-2</v>
      </c>
      <c r="U3038">
        <v>-3.1618040000000001</v>
      </c>
      <c r="V3038">
        <v>-8.896975E-2</v>
      </c>
      <c r="W3038">
        <v>-2.3311999999999999E-3</v>
      </c>
      <c r="X3038">
        <v>0.99603160000000002</v>
      </c>
      <c r="Y3038">
        <v>-0.44621460000000002</v>
      </c>
      <c r="Z3038">
        <v>1.840866E-2</v>
      </c>
      <c r="AA3038">
        <v>0.89473659999999999</v>
      </c>
      <c r="AB3038">
        <v>18</v>
      </c>
      <c r="AC3038">
        <v>10.980099999999901</v>
      </c>
      <c r="AD3038">
        <v>-1.1132216944869999</v>
      </c>
      <c r="AE3038">
        <v>-53.544199999999996</v>
      </c>
      <c r="AF3038">
        <v>-24.413531073011502</v>
      </c>
      <c r="AG3038">
        <v>-1.1132216944869999</v>
      </c>
      <c r="AH3038">
        <v>48.877872973741603</v>
      </c>
      <c r="AI3038">
        <v>91.167258823759298</v>
      </c>
      <c r="AJ3038">
        <v>116.541221570445</v>
      </c>
      <c r="AK3038">
        <v>54.6471063134289</v>
      </c>
      <c r="AL3038">
        <v>90.133568042239801</v>
      </c>
      <c r="AM3038">
        <v>95.104354252763102</v>
      </c>
      <c r="AN3038">
        <v>0.99999999955353103</v>
      </c>
    </row>
    <row r="3039" spans="1:40" x14ac:dyDescent="0.25">
      <c r="A3039" t="str">
        <f>"20190312160659268"</f>
        <v>20190312160659268</v>
      </c>
      <c r="B3039" t="str">
        <f>"1552378019257772"</f>
        <v>1552378019257772</v>
      </c>
      <c r="C3039" t="s">
        <v>40</v>
      </c>
      <c r="D3039">
        <v>6.0934229999999996</v>
      </c>
      <c r="E3039">
        <v>0.35125859999999998</v>
      </c>
      <c r="F3039" t="s">
        <v>61</v>
      </c>
      <c r="G3039">
        <v>-483.59059999999999</v>
      </c>
      <c r="H3039" s="1">
        <v>1.9967049999999998E-6</v>
      </c>
      <c r="I3039">
        <v>210.26300000000001</v>
      </c>
      <c r="J3039">
        <v>-495.48079999999999</v>
      </c>
      <c r="K3039">
        <v>1.113205</v>
      </c>
      <c r="L3039">
        <v>267.16570000000002</v>
      </c>
      <c r="M3039">
        <v>-0.25380000000000003</v>
      </c>
      <c r="N3039">
        <v>0</v>
      </c>
      <c r="O3039">
        <v>-0.96723409999999999</v>
      </c>
      <c r="P3039">
        <v>-0.16681750000000001</v>
      </c>
      <c r="Q3039">
        <v>-7.4007389999999999E-3</v>
      </c>
      <c r="R3039">
        <v>-0.98596010000000001</v>
      </c>
      <c r="S3039">
        <v>0.65792850000000003</v>
      </c>
      <c r="T3039">
        <v>-6.1696529999999999E-2</v>
      </c>
      <c r="U3039">
        <v>-3.1585999999999999</v>
      </c>
      <c r="V3039">
        <v>-8.8874410000000001E-2</v>
      </c>
      <c r="W3039">
        <v>-1.7220270000000001E-3</v>
      </c>
      <c r="X3039">
        <v>0.99604139999999997</v>
      </c>
      <c r="Y3039">
        <v>-0.44568160000000001</v>
      </c>
      <c r="Z3039">
        <v>1.7351780000000001E-2</v>
      </c>
      <c r="AA3039">
        <v>0.89502329999999997</v>
      </c>
      <c r="AB3039">
        <v>18</v>
      </c>
      <c r="AC3039">
        <v>11.890199999999901</v>
      </c>
      <c r="AD3039">
        <v>-1.113203003295</v>
      </c>
      <c r="AE3039">
        <v>-56.902700000000003</v>
      </c>
      <c r="AF3039">
        <v>-25.9335696429373</v>
      </c>
      <c r="AG3039">
        <v>-1.113203003295</v>
      </c>
      <c r="AH3039">
        <v>52.002567337484798</v>
      </c>
      <c r="AI3039">
        <v>91.0974635853498</v>
      </c>
      <c r="AJ3039">
        <v>116.505334920739</v>
      </c>
      <c r="AK3039">
        <v>58.121048382159003</v>
      </c>
      <c r="AL3039">
        <v>90.098664923303005</v>
      </c>
      <c r="AM3039">
        <v>95.098863371644796</v>
      </c>
      <c r="AN3039">
        <v>1.00000004832189</v>
      </c>
    </row>
    <row r="3040" spans="1:40" x14ac:dyDescent="0.25">
      <c r="A3040" t="str">
        <f>"20190312160659279"</f>
        <v>20190312160659279</v>
      </c>
      <c r="B3040" t="str">
        <f>"1552378019267532"</f>
        <v>1552378019267532</v>
      </c>
      <c r="C3040" t="s">
        <v>40</v>
      </c>
      <c r="D3040">
        <v>5.9228339999999999</v>
      </c>
      <c r="E3040">
        <v>0.35194560000000003</v>
      </c>
      <c r="F3040" t="s">
        <v>61</v>
      </c>
      <c r="G3040">
        <v>-482.584</v>
      </c>
      <c r="H3040" s="1">
        <v>1.1318689999999999E-6</v>
      </c>
      <c r="I3040">
        <v>206.4058</v>
      </c>
      <c r="J3040">
        <v>-495.49740000000003</v>
      </c>
      <c r="K3040">
        <v>1.1131930000000001</v>
      </c>
      <c r="L3040">
        <v>267.0856</v>
      </c>
      <c r="M3040">
        <v>-0.25006040000000002</v>
      </c>
      <c r="N3040">
        <v>0</v>
      </c>
      <c r="O3040">
        <v>-0.96820790000000001</v>
      </c>
      <c r="P3040">
        <v>-0.16324079999999999</v>
      </c>
      <c r="Q3040">
        <v>-7.1529559999999898E-3</v>
      </c>
      <c r="R3040">
        <v>-0.98656069999999996</v>
      </c>
      <c r="S3040">
        <v>0.66979979999999995</v>
      </c>
      <c r="T3040">
        <v>-5.7814480000000001E-2</v>
      </c>
      <c r="U3040">
        <v>-3.1555789999999999</v>
      </c>
      <c r="V3040">
        <v>-8.8640280000000002E-2</v>
      </c>
      <c r="W3040">
        <v>-1.4744109999999999E-3</v>
      </c>
      <c r="X3040">
        <v>0.99606260000000002</v>
      </c>
      <c r="Y3040">
        <v>-0.44562210000000002</v>
      </c>
      <c r="Z3040">
        <v>1.6296290000000001E-2</v>
      </c>
      <c r="AA3040">
        <v>0.89507289999999995</v>
      </c>
      <c r="AB3040">
        <v>18</v>
      </c>
      <c r="AC3040">
        <v>12.913399999999999</v>
      </c>
      <c r="AD3040">
        <v>-1.113191868131</v>
      </c>
      <c r="AE3040">
        <v>-60.6798</v>
      </c>
      <c r="AF3040">
        <v>-27.668161282358</v>
      </c>
      <c r="AG3040">
        <v>-1.113191868131</v>
      </c>
      <c r="AH3040">
        <v>55.504861796252598</v>
      </c>
      <c r="AI3040">
        <v>91.028308667442801</v>
      </c>
      <c r="AJ3040">
        <v>116.495417998696</v>
      </c>
      <c r="AK3040">
        <v>62.028671015127699</v>
      </c>
      <c r="AL3040">
        <v>90.084477559178495</v>
      </c>
      <c r="AM3040">
        <v>95.085393826692595</v>
      </c>
      <c r="AN3040">
        <v>0.999999988122517</v>
      </c>
    </row>
    <row r="3041" spans="1:40" x14ac:dyDescent="0.25">
      <c r="A3041" t="str">
        <f>"20190312160659289"</f>
        <v>20190312160659289</v>
      </c>
      <c r="B3041" t="str">
        <f>"1552378019278268"</f>
        <v>1552378019278268</v>
      </c>
      <c r="C3041" t="s">
        <v>40</v>
      </c>
      <c r="D3041">
        <v>6.2201639999999996</v>
      </c>
      <c r="E3041">
        <v>0.35275279999999998</v>
      </c>
      <c r="F3041" t="s">
        <v>61</v>
      </c>
      <c r="G3041">
        <v>-482.233</v>
      </c>
      <c r="H3041" s="1">
        <v>9.4083400000000005E-7</v>
      </c>
      <c r="I3041">
        <v>205.19800000000001</v>
      </c>
      <c r="J3041">
        <v>-495.51560000000001</v>
      </c>
      <c r="K3041">
        <v>1.1131759999999999</v>
      </c>
      <c r="L3041">
        <v>266.99630000000002</v>
      </c>
      <c r="M3041">
        <v>-0.24592939999999999</v>
      </c>
      <c r="N3041">
        <v>0</v>
      </c>
      <c r="O3041">
        <v>-0.96926540000000005</v>
      </c>
      <c r="P3041">
        <v>-0.15921170000000001</v>
      </c>
      <c r="Q3041">
        <v>-6.598708E-3</v>
      </c>
      <c r="R3041">
        <v>-0.98722259999999995</v>
      </c>
      <c r="S3041">
        <v>0.67562869999999997</v>
      </c>
      <c r="T3041">
        <v>-5.6701179999999997E-2</v>
      </c>
      <c r="U3041">
        <v>-3.1522830000000002</v>
      </c>
      <c r="V3041">
        <v>-8.8465559999999999E-2</v>
      </c>
      <c r="W3041">
        <v>-9.2191229999999999E-4</v>
      </c>
      <c r="X3041">
        <v>0.99607880000000004</v>
      </c>
      <c r="Y3041">
        <v>-0.44357750000000001</v>
      </c>
      <c r="Z3041">
        <v>1.6033410000000001E-2</v>
      </c>
      <c r="AA3041">
        <v>0.89609259999999902</v>
      </c>
      <c r="AB3041">
        <v>19</v>
      </c>
      <c r="AC3041">
        <v>13.2826</v>
      </c>
      <c r="AD3041">
        <v>-1.1131750591659999</v>
      </c>
      <c r="AE3041">
        <v>-61.798299999999998</v>
      </c>
      <c r="AF3041">
        <v>-28.064287522226699</v>
      </c>
      <c r="AG3041">
        <v>-1.1131750591659999</v>
      </c>
      <c r="AH3041">
        <v>56.616039658065098</v>
      </c>
      <c r="AI3041">
        <v>91.009235696456201</v>
      </c>
      <c r="AJ3041">
        <v>116.367384705955</v>
      </c>
      <c r="AK3041">
        <v>63.1998365457234</v>
      </c>
      <c r="AL3041">
        <v>90.052821691854405</v>
      </c>
      <c r="AM3041">
        <v>95.075340233667305</v>
      </c>
      <c r="AN3041">
        <v>0.99999999051892097</v>
      </c>
    </row>
    <row r="3042" spans="1:40" x14ac:dyDescent="0.25">
      <c r="A3042" t="str">
        <f>"20190312160659301"</f>
        <v>20190312160659301</v>
      </c>
      <c r="B3042" t="str">
        <f>"1552378019297788"</f>
        <v>1552378019297788</v>
      </c>
      <c r="C3042" t="s">
        <v>40</v>
      </c>
      <c r="D3042">
        <v>6.1052070000000001</v>
      </c>
      <c r="E3042">
        <v>0.35393920000000001</v>
      </c>
      <c r="F3042" t="s">
        <v>61</v>
      </c>
      <c r="G3042">
        <v>-482.10489999999999</v>
      </c>
      <c r="H3042" s="1">
        <v>9.1563040000000002E-7</v>
      </c>
      <c r="I3042">
        <v>205.09350000000001</v>
      </c>
      <c r="J3042">
        <v>-495.5335</v>
      </c>
      <c r="K3042">
        <v>1.1131599999999999</v>
      </c>
      <c r="L3042">
        <v>266.90589999999997</v>
      </c>
      <c r="M3042">
        <v>-0.2417918</v>
      </c>
      <c r="N3042">
        <v>0</v>
      </c>
      <c r="O3042">
        <v>-0.97030590000000005</v>
      </c>
      <c r="P3042">
        <v>-0.1552732</v>
      </c>
      <c r="Q3042">
        <v>-6.478546E-3</v>
      </c>
      <c r="R3042">
        <v>-0.98785040000000002</v>
      </c>
      <c r="S3042">
        <v>0.68206789999999995</v>
      </c>
      <c r="T3042">
        <v>-5.6616069999999998E-2</v>
      </c>
      <c r="U3042">
        <v>-3.1483759999999998</v>
      </c>
      <c r="V3042">
        <v>-8.8190069999999995E-2</v>
      </c>
      <c r="W3042">
        <v>-8.0235089999999897E-4</v>
      </c>
      <c r="X3042">
        <v>0.99610330000000002</v>
      </c>
      <c r="Y3042">
        <v>-0.44173190000000001</v>
      </c>
      <c r="Z3042">
        <v>1.606148E-2</v>
      </c>
      <c r="AA3042">
        <v>0.89700329999999995</v>
      </c>
      <c r="AB3042">
        <v>19</v>
      </c>
      <c r="AC3042">
        <v>13.428599999999999</v>
      </c>
      <c r="AD3042">
        <v>-1.1131590843696</v>
      </c>
      <c r="AE3042">
        <v>-61.812399999999897</v>
      </c>
      <c r="AF3042">
        <v>-27.9675239421633</v>
      </c>
      <c r="AG3042">
        <v>-1.1131590843696</v>
      </c>
      <c r="AH3042">
        <v>56.713672079562002</v>
      </c>
      <c r="AI3042">
        <v>91.008509010744405</v>
      </c>
      <c r="AJ3042">
        <v>116.249541640684</v>
      </c>
      <c r="AK3042">
        <v>63.244463151731203</v>
      </c>
      <c r="AL3042">
        <v>90.045971327110607</v>
      </c>
      <c r="AM3042">
        <v>95.059493517136602</v>
      </c>
      <c r="AN3042">
        <v>0.99999995824222898</v>
      </c>
    </row>
    <row r="3043" spans="1:40" x14ac:dyDescent="0.25">
      <c r="A3043" t="str">
        <f>"20190312160659312"</f>
        <v>20190312160659312</v>
      </c>
      <c r="B3043" t="str">
        <f>"1552378019307548"</f>
        <v>1552378019307548</v>
      </c>
      <c r="C3043" t="s">
        <v>40</v>
      </c>
      <c r="D3043">
        <v>6.0791490000000001</v>
      </c>
      <c r="E3043">
        <v>0.35485699999999998</v>
      </c>
      <c r="F3043" t="s">
        <v>61</v>
      </c>
      <c r="G3043">
        <v>-482.24099999999999</v>
      </c>
      <c r="H3043" s="1">
        <v>1.035253E-6</v>
      </c>
      <c r="I3043">
        <v>205.9058</v>
      </c>
      <c r="J3043">
        <v>-495.55169999999998</v>
      </c>
      <c r="K3043">
        <v>1.1131420000000001</v>
      </c>
      <c r="L3043">
        <v>266.81360000000001</v>
      </c>
      <c r="M3043">
        <v>-0.2375921</v>
      </c>
      <c r="N3043">
        <v>0</v>
      </c>
      <c r="O3043">
        <v>-0.97134279999999995</v>
      </c>
      <c r="P3043">
        <v>-0.15120529999999999</v>
      </c>
      <c r="Q3043">
        <v>-5.9801079999999996E-3</v>
      </c>
      <c r="R3043">
        <v>-0.98848440000000004</v>
      </c>
      <c r="S3043">
        <v>0.68515009999999998</v>
      </c>
      <c r="T3043">
        <v>-5.7376740000000002E-2</v>
      </c>
      <c r="U3043">
        <v>-3.144196</v>
      </c>
      <c r="V3043">
        <v>-8.7987289999999996E-2</v>
      </c>
      <c r="W3043">
        <v>-3.0514849999999999E-4</v>
      </c>
      <c r="X3043">
        <v>0.99612149999999999</v>
      </c>
      <c r="Y3043">
        <v>-0.4389344</v>
      </c>
      <c r="Z3043">
        <v>1.633743E-2</v>
      </c>
      <c r="AA3043">
        <v>0.89837060000000002</v>
      </c>
      <c r="AB3043">
        <v>19</v>
      </c>
      <c r="AC3043">
        <v>13.310699999999899</v>
      </c>
      <c r="AD3043">
        <v>-1.1131409647470001</v>
      </c>
      <c r="AE3043">
        <v>-60.907800000000002</v>
      </c>
      <c r="AF3043">
        <v>-27.392323857203401</v>
      </c>
      <c r="AG3043">
        <v>-1.1131409647470001</v>
      </c>
      <c r="AH3043">
        <v>55.983197907083998</v>
      </c>
      <c r="AI3043">
        <v>91.023202092591006</v>
      </c>
      <c r="AJ3043">
        <v>116.07229281479199</v>
      </c>
      <c r="AK3043">
        <v>62.335358641857901</v>
      </c>
      <c r="AL3043">
        <v>90.017483722328294</v>
      </c>
      <c r="AM3043">
        <v>95.047828383958503</v>
      </c>
      <c r="AN3043">
        <v>0.99999994953969895</v>
      </c>
    </row>
    <row r="3044" spans="1:40" x14ac:dyDescent="0.25">
      <c r="A3044" t="str">
        <f>"20190312160659325"</f>
        <v>20190312160659325</v>
      </c>
      <c r="B3044" t="str">
        <f>"1552378019318284"</f>
        <v>1552378019318284</v>
      </c>
      <c r="C3044" t="s">
        <v>40</v>
      </c>
      <c r="D3044">
        <v>10.02796</v>
      </c>
      <c r="E3044">
        <v>0.35485699999999998</v>
      </c>
      <c r="F3044" t="s">
        <v>61</v>
      </c>
      <c r="G3044">
        <v>-482.52789999999999</v>
      </c>
      <c r="H3044" s="1">
        <v>1.29096E-6</v>
      </c>
      <c r="I3044">
        <v>207.64490000000001</v>
      </c>
      <c r="J3044">
        <v>-495.5693</v>
      </c>
      <c r="K3044">
        <v>1.1131200000000001</v>
      </c>
      <c r="L3044">
        <v>266.72070000000002</v>
      </c>
      <c r="M3044">
        <v>-0.2334328</v>
      </c>
      <c r="N3044">
        <v>0</v>
      </c>
      <c r="O3044">
        <v>-0.97235090000000002</v>
      </c>
      <c r="P3044">
        <v>-0.14706329999999901</v>
      </c>
      <c r="Q3044">
        <v>-5.8278779999999999E-3</v>
      </c>
      <c r="R3044">
        <v>-0.98911020000000005</v>
      </c>
      <c r="S3044">
        <v>0.69122309999999998</v>
      </c>
      <c r="T3044">
        <v>-5.9078810000000002E-2</v>
      </c>
      <c r="U3044">
        <v>-3.14032</v>
      </c>
      <c r="V3044">
        <v>-8.7898459999999998E-2</v>
      </c>
      <c r="W3044">
        <v>-1.546691E-4</v>
      </c>
      <c r="X3044">
        <v>0.9961295</v>
      </c>
      <c r="Y3044">
        <v>-0.43697419999999998</v>
      </c>
      <c r="Z3044">
        <v>1.687603E-2</v>
      </c>
      <c r="AA3044">
        <v>0.89931569999999905</v>
      </c>
      <c r="AB3044">
        <v>19</v>
      </c>
      <c r="AC3044">
        <v>13.041399999999999</v>
      </c>
      <c r="AD3044">
        <v>-1.1131187090400001</v>
      </c>
      <c r="AE3044">
        <v>-59.075800000000001</v>
      </c>
      <c r="AF3044">
        <v>-26.462655231281101</v>
      </c>
      <c r="AG3044">
        <v>-1.1131187090400001</v>
      </c>
      <c r="AH3044">
        <v>54.380872822854798</v>
      </c>
      <c r="AI3044">
        <v>91.054435112274405</v>
      </c>
      <c r="AJ3044">
        <v>115.94834029651101</v>
      </c>
      <c r="AK3044">
        <v>60.487936682660802</v>
      </c>
      <c r="AL3044">
        <v>90.008861886048507</v>
      </c>
      <c r="AM3044">
        <v>95.042718209217497</v>
      </c>
      <c r="AN3044">
        <v>1.00000007198157</v>
      </c>
    </row>
    <row r="3045" spans="1:40" x14ac:dyDescent="0.25">
      <c r="A3045" t="str">
        <f>"20190312160659336"</f>
        <v>20190312160659336</v>
      </c>
      <c r="B3045" t="str">
        <f>"1552378019328044"</f>
        <v>1552378019328044</v>
      </c>
      <c r="C3045" t="s">
        <v>40</v>
      </c>
      <c r="D3045">
        <v>6.0811229999999998</v>
      </c>
      <c r="E3045">
        <v>0.36383690000000002</v>
      </c>
      <c r="F3045" t="s">
        <v>61</v>
      </c>
      <c r="G3045">
        <v>-482.12079999999997</v>
      </c>
      <c r="H3045" s="1">
        <v>1.1422020000000001E-6</v>
      </c>
      <c r="I3045">
        <v>206.79409999999999</v>
      </c>
      <c r="J3045">
        <v>-495.58800000000002</v>
      </c>
      <c r="K3045">
        <v>1.113092</v>
      </c>
      <c r="L3045">
        <v>266.62189999999998</v>
      </c>
      <c r="M3045">
        <v>-0.22903380000000001</v>
      </c>
      <c r="N3045">
        <v>0</v>
      </c>
      <c r="O3045">
        <v>-0.97339629999999999</v>
      </c>
      <c r="P3045">
        <v>-0.14260129999999999</v>
      </c>
      <c r="Q3045">
        <v>-5.3165740000000001E-3</v>
      </c>
      <c r="R3045">
        <v>-0.98976589999999998</v>
      </c>
      <c r="S3045">
        <v>0.704071</v>
      </c>
      <c r="T3045">
        <v>-5.8274979999999997E-2</v>
      </c>
      <c r="U3045">
        <v>-3.1373289999999998</v>
      </c>
      <c r="V3045">
        <v>-8.7892289999999998E-2</v>
      </c>
      <c r="W3045">
        <v>3.5411520000000002E-4</v>
      </c>
      <c r="X3045">
        <v>0.99612990000000001</v>
      </c>
      <c r="Y3045">
        <v>-0.43659740000000002</v>
      </c>
      <c r="Z3045">
        <v>1.6685370000000001E-2</v>
      </c>
      <c r="AA3045">
        <v>0.89950229999999998</v>
      </c>
      <c r="AB3045">
        <v>19</v>
      </c>
      <c r="AC3045">
        <v>13.4672</v>
      </c>
      <c r="AD3045">
        <v>-1.1130908577980001</v>
      </c>
      <c r="AE3045">
        <v>-59.827800000000003</v>
      </c>
      <c r="AF3045">
        <v>-26.803259341343701</v>
      </c>
      <c r="AG3045">
        <v>-1.1130908577980001</v>
      </c>
      <c r="AH3045">
        <v>55.134741305670502</v>
      </c>
      <c r="AI3045">
        <v>91.040189445876607</v>
      </c>
      <c r="AJ3045">
        <v>115.926287572109</v>
      </c>
      <c r="AK3045">
        <v>61.3147077088381</v>
      </c>
      <c r="AL3045">
        <v>89.979710692725504</v>
      </c>
      <c r="AM3045">
        <v>95.042364048044803</v>
      </c>
      <c r="AN3045">
        <v>0.99999997885651404</v>
      </c>
    </row>
    <row r="3046" spans="1:40" x14ac:dyDescent="0.25">
      <c r="A3046" t="str">
        <f>"20190312160659348"</f>
        <v>20190312160659348</v>
      </c>
      <c r="B3046" t="str">
        <f>"1552378019337805"</f>
        <v>1552378019337805</v>
      </c>
      <c r="C3046" t="s">
        <v>40</v>
      </c>
      <c r="D3046">
        <v>6.2067829999999997</v>
      </c>
      <c r="E3046">
        <v>0.36506080000000002</v>
      </c>
      <c r="F3046" t="s">
        <v>61</v>
      </c>
      <c r="G3046">
        <v>-485.88830000000002</v>
      </c>
      <c r="H3046" s="1">
        <v>2.8705479999999999E-6</v>
      </c>
      <c r="I3046">
        <v>219.876</v>
      </c>
      <c r="J3046">
        <v>-495.60570000000001</v>
      </c>
      <c r="K3046">
        <v>1.1130610000000001</v>
      </c>
      <c r="L3046">
        <v>266.52480000000003</v>
      </c>
      <c r="M3046">
        <v>-0.22478239999999999</v>
      </c>
      <c r="N3046">
        <v>0</v>
      </c>
      <c r="O3046">
        <v>-0.97438689999999994</v>
      </c>
      <c r="P3046">
        <v>-0.13836270000000001</v>
      </c>
      <c r="Q3046">
        <v>-5.466538E-3</v>
      </c>
      <c r="R3046">
        <v>-0.99036650000000004</v>
      </c>
      <c r="S3046">
        <v>0.64822389999999996</v>
      </c>
      <c r="T3046">
        <v>-7.4387670000000003E-2</v>
      </c>
      <c r="U3046">
        <v>-3.1240230000000002</v>
      </c>
      <c r="V3046">
        <v>-8.7806309999999999E-2</v>
      </c>
      <c r="W3046">
        <v>2.0343459999999999E-4</v>
      </c>
      <c r="X3046">
        <v>0.99613759999999996</v>
      </c>
      <c r="Y3046">
        <v>-0.41801709999999898</v>
      </c>
      <c r="Z3046">
        <v>2.1564400000000001E-2</v>
      </c>
      <c r="AA3046">
        <v>0.90818319999999997</v>
      </c>
      <c r="AB3046">
        <v>19</v>
      </c>
      <c r="AC3046">
        <v>9.7173999999999907</v>
      </c>
      <c r="AD3046">
        <v>-1.1130581294519999</v>
      </c>
      <c r="AE3046">
        <v>-46.648800000000001</v>
      </c>
      <c r="AF3046">
        <v>-19.943883735161702</v>
      </c>
      <c r="AG3046">
        <v>-1.1130581294519999</v>
      </c>
      <c r="AH3046">
        <v>43.247013023623197</v>
      </c>
      <c r="AI3046">
        <v>91.338856093147399</v>
      </c>
      <c r="AJ3046">
        <v>114.757361358284</v>
      </c>
      <c r="AK3046">
        <v>47.637186444065101</v>
      </c>
      <c r="AL3046">
        <v>89.988344056559697</v>
      </c>
      <c r="AM3046">
        <v>95.037418045803406</v>
      </c>
      <c r="AN3046">
        <v>1.0000000537975999</v>
      </c>
    </row>
    <row r="3047" spans="1:40" x14ac:dyDescent="0.25">
      <c r="A3047" t="str">
        <f>"20190312160659362"</f>
        <v>20190312160659362</v>
      </c>
      <c r="B3047" t="str">
        <f>"1552378019358300"</f>
        <v>1552378019358300</v>
      </c>
      <c r="C3047" t="s">
        <v>40</v>
      </c>
      <c r="D3047">
        <v>6.2014529999999999</v>
      </c>
      <c r="E3047">
        <v>0.36398970000000003</v>
      </c>
      <c r="F3047" t="s">
        <v>61</v>
      </c>
      <c r="G3047">
        <v>-486.6848</v>
      </c>
      <c r="H3047" s="1">
        <v>4.1125E-6</v>
      </c>
      <c r="I3047">
        <v>223.82320000000001</v>
      </c>
      <c r="J3047">
        <v>-495.62540000000001</v>
      </c>
      <c r="K3047">
        <v>1.113027</v>
      </c>
      <c r="L3047">
        <v>266.41489999999999</v>
      </c>
      <c r="M3047">
        <v>-0.22002150000000001</v>
      </c>
      <c r="N3047">
        <v>0</v>
      </c>
      <c r="O3047">
        <v>-0.97547309999999998</v>
      </c>
      <c r="P3047">
        <v>-0.13373929999999901</v>
      </c>
      <c r="Q3047">
        <v>-5.3200390000000004E-3</v>
      </c>
      <c r="R3047">
        <v>-0.99100239999999995</v>
      </c>
      <c r="S3047">
        <v>0.65176389999999995</v>
      </c>
      <c r="T3047">
        <v>-8.1320050000000005E-2</v>
      </c>
      <c r="U3047">
        <v>-3.1197810000000001</v>
      </c>
      <c r="V3047">
        <v>-8.7592089999999997E-2</v>
      </c>
      <c r="W3047">
        <v>3.5030050000000001E-4</v>
      </c>
      <c r="X3047">
        <v>0.99615640000000005</v>
      </c>
      <c r="Y3047">
        <v>-0.41480139999999999</v>
      </c>
      <c r="Z3047">
        <v>2.3662849999999999E-2</v>
      </c>
      <c r="AA3047">
        <v>0.90960430000000003</v>
      </c>
      <c r="AB3047">
        <v>19</v>
      </c>
      <c r="AC3047">
        <v>8.9406000000000105</v>
      </c>
      <c r="AD3047">
        <v>-1.1130228874999999</v>
      </c>
      <c r="AE3047">
        <v>-42.591699999999904</v>
      </c>
      <c r="AF3047">
        <v>-18.080965039332099</v>
      </c>
      <c r="AG3047">
        <v>-1.1130228874999999</v>
      </c>
      <c r="AH3047">
        <v>39.554907778246502</v>
      </c>
      <c r="AI3047">
        <v>91.465977784787597</v>
      </c>
      <c r="AJ3047">
        <v>114.565639475295</v>
      </c>
      <c r="AK3047">
        <v>43.505756470233102</v>
      </c>
      <c r="AL3047">
        <v>89.979929260082699</v>
      </c>
      <c r="AM3047">
        <v>95.025096969121904</v>
      </c>
      <c r="AN3047">
        <v>1.0000000351009799</v>
      </c>
    </row>
    <row r="3048" spans="1:40" x14ac:dyDescent="0.25">
      <c r="A3048" t="str">
        <f>"20190312160659375"</f>
        <v>20190312160659375</v>
      </c>
      <c r="B3048" t="str">
        <f>"1552378019368569"</f>
        <v>1552378019368569</v>
      </c>
      <c r="C3048" t="s">
        <v>40</v>
      </c>
      <c r="D3048">
        <v>6.1614649999999997</v>
      </c>
      <c r="E3048">
        <v>0.3343217</v>
      </c>
      <c r="F3048" t="s">
        <v>61</v>
      </c>
      <c r="G3048">
        <v>-485.62819999999999</v>
      </c>
      <c r="H3048" s="1">
        <v>2.8942409999999998E-6</v>
      </c>
      <c r="I3048">
        <v>220.1919</v>
      </c>
      <c r="J3048">
        <v>-495.6454</v>
      </c>
      <c r="K3048">
        <v>1.112992</v>
      </c>
      <c r="L3048">
        <v>266.30130000000003</v>
      </c>
      <c r="M3048">
        <v>-0.21514220000000001</v>
      </c>
      <c r="N3048">
        <v>0</v>
      </c>
      <c r="O3048">
        <v>-0.97656080000000001</v>
      </c>
      <c r="P3048">
        <v>-0.12863350000000001</v>
      </c>
      <c r="Q3048">
        <v>-5.181929E-3</v>
      </c>
      <c r="R3048">
        <v>-0.99167839999999996</v>
      </c>
      <c r="S3048">
        <v>0.67434689999999997</v>
      </c>
      <c r="T3048">
        <v>-7.5077649999999996E-2</v>
      </c>
      <c r="U3048">
        <v>-3.1179199999999998</v>
      </c>
      <c r="V3048">
        <v>-8.7744080000000002E-2</v>
      </c>
      <c r="W3048">
        <v>4.8572220000000002E-4</v>
      </c>
      <c r="X3048">
        <v>0.99614290000000005</v>
      </c>
      <c r="Y3048">
        <v>-0.41667310000000002</v>
      </c>
      <c r="Z3048">
        <v>2.1872849999999999E-2</v>
      </c>
      <c r="AA3048">
        <v>0.90879319999999997</v>
      </c>
      <c r="AB3048">
        <v>19</v>
      </c>
      <c r="AC3048">
        <v>10.017200000000001</v>
      </c>
      <c r="AD3048">
        <v>-1.112989105759</v>
      </c>
      <c r="AE3048">
        <v>-46.109400000000001</v>
      </c>
      <c r="AF3048">
        <v>-19.6919483380847</v>
      </c>
      <c r="AG3048">
        <v>-1.112989105759</v>
      </c>
      <c r="AH3048">
        <v>42.850587060985198</v>
      </c>
      <c r="AI3048">
        <v>91.351981805001202</v>
      </c>
      <c r="AJ3048">
        <v>114.681103389035</v>
      </c>
      <c r="AK3048">
        <v>47.171860102930097</v>
      </c>
      <c r="AL3048">
        <v>89.972170165949294</v>
      </c>
      <c r="AM3048">
        <v>95.033839636541401</v>
      </c>
      <c r="AN3048">
        <v>0.999999968360755</v>
      </c>
    </row>
    <row r="3049" spans="1:40" x14ac:dyDescent="0.25">
      <c r="A3049" t="str">
        <f>"20190312160659392"</f>
        <v>20190312160659392</v>
      </c>
      <c r="B3049" t="str">
        <f>"1552378019388089"</f>
        <v>1552378019388089</v>
      </c>
      <c r="C3049" t="s">
        <v>40</v>
      </c>
      <c r="D3049">
        <v>6.1280729999999997</v>
      </c>
      <c r="E3049">
        <v>0.32775949999999998</v>
      </c>
      <c r="F3049" t="s">
        <v>61</v>
      </c>
      <c r="G3049">
        <v>-481.5795</v>
      </c>
      <c r="H3049" s="1">
        <v>1.998992E-6</v>
      </c>
      <c r="I3049">
        <v>218.47649999999999</v>
      </c>
      <c r="J3049">
        <v>-495.6687</v>
      </c>
      <c r="K3049">
        <v>1.1129450000000001</v>
      </c>
      <c r="L3049">
        <v>266.16410000000002</v>
      </c>
      <c r="M3049">
        <v>-0.20936940000000001</v>
      </c>
      <c r="N3049">
        <v>0</v>
      </c>
      <c r="O3049">
        <v>-0.97781499999999999</v>
      </c>
      <c r="P3049">
        <v>-0.12285989999999999</v>
      </c>
      <c r="Q3049">
        <v>-4.6505890000000001E-3</v>
      </c>
      <c r="R3049">
        <v>-0.99241330000000005</v>
      </c>
      <c r="S3049">
        <v>0.92492680000000005</v>
      </c>
      <c r="T3049">
        <v>-7.3186639999999997E-2</v>
      </c>
      <c r="U3049">
        <v>-3.144806</v>
      </c>
      <c r="V3049">
        <v>-8.7661870000000003E-2</v>
      </c>
      <c r="W3049">
        <v>1.017872E-3</v>
      </c>
      <c r="X3049">
        <v>0.99614979999999997</v>
      </c>
      <c r="Y3049">
        <v>-0.47670970000000001</v>
      </c>
      <c r="Z3049">
        <v>2.064065E-2</v>
      </c>
      <c r="AA3049">
        <v>0.87881849999999995</v>
      </c>
      <c r="AB3049">
        <v>19</v>
      </c>
      <c r="AC3049">
        <v>14.0892</v>
      </c>
      <c r="AD3049">
        <v>-1.1129430010079999</v>
      </c>
      <c r="AE3049">
        <v>-47.687600000000003</v>
      </c>
      <c r="AF3049">
        <v>-23.749560406199201</v>
      </c>
      <c r="AG3049">
        <v>-1.1129430010079999</v>
      </c>
      <c r="AH3049">
        <v>43.658855996191498</v>
      </c>
      <c r="AI3049">
        <v>91.282810274849894</v>
      </c>
      <c r="AJ3049">
        <v>118.54532260916299</v>
      </c>
      <c r="AK3049">
        <v>49.712935625522903</v>
      </c>
      <c r="AL3049">
        <v>89.941680222098199</v>
      </c>
      <c r="AM3049">
        <v>95.029112826719199</v>
      </c>
      <c r="AN3049">
        <v>1.0000000317776701</v>
      </c>
    </row>
    <row r="3050" spans="1:40" x14ac:dyDescent="0.25">
      <c r="A3050" t="str">
        <f>"20190312160659405"</f>
        <v>20190312160659405</v>
      </c>
      <c r="B3050" t="str">
        <f>"1552378019397849"</f>
        <v>1552378019397849</v>
      </c>
      <c r="C3050" t="s">
        <v>40</v>
      </c>
      <c r="D3050">
        <v>6.1099100000000002</v>
      </c>
      <c r="E3050">
        <v>0.3261558</v>
      </c>
      <c r="F3050" t="s">
        <v>61</v>
      </c>
      <c r="G3050">
        <v>-483.33</v>
      </c>
      <c r="H3050" s="1">
        <v>4.1772049999999999E-6</v>
      </c>
      <c r="I3050">
        <v>227.16220000000001</v>
      </c>
      <c r="J3050">
        <v>-495.6875</v>
      </c>
      <c r="K3050">
        <v>1.1129089999999999</v>
      </c>
      <c r="L3050">
        <v>266.05</v>
      </c>
      <c r="M3050">
        <v>-0.20464660000000001</v>
      </c>
      <c r="N3050">
        <v>0</v>
      </c>
      <c r="O3050">
        <v>-0.97881419999999997</v>
      </c>
      <c r="P3050">
        <v>-0.1182168</v>
      </c>
      <c r="Q3050">
        <v>-4.8798909999999999E-3</v>
      </c>
      <c r="R3050">
        <v>-0.99297610000000003</v>
      </c>
      <c r="S3050">
        <v>0.99517820000000001</v>
      </c>
      <c r="T3050">
        <v>-8.9763880000000004E-2</v>
      </c>
      <c r="U3050">
        <v>-3.1456909999999998</v>
      </c>
      <c r="V3050">
        <v>-8.7510379999999999E-2</v>
      </c>
      <c r="W3050">
        <v>7.8994429999999902E-4</v>
      </c>
      <c r="X3050">
        <v>0.99616329999999997</v>
      </c>
      <c r="Y3050">
        <v>-0.49026130000000001</v>
      </c>
      <c r="Z3050">
        <v>2.5162790000000001E-2</v>
      </c>
      <c r="AA3050">
        <v>0.87121219999999999</v>
      </c>
      <c r="AB3050">
        <v>19</v>
      </c>
      <c r="AC3050">
        <v>12.3575</v>
      </c>
      <c r="AD3050">
        <v>-1.112904822795</v>
      </c>
      <c r="AE3050">
        <v>-38.887799999999999</v>
      </c>
      <c r="AF3050">
        <v>-20.039471793888499</v>
      </c>
      <c r="AG3050">
        <v>-1.112904822795</v>
      </c>
      <c r="AH3050">
        <v>35.509351054931798</v>
      </c>
      <c r="AI3050">
        <v>91.563481478850605</v>
      </c>
      <c r="AJ3050">
        <v>119.437927961038</v>
      </c>
      <c r="AK3050">
        <v>40.788883280436202</v>
      </c>
      <c r="AL3050">
        <v>89.954739521098702</v>
      </c>
      <c r="AM3050">
        <v>95.020398695019495</v>
      </c>
      <c r="AN3050">
        <v>1.00000000544331</v>
      </c>
    </row>
    <row r="3051" spans="1:40" x14ac:dyDescent="0.25">
      <c r="A3051" t="str">
        <f>"20190312160659417"</f>
        <v>20190312160659417</v>
      </c>
      <c r="B3051" t="str">
        <f>"1552378019408585"</f>
        <v>1552378019408585</v>
      </c>
      <c r="C3051" t="s">
        <v>40</v>
      </c>
      <c r="D3051">
        <v>6.1249120000000001</v>
      </c>
      <c r="E3051">
        <v>0.32544260000000003</v>
      </c>
      <c r="F3051" t="s">
        <v>61</v>
      </c>
      <c r="G3051">
        <v>-482.78489999999999</v>
      </c>
      <c r="H3051" s="1">
        <v>3.8885250000000002E-6</v>
      </c>
      <c r="I3051">
        <v>226.40309999999999</v>
      </c>
      <c r="J3051">
        <v>-495.7029</v>
      </c>
      <c r="K3051">
        <v>1.1128819999999999</v>
      </c>
      <c r="L3051">
        <v>265.95499999999998</v>
      </c>
      <c r="M3051">
        <v>-0.20074890000000001</v>
      </c>
      <c r="N3051">
        <v>0</v>
      </c>
      <c r="O3051">
        <v>-0.97962110000000002</v>
      </c>
      <c r="P3051">
        <v>-0.1145753</v>
      </c>
      <c r="Q3051">
        <v>-4.9662480000000004E-3</v>
      </c>
      <c r="R3051">
        <v>-0.99340229999999996</v>
      </c>
      <c r="S3051">
        <v>1.022705</v>
      </c>
      <c r="T3051">
        <v>-8.8212609999999997E-2</v>
      </c>
      <c r="U3051">
        <v>-3.1425480000000001</v>
      </c>
      <c r="V3051">
        <v>-8.7195899999999896E-2</v>
      </c>
      <c r="W3051">
        <v>7.0745149999999995E-4</v>
      </c>
      <c r="X3051">
        <v>0.99619089999999999</v>
      </c>
      <c r="Y3051">
        <v>-0.49396050000000002</v>
      </c>
      <c r="Z3051">
        <v>2.4724340000000001E-2</v>
      </c>
      <c r="AA3051">
        <v>0.86913280000000004</v>
      </c>
      <c r="AB3051">
        <v>19</v>
      </c>
      <c r="AC3051">
        <v>12.917999999999999</v>
      </c>
      <c r="AD3051">
        <v>-1.1128781114749999</v>
      </c>
      <c r="AE3051">
        <v>-39.551899999999897</v>
      </c>
      <c r="AF3051">
        <v>-20.5804592066191</v>
      </c>
      <c r="AG3051">
        <v>-1.1128781114749999</v>
      </c>
      <c r="AH3051">
        <v>36.127522424809399</v>
      </c>
      <c r="AI3051">
        <v>91.533204405201104</v>
      </c>
      <c r="AJ3051">
        <v>119.668500199864</v>
      </c>
      <c r="AK3051">
        <v>41.593168614586503</v>
      </c>
      <c r="AL3051">
        <v>89.959466010135401</v>
      </c>
      <c r="AM3051">
        <v>95.002311052699895</v>
      </c>
      <c r="AN3051">
        <v>0.99999996735362195</v>
      </c>
    </row>
    <row r="3052" spans="1:40" x14ac:dyDescent="0.25">
      <c r="A3052" t="str">
        <f>"20190312160659428"</f>
        <v>20190312160659428</v>
      </c>
      <c r="B3052" t="str">
        <f>"1552378019418346"</f>
        <v>1552378019418346</v>
      </c>
      <c r="C3052" t="s">
        <v>40</v>
      </c>
      <c r="D3052">
        <v>6.1078279999999996</v>
      </c>
      <c r="E3052">
        <v>0.32535819999999999</v>
      </c>
      <c r="F3052" t="s">
        <v>61</v>
      </c>
      <c r="G3052">
        <v>-482.79169999999999</v>
      </c>
      <c r="H3052" s="1">
        <v>4.0205059999999996E-6</v>
      </c>
      <c r="I3052">
        <v>226.9933</v>
      </c>
      <c r="J3052">
        <v>-495.71879999999999</v>
      </c>
      <c r="K3052">
        <v>1.1128469999999999</v>
      </c>
      <c r="L3052">
        <v>265.8546</v>
      </c>
      <c r="M3052">
        <v>-0.19671040000000001</v>
      </c>
      <c r="N3052">
        <v>0</v>
      </c>
      <c r="O3052">
        <v>-0.98044010000000004</v>
      </c>
      <c r="P3052">
        <v>-0.11087569999999999</v>
      </c>
      <c r="Q3052">
        <v>-5.2093529999999999E-3</v>
      </c>
      <c r="R3052">
        <v>-0.99382099999999995</v>
      </c>
      <c r="S3052">
        <v>1.040375</v>
      </c>
      <c r="T3052">
        <v>-8.9674710000000005E-2</v>
      </c>
      <c r="U3052">
        <v>-3.1394959999999998</v>
      </c>
      <c r="V3052">
        <v>-8.6797840000000001E-2</v>
      </c>
      <c r="W3052">
        <v>4.6998660000000002E-4</v>
      </c>
      <c r="X3052">
        <v>0.99622580000000005</v>
      </c>
      <c r="Y3052">
        <v>-0.49503730000000001</v>
      </c>
      <c r="Z3052">
        <v>2.5161570000000001E-2</v>
      </c>
      <c r="AA3052">
        <v>0.86850729999999998</v>
      </c>
      <c r="AB3052">
        <v>19</v>
      </c>
      <c r="AC3052">
        <v>12.9270999999999</v>
      </c>
      <c r="AD3052">
        <v>-1.112842979494</v>
      </c>
      <c r="AE3052">
        <v>-38.8613</v>
      </c>
      <c r="AF3052">
        <v>-20.304106852856901</v>
      </c>
      <c r="AG3052">
        <v>-1.112842979494</v>
      </c>
      <c r="AH3052">
        <v>35.532797503524897</v>
      </c>
      <c r="AI3052">
        <v>91.557626443624201</v>
      </c>
      <c r="AJ3052">
        <v>119.74445723113701</v>
      </c>
      <c r="AK3052">
        <v>40.939893417249401</v>
      </c>
      <c r="AL3052">
        <v>89.973071749465205</v>
      </c>
      <c r="AM3052">
        <v>94.979416400140906</v>
      </c>
      <c r="AN3052">
        <v>0.99999996525085399</v>
      </c>
    </row>
    <row r="3053" spans="1:40" x14ac:dyDescent="0.25">
      <c r="A3053" t="str">
        <f>"20190312160659439"</f>
        <v>20190312160659439</v>
      </c>
      <c r="B3053" t="str">
        <f>"1552378019428106"</f>
        <v>1552378019428106</v>
      </c>
      <c r="C3053" t="s">
        <v>40</v>
      </c>
      <c r="D3053">
        <v>6.0784989999999999</v>
      </c>
      <c r="E3053">
        <v>0.32571109999999998</v>
      </c>
      <c r="F3053" t="s">
        <v>61</v>
      </c>
      <c r="G3053">
        <v>-483.13170000000002</v>
      </c>
      <c r="H3053" s="1">
        <v>4.4292389999999999E-6</v>
      </c>
      <c r="I3053">
        <v>228.36590000000001</v>
      </c>
      <c r="J3053">
        <v>-495.73230000000001</v>
      </c>
      <c r="K3053">
        <v>1.1128129999999901</v>
      </c>
      <c r="L3053">
        <v>265.767</v>
      </c>
      <c r="M3053">
        <v>-0.1932249</v>
      </c>
      <c r="N3053">
        <v>0</v>
      </c>
      <c r="O3053">
        <v>-0.98113309999999998</v>
      </c>
      <c r="P3053">
        <v>-0.10763399999999999</v>
      </c>
      <c r="Q3053">
        <v>-5.2336379999999997E-3</v>
      </c>
      <c r="R3053">
        <v>-0.99417719999999998</v>
      </c>
      <c r="S3053">
        <v>1.0527949999999999</v>
      </c>
      <c r="T3053">
        <v>-9.3079919999999997E-2</v>
      </c>
      <c r="U3053">
        <v>-3.1356199999999999</v>
      </c>
      <c r="V3053">
        <v>-8.6506169999999993E-2</v>
      </c>
      <c r="W3053">
        <v>4.4995940000000002E-4</v>
      </c>
      <c r="X3053">
        <v>0.9962512</v>
      </c>
      <c r="Y3053">
        <v>-0.4953572</v>
      </c>
      <c r="Z3053">
        <v>2.6158669999999998E-2</v>
      </c>
      <c r="AA3053">
        <v>0.86829539999999905</v>
      </c>
      <c r="AB3053">
        <v>19</v>
      </c>
      <c r="AC3053">
        <v>12.600599999999901</v>
      </c>
      <c r="AD3053">
        <v>-1.11280857076099</v>
      </c>
      <c r="AE3053">
        <v>-37.4010999999999</v>
      </c>
      <c r="AF3053">
        <v>-19.574538505105298</v>
      </c>
      <c r="AG3053">
        <v>-1.11280857076099</v>
      </c>
      <c r="AH3053">
        <v>34.234209622253303</v>
      </c>
      <c r="AI3053">
        <v>91.616376774735897</v>
      </c>
      <c r="AJ3053">
        <v>119.760186784824</v>
      </c>
      <c r="AK3053">
        <v>39.451007706564297</v>
      </c>
      <c r="AL3053">
        <v>89.974219224215105</v>
      </c>
      <c r="AM3053">
        <v>94.962641689918897</v>
      </c>
      <c r="AN3053">
        <v>0.99999998670648504</v>
      </c>
    </row>
    <row r="3054" spans="1:40" x14ac:dyDescent="0.25">
      <c r="A3054" t="str">
        <f>"20190312160659450"</f>
        <v>20190312160659450</v>
      </c>
      <c r="B3054" t="str">
        <f>"1552378019437865"</f>
        <v>1552378019437865</v>
      </c>
      <c r="C3054" t="s">
        <v>40</v>
      </c>
      <c r="D3054">
        <v>6.0715830000000004</v>
      </c>
      <c r="E3054">
        <v>0.32602779999999998</v>
      </c>
      <c r="F3054" t="s">
        <v>47</v>
      </c>
      <c r="G3054">
        <v>-483.56470000000002</v>
      </c>
      <c r="H3054" s="1">
        <v>-1.770346E-6</v>
      </c>
      <c r="I3054">
        <v>229.81870000000001</v>
      </c>
      <c r="J3054">
        <v>-495.7466</v>
      </c>
      <c r="K3054">
        <v>1.112776</v>
      </c>
      <c r="L3054">
        <v>265.67259999999999</v>
      </c>
      <c r="M3054">
        <v>-0.18952179999999999</v>
      </c>
      <c r="N3054">
        <v>0</v>
      </c>
      <c r="O3054">
        <v>-0.98185500000000003</v>
      </c>
      <c r="P3054">
        <v>-0.1042452</v>
      </c>
      <c r="Q3054">
        <v>-5.5641270000000003E-3</v>
      </c>
      <c r="R3054">
        <v>-0.99453579999999997</v>
      </c>
      <c r="S3054">
        <v>1.0600590000000001</v>
      </c>
      <c r="T3054">
        <v>-9.6950170000000002E-2</v>
      </c>
      <c r="U3054">
        <v>-3.131866</v>
      </c>
      <c r="V3054">
        <v>-8.6138950000000006E-2</v>
      </c>
      <c r="W3054">
        <v>1.2523330000000001E-4</v>
      </c>
      <c r="X3054">
        <v>0.99628309999999998</v>
      </c>
      <c r="Y3054">
        <v>-0.4941913</v>
      </c>
      <c r="Z3054">
        <v>2.730952E-2</v>
      </c>
      <c r="AA3054">
        <v>0.86892409999999998</v>
      </c>
      <c r="AB3054">
        <v>19</v>
      </c>
      <c r="AC3054">
        <v>12.181899999999899</v>
      </c>
      <c r="AD3054">
        <v>-1.112777770346</v>
      </c>
      <c r="AE3054">
        <v>-35.853899999999904</v>
      </c>
      <c r="AF3054">
        <v>-18.740167832034199</v>
      </c>
      <c r="AG3054">
        <v>-1.112777770346</v>
      </c>
      <c r="AH3054">
        <v>32.866907339091398</v>
      </c>
      <c r="AI3054">
        <v>91.684694715242401</v>
      </c>
      <c r="AJ3054">
        <v>119.69107451245</v>
      </c>
      <c r="AK3054">
        <v>37.850571498663101</v>
      </c>
      <c r="AL3054">
        <v>89.992824660256403</v>
      </c>
      <c r="AM3054">
        <v>94.941522295123804</v>
      </c>
      <c r="AN3054">
        <v>0.99999997486804504</v>
      </c>
    </row>
    <row r="3055" spans="1:40" x14ac:dyDescent="0.25">
      <c r="A3055" t="str">
        <f>"20190312160659463"</f>
        <v>20190312160659463</v>
      </c>
      <c r="B3055" t="str">
        <f>"1552378019458362"</f>
        <v>1552378019458362</v>
      </c>
      <c r="C3055" t="s">
        <v>40</v>
      </c>
      <c r="D3055">
        <v>5.5747939999999998</v>
      </c>
      <c r="E3055">
        <v>0.32593040000000001</v>
      </c>
      <c r="F3055" t="s">
        <v>47</v>
      </c>
      <c r="G3055">
        <v>-484.01510000000002</v>
      </c>
      <c r="H3055" s="1">
        <v>-2.1581670000000001E-6</v>
      </c>
      <c r="I3055">
        <v>231.31049999999999</v>
      </c>
      <c r="J3055">
        <v>-495.76190000000003</v>
      </c>
      <c r="K3055">
        <v>1.1127309999999999</v>
      </c>
      <c r="L3055">
        <v>265.56950000000001</v>
      </c>
      <c r="M3055">
        <v>-0.18555089999999999</v>
      </c>
      <c r="N3055">
        <v>0</v>
      </c>
      <c r="O3055">
        <v>-0.98261330000000002</v>
      </c>
      <c r="P3055">
        <v>-0.1006493</v>
      </c>
      <c r="Q3055">
        <v>-5.6851250000000001E-3</v>
      </c>
      <c r="R3055">
        <v>-0.99490579999999995</v>
      </c>
      <c r="S3055">
        <v>1.067871</v>
      </c>
      <c r="T3055">
        <v>-0.1012917</v>
      </c>
      <c r="U3055">
        <v>-3.1278380000000001</v>
      </c>
      <c r="V3055">
        <v>-8.5711869999999996E-2</v>
      </c>
      <c r="W3055" s="1">
        <v>1.085517E-5</v>
      </c>
      <c r="X3055">
        <v>0.99631990000000004</v>
      </c>
      <c r="Y3055">
        <v>-0.49294929999999898</v>
      </c>
      <c r="Z3055">
        <v>2.8602249999999999E-2</v>
      </c>
      <c r="AA3055">
        <v>0.86958780000000002</v>
      </c>
      <c r="AB3055">
        <v>19</v>
      </c>
      <c r="AC3055">
        <v>11.7468</v>
      </c>
      <c r="AD3055">
        <v>-1.1127331581669999</v>
      </c>
      <c r="AE3055">
        <v>-34.259</v>
      </c>
      <c r="AF3055">
        <v>-17.8828449033517</v>
      </c>
      <c r="AG3055">
        <v>-1.1127331581669999</v>
      </c>
      <c r="AH3055">
        <v>31.454688064520301</v>
      </c>
      <c r="AI3055">
        <v>91.761468490864502</v>
      </c>
      <c r="AJ3055">
        <v>119.619406913361</v>
      </c>
      <c r="AK3055">
        <v>36.199885609693503</v>
      </c>
      <c r="AL3055">
        <v>89.999378044531994</v>
      </c>
      <c r="AM3055">
        <v>94.916961739869507</v>
      </c>
      <c r="AN3055">
        <v>0.99999993395636799</v>
      </c>
    </row>
    <row r="3056" spans="1:40" x14ac:dyDescent="0.25">
      <c r="A3056" t="str">
        <f>"20190312160659474"</f>
        <v>20190312160659474</v>
      </c>
      <c r="B3056" t="str">
        <f>"1552378019468628"</f>
        <v>1552378019468628</v>
      </c>
      <c r="C3056" t="s">
        <v>40</v>
      </c>
      <c r="D3056">
        <v>6.0705309999999999</v>
      </c>
      <c r="E3056">
        <v>0.32580100000000001</v>
      </c>
      <c r="F3056" t="s">
        <v>47</v>
      </c>
      <c r="G3056">
        <v>-483.60489999999999</v>
      </c>
      <c r="H3056" s="1">
        <v>-1.956347E-6</v>
      </c>
      <c r="I3056">
        <v>230.39680000000001</v>
      </c>
      <c r="J3056">
        <v>-495.77699999999999</v>
      </c>
      <c r="K3056">
        <v>1.1126860000000001</v>
      </c>
      <c r="L3056">
        <v>265.46600000000001</v>
      </c>
      <c r="M3056">
        <v>-0.1816092</v>
      </c>
      <c r="N3056">
        <v>0</v>
      </c>
      <c r="O3056">
        <v>-0.98334949999999999</v>
      </c>
      <c r="P3056">
        <v>-9.6781069999999997E-2</v>
      </c>
      <c r="Q3056">
        <v>-5.9361369999999898E-3</v>
      </c>
      <c r="R3056">
        <v>-0.99528810000000001</v>
      </c>
      <c r="S3056">
        <v>1.0797730000000001</v>
      </c>
      <c r="T3056">
        <v>-9.8832489999999995E-2</v>
      </c>
      <c r="U3056">
        <v>-3.1240230000000002</v>
      </c>
      <c r="V3056">
        <v>-8.5587399999999994E-2</v>
      </c>
      <c r="W3056">
        <v>-2.3562950000000001E-4</v>
      </c>
      <c r="X3056">
        <v>0.99633059999999996</v>
      </c>
      <c r="Y3056">
        <v>-0.49275479999999999</v>
      </c>
      <c r="Z3056">
        <v>2.7959990000000001E-2</v>
      </c>
      <c r="AA3056">
        <v>0.86971889999999996</v>
      </c>
      <c r="AB3056">
        <v>19</v>
      </c>
      <c r="AC3056">
        <v>12.1721</v>
      </c>
      <c r="AD3056">
        <v>-1.112687956347</v>
      </c>
      <c r="AE3056">
        <v>-35.069199999999903</v>
      </c>
      <c r="AF3056">
        <v>-18.3222399830161</v>
      </c>
      <c r="AG3056">
        <v>-1.112687956347</v>
      </c>
      <c r="AH3056">
        <v>32.2464186094521</v>
      </c>
      <c r="AI3056">
        <v>91.718421878325401</v>
      </c>
      <c r="AJ3056">
        <v>119.605003099166</v>
      </c>
      <c r="AK3056">
        <v>37.104906220329603</v>
      </c>
      <c r="AL3056">
        <v>90.013500576523001</v>
      </c>
      <c r="AM3056">
        <v>94.909803831315699</v>
      </c>
      <c r="AN3056">
        <v>0.99999996152818904</v>
      </c>
    </row>
    <row r="3057" spans="1:40" x14ac:dyDescent="0.25">
      <c r="A3057" t="str">
        <f>"20190312160659486"</f>
        <v>20190312160659486</v>
      </c>
      <c r="B3057" t="str">
        <f>"1552378019478388"</f>
        <v>1552378019478388</v>
      </c>
      <c r="C3057" t="s">
        <v>40</v>
      </c>
      <c r="D3057">
        <v>6.0839169999999996</v>
      </c>
      <c r="E3057">
        <v>0.32582939999999999</v>
      </c>
      <c r="F3057" t="s">
        <v>47</v>
      </c>
      <c r="G3057">
        <v>-483.34370000000001</v>
      </c>
      <c r="H3057" s="1">
        <v>-1.885523E-6</v>
      </c>
      <c r="I3057">
        <v>229.98439999999999</v>
      </c>
      <c r="J3057">
        <v>-495.79149999999998</v>
      </c>
      <c r="K3057">
        <v>1.1126339999999999</v>
      </c>
      <c r="L3057">
        <v>265.36340000000001</v>
      </c>
      <c r="M3057">
        <v>-0.1778071</v>
      </c>
      <c r="N3057">
        <v>0</v>
      </c>
      <c r="O3057">
        <v>-0.98404400000000003</v>
      </c>
      <c r="P3057">
        <v>-9.3126500000000001E-2</v>
      </c>
      <c r="Q3057">
        <v>-6.054088E-3</v>
      </c>
      <c r="R3057">
        <v>-0.99563590000000002</v>
      </c>
      <c r="S3057">
        <v>1.0932919999999999</v>
      </c>
      <c r="T3057">
        <v>-9.7841499999999998E-2</v>
      </c>
      <c r="U3057">
        <v>-3.1199949999999999</v>
      </c>
      <c r="V3057">
        <v>-8.5392609999999994E-2</v>
      </c>
      <c r="W3057">
        <v>-3.4772930000000001E-4</v>
      </c>
      <c r="X3057">
        <v>0.99634730000000005</v>
      </c>
      <c r="Y3057">
        <v>-0.49310189999999998</v>
      </c>
      <c r="Z3057">
        <v>2.7723600000000001E-2</v>
      </c>
      <c r="AA3057">
        <v>0.86952969999999896</v>
      </c>
      <c r="AB3057">
        <v>20</v>
      </c>
      <c r="AC3057">
        <v>12.4477999999999</v>
      </c>
      <c r="AD3057">
        <v>-1.1126358855230001</v>
      </c>
      <c r="AE3057">
        <v>-35.378999999999998</v>
      </c>
      <c r="AF3057">
        <v>-18.523907250811</v>
      </c>
      <c r="AG3057">
        <v>-1.1126358855230001</v>
      </c>
      <c r="AH3057">
        <v>32.573203304300598</v>
      </c>
      <c r="AI3057">
        <v>91.7007542308761</v>
      </c>
      <c r="AJ3057">
        <v>119.62626046629801</v>
      </c>
      <c r="AK3057">
        <v>37.488487192119401</v>
      </c>
      <c r="AL3057">
        <v>90.019923422093299</v>
      </c>
      <c r="AM3057">
        <v>94.898602244179102</v>
      </c>
      <c r="AN3057">
        <v>0.99999998048778305</v>
      </c>
    </row>
    <row r="3058" spans="1:40" x14ac:dyDescent="0.25">
      <c r="A3058" t="str">
        <f>"20190312160659497"</f>
        <v>20190312160659497</v>
      </c>
      <c r="B3058" t="str">
        <f>"1552378019488149"</f>
        <v>1552378019488149</v>
      </c>
      <c r="C3058" t="s">
        <v>40</v>
      </c>
      <c r="D3058">
        <v>6.038805</v>
      </c>
      <c r="E3058">
        <v>0.32572139999999999</v>
      </c>
      <c r="F3058" t="s">
        <v>61</v>
      </c>
      <c r="G3058">
        <v>-483.06420000000003</v>
      </c>
      <c r="H3058" s="1">
        <v>4.7486550000000002E-6</v>
      </c>
      <c r="I3058">
        <v>229.45500000000001</v>
      </c>
      <c r="J3058">
        <v>-495.80489999999998</v>
      </c>
      <c r="K3058">
        <v>1.1125860000000001</v>
      </c>
      <c r="L3058">
        <v>265.267</v>
      </c>
      <c r="M3058">
        <v>-0.17426620000000001</v>
      </c>
      <c r="N3058">
        <v>0</v>
      </c>
      <c r="O3058">
        <v>-0.98467740000000004</v>
      </c>
      <c r="P3058">
        <v>-8.9618030000000001E-2</v>
      </c>
      <c r="Q3058">
        <v>-6.1775550000000004E-3</v>
      </c>
      <c r="R3058">
        <v>-0.99595719999999999</v>
      </c>
      <c r="S3058">
        <v>1.1043700000000001</v>
      </c>
      <c r="T3058">
        <v>-9.6544980000000002E-2</v>
      </c>
      <c r="U3058">
        <v>-3.1158450000000002</v>
      </c>
      <c r="V3058">
        <v>-8.5317539999999997E-2</v>
      </c>
      <c r="W3058">
        <v>-4.6698570000000002E-4</v>
      </c>
      <c r="X3058">
        <v>0.99635370000000001</v>
      </c>
      <c r="Y3058">
        <v>-0.493087</v>
      </c>
      <c r="Z3058">
        <v>2.740426E-2</v>
      </c>
      <c r="AA3058">
        <v>0.86954830000000005</v>
      </c>
      <c r="AB3058">
        <v>20</v>
      </c>
      <c r="AC3058">
        <v>12.740699999999901</v>
      </c>
      <c r="AD3058">
        <v>-1.112581251345</v>
      </c>
      <c r="AE3058">
        <v>-35.811999999999898</v>
      </c>
      <c r="AF3058">
        <v>-18.770610794855099</v>
      </c>
      <c r="AG3058">
        <v>-1.112581251345</v>
      </c>
      <c r="AH3058">
        <v>33.015397236349898</v>
      </c>
      <c r="AI3058">
        <v>91.678009843684904</v>
      </c>
      <c r="AJ3058">
        <v>119.62001062225499</v>
      </c>
      <c r="AK3058">
        <v>37.994606476798197</v>
      </c>
      <c r="AL3058">
        <v>90.0267563107261</v>
      </c>
      <c r="AM3058">
        <v>94.894285447283494</v>
      </c>
      <c r="AN3058">
        <v>0.99999999810549201</v>
      </c>
    </row>
    <row r="3059" spans="1:40" x14ac:dyDescent="0.25">
      <c r="A3059" t="str">
        <f>"20190312160659514"</f>
        <v>20190312160659514</v>
      </c>
      <c r="B3059" t="str">
        <f>"1552378019507667"</f>
        <v>1552378019507667</v>
      </c>
      <c r="C3059" t="s">
        <v>40</v>
      </c>
      <c r="D3059">
        <v>6.0753719999999998</v>
      </c>
      <c r="E3059">
        <v>0.32601029999999998</v>
      </c>
      <c r="F3059" t="s">
        <v>61</v>
      </c>
      <c r="G3059">
        <v>-482.7448</v>
      </c>
      <c r="H3059" s="1">
        <v>4.4770639999999997E-6</v>
      </c>
      <c r="I3059">
        <v>228.8526</v>
      </c>
      <c r="J3059">
        <v>-495.82429999999999</v>
      </c>
      <c r="K3059">
        <v>1.112514</v>
      </c>
      <c r="L3059">
        <v>265.1234</v>
      </c>
      <c r="M3059">
        <v>-0.16909929999999901</v>
      </c>
      <c r="N3059">
        <v>0</v>
      </c>
      <c r="O3059">
        <v>-0.98557810000000001</v>
      </c>
      <c r="P3059">
        <v>-8.4359500000000004E-2</v>
      </c>
      <c r="Q3059">
        <v>-6.7381460000000004E-3</v>
      </c>
      <c r="R3059">
        <v>-0.99641290000000005</v>
      </c>
      <c r="S3059">
        <v>1.11615</v>
      </c>
      <c r="T3059">
        <v>-9.5084070000000007E-2</v>
      </c>
      <c r="U3059">
        <v>-3.1120610000000002</v>
      </c>
      <c r="V3059">
        <v>-8.534601E-2</v>
      </c>
      <c r="W3059">
        <v>-1.0239509999999999E-3</v>
      </c>
      <c r="X3059">
        <v>0.99635079999999998</v>
      </c>
      <c r="Y3059">
        <v>-0.4917802</v>
      </c>
      <c r="Z3059">
        <v>2.7055679999999999E-2</v>
      </c>
      <c r="AA3059">
        <v>0.87029899999999905</v>
      </c>
      <c r="AB3059">
        <v>20</v>
      </c>
      <c r="AC3059">
        <v>13.0794999999999</v>
      </c>
      <c r="AD3059">
        <v>-1.112509522936</v>
      </c>
      <c r="AE3059">
        <v>-36.270800000000001</v>
      </c>
      <c r="AF3059">
        <v>-19.008802481341501</v>
      </c>
      <c r="AG3059">
        <v>-1.112509522936</v>
      </c>
      <c r="AH3059">
        <v>33.508766226538803</v>
      </c>
      <c r="AI3059">
        <v>91.654106911394294</v>
      </c>
      <c r="AJ3059">
        <v>119.565309925031</v>
      </c>
      <c r="AK3059">
        <v>38.541012742766704</v>
      </c>
      <c r="AL3059">
        <v>90.058668083721201</v>
      </c>
      <c r="AM3059">
        <v>94.895924887531606</v>
      </c>
      <c r="AN3059">
        <v>0.999999953279604</v>
      </c>
    </row>
    <row r="3060" spans="1:40" x14ac:dyDescent="0.25">
      <c r="A3060" t="str">
        <f>"20190312160659527"</f>
        <v>20190312160659527</v>
      </c>
      <c r="B3060" t="str">
        <f>"1552378019518403"</f>
        <v>1552378019518403</v>
      </c>
      <c r="C3060" t="s">
        <v>40</v>
      </c>
      <c r="D3060">
        <v>6.0483419999999999</v>
      </c>
      <c r="E3060">
        <v>0.32640560000000002</v>
      </c>
      <c r="F3060" t="s">
        <v>61</v>
      </c>
      <c r="G3060">
        <v>-482.61610000000002</v>
      </c>
      <c r="H3060" s="1">
        <v>4.4364840000000002E-6</v>
      </c>
      <c r="I3060">
        <v>228.8322</v>
      </c>
      <c r="J3060">
        <v>-495.83920000000001</v>
      </c>
      <c r="K3060">
        <v>1.112455</v>
      </c>
      <c r="L3060">
        <v>265.00880000000001</v>
      </c>
      <c r="M3060">
        <v>-0.1650993</v>
      </c>
      <c r="N3060">
        <v>0</v>
      </c>
      <c r="O3060">
        <v>-0.98625600000000002</v>
      </c>
      <c r="P3060">
        <v>-8.0034549999999996E-2</v>
      </c>
      <c r="Q3060">
        <v>-6.7661140000000002E-3</v>
      </c>
      <c r="R3060">
        <v>-0.99676920000000002</v>
      </c>
      <c r="S3060">
        <v>1.130371</v>
      </c>
      <c r="T3060">
        <v>-9.5209479999999999E-2</v>
      </c>
      <c r="U3060">
        <v>-3.1058349999999999</v>
      </c>
      <c r="V3060">
        <v>-8.5627739999999994E-2</v>
      </c>
      <c r="W3060">
        <v>-1.0534100000000001E-3</v>
      </c>
      <c r="X3060">
        <v>0.99632659999999995</v>
      </c>
      <c r="Y3060">
        <v>-0.49232530000000002</v>
      </c>
      <c r="Z3060">
        <v>2.7147919999999999E-2</v>
      </c>
      <c r="AA3060">
        <v>0.86998779999999998</v>
      </c>
      <c r="AB3060">
        <v>20</v>
      </c>
      <c r="AC3060">
        <v>13.223099999999899</v>
      </c>
      <c r="AD3060">
        <v>-1.112450563516</v>
      </c>
      <c r="AE3060">
        <v>-36.176600000000001</v>
      </c>
      <c r="AF3060">
        <v>-18.998638162101699</v>
      </c>
      <c r="AG3060">
        <v>-1.112450563516</v>
      </c>
      <c r="AH3060">
        <v>33.469038081634103</v>
      </c>
      <c r="AI3060">
        <v>91.655718943378204</v>
      </c>
      <c r="AJ3060">
        <v>119.58133146354101</v>
      </c>
      <c r="AK3060">
        <v>38.501458522770399</v>
      </c>
      <c r="AL3060">
        <v>90.060355960872897</v>
      </c>
      <c r="AM3060">
        <v>94.9121262786648</v>
      </c>
      <c r="AN3060">
        <v>0.999999956698846</v>
      </c>
    </row>
    <row r="3061" spans="1:40" x14ac:dyDescent="0.25">
      <c r="A3061" t="str">
        <f>"20190312160659539"</f>
        <v>20190312160659539</v>
      </c>
      <c r="B3061" t="str">
        <f>"1552378019528164"</f>
        <v>1552378019528164</v>
      </c>
      <c r="C3061" t="s">
        <v>40</v>
      </c>
      <c r="D3061">
        <v>6.0428699999999997</v>
      </c>
      <c r="E3061">
        <v>0.32675799999999999</v>
      </c>
      <c r="F3061" t="s">
        <v>61</v>
      </c>
      <c r="G3061">
        <v>-482.6841</v>
      </c>
      <c r="H3061" s="1">
        <v>4.5794300000000001E-6</v>
      </c>
      <c r="I3061">
        <v>229.23519999999999</v>
      </c>
      <c r="J3061">
        <v>-495.85230000000001</v>
      </c>
      <c r="K3061">
        <v>1.1124039999999999</v>
      </c>
      <c r="L3061">
        <v>264.90730000000002</v>
      </c>
      <c r="M3061">
        <v>-0.16160849999999999</v>
      </c>
      <c r="N3061">
        <v>0</v>
      </c>
      <c r="O3061">
        <v>-0.98683390000000004</v>
      </c>
      <c r="P3061">
        <v>-7.6243270000000002E-2</v>
      </c>
      <c r="Q3061">
        <v>-6.9734749999999998E-3</v>
      </c>
      <c r="R3061">
        <v>-0.99706490000000003</v>
      </c>
      <c r="S3061">
        <v>1.140198</v>
      </c>
      <c r="T3061">
        <v>-9.6419690000000002E-2</v>
      </c>
      <c r="U3061">
        <v>-3.100616</v>
      </c>
      <c r="V3061">
        <v>-8.5888999999999993E-2</v>
      </c>
      <c r="W3061">
        <v>-1.26268E-3</v>
      </c>
      <c r="X3061">
        <v>0.99630390000000002</v>
      </c>
      <c r="Y3061">
        <v>-0.49214350000000001</v>
      </c>
      <c r="Z3061">
        <v>2.7549569999999999E-2</v>
      </c>
      <c r="AA3061">
        <v>0.87007800000000002</v>
      </c>
      <c r="AB3061">
        <v>20</v>
      </c>
      <c r="AC3061">
        <v>13.168200000000001</v>
      </c>
      <c r="AD3061">
        <v>-1.1123994205700001</v>
      </c>
      <c r="AE3061">
        <v>-35.6721</v>
      </c>
      <c r="AF3061">
        <v>-18.744088854079401</v>
      </c>
      <c r="AG3061">
        <v>-1.1123994205700001</v>
      </c>
      <c r="AH3061">
        <v>33.046749479805896</v>
      </c>
      <c r="AI3061">
        <v>91.677110533771796</v>
      </c>
      <c r="AJ3061">
        <v>119.561871298974</v>
      </c>
      <c r="AK3061">
        <v>38.008761498127797</v>
      </c>
      <c r="AL3061">
        <v>90.072346254973993</v>
      </c>
      <c r="AM3061">
        <v>94.927151776518699</v>
      </c>
      <c r="AN3061">
        <v>0.99999998791849598</v>
      </c>
    </row>
    <row r="3062" spans="1:40" x14ac:dyDescent="0.25">
      <c r="A3062" t="str">
        <f>"20190312160659554"</f>
        <v>20190312160659554</v>
      </c>
      <c r="B3062" t="str">
        <f>"1552378019548660"</f>
        <v>1552378019548660</v>
      </c>
      <c r="C3062" t="s">
        <v>40</v>
      </c>
      <c r="D3062">
        <v>6.1031440000000003</v>
      </c>
      <c r="E3062">
        <v>0.32703919999999997</v>
      </c>
      <c r="F3062" t="s">
        <v>61</v>
      </c>
      <c r="G3062">
        <v>-482.68400000000003</v>
      </c>
      <c r="H3062" s="1">
        <v>4.6411759999999999E-6</v>
      </c>
      <c r="I3062">
        <v>229.43459999999999</v>
      </c>
      <c r="J3062">
        <v>-495.86840000000001</v>
      </c>
      <c r="K3062">
        <v>1.112339</v>
      </c>
      <c r="L3062">
        <v>264.77929999999998</v>
      </c>
      <c r="M3062">
        <v>-0.15727949999999999</v>
      </c>
      <c r="N3062">
        <v>0</v>
      </c>
      <c r="O3062">
        <v>-0.98753329999999995</v>
      </c>
      <c r="P3062">
        <v>-7.1551480000000001E-2</v>
      </c>
      <c r="Q3062">
        <v>-7.0736059999999996E-3</v>
      </c>
      <c r="R3062">
        <v>-0.99741210000000002</v>
      </c>
      <c r="S3062">
        <v>1.1493230000000001</v>
      </c>
      <c r="T3062">
        <v>-9.708965E-2</v>
      </c>
      <c r="U3062">
        <v>-3.0960390000000002</v>
      </c>
      <c r="V3062">
        <v>-8.6206340000000006E-2</v>
      </c>
      <c r="W3062">
        <v>-1.3659239999999999E-3</v>
      </c>
      <c r="X3062">
        <v>0.99627639999999995</v>
      </c>
      <c r="Y3062">
        <v>-0.4909964</v>
      </c>
      <c r="Z3062">
        <v>2.780761E-2</v>
      </c>
      <c r="AA3062">
        <v>0.87071769999999904</v>
      </c>
      <c r="AB3062">
        <v>20</v>
      </c>
      <c r="AC3062">
        <v>13.184399999999901</v>
      </c>
      <c r="AD3062">
        <v>-1.112334358824</v>
      </c>
      <c r="AE3062">
        <v>-35.344699999999897</v>
      </c>
      <c r="AF3062">
        <v>-18.563273208146999</v>
      </c>
      <c r="AG3062">
        <v>-1.112334358824</v>
      </c>
      <c r="AH3062">
        <v>32.802587662026397</v>
      </c>
      <c r="AI3062">
        <v>91.690422632280104</v>
      </c>
      <c r="AJ3062">
        <v>119.505903610065</v>
      </c>
      <c r="AK3062">
        <v>37.707322329370697</v>
      </c>
      <c r="AL3062">
        <v>90.078261702167296</v>
      </c>
      <c r="AM3062">
        <v>94.945402176944697</v>
      </c>
      <c r="AN3062">
        <v>1.00000003200076</v>
      </c>
    </row>
    <row r="3063" spans="1:40" x14ac:dyDescent="0.25">
      <c r="A3063" t="str">
        <f>"20190312160659571"</f>
        <v>20190312160659571</v>
      </c>
      <c r="B3063" t="str">
        <f>"1552378019558420"</f>
        <v>1552378019558420</v>
      </c>
      <c r="C3063" t="s">
        <v>40</v>
      </c>
      <c r="D3063">
        <v>6.0440440000000004</v>
      </c>
      <c r="E3063">
        <v>0.3434218</v>
      </c>
      <c r="F3063" t="s">
        <v>61</v>
      </c>
      <c r="G3063">
        <v>-482.54750000000001</v>
      </c>
      <c r="H3063" s="1">
        <v>4.5779099999999997E-6</v>
      </c>
      <c r="I3063">
        <v>229.3476</v>
      </c>
      <c r="J3063">
        <v>-495.88650000000001</v>
      </c>
      <c r="K3063">
        <v>1.11226</v>
      </c>
      <c r="L3063">
        <v>264.62950000000001</v>
      </c>
      <c r="M3063">
        <v>-0.1523938</v>
      </c>
      <c r="N3063">
        <v>0</v>
      </c>
      <c r="O3063">
        <v>-0.98829900000000004</v>
      </c>
      <c r="P3063">
        <v>-6.5548659999999995E-2</v>
      </c>
      <c r="Q3063">
        <v>-6.8796830000000002E-3</v>
      </c>
      <c r="R3063">
        <v>-0.99782550000000003</v>
      </c>
      <c r="S3063">
        <v>1.1618649999999999</v>
      </c>
      <c r="T3063">
        <v>-9.70192E-2</v>
      </c>
      <c r="U3063">
        <v>-3.0903930000000002</v>
      </c>
      <c r="V3063">
        <v>-8.7276149999999997E-2</v>
      </c>
      <c r="W3063">
        <v>-1.181248E-3</v>
      </c>
      <c r="X3063">
        <v>0.9961835</v>
      </c>
      <c r="Y3063">
        <v>-0.4903073</v>
      </c>
      <c r="Z3063">
        <v>2.785704E-2</v>
      </c>
      <c r="AA3063">
        <v>0.87110429999999905</v>
      </c>
      <c r="AB3063">
        <v>20</v>
      </c>
      <c r="AC3063">
        <v>13.339</v>
      </c>
      <c r="AD3063">
        <v>-1.1122554220899901</v>
      </c>
      <c r="AE3063">
        <v>-35.2819</v>
      </c>
      <c r="AF3063">
        <v>-18.543921224420899</v>
      </c>
      <c r="AG3063">
        <v>-1.1122554220899901</v>
      </c>
      <c r="AH3063">
        <v>32.808434484969801</v>
      </c>
      <c r="AI3063">
        <v>91.690501651925302</v>
      </c>
      <c r="AJ3063">
        <v>119.47592006945</v>
      </c>
      <c r="AK3063">
        <v>37.702884503125901</v>
      </c>
      <c r="AL3063">
        <v>90.067680537740998</v>
      </c>
      <c r="AM3063">
        <v>95.006928499229403</v>
      </c>
      <c r="AN3063">
        <v>1.00000004368895</v>
      </c>
    </row>
    <row r="3064" spans="1:40" x14ac:dyDescent="0.25">
      <c r="A3064" t="str">
        <f>"20190312160659586"</f>
        <v>20190312160659586</v>
      </c>
      <c r="B3064" t="str">
        <f>"1552378019578447"</f>
        <v>1552378019578447</v>
      </c>
      <c r="C3064" t="s">
        <v>40</v>
      </c>
      <c r="D3064">
        <v>5.9989299999999997</v>
      </c>
      <c r="E3064">
        <v>0.33973039999999999</v>
      </c>
      <c r="F3064" t="s">
        <v>44</v>
      </c>
      <c r="G3064">
        <v>-495.57830000000001</v>
      </c>
      <c r="H3064">
        <v>1.0672010000000001</v>
      </c>
      <c r="I3064">
        <v>263.72660000000002</v>
      </c>
      <c r="J3064">
        <v>-495.90100000000001</v>
      </c>
      <c r="K3064">
        <v>1.112195</v>
      </c>
      <c r="L3064">
        <v>264.50569999999999</v>
      </c>
      <c r="M3064">
        <v>-0.14846609999999999</v>
      </c>
      <c r="N3064">
        <v>0</v>
      </c>
      <c r="O3064">
        <v>-0.98889700000000003</v>
      </c>
      <c r="P3064">
        <v>-6.1343500000000002E-2</v>
      </c>
      <c r="Q3064">
        <v>-6.9165160000000002E-3</v>
      </c>
      <c r="R3064">
        <v>-0.99809300000000001</v>
      </c>
      <c r="S3064">
        <v>1.0499270000000001</v>
      </c>
      <c r="T3064">
        <v>-0.15339469999999999</v>
      </c>
      <c r="U3064">
        <v>-3.0744630000000002</v>
      </c>
      <c r="V3064">
        <v>-8.7515560000000006E-2</v>
      </c>
      <c r="W3064">
        <v>-1.2196590000000001E-3</v>
      </c>
      <c r="X3064">
        <v>0.9961624</v>
      </c>
      <c r="Y3064">
        <v>-0.45975579999999999</v>
      </c>
      <c r="Z3064">
        <v>4.4935099999999999E-2</v>
      </c>
      <c r="AA3064">
        <v>0.88690780000000002</v>
      </c>
      <c r="AB3064">
        <v>20</v>
      </c>
      <c r="AC3064">
        <v>0.32269999999999699</v>
      </c>
      <c r="AD3064">
        <v>-4.4993999999999902E-2</v>
      </c>
      <c r="AE3064">
        <v>-0.77909999999997104</v>
      </c>
      <c r="AF3064">
        <v>-0.43356154532799801</v>
      </c>
      <c r="AG3064">
        <v>-4.4993999999999902E-2</v>
      </c>
      <c r="AH3064">
        <v>0.72050315108447105</v>
      </c>
      <c r="AI3064">
        <v>93.062828917144898</v>
      </c>
      <c r="AJ3064">
        <v>121.037354234795</v>
      </c>
      <c r="AK3064">
        <v>0.84209551972793095</v>
      </c>
      <c r="AL3064">
        <v>90.069881330890496</v>
      </c>
      <c r="AM3064">
        <v>95.020698861349899</v>
      </c>
      <c r="AN3064">
        <v>0.99999999399197503</v>
      </c>
    </row>
    <row r="3065" spans="1:40" x14ac:dyDescent="0.25">
      <c r="A3065" t="str">
        <f>"20190312160659599"</f>
        <v>20190312160659599</v>
      </c>
      <c r="B3065" t="str">
        <f>"1552378019588206"</f>
        <v>1552378019588206</v>
      </c>
      <c r="C3065" t="s">
        <v>40</v>
      </c>
      <c r="D3065">
        <v>5.9515349999999998</v>
      </c>
      <c r="E3065">
        <v>0.33867009999999997</v>
      </c>
      <c r="F3065" t="s">
        <v>44</v>
      </c>
      <c r="G3065">
        <v>-495.59350000000001</v>
      </c>
      <c r="H3065">
        <v>1.073404</v>
      </c>
      <c r="I3065">
        <v>263.64139999999998</v>
      </c>
      <c r="J3065">
        <v>-495.91570000000002</v>
      </c>
      <c r="K3065">
        <v>1.1121270000000001</v>
      </c>
      <c r="L3065">
        <v>264.37700000000001</v>
      </c>
      <c r="M3065">
        <v>-0.14447589999999999</v>
      </c>
      <c r="N3065">
        <v>0</v>
      </c>
      <c r="O3065">
        <v>-0.98948789999999998</v>
      </c>
      <c r="P3065">
        <v>-5.6829780000000003E-2</v>
      </c>
      <c r="Q3065">
        <v>-7.2168379999999997E-3</v>
      </c>
      <c r="R3065">
        <v>-0.99835799999999997</v>
      </c>
      <c r="S3065">
        <v>1.0926819999999999</v>
      </c>
      <c r="T3065">
        <v>-0.1378701</v>
      </c>
      <c r="U3065">
        <v>-3.0719599999999998</v>
      </c>
      <c r="V3065">
        <v>-8.7999540000000001E-2</v>
      </c>
      <c r="W3065">
        <v>-1.5224489999999999E-3</v>
      </c>
      <c r="X3065">
        <v>0.99611939999999999</v>
      </c>
      <c r="Y3065">
        <v>-0.46745229999999999</v>
      </c>
      <c r="Z3065">
        <v>4.0289110000000003E-2</v>
      </c>
      <c r="AA3065">
        <v>0.88309969999999904</v>
      </c>
      <c r="AB3065">
        <v>20</v>
      </c>
      <c r="AC3065">
        <v>0.32220000000000898</v>
      </c>
      <c r="AD3065">
        <v>-3.8723E-2</v>
      </c>
      <c r="AE3065">
        <v>-0.73560000000003301</v>
      </c>
      <c r="AF3065">
        <v>-0.42411198171132303</v>
      </c>
      <c r="AG3065">
        <v>-3.8723E-2</v>
      </c>
      <c r="AH3065">
        <v>0.67975047790175802</v>
      </c>
      <c r="AI3065">
        <v>92.767001610052205</v>
      </c>
      <c r="AJ3065">
        <v>121.960989229318</v>
      </c>
      <c r="AK3065">
        <v>0.80214160593237704</v>
      </c>
      <c r="AL3065">
        <v>90.0872299317368</v>
      </c>
      <c r="AM3065">
        <v>95.048538122630106</v>
      </c>
      <c r="AN3065">
        <v>1.0000000479737601</v>
      </c>
    </row>
    <row r="3066" spans="1:40" x14ac:dyDescent="0.25">
      <c r="A3066" t="str">
        <f>"20190312160659616"</f>
        <v>20190312160659616</v>
      </c>
      <c r="B3066" t="str">
        <f>"1552378019607726"</f>
        <v>1552378019607726</v>
      </c>
      <c r="C3066" t="s">
        <v>40</v>
      </c>
      <c r="D3066">
        <v>5.9483319999999997</v>
      </c>
      <c r="E3066">
        <v>0.33804970000000001</v>
      </c>
      <c r="F3066" t="s">
        <v>44</v>
      </c>
      <c r="G3066">
        <v>-495.58539999999999</v>
      </c>
      <c r="H3066">
        <v>1.074484</v>
      </c>
      <c r="I3066">
        <v>263.46710000000002</v>
      </c>
      <c r="J3066">
        <v>-495.93189999999998</v>
      </c>
      <c r="K3066">
        <v>1.1120429999999999</v>
      </c>
      <c r="L3066">
        <v>264.2321</v>
      </c>
      <c r="M3066">
        <v>-0.1401097</v>
      </c>
      <c r="N3066">
        <v>0</v>
      </c>
      <c r="O3066">
        <v>-0.99011550000000004</v>
      </c>
      <c r="P3066">
        <v>-5.1920559999999998E-2</v>
      </c>
      <c r="Q3066">
        <v>-7.5991510000000002E-3</v>
      </c>
      <c r="R3066">
        <v>-0.99862240000000002</v>
      </c>
      <c r="S3066">
        <v>1.1143190000000001</v>
      </c>
      <c r="T3066">
        <v>-0.12687699999999999</v>
      </c>
      <c r="U3066">
        <v>-3.0674739999999998</v>
      </c>
      <c r="V3066">
        <v>-8.8499610000000006E-2</v>
      </c>
      <c r="W3066">
        <v>-1.9053340000000001E-3</v>
      </c>
      <c r="X3066">
        <v>0.99607440000000003</v>
      </c>
      <c r="Y3066">
        <v>-0.46951910000000002</v>
      </c>
      <c r="Z3066">
        <v>3.7106310000000003E-2</v>
      </c>
      <c r="AA3066">
        <v>0.88214219999999899</v>
      </c>
      <c r="AB3066">
        <v>20</v>
      </c>
      <c r="AC3066">
        <v>0.34649999999999098</v>
      </c>
      <c r="AD3066">
        <v>-3.7559000000000099E-2</v>
      </c>
      <c r="AE3066">
        <v>-0.76499999999998602</v>
      </c>
      <c r="AF3066">
        <v>-0.44936926993041698</v>
      </c>
      <c r="AG3066">
        <v>-3.7559000000000099E-2</v>
      </c>
      <c r="AH3066">
        <v>0.70748964265006398</v>
      </c>
      <c r="AI3066">
        <v>92.565848230723702</v>
      </c>
      <c r="AJ3066">
        <v>122.422088466052</v>
      </c>
      <c r="AK3066">
        <v>0.83897855377590702</v>
      </c>
      <c r="AL3066">
        <v>90.109167661635496</v>
      </c>
      <c r="AM3066">
        <v>95.077305811702203</v>
      </c>
      <c r="AN3066">
        <v>1.0000000108015801</v>
      </c>
    </row>
    <row r="3067" spans="1:40" x14ac:dyDescent="0.25">
      <c r="A3067" t="str">
        <f>"20190312160659628"</f>
        <v>20190312160659628</v>
      </c>
      <c r="B3067" t="str">
        <f>"1552378019618463"</f>
        <v>1552378019618463</v>
      </c>
      <c r="C3067" t="s">
        <v>40</v>
      </c>
      <c r="D3067">
        <v>5.9370019999999997</v>
      </c>
      <c r="E3067">
        <v>0.33818219999999999</v>
      </c>
      <c r="F3067" t="s">
        <v>44</v>
      </c>
      <c r="G3067">
        <v>-495.57440000000003</v>
      </c>
      <c r="H3067">
        <v>1.0748329999999999</v>
      </c>
      <c r="I3067">
        <v>263.26650000000001</v>
      </c>
      <c r="J3067">
        <v>-495.9436</v>
      </c>
      <c r="K3067">
        <v>1.111982</v>
      </c>
      <c r="L3067">
        <v>264.12360000000001</v>
      </c>
      <c r="M3067">
        <v>-0.13695860000000001</v>
      </c>
      <c r="N3067">
        <v>0</v>
      </c>
      <c r="O3067">
        <v>-0.9905564</v>
      </c>
      <c r="P3067">
        <v>-4.8487179999999998E-2</v>
      </c>
      <c r="Q3067">
        <v>-7.7468999999999897E-3</v>
      </c>
      <c r="R3067">
        <v>-0.99879390000000001</v>
      </c>
      <c r="S3067">
        <v>1.1343379999999901</v>
      </c>
      <c r="T3067">
        <v>-0.11801150000000001</v>
      </c>
      <c r="U3067">
        <v>-3.0622250000000002</v>
      </c>
      <c r="V3067">
        <v>-8.875371E-2</v>
      </c>
      <c r="W3067">
        <v>-2.0515709999999999E-3</v>
      </c>
      <c r="X3067">
        <v>0.99605149999999998</v>
      </c>
      <c r="Y3067">
        <v>-0.47230840000000002</v>
      </c>
      <c r="Z3067">
        <v>3.453229E-2</v>
      </c>
      <c r="AA3067">
        <v>0.88075669999999995</v>
      </c>
      <c r="AB3067">
        <v>20</v>
      </c>
      <c r="AC3067">
        <v>0.36919999999997699</v>
      </c>
      <c r="AD3067">
        <v>-3.7149000000000099E-2</v>
      </c>
      <c r="AE3067">
        <v>-0.85710000000000197</v>
      </c>
      <c r="AF3067">
        <v>-0.48234607706980598</v>
      </c>
      <c r="AG3067">
        <v>-3.7149000000000099E-2</v>
      </c>
      <c r="AH3067">
        <v>0.79719367913323702</v>
      </c>
      <c r="AI3067">
        <v>92.283158373984804</v>
      </c>
      <c r="AJ3067">
        <v>121.176247954179</v>
      </c>
      <c r="AK3067">
        <v>0.93249962376164997</v>
      </c>
      <c r="AL3067">
        <v>90.117546440916499</v>
      </c>
      <c r="AM3067">
        <v>95.091923692151497</v>
      </c>
      <c r="AN3067">
        <v>1.0000000103172899</v>
      </c>
    </row>
    <row r="3068" spans="1:40" x14ac:dyDescent="0.25">
      <c r="A3068" t="str">
        <f>"20190312160659640"</f>
        <v>20190312160659640</v>
      </c>
      <c r="B3068" t="str">
        <f>"1552378019637984"</f>
        <v>1552378019637984</v>
      </c>
      <c r="C3068" t="s">
        <v>40</v>
      </c>
      <c r="D3068">
        <v>6.0898820000000002</v>
      </c>
      <c r="E3068">
        <v>0.33855639999999998</v>
      </c>
      <c r="F3068" t="s">
        <v>47</v>
      </c>
      <c r="G3068">
        <v>-484.9735</v>
      </c>
      <c r="H3068" s="1">
        <v>-3.103429E-6</v>
      </c>
      <c r="I3068">
        <v>234.7886</v>
      </c>
      <c r="J3068">
        <v>-495.9556</v>
      </c>
      <c r="K3068">
        <v>1.111918</v>
      </c>
      <c r="L3068">
        <v>264.01100000000002</v>
      </c>
      <c r="M3068">
        <v>-0.13375219999999999</v>
      </c>
      <c r="N3068">
        <v>0</v>
      </c>
      <c r="O3068">
        <v>-0.99099459999999995</v>
      </c>
      <c r="P3068">
        <v>-4.523961E-2</v>
      </c>
      <c r="Q3068">
        <v>-7.6626009999999998E-3</v>
      </c>
      <c r="R3068">
        <v>-0.99894709999999998</v>
      </c>
      <c r="S3068">
        <v>1.1436770000000001</v>
      </c>
      <c r="T3068">
        <v>-0.11592860000000001</v>
      </c>
      <c r="U3068">
        <v>-3.0582889999999998</v>
      </c>
      <c r="V3068">
        <v>-8.8768920000000001E-2</v>
      </c>
      <c r="W3068">
        <v>-1.963298E-3</v>
      </c>
      <c r="X3068">
        <v>0.99605030000000006</v>
      </c>
      <c r="Y3068">
        <v>-0.47219430000000001</v>
      </c>
      <c r="Z3068">
        <v>3.3972509999999997E-2</v>
      </c>
      <c r="AA3068">
        <v>0.88083959999999994</v>
      </c>
      <c r="AB3068">
        <v>20</v>
      </c>
      <c r="AC3068">
        <v>10.982100000000001</v>
      </c>
      <c r="AD3068">
        <v>-1.111921103429</v>
      </c>
      <c r="AE3068">
        <v>-29.222399999999901</v>
      </c>
      <c r="AF3068">
        <v>-14.7733161589061</v>
      </c>
      <c r="AG3068">
        <v>-1.111921103429</v>
      </c>
      <c r="AH3068">
        <v>27.4560789692366</v>
      </c>
      <c r="AI3068">
        <v>92.042490217521603</v>
      </c>
      <c r="AJ3068">
        <v>118.283400245826</v>
      </c>
      <c r="AK3068">
        <v>31.1981331370357</v>
      </c>
      <c r="AL3068">
        <v>90.1124887629515</v>
      </c>
      <c r="AM3068">
        <v>95.092797825744697</v>
      </c>
      <c r="AN3068">
        <v>0.99999998791354605</v>
      </c>
    </row>
    <row r="3069" spans="1:40" x14ac:dyDescent="0.25">
      <c r="A3069" t="str">
        <f>"20190312160659652"</f>
        <v>20190312160659652</v>
      </c>
      <c r="B3069" t="str">
        <f>"1552378019647742"</f>
        <v>1552378019647742</v>
      </c>
      <c r="C3069" t="s">
        <v>40</v>
      </c>
      <c r="D3069">
        <v>6.0516560000000004</v>
      </c>
      <c r="E3069">
        <v>0.3389103</v>
      </c>
      <c r="F3069" t="s">
        <v>44</v>
      </c>
      <c r="G3069">
        <v>-495.5822</v>
      </c>
      <c r="H3069">
        <v>1.0743149999999999</v>
      </c>
      <c r="I3069">
        <v>263.01990000000001</v>
      </c>
      <c r="J3069">
        <v>-495.96679999999998</v>
      </c>
      <c r="K3069">
        <v>1.1118570000000001</v>
      </c>
      <c r="L3069">
        <v>263.90309999999999</v>
      </c>
      <c r="M3069">
        <v>-0.1307297</v>
      </c>
      <c r="N3069">
        <v>0</v>
      </c>
      <c r="O3069">
        <v>-0.99139790000000005</v>
      </c>
      <c r="P3069">
        <v>-4.240124E-2</v>
      </c>
      <c r="Q3069">
        <v>-7.7199490000000003E-3</v>
      </c>
      <c r="R3069">
        <v>-0.9990713</v>
      </c>
      <c r="S3069">
        <v>1.150787</v>
      </c>
      <c r="T3069">
        <v>-0.1158627</v>
      </c>
      <c r="U3069">
        <v>-3.0543520000000002</v>
      </c>
      <c r="V3069">
        <v>-8.8561840000000003E-2</v>
      </c>
      <c r="W3069">
        <v>-2.014788E-3</v>
      </c>
      <c r="X3069">
        <v>0.99606870000000003</v>
      </c>
      <c r="Y3069">
        <v>-0.47167589999999998</v>
      </c>
      <c r="Z3069">
        <v>3.4008209999999997E-2</v>
      </c>
      <c r="AA3069">
        <v>0.88111600000000001</v>
      </c>
      <c r="AB3069">
        <v>20</v>
      </c>
      <c r="AC3069">
        <v>0.38459999999997702</v>
      </c>
      <c r="AD3069">
        <v>-3.7541999999999902E-2</v>
      </c>
      <c r="AE3069">
        <v>-0.883199999999987</v>
      </c>
      <c r="AF3069">
        <v>-0.496008679071757</v>
      </c>
      <c r="AG3069">
        <v>-3.7541999999999902E-2</v>
      </c>
      <c r="AH3069">
        <v>0.82408882752588897</v>
      </c>
      <c r="AI3069">
        <v>92.235189093520901</v>
      </c>
      <c r="AJ3069">
        <v>121.043204934315</v>
      </c>
      <c r="AK3069">
        <v>0.96257800054411302</v>
      </c>
      <c r="AL3069">
        <v>90.115438920535496</v>
      </c>
      <c r="AM3069">
        <v>95.080886247524703</v>
      </c>
      <c r="AN3069">
        <v>1.00000005699727</v>
      </c>
    </row>
    <row r="3070" spans="1:40" x14ac:dyDescent="0.25">
      <c r="A3070" t="str">
        <f>"20190312160659665"</f>
        <v>20190312160659665</v>
      </c>
      <c r="B3070" t="str">
        <f>"1552378019658481"</f>
        <v>1552378019658481</v>
      </c>
      <c r="C3070" t="s">
        <v>40</v>
      </c>
      <c r="D3070">
        <v>6.0261959999999997</v>
      </c>
      <c r="E3070">
        <v>0.339543599999999</v>
      </c>
      <c r="F3070" t="s">
        <v>47</v>
      </c>
      <c r="G3070">
        <v>-484.97660000000002</v>
      </c>
      <c r="H3070" s="1">
        <v>-3.1535360000000001E-6</v>
      </c>
      <c r="I3070">
        <v>234.9066</v>
      </c>
      <c r="J3070">
        <v>-495.97750000000002</v>
      </c>
      <c r="K3070">
        <v>1.111801</v>
      </c>
      <c r="L3070">
        <v>263.7962</v>
      </c>
      <c r="M3070">
        <v>-0.12784469999999901</v>
      </c>
      <c r="N3070">
        <v>0</v>
      </c>
      <c r="O3070">
        <v>-0.99177400000000004</v>
      </c>
      <c r="P3070">
        <v>-3.9518369999999997E-2</v>
      </c>
      <c r="Q3070">
        <v>-7.8234610000000003E-3</v>
      </c>
      <c r="R3070">
        <v>-0.99918819999999997</v>
      </c>
      <c r="S3070">
        <v>1.156372</v>
      </c>
      <c r="T3070">
        <v>-0.11698840000000001</v>
      </c>
      <c r="U3070">
        <v>-3.050964</v>
      </c>
      <c r="V3070">
        <v>-8.8537119999999997E-2</v>
      </c>
      <c r="W3070">
        <v>-2.113181E-3</v>
      </c>
      <c r="X3070">
        <v>0.99607060000000003</v>
      </c>
      <c r="Y3070">
        <v>-0.47083979999999998</v>
      </c>
      <c r="Z3070">
        <v>3.4392449999999998E-2</v>
      </c>
      <c r="AA3070">
        <v>0.88154809999999995</v>
      </c>
      <c r="AB3070">
        <v>20</v>
      </c>
      <c r="AC3070">
        <v>11.0009</v>
      </c>
      <c r="AD3070">
        <v>-1.1118041535359999</v>
      </c>
      <c r="AE3070">
        <v>-28.889600000000002</v>
      </c>
      <c r="AF3070">
        <v>-14.585215388978501</v>
      </c>
      <c r="AG3070">
        <v>-1.1118041535359999</v>
      </c>
      <c r="AH3070">
        <v>27.210895842386599</v>
      </c>
      <c r="AI3070">
        <v>92.062434084209599</v>
      </c>
      <c r="AJ3070">
        <v>118.19159497471701</v>
      </c>
      <c r="AK3070">
        <v>30.89332401934</v>
      </c>
      <c r="AL3070">
        <v>90.121076447158103</v>
      </c>
      <c r="AM3070">
        <v>95.0794658169158</v>
      </c>
      <c r="AN3070">
        <v>0.99999996366809596</v>
      </c>
    </row>
    <row r="3071" spans="1:40" x14ac:dyDescent="0.25">
      <c r="A3071" t="str">
        <f>"20190312160659681"</f>
        <v>20190312160659681</v>
      </c>
      <c r="B3071" t="str">
        <f>"1552378019677999"</f>
        <v>1552378019677999</v>
      </c>
      <c r="C3071" t="s">
        <v>40</v>
      </c>
      <c r="D3071">
        <v>6.0043730000000002</v>
      </c>
      <c r="E3071">
        <v>0.34057419999999999</v>
      </c>
      <c r="F3071" t="s">
        <v>47</v>
      </c>
      <c r="G3071">
        <v>-485.21120000000002</v>
      </c>
      <c r="H3071" s="1">
        <v>-3.3746849999999999E-6</v>
      </c>
      <c r="I3071">
        <v>235.51910000000001</v>
      </c>
      <c r="J3071">
        <v>-495.99250000000001</v>
      </c>
      <c r="K3071">
        <v>1.111715</v>
      </c>
      <c r="L3071">
        <v>263.64409999999998</v>
      </c>
      <c r="M3071">
        <v>-0.12383909999999999</v>
      </c>
      <c r="N3071">
        <v>0</v>
      </c>
      <c r="O3071">
        <v>-0.99228229999999995</v>
      </c>
      <c r="P3071">
        <v>-3.5580399999999998E-2</v>
      </c>
      <c r="Q3071">
        <v>-7.7192739999999999E-3</v>
      </c>
      <c r="R3071">
        <v>-0.99933740000000004</v>
      </c>
      <c r="S3071">
        <v>1.1602779999999999</v>
      </c>
      <c r="T3071">
        <v>-0.1198182</v>
      </c>
      <c r="U3071">
        <v>-3.0473940000000002</v>
      </c>
      <c r="V3071">
        <v>-8.844167E-2</v>
      </c>
      <c r="W3071">
        <v>-2.000071E-3</v>
      </c>
      <c r="X3071">
        <v>0.9960793</v>
      </c>
      <c r="Y3071">
        <v>-0.46859479999999998</v>
      </c>
      <c r="Z3071">
        <v>3.5305889999999999E-2</v>
      </c>
      <c r="AA3071">
        <v>0.88270740000000003</v>
      </c>
      <c r="AB3071">
        <v>20</v>
      </c>
      <c r="AC3071">
        <v>10.7812999999999</v>
      </c>
      <c r="AD3071">
        <v>-1.1117183746849999</v>
      </c>
      <c r="AE3071">
        <v>-28.124999999999901</v>
      </c>
      <c r="AF3071">
        <v>-14.1620569783758</v>
      </c>
      <c r="AG3071">
        <v>-1.1117183746849999</v>
      </c>
      <c r="AH3071">
        <v>26.537170216996898</v>
      </c>
      <c r="AI3071">
        <v>92.116640144746199</v>
      </c>
      <c r="AJ3071">
        <v>118.087444444208</v>
      </c>
      <c r="AK3071">
        <v>30.100185692604001</v>
      </c>
      <c r="AL3071">
        <v>90.1145957090922</v>
      </c>
      <c r="AM3071">
        <v>95.073974267073496</v>
      </c>
      <c r="AN3071">
        <v>0.99999995058243996</v>
      </c>
    </row>
    <row r="3072" spans="1:40" x14ac:dyDescent="0.25">
      <c r="A3072" t="str">
        <f>"20190312160659694"</f>
        <v>20190312160659694</v>
      </c>
      <c r="B3072" t="str">
        <f>"1552378019687759"</f>
        <v>1552378019687759</v>
      </c>
      <c r="C3072" t="s">
        <v>40</v>
      </c>
      <c r="D3072">
        <v>6.0075190000000003</v>
      </c>
      <c r="E3072">
        <v>0.34104709999999899</v>
      </c>
      <c r="F3072" t="s">
        <v>44</v>
      </c>
      <c r="G3072">
        <v>-495.63380000000001</v>
      </c>
      <c r="H3072">
        <v>1.0739749999999999</v>
      </c>
      <c r="I3072">
        <v>262.7063</v>
      </c>
      <c r="J3072">
        <v>-496.00389999999999</v>
      </c>
      <c r="K3072">
        <v>1.1116490000000001</v>
      </c>
      <c r="L3072">
        <v>263.5258</v>
      </c>
      <c r="M3072">
        <v>-0.1208057</v>
      </c>
      <c r="N3072">
        <v>0</v>
      </c>
      <c r="O3072">
        <v>-0.99265619999999999</v>
      </c>
      <c r="P3072">
        <v>-3.2465380000000002E-2</v>
      </c>
      <c r="Q3072">
        <v>-7.6629350000000001E-3</v>
      </c>
      <c r="R3072">
        <v>-0.99944350000000004</v>
      </c>
      <c r="S3072">
        <v>1.1641539999999999</v>
      </c>
      <c r="T3072">
        <v>-0.1224146</v>
      </c>
      <c r="U3072">
        <v>-3.0424799999999999</v>
      </c>
      <c r="V3072">
        <v>-8.8502949999999997E-2</v>
      </c>
      <c r="W3072">
        <v>-1.9367410000000001E-3</v>
      </c>
      <c r="X3072">
        <v>0.99607400000000001</v>
      </c>
      <c r="Y3072">
        <v>-0.4673389</v>
      </c>
      <c r="Z3072">
        <v>3.6151139999999998E-2</v>
      </c>
      <c r="AA3072">
        <v>0.88333879999999998</v>
      </c>
      <c r="AB3072">
        <v>21</v>
      </c>
      <c r="AC3072">
        <v>0.370099999999979</v>
      </c>
      <c r="AD3072">
        <v>-3.7673999999999902E-2</v>
      </c>
      <c r="AE3072">
        <v>-0.819500000000005</v>
      </c>
      <c r="AF3072">
        <v>-0.46557431164707902</v>
      </c>
      <c r="AG3072">
        <v>-3.7673999999999902E-2</v>
      </c>
      <c r="AH3072">
        <v>0.76743965024795602</v>
      </c>
      <c r="AI3072">
        <v>92.403347956517393</v>
      </c>
      <c r="AJ3072">
        <v>121.243478920117</v>
      </c>
      <c r="AK3072">
        <v>0.89841103439035996</v>
      </c>
      <c r="AL3072">
        <v>90.110967158199998</v>
      </c>
      <c r="AM3072">
        <v>95.077498457348597</v>
      </c>
      <c r="AN3072">
        <v>0.99999996830020099</v>
      </c>
    </row>
    <row r="3073" spans="1:40" x14ac:dyDescent="0.25">
      <c r="A3073" t="str">
        <f>"20190312160659705"</f>
        <v>20190312160659705</v>
      </c>
      <c r="B3073" t="str">
        <f>"1552378019698495"</f>
        <v>1552378019698495</v>
      </c>
      <c r="C3073" t="s">
        <v>40</v>
      </c>
      <c r="D3073">
        <v>6.2943199999999999</v>
      </c>
      <c r="E3073">
        <v>0.34104709999999899</v>
      </c>
      <c r="F3073" t="s">
        <v>44</v>
      </c>
      <c r="G3073">
        <v>-495.6377</v>
      </c>
      <c r="H3073">
        <v>1.0730759999999999</v>
      </c>
      <c r="I3073">
        <v>262.57440000000003</v>
      </c>
      <c r="J3073">
        <v>-496.0136</v>
      </c>
      <c r="K3073">
        <v>1.1115930000000001</v>
      </c>
      <c r="L3073">
        <v>263.4228</v>
      </c>
      <c r="M3073">
        <v>-0.1182749</v>
      </c>
      <c r="N3073">
        <v>0</v>
      </c>
      <c r="O3073">
        <v>-0.99296079999999998</v>
      </c>
      <c r="P3073">
        <v>-2.9572250000000001E-2</v>
      </c>
      <c r="Q3073">
        <v>-7.8506459999999993E-3</v>
      </c>
      <c r="R3073">
        <v>-0.99953179999999997</v>
      </c>
      <c r="S3073">
        <v>1.1696470000000001</v>
      </c>
      <c r="T3073">
        <v>-0.1231911</v>
      </c>
      <c r="U3073">
        <v>-3.0386959999999998</v>
      </c>
      <c r="V3073">
        <v>-8.8845359999999998E-2</v>
      </c>
      <c r="W3073">
        <v>-2.120135E-3</v>
      </c>
      <c r="X3073">
        <v>0.99604309999999996</v>
      </c>
      <c r="Y3073">
        <v>-0.4668407</v>
      </c>
      <c r="Z3073">
        <v>3.6434179999999997E-2</v>
      </c>
      <c r="AA3073">
        <v>0.883590599999999</v>
      </c>
      <c r="AB3073">
        <v>21</v>
      </c>
      <c r="AC3073">
        <v>0.37590000000000101</v>
      </c>
      <c r="AD3073">
        <v>-3.85170000000001E-2</v>
      </c>
      <c r="AE3073">
        <v>-0.84839999999996896</v>
      </c>
      <c r="AF3073">
        <v>-0.47279326307730402</v>
      </c>
      <c r="AG3073">
        <v>-3.85170000000001E-2</v>
      </c>
      <c r="AH3073">
        <v>0.796611845442869</v>
      </c>
      <c r="AI3073">
        <v>92.380948482885998</v>
      </c>
      <c r="AJ3073">
        <v>120.68935079644601</v>
      </c>
      <c r="AK3073">
        <v>0.92715018265660698</v>
      </c>
      <c r="AL3073">
        <v>90.121474887611598</v>
      </c>
      <c r="AM3073">
        <v>95.097196855231999</v>
      </c>
      <c r="AN3073">
        <v>0.99999992501177604</v>
      </c>
    </row>
    <row r="3074" spans="1:40" x14ac:dyDescent="0.25">
      <c r="A3074" t="str">
        <f>"20190312160659717"</f>
        <v>20190312160659717</v>
      </c>
      <c r="B3074" t="str">
        <f>"1552378019708255"</f>
        <v>1552378019708255</v>
      </c>
      <c r="C3074" t="s">
        <v>40</v>
      </c>
      <c r="D3074">
        <v>5.9965390000000003</v>
      </c>
      <c r="E3074">
        <v>0.34156049999999999</v>
      </c>
      <c r="F3074" t="s">
        <v>44</v>
      </c>
      <c r="G3074">
        <v>-495.65210000000002</v>
      </c>
      <c r="H3074">
        <v>1.073555</v>
      </c>
      <c r="I3074">
        <v>262.49180000000001</v>
      </c>
      <c r="J3074">
        <v>-496.02269999999999</v>
      </c>
      <c r="K3074">
        <v>1.111542</v>
      </c>
      <c r="L3074">
        <v>263.32389999999998</v>
      </c>
      <c r="M3074">
        <v>-0.1158681</v>
      </c>
      <c r="N3074">
        <v>0</v>
      </c>
      <c r="O3074">
        <v>-0.99324460000000003</v>
      </c>
      <c r="P3074">
        <v>-2.6983219999999999E-2</v>
      </c>
      <c r="Q3074">
        <v>-7.9147269999999999E-3</v>
      </c>
      <c r="R3074">
        <v>-0.99960470000000001</v>
      </c>
      <c r="S3074">
        <v>1.178436</v>
      </c>
      <c r="T3074">
        <v>-0.1240135</v>
      </c>
      <c r="U3074">
        <v>-3.0353089999999998</v>
      </c>
      <c r="V3074">
        <v>-8.9011580000000007E-2</v>
      </c>
      <c r="W3074">
        <v>-2.1786750000000001E-3</v>
      </c>
      <c r="X3074">
        <v>0.99602820000000003</v>
      </c>
      <c r="Y3074">
        <v>-0.46725030000000001</v>
      </c>
      <c r="Z3074">
        <v>3.6709360000000003E-2</v>
      </c>
      <c r="AA3074">
        <v>0.88336269999999995</v>
      </c>
      <c r="AB3074">
        <v>21</v>
      </c>
      <c r="AC3074">
        <v>0.37059999999996701</v>
      </c>
      <c r="AD3074">
        <v>-3.7986999999999903E-2</v>
      </c>
      <c r="AE3074">
        <v>-0.83209999999996798</v>
      </c>
      <c r="AF3074">
        <v>-0.46371307189525601</v>
      </c>
      <c r="AG3074">
        <v>-3.7986999999999903E-2</v>
      </c>
      <c r="AH3074">
        <v>0.78219335456737804</v>
      </c>
      <c r="AI3074">
        <v>92.392159706885707</v>
      </c>
      <c r="AJ3074">
        <v>120.66102599760301</v>
      </c>
      <c r="AK3074">
        <v>0.91010948195527697</v>
      </c>
      <c r="AL3074">
        <v>90.124828982232401</v>
      </c>
      <c r="AM3074">
        <v>95.106758768297794</v>
      </c>
      <c r="AN3074">
        <v>0.999999991597045</v>
      </c>
    </row>
    <row r="3075" spans="1:40" x14ac:dyDescent="0.25">
      <c r="A3075" t="str">
        <f>"20190312160659727"</f>
        <v>20190312160659727</v>
      </c>
      <c r="B3075" t="str">
        <f>"1552378019718014"</f>
        <v>1552378019718014</v>
      </c>
      <c r="C3075" t="s">
        <v>40</v>
      </c>
      <c r="D3075">
        <v>5.9666639999999997</v>
      </c>
      <c r="E3075">
        <v>0.34200560000000002</v>
      </c>
      <c r="F3075" t="s">
        <v>44</v>
      </c>
      <c r="G3075">
        <v>-495.65969999999999</v>
      </c>
      <c r="H3075">
        <v>1.0733159999999999</v>
      </c>
      <c r="I3075">
        <v>262.39159999999998</v>
      </c>
      <c r="J3075">
        <v>-496.03230000000002</v>
      </c>
      <c r="K3075">
        <v>1.1114889999999999</v>
      </c>
      <c r="L3075">
        <v>263.21719999999999</v>
      </c>
      <c r="M3075">
        <v>-0.1133579</v>
      </c>
      <c r="N3075">
        <v>0</v>
      </c>
      <c r="O3075">
        <v>-0.99353429999999998</v>
      </c>
      <c r="P3075">
        <v>-2.4423960000000002E-2</v>
      </c>
      <c r="Q3075">
        <v>-7.9701159999999993E-3</v>
      </c>
      <c r="R3075">
        <v>-0.99967019999999995</v>
      </c>
      <c r="S3075">
        <v>1.18222</v>
      </c>
      <c r="T3075">
        <v>-0.1242856</v>
      </c>
      <c r="U3075">
        <v>-3.0321349999999998</v>
      </c>
      <c r="V3075">
        <v>-8.904434E-2</v>
      </c>
      <c r="W3075">
        <v>-2.2271639999999998E-3</v>
      </c>
      <c r="X3075">
        <v>0.9960251</v>
      </c>
      <c r="Y3075">
        <v>-0.46628380000000003</v>
      </c>
      <c r="Z3075">
        <v>3.6844990000000001E-2</v>
      </c>
      <c r="AA3075">
        <v>0.88386759999999998</v>
      </c>
      <c r="AB3075">
        <v>21</v>
      </c>
      <c r="AC3075">
        <v>0.37260000000003302</v>
      </c>
      <c r="AD3075">
        <v>-3.8172999999999999E-2</v>
      </c>
      <c r="AE3075">
        <v>-0.82560000000000799</v>
      </c>
      <c r="AF3075">
        <v>-0.46296607638758902</v>
      </c>
      <c r="AG3075">
        <v>-3.8172999999999999E-2</v>
      </c>
      <c r="AH3075">
        <v>0.77666075097449006</v>
      </c>
      <c r="AI3075">
        <v>92.417501323783895</v>
      </c>
      <c r="AJ3075">
        <v>120.799093669812</v>
      </c>
      <c r="AK3075">
        <v>0.90498435783110498</v>
      </c>
      <c r="AL3075">
        <v>90.127607212256294</v>
      </c>
      <c r="AM3075">
        <v>95.108644142193498</v>
      </c>
      <c r="AN3075">
        <v>0.99999992728776099</v>
      </c>
    </row>
    <row r="3076" spans="1:40" x14ac:dyDescent="0.25">
      <c r="A3076" t="str">
        <f>"20190312160659739"</f>
        <v>20190312160659739</v>
      </c>
      <c r="B3076" t="str">
        <f>"1552378019727774"</f>
        <v>1552378019727774</v>
      </c>
      <c r="C3076" t="s">
        <v>40</v>
      </c>
      <c r="D3076">
        <v>5.9794790000000004</v>
      </c>
      <c r="E3076">
        <v>0.34200560000000002</v>
      </c>
      <c r="F3076" t="s">
        <v>44</v>
      </c>
      <c r="G3076">
        <v>-495.67</v>
      </c>
      <c r="H3076">
        <v>1.073231</v>
      </c>
      <c r="I3076">
        <v>262.291</v>
      </c>
      <c r="J3076">
        <v>-496.04169999999999</v>
      </c>
      <c r="K3076">
        <v>1.1114360000000001</v>
      </c>
      <c r="L3076">
        <v>263.1105</v>
      </c>
      <c r="M3076">
        <v>-0.11089889999999999</v>
      </c>
      <c r="N3076">
        <v>0</v>
      </c>
      <c r="O3076">
        <v>-0.99381180000000002</v>
      </c>
      <c r="P3076">
        <v>-2.1783569999999999E-2</v>
      </c>
      <c r="Q3076">
        <v>-7.6973329999999998E-3</v>
      </c>
      <c r="R3076">
        <v>-0.99973339999999999</v>
      </c>
      <c r="S3076">
        <v>1.1862790000000001</v>
      </c>
      <c r="T3076">
        <v>-0.12507760000000001</v>
      </c>
      <c r="U3076">
        <v>-3.0289920000000001</v>
      </c>
      <c r="V3076">
        <v>-8.9212040000000006E-2</v>
      </c>
      <c r="W3076">
        <v>-1.947935E-3</v>
      </c>
      <c r="X3076">
        <v>0.99601079999999997</v>
      </c>
      <c r="Y3076">
        <v>-0.46542869999999997</v>
      </c>
      <c r="Z3076">
        <v>3.7132169999999999E-2</v>
      </c>
      <c r="AA3076">
        <v>0.88430609999999998</v>
      </c>
      <c r="AB3076">
        <v>21</v>
      </c>
      <c r="AC3076">
        <v>0.37169999999997499</v>
      </c>
      <c r="AD3076">
        <v>-3.8205000000000003E-2</v>
      </c>
      <c r="AE3076">
        <v>-0.819500000000005</v>
      </c>
      <c r="AF3076">
        <v>-0.45946237764672798</v>
      </c>
      <c r="AG3076">
        <v>-3.8205000000000003E-2</v>
      </c>
      <c r="AH3076">
        <v>0.77183164861196296</v>
      </c>
      <c r="AI3076">
        <v>92.435511545832199</v>
      </c>
      <c r="AJ3076">
        <v>120.764844981146</v>
      </c>
      <c r="AK3076">
        <v>0.89904916011130698</v>
      </c>
      <c r="AL3076">
        <v>90.111608519477002</v>
      </c>
      <c r="AM3076">
        <v>95.118287450744901</v>
      </c>
      <c r="AN3076">
        <v>1.00000004812418</v>
      </c>
    </row>
    <row r="3077" spans="1:40" x14ac:dyDescent="0.25">
      <c r="A3077" t="str">
        <f>"20190312160659751"</f>
        <v>20190312160659751</v>
      </c>
      <c r="B3077" t="str">
        <f>"1552378019738511"</f>
        <v>1552378019738511</v>
      </c>
      <c r="C3077" t="s">
        <v>40</v>
      </c>
      <c r="D3077">
        <v>5.5686960000000001</v>
      </c>
      <c r="E3077">
        <v>0.34220499999999998</v>
      </c>
      <c r="F3077" t="s">
        <v>44</v>
      </c>
      <c r="G3077">
        <v>-495.67619999999999</v>
      </c>
      <c r="H3077">
        <v>1.0735239999999999</v>
      </c>
      <c r="I3077">
        <v>262.18470000000002</v>
      </c>
      <c r="J3077">
        <v>-496.05070000000001</v>
      </c>
      <c r="K3077">
        <v>1.111394</v>
      </c>
      <c r="L3077">
        <v>263.00689999999997</v>
      </c>
      <c r="M3077">
        <v>-0.10856399999999999</v>
      </c>
      <c r="N3077">
        <v>0</v>
      </c>
      <c r="O3077">
        <v>-0.99406950000000005</v>
      </c>
      <c r="P3077">
        <v>-1.9142260000000001E-2</v>
      </c>
      <c r="Q3077">
        <v>-7.8647700000000001E-3</v>
      </c>
      <c r="R3077">
        <v>-0.99978579999999995</v>
      </c>
      <c r="S3077">
        <v>1.19455</v>
      </c>
      <c r="T3077">
        <v>-0.12390660000000001</v>
      </c>
      <c r="U3077">
        <v>-3.0258479999999999</v>
      </c>
      <c r="V3077">
        <v>-8.9503150000000004E-2</v>
      </c>
      <c r="W3077">
        <v>-2.1095509999999999E-3</v>
      </c>
      <c r="X3077">
        <v>0.99598430000000004</v>
      </c>
      <c r="Y3077">
        <v>-0.46575929999999999</v>
      </c>
      <c r="Z3077">
        <v>3.6814840000000001E-2</v>
      </c>
      <c r="AA3077">
        <v>0.88414530000000002</v>
      </c>
      <c r="AB3077">
        <v>21</v>
      </c>
      <c r="AC3077">
        <v>0.37450000000001099</v>
      </c>
      <c r="AD3077">
        <v>-3.7870000000000001E-2</v>
      </c>
      <c r="AE3077">
        <v>-0.82219999999995197</v>
      </c>
      <c r="AF3077">
        <v>-0.46074000830269202</v>
      </c>
      <c r="AG3077">
        <v>-3.7870000000000001E-2</v>
      </c>
      <c r="AH3077">
        <v>0.77531993552251099</v>
      </c>
      <c r="AI3077">
        <v>92.404419155140403</v>
      </c>
      <c r="AJ3077">
        <v>120.72123386620299</v>
      </c>
      <c r="AK3077">
        <v>0.90268294243848202</v>
      </c>
      <c r="AL3077">
        <v>90.120868459225605</v>
      </c>
      <c r="AM3077">
        <v>95.135035810362297</v>
      </c>
      <c r="AN3077">
        <v>0.99999999495591696</v>
      </c>
    </row>
    <row r="3078" spans="1:40" x14ac:dyDescent="0.25">
      <c r="A3078" t="str">
        <f>"20190312160659765"</f>
        <v>20190312160659765</v>
      </c>
      <c r="B3078" t="str">
        <f>"1552378019758030"</f>
        <v>1552378019758030</v>
      </c>
      <c r="C3078" t="s">
        <v>40</v>
      </c>
      <c r="D3078">
        <v>5.9124220000000003</v>
      </c>
      <c r="E3078">
        <v>0.34253499999999998</v>
      </c>
      <c r="F3078" t="s">
        <v>47</v>
      </c>
      <c r="G3078">
        <v>-485.18270000000001</v>
      </c>
      <c r="H3078" s="1">
        <v>-3.4340859999999999E-6</v>
      </c>
      <c r="I3078">
        <v>235.64580000000001</v>
      </c>
      <c r="J3078">
        <v>-496.06110000000001</v>
      </c>
      <c r="K3078">
        <v>1.111335</v>
      </c>
      <c r="L3078">
        <v>262.88339999999999</v>
      </c>
      <c r="M3078">
        <v>-0.1058808</v>
      </c>
      <c r="N3078">
        <v>0</v>
      </c>
      <c r="O3078">
        <v>-0.99435890000000005</v>
      </c>
      <c r="P3078">
        <v>-1.609551E-2</v>
      </c>
      <c r="Q3078">
        <v>-7.5033859999999999E-3</v>
      </c>
      <c r="R3078">
        <v>-0.99984240000000002</v>
      </c>
      <c r="S3078">
        <v>1.200623</v>
      </c>
      <c r="T3078">
        <v>-0.12278</v>
      </c>
      <c r="U3078">
        <v>-3.022675</v>
      </c>
      <c r="V3078">
        <v>-8.985274E-2</v>
      </c>
      <c r="W3078">
        <v>-1.74036E-3</v>
      </c>
      <c r="X3078">
        <v>0.99595359999999999</v>
      </c>
      <c r="Y3078">
        <v>-0.46522799999999997</v>
      </c>
      <c r="Z3078">
        <v>3.6525790000000002E-2</v>
      </c>
      <c r="AA3078">
        <v>0.88443700000000003</v>
      </c>
      <c r="AB3078">
        <v>21</v>
      </c>
      <c r="AC3078">
        <v>10.878399999999999</v>
      </c>
      <c r="AD3078">
        <v>-1.111338434086</v>
      </c>
      <c r="AE3078">
        <v>-27.237599999999901</v>
      </c>
      <c r="AF3078">
        <v>-13.6816008511458</v>
      </c>
      <c r="AG3078">
        <v>-1.111338434086</v>
      </c>
      <c r="AH3078">
        <v>25.895470682259599</v>
      </c>
      <c r="AI3078">
        <v>92.173088190340195</v>
      </c>
      <c r="AJ3078">
        <v>117.849264485181</v>
      </c>
      <c r="AK3078">
        <v>29.308645086747301</v>
      </c>
      <c r="AL3078">
        <v>90.099715327332703</v>
      </c>
      <c r="AM3078">
        <v>95.155142916141997</v>
      </c>
      <c r="AN3078">
        <v>1.0000000585456901</v>
      </c>
    </row>
    <row r="3079" spans="1:40" x14ac:dyDescent="0.25">
      <c r="A3079" t="str">
        <f>"20190312160659779"</f>
        <v>20190312160659779</v>
      </c>
      <c r="B3079" t="str">
        <f>"1552378019768299"</f>
        <v>1552378019768299</v>
      </c>
      <c r="C3079" t="s">
        <v>40</v>
      </c>
      <c r="D3079">
        <v>6.245806</v>
      </c>
      <c r="E3079">
        <v>0.3867102</v>
      </c>
      <c r="F3079" t="s">
        <v>44</v>
      </c>
      <c r="G3079">
        <v>-495.6789</v>
      </c>
      <c r="H3079">
        <v>1.0729820000000001</v>
      </c>
      <c r="I3079">
        <v>261.92720000000003</v>
      </c>
      <c r="J3079">
        <v>-496.0718</v>
      </c>
      <c r="K3079">
        <v>1.111272</v>
      </c>
      <c r="L3079">
        <v>262.75380000000001</v>
      </c>
      <c r="M3079">
        <v>-0.1031411</v>
      </c>
      <c r="N3079">
        <v>0</v>
      </c>
      <c r="O3079">
        <v>-0.9946469</v>
      </c>
      <c r="P3079">
        <v>-1.2851499999999899E-2</v>
      </c>
      <c r="Q3079">
        <v>-7.4543630000000003E-3</v>
      </c>
      <c r="R3079">
        <v>-0.99988969999999999</v>
      </c>
      <c r="S3079">
        <v>1.2078249999999999</v>
      </c>
      <c r="T3079">
        <v>-0.1210719</v>
      </c>
      <c r="U3079">
        <v>-3.0190730000000001</v>
      </c>
      <c r="V3079">
        <v>-9.0340959999999998E-2</v>
      </c>
      <c r="W3079">
        <v>-1.682984E-3</v>
      </c>
      <c r="X3079">
        <v>0.9959095</v>
      </c>
      <c r="Y3079">
        <v>-0.46497850000000002</v>
      </c>
      <c r="Z3079">
        <v>3.6062329999999997E-2</v>
      </c>
      <c r="AA3079">
        <v>0.88458719999999902</v>
      </c>
      <c r="AB3079">
        <v>21</v>
      </c>
      <c r="AC3079">
        <v>0.39289999999999697</v>
      </c>
      <c r="AD3079">
        <v>-3.8290000000000102E-2</v>
      </c>
      <c r="AE3079">
        <v>-0.82659999999998401</v>
      </c>
      <c r="AF3079">
        <v>-0.47523079249153999</v>
      </c>
      <c r="AG3079">
        <v>-3.8290000000000102E-2</v>
      </c>
      <c r="AH3079">
        <v>0.78030064478069305</v>
      </c>
      <c r="AI3079">
        <v>92.399856247109398</v>
      </c>
      <c r="AJ3079">
        <v>121.34289841088599</v>
      </c>
      <c r="AK3079">
        <v>0.91442852453174395</v>
      </c>
      <c r="AL3079">
        <v>90.096427923120899</v>
      </c>
      <c r="AM3079">
        <v>95.183229787789202</v>
      </c>
      <c r="AN3079">
        <v>1.0000000268395499</v>
      </c>
    </row>
    <row r="3080" spans="1:40" x14ac:dyDescent="0.25">
      <c r="A3080" t="str">
        <f>"20190312160659795"</f>
        <v>20190312160659795</v>
      </c>
      <c r="B3080" t="str">
        <f>"1552378019787818"</f>
        <v>1552378019787818</v>
      </c>
      <c r="C3080" t="s">
        <v>40</v>
      </c>
      <c r="D3080">
        <v>5.9680479999999996</v>
      </c>
      <c r="E3080">
        <v>0.40230919999999998</v>
      </c>
      <c r="F3080" t="s">
        <v>47</v>
      </c>
      <c r="G3080">
        <v>-490.83679999999998</v>
      </c>
      <c r="H3080" s="1">
        <v>-2.3422249999999998E-6</v>
      </c>
      <c r="I3080">
        <v>244.5299</v>
      </c>
      <c r="J3080">
        <v>-496.08449999999999</v>
      </c>
      <c r="K3080">
        <v>1.1111949999999999</v>
      </c>
      <c r="L3080">
        <v>262.59660000000002</v>
      </c>
      <c r="M3080">
        <v>-9.9943820000000003E-2</v>
      </c>
      <c r="N3080">
        <v>0</v>
      </c>
      <c r="O3080">
        <v>-0.9949732</v>
      </c>
      <c r="P3080">
        <v>-9.1381239999999992E-3</v>
      </c>
      <c r="Q3080">
        <v>-8.0428970000000002E-3</v>
      </c>
      <c r="R3080">
        <v>-0.99992610000000004</v>
      </c>
      <c r="S3080">
        <v>0.86468509999999998</v>
      </c>
      <c r="T3080">
        <v>-0.1835523</v>
      </c>
      <c r="U3080">
        <v>-3.0101010000000001</v>
      </c>
      <c r="V3080">
        <v>-9.0835200000000005E-2</v>
      </c>
      <c r="W3080">
        <v>-2.259254E-3</v>
      </c>
      <c r="X3080">
        <v>0.99586339999999995</v>
      </c>
      <c r="Y3080">
        <v>-0.37031530000000001</v>
      </c>
      <c r="Z3080">
        <v>5.7092039999999997E-2</v>
      </c>
      <c r="AA3080">
        <v>0.92715000000000003</v>
      </c>
      <c r="AB3080">
        <v>21</v>
      </c>
      <c r="AC3080">
        <v>5.2477</v>
      </c>
      <c r="AD3080">
        <v>-1.1111973422249899</v>
      </c>
      <c r="AE3080">
        <v>-18.066700000000001</v>
      </c>
      <c r="AF3080">
        <v>-7.0026855063224902</v>
      </c>
      <c r="AG3080">
        <v>-1.1111973422249899</v>
      </c>
      <c r="AH3080">
        <v>17.391082301332698</v>
      </c>
      <c r="AI3080">
        <v>93.391963716636894</v>
      </c>
      <c r="AJ3080">
        <v>111.93265219546301</v>
      </c>
      <c r="AK3080">
        <v>18.7808974078864</v>
      </c>
      <c r="AL3080">
        <v>90.129445825980895</v>
      </c>
      <c r="AM3080">
        <v>95.211670552970304</v>
      </c>
      <c r="AN3080">
        <v>1.00000002462361</v>
      </c>
    </row>
    <row r="3081" spans="1:40" x14ac:dyDescent="0.25">
      <c r="A3081" t="str">
        <f>"20190312160659809"</f>
        <v>20190312160659809</v>
      </c>
      <c r="B3081" t="str">
        <f>"1552378019798557"</f>
        <v>1552378019798557</v>
      </c>
      <c r="C3081" t="s">
        <v>40</v>
      </c>
      <c r="D3081">
        <v>5.9557479999999998</v>
      </c>
      <c r="E3081">
        <v>0.40661409999999998</v>
      </c>
      <c r="F3081" t="s">
        <v>47</v>
      </c>
      <c r="G3081">
        <v>-491.52710000000002</v>
      </c>
      <c r="H3081" s="1">
        <v>-2.4563559999999999E-6</v>
      </c>
      <c r="I3081">
        <v>244.36779999999999</v>
      </c>
      <c r="J3081">
        <v>-496.09539999999998</v>
      </c>
      <c r="K3081">
        <v>1.1111230000000001</v>
      </c>
      <c r="L3081">
        <v>262.45679999999999</v>
      </c>
      <c r="M3081">
        <v>-9.7229259999999998E-2</v>
      </c>
      <c r="N3081">
        <v>0</v>
      </c>
      <c r="O3081">
        <v>-0.99524219999999997</v>
      </c>
      <c r="P3081">
        <v>-6.1865289999999996E-3</v>
      </c>
      <c r="Q3081">
        <v>-8.2850100000000006E-3</v>
      </c>
      <c r="R3081">
        <v>-0.99994680000000002</v>
      </c>
      <c r="S3081">
        <v>0.7514343</v>
      </c>
      <c r="T3081">
        <v>-0.18321699999999999</v>
      </c>
      <c r="U3081">
        <v>-3.0056150000000001</v>
      </c>
      <c r="V3081">
        <v>-9.1057390000000002E-2</v>
      </c>
      <c r="W3081">
        <v>-2.4883790000000002E-3</v>
      </c>
      <c r="X3081">
        <v>0.99584249999999996</v>
      </c>
      <c r="Y3081">
        <v>-0.3353119</v>
      </c>
      <c r="Z3081">
        <v>5.7763759999999997E-2</v>
      </c>
      <c r="AA3081">
        <v>0.94033469999999997</v>
      </c>
      <c r="AB3081">
        <v>21</v>
      </c>
      <c r="AC3081">
        <v>4.5682999999999598</v>
      </c>
      <c r="AD3081">
        <v>-1.11112545635599</v>
      </c>
      <c r="AE3081">
        <v>-18.088999999999999</v>
      </c>
      <c r="AF3081">
        <v>-6.2831837050427097</v>
      </c>
      <c r="AG3081">
        <v>-1.11112545635599</v>
      </c>
      <c r="AH3081">
        <v>17.4970501487878</v>
      </c>
      <c r="AI3081">
        <v>93.420320015098</v>
      </c>
      <c r="AJ3081">
        <v>109.753192987058</v>
      </c>
      <c r="AK3081">
        <v>18.624171422113601</v>
      </c>
      <c r="AL3081">
        <v>90.142573767004706</v>
      </c>
      <c r="AM3081">
        <v>95.224457287019504</v>
      </c>
      <c r="AN3081">
        <v>0.99999996255495405</v>
      </c>
    </row>
    <row r="3082" spans="1:40" x14ac:dyDescent="0.25">
      <c r="A3082" t="str">
        <f>"20190312160659827"</f>
        <v>20190312160659827</v>
      </c>
      <c r="B3082" t="str">
        <f>"1552378019818078"</f>
        <v>1552378019818078</v>
      </c>
      <c r="C3082" t="s">
        <v>40</v>
      </c>
      <c r="D3082">
        <v>5.9715049999999996</v>
      </c>
      <c r="E3082">
        <v>0.41173480000000001</v>
      </c>
      <c r="F3082" t="s">
        <v>47</v>
      </c>
      <c r="G3082">
        <v>-491.73110000000003</v>
      </c>
      <c r="H3082" s="1">
        <v>-2.5283480000000001E-6</v>
      </c>
      <c r="I3082">
        <v>244.40899999999999</v>
      </c>
      <c r="J3082">
        <v>-496.10789999999997</v>
      </c>
      <c r="K3082">
        <v>1.1110409999999999</v>
      </c>
      <c r="L3082">
        <v>262.29309999999998</v>
      </c>
      <c r="M3082">
        <v>-9.4160179999999996E-2</v>
      </c>
      <c r="N3082">
        <v>0</v>
      </c>
      <c r="O3082">
        <v>-0.99553720000000001</v>
      </c>
      <c r="P3082">
        <v>-3.3858069999999998E-3</v>
      </c>
      <c r="Q3082">
        <v>-9.2716580000000003E-3</v>
      </c>
      <c r="R3082">
        <v>-0.99995160000000005</v>
      </c>
      <c r="S3082">
        <v>0.72619630000000002</v>
      </c>
      <c r="T3082">
        <v>-0.18488779999999999</v>
      </c>
      <c r="U3082">
        <v>-3.003082</v>
      </c>
      <c r="V3082">
        <v>-9.0770779999999995E-2</v>
      </c>
      <c r="W3082">
        <v>-3.4570529999999999E-3</v>
      </c>
      <c r="X3082">
        <v>0.99586580000000002</v>
      </c>
      <c r="Y3082">
        <v>-0.32511309999999999</v>
      </c>
      <c r="Z3082">
        <v>5.8528730000000001E-2</v>
      </c>
      <c r="AA3082">
        <v>0.94386219999999998</v>
      </c>
      <c r="AB3082">
        <v>21</v>
      </c>
      <c r="AC3082">
        <v>4.3767999999999398</v>
      </c>
      <c r="AD3082">
        <v>-1.111043528348</v>
      </c>
      <c r="AE3082">
        <v>-17.884099999999901</v>
      </c>
      <c r="AF3082">
        <v>-6.0194376946163297</v>
      </c>
      <c r="AG3082">
        <v>-1.111043528348</v>
      </c>
      <c r="AH3082">
        <v>17.3294075264144</v>
      </c>
      <c r="AI3082">
        <v>93.465803423089</v>
      </c>
      <c r="AJ3082">
        <v>109.154871226804</v>
      </c>
      <c r="AK3082">
        <v>18.378694542806901</v>
      </c>
      <c r="AL3082">
        <v>90.198074943239206</v>
      </c>
      <c r="AM3082">
        <v>95.207982304877703</v>
      </c>
      <c r="AN3082">
        <v>0.99999998866344597</v>
      </c>
    </row>
    <row r="3083" spans="1:40" x14ac:dyDescent="0.25">
      <c r="A3083" t="str">
        <f>"20190312160659840"</f>
        <v>20190312160659840</v>
      </c>
      <c r="B3083" t="str">
        <f>"1552378019838570"</f>
        <v>1552378019838570</v>
      </c>
      <c r="C3083" t="s">
        <v>40</v>
      </c>
      <c r="D3083">
        <v>5.9565830000000002</v>
      </c>
      <c r="E3083">
        <v>0.41490120000000003</v>
      </c>
      <c r="F3083" t="s">
        <v>47</v>
      </c>
      <c r="G3083">
        <v>-492.01</v>
      </c>
      <c r="H3083" s="1">
        <v>-2.6675420000000002E-6</v>
      </c>
      <c r="I3083">
        <v>244.56059999999999</v>
      </c>
      <c r="J3083">
        <v>-496.11709999999999</v>
      </c>
      <c r="K3083">
        <v>1.110984</v>
      </c>
      <c r="L3083">
        <v>262.16840000000002</v>
      </c>
      <c r="M3083">
        <v>-9.1904509999999995E-2</v>
      </c>
      <c r="N3083">
        <v>0</v>
      </c>
      <c r="O3083">
        <v>-0.99574790000000002</v>
      </c>
      <c r="P3083">
        <v>-9.3736480000000005E-4</v>
      </c>
      <c r="Q3083">
        <v>-9.5689669999999994E-3</v>
      </c>
      <c r="R3083">
        <v>-0.99995400000000001</v>
      </c>
      <c r="S3083">
        <v>0.69345089999999998</v>
      </c>
      <c r="T3083">
        <v>-0.1880126</v>
      </c>
      <c r="U3083">
        <v>-3.0007320000000002</v>
      </c>
      <c r="V3083">
        <v>-9.0951610000000002E-2</v>
      </c>
      <c r="W3083">
        <v>-3.7425819999999999E-3</v>
      </c>
      <c r="X3083">
        <v>0.99584830000000002</v>
      </c>
      <c r="Y3083">
        <v>-0.31334469999999998</v>
      </c>
      <c r="Z3083">
        <v>5.9774939999999999E-2</v>
      </c>
      <c r="AA3083">
        <v>0.94775640000000005</v>
      </c>
      <c r="AB3083">
        <v>21</v>
      </c>
      <c r="AC3083">
        <v>4.1071</v>
      </c>
      <c r="AD3083">
        <v>-1.1109866675419999</v>
      </c>
      <c r="AE3083">
        <v>-17.607800000000001</v>
      </c>
      <c r="AF3083">
        <v>-5.6865150341505197</v>
      </c>
      <c r="AG3083">
        <v>-1.1109866675419999</v>
      </c>
      <c r="AH3083">
        <v>17.0912774888393</v>
      </c>
      <c r="AI3083">
        <v>93.529465670849206</v>
      </c>
      <c r="AJ3083">
        <v>108.40302957197601</v>
      </c>
      <c r="AK3083">
        <v>18.046675893625999</v>
      </c>
      <c r="AL3083">
        <v>90.214434649508206</v>
      </c>
      <c r="AM3083">
        <v>95.218391415853901</v>
      </c>
      <c r="AN3083">
        <v>1.00000001944725</v>
      </c>
    </row>
    <row r="3084" spans="1:40" x14ac:dyDescent="0.25">
      <c r="A3084" t="str">
        <f>"20190312160659852"</f>
        <v>20190312160659852</v>
      </c>
      <c r="B3084" t="str">
        <f>"1552378019848331"</f>
        <v>1552378019848331</v>
      </c>
      <c r="C3084" t="s">
        <v>40</v>
      </c>
      <c r="D3084">
        <v>5.954796</v>
      </c>
      <c r="E3084">
        <v>0.41618830000000001</v>
      </c>
      <c r="F3084" t="s">
        <v>47</v>
      </c>
      <c r="G3084">
        <v>-492.1687</v>
      </c>
      <c r="H3084" s="1">
        <v>-2.7491129999999998E-6</v>
      </c>
      <c r="I3084">
        <v>244.6523</v>
      </c>
      <c r="J3084">
        <v>-496.12520000000001</v>
      </c>
      <c r="K3084">
        <v>1.1109359999999999</v>
      </c>
      <c r="L3084">
        <v>262.05869999999999</v>
      </c>
      <c r="M3084">
        <v>-8.9970190000000005E-2</v>
      </c>
      <c r="N3084">
        <v>0</v>
      </c>
      <c r="O3084">
        <v>-0.99592480000000005</v>
      </c>
      <c r="P3084">
        <v>1.1385239999999999E-3</v>
      </c>
      <c r="Q3084">
        <v>-9.8402030000000005E-3</v>
      </c>
      <c r="R3084">
        <v>-0.99995100000000003</v>
      </c>
      <c r="S3084">
        <v>0.6760254</v>
      </c>
      <c r="T3084">
        <v>-0.19021550000000001</v>
      </c>
      <c r="U3084">
        <v>-2.998993</v>
      </c>
      <c r="V3084">
        <v>-9.1083529999999996E-2</v>
      </c>
      <c r="W3084">
        <v>-4.0028959999999997E-3</v>
      </c>
      <c r="X3084">
        <v>0.99583520000000003</v>
      </c>
      <c r="Y3084">
        <v>-0.30636729999999901</v>
      </c>
      <c r="Z3084">
        <v>6.063288E-2</v>
      </c>
      <c r="AA3084">
        <v>0.94998039999999995</v>
      </c>
      <c r="AB3084">
        <v>21</v>
      </c>
      <c r="AC3084">
        <v>3.9565000000000001</v>
      </c>
      <c r="AD3084">
        <v>-1.1109387491130001</v>
      </c>
      <c r="AE3084">
        <v>-17.406399999999898</v>
      </c>
      <c r="AF3084">
        <v>-5.4852950413204997</v>
      </c>
      <c r="AG3084">
        <v>-1.1109387491130001</v>
      </c>
      <c r="AH3084">
        <v>16.914316102635901</v>
      </c>
      <c r="AI3084">
        <v>93.575029892016701</v>
      </c>
      <c r="AJ3084">
        <v>107.967824531879</v>
      </c>
      <c r="AK3084">
        <v>17.816193078615498</v>
      </c>
      <c r="AL3084">
        <v>90.229349661620603</v>
      </c>
      <c r="AM3084">
        <v>95.225986874614094</v>
      </c>
      <c r="AN3084">
        <v>0.99999998908634302</v>
      </c>
    </row>
    <row r="3085" spans="1:40" x14ac:dyDescent="0.25">
      <c r="A3085" t="str">
        <f>"20190312160659864"</f>
        <v>20190312160659864</v>
      </c>
      <c r="B3085" t="str">
        <f>"1552378019858091"</f>
        <v>1552378019858091</v>
      </c>
      <c r="C3085" t="s">
        <v>40</v>
      </c>
      <c r="D3085">
        <v>5.9596819999999999</v>
      </c>
      <c r="E3085">
        <v>0.4172092</v>
      </c>
      <c r="F3085" t="s">
        <v>47</v>
      </c>
      <c r="G3085">
        <v>-492.21719999999999</v>
      </c>
      <c r="H3085" s="1">
        <v>-2.7494229999999999E-6</v>
      </c>
      <c r="I3085">
        <v>244.62289999999999</v>
      </c>
      <c r="J3085">
        <v>-496.13319999999999</v>
      </c>
      <c r="K3085">
        <v>1.110886</v>
      </c>
      <c r="L3085">
        <v>261.94569999999999</v>
      </c>
      <c r="M3085">
        <v>-8.8065409999999997E-2</v>
      </c>
      <c r="N3085">
        <v>0</v>
      </c>
      <c r="O3085">
        <v>-0.99609490000000001</v>
      </c>
      <c r="P3085">
        <v>3.0611549999999999E-3</v>
      </c>
      <c r="Q3085">
        <v>-9.675075E-3</v>
      </c>
      <c r="R3085">
        <v>-0.99994870000000002</v>
      </c>
      <c r="S3085">
        <v>0.67184449999999996</v>
      </c>
      <c r="T3085">
        <v>-0.19099079999999999</v>
      </c>
      <c r="U3085">
        <v>-2.997528</v>
      </c>
      <c r="V3085">
        <v>-9.1095460000000003E-2</v>
      </c>
      <c r="W3085">
        <v>-3.8270370000000001E-3</v>
      </c>
      <c r="X3085">
        <v>0.99583480000000002</v>
      </c>
      <c r="Y3085">
        <v>-0.30337979999999998</v>
      </c>
      <c r="Z3085">
        <v>6.096331E-2</v>
      </c>
      <c r="AA3085">
        <v>0.95091749999999997</v>
      </c>
      <c r="AB3085">
        <v>21</v>
      </c>
      <c r="AC3085">
        <v>3.9159999999999902</v>
      </c>
      <c r="AD3085">
        <v>-1.110888749423</v>
      </c>
      <c r="AE3085">
        <v>-17.322800000000001</v>
      </c>
      <c r="AF3085">
        <v>-5.4052059832976003</v>
      </c>
      <c r="AG3085">
        <v>-1.110888749423</v>
      </c>
      <c r="AH3085">
        <v>16.844716275688</v>
      </c>
      <c r="AI3085">
        <v>93.593175411882996</v>
      </c>
      <c r="AJ3085">
        <v>107.79062320226301</v>
      </c>
      <c r="AK3085">
        <v>17.725540667181399</v>
      </c>
      <c r="AL3085">
        <v>90.219273605816298</v>
      </c>
      <c r="AM3085">
        <v>95.226669664428101</v>
      </c>
      <c r="AN3085">
        <v>0.99999998896792497</v>
      </c>
    </row>
    <row r="3086" spans="1:40" x14ac:dyDescent="0.25">
      <c r="A3086" t="str">
        <f>"20190312160659876"</f>
        <v>20190312160659876</v>
      </c>
      <c r="B3086" t="str">
        <f>"1552378019868359"</f>
        <v>1552378019868359</v>
      </c>
      <c r="C3086" t="s">
        <v>40</v>
      </c>
      <c r="D3086">
        <v>5.9735559999999897</v>
      </c>
      <c r="E3086">
        <v>0.41810059999999899</v>
      </c>
      <c r="F3086" t="s">
        <v>47</v>
      </c>
      <c r="G3086">
        <v>-492.19650000000001</v>
      </c>
      <c r="H3086" s="1">
        <v>-2.6167490000000002E-6</v>
      </c>
      <c r="I3086">
        <v>244.32650000000001</v>
      </c>
      <c r="J3086">
        <v>-496.14100000000002</v>
      </c>
      <c r="K3086">
        <v>1.1108389999999999</v>
      </c>
      <c r="L3086">
        <v>261.83390000000003</v>
      </c>
      <c r="M3086">
        <v>-8.6207930000000002E-2</v>
      </c>
      <c r="N3086">
        <v>0</v>
      </c>
      <c r="O3086">
        <v>-0.99625719999999995</v>
      </c>
      <c r="P3086">
        <v>5.0062190000000001E-3</v>
      </c>
      <c r="Q3086">
        <v>-9.6460609999999992E-3</v>
      </c>
      <c r="R3086">
        <v>-0.99994119999999997</v>
      </c>
      <c r="S3086">
        <v>0.66946410000000001</v>
      </c>
      <c r="T3086">
        <v>-0.18891450000000001</v>
      </c>
      <c r="U3086">
        <v>-2.9962770000000001</v>
      </c>
      <c r="V3086">
        <v>-9.1175729999999997E-2</v>
      </c>
      <c r="W3086">
        <v>-3.788203E-3</v>
      </c>
      <c r="X3086">
        <v>0.99582760000000003</v>
      </c>
      <c r="Y3086">
        <v>-0.30097580000000002</v>
      </c>
      <c r="Z3086">
        <v>6.03717E-2</v>
      </c>
      <c r="AA3086">
        <v>0.95171890000000003</v>
      </c>
      <c r="AB3086">
        <v>21</v>
      </c>
      <c r="AC3086">
        <v>3.9444999999999402</v>
      </c>
      <c r="AD3086">
        <v>-1.1108416167489901</v>
      </c>
      <c r="AE3086">
        <v>-17.507400000000001</v>
      </c>
      <c r="AF3086">
        <v>-5.4183615716735298</v>
      </c>
      <c r="AG3086">
        <v>-1.1108416167489901</v>
      </c>
      <c r="AH3086">
        <v>17.036891325546101</v>
      </c>
      <c r="AI3086">
        <v>93.555524630693498</v>
      </c>
      <c r="AJ3086">
        <v>107.642588523746</v>
      </c>
      <c r="AK3086">
        <v>17.912238197873499</v>
      </c>
      <c r="AL3086">
        <v>90.217048565880603</v>
      </c>
      <c r="AM3086">
        <v>95.231287286984696</v>
      </c>
      <c r="AN3086">
        <v>0.99999998657238098</v>
      </c>
    </row>
    <row r="3087" spans="1:40" x14ac:dyDescent="0.25">
      <c r="A3087" t="str">
        <f>"20190312160659886"</f>
        <v>20190312160659886</v>
      </c>
      <c r="B3087" t="str">
        <f>"1552378019878119"</f>
        <v>1552378019878119</v>
      </c>
      <c r="C3087" t="s">
        <v>40</v>
      </c>
      <c r="D3087">
        <v>5.9834129999999996</v>
      </c>
      <c r="E3087">
        <v>0.41892010000000002</v>
      </c>
      <c r="F3087" t="s">
        <v>47</v>
      </c>
      <c r="G3087">
        <v>-492.2199</v>
      </c>
      <c r="H3087" s="1">
        <v>-2.5897360000000001E-6</v>
      </c>
      <c r="I3087">
        <v>244.249</v>
      </c>
      <c r="J3087">
        <v>-496.14890000000003</v>
      </c>
      <c r="K3087">
        <v>1.110789</v>
      </c>
      <c r="L3087">
        <v>261.71899999999999</v>
      </c>
      <c r="M3087">
        <v>-8.4384390000000004E-2</v>
      </c>
      <c r="N3087">
        <v>0</v>
      </c>
      <c r="O3087">
        <v>-0.9964134</v>
      </c>
      <c r="P3087">
        <v>6.5204440000000002E-3</v>
      </c>
      <c r="Q3087">
        <v>-9.492449E-3</v>
      </c>
      <c r="R3087">
        <v>-0.99993379999999998</v>
      </c>
      <c r="S3087">
        <v>0.66781619999999997</v>
      </c>
      <c r="T3087">
        <v>-0.18919250000000001</v>
      </c>
      <c r="U3087">
        <v>-2.9949650000000001</v>
      </c>
      <c r="V3087">
        <v>-9.0862849999999995E-2</v>
      </c>
      <c r="W3087">
        <v>-3.6247929999999999E-3</v>
      </c>
      <c r="X3087">
        <v>0.99585679999999999</v>
      </c>
      <c r="Y3087">
        <v>-0.29881790000000003</v>
      </c>
      <c r="Z3087">
        <v>6.0525299999999997E-2</v>
      </c>
      <c r="AA3087">
        <v>0.95238889999999998</v>
      </c>
      <c r="AB3087">
        <v>21</v>
      </c>
      <c r="AC3087">
        <v>3.92900000000003</v>
      </c>
      <c r="AD3087">
        <v>-1.1107915897359999</v>
      </c>
      <c r="AE3087">
        <v>-17.469999999999899</v>
      </c>
      <c r="AF3087">
        <v>-5.3685513707297297</v>
      </c>
      <c r="AG3087">
        <v>-1.1107915897359999</v>
      </c>
      <c r="AH3087">
        <v>17.0106746688081</v>
      </c>
      <c r="AI3087">
        <v>93.563324279108997</v>
      </c>
      <c r="AJ3087">
        <v>107.51564244884599</v>
      </c>
      <c r="AK3087">
        <v>17.872276141108099</v>
      </c>
      <c r="AL3087">
        <v>90.207685799180894</v>
      </c>
      <c r="AM3087">
        <v>95.213282592175801</v>
      </c>
      <c r="AN3087">
        <v>0.99999998137032697</v>
      </c>
    </row>
    <row r="3088" spans="1:40" x14ac:dyDescent="0.25">
      <c r="A3088" t="str">
        <f>"20190312160659898"</f>
        <v>20190312160659898</v>
      </c>
      <c r="B3088" t="str">
        <f>"1552378019887880"</f>
        <v>1552378019887880</v>
      </c>
      <c r="C3088" t="s">
        <v>40</v>
      </c>
      <c r="D3088">
        <v>5.972067</v>
      </c>
      <c r="E3088">
        <v>0.41965330000000001</v>
      </c>
      <c r="F3088" t="s">
        <v>47</v>
      </c>
      <c r="G3088">
        <v>-492.22620000000001</v>
      </c>
      <c r="H3088" s="1">
        <v>-2.5175679999999998E-6</v>
      </c>
      <c r="I3088">
        <v>244.07689999999999</v>
      </c>
      <c r="J3088">
        <v>-496.15589999999997</v>
      </c>
      <c r="K3088">
        <v>1.110749</v>
      </c>
      <c r="L3088">
        <v>261.61509999999998</v>
      </c>
      <c r="M3088">
        <v>-8.2764340000000006E-2</v>
      </c>
      <c r="N3088">
        <v>0</v>
      </c>
      <c r="O3088">
        <v>-0.99654949999999998</v>
      </c>
      <c r="P3088">
        <v>8.0351550000000004E-3</v>
      </c>
      <c r="Q3088">
        <v>-9.6166110000000006E-3</v>
      </c>
      <c r="R3088">
        <v>-0.99992170000000002</v>
      </c>
      <c r="S3088">
        <v>0.66574100000000003</v>
      </c>
      <c r="T3088">
        <v>-0.18851490000000001</v>
      </c>
      <c r="U3088">
        <v>-2.9940799999999999</v>
      </c>
      <c r="V3088">
        <v>-9.0752180000000002E-2</v>
      </c>
      <c r="W3088">
        <v>-3.7418690000000001E-3</v>
      </c>
      <c r="X3088">
        <v>0.99586649999999999</v>
      </c>
      <c r="Y3088">
        <v>-0.2966992</v>
      </c>
      <c r="Z3088">
        <v>6.036441E-2</v>
      </c>
      <c r="AA3088">
        <v>0.95306120000000005</v>
      </c>
      <c r="AB3088">
        <v>21</v>
      </c>
      <c r="AC3088">
        <v>3.92969999999996</v>
      </c>
      <c r="AD3088">
        <v>-1.1107515175680001</v>
      </c>
      <c r="AE3088">
        <v>-17.5381999999999</v>
      </c>
      <c r="AF3088">
        <v>-5.3473597685346101</v>
      </c>
      <c r="AG3088">
        <v>-1.1107515175680001</v>
      </c>
      <c r="AH3088">
        <v>17.087518014969</v>
      </c>
      <c r="AI3088">
        <v>93.549905541642403</v>
      </c>
      <c r="AJ3088">
        <v>107.37696421045</v>
      </c>
      <c r="AK3088">
        <v>17.9390996803021</v>
      </c>
      <c r="AL3088">
        <v>90.214393796615397</v>
      </c>
      <c r="AM3088">
        <v>95.206917354846993</v>
      </c>
      <c r="AN3088">
        <v>1.0000000227903001</v>
      </c>
    </row>
    <row r="3089" spans="1:40" x14ac:dyDescent="0.25">
      <c r="A3089" t="str">
        <f>"20190312160659910"</f>
        <v>20190312160659910</v>
      </c>
      <c r="B3089" t="str">
        <f>"1552378019898616"</f>
        <v>1552378019898616</v>
      </c>
      <c r="C3089" t="s">
        <v>40</v>
      </c>
      <c r="D3089">
        <v>5.9986569999999997</v>
      </c>
      <c r="E3089">
        <v>0.42037849999999999</v>
      </c>
      <c r="F3089" t="s">
        <v>47</v>
      </c>
      <c r="G3089">
        <v>-492.25299999999999</v>
      </c>
      <c r="H3089" s="1">
        <v>-2.5057570000000001E-6</v>
      </c>
      <c r="I3089">
        <v>244.03270000000001</v>
      </c>
      <c r="J3089">
        <v>-496.1635</v>
      </c>
      <c r="K3089">
        <v>1.1107100000000001</v>
      </c>
      <c r="L3089">
        <v>261.50049999999999</v>
      </c>
      <c r="M3089">
        <v>-8.1025009999999995E-2</v>
      </c>
      <c r="N3089">
        <v>0</v>
      </c>
      <c r="O3089">
        <v>-0.99669220000000003</v>
      </c>
      <c r="P3089">
        <v>9.6865000000000007E-3</v>
      </c>
      <c r="Q3089">
        <v>-9.6493399999999993E-3</v>
      </c>
      <c r="R3089">
        <v>-0.99990619999999997</v>
      </c>
      <c r="S3089">
        <v>0.66439820000000005</v>
      </c>
      <c r="T3089">
        <v>-0.18908330000000001</v>
      </c>
      <c r="U3089">
        <v>-2.993042</v>
      </c>
      <c r="V3089">
        <v>-9.0658610000000001E-2</v>
      </c>
      <c r="W3089">
        <v>-3.7683270000000001E-3</v>
      </c>
      <c r="X3089">
        <v>0.99587490000000001</v>
      </c>
      <c r="Y3089">
        <v>-0.2946916</v>
      </c>
      <c r="Z3089">
        <v>6.0601790000000003E-2</v>
      </c>
      <c r="AA3089">
        <v>0.95366879999999998</v>
      </c>
      <c r="AB3089">
        <v>22</v>
      </c>
      <c r="AC3089">
        <v>3.9104999999999501</v>
      </c>
      <c r="AD3089">
        <v>-1.110712505757</v>
      </c>
      <c r="AE3089">
        <v>-17.467799999999901</v>
      </c>
      <c r="AF3089">
        <v>-5.2926208130541097</v>
      </c>
      <c r="AG3089">
        <v>-1.110712505757</v>
      </c>
      <c r="AH3089">
        <v>17.0279483389562</v>
      </c>
      <c r="AI3089">
        <v>93.564309086645096</v>
      </c>
      <c r="AJ3089">
        <v>107.266270928903</v>
      </c>
      <c r="AK3089">
        <v>17.866072371267801</v>
      </c>
      <c r="AL3089">
        <v>90.215909743891004</v>
      </c>
      <c r="AM3089">
        <v>95.201534595729797</v>
      </c>
      <c r="AN3089">
        <v>1.00000000015276</v>
      </c>
    </row>
    <row r="3090" spans="1:40" x14ac:dyDescent="0.25">
      <c r="A3090" t="str">
        <f>"20190312160659927"</f>
        <v>20190312160659927</v>
      </c>
      <c r="B3090" t="str">
        <f>"1552378019918134"</f>
        <v>1552378019918134</v>
      </c>
      <c r="C3090" t="s">
        <v>40</v>
      </c>
      <c r="D3090">
        <v>5.9566140000000001</v>
      </c>
      <c r="E3090">
        <v>0.42102810000000002</v>
      </c>
      <c r="F3090" t="s">
        <v>47</v>
      </c>
      <c r="G3090">
        <v>-492.25749999999999</v>
      </c>
      <c r="H3090" s="1">
        <v>-2.4458669999999999E-6</v>
      </c>
      <c r="I3090">
        <v>243.8903</v>
      </c>
      <c r="J3090">
        <v>-496.17419999999998</v>
      </c>
      <c r="K3090">
        <v>1.1106640000000001</v>
      </c>
      <c r="L3090">
        <v>261.33589999999998</v>
      </c>
      <c r="M3090">
        <v>-7.8601630000000006E-2</v>
      </c>
      <c r="N3090">
        <v>0</v>
      </c>
      <c r="O3090">
        <v>-0.99688650000000001</v>
      </c>
      <c r="P3090">
        <v>1.156835E-2</v>
      </c>
      <c r="Q3090">
        <v>-9.7002960000000006E-3</v>
      </c>
      <c r="R3090">
        <v>-0.99988619999999995</v>
      </c>
      <c r="S3090">
        <v>0.66363530000000004</v>
      </c>
      <c r="T3090">
        <v>-0.18871360000000001</v>
      </c>
      <c r="U3090">
        <v>-2.992035</v>
      </c>
      <c r="V3090">
        <v>-9.011247E-2</v>
      </c>
      <c r="W3090">
        <v>-3.810164E-3</v>
      </c>
      <c r="X3090">
        <v>0.99592429999999998</v>
      </c>
      <c r="Y3090">
        <v>-0.29220479999999999</v>
      </c>
      <c r="Z3090">
        <v>6.0547089999999998E-2</v>
      </c>
      <c r="AA3090">
        <v>0.95443719999999999</v>
      </c>
      <c r="AB3090">
        <v>22</v>
      </c>
      <c r="AC3090">
        <v>3.9166999999999899</v>
      </c>
      <c r="AD3090">
        <v>-1.1106664458669999</v>
      </c>
      <c r="AE3090">
        <v>-17.445599999999899</v>
      </c>
      <c r="AF3090">
        <v>-5.2555814533237397</v>
      </c>
      <c r="AG3090">
        <v>-1.1106664458669999</v>
      </c>
      <c r="AH3090">
        <v>17.018090632898399</v>
      </c>
      <c r="AI3090">
        <v>93.568228880118497</v>
      </c>
      <c r="AJ3090">
        <v>107.161902328945</v>
      </c>
      <c r="AK3090">
        <v>17.845731286670201</v>
      </c>
      <c r="AL3090">
        <v>90.218306846196796</v>
      </c>
      <c r="AM3090">
        <v>95.170115105232597</v>
      </c>
      <c r="AN3090">
        <v>0.99999999296484798</v>
      </c>
    </row>
    <row r="3091" spans="1:40" x14ac:dyDescent="0.25">
      <c r="A3091" t="str">
        <f>"20190312160659939"</f>
        <v>20190312160659939</v>
      </c>
      <c r="B3091" t="str">
        <f>"1552378019927898"</f>
        <v>1552378019927898</v>
      </c>
      <c r="C3091" t="s">
        <v>40</v>
      </c>
      <c r="D3091">
        <v>5.8732170000000004</v>
      </c>
      <c r="E3091">
        <v>0.42140139999999998</v>
      </c>
      <c r="F3091" t="s">
        <v>47</v>
      </c>
      <c r="G3091">
        <v>-492.3295</v>
      </c>
      <c r="H3091" s="1">
        <v>-2.5215139999999999E-6</v>
      </c>
      <c r="I3091">
        <v>244.02199999999999</v>
      </c>
      <c r="J3091">
        <v>-496.18110000000001</v>
      </c>
      <c r="K3091">
        <v>1.1106400000000001</v>
      </c>
      <c r="L3091">
        <v>261.22559999999999</v>
      </c>
      <c r="M3091">
        <v>-7.7011469999999999E-2</v>
      </c>
      <c r="N3091">
        <v>0</v>
      </c>
      <c r="O3091">
        <v>-0.99701050000000002</v>
      </c>
      <c r="P3091">
        <v>1.303327E-2</v>
      </c>
      <c r="Q3091">
        <v>-9.5871680000000001E-3</v>
      </c>
      <c r="R3091">
        <v>-0.99986949999999997</v>
      </c>
      <c r="S3091">
        <v>0.66412349999999998</v>
      </c>
      <c r="T3091">
        <v>-0.19185479999999999</v>
      </c>
      <c r="U3091">
        <v>-2.9907840000000001</v>
      </c>
      <c r="V3091">
        <v>-8.9983339999999995E-2</v>
      </c>
      <c r="W3091">
        <v>-3.6928249999999998E-3</v>
      </c>
      <c r="X3091">
        <v>0.9959365</v>
      </c>
      <c r="Y3091">
        <v>-0.2908983</v>
      </c>
      <c r="Z3091">
        <v>6.1599330000000001E-2</v>
      </c>
      <c r="AA3091">
        <v>0.95476899999999998</v>
      </c>
      <c r="AB3091">
        <v>22</v>
      </c>
      <c r="AC3091">
        <v>3.8516000000000101</v>
      </c>
      <c r="AD3091">
        <v>-1.1106425215139999</v>
      </c>
      <c r="AE3091">
        <v>-17.203599999999899</v>
      </c>
      <c r="AF3091">
        <v>-5.1446431121272296</v>
      </c>
      <c r="AG3091">
        <v>-1.1106425215139999</v>
      </c>
      <c r="AH3091">
        <v>16.789248911670299</v>
      </c>
      <c r="AI3091">
        <v>93.619090821519507</v>
      </c>
      <c r="AJ3091">
        <v>107.03636612868701</v>
      </c>
      <c r="AK3091">
        <v>17.594878760019299</v>
      </c>
      <c r="AL3091">
        <v>90.211583751957093</v>
      </c>
      <c r="AM3091">
        <v>95.162683562202005</v>
      </c>
      <c r="AN3091">
        <v>1.0000000752331399</v>
      </c>
    </row>
    <row r="3092" spans="1:40" x14ac:dyDescent="0.25">
      <c r="A3092" t="str">
        <f>"20190312160659952"</f>
        <v>20190312160659952</v>
      </c>
      <c r="B3092" t="str">
        <f>"1552378019948391"</f>
        <v>1552378019948391</v>
      </c>
      <c r="C3092" t="s">
        <v>40</v>
      </c>
      <c r="D3092">
        <v>5.9329689999999999</v>
      </c>
      <c r="E3092">
        <v>0.4220798</v>
      </c>
      <c r="F3092" t="s">
        <v>47</v>
      </c>
      <c r="G3092">
        <v>-492.34399999999999</v>
      </c>
      <c r="H3092" s="1">
        <v>-2.5058319999999998E-6</v>
      </c>
      <c r="I3092">
        <v>243.97640000000001</v>
      </c>
      <c r="J3092">
        <v>-496.18889999999999</v>
      </c>
      <c r="K3092">
        <v>1.1106119999999999</v>
      </c>
      <c r="L3092">
        <v>261.09980000000002</v>
      </c>
      <c r="M3092">
        <v>-7.5233999999999995E-2</v>
      </c>
      <c r="N3092">
        <v>0</v>
      </c>
      <c r="O3092">
        <v>-0.99714619999999998</v>
      </c>
      <c r="P3092">
        <v>1.491786E-2</v>
      </c>
      <c r="Q3092">
        <v>-9.5224690000000004E-3</v>
      </c>
      <c r="R3092">
        <v>-0.9998435</v>
      </c>
      <c r="S3092">
        <v>0.66510009999999997</v>
      </c>
      <c r="T3092">
        <v>-0.19251289999999999</v>
      </c>
      <c r="U3092">
        <v>-2.989868</v>
      </c>
      <c r="V3092">
        <v>-9.0085949999999998E-2</v>
      </c>
      <c r="W3092">
        <v>-3.6251920000000002E-3</v>
      </c>
      <c r="X3092">
        <v>0.99592740000000002</v>
      </c>
      <c r="Y3092">
        <v>-0.28954839999999998</v>
      </c>
      <c r="Z3092">
        <v>6.1851959999999997E-2</v>
      </c>
      <c r="AA3092">
        <v>0.95516279999999998</v>
      </c>
      <c r="AB3092">
        <v>22</v>
      </c>
      <c r="AC3092">
        <v>3.8448999999999902</v>
      </c>
      <c r="AD3092">
        <v>-1.1106145058319901</v>
      </c>
      <c r="AE3092">
        <v>-17.1234</v>
      </c>
      <c r="AF3092">
        <v>-5.1018578727251596</v>
      </c>
      <c r="AG3092">
        <v>-1.1106145058319901</v>
      </c>
      <c r="AH3092">
        <v>16.718640536016999</v>
      </c>
      <c r="AI3092">
        <v>93.635525523257201</v>
      </c>
      <c r="AJ3092">
        <v>106.970084871624</v>
      </c>
      <c r="AK3092">
        <v>17.5150038454635</v>
      </c>
      <c r="AL3092">
        <v>90.207708655805504</v>
      </c>
      <c r="AM3092">
        <v>95.1685857874661</v>
      </c>
      <c r="AN3092">
        <v>1.00000000323759</v>
      </c>
    </row>
    <row r="3093" spans="1:40" x14ac:dyDescent="0.25">
      <c r="A3093" t="str">
        <f>"20190312160659974"</f>
        <v>20190312160659974</v>
      </c>
      <c r="B3093" t="str">
        <f>"1552378019968293"</f>
        <v>1552378019968293</v>
      </c>
      <c r="C3093" t="s">
        <v>40</v>
      </c>
      <c r="D3093">
        <v>5.9099760000000003</v>
      </c>
      <c r="E3093">
        <v>0.42265029999999998</v>
      </c>
      <c r="F3093" t="s">
        <v>47</v>
      </c>
      <c r="G3093">
        <v>-492.35739999999998</v>
      </c>
      <c r="H3093" s="1">
        <v>-2.4768679999999999E-6</v>
      </c>
      <c r="I3093">
        <v>243.9006</v>
      </c>
      <c r="J3093">
        <v>-496.20150000000001</v>
      </c>
      <c r="K3093">
        <v>1.110595</v>
      </c>
      <c r="L3093">
        <v>260.88990000000001</v>
      </c>
      <c r="M3093">
        <v>-7.2334590000000004E-2</v>
      </c>
      <c r="N3093">
        <v>0</v>
      </c>
      <c r="O3093">
        <v>-0.99736080000000005</v>
      </c>
      <c r="P3093">
        <v>1.8132539999999999E-2</v>
      </c>
      <c r="Q3093">
        <v>-9.6436960000000002E-3</v>
      </c>
      <c r="R3093">
        <v>-0.99978920000000004</v>
      </c>
      <c r="S3093">
        <v>0.665802</v>
      </c>
      <c r="T3093">
        <v>-0.1929903</v>
      </c>
      <c r="U3093">
        <v>-2.9886780000000002</v>
      </c>
      <c r="V3093">
        <v>-9.0391730000000003E-2</v>
      </c>
      <c r="W3093">
        <v>-3.7444399999999999E-3</v>
      </c>
      <c r="X3093">
        <v>0.99589930000000004</v>
      </c>
      <c r="Y3093">
        <v>-0.2870566</v>
      </c>
      <c r="Z3093">
        <v>6.2071649999999999E-2</v>
      </c>
      <c r="AA3093">
        <v>0.95590039999999998</v>
      </c>
      <c r="AB3093">
        <v>22</v>
      </c>
      <c r="AC3093">
        <v>3.8441000000000201</v>
      </c>
      <c r="AD3093">
        <v>-1.110597476868</v>
      </c>
      <c r="AE3093">
        <v>-16.9893</v>
      </c>
      <c r="AF3093">
        <v>-5.04246930004535</v>
      </c>
      <c r="AG3093">
        <v>-1.110597476868</v>
      </c>
      <c r="AH3093">
        <v>16.599247883276401</v>
      </c>
      <c r="AI3093">
        <v>93.662955033126906</v>
      </c>
      <c r="AJ3093">
        <v>106.897573688237</v>
      </c>
      <c r="AK3093">
        <v>17.3837554541009</v>
      </c>
      <c r="AL3093">
        <v>90.214541099102902</v>
      </c>
      <c r="AM3093">
        <v>95.1861796170502</v>
      </c>
      <c r="AN3093">
        <v>1.00000005071189</v>
      </c>
    </row>
    <row r="3094" spans="1:40" x14ac:dyDescent="0.25">
      <c r="A3094" t="str">
        <f>"20190312160659989"</f>
        <v>20190312160659989</v>
      </c>
      <c r="B3094" t="str">
        <f>"1552378019978052"</f>
        <v>1552378019978052</v>
      </c>
      <c r="C3094" t="s">
        <v>40</v>
      </c>
      <c r="D3094">
        <v>5.9377769999999996</v>
      </c>
      <c r="E3094">
        <v>0.42286879999999999</v>
      </c>
      <c r="F3094" t="s">
        <v>47</v>
      </c>
      <c r="G3094">
        <v>-492.32420000000002</v>
      </c>
      <c r="H3094" s="1">
        <v>-2.35034E-6</v>
      </c>
      <c r="I3094">
        <v>243.62629999999999</v>
      </c>
      <c r="J3094">
        <v>-496.2099</v>
      </c>
      <c r="K3094">
        <v>1.1106</v>
      </c>
      <c r="L3094">
        <v>260.7423</v>
      </c>
      <c r="M3094">
        <v>-7.0334350000000004E-2</v>
      </c>
      <c r="N3094">
        <v>0</v>
      </c>
      <c r="O3094">
        <v>-0.99750380000000005</v>
      </c>
      <c r="P3094">
        <v>2.019232E-2</v>
      </c>
      <c r="Q3094">
        <v>-9.4923899999999999E-3</v>
      </c>
      <c r="R3094">
        <v>-0.99975119999999895</v>
      </c>
      <c r="S3094">
        <v>0.67077640000000005</v>
      </c>
      <c r="T3094">
        <v>-0.1921332</v>
      </c>
      <c r="U3094">
        <v>-2.9866030000000001</v>
      </c>
      <c r="V3094">
        <v>-9.0447349999999996E-2</v>
      </c>
      <c r="W3094">
        <v>-3.5923140000000001E-3</v>
      </c>
      <c r="X3094">
        <v>0.99589470000000002</v>
      </c>
      <c r="Y3094">
        <v>-0.2867962</v>
      </c>
      <c r="Z3094">
        <v>6.1843889999999999E-2</v>
      </c>
      <c r="AA3094">
        <v>0.95599339999999999</v>
      </c>
      <c r="AB3094">
        <v>22</v>
      </c>
      <c r="AC3094">
        <v>3.8856999999999799</v>
      </c>
      <c r="AD3094">
        <v>-1.11060235034</v>
      </c>
      <c r="AE3094">
        <v>-17.116</v>
      </c>
      <c r="AF3094">
        <v>-5.0596842788166896</v>
      </c>
      <c r="AG3094">
        <v>-1.11060235034</v>
      </c>
      <c r="AH3094">
        <v>16.733307427059302</v>
      </c>
      <c r="AI3094">
        <v>93.6351175137751</v>
      </c>
      <c r="AJ3094">
        <v>106.823848743074</v>
      </c>
      <c r="AK3094">
        <v>17.516775389048099</v>
      </c>
      <c r="AL3094">
        <v>90.205824885785404</v>
      </c>
      <c r="AM3094">
        <v>95.1893772070068</v>
      </c>
      <c r="AN3094">
        <v>0.99999994066499098</v>
      </c>
    </row>
    <row r="3095" spans="1:40" x14ac:dyDescent="0.25">
      <c r="A3095" t="str">
        <f>"20190312160700009"</f>
        <v>20190312160700009</v>
      </c>
      <c r="B3095" t="str">
        <f>"1552378019998549"</f>
        <v>1552378019998549</v>
      </c>
      <c r="C3095" t="s">
        <v>40</v>
      </c>
      <c r="D3095">
        <v>5.9232180000000003</v>
      </c>
      <c r="E3095">
        <v>0.42336639999999998</v>
      </c>
      <c r="F3095" t="s">
        <v>47</v>
      </c>
      <c r="G3095">
        <v>-492.28140000000002</v>
      </c>
      <c r="H3095" s="1">
        <v>-2.2291290000000001E-6</v>
      </c>
      <c r="I3095">
        <v>243.37029999999999</v>
      </c>
      <c r="J3095">
        <v>-496.22070000000002</v>
      </c>
      <c r="K3095">
        <v>1.1106149999999999</v>
      </c>
      <c r="L3095">
        <v>260.54669999999999</v>
      </c>
      <c r="M3095">
        <v>-6.7704619999999993E-2</v>
      </c>
      <c r="N3095">
        <v>0</v>
      </c>
      <c r="O3095">
        <v>-0.99768570000000001</v>
      </c>
      <c r="P3095">
        <v>2.3434110000000001E-2</v>
      </c>
      <c r="Q3095">
        <v>-8.9080749999999997E-3</v>
      </c>
      <c r="R3095">
        <v>-0.99968579999999996</v>
      </c>
      <c r="S3095">
        <v>0.67510990000000004</v>
      </c>
      <c r="T3095">
        <v>-0.19085540000000001</v>
      </c>
      <c r="U3095">
        <v>-2.9853519999999998</v>
      </c>
      <c r="V3095">
        <v>-9.105394E-2</v>
      </c>
      <c r="W3095">
        <v>-3.010006E-3</v>
      </c>
      <c r="X3095">
        <v>0.99584139999999999</v>
      </c>
      <c r="Y3095">
        <v>-0.28568259999999901</v>
      </c>
      <c r="Z3095">
        <v>6.147735E-2</v>
      </c>
      <c r="AA3095">
        <v>0.95635029999999999</v>
      </c>
      <c r="AB3095">
        <v>22</v>
      </c>
      <c r="AC3095">
        <v>3.9392999999999998</v>
      </c>
      <c r="AD3095">
        <v>-1.110617229129</v>
      </c>
      <c r="AE3095">
        <v>-17.176400000000001</v>
      </c>
      <c r="AF3095">
        <v>-5.0730552398649298</v>
      </c>
      <c r="AG3095">
        <v>-1.110617229129</v>
      </c>
      <c r="AH3095">
        <v>16.803529124952799</v>
      </c>
      <c r="AI3095">
        <v>93.620482979375794</v>
      </c>
      <c r="AJ3095">
        <v>106.799283420645</v>
      </c>
      <c r="AK3095">
        <v>17.5877216020011</v>
      </c>
      <c r="AL3095">
        <v>90.172460902764698</v>
      </c>
      <c r="AM3095">
        <v>95.224266175852506</v>
      </c>
      <c r="AN3095">
        <v>0.99999998703980097</v>
      </c>
    </row>
    <row r="3096" spans="1:40" x14ac:dyDescent="0.25">
      <c r="A3096" t="str">
        <f>"20190312160700028"</f>
        <v>20190312160700028</v>
      </c>
      <c r="B3096" t="str">
        <f>"1552378020018068"</f>
        <v>1552378020018068</v>
      </c>
      <c r="C3096" t="s">
        <v>40</v>
      </c>
      <c r="D3096">
        <v>5.9124210000000001</v>
      </c>
      <c r="E3096">
        <v>0.42389939999999998</v>
      </c>
      <c r="F3096" t="s">
        <v>47</v>
      </c>
      <c r="G3096">
        <v>-492.24310000000003</v>
      </c>
      <c r="H3096" s="1">
        <v>-2.1102499999999998E-6</v>
      </c>
      <c r="I3096">
        <v>243.11689999999999</v>
      </c>
      <c r="J3096">
        <v>-496.2312</v>
      </c>
      <c r="K3096">
        <v>1.110644</v>
      </c>
      <c r="L3096">
        <v>260.34769999999997</v>
      </c>
      <c r="M3096">
        <v>-6.5044420000000006E-2</v>
      </c>
      <c r="N3096">
        <v>0</v>
      </c>
      <c r="O3096">
        <v>-0.99786269999999999</v>
      </c>
      <c r="P3096">
        <v>2.724714E-2</v>
      </c>
      <c r="Q3096">
        <v>-8.390705E-3</v>
      </c>
      <c r="R3096">
        <v>-0.99959399999999998</v>
      </c>
      <c r="S3096">
        <v>0.68081669999999905</v>
      </c>
      <c r="T3096">
        <v>-0.1900954</v>
      </c>
      <c r="U3096">
        <v>-2.9833069999999999</v>
      </c>
      <c r="V3096">
        <v>-9.2199349999999999E-2</v>
      </c>
      <c r="W3096">
        <v>-2.4973999999999999E-3</v>
      </c>
      <c r="X3096">
        <v>0.99573739999999999</v>
      </c>
      <c r="Y3096">
        <v>-0.28501130000000002</v>
      </c>
      <c r="Z3096">
        <v>6.1284520000000002E-2</v>
      </c>
      <c r="AA3096">
        <v>0.95656300000000005</v>
      </c>
      <c r="AB3096">
        <v>22</v>
      </c>
      <c r="AC3096">
        <v>3.98809999999997</v>
      </c>
      <c r="AD3096">
        <v>-1.11064611025</v>
      </c>
      <c r="AE3096">
        <v>-17.230799999999899</v>
      </c>
      <c r="AF3096">
        <v>-5.0804093594702699</v>
      </c>
      <c r="AG3096">
        <v>-1.11064611025</v>
      </c>
      <c r="AH3096">
        <v>16.868381613166299</v>
      </c>
      <c r="AI3096">
        <v>93.607414623939505</v>
      </c>
      <c r="AJ3096">
        <v>106.76122013083599</v>
      </c>
      <c r="AK3096">
        <v>17.6518098870743</v>
      </c>
      <c r="AL3096">
        <v>90.143090633728605</v>
      </c>
      <c r="AM3096">
        <v>95.290163508045694</v>
      </c>
      <c r="AN3096">
        <v>0.99999996345297004</v>
      </c>
    </row>
    <row r="3097" spans="1:40" x14ac:dyDescent="0.25">
      <c r="A3097" t="str">
        <f>"20190312160700042"</f>
        <v>20190312160700042</v>
      </c>
      <c r="B3097" t="str">
        <f>"1552378020038564"</f>
        <v>1552378020038564</v>
      </c>
      <c r="C3097" t="s">
        <v>40</v>
      </c>
      <c r="D3097">
        <v>5.8732110000000004</v>
      </c>
      <c r="E3097">
        <v>0.4244211</v>
      </c>
      <c r="F3097" t="s">
        <v>47</v>
      </c>
      <c r="G3097">
        <v>-492.19299999999998</v>
      </c>
      <c r="H3097" s="1">
        <v>-1.981868E-6</v>
      </c>
      <c r="I3097">
        <v>242.84870000000001</v>
      </c>
      <c r="J3097">
        <v>-496.238</v>
      </c>
      <c r="K3097">
        <v>1.110665</v>
      </c>
      <c r="L3097">
        <v>260.21449999999999</v>
      </c>
      <c r="M3097">
        <v>-6.3263970000000003E-2</v>
      </c>
      <c r="N3097">
        <v>0</v>
      </c>
      <c r="O3097">
        <v>-0.997977</v>
      </c>
      <c r="P3097">
        <v>2.951761E-2</v>
      </c>
      <c r="Q3097">
        <v>-8.2207759999999904E-3</v>
      </c>
      <c r="R3097">
        <v>-0.99953060000000005</v>
      </c>
      <c r="S3097">
        <v>0.68789669999999903</v>
      </c>
      <c r="T3097">
        <v>-0.18919649999999999</v>
      </c>
      <c r="U3097">
        <v>-2.9809269999999999</v>
      </c>
      <c r="V3097">
        <v>-9.2685100000000006E-2</v>
      </c>
      <c r="W3097">
        <v>-2.3291190000000002E-3</v>
      </c>
      <c r="X3097">
        <v>0.99569269999999999</v>
      </c>
      <c r="Y3097">
        <v>-0.28562880000000002</v>
      </c>
      <c r="Z3097">
        <v>6.1032219999999998E-2</v>
      </c>
      <c r="AA3097">
        <v>0.95639490000000005</v>
      </c>
      <c r="AB3097">
        <v>22</v>
      </c>
      <c r="AC3097">
        <v>4.0450000000000097</v>
      </c>
      <c r="AD3097">
        <v>-1.1106669818679999</v>
      </c>
      <c r="AE3097">
        <v>-17.365799999999901</v>
      </c>
      <c r="AF3097">
        <v>-5.1156991143151096</v>
      </c>
      <c r="AG3097">
        <v>-1.1106669818679999</v>
      </c>
      <c r="AH3097">
        <v>17.009108733075301</v>
      </c>
      <c r="AI3097">
        <v>93.578123868478997</v>
      </c>
      <c r="AJ3097">
        <v>106.739307464983</v>
      </c>
      <c r="AK3097">
        <v>17.7964529742979</v>
      </c>
      <c r="AL3097">
        <v>90.133448815652102</v>
      </c>
      <c r="AM3097">
        <v>95.318112598856004</v>
      </c>
      <c r="AN3097">
        <v>0.99999995269530695</v>
      </c>
    </row>
    <row r="3098" spans="1:40" x14ac:dyDescent="0.25">
      <c r="A3098" t="str">
        <f>"20190312160700057"</f>
        <v>20190312160700057</v>
      </c>
      <c r="B3098" t="str">
        <f>"1552378020048325"</f>
        <v>1552378020048325</v>
      </c>
      <c r="C3098" t="s">
        <v>40</v>
      </c>
      <c r="D3098">
        <v>5.8603639999999997</v>
      </c>
      <c r="E3098">
        <v>0.42453849999999999</v>
      </c>
      <c r="F3098" t="s">
        <v>47</v>
      </c>
      <c r="G3098">
        <v>-492.18619999999999</v>
      </c>
      <c r="H3098" s="1">
        <v>-1.9268910000000001E-6</v>
      </c>
      <c r="I3098">
        <v>242.72479999999999</v>
      </c>
      <c r="J3098">
        <v>-496.24470000000002</v>
      </c>
      <c r="K3098">
        <v>1.1106910000000001</v>
      </c>
      <c r="L3098">
        <v>260.07859999999999</v>
      </c>
      <c r="M3098">
        <v>-6.144608E-2</v>
      </c>
      <c r="N3098">
        <v>0</v>
      </c>
      <c r="O3098">
        <v>-0.9980907</v>
      </c>
      <c r="P3098">
        <v>3.1615079999999997E-2</v>
      </c>
      <c r="Q3098">
        <v>-8.1605510000000003E-3</v>
      </c>
      <c r="R3098">
        <v>-0.99946679999999999</v>
      </c>
      <c r="S3098">
        <v>0.69024659999999904</v>
      </c>
      <c r="T3098">
        <v>-0.1892074</v>
      </c>
      <c r="U3098">
        <v>-2.9794619999999998</v>
      </c>
      <c r="V3098">
        <v>-9.2961429999999998E-2</v>
      </c>
      <c r="W3098">
        <v>-2.269297E-3</v>
      </c>
      <c r="X3098">
        <v>0.99566710000000003</v>
      </c>
      <c r="Y3098">
        <v>-0.28470190000000001</v>
      </c>
      <c r="Z3098">
        <v>6.107887E-2</v>
      </c>
      <c r="AA3098">
        <v>0.95666830000000003</v>
      </c>
      <c r="AB3098">
        <v>22</v>
      </c>
      <c r="AC3098">
        <v>4.0585000000000298</v>
      </c>
      <c r="AD3098">
        <v>-1.110692926891</v>
      </c>
      <c r="AE3098">
        <v>-17.3538</v>
      </c>
      <c r="AF3098">
        <v>-5.0973768354678297</v>
      </c>
      <c r="AG3098">
        <v>-1.110692926891</v>
      </c>
      <c r="AH3098">
        <v>17.005574632507301</v>
      </c>
      <c r="AI3098">
        <v>93.579946905181103</v>
      </c>
      <c r="AJ3098">
        <v>106.68596557491399</v>
      </c>
      <c r="AK3098">
        <v>17.7878176840888</v>
      </c>
      <c r="AL3098">
        <v>90.130021255329694</v>
      </c>
      <c r="AM3098">
        <v>95.3340129794164</v>
      </c>
      <c r="AN3098">
        <v>0.99999997559946396</v>
      </c>
    </row>
    <row r="3099" spans="1:40" x14ac:dyDescent="0.25">
      <c r="A3099" t="str">
        <f>"20190312160700069"</f>
        <v>20190312160700069</v>
      </c>
      <c r="B3099" t="str">
        <f>"1552378020058085"</f>
        <v>1552378020058085</v>
      </c>
      <c r="C3099" t="s">
        <v>40</v>
      </c>
      <c r="D3099">
        <v>5.8568699999999998</v>
      </c>
      <c r="E3099">
        <v>0.42463220000000002</v>
      </c>
      <c r="F3099" t="s">
        <v>47</v>
      </c>
      <c r="G3099">
        <v>-492.13290000000001</v>
      </c>
      <c r="H3099" s="1">
        <v>-1.806377E-6</v>
      </c>
      <c r="I3099">
        <v>242.4769</v>
      </c>
      <c r="J3099">
        <v>-496.2509</v>
      </c>
      <c r="K3099">
        <v>1.1107129999999901</v>
      </c>
      <c r="L3099">
        <v>259.94650000000001</v>
      </c>
      <c r="M3099">
        <v>-5.9673950000000003E-2</v>
      </c>
      <c r="N3099">
        <v>0</v>
      </c>
      <c r="O3099">
        <v>-0.99819800000000003</v>
      </c>
      <c r="P3099">
        <v>3.3647509999999999E-2</v>
      </c>
      <c r="Q3099">
        <v>-7.6836580000000003E-3</v>
      </c>
      <c r="R3099">
        <v>-0.99940439999999997</v>
      </c>
      <c r="S3099">
        <v>0.69567869999999998</v>
      </c>
      <c r="T3099">
        <v>-0.18792030000000001</v>
      </c>
      <c r="U3099">
        <v>-2.9780579999999999</v>
      </c>
      <c r="V3099">
        <v>-9.3220280000000003E-2</v>
      </c>
      <c r="W3099">
        <v>-1.792063E-3</v>
      </c>
      <c r="X3099">
        <v>0.99564390000000003</v>
      </c>
      <c r="Y3099">
        <v>-0.28476020000000002</v>
      </c>
      <c r="Z3099">
        <v>6.0689920000000001E-2</v>
      </c>
      <c r="AA3099">
        <v>0.95667570000000002</v>
      </c>
      <c r="AB3099">
        <v>22</v>
      </c>
      <c r="AC3099">
        <v>4.1179999999999897</v>
      </c>
      <c r="AD3099">
        <v>-1.11071480637699</v>
      </c>
      <c r="AE3099">
        <v>-17.4696</v>
      </c>
      <c r="AF3099">
        <v>-5.1335025940034598</v>
      </c>
      <c r="AG3099">
        <v>-1.11071480637699</v>
      </c>
      <c r="AH3099">
        <v>17.1271342054673</v>
      </c>
      <c r="AI3099">
        <v>93.554691237833694</v>
      </c>
      <c r="AJ3099">
        <v>106.68500969476599</v>
      </c>
      <c r="AK3099">
        <v>17.9143870214929</v>
      </c>
      <c r="AL3099">
        <v>90.102677701084303</v>
      </c>
      <c r="AM3099">
        <v>95.348903363477703</v>
      </c>
      <c r="AN3099">
        <v>1.00000000385014</v>
      </c>
    </row>
    <row r="3100" spans="1:40" x14ac:dyDescent="0.25">
      <c r="A3100" t="str">
        <f>"20190312160700085"</f>
        <v>20190312160700085</v>
      </c>
      <c r="B3100" t="str">
        <f>"1552378020078113"</f>
        <v>1552378020078113</v>
      </c>
      <c r="C3100" t="s">
        <v>40</v>
      </c>
      <c r="D3100">
        <v>5.8501089999999998</v>
      </c>
      <c r="E3100">
        <v>0.42490650000000002</v>
      </c>
      <c r="F3100" t="s">
        <v>47</v>
      </c>
      <c r="G3100">
        <v>-492.0718</v>
      </c>
      <c r="H3100" s="1">
        <v>-1.6720710000000001E-6</v>
      </c>
      <c r="I3100">
        <v>242.20169999999999</v>
      </c>
      <c r="J3100">
        <v>-496.25799999999998</v>
      </c>
      <c r="K3100">
        <v>1.110741</v>
      </c>
      <c r="L3100">
        <v>259.78649999999999</v>
      </c>
      <c r="M3100">
        <v>-5.7521410000000002E-2</v>
      </c>
      <c r="N3100">
        <v>0</v>
      </c>
      <c r="O3100">
        <v>-0.9983244</v>
      </c>
      <c r="P3100">
        <v>3.6141960000000001E-2</v>
      </c>
      <c r="Q3100">
        <v>-7.1874089999999996E-3</v>
      </c>
      <c r="R3100">
        <v>-0.99932089999999996</v>
      </c>
      <c r="S3100">
        <v>0.70104979999999995</v>
      </c>
      <c r="T3100">
        <v>-0.1863281</v>
      </c>
      <c r="U3100">
        <v>-2.9767760000000001</v>
      </c>
      <c r="V3100">
        <v>-9.3560729999999995E-2</v>
      </c>
      <c r="W3100">
        <v>-1.2949050000000001E-3</v>
      </c>
      <c r="X3100">
        <v>0.99561270000000002</v>
      </c>
      <c r="Y3100">
        <v>-0.2844276</v>
      </c>
      <c r="Z3100">
        <v>6.0205349999999998E-2</v>
      </c>
      <c r="AA3100">
        <v>0.95680520000000002</v>
      </c>
      <c r="AB3100">
        <v>22</v>
      </c>
      <c r="AC3100">
        <v>4.1862000000000403</v>
      </c>
      <c r="AD3100">
        <v>-1.1107426720710001</v>
      </c>
      <c r="AE3100">
        <v>-17.584800000000001</v>
      </c>
      <c r="AF3100">
        <v>-5.1712652789260698</v>
      </c>
      <c r="AG3100">
        <v>-1.1107426720710001</v>
      </c>
      <c r="AH3100">
        <v>17.2497502466165</v>
      </c>
      <c r="AI3100">
        <v>93.529519168369106</v>
      </c>
      <c r="AJ3100">
        <v>106.688091137876</v>
      </c>
      <c r="AK3100">
        <v>18.042439342817001</v>
      </c>
      <c r="AL3100">
        <v>90.074192614501698</v>
      </c>
      <c r="AM3100">
        <v>95.368491432037402</v>
      </c>
      <c r="AN3100">
        <v>0.99999996768918997</v>
      </c>
    </row>
    <row r="3101" spans="1:40" x14ac:dyDescent="0.25">
      <c r="A3101" t="str">
        <f>"20190312160700097"</f>
        <v>20190312160700097</v>
      </c>
      <c r="B3101" t="str">
        <f>"1552378020087874"</f>
        <v>1552378020087874</v>
      </c>
      <c r="C3101" t="s">
        <v>40</v>
      </c>
      <c r="D3101">
        <v>5.784961</v>
      </c>
      <c r="E3101">
        <v>0.42498269999999999</v>
      </c>
      <c r="F3101" t="s">
        <v>47</v>
      </c>
      <c r="G3101">
        <v>-492.0197</v>
      </c>
      <c r="H3101" s="1">
        <v>-1.539161E-6</v>
      </c>
      <c r="I3101">
        <v>241.92420000000001</v>
      </c>
      <c r="J3101">
        <v>-496.26339999999999</v>
      </c>
      <c r="K3101">
        <v>1.11076</v>
      </c>
      <c r="L3101">
        <v>259.66410000000002</v>
      </c>
      <c r="M3101">
        <v>-5.5870660000000003E-2</v>
      </c>
      <c r="N3101">
        <v>0</v>
      </c>
      <c r="O3101">
        <v>-0.99841800000000003</v>
      </c>
      <c r="P3101">
        <v>3.8049090000000001E-2</v>
      </c>
      <c r="Q3101">
        <v>-6.9574819999999897E-3</v>
      </c>
      <c r="R3101">
        <v>-0.99925160000000002</v>
      </c>
      <c r="S3101">
        <v>0.70593260000000002</v>
      </c>
      <c r="T3101">
        <v>-0.18500649999999999</v>
      </c>
      <c r="U3101">
        <v>-2.9751590000000001</v>
      </c>
      <c r="V3101">
        <v>-9.3816170000000004E-2</v>
      </c>
      <c r="W3101">
        <v>-1.0637629999999999E-3</v>
      </c>
      <c r="X3101">
        <v>0.99558899999999995</v>
      </c>
      <c r="Y3101">
        <v>-0.28445150000000002</v>
      </c>
      <c r="Z3101">
        <v>5.9808779999999999E-2</v>
      </c>
      <c r="AA3101">
        <v>0.95682299999999998</v>
      </c>
      <c r="AB3101">
        <v>22</v>
      </c>
      <c r="AC3101">
        <v>4.2436999999999898</v>
      </c>
      <c r="AD3101">
        <v>-1.110761539161</v>
      </c>
      <c r="AE3101">
        <v>-17.739899999999999</v>
      </c>
      <c r="AF3101">
        <v>-5.2089147819284003</v>
      </c>
      <c r="AG3101">
        <v>-1.110761539161</v>
      </c>
      <c r="AH3101">
        <v>17.410523376894599</v>
      </c>
      <c r="AI3101">
        <v>93.497648118335206</v>
      </c>
      <c r="AJ3101">
        <v>106.65623516456699</v>
      </c>
      <c r="AK3101">
        <v>18.206946714363301</v>
      </c>
      <c r="AL3101">
        <v>90.060949139899506</v>
      </c>
      <c r="AM3101">
        <v>95.383189922905999</v>
      </c>
      <c r="AN3101">
        <v>1.0000000311330901</v>
      </c>
    </row>
    <row r="3102" spans="1:40" x14ac:dyDescent="0.25">
      <c r="A3102" t="str">
        <f>"20190312160700110"</f>
        <v>20190312160700110</v>
      </c>
      <c r="B3102" t="str">
        <f>"1552378020098611"</f>
        <v>1552378020098611</v>
      </c>
      <c r="C3102" t="s">
        <v>40</v>
      </c>
      <c r="D3102">
        <v>5.8967080000000003</v>
      </c>
      <c r="E3102">
        <v>0.425091</v>
      </c>
      <c r="F3102" t="s">
        <v>47</v>
      </c>
      <c r="G3102">
        <v>-491.99349999999998</v>
      </c>
      <c r="H3102" s="1">
        <v>-1.4827800000000001E-6</v>
      </c>
      <c r="I3102">
        <v>241.8091</v>
      </c>
      <c r="J3102">
        <v>-496.2688</v>
      </c>
      <c r="K3102">
        <v>1.110778</v>
      </c>
      <c r="L3102">
        <v>259.53339999999997</v>
      </c>
      <c r="M3102">
        <v>-5.4101070000000001E-2</v>
      </c>
      <c r="N3102">
        <v>0</v>
      </c>
      <c r="O3102">
        <v>-0.99851540000000005</v>
      </c>
      <c r="P3102">
        <v>3.9973689999999999E-2</v>
      </c>
      <c r="Q3102">
        <v>-6.8678799999999998E-3</v>
      </c>
      <c r="R3102">
        <v>-0.99917719999999999</v>
      </c>
      <c r="S3102">
        <v>0.71118159999999997</v>
      </c>
      <c r="T3102">
        <v>-0.18500659999999999</v>
      </c>
      <c r="U3102">
        <v>-2.9739070000000001</v>
      </c>
      <c r="V3102">
        <v>-9.3969520000000001E-2</v>
      </c>
      <c r="W3102">
        <v>-9.7137500000000002E-4</v>
      </c>
      <c r="X3102">
        <v>0.99557459999999998</v>
      </c>
      <c r="Y3102">
        <v>-0.284441099999999</v>
      </c>
      <c r="Z3102">
        <v>5.9830269999999998E-2</v>
      </c>
      <c r="AA3102">
        <v>0.95682480000000003</v>
      </c>
      <c r="AB3102">
        <v>23</v>
      </c>
      <c r="AC3102">
        <v>4.2753000000000103</v>
      </c>
      <c r="AD3102">
        <v>-1.1107794827799999</v>
      </c>
      <c r="AE3102">
        <v>-17.7242999999999</v>
      </c>
      <c r="AF3102">
        <v>-5.2086290752770896</v>
      </c>
      <c r="AG3102">
        <v>-1.1107794827799999</v>
      </c>
      <c r="AH3102">
        <v>17.402447881483099</v>
      </c>
      <c r="AI3102">
        <v>93.499206177567302</v>
      </c>
      <c r="AJ3102">
        <v>106.662672625966</v>
      </c>
      <c r="AK3102">
        <v>18.199143940606699</v>
      </c>
      <c r="AL3102">
        <v>90.055655696620803</v>
      </c>
      <c r="AM3102">
        <v>95.392014887110903</v>
      </c>
      <c r="AN3102">
        <v>0.99999999921178995</v>
      </c>
    </row>
    <row r="3103" spans="1:40" x14ac:dyDescent="0.25">
      <c r="A3103" t="str">
        <f>"20190312160700123"</f>
        <v>20190312160700123</v>
      </c>
      <c r="B3103" t="str">
        <f>"1552378020118129"</f>
        <v>1552378020118129</v>
      </c>
      <c r="C3103" t="s">
        <v>40</v>
      </c>
      <c r="D3103">
        <v>5.7738839999999998</v>
      </c>
      <c r="E3103">
        <v>0.4255062</v>
      </c>
      <c r="F3103" t="s">
        <v>47</v>
      </c>
      <c r="G3103">
        <v>-491.9973</v>
      </c>
      <c r="H3103" s="1">
        <v>-1.482331E-6</v>
      </c>
      <c r="I3103">
        <v>241.8057</v>
      </c>
      <c r="J3103">
        <v>-496.27359999999999</v>
      </c>
      <c r="K3103">
        <v>1.1107880000000001</v>
      </c>
      <c r="L3103">
        <v>259.41000000000003</v>
      </c>
      <c r="M3103">
        <v>-5.2426760000000003E-2</v>
      </c>
      <c r="N3103">
        <v>0</v>
      </c>
      <c r="O3103">
        <v>-0.99860470000000001</v>
      </c>
      <c r="P3103">
        <v>4.1928510000000002E-2</v>
      </c>
      <c r="Q3103">
        <v>-7.1464329999999998E-3</v>
      </c>
      <c r="R3103">
        <v>-0.99909559999999997</v>
      </c>
      <c r="S3103">
        <v>0.71621699999999999</v>
      </c>
      <c r="T3103">
        <v>-0.1862502</v>
      </c>
      <c r="U3103">
        <v>-2.9725039999999998</v>
      </c>
      <c r="V3103">
        <v>-9.4246750000000004E-2</v>
      </c>
      <c r="W3103">
        <v>-1.2488320000000001E-3</v>
      </c>
      <c r="X3103">
        <v>0.99554810000000005</v>
      </c>
      <c r="Y3103">
        <v>-0.28446259999999901</v>
      </c>
      <c r="Z3103">
        <v>6.025486E-2</v>
      </c>
      <c r="AA3103">
        <v>0.95679170000000002</v>
      </c>
      <c r="AB3103">
        <v>23</v>
      </c>
      <c r="AC3103">
        <v>4.2762999999999902</v>
      </c>
      <c r="AD3103">
        <v>-1.1107894823309901</v>
      </c>
      <c r="AE3103">
        <v>-17.604299999999999</v>
      </c>
      <c r="AF3103">
        <v>-5.1739225439943501</v>
      </c>
      <c r="AG3103">
        <v>-1.1107894823309901</v>
      </c>
      <c r="AH3103">
        <v>17.2908873583856</v>
      </c>
      <c r="AI3103">
        <v>93.521831418533694</v>
      </c>
      <c r="AJ3103">
        <v>106.65867039365099</v>
      </c>
      <c r="AK3103">
        <v>18.082536144183099</v>
      </c>
      <c r="AL3103">
        <v>90.071552820486303</v>
      </c>
      <c r="AM3103">
        <v>95.407971399996498</v>
      </c>
      <c r="AN3103">
        <v>1.0000000144402601</v>
      </c>
    </row>
    <row r="3104" spans="1:40" x14ac:dyDescent="0.25">
      <c r="A3104" t="str">
        <f>"20190312160700140"</f>
        <v>20190312160700140</v>
      </c>
      <c r="B3104" t="str">
        <f>"1552378020127888"</f>
        <v>1552378020127888</v>
      </c>
      <c r="C3104" t="s">
        <v>40</v>
      </c>
      <c r="D3104">
        <v>5.752529</v>
      </c>
      <c r="E3104">
        <v>0.42573129999999998</v>
      </c>
      <c r="F3104" t="s">
        <v>47</v>
      </c>
      <c r="G3104">
        <v>-492.00319999999999</v>
      </c>
      <c r="H3104" s="1">
        <v>-1.4563149999999999E-6</v>
      </c>
      <c r="I3104">
        <v>241.7414</v>
      </c>
      <c r="J3104">
        <v>-496.28019999999998</v>
      </c>
      <c r="K3104">
        <v>1.1108049999999901</v>
      </c>
      <c r="L3104">
        <v>259.2362</v>
      </c>
      <c r="M3104">
        <v>-5.0063539999999997E-2</v>
      </c>
      <c r="N3104">
        <v>0</v>
      </c>
      <c r="O3104">
        <v>-0.99872609999999995</v>
      </c>
      <c r="P3104">
        <v>4.4227349999999999E-2</v>
      </c>
      <c r="Q3104">
        <v>-7.7711990000000003E-3</v>
      </c>
      <c r="R3104">
        <v>-0.99899150000000003</v>
      </c>
      <c r="S3104">
        <v>0.71813959999999999</v>
      </c>
      <c r="T3104">
        <v>-0.1867964</v>
      </c>
      <c r="U3104">
        <v>-2.9712519999999998</v>
      </c>
      <c r="V3104">
        <v>-9.4178769999999995E-2</v>
      </c>
      <c r="W3104">
        <v>-1.8709919999999999E-3</v>
      </c>
      <c r="X3104">
        <v>0.99555360000000004</v>
      </c>
      <c r="Y3104">
        <v>-0.2828677</v>
      </c>
      <c r="Z3104">
        <v>6.0476920000000003E-2</v>
      </c>
      <c r="AA3104">
        <v>0.9572505</v>
      </c>
      <c r="AB3104">
        <v>23</v>
      </c>
      <c r="AC3104">
        <v>4.2769999999999797</v>
      </c>
      <c r="AD3104">
        <v>-1.11080645631499</v>
      </c>
      <c r="AE3104">
        <v>-17.494799999999898</v>
      </c>
      <c r="AF3104">
        <v>-5.1279983707756198</v>
      </c>
      <c r="AG3104">
        <v>-1.11080645631499</v>
      </c>
      <c r="AH3104">
        <v>17.1933306000005</v>
      </c>
      <c r="AI3104">
        <v>93.5427609918233</v>
      </c>
      <c r="AJ3104">
        <v>106.607479177024</v>
      </c>
      <c r="AK3104">
        <v>17.9761195866901</v>
      </c>
      <c r="AL3104">
        <v>90.107200001654405</v>
      </c>
      <c r="AM3104">
        <v>95.4040640636196</v>
      </c>
      <c r="AN3104">
        <v>1.00000005590136</v>
      </c>
    </row>
    <row r="3105" spans="1:40" x14ac:dyDescent="0.25">
      <c r="A3105" t="str">
        <f>"20190312160700151"</f>
        <v>20190312160700151</v>
      </c>
      <c r="B3105" t="str">
        <f>"1552378020138625"</f>
        <v>1552378020138625</v>
      </c>
      <c r="C3105" t="s">
        <v>40</v>
      </c>
      <c r="D3105">
        <v>5.7736150000000004</v>
      </c>
      <c r="E3105">
        <v>0.42593700000000001</v>
      </c>
      <c r="F3105" t="s">
        <v>47</v>
      </c>
      <c r="G3105">
        <v>-492.02069999999998</v>
      </c>
      <c r="H3105" s="1">
        <v>-1.464848E-6</v>
      </c>
      <c r="I3105">
        <v>241.75040000000001</v>
      </c>
      <c r="J3105">
        <v>-496.28440000000001</v>
      </c>
      <c r="K3105">
        <v>1.110811</v>
      </c>
      <c r="L3105">
        <v>259.11720000000003</v>
      </c>
      <c r="M3105">
        <v>-4.8442489999999998E-2</v>
      </c>
      <c r="N3105">
        <v>0</v>
      </c>
      <c r="O3105">
        <v>-0.99880610000000003</v>
      </c>
      <c r="P3105">
        <v>4.5794380000000003E-2</v>
      </c>
      <c r="Q3105">
        <v>-7.9709340000000007E-3</v>
      </c>
      <c r="R3105">
        <v>-0.99891949999999996</v>
      </c>
      <c r="S3105">
        <v>0.72335819999999995</v>
      </c>
      <c r="T3105">
        <v>-0.1886417</v>
      </c>
      <c r="U3105">
        <v>-2.9695130000000001</v>
      </c>
      <c r="V3105">
        <v>-9.4123650000000003E-2</v>
      </c>
      <c r="W3105">
        <v>-2.0697649999999999E-3</v>
      </c>
      <c r="X3105">
        <v>0.99555839999999995</v>
      </c>
      <c r="Y3105">
        <v>-0.28301890000000002</v>
      </c>
      <c r="Z3105">
        <v>6.1100340000000003E-2</v>
      </c>
      <c r="AA3105">
        <v>0.95716619999999997</v>
      </c>
      <c r="AB3105">
        <v>23</v>
      </c>
      <c r="AC3105">
        <v>4.2637000000000196</v>
      </c>
      <c r="AD3105">
        <v>-1.110812464848</v>
      </c>
      <c r="AE3105">
        <v>-17.366800000000001</v>
      </c>
      <c r="AF3105">
        <v>-5.0803988918802796</v>
      </c>
      <c r="AG3105">
        <v>-1.110812464848</v>
      </c>
      <c r="AH3105">
        <v>17.0739810372603</v>
      </c>
      <c r="AI3105">
        <v>93.568165418714401</v>
      </c>
      <c r="AJ3105">
        <v>106.57048393016299</v>
      </c>
      <c r="AK3105">
        <v>17.848394485034401</v>
      </c>
      <c r="AL3105">
        <v>90.118588879412997</v>
      </c>
      <c r="AM3105">
        <v>95.4008940495536</v>
      </c>
      <c r="AN3105">
        <v>1.00000003661351</v>
      </c>
    </row>
    <row r="3106" spans="1:40" x14ac:dyDescent="0.25">
      <c r="A3106" t="str">
        <f>"20190312160700166"</f>
        <v>20190312160700166</v>
      </c>
      <c r="B3106" t="str">
        <f>"1552378020158146"</f>
        <v>1552378020158146</v>
      </c>
      <c r="C3106" t="s">
        <v>40</v>
      </c>
      <c r="D3106">
        <v>5.7330769999999998</v>
      </c>
      <c r="E3106">
        <v>0.426369</v>
      </c>
      <c r="F3106" t="s">
        <v>47</v>
      </c>
      <c r="G3106">
        <v>-492.01119999999997</v>
      </c>
      <c r="H3106" s="1">
        <v>-1.4189859999999999E-6</v>
      </c>
      <c r="I3106">
        <v>241.64940000000001</v>
      </c>
      <c r="J3106">
        <v>-496.28930000000003</v>
      </c>
      <c r="K3106">
        <v>1.1108260000000001</v>
      </c>
      <c r="L3106">
        <v>258.97160000000002</v>
      </c>
      <c r="M3106">
        <v>-4.6454929999999998E-2</v>
      </c>
      <c r="N3106">
        <v>0</v>
      </c>
      <c r="O3106">
        <v>-0.99890020000000002</v>
      </c>
      <c r="P3106">
        <v>4.7713419999999999E-2</v>
      </c>
      <c r="Q3106">
        <v>-7.9204059999999996E-3</v>
      </c>
      <c r="R3106">
        <v>-0.99882969999999904</v>
      </c>
      <c r="S3106">
        <v>0.72616579999999997</v>
      </c>
      <c r="T3106">
        <v>-0.18876660000000001</v>
      </c>
      <c r="U3106">
        <v>-2.9684140000000001</v>
      </c>
      <c r="V3106">
        <v>-9.4055769999999997E-2</v>
      </c>
      <c r="W3106">
        <v>-2.0188979999999999E-3</v>
      </c>
      <c r="X3106">
        <v>0.99556489999999997</v>
      </c>
      <c r="Y3106">
        <v>-0.2820455</v>
      </c>
      <c r="Z3106">
        <v>6.1173669999999999E-2</v>
      </c>
      <c r="AA3106">
        <v>0.95744879999999999</v>
      </c>
      <c r="AB3106">
        <v>23</v>
      </c>
      <c r="AC3106">
        <v>4.27810000000005</v>
      </c>
      <c r="AD3106">
        <v>-1.1108274189859999</v>
      </c>
      <c r="AE3106">
        <v>-17.322199999999999</v>
      </c>
      <c r="AF3106">
        <v>-5.0585922894334798</v>
      </c>
      <c r="AG3106">
        <v>-1.1108274189859999</v>
      </c>
      <c r="AH3106">
        <v>17.038714607946702</v>
      </c>
      <c r="AI3106">
        <v>93.576226328656404</v>
      </c>
      <c r="AJ3106">
        <v>106.535529746691</v>
      </c>
      <c r="AK3106">
        <v>17.808455547760001</v>
      </c>
      <c r="AL3106">
        <v>90.115674411285497</v>
      </c>
      <c r="AM3106">
        <v>95.396987016581406</v>
      </c>
      <c r="AN3106">
        <v>1.0000000169657099</v>
      </c>
    </row>
    <row r="3107" spans="1:40" x14ac:dyDescent="0.25">
      <c r="A3107" t="str">
        <f>"20190312160700181"</f>
        <v>20190312160700181</v>
      </c>
      <c r="B3107" t="str">
        <f>"1552378020168411"</f>
        <v>1552378020168411</v>
      </c>
      <c r="C3107" t="s">
        <v>40</v>
      </c>
      <c r="D3107">
        <v>5.7385029999999997</v>
      </c>
      <c r="E3107">
        <v>0.426597</v>
      </c>
      <c r="F3107" t="s">
        <v>47</v>
      </c>
      <c r="G3107">
        <v>-492.00510000000003</v>
      </c>
      <c r="H3107" s="1">
        <v>-1.365281E-6</v>
      </c>
      <c r="I3107">
        <v>241.52799999999999</v>
      </c>
      <c r="J3107">
        <v>-496.29390000000001</v>
      </c>
      <c r="K3107">
        <v>1.110841</v>
      </c>
      <c r="L3107">
        <v>258.82729999999998</v>
      </c>
      <c r="M3107">
        <v>-4.4486600000000001E-2</v>
      </c>
      <c r="N3107">
        <v>0</v>
      </c>
      <c r="O3107">
        <v>-0.99898980000000004</v>
      </c>
      <c r="P3107">
        <v>4.990961E-2</v>
      </c>
      <c r="Q3107">
        <v>-7.7736699999999999E-3</v>
      </c>
      <c r="R3107">
        <v>-0.9987239</v>
      </c>
      <c r="S3107">
        <v>0.72875979999999996</v>
      </c>
      <c r="T3107">
        <v>-0.1889564</v>
      </c>
      <c r="U3107">
        <v>-2.9672239999999999</v>
      </c>
      <c r="V3107">
        <v>-9.428367E-2</v>
      </c>
      <c r="W3107">
        <v>-1.8734279999999999E-3</v>
      </c>
      <c r="X3107">
        <v>0.99554359999999997</v>
      </c>
      <c r="Y3107">
        <v>-0.281032</v>
      </c>
      <c r="Z3107">
        <v>6.1270199999999997E-2</v>
      </c>
      <c r="AA3107">
        <v>0.95774049999999999</v>
      </c>
      <c r="AB3107">
        <v>23</v>
      </c>
      <c r="AC3107">
        <v>4.2887999999999797</v>
      </c>
      <c r="AD3107">
        <v>-1.110842365281</v>
      </c>
      <c r="AE3107">
        <v>-17.299299999999899</v>
      </c>
      <c r="AF3107">
        <v>-5.0345991406737101</v>
      </c>
      <c r="AG3107">
        <v>-1.110842365281</v>
      </c>
      <c r="AH3107">
        <v>17.025238973817899</v>
      </c>
      <c r="AI3107">
        <v>93.580239631297005</v>
      </c>
      <c r="AJ3107">
        <v>106.47367865221899</v>
      </c>
      <c r="AK3107">
        <v>17.788758286720999</v>
      </c>
      <c r="AL3107">
        <v>90.107339581502103</v>
      </c>
      <c r="AM3107">
        <v>95.410101647929494</v>
      </c>
      <c r="AN3107">
        <v>0.99999998983104998</v>
      </c>
    </row>
    <row r="3108" spans="1:40" x14ac:dyDescent="0.25">
      <c r="A3108" t="str">
        <f>"20190312160700198"</f>
        <v>20190312160700198</v>
      </c>
      <c r="B3108" t="str">
        <f>"1552378020187932"</f>
        <v>1552378020187932</v>
      </c>
      <c r="C3108" t="s">
        <v>40</v>
      </c>
      <c r="D3108">
        <v>5.7104949999999999</v>
      </c>
      <c r="E3108">
        <v>0.42702560000000001</v>
      </c>
      <c r="F3108" t="s">
        <v>47</v>
      </c>
      <c r="G3108">
        <v>-491.9753</v>
      </c>
      <c r="H3108" s="1">
        <v>-1.286129E-6</v>
      </c>
      <c r="I3108">
        <v>241.36199999999999</v>
      </c>
      <c r="J3108">
        <v>-496.29930000000002</v>
      </c>
      <c r="K3108">
        <v>1.1108629999999999</v>
      </c>
      <c r="L3108">
        <v>258.64490000000001</v>
      </c>
      <c r="M3108">
        <v>-4.1995789999999998E-2</v>
      </c>
      <c r="N3108">
        <v>0</v>
      </c>
      <c r="O3108">
        <v>-0.99909769999999998</v>
      </c>
      <c r="P3108">
        <v>5.3151129999999998E-2</v>
      </c>
      <c r="Q3108">
        <v>-7.0870519999999999E-3</v>
      </c>
      <c r="R3108">
        <v>-0.99856160000000005</v>
      </c>
      <c r="S3108">
        <v>0.73333740000000003</v>
      </c>
      <c r="T3108">
        <v>-0.18862719999999999</v>
      </c>
      <c r="U3108">
        <v>-2.9657140000000002</v>
      </c>
      <c r="V3108">
        <v>-9.5036159999999995E-2</v>
      </c>
      <c r="W3108">
        <v>-1.1910390000000001E-3</v>
      </c>
      <c r="X3108">
        <v>0.9954731</v>
      </c>
      <c r="Y3108">
        <v>-0.28014729999999999</v>
      </c>
      <c r="Z3108">
        <v>6.1201159999999998E-2</v>
      </c>
      <c r="AA3108">
        <v>0.95800410000000003</v>
      </c>
      <c r="AB3108">
        <v>23</v>
      </c>
      <c r="AC3108">
        <v>4.3240000000000096</v>
      </c>
      <c r="AD3108">
        <v>-1.1108642861289999</v>
      </c>
      <c r="AE3108">
        <v>-17.282900000000001</v>
      </c>
      <c r="AF3108">
        <v>-5.02646609890789</v>
      </c>
      <c r="AG3108">
        <v>-1.1108642861289999</v>
      </c>
      <c r="AH3108">
        <v>17.019886228185701</v>
      </c>
      <c r="AI3108">
        <v>93.581806827437006</v>
      </c>
      <c r="AJ3108">
        <v>106.45339923852301</v>
      </c>
      <c r="AK3108">
        <v>17.7813359488553</v>
      </c>
      <c r="AL3108">
        <v>90.068241524646197</v>
      </c>
      <c r="AM3108">
        <v>95.453404970201206</v>
      </c>
      <c r="AN3108">
        <v>0.99999999155252695</v>
      </c>
    </row>
    <row r="3109" spans="1:40" x14ac:dyDescent="0.25">
      <c r="A3109" t="str">
        <f>"20190312160700211"</f>
        <v>20190312160700211</v>
      </c>
      <c r="B3109" t="str">
        <f>"1552378020208429"</f>
        <v>1552378020208429</v>
      </c>
      <c r="C3109" t="s">
        <v>40</v>
      </c>
      <c r="D3109">
        <v>5.7260210000000002</v>
      </c>
      <c r="E3109">
        <v>0.42745379999999999</v>
      </c>
      <c r="F3109" t="s">
        <v>47</v>
      </c>
      <c r="G3109">
        <v>-491.91199999999998</v>
      </c>
      <c r="H3109" s="1">
        <v>-1.136469E-6</v>
      </c>
      <c r="I3109">
        <v>241.05240000000001</v>
      </c>
      <c r="J3109">
        <v>-496.30329999999998</v>
      </c>
      <c r="K3109">
        <v>1.110876</v>
      </c>
      <c r="L3109">
        <v>258.50299999999999</v>
      </c>
      <c r="M3109">
        <v>-4.0057170000000003E-2</v>
      </c>
      <c r="N3109">
        <v>0</v>
      </c>
      <c r="O3109">
        <v>-0.99917750000000005</v>
      </c>
      <c r="P3109">
        <v>5.5698999999999999E-2</v>
      </c>
      <c r="Q3109">
        <v>-6.9467690000000002E-3</v>
      </c>
      <c r="R3109">
        <v>-0.99842379999999997</v>
      </c>
      <c r="S3109">
        <v>0.73910520000000002</v>
      </c>
      <c r="T3109">
        <v>-0.18713750000000001</v>
      </c>
      <c r="U3109">
        <v>-2.963654</v>
      </c>
      <c r="V3109">
        <v>-9.5645149999999998E-2</v>
      </c>
      <c r="W3109">
        <v>-1.0552339999999999E-3</v>
      </c>
      <c r="X3109">
        <v>0.99541489999999999</v>
      </c>
      <c r="Y3109">
        <v>-0.28020289999999998</v>
      </c>
      <c r="Z3109">
        <v>6.0753429999999997E-2</v>
      </c>
      <c r="AA3109">
        <v>0.95801630000000004</v>
      </c>
      <c r="AB3109">
        <v>23</v>
      </c>
      <c r="AC3109">
        <v>4.3913000000000002</v>
      </c>
      <c r="AD3109">
        <v>-1.110877136469</v>
      </c>
      <c r="AE3109">
        <v>-17.450599999999898</v>
      </c>
      <c r="AF3109">
        <v>-5.0674983547657302</v>
      </c>
      <c r="AG3109">
        <v>-1.110877136469</v>
      </c>
      <c r="AH3109">
        <v>17.195155079027199</v>
      </c>
      <c r="AI3109">
        <v>93.546031202495698</v>
      </c>
      <c r="AJ3109">
        <v>106.420509428388</v>
      </c>
      <c r="AK3109">
        <v>17.960705603613601</v>
      </c>
      <c r="AL3109">
        <v>90.060460467893705</v>
      </c>
      <c r="AM3109">
        <v>95.488456528858293</v>
      </c>
      <c r="AN3109">
        <v>0.99999996568966298</v>
      </c>
    </row>
    <row r="3110" spans="1:40" x14ac:dyDescent="0.25">
      <c r="A3110" t="str">
        <f>"20190312160700229"</f>
        <v>20190312160700229</v>
      </c>
      <c r="B3110" t="str">
        <f>"1552378020218188"</f>
        <v>1552378020218188</v>
      </c>
      <c r="C3110" t="s">
        <v>40</v>
      </c>
      <c r="D3110">
        <v>5.7344939999999998</v>
      </c>
      <c r="E3110">
        <v>0.42764350000000001</v>
      </c>
      <c r="F3110" t="s">
        <v>47</v>
      </c>
      <c r="G3110">
        <v>-491.90699999999998</v>
      </c>
      <c r="H3110" s="1">
        <v>-1.1001380000000001E-6</v>
      </c>
      <c r="I3110">
        <v>240.9708</v>
      </c>
      <c r="J3110">
        <v>-496.30790000000002</v>
      </c>
      <c r="K3110">
        <v>1.110886</v>
      </c>
      <c r="L3110">
        <v>258.32209999999998</v>
      </c>
      <c r="M3110">
        <v>-3.7588290000000003E-2</v>
      </c>
      <c r="N3110">
        <v>0</v>
      </c>
      <c r="O3110">
        <v>-0.99927319999999997</v>
      </c>
      <c r="P3110">
        <v>5.9415719999999998E-2</v>
      </c>
      <c r="Q3110">
        <v>-6.7043129999999999E-3</v>
      </c>
      <c r="R3110">
        <v>-0.99821110000000002</v>
      </c>
      <c r="S3110">
        <v>0.74273679999999997</v>
      </c>
      <c r="T3110">
        <v>-0.18767909999999999</v>
      </c>
      <c r="U3110">
        <v>-2.9620060000000001</v>
      </c>
      <c r="V3110">
        <v>-9.6892969999999995E-2</v>
      </c>
      <c r="W3110">
        <v>-8.231286E-4</v>
      </c>
      <c r="X3110">
        <v>0.99529449999999997</v>
      </c>
      <c r="Y3110">
        <v>-0.27905869999999999</v>
      </c>
      <c r="Z3110">
        <v>6.09718E-2</v>
      </c>
      <c r="AA3110">
        <v>0.95833639999999998</v>
      </c>
      <c r="AB3110">
        <v>23</v>
      </c>
      <c r="AC3110">
        <v>4.4009000000000302</v>
      </c>
      <c r="AD3110">
        <v>-1.1108871001379901</v>
      </c>
      <c r="AE3110">
        <v>-17.351299999999899</v>
      </c>
      <c r="AF3110">
        <v>-5.0306344905764098</v>
      </c>
      <c r="AG3110">
        <v>-1.1108871001379901</v>
      </c>
      <c r="AH3110">
        <v>17.107726149746501</v>
      </c>
      <c r="AI3110">
        <v>93.564763268137696</v>
      </c>
      <c r="AJ3110">
        <v>106.386304702971</v>
      </c>
      <c r="AK3110">
        <v>17.866607051753</v>
      </c>
      <c r="AL3110">
        <v>90.0471617985244</v>
      </c>
      <c r="AM3110">
        <v>95.560283420387407</v>
      </c>
      <c r="AN3110">
        <v>1.00000003345318</v>
      </c>
    </row>
    <row r="3111" spans="1:40" x14ac:dyDescent="0.25">
      <c r="A3111" t="str">
        <f>"20190312160700240"</f>
        <v>20190312160700240</v>
      </c>
      <c r="B3111" t="str">
        <f>"1552378020237708"</f>
        <v>1552378020237708</v>
      </c>
      <c r="C3111" t="s">
        <v>40</v>
      </c>
      <c r="D3111">
        <v>5.858479</v>
      </c>
      <c r="E3111">
        <v>0.42770249999999999</v>
      </c>
      <c r="F3111" t="s">
        <v>47</v>
      </c>
      <c r="G3111">
        <v>-491.83839999999998</v>
      </c>
      <c r="H3111" s="1">
        <v>-9.8842840000000004E-7</v>
      </c>
      <c r="I3111">
        <v>240.75290000000001</v>
      </c>
      <c r="J3111">
        <v>-496.31049999999999</v>
      </c>
      <c r="K3111">
        <v>1.110895</v>
      </c>
      <c r="L3111">
        <v>258.20650000000001</v>
      </c>
      <c r="M3111">
        <v>-3.601099E-2</v>
      </c>
      <c r="N3111">
        <v>0</v>
      </c>
      <c r="O3111">
        <v>-0.99933139999999998</v>
      </c>
      <c r="P3111">
        <v>6.1371040000000002E-2</v>
      </c>
      <c r="Q3111">
        <v>-6.6240159999999999E-3</v>
      </c>
      <c r="R3111">
        <v>-0.99809309999999996</v>
      </c>
      <c r="S3111">
        <v>0.75280760000000002</v>
      </c>
      <c r="T3111">
        <v>-0.18711259999999999</v>
      </c>
      <c r="U3111">
        <v>-2.9592740000000002</v>
      </c>
      <c r="V3111">
        <v>-9.7271700000000003E-2</v>
      </c>
      <c r="W3111">
        <v>-7.4792429999999996E-4</v>
      </c>
      <c r="X3111">
        <v>0.99525759999999996</v>
      </c>
      <c r="Y3111">
        <v>-0.2808195</v>
      </c>
      <c r="Z3111">
        <v>6.080729E-2</v>
      </c>
      <c r="AA3111">
        <v>0.95783240000000003</v>
      </c>
      <c r="AB3111">
        <v>23</v>
      </c>
      <c r="AC3111">
        <v>4.47210000000001</v>
      </c>
      <c r="AD3111">
        <v>-1.11089598842839</v>
      </c>
      <c r="AE3111">
        <v>-17.453599999999899</v>
      </c>
      <c r="AF3111">
        <v>-5.07842731628471</v>
      </c>
      <c r="AG3111">
        <v>-1.11089598842839</v>
      </c>
      <c r="AH3111">
        <v>17.2157843545248</v>
      </c>
      <c r="AI3111">
        <v>93.541582914464797</v>
      </c>
      <c r="AJ3111">
        <v>106.43535789393999</v>
      </c>
      <c r="AK3111">
        <v>17.983540942912001</v>
      </c>
      <c r="AL3111">
        <v>90.042852909065502</v>
      </c>
      <c r="AM3111">
        <v>95.582085808767005</v>
      </c>
      <c r="AN3111">
        <v>1.0000000166847001</v>
      </c>
    </row>
    <row r="3112" spans="1:40" x14ac:dyDescent="0.25">
      <c r="A3112" t="str">
        <f>"20190312160700252"</f>
        <v>20190312160700252</v>
      </c>
      <c r="B3112" t="str">
        <f>"1552378020248444"</f>
        <v>1552378020248444</v>
      </c>
      <c r="C3112" t="s">
        <v>40</v>
      </c>
      <c r="D3112">
        <v>5.7738680000000002</v>
      </c>
      <c r="E3112">
        <v>0.42770249999999999</v>
      </c>
      <c r="F3112" t="s">
        <v>47</v>
      </c>
      <c r="G3112">
        <v>-491.83019999999999</v>
      </c>
      <c r="H3112" s="1">
        <v>-9.7103369999999996E-7</v>
      </c>
      <c r="I3112">
        <v>240.7175</v>
      </c>
      <c r="J3112">
        <v>-496.31310000000002</v>
      </c>
      <c r="K3112">
        <v>1.110911</v>
      </c>
      <c r="L3112">
        <v>258.0881</v>
      </c>
      <c r="M3112">
        <v>-3.4395849999999999E-2</v>
      </c>
      <c r="N3112">
        <v>0</v>
      </c>
      <c r="O3112">
        <v>-0.99938819999999995</v>
      </c>
      <c r="P3112">
        <v>6.3667099999999893E-2</v>
      </c>
      <c r="Q3112">
        <v>-6.3995299999999996E-3</v>
      </c>
      <c r="R3112">
        <v>-0.99795109999999998</v>
      </c>
      <c r="S3112">
        <v>0.75775150000000002</v>
      </c>
      <c r="T3112">
        <v>-0.18788640000000001</v>
      </c>
      <c r="U3112">
        <v>-2.957932</v>
      </c>
      <c r="V3112">
        <v>-9.7954120000000006E-2</v>
      </c>
      <c r="W3112">
        <v>-5.3054429999999997E-4</v>
      </c>
      <c r="X3112">
        <v>0.99519080000000004</v>
      </c>
      <c r="Y3112">
        <v>-0.28087139999999999</v>
      </c>
      <c r="Z3112">
        <v>6.1077020000000003E-2</v>
      </c>
      <c r="AA3112">
        <v>0.95779999999999998</v>
      </c>
      <c r="AB3112">
        <v>23</v>
      </c>
      <c r="AC3112">
        <v>4.4829000000000203</v>
      </c>
      <c r="AD3112">
        <v>-1.1109119710337001</v>
      </c>
      <c r="AE3112">
        <v>-17.3705999999999</v>
      </c>
      <c r="AF3112">
        <v>-5.0583388294359697</v>
      </c>
      <c r="AG3112">
        <v>-1.1109119710337001</v>
      </c>
      <c r="AH3112">
        <v>17.1403972930405</v>
      </c>
      <c r="AI3112">
        <v>93.557049901115406</v>
      </c>
      <c r="AJ3112">
        <v>106.441968283508</v>
      </c>
      <c r="AK3112">
        <v>17.905701228492401</v>
      </c>
      <c r="AL3112">
        <v>90.030397950364204</v>
      </c>
      <c r="AM3112">
        <v>95.621372479981304</v>
      </c>
      <c r="AN3112">
        <v>1.0000000097534301</v>
      </c>
    </row>
    <row r="3113" spans="1:40" x14ac:dyDescent="0.25">
      <c r="A3113" t="str">
        <f>"20190312160700263"</f>
        <v>20190312160700263</v>
      </c>
      <c r="B3113" t="str">
        <f>"1552378020258203"</f>
        <v>1552378020258203</v>
      </c>
      <c r="C3113" t="s">
        <v>40</v>
      </c>
      <c r="D3113">
        <v>5.7954299999999996</v>
      </c>
      <c r="E3113">
        <v>0.37085030000000002</v>
      </c>
      <c r="F3113" t="s">
        <v>47</v>
      </c>
      <c r="G3113">
        <v>-491.77190000000002</v>
      </c>
      <c r="H3113" s="1">
        <v>-8.7723249999999904E-7</v>
      </c>
      <c r="I3113">
        <v>240.535</v>
      </c>
      <c r="J3113">
        <v>-496.31540000000001</v>
      </c>
      <c r="K3113">
        <v>1.1109199999999999</v>
      </c>
      <c r="L3113">
        <v>257.97050000000002</v>
      </c>
      <c r="M3113">
        <v>-3.2791649999999999E-2</v>
      </c>
      <c r="N3113">
        <v>0</v>
      </c>
      <c r="O3113">
        <v>-0.99944219999999895</v>
      </c>
      <c r="P3113">
        <v>6.5668409999999997E-2</v>
      </c>
      <c r="Q3113">
        <v>-6.2824369999999897E-3</v>
      </c>
      <c r="R3113">
        <v>-0.99782199999999999</v>
      </c>
      <c r="S3113">
        <v>0.76480099999999995</v>
      </c>
      <c r="T3113">
        <v>-0.18709029999999999</v>
      </c>
      <c r="U3113">
        <v>-2.9561459999999999</v>
      </c>
      <c r="V3113">
        <v>-9.8353209999999996E-2</v>
      </c>
      <c r="W3113">
        <v>-4.1877359999999998E-4</v>
      </c>
      <c r="X3113">
        <v>0.99515149999999997</v>
      </c>
      <c r="Y3113">
        <v>-0.28161589999999997</v>
      </c>
      <c r="Z3113">
        <v>6.0835220000000002E-2</v>
      </c>
      <c r="AA3113">
        <v>0.95759680000000003</v>
      </c>
      <c r="AB3113">
        <v>23</v>
      </c>
      <c r="AC3113">
        <v>4.5434999999999901</v>
      </c>
      <c r="AD3113">
        <v>-1.1109208772325001</v>
      </c>
      <c r="AE3113">
        <v>-17.435500000000001</v>
      </c>
      <c r="AF3113">
        <v>-5.0934435634135902</v>
      </c>
      <c r="AG3113">
        <v>-1.1109208772325001</v>
      </c>
      <c r="AH3113">
        <v>17.2116994766685</v>
      </c>
      <c r="AI3113">
        <v>93.541595660685701</v>
      </c>
      <c r="AJ3113">
        <v>106.48502114463</v>
      </c>
      <c r="AK3113">
        <v>17.9838792090111</v>
      </c>
      <c r="AL3113">
        <v>90.023993960105997</v>
      </c>
      <c r="AM3113">
        <v>95.644349255498199</v>
      </c>
      <c r="AN3113">
        <v>1.0000000186204401</v>
      </c>
    </row>
    <row r="3114" spans="1:40" x14ac:dyDescent="0.25">
      <c r="A3114" t="str">
        <f>"20190312160700275"</f>
        <v>20190312160700275</v>
      </c>
      <c r="B3114" t="str">
        <f>"1552378020268470"</f>
        <v>1552378020268470</v>
      </c>
      <c r="C3114" t="s">
        <v>40</v>
      </c>
      <c r="D3114">
        <v>5.7778530000000003</v>
      </c>
      <c r="E3114">
        <v>0.3655159</v>
      </c>
      <c r="F3114" t="s">
        <v>47</v>
      </c>
      <c r="G3114">
        <v>-489.69240000000002</v>
      </c>
      <c r="H3114" s="1">
        <v>-1.129163E-6</v>
      </c>
      <c r="I3114">
        <v>242.1377</v>
      </c>
      <c r="J3114">
        <v>-496.3177</v>
      </c>
      <c r="K3114">
        <v>1.11093</v>
      </c>
      <c r="L3114">
        <v>257.8492</v>
      </c>
      <c r="M3114">
        <v>-3.1139150000000001E-2</v>
      </c>
      <c r="N3114">
        <v>0</v>
      </c>
      <c r="O3114">
        <v>-0.99949489999999996</v>
      </c>
      <c r="P3114">
        <v>6.7544679999999996E-2</v>
      </c>
      <c r="Q3114">
        <v>-5.8827159999999996E-3</v>
      </c>
      <c r="R3114">
        <v>-0.99769909999999995</v>
      </c>
      <c r="S3114">
        <v>1.2234499999999999</v>
      </c>
      <c r="T3114">
        <v>-0.20521490000000001</v>
      </c>
      <c r="U3114">
        <v>-2.9247130000000001</v>
      </c>
      <c r="V3114">
        <v>-9.8580989999999993E-2</v>
      </c>
      <c r="W3114" s="1">
        <v>-2.3444879999999998E-5</v>
      </c>
      <c r="X3114">
        <v>0.99512900000000004</v>
      </c>
      <c r="Y3114">
        <v>-0.4136533</v>
      </c>
      <c r="Z3114">
        <v>6.4128019999999994E-2</v>
      </c>
      <c r="AA3114">
        <v>0.90817320000000001</v>
      </c>
      <c r="AB3114">
        <v>23</v>
      </c>
      <c r="AC3114">
        <v>6.6252999999999798</v>
      </c>
      <c r="AD3114">
        <v>-1.110931129163</v>
      </c>
      <c r="AE3114">
        <v>-15.711499999999999</v>
      </c>
      <c r="AF3114">
        <v>-7.0812807391601398</v>
      </c>
      <c r="AG3114">
        <v>-1.110931129163</v>
      </c>
      <c r="AH3114">
        <v>15.432063618327099</v>
      </c>
      <c r="AI3114">
        <v>93.743467284763597</v>
      </c>
      <c r="AJ3114">
        <v>114.64887743016899</v>
      </c>
      <c r="AK3114">
        <v>17.015501532445001</v>
      </c>
      <c r="AL3114">
        <v>90.001343292716399</v>
      </c>
      <c r="AM3114">
        <v>95.657463605155101</v>
      </c>
      <c r="AN3114">
        <v>0.99999996939002</v>
      </c>
    </row>
    <row r="3115" spans="1:40" x14ac:dyDescent="0.25">
      <c r="A3115" t="str">
        <f>"20190312160700286"</f>
        <v>20190312160700286</v>
      </c>
      <c r="B3115" t="str">
        <f>"1552378020278230"</f>
        <v>1552378020278230</v>
      </c>
      <c r="C3115" t="s">
        <v>40</v>
      </c>
      <c r="D3115">
        <v>5.7770679999999999</v>
      </c>
      <c r="E3115">
        <v>0.36343880000000001</v>
      </c>
      <c r="F3115" t="s">
        <v>44</v>
      </c>
      <c r="G3115">
        <v>-495.90940000000001</v>
      </c>
      <c r="H3115">
        <v>1.0523119999999999</v>
      </c>
      <c r="I3115">
        <v>256.91120000000001</v>
      </c>
      <c r="J3115">
        <v>-496.31959999999998</v>
      </c>
      <c r="K3115">
        <v>1.110943</v>
      </c>
      <c r="L3115">
        <v>257.73169999999999</v>
      </c>
      <c r="M3115">
        <v>-2.9538160000000001E-2</v>
      </c>
      <c r="N3115">
        <v>0</v>
      </c>
      <c r="O3115">
        <v>-0.99954339999999997</v>
      </c>
      <c r="P3115">
        <v>6.9449179999999999E-2</v>
      </c>
      <c r="Q3115">
        <v>-5.1559179999999998E-3</v>
      </c>
      <c r="R3115">
        <v>-0.99757189999999996</v>
      </c>
      <c r="S3115">
        <v>1.271698</v>
      </c>
      <c r="T3115">
        <v>-0.1824363</v>
      </c>
      <c r="U3115">
        <v>-2.9197540000000002</v>
      </c>
      <c r="V3115">
        <v>-9.8890339999999993E-2</v>
      </c>
      <c r="W3115">
        <v>6.9934529999999997E-4</v>
      </c>
      <c r="X3115">
        <v>0.99509809999999999</v>
      </c>
      <c r="Y3115">
        <v>-0.42557790000000001</v>
      </c>
      <c r="Z3115">
        <v>5.6789190000000003E-2</v>
      </c>
      <c r="AA3115">
        <v>0.90313810000000005</v>
      </c>
      <c r="AB3115">
        <v>23</v>
      </c>
      <c r="AC3115">
        <v>0.41019999999997397</v>
      </c>
      <c r="AD3115">
        <v>-5.8630999999999801E-2</v>
      </c>
      <c r="AE3115">
        <v>-0.82049999999998102</v>
      </c>
      <c r="AF3115">
        <v>-0.43249076228474997</v>
      </c>
      <c r="AG3115">
        <v>-5.8630999999999801E-2</v>
      </c>
      <c r="AH3115">
        <v>0.80473768597549</v>
      </c>
      <c r="AI3115">
        <v>93.671996910245298</v>
      </c>
      <c r="AJ3115">
        <v>118.25495027878</v>
      </c>
      <c r="AK3115">
        <v>0.91547178921681105</v>
      </c>
      <c r="AL3115">
        <v>89.959930462963101</v>
      </c>
      <c r="AM3115">
        <v>95.6752762554828</v>
      </c>
      <c r="AN3115">
        <v>1.00000000852638</v>
      </c>
    </row>
    <row r="3116" spans="1:40" x14ac:dyDescent="0.25">
      <c r="A3116" t="str">
        <f>"20190312160700297"</f>
        <v>20190312160700297</v>
      </c>
      <c r="B3116" t="str">
        <f>"1552378020287990"</f>
        <v>1552378020287990</v>
      </c>
      <c r="C3116" t="s">
        <v>40</v>
      </c>
      <c r="D3116">
        <v>5.3992120000000003</v>
      </c>
      <c r="E3116">
        <v>0.36142299999999999</v>
      </c>
      <c r="F3116" t="s">
        <v>47</v>
      </c>
      <c r="G3116">
        <v>-488.1893</v>
      </c>
      <c r="H3116" s="1">
        <v>-4.5100750000000002E-6</v>
      </c>
      <c r="I3116">
        <v>239.3972</v>
      </c>
      <c r="J3116">
        <v>-496.32150000000001</v>
      </c>
      <c r="K3116">
        <v>1.110954</v>
      </c>
      <c r="L3116">
        <v>257.61189999999999</v>
      </c>
      <c r="M3116">
        <v>-2.7907850000000001E-2</v>
      </c>
      <c r="N3116">
        <v>0</v>
      </c>
      <c r="O3116">
        <v>-0.99959019999999998</v>
      </c>
      <c r="P3116">
        <v>7.1235899999999894E-2</v>
      </c>
      <c r="Q3116">
        <v>-4.6299569999999996E-3</v>
      </c>
      <c r="R3116">
        <v>-0.99744889999999997</v>
      </c>
      <c r="S3116">
        <v>1.2932429999999999</v>
      </c>
      <c r="T3116">
        <v>-0.17671099999999901</v>
      </c>
      <c r="U3116">
        <v>-2.9163510000000001</v>
      </c>
      <c r="V3116">
        <v>-9.9052100000000004E-2</v>
      </c>
      <c r="W3116">
        <v>1.222435E-3</v>
      </c>
      <c r="X3116">
        <v>0.99508149999999995</v>
      </c>
      <c r="Y3116">
        <v>-0.4301162</v>
      </c>
      <c r="Z3116">
        <v>5.4935749999999998E-2</v>
      </c>
      <c r="AA3116">
        <v>0.90110049999999997</v>
      </c>
      <c r="AB3116">
        <v>23</v>
      </c>
      <c r="AC3116">
        <v>8.1322000000000099</v>
      </c>
      <c r="AD3116">
        <v>-1.1109585100749999</v>
      </c>
      <c r="AE3116">
        <v>-18.214700000000001</v>
      </c>
      <c r="AF3116">
        <v>-8.6106672896195704</v>
      </c>
      <c r="AG3116">
        <v>-1.1109585100749999</v>
      </c>
      <c r="AH3116">
        <v>17.925048446040702</v>
      </c>
      <c r="AI3116">
        <v>93.197591261948205</v>
      </c>
      <c r="AJ3116">
        <v>115.658263611527</v>
      </c>
      <c r="AK3116">
        <v>19.916957141504799</v>
      </c>
      <c r="AL3116">
        <v>89.929959616484496</v>
      </c>
      <c r="AM3116">
        <v>95.684593053922995</v>
      </c>
      <c r="AN3116">
        <v>1.0000000022519899</v>
      </c>
    </row>
    <row r="3117" spans="1:40" x14ac:dyDescent="0.25">
      <c r="A3117" t="str">
        <f>"20190312160700310"</f>
        <v>20190312160700310</v>
      </c>
      <c r="B3117" t="str">
        <f>"1552378020297750"</f>
        <v>1552378020297750</v>
      </c>
      <c r="C3117" t="s">
        <v>40</v>
      </c>
      <c r="D3117">
        <v>5.754359</v>
      </c>
      <c r="E3117">
        <v>0.36067549999999998</v>
      </c>
      <c r="F3117" t="s">
        <v>44</v>
      </c>
      <c r="G3117">
        <v>-495.91120000000001</v>
      </c>
      <c r="H3117">
        <v>1.060406</v>
      </c>
      <c r="I3117">
        <v>256.7029</v>
      </c>
      <c r="J3117">
        <v>-496.32319999999999</v>
      </c>
      <c r="K3117">
        <v>1.110965</v>
      </c>
      <c r="L3117">
        <v>257.48480000000001</v>
      </c>
      <c r="M3117">
        <v>-2.617734E-2</v>
      </c>
      <c r="N3117">
        <v>0</v>
      </c>
      <c r="O3117">
        <v>-0.99963729999999995</v>
      </c>
      <c r="P3117">
        <v>7.3042070000000001E-2</v>
      </c>
      <c r="Q3117">
        <v>-4.2756850000000004E-3</v>
      </c>
      <c r="R3117">
        <v>-0.99732010000000004</v>
      </c>
      <c r="S3117">
        <v>1.3149109999999999</v>
      </c>
      <c r="T3117">
        <v>-0.16195580000000001</v>
      </c>
      <c r="U3117">
        <v>-2.9130099999999999</v>
      </c>
      <c r="V3117">
        <v>-9.9133189999999996E-2</v>
      </c>
      <c r="W3117">
        <v>1.5743409999999999E-3</v>
      </c>
      <c r="X3117">
        <v>0.99507290000000004</v>
      </c>
      <c r="Y3117">
        <v>-0.43461640000000001</v>
      </c>
      <c r="Z3117">
        <v>5.0288619999999999E-2</v>
      </c>
      <c r="AA3117">
        <v>0.89921059999999997</v>
      </c>
      <c r="AB3117">
        <v>23</v>
      </c>
      <c r="AC3117">
        <v>0.411999999999977</v>
      </c>
      <c r="AD3117">
        <v>-5.0559E-2</v>
      </c>
      <c r="AE3117">
        <v>-0.78190000000000703</v>
      </c>
      <c r="AF3117">
        <v>-0.43091708986612698</v>
      </c>
      <c r="AG3117">
        <v>-5.0559E-2</v>
      </c>
      <c r="AH3117">
        <v>0.76833237176479896</v>
      </c>
      <c r="AI3117">
        <v>93.284787727487</v>
      </c>
      <c r="AJ3117">
        <v>119.285767357197</v>
      </c>
      <c r="AK3117">
        <v>0.88237202149740301</v>
      </c>
      <c r="AL3117">
        <v>89.909796865407799</v>
      </c>
      <c r="AM3117">
        <v>95.689265133472702</v>
      </c>
      <c r="AN3117">
        <v>0.99999997211178404</v>
      </c>
    </row>
    <row r="3118" spans="1:40" x14ac:dyDescent="0.25">
      <c r="A3118" t="str">
        <f>"20190312160700323"</f>
        <v>20190312160700323</v>
      </c>
      <c r="B3118" t="str">
        <f>"1552378020318246"</f>
        <v>1552378020318246</v>
      </c>
      <c r="C3118" t="s">
        <v>40</v>
      </c>
      <c r="D3118">
        <v>5.8035350000000001</v>
      </c>
      <c r="E3118">
        <v>0.35959259999999998</v>
      </c>
      <c r="F3118" t="s">
        <v>47</v>
      </c>
      <c r="G3118">
        <v>-486.75220000000002</v>
      </c>
      <c r="H3118" s="1">
        <v>-3.5116369999999999E-6</v>
      </c>
      <c r="I3118">
        <v>236.47559999999999</v>
      </c>
      <c r="J3118">
        <v>-496.32470000000001</v>
      </c>
      <c r="K3118">
        <v>1.1109739999999999</v>
      </c>
      <c r="L3118">
        <v>257.35680000000002</v>
      </c>
      <c r="M3118">
        <v>-2.4436579999999999E-2</v>
      </c>
      <c r="N3118">
        <v>0</v>
      </c>
      <c r="O3118">
        <v>-0.9996815</v>
      </c>
      <c r="P3118">
        <v>7.4750369999999997E-2</v>
      </c>
      <c r="Q3118">
        <v>-3.9303799999999998E-3</v>
      </c>
      <c r="R3118">
        <v>-0.9971949</v>
      </c>
      <c r="S3118">
        <v>1.325806</v>
      </c>
      <c r="T3118">
        <v>-0.153895</v>
      </c>
      <c r="U3118">
        <v>-2.910263</v>
      </c>
      <c r="V3118">
        <v>-9.9106559999999996E-2</v>
      </c>
      <c r="W3118">
        <v>1.9190940000000001E-3</v>
      </c>
      <c r="X3118">
        <v>0.99507500000000004</v>
      </c>
      <c r="Y3118">
        <v>-0.43620890000000001</v>
      </c>
      <c r="Z3118">
        <v>4.7781999999999998E-2</v>
      </c>
      <c r="AA3118">
        <v>0.89857589999999998</v>
      </c>
      <c r="AB3118">
        <v>23</v>
      </c>
      <c r="AC3118">
        <v>9.5724999999999891</v>
      </c>
      <c r="AD3118">
        <v>-1.110977511637</v>
      </c>
      <c r="AE3118">
        <v>-20.8812</v>
      </c>
      <c r="AF3118">
        <v>-10.0563931827893</v>
      </c>
      <c r="AG3118">
        <v>-1.110977511637</v>
      </c>
      <c r="AH3118">
        <v>20.5928705694771</v>
      </c>
      <c r="AI3118">
        <v>92.775407549201802</v>
      </c>
      <c r="AJ3118">
        <v>116.028266472851</v>
      </c>
      <c r="AK3118">
        <v>22.944098002960398</v>
      </c>
      <c r="AL3118">
        <v>89.890043948499695</v>
      </c>
      <c r="AM3118">
        <v>95.687734932029599</v>
      </c>
      <c r="AN3118">
        <v>1.0000000243909</v>
      </c>
    </row>
    <row r="3119" spans="1:40" x14ac:dyDescent="0.25">
      <c r="A3119" t="str">
        <f>"20190312160700334"</f>
        <v>20190312160700334</v>
      </c>
      <c r="B3119" t="str">
        <f>"1552378020328006"</f>
        <v>1552378020328006</v>
      </c>
      <c r="C3119" t="s">
        <v>40</v>
      </c>
      <c r="D3119">
        <v>5.4430329999999998</v>
      </c>
      <c r="E3119">
        <v>0.35934149999999998</v>
      </c>
      <c r="F3119" t="s">
        <v>44</v>
      </c>
      <c r="G3119">
        <v>-495.91789999999997</v>
      </c>
      <c r="H3119">
        <v>1.0676779999999999</v>
      </c>
      <c r="I3119">
        <v>256.4735</v>
      </c>
      <c r="J3119">
        <v>-496.3261</v>
      </c>
      <c r="K3119">
        <v>1.1109849999999999</v>
      </c>
      <c r="L3119">
        <v>257.23079999999999</v>
      </c>
      <c r="M3119">
        <v>-2.2723299999999998E-2</v>
      </c>
      <c r="N3119">
        <v>0</v>
      </c>
      <c r="O3119">
        <v>-0.99972159999999999</v>
      </c>
      <c r="P3119">
        <v>7.6312580000000005E-2</v>
      </c>
      <c r="Q3119">
        <v>-3.9671289999999998E-3</v>
      </c>
      <c r="R3119">
        <v>-0.99707639999999997</v>
      </c>
      <c r="S3119">
        <v>1.3395079999999999</v>
      </c>
      <c r="T3119">
        <v>-0.14249619999999999</v>
      </c>
      <c r="U3119">
        <v>-2.9074710000000001</v>
      </c>
      <c r="V3119">
        <v>-9.8960419999999993E-2</v>
      </c>
      <c r="W3119">
        <v>1.882854E-3</v>
      </c>
      <c r="X3119">
        <v>0.99508960000000002</v>
      </c>
      <c r="Y3119">
        <v>-0.4385597</v>
      </c>
      <c r="Z3119">
        <v>4.4224369999999999E-2</v>
      </c>
      <c r="AA3119">
        <v>0.89761329999999995</v>
      </c>
      <c r="AB3119">
        <v>24</v>
      </c>
      <c r="AC3119">
        <v>0.40820000000002199</v>
      </c>
      <c r="AD3119">
        <v>-4.3306999999999901E-2</v>
      </c>
      <c r="AE3119">
        <v>-0.75729999999998598</v>
      </c>
      <c r="AF3119">
        <v>-0.42422830026479202</v>
      </c>
      <c r="AG3119">
        <v>-4.3306999999999901E-2</v>
      </c>
      <c r="AH3119">
        <v>0.74593839980326504</v>
      </c>
      <c r="AI3119">
        <v>92.889065551901993</v>
      </c>
      <c r="AJ3119">
        <v>119.627651950405</v>
      </c>
      <c r="AK3119">
        <v>0.85922595590194495</v>
      </c>
      <c r="AL3119">
        <v>89.892120349800095</v>
      </c>
      <c r="AM3119">
        <v>95.679320030243602</v>
      </c>
      <c r="AN3119">
        <v>1.00000001094696</v>
      </c>
    </row>
    <row r="3120" spans="1:40" x14ac:dyDescent="0.25">
      <c r="A3120" t="str">
        <f>"20190312160700351"</f>
        <v>20190312160700351</v>
      </c>
      <c r="B3120" t="str">
        <f>"1552378020348502"</f>
        <v>1552378020348502</v>
      </c>
      <c r="C3120" t="s">
        <v>40</v>
      </c>
      <c r="D3120">
        <v>5.814298</v>
      </c>
      <c r="E3120">
        <v>0.35896670000000003</v>
      </c>
      <c r="F3120" t="s">
        <v>44</v>
      </c>
      <c r="G3120">
        <v>-495.8895</v>
      </c>
      <c r="H3120">
        <v>1.0658209999999999</v>
      </c>
      <c r="I3120">
        <v>256.28829999999999</v>
      </c>
      <c r="J3120">
        <v>-496.32760000000002</v>
      </c>
      <c r="K3120">
        <v>1.1110009999999999</v>
      </c>
      <c r="L3120">
        <v>257.04390000000001</v>
      </c>
      <c r="M3120">
        <v>-2.0183699999999999E-2</v>
      </c>
      <c r="N3120">
        <v>0</v>
      </c>
      <c r="O3120">
        <v>-0.99977609999999995</v>
      </c>
      <c r="P3120">
        <v>7.91742E-2</v>
      </c>
      <c r="Q3120">
        <v>-3.7898150000000002E-3</v>
      </c>
      <c r="R3120">
        <v>-0.99685369999999995</v>
      </c>
      <c r="S3120">
        <v>1.3463750000000001</v>
      </c>
      <c r="T3120">
        <v>-0.13920060000000001</v>
      </c>
      <c r="U3120">
        <v>-2.9052280000000001</v>
      </c>
      <c r="V3120">
        <v>-9.9290160000000002E-2</v>
      </c>
      <c r="W3120">
        <v>2.0588059999999998E-3</v>
      </c>
      <c r="X3120">
        <v>0.99505639999999995</v>
      </c>
      <c r="Y3120">
        <v>-0.43830730000000001</v>
      </c>
      <c r="Z3120">
        <v>4.3220109999999999E-2</v>
      </c>
      <c r="AA3120">
        <v>0.89778549999999901</v>
      </c>
      <c r="AB3120">
        <v>24</v>
      </c>
      <c r="AC3120">
        <v>0.43810000000001897</v>
      </c>
      <c r="AD3120">
        <v>-4.5180000000000199E-2</v>
      </c>
      <c r="AE3120">
        <v>-0.75560000000001504</v>
      </c>
      <c r="AF3120">
        <v>-0.45205228192292801</v>
      </c>
      <c r="AG3120">
        <v>-4.5180000000000199E-2</v>
      </c>
      <c r="AH3120">
        <v>0.74461101713744704</v>
      </c>
      <c r="AI3120">
        <v>92.969047372625994</v>
      </c>
      <c r="AJ3120">
        <v>121.26187752796901</v>
      </c>
      <c r="AK3120">
        <v>0.87226031941971904</v>
      </c>
      <c r="AL3120">
        <v>89.882039022840601</v>
      </c>
      <c r="AM3120">
        <v>95.698308288203506</v>
      </c>
      <c r="AN3120">
        <v>1.00000000686796</v>
      </c>
    </row>
    <row r="3121" spans="1:40" x14ac:dyDescent="0.25">
      <c r="A3121" t="str">
        <f>"20190312160700364"</f>
        <v>20190312160700364</v>
      </c>
      <c r="B3121" t="str">
        <f>"1552378020358262"</f>
        <v>1552378020358262</v>
      </c>
      <c r="C3121" t="s">
        <v>40</v>
      </c>
      <c r="D3121">
        <v>5.4501600000000003</v>
      </c>
      <c r="E3121">
        <v>0.35905880000000001</v>
      </c>
      <c r="F3121" t="s">
        <v>47</v>
      </c>
      <c r="G3121">
        <v>-484.875</v>
      </c>
      <c r="H3121" s="1">
        <v>-2.358833E-6</v>
      </c>
      <c r="I3121">
        <v>232.57249999999999</v>
      </c>
      <c r="J3121">
        <v>-496.32830000000001</v>
      </c>
      <c r="K3121">
        <v>1.1110120000000001</v>
      </c>
      <c r="L3121">
        <v>256.9169</v>
      </c>
      <c r="M3121">
        <v>-1.8457520000000002E-2</v>
      </c>
      <c r="N3121">
        <v>0</v>
      </c>
      <c r="O3121">
        <v>-0.99980930000000001</v>
      </c>
      <c r="P3121">
        <v>8.0945900000000001E-2</v>
      </c>
      <c r="Q3121">
        <v>-3.7636869999999999E-3</v>
      </c>
      <c r="R3121">
        <v>-0.99671140000000003</v>
      </c>
      <c r="S3121">
        <v>1.3577269999999999</v>
      </c>
      <c r="T3121">
        <v>-0.13171160000000001</v>
      </c>
      <c r="U3121">
        <v>-2.901138</v>
      </c>
      <c r="V3121">
        <v>-9.9340910000000004E-2</v>
      </c>
      <c r="W3121">
        <v>2.0859870000000001E-3</v>
      </c>
      <c r="X3121">
        <v>0.99505129999999997</v>
      </c>
      <c r="Y3121">
        <v>-0.44016539999999998</v>
      </c>
      <c r="Z3121">
        <v>4.0902010000000003E-2</v>
      </c>
      <c r="AA3121">
        <v>0.89698459999999902</v>
      </c>
      <c r="AB3121">
        <v>24</v>
      </c>
      <c r="AC3121">
        <v>11.4533</v>
      </c>
      <c r="AD3121">
        <v>-1.1110143588329999</v>
      </c>
      <c r="AE3121">
        <v>-24.3444</v>
      </c>
      <c r="AF3121">
        <v>-11.880435332146799</v>
      </c>
      <c r="AG3121">
        <v>-1.1110143588329999</v>
      </c>
      <c r="AH3121">
        <v>24.0877716549873</v>
      </c>
      <c r="AI3121">
        <v>92.368738373590602</v>
      </c>
      <c r="AJ3121">
        <v>116.253177779512</v>
      </c>
      <c r="AK3121">
        <v>26.881217232291899</v>
      </c>
      <c r="AL3121">
        <v>89.880481665531704</v>
      </c>
      <c r="AM3121">
        <v>95.701230700082903</v>
      </c>
      <c r="AN3121">
        <v>1.00000002868654</v>
      </c>
    </row>
    <row r="3122" spans="1:40" x14ac:dyDescent="0.25">
      <c r="A3122" t="str">
        <f>"20190312160700378"</f>
        <v>20190312160700378</v>
      </c>
      <c r="B3122" t="str">
        <f>"1552378020368529"</f>
        <v>1552378020368529</v>
      </c>
      <c r="C3122" t="s">
        <v>40</v>
      </c>
      <c r="D3122">
        <v>5.8052070000000002</v>
      </c>
      <c r="E3122">
        <v>0.35910619999999999</v>
      </c>
      <c r="F3122" t="s">
        <v>44</v>
      </c>
      <c r="G3122">
        <v>-495.9117</v>
      </c>
      <c r="H3122">
        <v>1.0709229999999901</v>
      </c>
      <c r="I3122">
        <v>256.02929999999998</v>
      </c>
      <c r="J3122">
        <v>-496.32889999999998</v>
      </c>
      <c r="K3122">
        <v>1.111022</v>
      </c>
      <c r="L3122">
        <v>256.76929999999999</v>
      </c>
      <c r="M3122">
        <v>-1.645218E-2</v>
      </c>
      <c r="N3122">
        <v>0</v>
      </c>
      <c r="O3122">
        <v>-0.99984470000000003</v>
      </c>
      <c r="P3122">
        <v>8.3126800000000001E-2</v>
      </c>
      <c r="Q3122">
        <v>-3.4783819999999999E-3</v>
      </c>
      <c r="R3122">
        <v>-0.99653349999999996</v>
      </c>
      <c r="S3122">
        <v>1.362244</v>
      </c>
      <c r="T3122">
        <v>-0.13089729999999999</v>
      </c>
      <c r="U3122">
        <v>-2.8987729999999998</v>
      </c>
      <c r="V3122">
        <v>-9.9524009999999996E-2</v>
      </c>
      <c r="W3122">
        <v>2.3725650000000001E-3</v>
      </c>
      <c r="X3122">
        <v>0.99503229999999998</v>
      </c>
      <c r="Y3122">
        <v>-0.4397953</v>
      </c>
      <c r="Z3122">
        <v>4.0672970000000003E-2</v>
      </c>
      <c r="AA3122">
        <v>0.89717659999999999</v>
      </c>
      <c r="AB3122">
        <v>24</v>
      </c>
      <c r="AC3122">
        <v>0.41719999999997898</v>
      </c>
      <c r="AD3122">
        <v>-4.00990000000001E-2</v>
      </c>
      <c r="AE3122">
        <v>-0.74000000000000898</v>
      </c>
      <c r="AF3122">
        <v>-0.42836394467711503</v>
      </c>
      <c r="AG3122">
        <v>-4.00990000000001E-2</v>
      </c>
      <c r="AH3122">
        <v>0.73140619863293199</v>
      </c>
      <c r="AI3122">
        <v>92.708532257073699</v>
      </c>
      <c r="AJ3122">
        <v>120.35630061444</v>
      </c>
      <c r="AK3122">
        <v>0.84856268259864798</v>
      </c>
      <c r="AL3122">
        <v>89.864061906973106</v>
      </c>
      <c r="AM3122">
        <v>95.711777838417902</v>
      </c>
      <c r="AN3122">
        <v>0.999999967837224</v>
      </c>
    </row>
    <row r="3123" spans="1:40" x14ac:dyDescent="0.25">
      <c r="A3123" t="str">
        <f>"20190312160700391"</f>
        <v>20190312160700391</v>
      </c>
      <c r="B3123" t="str">
        <f>"1552378020388049"</f>
        <v>1552378020388049</v>
      </c>
      <c r="C3123" t="s">
        <v>40</v>
      </c>
      <c r="D3123">
        <v>5.8497879999999904</v>
      </c>
      <c r="E3123">
        <v>0.35942849999999998</v>
      </c>
      <c r="F3123" t="s">
        <v>44</v>
      </c>
      <c r="G3123">
        <v>-495.9006</v>
      </c>
      <c r="H3123">
        <v>1.071005</v>
      </c>
      <c r="I3123">
        <v>255.86269999999999</v>
      </c>
      <c r="J3123">
        <v>-496.32920000000001</v>
      </c>
      <c r="K3123">
        <v>1.1110310000000001</v>
      </c>
      <c r="L3123">
        <v>256.61930000000001</v>
      </c>
      <c r="M3123">
        <v>-1.441476E-2</v>
      </c>
      <c r="N3123">
        <v>0</v>
      </c>
      <c r="O3123">
        <v>-0.99987579999999998</v>
      </c>
      <c r="P3123">
        <v>8.5336309999999999E-2</v>
      </c>
      <c r="Q3123">
        <v>-3.3392069999999999E-3</v>
      </c>
      <c r="R3123">
        <v>-0.99634699999999998</v>
      </c>
      <c r="S3123">
        <v>1.3682859999999999</v>
      </c>
      <c r="T3123">
        <v>-0.1278253</v>
      </c>
      <c r="U3123">
        <v>-2.8958590000000002</v>
      </c>
      <c r="V3123">
        <v>-9.9703330000000007E-2</v>
      </c>
      <c r="W3123">
        <v>2.5132309999999999E-3</v>
      </c>
      <c r="X3123">
        <v>0.99501399999999995</v>
      </c>
      <c r="Y3123">
        <v>-0.4398608</v>
      </c>
      <c r="Z3123">
        <v>3.9740770000000002E-2</v>
      </c>
      <c r="AA3123">
        <v>0.89718619999999905</v>
      </c>
      <c r="AB3123">
        <v>24</v>
      </c>
      <c r="AC3123">
        <v>0.42860000000001702</v>
      </c>
      <c r="AD3123">
        <v>-4.0025999999999798E-2</v>
      </c>
      <c r="AE3123">
        <v>-0.75660000000002003</v>
      </c>
      <c r="AF3123">
        <v>-0.43853275165329803</v>
      </c>
      <c r="AG3123">
        <v>-4.0025999999999798E-2</v>
      </c>
      <c r="AH3123">
        <v>0.74875666203778402</v>
      </c>
      <c r="AI3123">
        <v>92.641038503103701</v>
      </c>
      <c r="AJ3123">
        <v>120.35670690665</v>
      </c>
      <c r="AK3123">
        <v>0.86864814159392401</v>
      </c>
      <c r="AL3123">
        <v>89.856002314167696</v>
      </c>
      <c r="AM3123">
        <v>95.722105492689096</v>
      </c>
      <c r="AN3123">
        <v>0.99999996526957302</v>
      </c>
    </row>
    <row r="3124" spans="1:40" x14ac:dyDescent="0.25">
      <c r="A3124" t="str">
        <f>"20190312160700410"</f>
        <v>20190312160700410</v>
      </c>
      <c r="B3124" t="str">
        <f>"1552378020397809"</f>
        <v>1552378020397809</v>
      </c>
      <c r="C3124" t="s">
        <v>40</v>
      </c>
      <c r="D3124">
        <v>5.8330960000000003</v>
      </c>
      <c r="E3124">
        <v>0.35966490000000001</v>
      </c>
      <c r="F3124" t="s">
        <v>47</v>
      </c>
      <c r="G3124">
        <v>-484.3109</v>
      </c>
      <c r="H3124" s="1">
        <v>-2.0698539999999999E-6</v>
      </c>
      <c r="I3124">
        <v>231.28219999999999</v>
      </c>
      <c r="J3124">
        <v>-496.32920000000001</v>
      </c>
      <c r="K3124">
        <v>1.1110359999999999</v>
      </c>
      <c r="L3124">
        <v>256.42259999999999</v>
      </c>
      <c r="M3124">
        <v>-1.1744350000000001E-2</v>
      </c>
      <c r="N3124">
        <v>0</v>
      </c>
      <c r="O3124">
        <v>-0.99991079999999999</v>
      </c>
      <c r="P3124">
        <v>8.8423290000000002E-2</v>
      </c>
      <c r="Q3124">
        <v>-3.260958E-3</v>
      </c>
      <c r="R3124">
        <v>-0.99607800000000002</v>
      </c>
      <c r="S3124">
        <v>1.3722840000000001</v>
      </c>
      <c r="T3124">
        <v>-0.12686</v>
      </c>
      <c r="U3124">
        <v>-2.8930359999999999</v>
      </c>
      <c r="V3124">
        <v>-0.1001298</v>
      </c>
      <c r="W3124">
        <v>2.593817E-3</v>
      </c>
      <c r="X3124">
        <v>0.99497100000000005</v>
      </c>
      <c r="Y3124">
        <v>-0.43881769999999998</v>
      </c>
      <c r="Z3124">
        <v>3.9477669999999999E-2</v>
      </c>
      <c r="AA3124">
        <v>0.89770849999999902</v>
      </c>
      <c r="AB3124">
        <v>24</v>
      </c>
      <c r="AC3124">
        <v>12.0183</v>
      </c>
      <c r="AD3124">
        <v>-1.1110380698540001</v>
      </c>
      <c r="AE3124">
        <v>-25.1404</v>
      </c>
      <c r="AF3124">
        <v>-12.2931916624146</v>
      </c>
      <c r="AG3124">
        <v>-1.1110380698540001</v>
      </c>
      <c r="AH3124">
        <v>24.957839436531199</v>
      </c>
      <c r="AI3124">
        <v>92.286892783977507</v>
      </c>
      <c r="AJ3124">
        <v>116.222935746335</v>
      </c>
      <c r="AK3124">
        <v>27.843324445568701</v>
      </c>
      <c r="AL3124">
        <v>89.851385066097507</v>
      </c>
      <c r="AM3124">
        <v>95.746664393987302</v>
      </c>
      <c r="AN3124">
        <v>0.99999999778783399</v>
      </c>
    </row>
    <row r="3125" spans="1:40" x14ac:dyDescent="0.25">
      <c r="A3125" t="str">
        <f>"20190312160700424"</f>
        <v>20190312160700424</v>
      </c>
      <c r="B3125" t="str">
        <f>"1552378020418305"</f>
        <v>1552378020418305</v>
      </c>
      <c r="C3125" t="s">
        <v>40</v>
      </c>
      <c r="D3125">
        <v>5.8449809999999998</v>
      </c>
      <c r="E3125">
        <v>0.35990549999999999</v>
      </c>
      <c r="F3125" t="s">
        <v>47</v>
      </c>
      <c r="G3125">
        <v>-484.25130000000001</v>
      </c>
      <c r="H3125" s="1">
        <v>-2.0340520000000001E-6</v>
      </c>
      <c r="I3125">
        <v>231.13050000000001</v>
      </c>
      <c r="J3125">
        <v>-496.3288</v>
      </c>
      <c r="K3125">
        <v>1.111046</v>
      </c>
      <c r="L3125">
        <v>256.27730000000003</v>
      </c>
      <c r="M3125">
        <v>-9.7716969999999993E-3</v>
      </c>
      <c r="N3125">
        <v>0</v>
      </c>
      <c r="O3125">
        <v>-0.99993180000000004</v>
      </c>
      <c r="P3125">
        <v>9.0418319999999996E-2</v>
      </c>
      <c r="Q3125">
        <v>-3.4412790000000002E-3</v>
      </c>
      <c r="R3125">
        <v>-0.99589780000000006</v>
      </c>
      <c r="S3125">
        <v>1.379578</v>
      </c>
      <c r="T3125">
        <v>-0.12690709999999999</v>
      </c>
      <c r="U3125">
        <v>-2.8889619999999998</v>
      </c>
      <c r="V3125">
        <v>-0.10015930000000001</v>
      </c>
      <c r="W3125">
        <v>2.4178649999999999E-3</v>
      </c>
      <c r="X3125">
        <v>0.99496850000000003</v>
      </c>
      <c r="Y3125">
        <v>-0.4393821</v>
      </c>
      <c r="Z3125">
        <v>3.9517780000000002E-2</v>
      </c>
      <c r="AA3125">
        <v>0.89743059999999997</v>
      </c>
      <c r="AB3125">
        <v>24</v>
      </c>
      <c r="AC3125">
        <v>12.077499999999899</v>
      </c>
      <c r="AD3125">
        <v>-1.1110480340519999</v>
      </c>
      <c r="AE3125">
        <v>-25.146799999999999</v>
      </c>
      <c r="AF3125">
        <v>-12.303139991725899</v>
      </c>
      <c r="AG3125">
        <v>-1.1110480340519999</v>
      </c>
      <c r="AH3125">
        <v>24.987943275309899</v>
      </c>
      <c r="AI3125">
        <v>92.284337673465103</v>
      </c>
      <c r="AJ3125">
        <v>116.21393101213999</v>
      </c>
      <c r="AK3125">
        <v>27.874701622081702</v>
      </c>
      <c r="AL3125">
        <v>89.861466408373801</v>
      </c>
      <c r="AM3125">
        <v>95.748360472503194</v>
      </c>
      <c r="AN3125">
        <v>1.00000002371994</v>
      </c>
    </row>
    <row r="3126" spans="1:40" x14ac:dyDescent="0.25">
      <c r="A3126" t="str">
        <f>"20190312160700441"</f>
        <v>20190312160700441</v>
      </c>
      <c r="B3126" t="str">
        <f>"1552378020437825"</f>
        <v>1552378020437825</v>
      </c>
      <c r="C3126" t="s">
        <v>40</v>
      </c>
      <c r="D3126">
        <v>5.492076</v>
      </c>
      <c r="E3126">
        <v>0.3602939</v>
      </c>
      <c r="F3126" t="s">
        <v>44</v>
      </c>
      <c r="G3126">
        <v>-495.90410000000003</v>
      </c>
      <c r="H3126">
        <v>1.0721419999999999</v>
      </c>
      <c r="I3126">
        <v>255.39099999999999</v>
      </c>
      <c r="J3126">
        <v>-496.3279</v>
      </c>
      <c r="K3126">
        <v>1.111059</v>
      </c>
      <c r="L3126">
        <v>256.08850000000001</v>
      </c>
      <c r="M3126">
        <v>-7.209694E-3</v>
      </c>
      <c r="N3126">
        <v>0</v>
      </c>
      <c r="O3126">
        <v>-0.9999536</v>
      </c>
      <c r="P3126">
        <v>9.2785919999999994E-2</v>
      </c>
      <c r="Q3126">
        <v>-3.5903300000000001E-3</v>
      </c>
      <c r="R3126">
        <v>-0.99567969999999895</v>
      </c>
      <c r="S3126">
        <v>1.3834229999999901</v>
      </c>
      <c r="T3126">
        <v>-0.1266909</v>
      </c>
      <c r="U3126">
        <v>-2.8863219999999998</v>
      </c>
      <c r="V3126">
        <v>-9.9974750000000001E-2</v>
      </c>
      <c r="W3126">
        <v>2.2757670000000002E-3</v>
      </c>
      <c r="X3126">
        <v>0.99498739999999997</v>
      </c>
      <c r="Y3126">
        <v>-0.43837320000000002</v>
      </c>
      <c r="Z3126">
        <v>3.948393E-2</v>
      </c>
      <c r="AA3126">
        <v>0.89792539999999998</v>
      </c>
      <c r="AB3126">
        <v>24</v>
      </c>
      <c r="AC3126">
        <v>0.42379999999997098</v>
      </c>
      <c r="AD3126">
        <v>-3.8917E-2</v>
      </c>
      <c r="AE3126">
        <v>-0.69750000000001899</v>
      </c>
      <c r="AF3126">
        <v>-0.42784506263230798</v>
      </c>
      <c r="AG3126">
        <v>-3.8917E-2</v>
      </c>
      <c r="AH3126">
        <v>0.69285101291860896</v>
      </c>
      <c r="AI3126">
        <v>92.736176703155095</v>
      </c>
      <c r="AJ3126">
        <v>121.69590261708299</v>
      </c>
      <c r="AK3126">
        <v>0.81523521551156397</v>
      </c>
      <c r="AL3126">
        <v>89.869608046837399</v>
      </c>
      <c r="AM3126">
        <v>95.737731219519503</v>
      </c>
      <c r="AN3126">
        <v>1.0000000279558801</v>
      </c>
    </row>
    <row r="3127" spans="1:40" x14ac:dyDescent="0.25">
      <c r="A3127" t="str">
        <f>"20190312160700452"</f>
        <v>20190312160700452</v>
      </c>
      <c r="B3127" t="str">
        <f>"1552378020448561"</f>
        <v>1552378020448561</v>
      </c>
      <c r="C3127" t="s">
        <v>40</v>
      </c>
      <c r="D3127">
        <v>5.4379569999999999</v>
      </c>
      <c r="E3127">
        <v>0.36041659999999998</v>
      </c>
      <c r="F3127" t="s">
        <v>44</v>
      </c>
      <c r="G3127">
        <v>-495.90839999999997</v>
      </c>
      <c r="H3127">
        <v>1.0724670000000001</v>
      </c>
      <c r="I3127">
        <v>255.21559999999999</v>
      </c>
      <c r="J3127">
        <v>-496.32709999999997</v>
      </c>
      <c r="K3127">
        <v>1.1110660000000001</v>
      </c>
      <c r="L3127">
        <v>255.9684</v>
      </c>
      <c r="M3127">
        <v>-5.5805630000000002E-3</v>
      </c>
      <c r="N3127">
        <v>0</v>
      </c>
      <c r="O3127">
        <v>-0.99996419999999997</v>
      </c>
      <c r="P3127">
        <v>9.4201690000000005E-2</v>
      </c>
      <c r="Q3127">
        <v>-3.8441809999999999E-3</v>
      </c>
      <c r="R3127">
        <v>-0.99554600000000004</v>
      </c>
      <c r="S3127">
        <v>1.386871</v>
      </c>
      <c r="T3127">
        <v>-0.12744819999999901</v>
      </c>
      <c r="U3127">
        <v>-2.8833470000000001</v>
      </c>
      <c r="V3127">
        <v>-9.9767469999999997E-2</v>
      </c>
      <c r="W3127">
        <v>2.0278119999999999E-3</v>
      </c>
      <c r="X3127">
        <v>0.99500869999999997</v>
      </c>
      <c r="Y3127">
        <v>-0.43813839999999998</v>
      </c>
      <c r="Z3127">
        <v>3.9749760000000002E-2</v>
      </c>
      <c r="AA3127">
        <v>0.8980283</v>
      </c>
      <c r="AB3127">
        <v>24</v>
      </c>
      <c r="AC3127">
        <v>0.41870000000000102</v>
      </c>
      <c r="AD3127">
        <v>-3.85989999999998E-2</v>
      </c>
      <c r="AE3127">
        <v>-0.75280000000000702</v>
      </c>
      <c r="AF3127">
        <v>-0.42204719229043502</v>
      </c>
      <c r="AG3127">
        <v>-3.85989999999998E-2</v>
      </c>
      <c r="AH3127">
        <v>0.74894785027602395</v>
      </c>
      <c r="AI3127">
        <v>92.570816957958201</v>
      </c>
      <c r="AJ3127">
        <v>119.40213486029801</v>
      </c>
      <c r="AK3127">
        <v>0.86054436129366196</v>
      </c>
      <c r="AL3127">
        <v>89.883814849569106</v>
      </c>
      <c r="AM3127">
        <v>95.725792416758296</v>
      </c>
      <c r="AN3127">
        <v>0.99999998658369804</v>
      </c>
    </row>
    <row r="3128" spans="1:40" x14ac:dyDescent="0.25">
      <c r="A3128" t="str">
        <f>"20190312160700465"</f>
        <v>20190312160700465</v>
      </c>
      <c r="B3128" t="str">
        <f>"1552378020458322"</f>
        <v>1552378020458322</v>
      </c>
      <c r="C3128" t="s">
        <v>40</v>
      </c>
      <c r="D3128">
        <v>5.8558219999999999</v>
      </c>
      <c r="E3128">
        <v>0.36053990000000002</v>
      </c>
      <c r="F3128" t="s">
        <v>47</v>
      </c>
      <c r="G3128">
        <v>-484.28500000000003</v>
      </c>
      <c r="H3128" s="1">
        <v>-1.9827329999999999E-6</v>
      </c>
      <c r="I3128">
        <v>231.006</v>
      </c>
      <c r="J3128">
        <v>-496.32589999999999</v>
      </c>
      <c r="K3128">
        <v>1.1110739999999999</v>
      </c>
      <c r="L3128">
        <v>255.839</v>
      </c>
      <c r="M3128">
        <v>-3.8246529999999999E-3</v>
      </c>
      <c r="N3128">
        <v>0</v>
      </c>
      <c r="O3128">
        <v>-0.99997219999999998</v>
      </c>
      <c r="P3128">
        <v>9.5899559999999995E-2</v>
      </c>
      <c r="Q3128">
        <v>-4.1099229999999997E-3</v>
      </c>
      <c r="R3128">
        <v>-0.99538249999999995</v>
      </c>
      <c r="S3128">
        <v>1.390015</v>
      </c>
      <c r="T3128">
        <v>-0.12824959999999999</v>
      </c>
      <c r="U3128">
        <v>-2.8813930000000001</v>
      </c>
      <c r="V3128">
        <v>-9.9716280000000004E-2</v>
      </c>
      <c r="W3128">
        <v>1.7674590000000001E-3</v>
      </c>
      <c r="X3128">
        <v>0.99501439999999997</v>
      </c>
      <c r="Y3128">
        <v>-0.43758819999999998</v>
      </c>
      <c r="Z3128">
        <v>4.0020859999999998E-2</v>
      </c>
      <c r="AA3128">
        <v>0.89828439999999998</v>
      </c>
      <c r="AB3128">
        <v>24</v>
      </c>
      <c r="AC3128">
        <v>12.040899999999899</v>
      </c>
      <c r="AD3128">
        <v>-1.1110759827329999</v>
      </c>
      <c r="AE3128">
        <v>-24.832999999999998</v>
      </c>
      <c r="AF3128">
        <v>-12.116153788896799</v>
      </c>
      <c r="AG3128">
        <v>-1.1110759827329999</v>
      </c>
      <c r="AH3128">
        <v>24.746656119190099</v>
      </c>
      <c r="AI3128">
        <v>92.3091576673677</v>
      </c>
      <c r="AJ3128">
        <v>116.086726694117</v>
      </c>
      <c r="AK3128">
        <v>27.575943529769798</v>
      </c>
      <c r="AL3128">
        <v>89.898732012016893</v>
      </c>
      <c r="AM3128">
        <v>95.722841491944493</v>
      </c>
      <c r="AN3128">
        <v>1.0000000583078501</v>
      </c>
    </row>
    <row r="3129" spans="1:40" x14ac:dyDescent="0.25">
      <c r="A3129" t="str">
        <f>"20190312160700476"</f>
        <v>20190312160700476</v>
      </c>
      <c r="B3129" t="str">
        <f>"1552378020468081"</f>
        <v>1552378020468081</v>
      </c>
      <c r="C3129" t="s">
        <v>40</v>
      </c>
      <c r="D3129">
        <v>5.8911150000000001</v>
      </c>
      <c r="E3129">
        <v>0.36065360000000002</v>
      </c>
      <c r="F3129" t="s">
        <v>44</v>
      </c>
      <c r="G3129">
        <v>-495.89179999999999</v>
      </c>
      <c r="H3129">
        <v>1.070667</v>
      </c>
      <c r="I3129">
        <v>254.94200000000001</v>
      </c>
      <c r="J3129">
        <v>-496.32459999999998</v>
      </c>
      <c r="K3129">
        <v>1.1110819999999999</v>
      </c>
      <c r="L3129">
        <v>255.70570000000001</v>
      </c>
      <c r="M3129">
        <v>-2.0168429999999999E-3</v>
      </c>
      <c r="N3129">
        <v>0</v>
      </c>
      <c r="O3129">
        <v>-0.99997749999999996</v>
      </c>
      <c r="P3129">
        <v>9.7899819999999999E-2</v>
      </c>
      <c r="Q3129">
        <v>-4.1862210000000004E-3</v>
      </c>
      <c r="R3129">
        <v>-0.99518770000000001</v>
      </c>
      <c r="S3129">
        <v>1.3938900000000001</v>
      </c>
      <c r="T3129">
        <v>-0.12968350000000001</v>
      </c>
      <c r="U3129">
        <v>-2.879089</v>
      </c>
      <c r="V3129">
        <v>-9.991651E-2</v>
      </c>
      <c r="W3129">
        <v>1.6973649999999999E-3</v>
      </c>
      <c r="X3129">
        <v>0.99499439999999995</v>
      </c>
      <c r="Y3129">
        <v>-0.4372162</v>
      </c>
      <c r="Z3129">
        <v>4.0489589999999999E-2</v>
      </c>
      <c r="AA3129">
        <v>0.89844449999999998</v>
      </c>
      <c r="AB3129">
        <v>24</v>
      </c>
      <c r="AC3129">
        <v>0.43279999999998597</v>
      </c>
      <c r="AD3129">
        <v>-4.0414999999999798E-2</v>
      </c>
      <c r="AE3129">
        <v>-0.76370000000000005</v>
      </c>
      <c r="AF3129">
        <v>-0.43342067561689201</v>
      </c>
      <c r="AG3129">
        <v>-4.0414999999999798E-2</v>
      </c>
      <c r="AH3129">
        <v>0.76121196863028795</v>
      </c>
      <c r="AI3129">
        <v>92.641651622447</v>
      </c>
      <c r="AJ3129">
        <v>119.656423497381</v>
      </c>
      <c r="AK3129">
        <v>0.87688683161694403</v>
      </c>
      <c r="AL3129">
        <v>89.902748104747999</v>
      </c>
      <c r="AM3129">
        <v>95.734370929605205</v>
      </c>
      <c r="AN3129">
        <v>1.00000002302494</v>
      </c>
    </row>
    <row r="3130" spans="1:40" x14ac:dyDescent="0.25">
      <c r="A3130" t="str">
        <f>"20190312160700488"</f>
        <v>20190312160700488</v>
      </c>
      <c r="B3130" t="str">
        <f>"1552378020477841"</f>
        <v>1552378020477841</v>
      </c>
      <c r="C3130" t="s">
        <v>40</v>
      </c>
      <c r="D3130">
        <v>5.889437</v>
      </c>
      <c r="E3130">
        <v>0.36065380000000002</v>
      </c>
      <c r="F3130" t="s">
        <v>44</v>
      </c>
      <c r="G3130">
        <v>-495.88220000000001</v>
      </c>
      <c r="H3130">
        <v>1.069666</v>
      </c>
      <c r="I3130">
        <v>254.7954</v>
      </c>
      <c r="J3130">
        <v>-496.32299999999998</v>
      </c>
      <c r="K3130">
        <v>1.1110949999999999</v>
      </c>
      <c r="L3130">
        <v>255.5788</v>
      </c>
      <c r="M3130">
        <v>-2.9839820000000003E-4</v>
      </c>
      <c r="N3130">
        <v>0</v>
      </c>
      <c r="O3130">
        <v>-0.99997919999999996</v>
      </c>
      <c r="P3130">
        <v>0.10011390000000001</v>
      </c>
      <c r="Q3130">
        <v>-4.1630030000000002E-3</v>
      </c>
      <c r="R3130">
        <v>-0.9949673</v>
      </c>
      <c r="S3130">
        <v>1.3983460000000001</v>
      </c>
      <c r="T3130">
        <v>-0.13085910000000001</v>
      </c>
      <c r="U3130">
        <v>-2.8763730000000001</v>
      </c>
      <c r="V3130">
        <v>-0.10042130000000001</v>
      </c>
      <c r="W3130">
        <v>1.7302660000000001E-3</v>
      </c>
      <c r="X3130">
        <v>0.99494349999999998</v>
      </c>
      <c r="Y3130">
        <v>-0.43712309999999999</v>
      </c>
      <c r="Z3130">
        <v>4.0878659999999997E-2</v>
      </c>
      <c r="AA3130">
        <v>0.89847219999999905</v>
      </c>
      <c r="AB3130">
        <v>24</v>
      </c>
      <c r="AC3130">
        <v>0.44080000000002401</v>
      </c>
      <c r="AD3130">
        <v>-4.1429000000000098E-2</v>
      </c>
      <c r="AE3130">
        <v>-0.78339999999999999</v>
      </c>
      <c r="AF3130">
        <v>-0.44009891104288201</v>
      </c>
      <c r="AG3130">
        <v>-4.1429000000000098E-2</v>
      </c>
      <c r="AH3130">
        <v>0.78160816973137004</v>
      </c>
      <c r="AI3130">
        <v>92.644411148662201</v>
      </c>
      <c r="AJ3130">
        <v>119.38248955188401</v>
      </c>
      <c r="AK3130">
        <v>0.89795030181683899</v>
      </c>
      <c r="AL3130">
        <v>89.900863011274097</v>
      </c>
      <c r="AM3130">
        <v>95.763439970502304</v>
      </c>
      <c r="AN3130">
        <v>0.99999999975318499</v>
      </c>
    </row>
    <row r="3131" spans="1:40" x14ac:dyDescent="0.25">
      <c r="A3131" t="str">
        <f>"20190312160700500"</f>
        <v>20190312160700500</v>
      </c>
      <c r="B3131" t="str">
        <f>"1552378020498337"</f>
        <v>1552378020498337</v>
      </c>
      <c r="C3131" t="s">
        <v>40</v>
      </c>
      <c r="D3131">
        <v>5.4958549999999997</v>
      </c>
      <c r="E3131">
        <v>0.3606625</v>
      </c>
      <c r="F3131" t="s">
        <v>47</v>
      </c>
      <c r="G3131">
        <v>-484.40269999999998</v>
      </c>
      <c r="H3131" s="1">
        <v>-2.0169410000000002E-6</v>
      </c>
      <c r="I3131">
        <v>231.1985</v>
      </c>
      <c r="J3131">
        <v>-496.32130000000001</v>
      </c>
      <c r="K3131">
        <v>1.1111089999999999</v>
      </c>
      <c r="L3131">
        <v>255.45570000000001</v>
      </c>
      <c r="M3131">
        <v>1.368794E-3</v>
      </c>
      <c r="N3131">
        <v>0</v>
      </c>
      <c r="O3131">
        <v>-0.99997840000000005</v>
      </c>
      <c r="P3131">
        <v>0.10212359999999999</v>
      </c>
      <c r="Q3131">
        <v>-4.3399959999999996E-3</v>
      </c>
      <c r="R3131">
        <v>-0.99476249999999999</v>
      </c>
      <c r="S3131">
        <v>1.40484599999999</v>
      </c>
      <c r="T3131">
        <v>-0.13094600000000001</v>
      </c>
      <c r="U3131">
        <v>-2.873291</v>
      </c>
      <c r="V3131">
        <v>-0.1007715</v>
      </c>
      <c r="W3131">
        <v>1.570049E-3</v>
      </c>
      <c r="X3131">
        <v>0.99490829999999997</v>
      </c>
      <c r="Y3131">
        <v>-0.43764399999999998</v>
      </c>
      <c r="Z3131">
        <v>4.0920440000000002E-2</v>
      </c>
      <c r="AA3131">
        <v>0.89821669999999998</v>
      </c>
      <c r="AB3131">
        <v>24</v>
      </c>
      <c r="AC3131">
        <v>11.9186</v>
      </c>
      <c r="AD3131">
        <v>-1.1111110169409999</v>
      </c>
      <c r="AE3131">
        <v>-24.257200000000001</v>
      </c>
      <c r="AF3131">
        <v>-11.865331292905999</v>
      </c>
      <c r="AG3131">
        <v>-1.1111110169409999</v>
      </c>
      <c r="AH3131">
        <v>24.232536006872699</v>
      </c>
      <c r="AI3131">
        <v>92.358134200444596</v>
      </c>
      <c r="AJ3131">
        <v>116.088433020629</v>
      </c>
      <c r="AK3131">
        <v>27.004378454368599</v>
      </c>
      <c r="AL3131">
        <v>89.910042776570805</v>
      </c>
      <c r="AM3131">
        <v>95.783606081349205</v>
      </c>
      <c r="AN3131">
        <v>0.99999994283749905</v>
      </c>
    </row>
    <row r="3132" spans="1:40" x14ac:dyDescent="0.25">
      <c r="A3132" t="str">
        <f>"20190312160700511"</f>
        <v>20190312160700511</v>
      </c>
      <c r="B3132" t="str">
        <f>"1552378020508097"</f>
        <v>1552378020508097</v>
      </c>
      <c r="C3132" t="s">
        <v>40</v>
      </c>
      <c r="D3132">
        <v>5.9119169999999999</v>
      </c>
      <c r="E3132">
        <v>0.36074889999999998</v>
      </c>
      <c r="F3132" t="s">
        <v>44</v>
      </c>
      <c r="G3132">
        <v>-495.88900000000001</v>
      </c>
      <c r="H3132">
        <v>1.071143</v>
      </c>
      <c r="I3132">
        <v>254.57570000000001</v>
      </c>
      <c r="J3132">
        <v>-496.31950000000001</v>
      </c>
      <c r="K3132">
        <v>1.111124</v>
      </c>
      <c r="L3132">
        <v>255.3322</v>
      </c>
      <c r="M3132">
        <v>3.040119E-3</v>
      </c>
      <c r="N3132">
        <v>0</v>
      </c>
      <c r="O3132">
        <v>-0.99997440000000004</v>
      </c>
      <c r="P3132">
        <v>0.10438459999999999</v>
      </c>
      <c r="Q3132">
        <v>-4.4934069999999996E-3</v>
      </c>
      <c r="R3132">
        <v>-0.99452680000000004</v>
      </c>
      <c r="S3132">
        <v>1.4105219999999901</v>
      </c>
      <c r="T3132">
        <v>-0.13035869999999999</v>
      </c>
      <c r="U3132">
        <v>-2.870438</v>
      </c>
      <c r="V3132">
        <v>-0.10136920000000001</v>
      </c>
      <c r="W3132">
        <v>1.4374889999999999E-3</v>
      </c>
      <c r="X3132">
        <v>0.99484779999999995</v>
      </c>
      <c r="Y3132">
        <v>-0.4379286</v>
      </c>
      <c r="Z3132">
        <v>4.0753579999999998E-2</v>
      </c>
      <c r="AA3132">
        <v>0.89808549999999998</v>
      </c>
      <c r="AB3132">
        <v>24</v>
      </c>
      <c r="AC3132">
        <v>0.430499999999995</v>
      </c>
      <c r="AD3132">
        <v>-3.9981000000000003E-2</v>
      </c>
      <c r="AE3132">
        <v>-0.75649999999998796</v>
      </c>
      <c r="AF3132">
        <v>-0.42729657461285803</v>
      </c>
      <c r="AG3132">
        <v>-3.9981000000000003E-2</v>
      </c>
      <c r="AH3132">
        <v>0.75620980286047701</v>
      </c>
      <c r="AI3132">
        <v>92.635474065077403</v>
      </c>
      <c r="AJ3132">
        <v>119.46863274923</v>
      </c>
      <c r="AK3132">
        <v>0.86950221907661795</v>
      </c>
      <c r="AL3132">
        <v>89.917637915801095</v>
      </c>
      <c r="AM3132">
        <v>95.818026797081899</v>
      </c>
      <c r="AN3132">
        <v>0.99999996312405104</v>
      </c>
    </row>
    <row r="3133" spans="1:40" x14ac:dyDescent="0.25">
      <c r="A3133" t="str">
        <f>"20190312160700523"</f>
        <v>20190312160700523</v>
      </c>
      <c r="B3133" t="str">
        <f>"1552378020517858"</f>
        <v>1552378020517858</v>
      </c>
      <c r="C3133" t="s">
        <v>40</v>
      </c>
      <c r="D3133">
        <v>5.9209569999999996</v>
      </c>
      <c r="E3133">
        <v>0.36087570000000002</v>
      </c>
      <c r="F3133" t="s">
        <v>47</v>
      </c>
      <c r="G3133">
        <v>-484.27359999999999</v>
      </c>
      <c r="H3133" s="1">
        <v>-1.9651480000000001E-6</v>
      </c>
      <c r="I3133">
        <v>230.94540000000001</v>
      </c>
      <c r="J3133">
        <v>-496.31720000000001</v>
      </c>
      <c r="K3133">
        <v>1.111145</v>
      </c>
      <c r="L3133">
        <v>255.2011</v>
      </c>
      <c r="M3133">
        <v>4.813225E-3</v>
      </c>
      <c r="N3133">
        <v>0</v>
      </c>
      <c r="O3133">
        <v>-0.99996700000000005</v>
      </c>
      <c r="P3133">
        <v>0.10688060000000001</v>
      </c>
      <c r="Q3133">
        <v>-4.2917160000000001E-3</v>
      </c>
      <c r="R3133">
        <v>-0.99426250000000005</v>
      </c>
      <c r="S3133">
        <v>1.41629</v>
      </c>
      <c r="T3133">
        <v>-0.1306406</v>
      </c>
      <c r="U3133">
        <v>-2.8672789999999999</v>
      </c>
      <c r="V3133">
        <v>-0.1021035</v>
      </c>
      <c r="W3133">
        <v>1.6763839999999999E-3</v>
      </c>
      <c r="X3133">
        <v>0.9947724</v>
      </c>
      <c r="Y3133">
        <v>-0.43817790000000001</v>
      </c>
      <c r="Z3133">
        <v>4.0861649999999999E-2</v>
      </c>
      <c r="AA3133">
        <v>0.89795910000000001</v>
      </c>
      <c r="AB3133">
        <v>24</v>
      </c>
      <c r="AC3133">
        <v>12.0436</v>
      </c>
      <c r="AD3133">
        <v>-1.1111469651479999</v>
      </c>
      <c r="AE3133">
        <v>-24.255699999999901</v>
      </c>
      <c r="AF3133">
        <v>-11.9066651335808</v>
      </c>
      <c r="AG3133">
        <v>-1.1111469651479999</v>
      </c>
      <c r="AH3133">
        <v>24.272526346896399</v>
      </c>
      <c r="AI3133">
        <v>92.353496795347993</v>
      </c>
      <c r="AJ3133">
        <v>116.129836227559</v>
      </c>
      <c r="AK3133">
        <v>27.058434127683199</v>
      </c>
      <c r="AL3133">
        <v>89.903950229984005</v>
      </c>
      <c r="AM3133">
        <v>95.8603203555802</v>
      </c>
      <c r="AN3133">
        <v>1.0000000313886599</v>
      </c>
    </row>
    <row r="3134" spans="1:40" x14ac:dyDescent="0.25">
      <c r="A3134" t="str">
        <f>"20190312160700543"</f>
        <v>20190312160700543</v>
      </c>
      <c r="B3134" t="str">
        <f>"1552378020538353"</f>
        <v>1552378020538353</v>
      </c>
      <c r="C3134" t="s">
        <v>40</v>
      </c>
      <c r="D3134">
        <v>5.9105179999999997</v>
      </c>
      <c r="E3134">
        <v>0.36109069999999999</v>
      </c>
      <c r="F3134" t="s">
        <v>44</v>
      </c>
      <c r="G3134">
        <v>-495.88130000000001</v>
      </c>
      <c r="H3134">
        <v>1.0711469999999901</v>
      </c>
      <c r="I3134">
        <v>254.3236</v>
      </c>
      <c r="J3134">
        <v>-496.31310000000002</v>
      </c>
      <c r="K3134">
        <v>1.1111789999999999</v>
      </c>
      <c r="L3134">
        <v>254.99189999999999</v>
      </c>
      <c r="M3134">
        <v>7.6400690000000002E-3</v>
      </c>
      <c r="N3134">
        <v>0</v>
      </c>
      <c r="O3134">
        <v>-0.99994890000000003</v>
      </c>
      <c r="P3134">
        <v>0.1108513</v>
      </c>
      <c r="Q3134">
        <v>-4.487352E-3</v>
      </c>
      <c r="R3134">
        <v>-0.99382709999999996</v>
      </c>
      <c r="S3134">
        <v>1.4229430000000001</v>
      </c>
      <c r="T3134">
        <v>-0.13051460000000001</v>
      </c>
      <c r="U3134">
        <v>-2.8637540000000001</v>
      </c>
      <c r="V3134">
        <v>-0.1032646</v>
      </c>
      <c r="W3134">
        <v>1.5628969999999999E-3</v>
      </c>
      <c r="X3134">
        <v>0.99465269999999995</v>
      </c>
      <c r="Y3134">
        <v>-0.4377508</v>
      </c>
      <c r="Z3134">
        <v>4.0850730000000002E-2</v>
      </c>
      <c r="AA3134">
        <v>0.89816779999999996</v>
      </c>
      <c r="AB3134">
        <v>24</v>
      </c>
      <c r="AC3134">
        <v>0.43180000000000901</v>
      </c>
      <c r="AD3134">
        <v>-4.0032000000000199E-2</v>
      </c>
      <c r="AE3134">
        <v>-0.66829999999998702</v>
      </c>
      <c r="AF3134">
        <v>-0.42560405822883901</v>
      </c>
      <c r="AG3134">
        <v>-4.0032000000000199E-2</v>
      </c>
      <c r="AH3134">
        <v>0.66988381286112997</v>
      </c>
      <c r="AI3134">
        <v>92.887566677648095</v>
      </c>
      <c r="AJ3134">
        <v>122.429432568899</v>
      </c>
      <c r="AK3134">
        <v>0.79466074405259401</v>
      </c>
      <c r="AL3134">
        <v>89.910452562252203</v>
      </c>
      <c r="AM3134">
        <v>95.927199158380404</v>
      </c>
      <c r="AN3134">
        <v>1.00000000693874</v>
      </c>
    </row>
    <row r="3135" spans="1:40" x14ac:dyDescent="0.25">
      <c r="A3135" t="str">
        <f>"20190312160700566"</f>
        <v>20190312160700566</v>
      </c>
      <c r="B3135" t="str">
        <f>"1552378020557873"</f>
        <v>1552378020557873</v>
      </c>
      <c r="C3135" t="s">
        <v>40</v>
      </c>
      <c r="D3135">
        <v>5.8957199999999998</v>
      </c>
      <c r="E3135">
        <v>0.36133959999999998</v>
      </c>
      <c r="F3135" t="s">
        <v>44</v>
      </c>
      <c r="G3135">
        <v>-495.87869999999998</v>
      </c>
      <c r="H3135">
        <v>1.0712809999999999</v>
      </c>
      <c r="I3135">
        <v>254.1251</v>
      </c>
      <c r="J3135">
        <v>-496.3073</v>
      </c>
      <c r="K3135">
        <v>1.111226</v>
      </c>
      <c r="L3135">
        <v>254.738</v>
      </c>
      <c r="M3135">
        <v>1.1064539999999999E-2</v>
      </c>
      <c r="N3135">
        <v>0</v>
      </c>
      <c r="O3135">
        <v>-0.99991580000000002</v>
      </c>
      <c r="P3135">
        <v>0.115185</v>
      </c>
      <c r="Q3135">
        <v>-4.9822909999999998E-3</v>
      </c>
      <c r="R3135">
        <v>-0.99333170000000004</v>
      </c>
      <c r="S3135">
        <v>1.43222</v>
      </c>
      <c r="T3135">
        <v>-0.13158789999999901</v>
      </c>
      <c r="U3135">
        <v>-2.8582920000000001</v>
      </c>
      <c r="V3135">
        <v>-0.1041947</v>
      </c>
      <c r="W3135">
        <v>1.2210050000000001E-3</v>
      </c>
      <c r="X3135">
        <v>0.9945562</v>
      </c>
      <c r="Y3135">
        <v>-0.43768249999999997</v>
      </c>
      <c r="Z3135">
        <v>4.1226819999999997E-2</v>
      </c>
      <c r="AA3135">
        <v>0.89818390000000004</v>
      </c>
      <c r="AB3135">
        <v>25</v>
      </c>
      <c r="AC3135">
        <v>0.42860000000001702</v>
      </c>
      <c r="AD3135">
        <v>-3.9945000000000098E-2</v>
      </c>
      <c r="AE3135">
        <v>-0.612899999999996</v>
      </c>
      <c r="AF3135">
        <v>-0.42059235533595801</v>
      </c>
      <c r="AG3135">
        <v>-3.9945000000000098E-2</v>
      </c>
      <c r="AH3135">
        <v>0.61584806391676905</v>
      </c>
      <c r="AI3135">
        <v>93.065968834248594</v>
      </c>
      <c r="AJ3135">
        <v>124.331054014548</v>
      </c>
      <c r="AK3135">
        <v>0.74683490158272703</v>
      </c>
      <c r="AL3135">
        <v>89.930041551497496</v>
      </c>
      <c r="AM3135">
        <v>95.980776066537601</v>
      </c>
      <c r="AN3135">
        <v>1.00000003065986</v>
      </c>
    </row>
    <row r="3136" spans="1:40" x14ac:dyDescent="0.25">
      <c r="A3136" t="str">
        <f>"20190312160700590"</f>
        <v>20190312160700590</v>
      </c>
      <c r="B3136" t="str">
        <f>"1552378020578368"</f>
        <v>1552378020578368</v>
      </c>
      <c r="C3136" t="s">
        <v>40</v>
      </c>
      <c r="D3136">
        <v>5.9236740000000001</v>
      </c>
      <c r="E3136">
        <v>0.36161870000000002</v>
      </c>
      <c r="F3136" t="s">
        <v>44</v>
      </c>
      <c r="G3136">
        <v>-495.85809999999998</v>
      </c>
      <c r="H3136">
        <v>1.0695790000000001</v>
      </c>
      <c r="I3136">
        <v>253.84960000000001</v>
      </c>
      <c r="J3136">
        <v>-496.30070000000001</v>
      </c>
      <c r="K3136">
        <v>1.111291</v>
      </c>
      <c r="L3136">
        <v>254.48330000000001</v>
      </c>
      <c r="M3136">
        <v>1.449542E-2</v>
      </c>
      <c r="N3136">
        <v>0</v>
      </c>
      <c r="O3136">
        <v>-0.9998705</v>
      </c>
      <c r="P3136">
        <v>0.11939569999999999</v>
      </c>
      <c r="Q3136">
        <v>-5.5413880000000004E-3</v>
      </c>
      <c r="R3136">
        <v>-0.99283169999999998</v>
      </c>
      <c r="S3136">
        <v>1.442841</v>
      </c>
      <c r="T3136">
        <v>-0.133683</v>
      </c>
      <c r="U3136">
        <v>-2.852112</v>
      </c>
      <c r="V3136">
        <v>-0.1049971</v>
      </c>
      <c r="W3136">
        <v>8.8578850000000005E-4</v>
      </c>
      <c r="X3136">
        <v>0.99447209999999997</v>
      </c>
      <c r="Y3136">
        <v>-0.43803120000000001</v>
      </c>
      <c r="Z3136">
        <v>4.1923179999999997E-2</v>
      </c>
      <c r="AA3136">
        <v>0.89798169999999899</v>
      </c>
      <c r="AB3136">
        <v>25</v>
      </c>
      <c r="AC3136">
        <v>0.44260000000002703</v>
      </c>
      <c r="AD3136">
        <v>-4.1711999999999902E-2</v>
      </c>
      <c r="AE3136">
        <v>-0.63370000000000404</v>
      </c>
      <c r="AF3136">
        <v>-0.43210918109544799</v>
      </c>
      <c r="AG3136">
        <v>-4.1711999999999902E-2</v>
      </c>
      <c r="AH3136">
        <v>0.63819077485118203</v>
      </c>
      <c r="AI3136">
        <v>93.097881558778298</v>
      </c>
      <c r="AJ3136">
        <v>124.10132614631701</v>
      </c>
      <c r="AK3136">
        <v>0.77184564547332302</v>
      </c>
      <c r="AL3136">
        <v>89.9492480490795</v>
      </c>
      <c r="AM3136">
        <v>96.027002053745605</v>
      </c>
      <c r="AN3136">
        <v>0.99999996665404201</v>
      </c>
    </row>
    <row r="3137" spans="1:40" x14ac:dyDescent="0.25">
      <c r="A3137" t="str">
        <f>"20190312160700611"</f>
        <v>20190312160700611</v>
      </c>
      <c r="B3137" t="str">
        <f>"1552378020608626"</f>
        <v>1552378020608626</v>
      </c>
      <c r="C3137" t="s">
        <v>40</v>
      </c>
      <c r="D3137">
        <v>5.6492469999999999</v>
      </c>
      <c r="E3137">
        <v>0.36197839999999998</v>
      </c>
      <c r="F3137" t="s">
        <v>47</v>
      </c>
      <c r="G3137">
        <v>-484.4436</v>
      </c>
      <c r="H3137" s="1">
        <v>-2.0263610000000002E-6</v>
      </c>
      <c r="I3137">
        <v>231.25829999999999</v>
      </c>
      <c r="J3137">
        <v>-496.2937</v>
      </c>
      <c r="K3137">
        <v>1.111364</v>
      </c>
      <c r="L3137">
        <v>254.24600000000001</v>
      </c>
      <c r="M3137">
        <v>1.7686440000000001E-2</v>
      </c>
      <c r="N3137">
        <v>0</v>
      </c>
      <c r="O3137">
        <v>-0.99981690000000001</v>
      </c>
      <c r="P3137">
        <v>0.122645</v>
      </c>
      <c r="Q3137">
        <v>-6.4051280000000004E-3</v>
      </c>
      <c r="R3137">
        <v>-0.99243000000000003</v>
      </c>
      <c r="S3137">
        <v>1.453033</v>
      </c>
      <c r="T3137">
        <v>-0.13618420000000001</v>
      </c>
      <c r="U3137">
        <v>-2.84613</v>
      </c>
      <c r="V3137">
        <v>-0.1050764</v>
      </c>
      <c r="W3137">
        <v>3.264586E-4</v>
      </c>
      <c r="X3137">
        <v>0.99446409999999996</v>
      </c>
      <c r="Y3137">
        <v>-0.43846160000000001</v>
      </c>
      <c r="Z3137">
        <v>4.2745060000000001E-2</v>
      </c>
      <c r="AA3137">
        <v>0.89773289999999994</v>
      </c>
      <c r="AB3137">
        <v>25</v>
      </c>
      <c r="AC3137">
        <v>11.8500999999999</v>
      </c>
      <c r="AD3137">
        <v>-1.1113660263609999</v>
      </c>
      <c r="AE3137">
        <v>-22.987699999999901</v>
      </c>
      <c r="AF3137">
        <v>-11.4205753575241</v>
      </c>
      <c r="AG3137">
        <v>-1.1113660263609999</v>
      </c>
      <c r="AH3137">
        <v>23.1509446159004</v>
      </c>
      <c r="AI3137">
        <v>92.465162375566194</v>
      </c>
      <c r="AJ3137">
        <v>116.257550228475</v>
      </c>
      <c r="AK3137">
        <v>25.8385547689867</v>
      </c>
      <c r="AL3137">
        <v>89.981295299726298</v>
      </c>
      <c r="AM3137">
        <v>96.031568622053101</v>
      </c>
      <c r="AN3137">
        <v>1.0000000013004899</v>
      </c>
    </row>
    <row r="3138" spans="1:40" x14ac:dyDescent="0.25">
      <c r="A3138" t="str">
        <f>"20190312160700632"</f>
        <v>20190312160700632</v>
      </c>
      <c r="B3138" t="str">
        <f>"1552378020628145"</f>
        <v>1552378020628145</v>
      </c>
      <c r="C3138" t="s">
        <v>40</v>
      </c>
      <c r="D3138">
        <v>5.9585900000000001</v>
      </c>
      <c r="E3138">
        <v>0.36238130000000002</v>
      </c>
      <c r="F3138" t="s">
        <v>47</v>
      </c>
      <c r="G3138">
        <v>-484.61160000000001</v>
      </c>
      <c r="H3138" s="1">
        <v>-2.062448E-6</v>
      </c>
      <c r="I3138">
        <v>231.4956</v>
      </c>
      <c r="J3138">
        <v>-496.28629999999998</v>
      </c>
      <c r="K3138">
        <v>1.111451</v>
      </c>
      <c r="L3138">
        <v>254.01990000000001</v>
      </c>
      <c r="M3138">
        <v>2.0716559999999998E-2</v>
      </c>
      <c r="N3138">
        <v>0</v>
      </c>
      <c r="O3138">
        <v>-0.99975539999999996</v>
      </c>
      <c r="P3138">
        <v>0.12551580000000001</v>
      </c>
      <c r="Q3138">
        <v>-7.8982740000000003E-3</v>
      </c>
      <c r="R3138">
        <v>-0.99206050000000001</v>
      </c>
      <c r="S3138">
        <v>1.4591670000000001</v>
      </c>
      <c r="T3138">
        <v>-0.13881660000000001</v>
      </c>
      <c r="U3138">
        <v>-2.8416600000000001</v>
      </c>
      <c r="V3138">
        <v>-0.1049336</v>
      </c>
      <c r="W3138">
        <v>-7.6483849999999995E-4</v>
      </c>
      <c r="X3138">
        <v>0.99447890000000005</v>
      </c>
      <c r="Y3138">
        <v>-0.43782769999999999</v>
      </c>
      <c r="Z3138">
        <v>4.361342E-2</v>
      </c>
      <c r="AA3138">
        <v>0.89800040000000003</v>
      </c>
      <c r="AB3138">
        <v>25</v>
      </c>
      <c r="AC3138">
        <v>11.6746999999999</v>
      </c>
      <c r="AD3138">
        <v>-1.1114530624479999</v>
      </c>
      <c r="AE3138">
        <v>-22.5243</v>
      </c>
      <c r="AF3138">
        <v>-11.1840889758216</v>
      </c>
      <c r="AG3138">
        <v>-1.1114530624479999</v>
      </c>
      <c r="AH3138">
        <v>22.717731030795701</v>
      </c>
      <c r="AI3138">
        <v>92.513306098907705</v>
      </c>
      <c r="AJ3138">
        <v>116.211327748741</v>
      </c>
      <c r="AK3138">
        <v>25.345896656395801</v>
      </c>
      <c r="AL3138">
        <v>90.043822023910707</v>
      </c>
      <c r="AM3138">
        <v>96.023342972986796</v>
      </c>
      <c r="AN3138">
        <v>0.99999996396604995</v>
      </c>
    </row>
    <row r="3139" spans="1:40" x14ac:dyDescent="0.25">
      <c r="A3139" t="str">
        <f>"20190312160700643"</f>
        <v>20190312160700643</v>
      </c>
      <c r="B3139" t="str">
        <f>"1552378020637906"</f>
        <v>1552378020637906</v>
      </c>
      <c r="C3139" t="s">
        <v>40</v>
      </c>
      <c r="D3139">
        <v>5.659491</v>
      </c>
      <c r="E3139">
        <v>0.36252790000000001</v>
      </c>
      <c r="F3139" t="s">
        <v>47</v>
      </c>
      <c r="G3139">
        <v>-485.01580000000001</v>
      </c>
      <c r="H3139" s="1">
        <v>-2.1858260000000002E-6</v>
      </c>
      <c r="I3139">
        <v>232.17420000000001</v>
      </c>
      <c r="J3139">
        <v>-496.2817</v>
      </c>
      <c r="K3139">
        <v>1.111505</v>
      </c>
      <c r="L3139">
        <v>253.88849999999999</v>
      </c>
      <c r="M3139">
        <v>2.2470250000000001E-2</v>
      </c>
      <c r="N3139">
        <v>0</v>
      </c>
      <c r="O3139">
        <v>-0.99971529999999997</v>
      </c>
      <c r="P3139">
        <v>0.12725339999999999</v>
      </c>
      <c r="Q3139">
        <v>-8.6314949999999994E-3</v>
      </c>
      <c r="R3139">
        <v>-0.99183299999999996</v>
      </c>
      <c r="S3139">
        <v>1.463989</v>
      </c>
      <c r="T3139">
        <v>-0.14437340000000001</v>
      </c>
      <c r="U3139">
        <v>-2.8376619999999999</v>
      </c>
      <c r="V3139">
        <v>-0.1049288</v>
      </c>
      <c r="W3139">
        <v>-1.204809E-3</v>
      </c>
      <c r="X3139">
        <v>0.994479</v>
      </c>
      <c r="Y3139">
        <v>-0.43793470000000001</v>
      </c>
      <c r="Z3139">
        <v>4.5391519999999998E-2</v>
      </c>
      <c r="AA3139">
        <v>0.89786010000000005</v>
      </c>
      <c r="AB3139">
        <v>25</v>
      </c>
      <c r="AC3139">
        <v>11.265899999999901</v>
      </c>
      <c r="AD3139">
        <v>-1.1115071858259999</v>
      </c>
      <c r="AE3139">
        <v>-21.714299999999898</v>
      </c>
      <c r="AF3139">
        <v>-10.7529146953554</v>
      </c>
      <c r="AG3139">
        <v>-1.1115071858259999</v>
      </c>
      <c r="AH3139">
        <v>21.916726194041502</v>
      </c>
      <c r="AI3139">
        <v>92.606895271191704</v>
      </c>
      <c r="AJ3139">
        <v>116.133767520444</v>
      </c>
      <c r="AK3139">
        <v>24.437747640368102</v>
      </c>
      <c r="AL3139">
        <v>90.069030488000294</v>
      </c>
      <c r="AM3139">
        <v>96.023068870140506</v>
      </c>
      <c r="AN3139">
        <v>0.99999999303758302</v>
      </c>
    </row>
    <row r="3140" spans="1:40" x14ac:dyDescent="0.25">
      <c r="A3140" t="str">
        <f>"20190312160700655"</f>
        <v>20190312160700655</v>
      </c>
      <c r="B3140" t="str">
        <f>"1552378020648642"</f>
        <v>1552378020648642</v>
      </c>
      <c r="C3140" t="s">
        <v>40</v>
      </c>
      <c r="D3140">
        <v>5.9700360000000003</v>
      </c>
      <c r="E3140">
        <v>0.36275750000000001</v>
      </c>
      <c r="F3140" t="s">
        <v>44</v>
      </c>
      <c r="G3140">
        <v>-495.8297</v>
      </c>
      <c r="H3140">
        <v>1.0665</v>
      </c>
      <c r="I3140">
        <v>253.01499999999999</v>
      </c>
      <c r="J3140">
        <v>-496.27730000000003</v>
      </c>
      <c r="K3140">
        <v>1.1115569999999999</v>
      </c>
      <c r="L3140">
        <v>253.7664</v>
      </c>
      <c r="M3140">
        <v>2.4099510000000001E-2</v>
      </c>
      <c r="N3140">
        <v>0</v>
      </c>
      <c r="O3140">
        <v>-0.99967519999999999</v>
      </c>
      <c r="P3140">
        <v>0.12882269999999901</v>
      </c>
      <c r="Q3140">
        <v>-9.3155559999999991E-3</v>
      </c>
      <c r="R3140">
        <v>-0.99162430000000001</v>
      </c>
      <c r="S3140">
        <v>1.467865</v>
      </c>
      <c r="T3140">
        <v>-0.14605270000000001</v>
      </c>
      <c r="U3140">
        <v>-2.8351139999999999</v>
      </c>
      <c r="V3140">
        <v>-0.104879399999999</v>
      </c>
      <c r="W3140">
        <v>-1.601395E-3</v>
      </c>
      <c r="X3140">
        <v>0.99448360000000002</v>
      </c>
      <c r="Y3140">
        <v>-0.43775560000000002</v>
      </c>
      <c r="Z3140">
        <v>4.5940689999999999E-2</v>
      </c>
      <c r="AA3140">
        <v>0.89791949999999998</v>
      </c>
      <c r="AB3140">
        <v>25</v>
      </c>
      <c r="AC3140">
        <v>0.44760000000002198</v>
      </c>
      <c r="AD3140">
        <v>-4.5056999999999903E-2</v>
      </c>
      <c r="AE3140">
        <v>-0.75140000000001705</v>
      </c>
      <c r="AF3140">
        <v>-0.42822451167216802</v>
      </c>
      <c r="AG3140">
        <v>-4.5056999999999903E-2</v>
      </c>
      <c r="AH3140">
        <v>0.75995218778296503</v>
      </c>
      <c r="AI3140">
        <v>92.956884097200401</v>
      </c>
      <c r="AJ3140">
        <v>119.40077029141101</v>
      </c>
      <c r="AK3140">
        <v>0.873460756623892</v>
      </c>
      <c r="AL3140">
        <v>90.091753219386106</v>
      </c>
      <c r="AM3140">
        <v>96.0202264243446</v>
      </c>
      <c r="AN3140">
        <v>0.99999994183963103</v>
      </c>
    </row>
    <row r="3141" spans="1:40" x14ac:dyDescent="0.25">
      <c r="A3141" t="str">
        <f>"20190312160700666"</f>
        <v>20190312160700666</v>
      </c>
      <c r="B3141" t="str">
        <f>"1552378020658401"</f>
        <v>1552378020658401</v>
      </c>
      <c r="C3141" t="s">
        <v>40</v>
      </c>
      <c r="D3141">
        <v>6.0465090000000004</v>
      </c>
      <c r="E3141">
        <v>0.36293750000000002</v>
      </c>
      <c r="F3141" t="s">
        <v>44</v>
      </c>
      <c r="G3141">
        <v>-495.79829999999998</v>
      </c>
      <c r="H3141">
        <v>1.0630660000000001</v>
      </c>
      <c r="I3141">
        <v>252.84370000000001</v>
      </c>
      <c r="J3141">
        <v>-496.2722</v>
      </c>
      <c r="K3141">
        <v>1.111612</v>
      </c>
      <c r="L3141">
        <v>253.63679999999999</v>
      </c>
      <c r="M3141">
        <v>2.5828529999999999E-2</v>
      </c>
      <c r="N3141">
        <v>0</v>
      </c>
      <c r="O3141">
        <v>-0.99962879999999998</v>
      </c>
      <c r="P3141">
        <v>0.1304498</v>
      </c>
      <c r="Q3141">
        <v>-1.009649E-2</v>
      </c>
      <c r="R3141">
        <v>-0.99140349999999999</v>
      </c>
      <c r="S3141">
        <v>1.4707950000000001</v>
      </c>
      <c r="T3141">
        <v>-0.14885970000000001</v>
      </c>
      <c r="U3141">
        <v>-2.8328549999999999</v>
      </c>
      <c r="V3141">
        <v>-0.1047892</v>
      </c>
      <c r="W3141">
        <v>-2.0401180000000001E-3</v>
      </c>
      <c r="X3141">
        <v>0.99449240000000005</v>
      </c>
      <c r="Y3141">
        <v>-0.43720550000000002</v>
      </c>
      <c r="Z3141">
        <v>4.6847529999999998E-2</v>
      </c>
      <c r="AA3141">
        <v>0.89814069999999901</v>
      </c>
      <c r="AB3141">
        <v>25</v>
      </c>
      <c r="AC3141">
        <v>0.47390000000001398</v>
      </c>
      <c r="AD3141">
        <v>-4.8545999999999902E-2</v>
      </c>
      <c r="AE3141">
        <v>-0.79309999999998104</v>
      </c>
      <c r="AF3141">
        <v>-0.45200854048579803</v>
      </c>
      <c r="AG3141">
        <v>-4.8545999999999902E-2</v>
      </c>
      <c r="AH3141">
        <v>0.80285933997007897</v>
      </c>
      <c r="AI3141">
        <v>93.016113784181996</v>
      </c>
      <c r="AJ3141">
        <v>119.379442381771</v>
      </c>
      <c r="AK3141">
        <v>0.92263294682408403</v>
      </c>
      <c r="AL3141">
        <v>90.116890227974807</v>
      </c>
      <c r="AM3141">
        <v>96.015033956146397</v>
      </c>
      <c r="AN3141">
        <v>1.00000003608792</v>
      </c>
    </row>
    <row r="3142" spans="1:40" x14ac:dyDescent="0.25">
      <c r="A3142" t="str">
        <f>"20190312160700678"</f>
        <v>20190312160700678</v>
      </c>
      <c r="B3142" t="str">
        <f>"1552378020668161"</f>
        <v>1552378020668161</v>
      </c>
      <c r="C3142" t="s">
        <v>40</v>
      </c>
      <c r="D3142">
        <v>6.0265060000000004</v>
      </c>
      <c r="E3142">
        <v>0.36315340000000002</v>
      </c>
      <c r="F3142" t="s">
        <v>47</v>
      </c>
      <c r="G3142">
        <v>-485.41500000000002</v>
      </c>
      <c r="H3142" s="1">
        <v>-2.2876049999999998E-6</v>
      </c>
      <c r="I3142">
        <v>232.78540000000001</v>
      </c>
      <c r="J3142">
        <v>-496.26690000000002</v>
      </c>
      <c r="K3142">
        <v>1.111664</v>
      </c>
      <c r="L3142">
        <v>253.50640000000001</v>
      </c>
      <c r="M3142">
        <v>2.7570540000000001E-2</v>
      </c>
      <c r="N3142">
        <v>0</v>
      </c>
      <c r="O3142">
        <v>-0.99957949999999995</v>
      </c>
      <c r="P3142">
        <v>0.13227809999999901</v>
      </c>
      <c r="Q3142">
        <v>-1.088864E-2</v>
      </c>
      <c r="R3142">
        <v>-0.99115319999999996</v>
      </c>
      <c r="S3142">
        <v>1.473846</v>
      </c>
      <c r="T3142">
        <v>-0.15090020000000001</v>
      </c>
      <c r="U3142">
        <v>-2.8305509999999998</v>
      </c>
      <c r="V3142">
        <v>-0.1048883</v>
      </c>
      <c r="W3142">
        <v>-2.4857439999999998E-3</v>
      </c>
      <c r="X3142">
        <v>0.9944809</v>
      </c>
      <c r="Y3142">
        <v>-0.43668509999999999</v>
      </c>
      <c r="Z3142">
        <v>4.7514099999999997E-2</v>
      </c>
      <c r="AA3142">
        <v>0.89835880000000001</v>
      </c>
      <c r="AB3142">
        <v>25</v>
      </c>
      <c r="AC3142">
        <v>10.851900000000001</v>
      </c>
      <c r="AD3142">
        <v>-1.1116662876050001</v>
      </c>
      <c r="AE3142">
        <v>-20.721</v>
      </c>
      <c r="AF3142">
        <v>-10.253302825352399</v>
      </c>
      <c r="AG3142">
        <v>-1.1116662876050001</v>
      </c>
      <c r="AH3142">
        <v>20.964973188033699</v>
      </c>
      <c r="AI3142">
        <v>92.727131371319302</v>
      </c>
      <c r="AJ3142">
        <v>116.06178910816899</v>
      </c>
      <c r="AK3142">
        <v>23.3644199914817</v>
      </c>
      <c r="AL3142">
        <v>90.142422787185794</v>
      </c>
      <c r="AM3142">
        <v>96.020749770807498</v>
      </c>
      <c r="AN3142">
        <v>0.99999999743246604</v>
      </c>
    </row>
    <row r="3143" spans="1:40" x14ac:dyDescent="0.25">
      <c r="A3143" t="str">
        <f>"20190312160700690"</f>
        <v>20190312160700690</v>
      </c>
      <c r="B3143" t="str">
        <f>"1552378020677921"</f>
        <v>1552378020677921</v>
      </c>
      <c r="C3143" t="s">
        <v>40</v>
      </c>
      <c r="D3143">
        <v>5.664892</v>
      </c>
      <c r="E3143">
        <v>0.36327480000000001</v>
      </c>
      <c r="F3143" t="s">
        <v>44</v>
      </c>
      <c r="G3143">
        <v>-495.80579999999998</v>
      </c>
      <c r="H3143">
        <v>1.0636190000000001</v>
      </c>
      <c r="I3143">
        <v>252.62280000000001</v>
      </c>
      <c r="J3143">
        <v>-496.26139999999998</v>
      </c>
      <c r="K3143">
        <v>1.1117140000000001</v>
      </c>
      <c r="L3143">
        <v>253.37370000000001</v>
      </c>
      <c r="M3143">
        <v>2.9343660000000001E-2</v>
      </c>
      <c r="N3143">
        <v>0</v>
      </c>
      <c r="O3143">
        <v>-0.99952569999999996</v>
      </c>
      <c r="P3143">
        <v>0.1342177</v>
      </c>
      <c r="Q3143">
        <v>-1.1789279999999999E-2</v>
      </c>
      <c r="R3143">
        <v>-0.99088220000000005</v>
      </c>
      <c r="S3143">
        <v>1.477112</v>
      </c>
      <c r="T3143">
        <v>-0.15376099999999901</v>
      </c>
      <c r="U3143">
        <v>-2.8279570000000001</v>
      </c>
      <c r="V3143">
        <v>-0.1050678</v>
      </c>
      <c r="W3143">
        <v>-3.0293949999999998E-3</v>
      </c>
      <c r="X3143">
        <v>0.99446049999999997</v>
      </c>
      <c r="Y3143">
        <v>-0.4362219</v>
      </c>
      <c r="Z3143">
        <v>4.8441600000000001E-2</v>
      </c>
      <c r="AA3143">
        <v>0.89853430000000001</v>
      </c>
      <c r="AB3143">
        <v>25</v>
      </c>
      <c r="AC3143">
        <v>0.455600000000003</v>
      </c>
      <c r="AD3143">
        <v>-4.80949999999997E-2</v>
      </c>
      <c r="AE3143">
        <v>-0.75090000000000101</v>
      </c>
      <c r="AF3143">
        <v>-0.432073094745141</v>
      </c>
      <c r="AG3143">
        <v>-4.80949999999997E-2</v>
      </c>
      <c r="AH3143">
        <v>0.76166231218049696</v>
      </c>
      <c r="AI3143">
        <v>93.143696993221695</v>
      </c>
      <c r="AJ3143">
        <v>119.565221396778</v>
      </c>
      <c r="AK3143">
        <v>0.87700043672952899</v>
      </c>
      <c r="AL3143">
        <v>90.173571804273607</v>
      </c>
      <c r="AM3143">
        <v>96.031100277543899</v>
      </c>
      <c r="AN3143">
        <v>1.0000000529455699</v>
      </c>
    </row>
    <row r="3144" spans="1:40" x14ac:dyDescent="0.25">
      <c r="A3144" t="str">
        <f>"20190312160700702"</f>
        <v>20190312160700702</v>
      </c>
      <c r="B3144" t="str">
        <f>"1552378020698418"</f>
        <v>1552378020698418</v>
      </c>
      <c r="C3144" t="s">
        <v>40</v>
      </c>
      <c r="D3144">
        <v>5.9556659999999999</v>
      </c>
      <c r="E3144">
        <v>0.36368709999999999</v>
      </c>
      <c r="F3144" t="s">
        <v>47</v>
      </c>
      <c r="G3144">
        <v>-485.69490000000002</v>
      </c>
      <c r="H3144" s="1">
        <v>-2.3648230000000002E-6</v>
      </c>
      <c r="I3144">
        <v>233.2312</v>
      </c>
      <c r="J3144">
        <v>-496.25599999999997</v>
      </c>
      <c r="K3144">
        <v>1.1117570000000001</v>
      </c>
      <c r="L3144">
        <v>253.25229999999999</v>
      </c>
      <c r="M3144">
        <v>3.0968849999999999E-2</v>
      </c>
      <c r="N3144">
        <v>0</v>
      </c>
      <c r="O3144">
        <v>-0.99947350000000001</v>
      </c>
      <c r="P3144">
        <v>0.13585829999999999</v>
      </c>
      <c r="Q3144">
        <v>-1.2362410000000001E-2</v>
      </c>
      <c r="R3144">
        <v>-0.99065150000000002</v>
      </c>
      <c r="S3144">
        <v>1.4819639999999901</v>
      </c>
      <c r="T3144">
        <v>-0.155921</v>
      </c>
      <c r="U3144">
        <v>-2.825043</v>
      </c>
      <c r="V3144">
        <v>-0.1050962</v>
      </c>
      <c r="W3144">
        <v>-3.2837589999999998E-3</v>
      </c>
      <c r="X3144">
        <v>0.99445660000000002</v>
      </c>
      <c r="Y3144">
        <v>-0.43633480000000002</v>
      </c>
      <c r="Z3144">
        <v>4.9141520000000001E-2</v>
      </c>
      <c r="AA3144">
        <v>0.8984415</v>
      </c>
      <c r="AB3144">
        <v>25</v>
      </c>
      <c r="AC3144">
        <v>10.5610999999999</v>
      </c>
      <c r="AD3144">
        <v>-1.111759364823</v>
      </c>
      <c r="AE3144">
        <v>-20.021099999999901</v>
      </c>
      <c r="AF3144">
        <v>-9.9120637091667696</v>
      </c>
      <c r="AG3144">
        <v>-1.111759364823</v>
      </c>
      <c r="AH3144">
        <v>20.289632076577099</v>
      </c>
      <c r="AI3144">
        <v>92.818594820553002</v>
      </c>
      <c r="AJ3144">
        <v>116.036827861405</v>
      </c>
      <c r="AK3144">
        <v>22.6087192397694</v>
      </c>
      <c r="AL3144">
        <v>90.188145876956995</v>
      </c>
      <c r="AM3144">
        <v>96.032741957938995</v>
      </c>
      <c r="AN3144">
        <v>0.99999996180558404</v>
      </c>
    </row>
    <row r="3145" spans="1:40" x14ac:dyDescent="0.25">
      <c r="A3145" t="str">
        <f>"20190312160700715"</f>
        <v>20190312160700715</v>
      </c>
      <c r="B3145" t="str">
        <f>"1552378020708177"</f>
        <v>1552378020708177</v>
      </c>
      <c r="C3145" t="s">
        <v>40</v>
      </c>
      <c r="D3145">
        <v>5.9564979999999998</v>
      </c>
      <c r="E3145">
        <v>0.36383149999999997</v>
      </c>
      <c r="F3145" t="s">
        <v>44</v>
      </c>
      <c r="G3145">
        <v>-495.80020000000002</v>
      </c>
      <c r="H3145">
        <v>1.0630389999999901</v>
      </c>
      <c r="I3145">
        <v>252.38480000000001</v>
      </c>
      <c r="J3145">
        <v>-496.24990000000003</v>
      </c>
      <c r="K3145">
        <v>1.111802</v>
      </c>
      <c r="L3145">
        <v>253.11670000000001</v>
      </c>
      <c r="M3145">
        <v>3.2781390000000001E-2</v>
      </c>
      <c r="N3145">
        <v>0</v>
      </c>
      <c r="O3145">
        <v>-0.99941230000000003</v>
      </c>
      <c r="P3145">
        <v>0.1377872</v>
      </c>
      <c r="Q3145">
        <v>-1.26797E-2</v>
      </c>
      <c r="R3145">
        <v>-0.99038119999999996</v>
      </c>
      <c r="S3145">
        <v>1.4832459999999901</v>
      </c>
      <c r="T3145">
        <v>-0.1585531</v>
      </c>
      <c r="U3145">
        <v>-2.8229220000000002</v>
      </c>
      <c r="V3145">
        <v>-0.1052299</v>
      </c>
      <c r="W3145">
        <v>-3.2512119999999999E-3</v>
      </c>
      <c r="X3145">
        <v>0.99444259999999995</v>
      </c>
      <c r="Y3145">
        <v>-0.43528060000000002</v>
      </c>
      <c r="Z3145">
        <v>5.0005929999999997E-2</v>
      </c>
      <c r="AA3145">
        <v>0.89890499999999995</v>
      </c>
      <c r="AB3145">
        <v>24</v>
      </c>
      <c r="AC3145">
        <v>0.44970000000000698</v>
      </c>
      <c r="AD3145">
        <v>-4.8763000000000098E-2</v>
      </c>
      <c r="AE3145">
        <v>-0.731899999999996</v>
      </c>
      <c r="AF3145">
        <v>-0.42409776770397101</v>
      </c>
      <c r="AG3145">
        <v>-4.8763000000000098E-2</v>
      </c>
      <c r="AH3145">
        <v>0.74385214367361396</v>
      </c>
      <c r="AI3145">
        <v>93.259420584650996</v>
      </c>
      <c r="AJ3145">
        <v>119.689072470276</v>
      </c>
      <c r="AK3145">
        <v>0.85764372462481298</v>
      </c>
      <c r="AL3145">
        <v>90.186281055297698</v>
      </c>
      <c r="AM3145">
        <v>96.040444323310695</v>
      </c>
      <c r="AN3145">
        <v>0.99999999346411905</v>
      </c>
    </row>
    <row r="3146" spans="1:40" x14ac:dyDescent="0.25">
      <c r="A3146" t="str">
        <f>"20190312160700731"</f>
        <v>20190312160700731</v>
      </c>
      <c r="B3146" t="str">
        <f>"1552378020717938"</f>
        <v>1552378020717938</v>
      </c>
      <c r="C3146" t="s">
        <v>40</v>
      </c>
      <c r="D3146">
        <v>5.6065639999999997</v>
      </c>
      <c r="E3146">
        <v>0.3640195</v>
      </c>
      <c r="F3146" t="s">
        <v>44</v>
      </c>
      <c r="G3146">
        <v>-495.76440000000002</v>
      </c>
      <c r="H3146">
        <v>1.0596639999999999</v>
      </c>
      <c r="I3146">
        <v>252.196</v>
      </c>
      <c r="J3146">
        <v>-496.2407</v>
      </c>
      <c r="K3146">
        <v>1.111861</v>
      </c>
      <c r="L3146">
        <v>252.92509999999999</v>
      </c>
      <c r="M3146">
        <v>3.5339740000000001E-2</v>
      </c>
      <c r="N3146">
        <v>0</v>
      </c>
      <c r="O3146">
        <v>-0.99932030000000005</v>
      </c>
      <c r="P3146">
        <v>0.14092199999999999</v>
      </c>
      <c r="Q3146">
        <v>-1.281504E-2</v>
      </c>
      <c r="R3146">
        <v>-0.98993779999999998</v>
      </c>
      <c r="S3146">
        <v>1.4877929999999999</v>
      </c>
      <c r="T3146">
        <v>-0.1596785</v>
      </c>
      <c r="U3146">
        <v>-2.8201139999999998</v>
      </c>
      <c r="V3146">
        <v>-0.1058337</v>
      </c>
      <c r="W3146">
        <v>-2.9276900000000002E-3</v>
      </c>
      <c r="X3146">
        <v>0.99437949999999997</v>
      </c>
      <c r="Y3146">
        <v>-0.43447039999999998</v>
      </c>
      <c r="Z3146">
        <v>5.0389879999999998E-2</v>
      </c>
      <c r="AA3146">
        <v>0.89927549999999901</v>
      </c>
      <c r="AB3146">
        <v>24</v>
      </c>
      <c r="AC3146">
        <v>0.47629999999998002</v>
      </c>
      <c r="AD3146">
        <v>-5.2197E-2</v>
      </c>
      <c r="AE3146">
        <v>-0.72909999999998798</v>
      </c>
      <c r="AF3146">
        <v>-0.44862326611230202</v>
      </c>
      <c r="AG3146">
        <v>-5.2197E-2</v>
      </c>
      <c r="AH3146">
        <v>0.74280941897701902</v>
      </c>
      <c r="AI3146">
        <v>93.442226685733502</v>
      </c>
      <c r="AJ3146">
        <v>121.13007591679499</v>
      </c>
      <c r="AK3146">
        <v>0.86934066661306297</v>
      </c>
      <c r="AL3146">
        <v>90.167744525938701</v>
      </c>
      <c r="AM3146">
        <v>96.075228036453794</v>
      </c>
      <c r="AN3146">
        <v>0.99999996672233704</v>
      </c>
    </row>
    <row r="3147" spans="1:40" x14ac:dyDescent="0.25">
      <c r="A3147" t="str">
        <f>"20190312160700744"</f>
        <v>20190312160700744</v>
      </c>
      <c r="B3147" t="str">
        <f>"1552378020738434"</f>
        <v>1552378020738434</v>
      </c>
      <c r="C3147" t="s">
        <v>40</v>
      </c>
      <c r="D3147">
        <v>8.9964009999999899</v>
      </c>
      <c r="E3147">
        <v>0.3641934</v>
      </c>
      <c r="F3147" t="s">
        <v>47</v>
      </c>
      <c r="G3147">
        <v>-485.96609999999998</v>
      </c>
      <c r="H3147" s="1">
        <v>-2.4094659999999999E-6</v>
      </c>
      <c r="I3147">
        <v>233.5744</v>
      </c>
      <c r="J3147">
        <v>-496.23399999999998</v>
      </c>
      <c r="K3147">
        <v>1.1118920000000001</v>
      </c>
      <c r="L3147">
        <v>252.79339999999999</v>
      </c>
      <c r="M3147">
        <v>3.7096560000000001E-2</v>
      </c>
      <c r="N3147">
        <v>0</v>
      </c>
      <c r="O3147">
        <v>-0.99925339999999996</v>
      </c>
      <c r="P3147">
        <v>0.14301889999999901</v>
      </c>
      <c r="Q3147">
        <v>-1.312196E-2</v>
      </c>
      <c r="R3147">
        <v>-0.98963330000000005</v>
      </c>
      <c r="S3147">
        <v>1.4949650000000001</v>
      </c>
      <c r="T3147">
        <v>-0.16177820000000001</v>
      </c>
      <c r="U3147">
        <v>-2.8155670000000002</v>
      </c>
      <c r="V3147">
        <v>-0.1061921</v>
      </c>
      <c r="W3147">
        <v>-2.9404850000000001E-3</v>
      </c>
      <c r="X3147">
        <v>0.99434129999999998</v>
      </c>
      <c r="Y3147">
        <v>-0.4352587</v>
      </c>
      <c r="Z3147">
        <v>5.1079439999999997E-2</v>
      </c>
      <c r="AA3147">
        <v>0.89885530000000002</v>
      </c>
      <c r="AB3147">
        <v>24</v>
      </c>
      <c r="AC3147">
        <v>10.267899999999999</v>
      </c>
      <c r="AD3147">
        <v>-1.1118944094659999</v>
      </c>
      <c r="AE3147">
        <v>-19.218999999999902</v>
      </c>
      <c r="AF3147">
        <v>-9.5230347264419102</v>
      </c>
      <c r="AG3147">
        <v>-1.1118944094659999</v>
      </c>
      <c r="AH3147">
        <v>19.535827260164002</v>
      </c>
      <c r="AI3147">
        <v>92.928746843004205</v>
      </c>
      <c r="AJ3147">
        <v>115.98761965654001</v>
      </c>
      <c r="AK3147">
        <v>21.761733532000299</v>
      </c>
      <c r="AL3147">
        <v>90.168477620530993</v>
      </c>
      <c r="AM3147">
        <v>96.095879244651002</v>
      </c>
      <c r="AN3147">
        <v>1.0000000147200601</v>
      </c>
    </row>
    <row r="3148" spans="1:40" x14ac:dyDescent="0.25">
      <c r="A3148" t="str">
        <f>"20190312160700756"</f>
        <v>20190312160700756</v>
      </c>
      <c r="B3148" t="str">
        <f>"1552378020748194"</f>
        <v>1552378020748194</v>
      </c>
      <c r="C3148" t="s">
        <v>40</v>
      </c>
      <c r="D3148">
        <v>6.0017740000000002</v>
      </c>
      <c r="E3148">
        <v>0.36430770000000001</v>
      </c>
      <c r="F3148" t="s">
        <v>44</v>
      </c>
      <c r="G3148">
        <v>-495.76350000000002</v>
      </c>
      <c r="H3148">
        <v>1.0610200000000001</v>
      </c>
      <c r="I3148">
        <v>251.9109</v>
      </c>
      <c r="J3148">
        <v>-496.22719999999998</v>
      </c>
      <c r="K3148">
        <v>1.1119220000000001</v>
      </c>
      <c r="L3148">
        <v>252.661</v>
      </c>
      <c r="M3148">
        <v>3.886009E-2</v>
      </c>
      <c r="N3148">
        <v>0</v>
      </c>
      <c r="O3148">
        <v>-0.99918300000000004</v>
      </c>
      <c r="P3148">
        <v>0.14516570000000001</v>
      </c>
      <c r="Q3148">
        <v>-1.3430640000000001E-2</v>
      </c>
      <c r="R3148">
        <v>-0.98931619999999998</v>
      </c>
      <c r="S3148">
        <v>1.499573</v>
      </c>
      <c r="T3148">
        <v>-0.16214249999999999</v>
      </c>
      <c r="U3148">
        <v>-2.8125610000000001</v>
      </c>
      <c r="V3148">
        <v>-0.1065946</v>
      </c>
      <c r="W3148">
        <v>-2.963477E-3</v>
      </c>
      <c r="X3148">
        <v>0.99429820000000002</v>
      </c>
      <c r="Y3148">
        <v>-0.43521219999999999</v>
      </c>
      <c r="Z3148">
        <v>5.1219099999999997E-2</v>
      </c>
      <c r="AA3148">
        <v>0.89886980000000005</v>
      </c>
      <c r="AB3148">
        <v>24</v>
      </c>
      <c r="AC3148">
        <v>0.46369999999995998</v>
      </c>
      <c r="AD3148">
        <v>-5.0901999999999697E-2</v>
      </c>
      <c r="AE3148">
        <v>-0.75009999999997401</v>
      </c>
      <c r="AF3148">
        <v>-0.43275710749517399</v>
      </c>
      <c r="AG3148">
        <v>-5.0901999999999697E-2</v>
      </c>
      <c r="AH3148">
        <v>0.76500506021473802</v>
      </c>
      <c r="AI3148">
        <v>93.314516427300902</v>
      </c>
      <c r="AJ3148">
        <v>119.496486230367</v>
      </c>
      <c r="AK3148">
        <v>0.880399040120867</v>
      </c>
      <c r="AL3148">
        <v>90.169794964698994</v>
      </c>
      <c r="AM3148">
        <v>96.119072734615102</v>
      </c>
      <c r="AN3148">
        <v>1.00000005073416</v>
      </c>
    </row>
    <row r="3149" spans="1:40" x14ac:dyDescent="0.25">
      <c r="A3149" t="str">
        <f>"20190312160700769"</f>
        <v>20190312160700769</v>
      </c>
      <c r="B3149" t="str">
        <f>"1552378020757954"</f>
        <v>1552378020757954</v>
      </c>
      <c r="C3149" t="s">
        <v>40</v>
      </c>
      <c r="D3149">
        <v>5.9813769999999904</v>
      </c>
      <c r="E3149">
        <v>0.36443710000000001</v>
      </c>
      <c r="F3149" t="s">
        <v>44</v>
      </c>
      <c r="G3149">
        <v>-495.74740000000003</v>
      </c>
      <c r="H3149">
        <v>1.0598909999999999</v>
      </c>
      <c r="I3149">
        <v>251.76429999999999</v>
      </c>
      <c r="J3149">
        <v>-496.21980000000002</v>
      </c>
      <c r="K3149">
        <v>1.1119429999999999</v>
      </c>
      <c r="L3149">
        <v>252.5239</v>
      </c>
      <c r="M3149">
        <v>4.068803E-2</v>
      </c>
      <c r="N3149">
        <v>0</v>
      </c>
      <c r="O3149">
        <v>-0.99910730000000003</v>
      </c>
      <c r="P3149">
        <v>0.14711879999999999</v>
      </c>
      <c r="Q3149">
        <v>-1.3772319999999999E-2</v>
      </c>
      <c r="R3149">
        <v>-0.98902319999999999</v>
      </c>
      <c r="S3149">
        <v>1.504578</v>
      </c>
      <c r="T3149">
        <v>-0.16299159999999999</v>
      </c>
      <c r="U3149">
        <v>-2.809402</v>
      </c>
      <c r="V3149">
        <v>-0.10673829999999999</v>
      </c>
      <c r="W3149">
        <v>-3.0283139999999998E-3</v>
      </c>
      <c r="X3149">
        <v>0.99428249999999996</v>
      </c>
      <c r="Y3149">
        <v>-0.43522319999999998</v>
      </c>
      <c r="Z3149">
        <v>5.1511220000000003E-2</v>
      </c>
      <c r="AA3149">
        <v>0.89884779999999997</v>
      </c>
      <c r="AB3149">
        <v>24</v>
      </c>
      <c r="AC3149">
        <v>0.47239999999999299</v>
      </c>
      <c r="AD3149">
        <v>-5.2052000000000202E-2</v>
      </c>
      <c r="AE3149">
        <v>-0.75960000000000505</v>
      </c>
      <c r="AF3149">
        <v>-0.439611558138786</v>
      </c>
      <c r="AG3149">
        <v>-5.2052000000000202E-2</v>
      </c>
      <c r="AH3149">
        <v>0.77556700284906999</v>
      </c>
      <c r="AI3149">
        <v>93.341554761980603</v>
      </c>
      <c r="AJ3149">
        <v>119.54569288110299</v>
      </c>
      <c r="AK3149">
        <v>0.89301282670603399</v>
      </c>
      <c r="AL3149">
        <v>90.173509882932905</v>
      </c>
      <c r="AM3149">
        <v>96.127355153681094</v>
      </c>
      <c r="AN3149">
        <v>0.99999996258941004</v>
      </c>
    </row>
    <row r="3150" spans="1:40" x14ac:dyDescent="0.25">
      <c r="A3150" t="str">
        <f>"20190312160700812"</f>
        <v>20190312160700812</v>
      </c>
      <c r="B3150" t="str">
        <f>"1552378020807729"</f>
        <v>1552378020807729</v>
      </c>
      <c r="C3150" t="s">
        <v>40</v>
      </c>
      <c r="D3150">
        <v>6.8464980000000004</v>
      </c>
      <c r="E3150">
        <v>0.36500480000000002</v>
      </c>
      <c r="F3150" t="s">
        <v>47</v>
      </c>
      <c r="G3150">
        <v>-485.96629999999999</v>
      </c>
      <c r="H3150" s="1">
        <v>-2.3700359999999999E-6</v>
      </c>
      <c r="I3150">
        <v>233.45869999999999</v>
      </c>
      <c r="J3150">
        <v>-496.1934</v>
      </c>
      <c r="K3150">
        <v>1.111974</v>
      </c>
      <c r="L3150">
        <v>252.06780000000001</v>
      </c>
      <c r="M3150">
        <v>4.6786220000000003E-2</v>
      </c>
      <c r="N3150">
        <v>0</v>
      </c>
      <c r="O3150">
        <v>-0.99883089999999997</v>
      </c>
      <c r="P3150">
        <v>0.15352440000000001</v>
      </c>
      <c r="Q3150">
        <v>-1.4133079999999999E-2</v>
      </c>
      <c r="R3150">
        <v>-0.98804380000000003</v>
      </c>
      <c r="S3150">
        <v>1.509369</v>
      </c>
      <c r="T3150">
        <v>-0.16368479999999999</v>
      </c>
      <c r="U3150">
        <v>-2.8065030000000002</v>
      </c>
      <c r="V3150">
        <v>-0.107113899999999</v>
      </c>
      <c r="W3150">
        <v>-2.5799350000000002E-3</v>
      </c>
      <c r="X3150">
        <v>0.9942434</v>
      </c>
      <c r="Y3150">
        <v>-0.4312955</v>
      </c>
      <c r="Z3150">
        <v>5.1786939999999997E-2</v>
      </c>
      <c r="AA3150">
        <v>0.90072319999999995</v>
      </c>
      <c r="AB3150">
        <v>24</v>
      </c>
      <c r="AC3150">
        <v>10.2271</v>
      </c>
      <c r="AD3150">
        <v>-1.1119763700359999</v>
      </c>
      <c r="AE3150">
        <v>-18.609100000000002</v>
      </c>
      <c r="AF3150">
        <v>-9.3196276544184293</v>
      </c>
      <c r="AG3150">
        <v>-1.1119763700359999</v>
      </c>
      <c r="AH3150">
        <v>19.015095850721199</v>
      </c>
      <c r="AI3150">
        <v>93.005885889957298</v>
      </c>
      <c r="AJ3150">
        <v>116.11027384354099</v>
      </c>
      <c r="AK3150">
        <v>21.205325304664299</v>
      </c>
      <c r="AL3150">
        <v>90.147819552225499</v>
      </c>
      <c r="AM3150">
        <v>96.1489917009918</v>
      </c>
      <c r="AN3150">
        <v>0.99999999104068704</v>
      </c>
    </row>
    <row r="3151" spans="1:40" x14ac:dyDescent="0.25">
      <c r="A3151" t="str">
        <f>"20190312160700834"</f>
        <v>20190312160700834</v>
      </c>
      <c r="B3151" t="str">
        <f>"1552378020828226"</f>
        <v>1552378020828226</v>
      </c>
      <c r="C3151" t="s">
        <v>40</v>
      </c>
      <c r="D3151">
        <v>6.0034660000000004</v>
      </c>
      <c r="E3151">
        <v>0.36523670000000003</v>
      </c>
      <c r="F3151" t="s">
        <v>47</v>
      </c>
      <c r="G3151">
        <v>-485.92399999999998</v>
      </c>
      <c r="H3151" s="1">
        <v>-2.2958550000000001E-6</v>
      </c>
      <c r="I3151">
        <v>233.20760000000001</v>
      </c>
      <c r="J3151">
        <v>-496.17860000000002</v>
      </c>
      <c r="K3151">
        <v>1.1119790000000001</v>
      </c>
      <c r="L3151">
        <v>251.8297</v>
      </c>
      <c r="M3151">
        <v>4.9985479999999999E-2</v>
      </c>
      <c r="N3151">
        <v>0</v>
      </c>
      <c r="O3151">
        <v>-0.99867169999999905</v>
      </c>
      <c r="P3151">
        <v>0.15682599999999999</v>
      </c>
      <c r="Q3151">
        <v>-1.4115580000000001E-2</v>
      </c>
      <c r="R3151">
        <v>-0.98752589999999996</v>
      </c>
      <c r="S3151">
        <v>1.5231319999999999</v>
      </c>
      <c r="T3151">
        <v>-0.1649244</v>
      </c>
      <c r="U3151">
        <v>-2.7972869999999999</v>
      </c>
      <c r="V3151">
        <v>-0.1072543</v>
      </c>
      <c r="W3151">
        <v>-2.2078530000000001E-3</v>
      </c>
      <c r="X3151">
        <v>0.99422920000000004</v>
      </c>
      <c r="Y3151">
        <v>-0.43305680000000002</v>
      </c>
      <c r="Z3151">
        <v>5.2235669999999998E-2</v>
      </c>
      <c r="AA3151">
        <v>0.89985179999999998</v>
      </c>
      <c r="AB3151">
        <v>24</v>
      </c>
      <c r="AC3151">
        <v>10.2545999999999</v>
      </c>
      <c r="AD3151">
        <v>-1.1119812958549999</v>
      </c>
      <c r="AE3151">
        <v>-18.6220999999999</v>
      </c>
      <c r="AF3151">
        <v>-9.2854668644696794</v>
      </c>
      <c r="AG3151">
        <v>-1.1119812958549999</v>
      </c>
      <c r="AH3151">
        <v>19.0592928031494</v>
      </c>
      <c r="AI3151">
        <v>93.002401925106199</v>
      </c>
      <c r="AJ3151">
        <v>115.97480788455501</v>
      </c>
      <c r="AK3151">
        <v>21.230003284259698</v>
      </c>
      <c r="AL3151">
        <v>90.126500757561899</v>
      </c>
      <c r="AM3151">
        <v>96.157076914800697</v>
      </c>
      <c r="AN3151">
        <v>1.0000000308079899</v>
      </c>
    </row>
    <row r="3152" spans="1:40" x14ac:dyDescent="0.25">
      <c r="A3152" t="str">
        <f>"20190312160700846"</f>
        <v>20190312160700846</v>
      </c>
      <c r="B3152" t="str">
        <f>"1552378020837987"</f>
        <v>1552378020837987</v>
      </c>
      <c r="C3152" t="s">
        <v>40</v>
      </c>
      <c r="D3152">
        <v>6.0356560000000004</v>
      </c>
      <c r="E3152">
        <v>0.36536679999999999</v>
      </c>
      <c r="F3152" t="s">
        <v>47</v>
      </c>
      <c r="G3152">
        <v>-485.87009999999998</v>
      </c>
      <c r="H3152" s="1">
        <v>-2.246323E-6</v>
      </c>
      <c r="I3152">
        <v>233.01990000000001</v>
      </c>
      <c r="J3152">
        <v>-496.1694</v>
      </c>
      <c r="K3152">
        <v>1.11198</v>
      </c>
      <c r="L3152">
        <v>251.69059999999999</v>
      </c>
      <c r="M3152">
        <v>5.1854730000000002E-2</v>
      </c>
      <c r="N3152">
        <v>0</v>
      </c>
      <c r="O3152">
        <v>-0.99857370000000001</v>
      </c>
      <c r="P3152">
        <v>0.15872320000000001</v>
      </c>
      <c r="Q3152">
        <v>-1.385252E-2</v>
      </c>
      <c r="R3152">
        <v>-0.98722619999999905</v>
      </c>
      <c r="S3152">
        <v>1.5303960000000001</v>
      </c>
      <c r="T3152">
        <v>-0.1650838</v>
      </c>
      <c r="U3152">
        <v>-2.7924799999999999</v>
      </c>
      <c r="V3152">
        <v>-0.1073056</v>
      </c>
      <c r="W3152">
        <v>-1.7628769999999999E-3</v>
      </c>
      <c r="X3152">
        <v>0.99422449999999996</v>
      </c>
      <c r="Y3152">
        <v>-0.43382009999999999</v>
      </c>
      <c r="Z3152">
        <v>5.2316399999999999E-2</v>
      </c>
      <c r="AA3152">
        <v>0.89947940000000004</v>
      </c>
      <c r="AB3152">
        <v>24</v>
      </c>
      <c r="AC3152">
        <v>10.299300000000001</v>
      </c>
      <c r="AD3152">
        <v>-1.111982246323</v>
      </c>
      <c r="AE3152">
        <v>-18.670699999999901</v>
      </c>
      <c r="AF3152">
        <v>-9.2919291376050506</v>
      </c>
      <c r="AG3152">
        <v>-1.111982246323</v>
      </c>
      <c r="AH3152">
        <v>19.127668824015998</v>
      </c>
      <c r="AI3152">
        <v>92.993340728431704</v>
      </c>
      <c r="AJ3152">
        <v>115.90977290538299</v>
      </c>
      <c r="AK3152">
        <v>21.294228472890101</v>
      </c>
      <c r="AL3152">
        <v>90.101005466442899</v>
      </c>
      <c r="AM3152">
        <v>96.160028120612495</v>
      </c>
      <c r="AN3152">
        <v>0.99999997796346296</v>
      </c>
    </row>
    <row r="3153" spans="1:40" x14ac:dyDescent="0.25">
      <c r="A3153" t="str">
        <f>"20190312160700859"</f>
        <v>20190312160700859</v>
      </c>
      <c r="B3153" t="str">
        <f>"1552378020847746"</f>
        <v>1552378020847746</v>
      </c>
      <c r="C3153" t="s">
        <v>40</v>
      </c>
      <c r="D3153">
        <v>6.0613650000000003</v>
      </c>
      <c r="E3153">
        <v>0.36549549999999997</v>
      </c>
      <c r="F3153" t="s">
        <v>47</v>
      </c>
      <c r="G3153">
        <v>-485.80869999999999</v>
      </c>
      <c r="H3153" s="1">
        <v>-2.2063E-6</v>
      </c>
      <c r="I3153">
        <v>232.85429999999999</v>
      </c>
      <c r="J3153">
        <v>-496.16070000000002</v>
      </c>
      <c r="K3153">
        <v>1.11198</v>
      </c>
      <c r="L3153">
        <v>251.55959999999999</v>
      </c>
      <c r="M3153">
        <v>5.3615660000000002E-2</v>
      </c>
      <c r="N3153">
        <v>0</v>
      </c>
      <c r="O3153">
        <v>-0.99847859999999999</v>
      </c>
      <c r="P3153">
        <v>0.16049620000000001</v>
      </c>
      <c r="Q3153">
        <v>-1.3666370000000001E-2</v>
      </c>
      <c r="R3153">
        <v>-0.98694210000000004</v>
      </c>
      <c r="S3153">
        <v>1.5345150000000001</v>
      </c>
      <c r="T3153">
        <v>-0.1646936</v>
      </c>
      <c r="U3153">
        <v>-2.7898100000000001</v>
      </c>
      <c r="V3153">
        <v>-0.1073398</v>
      </c>
      <c r="W3153">
        <v>-1.4137399999999999E-3</v>
      </c>
      <c r="X3153">
        <v>0.99422140000000003</v>
      </c>
      <c r="Y3153">
        <v>-0.43361739999999999</v>
      </c>
      <c r="Z3153">
        <v>5.2214579999999997E-2</v>
      </c>
      <c r="AA3153">
        <v>0.89958300000000002</v>
      </c>
      <c r="AB3153">
        <v>24</v>
      </c>
      <c r="AC3153">
        <v>10.352</v>
      </c>
      <c r="AD3153">
        <v>-1.1119822063</v>
      </c>
      <c r="AE3153">
        <v>-18.705299999999902</v>
      </c>
      <c r="AF3153">
        <v>-9.30894318580944</v>
      </c>
      <c r="AG3153">
        <v>-1.1119822063</v>
      </c>
      <c r="AH3153">
        <v>19.181572396483901</v>
      </c>
      <c r="AI3153">
        <v>92.985503857970599</v>
      </c>
      <c r="AJ3153">
        <v>115.88760392181101</v>
      </c>
      <c r="AK3153">
        <v>21.350073706320298</v>
      </c>
      <c r="AL3153">
        <v>90.081001361357707</v>
      </c>
      <c r="AM3153">
        <v>96.161995383422294</v>
      </c>
      <c r="AN3153">
        <v>1.0000000117713901</v>
      </c>
    </row>
    <row r="3154" spans="1:40" x14ac:dyDescent="0.25">
      <c r="A3154" t="str">
        <f>"20190312160700878"</f>
        <v>20190312160700878</v>
      </c>
      <c r="B3154" t="str">
        <f>"1552378020868245"</f>
        <v>1552378020868245</v>
      </c>
      <c r="C3154" t="s">
        <v>40</v>
      </c>
      <c r="D3154">
        <v>6.0537609999999997</v>
      </c>
      <c r="E3154">
        <v>0.36572789999999999</v>
      </c>
      <c r="F3154" t="s">
        <v>44</v>
      </c>
      <c r="G3154">
        <v>-495.68340000000001</v>
      </c>
      <c r="H3154">
        <v>1.0607709999999999</v>
      </c>
      <c r="I3154">
        <v>250.69489999999999</v>
      </c>
      <c r="J3154">
        <v>-496.14640000000003</v>
      </c>
      <c r="K3154">
        <v>1.1119730000000001</v>
      </c>
      <c r="L3154">
        <v>251.35339999999999</v>
      </c>
      <c r="M3154">
        <v>5.6384869999999997E-2</v>
      </c>
      <c r="N3154">
        <v>0</v>
      </c>
      <c r="O3154">
        <v>-0.99832299999999996</v>
      </c>
      <c r="P3154">
        <v>0.16379250000000001</v>
      </c>
      <c r="Q3154">
        <v>-1.273766E-2</v>
      </c>
      <c r="R3154">
        <v>-0.98641259999999997</v>
      </c>
      <c r="S3154">
        <v>1.538605</v>
      </c>
      <c r="T3154">
        <v>-0.1650866</v>
      </c>
      <c r="U3154">
        <v>-2.7871860000000002</v>
      </c>
      <c r="V3154">
        <v>-0.1079083</v>
      </c>
      <c r="W3154">
        <v>-2.5643269999999998E-4</v>
      </c>
      <c r="X3154">
        <v>0.99416079999999996</v>
      </c>
      <c r="Y3154">
        <v>-0.43248449999999999</v>
      </c>
      <c r="Z3154">
        <v>5.2367110000000001E-2</v>
      </c>
      <c r="AA3154">
        <v>0.90011939999999901</v>
      </c>
      <c r="AB3154">
        <v>24</v>
      </c>
      <c r="AC3154">
        <v>0.46300000000002201</v>
      </c>
      <c r="AD3154">
        <v>-5.12019999999999E-2</v>
      </c>
      <c r="AE3154">
        <v>-0.65850000000000297</v>
      </c>
      <c r="AF3154">
        <v>-0.42341759681369301</v>
      </c>
      <c r="AG3154">
        <v>-5.12019999999999E-2</v>
      </c>
      <c r="AH3154">
        <v>0.68080624871411699</v>
      </c>
      <c r="AI3154">
        <v>93.654173082458698</v>
      </c>
      <c r="AJ3154">
        <v>121.878948742311</v>
      </c>
      <c r="AK3154">
        <v>0.80336869143853995</v>
      </c>
      <c r="AL3154">
        <v>90.014692511870294</v>
      </c>
      <c r="AM3154">
        <v>96.194752542691305</v>
      </c>
      <c r="AN3154">
        <v>0.99999998161162895</v>
      </c>
    </row>
    <row r="3155" spans="1:40" x14ac:dyDescent="0.25">
      <c r="A3155" t="str">
        <f>"20190312160700900"</f>
        <v>20190312160700900</v>
      </c>
      <c r="B3155" t="str">
        <f>"1552378020887762"</f>
        <v>1552378020887762</v>
      </c>
      <c r="C3155" t="s">
        <v>40</v>
      </c>
      <c r="D3155">
        <v>6.0595559999999997</v>
      </c>
      <c r="E3155">
        <v>0.36598560000000002</v>
      </c>
      <c r="F3155" t="s">
        <v>44</v>
      </c>
      <c r="G3155">
        <v>-495.66430000000003</v>
      </c>
      <c r="H3155">
        <v>1.0611919999999999</v>
      </c>
      <c r="I3155">
        <v>250.48490000000001</v>
      </c>
      <c r="J3155">
        <v>-496.12970000000001</v>
      </c>
      <c r="K3155">
        <v>1.111974</v>
      </c>
      <c r="L3155">
        <v>251.12209999999999</v>
      </c>
      <c r="M3155">
        <v>5.9489640000000003E-2</v>
      </c>
      <c r="N3155">
        <v>0</v>
      </c>
      <c r="O3155">
        <v>-0.99814000000000003</v>
      </c>
      <c r="P3155">
        <v>0.16742370000000001</v>
      </c>
      <c r="Q3155">
        <v>-1.220038E-2</v>
      </c>
      <c r="R3155">
        <v>-0.98580959999999995</v>
      </c>
      <c r="S3155">
        <v>1.545898</v>
      </c>
      <c r="T3155">
        <v>-0.16267319999999999</v>
      </c>
      <c r="U3155">
        <v>-2.7825160000000002</v>
      </c>
      <c r="V3155">
        <v>-0.10848049999999999</v>
      </c>
      <c r="W3155">
        <v>5.0574940000000003E-4</v>
      </c>
      <c r="X3155">
        <v>0.99409840000000005</v>
      </c>
      <c r="Y3155">
        <v>-0.4321431</v>
      </c>
      <c r="Z3155">
        <v>5.1638740000000002E-2</v>
      </c>
      <c r="AA3155">
        <v>0.90032540000000005</v>
      </c>
      <c r="AB3155">
        <v>24</v>
      </c>
      <c r="AC3155">
        <v>0.46539999999998799</v>
      </c>
      <c r="AD3155">
        <v>-5.0782000000000098E-2</v>
      </c>
      <c r="AE3155">
        <v>-0.63719999999997801</v>
      </c>
      <c r="AF3155">
        <v>-0.424905529635629</v>
      </c>
      <c r="AG3155">
        <v>-5.0782000000000098E-2</v>
      </c>
      <c r="AH3155">
        <v>0.66102234081028099</v>
      </c>
      <c r="AI3155">
        <v>93.697533716859098</v>
      </c>
      <c r="AJ3155">
        <v>122.732932189604</v>
      </c>
      <c r="AK3155">
        <v>0.78744781140672304</v>
      </c>
      <c r="AL3155">
        <v>89.971022691255897</v>
      </c>
      <c r="AM3155">
        <v>96.227731560815599</v>
      </c>
      <c r="AN3155">
        <v>0.99999995177263101</v>
      </c>
    </row>
    <row r="3156" spans="1:40" x14ac:dyDescent="0.25">
      <c r="A3156" t="str">
        <f>"20190312160700922"</f>
        <v>20190312160700922</v>
      </c>
      <c r="B3156" t="str">
        <f>"1552378020918018"</f>
        <v>1552378020918018</v>
      </c>
      <c r="C3156" t="s">
        <v>40</v>
      </c>
      <c r="D3156">
        <v>6.1198649999999999</v>
      </c>
      <c r="E3156">
        <v>0.36625530000000001</v>
      </c>
      <c r="F3156" t="s">
        <v>44</v>
      </c>
      <c r="G3156">
        <v>-495.65289999999999</v>
      </c>
      <c r="H3156">
        <v>1.062589</v>
      </c>
      <c r="I3156">
        <v>250.2698</v>
      </c>
      <c r="J3156">
        <v>-496.11200000000002</v>
      </c>
      <c r="K3156">
        <v>1.1119810000000001</v>
      </c>
      <c r="L3156">
        <v>250.88640000000001</v>
      </c>
      <c r="M3156">
        <v>6.2651250000000006E-2</v>
      </c>
      <c r="N3156">
        <v>0</v>
      </c>
      <c r="O3156">
        <v>-0.99794380000000005</v>
      </c>
      <c r="P3156">
        <v>0.17078859999999901</v>
      </c>
      <c r="Q3156">
        <v>-1.169135E-2</v>
      </c>
      <c r="R3156">
        <v>-0.98523850000000002</v>
      </c>
      <c r="S3156">
        <v>1.554138</v>
      </c>
      <c r="T3156">
        <v>-0.16092509999999999</v>
      </c>
      <c r="U3156">
        <v>-2.777237</v>
      </c>
      <c r="V3156">
        <v>-0.1087288</v>
      </c>
      <c r="W3156">
        <v>1.2148059999999999E-3</v>
      </c>
      <c r="X3156">
        <v>0.99407069999999997</v>
      </c>
      <c r="Y3156">
        <v>-0.43206329999999998</v>
      </c>
      <c r="Z3156">
        <v>5.1121229999999997E-2</v>
      </c>
      <c r="AA3156">
        <v>0.90039319999999901</v>
      </c>
      <c r="AB3156">
        <v>24</v>
      </c>
      <c r="AC3156">
        <v>0.45909999999997803</v>
      </c>
      <c r="AD3156">
        <v>-4.9391999999999797E-2</v>
      </c>
      <c r="AE3156">
        <v>-0.61660000000000503</v>
      </c>
      <c r="AF3156">
        <v>-0.41783875286956701</v>
      </c>
      <c r="AG3156">
        <v>-4.9391999999999797E-2</v>
      </c>
      <c r="AH3156">
        <v>0.64150608267723397</v>
      </c>
      <c r="AI3156">
        <v>93.691346212037502</v>
      </c>
      <c r="AJ3156">
        <v>123.077818687275</v>
      </c>
      <c r="AK3156">
        <v>0.767175890637529</v>
      </c>
      <c r="AL3156">
        <v>89.930396725606897</v>
      </c>
      <c r="AM3156">
        <v>96.242046325505299</v>
      </c>
      <c r="AN3156">
        <v>0.99999999215077295</v>
      </c>
    </row>
    <row r="3157" spans="1:40" x14ac:dyDescent="0.25">
      <c r="A3157" t="str">
        <f>"20190312160700934"</f>
        <v>20190312160700934</v>
      </c>
      <c r="B3157" t="str">
        <f>"1552378020927777"</f>
        <v>1552378020927777</v>
      </c>
      <c r="C3157" t="s">
        <v>40</v>
      </c>
      <c r="D3157">
        <v>6.0857140000000003</v>
      </c>
      <c r="E3157">
        <v>0.38128129999999999</v>
      </c>
      <c r="F3157" t="s">
        <v>44</v>
      </c>
      <c r="G3157">
        <v>-495.62299999999999</v>
      </c>
      <c r="H3157">
        <v>1.062171</v>
      </c>
      <c r="I3157">
        <v>250.018</v>
      </c>
      <c r="J3157">
        <v>-496.10250000000002</v>
      </c>
      <c r="K3157">
        <v>1.1119810000000001</v>
      </c>
      <c r="L3157">
        <v>250.7629</v>
      </c>
      <c r="M3157">
        <v>6.4306299999999997E-2</v>
      </c>
      <c r="N3157">
        <v>0</v>
      </c>
      <c r="O3157">
        <v>-0.99783739999999999</v>
      </c>
      <c r="P3157">
        <v>0.17238499999999901</v>
      </c>
      <c r="Q3157">
        <v>-1.126068E-2</v>
      </c>
      <c r="R3157">
        <v>-0.98496570000000006</v>
      </c>
      <c r="S3157">
        <v>1.5614619999999999</v>
      </c>
      <c r="T3157">
        <v>-0.1590164</v>
      </c>
      <c r="U3157">
        <v>-2.7723689999999999</v>
      </c>
      <c r="V3157">
        <v>-0.1086932</v>
      </c>
      <c r="W3157">
        <v>1.7431409999999999E-3</v>
      </c>
      <c r="X3157">
        <v>0.99407380000000001</v>
      </c>
      <c r="Y3157">
        <v>-0.43306339999999999</v>
      </c>
      <c r="Z3157">
        <v>5.0542209999999997E-2</v>
      </c>
      <c r="AA3157">
        <v>0.89994529999999995</v>
      </c>
      <c r="AB3157">
        <v>24</v>
      </c>
      <c r="AC3157">
        <v>0.479499999999973</v>
      </c>
      <c r="AD3157">
        <v>-4.9809999999999903E-2</v>
      </c>
      <c r="AE3157">
        <v>-0.74490000000000101</v>
      </c>
      <c r="AF3157">
        <v>-0.42924414871158301</v>
      </c>
      <c r="AG3157">
        <v>-4.9809999999999903E-2</v>
      </c>
      <c r="AH3157">
        <v>0.77175584239237405</v>
      </c>
      <c r="AI3157">
        <v>93.228282959485995</v>
      </c>
      <c r="AJ3157">
        <v>119.082446084246</v>
      </c>
      <c r="AK3157">
        <v>0.88449909868235299</v>
      </c>
      <c r="AL3157">
        <v>89.9001253255324</v>
      </c>
      <c r="AM3157">
        <v>96.239999373182698</v>
      </c>
      <c r="AN3157">
        <v>0.99999998505661203</v>
      </c>
    </row>
    <row r="3158" spans="1:40" x14ac:dyDescent="0.25">
      <c r="A3158" t="str">
        <f>"20190312160700946"</f>
        <v>20190312160700946</v>
      </c>
      <c r="B3158" t="str">
        <f>"1552378020938513"</f>
        <v>1552378020938513</v>
      </c>
      <c r="C3158" t="s">
        <v>40</v>
      </c>
      <c r="D3158">
        <v>5.7017569999999997</v>
      </c>
      <c r="E3158">
        <v>0.38128129999999999</v>
      </c>
      <c r="F3158" t="s">
        <v>44</v>
      </c>
      <c r="G3158">
        <v>-495.59930000000003</v>
      </c>
      <c r="H3158">
        <v>1.025048</v>
      </c>
      <c r="I3158">
        <v>249.79249999999999</v>
      </c>
      <c r="J3158">
        <v>-496.09199999999998</v>
      </c>
      <c r="K3158">
        <v>1.1119829999999999</v>
      </c>
      <c r="L3158">
        <v>250.63130000000001</v>
      </c>
      <c r="M3158">
        <v>6.6071699999999997E-2</v>
      </c>
      <c r="N3158">
        <v>0</v>
      </c>
      <c r="O3158">
        <v>-0.99772059999999996</v>
      </c>
      <c r="P3158">
        <v>0.17402379999999901</v>
      </c>
      <c r="Q3158">
        <v>-1.1432929999999999E-2</v>
      </c>
      <c r="R3158">
        <v>-0.98467510000000003</v>
      </c>
      <c r="S3158">
        <v>1.44696</v>
      </c>
      <c r="T3158">
        <v>-0.24991540000000001</v>
      </c>
      <c r="U3158">
        <v>-2.7897029999999998</v>
      </c>
      <c r="V3158">
        <v>-0.1085879</v>
      </c>
      <c r="W3158">
        <v>1.6630320000000001E-3</v>
      </c>
      <c r="X3158">
        <v>0.99408540000000001</v>
      </c>
      <c r="Y3158">
        <v>-0.39928819999999998</v>
      </c>
      <c r="Z3158">
        <v>8.019445E-2</v>
      </c>
      <c r="AA3158">
        <v>0.9133114</v>
      </c>
      <c r="AB3158">
        <v>24</v>
      </c>
      <c r="AC3158">
        <v>0.49269999999995601</v>
      </c>
      <c r="AD3158">
        <v>-8.6934999999999901E-2</v>
      </c>
      <c r="AE3158">
        <v>-0.83880000000001997</v>
      </c>
      <c r="AF3158">
        <v>-0.43274105484131598</v>
      </c>
      <c r="AG3158">
        <v>-8.6934999999999901E-2</v>
      </c>
      <c r="AH3158">
        <v>0.86263415465127002</v>
      </c>
      <c r="AI3158">
        <v>95.147282831167004</v>
      </c>
      <c r="AJ3158">
        <v>116.640665171864</v>
      </c>
      <c r="AK3158">
        <v>0.96899958696641597</v>
      </c>
      <c r="AL3158">
        <v>89.904715235575793</v>
      </c>
      <c r="AM3158">
        <v>96.233929622864395</v>
      </c>
      <c r="AN3158">
        <v>0.99999994009749904</v>
      </c>
    </row>
    <row r="3159" spans="1:40" x14ac:dyDescent="0.25">
      <c r="A3159" t="str">
        <f>"20190312160700967"</f>
        <v>20190312160700967</v>
      </c>
      <c r="B3159" t="str">
        <f>"1552378020958050"</f>
        <v>1552378020958050</v>
      </c>
      <c r="C3159" t="s">
        <v>40</v>
      </c>
      <c r="D3159">
        <v>6.1177349999999997</v>
      </c>
      <c r="E3159">
        <v>0.37484089999999998</v>
      </c>
      <c r="F3159" t="s">
        <v>47</v>
      </c>
      <c r="G3159">
        <v>-489.65300000000002</v>
      </c>
      <c r="H3159" s="1">
        <v>-3.764781E-6</v>
      </c>
      <c r="I3159">
        <v>238.26509999999999</v>
      </c>
      <c r="J3159">
        <v>-496.07380000000001</v>
      </c>
      <c r="K3159">
        <v>1.11198</v>
      </c>
      <c r="L3159">
        <v>250.40950000000001</v>
      </c>
      <c r="M3159">
        <v>6.9049429999999995E-2</v>
      </c>
      <c r="N3159">
        <v>0</v>
      </c>
      <c r="O3159">
        <v>-0.99751710000000005</v>
      </c>
      <c r="P3159">
        <v>0.17695069999999999</v>
      </c>
      <c r="Q3159">
        <v>-1.1078920000000001E-2</v>
      </c>
      <c r="R3159">
        <v>-0.98415750000000002</v>
      </c>
      <c r="S3159">
        <v>1.4512940000000001</v>
      </c>
      <c r="T3159">
        <v>-0.25063370000000001</v>
      </c>
      <c r="U3159">
        <v>-2.7872620000000001</v>
      </c>
      <c r="V3159">
        <v>-0.1085779</v>
      </c>
      <c r="W3159">
        <v>2.158465E-3</v>
      </c>
      <c r="X3159">
        <v>0.99408560000000001</v>
      </c>
      <c r="Y3159">
        <v>-0.39798800000000001</v>
      </c>
      <c r="Z3159">
        <v>8.0457150000000005E-2</v>
      </c>
      <c r="AA3159">
        <v>0.91385570000000005</v>
      </c>
      <c r="AB3159">
        <v>24</v>
      </c>
      <c r="AC3159">
        <v>6.4207999999999803</v>
      </c>
      <c r="AD3159">
        <v>-1.111983764781</v>
      </c>
      <c r="AE3159">
        <v>-12.144399999999999</v>
      </c>
      <c r="AF3159">
        <v>-5.5305896469155202</v>
      </c>
      <c r="AG3159">
        <v>-1.111983764781</v>
      </c>
      <c r="AH3159">
        <v>12.477050201007399</v>
      </c>
      <c r="AI3159">
        <v>94.657985330787298</v>
      </c>
      <c r="AJ3159">
        <v>113.90584190474399</v>
      </c>
      <c r="AK3159">
        <v>13.693089916237399</v>
      </c>
      <c r="AL3159">
        <v>89.876328969210206</v>
      </c>
      <c r="AM3159">
        <v>96.233358807406404</v>
      </c>
      <c r="AN3159">
        <v>0.99999999973346299</v>
      </c>
    </row>
    <row r="3160" spans="1:40" x14ac:dyDescent="0.25">
      <c r="A3160" t="str">
        <f>"20190312160700983"</f>
        <v>20190312160700983</v>
      </c>
      <c r="B3160" t="str">
        <f>"1552378020978529"</f>
        <v>1552378020978529</v>
      </c>
      <c r="C3160" t="s">
        <v>40</v>
      </c>
      <c r="D3160">
        <v>6.0961449999999999</v>
      </c>
      <c r="E3160">
        <v>0.37503330000000001</v>
      </c>
      <c r="F3160" t="s">
        <v>47</v>
      </c>
      <c r="G3160">
        <v>-485.72910000000002</v>
      </c>
      <c r="H3160" s="1">
        <v>-1.7400470000000001E-6</v>
      </c>
      <c r="I3160">
        <v>231.422</v>
      </c>
      <c r="J3160">
        <v>-496.06139999999999</v>
      </c>
      <c r="K3160">
        <v>1.1119810000000001</v>
      </c>
      <c r="L3160">
        <v>250.26240000000001</v>
      </c>
      <c r="M3160">
        <v>7.102472E-2</v>
      </c>
      <c r="N3160">
        <v>0</v>
      </c>
      <c r="O3160">
        <v>-0.99737730000000002</v>
      </c>
      <c r="P3160">
        <v>0.17884050000000001</v>
      </c>
      <c r="Q3160">
        <v>-1.101004E-2</v>
      </c>
      <c r="R3160">
        <v>-0.98381680000000005</v>
      </c>
      <c r="S3160">
        <v>1.5116879999999999</v>
      </c>
      <c r="T3160">
        <v>-0.16249559999999999</v>
      </c>
      <c r="U3160">
        <v>-2.7746729999999999</v>
      </c>
      <c r="V3160">
        <v>-0.10852000000000001</v>
      </c>
      <c r="W3160">
        <v>2.311053E-3</v>
      </c>
      <c r="X3160">
        <v>0.99409159999999996</v>
      </c>
      <c r="Y3160">
        <v>-0.41419149999999999</v>
      </c>
      <c r="Z3160">
        <v>5.2020980000000001E-2</v>
      </c>
      <c r="AA3160">
        <v>0.90870200000000001</v>
      </c>
      <c r="AB3160">
        <v>24</v>
      </c>
      <c r="AC3160">
        <v>10.332299999999901</v>
      </c>
      <c r="AD3160">
        <v>-1.1119827400469999</v>
      </c>
      <c r="AE3160">
        <v>-18.840399999999999</v>
      </c>
      <c r="AF3160">
        <v>-8.9439848028945104</v>
      </c>
      <c r="AG3160">
        <v>-1.1119827400469999</v>
      </c>
      <c r="AH3160">
        <v>19.474576221773201</v>
      </c>
      <c r="AI3160">
        <v>92.970331348919004</v>
      </c>
      <c r="AJ3160">
        <v>114.667647195684</v>
      </c>
      <c r="AK3160">
        <v>21.459042121824201</v>
      </c>
      <c r="AL3160">
        <v>89.867586301684298</v>
      </c>
      <c r="AM3160">
        <v>96.230023659411401</v>
      </c>
      <c r="AN3160">
        <v>1.00000002027826</v>
      </c>
    </row>
    <row r="3161" spans="1:40" x14ac:dyDescent="0.25">
      <c r="A3161" t="str">
        <f>"20190312160701002"</f>
        <v>20190312160701002</v>
      </c>
      <c r="B3161" t="str">
        <f>"1552378020998049"</f>
        <v>1552378020998049</v>
      </c>
      <c r="C3161" t="s">
        <v>40</v>
      </c>
      <c r="D3161">
        <v>6.1526129999999997</v>
      </c>
      <c r="E3161">
        <v>0.37663629999999998</v>
      </c>
      <c r="F3161" t="s">
        <v>47</v>
      </c>
      <c r="G3161">
        <v>-485.69119999999998</v>
      </c>
      <c r="H3161" s="1">
        <v>-1.7044510000000001E-6</v>
      </c>
      <c r="I3161">
        <v>231.2878</v>
      </c>
      <c r="J3161">
        <v>-496.04250000000002</v>
      </c>
      <c r="K3161">
        <v>1.11198</v>
      </c>
      <c r="L3161">
        <v>250.04470000000001</v>
      </c>
      <c r="M3161">
        <v>7.3948819999999998E-2</v>
      </c>
      <c r="N3161">
        <v>0</v>
      </c>
      <c r="O3161">
        <v>-0.99716320000000003</v>
      </c>
      <c r="P3161">
        <v>0.1819151</v>
      </c>
      <c r="Q3161">
        <v>-1.0614159999999999E-2</v>
      </c>
      <c r="R3161">
        <v>-0.98325709999999999</v>
      </c>
      <c r="S3161">
        <v>1.515045</v>
      </c>
      <c r="T3161">
        <v>-0.16245679999999901</v>
      </c>
      <c r="U3161">
        <v>-2.772125</v>
      </c>
      <c r="V3161">
        <v>-0.1087147</v>
      </c>
      <c r="W3161">
        <v>2.8160220000000001E-3</v>
      </c>
      <c r="X3161">
        <v>0.99406899999999998</v>
      </c>
      <c r="Y3161">
        <v>-0.41272110000000001</v>
      </c>
      <c r="Z3161">
        <v>5.2037380000000001E-2</v>
      </c>
      <c r="AA3161">
        <v>0.90936980000000001</v>
      </c>
      <c r="AB3161">
        <v>24</v>
      </c>
      <c r="AC3161">
        <v>10.3513</v>
      </c>
      <c r="AD3161">
        <v>-1.1119817044510001</v>
      </c>
      <c r="AE3161">
        <v>-18.756900000000002</v>
      </c>
      <c r="AF3161">
        <v>-8.9117566076747394</v>
      </c>
      <c r="AG3161">
        <v>-1.1119817044510001</v>
      </c>
      <c r="AH3161">
        <v>19.418760382115899</v>
      </c>
      <c r="AI3161">
        <v>92.979233801311395</v>
      </c>
      <c r="AJ3161">
        <v>114.65157830334999</v>
      </c>
      <c r="AK3161">
        <v>21.394956506698001</v>
      </c>
      <c r="AL3161">
        <v>89.838653610552001</v>
      </c>
      <c r="AM3161">
        <v>96.241253831876804</v>
      </c>
      <c r="AN3161">
        <v>0.99999999636849701</v>
      </c>
    </row>
    <row r="3162" spans="1:40" x14ac:dyDescent="0.25">
      <c r="A3162" t="str">
        <f>"20190312160701025"</f>
        <v>20190312160701025</v>
      </c>
      <c r="B3162" t="str">
        <f>"1552378021018545"</f>
        <v>1552378021018545</v>
      </c>
      <c r="C3162" t="s">
        <v>40</v>
      </c>
      <c r="D3162">
        <v>6.1321389999999996</v>
      </c>
      <c r="E3162">
        <v>0.37782149999999998</v>
      </c>
      <c r="F3162" t="s">
        <v>47</v>
      </c>
      <c r="G3162">
        <v>-486.9074</v>
      </c>
      <c r="H3162" s="1">
        <v>-2.1217240000000002E-6</v>
      </c>
      <c r="I3162">
        <v>233.2998</v>
      </c>
      <c r="J3162">
        <v>-496.02140000000003</v>
      </c>
      <c r="K3162">
        <v>1.111985</v>
      </c>
      <c r="L3162">
        <v>249.8091</v>
      </c>
      <c r="M3162">
        <v>7.7116690000000002E-2</v>
      </c>
      <c r="N3162">
        <v>0</v>
      </c>
      <c r="O3162">
        <v>-0.99692159999999996</v>
      </c>
      <c r="P3162">
        <v>0.18517059999999999</v>
      </c>
      <c r="Q3162">
        <v>-1.061425E-2</v>
      </c>
      <c r="R3162">
        <v>-0.98264910000000005</v>
      </c>
      <c r="S3162">
        <v>1.5109250000000001</v>
      </c>
      <c r="T3162">
        <v>-0.18391869999999999</v>
      </c>
      <c r="U3162">
        <v>-2.7695620000000001</v>
      </c>
      <c r="V3162">
        <v>-0.1088483</v>
      </c>
      <c r="W3162">
        <v>2.9185420000000001E-3</v>
      </c>
      <c r="X3162">
        <v>0.99405410000000005</v>
      </c>
      <c r="Y3162">
        <v>-0.4089527</v>
      </c>
      <c r="Z3162">
        <v>5.8985170000000003E-2</v>
      </c>
      <c r="AA3162">
        <v>0.91064730000000005</v>
      </c>
      <c r="AB3162">
        <v>24</v>
      </c>
      <c r="AC3162">
        <v>9.1140000000000292</v>
      </c>
      <c r="AD3162">
        <v>-1.111987121724</v>
      </c>
      <c r="AE3162">
        <v>-16.5092999999999</v>
      </c>
      <c r="AF3162">
        <v>-7.7865095346396798</v>
      </c>
      <c r="AG3162">
        <v>-1.111987121724</v>
      </c>
      <c r="AH3162">
        <v>17.103568626966801</v>
      </c>
      <c r="AI3162">
        <v>93.386331273013795</v>
      </c>
      <c r="AJ3162">
        <v>114.477706142516</v>
      </c>
      <c r="AK3162">
        <v>18.825469605544399</v>
      </c>
      <c r="AL3162">
        <v>89.832779625682605</v>
      </c>
      <c r="AM3162">
        <v>96.248956021712203</v>
      </c>
      <c r="AN3162">
        <v>1.0000000120135499</v>
      </c>
    </row>
    <row r="3163" spans="1:40" x14ac:dyDescent="0.25">
      <c r="A3163" t="str">
        <f>"20190312160701046"</f>
        <v>20190312160701046</v>
      </c>
      <c r="B3163" t="str">
        <f>"1552378021038065"</f>
        <v>1552378021038065</v>
      </c>
      <c r="C3163" t="s">
        <v>40</v>
      </c>
      <c r="D3163">
        <v>6.1217670000000002</v>
      </c>
      <c r="E3163">
        <v>0.3785946</v>
      </c>
      <c r="F3163" t="s">
        <v>47</v>
      </c>
      <c r="G3163">
        <v>-487.4239</v>
      </c>
      <c r="H3163" s="1">
        <v>-2.3567950000000001E-6</v>
      </c>
      <c r="I3163">
        <v>234.06129999999999</v>
      </c>
      <c r="J3163">
        <v>-496.00020000000001</v>
      </c>
      <c r="K3163">
        <v>1.1119859999999999</v>
      </c>
      <c r="L3163">
        <v>249.58160000000001</v>
      </c>
      <c r="M3163">
        <v>8.0175899999999994E-2</v>
      </c>
      <c r="N3163">
        <v>0</v>
      </c>
      <c r="O3163">
        <v>-0.99667919999999999</v>
      </c>
      <c r="P3163">
        <v>0.1884547</v>
      </c>
      <c r="Q3163">
        <v>-1.0288139999999999E-2</v>
      </c>
      <c r="R3163">
        <v>-0.98202809999999996</v>
      </c>
      <c r="S3163">
        <v>1.510254</v>
      </c>
      <c r="T3163">
        <v>-0.19533429999999999</v>
      </c>
      <c r="U3163">
        <v>-2.7662810000000002</v>
      </c>
      <c r="V3163">
        <v>-0.1091226</v>
      </c>
      <c r="W3163">
        <v>3.3286190000000001E-3</v>
      </c>
      <c r="X3163">
        <v>0.99402270000000004</v>
      </c>
      <c r="Y3163">
        <v>-0.40632659999999998</v>
      </c>
      <c r="Z3163">
        <v>6.2714430000000002E-2</v>
      </c>
      <c r="AA3163">
        <v>0.91157319999999997</v>
      </c>
      <c r="AB3163">
        <v>24</v>
      </c>
      <c r="AC3163">
        <v>8.5762999999999998</v>
      </c>
      <c r="AD3163">
        <v>-1.111988356795</v>
      </c>
      <c r="AE3163">
        <v>-15.520300000000001</v>
      </c>
      <c r="AF3163">
        <v>-7.2755934717048003</v>
      </c>
      <c r="AG3163">
        <v>-1.111988356795</v>
      </c>
      <c r="AH3163">
        <v>16.094714941507998</v>
      </c>
      <c r="AI3163">
        <v>93.602390587356794</v>
      </c>
      <c r="AJ3163">
        <v>114.325280880935</v>
      </c>
      <c r="AK3163">
        <v>17.697757697503999</v>
      </c>
      <c r="AL3163">
        <v>89.809283822710796</v>
      </c>
      <c r="AM3163">
        <v>96.264774789914298</v>
      </c>
      <c r="AN3163">
        <v>0.99999997482524805</v>
      </c>
    </row>
    <row r="3164" spans="1:40" x14ac:dyDescent="0.25">
      <c r="A3164" t="str">
        <f>"20190312160701059"</f>
        <v>20190312160701059</v>
      </c>
      <c r="B3164" t="str">
        <f>"1552378021047826"</f>
        <v>1552378021047826</v>
      </c>
      <c r="C3164" t="s">
        <v>40</v>
      </c>
      <c r="D3164">
        <v>6.229768</v>
      </c>
      <c r="E3164">
        <v>0.37878079999999997</v>
      </c>
      <c r="F3164" t="s">
        <v>47</v>
      </c>
      <c r="G3164">
        <v>-487.73219999999998</v>
      </c>
      <c r="H3164" s="1">
        <v>-2.4880999999999999E-6</v>
      </c>
      <c r="I3164">
        <v>234.4949</v>
      </c>
      <c r="J3164">
        <v>-495.9871</v>
      </c>
      <c r="K3164">
        <v>1.1119870000000001</v>
      </c>
      <c r="L3164">
        <v>249.44399999999999</v>
      </c>
      <c r="M3164">
        <v>8.2025989999999993E-2</v>
      </c>
      <c r="N3164">
        <v>0</v>
      </c>
      <c r="O3164">
        <v>-0.99652799999999997</v>
      </c>
      <c r="P3164">
        <v>0.19033410000000001</v>
      </c>
      <c r="Q3164">
        <v>-1.0159649999999999E-2</v>
      </c>
      <c r="R3164">
        <v>-0.98166699999999996</v>
      </c>
      <c r="S3164">
        <v>1.5138240000000001</v>
      </c>
      <c r="T3164">
        <v>-0.2035998</v>
      </c>
      <c r="U3164">
        <v>-2.7622990000000001</v>
      </c>
      <c r="V3164">
        <v>-0.1091809</v>
      </c>
      <c r="W3164">
        <v>3.502664E-3</v>
      </c>
      <c r="X3164">
        <v>0.9940158</v>
      </c>
      <c r="Y3164">
        <v>-0.40600740000000002</v>
      </c>
      <c r="Z3164">
        <v>6.5409010000000004E-2</v>
      </c>
      <c r="AA3164">
        <v>0.91152599999999995</v>
      </c>
      <c r="AB3164">
        <v>24</v>
      </c>
      <c r="AC3164">
        <v>8.2549000000000099</v>
      </c>
      <c r="AD3164">
        <v>-1.1119894881000001</v>
      </c>
      <c r="AE3164">
        <v>-14.9491</v>
      </c>
      <c r="AF3164">
        <v>-6.9711781201602498</v>
      </c>
      <c r="AG3164">
        <v>-1.1119894881000001</v>
      </c>
      <c r="AH3164">
        <v>15.5101334614896</v>
      </c>
      <c r="AI3164">
        <v>93.741408496442403</v>
      </c>
      <c r="AJ3164">
        <v>114.201990751681</v>
      </c>
      <c r="AK3164">
        <v>17.041070535558099</v>
      </c>
      <c r="AL3164">
        <v>89.799311740257593</v>
      </c>
      <c r="AM3164">
        <v>96.2681383473507</v>
      </c>
      <c r="AN3164">
        <v>1.0000000741147701</v>
      </c>
    </row>
    <row r="3165" spans="1:40" x14ac:dyDescent="0.25">
      <c r="A3165" t="str">
        <f>"20190312160701079"</f>
        <v>20190312160701079</v>
      </c>
      <c r="B3165" t="str">
        <f>"1552378021068325"</f>
        <v>1552378021068325</v>
      </c>
      <c r="C3165" t="s">
        <v>40</v>
      </c>
      <c r="D3165">
        <v>6.3070719999999998</v>
      </c>
      <c r="E3165">
        <v>0.3796272</v>
      </c>
      <c r="F3165" t="s">
        <v>47</v>
      </c>
      <c r="G3165">
        <v>-487.84870000000001</v>
      </c>
      <c r="H3165" s="1">
        <v>-2.53318E-6</v>
      </c>
      <c r="I3165">
        <v>234.6481</v>
      </c>
      <c r="J3165">
        <v>-495.9674</v>
      </c>
      <c r="K3165">
        <v>1.1119859999999999</v>
      </c>
      <c r="L3165">
        <v>249.24260000000001</v>
      </c>
      <c r="M3165">
        <v>8.4736039999999999E-2</v>
      </c>
      <c r="N3165">
        <v>0</v>
      </c>
      <c r="O3165">
        <v>-0.99630030000000003</v>
      </c>
      <c r="P3165">
        <v>0.19307089999999999</v>
      </c>
      <c r="Q3165">
        <v>-9.678397E-3</v>
      </c>
      <c r="R3165">
        <v>-0.98113720000000004</v>
      </c>
      <c r="S3165">
        <v>1.5178830000000001</v>
      </c>
      <c r="T3165">
        <v>-0.20739589999999999</v>
      </c>
      <c r="U3165">
        <v>-2.7595670000000001</v>
      </c>
      <c r="V3165">
        <v>-0.1092508</v>
      </c>
      <c r="W3165">
        <v>4.0438710000000001E-3</v>
      </c>
      <c r="X3165">
        <v>0.99400599999999995</v>
      </c>
      <c r="Y3165">
        <v>-0.40489330000000001</v>
      </c>
      <c r="Z3165">
        <v>6.6652100000000006E-2</v>
      </c>
      <c r="AA3165">
        <v>0.91193150000000001</v>
      </c>
      <c r="AB3165">
        <v>24</v>
      </c>
      <c r="AC3165">
        <v>8.1186999999999898</v>
      </c>
      <c r="AD3165">
        <v>-1.1119885331799999</v>
      </c>
      <c r="AE3165">
        <v>-14.5945</v>
      </c>
      <c r="AF3165">
        <v>-6.8224410253148697</v>
      </c>
      <c r="AG3165">
        <v>-1.1119885331799999</v>
      </c>
      <c r="AH3165">
        <v>15.162794283749401</v>
      </c>
      <c r="AI3165">
        <v>93.826164702155594</v>
      </c>
      <c r="AJ3165">
        <v>114.225179822125</v>
      </c>
      <c r="AK3165">
        <v>16.664109653177601</v>
      </c>
      <c r="AL3165">
        <v>89.768302629426501</v>
      </c>
      <c r="AM3165">
        <v>96.272180718210507</v>
      </c>
      <c r="AN3165">
        <v>1.0000000091146499</v>
      </c>
    </row>
    <row r="3166" spans="1:40" x14ac:dyDescent="0.25">
      <c r="A3166" t="str">
        <f>"20190312160701090"</f>
        <v>20190312160701090</v>
      </c>
      <c r="B3166" t="str">
        <f>"1552378021087841"</f>
        <v>1552378021087841</v>
      </c>
      <c r="C3166" t="s">
        <v>40</v>
      </c>
      <c r="D3166">
        <v>6.0675239999999997</v>
      </c>
      <c r="E3166">
        <v>0.38005260000000002</v>
      </c>
      <c r="F3166" t="s">
        <v>47</v>
      </c>
      <c r="G3166">
        <v>-487.93959999999998</v>
      </c>
      <c r="H3166" s="1">
        <v>-2.5252279999999999E-6</v>
      </c>
      <c r="I3166">
        <v>234.66720000000001</v>
      </c>
      <c r="J3166">
        <v>-495.9547</v>
      </c>
      <c r="K3166">
        <v>1.1119889999999999</v>
      </c>
      <c r="L3166">
        <v>249.1156</v>
      </c>
      <c r="M3166">
        <v>8.6446060000000005E-2</v>
      </c>
      <c r="N3166">
        <v>0</v>
      </c>
      <c r="O3166">
        <v>-0.99615310000000001</v>
      </c>
      <c r="P3166">
        <v>0.19444980000000001</v>
      </c>
      <c r="Q3166">
        <v>-9.3948320000000005E-3</v>
      </c>
      <c r="R3166">
        <v>-0.98086759999999995</v>
      </c>
      <c r="S3166">
        <v>1.5183719999999901</v>
      </c>
      <c r="T3166">
        <v>-0.21032239999999999</v>
      </c>
      <c r="U3166">
        <v>-2.7568049999999999</v>
      </c>
      <c r="V3166">
        <v>-0.1089435</v>
      </c>
      <c r="W3166">
        <v>4.363825E-3</v>
      </c>
      <c r="X3166">
        <v>0.99403830000000004</v>
      </c>
      <c r="Y3166">
        <v>-0.40380169999999999</v>
      </c>
      <c r="Z3166">
        <v>6.7645999999999998E-2</v>
      </c>
      <c r="AA3166">
        <v>0.91234210000000004</v>
      </c>
      <c r="AB3166">
        <v>24</v>
      </c>
      <c r="AC3166">
        <v>8.0151000000000092</v>
      </c>
      <c r="AD3166">
        <v>-1.1119915252279999</v>
      </c>
      <c r="AE3166">
        <v>-14.4483999999999</v>
      </c>
      <c r="AF3166">
        <v>-6.7055811213363299</v>
      </c>
      <c r="AG3166">
        <v>-1.1119915252279999</v>
      </c>
      <c r="AH3166">
        <v>15.0192184698068</v>
      </c>
      <c r="AI3166">
        <v>93.867645142982695</v>
      </c>
      <c r="AJ3166">
        <v>114.05917167666399</v>
      </c>
      <c r="AK3166">
        <v>16.485698856001999</v>
      </c>
      <c r="AL3166">
        <v>89.749970435287693</v>
      </c>
      <c r="AM3166">
        <v>96.254476761502104</v>
      </c>
      <c r="AN3166">
        <v>0.999999935513883</v>
      </c>
    </row>
    <row r="3167" spans="1:40" x14ac:dyDescent="0.25">
      <c r="A3167" t="str">
        <f>"20190312160701104"</f>
        <v>20190312160701104</v>
      </c>
      <c r="B3167" t="str">
        <f>"1552378021097602"</f>
        <v>1552378021097602</v>
      </c>
      <c r="C3167" t="s">
        <v>40</v>
      </c>
      <c r="D3167">
        <v>5.8439230000000002</v>
      </c>
      <c r="E3167">
        <v>0.37943209999999999</v>
      </c>
      <c r="F3167" t="s">
        <v>47</v>
      </c>
      <c r="G3167">
        <v>-488.01150000000001</v>
      </c>
      <c r="H3167" s="1">
        <v>-2.5293300000000001E-6</v>
      </c>
      <c r="I3167">
        <v>234.70650000000001</v>
      </c>
      <c r="J3167">
        <v>-495.94099999999997</v>
      </c>
      <c r="K3167">
        <v>1.1119889999999999</v>
      </c>
      <c r="L3167">
        <v>248.9812</v>
      </c>
      <c r="M3167">
        <v>8.8254970000000002E-2</v>
      </c>
      <c r="N3167">
        <v>0</v>
      </c>
      <c r="O3167">
        <v>-0.99599380000000004</v>
      </c>
      <c r="P3167">
        <v>0.1960924</v>
      </c>
      <c r="Q3167">
        <v>-8.7533569999999998E-3</v>
      </c>
      <c r="R3167">
        <v>-0.98054649999999999</v>
      </c>
      <c r="S3167">
        <v>1.518921</v>
      </c>
      <c r="T3167">
        <v>-0.21264040000000001</v>
      </c>
      <c r="U3167">
        <v>-2.7553709999999998</v>
      </c>
      <c r="V3167">
        <v>-0.10880570000000001</v>
      </c>
      <c r="W3167">
        <v>5.0385430000000004E-3</v>
      </c>
      <c r="X3167">
        <v>0.99405030000000005</v>
      </c>
      <c r="Y3167">
        <v>-0.40245540000000002</v>
      </c>
      <c r="Z3167">
        <v>6.8420170000000002E-2</v>
      </c>
      <c r="AA3167">
        <v>0.9128792</v>
      </c>
      <c r="AB3167">
        <v>24</v>
      </c>
      <c r="AC3167">
        <v>7.92949999999996</v>
      </c>
      <c r="AD3167">
        <v>-1.11199152932999</v>
      </c>
      <c r="AE3167">
        <v>-14.2746999999999</v>
      </c>
      <c r="AF3167">
        <v>-6.6079645810206697</v>
      </c>
      <c r="AG3167">
        <v>-1.11199152932999</v>
      </c>
      <c r="AH3167">
        <v>14.8500128285492</v>
      </c>
      <c r="AI3167">
        <v>93.913734017270301</v>
      </c>
      <c r="AJ3167">
        <v>113.988126411729</v>
      </c>
      <c r="AK3167">
        <v>16.291856925267901</v>
      </c>
      <c r="AL3167">
        <v>89.711311539266404</v>
      </c>
      <c r="AM3167">
        <v>96.246553392519203</v>
      </c>
      <c r="AN3167">
        <v>1.0000000330990699</v>
      </c>
    </row>
    <row r="3168" spans="1:40" x14ac:dyDescent="0.25">
      <c r="A3168" t="str">
        <f>"20190312160701117"</f>
        <v>20190312160701117</v>
      </c>
      <c r="B3168" t="str">
        <f>"1552378021108338"</f>
        <v>1552378021108338</v>
      </c>
      <c r="C3168" t="s">
        <v>40</v>
      </c>
      <c r="D3168">
        <v>6.1268390000000004</v>
      </c>
      <c r="E3168">
        <v>0.37943209999999999</v>
      </c>
      <c r="F3168" t="s">
        <v>47</v>
      </c>
      <c r="G3168">
        <v>-487.74020000000002</v>
      </c>
      <c r="H3168" s="1">
        <v>-2.3664400000000002E-6</v>
      </c>
      <c r="I3168">
        <v>234.21459999999999</v>
      </c>
      <c r="J3168">
        <v>-495.92720000000003</v>
      </c>
      <c r="K3168">
        <v>1.111996</v>
      </c>
      <c r="L3168">
        <v>248.84829999999999</v>
      </c>
      <c r="M3168">
        <v>9.0044979999999997E-2</v>
      </c>
      <c r="N3168">
        <v>0</v>
      </c>
      <c r="O3168">
        <v>-0.99583330000000003</v>
      </c>
      <c r="P3168">
        <v>0.19780929999999999</v>
      </c>
      <c r="Q3168">
        <v>-8.4349569999999999E-3</v>
      </c>
      <c r="R3168">
        <v>-0.98020450000000003</v>
      </c>
      <c r="S3168">
        <v>1.528351</v>
      </c>
      <c r="T3168">
        <v>-0.20723810000000001</v>
      </c>
      <c r="U3168">
        <v>-2.7519990000000001</v>
      </c>
      <c r="V3168">
        <v>-0.10876089999999999</v>
      </c>
      <c r="W3168">
        <v>5.3875819999999897E-3</v>
      </c>
      <c r="X3168">
        <v>0.99405330000000003</v>
      </c>
      <c r="Y3168">
        <v>-0.4037348</v>
      </c>
      <c r="Z3168">
        <v>6.6673899999999994E-2</v>
      </c>
      <c r="AA3168">
        <v>0.91244329999999996</v>
      </c>
      <c r="AB3168">
        <v>24</v>
      </c>
      <c r="AC3168">
        <v>8.18700000000001</v>
      </c>
      <c r="AD3168">
        <v>-1.1119983664399999</v>
      </c>
      <c r="AE3168">
        <v>-14.633699999999999</v>
      </c>
      <c r="AF3168">
        <v>-6.8059754148871496</v>
      </c>
      <c r="AG3168">
        <v>-1.1119983664399999</v>
      </c>
      <c r="AH3168">
        <v>15.244473807269999</v>
      </c>
      <c r="AI3168">
        <v>93.810705280916196</v>
      </c>
      <c r="AJ3168">
        <v>114.05862414756599</v>
      </c>
      <c r="AK3168">
        <v>16.731760916758098</v>
      </c>
      <c r="AL3168">
        <v>89.691312784340496</v>
      </c>
      <c r="AM3168">
        <v>96.243983041322394</v>
      </c>
      <c r="AN3168">
        <v>0.999999961324752</v>
      </c>
    </row>
    <row r="3169" spans="1:40" x14ac:dyDescent="0.25">
      <c r="A3169" t="str">
        <f>"20190312160701135"</f>
        <v>20190312160701135</v>
      </c>
      <c r="B3169" t="str">
        <f>"1552378021127859"</f>
        <v>1552378021127859</v>
      </c>
      <c r="C3169" t="s">
        <v>40</v>
      </c>
      <c r="D3169">
        <v>6.0337449999999997</v>
      </c>
      <c r="E3169">
        <v>0.355427299999999</v>
      </c>
      <c r="F3169" t="s">
        <v>44</v>
      </c>
      <c r="G3169">
        <v>-495.39260000000002</v>
      </c>
      <c r="H3169">
        <v>1.03992</v>
      </c>
      <c r="I3169">
        <v>247.88919999999999</v>
      </c>
      <c r="J3169">
        <v>-495.90690000000001</v>
      </c>
      <c r="K3169">
        <v>1.1120030000000001</v>
      </c>
      <c r="L3169">
        <v>248.65629999999999</v>
      </c>
      <c r="M3169">
        <v>9.2629349999999999E-2</v>
      </c>
      <c r="N3169">
        <v>0</v>
      </c>
      <c r="O3169">
        <v>-0.99559580000000003</v>
      </c>
      <c r="P3169">
        <v>0.20020070000000001</v>
      </c>
      <c r="Q3169">
        <v>-8.1742580000000002E-3</v>
      </c>
      <c r="R3169">
        <v>-0.97972119999999996</v>
      </c>
      <c r="S3169">
        <v>1.5335080000000001</v>
      </c>
      <c r="T3169">
        <v>-0.20661180000000001</v>
      </c>
      <c r="U3169">
        <v>-2.7493439999999998</v>
      </c>
      <c r="V3169">
        <v>-0.1086086</v>
      </c>
      <c r="W3169">
        <v>5.6879849999999996E-3</v>
      </c>
      <c r="X3169">
        <v>0.99406830000000002</v>
      </c>
      <c r="Y3169">
        <v>-0.40304780000000001</v>
      </c>
      <c r="Z3169">
        <v>6.648714E-2</v>
      </c>
      <c r="AA3169">
        <v>0.91276060000000003</v>
      </c>
      <c r="AB3169">
        <v>23</v>
      </c>
      <c r="AC3169">
        <v>0.51429999999999099</v>
      </c>
      <c r="AD3169">
        <v>-7.2082999999999897E-2</v>
      </c>
      <c r="AE3169">
        <v>-0.767099999999999</v>
      </c>
      <c r="AF3169">
        <v>-0.438354635481078</v>
      </c>
      <c r="AG3169">
        <v>-7.2082999999999897E-2</v>
      </c>
      <c r="AH3169">
        <v>0.80653232305278399</v>
      </c>
      <c r="AI3169">
        <v>94.489953159456903</v>
      </c>
      <c r="AJ3169">
        <v>118.52431694092</v>
      </c>
      <c r="AK3169">
        <v>0.92078506366343105</v>
      </c>
      <c r="AL3169">
        <v>89.674100702734904</v>
      </c>
      <c r="AM3169">
        <v>96.235215043166306</v>
      </c>
      <c r="AN3169">
        <v>0.99999998311610505</v>
      </c>
    </row>
    <row r="3170" spans="1:40" x14ac:dyDescent="0.25">
      <c r="A3170" t="str">
        <f>"20190312160701148"</f>
        <v>20190312160701148</v>
      </c>
      <c r="B3170" t="str">
        <f>"1552378021138594"</f>
        <v>1552378021138594</v>
      </c>
      <c r="C3170" t="s">
        <v>40</v>
      </c>
      <c r="D3170">
        <v>5.73665</v>
      </c>
      <c r="E3170">
        <v>0.35574270000000002</v>
      </c>
      <c r="F3170" t="s">
        <v>61</v>
      </c>
      <c r="G3170">
        <v>-479.95499999999998</v>
      </c>
      <c r="H3170">
        <v>5.222595E-2</v>
      </c>
      <c r="I3170">
        <v>223.67570000000001</v>
      </c>
      <c r="J3170">
        <v>-495.89170000000001</v>
      </c>
      <c r="K3170">
        <v>1.112007</v>
      </c>
      <c r="L3170">
        <v>248.517</v>
      </c>
      <c r="M3170">
        <v>9.4506660000000006E-2</v>
      </c>
      <c r="N3170">
        <v>0</v>
      </c>
      <c r="O3170">
        <v>-0.99541869999999999</v>
      </c>
      <c r="P3170">
        <v>0.2020467</v>
      </c>
      <c r="Q3170">
        <v>-7.7102159999999998E-3</v>
      </c>
      <c r="R3170">
        <v>-0.97934569999999999</v>
      </c>
      <c r="S3170">
        <v>1.7291259999999999</v>
      </c>
      <c r="T3170">
        <v>-0.11487600000000001</v>
      </c>
      <c r="U3170">
        <v>-2.7078090000000001</v>
      </c>
      <c r="V3170">
        <v>-0.10860880000000001</v>
      </c>
      <c r="W3170">
        <v>6.1762579999999996E-3</v>
      </c>
      <c r="X3170">
        <v>0.99406539999999999</v>
      </c>
      <c r="Y3170">
        <v>-0.45577390000000001</v>
      </c>
      <c r="Z3170">
        <v>3.6387750000000003E-2</v>
      </c>
      <c r="AA3170">
        <v>0.88935149999999996</v>
      </c>
      <c r="AB3170">
        <v>23</v>
      </c>
      <c r="AC3170">
        <v>15.9367</v>
      </c>
      <c r="AD3170">
        <v>-1.05978105</v>
      </c>
      <c r="AE3170">
        <v>-24.841299999999901</v>
      </c>
      <c r="AF3170">
        <v>-13.500034369819</v>
      </c>
      <c r="AG3170">
        <v>-1.05978105</v>
      </c>
      <c r="AH3170">
        <v>26.202590135823701</v>
      </c>
      <c r="AI3170">
        <v>92.059136703335994</v>
      </c>
      <c r="AJ3170">
        <v>117.25831844921601</v>
      </c>
      <c r="AK3170">
        <v>29.4949113185003</v>
      </c>
      <c r="AL3170">
        <v>89.646124240118496</v>
      </c>
      <c r="AM3170">
        <v>96.235244481549302</v>
      </c>
      <c r="AN3170">
        <v>1.0000000185387401</v>
      </c>
    </row>
    <row r="3171" spans="1:40" x14ac:dyDescent="0.25">
      <c r="A3171" t="str">
        <f>"20190312160701161"</f>
        <v>20190312160701161</v>
      </c>
      <c r="B3171" t="str">
        <f>"1552378021158114"</f>
        <v>1552378021158114</v>
      </c>
      <c r="C3171" t="s">
        <v>40</v>
      </c>
      <c r="D3171">
        <v>6.1264479999999999</v>
      </c>
      <c r="E3171">
        <v>0.35574210000000001</v>
      </c>
      <c r="F3171" t="s">
        <v>61</v>
      </c>
      <c r="G3171">
        <v>-480.10669999999999</v>
      </c>
      <c r="H3171" s="1">
        <v>2.7244109999999998E-6</v>
      </c>
      <c r="I3171">
        <v>223.8537</v>
      </c>
      <c r="J3171">
        <v>-495.8784</v>
      </c>
      <c r="K3171">
        <v>1.1120099999999999</v>
      </c>
      <c r="L3171">
        <v>248.39500000000001</v>
      </c>
      <c r="M3171">
        <v>9.6150040000000006E-2</v>
      </c>
      <c r="N3171">
        <v>0</v>
      </c>
      <c r="O3171">
        <v>-0.99526099999999995</v>
      </c>
      <c r="P3171">
        <v>0.20350070000000001</v>
      </c>
      <c r="Q3171">
        <v>-7.6064390000000004E-3</v>
      </c>
      <c r="R3171">
        <v>-0.97904530000000001</v>
      </c>
      <c r="S3171">
        <v>1.7313229999999999</v>
      </c>
      <c r="T3171">
        <v>-0.1219658</v>
      </c>
      <c r="U3171">
        <v>-2.7050930000000002</v>
      </c>
      <c r="V3171">
        <v>-0.1084437</v>
      </c>
      <c r="W3171">
        <v>6.3011869999999998E-3</v>
      </c>
      <c r="X3171">
        <v>0.99408260000000004</v>
      </c>
      <c r="Y3171">
        <v>-0.45517649999999998</v>
      </c>
      <c r="Z3171">
        <v>3.8651440000000002E-2</v>
      </c>
      <c r="AA3171">
        <v>0.88956199999999996</v>
      </c>
      <c r="AB3171">
        <v>23</v>
      </c>
      <c r="AC3171">
        <v>15.771699999999999</v>
      </c>
      <c r="AD3171">
        <v>-1.112007275589</v>
      </c>
      <c r="AE3171">
        <v>-24.5413</v>
      </c>
      <c r="AF3171">
        <v>-13.319362892202101</v>
      </c>
      <c r="AG3171">
        <v>-1.112007275589</v>
      </c>
      <c r="AH3171">
        <v>25.906538908470001</v>
      </c>
      <c r="AI3171">
        <v>92.186148427286099</v>
      </c>
      <c r="AJ3171">
        <v>117.209115031232</v>
      </c>
      <c r="AK3171">
        <v>29.1511705811482</v>
      </c>
      <c r="AL3171">
        <v>89.638966181986206</v>
      </c>
      <c r="AM3171">
        <v>96.225733684006002</v>
      </c>
      <c r="AN3171">
        <v>0.99999997832502896</v>
      </c>
    </row>
    <row r="3172" spans="1:40" x14ac:dyDescent="0.25">
      <c r="A3172" t="str">
        <f>"20190312160701179"</f>
        <v>20190312160701179</v>
      </c>
      <c r="B3172" t="str">
        <f>"1552378021167874"</f>
        <v>1552378021167874</v>
      </c>
      <c r="C3172" t="s">
        <v>40</v>
      </c>
      <c r="D3172">
        <v>6.1539149999999996</v>
      </c>
      <c r="E3172">
        <v>0.35578019999999999</v>
      </c>
      <c r="F3172" t="s">
        <v>61</v>
      </c>
      <c r="G3172">
        <v>-480.202</v>
      </c>
      <c r="H3172" s="1">
        <v>2.7700039999999998E-6</v>
      </c>
      <c r="I3172">
        <v>223.98339999999999</v>
      </c>
      <c r="J3172">
        <v>-495.85660000000001</v>
      </c>
      <c r="K3172">
        <v>1.1120159999999999</v>
      </c>
      <c r="L3172">
        <v>248.20169999999999</v>
      </c>
      <c r="M3172">
        <v>9.8755640000000006E-2</v>
      </c>
      <c r="N3172">
        <v>0</v>
      </c>
      <c r="O3172">
        <v>-0.99500549999999999</v>
      </c>
      <c r="P3172">
        <v>0.20590839999999999</v>
      </c>
      <c r="Q3172">
        <v>-7.1821640000000004E-3</v>
      </c>
      <c r="R3172">
        <v>-0.97854490000000005</v>
      </c>
      <c r="S3172">
        <v>1.735474</v>
      </c>
      <c r="T3172">
        <v>-0.1231066</v>
      </c>
      <c r="U3172">
        <v>-2.7025299999999999</v>
      </c>
      <c r="V3172">
        <v>-0.10828840000000001</v>
      </c>
      <c r="W3172">
        <v>6.7546489999999997E-3</v>
      </c>
      <c r="X3172">
        <v>0.9940966</v>
      </c>
      <c r="Y3172">
        <v>-0.4541885</v>
      </c>
      <c r="Z3172">
        <v>3.9023509999999997E-2</v>
      </c>
      <c r="AA3172">
        <v>0.89005059999999903</v>
      </c>
      <c r="AB3172">
        <v>23</v>
      </c>
      <c r="AC3172">
        <v>15.6546</v>
      </c>
      <c r="AD3172">
        <v>-1.1120132299959999</v>
      </c>
      <c r="AE3172">
        <v>-24.218299999999999</v>
      </c>
      <c r="AF3172">
        <v>-13.1665345260823</v>
      </c>
      <c r="AG3172">
        <v>-1.1120132299959999</v>
      </c>
      <c r="AH3172">
        <v>25.607953514336799</v>
      </c>
      <c r="AI3172">
        <v>92.211601307902797</v>
      </c>
      <c r="AJ3172">
        <v>117.210324988472</v>
      </c>
      <c r="AK3172">
        <v>28.815993615397701</v>
      </c>
      <c r="AL3172">
        <v>89.612984187472605</v>
      </c>
      <c r="AM3172">
        <v>96.216800934438794</v>
      </c>
      <c r="AN3172">
        <v>1.0000000264946101</v>
      </c>
    </row>
    <row r="3173" spans="1:40" x14ac:dyDescent="0.25">
      <c r="A3173" t="str">
        <f>"20190312160701195"</f>
        <v>20190312160701195</v>
      </c>
      <c r="B3173" t="str">
        <f>"1552378021188369"</f>
        <v>1552378021188369</v>
      </c>
      <c r="C3173" t="s">
        <v>40</v>
      </c>
      <c r="D3173">
        <v>6.1805870000000001</v>
      </c>
      <c r="E3173">
        <v>0.35586180000000001</v>
      </c>
      <c r="F3173" t="s">
        <v>61</v>
      </c>
      <c r="G3173">
        <v>-480.1028</v>
      </c>
      <c r="H3173" s="1">
        <v>2.7111230000000002E-6</v>
      </c>
      <c r="I3173">
        <v>223.79669999999999</v>
      </c>
      <c r="J3173">
        <v>-495.839</v>
      </c>
      <c r="K3173">
        <v>1.112018</v>
      </c>
      <c r="L3173">
        <v>248.0472</v>
      </c>
      <c r="M3173">
        <v>0.10083789999999999</v>
      </c>
      <c r="N3173">
        <v>0</v>
      </c>
      <c r="O3173">
        <v>-0.99479649999999997</v>
      </c>
      <c r="P3173">
        <v>0.20797270000000001</v>
      </c>
      <c r="Q3173">
        <v>-6.7101629999999999E-3</v>
      </c>
      <c r="R3173">
        <v>-0.97811150000000002</v>
      </c>
      <c r="S3173">
        <v>1.741852</v>
      </c>
      <c r="T3173">
        <v>-0.1229517</v>
      </c>
      <c r="U3173">
        <v>-2.6983799999999998</v>
      </c>
      <c r="V3173">
        <v>-0.108307</v>
      </c>
      <c r="W3173">
        <v>7.2462550000000001E-3</v>
      </c>
      <c r="X3173">
        <v>0.99409110000000001</v>
      </c>
      <c r="Y3173">
        <v>-0.4544338</v>
      </c>
      <c r="Z3173">
        <v>3.8986659999999999E-2</v>
      </c>
      <c r="AA3173">
        <v>0.88992700000000002</v>
      </c>
      <c r="AB3173">
        <v>23</v>
      </c>
      <c r="AC3173">
        <v>15.736199999999901</v>
      </c>
      <c r="AD3173">
        <v>-1.1120152888770001</v>
      </c>
      <c r="AE3173">
        <v>-24.250499999999999</v>
      </c>
      <c r="AF3173">
        <v>-13.190827184345901</v>
      </c>
      <c r="AG3173">
        <v>-1.1120152888770001</v>
      </c>
      <c r="AH3173">
        <v>25.675847429677201</v>
      </c>
      <c r="AI3173">
        <v>92.206133529067998</v>
      </c>
      <c r="AJ3173">
        <v>117.19158614322799</v>
      </c>
      <c r="AK3173">
        <v>28.887430502591201</v>
      </c>
      <c r="AL3173">
        <v>89.584816543883306</v>
      </c>
      <c r="AM3173">
        <v>96.217894522864796</v>
      </c>
      <c r="AN3173">
        <v>1.00000001477986</v>
      </c>
    </row>
    <row r="3174" spans="1:40" x14ac:dyDescent="0.25">
      <c r="A3174" t="str">
        <f>"20190312160701214"</f>
        <v>20190312160701214</v>
      </c>
      <c r="B3174" t="str">
        <f>"1552378021207891"</f>
        <v>1552378021207891</v>
      </c>
      <c r="C3174" t="s">
        <v>40</v>
      </c>
      <c r="D3174">
        <v>6.1648459999999998</v>
      </c>
      <c r="E3174">
        <v>0.35592790000000002</v>
      </c>
      <c r="F3174" t="s">
        <v>61</v>
      </c>
      <c r="G3174">
        <v>-480.29860000000002</v>
      </c>
      <c r="H3174" s="1">
        <v>2.8076250000000001E-6</v>
      </c>
      <c r="I3174">
        <v>224.0761</v>
      </c>
      <c r="J3174">
        <v>-495.81490000000002</v>
      </c>
      <c r="K3174">
        <v>1.112015</v>
      </c>
      <c r="L3174">
        <v>247.8409</v>
      </c>
      <c r="M3174">
        <v>0.1036193</v>
      </c>
      <c r="N3174">
        <v>0</v>
      </c>
      <c r="O3174">
        <v>-0.99451029999999996</v>
      </c>
      <c r="P3174">
        <v>0.21080470000000001</v>
      </c>
      <c r="Q3174">
        <v>-6.6011519999999999E-3</v>
      </c>
      <c r="R3174">
        <v>-0.97750599999999999</v>
      </c>
      <c r="S3174">
        <v>1.7470399999999999</v>
      </c>
      <c r="T3174">
        <v>-0.1250116</v>
      </c>
      <c r="U3174">
        <v>-2.6948089999999998</v>
      </c>
      <c r="V3174">
        <v>-0.1084069</v>
      </c>
      <c r="W3174">
        <v>7.3783379999999999E-3</v>
      </c>
      <c r="X3174">
        <v>0.99407920000000005</v>
      </c>
      <c r="Y3174">
        <v>-0.4536734</v>
      </c>
      <c r="Z3174">
        <v>3.9654149999999999E-2</v>
      </c>
      <c r="AA3174">
        <v>0.89028529999999995</v>
      </c>
      <c r="AB3174">
        <v>23</v>
      </c>
      <c r="AC3174">
        <v>15.516299999999999</v>
      </c>
      <c r="AD3174">
        <v>-1.1120121923749999</v>
      </c>
      <c r="AE3174">
        <v>-23.764800000000001</v>
      </c>
      <c r="AF3174">
        <v>-12.950125106912999</v>
      </c>
      <c r="AG3174">
        <v>-1.1120121923749999</v>
      </c>
      <c r="AH3174">
        <v>25.206112064955999</v>
      </c>
      <c r="AI3174">
        <v>92.247176001515896</v>
      </c>
      <c r="AJ3174">
        <v>117.19270460059199</v>
      </c>
      <c r="AK3174">
        <v>28.360014048512198</v>
      </c>
      <c r="AL3174">
        <v>89.577248526756804</v>
      </c>
      <c r="AM3174">
        <v>96.2236587037428</v>
      </c>
      <c r="AN3174">
        <v>0.99999997585594502</v>
      </c>
    </row>
    <row r="3175" spans="1:40" x14ac:dyDescent="0.25">
      <c r="A3175" t="str">
        <f>"20190312160701237"</f>
        <v>20190312160701237</v>
      </c>
      <c r="B3175" t="str">
        <f>"1552378021228386"</f>
        <v>1552378021228386</v>
      </c>
      <c r="C3175" t="s">
        <v>40</v>
      </c>
      <c r="D3175">
        <v>6.1606629999999996</v>
      </c>
      <c r="E3175">
        <v>0.35607369999999999</v>
      </c>
      <c r="F3175" t="s">
        <v>44</v>
      </c>
      <c r="G3175">
        <v>-495.19229999999999</v>
      </c>
      <c r="H3175">
        <v>1.0666960000000001</v>
      </c>
      <c r="I3175">
        <v>246.886</v>
      </c>
      <c r="J3175">
        <v>-495.7876</v>
      </c>
      <c r="K3175">
        <v>1.112015</v>
      </c>
      <c r="L3175">
        <v>247.61420000000001</v>
      </c>
      <c r="M3175">
        <v>0.10667690000000001</v>
      </c>
      <c r="N3175">
        <v>0</v>
      </c>
      <c r="O3175">
        <v>-0.99418660000000003</v>
      </c>
      <c r="P3175">
        <v>0.2137656</v>
      </c>
      <c r="Q3175">
        <v>-6.7691510000000002E-3</v>
      </c>
      <c r="R3175">
        <v>-0.97686170000000005</v>
      </c>
      <c r="S3175">
        <v>1.7541199999999999</v>
      </c>
      <c r="T3175">
        <v>-0.1276468</v>
      </c>
      <c r="U3175">
        <v>-2.6899109999999999</v>
      </c>
      <c r="V3175">
        <v>-0.1083615</v>
      </c>
      <c r="W3175">
        <v>7.2319530000000002E-3</v>
      </c>
      <c r="X3175">
        <v>0.99408529999999995</v>
      </c>
      <c r="Y3175">
        <v>-0.4533007</v>
      </c>
      <c r="Z3175">
        <v>4.050728E-2</v>
      </c>
      <c r="AA3175">
        <v>0.89043680000000003</v>
      </c>
      <c r="AB3175">
        <v>23</v>
      </c>
      <c r="AC3175">
        <v>0.59530000000000804</v>
      </c>
      <c r="AD3175">
        <v>-4.5319000000000102E-2</v>
      </c>
      <c r="AE3175">
        <v>-0.72820000000001495</v>
      </c>
      <c r="AF3175">
        <v>-0.51302091772499703</v>
      </c>
      <c r="AG3175">
        <v>-4.5319000000000102E-2</v>
      </c>
      <c r="AH3175">
        <v>0.78573119107744205</v>
      </c>
      <c r="AI3175">
        <v>92.764936677764894</v>
      </c>
      <c r="AJ3175">
        <v>123.141389994452</v>
      </c>
      <c r="AK3175">
        <v>0.93947739643717498</v>
      </c>
      <c r="AL3175">
        <v>89.585636024073096</v>
      </c>
      <c r="AM3175">
        <v>96.221034848062899</v>
      </c>
      <c r="AN3175">
        <v>1.00000004975126</v>
      </c>
    </row>
    <row r="3176" spans="1:40" x14ac:dyDescent="0.25">
      <c r="A3176" t="str">
        <f>"20190312160701249"</f>
        <v>20190312160701249</v>
      </c>
      <c r="B3176" t="str">
        <f>"1552378021238146"</f>
        <v>1552378021238146</v>
      </c>
      <c r="C3176" t="s">
        <v>40</v>
      </c>
      <c r="D3176">
        <v>6.1864559999999997</v>
      </c>
      <c r="E3176">
        <v>0.35607369999999999</v>
      </c>
      <c r="F3176" t="s">
        <v>44</v>
      </c>
      <c r="G3176">
        <v>-495.17739999999998</v>
      </c>
      <c r="H3176">
        <v>1.0666450000000001</v>
      </c>
      <c r="I3176">
        <v>246.68360000000001</v>
      </c>
      <c r="J3176">
        <v>-495.77140000000003</v>
      </c>
      <c r="K3176">
        <v>1.112017</v>
      </c>
      <c r="L3176">
        <v>247.482</v>
      </c>
      <c r="M3176">
        <v>0.1084604</v>
      </c>
      <c r="N3176">
        <v>0</v>
      </c>
      <c r="O3176">
        <v>-0.99399360000000003</v>
      </c>
      <c r="P3176">
        <v>0.21560599999999999</v>
      </c>
      <c r="Q3176">
        <v>-6.7210259999999997E-3</v>
      </c>
      <c r="R3176">
        <v>-0.97645749999999998</v>
      </c>
      <c r="S3176">
        <v>1.760956</v>
      </c>
      <c r="T3176">
        <v>-0.13089129999999999</v>
      </c>
      <c r="U3176">
        <v>-2.6848450000000001</v>
      </c>
      <c r="V3176">
        <v>-0.10845109999999999</v>
      </c>
      <c r="W3176">
        <v>7.2906009999999999E-3</v>
      </c>
      <c r="X3176">
        <v>0.99407509999999999</v>
      </c>
      <c r="Y3176">
        <v>-0.45403369999999998</v>
      </c>
      <c r="Z3176">
        <v>4.155317E-2</v>
      </c>
      <c r="AA3176">
        <v>0.890015</v>
      </c>
      <c r="AB3176">
        <v>23</v>
      </c>
      <c r="AC3176">
        <v>0.59400000000005004</v>
      </c>
      <c r="AD3176">
        <v>-4.5371999999999899E-2</v>
      </c>
      <c r="AE3176">
        <v>-0.79839999999998601</v>
      </c>
      <c r="AF3176">
        <v>-0.50284576897166999</v>
      </c>
      <c r="AG3176">
        <v>-4.5371999999999899E-2</v>
      </c>
      <c r="AH3176">
        <v>0.85634120472164699</v>
      </c>
      <c r="AI3176">
        <v>92.615964422385602</v>
      </c>
      <c r="AJ3176">
        <v>120.421565966315</v>
      </c>
      <c r="AK3176">
        <v>0.99409896120096197</v>
      </c>
      <c r="AL3176">
        <v>89.582275652540503</v>
      </c>
      <c r="AM3176">
        <v>96.226201785831293</v>
      </c>
      <c r="AN3176">
        <v>1.00000004919707</v>
      </c>
    </row>
    <row r="3177" spans="1:40" x14ac:dyDescent="0.25">
      <c r="A3177" t="str">
        <f>"20190312160701269"</f>
        <v>20190312160701269</v>
      </c>
      <c r="B3177" t="str">
        <f>"1552378021257667"</f>
        <v>1552378021257667</v>
      </c>
      <c r="C3177" t="s">
        <v>40</v>
      </c>
      <c r="D3177">
        <v>6.1564899999999998</v>
      </c>
      <c r="E3177">
        <v>0.36385469999999998</v>
      </c>
      <c r="F3177" t="s">
        <v>61</v>
      </c>
      <c r="G3177">
        <v>-480.7552</v>
      </c>
      <c r="H3177" s="1">
        <v>3.0568070000000001E-6</v>
      </c>
      <c r="I3177">
        <v>224.67679999999999</v>
      </c>
      <c r="J3177">
        <v>-495.7466</v>
      </c>
      <c r="K3177">
        <v>1.1120139999999901</v>
      </c>
      <c r="L3177">
        <v>247.28389999999999</v>
      </c>
      <c r="M3177">
        <v>0.1111333</v>
      </c>
      <c r="N3177">
        <v>0</v>
      </c>
      <c r="O3177">
        <v>-0.99369779999999996</v>
      </c>
      <c r="P3177">
        <v>0.2186864</v>
      </c>
      <c r="Q3177">
        <v>-6.1145269999999998E-3</v>
      </c>
      <c r="R3177">
        <v>-0.97577610000000004</v>
      </c>
      <c r="S3177">
        <v>1.7656860000000001</v>
      </c>
      <c r="T3177">
        <v>-0.13075699999999901</v>
      </c>
      <c r="U3177">
        <v>-2.6815639999999998</v>
      </c>
      <c r="V3177">
        <v>-0.108917</v>
      </c>
      <c r="W3177">
        <v>7.9090410000000003E-3</v>
      </c>
      <c r="X3177">
        <v>0.9940194</v>
      </c>
      <c r="Y3177">
        <v>-0.45323370000000002</v>
      </c>
      <c r="Z3177">
        <v>4.1524409999999998E-2</v>
      </c>
      <c r="AA3177">
        <v>0.89042399999999999</v>
      </c>
      <c r="AB3177">
        <v>23</v>
      </c>
      <c r="AC3177">
        <v>14.991400000000001</v>
      </c>
      <c r="AD3177">
        <v>-1.1120109431930001</v>
      </c>
      <c r="AE3177">
        <v>-22.607099999999999</v>
      </c>
      <c r="AF3177">
        <v>-12.365065583864499</v>
      </c>
      <c r="AG3177">
        <v>-1.1120109431930001</v>
      </c>
      <c r="AH3177">
        <v>24.09276408198</v>
      </c>
      <c r="AI3177">
        <v>92.351420552890403</v>
      </c>
      <c r="AJ3177">
        <v>117.168135194709</v>
      </c>
      <c r="AK3177">
        <v>27.103370571591299</v>
      </c>
      <c r="AL3177">
        <v>89.546840613779096</v>
      </c>
      <c r="AM3177">
        <v>96.253085392241701</v>
      </c>
      <c r="AN3177">
        <v>1.0000000166974401</v>
      </c>
    </row>
    <row r="3178" spans="1:40" x14ac:dyDescent="0.25">
      <c r="A3178" t="str">
        <f>"20190312160701284"</f>
        <v>20190312160701284</v>
      </c>
      <c r="B3178" t="str">
        <f>"1552378021278215"</f>
        <v>1552378021278215</v>
      </c>
      <c r="C3178" t="s">
        <v>40</v>
      </c>
      <c r="D3178">
        <v>6.1860290000000004</v>
      </c>
      <c r="E3178">
        <v>0.35703249999999997</v>
      </c>
      <c r="F3178" t="s">
        <v>47</v>
      </c>
      <c r="G3178">
        <v>-487.00420000000003</v>
      </c>
      <c r="H3178" s="1">
        <v>-2.2139329999999999E-6</v>
      </c>
      <c r="I3178">
        <v>233.5548</v>
      </c>
      <c r="J3178">
        <v>-495.72739999999999</v>
      </c>
      <c r="K3178">
        <v>1.1120159999999999</v>
      </c>
      <c r="L3178">
        <v>247.13310000000001</v>
      </c>
      <c r="M3178">
        <v>0.11316900000000001</v>
      </c>
      <c r="N3178">
        <v>0</v>
      </c>
      <c r="O3178">
        <v>-0.99346800000000002</v>
      </c>
      <c r="P3178">
        <v>0.2210599</v>
      </c>
      <c r="Q3178">
        <v>-6.0333319999999998E-3</v>
      </c>
      <c r="R3178">
        <v>-0.97524149999999998</v>
      </c>
      <c r="S3178">
        <v>1.712494</v>
      </c>
      <c r="T3178">
        <v>-0.21782460000000001</v>
      </c>
      <c r="U3178">
        <v>-2.6893009999999999</v>
      </c>
      <c r="V3178">
        <v>-0.1092994</v>
      </c>
      <c r="W3178">
        <v>7.9972510000000004E-3</v>
      </c>
      <c r="X3178">
        <v>0.99397670000000005</v>
      </c>
      <c r="Y3178">
        <v>-0.4369111</v>
      </c>
      <c r="Z3178">
        <v>6.9502190000000005E-2</v>
      </c>
      <c r="AA3178">
        <v>0.89681549999999999</v>
      </c>
      <c r="AB3178">
        <v>23</v>
      </c>
      <c r="AC3178">
        <v>8.7231999999999594</v>
      </c>
      <c r="AD3178">
        <v>-1.1120182139329999</v>
      </c>
      <c r="AE3178">
        <v>-13.5783</v>
      </c>
      <c r="AF3178">
        <v>-7.0966486616192697</v>
      </c>
      <c r="AG3178">
        <v>-1.1120182139329999</v>
      </c>
      <c r="AH3178">
        <v>14.409939608863199</v>
      </c>
      <c r="AI3178">
        <v>93.960270921216093</v>
      </c>
      <c r="AJ3178">
        <v>116.21945713361499</v>
      </c>
      <c r="AK3178">
        <v>16.101098293770701</v>
      </c>
      <c r="AL3178">
        <v>89.541786384507205</v>
      </c>
      <c r="AM3178">
        <v>96.2751321274134</v>
      </c>
      <c r="AN3178">
        <v>0.99999999750340296</v>
      </c>
    </row>
    <row r="3179" spans="1:40" x14ac:dyDescent="0.25">
      <c r="A3179" t="str">
        <f>"20190312160701302"</f>
        <v>20190312160701302</v>
      </c>
      <c r="B3179" t="str">
        <f>"1552378021297733"</f>
        <v>1552378021297733</v>
      </c>
      <c r="C3179" t="s">
        <v>40</v>
      </c>
      <c r="D3179">
        <v>5.8310849999999999</v>
      </c>
      <c r="E3179">
        <v>0.35679240000000001</v>
      </c>
      <c r="F3179" t="s">
        <v>44</v>
      </c>
      <c r="G3179">
        <v>-495.16410000000002</v>
      </c>
      <c r="H3179">
        <v>1.0665439999999999</v>
      </c>
      <c r="I3179">
        <v>246.2835</v>
      </c>
      <c r="J3179">
        <v>-495.7029</v>
      </c>
      <c r="K3179">
        <v>1.1120110000000001</v>
      </c>
      <c r="L3179">
        <v>246.9436</v>
      </c>
      <c r="M3179">
        <v>0.1157275</v>
      </c>
      <c r="N3179">
        <v>0</v>
      </c>
      <c r="O3179">
        <v>-0.99317319999999998</v>
      </c>
      <c r="P3179">
        <v>0.2242063</v>
      </c>
      <c r="Q3179">
        <v>-5.9825260000000002E-3</v>
      </c>
      <c r="R3179">
        <v>-0.97452340000000004</v>
      </c>
      <c r="S3179">
        <v>1.7731319999999999</v>
      </c>
      <c r="T3179">
        <v>-0.1430795</v>
      </c>
      <c r="U3179">
        <v>-2.67334</v>
      </c>
      <c r="V3179">
        <v>-0.10994719999999999</v>
      </c>
      <c r="W3179">
        <v>8.0544729999999995E-3</v>
      </c>
      <c r="X3179">
        <v>0.99390480000000003</v>
      </c>
      <c r="Y3179">
        <v>-0.45199869999999998</v>
      </c>
      <c r="Z3179">
        <v>4.549135E-2</v>
      </c>
      <c r="AA3179">
        <v>0.89085789999999998</v>
      </c>
      <c r="AB3179">
        <v>23</v>
      </c>
      <c r="AC3179">
        <v>0.53879999999997996</v>
      </c>
      <c r="AD3179">
        <v>-4.5466999999999903E-2</v>
      </c>
      <c r="AE3179">
        <v>-0.66009999999999902</v>
      </c>
      <c r="AF3179">
        <v>-0.45747654762716</v>
      </c>
      <c r="AG3179">
        <v>-4.5466999999999903E-2</v>
      </c>
      <c r="AH3179">
        <v>0.71598586133645803</v>
      </c>
      <c r="AI3179">
        <v>93.063093155118395</v>
      </c>
      <c r="AJ3179">
        <v>122.576394751569</v>
      </c>
      <c r="AK3179">
        <v>0.85087472247774198</v>
      </c>
      <c r="AL3179">
        <v>89.538507703906802</v>
      </c>
      <c r="AM3179">
        <v>96.312477445598205</v>
      </c>
      <c r="AN3179">
        <v>1.0000000063930901</v>
      </c>
    </row>
    <row r="3180" spans="1:40" x14ac:dyDescent="0.25">
      <c r="A3180" t="str">
        <f>"20190312160701315"</f>
        <v>20190312160701315</v>
      </c>
      <c r="B3180" t="str">
        <f>"1552378021308470"</f>
        <v>1552378021308470</v>
      </c>
      <c r="C3180" t="s">
        <v>40</v>
      </c>
      <c r="D3180">
        <v>6.2121879999999896</v>
      </c>
      <c r="E3180">
        <v>0.35695759999999899</v>
      </c>
      <c r="F3180" t="s">
        <v>44</v>
      </c>
      <c r="G3180">
        <v>-495.12090000000001</v>
      </c>
      <c r="H3180">
        <v>1.066454</v>
      </c>
      <c r="I3180">
        <v>246.07419999999999</v>
      </c>
      <c r="J3180">
        <v>-495.6857</v>
      </c>
      <c r="K3180">
        <v>1.112007</v>
      </c>
      <c r="L3180">
        <v>246.81309999999999</v>
      </c>
      <c r="M3180">
        <v>0.1174896</v>
      </c>
      <c r="N3180">
        <v>0</v>
      </c>
      <c r="O3180">
        <v>-0.99296620000000002</v>
      </c>
      <c r="P3180">
        <v>0.226081</v>
      </c>
      <c r="Q3180">
        <v>-6.3399509999999999E-3</v>
      </c>
      <c r="R3180">
        <v>-0.97408799999999995</v>
      </c>
      <c r="S3180">
        <v>1.7841800000000001</v>
      </c>
      <c r="T3180">
        <v>-0.13976</v>
      </c>
      <c r="U3180">
        <v>-2.667084</v>
      </c>
      <c r="V3180">
        <v>-0.1100944</v>
      </c>
      <c r="W3180">
        <v>7.7030529999999996E-3</v>
      </c>
      <c r="X3180">
        <v>0.99389130000000003</v>
      </c>
      <c r="Y3180">
        <v>-0.45395750000000001</v>
      </c>
      <c r="Z3180">
        <v>4.4440500000000001E-2</v>
      </c>
      <c r="AA3180">
        <v>0.88991439999999999</v>
      </c>
      <c r="AB3180">
        <v>23</v>
      </c>
      <c r="AC3180">
        <v>0.56479999999999098</v>
      </c>
      <c r="AD3180">
        <v>-4.5552999999999899E-2</v>
      </c>
      <c r="AE3180">
        <v>-0.738900000000001</v>
      </c>
      <c r="AF3180">
        <v>-0.47293048348026101</v>
      </c>
      <c r="AG3180">
        <v>-4.5552999999999899E-2</v>
      </c>
      <c r="AH3180">
        <v>0.79823163488014204</v>
      </c>
      <c r="AI3180">
        <v>92.810803986676206</v>
      </c>
      <c r="AJ3180">
        <v>120.645585356608</v>
      </c>
      <c r="AK3180">
        <v>0.92893060071099898</v>
      </c>
      <c r="AL3180">
        <v>89.558643215515303</v>
      </c>
      <c r="AM3180">
        <v>96.320945546958299</v>
      </c>
      <c r="AN3180">
        <v>1.00000001507628</v>
      </c>
    </row>
    <row r="3181" spans="1:40" x14ac:dyDescent="0.25">
      <c r="A3181" t="str">
        <f>"20190312160701327"</f>
        <v>20190312160701327</v>
      </c>
      <c r="B3181" t="str">
        <f>"1552378021318230"</f>
        <v>1552378021318230</v>
      </c>
      <c r="C3181" t="s">
        <v>40</v>
      </c>
      <c r="D3181">
        <v>6.2457089999999997</v>
      </c>
      <c r="E3181">
        <v>0.35695759999999899</v>
      </c>
      <c r="F3181" t="s">
        <v>44</v>
      </c>
      <c r="G3181">
        <v>-495.11320000000001</v>
      </c>
      <c r="H3181">
        <v>1.066551</v>
      </c>
      <c r="I3181">
        <v>245.95920000000001</v>
      </c>
      <c r="J3181">
        <v>-495.66770000000002</v>
      </c>
      <c r="K3181">
        <v>1.112004</v>
      </c>
      <c r="L3181">
        <v>246.67869999999999</v>
      </c>
      <c r="M3181">
        <v>0.1193065</v>
      </c>
      <c r="N3181">
        <v>0</v>
      </c>
      <c r="O3181">
        <v>-0.99274929999999995</v>
      </c>
      <c r="P3181">
        <v>0.22762260000000001</v>
      </c>
      <c r="Q3181">
        <v>-6.7104039999999997E-3</v>
      </c>
      <c r="R3181">
        <v>-0.9737266</v>
      </c>
      <c r="S3181">
        <v>1.7876590000000001</v>
      </c>
      <c r="T3181">
        <v>-0.14179539999999999</v>
      </c>
      <c r="U3181">
        <v>-2.663986</v>
      </c>
      <c r="V3181">
        <v>-0.1098478</v>
      </c>
      <c r="W3181">
        <v>7.3397150000000001E-3</v>
      </c>
      <c r="X3181">
        <v>0.99392130000000001</v>
      </c>
      <c r="Y3181">
        <v>-0.45359060000000001</v>
      </c>
      <c r="Z3181">
        <v>4.5103980000000002E-2</v>
      </c>
      <c r="AA3181">
        <v>0.89006810000000003</v>
      </c>
      <c r="AB3181">
        <v>23</v>
      </c>
      <c r="AC3181">
        <v>0.55450000000001798</v>
      </c>
      <c r="AD3181">
        <v>-4.5452999999999903E-2</v>
      </c>
      <c r="AE3181">
        <v>-0.71949999999998204</v>
      </c>
      <c r="AF3181">
        <v>-0.46352780679705802</v>
      </c>
      <c r="AG3181">
        <v>-4.5452999999999903E-2</v>
      </c>
      <c r="AH3181">
        <v>0.77857304625580803</v>
      </c>
      <c r="AI3181">
        <v>92.871711012201899</v>
      </c>
      <c r="AJ3181">
        <v>120.76768958378101</v>
      </c>
      <c r="AK3181">
        <v>0.90724858293586697</v>
      </c>
      <c r="AL3181">
        <v>89.579461523615805</v>
      </c>
      <c r="AM3181">
        <v>96.306712674220293</v>
      </c>
      <c r="AN3181">
        <v>0.99999998058740502</v>
      </c>
    </row>
    <row r="3182" spans="1:40" x14ac:dyDescent="0.25">
      <c r="A3182" t="str">
        <f>"20190312160701340"</f>
        <v>20190312160701340</v>
      </c>
      <c r="B3182" t="str">
        <f>"1552378021337749"</f>
        <v>1552378021337749</v>
      </c>
      <c r="C3182" t="s">
        <v>40</v>
      </c>
      <c r="D3182">
        <v>6.7780019999999999</v>
      </c>
      <c r="E3182">
        <v>0.36460999999999999</v>
      </c>
      <c r="F3182" t="s">
        <v>61</v>
      </c>
      <c r="G3182">
        <v>-481.69</v>
      </c>
      <c r="H3182" s="1">
        <v>3.5396980000000001E-6</v>
      </c>
      <c r="I3182">
        <v>225.92339999999999</v>
      </c>
      <c r="J3182">
        <v>-495.65100000000001</v>
      </c>
      <c r="K3182">
        <v>1.112001</v>
      </c>
      <c r="L3182">
        <v>246.55510000000001</v>
      </c>
      <c r="M3182">
        <v>0.120976399999999</v>
      </c>
      <c r="N3182">
        <v>0</v>
      </c>
      <c r="O3182">
        <v>-0.99254739999999997</v>
      </c>
      <c r="P3182">
        <v>0.22935749999999999</v>
      </c>
      <c r="Q3182">
        <v>-6.780889E-3</v>
      </c>
      <c r="R3182">
        <v>-0.97331909999999999</v>
      </c>
      <c r="S3182">
        <v>1.792084</v>
      </c>
      <c r="T3182">
        <v>-0.14256940000000001</v>
      </c>
      <c r="U3182">
        <v>-2.6610260000000001</v>
      </c>
      <c r="V3182">
        <v>-0.109946</v>
      </c>
      <c r="W3182">
        <v>7.2729589999999998E-3</v>
      </c>
      <c r="X3182">
        <v>0.99391099999999999</v>
      </c>
      <c r="Y3182">
        <v>-0.45356249999999998</v>
      </c>
      <c r="Z3182">
        <v>4.5358290000000002E-2</v>
      </c>
      <c r="AA3182">
        <v>0.89006949999999996</v>
      </c>
      <c r="AB3182">
        <v>23</v>
      </c>
      <c r="AC3182">
        <v>13.961</v>
      </c>
      <c r="AD3182">
        <v>-1.111997460302</v>
      </c>
      <c r="AE3182">
        <v>-20.631699999999999</v>
      </c>
      <c r="AF3182">
        <v>-11.339628449013199</v>
      </c>
      <c r="AG3182">
        <v>-1.111997460302</v>
      </c>
      <c r="AH3182">
        <v>22.125182211234002</v>
      </c>
      <c r="AI3182">
        <v>92.560966439467407</v>
      </c>
      <c r="AJ3182">
        <v>117.136108812526</v>
      </c>
      <c r="AK3182">
        <v>24.886691214255301</v>
      </c>
      <c r="AL3182">
        <v>89.583286490677693</v>
      </c>
      <c r="AM3182">
        <v>96.312370046454106</v>
      </c>
      <c r="AN3182">
        <v>1.0000000473848001</v>
      </c>
    </row>
    <row r="3183" spans="1:40" x14ac:dyDescent="0.25">
      <c r="A3183" t="str">
        <f>"20190312160701359"</f>
        <v>20190312160701359</v>
      </c>
      <c r="B3183" t="str">
        <f>"1552378021348489"</f>
        <v>1552378021348489</v>
      </c>
      <c r="C3183" t="s">
        <v>40</v>
      </c>
      <c r="D3183">
        <v>6.1662129999999999</v>
      </c>
      <c r="E3183">
        <v>0.35917710000000003</v>
      </c>
      <c r="F3183" t="s">
        <v>44</v>
      </c>
      <c r="G3183">
        <v>-495.12349999999998</v>
      </c>
      <c r="H3183">
        <v>1.0433969999999999</v>
      </c>
      <c r="I3183">
        <v>245.7432</v>
      </c>
      <c r="J3183">
        <v>-495.62569999999999</v>
      </c>
      <c r="K3183">
        <v>1.1120030000000001</v>
      </c>
      <c r="L3183">
        <v>246.37119999999999</v>
      </c>
      <c r="M3183">
        <v>0.12346119999999999</v>
      </c>
      <c r="N3183">
        <v>0</v>
      </c>
      <c r="O3183">
        <v>-0.9922415</v>
      </c>
      <c r="P3183">
        <v>0.2315161</v>
      </c>
      <c r="Q3183">
        <v>-7.24758E-3</v>
      </c>
      <c r="R3183">
        <v>-0.97280469999999997</v>
      </c>
      <c r="S3183">
        <v>1.7362979999999999</v>
      </c>
      <c r="T3183">
        <v>-0.2257508</v>
      </c>
      <c r="U3183">
        <v>-2.6715239999999998</v>
      </c>
      <c r="V3183">
        <v>-0.1096606</v>
      </c>
      <c r="W3183">
        <v>6.8147299999999997E-3</v>
      </c>
      <c r="X3183">
        <v>0.99394570000000004</v>
      </c>
      <c r="Y3183">
        <v>-0.43583</v>
      </c>
      <c r="Z3183">
        <v>7.2141339999999998E-2</v>
      </c>
      <c r="AA3183">
        <v>0.89713319999999996</v>
      </c>
      <c r="AB3183">
        <v>23</v>
      </c>
      <c r="AC3183">
        <v>0.50220000000001597</v>
      </c>
      <c r="AD3183">
        <v>-6.8606000000000097E-2</v>
      </c>
      <c r="AE3183">
        <v>-0.62799999999998501</v>
      </c>
      <c r="AF3183">
        <v>-0.41777395968991499</v>
      </c>
      <c r="AG3183">
        <v>-6.8606000000000097E-2</v>
      </c>
      <c r="AH3183">
        <v>0.68025141768126596</v>
      </c>
      <c r="AI3183">
        <v>94.911959653365201</v>
      </c>
      <c r="AJ3183">
        <v>121.556016220779</v>
      </c>
      <c r="AK3183">
        <v>0.801238950556177</v>
      </c>
      <c r="AL3183">
        <v>89.609541698988707</v>
      </c>
      <c r="AM3183">
        <v>96.295897990931707</v>
      </c>
      <c r="AN3183">
        <v>0.99999997114291095</v>
      </c>
    </row>
    <row r="3184" spans="1:40" x14ac:dyDescent="0.25">
      <c r="A3184" t="str">
        <f>"20190312160701371"</f>
        <v>20190312160701371</v>
      </c>
      <c r="B3184" t="str">
        <f>"1552378021368006"</f>
        <v>1552378021368006</v>
      </c>
      <c r="C3184" t="s">
        <v>40</v>
      </c>
      <c r="D3184">
        <v>5.8931380000000004</v>
      </c>
      <c r="E3184">
        <v>0.35891190000000001</v>
      </c>
      <c r="F3184" t="s">
        <v>44</v>
      </c>
      <c r="G3184">
        <v>-495.07499999999999</v>
      </c>
      <c r="H3184">
        <v>1.0645549999999999</v>
      </c>
      <c r="I3184">
        <v>245.55080000000001</v>
      </c>
      <c r="J3184">
        <v>-495.60700000000003</v>
      </c>
      <c r="K3184">
        <v>1.1120030000000001</v>
      </c>
      <c r="L3184">
        <v>246.23740000000001</v>
      </c>
      <c r="M3184">
        <v>0.1252701</v>
      </c>
      <c r="N3184">
        <v>0</v>
      </c>
      <c r="O3184">
        <v>-0.99201470000000003</v>
      </c>
      <c r="P3184">
        <v>0.2331386</v>
      </c>
      <c r="Q3184">
        <v>-7.323848E-3</v>
      </c>
      <c r="R3184">
        <v>-0.97241630000000001</v>
      </c>
      <c r="S3184">
        <v>1.785309</v>
      </c>
      <c r="T3184">
        <v>-0.1537056</v>
      </c>
      <c r="U3184">
        <v>-2.657867</v>
      </c>
      <c r="V3184">
        <v>-0.1095061</v>
      </c>
      <c r="W3184">
        <v>6.7427290000000003E-3</v>
      </c>
      <c r="X3184">
        <v>0.99396320000000005</v>
      </c>
      <c r="Y3184">
        <v>-0.44853310000000002</v>
      </c>
      <c r="Z3184">
        <v>4.899717E-2</v>
      </c>
      <c r="AA3184">
        <v>0.89242219999999906</v>
      </c>
      <c r="AB3184">
        <v>23</v>
      </c>
      <c r="AC3184">
        <v>0.53199999999998204</v>
      </c>
      <c r="AD3184">
        <v>-4.7448000000000101E-2</v>
      </c>
      <c r="AE3184">
        <v>-0.68659999999999799</v>
      </c>
      <c r="AF3184">
        <v>-0.44047428972922797</v>
      </c>
      <c r="AG3184">
        <v>-4.7448000000000101E-2</v>
      </c>
      <c r="AH3184">
        <v>0.74561612711608405</v>
      </c>
      <c r="AI3184">
        <v>93.136080448445</v>
      </c>
      <c r="AJ3184">
        <v>120.572559251626</v>
      </c>
      <c r="AK3184">
        <v>0.86730174773953705</v>
      </c>
      <c r="AL3184">
        <v>89.613667137849802</v>
      </c>
      <c r="AM3184">
        <v>96.286989022634202</v>
      </c>
      <c r="AN3184">
        <v>0.99999994664290703</v>
      </c>
    </row>
    <row r="3185" spans="1:40" x14ac:dyDescent="0.25">
      <c r="A3185" t="str">
        <f>"20190312160701385"</f>
        <v>20190312160701385</v>
      </c>
      <c r="B3185" t="str">
        <f>"1552378021377765"</f>
        <v>1552378021377765</v>
      </c>
      <c r="C3185" t="s">
        <v>40</v>
      </c>
      <c r="D3185">
        <v>6.2197550000000001</v>
      </c>
      <c r="E3185">
        <v>0.35909210000000003</v>
      </c>
      <c r="F3185" t="s">
        <v>61</v>
      </c>
      <c r="G3185">
        <v>-482.66609999999997</v>
      </c>
      <c r="H3185" s="1">
        <v>4.0089330000000001E-6</v>
      </c>
      <c r="I3185">
        <v>227.0668</v>
      </c>
      <c r="J3185">
        <v>-495.58819999999997</v>
      </c>
      <c r="K3185">
        <v>1.1120019999999999</v>
      </c>
      <c r="L3185">
        <v>246.1052</v>
      </c>
      <c r="M3185">
        <v>0.12705730000000001</v>
      </c>
      <c r="N3185">
        <v>0</v>
      </c>
      <c r="O3185">
        <v>-0.99178690000000003</v>
      </c>
      <c r="P3185">
        <v>0.23486099999999999</v>
      </c>
      <c r="Q3185">
        <v>-7.3453950000000002E-3</v>
      </c>
      <c r="R3185">
        <v>-0.97200120000000001</v>
      </c>
      <c r="S3185">
        <v>1.791779</v>
      </c>
      <c r="T3185">
        <v>-0.153966299999999</v>
      </c>
      <c r="U3185">
        <v>-2.6543429999999999</v>
      </c>
      <c r="V3185">
        <v>-0.1094767</v>
      </c>
      <c r="W3185">
        <v>6.7246090000000003E-3</v>
      </c>
      <c r="X3185">
        <v>0.99396660000000003</v>
      </c>
      <c r="Y3185">
        <v>-0.44896510000000001</v>
      </c>
      <c r="Z3185">
        <v>4.9080539999999999E-2</v>
      </c>
      <c r="AA3185">
        <v>0.89220029999999995</v>
      </c>
      <c r="AB3185">
        <v>23</v>
      </c>
      <c r="AC3185">
        <v>12.9221</v>
      </c>
      <c r="AD3185">
        <v>-1.1119979910669999</v>
      </c>
      <c r="AE3185">
        <v>-19.038399999999999</v>
      </c>
      <c r="AF3185">
        <v>-10.3738918351725</v>
      </c>
      <c r="AG3185">
        <v>-1.1119979910669999</v>
      </c>
      <c r="AH3185">
        <v>20.478263334945499</v>
      </c>
      <c r="AI3185">
        <v>92.773265844517496</v>
      </c>
      <c r="AJ3185">
        <v>116.865891034789</v>
      </c>
      <c r="AK3185">
        <v>22.982894520824999</v>
      </c>
      <c r="AL3185">
        <v>89.614705375770896</v>
      </c>
      <c r="AM3185">
        <v>96.285293286269706</v>
      </c>
      <c r="AN3185">
        <v>0.99999998506232601</v>
      </c>
    </row>
    <row r="3186" spans="1:40" x14ac:dyDescent="0.25">
      <c r="A3186" t="str">
        <f>"20190312160701404"</f>
        <v>20190312160701404</v>
      </c>
      <c r="B3186" t="str">
        <f>"1552378021398209"</f>
        <v>1552378021398209</v>
      </c>
      <c r="C3186" t="s">
        <v>40</v>
      </c>
      <c r="D3186">
        <v>6.3185960000000003</v>
      </c>
      <c r="E3186">
        <v>0.35913879999999998</v>
      </c>
      <c r="F3186" t="s">
        <v>44</v>
      </c>
      <c r="G3186">
        <v>-495.0532</v>
      </c>
      <c r="H3186">
        <v>1.065866</v>
      </c>
      <c r="I3186">
        <v>245.31460000000001</v>
      </c>
      <c r="J3186">
        <v>-495.56119999999999</v>
      </c>
      <c r="K3186">
        <v>1.1120000000000001</v>
      </c>
      <c r="L3186">
        <v>245.9179</v>
      </c>
      <c r="M3186">
        <v>0.1295906</v>
      </c>
      <c r="N3186">
        <v>0</v>
      </c>
      <c r="O3186">
        <v>-0.99145919999999998</v>
      </c>
      <c r="P3186">
        <v>0.2370582</v>
      </c>
      <c r="Q3186">
        <v>-7.2459400000000002E-3</v>
      </c>
      <c r="R3186">
        <v>-0.97146860000000002</v>
      </c>
      <c r="S3186">
        <v>1.7946169999999999</v>
      </c>
      <c r="T3186">
        <v>-0.15472379999999999</v>
      </c>
      <c r="U3186">
        <v>-2.6516109999999999</v>
      </c>
      <c r="V3186">
        <v>-0.1091847</v>
      </c>
      <c r="W3186">
        <v>6.8295119999999898E-3</v>
      </c>
      <c r="X3186">
        <v>0.99399800000000005</v>
      </c>
      <c r="Y3186">
        <v>-0.44775680000000001</v>
      </c>
      <c r="Z3186">
        <v>4.9340549999999997E-2</v>
      </c>
      <c r="AA3186">
        <v>0.89279299999999995</v>
      </c>
      <c r="AB3186">
        <v>23</v>
      </c>
      <c r="AC3186">
        <v>0.50799999999998102</v>
      </c>
      <c r="AD3186">
        <v>-4.6134000000000099E-2</v>
      </c>
      <c r="AE3186">
        <v>-0.60329999999998996</v>
      </c>
      <c r="AF3186">
        <v>-0.42407399067361601</v>
      </c>
      <c r="AG3186">
        <v>-4.6134000000000099E-2</v>
      </c>
      <c r="AH3186">
        <v>0.66178636752004905</v>
      </c>
      <c r="AI3186">
        <v>93.359091492412702</v>
      </c>
      <c r="AJ3186">
        <v>122.65182768041601</v>
      </c>
      <c r="AK3186">
        <v>0.78735525130478901</v>
      </c>
      <c r="AL3186">
        <v>89.608694737476597</v>
      </c>
      <c r="AM3186">
        <v>96.268466127810498</v>
      </c>
      <c r="AN3186">
        <v>0.99999998247612398</v>
      </c>
    </row>
    <row r="3187" spans="1:40" x14ac:dyDescent="0.25">
      <c r="A3187" t="str">
        <f>"20190312160701427"</f>
        <v>20190312160701427</v>
      </c>
      <c r="B3187" t="str">
        <f>"1552378021417728"</f>
        <v>1552378021417728</v>
      </c>
      <c r="C3187" t="s">
        <v>40</v>
      </c>
      <c r="D3187">
        <v>6.2174430000000003</v>
      </c>
      <c r="E3187">
        <v>0.36784830000000002</v>
      </c>
      <c r="F3187" t="s">
        <v>44</v>
      </c>
      <c r="G3187">
        <v>-495.02940000000001</v>
      </c>
      <c r="H3187">
        <v>1.0669649999999999</v>
      </c>
      <c r="I3187">
        <v>245.13570000000001</v>
      </c>
      <c r="J3187">
        <v>-495.52730000000003</v>
      </c>
      <c r="K3187">
        <v>1.111998</v>
      </c>
      <c r="L3187">
        <v>245.6865</v>
      </c>
      <c r="M3187">
        <v>0.132720799999999</v>
      </c>
      <c r="N3187">
        <v>0</v>
      </c>
      <c r="O3187">
        <v>-0.99104499999999995</v>
      </c>
      <c r="P3187">
        <v>0.239816</v>
      </c>
      <c r="Q3187">
        <v>-7.5537019999999998E-3</v>
      </c>
      <c r="R3187">
        <v>-0.97078920000000002</v>
      </c>
      <c r="S3187">
        <v>1.8005070000000001</v>
      </c>
      <c r="T3187">
        <v>-0.1524295</v>
      </c>
      <c r="U3187">
        <v>-2.6476289999999998</v>
      </c>
      <c r="V3187">
        <v>-0.1088673</v>
      </c>
      <c r="W3187">
        <v>6.5272029999999997E-3</v>
      </c>
      <c r="X3187">
        <v>0.99403490000000005</v>
      </c>
      <c r="Y3187">
        <v>-0.44693630000000001</v>
      </c>
      <c r="Z3187">
        <v>4.8622840000000001E-2</v>
      </c>
      <c r="AA3187">
        <v>0.89324340000000002</v>
      </c>
      <c r="AB3187">
        <v>23</v>
      </c>
      <c r="AC3187">
        <v>0.497900000000015</v>
      </c>
      <c r="AD3187">
        <v>-4.5033000000000101E-2</v>
      </c>
      <c r="AE3187">
        <v>-0.55079999999998097</v>
      </c>
      <c r="AF3187">
        <v>-0.418843115125694</v>
      </c>
      <c r="AG3187">
        <v>-4.5033000000000101E-2</v>
      </c>
      <c r="AH3187">
        <v>0.60977194417323899</v>
      </c>
      <c r="AI3187">
        <v>93.483569492510497</v>
      </c>
      <c r="AJ3187">
        <v>124.484583132181</v>
      </c>
      <c r="AK3187">
        <v>0.74113382737398203</v>
      </c>
      <c r="AL3187">
        <v>89.626016174659895</v>
      </c>
      <c r="AM3187">
        <v>96.2501579410864</v>
      </c>
      <c r="AN3187">
        <v>1.00000003790315</v>
      </c>
    </row>
    <row r="3188" spans="1:40" x14ac:dyDescent="0.25">
      <c r="A3188" t="str">
        <f>"20190312160701447"</f>
        <v>20190312160701447</v>
      </c>
      <c r="B3188" t="str">
        <f>"1552378021438224"</f>
        <v>1552378021438224</v>
      </c>
      <c r="C3188" t="s">
        <v>40</v>
      </c>
      <c r="D3188">
        <v>6.3020519999999998</v>
      </c>
      <c r="E3188">
        <v>0.36727080000000001</v>
      </c>
      <c r="F3188" t="s">
        <v>47</v>
      </c>
      <c r="G3188">
        <v>-487.4966</v>
      </c>
      <c r="H3188" s="1">
        <v>-2.0655960000000001E-6</v>
      </c>
      <c r="I3188">
        <v>233.4126</v>
      </c>
      <c r="J3188">
        <v>-495.49599999999998</v>
      </c>
      <c r="K3188">
        <v>1.1119950000000001</v>
      </c>
      <c r="L3188">
        <v>245.47810000000001</v>
      </c>
      <c r="M3188">
        <v>0.13554150000000001</v>
      </c>
      <c r="N3188">
        <v>0</v>
      </c>
      <c r="O3188">
        <v>-0.99066290000000001</v>
      </c>
      <c r="P3188">
        <v>0.24238080000000001</v>
      </c>
      <c r="Q3188">
        <v>-7.8768969999999904E-3</v>
      </c>
      <c r="R3188">
        <v>-0.97014889999999998</v>
      </c>
      <c r="S3188">
        <v>1.739563</v>
      </c>
      <c r="T3188">
        <v>-0.2408739</v>
      </c>
      <c r="U3188">
        <v>-2.6586910000000001</v>
      </c>
      <c r="V3188">
        <v>-0.1086637</v>
      </c>
      <c r="W3188">
        <v>6.207728E-3</v>
      </c>
      <c r="X3188">
        <v>0.99405920000000003</v>
      </c>
      <c r="Y3188">
        <v>-0.42739300000000002</v>
      </c>
      <c r="Z3188">
        <v>7.7204540000000002E-2</v>
      </c>
      <c r="AA3188">
        <v>0.90076339999999999</v>
      </c>
      <c r="AB3188">
        <v>23</v>
      </c>
      <c r="AC3188">
        <v>7.9993999999999801</v>
      </c>
      <c r="AD3188">
        <v>-1.1119970655959901</v>
      </c>
      <c r="AE3188">
        <v>-12.0655</v>
      </c>
      <c r="AF3188">
        <v>-6.2531145028131601</v>
      </c>
      <c r="AG3188">
        <v>-1.1119970655959901</v>
      </c>
      <c r="AH3188">
        <v>12.962017285654801</v>
      </c>
      <c r="AI3188">
        <v>94.418329376851602</v>
      </c>
      <c r="AJ3188">
        <v>115.753512580598</v>
      </c>
      <c r="AK3188">
        <v>14.434398864268699</v>
      </c>
      <c r="AL3188">
        <v>89.6443211059117</v>
      </c>
      <c r="AM3188">
        <v>96.238410055122202</v>
      </c>
      <c r="AN3188">
        <v>1.0000000143446199</v>
      </c>
    </row>
    <row r="3189" spans="1:40" x14ac:dyDescent="0.25">
      <c r="A3189" t="str">
        <f>"20190312160701461"</f>
        <v>20190312160701461</v>
      </c>
      <c r="B3189" t="str">
        <f>"1552378021457745"</f>
        <v>1552378021457745</v>
      </c>
      <c r="C3189" t="s">
        <v>40</v>
      </c>
      <c r="D3189">
        <v>6.1871700000000001</v>
      </c>
      <c r="E3189">
        <v>0.36810559999999998</v>
      </c>
      <c r="F3189" t="s">
        <v>47</v>
      </c>
      <c r="G3189">
        <v>-487.30349999999999</v>
      </c>
      <c r="H3189" s="1">
        <v>-1.9512570000000001E-6</v>
      </c>
      <c r="I3189">
        <v>233.06630000000001</v>
      </c>
      <c r="J3189">
        <v>-495.47559999999999</v>
      </c>
      <c r="K3189">
        <v>1.111993</v>
      </c>
      <c r="L3189">
        <v>245.34379999999999</v>
      </c>
      <c r="M3189">
        <v>0.13735939999999999</v>
      </c>
      <c r="N3189">
        <v>0</v>
      </c>
      <c r="O3189">
        <v>-0.99041290000000004</v>
      </c>
      <c r="P3189">
        <v>0.24421409999999999</v>
      </c>
      <c r="Q3189">
        <v>-8.0352259999999995E-3</v>
      </c>
      <c r="R3189">
        <v>-0.96968840000000001</v>
      </c>
      <c r="S3189">
        <v>1.7510680000000001</v>
      </c>
      <c r="T3189">
        <v>-0.2376791</v>
      </c>
      <c r="U3189">
        <v>-2.652908</v>
      </c>
      <c r="V3189">
        <v>-0.10871740000000001</v>
      </c>
      <c r="W3189">
        <v>6.0508530000000001E-3</v>
      </c>
      <c r="X3189">
        <v>0.99405429999999995</v>
      </c>
      <c r="Y3189">
        <v>-0.42940329999999899</v>
      </c>
      <c r="Z3189">
        <v>7.6174580000000006E-2</v>
      </c>
      <c r="AA3189">
        <v>0.89989459999999999</v>
      </c>
      <c r="AB3189">
        <v>23</v>
      </c>
      <c r="AC3189">
        <v>8.1721000000000004</v>
      </c>
      <c r="AD3189">
        <v>-1.111994951257</v>
      </c>
      <c r="AE3189">
        <v>-12.2774999999999</v>
      </c>
      <c r="AF3189">
        <v>-6.3717895266357703</v>
      </c>
      <c r="AG3189">
        <v>-1.111994951257</v>
      </c>
      <c r="AH3189">
        <v>13.208648171317501</v>
      </c>
      <c r="AI3189">
        <v>94.336179005039099</v>
      </c>
      <c r="AJ3189">
        <v>115.75244203364799</v>
      </c>
      <c r="AK3189">
        <v>14.7072982242496</v>
      </c>
      <c r="AL3189">
        <v>89.653309551525595</v>
      </c>
      <c r="AM3189">
        <v>96.241499183158993</v>
      </c>
      <c r="AN3189">
        <v>1.00000001861663</v>
      </c>
    </row>
    <row r="3190" spans="1:40" x14ac:dyDescent="0.25">
      <c r="A3190" t="str">
        <f>"20190312160701481"</f>
        <v>20190312160701481</v>
      </c>
      <c r="B3190" t="str">
        <f>"1552378021478240"</f>
        <v>1552378021478240</v>
      </c>
      <c r="C3190" t="s">
        <v>40</v>
      </c>
      <c r="D3190">
        <v>6.3288010000000003</v>
      </c>
      <c r="E3190">
        <v>0.3676857</v>
      </c>
      <c r="F3190" t="s">
        <v>44</v>
      </c>
      <c r="G3190">
        <v>-494.9178</v>
      </c>
      <c r="H3190">
        <v>1.0357179999999999</v>
      </c>
      <c r="I3190">
        <v>244.4983</v>
      </c>
      <c r="J3190">
        <v>-495.44580000000002</v>
      </c>
      <c r="K3190">
        <v>1.111985</v>
      </c>
      <c r="L3190">
        <v>245.15129999999999</v>
      </c>
      <c r="M3190">
        <v>0.13996520000000001</v>
      </c>
      <c r="N3190">
        <v>0</v>
      </c>
      <c r="O3190">
        <v>-0.99004789999999998</v>
      </c>
      <c r="P3190">
        <v>0.2469894</v>
      </c>
      <c r="Q3190">
        <v>-8.0216790000000003E-3</v>
      </c>
      <c r="R3190">
        <v>-0.96898530000000005</v>
      </c>
      <c r="S3190">
        <v>1.748993</v>
      </c>
      <c r="T3190">
        <v>-0.2391646</v>
      </c>
      <c r="U3190">
        <v>-2.6512449999999999</v>
      </c>
      <c r="V3190">
        <v>-0.108947699999999</v>
      </c>
      <c r="W3190">
        <v>6.0642029999999998E-3</v>
      </c>
      <c r="X3190">
        <v>0.99402900000000005</v>
      </c>
      <c r="Y3190">
        <v>-0.4267727</v>
      </c>
      <c r="Z3190">
        <v>7.6709609999999998E-2</v>
      </c>
      <c r="AA3190">
        <v>0.90109969999999995</v>
      </c>
      <c r="AB3190">
        <v>23</v>
      </c>
      <c r="AC3190">
        <v>0.52800000000002001</v>
      </c>
      <c r="AD3190">
        <v>-7.6266999999999793E-2</v>
      </c>
      <c r="AE3190">
        <v>-0.65299999999999103</v>
      </c>
      <c r="AF3190">
        <v>-0.42786520333419298</v>
      </c>
      <c r="AG3190">
        <v>-7.6266999999999793E-2</v>
      </c>
      <c r="AH3190">
        <v>0.71458619022993197</v>
      </c>
      <c r="AI3190">
        <v>95.231947142669995</v>
      </c>
      <c r="AJ3190">
        <v>120.911462662365</v>
      </c>
      <c r="AK3190">
        <v>0.83637235175520896</v>
      </c>
      <c r="AL3190">
        <v>89.652544637372898</v>
      </c>
      <c r="AM3190">
        <v>96.2547740280759</v>
      </c>
      <c r="AN3190">
        <v>1.0000000143671499</v>
      </c>
    </row>
    <row r="3191" spans="1:40" x14ac:dyDescent="0.25">
      <c r="A3191" t="str">
        <f>"20190312160701494"</f>
        <v>20190312160701494</v>
      </c>
      <c r="B3191" t="str">
        <f>"1552378021488001"</f>
        <v>1552378021488001</v>
      </c>
      <c r="C3191" t="s">
        <v>40</v>
      </c>
      <c r="D3191">
        <v>6.2370729999999996</v>
      </c>
      <c r="E3191">
        <v>0.36768610000000002</v>
      </c>
      <c r="F3191" t="s">
        <v>44</v>
      </c>
      <c r="G3191">
        <v>-494.8904</v>
      </c>
      <c r="H3191">
        <v>1.0356000000000001</v>
      </c>
      <c r="I3191">
        <v>244.31630000000001</v>
      </c>
      <c r="J3191">
        <v>-495.42439999999999</v>
      </c>
      <c r="K3191">
        <v>1.11198</v>
      </c>
      <c r="L3191">
        <v>245.01490000000001</v>
      </c>
      <c r="M3191">
        <v>0.14181299999999999</v>
      </c>
      <c r="N3191">
        <v>0</v>
      </c>
      <c r="O3191">
        <v>-0.98978480000000002</v>
      </c>
      <c r="P3191">
        <v>0.24891189999999999</v>
      </c>
      <c r="Q3191">
        <v>-7.7743939999999996E-3</v>
      </c>
      <c r="R3191">
        <v>-0.96849499999999999</v>
      </c>
      <c r="S3191">
        <v>1.760132</v>
      </c>
      <c r="T3191">
        <v>-0.2419596</v>
      </c>
      <c r="U3191">
        <v>-2.64534</v>
      </c>
      <c r="V3191">
        <v>-0.1090656</v>
      </c>
      <c r="W3191">
        <v>6.3107240000000002E-3</v>
      </c>
      <c r="X3191">
        <v>0.99401450000000002</v>
      </c>
      <c r="Y3191">
        <v>-0.4286064</v>
      </c>
      <c r="Z3191">
        <v>7.7594319999999994E-2</v>
      </c>
      <c r="AA3191">
        <v>0.90015319999999899</v>
      </c>
      <c r="AB3191">
        <v>23</v>
      </c>
      <c r="AC3191">
        <v>0.53399999999999104</v>
      </c>
      <c r="AD3191">
        <v>-7.6379999999999795E-2</v>
      </c>
      <c r="AE3191">
        <v>-0.698599999999999</v>
      </c>
      <c r="AF3191">
        <v>-0.42630418925462199</v>
      </c>
      <c r="AG3191">
        <v>-7.6379999999999795E-2</v>
      </c>
      <c r="AH3191">
        <v>0.76152848051134003</v>
      </c>
      <c r="AI3191">
        <v>95.001684608469901</v>
      </c>
      <c r="AJ3191">
        <v>119.24013338872101</v>
      </c>
      <c r="AK3191">
        <v>0.87606780148910401</v>
      </c>
      <c r="AL3191">
        <v>89.638419741242501</v>
      </c>
      <c r="AM3191">
        <v>96.261579638595606</v>
      </c>
      <c r="AN3191">
        <v>0.99999997827550602</v>
      </c>
    </row>
    <row r="3192" spans="1:40" x14ac:dyDescent="0.25">
      <c r="A3192" t="str">
        <f>"20190312160701515"</f>
        <v>20190312160701515</v>
      </c>
      <c r="B3192" t="str">
        <f>"1552378021508496"</f>
        <v>1552378021508496</v>
      </c>
      <c r="C3192" t="s">
        <v>40</v>
      </c>
      <c r="D3192">
        <v>6.1115830000000004</v>
      </c>
      <c r="E3192">
        <v>0.36856440000000001</v>
      </c>
      <c r="F3192" t="s">
        <v>44</v>
      </c>
      <c r="G3192">
        <v>-494.85469999999998</v>
      </c>
      <c r="H3192">
        <v>1.0348329999999999</v>
      </c>
      <c r="I3192">
        <v>244.16210000000001</v>
      </c>
      <c r="J3192">
        <v>-495.39080000000001</v>
      </c>
      <c r="K3192">
        <v>1.1119790000000001</v>
      </c>
      <c r="L3192">
        <v>244.8039</v>
      </c>
      <c r="M3192">
        <v>0.1446702</v>
      </c>
      <c r="N3192">
        <v>0</v>
      </c>
      <c r="O3192">
        <v>-0.98937140000000001</v>
      </c>
      <c r="P3192">
        <v>0.25202570000000002</v>
      </c>
      <c r="Q3192">
        <v>-8.2264509999999992E-3</v>
      </c>
      <c r="R3192">
        <v>-0.96768549999999998</v>
      </c>
      <c r="S3192">
        <v>1.76522799999999</v>
      </c>
      <c r="T3192">
        <v>-0.23901259999999999</v>
      </c>
      <c r="U3192">
        <v>-2.6419679999999999</v>
      </c>
      <c r="V3192">
        <v>-0.1093906</v>
      </c>
      <c r="W3192">
        <v>5.8572600000000004E-3</v>
      </c>
      <c r="X3192">
        <v>0.99398160000000002</v>
      </c>
      <c r="Y3192">
        <v>-0.4277705</v>
      </c>
      <c r="Z3192">
        <v>7.6666059999999994E-2</v>
      </c>
      <c r="AA3192">
        <v>0.90063019999999905</v>
      </c>
      <c r="AB3192">
        <v>23</v>
      </c>
      <c r="AC3192">
        <v>0.53610000000003299</v>
      </c>
      <c r="AD3192">
        <v>-7.7146000000000103E-2</v>
      </c>
      <c r="AE3192">
        <v>-0.64179999999998905</v>
      </c>
      <c r="AF3192">
        <v>-0.433906887200606</v>
      </c>
      <c r="AG3192">
        <v>-7.7146000000000103E-2</v>
      </c>
      <c r="AH3192">
        <v>0.70659924849830502</v>
      </c>
      <c r="AI3192">
        <v>95.315364664157698</v>
      </c>
      <c r="AJ3192">
        <v>121.553160624868</v>
      </c>
      <c r="AK3192">
        <v>0.83277199163666005</v>
      </c>
      <c r="AL3192">
        <v>89.6644018089182</v>
      </c>
      <c r="AM3192">
        <v>96.280295596399199</v>
      </c>
      <c r="AN3192">
        <v>1.00000001600081</v>
      </c>
    </row>
    <row r="3193" spans="1:40" x14ac:dyDescent="0.25">
      <c r="A3193" t="str">
        <f>"20190312160701528"</f>
        <v>20190312160701528</v>
      </c>
      <c r="B3193" t="str">
        <f>"1552378021518256"</f>
        <v>1552378021518256</v>
      </c>
      <c r="C3193" t="s">
        <v>40</v>
      </c>
      <c r="D3193">
        <v>6.242229</v>
      </c>
      <c r="E3193">
        <v>0.36851509999999998</v>
      </c>
      <c r="F3193" t="s">
        <v>44</v>
      </c>
      <c r="G3193">
        <v>-494.8279</v>
      </c>
      <c r="H3193">
        <v>1.0341480000000001</v>
      </c>
      <c r="I3193">
        <v>243.96289999999999</v>
      </c>
      <c r="J3193">
        <v>-495.36950000000002</v>
      </c>
      <c r="K3193">
        <v>1.1119779999999999</v>
      </c>
      <c r="L3193">
        <v>244.67240000000001</v>
      </c>
      <c r="M3193">
        <v>0.1464521</v>
      </c>
      <c r="N3193">
        <v>0</v>
      </c>
      <c r="O3193">
        <v>-0.98910920000000002</v>
      </c>
      <c r="P3193">
        <v>0.25390279999999998</v>
      </c>
      <c r="Q3193">
        <v>-8.4444989999999994E-3</v>
      </c>
      <c r="R3193">
        <v>-0.96719290000000002</v>
      </c>
      <c r="S3193">
        <v>1.7668759999999999</v>
      </c>
      <c r="T3193">
        <v>-0.2441111</v>
      </c>
      <c r="U3193">
        <v>-2.6379389999999998</v>
      </c>
      <c r="V3193">
        <v>-0.1095286</v>
      </c>
      <c r="W3193">
        <v>5.638395E-3</v>
      </c>
      <c r="X3193">
        <v>0.99396770000000001</v>
      </c>
      <c r="Y3193">
        <v>-0.42709370000000002</v>
      </c>
      <c r="Z3193">
        <v>7.8358159999999996E-2</v>
      </c>
      <c r="AA3193">
        <v>0.90080570000000004</v>
      </c>
      <c r="AB3193">
        <v>23</v>
      </c>
      <c r="AC3193">
        <v>0.54160000000001596</v>
      </c>
      <c r="AD3193">
        <v>-7.7829999999999996E-2</v>
      </c>
      <c r="AE3193">
        <v>-0.709500000000019</v>
      </c>
      <c r="AF3193">
        <v>-0.42858162610384198</v>
      </c>
      <c r="AG3193">
        <v>-7.7829999999999996E-2</v>
      </c>
      <c r="AH3193">
        <v>0.77528082728310399</v>
      </c>
      <c r="AI3193">
        <v>95.021024284090899</v>
      </c>
      <c r="AJ3193">
        <v>118.93417893914599</v>
      </c>
      <c r="AK3193">
        <v>0.88926940815851097</v>
      </c>
      <c r="AL3193">
        <v>89.676942066749504</v>
      </c>
      <c r="AM3193">
        <v>96.288242209649894</v>
      </c>
      <c r="AN3193">
        <v>1.0000000471797099</v>
      </c>
    </row>
    <row r="3194" spans="1:40" x14ac:dyDescent="0.25">
      <c r="A3194" t="str">
        <f>"20190312160701543"</f>
        <v>20190312160701543</v>
      </c>
      <c r="B3194" t="str">
        <f>"1552378021537776"</f>
        <v>1552378021537776</v>
      </c>
      <c r="C3194" t="s">
        <v>40</v>
      </c>
      <c r="D3194">
        <v>6.2648999999999999</v>
      </c>
      <c r="E3194">
        <v>0.36870219999999998</v>
      </c>
      <c r="F3194" t="s">
        <v>47</v>
      </c>
      <c r="G3194">
        <v>-487.28539999999998</v>
      </c>
      <c r="H3194" s="1">
        <v>-1.7798619999999999E-6</v>
      </c>
      <c r="I3194">
        <v>232.6592</v>
      </c>
      <c r="J3194">
        <v>-495.34710000000001</v>
      </c>
      <c r="K3194">
        <v>1.111974</v>
      </c>
      <c r="L3194">
        <v>244.53569999999999</v>
      </c>
      <c r="M3194">
        <v>0.14830460000000001</v>
      </c>
      <c r="N3194">
        <v>0</v>
      </c>
      <c r="O3194">
        <v>-0.98883310000000002</v>
      </c>
      <c r="P3194">
        <v>0.25567139999999999</v>
      </c>
      <c r="Q3194">
        <v>-8.4321840000000006E-3</v>
      </c>
      <c r="R3194">
        <v>-0.96672709999999995</v>
      </c>
      <c r="S3194">
        <v>1.772705</v>
      </c>
      <c r="T3194">
        <v>-0.24383759999999999</v>
      </c>
      <c r="U3194">
        <v>-2.634277</v>
      </c>
      <c r="V3194">
        <v>-0.1094846</v>
      </c>
      <c r="W3194">
        <v>5.650792E-3</v>
      </c>
      <c r="X3194">
        <v>0.99397239999999998</v>
      </c>
      <c r="Y3194">
        <v>-0.42735689999999998</v>
      </c>
      <c r="Z3194">
        <v>7.8278319999999998E-2</v>
      </c>
      <c r="AA3194">
        <v>0.90068780000000004</v>
      </c>
      <c r="AB3194">
        <v>23</v>
      </c>
      <c r="AC3194">
        <v>8.0617000000000303</v>
      </c>
      <c r="AD3194">
        <v>-1.111975779862</v>
      </c>
      <c r="AE3194">
        <v>-11.876499999999901</v>
      </c>
      <c r="AF3194">
        <v>-6.1739526557808304</v>
      </c>
      <c r="AG3194">
        <v>-1.111975779862</v>
      </c>
      <c r="AH3194">
        <v>12.8636570134527</v>
      </c>
      <c r="AI3194">
        <v>94.456166167428904</v>
      </c>
      <c r="AJ3194">
        <v>115.63882395525999</v>
      </c>
      <c r="AK3194">
        <v>14.3118081768368</v>
      </c>
      <c r="AL3194">
        <v>89.676231734869802</v>
      </c>
      <c r="AM3194">
        <v>96.2857068271543</v>
      </c>
      <c r="AN3194">
        <v>0.99999997052457301</v>
      </c>
    </row>
    <row r="3195" spans="1:40" x14ac:dyDescent="0.25">
      <c r="A3195" t="str">
        <f>"20190312160701561"</f>
        <v>20190312160701561</v>
      </c>
      <c r="B3195" t="str">
        <f>"1552378021558273"</f>
        <v>1552378021558273</v>
      </c>
      <c r="C3195" t="s">
        <v>40</v>
      </c>
      <c r="D3195">
        <v>6.2469289999999997</v>
      </c>
      <c r="E3195">
        <v>0.36870429999999998</v>
      </c>
      <c r="F3195" t="s">
        <v>44</v>
      </c>
      <c r="G3195">
        <v>-494.77260000000001</v>
      </c>
      <c r="H3195">
        <v>1.033066</v>
      </c>
      <c r="I3195">
        <v>243.68469999999999</v>
      </c>
      <c r="J3195">
        <v>-495.31779999999998</v>
      </c>
      <c r="K3195">
        <v>1.1119699999999999</v>
      </c>
      <c r="L3195">
        <v>244.35919999999999</v>
      </c>
      <c r="M3195">
        <v>0.15069569999999999</v>
      </c>
      <c r="N3195">
        <v>0</v>
      </c>
      <c r="O3195">
        <v>-0.98847160000000001</v>
      </c>
      <c r="P3195">
        <v>0.25812849999999998</v>
      </c>
      <c r="Q3195">
        <v>-8.3020249999999993E-3</v>
      </c>
      <c r="R3195">
        <v>-0.96607509999999996</v>
      </c>
      <c r="S3195">
        <v>1.776459</v>
      </c>
      <c r="T3195">
        <v>-0.2439964</v>
      </c>
      <c r="U3195">
        <v>-2.631348</v>
      </c>
      <c r="V3195">
        <v>-0.1096077</v>
      </c>
      <c r="W3195">
        <v>5.779536E-3</v>
      </c>
      <c r="X3195">
        <v>0.99395809999999996</v>
      </c>
      <c r="Y3195">
        <v>-0.42651640000000002</v>
      </c>
      <c r="Z3195">
        <v>7.8345079999999997E-2</v>
      </c>
      <c r="AA3195">
        <v>0.9010804</v>
      </c>
      <c r="AB3195">
        <v>23</v>
      </c>
      <c r="AC3195">
        <v>0.54519999999996505</v>
      </c>
      <c r="AD3195">
        <v>-7.8904000000000002E-2</v>
      </c>
      <c r="AE3195">
        <v>-0.67449999999999399</v>
      </c>
      <c r="AF3195">
        <v>-0.43372748934396099</v>
      </c>
      <c r="AG3195">
        <v>-7.8904000000000002E-2</v>
      </c>
      <c r="AH3195">
        <v>0.74281557352888306</v>
      </c>
      <c r="AI3195">
        <v>95.241107229233805</v>
      </c>
      <c r="AJ3195">
        <v>120.28051053830301</v>
      </c>
      <c r="AK3195">
        <v>0.86378258404858999</v>
      </c>
      <c r="AL3195">
        <v>89.668855128728396</v>
      </c>
      <c r="AM3195">
        <v>96.292807360602794</v>
      </c>
      <c r="AN3195">
        <v>0.99999997774563698</v>
      </c>
    </row>
    <row r="3196" spans="1:40" x14ac:dyDescent="0.25">
      <c r="A3196" t="str">
        <f>"20190312160701582"</f>
        <v>20190312160701582</v>
      </c>
      <c r="B3196" t="str">
        <f>"1552378021577792"</f>
        <v>1552378021577792</v>
      </c>
      <c r="C3196" t="s">
        <v>40</v>
      </c>
      <c r="D3196">
        <v>6.5010949999999896</v>
      </c>
      <c r="E3196">
        <v>0.36926019999999998</v>
      </c>
      <c r="F3196" t="s">
        <v>44</v>
      </c>
      <c r="G3196">
        <v>-494.75040000000001</v>
      </c>
      <c r="H3196">
        <v>1.0347489999999999</v>
      </c>
      <c r="I3196">
        <v>243.52289999999999</v>
      </c>
      <c r="J3196">
        <v>-495.2817</v>
      </c>
      <c r="K3196">
        <v>1.1119680000000001</v>
      </c>
      <c r="L3196">
        <v>244.14519999999999</v>
      </c>
      <c r="M3196">
        <v>0.15359700000000001</v>
      </c>
      <c r="N3196">
        <v>0</v>
      </c>
      <c r="O3196">
        <v>-0.98802509999999999</v>
      </c>
      <c r="P3196">
        <v>0.2609996</v>
      </c>
      <c r="Q3196">
        <v>-7.8624690000000004E-3</v>
      </c>
      <c r="R3196">
        <v>-0.96530740000000004</v>
      </c>
      <c r="S3196">
        <v>1.78286699999999</v>
      </c>
      <c r="T3196">
        <v>-0.24254609999999999</v>
      </c>
      <c r="U3196">
        <v>-2.6268919999999998</v>
      </c>
      <c r="V3196">
        <v>-0.1096463</v>
      </c>
      <c r="W3196">
        <v>6.2177419999999897E-3</v>
      </c>
      <c r="X3196">
        <v>0.99395120000000003</v>
      </c>
      <c r="Y3196">
        <v>-0.42609780000000003</v>
      </c>
      <c r="Z3196">
        <v>7.78972E-2</v>
      </c>
      <c r="AA3196">
        <v>0.90131719999999904</v>
      </c>
      <c r="AB3196">
        <v>23</v>
      </c>
      <c r="AC3196">
        <v>0.531299999999987</v>
      </c>
      <c r="AD3196">
        <v>-7.7219000000000093E-2</v>
      </c>
      <c r="AE3196">
        <v>-0.62229999999999497</v>
      </c>
      <c r="AF3196">
        <v>-0.42560994447828698</v>
      </c>
      <c r="AG3196">
        <v>-7.7219000000000093E-2</v>
      </c>
      <c r="AH3196">
        <v>0.69038036362909905</v>
      </c>
      <c r="AI3196">
        <v>95.438798370727596</v>
      </c>
      <c r="AJ3196">
        <v>121.65325791253601</v>
      </c>
      <c r="AK3196">
        <v>0.81469727217197596</v>
      </c>
      <c r="AL3196">
        <v>89.643747322568203</v>
      </c>
      <c r="AM3196">
        <v>96.295049028594093</v>
      </c>
      <c r="AN3196">
        <v>0.99999997970035404</v>
      </c>
    </row>
    <row r="3197" spans="1:40" x14ac:dyDescent="0.25">
      <c r="A3197" t="str">
        <f>"20190312160701606"</f>
        <v>20190312160701606</v>
      </c>
      <c r="B3197" t="str">
        <f>"1552378021598288"</f>
        <v>1552378021598288</v>
      </c>
      <c r="C3197" t="s">
        <v>40</v>
      </c>
      <c r="D3197">
        <v>6.3259119999999998</v>
      </c>
      <c r="E3197">
        <v>0.39885959999999998</v>
      </c>
      <c r="F3197" t="s">
        <v>44</v>
      </c>
      <c r="G3197">
        <v>-494.70209999999997</v>
      </c>
      <c r="H3197">
        <v>1.033312</v>
      </c>
      <c r="I3197">
        <v>243.29390000000001</v>
      </c>
      <c r="J3197">
        <v>-495.24209999999999</v>
      </c>
      <c r="K3197">
        <v>1.111964</v>
      </c>
      <c r="L3197">
        <v>243.91460000000001</v>
      </c>
      <c r="M3197">
        <v>0.15672339999999901</v>
      </c>
      <c r="N3197">
        <v>0</v>
      </c>
      <c r="O3197">
        <v>-0.98753389999999996</v>
      </c>
      <c r="P3197">
        <v>0.2638509</v>
      </c>
      <c r="Q3197">
        <v>-7.6368360000000001E-3</v>
      </c>
      <c r="R3197">
        <v>-0.96453339999999999</v>
      </c>
      <c r="S3197">
        <v>1.7862849999999999</v>
      </c>
      <c r="T3197">
        <v>-0.24235300000000001</v>
      </c>
      <c r="U3197">
        <v>-2.6228940000000001</v>
      </c>
      <c r="V3197">
        <v>-0.1094381</v>
      </c>
      <c r="W3197">
        <v>6.4432830000000002E-3</v>
      </c>
      <c r="X3197">
        <v>0.99397270000000004</v>
      </c>
      <c r="Y3197">
        <v>-0.42467769999999999</v>
      </c>
      <c r="Z3197">
        <v>7.7875539999999993E-2</v>
      </c>
      <c r="AA3197">
        <v>0.90198900000000004</v>
      </c>
      <c r="AB3197">
        <v>22</v>
      </c>
      <c r="AC3197">
        <v>0.54000000000002002</v>
      </c>
      <c r="AD3197">
        <v>-7.8651999999999903E-2</v>
      </c>
      <c r="AE3197">
        <v>-0.62069999999999903</v>
      </c>
      <c r="AF3197">
        <v>-0.43208787312541203</v>
      </c>
      <c r="AG3197">
        <v>-7.8651999999999903E-2</v>
      </c>
      <c r="AH3197">
        <v>0.69134929954528701</v>
      </c>
      <c r="AI3197">
        <v>95.510480219738596</v>
      </c>
      <c r="AJ3197">
        <v>122.005059060428</v>
      </c>
      <c r="AK3197">
        <v>0.81905428464040297</v>
      </c>
      <c r="AL3197">
        <v>89.6308245127085</v>
      </c>
      <c r="AM3197">
        <v>96.283056653081104</v>
      </c>
      <c r="AN3197">
        <v>0.99999997098635796</v>
      </c>
    </row>
    <row r="3198" spans="1:40" x14ac:dyDescent="0.25">
      <c r="A3198" t="str">
        <f>"20190312160701628"</f>
        <v>20190312160701628</v>
      </c>
      <c r="B3198" t="str">
        <f>"1552378021617809"</f>
        <v>1552378021617809</v>
      </c>
      <c r="C3198" t="s">
        <v>40</v>
      </c>
      <c r="D3198">
        <v>6.29298</v>
      </c>
      <c r="E3198">
        <v>0.40541539999999998</v>
      </c>
      <c r="F3198" t="s">
        <v>47</v>
      </c>
      <c r="G3198">
        <v>-487.32490000000001</v>
      </c>
      <c r="H3198" s="1">
        <v>-9.5808539999999996E-7</v>
      </c>
      <c r="I3198">
        <v>230.37180000000001</v>
      </c>
      <c r="J3198">
        <v>-495.20359999999999</v>
      </c>
      <c r="K3198">
        <v>1.1119479999999999</v>
      </c>
      <c r="L3198">
        <v>243.6942</v>
      </c>
      <c r="M3198">
        <v>0.15971289999999999</v>
      </c>
      <c r="N3198">
        <v>0</v>
      </c>
      <c r="O3198">
        <v>-0.98705480000000001</v>
      </c>
      <c r="P3198">
        <v>0.26638919999999999</v>
      </c>
      <c r="Q3198">
        <v>-7.6364129999999999E-3</v>
      </c>
      <c r="R3198">
        <v>-0.96383540000000001</v>
      </c>
      <c r="S3198">
        <v>1.5667420000000001</v>
      </c>
      <c r="T3198">
        <v>-0.22004570000000001</v>
      </c>
      <c r="U3198">
        <v>-2.6799770000000001</v>
      </c>
      <c r="V3198">
        <v>-0.10904510000000001</v>
      </c>
      <c r="W3198">
        <v>6.4461429999999997E-3</v>
      </c>
      <c r="X3198">
        <v>0.99401589999999995</v>
      </c>
      <c r="Y3198">
        <v>-0.35900850000000001</v>
      </c>
      <c r="Z3198">
        <v>7.1900580000000006E-2</v>
      </c>
      <c r="AA3198">
        <v>0.93056070000000002</v>
      </c>
      <c r="AB3198">
        <v>22</v>
      </c>
      <c r="AC3198">
        <v>7.8786999999999798</v>
      </c>
      <c r="AD3198">
        <v>-1.1119489580853901</v>
      </c>
      <c r="AE3198">
        <v>-13.322399999999901</v>
      </c>
      <c r="AF3198">
        <v>-5.62054672624879</v>
      </c>
      <c r="AG3198">
        <v>-1.1119489580853901</v>
      </c>
      <c r="AH3198">
        <v>14.335824449877601</v>
      </c>
      <c r="AI3198">
        <v>94.130309908376304</v>
      </c>
      <c r="AJ3198">
        <v>111.40830954020301</v>
      </c>
      <c r="AK3198">
        <v>15.4383560862238</v>
      </c>
      <c r="AL3198">
        <v>89.630660653357097</v>
      </c>
      <c r="AM3198">
        <v>96.260403308975697</v>
      </c>
      <c r="AN3198">
        <v>0.99999999802319794</v>
      </c>
    </row>
    <row r="3199" spans="1:40" x14ac:dyDescent="0.25">
      <c r="A3199" t="str">
        <f>"20190312160701649"</f>
        <v>20190312160701649</v>
      </c>
      <c r="B3199" t="str">
        <f>"1552378021638305"</f>
        <v>1552378021638305</v>
      </c>
      <c r="C3199" t="s">
        <v>40</v>
      </c>
      <c r="D3199">
        <v>6.3582479999999997</v>
      </c>
      <c r="E3199">
        <v>0.40847280000000002</v>
      </c>
      <c r="F3199" t="s">
        <v>47</v>
      </c>
      <c r="G3199">
        <v>-487.7407</v>
      </c>
      <c r="H3199" s="1">
        <v>-8.9589959999999905E-7</v>
      </c>
      <c r="I3199">
        <v>230.51419999999999</v>
      </c>
      <c r="J3199">
        <v>-495.1678</v>
      </c>
      <c r="K3199">
        <v>1.111944</v>
      </c>
      <c r="L3199">
        <v>243.49359999999999</v>
      </c>
      <c r="M3199">
        <v>0.16243270000000001</v>
      </c>
      <c r="N3199">
        <v>0</v>
      </c>
      <c r="O3199">
        <v>-0.98661080000000001</v>
      </c>
      <c r="P3199">
        <v>0.268760099999999</v>
      </c>
      <c r="Q3199">
        <v>-7.7539799999999997E-3</v>
      </c>
      <c r="R3199">
        <v>-0.96317580000000003</v>
      </c>
      <c r="S3199">
        <v>1.5230709999999901</v>
      </c>
      <c r="T3199">
        <v>-0.226933</v>
      </c>
      <c r="U3199">
        <v>-2.6898499999999999</v>
      </c>
      <c r="V3199">
        <v>-0.1087509</v>
      </c>
      <c r="W3199">
        <v>6.3355180000000001E-3</v>
      </c>
      <c r="X3199">
        <v>0.99404879999999995</v>
      </c>
      <c r="Y3199">
        <v>-0.34344829999999998</v>
      </c>
      <c r="Z3199">
        <v>7.4357439999999997E-2</v>
      </c>
      <c r="AA3199">
        <v>0.93622340000000004</v>
      </c>
      <c r="AB3199">
        <v>22</v>
      </c>
      <c r="AC3199">
        <v>7.4270999999999896</v>
      </c>
      <c r="AD3199">
        <v>-1.1119448958996001</v>
      </c>
      <c r="AE3199">
        <v>-12.979399999999901</v>
      </c>
      <c r="AF3199">
        <v>-5.1912364912547</v>
      </c>
      <c r="AG3199">
        <v>-1.1119448958996001</v>
      </c>
      <c r="AH3199">
        <v>13.936470778621</v>
      </c>
      <c r="AI3199">
        <v>94.275937917599705</v>
      </c>
      <c r="AJ3199">
        <v>110.430005367929</v>
      </c>
      <c r="AK3199">
        <v>14.913436073655401</v>
      </c>
      <c r="AL3199">
        <v>89.636999113498803</v>
      </c>
      <c r="AM3199">
        <v>96.243441513896201</v>
      </c>
      <c r="AN3199">
        <v>0.99999995691028798</v>
      </c>
    </row>
    <row r="3200" spans="1:40" x14ac:dyDescent="0.25">
      <c r="A3200" t="str">
        <f>"20190312160701661"</f>
        <v>20190312160701661</v>
      </c>
      <c r="B3200" t="str">
        <f>"1552378021657825"</f>
        <v>1552378021657825</v>
      </c>
      <c r="C3200" t="s">
        <v>40</v>
      </c>
      <c r="D3200">
        <v>6.6459119999999903</v>
      </c>
      <c r="E3200">
        <v>0.40976499999999999</v>
      </c>
      <c r="F3200" t="s">
        <v>47</v>
      </c>
      <c r="G3200">
        <v>-488.01420000000002</v>
      </c>
      <c r="H3200" s="1">
        <v>-8.8818119999999896E-7</v>
      </c>
      <c r="I3200">
        <v>230.7054</v>
      </c>
      <c r="J3200">
        <v>-495.14609999999999</v>
      </c>
      <c r="K3200">
        <v>1.1119410000000001</v>
      </c>
      <c r="L3200">
        <v>243.37280000000001</v>
      </c>
      <c r="M3200">
        <v>0.16406950000000001</v>
      </c>
      <c r="N3200">
        <v>0</v>
      </c>
      <c r="O3200">
        <v>-0.98633979999999999</v>
      </c>
      <c r="P3200">
        <v>0.27012000000000003</v>
      </c>
      <c r="Q3200">
        <v>-7.5854190000000004E-3</v>
      </c>
      <c r="R3200">
        <v>-0.96279689999999996</v>
      </c>
      <c r="S3200">
        <v>1.506195</v>
      </c>
      <c r="T3200">
        <v>-0.2341181</v>
      </c>
      <c r="U3200">
        <v>-2.6925349999999999</v>
      </c>
      <c r="V3200">
        <v>-0.1085057</v>
      </c>
      <c r="W3200">
        <v>6.5128979999999996E-3</v>
      </c>
      <c r="X3200">
        <v>0.99407449999999997</v>
      </c>
      <c r="Y3200">
        <v>-0.33693329999999999</v>
      </c>
      <c r="Z3200">
        <v>7.6802780000000001E-2</v>
      </c>
      <c r="AA3200">
        <v>0.93839079999999997</v>
      </c>
      <c r="AB3200">
        <v>22</v>
      </c>
      <c r="AC3200">
        <v>7.1318999999999697</v>
      </c>
      <c r="AD3200">
        <v>-1.1119418881812</v>
      </c>
      <c r="AE3200">
        <v>-12.667400000000001</v>
      </c>
      <c r="AF3200">
        <v>-4.92784427561734</v>
      </c>
      <c r="AG3200">
        <v>-1.1119418881812</v>
      </c>
      <c r="AH3200">
        <v>13.586466623690001</v>
      </c>
      <c r="AI3200">
        <v>94.399527237630807</v>
      </c>
      <c r="AJ3200">
        <v>109.93583060762199</v>
      </c>
      <c r="AK3200">
        <v>14.495245402685301</v>
      </c>
      <c r="AL3200">
        <v>89.626835797078101</v>
      </c>
      <c r="AM3200">
        <v>96.229315477120394</v>
      </c>
      <c r="AN3200">
        <v>1.0000000081615401</v>
      </c>
    </row>
    <row r="3201" spans="1:40" x14ac:dyDescent="0.25">
      <c r="A3201" t="str">
        <f>"20190312160701673"</f>
        <v>20190312160701673</v>
      </c>
      <c r="B3201" t="str">
        <f>"1552378021668560"</f>
        <v>1552378021668560</v>
      </c>
      <c r="C3201" t="s">
        <v>40</v>
      </c>
      <c r="D3201">
        <v>6.3271860000000002</v>
      </c>
      <c r="E3201">
        <v>0.41032479999999899</v>
      </c>
      <c r="F3201" t="s">
        <v>47</v>
      </c>
      <c r="G3201">
        <v>-488.03</v>
      </c>
      <c r="H3201" s="1">
        <v>-8.4732309999999996E-7</v>
      </c>
      <c r="I3201">
        <v>230.5977</v>
      </c>
      <c r="J3201">
        <v>-495.12380000000002</v>
      </c>
      <c r="K3201">
        <v>1.1119399999999999</v>
      </c>
      <c r="L3201">
        <v>243.25040000000001</v>
      </c>
      <c r="M3201">
        <v>0.16572790000000001</v>
      </c>
      <c r="N3201">
        <v>0</v>
      </c>
      <c r="O3201">
        <v>-0.98606260000000001</v>
      </c>
      <c r="P3201">
        <v>0.27162330000000001</v>
      </c>
      <c r="Q3201">
        <v>-7.4041139999999998E-3</v>
      </c>
      <c r="R3201">
        <v>-0.96237519999999999</v>
      </c>
      <c r="S3201">
        <v>1.500183</v>
      </c>
      <c r="T3201">
        <v>-0.2344136</v>
      </c>
      <c r="U3201">
        <v>-2.6931919999999998</v>
      </c>
      <c r="V3201">
        <v>-0.108386999999999</v>
      </c>
      <c r="W3201">
        <v>6.7045830000000001E-3</v>
      </c>
      <c r="X3201">
        <v>0.99408609999999997</v>
      </c>
      <c r="Y3201">
        <v>-0.33364860000000002</v>
      </c>
      <c r="Z3201">
        <v>7.6935939999999994E-2</v>
      </c>
      <c r="AA3201">
        <v>0.93955279999999997</v>
      </c>
      <c r="AB3201">
        <v>22</v>
      </c>
      <c r="AC3201">
        <v>7.0938000000000399</v>
      </c>
      <c r="AD3201">
        <v>-1.1119408473230901</v>
      </c>
      <c r="AE3201">
        <v>-12.652699999999999</v>
      </c>
      <c r="AF3201">
        <v>-4.8699352751217599</v>
      </c>
      <c r="AG3201">
        <v>-1.1119408473230901</v>
      </c>
      <c r="AH3201">
        <v>13.5737005889378</v>
      </c>
      <c r="AI3201">
        <v>94.409143667031699</v>
      </c>
      <c r="AJ3201">
        <v>109.736832792263</v>
      </c>
      <c r="AK3201">
        <v>14.4636796739264</v>
      </c>
      <c r="AL3201">
        <v>89.615852787207302</v>
      </c>
      <c r="AM3201">
        <v>96.222482352298698</v>
      </c>
      <c r="AN3201">
        <v>0.99999993370770401</v>
      </c>
    </row>
    <row r="3202" spans="1:40" x14ac:dyDescent="0.25">
      <c r="A3202" t="str">
        <f>"20190312160701686"</f>
        <v>20190312160701686</v>
      </c>
      <c r="B3202" t="str">
        <f>"1552378021678320"</f>
        <v>1552378021678320</v>
      </c>
      <c r="C3202" t="s">
        <v>40</v>
      </c>
      <c r="D3202">
        <v>6.3245570000000004</v>
      </c>
      <c r="E3202">
        <v>0.41080610000000001</v>
      </c>
      <c r="F3202" t="s">
        <v>47</v>
      </c>
      <c r="G3202">
        <v>-488.04</v>
      </c>
      <c r="H3202" s="1">
        <v>-8.247835E-7</v>
      </c>
      <c r="I3202">
        <v>230.5393</v>
      </c>
      <c r="J3202">
        <v>-495.10149999999999</v>
      </c>
      <c r="K3202">
        <v>1.1119460000000001</v>
      </c>
      <c r="L3202">
        <v>243.1294</v>
      </c>
      <c r="M3202">
        <v>0.16736879999999901</v>
      </c>
      <c r="N3202">
        <v>0</v>
      </c>
      <c r="O3202">
        <v>-0.98578520000000003</v>
      </c>
      <c r="P3202">
        <v>0.27294689999999999</v>
      </c>
      <c r="Q3202">
        <v>-7.1288580000000001E-3</v>
      </c>
      <c r="R3202">
        <v>-0.96200319999999995</v>
      </c>
      <c r="S3202">
        <v>1.500275</v>
      </c>
      <c r="T3202">
        <v>-0.23549590000000001</v>
      </c>
      <c r="U3202">
        <v>-2.692078</v>
      </c>
      <c r="V3202">
        <v>-0.108101</v>
      </c>
      <c r="W3202">
        <v>6.9959230000000002E-3</v>
      </c>
      <c r="X3202">
        <v>0.99411530000000004</v>
      </c>
      <c r="Y3202">
        <v>-0.33225539999999998</v>
      </c>
      <c r="Z3202">
        <v>7.7303040000000003E-2</v>
      </c>
      <c r="AA3202">
        <v>0.94001630000000003</v>
      </c>
      <c r="AB3202">
        <v>22</v>
      </c>
      <c r="AC3202">
        <v>7.0614999999999597</v>
      </c>
      <c r="AD3202">
        <v>-1.1119468247834901</v>
      </c>
      <c r="AE3202">
        <v>-12.5901</v>
      </c>
      <c r="AF3202">
        <v>-4.8258199825320798</v>
      </c>
      <c r="AG3202">
        <v>-1.1119468247834901</v>
      </c>
      <c r="AH3202">
        <v>13.5142830724789</v>
      </c>
      <c r="AI3202">
        <v>94.430837352326805</v>
      </c>
      <c r="AJ3202">
        <v>109.651155559271</v>
      </c>
      <c r="AK3202">
        <v>14.3930820607694</v>
      </c>
      <c r="AL3202">
        <v>89.5991598683067</v>
      </c>
      <c r="AM3202">
        <v>96.206010557961605</v>
      </c>
      <c r="AN3202">
        <v>0.99999999941685602</v>
      </c>
    </row>
    <row r="3203" spans="1:40" x14ac:dyDescent="0.25">
      <c r="A3203" t="str">
        <f>"20190312160701705"</f>
        <v>20190312160701705</v>
      </c>
      <c r="B3203" t="str">
        <f>"1552378021697841"</f>
        <v>1552378021697841</v>
      </c>
      <c r="C3203" t="s">
        <v>40</v>
      </c>
      <c r="D3203">
        <v>6.5348670000000002</v>
      </c>
      <c r="E3203">
        <v>0.41135640000000001</v>
      </c>
      <c r="F3203" t="s">
        <v>47</v>
      </c>
      <c r="G3203">
        <v>-488.00240000000002</v>
      </c>
      <c r="H3203" s="1">
        <v>-7.8635900000000003E-7</v>
      </c>
      <c r="I3203">
        <v>230.39699999999999</v>
      </c>
      <c r="J3203">
        <v>-495.06630000000001</v>
      </c>
      <c r="K3203">
        <v>1.1119479999999999</v>
      </c>
      <c r="L3203">
        <v>242.9402</v>
      </c>
      <c r="M3203">
        <v>0.16993359999999999</v>
      </c>
      <c r="N3203">
        <v>0</v>
      </c>
      <c r="O3203">
        <v>-0.98534580000000005</v>
      </c>
      <c r="P3203">
        <v>0.27542759999999999</v>
      </c>
      <c r="Q3203">
        <v>-6.7115909999999898E-3</v>
      </c>
      <c r="R3203">
        <v>-0.9612984</v>
      </c>
      <c r="S3203">
        <v>1.500427</v>
      </c>
      <c r="T3203">
        <v>-0.2350149</v>
      </c>
      <c r="U3203">
        <v>-2.691055</v>
      </c>
      <c r="V3203">
        <v>-0.1080798</v>
      </c>
      <c r="W3203">
        <v>7.4398490000000001E-3</v>
      </c>
      <c r="X3203">
        <v>0.99411439999999995</v>
      </c>
      <c r="Y3203">
        <v>-0.32999889999999998</v>
      </c>
      <c r="Z3203">
        <v>7.7150609999999994E-2</v>
      </c>
      <c r="AA3203">
        <v>0.94082330000000003</v>
      </c>
      <c r="AB3203">
        <v>22</v>
      </c>
      <c r="AC3203">
        <v>7.0638999999999896</v>
      </c>
      <c r="AD3203">
        <v>-1.1119487863590001</v>
      </c>
      <c r="AE3203">
        <v>-12.543199999999899</v>
      </c>
      <c r="AF3203">
        <v>-4.8007517823837196</v>
      </c>
      <c r="AG3203">
        <v>-1.1119487863590001</v>
      </c>
      <c r="AH3203">
        <v>13.4808170410699</v>
      </c>
      <c r="AI3203">
        <v>94.443162869400197</v>
      </c>
      <c r="AJ3203">
        <v>109.601692663763</v>
      </c>
      <c r="AK3203">
        <v>14.353260113101401</v>
      </c>
      <c r="AL3203">
        <v>89.573724126951703</v>
      </c>
      <c r="AM3203">
        <v>96.204808547104193</v>
      </c>
      <c r="AN3203">
        <v>1.00000001740427</v>
      </c>
    </row>
    <row r="3204" spans="1:40" x14ac:dyDescent="0.25">
      <c r="A3204" t="str">
        <f>"20190312160701719"</f>
        <v>20190312160701719</v>
      </c>
      <c r="B3204" t="str">
        <f>"1552378021708576"</f>
        <v>1552378021708576</v>
      </c>
      <c r="C3204" t="s">
        <v>40</v>
      </c>
      <c r="D3204">
        <v>6.081645</v>
      </c>
      <c r="E3204">
        <v>0.41156900000000002</v>
      </c>
      <c r="F3204" t="s">
        <v>47</v>
      </c>
      <c r="G3204">
        <v>-487.97609999999997</v>
      </c>
      <c r="H3204" s="1">
        <v>-7.4473389999999998E-7</v>
      </c>
      <c r="I3204">
        <v>230.25409999999999</v>
      </c>
      <c r="J3204">
        <v>-495.04259999999999</v>
      </c>
      <c r="K3204">
        <v>1.11195</v>
      </c>
      <c r="L3204">
        <v>242.81389999999999</v>
      </c>
      <c r="M3204">
        <v>0.17164599999999999</v>
      </c>
      <c r="N3204">
        <v>0</v>
      </c>
      <c r="O3204">
        <v>-0.98504899999999995</v>
      </c>
      <c r="P3204">
        <v>0.2770068</v>
      </c>
      <c r="Q3204">
        <v>-6.4083999999999999E-3</v>
      </c>
      <c r="R3204">
        <v>-0.96084700000000001</v>
      </c>
      <c r="S3204">
        <v>1.5026550000000001</v>
      </c>
      <c r="T3204">
        <v>-0.23565939999999999</v>
      </c>
      <c r="U3204">
        <v>-2.6886139999999998</v>
      </c>
      <c r="V3204">
        <v>-0.1079861</v>
      </c>
      <c r="W3204">
        <v>7.7640869999999898E-3</v>
      </c>
      <c r="X3204">
        <v>0.99412210000000001</v>
      </c>
      <c r="Y3204">
        <v>-0.32930730000000002</v>
      </c>
      <c r="Z3204">
        <v>7.7381800000000001E-2</v>
      </c>
      <c r="AA3204">
        <v>0.94104670000000001</v>
      </c>
      <c r="AB3204">
        <v>22</v>
      </c>
      <c r="AC3204">
        <v>7.0665000000000102</v>
      </c>
      <c r="AD3204">
        <v>-1.1119507447338901</v>
      </c>
      <c r="AE3204">
        <v>-12.5597999999999</v>
      </c>
      <c r="AF3204">
        <v>-4.7770885217427796</v>
      </c>
      <c r="AG3204">
        <v>-1.1119507447338901</v>
      </c>
      <c r="AH3204">
        <v>13.5060158354894</v>
      </c>
      <c r="AI3204">
        <v>94.438279742209602</v>
      </c>
      <c r="AJ3204">
        <v>109.478727469069</v>
      </c>
      <c r="AK3204">
        <v>14.369045652087401</v>
      </c>
      <c r="AL3204">
        <v>89.555146120025</v>
      </c>
      <c r="AM3204">
        <v>96.199423536527107</v>
      </c>
      <c r="AN3204">
        <v>1.00000001427428</v>
      </c>
    </row>
    <row r="3205" spans="1:40" x14ac:dyDescent="0.25">
      <c r="A3205" t="str">
        <f>"20190312160701732"</f>
        <v>20190312160701732</v>
      </c>
      <c r="B3205" t="str">
        <f>"1552378021728097"</f>
        <v>1552378021728097</v>
      </c>
      <c r="C3205" t="s">
        <v>40</v>
      </c>
      <c r="D3205">
        <v>6.354692</v>
      </c>
      <c r="E3205">
        <v>0.4119218</v>
      </c>
      <c r="F3205" t="s">
        <v>47</v>
      </c>
      <c r="G3205">
        <v>-487.91640000000001</v>
      </c>
      <c r="H3205" s="1">
        <v>-7.0727009999999899E-7</v>
      </c>
      <c r="I3205">
        <v>230.09729999999999</v>
      </c>
      <c r="J3205">
        <v>-495.0172</v>
      </c>
      <c r="K3205">
        <v>1.1119509999999999</v>
      </c>
      <c r="L3205">
        <v>242.68010000000001</v>
      </c>
      <c r="M3205">
        <v>0.17346159999999999</v>
      </c>
      <c r="N3205">
        <v>0</v>
      </c>
      <c r="O3205">
        <v>-0.98473010000000005</v>
      </c>
      <c r="P3205">
        <v>0.27847490000000003</v>
      </c>
      <c r="Q3205">
        <v>-6.4287270000000004E-3</v>
      </c>
      <c r="R3205">
        <v>-0.96042179999999999</v>
      </c>
      <c r="S3205">
        <v>1.5055540000000001</v>
      </c>
      <c r="T3205">
        <v>-0.23492150000000001</v>
      </c>
      <c r="U3205">
        <v>-2.6866460000000001</v>
      </c>
      <c r="V3205">
        <v>-0.1076728</v>
      </c>
      <c r="W3205">
        <v>7.7707619999999996E-3</v>
      </c>
      <c r="X3205">
        <v>0.99415600000000004</v>
      </c>
      <c r="Y3205">
        <v>-0.32864280000000001</v>
      </c>
      <c r="Z3205">
        <v>7.7142890000000006E-2</v>
      </c>
      <c r="AA3205">
        <v>0.94129850000000004</v>
      </c>
      <c r="AB3205">
        <v>22</v>
      </c>
      <c r="AC3205">
        <v>7.1007999999999898</v>
      </c>
      <c r="AD3205">
        <v>-1.1119517072701</v>
      </c>
      <c r="AE3205">
        <v>-12.582800000000001</v>
      </c>
      <c r="AF3205">
        <v>-4.7819386061087199</v>
      </c>
      <c r="AG3205">
        <v>-1.1119517072701</v>
      </c>
      <c r="AH3205">
        <v>13.543640752240499</v>
      </c>
      <c r="AI3205">
        <v>94.426867812109705</v>
      </c>
      <c r="AJ3205">
        <v>109.446919121273</v>
      </c>
      <c r="AK3205">
        <v>14.406025762077601</v>
      </c>
      <c r="AL3205">
        <v>89.5547636458939</v>
      </c>
      <c r="AM3205">
        <v>96.181367447615997</v>
      </c>
      <c r="AN3205">
        <v>0.99999998446895</v>
      </c>
    </row>
    <row r="3206" spans="1:40" x14ac:dyDescent="0.25">
      <c r="A3206" t="str">
        <f>"20190312160701749"</f>
        <v>20190312160701749</v>
      </c>
      <c r="B3206" t="str">
        <f>"1552378021737856"</f>
        <v>1552378021737856</v>
      </c>
      <c r="C3206" t="s">
        <v>40</v>
      </c>
      <c r="D3206">
        <v>6.3704929999999997</v>
      </c>
      <c r="E3206">
        <v>0.41201670000000001</v>
      </c>
      <c r="F3206" t="s">
        <v>47</v>
      </c>
      <c r="G3206">
        <v>-487.9144</v>
      </c>
      <c r="H3206" s="1">
        <v>-6.8346749999999995E-7</v>
      </c>
      <c r="I3206">
        <v>230.0258</v>
      </c>
      <c r="J3206">
        <v>-494.98649999999998</v>
      </c>
      <c r="K3206">
        <v>1.1119570000000001</v>
      </c>
      <c r="L3206">
        <v>242.5204</v>
      </c>
      <c r="M3206">
        <v>0.17562700000000001</v>
      </c>
      <c r="N3206">
        <v>0</v>
      </c>
      <c r="O3206">
        <v>-0.9843459</v>
      </c>
      <c r="P3206">
        <v>0.28047430000000001</v>
      </c>
      <c r="Q3206">
        <v>-6.8631680000000002E-3</v>
      </c>
      <c r="R3206">
        <v>-0.95983739999999995</v>
      </c>
      <c r="S3206">
        <v>1.5071110000000001</v>
      </c>
      <c r="T3206">
        <v>-0.23594180000000001</v>
      </c>
      <c r="U3206">
        <v>-2.6850740000000002</v>
      </c>
      <c r="V3206">
        <v>-0.1075551</v>
      </c>
      <c r="W3206">
        <v>7.3702309999999997E-3</v>
      </c>
      <c r="X3206">
        <v>0.99417180000000005</v>
      </c>
      <c r="Y3206">
        <v>-0.32720290000000002</v>
      </c>
      <c r="Z3206">
        <v>7.7479530000000005E-2</v>
      </c>
      <c r="AA3206">
        <v>0.94177230000000001</v>
      </c>
      <c r="AB3206">
        <v>22</v>
      </c>
      <c r="AC3206">
        <v>7.0720999999999696</v>
      </c>
      <c r="AD3206">
        <v>-1.11195768346749</v>
      </c>
      <c r="AE3206">
        <v>-12.494599999999901</v>
      </c>
      <c r="AF3206">
        <v>-4.7390968999343004</v>
      </c>
      <c r="AG3206">
        <v>-1.11195768346749</v>
      </c>
      <c r="AH3206">
        <v>13.461788957325799</v>
      </c>
      <c r="AI3206">
        <v>94.455141199860904</v>
      </c>
      <c r="AJ3206">
        <v>109.39414065913201</v>
      </c>
      <c r="AK3206">
        <v>14.3148612025534</v>
      </c>
      <c r="AL3206">
        <v>89.577713043893397</v>
      </c>
      <c r="AM3206">
        <v>96.174565281030098</v>
      </c>
      <c r="AN3206">
        <v>0.999999993878121</v>
      </c>
    </row>
    <row r="3207" spans="1:40" x14ac:dyDescent="0.25">
      <c r="A3207" t="str">
        <f>"20190312160701763"</f>
        <v>20190312160701763</v>
      </c>
      <c r="B3207" t="str">
        <f>"1552378021758353"</f>
        <v>1552378021758353</v>
      </c>
      <c r="C3207" t="s">
        <v>40</v>
      </c>
      <c r="D3207">
        <v>6.3137879999999997</v>
      </c>
      <c r="E3207">
        <v>0.41160730000000001</v>
      </c>
      <c r="F3207" t="s">
        <v>47</v>
      </c>
      <c r="G3207">
        <v>-487.928</v>
      </c>
      <c r="H3207" s="1">
        <v>-6.7131550000000004E-7</v>
      </c>
      <c r="I3207">
        <v>230.00069999999999</v>
      </c>
      <c r="J3207">
        <v>-494.9606</v>
      </c>
      <c r="K3207">
        <v>1.1119570000000001</v>
      </c>
      <c r="L3207">
        <v>242.38740000000001</v>
      </c>
      <c r="M3207">
        <v>0.17743149999999999</v>
      </c>
      <c r="N3207">
        <v>0</v>
      </c>
      <c r="O3207">
        <v>-0.9840219</v>
      </c>
      <c r="P3207">
        <v>0.28196979999999999</v>
      </c>
      <c r="Q3207">
        <v>-6.6344919999999996E-3</v>
      </c>
      <c r="R3207">
        <v>-0.95940049999999999</v>
      </c>
      <c r="S3207">
        <v>1.512054</v>
      </c>
      <c r="T3207">
        <v>-0.23820150000000001</v>
      </c>
      <c r="U3207">
        <v>-2.6819459999999999</v>
      </c>
      <c r="V3207">
        <v>-0.1072823</v>
      </c>
      <c r="W3207">
        <v>7.6286699999999997E-3</v>
      </c>
      <c r="X3207">
        <v>0.99419930000000001</v>
      </c>
      <c r="Y3207">
        <v>-0.327229299999999</v>
      </c>
      <c r="Z3207">
        <v>7.822374E-2</v>
      </c>
      <c r="AA3207">
        <v>0.94170169999999997</v>
      </c>
      <c r="AB3207">
        <v>22</v>
      </c>
      <c r="AC3207">
        <v>7.03259999999994</v>
      </c>
      <c r="AD3207">
        <v>-1.1119576713154999</v>
      </c>
      <c r="AE3207">
        <v>-12.386699999999999</v>
      </c>
      <c r="AF3207">
        <v>-4.6943501938537704</v>
      </c>
      <c r="AG3207">
        <v>-1.1119576713154999</v>
      </c>
      <c r="AH3207">
        <v>13.3566612446494</v>
      </c>
      <c r="AI3207">
        <v>94.490874815227201</v>
      </c>
      <c r="AJ3207">
        <v>109.36460391323401</v>
      </c>
      <c r="AK3207">
        <v>14.201189147731601</v>
      </c>
      <c r="AL3207">
        <v>89.562905152207506</v>
      </c>
      <c r="AM3207">
        <v>96.158855736776104</v>
      </c>
      <c r="AN3207">
        <v>0.99999996830987303</v>
      </c>
    </row>
    <row r="3208" spans="1:40" x14ac:dyDescent="0.25">
      <c r="A3208" t="str">
        <f>"20190312160701775"</f>
        <v>20190312160701775</v>
      </c>
      <c r="B3208" t="str">
        <f>"1552378021768113"</f>
        <v>1552378021768113</v>
      </c>
      <c r="C3208" t="s">
        <v>40</v>
      </c>
      <c r="D3208">
        <v>6.3390459999999997</v>
      </c>
      <c r="E3208">
        <v>0.41157630000000001</v>
      </c>
      <c r="F3208" t="s">
        <v>47</v>
      </c>
      <c r="G3208">
        <v>-487.79219999999998</v>
      </c>
      <c r="H3208" s="1">
        <v>-6.2148979999999995E-7</v>
      </c>
      <c r="I3208">
        <v>229.74809999999999</v>
      </c>
      <c r="J3208">
        <v>-494.93689999999998</v>
      </c>
      <c r="K3208">
        <v>1.111958</v>
      </c>
      <c r="L3208">
        <v>242.26650000000001</v>
      </c>
      <c r="M3208">
        <v>0.1790716</v>
      </c>
      <c r="N3208">
        <v>0</v>
      </c>
      <c r="O3208">
        <v>-0.98372420000000005</v>
      </c>
      <c r="P3208">
        <v>0.28372770000000003</v>
      </c>
      <c r="Q3208">
        <v>-6.5800320000000004E-3</v>
      </c>
      <c r="R3208">
        <v>-0.95888249999999997</v>
      </c>
      <c r="S3208">
        <v>1.5192870000000001</v>
      </c>
      <c r="T3208">
        <v>-0.2356712</v>
      </c>
      <c r="U3208">
        <v>-2.6788020000000001</v>
      </c>
      <c r="V3208">
        <v>-0.10744720000000001</v>
      </c>
      <c r="W3208">
        <v>7.7082990000000001E-3</v>
      </c>
      <c r="X3208">
        <v>0.99418090000000003</v>
      </c>
      <c r="Y3208">
        <v>-0.32808579999999998</v>
      </c>
      <c r="Z3208">
        <v>7.7381779999999997E-2</v>
      </c>
      <c r="AA3208">
        <v>0.94147320000000001</v>
      </c>
      <c r="AB3208">
        <v>22</v>
      </c>
      <c r="AC3208">
        <v>7.1447000000000003</v>
      </c>
      <c r="AD3208">
        <v>-1.1119586214898001</v>
      </c>
      <c r="AE3208">
        <v>-12.5184</v>
      </c>
      <c r="AF3208">
        <v>-4.7589287080705196</v>
      </c>
      <c r="AG3208">
        <v>-1.1119586214898001</v>
      </c>
      <c r="AH3208">
        <v>13.515127537042799</v>
      </c>
      <c r="AI3208">
        <v>94.437524689555602</v>
      </c>
      <c r="AJ3208">
        <v>109.398117898278</v>
      </c>
      <c r="AK3208">
        <v>14.371587482492499</v>
      </c>
      <c r="AL3208">
        <v>89.558342621990505</v>
      </c>
      <c r="AM3208">
        <v>96.168362666431506</v>
      </c>
      <c r="AN3208">
        <v>0.99999999029306097</v>
      </c>
    </row>
    <row r="3209" spans="1:40" x14ac:dyDescent="0.25">
      <c r="A3209" t="str">
        <f>"20190312160701794"</f>
        <v>20190312160701794</v>
      </c>
      <c r="B3209" t="str">
        <f>"1552378021788608"</f>
        <v>1552378021788608</v>
      </c>
      <c r="C3209" t="s">
        <v>40</v>
      </c>
      <c r="D3209">
        <v>6.2907010000000003</v>
      </c>
      <c r="E3209">
        <v>0.41182639999999998</v>
      </c>
      <c r="F3209" t="s">
        <v>47</v>
      </c>
      <c r="G3209">
        <v>-487.73809999999997</v>
      </c>
      <c r="H3209" s="1">
        <v>-5.9480999999999996E-7</v>
      </c>
      <c r="I3209">
        <v>229.62739999999999</v>
      </c>
      <c r="J3209">
        <v>-494.90109999999999</v>
      </c>
      <c r="K3209">
        <v>1.111958</v>
      </c>
      <c r="L3209">
        <v>242.08580000000001</v>
      </c>
      <c r="M3209">
        <v>0.18152450000000001</v>
      </c>
      <c r="N3209">
        <v>0</v>
      </c>
      <c r="O3209">
        <v>-0.98327419999999999</v>
      </c>
      <c r="P3209">
        <v>0.28658830000000002</v>
      </c>
      <c r="Q3209">
        <v>-6.2230209999999996E-3</v>
      </c>
      <c r="R3209">
        <v>-0.95803389999999999</v>
      </c>
      <c r="S3209">
        <v>1.52417</v>
      </c>
      <c r="T3209">
        <v>-0.2354301</v>
      </c>
      <c r="U3209">
        <v>-2.6760250000000001</v>
      </c>
      <c r="V3209">
        <v>-0.10793560000000001</v>
      </c>
      <c r="W3209">
        <v>8.098816E-3</v>
      </c>
      <c r="X3209">
        <v>0.99412489999999998</v>
      </c>
      <c r="Y3209">
        <v>-0.32745099999999999</v>
      </c>
      <c r="Z3209">
        <v>7.7295779999999994E-2</v>
      </c>
      <c r="AA3209">
        <v>0.94170120000000002</v>
      </c>
      <c r="AB3209">
        <v>22</v>
      </c>
      <c r="AC3209">
        <v>7.16300000000001</v>
      </c>
      <c r="AD3209">
        <v>-1.1119585948099999</v>
      </c>
      <c r="AE3209">
        <v>-12.458399999999999</v>
      </c>
      <c r="AF3209">
        <v>-4.7537549454186099</v>
      </c>
      <c r="AG3209">
        <v>-1.1119585948099999</v>
      </c>
      <c r="AH3209">
        <v>13.471126228367501</v>
      </c>
      <c r="AI3209">
        <v>94.450895958960004</v>
      </c>
      <c r="AJ3209">
        <v>109.437159646179</v>
      </c>
      <c r="AK3209">
        <v>14.328498869674901</v>
      </c>
      <c r="AL3209">
        <v>89.535966951652</v>
      </c>
      <c r="AM3209">
        <v>96.196529600890003</v>
      </c>
      <c r="AN3209">
        <v>1.00000000068398</v>
      </c>
    </row>
    <row r="3210" spans="1:40" x14ac:dyDescent="0.25">
      <c r="A3210" t="str">
        <f>"20190312160701809"</f>
        <v>20190312160701809</v>
      </c>
      <c r="B3210" t="str">
        <f>"1552378021798369"</f>
        <v>1552378021798369</v>
      </c>
      <c r="C3210" t="s">
        <v>40</v>
      </c>
      <c r="D3210">
        <v>6.2327570000000003</v>
      </c>
      <c r="E3210">
        <v>0.4117188</v>
      </c>
      <c r="F3210" t="s">
        <v>61</v>
      </c>
      <c r="G3210">
        <v>-487.68979999999999</v>
      </c>
      <c r="H3210" s="1">
        <v>5.990289E-6</v>
      </c>
      <c r="I3210">
        <v>229.49</v>
      </c>
      <c r="J3210">
        <v>-494.8741</v>
      </c>
      <c r="K3210">
        <v>1.1119559999999999</v>
      </c>
      <c r="L3210">
        <v>241.9513</v>
      </c>
      <c r="M3210">
        <v>0.1833515</v>
      </c>
      <c r="N3210">
        <v>0</v>
      </c>
      <c r="O3210">
        <v>-0.98293470000000005</v>
      </c>
      <c r="P3210">
        <v>0.28866310000000001</v>
      </c>
      <c r="Q3210">
        <v>-6.3521599999999999E-3</v>
      </c>
      <c r="R3210">
        <v>-0.95740959999999997</v>
      </c>
      <c r="S3210">
        <v>1.5298769999999999</v>
      </c>
      <c r="T3210">
        <v>-0.23590340000000001</v>
      </c>
      <c r="U3210">
        <v>-2.6722260000000002</v>
      </c>
      <c r="V3210">
        <v>-0.1082414</v>
      </c>
      <c r="W3210">
        <v>7.9924839999999994E-3</v>
      </c>
      <c r="X3210">
        <v>0.99409250000000005</v>
      </c>
      <c r="Y3210">
        <v>-0.32778069999999998</v>
      </c>
      <c r="Z3210">
        <v>7.7462240000000002E-2</v>
      </c>
      <c r="AA3210">
        <v>0.94157279999999999</v>
      </c>
      <c r="AB3210">
        <v>22</v>
      </c>
      <c r="AC3210">
        <v>7.1843000000000004</v>
      </c>
      <c r="AD3210">
        <v>-1.111950009711</v>
      </c>
      <c r="AE3210">
        <v>-12.4612999999999</v>
      </c>
      <c r="AF3210">
        <v>-4.7490485639940596</v>
      </c>
      <c r="AG3210">
        <v>-1.111950009711</v>
      </c>
      <c r="AH3210">
        <v>13.4868019888804</v>
      </c>
      <c r="AI3210">
        <v>94.446763271597703</v>
      </c>
      <c r="AJ3210">
        <v>109.39847246775</v>
      </c>
      <c r="AK3210">
        <v>14.341677829826599</v>
      </c>
      <c r="AL3210">
        <v>89.542059518560094</v>
      </c>
      <c r="AM3210">
        <v>96.214149223250601</v>
      </c>
      <c r="AN3210">
        <v>0.99999998951534996</v>
      </c>
    </row>
    <row r="3211" spans="1:40" x14ac:dyDescent="0.25">
      <c r="A3211" t="str">
        <f>"20190312160701830"</f>
        <v>20190312160701830</v>
      </c>
      <c r="B3211" t="str">
        <f>"1552378021817888"</f>
        <v>1552378021817888</v>
      </c>
      <c r="C3211" t="s">
        <v>40</v>
      </c>
      <c r="D3211">
        <v>6.4394419999999997</v>
      </c>
      <c r="E3211">
        <v>0.41151700000000002</v>
      </c>
      <c r="F3211" t="s">
        <v>61</v>
      </c>
      <c r="G3211">
        <v>-487.64400000000001</v>
      </c>
      <c r="H3211" s="1">
        <v>5.9495639999999996E-6</v>
      </c>
      <c r="I3211">
        <v>229.398</v>
      </c>
      <c r="J3211">
        <v>-494.83249999999998</v>
      </c>
      <c r="K3211">
        <v>1.1119490000000001</v>
      </c>
      <c r="L3211">
        <v>241.74680000000001</v>
      </c>
      <c r="M3211">
        <v>0.18612880000000001</v>
      </c>
      <c r="N3211">
        <v>0</v>
      </c>
      <c r="O3211">
        <v>-0.98241199999999995</v>
      </c>
      <c r="P3211">
        <v>0.29171049999999998</v>
      </c>
      <c r="Q3211">
        <v>-6.66688E-3</v>
      </c>
      <c r="R3211">
        <v>-0.95648339999999998</v>
      </c>
      <c r="S3211">
        <v>1.536926</v>
      </c>
      <c r="T3211">
        <v>-0.23637040000000001</v>
      </c>
      <c r="U3211">
        <v>-2.668488</v>
      </c>
      <c r="V3211">
        <v>-0.1085962</v>
      </c>
      <c r="W3211">
        <v>7.7106830000000003E-3</v>
      </c>
      <c r="X3211">
        <v>0.99405600000000005</v>
      </c>
      <c r="Y3211">
        <v>-0.32754450000000002</v>
      </c>
      <c r="Z3211">
        <v>7.760222E-2</v>
      </c>
      <c r="AA3211">
        <v>0.94164349999999997</v>
      </c>
      <c r="AB3211">
        <v>22</v>
      </c>
      <c r="AC3211">
        <v>7.1884999999999701</v>
      </c>
      <c r="AD3211">
        <v>-1.1119430504359999</v>
      </c>
      <c r="AE3211">
        <v>-12.348800000000001</v>
      </c>
      <c r="AF3211">
        <v>-4.7354544890923602</v>
      </c>
      <c r="AG3211">
        <v>-1.1119430504359999</v>
      </c>
      <c r="AH3211">
        <v>13.390007939610699</v>
      </c>
      <c r="AI3211">
        <v>94.476608485722494</v>
      </c>
      <c r="AJ3211">
        <v>109.47643810956301</v>
      </c>
      <c r="AK3211">
        <v>14.2461664734242</v>
      </c>
      <c r="AL3211">
        <v>89.558206011501198</v>
      </c>
      <c r="AM3211">
        <v>96.234585301455098</v>
      </c>
      <c r="AN3211">
        <v>0.99999996021138204</v>
      </c>
    </row>
    <row r="3212" spans="1:40" x14ac:dyDescent="0.25">
      <c r="A3212" t="str">
        <f>"20190312160701851"</f>
        <v>20190312160701851</v>
      </c>
      <c r="B3212" t="str">
        <f>"1552378021848145"</f>
        <v>1552378021848145</v>
      </c>
      <c r="C3212" t="s">
        <v>40</v>
      </c>
      <c r="D3212">
        <v>6.1932780000000003</v>
      </c>
      <c r="E3212">
        <v>0.41095599999999999</v>
      </c>
      <c r="F3212" t="s">
        <v>61</v>
      </c>
      <c r="G3212">
        <v>-487.5745</v>
      </c>
      <c r="H3212" s="1">
        <v>5.8866709999999997E-6</v>
      </c>
      <c r="I3212">
        <v>229.25470000000001</v>
      </c>
      <c r="J3212">
        <v>-494.79259999999999</v>
      </c>
      <c r="K3212">
        <v>1.111945</v>
      </c>
      <c r="L3212">
        <v>241.55330000000001</v>
      </c>
      <c r="M3212">
        <v>0.1887577</v>
      </c>
      <c r="N3212">
        <v>0</v>
      </c>
      <c r="O3212">
        <v>-0.9819099</v>
      </c>
      <c r="P3212">
        <v>0.29412270000000001</v>
      </c>
      <c r="Q3212">
        <v>-6.5546419999999899E-3</v>
      </c>
      <c r="R3212">
        <v>-0.95574519999999996</v>
      </c>
      <c r="S3212">
        <v>1.5472109999999999</v>
      </c>
      <c r="T3212">
        <v>-0.23703669999999999</v>
      </c>
      <c r="U3212">
        <v>-2.6629939999999999</v>
      </c>
      <c r="V3212">
        <v>-0.1084435</v>
      </c>
      <c r="W3212">
        <v>7.8537309999999992E-3</v>
      </c>
      <c r="X3212">
        <v>0.99407160000000006</v>
      </c>
      <c r="Y3212">
        <v>-0.3285708</v>
      </c>
      <c r="Z3212">
        <v>7.7813560000000004E-2</v>
      </c>
      <c r="AA3212">
        <v>0.94126840000000001</v>
      </c>
      <c r="AB3212">
        <v>22</v>
      </c>
      <c r="AC3212">
        <v>7.21809999999999</v>
      </c>
      <c r="AD3212">
        <v>-1.111939113329</v>
      </c>
      <c r="AE3212">
        <v>-12.298599999999899</v>
      </c>
      <c r="AF3212">
        <v>-4.7377952314947098</v>
      </c>
      <c r="AG3212">
        <v>-1.111939113329</v>
      </c>
      <c r="AH3212">
        <v>13.3588689415208</v>
      </c>
      <c r="AI3212">
        <v>94.485579486988698</v>
      </c>
      <c r="AJ3212">
        <v>109.527326915329</v>
      </c>
      <c r="AK3212">
        <v>14.2176823583893</v>
      </c>
      <c r="AL3212">
        <v>89.550009738640995</v>
      </c>
      <c r="AM3212">
        <v>96.2257906425762</v>
      </c>
      <c r="AN3212">
        <v>1.0000000098547099</v>
      </c>
    </row>
    <row r="3213" spans="1:40" x14ac:dyDescent="0.25">
      <c r="A3213" t="str">
        <f>"20190312160701872"</f>
        <v>20190312160701872</v>
      </c>
      <c r="B3213" t="str">
        <f>"1552378021868641"</f>
        <v>1552378021868641</v>
      </c>
      <c r="C3213" t="s">
        <v>40</v>
      </c>
      <c r="D3213">
        <v>6.1640069999999998</v>
      </c>
      <c r="E3213">
        <v>0.41048689999999999</v>
      </c>
      <c r="F3213" t="s">
        <v>61</v>
      </c>
      <c r="G3213">
        <v>-487.44889999999998</v>
      </c>
      <c r="H3213" s="1">
        <v>5.7819910000000003E-6</v>
      </c>
      <c r="I3213">
        <v>229.02459999999999</v>
      </c>
      <c r="J3213">
        <v>-494.75040000000001</v>
      </c>
      <c r="K3213">
        <v>1.1119349999999999</v>
      </c>
      <c r="L3213">
        <v>241.3511</v>
      </c>
      <c r="M3213">
        <v>0.1915065</v>
      </c>
      <c r="N3213">
        <v>0</v>
      </c>
      <c r="O3213">
        <v>-0.98137719999999995</v>
      </c>
      <c r="P3213">
        <v>0.296821</v>
      </c>
      <c r="Q3213">
        <v>-6.5777029999999998E-3</v>
      </c>
      <c r="R3213">
        <v>-0.95491060000000005</v>
      </c>
      <c r="S3213">
        <v>1.557922</v>
      </c>
      <c r="T3213">
        <v>-0.2358896</v>
      </c>
      <c r="U3213">
        <v>-2.657867</v>
      </c>
      <c r="V3213">
        <v>-0.1084681</v>
      </c>
      <c r="W3213">
        <v>7.8584980000000002E-3</v>
      </c>
      <c r="X3213">
        <v>0.99406890000000003</v>
      </c>
      <c r="Y3213">
        <v>-0.3295592</v>
      </c>
      <c r="Z3213">
        <v>7.7417710000000001E-2</v>
      </c>
      <c r="AA3213">
        <v>0.94095549999999994</v>
      </c>
      <c r="AB3213">
        <v>22</v>
      </c>
      <c r="AC3213">
        <v>7.3015000000000301</v>
      </c>
      <c r="AD3213">
        <v>-1.1119292180089999</v>
      </c>
      <c r="AE3213">
        <v>-12.326499999999999</v>
      </c>
      <c r="AF3213">
        <v>-4.7766859123360197</v>
      </c>
      <c r="AG3213">
        <v>-1.1119292180089999</v>
      </c>
      <c r="AH3213">
        <v>13.4159296246248</v>
      </c>
      <c r="AI3213">
        <v>94.464588097632301</v>
      </c>
      <c r="AJ3213">
        <v>109.598060402494</v>
      </c>
      <c r="AK3213">
        <v>14.284266959975801</v>
      </c>
      <c r="AL3213">
        <v>89.549736610902499</v>
      </c>
      <c r="AM3213">
        <v>96.2272086263294</v>
      </c>
      <c r="AN3213">
        <v>1.0000000313278099</v>
      </c>
    </row>
    <row r="3214" spans="1:40" x14ac:dyDescent="0.25">
      <c r="A3214" t="str">
        <f>"20190312160701884"</f>
        <v>20190312160701884</v>
      </c>
      <c r="B3214" t="str">
        <f>"1552378021877932"</f>
        <v>1552378021877932</v>
      </c>
      <c r="C3214" t="s">
        <v>40</v>
      </c>
      <c r="D3214">
        <v>5.8258650000000003</v>
      </c>
      <c r="E3214">
        <v>0.41015740000000001</v>
      </c>
      <c r="F3214" t="s">
        <v>61</v>
      </c>
      <c r="G3214">
        <v>-487.34140000000002</v>
      </c>
      <c r="H3214" s="1">
        <v>5.6925369999999997E-6</v>
      </c>
      <c r="I3214">
        <v>228.82820000000001</v>
      </c>
      <c r="J3214">
        <v>-494.72550000000001</v>
      </c>
      <c r="K3214">
        <v>1.1119300000000001</v>
      </c>
      <c r="L3214">
        <v>241.23310000000001</v>
      </c>
      <c r="M3214">
        <v>0.193111</v>
      </c>
      <c r="N3214">
        <v>0</v>
      </c>
      <c r="O3214">
        <v>-0.98106249999999995</v>
      </c>
      <c r="P3214">
        <v>0.2983865</v>
      </c>
      <c r="Q3214">
        <v>-6.441385E-3</v>
      </c>
      <c r="R3214">
        <v>-0.95442380000000004</v>
      </c>
      <c r="S3214">
        <v>1.569183</v>
      </c>
      <c r="T3214">
        <v>-0.23549970000000001</v>
      </c>
      <c r="U3214">
        <v>-2.6522830000000002</v>
      </c>
      <c r="V3214">
        <v>-0.10847270000000001</v>
      </c>
      <c r="W3214">
        <v>8.0091750000000003E-3</v>
      </c>
      <c r="X3214">
        <v>0.99406709999999998</v>
      </c>
      <c r="Y3214">
        <v>-0.33184920000000001</v>
      </c>
      <c r="Z3214">
        <v>7.7283290000000004E-2</v>
      </c>
      <c r="AA3214">
        <v>0.94016140000000004</v>
      </c>
      <c r="AB3214">
        <v>22</v>
      </c>
      <c r="AC3214">
        <v>7.3840999999999797</v>
      </c>
      <c r="AD3214">
        <v>-1.1119243074630001</v>
      </c>
      <c r="AE3214">
        <v>-12.4048999999999</v>
      </c>
      <c r="AF3214">
        <v>-4.8206865351705801</v>
      </c>
      <c r="AG3214">
        <v>-1.1119243074630001</v>
      </c>
      <c r="AH3214">
        <v>13.517268160231801</v>
      </c>
      <c r="AI3214">
        <v>94.430414005376093</v>
      </c>
      <c r="AJ3214">
        <v>109.62784652911</v>
      </c>
      <c r="AK3214">
        <v>14.394163152178001</v>
      </c>
      <c r="AL3214">
        <v>89.541103139716299</v>
      </c>
      <c r="AM3214">
        <v>96.227481827494003</v>
      </c>
      <c r="AN3214">
        <v>0.99999993641593798</v>
      </c>
    </row>
    <row r="3215" spans="1:40" x14ac:dyDescent="0.25">
      <c r="A3215" t="str">
        <f>"20190312160701897"</f>
        <v>20190312160701897</v>
      </c>
      <c r="B3215" t="str">
        <f>"1552378021888669"</f>
        <v>1552378021888669</v>
      </c>
      <c r="C3215" t="s">
        <v>40</v>
      </c>
      <c r="D3215">
        <v>6.167484</v>
      </c>
      <c r="E3215">
        <v>0.4101416</v>
      </c>
      <c r="F3215" t="s">
        <v>61</v>
      </c>
      <c r="G3215">
        <v>-487.23390000000001</v>
      </c>
      <c r="H3215" s="1">
        <v>5.6050950000000004E-6</v>
      </c>
      <c r="I3215">
        <v>228.63829999999999</v>
      </c>
      <c r="J3215">
        <v>-494.70010000000002</v>
      </c>
      <c r="K3215">
        <v>1.1119250000000001</v>
      </c>
      <c r="L3215">
        <v>241.11359999999999</v>
      </c>
      <c r="M3215">
        <v>0.19473699999999999</v>
      </c>
      <c r="N3215">
        <v>0</v>
      </c>
      <c r="O3215">
        <v>-0.98074070000000002</v>
      </c>
      <c r="P3215">
        <v>0.29987129999999901</v>
      </c>
      <c r="Q3215">
        <v>-6.7083450000000001E-3</v>
      </c>
      <c r="R3215">
        <v>-0.95395609999999997</v>
      </c>
      <c r="S3215">
        <v>1.5757139999999901</v>
      </c>
      <c r="T3215">
        <v>-0.23387050000000001</v>
      </c>
      <c r="U3215">
        <v>-2.6490629999999999</v>
      </c>
      <c r="V3215">
        <v>-0.1083706</v>
      </c>
      <c r="W3215">
        <v>7.7564590000000003E-3</v>
      </c>
      <c r="X3215">
        <v>0.99408030000000003</v>
      </c>
      <c r="Y3215">
        <v>-0.33252189999999998</v>
      </c>
      <c r="Z3215">
        <v>7.6739849999999998E-2</v>
      </c>
      <c r="AA3215">
        <v>0.93996820000000003</v>
      </c>
      <c r="AB3215">
        <v>22</v>
      </c>
      <c r="AC3215">
        <v>7.4662000000000104</v>
      </c>
      <c r="AD3215">
        <v>-1.1119193949049999</v>
      </c>
      <c r="AE3215">
        <v>-12.475300000000001</v>
      </c>
      <c r="AF3215">
        <v>-4.8650983133296197</v>
      </c>
      <c r="AG3215">
        <v>-1.1119193949049999</v>
      </c>
      <c r="AH3215">
        <v>13.6109099002969</v>
      </c>
      <c r="AI3215">
        <v>94.398910776980102</v>
      </c>
      <c r="AJ3215">
        <v>109.66897654978</v>
      </c>
      <c r="AK3215">
        <v>14.4969795010247</v>
      </c>
      <c r="AL3215">
        <v>89.555583177363701</v>
      </c>
      <c r="AM3215">
        <v>96.221584229932205</v>
      </c>
      <c r="AN3215">
        <v>0.999999996224334</v>
      </c>
    </row>
    <row r="3216" spans="1:40" x14ac:dyDescent="0.25">
      <c r="A3216" t="str">
        <f>"20190312160701917"</f>
        <v>20190312160701917</v>
      </c>
      <c r="B3216" t="str">
        <f>"1552378021908188"</f>
        <v>1552378021908188</v>
      </c>
      <c r="C3216" t="s">
        <v>40</v>
      </c>
      <c r="D3216">
        <v>6.3555339999999996</v>
      </c>
      <c r="E3216">
        <v>0.40988849999999999</v>
      </c>
      <c r="F3216" t="s">
        <v>61</v>
      </c>
      <c r="G3216">
        <v>-487.24130000000002</v>
      </c>
      <c r="H3216" s="1">
        <v>5.6019760000000001E-6</v>
      </c>
      <c r="I3216">
        <v>228.62180000000001</v>
      </c>
      <c r="J3216">
        <v>-494.65890000000002</v>
      </c>
      <c r="K3216">
        <v>1.111909</v>
      </c>
      <c r="L3216">
        <v>240.92250000000001</v>
      </c>
      <c r="M3216">
        <v>0.19733709999999999</v>
      </c>
      <c r="N3216">
        <v>0</v>
      </c>
      <c r="O3216">
        <v>-0.98022069999999994</v>
      </c>
      <c r="P3216">
        <v>0.3019693</v>
      </c>
      <c r="Q3216">
        <v>-6.9945069999999996E-3</v>
      </c>
      <c r="R3216">
        <v>-0.95329209999999998</v>
      </c>
      <c r="S3216">
        <v>1.5801700000000001</v>
      </c>
      <c r="T3216">
        <v>-0.23556450000000001</v>
      </c>
      <c r="U3216">
        <v>-2.646423</v>
      </c>
      <c r="V3216">
        <v>-0.1079209</v>
      </c>
      <c r="W3216">
        <v>7.4922969999999898E-3</v>
      </c>
      <c r="X3216">
        <v>0.99413130000000005</v>
      </c>
      <c r="Y3216">
        <v>-0.33157940000000002</v>
      </c>
      <c r="Z3216">
        <v>7.7278979999999997E-2</v>
      </c>
      <c r="AA3216">
        <v>0.94025700000000001</v>
      </c>
      <c r="AB3216">
        <v>22</v>
      </c>
      <c r="AC3216">
        <v>7.4175999999999904</v>
      </c>
      <c r="AD3216">
        <v>-1.1119033980239901</v>
      </c>
      <c r="AE3216">
        <v>-12.300700000000001</v>
      </c>
      <c r="AF3216">
        <v>-4.8151937553529596</v>
      </c>
      <c r="AG3216">
        <v>-1.1119033980239901</v>
      </c>
      <c r="AH3216">
        <v>13.442146749659599</v>
      </c>
      <c r="AI3216">
        <v>94.452762987588002</v>
      </c>
      <c r="AJ3216">
        <v>109.708343055708</v>
      </c>
      <c r="AK3216">
        <v>14.321792112285101</v>
      </c>
      <c r="AL3216">
        <v>89.570719007510604</v>
      </c>
      <c r="AM3216">
        <v>96.195652668664906</v>
      </c>
      <c r="AN3216">
        <v>1.0000000484054099</v>
      </c>
    </row>
    <row r="3217" spans="1:40" x14ac:dyDescent="0.25">
      <c r="A3217" t="str">
        <f>"20190312160701929"</f>
        <v>20190312160701929</v>
      </c>
      <c r="B3217" t="str">
        <f>"1552378021917950"</f>
        <v>1552378021917950</v>
      </c>
      <c r="C3217" t="s">
        <v>40</v>
      </c>
      <c r="D3217">
        <v>6.3709579999999999</v>
      </c>
      <c r="E3217">
        <v>0.40959289999999998</v>
      </c>
      <c r="F3217" t="s">
        <v>61</v>
      </c>
      <c r="G3217">
        <v>-487.17110000000002</v>
      </c>
      <c r="H3217" s="1">
        <v>5.533629E-6</v>
      </c>
      <c r="I3217">
        <v>228.4615</v>
      </c>
      <c r="J3217">
        <v>-494.63510000000002</v>
      </c>
      <c r="K3217">
        <v>1.1119059999999901</v>
      </c>
      <c r="L3217">
        <v>240.81270000000001</v>
      </c>
      <c r="M3217">
        <v>0.19883329999999999</v>
      </c>
      <c r="N3217">
        <v>0</v>
      </c>
      <c r="O3217">
        <v>-0.97991819999999996</v>
      </c>
      <c r="P3217">
        <v>0.30296380000000001</v>
      </c>
      <c r="Q3217">
        <v>-7.3671839999999997E-3</v>
      </c>
      <c r="R3217">
        <v>-0.95297399999999999</v>
      </c>
      <c r="S3217">
        <v>1.587769</v>
      </c>
      <c r="T3217">
        <v>-0.23577490000000001</v>
      </c>
      <c r="U3217">
        <v>-2.6423190000000001</v>
      </c>
      <c r="V3217">
        <v>-0.1074391</v>
      </c>
      <c r="W3217">
        <v>7.1318190000000002E-3</v>
      </c>
      <c r="X3217">
        <v>0.99418609999999996</v>
      </c>
      <c r="Y3217">
        <v>-0.33276860000000003</v>
      </c>
      <c r="Z3217">
        <v>7.7344410000000002E-2</v>
      </c>
      <c r="AA3217">
        <v>0.93983130000000004</v>
      </c>
      <c r="AB3217">
        <v>22</v>
      </c>
      <c r="AC3217">
        <v>7.4639999999999898</v>
      </c>
      <c r="AD3217">
        <v>-1.1119004663709999</v>
      </c>
      <c r="AE3217">
        <v>-12.3512</v>
      </c>
      <c r="AF3217">
        <v>-4.8301543538213103</v>
      </c>
      <c r="AG3217">
        <v>-1.1119004663709999</v>
      </c>
      <c r="AH3217">
        <v>13.508598956641899</v>
      </c>
      <c r="AI3217">
        <v>94.431851246976393</v>
      </c>
      <c r="AJ3217">
        <v>109.67509222806601</v>
      </c>
      <c r="AK3217">
        <v>14.3891959295939</v>
      </c>
      <c r="AL3217">
        <v>89.591373412016395</v>
      </c>
      <c r="AM3217">
        <v>96.167869231420795</v>
      </c>
      <c r="AN3217">
        <v>1.00000001224213</v>
      </c>
    </row>
    <row r="3218" spans="1:40" x14ac:dyDescent="0.25">
      <c r="A3218" t="str">
        <f>"20190312160701950"</f>
        <v>20190312160701950</v>
      </c>
      <c r="B3218" t="str">
        <f>"1552378021938444"</f>
        <v>1552378021938444</v>
      </c>
      <c r="C3218" t="s">
        <v>40</v>
      </c>
      <c r="D3218">
        <v>5.7898630000000004</v>
      </c>
      <c r="E3218">
        <v>0.36627710000000002</v>
      </c>
      <c r="F3218" t="s">
        <v>61</v>
      </c>
      <c r="G3218">
        <v>-487.14870000000002</v>
      </c>
      <c r="H3218" s="1">
        <v>5.5107880000000003E-6</v>
      </c>
      <c r="I3218">
        <v>228.40700000000001</v>
      </c>
      <c r="J3218">
        <v>-494.59179999999998</v>
      </c>
      <c r="K3218">
        <v>1.111904</v>
      </c>
      <c r="L3218">
        <v>240.61580000000001</v>
      </c>
      <c r="M3218">
        <v>0.201519</v>
      </c>
      <c r="N3218">
        <v>0</v>
      </c>
      <c r="O3218">
        <v>-0.97936920000000005</v>
      </c>
      <c r="P3218">
        <v>0.30491669999999998</v>
      </c>
      <c r="Q3218">
        <v>-7.4763879999999996E-3</v>
      </c>
      <c r="R3218">
        <v>-0.95234980000000002</v>
      </c>
      <c r="S3218">
        <v>1.5929869999999999</v>
      </c>
      <c r="T3218">
        <v>-0.2365968</v>
      </c>
      <c r="U3218">
        <v>-2.6397710000000001</v>
      </c>
      <c r="V3218">
        <v>-0.10675129999999999</v>
      </c>
      <c r="W3218">
        <v>7.0416979999999999E-3</v>
      </c>
      <c r="X3218">
        <v>0.99426079999999994</v>
      </c>
      <c r="Y3218">
        <v>-0.33193779999999901</v>
      </c>
      <c r="Z3218">
        <v>7.7586189999999999E-2</v>
      </c>
      <c r="AA3218">
        <v>0.94010510000000003</v>
      </c>
      <c r="AB3218">
        <v>22</v>
      </c>
      <c r="AC3218">
        <v>7.4430999999999496</v>
      </c>
      <c r="AD3218">
        <v>-1.1118984892120001</v>
      </c>
      <c r="AE3218">
        <v>-12.208799999999901</v>
      </c>
      <c r="AF3218">
        <v>-4.80075394435858</v>
      </c>
      <c r="AG3218">
        <v>-1.1118984892120001</v>
      </c>
      <c r="AH3218">
        <v>13.3774776532983</v>
      </c>
      <c r="AI3218">
        <v>94.473258259289693</v>
      </c>
      <c r="AJ3218">
        <v>109.741458226091</v>
      </c>
      <c r="AK3218">
        <v>14.2562430201327</v>
      </c>
      <c r="AL3218">
        <v>89.596537082361706</v>
      </c>
      <c r="AM3218">
        <v>96.128228475561798</v>
      </c>
      <c r="AN3218">
        <v>0.999999981989526</v>
      </c>
    </row>
    <row r="3219" spans="1:40" x14ac:dyDescent="0.25">
      <c r="A3219" t="str">
        <f>"20190312160701973"</f>
        <v>20190312160701973</v>
      </c>
      <c r="B3219" t="str">
        <f>"1552378021968700"</f>
        <v>1552378021968700</v>
      </c>
      <c r="C3219" t="s">
        <v>40</v>
      </c>
      <c r="D3219">
        <v>6.2979909999999997</v>
      </c>
      <c r="E3219">
        <v>0.36168250000000002</v>
      </c>
      <c r="F3219" t="s">
        <v>61</v>
      </c>
      <c r="G3219">
        <v>-480.90480000000002</v>
      </c>
      <c r="H3219" s="1">
        <v>2.599791E-6</v>
      </c>
      <c r="I3219">
        <v>222.6497</v>
      </c>
      <c r="J3219">
        <v>-494.54500000000002</v>
      </c>
      <c r="K3219">
        <v>1.111904</v>
      </c>
      <c r="L3219">
        <v>240.40539999999999</v>
      </c>
      <c r="M3219">
        <v>0.2043991</v>
      </c>
      <c r="N3219">
        <v>0</v>
      </c>
      <c r="O3219">
        <v>-0.97877190000000003</v>
      </c>
      <c r="P3219">
        <v>0.30711929999999998</v>
      </c>
      <c r="Q3219">
        <v>-7.3480709999999899E-3</v>
      </c>
      <c r="R3219">
        <v>-0.95164300000000002</v>
      </c>
      <c r="S3219">
        <v>1.9284669999999999</v>
      </c>
      <c r="T3219">
        <v>-0.15666449999999901</v>
      </c>
      <c r="U3219">
        <v>-2.5313870000000001</v>
      </c>
      <c r="V3219">
        <v>-0.10612770000000001</v>
      </c>
      <c r="W3219">
        <v>7.1866539999999998E-3</v>
      </c>
      <c r="X3219">
        <v>0.9943265</v>
      </c>
      <c r="Y3219">
        <v>-0.4298188</v>
      </c>
      <c r="Z3219">
        <v>5.0405850000000002E-2</v>
      </c>
      <c r="AA3219">
        <v>0.90150710000000001</v>
      </c>
      <c r="AB3219">
        <v>22</v>
      </c>
      <c r="AC3219">
        <v>13.640199999999901</v>
      </c>
      <c r="AD3219">
        <v>-1.111901400209</v>
      </c>
      <c r="AE3219">
        <v>-17.755699999999901</v>
      </c>
      <c r="AF3219">
        <v>-9.6985788287386594</v>
      </c>
      <c r="AG3219">
        <v>-1.111901400209</v>
      </c>
      <c r="AH3219">
        <v>20.119492405313501</v>
      </c>
      <c r="AI3219">
        <v>92.849986115769795</v>
      </c>
      <c r="AJ3219">
        <v>115.73633941472499</v>
      </c>
      <c r="AK3219">
        <v>22.362753199651198</v>
      </c>
      <c r="AL3219">
        <v>89.588231497045697</v>
      </c>
      <c r="AM3219">
        <v>96.092300216727807</v>
      </c>
      <c r="AN3219">
        <v>0.99999996265262703</v>
      </c>
    </row>
    <row r="3220" spans="1:40" x14ac:dyDescent="0.25">
      <c r="A3220" t="str">
        <f>"20190312160701985"</f>
        <v>20190312160701985</v>
      </c>
      <c r="B3220" t="str">
        <f>"1552378021978461"</f>
        <v>1552378021978461</v>
      </c>
      <c r="C3220" t="s">
        <v>40</v>
      </c>
      <c r="D3220">
        <v>6.1796509999999998</v>
      </c>
      <c r="E3220">
        <v>0.36189710000000003</v>
      </c>
      <c r="F3220" t="s">
        <v>61</v>
      </c>
      <c r="G3220">
        <v>-482.54680000000002</v>
      </c>
      <c r="H3220" s="1">
        <v>3.5424210000000001E-6</v>
      </c>
      <c r="I3220">
        <v>225.07640000000001</v>
      </c>
      <c r="J3220">
        <v>-494.51909999999998</v>
      </c>
      <c r="K3220">
        <v>1.1119030000000001</v>
      </c>
      <c r="L3220">
        <v>240.29060000000001</v>
      </c>
      <c r="M3220">
        <v>0.2059812</v>
      </c>
      <c r="N3220">
        <v>0</v>
      </c>
      <c r="O3220">
        <v>-0.97844019999999998</v>
      </c>
      <c r="P3220">
        <v>0.30852030000000003</v>
      </c>
      <c r="Q3220">
        <v>-7.0433669999999896E-3</v>
      </c>
      <c r="R3220">
        <v>-0.95119189999999998</v>
      </c>
      <c r="S3220">
        <v>1.9689939999999999</v>
      </c>
      <c r="T3220">
        <v>-0.1824721</v>
      </c>
      <c r="U3220">
        <v>-2.5156100000000001</v>
      </c>
      <c r="V3220">
        <v>-0.1059847</v>
      </c>
      <c r="W3220">
        <v>7.4975429999999997E-3</v>
      </c>
      <c r="X3220">
        <v>0.99433950000000004</v>
      </c>
      <c r="Y3220">
        <v>-0.43985289999999999</v>
      </c>
      <c r="Z3220">
        <v>5.8530850000000002E-2</v>
      </c>
      <c r="AA3220">
        <v>0.89616039999999997</v>
      </c>
      <c r="AB3220">
        <v>22</v>
      </c>
      <c r="AC3220">
        <v>11.972299999999899</v>
      </c>
      <c r="AD3220">
        <v>-1.111899457579</v>
      </c>
      <c r="AE3220">
        <v>-15.2142</v>
      </c>
      <c r="AF3220">
        <v>-8.5530996285312106</v>
      </c>
      <c r="AG3220">
        <v>-1.111899457579</v>
      </c>
      <c r="AH3220">
        <v>17.2971637980102</v>
      </c>
      <c r="AI3220">
        <v>93.297873675903503</v>
      </c>
      <c r="AJ3220">
        <v>116.31146964287601</v>
      </c>
      <c r="AK3220">
        <v>19.3283136645321</v>
      </c>
      <c r="AL3220">
        <v>89.570418407001299</v>
      </c>
      <c r="AM3220">
        <v>96.084073912284694</v>
      </c>
      <c r="AN3220">
        <v>1.0000000055226801</v>
      </c>
    </row>
    <row r="3221" spans="1:40" x14ac:dyDescent="0.25">
      <c r="A3221" t="str">
        <f>"20190312160702007"</f>
        <v>20190312160702007</v>
      </c>
      <c r="B3221" t="str">
        <f>"1552378021997980"</f>
        <v>1552378021997980</v>
      </c>
      <c r="C3221" t="s">
        <v>40</v>
      </c>
      <c r="D3221">
        <v>6.1413989999999998</v>
      </c>
      <c r="E3221">
        <v>0.3626163</v>
      </c>
      <c r="F3221" t="s">
        <v>44</v>
      </c>
      <c r="G3221">
        <v>-493.90289999999999</v>
      </c>
      <c r="H3221">
        <v>1.0523279999999999</v>
      </c>
      <c r="I3221">
        <v>239.50479999999999</v>
      </c>
      <c r="J3221">
        <v>-494.4726</v>
      </c>
      <c r="K3221">
        <v>1.1119139999999901</v>
      </c>
      <c r="L3221">
        <v>240.08629999999999</v>
      </c>
      <c r="M3221">
        <v>0.2088161</v>
      </c>
      <c r="N3221">
        <v>0</v>
      </c>
      <c r="O3221">
        <v>-0.97783889999999996</v>
      </c>
      <c r="P3221">
        <v>0.31090240000000002</v>
      </c>
      <c r="Q3221">
        <v>-6.8230640000000002E-3</v>
      </c>
      <c r="R3221">
        <v>-0.95041759999999997</v>
      </c>
      <c r="S3221">
        <v>1.9708559999999999</v>
      </c>
      <c r="T3221">
        <v>-0.19053110000000001</v>
      </c>
      <c r="U3221">
        <v>-2.513306</v>
      </c>
      <c r="V3221">
        <v>-0.1055948</v>
      </c>
      <c r="W3221">
        <v>7.7268950000000001E-3</v>
      </c>
      <c r="X3221">
        <v>0.99437920000000002</v>
      </c>
      <c r="Y3221">
        <v>-0.43796390000000002</v>
      </c>
      <c r="Z3221">
        <v>6.1109749999999997E-2</v>
      </c>
      <c r="AA3221">
        <v>0.89691319999999997</v>
      </c>
      <c r="AB3221">
        <v>21</v>
      </c>
      <c r="AC3221">
        <v>0.56970000000001098</v>
      </c>
      <c r="AD3221">
        <v>-5.9585999999999702E-2</v>
      </c>
      <c r="AE3221">
        <v>-0.58150000000000501</v>
      </c>
      <c r="AF3221">
        <v>-0.43337583703543398</v>
      </c>
      <c r="AG3221">
        <v>-5.9585999999999702E-2</v>
      </c>
      <c r="AH3221">
        <v>0.68398932930909595</v>
      </c>
      <c r="AI3221">
        <v>94.208688132053496</v>
      </c>
      <c r="AJ3221">
        <v>122.358358846117</v>
      </c>
      <c r="AK3221">
        <v>0.81191533433657304</v>
      </c>
      <c r="AL3221">
        <v>89.557277113394406</v>
      </c>
      <c r="AM3221">
        <v>96.061618361598406</v>
      </c>
      <c r="AN3221">
        <v>0.99999998004301005</v>
      </c>
    </row>
    <row r="3222" spans="1:40" x14ac:dyDescent="0.25">
      <c r="A3222" t="str">
        <f>"20190312160702031"</f>
        <v>20190312160702031</v>
      </c>
      <c r="B3222" t="str">
        <f>"1552378022028238"</f>
        <v>1552378022028238</v>
      </c>
      <c r="C3222" t="s">
        <v>40</v>
      </c>
      <c r="D3222">
        <v>6.1318659999999996</v>
      </c>
      <c r="E3222">
        <v>0.36376570000000003</v>
      </c>
      <c r="F3222" t="s">
        <v>61</v>
      </c>
      <c r="G3222">
        <v>-483.73090000000002</v>
      </c>
      <c r="H3222" s="1">
        <v>4.0998449999999999E-6</v>
      </c>
      <c r="I3222">
        <v>226.4101</v>
      </c>
      <c r="J3222">
        <v>-494.42349999999999</v>
      </c>
      <c r="K3222">
        <v>1.111939</v>
      </c>
      <c r="L3222">
        <v>239.87360000000001</v>
      </c>
      <c r="M3222">
        <v>0.21180209999999999</v>
      </c>
      <c r="N3222">
        <v>0</v>
      </c>
      <c r="O3222">
        <v>-0.97719650000000002</v>
      </c>
      <c r="P3222">
        <v>0.31299460000000001</v>
      </c>
      <c r="Q3222">
        <v>-6.695744E-3</v>
      </c>
      <c r="R3222">
        <v>-0.9497314</v>
      </c>
      <c r="S3222">
        <v>1.971527</v>
      </c>
      <c r="T3222">
        <v>-0.20408009999999999</v>
      </c>
      <c r="U3222">
        <v>-2.5101170000000002</v>
      </c>
      <c r="V3222">
        <v>-0.1047478</v>
      </c>
      <c r="W3222">
        <v>7.8627899999999997E-3</v>
      </c>
      <c r="X3222">
        <v>0.99446769999999995</v>
      </c>
      <c r="Y3222">
        <v>-0.4357472</v>
      </c>
      <c r="Z3222">
        <v>6.5467490000000003E-2</v>
      </c>
      <c r="AA3222">
        <v>0.89768510000000001</v>
      </c>
      <c r="AB3222">
        <v>21</v>
      </c>
      <c r="AC3222">
        <v>10.692599999999899</v>
      </c>
      <c r="AD3222">
        <v>-1.1119349001549901</v>
      </c>
      <c r="AE3222">
        <v>-13.4635</v>
      </c>
      <c r="AF3222">
        <v>-7.56638763995488</v>
      </c>
      <c r="AG3222">
        <v>-1.1119349001549901</v>
      </c>
      <c r="AH3222">
        <v>15.3587087698938</v>
      </c>
      <c r="AI3222">
        <v>93.715821673763799</v>
      </c>
      <c r="AJ3222">
        <v>116.22692164462801</v>
      </c>
      <c r="AK3222">
        <v>17.157405288057301</v>
      </c>
      <c r="AL3222">
        <v>89.549490660263501</v>
      </c>
      <c r="AM3222">
        <v>96.012823200493401</v>
      </c>
      <c r="AN3222">
        <v>0.99999996570735605</v>
      </c>
    </row>
    <row r="3223" spans="1:40" x14ac:dyDescent="0.25">
      <c r="A3223" t="str">
        <f>"20190312160702053"</f>
        <v>20190312160702053</v>
      </c>
      <c r="B3223" t="str">
        <f>"1552378022048732"</f>
        <v>1552378022048732</v>
      </c>
      <c r="C3223" t="s">
        <v>40</v>
      </c>
      <c r="D3223">
        <v>6.2346519999999996</v>
      </c>
      <c r="E3223">
        <v>0.36411260000000001</v>
      </c>
      <c r="F3223" t="s">
        <v>61</v>
      </c>
      <c r="G3223">
        <v>-484.48259999999999</v>
      </c>
      <c r="H3223" s="1">
        <v>4.4409600000000001E-6</v>
      </c>
      <c r="I3223">
        <v>227.19909999999999</v>
      </c>
      <c r="J3223">
        <v>-494.37540000000001</v>
      </c>
      <c r="K3223">
        <v>1.1119669999999999</v>
      </c>
      <c r="L3223">
        <v>239.66800000000001</v>
      </c>
      <c r="M3223">
        <v>0.21473220000000001</v>
      </c>
      <c r="N3223">
        <v>0</v>
      </c>
      <c r="O3223">
        <v>-0.97655650000000005</v>
      </c>
      <c r="P3223">
        <v>0.31509530000000002</v>
      </c>
      <c r="Q3223">
        <v>-6.5602339999999999E-3</v>
      </c>
      <c r="R3223">
        <v>-0.94903760000000004</v>
      </c>
      <c r="S3223">
        <v>1.9677119999999999</v>
      </c>
      <c r="T3223">
        <v>-0.22009790000000001</v>
      </c>
      <c r="U3223">
        <v>-2.508804</v>
      </c>
      <c r="V3223">
        <v>-0.10396619999999999</v>
      </c>
      <c r="W3223">
        <v>8.003451E-3</v>
      </c>
      <c r="X3223">
        <v>0.9945486</v>
      </c>
      <c r="Y3223">
        <v>-0.43220999999999998</v>
      </c>
      <c r="Z3223">
        <v>7.0630159999999997E-2</v>
      </c>
      <c r="AA3223">
        <v>0.89900270000000004</v>
      </c>
      <c r="AB3223">
        <v>21</v>
      </c>
      <c r="AC3223">
        <v>9.8928000000000207</v>
      </c>
      <c r="AD3223">
        <v>-1.11196255904</v>
      </c>
      <c r="AE3223">
        <v>-12.4689</v>
      </c>
      <c r="AF3223">
        <v>-6.9502766055428999</v>
      </c>
      <c r="AG3223">
        <v>-1.11196255904</v>
      </c>
      <c r="AH3223">
        <v>14.2330488538176</v>
      </c>
      <c r="AI3223">
        <v>94.015712618958901</v>
      </c>
      <c r="AJ3223">
        <v>116.027163328885</v>
      </c>
      <c r="AK3223">
        <v>15.878365322079601</v>
      </c>
      <c r="AL3223">
        <v>89.541431127547597</v>
      </c>
      <c r="AM3223">
        <v>95.967800197637203</v>
      </c>
      <c r="AN3223">
        <v>0.99999997186615397</v>
      </c>
    </row>
    <row r="3224" spans="1:40" x14ac:dyDescent="0.25">
      <c r="A3224" t="str">
        <f>"20190312160702073"</f>
        <v>20190312160702073</v>
      </c>
      <c r="B3224" t="str">
        <f>"1552378022068252"</f>
        <v>1552378022068252</v>
      </c>
      <c r="C3224" t="s">
        <v>40</v>
      </c>
      <c r="D3224">
        <v>6.1161539999999999</v>
      </c>
      <c r="E3224">
        <v>0.36402800000000002</v>
      </c>
      <c r="F3224" t="s">
        <v>61</v>
      </c>
      <c r="G3224">
        <v>-484.72379999999998</v>
      </c>
      <c r="H3224" s="1">
        <v>4.5530770000000001E-6</v>
      </c>
      <c r="I3224">
        <v>227.39830000000001</v>
      </c>
      <c r="J3224">
        <v>-494.33089999999999</v>
      </c>
      <c r="K3224">
        <v>1.111998</v>
      </c>
      <c r="L3224">
        <v>239.48070000000001</v>
      </c>
      <c r="M3224">
        <v>0.21744959999999999</v>
      </c>
      <c r="N3224">
        <v>0</v>
      </c>
      <c r="O3224">
        <v>-0.97595509999999996</v>
      </c>
      <c r="P3224">
        <v>0.31731870000000001</v>
      </c>
      <c r="Q3224">
        <v>-5.7808919999999897E-3</v>
      </c>
      <c r="R3224">
        <v>-0.94830159999999997</v>
      </c>
      <c r="S3224">
        <v>1.970642</v>
      </c>
      <c r="T3224">
        <v>-0.2270373</v>
      </c>
      <c r="U3224">
        <v>-2.5052029999999998</v>
      </c>
      <c r="V3224">
        <v>-0.1035311</v>
      </c>
      <c r="W3224">
        <v>8.7835299999999995E-3</v>
      </c>
      <c r="X3224">
        <v>0.99458740000000001</v>
      </c>
      <c r="Y3224">
        <v>-0.43087789999999998</v>
      </c>
      <c r="Z3224">
        <v>7.2859149999999998E-2</v>
      </c>
      <c r="AA3224">
        <v>0.89946419999999905</v>
      </c>
      <c r="AB3224">
        <v>21</v>
      </c>
      <c r="AC3224">
        <v>9.6071000000000009</v>
      </c>
      <c r="AD3224">
        <v>-1.111993446923</v>
      </c>
      <c r="AE3224">
        <v>-12.0824</v>
      </c>
      <c r="AF3224">
        <v>-6.7147072047759204</v>
      </c>
      <c r="AG3224">
        <v>-1.111993446923</v>
      </c>
      <c r="AH3224">
        <v>13.810848149080099</v>
      </c>
      <c r="AI3224">
        <v>94.141626451563496</v>
      </c>
      <c r="AJ3224">
        <v>115.928594172327</v>
      </c>
      <c r="AK3224">
        <v>15.3968616564811</v>
      </c>
      <c r="AL3224">
        <v>89.496734314161003</v>
      </c>
      <c r="AM3224">
        <v>95.942773810034893</v>
      </c>
      <c r="AN3224">
        <v>0.99999996765261501</v>
      </c>
    </row>
    <row r="3225" spans="1:40" x14ac:dyDescent="0.25">
      <c r="A3225" t="str">
        <f>"20190312160702086"</f>
        <v>20190312160702086</v>
      </c>
      <c r="B3225" t="str">
        <f>"1552378022078520"</f>
        <v>1552378022078520</v>
      </c>
      <c r="C3225" t="s">
        <v>40</v>
      </c>
      <c r="D3225">
        <v>6.0964369999999999</v>
      </c>
      <c r="E3225">
        <v>0.36398510000000001</v>
      </c>
      <c r="F3225" t="s">
        <v>61</v>
      </c>
      <c r="G3225">
        <v>-484.62740000000002</v>
      </c>
      <c r="H3225" s="1">
        <v>4.4750749999999997E-6</v>
      </c>
      <c r="I3225">
        <v>227.20820000000001</v>
      </c>
      <c r="J3225">
        <v>-494.30239999999998</v>
      </c>
      <c r="K3225">
        <v>1.1120219999999901</v>
      </c>
      <c r="L3225">
        <v>239.36240000000001</v>
      </c>
      <c r="M3225">
        <v>0.2192027</v>
      </c>
      <c r="N3225">
        <v>0</v>
      </c>
      <c r="O3225">
        <v>-0.9755627</v>
      </c>
      <c r="P3225">
        <v>0.3187256</v>
      </c>
      <c r="Q3225">
        <v>-5.5882040000000003E-3</v>
      </c>
      <c r="R3225">
        <v>-0.94783050000000002</v>
      </c>
      <c r="S3225">
        <v>1.977112</v>
      </c>
      <c r="T3225">
        <v>-0.2265731</v>
      </c>
      <c r="U3225">
        <v>-2.5005799999999998</v>
      </c>
      <c r="V3225">
        <v>-0.1032212</v>
      </c>
      <c r="W3225">
        <v>8.9752110000000003E-3</v>
      </c>
      <c r="X3225">
        <v>0.99461790000000005</v>
      </c>
      <c r="Y3225">
        <v>-0.43150569999999999</v>
      </c>
      <c r="Z3225">
        <v>7.2708499999999995E-2</v>
      </c>
      <c r="AA3225">
        <v>0.89917530000000001</v>
      </c>
      <c r="AB3225">
        <v>21</v>
      </c>
      <c r="AC3225">
        <v>9.6749999999999492</v>
      </c>
      <c r="AD3225">
        <v>-1.1120175249249999</v>
      </c>
      <c r="AE3225">
        <v>-12.154199999999999</v>
      </c>
      <c r="AF3225">
        <v>-6.7405678335767396</v>
      </c>
      <c r="AG3225">
        <v>-1.1120175249249999</v>
      </c>
      <c r="AH3225">
        <v>13.908294711728599</v>
      </c>
      <c r="AI3225">
        <v>94.115289159031605</v>
      </c>
      <c r="AJ3225">
        <v>115.856857390714</v>
      </c>
      <c r="AK3225">
        <v>15.495563864638401</v>
      </c>
      <c r="AL3225">
        <v>89.485751369077306</v>
      </c>
      <c r="AM3225">
        <v>95.924931622762102</v>
      </c>
      <c r="AN3225">
        <v>0.99999996877117103</v>
      </c>
    </row>
    <row r="3226" spans="1:40" x14ac:dyDescent="0.25">
      <c r="A3226" t="str">
        <f>"20190312160702108"</f>
        <v>20190312160702108</v>
      </c>
      <c r="B3226" t="str">
        <f>"1552378022098039"</f>
        <v>1552378022098039</v>
      </c>
      <c r="C3226" t="s">
        <v>40</v>
      </c>
      <c r="D3226">
        <v>6.0914519999999897</v>
      </c>
      <c r="E3226">
        <v>0.3642184</v>
      </c>
      <c r="F3226" t="s">
        <v>61</v>
      </c>
      <c r="G3226">
        <v>-484.58150000000001</v>
      </c>
      <c r="H3226" s="1">
        <v>4.4425759999999998E-6</v>
      </c>
      <c r="I3226">
        <v>227.10730000000001</v>
      </c>
      <c r="J3226">
        <v>-494.25349999999997</v>
      </c>
      <c r="K3226">
        <v>1.112061</v>
      </c>
      <c r="L3226">
        <v>239.16149999999999</v>
      </c>
      <c r="M3226">
        <v>0.22222729999999999</v>
      </c>
      <c r="N3226">
        <v>0</v>
      </c>
      <c r="O3226">
        <v>-0.97487809999999997</v>
      </c>
      <c r="P3226">
        <v>0.3214439</v>
      </c>
      <c r="Q3226">
        <v>-4.9823559999999899E-3</v>
      </c>
      <c r="R3226">
        <v>-0.94691570000000003</v>
      </c>
      <c r="S3226">
        <v>1.9811099999999999</v>
      </c>
      <c r="T3226">
        <v>-0.22662769999999999</v>
      </c>
      <c r="U3226">
        <v>-2.4975740000000002</v>
      </c>
      <c r="V3226">
        <v>-0.1029935</v>
      </c>
      <c r="W3226">
        <v>9.5769540000000004E-3</v>
      </c>
      <c r="X3226">
        <v>0.99463590000000002</v>
      </c>
      <c r="Y3226">
        <v>-0.43011909999999998</v>
      </c>
      <c r="Z3226">
        <v>7.2710659999999996E-2</v>
      </c>
      <c r="AA3226">
        <v>0.89983930000000001</v>
      </c>
      <c r="AB3226">
        <v>21</v>
      </c>
      <c r="AC3226">
        <v>9.6719999999999597</v>
      </c>
      <c r="AD3226">
        <v>-1.112056557424</v>
      </c>
      <c r="AE3226">
        <v>-12.0541999999999</v>
      </c>
      <c r="AF3226">
        <v>-6.7162435380603798</v>
      </c>
      <c r="AG3226">
        <v>-1.112056557424</v>
      </c>
      <c r="AH3226">
        <v>13.830731429982899</v>
      </c>
      <c r="AI3226">
        <v>94.136879515197606</v>
      </c>
      <c r="AJ3226">
        <v>115.901344884019</v>
      </c>
      <c r="AK3226">
        <v>15.4153731365077</v>
      </c>
      <c r="AL3226">
        <v>89.4512725539672</v>
      </c>
      <c r="AM3226">
        <v>95.911848007674095</v>
      </c>
      <c r="AN3226">
        <v>0.99999997632948801</v>
      </c>
    </row>
    <row r="3227" spans="1:40" x14ac:dyDescent="0.25">
      <c r="A3227" t="str">
        <f>"20190312160702122"</f>
        <v>20190312160702122</v>
      </c>
      <c r="B3227" t="str">
        <f>"1552378022118537"</f>
        <v>1552378022118537</v>
      </c>
      <c r="C3227" t="s">
        <v>40</v>
      </c>
      <c r="D3227">
        <v>6.1189349999999996</v>
      </c>
      <c r="E3227">
        <v>0.36427379999999998</v>
      </c>
      <c r="F3227" t="s">
        <v>61</v>
      </c>
      <c r="G3227">
        <v>-484.57960000000003</v>
      </c>
      <c r="H3227" s="1">
        <v>4.4238249999999999E-6</v>
      </c>
      <c r="I3227">
        <v>227.02440000000001</v>
      </c>
      <c r="J3227">
        <v>-494.22199999999998</v>
      </c>
      <c r="K3227">
        <v>1.1120859999999999</v>
      </c>
      <c r="L3227">
        <v>239.03380000000001</v>
      </c>
      <c r="M3227">
        <v>0.22419</v>
      </c>
      <c r="N3227">
        <v>0</v>
      </c>
      <c r="O3227">
        <v>-0.97442859999999998</v>
      </c>
      <c r="P3227">
        <v>0.32311669999999998</v>
      </c>
      <c r="Q3227">
        <v>-4.7056299999999997E-3</v>
      </c>
      <c r="R3227">
        <v>-0.94634739999999995</v>
      </c>
      <c r="S3227">
        <v>1.986694</v>
      </c>
      <c r="T3227">
        <v>-0.22837959999999999</v>
      </c>
      <c r="U3227">
        <v>-2.492569</v>
      </c>
      <c r="V3227">
        <v>-0.1027494</v>
      </c>
      <c r="W3227">
        <v>9.8511209999999991E-3</v>
      </c>
      <c r="X3227">
        <v>0.9946585</v>
      </c>
      <c r="Y3227">
        <v>-0.43038920000000003</v>
      </c>
      <c r="Z3227">
        <v>7.3282399999999998E-2</v>
      </c>
      <c r="AA3227">
        <v>0.89966369999999896</v>
      </c>
      <c r="AB3227">
        <v>21</v>
      </c>
      <c r="AC3227">
        <v>9.6423999999999506</v>
      </c>
      <c r="AD3227">
        <v>-1.112081576175</v>
      </c>
      <c r="AE3227">
        <v>-12.009399999999999</v>
      </c>
      <c r="AF3227">
        <v>-6.66943322213322</v>
      </c>
      <c r="AG3227">
        <v>-1.112081576175</v>
      </c>
      <c r="AH3227">
        <v>13.7936937157753</v>
      </c>
      <c r="AI3227">
        <v>94.151432860992898</v>
      </c>
      <c r="AJ3227">
        <v>115.80438070394899</v>
      </c>
      <c r="AK3227">
        <v>15.3617723997324</v>
      </c>
      <c r="AL3227">
        <v>89.435563218069106</v>
      </c>
      <c r="AM3227">
        <v>95.897802438956901</v>
      </c>
      <c r="AN3227">
        <v>1.0000000077037801</v>
      </c>
    </row>
    <row r="3228" spans="1:40" x14ac:dyDescent="0.25">
      <c r="A3228" t="str">
        <f>"20190312160702140"</f>
        <v>20190312160702140</v>
      </c>
      <c r="B3228" t="str">
        <f>"1552378022138056"</f>
        <v>1552378022138056</v>
      </c>
      <c r="C3228" t="s">
        <v>40</v>
      </c>
      <c r="D3228">
        <v>5.8759889999999997</v>
      </c>
      <c r="E3228">
        <v>0.36402760000000001</v>
      </c>
      <c r="F3228" t="s">
        <v>44</v>
      </c>
      <c r="G3228">
        <v>-493.5865</v>
      </c>
      <c r="H3228">
        <v>1.0387489999999999</v>
      </c>
      <c r="I3228">
        <v>238.2389</v>
      </c>
      <c r="J3228">
        <v>-494.18119999999999</v>
      </c>
      <c r="K3228">
        <v>1.112123</v>
      </c>
      <c r="L3228">
        <v>238.87</v>
      </c>
      <c r="M3228">
        <v>0.22675049999999999</v>
      </c>
      <c r="N3228">
        <v>0</v>
      </c>
      <c r="O3228">
        <v>-0.97383589999999998</v>
      </c>
      <c r="P3228">
        <v>0.32518740000000002</v>
      </c>
      <c r="Q3228">
        <v>-4.5324789999999998E-3</v>
      </c>
      <c r="R3228">
        <v>-0.9456388</v>
      </c>
      <c r="S3228">
        <v>1.9907840000000001</v>
      </c>
      <c r="T3228">
        <v>-0.22963449999999999</v>
      </c>
      <c r="U3228">
        <v>-2.4892430000000001</v>
      </c>
      <c r="V3228">
        <v>-0.1023138</v>
      </c>
      <c r="W3228">
        <v>1.002134E-2</v>
      </c>
      <c r="X3228">
        <v>0.99470170000000002</v>
      </c>
      <c r="Y3228">
        <v>-0.42948740000000002</v>
      </c>
      <c r="Z3228">
        <v>7.3674879999999998E-2</v>
      </c>
      <c r="AA3228">
        <v>0.90006260000000005</v>
      </c>
      <c r="AB3228">
        <v>21</v>
      </c>
      <c r="AC3228">
        <v>0.59469999999998802</v>
      </c>
      <c r="AD3228">
        <v>-7.3373999999999995E-2</v>
      </c>
      <c r="AE3228">
        <v>-0.63110000000000299</v>
      </c>
      <c r="AF3228">
        <v>-0.43298760959714799</v>
      </c>
      <c r="AG3228">
        <v>-7.3373999999999995E-2</v>
      </c>
      <c r="AH3228">
        <v>0.74419358059475904</v>
      </c>
      <c r="AI3228">
        <v>94.871010551630505</v>
      </c>
      <c r="AJ3228">
        <v>120.19175258734499</v>
      </c>
      <c r="AK3228">
        <v>0.86411000418876105</v>
      </c>
      <c r="AL3228">
        <v>89.4258099056444</v>
      </c>
      <c r="AM3228">
        <v>95.872720910865397</v>
      </c>
      <c r="AN3228">
        <v>1.0000000064543599</v>
      </c>
    </row>
    <row r="3229" spans="1:40" x14ac:dyDescent="0.25">
      <c r="A3229" t="str">
        <f>"20190312160702164"</f>
        <v>20190312160702164</v>
      </c>
      <c r="B3229" t="str">
        <f>"1552378022158551"</f>
        <v>1552378022158551</v>
      </c>
      <c r="C3229" t="s">
        <v>40</v>
      </c>
      <c r="D3229">
        <v>6.3207380000000004</v>
      </c>
      <c r="E3229">
        <v>0.36394939999999998</v>
      </c>
      <c r="F3229" t="s">
        <v>44</v>
      </c>
      <c r="G3229">
        <v>-493.55259999999998</v>
      </c>
      <c r="H3229">
        <v>1.0391010000000001</v>
      </c>
      <c r="I3229">
        <v>238.08869999999999</v>
      </c>
      <c r="J3229">
        <v>-494.12810000000002</v>
      </c>
      <c r="K3229">
        <v>1.1121669999999999</v>
      </c>
      <c r="L3229">
        <v>238.65969999999999</v>
      </c>
      <c r="M3229">
        <v>0.23011470000000001</v>
      </c>
      <c r="N3229">
        <v>0</v>
      </c>
      <c r="O3229">
        <v>-0.97304630000000003</v>
      </c>
      <c r="P3229">
        <v>0.3279437</v>
      </c>
      <c r="Q3229">
        <v>-4.239217E-3</v>
      </c>
      <c r="R3229">
        <v>-0.94468779999999997</v>
      </c>
      <c r="S3229">
        <v>1.998413</v>
      </c>
      <c r="T3229">
        <v>-0.23218639999999999</v>
      </c>
      <c r="U3229">
        <v>-2.4840849999999999</v>
      </c>
      <c r="V3229">
        <v>-0.10177899999999999</v>
      </c>
      <c r="W3229">
        <v>1.030934E-2</v>
      </c>
      <c r="X3229">
        <v>0.99475360000000002</v>
      </c>
      <c r="Y3229">
        <v>-0.42892239999999998</v>
      </c>
      <c r="Z3229">
        <v>7.4464680000000005E-2</v>
      </c>
      <c r="AA3229">
        <v>0.90026689999999998</v>
      </c>
      <c r="AB3229">
        <v>21</v>
      </c>
      <c r="AC3229">
        <v>0.57550000000003299</v>
      </c>
      <c r="AD3229">
        <v>-7.3065999999999798E-2</v>
      </c>
      <c r="AE3229">
        <v>-0.57099999999999795</v>
      </c>
      <c r="AF3229">
        <v>-0.42518782977991798</v>
      </c>
      <c r="AG3229">
        <v>-7.3065999999999798E-2</v>
      </c>
      <c r="AH3229">
        <v>0.68257452196968904</v>
      </c>
      <c r="AI3229">
        <v>95.191563532368704</v>
      </c>
      <c r="AJ3229">
        <v>121.91951385260499</v>
      </c>
      <c r="AK3229">
        <v>0.80748455650315998</v>
      </c>
      <c r="AL3229">
        <v>89.409307856490898</v>
      </c>
      <c r="AM3229">
        <v>95.841934048125395</v>
      </c>
      <c r="AN3229">
        <v>0.99999998602259699</v>
      </c>
    </row>
    <row r="3230" spans="1:40" x14ac:dyDescent="0.25">
      <c r="A3230" t="str">
        <f>"20190312160702177"</f>
        <v>20190312160702177</v>
      </c>
      <c r="B3230" t="str">
        <f>"1552378022168311"</f>
        <v>1552378022168311</v>
      </c>
      <c r="C3230" t="s">
        <v>40</v>
      </c>
      <c r="D3230">
        <v>6.1330960000000001</v>
      </c>
      <c r="E3230">
        <v>0.36392439999999998</v>
      </c>
      <c r="F3230" t="s">
        <v>61</v>
      </c>
      <c r="G3230">
        <v>-484.5249</v>
      </c>
      <c r="H3230" s="1">
        <v>4.3615989999999996E-6</v>
      </c>
      <c r="I3230">
        <v>226.7978</v>
      </c>
      <c r="J3230">
        <v>-494.09730000000002</v>
      </c>
      <c r="K3230">
        <v>1.1121920000000001</v>
      </c>
      <c r="L3230">
        <v>238.5393</v>
      </c>
      <c r="M3230">
        <v>0.23207430000000001</v>
      </c>
      <c r="N3230">
        <v>0</v>
      </c>
      <c r="O3230">
        <v>-0.97258089999999997</v>
      </c>
      <c r="P3230">
        <v>0.32948840000000001</v>
      </c>
      <c r="Q3230">
        <v>-4.1406139999999999E-3</v>
      </c>
      <c r="R3230">
        <v>-0.94415070000000001</v>
      </c>
      <c r="S3230">
        <v>2.006256</v>
      </c>
      <c r="T3230">
        <v>-0.2323482</v>
      </c>
      <c r="U3230">
        <v>-2.4781339999999998</v>
      </c>
      <c r="V3230">
        <v>-0.1014032</v>
      </c>
      <c r="W3230">
        <v>1.040613E-2</v>
      </c>
      <c r="X3230">
        <v>0.99479099999999998</v>
      </c>
      <c r="Y3230">
        <v>-0.42987989999999998</v>
      </c>
      <c r="Z3230">
        <v>7.4517280000000005E-2</v>
      </c>
      <c r="AA3230">
        <v>0.89980579999999999</v>
      </c>
      <c r="AB3230">
        <v>21</v>
      </c>
      <c r="AC3230">
        <v>9.5724000000000107</v>
      </c>
      <c r="AD3230">
        <v>-1.1121876384010001</v>
      </c>
      <c r="AE3230">
        <v>-11.7415</v>
      </c>
      <c r="AF3230">
        <v>-6.5504767484563198</v>
      </c>
      <c r="AG3230">
        <v>-1.1121876384010001</v>
      </c>
      <c r="AH3230">
        <v>13.5694824670015</v>
      </c>
      <c r="AI3230">
        <v>94.221463465704602</v>
      </c>
      <c r="AJ3230">
        <v>115.76827329294601</v>
      </c>
      <c r="AK3230">
        <v>15.108823958116</v>
      </c>
      <c r="AL3230">
        <v>89.403761917747204</v>
      </c>
      <c r="AM3230">
        <v>95.820294837957903</v>
      </c>
      <c r="AN3230">
        <v>1.0000000150963999</v>
      </c>
    </row>
    <row r="3231" spans="1:40" x14ac:dyDescent="0.25">
      <c r="A3231" t="str">
        <f>"20190312160702189"</f>
        <v>20190312160702189</v>
      </c>
      <c r="B3231" t="str">
        <f>"1552378022178071"</f>
        <v>1552378022178071</v>
      </c>
      <c r="C3231" t="s">
        <v>40</v>
      </c>
      <c r="D3231">
        <v>6.0996360000000003</v>
      </c>
      <c r="E3231">
        <v>0.363956</v>
      </c>
      <c r="F3231" t="s">
        <v>44</v>
      </c>
      <c r="G3231">
        <v>-493.47570000000002</v>
      </c>
      <c r="H3231">
        <v>1.0403340000000001</v>
      </c>
      <c r="I3231">
        <v>237.7741</v>
      </c>
      <c r="J3231">
        <v>-494.06779999999998</v>
      </c>
      <c r="K3231">
        <v>1.1122080000000001</v>
      </c>
      <c r="L3231">
        <v>238.42509999999999</v>
      </c>
      <c r="M3231">
        <v>0.23396359999999999</v>
      </c>
      <c r="N3231">
        <v>0</v>
      </c>
      <c r="O3231">
        <v>-0.97212810000000005</v>
      </c>
      <c r="P3231">
        <v>0.33108159999999998</v>
      </c>
      <c r="Q3231">
        <v>-3.855528E-3</v>
      </c>
      <c r="R3231">
        <v>-0.9435945</v>
      </c>
      <c r="S3231">
        <v>2.010529</v>
      </c>
      <c r="T3231">
        <v>-0.2324251</v>
      </c>
      <c r="U3231">
        <v>-2.4748079999999999</v>
      </c>
      <c r="V3231">
        <v>-0.1011505</v>
      </c>
      <c r="W3231">
        <v>1.0688400000000001E-2</v>
      </c>
      <c r="X3231">
        <v>0.99481370000000002</v>
      </c>
      <c r="Y3231">
        <v>-0.42965360000000002</v>
      </c>
      <c r="Z3231">
        <v>7.4535329999999997E-2</v>
      </c>
      <c r="AA3231">
        <v>0.89991239999999995</v>
      </c>
      <c r="AB3231">
        <v>21</v>
      </c>
      <c r="AC3231">
        <v>0.59209999999995899</v>
      </c>
      <c r="AD3231">
        <v>-7.1873999999999993E-2</v>
      </c>
      <c r="AE3231">
        <v>-0.65099999999998204</v>
      </c>
      <c r="AF3231">
        <v>-0.42052967364917099</v>
      </c>
      <c r="AG3231">
        <v>-7.1873999999999993E-2</v>
      </c>
      <c r="AH3231">
        <v>0.76636083646962805</v>
      </c>
      <c r="AI3231">
        <v>94.700328073996701</v>
      </c>
      <c r="AJ3231">
        <v>118.75515575867399</v>
      </c>
      <c r="AK3231">
        <v>0.87710889288041405</v>
      </c>
      <c r="AL3231">
        <v>89.387588118106805</v>
      </c>
      <c r="AM3231">
        <v>95.805758109658896</v>
      </c>
      <c r="AN3231">
        <v>0.99999998162624903</v>
      </c>
    </row>
    <row r="3232" spans="1:40" x14ac:dyDescent="0.25">
      <c r="A3232" t="str">
        <f>"20190312160702208"</f>
        <v>20190312160702208</v>
      </c>
      <c r="B3232" t="str">
        <f>"1552378022198573"</f>
        <v>1552378022198573</v>
      </c>
      <c r="C3232" t="s">
        <v>40</v>
      </c>
      <c r="D3232">
        <v>6.1692960000000001</v>
      </c>
      <c r="E3232">
        <v>0.36383880000000002</v>
      </c>
      <c r="F3232" t="s">
        <v>61</v>
      </c>
      <c r="G3232">
        <v>-484.43830000000003</v>
      </c>
      <c r="H3232" s="1">
        <v>4.3005300000000001E-6</v>
      </c>
      <c r="I3232">
        <v>226.60839999999999</v>
      </c>
      <c r="J3232">
        <v>-494.0247</v>
      </c>
      <c r="K3232">
        <v>1.112241</v>
      </c>
      <c r="L3232">
        <v>238.26009999999999</v>
      </c>
      <c r="M3232">
        <v>0.2367436</v>
      </c>
      <c r="N3232">
        <v>0</v>
      </c>
      <c r="O3232">
        <v>-0.97145499999999996</v>
      </c>
      <c r="P3232">
        <v>0.3334319</v>
      </c>
      <c r="Q3232">
        <v>-3.2362699999999999E-3</v>
      </c>
      <c r="R3232">
        <v>-0.94276890000000002</v>
      </c>
      <c r="S3232">
        <v>2.01416</v>
      </c>
      <c r="T3232">
        <v>-0.2326356</v>
      </c>
      <c r="U3232">
        <v>-2.4716640000000001</v>
      </c>
      <c r="V3232">
        <v>-0.100787</v>
      </c>
      <c r="W3232">
        <v>1.1303489999999999E-2</v>
      </c>
      <c r="X3232">
        <v>0.99484379999999994</v>
      </c>
      <c r="Y3232">
        <v>-0.42842370000000002</v>
      </c>
      <c r="Z3232">
        <v>7.4590439999999994E-2</v>
      </c>
      <c r="AA3232">
        <v>0.90049400000000002</v>
      </c>
      <c r="AB3232">
        <v>21</v>
      </c>
      <c r="AC3232">
        <v>9.5863999999999692</v>
      </c>
      <c r="AD3232">
        <v>-1.1122366994699999</v>
      </c>
      <c r="AE3232">
        <v>-11.6517</v>
      </c>
      <c r="AF3232">
        <v>-6.5196105722574602</v>
      </c>
      <c r="AG3232">
        <v>-1.1122366994699999</v>
      </c>
      <c r="AH3232">
        <v>13.5167206019271</v>
      </c>
      <c r="AI3232">
        <v>94.2387279446056</v>
      </c>
      <c r="AJ3232">
        <v>115.749719770477</v>
      </c>
      <c r="AK3232">
        <v>15.048060616574499</v>
      </c>
      <c r="AL3232">
        <v>89.352343928808494</v>
      </c>
      <c r="AM3232">
        <v>95.784862134868106</v>
      </c>
      <c r="AN3232">
        <v>0.99999998732680995</v>
      </c>
    </row>
    <row r="3233" spans="1:40" x14ac:dyDescent="0.25">
      <c r="A3233" t="str">
        <f>"20190312160702232"</f>
        <v>20190312160702232</v>
      </c>
      <c r="B3233" t="str">
        <f>"1552378022227847"</f>
        <v>1552378022227847</v>
      </c>
      <c r="C3233" t="s">
        <v>40</v>
      </c>
      <c r="D3233">
        <v>6.1506800000000004</v>
      </c>
      <c r="E3233">
        <v>0.36378070000000001</v>
      </c>
      <c r="F3233" t="s">
        <v>61</v>
      </c>
      <c r="G3233">
        <v>-484.32389999999998</v>
      </c>
      <c r="H3233" s="1">
        <v>4.2342010000000003E-6</v>
      </c>
      <c r="I3233">
        <v>226.42310000000001</v>
      </c>
      <c r="J3233">
        <v>-493.96949999999998</v>
      </c>
      <c r="K3233">
        <v>1.11229</v>
      </c>
      <c r="L3233">
        <v>238.05199999999999</v>
      </c>
      <c r="M3233">
        <v>0.2403294</v>
      </c>
      <c r="N3233">
        <v>0</v>
      </c>
      <c r="O3233">
        <v>-0.97057400000000005</v>
      </c>
      <c r="P3233">
        <v>0.33644499999999999</v>
      </c>
      <c r="Q3233">
        <v>-2.8629010000000002E-3</v>
      </c>
      <c r="R3233">
        <v>-0.94169879999999995</v>
      </c>
      <c r="S3233">
        <v>2.0213320000000001</v>
      </c>
      <c r="T3233">
        <v>-0.23175609999999999</v>
      </c>
      <c r="U3233">
        <v>-2.4664609999999998</v>
      </c>
      <c r="V3233">
        <v>-0.10029739999999999</v>
      </c>
      <c r="W3233">
        <v>1.167063E-2</v>
      </c>
      <c r="X3233">
        <v>0.99488900000000002</v>
      </c>
      <c r="Y3233">
        <v>-0.42760140000000002</v>
      </c>
      <c r="Z3233">
        <v>7.4284600000000006E-2</v>
      </c>
      <c r="AA3233">
        <v>0.90090999999999999</v>
      </c>
      <c r="AB3233">
        <v>21</v>
      </c>
      <c r="AC3233">
        <v>9.6456</v>
      </c>
      <c r="AD3233">
        <v>-1.112285765799</v>
      </c>
      <c r="AE3233">
        <v>-11.6289</v>
      </c>
      <c r="AF3233">
        <v>-6.5323461877852402</v>
      </c>
      <c r="AG3233">
        <v>-1.112285765799</v>
      </c>
      <c r="AH3233">
        <v>13.5330329246534</v>
      </c>
      <c r="AI3233">
        <v>94.233229567548705</v>
      </c>
      <c r="AJ3233">
        <v>115.766436081438</v>
      </c>
      <c r="AK3233">
        <v>15.068235015476301</v>
      </c>
      <c r="AL3233">
        <v>89.331306941104103</v>
      </c>
      <c r="AM3233">
        <v>95.756690026628604</v>
      </c>
      <c r="AN3233">
        <v>0.99999994718617702</v>
      </c>
    </row>
    <row r="3234" spans="1:40" x14ac:dyDescent="0.25">
      <c r="A3234" t="str">
        <f>"20190312160702253"</f>
        <v>20190312160702253</v>
      </c>
      <c r="B3234" t="str">
        <f>"1552378022248343"</f>
        <v>1552378022248343</v>
      </c>
      <c r="C3234" t="s">
        <v>40</v>
      </c>
      <c r="D3234">
        <v>5.7333970000000001</v>
      </c>
      <c r="E3234">
        <v>0.36346640000000002</v>
      </c>
      <c r="F3234" t="s">
        <v>61</v>
      </c>
      <c r="G3234">
        <v>-484.21910000000003</v>
      </c>
      <c r="H3234" s="1">
        <v>4.1698030000000002E-6</v>
      </c>
      <c r="I3234">
        <v>226.23699999999999</v>
      </c>
      <c r="J3234">
        <v>-493.91820000000001</v>
      </c>
      <c r="K3234">
        <v>1.112336</v>
      </c>
      <c r="L3234">
        <v>237.8614</v>
      </c>
      <c r="M3234">
        <v>0.243701</v>
      </c>
      <c r="N3234">
        <v>0</v>
      </c>
      <c r="O3234">
        <v>-0.96973299999999996</v>
      </c>
      <c r="P3234">
        <v>0.33957270000000001</v>
      </c>
      <c r="Q3234">
        <v>-2.3513280000000002E-3</v>
      </c>
      <c r="R3234">
        <v>-0.94057729999999995</v>
      </c>
      <c r="S3234">
        <v>2.029938</v>
      </c>
      <c r="T3234">
        <v>-0.2315673</v>
      </c>
      <c r="U3234">
        <v>-2.4597630000000001</v>
      </c>
      <c r="V3234">
        <v>-0.1001493</v>
      </c>
      <c r="W3234">
        <v>1.2173649999999999E-2</v>
      </c>
      <c r="X3234">
        <v>0.99489799999999995</v>
      </c>
      <c r="Y3234">
        <v>-0.42754500000000001</v>
      </c>
      <c r="Z3234">
        <v>7.421121E-2</v>
      </c>
      <c r="AA3234">
        <v>0.90094280000000004</v>
      </c>
      <c r="AB3234">
        <v>21</v>
      </c>
      <c r="AC3234">
        <v>9.6990999999999801</v>
      </c>
      <c r="AD3234">
        <v>-1.112331830197</v>
      </c>
      <c r="AE3234">
        <v>-11.6244</v>
      </c>
      <c r="AF3234">
        <v>-6.5381133813624901</v>
      </c>
      <c r="AG3234">
        <v>-1.112331830197</v>
      </c>
      <c r="AH3234">
        <v>13.564572227619699</v>
      </c>
      <c r="AI3234">
        <v>94.224744921224897</v>
      </c>
      <c r="AJ3234">
        <v>115.734030956856</v>
      </c>
      <c r="AK3234">
        <v>15.099067136956901</v>
      </c>
      <c r="AL3234">
        <v>89.302484043144801</v>
      </c>
      <c r="AM3234">
        <v>95.748194963524497</v>
      </c>
      <c r="AN3234">
        <v>1.0000000552243999</v>
      </c>
    </row>
    <row r="3235" spans="1:40" x14ac:dyDescent="0.25">
      <c r="A3235" t="str">
        <f>"20190312160702276"</f>
        <v>20190312160702276</v>
      </c>
      <c r="B3235" t="str">
        <f>"1552378022267864"</f>
        <v>1552378022267864</v>
      </c>
      <c r="C3235" t="s">
        <v>40</v>
      </c>
      <c r="D3235">
        <v>6.1556989999999896</v>
      </c>
      <c r="E3235">
        <v>0.36286459999999998</v>
      </c>
      <c r="F3235" t="s">
        <v>61</v>
      </c>
      <c r="G3235">
        <v>-483.99169999999998</v>
      </c>
      <c r="H3235" s="1">
        <v>4.0525959999999998E-6</v>
      </c>
      <c r="I3235">
        <v>225.9349</v>
      </c>
      <c r="J3235">
        <v>-493.86290000000002</v>
      </c>
      <c r="K3235">
        <v>1.11239</v>
      </c>
      <c r="L3235">
        <v>237.65950000000001</v>
      </c>
      <c r="M3235">
        <v>0.2473687</v>
      </c>
      <c r="N3235">
        <v>0</v>
      </c>
      <c r="O3235">
        <v>-0.96880379999999999</v>
      </c>
      <c r="P3235">
        <v>0.34338800000000003</v>
      </c>
      <c r="Q3235">
        <v>-1.3177320000000001E-3</v>
      </c>
      <c r="R3235">
        <v>-0.9391929</v>
      </c>
      <c r="S3235">
        <v>2.040924</v>
      </c>
      <c r="T3235">
        <v>-0.22870080000000001</v>
      </c>
      <c r="U3235">
        <v>-2.4521480000000002</v>
      </c>
      <c r="V3235">
        <v>-0.1004293</v>
      </c>
      <c r="W3235">
        <v>1.319448E-2</v>
      </c>
      <c r="X3235">
        <v>0.99485670000000004</v>
      </c>
      <c r="Y3235">
        <v>-0.42793300000000001</v>
      </c>
      <c r="Z3235">
        <v>7.3267470000000001E-2</v>
      </c>
      <c r="AA3235">
        <v>0.90083590000000002</v>
      </c>
      <c r="AB3235">
        <v>21</v>
      </c>
      <c r="AC3235">
        <v>9.8712000000000408</v>
      </c>
      <c r="AD3235">
        <v>-1.1123859474040001</v>
      </c>
      <c r="AE3235">
        <v>-11.724600000000001</v>
      </c>
      <c r="AF3235">
        <v>-6.6287983990120098</v>
      </c>
      <c r="AG3235">
        <v>-1.1123859474040001</v>
      </c>
      <c r="AH3235">
        <v>13.729911852932</v>
      </c>
      <c r="AI3235">
        <v>94.172949680273703</v>
      </c>
      <c r="AJ3235">
        <v>115.77124004437201</v>
      </c>
      <c r="AK3235">
        <v>15.286884908313001</v>
      </c>
      <c r="AL3235">
        <v>89.243990042904301</v>
      </c>
      <c r="AM3235">
        <v>95.764395526232306</v>
      </c>
      <c r="AN3235">
        <v>0.999999996067925</v>
      </c>
    </row>
    <row r="3236" spans="1:40" x14ac:dyDescent="0.25">
      <c r="A3236" t="str">
        <f>"20190312160702298"</f>
        <v>20190312160702298</v>
      </c>
      <c r="B3236" t="str">
        <f>"1552378022288361"</f>
        <v>1552378022288361</v>
      </c>
      <c r="C3236" t="s">
        <v>40</v>
      </c>
      <c r="D3236">
        <v>8.6456459999999993</v>
      </c>
      <c r="E3236">
        <v>0.36238429999999999</v>
      </c>
      <c r="F3236" t="s">
        <v>44</v>
      </c>
      <c r="G3236">
        <v>-493.22179999999997</v>
      </c>
      <c r="H3236">
        <v>1.043242</v>
      </c>
      <c r="I3236">
        <v>236.89750000000001</v>
      </c>
      <c r="J3236">
        <v>-493.80759999999998</v>
      </c>
      <c r="K3236">
        <v>1.1124400000000001</v>
      </c>
      <c r="L3236">
        <v>237.46129999999999</v>
      </c>
      <c r="M3236">
        <v>0.25106410000000001</v>
      </c>
      <c r="N3236">
        <v>0</v>
      </c>
      <c r="O3236">
        <v>-0.9678525</v>
      </c>
      <c r="P3236">
        <v>0.34680569999999999</v>
      </c>
      <c r="Q3236">
        <v>-5.4546589999999995E-4</v>
      </c>
      <c r="R3236">
        <v>-0.93793709999999997</v>
      </c>
      <c r="S3236">
        <v>2.0552060000000001</v>
      </c>
      <c r="T3236">
        <v>-0.22164420000000001</v>
      </c>
      <c r="U3236">
        <v>-2.4424899999999998</v>
      </c>
      <c r="V3236">
        <v>-0.1002608</v>
      </c>
      <c r="W3236">
        <v>1.395735E-2</v>
      </c>
      <c r="X3236">
        <v>0.99486330000000001</v>
      </c>
      <c r="Y3236">
        <v>-0.42943500000000001</v>
      </c>
      <c r="Z3236">
        <v>7.0985270000000003E-2</v>
      </c>
      <c r="AA3236">
        <v>0.90030370000000004</v>
      </c>
      <c r="AB3236">
        <v>21</v>
      </c>
      <c r="AC3236">
        <v>0.58580000000000598</v>
      </c>
      <c r="AD3236">
        <v>-6.9197999999999801E-2</v>
      </c>
      <c r="AE3236">
        <v>-0.56379999999998598</v>
      </c>
      <c r="AF3236">
        <v>-0.42240681949498499</v>
      </c>
      <c r="AG3236">
        <v>-6.9197999999999801E-2</v>
      </c>
      <c r="AH3236">
        <v>0.68784510888335204</v>
      </c>
      <c r="AI3236">
        <v>94.899807053002206</v>
      </c>
      <c r="AJ3236">
        <v>121.554154579114</v>
      </c>
      <c r="AK3236">
        <v>0.81015231788511199</v>
      </c>
      <c r="AL3236">
        <v>89.200276793543793</v>
      </c>
      <c r="AM3236">
        <v>95.754751086082706</v>
      </c>
      <c r="AN3236">
        <v>1.0000000106612701</v>
      </c>
    </row>
    <row r="3237" spans="1:40" x14ac:dyDescent="0.25">
      <c r="A3237" t="str">
        <f>"20190312160702320"</f>
        <v>20190312160702320</v>
      </c>
      <c r="B3237" t="str">
        <f>"1552378022307879"</f>
        <v>1552378022307879</v>
      </c>
      <c r="C3237" t="s">
        <v>40</v>
      </c>
      <c r="D3237">
        <v>8.7330310000000004</v>
      </c>
      <c r="E3237">
        <v>0.36195460000000002</v>
      </c>
      <c r="F3237" t="s">
        <v>44</v>
      </c>
      <c r="G3237">
        <v>-493.16879999999998</v>
      </c>
      <c r="H3237">
        <v>1.045949</v>
      </c>
      <c r="I3237">
        <v>236.7098</v>
      </c>
      <c r="J3237">
        <v>-493.75349999999997</v>
      </c>
      <c r="K3237">
        <v>1.1124849999999999</v>
      </c>
      <c r="L3237">
        <v>237.2705</v>
      </c>
      <c r="M3237">
        <v>0.254695</v>
      </c>
      <c r="N3237">
        <v>0</v>
      </c>
      <c r="O3237">
        <v>-0.96690339999999997</v>
      </c>
      <c r="P3237">
        <v>0.34969539999999999</v>
      </c>
      <c r="Q3237">
        <v>3.6681110000000002E-4</v>
      </c>
      <c r="R3237">
        <v>-0.93686349999999996</v>
      </c>
      <c r="S3237">
        <v>2.0681759999999998</v>
      </c>
      <c r="T3237">
        <v>-0.2153381</v>
      </c>
      <c r="U3237">
        <v>-2.4336850000000001</v>
      </c>
      <c r="V3237">
        <v>-9.9600110000000006E-2</v>
      </c>
      <c r="W3237">
        <v>1.486468E-2</v>
      </c>
      <c r="X3237">
        <v>0.99491649999999998</v>
      </c>
      <c r="Y3237">
        <v>-0.4305369</v>
      </c>
      <c r="Z3237">
        <v>6.8941299999999997E-2</v>
      </c>
      <c r="AA3237">
        <v>0.89993609999999902</v>
      </c>
      <c r="AB3237">
        <v>21</v>
      </c>
      <c r="AC3237">
        <v>0.584699999999997</v>
      </c>
      <c r="AD3237">
        <v>-6.6535999999999901E-2</v>
      </c>
      <c r="AE3237">
        <v>-0.56069999999999698</v>
      </c>
      <c r="AF3237">
        <v>-0.41975753441557401</v>
      </c>
      <c r="AG3237">
        <v>-6.6535999999999901E-2</v>
      </c>
      <c r="AH3237">
        <v>0.68651067536331301</v>
      </c>
      <c r="AI3237">
        <v>94.726882618687199</v>
      </c>
      <c r="AJ3237">
        <v>121.44312860709999</v>
      </c>
      <c r="AK3237">
        <v>0.80741583733689204</v>
      </c>
      <c r="AL3237">
        <v>89.148285197177302</v>
      </c>
      <c r="AM3237">
        <v>95.716777280679196</v>
      </c>
      <c r="AN3237">
        <v>0.99999999129788197</v>
      </c>
    </row>
    <row r="3238" spans="1:40" x14ac:dyDescent="0.25">
      <c r="A3238" t="str">
        <f>"20190312160702342"</f>
        <v>20190312160702342</v>
      </c>
      <c r="B3238" t="str">
        <f>"1552378022338135"</f>
        <v>1552378022338135</v>
      </c>
      <c r="C3238" t="s">
        <v>40</v>
      </c>
      <c r="D3238">
        <v>6.1365259999999999</v>
      </c>
      <c r="E3238">
        <v>0.36137350000000001</v>
      </c>
      <c r="F3238" t="s">
        <v>44</v>
      </c>
      <c r="G3238">
        <v>-493.1037</v>
      </c>
      <c r="H3238">
        <v>1.0470189999999999</v>
      </c>
      <c r="I3238">
        <v>236.51179999999999</v>
      </c>
      <c r="J3238">
        <v>-493.69979999999998</v>
      </c>
      <c r="K3238">
        <v>1.112525</v>
      </c>
      <c r="L3238">
        <v>237.084</v>
      </c>
      <c r="M3238">
        <v>0.25831850000000001</v>
      </c>
      <c r="N3238">
        <v>0</v>
      </c>
      <c r="O3238">
        <v>-0.96594179999999996</v>
      </c>
      <c r="P3238">
        <v>0.35242709999999999</v>
      </c>
      <c r="Q3238">
        <v>1.051663E-3</v>
      </c>
      <c r="R3238">
        <v>-0.93583879999999997</v>
      </c>
      <c r="S3238">
        <v>2.0787960000000001</v>
      </c>
      <c r="T3238">
        <v>-0.2093518</v>
      </c>
      <c r="U3238">
        <v>-2.4262999999999999</v>
      </c>
      <c r="V3238">
        <v>-9.8777359999999995E-2</v>
      </c>
      <c r="W3238">
        <v>1.5547429999999999E-2</v>
      </c>
      <c r="X3238">
        <v>0.99498810000000004</v>
      </c>
      <c r="Y3238">
        <v>-0.43086859999999999</v>
      </c>
      <c r="Z3238">
        <v>6.7000030000000002E-2</v>
      </c>
      <c r="AA3238">
        <v>0.89992399999999995</v>
      </c>
      <c r="AB3238">
        <v>21</v>
      </c>
      <c r="AC3238">
        <v>0.59609999999997798</v>
      </c>
      <c r="AD3238">
        <v>-6.55059999999998E-2</v>
      </c>
      <c r="AE3238">
        <v>-0.57220000000000903</v>
      </c>
      <c r="AF3238">
        <v>-0.42536347113427397</v>
      </c>
      <c r="AG3238">
        <v>-6.55059999999998E-2</v>
      </c>
      <c r="AH3238">
        <v>0.70236182232630895</v>
      </c>
      <c r="AI3238">
        <v>94.561163860954906</v>
      </c>
      <c r="AJ3238">
        <v>121.199882527931</v>
      </c>
      <c r="AK3238">
        <v>0.82373372401094003</v>
      </c>
      <c r="AL3238">
        <v>89.109161990806996</v>
      </c>
      <c r="AM3238">
        <v>95.669457264882197</v>
      </c>
      <c r="AN3238">
        <v>1.00000000428489</v>
      </c>
    </row>
    <row r="3239" spans="1:40" x14ac:dyDescent="0.25">
      <c r="A3239" t="str">
        <f>"20190312160702364"</f>
        <v>20190312160702364</v>
      </c>
      <c r="B3239" t="str">
        <f>"1552378022358631"</f>
        <v>1552378022358631</v>
      </c>
      <c r="C3239" t="s">
        <v>40</v>
      </c>
      <c r="D3239">
        <v>6.157368</v>
      </c>
      <c r="E3239">
        <v>0.36098710000000001</v>
      </c>
      <c r="F3239" t="s">
        <v>44</v>
      </c>
      <c r="G3239">
        <v>-493.04270000000002</v>
      </c>
      <c r="H3239">
        <v>1.0483290000000001</v>
      </c>
      <c r="I3239">
        <v>236.3236</v>
      </c>
      <c r="J3239">
        <v>-493.6413</v>
      </c>
      <c r="K3239">
        <v>1.1125620000000001</v>
      </c>
      <c r="L3239">
        <v>236.8837</v>
      </c>
      <c r="M3239">
        <v>0.26230389999999998</v>
      </c>
      <c r="N3239">
        <v>0</v>
      </c>
      <c r="O3239">
        <v>-0.96486709999999998</v>
      </c>
      <c r="P3239">
        <v>0.35547649999999997</v>
      </c>
      <c r="Q3239">
        <v>1.9574380000000001E-3</v>
      </c>
      <c r="R3239">
        <v>-0.93468320000000005</v>
      </c>
      <c r="S3239">
        <v>2.0904850000000001</v>
      </c>
      <c r="T3239">
        <v>-0.20420179999999999</v>
      </c>
      <c r="U3239">
        <v>-2.4186860000000001</v>
      </c>
      <c r="V3239">
        <v>-9.7919999999999993E-2</v>
      </c>
      <c r="W3239">
        <v>1.6450920000000001E-2</v>
      </c>
      <c r="X3239">
        <v>0.99505829999999995</v>
      </c>
      <c r="Y3239">
        <v>-0.43111250000000001</v>
      </c>
      <c r="Z3239">
        <v>6.531207E-2</v>
      </c>
      <c r="AA3239">
        <v>0.89993129999999999</v>
      </c>
      <c r="AB3239">
        <v>21</v>
      </c>
      <c r="AC3239">
        <v>0.59859999999997604</v>
      </c>
      <c r="AD3239">
        <v>-6.4232999999999901E-2</v>
      </c>
      <c r="AE3239">
        <v>-0.56010000000000504</v>
      </c>
      <c r="AF3239">
        <v>-0.42807405206287602</v>
      </c>
      <c r="AG3239">
        <v>-6.4232999999999901E-2</v>
      </c>
      <c r="AH3239">
        <v>0.69326055215952698</v>
      </c>
      <c r="AI3239">
        <v>94.507607333417994</v>
      </c>
      <c r="AJ3239">
        <v>121.694472218122</v>
      </c>
      <c r="AK3239">
        <v>0.81730255445524103</v>
      </c>
      <c r="AL3239">
        <v>89.057389185105905</v>
      </c>
      <c r="AM3239">
        <v>95.620170424194797</v>
      </c>
      <c r="AN3239">
        <v>0.99999998978386795</v>
      </c>
    </row>
    <row r="3240" spans="1:40" x14ac:dyDescent="0.25">
      <c r="A3240" t="str">
        <f>"20190312160702387"</f>
        <v>20190312160702387</v>
      </c>
      <c r="B3240" t="str">
        <f>"1552378022378155"</f>
        <v>1552378022378155</v>
      </c>
      <c r="C3240" t="s">
        <v>40</v>
      </c>
      <c r="D3240">
        <v>8.4552509999999899</v>
      </c>
      <c r="E3240">
        <v>0.36070580000000002</v>
      </c>
      <c r="F3240" t="s">
        <v>61</v>
      </c>
      <c r="G3240">
        <v>-481.90660000000003</v>
      </c>
      <c r="H3240" s="1">
        <v>2.9479129999999999E-6</v>
      </c>
      <c r="I3240">
        <v>223.4204</v>
      </c>
      <c r="J3240">
        <v>-493.5813</v>
      </c>
      <c r="K3240">
        <v>1.112616</v>
      </c>
      <c r="L3240">
        <v>236.68199999999999</v>
      </c>
      <c r="M3240">
        <v>0.26642569999999999</v>
      </c>
      <c r="N3240">
        <v>0</v>
      </c>
      <c r="O3240">
        <v>-0.96373719999999996</v>
      </c>
      <c r="P3240">
        <v>0.35868919999999999</v>
      </c>
      <c r="Q3240">
        <v>2.7252919999999998E-3</v>
      </c>
      <c r="R3240">
        <v>-0.93345339999999999</v>
      </c>
      <c r="S3240">
        <v>2.101318</v>
      </c>
      <c r="T3240">
        <v>-0.19922590000000001</v>
      </c>
      <c r="U3240">
        <v>-2.410873</v>
      </c>
      <c r="V3240">
        <v>-9.7095970000000004E-2</v>
      </c>
      <c r="W3240">
        <v>1.7214230000000001E-2</v>
      </c>
      <c r="X3240">
        <v>0.99512610000000001</v>
      </c>
      <c r="Y3240">
        <v>-0.4310718</v>
      </c>
      <c r="Z3240">
        <v>6.3690140000000006E-2</v>
      </c>
      <c r="AA3240">
        <v>0.90006699999999995</v>
      </c>
      <c r="AB3240">
        <v>20</v>
      </c>
      <c r="AC3240">
        <v>11.6746999999999</v>
      </c>
      <c r="AD3240">
        <v>-1.1126130520869999</v>
      </c>
      <c r="AE3240">
        <v>-13.2616</v>
      </c>
      <c r="AF3240">
        <v>-7.6885026387843904</v>
      </c>
      <c r="AG3240">
        <v>-1.1126130520869999</v>
      </c>
      <c r="AH3240">
        <v>15.8301742106774</v>
      </c>
      <c r="AI3240">
        <v>93.617539660345003</v>
      </c>
      <c r="AJ3240">
        <v>115.905222014866</v>
      </c>
      <c r="AK3240">
        <v>17.63364387104</v>
      </c>
      <c r="AL3240">
        <v>89.013648511734004</v>
      </c>
      <c r="AM3240">
        <v>95.572796474765397</v>
      </c>
      <c r="AN3240">
        <v>0.99999995600297098</v>
      </c>
    </row>
    <row r="3241" spans="1:40" x14ac:dyDescent="0.25">
      <c r="A3241" t="str">
        <f>"20190312160702410"</f>
        <v>20190312160702410</v>
      </c>
      <c r="B3241" t="str">
        <f>"1552378022398651"</f>
        <v>1552378022398651</v>
      </c>
      <c r="C3241" t="s">
        <v>40</v>
      </c>
      <c r="D3241">
        <v>6.2954239999999997</v>
      </c>
      <c r="E3241">
        <v>0.36043969999999997</v>
      </c>
      <c r="F3241" t="s">
        <v>61</v>
      </c>
      <c r="G3241">
        <v>-481.5333</v>
      </c>
      <c r="H3241" s="1">
        <v>2.7825360000000002E-6</v>
      </c>
      <c r="I3241">
        <v>222.97200000000001</v>
      </c>
      <c r="J3241">
        <v>-493.52330000000001</v>
      </c>
      <c r="K3241">
        <v>1.1126769999999999</v>
      </c>
      <c r="L3241">
        <v>236.4906</v>
      </c>
      <c r="M3241">
        <v>0.27044580000000001</v>
      </c>
      <c r="N3241">
        <v>0</v>
      </c>
      <c r="O3241">
        <v>-0.96261669999999999</v>
      </c>
      <c r="P3241">
        <v>0.36169430000000002</v>
      </c>
      <c r="Q3241">
        <v>4.213049E-3</v>
      </c>
      <c r="R3241">
        <v>-0.93228730000000004</v>
      </c>
      <c r="S3241">
        <v>2.111694</v>
      </c>
      <c r="T3241">
        <v>-0.19501099999999999</v>
      </c>
      <c r="U3241">
        <v>-2.403</v>
      </c>
      <c r="V3241">
        <v>-9.6160480000000007E-2</v>
      </c>
      <c r="W3241">
        <v>1.8696959999999999E-2</v>
      </c>
      <c r="X3241">
        <v>0.99519020000000002</v>
      </c>
      <c r="Y3241">
        <v>-0.43102190000000001</v>
      </c>
      <c r="Z3241">
        <v>6.2316679999999999E-2</v>
      </c>
      <c r="AA3241">
        <v>0.90018709999999902</v>
      </c>
      <c r="AB3241">
        <v>20</v>
      </c>
      <c r="AC3241">
        <v>11.99</v>
      </c>
      <c r="AD3241">
        <v>-1.1126742174640001</v>
      </c>
      <c r="AE3241">
        <v>-13.5185999999999</v>
      </c>
      <c r="AF3241">
        <v>-7.8568344896930196</v>
      </c>
      <c r="AG3241">
        <v>-1.1126742174640001</v>
      </c>
      <c r="AH3241">
        <v>16.196318162212901</v>
      </c>
      <c r="AI3241">
        <v>93.536975877095301</v>
      </c>
      <c r="AJ3241">
        <v>115.87802510621</v>
      </c>
      <c r="AK3241">
        <v>18.035759316543</v>
      </c>
      <c r="AL3241">
        <v>88.928680650473595</v>
      </c>
      <c r="AM3241">
        <v>95.519084126588595</v>
      </c>
      <c r="AN3241">
        <v>0.99999997420155495</v>
      </c>
    </row>
    <row r="3242" spans="1:40" x14ac:dyDescent="0.25">
      <c r="A3242" t="str">
        <f>"20190312160702434"</f>
        <v>20190312160702434</v>
      </c>
      <c r="B3242" t="str">
        <f>"1552378022427927"</f>
        <v>1552378022427927</v>
      </c>
      <c r="C3242" t="s">
        <v>40</v>
      </c>
      <c r="D3242">
        <v>6.1541420000000002</v>
      </c>
      <c r="E3242">
        <v>0.35987639999999999</v>
      </c>
      <c r="F3242" t="s">
        <v>61</v>
      </c>
      <c r="G3242">
        <v>-480.99349999999998</v>
      </c>
      <c r="H3242" s="1">
        <v>2.5483339999999999E-6</v>
      </c>
      <c r="I3242">
        <v>222.3458</v>
      </c>
      <c r="J3242">
        <v>-493.46</v>
      </c>
      <c r="K3242">
        <v>1.112746</v>
      </c>
      <c r="L3242">
        <v>236.28530000000001</v>
      </c>
      <c r="M3242">
        <v>0.27488380000000001</v>
      </c>
      <c r="N3242">
        <v>0</v>
      </c>
      <c r="O3242">
        <v>-0.96135879999999996</v>
      </c>
      <c r="P3242">
        <v>0.36682049999999999</v>
      </c>
      <c r="Q3242">
        <v>4.4889450000000003E-3</v>
      </c>
      <c r="R3242">
        <v>-0.93028120000000003</v>
      </c>
      <c r="S3242">
        <v>2.1219480000000002</v>
      </c>
      <c r="T3242">
        <v>-0.18843289999999999</v>
      </c>
      <c r="U3242">
        <v>-2.3954469999999999</v>
      </c>
      <c r="V3242">
        <v>-9.7052600000000003E-2</v>
      </c>
      <c r="W3242">
        <v>1.8952489999999999E-2</v>
      </c>
      <c r="X3242">
        <v>0.99509879999999995</v>
      </c>
      <c r="Y3242">
        <v>-0.43051850000000003</v>
      </c>
      <c r="Z3242">
        <v>6.0181039999999998E-2</v>
      </c>
      <c r="AA3242">
        <v>0.90057319999999996</v>
      </c>
      <c r="AB3242">
        <v>20</v>
      </c>
      <c r="AC3242">
        <v>12.4664999999999</v>
      </c>
      <c r="AD3242">
        <v>-1.112743451666</v>
      </c>
      <c r="AE3242">
        <v>-13.939500000000001</v>
      </c>
      <c r="AF3242">
        <v>-8.1251996516352598</v>
      </c>
      <c r="AG3242">
        <v>-1.112743451666</v>
      </c>
      <c r="AH3242">
        <v>16.770244687561998</v>
      </c>
      <c r="AI3242">
        <v>93.417235686425997</v>
      </c>
      <c r="AJ3242">
        <v>115.850232776924</v>
      </c>
      <c r="AK3242">
        <v>18.6681058023802</v>
      </c>
      <c r="AL3242">
        <v>88.914037306729696</v>
      </c>
      <c r="AM3242">
        <v>95.570474782077497</v>
      </c>
      <c r="AN3242">
        <v>1.0000000129027</v>
      </c>
    </row>
    <row r="3243" spans="1:40" x14ac:dyDescent="0.25">
      <c r="A3243" t="str">
        <f>"20190312160702456"</f>
        <v>20190312160702456</v>
      </c>
      <c r="B3243" t="str">
        <f>"1552378022448423"</f>
        <v>1552378022448423</v>
      </c>
      <c r="C3243" t="s">
        <v>40</v>
      </c>
      <c r="D3243">
        <v>6.1387119999999999</v>
      </c>
      <c r="E3243">
        <v>0.35973810000000001</v>
      </c>
      <c r="F3243" t="s">
        <v>61</v>
      </c>
      <c r="G3243">
        <v>-480.56619999999998</v>
      </c>
      <c r="H3243" s="1">
        <v>2.3807790000000002E-6</v>
      </c>
      <c r="I3243">
        <v>221.9307</v>
      </c>
      <c r="J3243">
        <v>-493.40280000000001</v>
      </c>
      <c r="K3243">
        <v>1.1128119999999999</v>
      </c>
      <c r="L3243">
        <v>236.10329999999999</v>
      </c>
      <c r="M3243">
        <v>0.27894980000000003</v>
      </c>
      <c r="N3243">
        <v>0</v>
      </c>
      <c r="O3243">
        <v>-0.96018689999999995</v>
      </c>
      <c r="P3243">
        <v>0.37136039999999998</v>
      </c>
      <c r="Q3243">
        <v>4.938039E-3</v>
      </c>
      <c r="R3243">
        <v>-0.92847590000000002</v>
      </c>
      <c r="S3243">
        <v>2.1396480000000002</v>
      </c>
      <c r="T3243">
        <v>-0.18465290000000001</v>
      </c>
      <c r="U3243">
        <v>-2.38205</v>
      </c>
      <c r="V3243">
        <v>-9.7708929999999999E-2</v>
      </c>
      <c r="W3243">
        <v>1.938252E-2</v>
      </c>
      <c r="X3243">
        <v>0.99502630000000003</v>
      </c>
      <c r="Y3243">
        <v>-0.43297400000000003</v>
      </c>
      <c r="Z3243">
        <v>5.8953449999999998E-2</v>
      </c>
      <c r="AA3243">
        <v>0.89947649999999901</v>
      </c>
      <c r="AB3243">
        <v>20</v>
      </c>
      <c r="AC3243">
        <v>12.836600000000001</v>
      </c>
      <c r="AD3243">
        <v>-1.112809619221</v>
      </c>
      <c r="AE3243">
        <v>-14.1725999999999</v>
      </c>
      <c r="AF3243">
        <v>-8.3447843862105202</v>
      </c>
      <c r="AG3243">
        <v>-1.112809619221</v>
      </c>
      <c r="AH3243">
        <v>17.1330469795071</v>
      </c>
      <c r="AI3243">
        <v>93.341885869033206</v>
      </c>
      <c r="AJ3243">
        <v>115.968759498068</v>
      </c>
      <c r="AK3243">
        <v>19.089658731967099</v>
      </c>
      <c r="AL3243">
        <v>88.889393891551506</v>
      </c>
      <c r="AM3243">
        <v>95.608312467070704</v>
      </c>
      <c r="AN3243">
        <v>1.0000000273874901</v>
      </c>
    </row>
    <row r="3244" spans="1:40" x14ac:dyDescent="0.25">
      <c r="A3244" t="str">
        <f>"20190312160702477"</f>
        <v>20190312160702477</v>
      </c>
      <c r="B3244" t="str">
        <f>"1552378022467943"</f>
        <v>1552378022467943</v>
      </c>
      <c r="C3244" t="s">
        <v>40</v>
      </c>
      <c r="D3244">
        <v>6.1639269999999904</v>
      </c>
      <c r="E3244">
        <v>0.35951300000000003</v>
      </c>
      <c r="F3244" t="s">
        <v>44</v>
      </c>
      <c r="G3244">
        <v>-492.73180000000002</v>
      </c>
      <c r="H3244">
        <v>1.0558369999999999</v>
      </c>
      <c r="I3244">
        <v>235.36369999999999</v>
      </c>
      <c r="J3244">
        <v>-493.34210000000002</v>
      </c>
      <c r="K3244">
        <v>1.1128880000000001</v>
      </c>
      <c r="L3244">
        <v>235.9134</v>
      </c>
      <c r="M3244">
        <v>0.28333049999999999</v>
      </c>
      <c r="N3244">
        <v>0</v>
      </c>
      <c r="O3244">
        <v>-0.95890330000000001</v>
      </c>
      <c r="P3244">
        <v>0.3761294</v>
      </c>
      <c r="Q3244">
        <v>4.7445710000000004E-3</v>
      </c>
      <c r="R3244">
        <v>-0.92655520000000002</v>
      </c>
      <c r="S3244">
        <v>2.1518549999999999</v>
      </c>
      <c r="T3244">
        <v>-0.18268219999999999</v>
      </c>
      <c r="U3244">
        <v>-2.3713989999999998</v>
      </c>
      <c r="V3244">
        <v>-9.8284380000000005E-2</v>
      </c>
      <c r="W3244">
        <v>1.9169889999999998E-2</v>
      </c>
      <c r="X3244">
        <v>0.99497369999999996</v>
      </c>
      <c r="Y3244">
        <v>-0.43343619999999999</v>
      </c>
      <c r="Z3244">
        <v>5.8309409999999999E-2</v>
      </c>
      <c r="AA3244">
        <v>0.89929590000000004</v>
      </c>
      <c r="AB3244">
        <v>20</v>
      </c>
      <c r="AC3244">
        <v>0.61029999999999496</v>
      </c>
      <c r="AD3244">
        <v>-5.7050999999999699E-2</v>
      </c>
      <c r="AE3244">
        <v>-0.54970000000000097</v>
      </c>
      <c r="AF3244">
        <v>-0.42745864240991799</v>
      </c>
      <c r="AG3244">
        <v>-5.7050999999999699E-2</v>
      </c>
      <c r="AH3244">
        <v>0.69674418812724803</v>
      </c>
      <c r="AI3244">
        <v>93.992432852111193</v>
      </c>
      <c r="AJ3244">
        <v>121.529479164889</v>
      </c>
      <c r="AK3244">
        <v>0.81940720723034099</v>
      </c>
      <c r="AL3244">
        <v>88.901578909050002</v>
      </c>
      <c r="AM3244">
        <v>95.641426113264203</v>
      </c>
      <c r="AN3244">
        <v>0.99999998386314304</v>
      </c>
    </row>
    <row r="3245" spans="1:40" x14ac:dyDescent="0.25">
      <c r="A3245" t="str">
        <f>"20190312160702499"</f>
        <v>20190312160702499</v>
      </c>
      <c r="B3245" t="str">
        <f>"1552378022488440"</f>
        <v>1552378022488440</v>
      </c>
      <c r="C3245" t="s">
        <v>40</v>
      </c>
      <c r="D3245">
        <v>6.2916280000000002</v>
      </c>
      <c r="E3245">
        <v>0.35929329999999998</v>
      </c>
      <c r="F3245" t="s">
        <v>44</v>
      </c>
      <c r="G3245">
        <v>-492.68040000000002</v>
      </c>
      <c r="H3245">
        <v>1.0575829999999999</v>
      </c>
      <c r="I3245">
        <v>235.19239999999999</v>
      </c>
      <c r="J3245">
        <v>-493.28280000000001</v>
      </c>
      <c r="K3245">
        <v>1.1129519999999999</v>
      </c>
      <c r="L3245">
        <v>235.73159999999999</v>
      </c>
      <c r="M3245">
        <v>0.28764020000000001</v>
      </c>
      <c r="N3245">
        <v>0</v>
      </c>
      <c r="O3245">
        <v>-0.95761940000000001</v>
      </c>
      <c r="P3245">
        <v>0.38077860000000002</v>
      </c>
      <c r="Q3245">
        <v>4.5649970000000003E-3</v>
      </c>
      <c r="R3245">
        <v>-0.92465529999999996</v>
      </c>
      <c r="S3245">
        <v>2.16629</v>
      </c>
      <c r="T3245">
        <v>-0.18099470000000001</v>
      </c>
      <c r="U3245">
        <v>-2.3593289999999998</v>
      </c>
      <c r="V3245">
        <v>-9.8808989999999999E-2</v>
      </c>
      <c r="W3245">
        <v>1.8974899999999999E-2</v>
      </c>
      <c r="X3245">
        <v>0.99492550000000002</v>
      </c>
      <c r="Y3245">
        <v>-0.4346854</v>
      </c>
      <c r="Z3245">
        <v>5.775272E-2</v>
      </c>
      <c r="AA3245">
        <v>0.89872870000000005</v>
      </c>
      <c r="AB3245">
        <v>20</v>
      </c>
      <c r="AC3245">
        <v>0.60239999999998795</v>
      </c>
      <c r="AD3245">
        <v>-5.5369000000000002E-2</v>
      </c>
      <c r="AE3245">
        <v>-0.53919999999999302</v>
      </c>
      <c r="AF3245">
        <v>-0.41985319961748602</v>
      </c>
      <c r="AG3245">
        <v>-5.5369000000000002E-2</v>
      </c>
      <c r="AH3245">
        <v>0.686481688282641</v>
      </c>
      <c r="AI3245">
        <v>93.936172322029094</v>
      </c>
      <c r="AJ3245">
        <v>121.45001658611299</v>
      </c>
      <c r="AK3245">
        <v>0.806597510371453</v>
      </c>
      <c r="AL3245">
        <v>88.9127530709073</v>
      </c>
      <c r="AM3245">
        <v>95.671615383136995</v>
      </c>
      <c r="AN3245">
        <v>1.0000000069425401</v>
      </c>
    </row>
    <row r="3246" spans="1:40" x14ac:dyDescent="0.25">
      <c r="A3246" t="str">
        <f>"20190312160702520"</f>
        <v>20190312160702520</v>
      </c>
      <c r="B3246" t="str">
        <f>"1552378022507959"</f>
        <v>1552378022507959</v>
      </c>
      <c r="C3246" t="s">
        <v>40</v>
      </c>
      <c r="D3246">
        <v>5.7207350000000003</v>
      </c>
      <c r="E3246">
        <v>0.35912500000000003</v>
      </c>
      <c r="F3246" t="s">
        <v>44</v>
      </c>
      <c r="G3246">
        <v>-492.61880000000002</v>
      </c>
      <c r="H3246">
        <v>1.058028</v>
      </c>
      <c r="I3246">
        <v>235.0162</v>
      </c>
      <c r="J3246">
        <v>-493.22239999999999</v>
      </c>
      <c r="K3246">
        <v>1.1130009999999999</v>
      </c>
      <c r="L3246">
        <v>235.5496</v>
      </c>
      <c r="M3246">
        <v>0.29206259999999901</v>
      </c>
      <c r="N3246">
        <v>0</v>
      </c>
      <c r="O3246">
        <v>-0.95627960000000001</v>
      </c>
      <c r="P3246">
        <v>0.3853934</v>
      </c>
      <c r="Q3246">
        <v>4.1226029999999999E-3</v>
      </c>
      <c r="R3246">
        <v>-0.92274339999999999</v>
      </c>
      <c r="S3246">
        <v>2.1798099999999998</v>
      </c>
      <c r="T3246">
        <v>-0.18024609999999999</v>
      </c>
      <c r="U3246">
        <v>-2.3476870000000001</v>
      </c>
      <c r="V3246">
        <v>-9.9179870000000003E-2</v>
      </c>
      <c r="W3246">
        <v>1.852055E-2</v>
      </c>
      <c r="X3246">
        <v>0.99489709999999998</v>
      </c>
      <c r="Y3246">
        <v>-0.43553789999999998</v>
      </c>
      <c r="Z3246">
        <v>5.7493429999999998E-2</v>
      </c>
      <c r="AA3246">
        <v>0.89833249999999998</v>
      </c>
      <c r="AB3246">
        <v>20</v>
      </c>
      <c r="AC3246">
        <v>0.60359999999997105</v>
      </c>
      <c r="AD3246">
        <v>-5.4973000000000098E-2</v>
      </c>
      <c r="AE3246">
        <v>-0.53339999999999999</v>
      </c>
      <c r="AF3246">
        <v>-0.41951846801046</v>
      </c>
      <c r="AG3246">
        <v>-5.4973000000000098E-2</v>
      </c>
      <c r="AH3246">
        <v>0.68326472060399901</v>
      </c>
      <c r="AI3246">
        <v>93.922286337629004</v>
      </c>
      <c r="AJ3246">
        <v>121.54955531987</v>
      </c>
      <c r="AK3246">
        <v>0.80365941427504195</v>
      </c>
      <c r="AL3246">
        <v>88.938789922424505</v>
      </c>
      <c r="AM3246">
        <v>95.692925684063297</v>
      </c>
      <c r="AN3246">
        <v>0.99999994848696305</v>
      </c>
    </row>
    <row r="3247" spans="1:40" x14ac:dyDescent="0.25">
      <c r="A3247" t="str">
        <f>"20190312160702546"</f>
        <v>20190312160702546</v>
      </c>
      <c r="B3247" t="str">
        <f>"1552378022538216"</f>
        <v>1552378022538216</v>
      </c>
      <c r="C3247" t="s">
        <v>40</v>
      </c>
      <c r="D3247">
        <v>6.1825789999999996</v>
      </c>
      <c r="E3247">
        <v>0.35881469999999999</v>
      </c>
      <c r="F3247" t="s">
        <v>44</v>
      </c>
      <c r="G3247">
        <v>-492.54969999999997</v>
      </c>
      <c r="H3247">
        <v>1.057377</v>
      </c>
      <c r="I3247">
        <v>234.83260000000001</v>
      </c>
      <c r="J3247">
        <v>-493.15190000000001</v>
      </c>
      <c r="K3247">
        <v>1.113049</v>
      </c>
      <c r="L3247">
        <v>235.3408</v>
      </c>
      <c r="M3247">
        <v>0.29728059999999901</v>
      </c>
      <c r="N3247">
        <v>0</v>
      </c>
      <c r="O3247">
        <v>-0.95467049999999998</v>
      </c>
      <c r="P3247">
        <v>0.39065630000000001</v>
      </c>
      <c r="Q3247">
        <v>4.1831189999999999E-3</v>
      </c>
      <c r="R3247">
        <v>-0.92052730000000005</v>
      </c>
      <c r="S3247">
        <v>2.192841</v>
      </c>
      <c r="T3247">
        <v>-0.18121979999999999</v>
      </c>
      <c r="U3247">
        <v>-2.3361510000000001</v>
      </c>
      <c r="V3247">
        <v>-9.9431210000000006E-2</v>
      </c>
      <c r="W3247">
        <v>1.8570139999999999E-2</v>
      </c>
      <c r="X3247">
        <v>0.99487110000000001</v>
      </c>
      <c r="Y3247">
        <v>-0.4354903</v>
      </c>
      <c r="Z3247">
        <v>5.7771240000000001E-2</v>
      </c>
      <c r="AA3247">
        <v>0.89833770000000002</v>
      </c>
      <c r="AB3247">
        <v>20</v>
      </c>
      <c r="AC3247">
        <v>0.60220000000003804</v>
      </c>
      <c r="AD3247">
        <v>-5.5671999999999902E-2</v>
      </c>
      <c r="AE3247">
        <v>-0.50819999999998799</v>
      </c>
      <c r="AF3247">
        <v>-0.42176768665196701</v>
      </c>
      <c r="AG3247">
        <v>-5.5671999999999902E-2</v>
      </c>
      <c r="AH3247">
        <v>0.66096252633097496</v>
      </c>
      <c r="AI3247">
        <v>94.061426469537906</v>
      </c>
      <c r="AJ3247">
        <v>122.542409381357</v>
      </c>
      <c r="AK3247">
        <v>0.78603995719147501</v>
      </c>
      <c r="AL3247">
        <v>88.935948148752104</v>
      </c>
      <c r="AM3247">
        <v>95.707405648703599</v>
      </c>
      <c r="AN3247">
        <v>0.99999996061844598</v>
      </c>
    </row>
    <row r="3248" spans="1:40" x14ac:dyDescent="0.25">
      <c r="A3248" t="str">
        <f>"20190312160702569"</f>
        <v>20190312160702569</v>
      </c>
      <c r="B3248" t="str">
        <f>"1552378022558712"</f>
        <v>1552378022558712</v>
      </c>
      <c r="C3248" t="s">
        <v>40</v>
      </c>
      <c r="D3248">
        <v>7.766985</v>
      </c>
      <c r="E3248">
        <v>0.35869649999999997</v>
      </c>
      <c r="F3248" t="s">
        <v>44</v>
      </c>
      <c r="G3248">
        <v>-492.45690000000002</v>
      </c>
      <c r="H3248">
        <v>1.0565709999999999</v>
      </c>
      <c r="I3248">
        <v>234.60980000000001</v>
      </c>
      <c r="J3248">
        <v>-493.0856</v>
      </c>
      <c r="K3248">
        <v>1.1130949999999999</v>
      </c>
      <c r="L3248">
        <v>235.14830000000001</v>
      </c>
      <c r="M3248">
        <v>0.30221690000000001</v>
      </c>
      <c r="N3248">
        <v>0</v>
      </c>
      <c r="O3248">
        <v>-0.95311900000000005</v>
      </c>
      <c r="P3248">
        <v>0.39644279999999998</v>
      </c>
      <c r="Q3248">
        <v>4.4730949999999998E-3</v>
      </c>
      <c r="R3248">
        <v>-0.91804859999999999</v>
      </c>
      <c r="S3248">
        <v>2.2082820000000001</v>
      </c>
      <c r="T3248">
        <v>-0.17944930000000001</v>
      </c>
      <c r="U3248">
        <v>-2.3226469999999999</v>
      </c>
      <c r="V3248">
        <v>-0.10054929999999999</v>
      </c>
      <c r="W3248">
        <v>1.884284E-2</v>
      </c>
      <c r="X3248">
        <v>0.99475369999999996</v>
      </c>
      <c r="Y3248">
        <v>-0.43660369999999998</v>
      </c>
      <c r="Z3248">
        <v>5.7182169999999997E-2</v>
      </c>
      <c r="AA3248">
        <v>0.89783480000000004</v>
      </c>
      <c r="AB3248">
        <v>20</v>
      </c>
      <c r="AC3248">
        <v>0.62869999999998005</v>
      </c>
      <c r="AD3248">
        <v>-5.6524000000000199E-2</v>
      </c>
      <c r="AE3248">
        <v>-0.53849999999999898</v>
      </c>
      <c r="AF3248">
        <v>-0.434506238541638</v>
      </c>
      <c r="AG3248">
        <v>-5.6524000000000199E-2</v>
      </c>
      <c r="AH3248">
        <v>0.70007482235279594</v>
      </c>
      <c r="AI3248">
        <v>93.924393870263103</v>
      </c>
      <c r="AJ3248">
        <v>121.826089964757</v>
      </c>
      <c r="AK3248">
        <v>0.82589066516089304</v>
      </c>
      <c r="AL3248">
        <v>88.920320971562901</v>
      </c>
      <c r="AM3248">
        <v>95.771830303688205</v>
      </c>
      <c r="AN3248">
        <v>1.0000000690067199</v>
      </c>
    </row>
    <row r="3249" spans="1:40" x14ac:dyDescent="0.25">
      <c r="A3249" t="str">
        <f>"20190312160702589"</f>
        <v>20190312160702589</v>
      </c>
      <c r="B3249" t="str">
        <f>"1552378022578231"</f>
        <v>1552378022578231</v>
      </c>
      <c r="C3249" t="s">
        <v>40</v>
      </c>
      <c r="D3249">
        <v>6.1432840000000004</v>
      </c>
      <c r="E3249">
        <v>0.35862339999999998</v>
      </c>
      <c r="F3249" t="s">
        <v>61</v>
      </c>
      <c r="G3249">
        <v>-479.20249999999999</v>
      </c>
      <c r="H3249" s="1">
        <v>2.2773950000000001E-6</v>
      </c>
      <c r="I3249">
        <v>220.73939999999999</v>
      </c>
      <c r="J3249">
        <v>-493.02429999999998</v>
      </c>
      <c r="K3249">
        <v>1.113138</v>
      </c>
      <c r="L3249">
        <v>234.9736</v>
      </c>
      <c r="M3249">
        <v>0.30680180000000001</v>
      </c>
      <c r="N3249">
        <v>0</v>
      </c>
      <c r="O3249">
        <v>-0.95165319999999998</v>
      </c>
      <c r="P3249">
        <v>0.40192240000000001</v>
      </c>
      <c r="Q3249">
        <v>4.6745199999999997E-3</v>
      </c>
      <c r="R3249">
        <v>-0.91566190000000003</v>
      </c>
      <c r="S3249">
        <v>2.22403</v>
      </c>
      <c r="T3249">
        <v>-0.17831420000000001</v>
      </c>
      <c r="U3249">
        <v>-2.3082729999999998</v>
      </c>
      <c r="V3249">
        <v>-0.1017091</v>
      </c>
      <c r="W3249">
        <v>1.902734E-2</v>
      </c>
      <c r="X3249">
        <v>0.99463219999999997</v>
      </c>
      <c r="Y3249">
        <v>-0.43825969999999997</v>
      </c>
      <c r="Z3249">
        <v>5.6806410000000002E-2</v>
      </c>
      <c r="AA3249">
        <v>0.89705159999999995</v>
      </c>
      <c r="AB3249">
        <v>20</v>
      </c>
      <c r="AC3249">
        <v>13.8217999999999</v>
      </c>
      <c r="AD3249">
        <v>-1.113135722605</v>
      </c>
      <c r="AE3249">
        <v>-14.2342</v>
      </c>
      <c r="AF3249">
        <v>-8.7599147562743305</v>
      </c>
      <c r="AG3249">
        <v>-1.113135722605</v>
      </c>
      <c r="AH3249">
        <v>17.732794689361601</v>
      </c>
      <c r="AI3249">
        <v>93.221217273846094</v>
      </c>
      <c r="AJ3249">
        <v>116.289149031032</v>
      </c>
      <c r="AK3249">
        <v>19.8097749903724</v>
      </c>
      <c r="AL3249">
        <v>88.909747926851495</v>
      </c>
      <c r="AM3249">
        <v>95.8386572624254</v>
      </c>
      <c r="AN3249">
        <v>0.99999999698356201</v>
      </c>
    </row>
    <row r="3250" spans="1:40" x14ac:dyDescent="0.25">
      <c r="A3250" t="str">
        <f>"20190312160702610"</f>
        <v>20190312160702610</v>
      </c>
      <c r="B3250" t="str">
        <f>"1552378022598728"</f>
        <v>1552378022598728</v>
      </c>
      <c r="C3250" t="s">
        <v>40</v>
      </c>
      <c r="D3250">
        <v>6.1542789999999998</v>
      </c>
      <c r="E3250">
        <v>0.35857670000000003</v>
      </c>
      <c r="F3250" t="s">
        <v>61</v>
      </c>
      <c r="G3250">
        <v>-479.28199999999998</v>
      </c>
      <c r="H3250">
        <v>2.3757940000000002E-2</v>
      </c>
      <c r="I3250">
        <v>220.88239999999999</v>
      </c>
      <c r="J3250">
        <v>-492.96300000000002</v>
      </c>
      <c r="K3250">
        <v>1.1131850000000001</v>
      </c>
      <c r="L3250">
        <v>234.8021</v>
      </c>
      <c r="M3250">
        <v>0.31139</v>
      </c>
      <c r="N3250">
        <v>0</v>
      </c>
      <c r="O3250">
        <v>-0.95016179999999995</v>
      </c>
      <c r="P3250">
        <v>0.40699160000000001</v>
      </c>
      <c r="Q3250">
        <v>4.906044E-3</v>
      </c>
      <c r="R3250">
        <v>-0.91341890000000003</v>
      </c>
      <c r="S3250">
        <v>2.2380369999999998</v>
      </c>
      <c r="T3250">
        <v>-0.17741489999999999</v>
      </c>
      <c r="U3250">
        <v>-2.2948759999999999</v>
      </c>
      <c r="V3250">
        <v>-0.10242759999999999</v>
      </c>
      <c r="W3250">
        <v>1.9244259999999999E-2</v>
      </c>
      <c r="X3250">
        <v>0.9945543</v>
      </c>
      <c r="Y3250">
        <v>-0.43936039999999998</v>
      </c>
      <c r="Z3250">
        <v>5.6505819999999998E-2</v>
      </c>
      <c r="AA3250">
        <v>0.89653189999999905</v>
      </c>
      <c r="AB3250">
        <v>20</v>
      </c>
      <c r="AC3250">
        <v>13.680999999999999</v>
      </c>
      <c r="AD3250">
        <v>-1.08942706</v>
      </c>
      <c r="AE3250">
        <v>-13.919700000000001</v>
      </c>
      <c r="AF3250">
        <v>-8.6387839741804093</v>
      </c>
      <c r="AG3250">
        <v>-1.08942706</v>
      </c>
      <c r="AH3250">
        <v>17.433776571921602</v>
      </c>
      <c r="AI3250">
        <v>93.2047726940947</v>
      </c>
      <c r="AJ3250">
        <v>116.359332723478</v>
      </c>
      <c r="AK3250">
        <v>19.487226724993501</v>
      </c>
      <c r="AL3250">
        <v>88.897317059206799</v>
      </c>
      <c r="AM3250">
        <v>95.880072435469202</v>
      </c>
      <c r="AN3250">
        <v>1.00000000521659</v>
      </c>
    </row>
    <row r="3251" spans="1:40" x14ac:dyDescent="0.25">
      <c r="A3251" t="str">
        <f>"20190312160702634"</f>
        <v>20190312160702634</v>
      </c>
      <c r="B3251" t="str">
        <f>"1552378022628008"</f>
        <v>1552378022628008</v>
      </c>
      <c r="C3251" t="s">
        <v>40</v>
      </c>
      <c r="D3251">
        <v>6.2695339999999904</v>
      </c>
      <c r="E3251">
        <v>0.35857020000000001</v>
      </c>
      <c r="F3251" t="s">
        <v>61</v>
      </c>
      <c r="G3251">
        <v>-479.34640000000002</v>
      </c>
      <c r="H3251">
        <v>5.107544E-2</v>
      </c>
      <c r="I3251">
        <v>221.00059999999999</v>
      </c>
      <c r="J3251">
        <v>-492.89299999999997</v>
      </c>
      <c r="K3251">
        <v>1.1132340000000001</v>
      </c>
      <c r="L3251">
        <v>234.60939999999999</v>
      </c>
      <c r="M3251">
        <v>0.3166445</v>
      </c>
      <c r="N3251">
        <v>0</v>
      </c>
      <c r="O3251">
        <v>-0.94842360000000003</v>
      </c>
      <c r="P3251">
        <v>0.41330260000000002</v>
      </c>
      <c r="Q3251">
        <v>6.0589279999999999E-3</v>
      </c>
      <c r="R3251">
        <v>-0.91057390000000005</v>
      </c>
      <c r="S3251">
        <v>2.2514949999999998</v>
      </c>
      <c r="T3251">
        <v>-0.17561940000000001</v>
      </c>
      <c r="U3251">
        <v>-2.2820740000000002</v>
      </c>
      <c r="V3251">
        <v>-0.1038171</v>
      </c>
      <c r="W3251">
        <v>2.037653E-2</v>
      </c>
      <c r="X3251">
        <v>0.99438769999999999</v>
      </c>
      <c r="Y3251">
        <v>-0.43960840000000001</v>
      </c>
      <c r="Z3251">
        <v>5.590473E-2</v>
      </c>
      <c r="AA3251">
        <v>0.89644809999999997</v>
      </c>
      <c r="AB3251">
        <v>20</v>
      </c>
      <c r="AC3251">
        <v>13.5466</v>
      </c>
      <c r="AD3251">
        <v>-1.0621585600000001</v>
      </c>
      <c r="AE3251">
        <v>-13.6088</v>
      </c>
      <c r="AF3251">
        <v>-8.5136907998134497</v>
      </c>
      <c r="AG3251">
        <v>-1.0621585600000001</v>
      </c>
      <c r="AH3251">
        <v>17.1458691908331</v>
      </c>
      <c r="AI3251">
        <v>93.175787204806795</v>
      </c>
      <c r="AJ3251">
        <v>116.40645396892501</v>
      </c>
      <c r="AK3251">
        <v>19.172687400324701</v>
      </c>
      <c r="AL3251">
        <v>88.832430077162698</v>
      </c>
      <c r="AM3251">
        <v>95.960260613483001</v>
      </c>
      <c r="AN3251">
        <v>1.0000000455692599</v>
      </c>
    </row>
    <row r="3252" spans="1:40" x14ac:dyDescent="0.25">
      <c r="A3252" t="str">
        <f>"20190312160702658"</f>
        <v>20190312160702658</v>
      </c>
      <c r="B3252" t="str">
        <f>"1552378022648504"</f>
        <v>1552378022648504</v>
      </c>
      <c r="C3252" t="s">
        <v>40</v>
      </c>
      <c r="D3252">
        <v>6.1722599999999996</v>
      </c>
      <c r="E3252">
        <v>0.35857209999999901</v>
      </c>
      <c r="F3252" t="s">
        <v>61</v>
      </c>
      <c r="G3252">
        <v>-479.36189999999999</v>
      </c>
      <c r="H3252">
        <v>7.7051389999999997E-2</v>
      </c>
      <c r="I3252">
        <v>221.08199999999999</v>
      </c>
      <c r="J3252">
        <v>-492.82279999999997</v>
      </c>
      <c r="K3252">
        <v>1.1132759999999999</v>
      </c>
      <c r="L3252">
        <v>234.42009999999999</v>
      </c>
      <c r="M3252">
        <v>0.321907</v>
      </c>
      <c r="N3252">
        <v>0</v>
      </c>
      <c r="O3252">
        <v>-0.94665029999999994</v>
      </c>
      <c r="P3252">
        <v>0.4199658</v>
      </c>
      <c r="Q3252">
        <v>6.6713340000000001E-3</v>
      </c>
      <c r="R3252">
        <v>-0.90751539999999997</v>
      </c>
      <c r="S3252">
        <v>2.2673030000000001</v>
      </c>
      <c r="T3252">
        <v>-0.17362520000000001</v>
      </c>
      <c r="U3252">
        <v>-2.2666780000000002</v>
      </c>
      <c r="V3252">
        <v>-0.1055913</v>
      </c>
      <c r="W3252">
        <v>2.0966729999999999E-2</v>
      </c>
      <c r="X3252">
        <v>0.99418850000000003</v>
      </c>
      <c r="Y3252">
        <v>-0.44081769999999998</v>
      </c>
      <c r="Z3252">
        <v>5.525045E-2</v>
      </c>
      <c r="AA3252">
        <v>0.89589459999999999</v>
      </c>
      <c r="AB3252">
        <v>20</v>
      </c>
      <c r="AC3252">
        <v>13.460899999999899</v>
      </c>
      <c r="AD3252">
        <v>-1.0362246100000001</v>
      </c>
      <c r="AE3252">
        <v>-13.338099999999899</v>
      </c>
      <c r="AF3252">
        <v>-8.4249135813796396</v>
      </c>
      <c r="AG3252">
        <v>-1.0362246100000001</v>
      </c>
      <c r="AH3252">
        <v>16.911050899147</v>
      </c>
      <c r="AI3252">
        <v>93.139280736571806</v>
      </c>
      <c r="AJ3252">
        <v>116.482019057202</v>
      </c>
      <c r="AK3252">
        <v>18.921854370267901</v>
      </c>
      <c r="AL3252">
        <v>88.798606766898502</v>
      </c>
      <c r="AM3252">
        <v>96.062572952947903</v>
      </c>
      <c r="AN3252">
        <v>0.99999994996741504</v>
      </c>
    </row>
    <row r="3253" spans="1:40" x14ac:dyDescent="0.25">
      <c r="A3253" t="str">
        <f>"20190312160702680"</f>
        <v>20190312160702680</v>
      </c>
      <c r="B3253" t="str">
        <f>"1552378022668023"</f>
        <v>1552378022668023</v>
      </c>
      <c r="C3253" t="s">
        <v>40</v>
      </c>
      <c r="D3253">
        <v>6.1186800000000003</v>
      </c>
      <c r="E3253">
        <v>0.36874370000000001</v>
      </c>
      <c r="F3253" t="s">
        <v>44</v>
      </c>
      <c r="G3253">
        <v>-492.12479999999999</v>
      </c>
      <c r="H3253">
        <v>1.06023</v>
      </c>
      <c r="I3253">
        <v>233.73230000000001</v>
      </c>
      <c r="J3253">
        <v>-492.75369999999998</v>
      </c>
      <c r="K3253">
        <v>1.1132959999999901</v>
      </c>
      <c r="L3253">
        <v>234.2372</v>
      </c>
      <c r="M3253">
        <v>0.32706279999999999</v>
      </c>
      <c r="N3253">
        <v>0</v>
      </c>
      <c r="O3253">
        <v>-0.94488139999999998</v>
      </c>
      <c r="P3253">
        <v>0.42654989999999998</v>
      </c>
      <c r="Q3253">
        <v>6.1620809999999998E-3</v>
      </c>
      <c r="R3253">
        <v>-0.904443</v>
      </c>
      <c r="S3253">
        <v>2.283722</v>
      </c>
      <c r="T3253">
        <v>-0.17355409999999999</v>
      </c>
      <c r="U3253">
        <v>-2.2501829999999998</v>
      </c>
      <c r="V3253">
        <v>-0.1073924</v>
      </c>
      <c r="W3253">
        <v>2.0438029999999999E-2</v>
      </c>
      <c r="X3253">
        <v>0.99400659999999996</v>
      </c>
      <c r="Y3253">
        <v>-0.4424305</v>
      </c>
      <c r="Z3253">
        <v>5.5213379999999999E-2</v>
      </c>
      <c r="AA3253">
        <v>0.89510149999999999</v>
      </c>
      <c r="AB3253">
        <v>20</v>
      </c>
      <c r="AC3253">
        <v>0.62889999999998702</v>
      </c>
      <c r="AD3253">
        <v>-5.3065999999999801E-2</v>
      </c>
      <c r="AE3253">
        <v>-0.50489999999999202</v>
      </c>
      <c r="AF3253">
        <v>-0.427301109191357</v>
      </c>
      <c r="AG3253">
        <v>-5.3065999999999801E-2</v>
      </c>
      <c r="AH3253">
        <v>0.67989509926999303</v>
      </c>
      <c r="AI3253">
        <v>93.780774766731795</v>
      </c>
      <c r="AJ3253">
        <v>122.148578578243</v>
      </c>
      <c r="AK3253">
        <v>0.80477300171136301</v>
      </c>
      <c r="AL3253">
        <v>88.828905576995595</v>
      </c>
      <c r="AM3253">
        <v>96.166313677713802</v>
      </c>
      <c r="AN3253">
        <v>0.99999998074579999</v>
      </c>
    </row>
    <row r="3254" spans="1:40" x14ac:dyDescent="0.25">
      <c r="A3254" t="str">
        <f>"20190312160702700"</f>
        <v>20190312160702700</v>
      </c>
      <c r="B3254" t="str">
        <f>"1552378022688520"</f>
        <v>1552378022688520</v>
      </c>
      <c r="C3254" t="s">
        <v>40</v>
      </c>
      <c r="D3254">
        <v>8.9124689999999998</v>
      </c>
      <c r="E3254">
        <v>0.36728810000000001</v>
      </c>
      <c r="F3254" t="s">
        <v>44</v>
      </c>
      <c r="G3254">
        <v>-492.02159999999998</v>
      </c>
      <c r="H3254">
        <v>1.0226299999999999</v>
      </c>
      <c r="I3254">
        <v>233.49100000000001</v>
      </c>
      <c r="J3254">
        <v>-492.69099999999997</v>
      </c>
      <c r="K3254">
        <v>1.1133010000000001</v>
      </c>
      <c r="L3254">
        <v>234.07409999999999</v>
      </c>
      <c r="M3254">
        <v>0.33170149999999998</v>
      </c>
      <c r="N3254">
        <v>0</v>
      </c>
      <c r="O3254">
        <v>-0.94326299999999996</v>
      </c>
      <c r="P3254">
        <v>0.43278290000000003</v>
      </c>
      <c r="Q3254">
        <v>6.2575019999999999E-3</v>
      </c>
      <c r="R3254">
        <v>-0.90147670000000002</v>
      </c>
      <c r="S3254">
        <v>2.2264710000000001</v>
      </c>
      <c r="T3254">
        <v>-0.27567429999999998</v>
      </c>
      <c r="U3254">
        <v>-2.2687680000000001</v>
      </c>
      <c r="V3254">
        <v>-0.1093713</v>
      </c>
      <c r="W3254">
        <v>2.051526E-2</v>
      </c>
      <c r="X3254">
        <v>0.99378929999999999</v>
      </c>
      <c r="Y3254">
        <v>-0.42117260000000001</v>
      </c>
      <c r="Z3254">
        <v>8.7871409999999997E-2</v>
      </c>
      <c r="AA3254">
        <v>0.90271380000000001</v>
      </c>
      <c r="AB3254">
        <v>20</v>
      </c>
      <c r="AC3254">
        <v>0.669399999999996</v>
      </c>
      <c r="AD3254">
        <v>-9.0671000000000099E-2</v>
      </c>
      <c r="AE3254">
        <v>-0.58310000000000095</v>
      </c>
      <c r="AF3254">
        <v>-0.43353279694185398</v>
      </c>
      <c r="AG3254">
        <v>-9.0671000000000099E-2</v>
      </c>
      <c r="AH3254">
        <v>0.76417444006906299</v>
      </c>
      <c r="AI3254">
        <v>95.892126264029898</v>
      </c>
      <c r="AJ3254">
        <v>119.567185763697</v>
      </c>
      <c r="AK3254">
        <v>0.88325222395422998</v>
      </c>
      <c r="AL3254">
        <v>88.824479794917394</v>
      </c>
      <c r="AM3254">
        <v>96.280401730469407</v>
      </c>
      <c r="AN3254">
        <v>1.0000000649755201</v>
      </c>
    </row>
    <row r="3255" spans="1:40" x14ac:dyDescent="0.25">
      <c r="A3255" t="str">
        <f>"20190312160702724"</f>
        <v>20190312160702724</v>
      </c>
      <c r="B3255" t="str">
        <f>"1552378022717799"</f>
        <v>1552378022717799</v>
      </c>
      <c r="C3255" t="s">
        <v>40</v>
      </c>
      <c r="D3255">
        <v>6.1978739999999997</v>
      </c>
      <c r="E3255">
        <v>0.36574269999999998</v>
      </c>
      <c r="F3255" t="s">
        <v>44</v>
      </c>
      <c r="G3255">
        <v>-491.96719999999999</v>
      </c>
      <c r="H3255">
        <v>1.0279739999999999</v>
      </c>
      <c r="I3255">
        <v>233.35140000000001</v>
      </c>
      <c r="J3255">
        <v>-492.61450000000002</v>
      </c>
      <c r="K3255">
        <v>1.113281</v>
      </c>
      <c r="L3255">
        <v>233.87799999999999</v>
      </c>
      <c r="M3255">
        <v>0.33731100000000003</v>
      </c>
      <c r="N3255">
        <v>0</v>
      </c>
      <c r="O3255">
        <v>-0.94127169999999905</v>
      </c>
      <c r="P3255">
        <v>0.44001679999999999</v>
      </c>
      <c r="Q3255">
        <v>6.7199159999999898E-3</v>
      </c>
      <c r="R3255">
        <v>-0.89796480000000001</v>
      </c>
      <c r="S3255">
        <v>2.252075</v>
      </c>
      <c r="T3255">
        <v>-0.26550449999999998</v>
      </c>
      <c r="U3255">
        <v>-2.2485200000000001</v>
      </c>
      <c r="V3255">
        <v>-0.11144850000000001</v>
      </c>
      <c r="W3255">
        <v>2.0961960000000002E-2</v>
      </c>
      <c r="X3255">
        <v>0.99354909999999996</v>
      </c>
      <c r="Y3255">
        <v>-0.4251916</v>
      </c>
      <c r="Z3255">
        <v>8.4557569999999999E-2</v>
      </c>
      <c r="AA3255">
        <v>0.90114490000000003</v>
      </c>
      <c r="AB3255">
        <v>20</v>
      </c>
      <c r="AC3255">
        <v>0.64730000000002896</v>
      </c>
      <c r="AD3255">
        <v>-8.5306999999999994E-2</v>
      </c>
      <c r="AE3255">
        <v>-0.52659999999997298</v>
      </c>
      <c r="AF3255">
        <v>-0.42724138150761798</v>
      </c>
      <c r="AG3255">
        <v>-8.5306999999999994E-2</v>
      </c>
      <c r="AH3255">
        <v>0.70671077246083502</v>
      </c>
      <c r="AI3255">
        <v>95.897735636303494</v>
      </c>
      <c r="AJ3255">
        <v>121.15502331892</v>
      </c>
      <c r="AK3255">
        <v>0.830212381402331</v>
      </c>
      <c r="AL3255">
        <v>88.798880179571597</v>
      </c>
      <c r="AM3255">
        <v>96.400234200233697</v>
      </c>
      <c r="AN3255">
        <v>0.99999999301505005</v>
      </c>
    </row>
    <row r="3256" spans="1:40" x14ac:dyDescent="0.25">
      <c r="A3256" t="str">
        <f>"20190312160702745"</f>
        <v>20190312160702745</v>
      </c>
      <c r="B3256" t="str">
        <f>"1552378022738299"</f>
        <v>1552378022738299</v>
      </c>
      <c r="C3256" t="s">
        <v>40</v>
      </c>
      <c r="D3256">
        <v>6.1874840000000004</v>
      </c>
      <c r="E3256">
        <v>0.36566589999999999</v>
      </c>
      <c r="F3256" t="s">
        <v>61</v>
      </c>
      <c r="G3256">
        <v>-482.59519999999998</v>
      </c>
      <c r="H3256" s="1">
        <v>3.2928200000000002E-6</v>
      </c>
      <c r="I3256">
        <v>224.1044</v>
      </c>
      <c r="J3256">
        <v>-492.54649999999998</v>
      </c>
      <c r="K3256">
        <v>1.113259</v>
      </c>
      <c r="L3256">
        <v>233.70660000000001</v>
      </c>
      <c r="M3256">
        <v>0.34222390000000003</v>
      </c>
      <c r="N3256">
        <v>0</v>
      </c>
      <c r="O3256">
        <v>-0.93949660000000002</v>
      </c>
      <c r="P3256">
        <v>0.44499830000000001</v>
      </c>
      <c r="Q3256">
        <v>6.1527109999999999E-3</v>
      </c>
      <c r="R3256">
        <v>-0.89551009999999998</v>
      </c>
      <c r="S3256">
        <v>2.2809750000000002</v>
      </c>
      <c r="T3256">
        <v>-0.25344800000000001</v>
      </c>
      <c r="U3256">
        <v>-2.2250519999999998</v>
      </c>
      <c r="V3256">
        <v>-0.11177049999999999</v>
      </c>
      <c r="W3256">
        <v>2.03956E-2</v>
      </c>
      <c r="X3256">
        <v>0.99352470000000004</v>
      </c>
      <c r="Y3256">
        <v>-0.43116979999999999</v>
      </c>
      <c r="Z3256">
        <v>8.0678470000000002E-2</v>
      </c>
      <c r="AA3256">
        <v>0.89865649999999997</v>
      </c>
      <c r="AB3256">
        <v>20</v>
      </c>
      <c r="AC3256">
        <v>9.9512999999999998</v>
      </c>
      <c r="AD3256">
        <v>-1.11325570718</v>
      </c>
      <c r="AE3256">
        <v>-9.6021999999999998</v>
      </c>
      <c r="AF3256">
        <v>-6.0247587494222197</v>
      </c>
      <c r="AG3256">
        <v>-1.11325570718</v>
      </c>
      <c r="AH3256">
        <v>12.348202759174301</v>
      </c>
      <c r="AI3256">
        <v>94.632299831569696</v>
      </c>
      <c r="AJ3256">
        <v>116.008012860452</v>
      </c>
      <c r="AK3256">
        <v>13.784598929239399</v>
      </c>
      <c r="AL3256">
        <v>88.831337139834105</v>
      </c>
      <c r="AM3256">
        <v>96.418728144512997</v>
      </c>
      <c r="AN3256">
        <v>0.99999997733984902</v>
      </c>
    </row>
    <row r="3257" spans="1:40" x14ac:dyDescent="0.25">
      <c r="A3257" t="str">
        <f>"20190312160702767"</f>
        <v>20190312160702767</v>
      </c>
      <c r="B3257" t="str">
        <f>"1552378022757816"</f>
        <v>1552378022757816</v>
      </c>
      <c r="C3257" t="s">
        <v>40</v>
      </c>
      <c r="D3257">
        <v>6.1806190000000001</v>
      </c>
      <c r="E3257">
        <v>0.36567929999999998</v>
      </c>
      <c r="F3257" t="s">
        <v>61</v>
      </c>
      <c r="G3257">
        <v>-482.22890000000001</v>
      </c>
      <c r="H3257" s="1">
        <v>3.1043489999999999E-6</v>
      </c>
      <c r="I3257">
        <v>223.75810000000001</v>
      </c>
      <c r="J3257">
        <v>-492.47519999999997</v>
      </c>
      <c r="K3257">
        <v>1.1132280000000001</v>
      </c>
      <c r="L3257">
        <v>233.5299</v>
      </c>
      <c r="M3257">
        <v>0.3472922</v>
      </c>
      <c r="N3257">
        <v>0</v>
      </c>
      <c r="O3257">
        <v>-0.93763479999999999</v>
      </c>
      <c r="P3257">
        <v>0.44888719999999999</v>
      </c>
      <c r="Q3257">
        <v>5.8117759999999899E-3</v>
      </c>
      <c r="R3257">
        <v>-0.89356990000000003</v>
      </c>
      <c r="S3257">
        <v>2.2939150000000001</v>
      </c>
      <c r="T3257">
        <v>-0.2475115</v>
      </c>
      <c r="U3257">
        <v>-2.2118679999999999</v>
      </c>
      <c r="V3257">
        <v>-0.110719899999999</v>
      </c>
      <c r="W3257">
        <v>2.0068079999999999E-2</v>
      </c>
      <c r="X3257">
        <v>0.993649</v>
      </c>
      <c r="Y3257">
        <v>-0.43162539999999999</v>
      </c>
      <c r="Z3257">
        <v>7.8748760000000001E-2</v>
      </c>
      <c r="AA3257">
        <v>0.89860899999999999</v>
      </c>
      <c r="AB3257">
        <v>19</v>
      </c>
      <c r="AC3257">
        <v>10.2462999999999</v>
      </c>
      <c r="AD3257">
        <v>-1.113224895651</v>
      </c>
      <c r="AE3257">
        <v>-9.7717999999999794</v>
      </c>
      <c r="AF3257">
        <v>-6.1761504987573703</v>
      </c>
      <c r="AG3257">
        <v>-1.113224895651</v>
      </c>
      <c r="AH3257">
        <v>12.644135356931001</v>
      </c>
      <c r="AI3257">
        <v>94.523229027495404</v>
      </c>
      <c r="AJ3257">
        <v>116.03364468647401</v>
      </c>
      <c r="AK3257">
        <v>14.1158869213376</v>
      </c>
      <c r="AL3257">
        <v>88.850106498500296</v>
      </c>
      <c r="AM3257">
        <v>96.358102133006099</v>
      </c>
      <c r="AN3257">
        <v>0.999999979645947</v>
      </c>
    </row>
    <row r="3258" spans="1:40" x14ac:dyDescent="0.25">
      <c r="A3258" t="str">
        <f>"20190312160702791"</f>
        <v>20190312160702791</v>
      </c>
      <c r="B3258" t="str">
        <f>"1552378022778316"</f>
        <v>1552378022778316</v>
      </c>
      <c r="C3258" t="s">
        <v>40</v>
      </c>
      <c r="D3258">
        <v>6.1746030000000003</v>
      </c>
      <c r="E3258">
        <v>0.36581209999999997</v>
      </c>
      <c r="F3258" t="s">
        <v>61</v>
      </c>
      <c r="G3258">
        <v>-482.06920000000002</v>
      </c>
      <c r="H3258" s="1">
        <v>3.0148080000000001E-6</v>
      </c>
      <c r="I3258">
        <v>223.58340000000001</v>
      </c>
      <c r="J3258">
        <v>-492.40230000000003</v>
      </c>
      <c r="K3258">
        <v>1.113194</v>
      </c>
      <c r="L3258">
        <v>233.35149999999999</v>
      </c>
      <c r="M3258">
        <v>0.35239369999999998</v>
      </c>
      <c r="N3258">
        <v>0</v>
      </c>
      <c r="O3258">
        <v>-0.93572979999999994</v>
      </c>
      <c r="P3258">
        <v>0.45213300000000001</v>
      </c>
      <c r="Q3258">
        <v>6.1450489999999997E-3</v>
      </c>
      <c r="R3258">
        <v>-0.89192959999999999</v>
      </c>
      <c r="S3258">
        <v>2.3034970000000001</v>
      </c>
      <c r="T3258">
        <v>-0.2464249</v>
      </c>
      <c r="U3258">
        <v>-2.2017519999999999</v>
      </c>
      <c r="V3258">
        <v>-0.1089213</v>
      </c>
      <c r="W3258">
        <v>2.0420859999999999E-2</v>
      </c>
      <c r="X3258">
        <v>0.99384059999999996</v>
      </c>
      <c r="Y3258">
        <v>-0.43066860000000001</v>
      </c>
      <c r="Z3258">
        <v>7.8334890000000004E-2</v>
      </c>
      <c r="AA3258">
        <v>0.89910409999999996</v>
      </c>
      <c r="AB3258">
        <v>19</v>
      </c>
      <c r="AC3258">
        <v>10.3331</v>
      </c>
      <c r="AD3258">
        <v>-1.1131909851919899</v>
      </c>
      <c r="AE3258">
        <v>-9.7680999999999703</v>
      </c>
      <c r="AF3258">
        <v>-6.1895488668288596</v>
      </c>
      <c r="AG3258">
        <v>-1.1131909851919899</v>
      </c>
      <c r="AH3258">
        <v>12.705212694546001</v>
      </c>
      <c r="AI3258">
        <v>94.503723379870095</v>
      </c>
      <c r="AJ3258">
        <v>115.973773872859</v>
      </c>
      <c r="AK3258">
        <v>14.1764642615156</v>
      </c>
      <c r="AL3258">
        <v>88.829889573044895</v>
      </c>
      <c r="AM3258">
        <v>96.254446415604406</v>
      </c>
      <c r="AN3258">
        <v>0.99999999966259401</v>
      </c>
    </row>
    <row r="3259" spans="1:40" x14ac:dyDescent="0.25">
      <c r="A3259" t="str">
        <f>"20190312160702811"</f>
        <v>20190312160702811</v>
      </c>
      <c r="B3259" t="str">
        <f>"1552378022808568"</f>
        <v>1552378022808568</v>
      </c>
      <c r="C3259" t="s">
        <v>40</v>
      </c>
      <c r="D3259">
        <v>6.136209</v>
      </c>
      <c r="E3259">
        <v>0.38635170000000002</v>
      </c>
      <c r="F3259" t="s">
        <v>61</v>
      </c>
      <c r="G3259">
        <v>-481.92250000000001</v>
      </c>
      <c r="H3259" s="1">
        <v>2.9451859999999998E-6</v>
      </c>
      <c r="I3259">
        <v>223.3954</v>
      </c>
      <c r="J3259">
        <v>-492.33330000000001</v>
      </c>
      <c r="K3259">
        <v>1.1131629999999999</v>
      </c>
      <c r="L3259">
        <v>233.18559999999999</v>
      </c>
      <c r="M3259">
        <v>0.35712539999999998</v>
      </c>
      <c r="N3259">
        <v>0</v>
      </c>
      <c r="O3259">
        <v>-0.93393419999999905</v>
      </c>
      <c r="P3259">
        <v>0.45518039999999999</v>
      </c>
      <c r="Q3259">
        <v>5.5172769999999897E-3</v>
      </c>
      <c r="R3259">
        <v>-0.89038240000000002</v>
      </c>
      <c r="S3259">
        <v>2.3097530000000002</v>
      </c>
      <c r="T3259">
        <v>-0.24534880000000001</v>
      </c>
      <c r="U3259">
        <v>-2.1943510000000002</v>
      </c>
      <c r="V3259">
        <v>-0.1072819</v>
      </c>
      <c r="W3259">
        <v>1.980968E-2</v>
      </c>
      <c r="X3259">
        <v>0.99403129999999995</v>
      </c>
      <c r="Y3259">
        <v>-0.4288554</v>
      </c>
      <c r="Z3259">
        <v>7.7924530000000006E-2</v>
      </c>
      <c r="AA3259">
        <v>0.90000599999999997</v>
      </c>
      <c r="AB3259">
        <v>19</v>
      </c>
      <c r="AC3259">
        <v>10.410799999999901</v>
      </c>
      <c r="AD3259">
        <v>-1.1131600548139999</v>
      </c>
      <c r="AE3259">
        <v>-9.7902000000000005</v>
      </c>
      <c r="AF3259">
        <v>-6.1898290984095103</v>
      </c>
      <c r="AG3259">
        <v>-1.1131600548139999</v>
      </c>
      <c r="AH3259">
        <v>12.7852614700105</v>
      </c>
      <c r="AI3259">
        <v>94.480823887551793</v>
      </c>
      <c r="AJ3259">
        <v>115.833381313255</v>
      </c>
      <c r="AK3259">
        <v>14.24836904462</v>
      </c>
      <c r="AL3259">
        <v>88.864914726373897</v>
      </c>
      <c r="AM3259">
        <v>96.159865845277594</v>
      </c>
      <c r="AN3259">
        <v>1.0000000274345</v>
      </c>
    </row>
    <row r="3260" spans="1:40" x14ac:dyDescent="0.25">
      <c r="A3260" t="str">
        <f>"20190312160702834"</f>
        <v>20190312160702834</v>
      </c>
      <c r="B3260" t="str">
        <f>"1552378022828087"</f>
        <v>1552378022828087</v>
      </c>
      <c r="C3260" t="s">
        <v>40</v>
      </c>
      <c r="D3260">
        <v>6.193085</v>
      </c>
      <c r="E3260">
        <v>0.39749069999999997</v>
      </c>
      <c r="F3260" t="s">
        <v>61</v>
      </c>
      <c r="G3260">
        <v>-483.22770000000003</v>
      </c>
      <c r="H3260" s="1">
        <v>3.3076549999999999E-6</v>
      </c>
      <c r="I3260">
        <v>223.6995</v>
      </c>
      <c r="J3260">
        <v>-492.25720000000001</v>
      </c>
      <c r="K3260">
        <v>1.1131279999999999</v>
      </c>
      <c r="L3260">
        <v>233.00489999999999</v>
      </c>
      <c r="M3260">
        <v>0.36226150000000001</v>
      </c>
      <c r="N3260">
        <v>0</v>
      </c>
      <c r="O3260">
        <v>-0.93195410000000001</v>
      </c>
      <c r="P3260">
        <v>0.4599704</v>
      </c>
      <c r="Q3260">
        <v>4.8912290000000004E-3</v>
      </c>
      <c r="R3260">
        <v>-0.88792119999999997</v>
      </c>
      <c r="S3260">
        <v>2.1706240000000001</v>
      </c>
      <c r="T3260">
        <v>-0.26535900000000001</v>
      </c>
      <c r="U3260">
        <v>-2.2613219999999998</v>
      </c>
      <c r="V3260">
        <v>-0.10715760000000001</v>
      </c>
      <c r="W3260">
        <v>1.9184670000000001E-2</v>
      </c>
      <c r="X3260">
        <v>0.99405690000000002</v>
      </c>
      <c r="Y3260">
        <v>-0.38144820000000002</v>
      </c>
      <c r="Z3260">
        <v>8.4716020000000003E-2</v>
      </c>
      <c r="AA3260">
        <v>0.92050010000000004</v>
      </c>
      <c r="AB3260">
        <v>19</v>
      </c>
      <c r="AC3260">
        <v>9.0294999999999792</v>
      </c>
      <c r="AD3260">
        <v>-1.113124692345</v>
      </c>
      <c r="AE3260">
        <v>-9.3053999999999899</v>
      </c>
      <c r="AF3260">
        <v>-5.0077601712276198</v>
      </c>
      <c r="AG3260">
        <v>-1.113124692345</v>
      </c>
      <c r="AH3260">
        <v>11.8572219580743</v>
      </c>
      <c r="AI3260">
        <v>94.942691636150499</v>
      </c>
      <c r="AJ3260">
        <v>112.896200880669</v>
      </c>
      <c r="AK3260">
        <v>12.9193816057999</v>
      </c>
      <c r="AL3260">
        <v>88.900731897198298</v>
      </c>
      <c r="AM3260">
        <v>96.152626377263701</v>
      </c>
      <c r="AN3260">
        <v>0.99999996161918803</v>
      </c>
    </row>
    <row r="3261" spans="1:40" x14ac:dyDescent="0.25">
      <c r="A3261" t="str">
        <f>"20190312160702858"</f>
        <v>20190312160702858</v>
      </c>
      <c r="B3261" t="str">
        <f>"1552378022848584"</f>
        <v>1552378022848584</v>
      </c>
      <c r="C3261" t="s">
        <v>40</v>
      </c>
      <c r="D3261">
        <v>6.1746720000000002</v>
      </c>
      <c r="E3261">
        <v>0.4023042</v>
      </c>
      <c r="F3261" t="s">
        <v>61</v>
      </c>
      <c r="G3261">
        <v>-484.00020000000001</v>
      </c>
      <c r="H3261" s="1">
        <v>3.5760850000000002E-6</v>
      </c>
      <c r="I3261">
        <v>224.01320000000001</v>
      </c>
      <c r="J3261">
        <v>-492.17790000000002</v>
      </c>
      <c r="K3261">
        <v>1.1130949999999999</v>
      </c>
      <c r="L3261">
        <v>232.81960000000001</v>
      </c>
      <c r="M3261">
        <v>0.3675175</v>
      </c>
      <c r="N3261">
        <v>0</v>
      </c>
      <c r="O3261">
        <v>-0.9298942</v>
      </c>
      <c r="P3261">
        <v>0.46534779999999998</v>
      </c>
      <c r="Q3261">
        <v>4.7442300000000003E-3</v>
      </c>
      <c r="R3261">
        <v>-0.8851154</v>
      </c>
      <c r="S3261">
        <v>2.103424</v>
      </c>
      <c r="T3261">
        <v>-0.28355979999999997</v>
      </c>
      <c r="U3261">
        <v>-2.2905730000000002</v>
      </c>
      <c r="V3261">
        <v>-0.1075726</v>
      </c>
      <c r="W3261">
        <v>1.9033069999999999E-2</v>
      </c>
      <c r="X3261">
        <v>0.99401499999999998</v>
      </c>
      <c r="Y3261">
        <v>-0.35536119999999999</v>
      </c>
      <c r="Z3261">
        <v>9.0619839999999993E-2</v>
      </c>
      <c r="AA3261">
        <v>0.93032599999999999</v>
      </c>
      <c r="AB3261">
        <v>19</v>
      </c>
      <c r="AC3261">
        <v>8.1777000000000104</v>
      </c>
      <c r="AD3261">
        <v>-1.113091423915</v>
      </c>
      <c r="AE3261">
        <v>-8.8063999999999893</v>
      </c>
      <c r="AF3261">
        <v>-4.3312314617727203</v>
      </c>
      <c r="AG3261">
        <v>-1.113091423915</v>
      </c>
      <c r="AH3261">
        <v>11.1005167455817</v>
      </c>
      <c r="AI3261">
        <v>95.336785926267694</v>
      </c>
      <c r="AJ3261">
        <v>111.314877381163</v>
      </c>
      <c r="AK3261">
        <v>11.9674563091904</v>
      </c>
      <c r="AL3261">
        <v>88.909419534365597</v>
      </c>
      <c r="AM3261">
        <v>96.176528795121996</v>
      </c>
      <c r="AN3261">
        <v>0.99999997112469197</v>
      </c>
    </row>
    <row r="3262" spans="1:40" x14ac:dyDescent="0.25">
      <c r="A3262" t="str">
        <f>"20190312160702881"</f>
        <v>20190312160702881</v>
      </c>
      <c r="B3262" t="str">
        <f>"1552378022868104"</f>
        <v>1552378022868104</v>
      </c>
      <c r="C3262" t="s">
        <v>40</v>
      </c>
      <c r="D3262">
        <v>6.1735129999999998</v>
      </c>
      <c r="E3262">
        <v>0.4051439</v>
      </c>
      <c r="F3262" t="s">
        <v>61</v>
      </c>
      <c r="G3262">
        <v>-484.19119999999998</v>
      </c>
      <c r="H3262" s="1">
        <v>3.620145E-6</v>
      </c>
      <c r="I3262">
        <v>224.0187</v>
      </c>
      <c r="J3262">
        <v>-492.10169999999999</v>
      </c>
      <c r="K3262">
        <v>1.1130739999999999</v>
      </c>
      <c r="L3262">
        <v>232.64449999999999</v>
      </c>
      <c r="M3262">
        <v>0.37247530000000001</v>
      </c>
      <c r="N3262">
        <v>0</v>
      </c>
      <c r="O3262">
        <v>-0.92791939999999995</v>
      </c>
      <c r="P3262">
        <v>0.47131430000000002</v>
      </c>
      <c r="Q3262">
        <v>4.91472E-3</v>
      </c>
      <c r="R3262">
        <v>-0.88195170000000001</v>
      </c>
      <c r="S3262">
        <v>2.083313</v>
      </c>
      <c r="T3262">
        <v>-0.29034779999999999</v>
      </c>
      <c r="U3262">
        <v>-2.2957000000000001</v>
      </c>
      <c r="V3262">
        <v>-0.10898040000000001</v>
      </c>
      <c r="W3262">
        <v>1.9189910000000001E-2</v>
      </c>
      <c r="X3262">
        <v>0.99385860000000004</v>
      </c>
      <c r="Y3262">
        <v>-0.34472129999999901</v>
      </c>
      <c r="Z3262">
        <v>9.2759949999999994E-2</v>
      </c>
      <c r="AA3262">
        <v>0.93411069999999996</v>
      </c>
      <c r="AB3262">
        <v>19</v>
      </c>
      <c r="AC3262">
        <v>7.9105000000000096</v>
      </c>
      <c r="AD3262">
        <v>-1.1130703798549999</v>
      </c>
      <c r="AE3262">
        <v>-8.6257999999999893</v>
      </c>
      <c r="AF3262">
        <v>-4.0908788982583602</v>
      </c>
      <c r="AG3262">
        <v>-1.1130703798549999</v>
      </c>
      <c r="AH3262">
        <v>10.8535943393533</v>
      </c>
      <c r="AI3262">
        <v>95.481488299071202</v>
      </c>
      <c r="AJ3262">
        <v>110.652162027912</v>
      </c>
      <c r="AK3262">
        <v>11.652241239948999</v>
      </c>
      <c r="AL3262">
        <v>88.900431597607593</v>
      </c>
      <c r="AM3262">
        <v>96.257700684080405</v>
      </c>
      <c r="AN3262">
        <v>0.99999994851196194</v>
      </c>
    </row>
    <row r="3263" spans="1:40" x14ac:dyDescent="0.25">
      <c r="A3263" t="str">
        <f>"20190312160702900"</f>
        <v>20190312160702900</v>
      </c>
      <c r="B3263" t="str">
        <f>"1552378022888600"</f>
        <v>1552378022888600</v>
      </c>
      <c r="C3263" t="s">
        <v>40</v>
      </c>
      <c r="D3263">
        <v>6.1794469999999997</v>
      </c>
      <c r="E3263">
        <v>0.40668140000000003</v>
      </c>
      <c r="F3263" t="s">
        <v>61</v>
      </c>
      <c r="G3263">
        <v>-484.3075</v>
      </c>
      <c r="H3263" s="1">
        <v>3.6557040000000001E-6</v>
      </c>
      <c r="I3263">
        <v>224.05019999999999</v>
      </c>
      <c r="J3263">
        <v>-492.0342</v>
      </c>
      <c r="K3263">
        <v>1.1130549999999999</v>
      </c>
      <c r="L3263">
        <v>232.4913</v>
      </c>
      <c r="M3263">
        <v>0.37681290000000001</v>
      </c>
      <c r="N3263">
        <v>0</v>
      </c>
      <c r="O3263">
        <v>-0.92616659999999995</v>
      </c>
      <c r="P3263">
        <v>0.47668700000000003</v>
      </c>
      <c r="Q3263">
        <v>5.1220700000000003E-3</v>
      </c>
      <c r="R3263">
        <v>-0.87905820000000001</v>
      </c>
      <c r="S3263">
        <v>2.0788570000000002</v>
      </c>
      <c r="T3263">
        <v>-0.2968749</v>
      </c>
      <c r="U3263">
        <v>-2.292252</v>
      </c>
      <c r="V3263">
        <v>-0.1103954</v>
      </c>
      <c r="W3263">
        <v>1.938395E-2</v>
      </c>
      <c r="X3263">
        <v>0.99369870000000005</v>
      </c>
      <c r="Y3263">
        <v>-0.33988950000000001</v>
      </c>
      <c r="Z3263">
        <v>9.4808470000000006E-2</v>
      </c>
      <c r="AA3263">
        <v>0.93567440000000002</v>
      </c>
      <c r="AB3263">
        <v>19</v>
      </c>
      <c r="AC3263">
        <v>7.7266999999999904</v>
      </c>
      <c r="AD3263">
        <v>-1.1130513442959999</v>
      </c>
      <c r="AE3263">
        <v>-8.4411000000000005</v>
      </c>
      <c r="AF3263">
        <v>-3.93868660735715</v>
      </c>
      <c r="AG3263">
        <v>-1.1130513442959999</v>
      </c>
      <c r="AH3263">
        <v>10.6300407400522</v>
      </c>
      <c r="AI3263">
        <v>95.607610876975002</v>
      </c>
      <c r="AJ3263">
        <v>110.330883568875</v>
      </c>
      <c r="AK3263">
        <v>11.3907814315429</v>
      </c>
      <c r="AL3263">
        <v>88.889311906239001</v>
      </c>
      <c r="AM3263">
        <v>96.339305130143799</v>
      </c>
      <c r="AN3263">
        <v>0.999999994120226</v>
      </c>
    </row>
    <row r="3264" spans="1:40" x14ac:dyDescent="0.25">
      <c r="A3264" t="str">
        <f>"20190312160702924"</f>
        <v>20190312160702924</v>
      </c>
      <c r="B3264" t="str">
        <f>"1552378022917880"</f>
        <v>1552378022917880</v>
      </c>
      <c r="C3264" t="s">
        <v>40</v>
      </c>
      <c r="D3264">
        <v>6.3802390000000004</v>
      </c>
      <c r="E3264">
        <v>0.40861839999999999</v>
      </c>
      <c r="F3264" t="s">
        <v>61</v>
      </c>
      <c r="G3264">
        <v>-484.339</v>
      </c>
      <c r="H3264" s="1">
        <v>3.6604600000000001E-6</v>
      </c>
      <c r="I3264">
        <v>224.04300000000001</v>
      </c>
      <c r="J3264">
        <v>-491.95150000000001</v>
      </c>
      <c r="K3264">
        <v>1.1130370000000001</v>
      </c>
      <c r="L3264">
        <v>232.30619999999999</v>
      </c>
      <c r="M3264">
        <v>0.38205620000000001</v>
      </c>
      <c r="N3264">
        <v>0</v>
      </c>
      <c r="O3264">
        <v>-0.9240159</v>
      </c>
      <c r="P3264">
        <v>0.48257349999999999</v>
      </c>
      <c r="Q3264">
        <v>4.5107080000000004E-3</v>
      </c>
      <c r="R3264">
        <v>-0.87584359999999895</v>
      </c>
      <c r="S3264">
        <v>2.0818479999999999</v>
      </c>
      <c r="T3264">
        <v>-0.30112090000000002</v>
      </c>
      <c r="U3264">
        <v>-2.285568</v>
      </c>
      <c r="V3264">
        <v>-0.11142349999999999</v>
      </c>
      <c r="W3264">
        <v>1.876131E-2</v>
      </c>
      <c r="X3264">
        <v>0.99359589999999998</v>
      </c>
      <c r="Y3264">
        <v>-0.33649970000000001</v>
      </c>
      <c r="Z3264">
        <v>9.6056329999999995E-2</v>
      </c>
      <c r="AA3264">
        <v>0.93677169999999998</v>
      </c>
      <c r="AB3264">
        <v>19</v>
      </c>
      <c r="AC3264">
        <v>7.6125000000000096</v>
      </c>
      <c r="AD3264">
        <v>-1.1130333395400001</v>
      </c>
      <c r="AE3264">
        <v>-8.2631999999999799</v>
      </c>
      <c r="AF3264">
        <v>-3.83982119462289</v>
      </c>
      <c r="AG3264">
        <v>-1.1130333395400001</v>
      </c>
      <c r="AH3264">
        <v>10.442448000392799</v>
      </c>
      <c r="AI3264">
        <v>95.712778060491701</v>
      </c>
      <c r="AJ3264">
        <v>110.189118237114</v>
      </c>
      <c r="AK3264">
        <v>11.1815826367519</v>
      </c>
      <c r="AL3264">
        <v>88.924993045507506</v>
      </c>
      <c r="AM3264">
        <v>96.398511521563506</v>
      </c>
      <c r="AN3264">
        <v>0.99999999780098803</v>
      </c>
    </row>
    <row r="3265" spans="1:40" x14ac:dyDescent="0.25">
      <c r="A3265" t="str">
        <f>"20190312160702946"</f>
        <v>20190312160702946</v>
      </c>
      <c r="B3265" t="str">
        <f>"1552378022938376"</f>
        <v>1552378022938376</v>
      </c>
      <c r="C3265" t="s">
        <v>40</v>
      </c>
      <c r="D3265">
        <v>6.1618079999999997</v>
      </c>
      <c r="E3265">
        <v>0.40970430000000002</v>
      </c>
      <c r="F3265" t="s">
        <v>61</v>
      </c>
      <c r="G3265">
        <v>-484.40219999999999</v>
      </c>
      <c r="H3265" s="1">
        <v>3.6768090000000001E-6</v>
      </c>
      <c r="I3265">
        <v>224.0505</v>
      </c>
      <c r="J3265">
        <v>-491.87569999999999</v>
      </c>
      <c r="K3265">
        <v>1.1130180000000001</v>
      </c>
      <c r="L3265">
        <v>232.13900000000001</v>
      </c>
      <c r="M3265">
        <v>0.38679279999999999</v>
      </c>
      <c r="N3265">
        <v>0</v>
      </c>
      <c r="O3265">
        <v>-0.92204350000000002</v>
      </c>
      <c r="P3265">
        <v>0.48734119999999997</v>
      </c>
      <c r="Q3265">
        <v>4.7095940000000001E-3</v>
      </c>
      <c r="R3265">
        <v>-0.87319899999999995</v>
      </c>
      <c r="S3265">
        <v>2.083771</v>
      </c>
      <c r="T3265">
        <v>-0.30722319999999997</v>
      </c>
      <c r="U3265">
        <v>-2.2787480000000002</v>
      </c>
      <c r="V3265">
        <v>-0.11174190000000001</v>
      </c>
      <c r="W3265">
        <v>1.8955349999999999E-2</v>
      </c>
      <c r="X3265">
        <v>0.99355640000000001</v>
      </c>
      <c r="Y3265">
        <v>-0.33335799999999999</v>
      </c>
      <c r="Z3265">
        <v>9.7924929999999993E-2</v>
      </c>
      <c r="AA3265">
        <v>0.93770100000000001</v>
      </c>
      <c r="AB3265">
        <v>19</v>
      </c>
      <c r="AC3265">
        <v>7.4734999999999996</v>
      </c>
      <c r="AD3265">
        <v>-1.1130143231909999</v>
      </c>
      <c r="AE3265">
        <v>-8.0884999999999998</v>
      </c>
      <c r="AF3265">
        <v>-3.72469939257563</v>
      </c>
      <c r="AG3265">
        <v>-1.1130143231909999</v>
      </c>
      <c r="AH3265">
        <v>10.2451695141258</v>
      </c>
      <c r="AI3265">
        <v>95.829689820203001</v>
      </c>
      <c r="AJ3265">
        <v>109.97907199935101</v>
      </c>
      <c r="AK3265">
        <v>10.957905129259601</v>
      </c>
      <c r="AL3265">
        <v>88.913873330805799</v>
      </c>
      <c r="AM3265">
        <v>96.4168963797039</v>
      </c>
      <c r="AN3265">
        <v>0.99999993874509396</v>
      </c>
    </row>
    <row r="3266" spans="1:40" x14ac:dyDescent="0.25">
      <c r="A3266" t="str">
        <f>"20190312160702968"</f>
        <v>20190312160702968</v>
      </c>
      <c r="B3266" t="str">
        <f>"1552378022957896"</f>
        <v>1552378022957896</v>
      </c>
      <c r="C3266" t="s">
        <v>40</v>
      </c>
      <c r="D3266">
        <v>6.1820490000000001</v>
      </c>
      <c r="E3266">
        <v>0.41063499999999997</v>
      </c>
      <c r="F3266" t="s">
        <v>61</v>
      </c>
      <c r="G3266">
        <v>-484.37869999999998</v>
      </c>
      <c r="H3266" s="1">
        <v>3.6505629999999999E-6</v>
      </c>
      <c r="I3266">
        <v>223.98269999999999</v>
      </c>
      <c r="J3266">
        <v>-491.79840000000002</v>
      </c>
      <c r="K3266">
        <v>1.1130070000000001</v>
      </c>
      <c r="L3266">
        <v>231.97069999999999</v>
      </c>
      <c r="M3266">
        <v>0.391567</v>
      </c>
      <c r="N3266">
        <v>0</v>
      </c>
      <c r="O3266">
        <v>-0.92002640000000002</v>
      </c>
      <c r="P3266">
        <v>0.49220649999999999</v>
      </c>
      <c r="Q3266">
        <v>5.0432300000000001E-3</v>
      </c>
      <c r="R3266">
        <v>-0.87046409999999996</v>
      </c>
      <c r="S3266">
        <v>2.088257</v>
      </c>
      <c r="T3266">
        <v>-0.31002269999999998</v>
      </c>
      <c r="U3266">
        <v>-2.2718959999999999</v>
      </c>
      <c r="V3266">
        <v>-0.11213869999999999</v>
      </c>
      <c r="W3266">
        <v>1.9283359999999999E-2</v>
      </c>
      <c r="X3266">
        <v>0.99350539999999998</v>
      </c>
      <c r="Y3266">
        <v>-0.33082430000000002</v>
      </c>
      <c r="Z3266">
        <v>9.8700430000000006E-2</v>
      </c>
      <c r="AA3266">
        <v>0.93851660000000003</v>
      </c>
      <c r="AB3266">
        <v>19</v>
      </c>
      <c r="AC3266">
        <v>7.4197000000000299</v>
      </c>
      <c r="AD3266">
        <v>-1.113003349437</v>
      </c>
      <c r="AE3266">
        <v>-7.9879999999999898</v>
      </c>
      <c r="AF3266">
        <v>-3.6607491546255799</v>
      </c>
      <c r="AG3266">
        <v>-1.113003349437</v>
      </c>
      <c r="AH3266">
        <v>10.149859881045501</v>
      </c>
      <c r="AI3266">
        <v>95.889394011753893</v>
      </c>
      <c r="AJ3266">
        <v>109.83284891971</v>
      </c>
      <c r="AK3266">
        <v>10.847097143190201</v>
      </c>
      <c r="AL3266">
        <v>88.895076326183002</v>
      </c>
      <c r="AM3266">
        <v>96.439819752524699</v>
      </c>
      <c r="AN3266">
        <v>0.99999995791986895</v>
      </c>
    </row>
    <row r="3267" spans="1:40" x14ac:dyDescent="0.25">
      <c r="A3267" t="str">
        <f>"20190312160702994"</f>
        <v>20190312160702994</v>
      </c>
      <c r="B3267" t="str">
        <f>"1552378022988158"</f>
        <v>1552378022988158</v>
      </c>
      <c r="C3267" t="s">
        <v>40</v>
      </c>
      <c r="D3267">
        <v>6.1821549999999998</v>
      </c>
      <c r="E3267">
        <v>0.41201389999999999</v>
      </c>
      <c r="F3267" t="s">
        <v>61</v>
      </c>
      <c r="G3267">
        <v>-484.2817</v>
      </c>
      <c r="H3267" s="1">
        <v>3.587141E-6</v>
      </c>
      <c r="I3267">
        <v>223.84729999999999</v>
      </c>
      <c r="J3267">
        <v>-491.71089999999998</v>
      </c>
      <c r="K3267">
        <v>1.112995</v>
      </c>
      <c r="L3267">
        <v>231.78290000000001</v>
      </c>
      <c r="M3267">
        <v>0.39689679999999999</v>
      </c>
      <c r="N3267">
        <v>0</v>
      </c>
      <c r="O3267">
        <v>-0.91773979999999999</v>
      </c>
      <c r="P3267">
        <v>0.49749949999999998</v>
      </c>
      <c r="Q3267">
        <v>5.9665940000000004E-3</v>
      </c>
      <c r="R3267">
        <v>-0.86744399999999999</v>
      </c>
      <c r="S3267">
        <v>2.0947269999999998</v>
      </c>
      <c r="T3267">
        <v>-0.310168</v>
      </c>
      <c r="U3267">
        <v>-2.2637939999999999</v>
      </c>
      <c r="V3267">
        <v>-0.1124356</v>
      </c>
      <c r="W3267">
        <v>2.0200139999999998E-2</v>
      </c>
      <c r="X3267">
        <v>0.9934537</v>
      </c>
      <c r="Y3267">
        <v>-0.32847280000000001</v>
      </c>
      <c r="Z3267">
        <v>9.8608169999999995E-2</v>
      </c>
      <c r="AA3267">
        <v>0.93935190000000002</v>
      </c>
      <c r="AB3267">
        <v>19</v>
      </c>
      <c r="AC3267">
        <v>7.4291999999999803</v>
      </c>
      <c r="AD3267">
        <v>-1.1129914128589999</v>
      </c>
      <c r="AE3267">
        <v>-7.9356000000000204</v>
      </c>
      <c r="AF3267">
        <v>-3.6308119248257502</v>
      </c>
      <c r="AG3267">
        <v>-1.1129914128589999</v>
      </c>
      <c r="AH3267">
        <v>10.126444845237</v>
      </c>
      <c r="AI3267">
        <v>95.906815403581703</v>
      </c>
      <c r="AJ3267">
        <v>109.725170516677</v>
      </c>
      <c r="AK3267">
        <v>10.815101956162099</v>
      </c>
      <c r="AL3267">
        <v>88.842538544090303</v>
      </c>
      <c r="AM3267">
        <v>96.457059288339707</v>
      </c>
      <c r="AN3267">
        <v>1.00000003192353</v>
      </c>
    </row>
    <row r="3268" spans="1:40" x14ac:dyDescent="0.25">
      <c r="A3268" t="str">
        <f>"20190312160703014"</f>
        <v>20190312160703014</v>
      </c>
      <c r="B3268" t="str">
        <f>"1552378023008652"</f>
        <v>1552378023008652</v>
      </c>
      <c r="C3268" t="s">
        <v>40</v>
      </c>
      <c r="D3268">
        <v>6.211112</v>
      </c>
      <c r="E3268">
        <v>0.41286050000000002</v>
      </c>
      <c r="F3268" t="s">
        <v>61</v>
      </c>
      <c r="G3268">
        <v>-484.14190000000002</v>
      </c>
      <c r="H3268" s="1">
        <v>3.4933570000000002E-6</v>
      </c>
      <c r="I3268">
        <v>223.6446</v>
      </c>
      <c r="J3268">
        <v>-491.63959999999997</v>
      </c>
      <c r="K3268">
        <v>1.1129849999999999</v>
      </c>
      <c r="L3268">
        <v>231.6319</v>
      </c>
      <c r="M3268">
        <v>0.40118930000000003</v>
      </c>
      <c r="N3268">
        <v>0</v>
      </c>
      <c r="O3268">
        <v>-0.91587169999999896</v>
      </c>
      <c r="P3268">
        <v>0.50188949999999999</v>
      </c>
      <c r="Q3268">
        <v>6.3482039999999997E-3</v>
      </c>
      <c r="R3268">
        <v>-0.86490849999999897</v>
      </c>
      <c r="S3268">
        <v>2.0989070000000001</v>
      </c>
      <c r="T3268">
        <v>-0.30863559999999901</v>
      </c>
      <c r="U3268">
        <v>-2.2567750000000002</v>
      </c>
      <c r="V3268">
        <v>-0.1128222</v>
      </c>
      <c r="W3268">
        <v>2.0576279999999999E-2</v>
      </c>
      <c r="X3268">
        <v>0.99340209999999995</v>
      </c>
      <c r="Y3268">
        <v>-0.32647789999999999</v>
      </c>
      <c r="Z3268">
        <v>9.8041359999999994E-2</v>
      </c>
      <c r="AA3268">
        <v>0.94010640000000001</v>
      </c>
      <c r="AB3268">
        <v>19</v>
      </c>
      <c r="AC3268">
        <v>7.4976999999999503</v>
      </c>
      <c r="AD3268">
        <v>-1.112981506643</v>
      </c>
      <c r="AE3268">
        <v>-7.9873000000000003</v>
      </c>
      <c r="AF3268">
        <v>-3.6255049748310899</v>
      </c>
      <c r="AG3268">
        <v>-1.112981506643</v>
      </c>
      <c r="AH3268">
        <v>10.2190293383583</v>
      </c>
      <c r="AI3268">
        <v>95.860555243772197</v>
      </c>
      <c r="AJ3268">
        <v>109.533656017581</v>
      </c>
      <c r="AK3268">
        <v>10.9000722371406</v>
      </c>
      <c r="AL3268">
        <v>88.820982770913901</v>
      </c>
      <c r="AM3268">
        <v>96.479406534493904</v>
      </c>
      <c r="AN3268">
        <v>0.99999998219794395</v>
      </c>
    </row>
    <row r="3269" spans="1:40" x14ac:dyDescent="0.25">
      <c r="A3269" t="str">
        <f>"20190312160703035"</f>
        <v>20190312160703035</v>
      </c>
      <c r="B3269" t="str">
        <f>"1552378023028173"</f>
        <v>1552378023028173</v>
      </c>
      <c r="C3269" t="s">
        <v>40</v>
      </c>
      <c r="D3269">
        <v>6.1512029999999998</v>
      </c>
      <c r="E3269">
        <v>0.41306920000000003</v>
      </c>
      <c r="F3269" t="s">
        <v>61</v>
      </c>
      <c r="G3269">
        <v>-484.04629999999997</v>
      </c>
      <c r="H3269" s="1">
        <v>3.4323429999999999E-6</v>
      </c>
      <c r="I3269">
        <v>223.51609999999999</v>
      </c>
      <c r="J3269">
        <v>-491.56099999999998</v>
      </c>
      <c r="K3269">
        <v>1.1129720000000001</v>
      </c>
      <c r="L3269">
        <v>231.46780000000001</v>
      </c>
      <c r="M3269">
        <v>0.40585710000000003</v>
      </c>
      <c r="N3269">
        <v>0</v>
      </c>
      <c r="O3269">
        <v>-0.91381279999999998</v>
      </c>
      <c r="P3269">
        <v>0.50648899999999997</v>
      </c>
      <c r="Q3269">
        <v>6.4995900000000004E-3</v>
      </c>
      <c r="R3269">
        <v>-0.86222199999999904</v>
      </c>
      <c r="S3269">
        <v>2.1047060000000002</v>
      </c>
      <c r="T3269">
        <v>-0.30849870000000001</v>
      </c>
      <c r="U3269">
        <v>-2.2495569999999998</v>
      </c>
      <c r="V3269">
        <v>-0.11304500000000001</v>
      </c>
      <c r="W3269">
        <v>2.0722640000000001E-2</v>
      </c>
      <c r="X3269">
        <v>0.99337379999999997</v>
      </c>
      <c r="Y3269">
        <v>-0.324461</v>
      </c>
      <c r="Z3269">
        <v>9.7869410000000004E-2</v>
      </c>
      <c r="AA3269">
        <v>0.9408223</v>
      </c>
      <c r="AB3269">
        <v>19</v>
      </c>
      <c r="AC3269">
        <v>7.5147000000000004</v>
      </c>
      <c r="AD3269">
        <v>-1.11296856765699</v>
      </c>
      <c r="AE3269">
        <v>-7.9517000000000104</v>
      </c>
      <c r="AF3269">
        <v>-3.60290277217252</v>
      </c>
      <c r="AG3269">
        <v>-1.11296856765699</v>
      </c>
      <c r="AH3269">
        <v>10.2117517669358</v>
      </c>
      <c r="AI3269">
        <v>95.8682262710564</v>
      </c>
      <c r="AJ3269">
        <v>109.433823399085</v>
      </c>
      <c r="AK3269">
        <v>10.885746716134699</v>
      </c>
      <c r="AL3269">
        <v>88.812595256336493</v>
      </c>
      <c r="AM3269">
        <v>96.492276233919199</v>
      </c>
      <c r="AN3269">
        <v>1.00000005318</v>
      </c>
    </row>
    <row r="3270" spans="1:40" x14ac:dyDescent="0.25">
      <c r="A3270" t="str">
        <f>"20190312160703060"</f>
        <v>20190312160703060</v>
      </c>
      <c r="B3270" t="str">
        <f>"1552378023048668"</f>
        <v>1552378023048668</v>
      </c>
      <c r="C3270" t="s">
        <v>40</v>
      </c>
      <c r="D3270">
        <v>6.0998199999999896</v>
      </c>
      <c r="E3270">
        <v>0.4132768</v>
      </c>
      <c r="F3270" t="s">
        <v>61</v>
      </c>
      <c r="G3270">
        <v>-483.82859999999999</v>
      </c>
      <c r="H3270" s="1">
        <v>3.3123699999999998E-6</v>
      </c>
      <c r="I3270">
        <v>223.28469999999999</v>
      </c>
      <c r="J3270">
        <v>-491.47039999999998</v>
      </c>
      <c r="K3270">
        <v>1.112954</v>
      </c>
      <c r="L3270">
        <v>231.28129999999999</v>
      </c>
      <c r="M3270">
        <v>0.41116439999999999</v>
      </c>
      <c r="N3270">
        <v>0</v>
      </c>
      <c r="O3270">
        <v>-0.91143730000000001</v>
      </c>
      <c r="P3270">
        <v>0.5117737</v>
      </c>
      <c r="Q3270">
        <v>6.2235370000000003E-3</v>
      </c>
      <c r="R3270">
        <v>-0.85909799999999903</v>
      </c>
      <c r="S3270">
        <v>2.1156009999999998</v>
      </c>
      <c r="T3270">
        <v>-0.30451119999999998</v>
      </c>
      <c r="U3270">
        <v>-2.2389220000000001</v>
      </c>
      <c r="V3270">
        <v>-0.1133649</v>
      </c>
      <c r="W3270">
        <v>2.0440409999999999E-2</v>
      </c>
      <c r="X3270">
        <v>0.99334310000000003</v>
      </c>
      <c r="Y3270">
        <v>-0.32370979999999999</v>
      </c>
      <c r="Z3270">
        <v>9.6462000000000006E-2</v>
      </c>
      <c r="AA3270">
        <v>0.94122640000000002</v>
      </c>
      <c r="AB3270">
        <v>19</v>
      </c>
      <c r="AC3270">
        <v>7.6417999999999804</v>
      </c>
      <c r="AD3270">
        <v>-1.1129506876299999</v>
      </c>
      <c r="AE3270">
        <v>-7.9965999999999999</v>
      </c>
      <c r="AF3270">
        <v>-3.6406598170889701</v>
      </c>
      <c r="AG3270">
        <v>-1.1129506876299999</v>
      </c>
      <c r="AH3270">
        <v>10.3270575349508</v>
      </c>
      <c r="AI3270">
        <v>95.803574301623399</v>
      </c>
      <c r="AJ3270">
        <v>109.419390091403</v>
      </c>
      <c r="AK3270">
        <v>11.0064154231542</v>
      </c>
      <c r="AL3270">
        <v>88.828769163307001</v>
      </c>
      <c r="AM3270">
        <v>96.510690347235595</v>
      </c>
      <c r="AN3270">
        <v>0.999999962615293</v>
      </c>
    </row>
    <row r="3271" spans="1:40" x14ac:dyDescent="0.25">
      <c r="A3271" t="str">
        <f>"20190312160703082"</f>
        <v>20190312160703082</v>
      </c>
      <c r="B3271" t="str">
        <f>"1552378023077949"</f>
        <v>1552378023077949</v>
      </c>
      <c r="C3271" t="s">
        <v>40</v>
      </c>
      <c r="D3271">
        <v>6.0423460000000002</v>
      </c>
      <c r="E3271">
        <v>0.4136705</v>
      </c>
      <c r="F3271" t="s">
        <v>61</v>
      </c>
      <c r="G3271">
        <v>-483.61250000000001</v>
      </c>
      <c r="H3271" s="1">
        <v>3.1942479999999999E-6</v>
      </c>
      <c r="I3271">
        <v>223.05799999999999</v>
      </c>
      <c r="J3271">
        <v>-491.392</v>
      </c>
      <c r="K3271">
        <v>1.1129309999999999</v>
      </c>
      <c r="L3271">
        <v>231.12200000000001</v>
      </c>
      <c r="M3271">
        <v>0.41570200000000002</v>
      </c>
      <c r="N3271">
        <v>0</v>
      </c>
      <c r="O3271">
        <v>-0.90937670000000004</v>
      </c>
      <c r="P3271">
        <v>0.51654960000000005</v>
      </c>
      <c r="Q3271">
        <v>5.670324E-3</v>
      </c>
      <c r="R3271">
        <v>-0.85623859999999996</v>
      </c>
      <c r="S3271">
        <v>2.1277469999999998</v>
      </c>
      <c r="T3271">
        <v>-0.30136220000000002</v>
      </c>
      <c r="U3271">
        <v>-2.2266849999999998</v>
      </c>
      <c r="V3271">
        <v>-0.11393979999999999</v>
      </c>
      <c r="W3271">
        <v>1.9879770000000001E-2</v>
      </c>
      <c r="X3271">
        <v>0.99328879999999997</v>
      </c>
      <c r="Y3271">
        <v>-0.32433810000000002</v>
      </c>
      <c r="Z3271">
        <v>9.5375959999999996E-2</v>
      </c>
      <c r="AA3271">
        <v>0.94112070000000003</v>
      </c>
      <c r="AB3271">
        <v>19</v>
      </c>
      <c r="AC3271">
        <v>7.7794999999999801</v>
      </c>
      <c r="AD3271">
        <v>-1.11292780575199</v>
      </c>
      <c r="AE3271">
        <v>-8.0640000000000196</v>
      </c>
      <c r="AF3271">
        <v>-3.6863278601604499</v>
      </c>
      <c r="AG3271">
        <v>-1.11292780575199</v>
      </c>
      <c r="AH3271">
        <v>10.4651167653427</v>
      </c>
      <c r="AI3271">
        <v>95.7279188307635</v>
      </c>
      <c r="AJ3271">
        <v>109.404765954372</v>
      </c>
      <c r="AK3271">
        <v>11.1510667788184</v>
      </c>
      <c r="AL3271">
        <v>88.8608981133995</v>
      </c>
      <c r="AM3271">
        <v>96.543776564236893</v>
      </c>
      <c r="AN3271">
        <v>1.0000000617423599</v>
      </c>
    </row>
    <row r="3272" spans="1:40" x14ac:dyDescent="0.25">
      <c r="A3272" t="str">
        <f>"20190312160703103"</f>
        <v>20190312160703103</v>
      </c>
      <c r="B3272" t="str">
        <f>"1552378023098446"</f>
        <v>1552378023098446</v>
      </c>
      <c r="C3272" t="s">
        <v>40</v>
      </c>
      <c r="D3272">
        <v>6.0121010000000004</v>
      </c>
      <c r="E3272">
        <v>0.41416039999999998</v>
      </c>
      <c r="F3272" t="s">
        <v>61</v>
      </c>
      <c r="G3272">
        <v>-483.45420000000001</v>
      </c>
      <c r="H3272" s="1">
        <v>3.106791E-6</v>
      </c>
      <c r="I3272">
        <v>222.88900000000001</v>
      </c>
      <c r="J3272">
        <v>-491.3168</v>
      </c>
      <c r="K3272">
        <v>1.1129169999999999</v>
      </c>
      <c r="L3272">
        <v>230.97120000000001</v>
      </c>
      <c r="M3272">
        <v>0.41999609999999898</v>
      </c>
      <c r="N3272">
        <v>0</v>
      </c>
      <c r="O3272">
        <v>-0.90740160000000003</v>
      </c>
      <c r="P3272">
        <v>0.52069379999999998</v>
      </c>
      <c r="Q3272">
        <v>4.6830789999999997E-3</v>
      </c>
      <c r="R3272">
        <v>-0.85373089999999996</v>
      </c>
      <c r="S3272">
        <v>2.1370239999999998</v>
      </c>
      <c r="T3272">
        <v>-0.29962460000000002</v>
      </c>
      <c r="U3272">
        <v>-2.2164920000000001</v>
      </c>
      <c r="V3272">
        <v>-0.114049</v>
      </c>
      <c r="W3272">
        <v>1.8889079999999999E-2</v>
      </c>
      <c r="X3272">
        <v>0.99329559999999995</v>
      </c>
      <c r="Y3272">
        <v>-0.32411420000000002</v>
      </c>
      <c r="Z3272">
        <v>9.4732880000000005E-2</v>
      </c>
      <c r="AA3272">
        <v>0.94126279999999996</v>
      </c>
      <c r="AB3272">
        <v>19</v>
      </c>
      <c r="AC3272">
        <v>7.86259999999998</v>
      </c>
      <c r="AD3272">
        <v>-1.1129138932089999</v>
      </c>
      <c r="AE3272">
        <v>-8.0822000000000003</v>
      </c>
      <c r="AF3272">
        <v>-3.70437854618979</v>
      </c>
      <c r="AG3272">
        <v>-1.1129138932089999</v>
      </c>
      <c r="AH3272">
        <v>10.5346377907619</v>
      </c>
      <c r="AI3272">
        <v>95.691378865452293</v>
      </c>
      <c r="AJ3272">
        <v>109.373609911751</v>
      </c>
      <c r="AK3272">
        <v>11.2222810127762</v>
      </c>
      <c r="AL3272">
        <v>88.917671133931805</v>
      </c>
      <c r="AM3272">
        <v>96.549949201345896</v>
      </c>
      <c r="AN3272">
        <v>1.0000000603618</v>
      </c>
    </row>
    <row r="3273" spans="1:40" x14ac:dyDescent="0.25">
      <c r="A3273" t="str">
        <f>"20190312160703125"</f>
        <v>20190312160703125</v>
      </c>
      <c r="B3273" t="str">
        <f>"1552378023117965"</f>
        <v>1552378023117965</v>
      </c>
      <c r="C3273" t="s">
        <v>40</v>
      </c>
      <c r="D3273">
        <v>6.101356</v>
      </c>
      <c r="E3273">
        <v>0.41436780000000001</v>
      </c>
      <c r="F3273" t="s">
        <v>61</v>
      </c>
      <c r="G3273">
        <v>-483.45209999999997</v>
      </c>
      <c r="H3273" s="1">
        <v>3.1013350000000002E-6</v>
      </c>
      <c r="I3273">
        <v>222.87289999999999</v>
      </c>
      <c r="J3273">
        <v>-491.23259999999999</v>
      </c>
      <c r="K3273">
        <v>1.1129</v>
      </c>
      <c r="L3273">
        <v>230.80410000000001</v>
      </c>
      <c r="M3273">
        <v>0.42475970000000002</v>
      </c>
      <c r="N3273">
        <v>0</v>
      </c>
      <c r="O3273">
        <v>-0.90518169999999998</v>
      </c>
      <c r="P3273">
        <v>0.52490499999999995</v>
      </c>
      <c r="Q3273">
        <v>4.4082150000000001E-3</v>
      </c>
      <c r="R3273">
        <v>-0.85114959999999995</v>
      </c>
      <c r="S3273">
        <v>2.1442260000000002</v>
      </c>
      <c r="T3273">
        <v>-0.30342200000000003</v>
      </c>
      <c r="U3273">
        <v>-2.2079010000000001</v>
      </c>
      <c r="V3273">
        <v>-0.11373229999999999</v>
      </c>
      <c r="W3273">
        <v>1.8613520000000001E-2</v>
      </c>
      <c r="X3273">
        <v>0.99333700000000003</v>
      </c>
      <c r="Y3273">
        <v>-0.3224728</v>
      </c>
      <c r="Z3273">
        <v>9.5783320000000005E-2</v>
      </c>
      <c r="AA3273">
        <v>0.94172020000000001</v>
      </c>
      <c r="AB3273">
        <v>19</v>
      </c>
      <c r="AC3273">
        <v>7.7805000000000097</v>
      </c>
      <c r="AD3273">
        <v>-1.1128968986650001</v>
      </c>
      <c r="AE3273">
        <v>-7.9312000000000102</v>
      </c>
      <c r="AF3273">
        <v>-3.6378257798104499</v>
      </c>
      <c r="AG3273">
        <v>-1.1128968986650001</v>
      </c>
      <c r="AH3273">
        <v>10.381042648103699</v>
      </c>
      <c r="AI3273">
        <v>95.777100646393507</v>
      </c>
      <c r="AJ3273">
        <v>109.311977046259</v>
      </c>
      <c r="AK3273">
        <v>11.056145909541</v>
      </c>
      <c r="AL3273">
        <v>88.933462213943301</v>
      </c>
      <c r="AM3273">
        <v>96.531648318451602</v>
      </c>
      <c r="AN3273">
        <v>0.99999994737953801</v>
      </c>
    </row>
    <row r="3274" spans="1:40" x14ac:dyDescent="0.25">
      <c r="A3274" t="str">
        <f>"20190312160703147"</f>
        <v>20190312160703147</v>
      </c>
      <c r="B3274" t="str">
        <f>"1552378023138462"</f>
        <v>1552378023138462</v>
      </c>
      <c r="C3274" t="s">
        <v>40</v>
      </c>
      <c r="D3274">
        <v>5.9765519999999999</v>
      </c>
      <c r="E3274">
        <v>0.41384389999999999</v>
      </c>
      <c r="F3274" t="s">
        <v>61</v>
      </c>
      <c r="G3274">
        <v>-483.3587</v>
      </c>
      <c r="H3274" s="1">
        <v>3.0616020000000001E-6</v>
      </c>
      <c r="I3274">
        <v>222.7697</v>
      </c>
      <c r="J3274">
        <v>-491.1497</v>
      </c>
      <c r="K3274">
        <v>1.1128849999999999</v>
      </c>
      <c r="L3274">
        <v>230.6421</v>
      </c>
      <c r="M3274">
        <v>0.42938080000000001</v>
      </c>
      <c r="N3274">
        <v>0</v>
      </c>
      <c r="O3274">
        <v>-0.902999</v>
      </c>
      <c r="P3274">
        <v>0.52923430000000005</v>
      </c>
      <c r="Q3274">
        <v>4.0422180000000002E-3</v>
      </c>
      <c r="R3274">
        <v>-0.8484661</v>
      </c>
      <c r="S3274">
        <v>2.1539920000000001</v>
      </c>
      <c r="T3274">
        <v>-0.30444460000000001</v>
      </c>
      <c r="U3274">
        <v>-2.1979060000000001</v>
      </c>
      <c r="V3274">
        <v>-0.1137117</v>
      </c>
      <c r="W3274">
        <v>1.8244989999999999E-2</v>
      </c>
      <c r="X3274">
        <v>0.99334630000000002</v>
      </c>
      <c r="Y3274">
        <v>-0.32189430000000002</v>
      </c>
      <c r="Z3274">
        <v>9.5961920000000006E-2</v>
      </c>
      <c r="AA3274">
        <v>0.94189990000000001</v>
      </c>
      <c r="AB3274">
        <v>19</v>
      </c>
      <c r="AC3274">
        <v>7.7909999999999897</v>
      </c>
      <c r="AD3274">
        <v>-1.112881938398</v>
      </c>
      <c r="AE3274">
        <v>-7.8723999999999901</v>
      </c>
      <c r="AF3274">
        <v>-3.6188831110409998</v>
      </c>
      <c r="AG3274">
        <v>-1.112881938398</v>
      </c>
      <c r="AH3274">
        <v>10.3507510918772</v>
      </c>
      <c r="AI3274">
        <v>95.795258977778204</v>
      </c>
      <c r="AJ3274">
        <v>109.270911536377</v>
      </c>
      <c r="AK3274">
        <v>11.0214731023665</v>
      </c>
      <c r="AL3274">
        <v>88.954581123862297</v>
      </c>
      <c r="AM3274">
        <v>96.530414868375203</v>
      </c>
      <c r="AN3274">
        <v>1.00000005105033</v>
      </c>
    </row>
    <row r="3275" spans="1:40" x14ac:dyDescent="0.25">
      <c r="A3275" t="str">
        <f>"20190312160703169"</f>
        <v>20190312160703169</v>
      </c>
      <c r="B3275" t="str">
        <f>"1552378023157980"</f>
        <v>1552378023157980</v>
      </c>
      <c r="C3275" t="s">
        <v>40</v>
      </c>
      <c r="D3275">
        <v>5.9514620000000003</v>
      </c>
      <c r="E3275">
        <v>0.38046229999999998</v>
      </c>
      <c r="F3275" t="s">
        <v>61</v>
      </c>
      <c r="G3275">
        <v>-483.37990000000002</v>
      </c>
      <c r="H3275" s="1">
        <v>3.0753340000000001E-6</v>
      </c>
      <c r="I3275">
        <v>222.81469999999999</v>
      </c>
      <c r="J3275">
        <v>-491.0684</v>
      </c>
      <c r="K3275">
        <v>1.112868</v>
      </c>
      <c r="L3275">
        <v>230.4847</v>
      </c>
      <c r="M3275">
        <v>0.43386859999999999</v>
      </c>
      <c r="N3275">
        <v>0</v>
      </c>
      <c r="O3275">
        <v>-0.90085119999999996</v>
      </c>
      <c r="P3275">
        <v>0.53295159999999997</v>
      </c>
      <c r="Q3275">
        <v>3.1577110000000001E-3</v>
      </c>
      <c r="R3275">
        <v>-0.8461398</v>
      </c>
      <c r="S3275">
        <v>2.1685490000000001</v>
      </c>
      <c r="T3275">
        <v>-0.31060460000000001</v>
      </c>
      <c r="U3275">
        <v>-2.1846009999999998</v>
      </c>
      <c r="V3275">
        <v>-0.1131195</v>
      </c>
      <c r="W3275">
        <v>1.7362019999999999E-2</v>
      </c>
      <c r="X3275">
        <v>0.99342969999999997</v>
      </c>
      <c r="Y3275">
        <v>-0.32307920000000001</v>
      </c>
      <c r="Z3275">
        <v>9.7751299999999999E-2</v>
      </c>
      <c r="AA3275">
        <v>0.94130999999999998</v>
      </c>
      <c r="AB3275">
        <v>19</v>
      </c>
      <c r="AC3275">
        <v>7.6884999999999701</v>
      </c>
      <c r="AD3275">
        <v>-1.1128649246660001</v>
      </c>
      <c r="AE3275">
        <v>-7.6700000000000097</v>
      </c>
      <c r="AF3275">
        <v>-3.5614300833451602</v>
      </c>
      <c r="AG3275">
        <v>-1.1128649246660001</v>
      </c>
      <c r="AH3275">
        <v>10.140004259811001</v>
      </c>
      <c r="AI3275">
        <v>95.911837884467104</v>
      </c>
      <c r="AJ3275">
        <v>109.352585656957</v>
      </c>
      <c r="AK3275">
        <v>10.8047183659775</v>
      </c>
      <c r="AL3275">
        <v>89.005179561027205</v>
      </c>
      <c r="AM3275">
        <v>96.496155838429701</v>
      </c>
      <c r="AN3275">
        <v>1.00000001493041</v>
      </c>
    </row>
    <row r="3276" spans="1:40" x14ac:dyDescent="0.25">
      <c r="A3276" t="str">
        <f>"20190312160703193"</f>
        <v>20190312160703193</v>
      </c>
      <c r="B3276" t="str">
        <f>"1552378023188237"</f>
        <v>1552378023188237</v>
      </c>
      <c r="C3276" t="s">
        <v>40</v>
      </c>
      <c r="D3276">
        <v>5.9064680000000003</v>
      </c>
      <c r="E3276">
        <v>0.38082870000000002</v>
      </c>
      <c r="F3276" t="s">
        <v>61</v>
      </c>
      <c r="G3276">
        <v>-483.10500000000002</v>
      </c>
      <c r="H3276" s="1">
        <v>3.295222E-6</v>
      </c>
      <c r="I3276">
        <v>223.74719999999999</v>
      </c>
      <c r="J3276">
        <v>-490.98360000000002</v>
      </c>
      <c r="K3276">
        <v>1.112851</v>
      </c>
      <c r="L3276">
        <v>230.3229</v>
      </c>
      <c r="M3276">
        <v>0.43848599999999999</v>
      </c>
      <c r="N3276">
        <v>0</v>
      </c>
      <c r="O3276">
        <v>-0.89861309999999905</v>
      </c>
      <c r="P3276">
        <v>0.53664899999999904</v>
      </c>
      <c r="Q3276">
        <v>2.3911200000000001E-3</v>
      </c>
      <c r="R3276">
        <v>-0.84380259999999996</v>
      </c>
      <c r="S3276">
        <v>2.4030459999999998</v>
      </c>
      <c r="T3276">
        <v>-0.33582079999999997</v>
      </c>
      <c r="U3276">
        <v>-2.0331269999999999</v>
      </c>
      <c r="V3276">
        <v>-0.11236160000000001</v>
      </c>
      <c r="W3276">
        <v>1.6598249999999998E-2</v>
      </c>
      <c r="X3276">
        <v>0.99352870000000004</v>
      </c>
      <c r="Y3276">
        <v>-0.39825100000000002</v>
      </c>
      <c r="Z3276">
        <v>0.1050958</v>
      </c>
      <c r="AA3276">
        <v>0.91123600000000005</v>
      </c>
      <c r="AB3276">
        <v>18</v>
      </c>
      <c r="AC3276">
        <v>7.8785999999999996</v>
      </c>
      <c r="AD3276">
        <v>-1.1128477047779901</v>
      </c>
      <c r="AE3276">
        <v>-6.5757000000000101</v>
      </c>
      <c r="AF3276">
        <v>-4.1481513213791903</v>
      </c>
      <c r="AG3276">
        <v>-1.1128477047779901</v>
      </c>
      <c r="AH3276">
        <v>9.2558718814461898</v>
      </c>
      <c r="AI3276">
        <v>96.261275294738198</v>
      </c>
      <c r="AJ3276">
        <v>114.140219151944</v>
      </c>
      <c r="AK3276">
        <v>10.2037617418693</v>
      </c>
      <c r="AL3276">
        <v>89.048946611405697</v>
      </c>
      <c r="AM3276">
        <v>96.452362394476495</v>
      </c>
      <c r="AN3276">
        <v>0.99999995439065503</v>
      </c>
    </row>
    <row r="3277" spans="1:40" x14ac:dyDescent="0.25">
      <c r="A3277" t="str">
        <f>"20190312160703213"</f>
        <v>20190312160703213</v>
      </c>
      <c r="B3277" t="str">
        <f>"1552378023208732"</f>
        <v>1552378023208732</v>
      </c>
      <c r="C3277" t="s">
        <v>40</v>
      </c>
      <c r="D3277">
        <v>5.8748259999999997</v>
      </c>
      <c r="E3277">
        <v>0.3814439</v>
      </c>
      <c r="F3277" t="s">
        <v>61</v>
      </c>
      <c r="G3277">
        <v>-482.91480000000001</v>
      </c>
      <c r="H3277" s="1">
        <v>3.1908290000000002E-6</v>
      </c>
      <c r="I3277">
        <v>223.54640000000001</v>
      </c>
      <c r="J3277">
        <v>-490.8999</v>
      </c>
      <c r="K3277">
        <v>1.112838</v>
      </c>
      <c r="L3277">
        <v>230.16499999999999</v>
      </c>
      <c r="M3277">
        <v>0.44299169999999999</v>
      </c>
      <c r="N3277">
        <v>0</v>
      </c>
      <c r="O3277">
        <v>-0.89640039999999999</v>
      </c>
      <c r="P3277">
        <v>0.54036509999999904</v>
      </c>
      <c r="Q3277">
        <v>2.012823E-3</v>
      </c>
      <c r="R3277">
        <v>-0.84142839999999997</v>
      </c>
      <c r="S3277">
        <v>2.4096980000000001</v>
      </c>
      <c r="T3277">
        <v>-0.33234259999999999</v>
      </c>
      <c r="U3277">
        <v>-2.0237430000000001</v>
      </c>
      <c r="V3277">
        <v>-0.11175209999999999</v>
      </c>
      <c r="W3277">
        <v>1.6221590000000001E-2</v>
      </c>
      <c r="X3277">
        <v>0.99360369999999998</v>
      </c>
      <c r="Y3277">
        <v>-0.39707039999999999</v>
      </c>
      <c r="Z3277">
        <v>0.1038849</v>
      </c>
      <c r="AA3277">
        <v>0.91188979999999997</v>
      </c>
      <c r="AB3277">
        <v>18</v>
      </c>
      <c r="AC3277">
        <v>7.9850999999999797</v>
      </c>
      <c r="AD3277">
        <v>-1.1128348091710001</v>
      </c>
      <c r="AE3277">
        <v>-6.6185999999999803</v>
      </c>
      <c r="AF3277">
        <v>-4.1782337590153</v>
      </c>
      <c r="AG3277">
        <v>-1.1128348091710001</v>
      </c>
      <c r="AH3277">
        <v>9.3635128564848404</v>
      </c>
      <c r="AI3277">
        <v>96.194227994723704</v>
      </c>
      <c r="AJ3277">
        <v>114.04762440502699</v>
      </c>
      <c r="AK3277">
        <v>10.3136517136771</v>
      </c>
      <c r="AL3277">
        <v>89.070530582332907</v>
      </c>
      <c r="AM3277">
        <v>96.417174286769097</v>
      </c>
      <c r="AN3277">
        <v>0.99999999224511404</v>
      </c>
    </row>
    <row r="3278" spans="1:40" x14ac:dyDescent="0.25">
      <c r="A3278" t="str">
        <f>"20190312160703238"</f>
        <v>20190312160703238</v>
      </c>
      <c r="B3278" t="str">
        <f>"1552378023228253"</f>
        <v>1552378023228253</v>
      </c>
      <c r="C3278" t="s">
        <v>40</v>
      </c>
      <c r="D3278">
        <v>5.7926859999999998</v>
      </c>
      <c r="E3278">
        <v>0.38196239999999998</v>
      </c>
      <c r="F3278" t="s">
        <v>61</v>
      </c>
      <c r="G3278">
        <v>-482.95319999999998</v>
      </c>
      <c r="H3278" s="1">
        <v>3.1943399999999999E-6</v>
      </c>
      <c r="I3278">
        <v>223.53020000000001</v>
      </c>
      <c r="J3278">
        <v>-490.80869999999999</v>
      </c>
      <c r="K3278">
        <v>1.1128199999999999</v>
      </c>
      <c r="L3278">
        <v>229.99539999999999</v>
      </c>
      <c r="M3278">
        <v>0.44783499999999998</v>
      </c>
      <c r="N3278">
        <v>0</v>
      </c>
      <c r="O3278">
        <v>-0.89399079999999997</v>
      </c>
      <c r="P3278">
        <v>0.54495649999999995</v>
      </c>
      <c r="Q3278">
        <v>1.6222179999999999E-3</v>
      </c>
      <c r="R3278">
        <v>-0.83846270000000001</v>
      </c>
      <c r="S3278">
        <v>2.4142760000000001</v>
      </c>
      <c r="T3278">
        <v>-0.33808909999999998</v>
      </c>
      <c r="U3278">
        <v>-2.015717</v>
      </c>
      <c r="V3278">
        <v>-0.111804399999999</v>
      </c>
      <c r="W3278">
        <v>1.5827770000000001E-2</v>
      </c>
      <c r="X3278">
        <v>0.99360420000000005</v>
      </c>
      <c r="Y3278">
        <v>-0.39459529999999998</v>
      </c>
      <c r="Z3278">
        <v>0.1055022</v>
      </c>
      <c r="AA3278">
        <v>0.91277810000000004</v>
      </c>
      <c r="AB3278">
        <v>18</v>
      </c>
      <c r="AC3278">
        <v>7.8555000000000001</v>
      </c>
      <c r="AD3278">
        <v>-1.1128168056600001</v>
      </c>
      <c r="AE3278">
        <v>-6.4651999999999799</v>
      </c>
      <c r="AF3278">
        <v>-4.0790630533869301</v>
      </c>
      <c r="AG3278">
        <v>-1.1128168056600001</v>
      </c>
      <c r="AH3278">
        <v>9.1889042837995198</v>
      </c>
      <c r="AI3278">
        <v>96.316270737379995</v>
      </c>
      <c r="AJ3278">
        <v>113.93699966802799</v>
      </c>
      <c r="AK3278">
        <v>10.114992761900201</v>
      </c>
      <c r="AL3278">
        <v>89.093097733229001</v>
      </c>
      <c r="AM3278">
        <v>96.420149251629894</v>
      </c>
      <c r="AN3278">
        <v>1.0000000242100799</v>
      </c>
    </row>
    <row r="3279" spans="1:40" x14ac:dyDescent="0.25">
      <c r="A3279" t="str">
        <f>"20190312160703261"</f>
        <v>20190312160703261</v>
      </c>
      <c r="B3279" t="str">
        <f>"1552378023258508"</f>
        <v>1552378023258508</v>
      </c>
      <c r="C3279" t="s">
        <v>40</v>
      </c>
      <c r="D3279">
        <v>5.802765</v>
      </c>
      <c r="E3279">
        <v>0.38230019999999998</v>
      </c>
      <c r="F3279" t="s">
        <v>61</v>
      </c>
      <c r="G3279">
        <v>-482.971</v>
      </c>
      <c r="H3279" s="1">
        <v>3.1911860000000001E-6</v>
      </c>
      <c r="I3279">
        <v>223.50729999999999</v>
      </c>
      <c r="J3279">
        <v>-490.71809999999999</v>
      </c>
      <c r="K3279">
        <v>1.112795</v>
      </c>
      <c r="L3279">
        <v>229.8289</v>
      </c>
      <c r="M3279">
        <v>0.45259349999999998</v>
      </c>
      <c r="N3279">
        <v>0</v>
      </c>
      <c r="O3279">
        <v>-0.89159140000000003</v>
      </c>
      <c r="P3279">
        <v>0.54949559999999997</v>
      </c>
      <c r="Q3279">
        <v>1.016463E-3</v>
      </c>
      <c r="R3279">
        <v>-0.83549629999999997</v>
      </c>
      <c r="S3279">
        <v>2.4216920000000002</v>
      </c>
      <c r="T3279">
        <v>-0.34383609999999998</v>
      </c>
      <c r="U3279">
        <v>-2.0046840000000001</v>
      </c>
      <c r="V3279">
        <v>-0.1118922</v>
      </c>
      <c r="W3279">
        <v>1.5217970000000001E-2</v>
      </c>
      <c r="X3279">
        <v>0.99360380000000004</v>
      </c>
      <c r="Y3279">
        <v>-0.39338830000000002</v>
      </c>
      <c r="Z3279">
        <v>0.1071368</v>
      </c>
      <c r="AA3279">
        <v>0.91310860000000005</v>
      </c>
      <c r="AB3279">
        <v>18</v>
      </c>
      <c r="AC3279">
        <v>7.7470999999999801</v>
      </c>
      <c r="AD3279">
        <v>-1.1127918088140001</v>
      </c>
      <c r="AE3279">
        <v>-6.3216000000000099</v>
      </c>
      <c r="AF3279">
        <v>-3.9970798309813702</v>
      </c>
      <c r="AG3279">
        <v>-1.1127918088140001</v>
      </c>
      <c r="AH3279">
        <v>9.0317323630895192</v>
      </c>
      <c r="AI3279">
        <v>96.428325521743304</v>
      </c>
      <c r="AJ3279">
        <v>113.872245508003</v>
      </c>
      <c r="AK3279">
        <v>9.9391721115734892</v>
      </c>
      <c r="AL3279">
        <v>89.128040871967301</v>
      </c>
      <c r="AM3279">
        <v>96.425151414686397</v>
      </c>
      <c r="AN3279">
        <v>0.99999998120309996</v>
      </c>
    </row>
    <row r="3280" spans="1:40" x14ac:dyDescent="0.25">
      <c r="A3280" t="str">
        <f>"20190312160703282"</f>
        <v>20190312160703282</v>
      </c>
      <c r="B3280" t="str">
        <f>"1552378023278031"</f>
        <v>1552378023278031</v>
      </c>
      <c r="C3280" t="s">
        <v>40</v>
      </c>
      <c r="D3280">
        <v>5.2111539999999996</v>
      </c>
      <c r="E3280">
        <v>0.38278210000000001</v>
      </c>
      <c r="F3280" t="s">
        <v>61</v>
      </c>
      <c r="G3280">
        <v>-482.846</v>
      </c>
      <c r="H3280" s="1">
        <v>3.1220290000000001E-6</v>
      </c>
      <c r="I3280">
        <v>223.37350000000001</v>
      </c>
      <c r="J3280">
        <v>-490.63650000000001</v>
      </c>
      <c r="K3280">
        <v>1.1127819999999999</v>
      </c>
      <c r="L3280">
        <v>229.6808</v>
      </c>
      <c r="M3280">
        <v>0.4568258</v>
      </c>
      <c r="N3280">
        <v>0</v>
      </c>
      <c r="O3280">
        <v>-0.88943030000000001</v>
      </c>
      <c r="P3280">
        <v>0.55364659999999999</v>
      </c>
      <c r="Q3280">
        <v>2.417543E-4</v>
      </c>
      <c r="R3280">
        <v>-0.83275189999999999</v>
      </c>
      <c r="S3280">
        <v>2.4301759999999999</v>
      </c>
      <c r="T3280">
        <v>-0.34352830000000001</v>
      </c>
      <c r="U3280">
        <v>-1.9928129999999999</v>
      </c>
      <c r="V3280">
        <v>-0.1121095</v>
      </c>
      <c r="W3280">
        <v>1.443795E-2</v>
      </c>
      <c r="X3280">
        <v>0.993591</v>
      </c>
      <c r="Y3280">
        <v>-0.3932658</v>
      </c>
      <c r="Z3280">
        <v>0.106933</v>
      </c>
      <c r="AA3280">
        <v>0.91318529999999998</v>
      </c>
      <c r="AB3280">
        <v>18</v>
      </c>
      <c r="AC3280">
        <v>7.7904999999999998</v>
      </c>
      <c r="AD3280">
        <v>-1.1127788779709999</v>
      </c>
      <c r="AE3280">
        <v>-6.3072999999999899</v>
      </c>
      <c r="AF3280">
        <v>-3.9989383117840802</v>
      </c>
      <c r="AG3280">
        <v>-1.1127788779709999</v>
      </c>
      <c r="AH3280">
        <v>9.0581954195947407</v>
      </c>
      <c r="AI3280">
        <v>96.412185256221505</v>
      </c>
      <c r="AJ3280">
        <v>113.82010873563399</v>
      </c>
      <c r="AK3280">
        <v>9.9639695258606693</v>
      </c>
      <c r="AL3280">
        <v>89.172737686222405</v>
      </c>
      <c r="AM3280">
        <v>96.437606953043002</v>
      </c>
      <c r="AN3280">
        <v>1.0000000348357201</v>
      </c>
    </row>
    <row r="3281" spans="1:40" x14ac:dyDescent="0.25">
      <c r="A3281" t="str">
        <f>"20190312160703349"</f>
        <v>20190312160703349</v>
      </c>
      <c r="B3281" t="str">
        <f>"1552378023338540"</f>
        <v>1552378023338540</v>
      </c>
      <c r="C3281" t="s">
        <v>40</v>
      </c>
      <c r="D3281">
        <v>4.5228599999999997</v>
      </c>
      <c r="E3281">
        <v>0.38127290000000003</v>
      </c>
      <c r="F3281" t="s">
        <v>61</v>
      </c>
      <c r="G3281">
        <v>-482.88679999999999</v>
      </c>
      <c r="H3281" s="1">
        <v>3.1313360000000001E-6</v>
      </c>
      <c r="I3281">
        <v>223.37440000000001</v>
      </c>
      <c r="J3281">
        <v>-490.37459999999999</v>
      </c>
      <c r="K3281">
        <v>1.1127389999999999</v>
      </c>
      <c r="L3281">
        <v>229.21600000000001</v>
      </c>
      <c r="M3281">
        <v>0.47011910000000001</v>
      </c>
      <c r="N3281">
        <v>0</v>
      </c>
      <c r="O3281">
        <v>-0.88247659999999895</v>
      </c>
      <c r="P3281">
        <v>0.56649769999999999</v>
      </c>
      <c r="Q3281">
        <v>-1.3049239999999901E-3</v>
      </c>
      <c r="R3281">
        <v>-0.82406250000000003</v>
      </c>
      <c r="S3281">
        <v>2.4365540000000001</v>
      </c>
      <c r="T3281">
        <v>-0.3498656</v>
      </c>
      <c r="U3281">
        <v>-1.9827729999999999</v>
      </c>
      <c r="V3281">
        <v>-0.1126041</v>
      </c>
      <c r="W3281">
        <v>1.287836E-2</v>
      </c>
      <c r="X3281">
        <v>0.99355640000000001</v>
      </c>
      <c r="Y3281">
        <v>-0.38275619999999999</v>
      </c>
      <c r="Z3281">
        <v>0.1081598</v>
      </c>
      <c r="AA3281">
        <v>0.91749610000000004</v>
      </c>
      <c r="AB3281">
        <v>18</v>
      </c>
      <c r="AC3281">
        <v>7.4877999999999902</v>
      </c>
      <c r="AD3281">
        <v>-1.1127358686640001</v>
      </c>
      <c r="AE3281">
        <v>-5.8415999999999704</v>
      </c>
      <c r="AF3281">
        <v>-3.8096905190654899</v>
      </c>
      <c r="AG3281">
        <v>-1.1127358686640001</v>
      </c>
      <c r="AH3281">
        <v>8.5587038891220502</v>
      </c>
      <c r="AI3281">
        <v>96.773664974156802</v>
      </c>
      <c r="AJ3281">
        <v>113.995027635897</v>
      </c>
      <c r="AK3281">
        <v>9.4341578970325699</v>
      </c>
      <c r="AL3281">
        <v>89.262103873723305</v>
      </c>
      <c r="AM3281">
        <v>96.465991388342403</v>
      </c>
      <c r="AN3281">
        <v>0.99999992773702695</v>
      </c>
    </row>
    <row r="3282" spans="1:40" x14ac:dyDescent="0.25">
      <c r="A3282" t="str">
        <f>"20190312160703392"</f>
        <v>20190312160703392</v>
      </c>
      <c r="B3282" t="str">
        <f>"1552378023388595"</f>
        <v>1552378023388595</v>
      </c>
      <c r="C3282" t="s">
        <v>40</v>
      </c>
      <c r="D3282">
        <v>5.3054430000000004</v>
      </c>
      <c r="E3282">
        <v>0.3769573</v>
      </c>
      <c r="F3282" t="s">
        <v>61</v>
      </c>
      <c r="G3282">
        <v>-482.78859999999997</v>
      </c>
      <c r="H3282" s="1">
        <v>3.0806350000000001E-6</v>
      </c>
      <c r="I3282">
        <v>223.28100000000001</v>
      </c>
      <c r="J3282">
        <v>-490.20119999999997</v>
      </c>
      <c r="K3282">
        <v>1.1127089999999999</v>
      </c>
      <c r="L3282">
        <v>228.9171</v>
      </c>
      <c r="M3282">
        <v>0.47867389999999999</v>
      </c>
      <c r="N3282">
        <v>0</v>
      </c>
      <c r="O3282">
        <v>-0.87786589999999998</v>
      </c>
      <c r="P3282">
        <v>0.57401650000000004</v>
      </c>
      <c r="Q3282">
        <v>-1.1465500000000001E-3</v>
      </c>
      <c r="R3282">
        <v>-0.81884309999999905</v>
      </c>
      <c r="S3282">
        <v>2.4765009999999998</v>
      </c>
      <c r="T3282">
        <v>-0.36326039999999998</v>
      </c>
      <c r="U3282">
        <v>-1.9375</v>
      </c>
      <c r="V3282">
        <v>-0.1120415</v>
      </c>
      <c r="W3282">
        <v>1.303523E-2</v>
      </c>
      <c r="X3282">
        <v>0.993618</v>
      </c>
      <c r="Y3282">
        <v>-0.39098739999999998</v>
      </c>
      <c r="Z3282">
        <v>0.11207739999999999</v>
      </c>
      <c r="AA3282">
        <v>0.91354669999999905</v>
      </c>
      <c r="AB3282">
        <v>18</v>
      </c>
      <c r="AC3282">
        <v>7.4125999999999896</v>
      </c>
      <c r="AD3282">
        <v>-1.112705919365</v>
      </c>
      <c r="AE3282">
        <v>-5.6361000000000203</v>
      </c>
      <c r="AF3282">
        <v>-3.7562064550218799</v>
      </c>
      <c r="AG3282">
        <v>-1.112705919365</v>
      </c>
      <c r="AH3282">
        <v>8.37729008239066</v>
      </c>
      <c r="AI3282">
        <v>96.910459290237299</v>
      </c>
      <c r="AJ3282">
        <v>114.15049369339199</v>
      </c>
      <c r="AK3282">
        <v>9.2480371171540394</v>
      </c>
      <c r="AL3282">
        <v>89.253115162977195</v>
      </c>
      <c r="AM3282">
        <v>96.433561613096501</v>
      </c>
      <c r="AN3282">
        <v>0.99999997243370098</v>
      </c>
    </row>
    <row r="3283" spans="1:40" x14ac:dyDescent="0.25">
      <c r="A3283" t="str">
        <f>"20190312160703417"</f>
        <v>20190312160703417</v>
      </c>
      <c r="B3283" t="str">
        <f>"1552378023408114"</f>
        <v>1552378023408114</v>
      </c>
      <c r="C3283" t="s">
        <v>40</v>
      </c>
      <c r="D3283">
        <v>5.6331689999999996</v>
      </c>
      <c r="E3283">
        <v>0.37725019999999998</v>
      </c>
      <c r="F3283" t="s">
        <v>61</v>
      </c>
      <c r="G3283">
        <v>-482.18290000000002</v>
      </c>
      <c r="H3283" s="1">
        <v>2.8803530000000002E-6</v>
      </c>
      <c r="I3283">
        <v>222.89320000000001</v>
      </c>
      <c r="J3283">
        <v>-490.09930000000003</v>
      </c>
      <c r="K3283">
        <v>1.112689</v>
      </c>
      <c r="L3283">
        <v>228.74440000000001</v>
      </c>
      <c r="M3283">
        <v>0.48362189999999999</v>
      </c>
      <c r="N3283">
        <v>0</v>
      </c>
      <c r="O3283">
        <v>-0.87514979999999998</v>
      </c>
      <c r="P3283">
        <v>0.57861499999999999</v>
      </c>
      <c r="Q3283">
        <v>-1.124314E-3</v>
      </c>
      <c r="R3283">
        <v>-0.81560029999999994</v>
      </c>
      <c r="S3283">
        <v>2.5224000000000002</v>
      </c>
      <c r="T3283">
        <v>-0.35003479999999998</v>
      </c>
      <c r="U3283">
        <v>-1.894989</v>
      </c>
      <c r="V3283">
        <v>-0.112023</v>
      </c>
      <c r="W3283">
        <v>1.305335E-2</v>
      </c>
      <c r="X3283">
        <v>0.9936199</v>
      </c>
      <c r="Y3283">
        <v>-0.4040591</v>
      </c>
      <c r="Z3283">
        <v>0.107893</v>
      </c>
      <c r="AA3283">
        <v>0.90834749999999997</v>
      </c>
      <c r="AB3283">
        <v>18</v>
      </c>
      <c r="AC3283">
        <v>7.9164000000000003</v>
      </c>
      <c r="AD3283">
        <v>-1.1126861196469999</v>
      </c>
      <c r="AE3283">
        <v>-5.8512000000000004</v>
      </c>
      <c r="AF3283">
        <v>-4.0470190783052402</v>
      </c>
      <c r="AG3283">
        <v>-1.1126861196469999</v>
      </c>
      <c r="AH3283">
        <v>8.8373119963791407</v>
      </c>
      <c r="AI3283">
        <v>96.530510586726294</v>
      </c>
      <c r="AJ3283">
        <v>114.605261838792</v>
      </c>
      <c r="AK3283">
        <v>9.7833796380580296</v>
      </c>
      <c r="AL3283">
        <v>89.252076913712202</v>
      </c>
      <c r="AM3283">
        <v>96.432496027539699</v>
      </c>
      <c r="AN3283">
        <v>1.00000002407561</v>
      </c>
    </row>
    <row r="3284" spans="1:40" x14ac:dyDescent="0.25">
      <c r="A3284" t="str">
        <f>"20190312160703438"</f>
        <v>20190312160703438</v>
      </c>
      <c r="B3284" t="str">
        <f>"1552378023428627"</f>
        <v>1552378023428627</v>
      </c>
      <c r="C3284" t="s">
        <v>40</v>
      </c>
      <c r="D3284">
        <v>5.6196830000000002</v>
      </c>
      <c r="E3284">
        <v>0.37657770000000002</v>
      </c>
      <c r="F3284" t="s">
        <v>61</v>
      </c>
      <c r="G3284">
        <v>-482.03660000000002</v>
      </c>
      <c r="H3284" s="1">
        <v>2.8225850000000001E-6</v>
      </c>
      <c r="I3284">
        <v>222.74930000000001</v>
      </c>
      <c r="J3284">
        <v>-490.01670000000001</v>
      </c>
      <c r="K3284">
        <v>1.1126769999999999</v>
      </c>
      <c r="L3284">
        <v>228.6061</v>
      </c>
      <c r="M3284">
        <v>0.48758600000000002</v>
      </c>
      <c r="N3284">
        <v>0</v>
      </c>
      <c r="O3284">
        <v>-0.87294760000000005</v>
      </c>
      <c r="P3284">
        <v>0.5816675</v>
      </c>
      <c r="Q3284">
        <v>-1.6426639999999901E-3</v>
      </c>
      <c r="R3284">
        <v>-0.81342510000000001</v>
      </c>
      <c r="S3284">
        <v>2.5311889999999999</v>
      </c>
      <c r="T3284">
        <v>-0.34931469999999998</v>
      </c>
      <c r="U3284">
        <v>-1.8820650000000001</v>
      </c>
      <c r="V3284">
        <v>-0.11123719999999999</v>
      </c>
      <c r="W3284">
        <v>1.2537929999999999E-2</v>
      </c>
      <c r="X3284">
        <v>0.99371480000000001</v>
      </c>
      <c r="Y3284">
        <v>-0.40443839999999998</v>
      </c>
      <c r="Z3284">
        <v>0.10755960000000001</v>
      </c>
      <c r="AA3284">
        <v>0.90821830000000003</v>
      </c>
      <c r="AB3284">
        <v>18</v>
      </c>
      <c r="AC3284">
        <v>7.9800999999999904</v>
      </c>
      <c r="AD3284">
        <v>-1.112674177415</v>
      </c>
      <c r="AE3284">
        <v>-5.85679999999999</v>
      </c>
      <c r="AF3284">
        <v>-4.0596779433661796</v>
      </c>
      <c r="AG3284">
        <v>-1.112674177415</v>
      </c>
      <c r="AH3284">
        <v>8.8923101556471504</v>
      </c>
      <c r="AI3284">
        <v>96.493825869260803</v>
      </c>
      <c r="AJ3284">
        <v>114.538501863303</v>
      </c>
      <c r="AK3284">
        <v>9.8383031429797594</v>
      </c>
      <c r="AL3284">
        <v>89.2816107110676</v>
      </c>
      <c r="AM3284">
        <v>96.387143713241997</v>
      </c>
      <c r="AN3284">
        <v>1.0000000090457799</v>
      </c>
    </row>
    <row r="3285" spans="1:40" x14ac:dyDescent="0.25">
      <c r="A3285" t="str">
        <f>"20190312160703473"</f>
        <v>20190312160703473</v>
      </c>
      <c r="B3285" t="str">
        <f>"1552378023468626"</f>
        <v>1552378023468626</v>
      </c>
      <c r="C3285" t="s">
        <v>40</v>
      </c>
      <c r="D3285">
        <v>5.7693459999999996</v>
      </c>
      <c r="E3285">
        <v>0.37728250000000002</v>
      </c>
      <c r="F3285" t="s">
        <v>61</v>
      </c>
      <c r="G3285">
        <v>-481.6592</v>
      </c>
      <c r="H3285" s="1">
        <v>2.6924350000000002E-6</v>
      </c>
      <c r="I3285">
        <v>222.46340000000001</v>
      </c>
      <c r="J3285">
        <v>-489.87599999999998</v>
      </c>
      <c r="K3285">
        <v>1.1126579999999999</v>
      </c>
      <c r="L3285">
        <v>228.37379999999999</v>
      </c>
      <c r="M3285">
        <v>0.4942587</v>
      </c>
      <c r="N3285">
        <v>0</v>
      </c>
      <c r="O3285">
        <v>-0.86918719999999905</v>
      </c>
      <c r="P3285">
        <v>0.58621029999999996</v>
      </c>
      <c r="Q3285">
        <v>-7.9040729999999904E-4</v>
      </c>
      <c r="R3285">
        <v>-0.81015899999999996</v>
      </c>
      <c r="S3285">
        <v>2.5429080000000002</v>
      </c>
      <c r="T3285">
        <v>-0.33855200000000002</v>
      </c>
      <c r="U3285">
        <v>-1.8690340000000001</v>
      </c>
      <c r="V3285">
        <v>-0.1091897</v>
      </c>
      <c r="W3285">
        <v>1.33995E-2</v>
      </c>
      <c r="X3285">
        <v>0.9939306</v>
      </c>
      <c r="Y3285">
        <v>-0.40279959999999998</v>
      </c>
      <c r="Z3285">
        <v>0.1039236</v>
      </c>
      <c r="AA3285">
        <v>0.90936919999999999</v>
      </c>
      <c r="AB3285">
        <v>18</v>
      </c>
      <c r="AC3285">
        <v>8.2167999999999708</v>
      </c>
      <c r="AD3285">
        <v>-1.1126553075650001</v>
      </c>
      <c r="AE3285">
        <v>-5.9103999999999797</v>
      </c>
      <c r="AF3285">
        <v>-4.17073950051926</v>
      </c>
      <c r="AG3285">
        <v>-1.1126553075650001</v>
      </c>
      <c r="AH3285">
        <v>9.0896494374256207</v>
      </c>
      <c r="AI3285">
        <v>96.348402566228998</v>
      </c>
      <c r="AJ3285">
        <v>114.64778345849901</v>
      </c>
      <c r="AK3285">
        <v>10.062544246359099</v>
      </c>
      <c r="AL3285">
        <v>89.232242216855894</v>
      </c>
      <c r="AM3285">
        <v>96.26917260962</v>
      </c>
      <c r="AN3285">
        <v>0.99999998740134999</v>
      </c>
    </row>
    <row r="3286" spans="1:40" x14ac:dyDescent="0.25">
      <c r="A3286" t="str">
        <f>"20190312160703495"</f>
        <v>20190312160703495</v>
      </c>
      <c r="B3286" t="str">
        <f>"1552378023488652"</f>
        <v>1552378023488652</v>
      </c>
      <c r="C3286" t="s">
        <v>40</v>
      </c>
      <c r="D3286">
        <v>5.797688</v>
      </c>
      <c r="E3286">
        <v>0.37762790000000002</v>
      </c>
      <c r="F3286" t="s">
        <v>61</v>
      </c>
      <c r="G3286">
        <v>-481.31540000000001</v>
      </c>
      <c r="H3286" s="1">
        <v>2.5589269999999999E-6</v>
      </c>
      <c r="I3286">
        <v>222.1354</v>
      </c>
      <c r="J3286">
        <v>-489.7869</v>
      </c>
      <c r="K3286">
        <v>1.1126659999999999</v>
      </c>
      <c r="L3286">
        <v>228.2285</v>
      </c>
      <c r="M3286">
        <v>0.49845270000000003</v>
      </c>
      <c r="N3286">
        <v>0</v>
      </c>
      <c r="O3286">
        <v>-0.86678889999999997</v>
      </c>
      <c r="P3286">
        <v>0.58878459999999999</v>
      </c>
      <c r="Q3286" s="1">
        <v>-9.1919440000000002E-5</v>
      </c>
      <c r="R3286">
        <v>-0.80828999999999995</v>
      </c>
      <c r="S3286">
        <v>2.5495299999999999</v>
      </c>
      <c r="T3286">
        <v>-0.331372099999999</v>
      </c>
      <c r="U3286">
        <v>-1.857925</v>
      </c>
      <c r="V3286">
        <v>-0.1075525</v>
      </c>
      <c r="W3286">
        <v>1.410468E-2</v>
      </c>
      <c r="X3286">
        <v>0.99409939999999997</v>
      </c>
      <c r="Y3286">
        <v>-0.40230349999999998</v>
      </c>
      <c r="Z3286">
        <v>0.1016063</v>
      </c>
      <c r="AA3286">
        <v>0.90985059999999995</v>
      </c>
      <c r="AB3286">
        <v>18</v>
      </c>
      <c r="AC3286">
        <v>8.47149999999999</v>
      </c>
      <c r="AD3286">
        <v>-1.1126634410730001</v>
      </c>
      <c r="AE3286">
        <v>-6.09309999999999</v>
      </c>
      <c r="AF3286">
        <v>-4.2579482742910502</v>
      </c>
      <c r="AG3286">
        <v>-1.1126634410730001</v>
      </c>
      <c r="AH3286">
        <v>9.3982770415014301</v>
      </c>
      <c r="AI3286">
        <v>96.154924964451993</v>
      </c>
      <c r="AJ3286">
        <v>114.373201070249</v>
      </c>
      <c r="AK3286">
        <v>10.3776565171743</v>
      </c>
      <c r="AL3286">
        <v>89.191834606907804</v>
      </c>
      <c r="AM3286">
        <v>96.174863379579605</v>
      </c>
      <c r="AN3286">
        <v>1.0000000496672501</v>
      </c>
    </row>
    <row r="3287" spans="1:40" x14ac:dyDescent="0.25">
      <c r="A3287" t="str">
        <f>"20190312160703516"</f>
        <v>20190312160703516</v>
      </c>
      <c r="B3287" t="str">
        <f>"1552378023508172"</f>
        <v>1552378023508172</v>
      </c>
      <c r="C3287" t="s">
        <v>40</v>
      </c>
      <c r="D3287">
        <v>5.8296390000000002</v>
      </c>
      <c r="E3287">
        <v>0.37794169999999999</v>
      </c>
      <c r="F3287" t="s">
        <v>61</v>
      </c>
      <c r="G3287">
        <v>-481.11090000000002</v>
      </c>
      <c r="H3287" s="1">
        <v>2.478498E-6</v>
      </c>
      <c r="I3287">
        <v>221.9357</v>
      </c>
      <c r="J3287">
        <v>-489.6979</v>
      </c>
      <c r="K3287">
        <v>1.1126879999999999</v>
      </c>
      <c r="L3287">
        <v>228.0855</v>
      </c>
      <c r="M3287">
        <v>0.50262240000000002</v>
      </c>
      <c r="N3287">
        <v>0</v>
      </c>
      <c r="O3287">
        <v>-0.86437799999999998</v>
      </c>
      <c r="P3287">
        <v>0.59149469999999904</v>
      </c>
      <c r="Q3287">
        <v>1.265672E-3</v>
      </c>
      <c r="R3287">
        <v>-0.80630800000000002</v>
      </c>
      <c r="S3287">
        <v>2.5530400000000002</v>
      </c>
      <c r="T3287">
        <v>-0.32741979999999998</v>
      </c>
      <c r="U3287">
        <v>-1.8517760000000001</v>
      </c>
      <c r="V3287">
        <v>-0.1061097</v>
      </c>
      <c r="W3287">
        <v>1.5465420000000001E-2</v>
      </c>
      <c r="X3287">
        <v>0.99423410000000001</v>
      </c>
      <c r="Y3287">
        <v>-0.40004879999999998</v>
      </c>
      <c r="Z3287">
        <v>0.100205</v>
      </c>
      <c r="AA3287">
        <v>0.91099940000000001</v>
      </c>
      <c r="AB3287">
        <v>18</v>
      </c>
      <c r="AC3287">
        <v>8.5869999999999802</v>
      </c>
      <c r="AD3287">
        <v>-1.112685521502</v>
      </c>
      <c r="AE3287">
        <v>-6.1497999999999902</v>
      </c>
      <c r="AF3287">
        <v>-4.2843183107709004</v>
      </c>
      <c r="AG3287">
        <v>-1.112685521502</v>
      </c>
      <c r="AH3287">
        <v>9.5271037902996891</v>
      </c>
      <c r="AI3287">
        <v>96.080037591082899</v>
      </c>
      <c r="AJ3287">
        <v>114.213348181602</v>
      </c>
      <c r="AK3287">
        <v>10.505196765834899</v>
      </c>
      <c r="AL3287">
        <v>89.113861331584999</v>
      </c>
      <c r="AM3287">
        <v>96.091836530286301</v>
      </c>
      <c r="AN3287">
        <v>0.99999994662633596</v>
      </c>
    </row>
    <row r="3288" spans="1:40" x14ac:dyDescent="0.25">
      <c r="A3288" t="str">
        <f>"20190312160703540"</f>
        <v>20190312160703540</v>
      </c>
      <c r="B3288" t="str">
        <f>"1552378023528668"</f>
        <v>1552378023528668</v>
      </c>
      <c r="C3288" t="s">
        <v>40</v>
      </c>
      <c r="D3288">
        <v>5.8912890000000004</v>
      </c>
      <c r="E3288">
        <v>0.37838110000000003</v>
      </c>
      <c r="F3288" t="s">
        <v>61</v>
      </c>
      <c r="G3288">
        <v>-480.81229999999999</v>
      </c>
      <c r="H3288" s="1">
        <v>2.3684920000000001E-6</v>
      </c>
      <c r="I3288">
        <v>221.67769999999999</v>
      </c>
      <c r="J3288">
        <v>-489.59910000000002</v>
      </c>
      <c r="K3288">
        <v>1.1127199999999999</v>
      </c>
      <c r="L3288">
        <v>227.92830000000001</v>
      </c>
      <c r="M3288">
        <v>0.5072567</v>
      </c>
      <c r="N3288">
        <v>0</v>
      </c>
      <c r="O3288">
        <v>-0.86166640000000005</v>
      </c>
      <c r="P3288">
        <v>0.59523729999999997</v>
      </c>
      <c r="Q3288">
        <v>2.3779220000000002E-3</v>
      </c>
      <c r="R3288">
        <v>-0.80354700000000001</v>
      </c>
      <c r="S3288">
        <v>2.558014</v>
      </c>
      <c r="T3288">
        <v>-0.32032119999999997</v>
      </c>
      <c r="U3288">
        <v>-1.844681</v>
      </c>
      <c r="V3288">
        <v>-0.10540190000000001</v>
      </c>
      <c r="W3288">
        <v>1.6572969999999999E-2</v>
      </c>
      <c r="X3288">
        <v>0.99429160000000005</v>
      </c>
      <c r="Y3288">
        <v>-0.39784350000000002</v>
      </c>
      <c r="Z3288">
        <v>9.781484E-2</v>
      </c>
      <c r="AA3288">
        <v>0.91222409999999998</v>
      </c>
      <c r="AB3288">
        <v>18</v>
      </c>
      <c r="AC3288">
        <v>8.7868000000000208</v>
      </c>
      <c r="AD3288">
        <v>-1.1127176315080001</v>
      </c>
      <c r="AE3288">
        <v>-6.2506000000000101</v>
      </c>
      <c r="AF3288">
        <v>-4.3547494931447304</v>
      </c>
      <c r="AG3288">
        <v>-1.1127176315080001</v>
      </c>
      <c r="AH3288">
        <v>9.7404685641492996</v>
      </c>
      <c r="AI3288">
        <v>95.953768790543407</v>
      </c>
      <c r="AJ3288">
        <v>114.08836943068199</v>
      </c>
      <c r="AK3288">
        <v>10.727474610769001</v>
      </c>
      <c r="AL3288">
        <v>89.050395295954303</v>
      </c>
      <c r="AM3288">
        <v>96.051156371403707</v>
      </c>
      <c r="AN3288">
        <v>1.00000000484439</v>
      </c>
    </row>
    <row r="3289" spans="1:40" x14ac:dyDescent="0.25">
      <c r="A3289" t="str">
        <f>"20190312160703562"</f>
        <v>20190312160703562</v>
      </c>
      <c r="B3289" t="str">
        <f>"1552378023557948"</f>
        <v>1552378023557948</v>
      </c>
      <c r="C3289" t="s">
        <v>40</v>
      </c>
      <c r="D3289">
        <v>5.9218979999999997</v>
      </c>
      <c r="E3289">
        <v>0.37881130000000002</v>
      </c>
      <c r="F3289" t="s">
        <v>61</v>
      </c>
      <c r="G3289">
        <v>-480.49090000000001</v>
      </c>
      <c r="H3289" s="1">
        <v>2.2527340000000001E-6</v>
      </c>
      <c r="I3289">
        <v>221.41200000000001</v>
      </c>
      <c r="J3289">
        <v>-489.50650000000002</v>
      </c>
      <c r="K3289">
        <v>1.1127579999999999</v>
      </c>
      <c r="L3289">
        <v>227.78290000000001</v>
      </c>
      <c r="M3289">
        <v>0.51159290000000002</v>
      </c>
      <c r="N3289">
        <v>0</v>
      </c>
      <c r="O3289">
        <v>-0.8590991</v>
      </c>
      <c r="P3289">
        <v>0.59958979999999995</v>
      </c>
      <c r="Q3289">
        <v>3.8067729999999998E-3</v>
      </c>
      <c r="R3289">
        <v>-0.80029849999999902</v>
      </c>
      <c r="S3289">
        <v>2.5644529999999999</v>
      </c>
      <c r="T3289">
        <v>-0.3132915</v>
      </c>
      <c r="U3289">
        <v>-1.834686</v>
      </c>
      <c r="V3289">
        <v>-0.1057994</v>
      </c>
      <c r="W3289">
        <v>1.798897E-2</v>
      </c>
      <c r="X3289">
        <v>0.99422480000000002</v>
      </c>
      <c r="Y3289">
        <v>-0.39685819999999999</v>
      </c>
      <c r="Z3289">
        <v>9.5511079999999998E-2</v>
      </c>
      <c r="AA3289">
        <v>0.91289719999999996</v>
      </c>
      <c r="AB3289">
        <v>18</v>
      </c>
      <c r="AC3289">
        <v>9.0155999999999992</v>
      </c>
      <c r="AD3289">
        <v>-1.1127557472659999</v>
      </c>
      <c r="AE3289">
        <v>-6.3708999999999998</v>
      </c>
      <c r="AF3289">
        <v>-4.4413580434217801</v>
      </c>
      <c r="AG3289">
        <v>-1.1127557472659999</v>
      </c>
      <c r="AH3289">
        <v>9.9852158416906907</v>
      </c>
      <c r="AI3289">
        <v>95.813948977365598</v>
      </c>
      <c r="AJ3289">
        <v>113.97918227601301</v>
      </c>
      <c r="AK3289">
        <v>10.984917934517799</v>
      </c>
      <c r="AL3289">
        <v>88.969252379508504</v>
      </c>
      <c r="AM3289">
        <v>96.074211741697795</v>
      </c>
      <c r="AN3289">
        <v>1.00000003450852</v>
      </c>
    </row>
    <row r="3290" spans="1:40" x14ac:dyDescent="0.25">
      <c r="A3290" t="str">
        <f>"20190312160703586"</f>
        <v>20190312160703586</v>
      </c>
      <c r="B3290" t="str">
        <f>"1552378023578444"</f>
        <v>1552378023578444</v>
      </c>
      <c r="C3290" t="s">
        <v>40</v>
      </c>
      <c r="D3290">
        <v>5.6357530000000002</v>
      </c>
      <c r="E3290">
        <v>0.37869920000000001</v>
      </c>
      <c r="F3290" t="s">
        <v>61</v>
      </c>
      <c r="G3290">
        <v>-480.27710000000002</v>
      </c>
      <c r="H3290" s="1">
        <v>2.177067E-6</v>
      </c>
      <c r="I3290">
        <v>221.2413</v>
      </c>
      <c r="J3290">
        <v>-489.41140000000001</v>
      </c>
      <c r="K3290">
        <v>1.112787</v>
      </c>
      <c r="L3290">
        <v>227.6354</v>
      </c>
      <c r="M3290">
        <v>0.51606049999999903</v>
      </c>
      <c r="N3290">
        <v>0</v>
      </c>
      <c r="O3290">
        <v>-0.85642289999999999</v>
      </c>
      <c r="P3290">
        <v>0.60390140000000003</v>
      </c>
      <c r="Q3290">
        <v>4.7180950000000003E-3</v>
      </c>
      <c r="R3290">
        <v>-0.79704540000000001</v>
      </c>
      <c r="S3290">
        <v>2.5720830000000001</v>
      </c>
      <c r="T3290">
        <v>-0.3101063</v>
      </c>
      <c r="U3290">
        <v>-1.823029</v>
      </c>
      <c r="V3290">
        <v>-0.1059982</v>
      </c>
      <c r="W3290">
        <v>1.888813E-2</v>
      </c>
      <c r="X3290">
        <v>0.99418689999999998</v>
      </c>
      <c r="Y3290">
        <v>-0.39620640000000001</v>
      </c>
      <c r="Z3290">
        <v>9.4374600000000003E-2</v>
      </c>
      <c r="AA3290">
        <v>0.91329839999999995</v>
      </c>
      <c r="AB3290">
        <v>18</v>
      </c>
      <c r="AC3290">
        <v>9.1342999999999908</v>
      </c>
      <c r="AD3290">
        <v>-1.112784822933</v>
      </c>
      <c r="AE3290">
        <v>-6.3940999999999999</v>
      </c>
      <c r="AF3290">
        <v>-4.4789691727320102</v>
      </c>
      <c r="AG3290">
        <v>-1.112784822933</v>
      </c>
      <c r="AH3290">
        <v>10.0905263965654</v>
      </c>
      <c r="AI3290">
        <v>95.755770107854403</v>
      </c>
      <c r="AJ3290">
        <v>113.935412601889</v>
      </c>
      <c r="AK3290">
        <v>11.095863097218601</v>
      </c>
      <c r="AL3290">
        <v>88.917725494136604</v>
      </c>
      <c r="AM3290">
        <v>96.085770037050906</v>
      </c>
      <c r="AN3290">
        <v>0.99999998599487305</v>
      </c>
    </row>
    <row r="3291" spans="1:40" x14ac:dyDescent="0.25">
      <c r="A3291" t="str">
        <f>"20190312160703605"</f>
        <v>20190312160703605</v>
      </c>
      <c r="B3291" t="str">
        <f>"1552378023597964"</f>
        <v>1552378023597964</v>
      </c>
      <c r="C3291" t="s">
        <v>40</v>
      </c>
      <c r="D3291">
        <v>5.947025</v>
      </c>
      <c r="E3291">
        <v>0.37864320000000001</v>
      </c>
      <c r="F3291" t="s">
        <v>61</v>
      </c>
      <c r="G3291">
        <v>-479.99189999999999</v>
      </c>
      <c r="H3291" s="1">
        <v>2.0818870000000002E-6</v>
      </c>
      <c r="I3291">
        <v>221.03970000000001</v>
      </c>
      <c r="J3291">
        <v>-489.32709999999997</v>
      </c>
      <c r="K3291">
        <v>1.1128180000000001</v>
      </c>
      <c r="L3291">
        <v>227.50620000000001</v>
      </c>
      <c r="M3291">
        <v>0.52004150000000005</v>
      </c>
      <c r="N3291">
        <v>0</v>
      </c>
      <c r="O3291">
        <v>-0.85401139999999998</v>
      </c>
      <c r="P3291">
        <v>0.60771500000000001</v>
      </c>
      <c r="Q3291">
        <v>4.958161E-3</v>
      </c>
      <c r="R3291">
        <v>-0.79414019999999996</v>
      </c>
      <c r="S3291">
        <v>2.5829469999999999</v>
      </c>
      <c r="T3291">
        <v>-0.3051393</v>
      </c>
      <c r="U3291">
        <v>-1.80864</v>
      </c>
      <c r="V3291">
        <v>-0.1061395</v>
      </c>
      <c r="W3291">
        <v>1.9118400000000001E-2</v>
      </c>
      <c r="X3291">
        <v>0.99416740000000003</v>
      </c>
      <c r="Y3291">
        <v>-0.39729449999999999</v>
      </c>
      <c r="Z3291">
        <v>9.2735899999999996E-2</v>
      </c>
      <c r="AA3291">
        <v>0.91299350000000001</v>
      </c>
      <c r="AB3291">
        <v>17</v>
      </c>
      <c r="AC3291">
        <v>9.3351999999999808</v>
      </c>
      <c r="AD3291">
        <v>-1.112815918113</v>
      </c>
      <c r="AE3291">
        <v>-6.4664999999999901</v>
      </c>
      <c r="AF3291">
        <v>-4.5661821782162999</v>
      </c>
      <c r="AG3291">
        <v>-1.112815918113</v>
      </c>
      <c r="AH3291">
        <v>10.2795946387826</v>
      </c>
      <c r="AI3291">
        <v>95.65008863928</v>
      </c>
      <c r="AJ3291">
        <v>113.950728429278</v>
      </c>
      <c r="AK3291">
        <v>11.303028129220699</v>
      </c>
      <c r="AL3291">
        <v>88.904529586636301</v>
      </c>
      <c r="AM3291">
        <v>96.093940247834993</v>
      </c>
      <c r="AN3291">
        <v>0.99999996295078397</v>
      </c>
    </row>
    <row r="3292" spans="1:40" x14ac:dyDescent="0.25">
      <c r="A3292" t="str">
        <f>"20190312160703628"</f>
        <v>20190312160703628</v>
      </c>
      <c r="B3292" t="str">
        <f>"1552378023618464"</f>
        <v>1552378023618464</v>
      </c>
      <c r="C3292" t="s">
        <v>40</v>
      </c>
      <c r="D3292">
        <v>5.9903029999999999</v>
      </c>
      <c r="E3292">
        <v>0.37861080000000003</v>
      </c>
      <c r="F3292" t="s">
        <v>61</v>
      </c>
      <c r="G3292">
        <v>-479.78370000000001</v>
      </c>
      <c r="H3292" s="1">
        <v>2.1057640000000001E-6</v>
      </c>
      <c r="I3292">
        <v>220.89570000000001</v>
      </c>
      <c r="J3292">
        <v>-489.2296</v>
      </c>
      <c r="K3292">
        <v>1.112857</v>
      </c>
      <c r="L3292">
        <v>227.3586</v>
      </c>
      <c r="M3292">
        <v>0.52466590000000002</v>
      </c>
      <c r="N3292">
        <v>0</v>
      </c>
      <c r="O3292">
        <v>-0.85117830000000005</v>
      </c>
      <c r="P3292">
        <v>0.61220090000000005</v>
      </c>
      <c r="Q3292">
        <v>5.6199969999999998E-3</v>
      </c>
      <c r="R3292">
        <v>-0.79068260000000001</v>
      </c>
      <c r="S3292">
        <v>2.5924070000000001</v>
      </c>
      <c r="T3292">
        <v>-0.30228969999999999</v>
      </c>
      <c r="U3292">
        <v>-1.7957000000000001</v>
      </c>
      <c r="V3292">
        <v>-0.106383199999999</v>
      </c>
      <c r="W3292">
        <v>1.9768689999999998E-2</v>
      </c>
      <c r="X3292">
        <v>0.99412860000000003</v>
      </c>
      <c r="Y3292">
        <v>-0.39704620000000002</v>
      </c>
      <c r="Z3292">
        <v>9.1680570000000003E-2</v>
      </c>
      <c r="AA3292">
        <v>0.91320809999999997</v>
      </c>
      <c r="AB3292">
        <v>17</v>
      </c>
      <c r="AC3292">
        <v>9.4458999999999893</v>
      </c>
      <c r="AD3292">
        <v>-1.1128548942359999</v>
      </c>
      <c r="AE3292">
        <v>-6.4628999999999897</v>
      </c>
      <c r="AF3292">
        <v>-4.6062477010526397</v>
      </c>
      <c r="AG3292">
        <v>-1.1128548942359999</v>
      </c>
      <c r="AH3292">
        <v>10.360230754807301</v>
      </c>
      <c r="AI3292">
        <v>95.605741582889394</v>
      </c>
      <c r="AJ3292">
        <v>113.970342550788</v>
      </c>
      <c r="AK3292">
        <v>11.392556569617399</v>
      </c>
      <c r="AL3292">
        <v>88.867263629747001</v>
      </c>
      <c r="AM3292">
        <v>96.108063087328802</v>
      </c>
      <c r="AN3292">
        <v>0.99999992984225505</v>
      </c>
    </row>
    <row r="3293" spans="1:40" x14ac:dyDescent="0.25">
      <c r="A3293" t="str">
        <f>"20190312160703650"</f>
        <v>20190312160703650</v>
      </c>
      <c r="B3293" t="str">
        <f>"1552378023637980"</f>
        <v>1552378023637980</v>
      </c>
      <c r="C3293" t="s">
        <v>40</v>
      </c>
      <c r="D3293">
        <v>5.9950190000000001</v>
      </c>
      <c r="E3293">
        <v>0.37863210000000003</v>
      </c>
      <c r="F3293" t="s">
        <v>61</v>
      </c>
      <c r="G3293">
        <v>-479.58620000000002</v>
      </c>
      <c r="H3293" s="1">
        <v>2.1458770000000001E-6</v>
      </c>
      <c r="I3293">
        <v>220.76009999999999</v>
      </c>
      <c r="J3293">
        <v>-489.1379</v>
      </c>
      <c r="K3293">
        <v>1.112892</v>
      </c>
      <c r="L3293">
        <v>227.22139999999999</v>
      </c>
      <c r="M3293">
        <v>0.52904709999999999</v>
      </c>
      <c r="N3293">
        <v>0</v>
      </c>
      <c r="O3293">
        <v>-0.84846200000000005</v>
      </c>
      <c r="P3293">
        <v>0.61614809999999998</v>
      </c>
      <c r="Q3293">
        <v>6.1735310000000003E-3</v>
      </c>
      <c r="R3293">
        <v>-0.78760629999999998</v>
      </c>
      <c r="S3293">
        <v>2.602875</v>
      </c>
      <c r="T3293">
        <v>-0.30037129999999901</v>
      </c>
      <c r="U3293">
        <v>-1.7810060000000001</v>
      </c>
      <c r="V3293">
        <v>-0.106238</v>
      </c>
      <c r="W3293">
        <v>2.0315030000000001E-2</v>
      </c>
      <c r="X3293">
        <v>0.99413320000000005</v>
      </c>
      <c r="Y3293">
        <v>-0.39760030000000002</v>
      </c>
      <c r="Z3293">
        <v>9.0939950000000006E-2</v>
      </c>
      <c r="AA3293">
        <v>0.91304110000000005</v>
      </c>
      <c r="AB3293">
        <v>17</v>
      </c>
      <c r="AC3293">
        <v>9.5516999999999808</v>
      </c>
      <c r="AD3293">
        <v>-1.1128898541229999</v>
      </c>
      <c r="AE3293">
        <v>-6.4612999999999898</v>
      </c>
      <c r="AF3293">
        <v>-4.6431974441908803</v>
      </c>
      <c r="AG3293">
        <v>-1.1128898541229999</v>
      </c>
      <c r="AH3293">
        <v>10.439407078927401</v>
      </c>
      <c r="AI3293">
        <v>95.5633234443536</v>
      </c>
      <c r="AJ3293">
        <v>113.978348997315</v>
      </c>
      <c r="AK3293">
        <v>11.4795046274964</v>
      </c>
      <c r="AL3293">
        <v>88.835954462811998</v>
      </c>
      <c r="AM3293">
        <v>96.099761212177995</v>
      </c>
      <c r="AN3293">
        <v>1.00000001621507</v>
      </c>
    </row>
    <row r="3294" spans="1:40" x14ac:dyDescent="0.25">
      <c r="A3294" t="str">
        <f>"20190312160703674"</f>
        <v>20190312160703674</v>
      </c>
      <c r="B3294" t="str">
        <f>"1552378023668236"</f>
        <v>1552378023668236</v>
      </c>
      <c r="C3294" t="s">
        <v>40</v>
      </c>
      <c r="D3294">
        <v>5.7413449999999999</v>
      </c>
      <c r="E3294">
        <v>0.37854850000000001</v>
      </c>
      <c r="F3294" t="s">
        <v>61</v>
      </c>
      <c r="G3294">
        <v>-479.41860000000003</v>
      </c>
      <c r="H3294" s="1">
        <v>2.1789410000000001E-6</v>
      </c>
      <c r="I3294">
        <v>220.64080000000001</v>
      </c>
      <c r="J3294">
        <v>-489.03809999999999</v>
      </c>
      <c r="K3294">
        <v>1.1129309999999999</v>
      </c>
      <c r="L3294">
        <v>227.07409999999999</v>
      </c>
      <c r="M3294">
        <v>0.533829199999999</v>
      </c>
      <c r="N3294">
        <v>0</v>
      </c>
      <c r="O3294">
        <v>-0.84546129999999997</v>
      </c>
      <c r="P3294">
        <v>0.61996960000000001</v>
      </c>
      <c r="Q3294">
        <v>5.4871649999999996E-3</v>
      </c>
      <c r="R3294">
        <v>-0.7846069</v>
      </c>
      <c r="S3294">
        <v>2.6116640000000002</v>
      </c>
      <c r="T3294">
        <v>-0.29904350000000002</v>
      </c>
      <c r="U3294">
        <v>-1.768265</v>
      </c>
      <c r="V3294">
        <v>-0.105452</v>
      </c>
      <c r="W3294">
        <v>1.962757E-2</v>
      </c>
      <c r="X3294">
        <v>0.99423070000000002</v>
      </c>
      <c r="Y3294">
        <v>-0.39695019999999998</v>
      </c>
      <c r="Z3294">
        <v>9.0330759999999996E-2</v>
      </c>
      <c r="AA3294">
        <v>0.91338430000000004</v>
      </c>
      <c r="AB3294">
        <v>17</v>
      </c>
      <c r="AC3294">
        <v>9.6194999999999595</v>
      </c>
      <c r="AD3294">
        <v>-1.11292882105899</v>
      </c>
      <c r="AE3294">
        <v>-6.4332999999999698</v>
      </c>
      <c r="AF3294">
        <v>-4.6560892746754297</v>
      </c>
      <c r="AG3294">
        <v>-1.11292882105899</v>
      </c>
      <c r="AH3294">
        <v>10.478534653375499</v>
      </c>
      <c r="AI3294">
        <v>95.543752417731596</v>
      </c>
      <c r="AJ3294">
        <v>113.957752778111</v>
      </c>
      <c r="AK3294">
        <v>11.5203066962856</v>
      </c>
      <c r="AL3294">
        <v>88.875350887238994</v>
      </c>
      <c r="AM3294">
        <v>96.054379347444296</v>
      </c>
      <c r="AN3294">
        <v>1.0000000253152901</v>
      </c>
    </row>
    <row r="3295" spans="1:40" x14ac:dyDescent="0.25">
      <c r="A3295" t="str">
        <f>"20190312160703697"</f>
        <v>20190312160703697</v>
      </c>
      <c r="B3295" t="str">
        <f>"1552378023688262"</f>
        <v>1552378023688262</v>
      </c>
      <c r="C3295" t="s">
        <v>40</v>
      </c>
      <c r="D3295">
        <v>5.6896509999999996</v>
      </c>
      <c r="E3295">
        <v>0.37845620000000002</v>
      </c>
      <c r="F3295" t="s">
        <v>61</v>
      </c>
      <c r="G3295">
        <v>-479.24340000000001</v>
      </c>
      <c r="H3295" s="1">
        <v>2.2142010000000001E-6</v>
      </c>
      <c r="I3295">
        <v>220.51929999999999</v>
      </c>
      <c r="J3295">
        <v>-488.94049999999999</v>
      </c>
      <c r="K3295">
        <v>1.112968</v>
      </c>
      <c r="L3295">
        <v>226.93199999999999</v>
      </c>
      <c r="M3295">
        <v>0.53852489999999997</v>
      </c>
      <c r="N3295">
        <v>0</v>
      </c>
      <c r="O3295">
        <v>-0.84247819999999995</v>
      </c>
      <c r="P3295">
        <v>0.62359049999999905</v>
      </c>
      <c r="Q3295">
        <v>5.50286E-3</v>
      </c>
      <c r="R3295">
        <v>-0.78173210000000004</v>
      </c>
      <c r="S3295">
        <v>2.621429</v>
      </c>
      <c r="T3295">
        <v>-0.29786289999999999</v>
      </c>
      <c r="U3295">
        <v>-1.7543329999999999</v>
      </c>
      <c r="V3295">
        <v>-0.1045184</v>
      </c>
      <c r="W3295">
        <v>1.964378E-2</v>
      </c>
      <c r="X3295">
        <v>0.99432889999999996</v>
      </c>
      <c r="Y3295">
        <v>-0.39681470000000002</v>
      </c>
      <c r="Z3295">
        <v>8.9775549999999996E-2</v>
      </c>
      <c r="AA3295">
        <v>0.91349789999999997</v>
      </c>
      <c r="AB3295">
        <v>17</v>
      </c>
      <c r="AC3295">
        <v>9.6970999999999705</v>
      </c>
      <c r="AD3295">
        <v>-1.1129657857990001</v>
      </c>
      <c r="AE3295">
        <v>-6.4127000000000196</v>
      </c>
      <c r="AF3295">
        <v>-4.6738833505885298</v>
      </c>
      <c r="AG3295">
        <v>-1.1129657857990001</v>
      </c>
      <c r="AH3295">
        <v>10.5293658117762</v>
      </c>
      <c r="AI3295">
        <v>95.518263135661797</v>
      </c>
      <c r="AJ3295">
        <v>113.93597052810399</v>
      </c>
      <c r="AK3295">
        <v>11.5737384977141</v>
      </c>
      <c r="AL3295">
        <v>88.874421878722401</v>
      </c>
      <c r="AM3295">
        <v>96.000582545180194</v>
      </c>
      <c r="AN3295">
        <v>0.99999996770322797</v>
      </c>
    </row>
    <row r="3296" spans="1:40" x14ac:dyDescent="0.25">
      <c r="A3296" t="str">
        <f>"20190312160703719"</f>
        <v>20190312160703719</v>
      </c>
      <c r="B3296" t="str">
        <f>"1552378023707782"</f>
        <v>1552378023707782</v>
      </c>
      <c r="C3296" t="s">
        <v>40</v>
      </c>
      <c r="D3296">
        <v>6.0738599999999998</v>
      </c>
      <c r="E3296">
        <v>0.37848999999999999</v>
      </c>
      <c r="F3296" t="s">
        <v>61</v>
      </c>
      <c r="G3296">
        <v>-479.0856</v>
      </c>
      <c r="H3296" s="1">
        <v>2.252431E-6</v>
      </c>
      <c r="I3296">
        <v>220.4057</v>
      </c>
      <c r="J3296">
        <v>-488.8426</v>
      </c>
      <c r="K3296">
        <v>1.1129910000000001</v>
      </c>
      <c r="L3296">
        <v>226.79140000000001</v>
      </c>
      <c r="M3296">
        <v>0.54323779999999999</v>
      </c>
      <c r="N3296">
        <v>0</v>
      </c>
      <c r="O3296">
        <v>-0.8394469</v>
      </c>
      <c r="P3296">
        <v>0.6277045</v>
      </c>
      <c r="Q3296">
        <v>5.9620469999999998E-3</v>
      </c>
      <c r="R3296">
        <v>-0.77842919999999904</v>
      </c>
      <c r="S3296">
        <v>2.6300349999999999</v>
      </c>
      <c r="T3296">
        <v>-0.29702430000000002</v>
      </c>
      <c r="U3296">
        <v>-1.741714</v>
      </c>
      <c r="V3296">
        <v>-0.1041956</v>
      </c>
      <c r="W3296">
        <v>2.010145E-2</v>
      </c>
      <c r="X3296">
        <v>0.99435370000000001</v>
      </c>
      <c r="Y3296">
        <v>-0.39613100000000001</v>
      </c>
      <c r="Z3296">
        <v>8.9308109999999996E-2</v>
      </c>
      <c r="AA3296">
        <v>0.9138404</v>
      </c>
      <c r="AB3296">
        <v>17</v>
      </c>
      <c r="AC3296">
        <v>9.7569999999999997</v>
      </c>
      <c r="AD3296">
        <v>-1.1129887475689999</v>
      </c>
      <c r="AE3296">
        <v>-6.3857000000000097</v>
      </c>
      <c r="AF3296">
        <v>-4.6794234340998999</v>
      </c>
      <c r="AG3296">
        <v>-1.1129887475689999</v>
      </c>
      <c r="AH3296">
        <v>10.5657545971766</v>
      </c>
      <c r="AI3296">
        <v>95.501522177129701</v>
      </c>
      <c r="AJ3296">
        <v>113.887876051135</v>
      </c>
      <c r="AK3296">
        <v>11.6090877262417</v>
      </c>
      <c r="AL3296">
        <v>88.848194217491397</v>
      </c>
      <c r="AM3296">
        <v>95.982036515660894</v>
      </c>
      <c r="AN3296">
        <v>1.00000003602757</v>
      </c>
    </row>
    <row r="3297" spans="1:40" x14ac:dyDescent="0.25">
      <c r="A3297" t="str">
        <f>"20190312160703740"</f>
        <v>20190312160703740</v>
      </c>
      <c r="B3297" t="str">
        <f>"1552378023728278"</f>
        <v>1552378023728278</v>
      </c>
      <c r="C3297" t="s">
        <v>40</v>
      </c>
      <c r="D3297">
        <v>6.0694489999999996</v>
      </c>
      <c r="E3297">
        <v>0.37855270000000002</v>
      </c>
      <c r="F3297" t="s">
        <v>61</v>
      </c>
      <c r="G3297">
        <v>-478.98570000000001</v>
      </c>
      <c r="H3297" s="1">
        <v>2.2873469999999999E-6</v>
      </c>
      <c r="I3297">
        <v>220.3348</v>
      </c>
      <c r="J3297">
        <v>-488.74880000000002</v>
      </c>
      <c r="K3297">
        <v>1.1129979999999999</v>
      </c>
      <c r="L3297">
        <v>226.65819999999999</v>
      </c>
      <c r="M3297">
        <v>0.54774489999999998</v>
      </c>
      <c r="N3297">
        <v>0</v>
      </c>
      <c r="O3297">
        <v>-0.83651309999999901</v>
      </c>
      <c r="P3297">
        <v>0.63250289999999998</v>
      </c>
      <c r="Q3297">
        <v>6.124188E-3</v>
      </c>
      <c r="R3297">
        <v>-0.77453399999999994</v>
      </c>
      <c r="S3297">
        <v>2.6386720000000001</v>
      </c>
      <c r="T3297">
        <v>-0.29794480000000001</v>
      </c>
      <c r="U3297">
        <v>-1.728424</v>
      </c>
      <c r="V3297">
        <v>-0.10499410000000001</v>
      </c>
      <c r="W3297">
        <v>2.0254479999999998E-2</v>
      </c>
      <c r="X3297">
        <v>0.9942666</v>
      </c>
      <c r="Y3297">
        <v>-0.39577420000000002</v>
      </c>
      <c r="Z3297">
        <v>8.9387910000000001E-2</v>
      </c>
      <c r="AA3297">
        <v>0.9139872</v>
      </c>
      <c r="AB3297">
        <v>17</v>
      </c>
      <c r="AC3297">
        <v>9.7630999999999997</v>
      </c>
      <c r="AD3297">
        <v>-1.1129957126529999</v>
      </c>
      <c r="AE3297">
        <v>-6.3233999999999897</v>
      </c>
      <c r="AF3297">
        <v>-4.6611964181460799</v>
      </c>
      <c r="AG3297">
        <v>-1.1129957126529999</v>
      </c>
      <c r="AH3297">
        <v>10.541956726959199</v>
      </c>
      <c r="AI3297">
        <v>95.515378329036594</v>
      </c>
      <c r="AJ3297">
        <v>113.852937395815</v>
      </c>
      <c r="AK3297">
        <v>11.5800847638523</v>
      </c>
      <c r="AL3297">
        <v>88.839424461968093</v>
      </c>
      <c r="AM3297">
        <v>96.028067601122302</v>
      </c>
      <c r="AN3297">
        <v>1.0000000384352099</v>
      </c>
    </row>
    <row r="3298" spans="1:40" x14ac:dyDescent="0.25">
      <c r="A3298" t="str">
        <f>"20190312160703761"</f>
        <v>20190312160703761</v>
      </c>
      <c r="B3298" t="str">
        <f>"1552378023758535"</f>
        <v>1552378023758535</v>
      </c>
      <c r="C3298" t="s">
        <v>40</v>
      </c>
      <c r="D3298">
        <v>6.0386930000000003</v>
      </c>
      <c r="E3298">
        <v>0.37865179999999998</v>
      </c>
      <c r="F3298" t="s">
        <v>61</v>
      </c>
      <c r="G3298">
        <v>-478.91109999999998</v>
      </c>
      <c r="H3298" s="1">
        <v>2.315625E-6</v>
      </c>
      <c r="I3298">
        <v>220.29859999999999</v>
      </c>
      <c r="J3298">
        <v>-488.65699999999998</v>
      </c>
      <c r="K3298">
        <v>1.1129830000000001</v>
      </c>
      <c r="L3298">
        <v>226.52950000000001</v>
      </c>
      <c r="M3298">
        <v>0.55212910000000004</v>
      </c>
      <c r="N3298">
        <v>0</v>
      </c>
      <c r="O3298">
        <v>-0.83362590000000003</v>
      </c>
      <c r="P3298">
        <v>0.637959099999999</v>
      </c>
      <c r="Q3298">
        <v>6.4330189999999999E-3</v>
      </c>
      <c r="R3298">
        <v>-0.77004359999999905</v>
      </c>
      <c r="S3298">
        <v>2.648987</v>
      </c>
      <c r="T3298">
        <v>-0.29969580000000001</v>
      </c>
      <c r="U3298">
        <v>-1.712448</v>
      </c>
      <c r="V3298">
        <v>-0.10680199999999999</v>
      </c>
      <c r="W3298">
        <v>2.0548159999999999E-2</v>
      </c>
      <c r="X3298">
        <v>0.99406799999999995</v>
      </c>
      <c r="Y3298">
        <v>-0.39642870000000002</v>
      </c>
      <c r="Z3298">
        <v>8.9744519999999994E-2</v>
      </c>
      <c r="AA3298">
        <v>0.91366849999999999</v>
      </c>
      <c r="AB3298">
        <v>17</v>
      </c>
      <c r="AC3298">
        <v>9.7459000000000007</v>
      </c>
      <c r="AD3298">
        <v>-1.1129806843750001</v>
      </c>
      <c r="AE3298">
        <v>-6.2309000000000099</v>
      </c>
      <c r="AF3298">
        <v>-4.6417207769364301</v>
      </c>
      <c r="AG3298">
        <v>-1.1129806843750001</v>
      </c>
      <c r="AH3298">
        <v>10.479391245011801</v>
      </c>
      <c r="AI3298">
        <v>95.546433687551996</v>
      </c>
      <c r="AJ3298">
        <v>113.890373777188</v>
      </c>
      <c r="AK3298">
        <v>11.515291513499101</v>
      </c>
      <c r="AL3298">
        <v>88.822594338633294</v>
      </c>
      <c r="AM3298">
        <v>96.132296901266898</v>
      </c>
      <c r="AN3298">
        <v>1.00000004135369</v>
      </c>
    </row>
    <row r="3299" spans="1:40" x14ac:dyDescent="0.25">
      <c r="A3299" t="str">
        <f>"20190312160703784"</f>
        <v>20190312160703784</v>
      </c>
      <c r="B3299" t="str">
        <f>"1552378023778055"</f>
        <v>1552378023778055</v>
      </c>
      <c r="C3299" t="s">
        <v>40</v>
      </c>
      <c r="D3299">
        <v>6.029617</v>
      </c>
      <c r="E3299">
        <v>0.37872159999999999</v>
      </c>
      <c r="F3299" t="s">
        <v>61</v>
      </c>
      <c r="G3299">
        <v>-478.83170000000001</v>
      </c>
      <c r="H3299" s="1">
        <v>2.347203E-6</v>
      </c>
      <c r="I3299">
        <v>220.27099999999999</v>
      </c>
      <c r="J3299">
        <v>-488.55540000000002</v>
      </c>
      <c r="K3299">
        <v>1.112968</v>
      </c>
      <c r="L3299">
        <v>226.3887</v>
      </c>
      <c r="M3299">
        <v>0.55695159999999999</v>
      </c>
      <c r="N3299">
        <v>0</v>
      </c>
      <c r="O3299">
        <v>-0.83041149999999997</v>
      </c>
      <c r="P3299">
        <v>0.64426830000000002</v>
      </c>
      <c r="Q3299">
        <v>6.6104359999999999E-3</v>
      </c>
      <c r="R3299">
        <v>-0.76477069999999903</v>
      </c>
      <c r="S3299">
        <v>2.6601870000000001</v>
      </c>
      <c r="T3299">
        <v>-0.30133710000000002</v>
      </c>
      <c r="U3299">
        <v>-1.6944889999999999</v>
      </c>
      <c r="V3299">
        <v>-0.10921450000000001</v>
      </c>
      <c r="W3299">
        <v>2.0706909999999999E-2</v>
      </c>
      <c r="X3299">
        <v>0.99380250000000003</v>
      </c>
      <c r="Y3299">
        <v>-0.39720729999999999</v>
      </c>
      <c r="Z3299">
        <v>9.0054120000000001E-2</v>
      </c>
      <c r="AA3299">
        <v>0.91329990000000005</v>
      </c>
      <c r="AB3299">
        <v>17</v>
      </c>
      <c r="AC3299">
        <v>9.7236999999999991</v>
      </c>
      <c r="AD3299">
        <v>-1.112965652797</v>
      </c>
      <c r="AE3299">
        <v>-6.1177000000000099</v>
      </c>
      <c r="AF3299">
        <v>-4.6245224904059601</v>
      </c>
      <c r="AG3299">
        <v>-1.112965652797</v>
      </c>
      <c r="AH3299">
        <v>10.3993965307204</v>
      </c>
      <c r="AI3299">
        <v>95.585144851047005</v>
      </c>
      <c r="AJ3299">
        <v>113.974304787454</v>
      </c>
      <c r="AK3299">
        <v>11.435573838322901</v>
      </c>
      <c r="AL3299">
        <v>88.813496644557304</v>
      </c>
      <c r="AM3299">
        <v>96.271387001873805</v>
      </c>
      <c r="AN3299">
        <v>0.99999999606912404</v>
      </c>
    </row>
    <row r="3300" spans="1:40" x14ac:dyDescent="0.25">
      <c r="A3300" t="str">
        <f>"20190312160703806"</f>
        <v>20190312160703806</v>
      </c>
      <c r="B3300" t="str">
        <f>"1552378023798082"</f>
        <v>1552378023798082</v>
      </c>
      <c r="C3300" t="s">
        <v>40</v>
      </c>
      <c r="D3300">
        <v>5.6694940000000003</v>
      </c>
      <c r="E3300">
        <v>0.37880380000000002</v>
      </c>
      <c r="F3300" t="s">
        <v>61</v>
      </c>
      <c r="G3300">
        <v>-478.68790000000001</v>
      </c>
      <c r="H3300" s="1">
        <v>2.4034129999999999E-6</v>
      </c>
      <c r="I3300">
        <v>220.2141</v>
      </c>
      <c r="J3300">
        <v>-488.45729999999998</v>
      </c>
      <c r="K3300">
        <v>1.1129439999999999</v>
      </c>
      <c r="L3300">
        <v>226.25450000000001</v>
      </c>
      <c r="M3300">
        <v>0.56156329999999999</v>
      </c>
      <c r="N3300">
        <v>0</v>
      </c>
      <c r="O3300">
        <v>-0.82730009999999998</v>
      </c>
      <c r="P3300">
        <v>0.65029230000000005</v>
      </c>
      <c r="Q3300">
        <v>6.1756490000000001E-3</v>
      </c>
      <c r="R3300">
        <v>-0.75965909999999903</v>
      </c>
      <c r="S3300">
        <v>2.673584</v>
      </c>
      <c r="T3300">
        <v>-0.30155850000000001</v>
      </c>
      <c r="U3300">
        <v>-1.67301899999999</v>
      </c>
      <c r="V3300">
        <v>-0.11153390000000001</v>
      </c>
      <c r="W3300">
        <v>2.025544E-2</v>
      </c>
      <c r="X3300">
        <v>0.99355420000000005</v>
      </c>
      <c r="Y3300">
        <v>-0.39943190000000001</v>
      </c>
      <c r="Z3300">
        <v>8.9987369999999997E-2</v>
      </c>
      <c r="AA3300">
        <v>0.91233569999999997</v>
      </c>
      <c r="AB3300">
        <v>17</v>
      </c>
      <c r="AC3300">
        <v>9.7693999999999601</v>
      </c>
      <c r="AD3300">
        <v>-1.112941596587</v>
      </c>
      <c r="AE3300">
        <v>-6.0404</v>
      </c>
      <c r="AF3300">
        <v>-4.6470473730601496</v>
      </c>
      <c r="AG3300">
        <v>-1.112941596587</v>
      </c>
      <c r="AH3300">
        <v>10.3869984829639</v>
      </c>
      <c r="AI3300">
        <v>95.586072070197304</v>
      </c>
      <c r="AJ3300">
        <v>114.103302021659</v>
      </c>
      <c r="AK3300">
        <v>11.433434557033699</v>
      </c>
      <c r="AL3300">
        <v>88.839369426517905</v>
      </c>
      <c r="AM3300">
        <v>96.405065181318193</v>
      </c>
      <c r="AN3300">
        <v>1.0000000210182201</v>
      </c>
    </row>
    <row r="3301" spans="1:40" x14ac:dyDescent="0.25">
      <c r="A3301" t="str">
        <f>"20190312160703829"</f>
        <v>20190312160703829</v>
      </c>
      <c r="B3301" t="str">
        <f>"1552378023818581"</f>
        <v>1552378023818581</v>
      </c>
      <c r="C3301" t="s">
        <v>40</v>
      </c>
      <c r="D3301">
        <v>5.9145770000000004</v>
      </c>
      <c r="E3301">
        <v>0.3791176</v>
      </c>
      <c r="F3301" t="s">
        <v>61</v>
      </c>
      <c r="G3301">
        <v>-478.64210000000003</v>
      </c>
      <c r="H3301" s="1">
        <v>2.4241459999999998E-6</v>
      </c>
      <c r="I3301">
        <v>220.21709999999999</v>
      </c>
      <c r="J3301">
        <v>-488.35939999999999</v>
      </c>
      <c r="K3301">
        <v>1.1129150000000001</v>
      </c>
      <c r="L3301">
        <v>226.12209999999999</v>
      </c>
      <c r="M3301">
        <v>0.56611279999999997</v>
      </c>
      <c r="N3301">
        <v>0</v>
      </c>
      <c r="O3301">
        <v>-0.82419379999999998</v>
      </c>
      <c r="P3301">
        <v>0.6559739</v>
      </c>
      <c r="Q3301">
        <v>5.7649349999999997E-3</v>
      </c>
      <c r="R3301">
        <v>-0.75476189999999999</v>
      </c>
      <c r="S3301">
        <v>2.686096</v>
      </c>
      <c r="T3301">
        <v>-0.30457509999999999</v>
      </c>
      <c r="U3301">
        <v>-1.652237</v>
      </c>
      <c r="V3301">
        <v>-0.1135089</v>
      </c>
      <c r="W3301">
        <v>1.983066E-2</v>
      </c>
      <c r="X3301">
        <v>0.99333910000000003</v>
      </c>
      <c r="Y3301">
        <v>-0.40132590000000001</v>
      </c>
      <c r="Z3301">
        <v>9.0743110000000002E-2</v>
      </c>
      <c r="AA3301">
        <v>0.91142920000000005</v>
      </c>
      <c r="AB3301">
        <v>17</v>
      </c>
      <c r="AC3301">
        <v>9.7172999999999607</v>
      </c>
      <c r="AD3301">
        <v>-1.1129125758539999</v>
      </c>
      <c r="AE3301">
        <v>-5.9050000000000002</v>
      </c>
      <c r="AF3301">
        <v>-4.6222788393637897</v>
      </c>
      <c r="AG3301">
        <v>-1.1129125758539999</v>
      </c>
      <c r="AH3301">
        <v>10.2707097684641</v>
      </c>
      <c r="AI3301">
        <v>95.6432058649834</v>
      </c>
      <c r="AJ3301">
        <v>114.22987670334</v>
      </c>
      <c r="AK3301">
        <v>11.3177522158045</v>
      </c>
      <c r="AL3301">
        <v>88.863712446465698</v>
      </c>
      <c r="AM3301">
        <v>96.518915332893698</v>
      </c>
      <c r="AN3301">
        <v>1.00000004652202</v>
      </c>
    </row>
    <row r="3302" spans="1:40" x14ac:dyDescent="0.25">
      <c r="A3302" t="str">
        <f>"20190312160704052"</f>
        <v>20190312160704052</v>
      </c>
      <c r="B3302" t="str">
        <f>"1552378024047976"</f>
        <v>1552378024047976</v>
      </c>
      <c r="C3302" t="s">
        <v>40</v>
      </c>
      <c r="D3302">
        <v>5.9102649999999999</v>
      </c>
      <c r="E3302">
        <v>0.37970949999999998</v>
      </c>
      <c r="F3302" t="s">
        <v>61</v>
      </c>
      <c r="G3302">
        <v>-478.70819999999998</v>
      </c>
      <c r="H3302" s="1">
        <v>2.4020539999999998E-6</v>
      </c>
      <c r="I3302">
        <v>220.27189999999999</v>
      </c>
      <c r="J3302">
        <v>-487.3458</v>
      </c>
      <c r="K3302">
        <v>1.1127049999999901</v>
      </c>
      <c r="L3302">
        <v>224.83330000000001</v>
      </c>
      <c r="M3302">
        <v>0.61016309999999996</v>
      </c>
      <c r="N3302">
        <v>0</v>
      </c>
      <c r="O3302">
        <v>-0.79213769999999994</v>
      </c>
      <c r="P3302">
        <v>0.69834929999999995</v>
      </c>
      <c r="Q3302">
        <v>3.287468E-3</v>
      </c>
      <c r="R3302">
        <v>-0.71574989999999905</v>
      </c>
      <c r="S3302">
        <v>2.6959230000000001</v>
      </c>
      <c r="T3302">
        <v>-0.31087589999999998</v>
      </c>
      <c r="U3302">
        <v>-1.6341859999999999</v>
      </c>
      <c r="V3302">
        <v>-0.1165788</v>
      </c>
      <c r="W3302">
        <v>1.7320550000000001E-2</v>
      </c>
      <c r="X3302">
        <v>0.99303039999999998</v>
      </c>
      <c r="Y3302">
        <v>-0.35699330000000001</v>
      </c>
      <c r="Z3302">
        <v>8.8908340000000002E-2</v>
      </c>
      <c r="AA3302">
        <v>0.92986619999999998</v>
      </c>
      <c r="AB3302">
        <v>16</v>
      </c>
      <c r="AC3302">
        <v>8.6376000000000097</v>
      </c>
      <c r="AD3302">
        <v>-1.1127025979459999</v>
      </c>
      <c r="AE3302">
        <v>-4.5614000000000097</v>
      </c>
      <c r="AF3302">
        <v>-4.0074143065680401</v>
      </c>
      <c r="AG3302">
        <v>-1.1127025979459999</v>
      </c>
      <c r="AH3302">
        <v>8.7707637608310396</v>
      </c>
      <c r="AI3302">
        <v>96.582293057463104</v>
      </c>
      <c r="AJ3302">
        <v>114.55594370208</v>
      </c>
      <c r="AK3302">
        <v>9.70689308915418</v>
      </c>
      <c r="AL3302">
        <v>89.007555956211405</v>
      </c>
      <c r="AM3302">
        <v>96.695705254101597</v>
      </c>
      <c r="AN3302">
        <v>0.99999999669295103</v>
      </c>
    </row>
    <row r="3303" spans="1:40" x14ac:dyDescent="0.25">
      <c r="A3303" t="str">
        <f>"20190312160704077"</f>
        <v>20190312160704077</v>
      </c>
      <c r="B3303" t="str">
        <f>"1552378024068470"</f>
        <v>1552378024068470</v>
      </c>
      <c r="C3303" t="s">
        <v>40</v>
      </c>
      <c r="D3303">
        <v>3.5460780000000001</v>
      </c>
      <c r="E3303">
        <v>0.37985449999999998</v>
      </c>
      <c r="F3303" t="s">
        <v>61</v>
      </c>
      <c r="G3303">
        <v>-477.69009999999997</v>
      </c>
      <c r="H3303" s="1">
        <v>2.776976E-6</v>
      </c>
      <c r="I3303">
        <v>219.6936</v>
      </c>
      <c r="J3303">
        <v>-487.23540000000003</v>
      </c>
      <c r="K3303">
        <v>1.11269</v>
      </c>
      <c r="L3303">
        <v>224.7011</v>
      </c>
      <c r="M3303">
        <v>0.61468080000000003</v>
      </c>
      <c r="N3303">
        <v>0</v>
      </c>
      <c r="O3303">
        <v>-0.78863729999999999</v>
      </c>
      <c r="P3303">
        <v>0.70222839999999997</v>
      </c>
      <c r="Q3303">
        <v>3.0972590000000002E-3</v>
      </c>
      <c r="R3303">
        <v>-0.7119453</v>
      </c>
      <c r="S3303">
        <v>2.7804570000000002</v>
      </c>
      <c r="T3303">
        <v>-0.32041409999999998</v>
      </c>
      <c r="U3303">
        <v>-1.4800260000000001</v>
      </c>
      <c r="V3303">
        <v>-0.116297</v>
      </c>
      <c r="W3303">
        <v>1.7129370000000001E-2</v>
      </c>
      <c r="X3303">
        <v>0.99306680000000003</v>
      </c>
      <c r="Y3303">
        <v>-0.40268389999999998</v>
      </c>
      <c r="Z3303">
        <v>9.3031559999999999E-2</v>
      </c>
      <c r="AA3303">
        <v>0.91059909999999999</v>
      </c>
      <c r="AB3303">
        <v>16</v>
      </c>
      <c r="AC3303">
        <v>9.5453000000000507</v>
      </c>
      <c r="AD3303">
        <v>-1.1126872230239999</v>
      </c>
      <c r="AE3303">
        <v>-5.0074999999999896</v>
      </c>
      <c r="AF3303">
        <v>-4.4033312549028496</v>
      </c>
      <c r="AG3303">
        <v>-1.1126872230239999</v>
      </c>
      <c r="AH3303">
        <v>9.7139775325173101</v>
      </c>
      <c r="AI3303">
        <v>95.955942146086898</v>
      </c>
      <c r="AJ3303">
        <v>114.384714586504</v>
      </c>
      <c r="AK3303">
        <v>10.7232811442644</v>
      </c>
      <c r="AL3303">
        <v>89.018511429679506</v>
      </c>
      <c r="AM3303">
        <v>96.679423870956597</v>
      </c>
      <c r="AN3303">
        <v>1.0000000383939101</v>
      </c>
    </row>
    <row r="3304" spans="1:40" x14ac:dyDescent="0.25">
      <c r="A3304" t="str">
        <f>"20190312160704098"</f>
        <v>20190312160704098</v>
      </c>
      <c r="B3304" t="str">
        <f>"1552378024088497"</f>
        <v>1552378024088497</v>
      </c>
      <c r="C3304" t="s">
        <v>40</v>
      </c>
      <c r="D3304">
        <v>5.5815460000000003</v>
      </c>
      <c r="E3304">
        <v>0.37979030000000003</v>
      </c>
      <c r="F3304" t="s">
        <v>61</v>
      </c>
      <c r="G3304">
        <v>-477.44260000000003</v>
      </c>
      <c r="H3304" s="1">
        <v>2.873765E-6</v>
      </c>
      <c r="I3304">
        <v>219.55340000000001</v>
      </c>
      <c r="J3304">
        <v>-487.1327</v>
      </c>
      <c r="K3304">
        <v>1.1126750000000001</v>
      </c>
      <c r="L3304">
        <v>224.5797</v>
      </c>
      <c r="M3304">
        <v>0.61883679999999996</v>
      </c>
      <c r="N3304">
        <v>0</v>
      </c>
      <c r="O3304">
        <v>-0.78538039999999998</v>
      </c>
      <c r="P3304">
        <v>0.70556019999999997</v>
      </c>
      <c r="Q3304">
        <v>3.0676480000000001E-3</v>
      </c>
      <c r="R3304">
        <v>-0.70864329999999998</v>
      </c>
      <c r="S3304">
        <v>2.7877809999999998</v>
      </c>
      <c r="T3304">
        <v>-0.31675779999999998</v>
      </c>
      <c r="U3304">
        <v>-1.4654389999999999</v>
      </c>
      <c r="V3304">
        <v>-0.1157103</v>
      </c>
      <c r="W3304">
        <v>1.710076E-2</v>
      </c>
      <c r="X3304">
        <v>0.99313580000000001</v>
      </c>
      <c r="Y3304">
        <v>-0.40269159999999998</v>
      </c>
      <c r="Z3304">
        <v>9.1750620000000005E-2</v>
      </c>
      <c r="AA3304">
        <v>0.91072569999999997</v>
      </c>
      <c r="AB3304">
        <v>16</v>
      </c>
      <c r="AC3304">
        <v>9.6900999999999708</v>
      </c>
      <c r="AD3304">
        <v>-1.1126721262349999</v>
      </c>
      <c r="AE3304">
        <v>-5.0262999999999902</v>
      </c>
      <c r="AF3304">
        <v>-4.4541703080662103</v>
      </c>
      <c r="AG3304">
        <v>-1.1126721262349999</v>
      </c>
      <c r="AH3304">
        <v>9.8429710169996998</v>
      </c>
      <c r="AI3304">
        <v>95.880061233796795</v>
      </c>
      <c r="AJ3304">
        <v>114.347843429999</v>
      </c>
      <c r="AK3304">
        <v>10.8610197879966</v>
      </c>
      <c r="AL3304">
        <v>89.020150877495595</v>
      </c>
      <c r="AM3304">
        <v>96.645571813708202</v>
      </c>
      <c r="AN3304">
        <v>1.0000000133801501</v>
      </c>
    </row>
    <row r="3305" spans="1:40" x14ac:dyDescent="0.25">
      <c r="A3305" t="str">
        <f>"20190312160704164"</f>
        <v>20190312160704164</v>
      </c>
      <c r="B3305" t="str">
        <f>"1552378024158768"</f>
        <v>1552378024158768</v>
      </c>
      <c r="C3305" t="s">
        <v>40</v>
      </c>
      <c r="D3305">
        <v>5.3678290000000004</v>
      </c>
      <c r="E3305">
        <v>0.41969840000000003</v>
      </c>
      <c r="F3305" t="s">
        <v>61</v>
      </c>
      <c r="G3305">
        <v>-477.37580000000003</v>
      </c>
      <c r="H3305" s="1">
        <v>2.901498E-6</v>
      </c>
      <c r="I3305">
        <v>219.50970000000001</v>
      </c>
      <c r="J3305">
        <v>-486.82470000000001</v>
      </c>
      <c r="K3305">
        <v>1.1126309999999999</v>
      </c>
      <c r="L3305">
        <v>224.22309999999999</v>
      </c>
      <c r="M3305">
        <v>0.63105540000000004</v>
      </c>
      <c r="N3305">
        <v>0</v>
      </c>
      <c r="O3305">
        <v>-0.77559739999999999</v>
      </c>
      <c r="P3305">
        <v>0.71585940000000003</v>
      </c>
      <c r="Q3305">
        <v>2.273157E-3</v>
      </c>
      <c r="R3305">
        <v>-0.69824119999999901</v>
      </c>
      <c r="S3305">
        <v>2.7948</v>
      </c>
      <c r="T3305">
        <v>-0.31871749999999999</v>
      </c>
      <c r="U3305">
        <v>-1.4522710000000001</v>
      </c>
      <c r="V3305">
        <v>-0.11469500000000001</v>
      </c>
      <c r="W3305">
        <v>1.6305030000000002E-2</v>
      </c>
      <c r="X3305">
        <v>0.99326689999999995</v>
      </c>
      <c r="Y3305">
        <v>-0.39267970000000002</v>
      </c>
      <c r="Z3305">
        <v>9.1223600000000002E-2</v>
      </c>
      <c r="AA3305">
        <v>0.91513990000000001</v>
      </c>
      <c r="AB3305">
        <v>16</v>
      </c>
      <c r="AC3305">
        <v>9.4488999999999805</v>
      </c>
      <c r="AD3305">
        <v>-1.1126280985019901</v>
      </c>
      <c r="AE3305">
        <v>-4.7133999999999698</v>
      </c>
      <c r="AF3305">
        <v>-4.3067824368815</v>
      </c>
      <c r="AG3305">
        <v>-1.1126280985019901</v>
      </c>
      <c r="AH3305">
        <v>9.5138964217859208</v>
      </c>
      <c r="AI3305">
        <v>96.0813440027121</v>
      </c>
      <c r="AJ3305">
        <v>114.355470676416</v>
      </c>
      <c r="AK3305">
        <v>10.502406456078401</v>
      </c>
      <c r="AL3305">
        <v>89.065749165403503</v>
      </c>
      <c r="AM3305">
        <v>96.586913174834507</v>
      </c>
      <c r="AN3305">
        <v>0.99999996583195405</v>
      </c>
    </row>
    <row r="3306" spans="1:40" x14ac:dyDescent="0.25">
      <c r="A3306" t="str">
        <f>"20190312160704186"</f>
        <v>20190312160704186</v>
      </c>
      <c r="B3306" t="str">
        <f>"1552378024178290"</f>
        <v>1552378024178290</v>
      </c>
      <c r="C3306" t="s">
        <v>40</v>
      </c>
      <c r="D3306">
        <v>5.4891059999999996</v>
      </c>
      <c r="E3306">
        <v>0.39163809999999999</v>
      </c>
      <c r="F3306" t="s">
        <v>61</v>
      </c>
      <c r="G3306">
        <v>-483.32549999999998</v>
      </c>
      <c r="H3306" s="1">
        <v>2.8871339999999999E-6</v>
      </c>
      <c r="I3306">
        <v>222.00720000000001</v>
      </c>
      <c r="J3306">
        <v>-486.71910000000003</v>
      </c>
      <c r="K3306">
        <v>1.112608</v>
      </c>
      <c r="L3306">
        <v>224.10339999999999</v>
      </c>
      <c r="M3306">
        <v>0.63516139999999999</v>
      </c>
      <c r="N3306">
        <v>0</v>
      </c>
      <c r="O3306">
        <v>-0.7722386</v>
      </c>
      <c r="P3306">
        <v>0.71948080000000003</v>
      </c>
      <c r="Q3306">
        <v>2.1402080000000002E-3</v>
      </c>
      <c r="R3306">
        <v>-0.69450900000000004</v>
      </c>
      <c r="S3306">
        <v>2.5921940000000001</v>
      </c>
      <c r="T3306">
        <v>-0.82424189999999997</v>
      </c>
      <c r="U3306">
        <v>-1.641586</v>
      </c>
      <c r="V3306">
        <v>-0.1145897</v>
      </c>
      <c r="W3306">
        <v>1.61701E-2</v>
      </c>
      <c r="X3306">
        <v>0.99328130000000003</v>
      </c>
      <c r="Y3306">
        <v>-0.28470060000000003</v>
      </c>
      <c r="Z3306">
        <v>0.22631960000000001</v>
      </c>
      <c r="AA3306">
        <v>0.93151759999999995</v>
      </c>
      <c r="AB3306">
        <v>16</v>
      </c>
      <c r="AC3306">
        <v>3.3936000000000401</v>
      </c>
      <c r="AD3306">
        <v>-1.1126051128659999</v>
      </c>
      <c r="AE3306">
        <v>-2.0961999999999801</v>
      </c>
      <c r="AF3306">
        <v>-1.1963075512936401</v>
      </c>
      <c r="AG3306">
        <v>-1.1126051128659999</v>
      </c>
      <c r="AH3306">
        <v>3.5021807817518802</v>
      </c>
      <c r="AI3306">
        <v>106.732542470768</v>
      </c>
      <c r="AJ3306">
        <v>108.859619071089</v>
      </c>
      <c r="AK3306">
        <v>3.86449377312604</v>
      </c>
      <c r="AL3306">
        <v>89.073481141975904</v>
      </c>
      <c r="AM3306">
        <v>96.580824315940802</v>
      </c>
      <c r="AN3306">
        <v>1.0000000062048899</v>
      </c>
    </row>
    <row r="3307" spans="1:40" x14ac:dyDescent="0.25">
      <c r="A3307" t="str">
        <f>"20190312160704210"</f>
        <v>20190312160704210</v>
      </c>
      <c r="B3307" t="str">
        <f>"1552378024198319"</f>
        <v>1552378024198319</v>
      </c>
      <c r="C3307" t="s">
        <v>40</v>
      </c>
      <c r="D3307">
        <v>3.399197</v>
      </c>
      <c r="E3307">
        <v>0.38971660000000002</v>
      </c>
      <c r="F3307" t="s">
        <v>61</v>
      </c>
      <c r="G3307">
        <v>-480.0856</v>
      </c>
      <c r="H3307" s="1">
        <v>1.9967389999999999E-6</v>
      </c>
      <c r="I3307">
        <v>220.57939999999999</v>
      </c>
      <c r="J3307">
        <v>-486.61180000000002</v>
      </c>
      <c r="K3307">
        <v>1.112592</v>
      </c>
      <c r="L3307">
        <v>223.98320000000001</v>
      </c>
      <c r="M3307">
        <v>0.63928680000000004</v>
      </c>
      <c r="N3307">
        <v>0</v>
      </c>
      <c r="O3307">
        <v>-0.76882700000000004</v>
      </c>
      <c r="P3307">
        <v>0.7231379</v>
      </c>
      <c r="Q3307">
        <v>1.9673260000000001E-3</v>
      </c>
      <c r="R3307">
        <v>-0.69070120000000002</v>
      </c>
      <c r="S3307">
        <v>2.7571720000000002</v>
      </c>
      <c r="T3307">
        <v>-0.46244839999999998</v>
      </c>
      <c r="U3307">
        <v>-1.464737</v>
      </c>
      <c r="V3307">
        <v>-0.1145142</v>
      </c>
      <c r="W3307">
        <v>1.5994649999999999E-2</v>
      </c>
      <c r="X3307">
        <v>0.99329290000000003</v>
      </c>
      <c r="Y3307">
        <v>-0.3694808</v>
      </c>
      <c r="Z3307">
        <v>0.1310036</v>
      </c>
      <c r="AA3307">
        <v>0.91995760000000004</v>
      </c>
      <c r="AB3307">
        <v>16</v>
      </c>
      <c r="AC3307">
        <v>6.52620000000001</v>
      </c>
      <c r="AD3307">
        <v>-1.1125900032610001</v>
      </c>
      <c r="AE3307">
        <v>-3.4038000000000102</v>
      </c>
      <c r="AF3307">
        <v>-2.7783428653175002</v>
      </c>
      <c r="AG3307">
        <v>-1.1125900032610001</v>
      </c>
      <c r="AH3307">
        <v>6.6381152875759</v>
      </c>
      <c r="AI3307">
        <v>98.788925883781701</v>
      </c>
      <c r="AJ3307">
        <v>112.71145199788801</v>
      </c>
      <c r="AK3307">
        <v>7.2815946168243899</v>
      </c>
      <c r="AL3307">
        <v>89.083535034185104</v>
      </c>
      <c r="AM3307">
        <v>96.576450257603298</v>
      </c>
      <c r="AN3307">
        <v>1.0000000580103301</v>
      </c>
    </row>
    <row r="3308" spans="1:40" x14ac:dyDescent="0.25">
      <c r="A3308" t="str">
        <f>"20190312160704230"</f>
        <v>20190312160704230</v>
      </c>
      <c r="B3308" t="str">
        <f>"1552378024228572"</f>
        <v>1552378024228572</v>
      </c>
      <c r="C3308" t="s">
        <v>40</v>
      </c>
      <c r="D3308">
        <v>8.1290449999999996</v>
      </c>
      <c r="E3308">
        <v>0.39123439999999998</v>
      </c>
      <c r="F3308" t="s">
        <v>61</v>
      </c>
      <c r="G3308">
        <v>-478.30079999999998</v>
      </c>
      <c r="H3308" s="1">
        <v>2.503828E-6</v>
      </c>
      <c r="I3308">
        <v>219.67599999999999</v>
      </c>
      <c r="J3308">
        <v>-486.512</v>
      </c>
      <c r="K3308">
        <v>1.1125799999999999</v>
      </c>
      <c r="L3308">
        <v>223.8723</v>
      </c>
      <c r="M3308">
        <v>0.64309309999999997</v>
      </c>
      <c r="N3308">
        <v>0</v>
      </c>
      <c r="O3308">
        <v>-0.765646099999999</v>
      </c>
      <c r="P3308">
        <v>0.72654189999999996</v>
      </c>
      <c r="Q3308">
        <v>2.1781510000000001E-3</v>
      </c>
      <c r="R3308">
        <v>-0.68711889999999998</v>
      </c>
      <c r="S3308">
        <v>2.7756349999999999</v>
      </c>
      <c r="T3308">
        <v>-0.3715733</v>
      </c>
      <c r="U3308">
        <v>-1.438477</v>
      </c>
      <c r="V3308">
        <v>-0.11449579999999999</v>
      </c>
      <c r="W3308">
        <v>1.6202999999999999E-2</v>
      </c>
      <c r="X3308">
        <v>0.99329160000000005</v>
      </c>
      <c r="Y3308">
        <v>-0.37765290000000001</v>
      </c>
      <c r="Z3308">
        <v>0.1054725</v>
      </c>
      <c r="AA3308">
        <v>0.91992059999999998</v>
      </c>
      <c r="AB3308">
        <v>16</v>
      </c>
      <c r="AC3308">
        <v>8.2111999999999608</v>
      </c>
      <c r="AD3308">
        <v>-1.1125774961720001</v>
      </c>
      <c r="AE3308">
        <v>-4.1962999999999999</v>
      </c>
      <c r="AF3308">
        <v>-3.53716088815928</v>
      </c>
      <c r="AG3308">
        <v>-1.1125774961720001</v>
      </c>
      <c r="AH3308">
        <v>8.3724907689120691</v>
      </c>
      <c r="AI3308">
        <v>96.978805729646297</v>
      </c>
      <c r="AJ3308">
        <v>112.902800844476</v>
      </c>
      <c r="AK3308">
        <v>9.1568519431751199</v>
      </c>
      <c r="AL3308">
        <v>89.0715958711139</v>
      </c>
      <c r="AM3308">
        <v>96.575411346510194</v>
      </c>
      <c r="AN3308">
        <v>1.0000000140286001</v>
      </c>
    </row>
    <row r="3309" spans="1:40" x14ac:dyDescent="0.25">
      <c r="A3309" t="str">
        <f>"20190312160704253"</f>
        <v>20190312160704253</v>
      </c>
      <c r="B3309" t="str">
        <f>"1552378024248092"</f>
        <v>1552378024248092</v>
      </c>
      <c r="C3309" t="s">
        <v>40</v>
      </c>
      <c r="D3309">
        <v>6.1285350000000003</v>
      </c>
      <c r="E3309">
        <v>0.39376689999999998</v>
      </c>
      <c r="F3309" t="s">
        <v>61</v>
      </c>
      <c r="G3309">
        <v>-476.01839999999999</v>
      </c>
      <c r="H3309" s="1">
        <v>3.4572620000000001E-6</v>
      </c>
      <c r="I3309">
        <v>218.45339999999999</v>
      </c>
      <c r="J3309">
        <v>-486.40559999999999</v>
      </c>
      <c r="K3309">
        <v>1.1125689999999999</v>
      </c>
      <c r="L3309">
        <v>223.75550000000001</v>
      </c>
      <c r="M3309">
        <v>0.64710210000000001</v>
      </c>
      <c r="N3309">
        <v>0</v>
      </c>
      <c r="O3309">
        <v>-0.76226099999999997</v>
      </c>
      <c r="P3309">
        <v>0.73005699999999996</v>
      </c>
      <c r="Q3309">
        <v>2.2662989999999998E-3</v>
      </c>
      <c r="R3309">
        <v>-0.68338299999999996</v>
      </c>
      <c r="S3309">
        <v>2.7748719999999998</v>
      </c>
      <c r="T3309">
        <v>-0.29420449999999998</v>
      </c>
      <c r="U3309">
        <v>-1.4329379999999901</v>
      </c>
      <c r="V3309">
        <v>-0.1143782</v>
      </c>
      <c r="W3309">
        <v>1.6288819999999999E-2</v>
      </c>
      <c r="X3309">
        <v>0.99330370000000001</v>
      </c>
      <c r="Y3309">
        <v>-0.3764808</v>
      </c>
      <c r="Z3309">
        <v>8.3469020000000005E-2</v>
      </c>
      <c r="AA3309">
        <v>0.92265649999999999</v>
      </c>
      <c r="AB3309">
        <v>16</v>
      </c>
      <c r="AC3309">
        <v>10.3872</v>
      </c>
      <c r="AD3309">
        <v>-1.1125655427379999</v>
      </c>
      <c r="AE3309">
        <v>-5.3021000000000198</v>
      </c>
      <c r="AF3309">
        <v>-4.4467739876814498</v>
      </c>
      <c r="AG3309">
        <v>-1.1125655427379999</v>
      </c>
      <c r="AH3309">
        <v>10.6672478017859</v>
      </c>
      <c r="AI3309">
        <v>95.498792379578603</v>
      </c>
      <c r="AJ3309">
        <v>112.629417563377</v>
      </c>
      <c r="AK3309">
        <v>11.6104167302089</v>
      </c>
      <c r="AL3309">
        <v>89.066678056676807</v>
      </c>
      <c r="AM3309">
        <v>96.568637398416996</v>
      </c>
      <c r="AN3309">
        <v>0.99999996936295998</v>
      </c>
    </row>
    <row r="3310" spans="1:40" x14ac:dyDescent="0.25">
      <c r="A3310" t="str">
        <f>"20190312160704277"</f>
        <v>20190312160704277</v>
      </c>
      <c r="B3310" t="str">
        <f>"1552378024268587"</f>
        <v>1552378024268587</v>
      </c>
      <c r="C3310" t="s">
        <v>40</v>
      </c>
      <c r="D3310">
        <v>6.1592779999999996</v>
      </c>
      <c r="E3310">
        <v>0.39679029999999998</v>
      </c>
      <c r="F3310" t="s">
        <v>61</v>
      </c>
      <c r="G3310">
        <v>-475.73779999999999</v>
      </c>
      <c r="H3310" s="1">
        <v>3.5719640000000001E-6</v>
      </c>
      <c r="I3310">
        <v>218.23099999999999</v>
      </c>
      <c r="J3310">
        <v>-486.29469999999998</v>
      </c>
      <c r="K3310">
        <v>1.112557</v>
      </c>
      <c r="L3310">
        <v>223.63499999999999</v>
      </c>
      <c r="M3310">
        <v>0.65124059999999995</v>
      </c>
      <c r="N3310">
        <v>0</v>
      </c>
      <c r="O3310">
        <v>-0.75872839999999997</v>
      </c>
      <c r="P3310">
        <v>0.73396740000000005</v>
      </c>
      <c r="Q3310">
        <v>2.275277E-3</v>
      </c>
      <c r="R3310">
        <v>-0.67918100000000003</v>
      </c>
      <c r="S3310">
        <v>2.7682500000000001</v>
      </c>
      <c r="T3310">
        <v>-0.2887053</v>
      </c>
      <c r="U3310">
        <v>-1.4335629999999999</v>
      </c>
      <c r="V3310">
        <v>-0.1146737</v>
      </c>
      <c r="W3310">
        <v>1.629311E-2</v>
      </c>
      <c r="X3310">
        <v>0.99326959999999997</v>
      </c>
      <c r="Y3310">
        <v>-0.37053000000000003</v>
      </c>
      <c r="Z3310">
        <v>8.1613190000000002E-2</v>
      </c>
      <c r="AA3310">
        <v>0.92522800000000005</v>
      </c>
      <c r="AB3310">
        <v>16</v>
      </c>
      <c r="AC3310">
        <v>10.556899999999899</v>
      </c>
      <c r="AD3310">
        <v>-1.1125534280359901</v>
      </c>
      <c r="AE3310">
        <v>-5.4039999999999901</v>
      </c>
      <c r="AF3310">
        <v>-4.4518252797201798</v>
      </c>
      <c r="AG3310">
        <v>-1.1125534280359901</v>
      </c>
      <c r="AH3310">
        <v>10.880687210223201</v>
      </c>
      <c r="AI3310">
        <v>95.406114804594594</v>
      </c>
      <c r="AJ3310">
        <v>112.251888278983</v>
      </c>
      <c r="AK3310">
        <v>11.808720405620001</v>
      </c>
      <c r="AL3310">
        <v>89.066432263647698</v>
      </c>
      <c r="AM3310">
        <v>96.585682921792596</v>
      </c>
      <c r="AN3310">
        <v>1.00000001059466</v>
      </c>
    </row>
    <row r="3311" spans="1:40" x14ac:dyDescent="0.25">
      <c r="A3311" t="str">
        <f>"20190312160704300"</f>
        <v>20190312160704300</v>
      </c>
      <c r="B3311" t="str">
        <f>"1552378024288108"</f>
        <v>1552378024288108</v>
      </c>
      <c r="C3311" t="s">
        <v>40</v>
      </c>
      <c r="D3311">
        <v>6.1680910000000004</v>
      </c>
      <c r="E3311">
        <v>0.39912009999999998</v>
      </c>
      <c r="F3311" t="s">
        <v>61</v>
      </c>
      <c r="G3311">
        <v>-476.03829999999999</v>
      </c>
      <c r="H3311" s="1">
        <v>3.4417680000000002E-6</v>
      </c>
      <c r="I3311">
        <v>218.30090000000001</v>
      </c>
      <c r="J3311">
        <v>-486.18200000000002</v>
      </c>
      <c r="K3311">
        <v>1.112536</v>
      </c>
      <c r="L3311">
        <v>223.51390000000001</v>
      </c>
      <c r="M3311">
        <v>0.65540369999999903</v>
      </c>
      <c r="N3311">
        <v>0</v>
      </c>
      <c r="O3311">
        <v>-0.75513529999999995</v>
      </c>
      <c r="P3311">
        <v>0.73764619999999903</v>
      </c>
      <c r="Q3311">
        <v>2.3662660000000001E-3</v>
      </c>
      <c r="R3311">
        <v>-0.675183599999999</v>
      </c>
      <c r="S3311">
        <v>2.76004</v>
      </c>
      <c r="T3311">
        <v>-0.29939139999999997</v>
      </c>
      <c r="U3311">
        <v>-1.435425</v>
      </c>
      <c r="V3311">
        <v>-0.1146073</v>
      </c>
      <c r="W3311">
        <v>1.638131E-2</v>
      </c>
      <c r="X3311">
        <v>0.99327580000000004</v>
      </c>
      <c r="Y3311">
        <v>-0.36353279999999999</v>
      </c>
      <c r="Z3311">
        <v>8.4275729999999993E-2</v>
      </c>
      <c r="AA3311">
        <v>0.92776159999999996</v>
      </c>
      <c r="AB3311">
        <v>16</v>
      </c>
      <c r="AC3311">
        <v>10.1436999999999</v>
      </c>
      <c r="AD3311">
        <v>-1.112532558232</v>
      </c>
      <c r="AE3311">
        <v>-5.2129999999999903</v>
      </c>
      <c r="AF3311">
        <v>-4.2037043371045799</v>
      </c>
      <c r="AG3311">
        <v>-1.112532558232</v>
      </c>
      <c r="AH3311">
        <v>10.486101386352001</v>
      </c>
      <c r="AI3311">
        <v>95.624214414634693</v>
      </c>
      <c r="AJ3311">
        <v>111.84503158742</v>
      </c>
      <c r="AK3311">
        <v>11.3519681611503</v>
      </c>
      <c r="AL3311">
        <v>89.061378089306302</v>
      </c>
      <c r="AM3311">
        <v>96.581862331745299</v>
      </c>
      <c r="AN3311">
        <v>0.99999999769812298</v>
      </c>
    </row>
    <row r="3312" spans="1:40" x14ac:dyDescent="0.25">
      <c r="A3312" t="str">
        <f>"20190312160704323"</f>
        <v>20190312160704323</v>
      </c>
      <c r="B3312" t="str">
        <f>"1552378024318365"</f>
        <v>1552378024318365</v>
      </c>
      <c r="C3312" t="s">
        <v>40</v>
      </c>
      <c r="D3312">
        <v>6.229025</v>
      </c>
      <c r="E3312">
        <v>0.40200239999999998</v>
      </c>
      <c r="F3312" t="s">
        <v>61</v>
      </c>
      <c r="G3312">
        <v>-476.15609999999998</v>
      </c>
      <c r="H3312" s="1">
        <v>3.389366E-6</v>
      </c>
      <c r="I3312">
        <v>218.29689999999999</v>
      </c>
      <c r="J3312">
        <v>-486.07499999999999</v>
      </c>
      <c r="K3312">
        <v>1.1125229999999999</v>
      </c>
      <c r="L3312">
        <v>223.40010000000001</v>
      </c>
      <c r="M3312">
        <v>0.65931269999999997</v>
      </c>
      <c r="N3312">
        <v>0</v>
      </c>
      <c r="O3312">
        <v>-0.75172499999999998</v>
      </c>
      <c r="P3312">
        <v>0.74131959999999997</v>
      </c>
      <c r="Q3312">
        <v>1.9805830000000002E-3</v>
      </c>
      <c r="R3312">
        <v>-0.67114940000000001</v>
      </c>
      <c r="S3312">
        <v>2.7555540000000001</v>
      </c>
      <c r="T3312">
        <v>-0.30577120000000002</v>
      </c>
      <c r="U3312">
        <v>-1.4338379999999999</v>
      </c>
      <c r="V3312">
        <v>-0.114870899999999</v>
      </c>
      <c r="W3312">
        <v>1.5991310000000002E-2</v>
      </c>
      <c r="X3312">
        <v>0.99325169999999996</v>
      </c>
      <c r="Y3312">
        <v>-0.35834179999999999</v>
      </c>
      <c r="Z3312">
        <v>8.574097E-2</v>
      </c>
      <c r="AA3312">
        <v>0.9296449</v>
      </c>
      <c r="AB3312">
        <v>16</v>
      </c>
      <c r="AC3312">
        <v>9.9189000000000007</v>
      </c>
      <c r="AD3312">
        <v>-1.1125196106339901</v>
      </c>
      <c r="AE3312">
        <v>-5.10320000000001</v>
      </c>
      <c r="AF3312">
        <v>-4.0518189268448204</v>
      </c>
      <c r="AG3312">
        <v>-1.1125196106339901</v>
      </c>
      <c r="AH3312">
        <v>10.2747769848165</v>
      </c>
      <c r="AI3312">
        <v>95.751867614349905</v>
      </c>
      <c r="AJ3312">
        <v>111.521606949758</v>
      </c>
      <c r="AK3312">
        <v>11.100719732868599</v>
      </c>
      <c r="AL3312">
        <v>89.083726366624006</v>
      </c>
      <c r="AM3312">
        <v>96.597026169282998</v>
      </c>
      <c r="AN3312">
        <v>0.99999999260760797</v>
      </c>
    </row>
    <row r="3313" spans="1:40" x14ac:dyDescent="0.25">
      <c r="A3313" t="str">
        <f>"20190312160704344"</f>
        <v>20190312160704344</v>
      </c>
      <c r="B3313" t="str">
        <f>"1552378024338861"</f>
        <v>1552378024338861</v>
      </c>
      <c r="C3313" t="s">
        <v>40</v>
      </c>
      <c r="D3313">
        <v>6.2028489999999996</v>
      </c>
      <c r="E3313">
        <v>0.40355770000000002</v>
      </c>
      <c r="F3313" t="s">
        <v>61</v>
      </c>
      <c r="G3313">
        <v>-476.4554</v>
      </c>
      <c r="H3313" s="1">
        <v>3.2599209999999999E-6</v>
      </c>
      <c r="I3313">
        <v>218.37209999999999</v>
      </c>
      <c r="J3313">
        <v>-485.97269999999997</v>
      </c>
      <c r="K3313">
        <v>1.1125069999999999</v>
      </c>
      <c r="L3313">
        <v>223.29239999999999</v>
      </c>
      <c r="M3313">
        <v>0.66301699999999997</v>
      </c>
      <c r="N3313">
        <v>0</v>
      </c>
      <c r="O3313">
        <v>-0.74845989999999996</v>
      </c>
      <c r="P3313">
        <v>0.74468120000000004</v>
      </c>
      <c r="Q3313">
        <v>1.5038269999999999E-3</v>
      </c>
      <c r="R3313">
        <v>-0.66741879999999998</v>
      </c>
      <c r="S3313">
        <v>2.7475589999999999</v>
      </c>
      <c r="T3313">
        <v>-0.31775769999999998</v>
      </c>
      <c r="U3313">
        <v>-1.43609599999999</v>
      </c>
      <c r="V3313">
        <v>-0.11495039999999999</v>
      </c>
      <c r="W3313">
        <v>1.5511189999999999E-2</v>
      </c>
      <c r="X3313">
        <v>0.99325010000000002</v>
      </c>
      <c r="Y3313">
        <v>-0.35170059999999997</v>
      </c>
      <c r="Z3313">
        <v>8.8738650000000002E-2</v>
      </c>
      <c r="AA3313">
        <v>0.93189699999999998</v>
      </c>
      <c r="AB3313">
        <v>16</v>
      </c>
      <c r="AC3313">
        <v>9.5172999999999703</v>
      </c>
      <c r="AD3313">
        <v>-1.1125037400790001</v>
      </c>
      <c r="AE3313">
        <v>-4.9202999999999903</v>
      </c>
      <c r="AF3313">
        <v>-3.8203013397748098</v>
      </c>
      <c r="AG3313">
        <v>-1.1125037400790001</v>
      </c>
      <c r="AH3313">
        <v>9.8872537170271002</v>
      </c>
      <c r="AI3313">
        <v>95.991638598446798</v>
      </c>
      <c r="AJ3313">
        <v>111.125858882107</v>
      </c>
      <c r="AK3313">
        <v>10.657868124687999</v>
      </c>
      <c r="AL3313">
        <v>89.111238615402101</v>
      </c>
      <c r="AM3313">
        <v>96.601562101519093</v>
      </c>
      <c r="AN3313">
        <v>0.999999976312692</v>
      </c>
    </row>
    <row r="3314" spans="1:40" x14ac:dyDescent="0.25">
      <c r="A3314" t="str">
        <f>"20190312160704366"</f>
        <v>20190312160704366</v>
      </c>
      <c r="B3314" t="str">
        <f>"1552378024358380"</f>
        <v>1552378024358380</v>
      </c>
      <c r="C3314" t="s">
        <v>40</v>
      </c>
      <c r="D3314">
        <v>6.0014310000000002</v>
      </c>
      <c r="E3314">
        <v>0.40446850000000001</v>
      </c>
      <c r="F3314" t="s">
        <v>61</v>
      </c>
      <c r="G3314">
        <v>-476.66609999999997</v>
      </c>
      <c r="H3314" s="1">
        <v>3.1695389999999999E-6</v>
      </c>
      <c r="I3314">
        <v>218.44210000000001</v>
      </c>
      <c r="J3314">
        <v>-485.86500000000001</v>
      </c>
      <c r="K3314">
        <v>1.112493</v>
      </c>
      <c r="L3314">
        <v>223.18010000000001</v>
      </c>
      <c r="M3314">
        <v>0.66687949999999996</v>
      </c>
      <c r="N3314">
        <v>0</v>
      </c>
      <c r="O3314">
        <v>-0.74502060000000003</v>
      </c>
      <c r="P3314">
        <v>0.74803839999999999</v>
      </c>
      <c r="Q3314">
        <v>1.2274089999999901E-3</v>
      </c>
      <c r="R3314">
        <v>-0.66365469999999904</v>
      </c>
      <c r="S3314">
        <v>2.7463989999999998</v>
      </c>
      <c r="T3314">
        <v>-0.32830130000000002</v>
      </c>
      <c r="U3314">
        <v>-1.431335</v>
      </c>
      <c r="V3314">
        <v>-0.11482059999999999</v>
      </c>
      <c r="W3314">
        <v>1.523275E-2</v>
      </c>
      <c r="X3314">
        <v>0.99326939999999997</v>
      </c>
      <c r="Y3314">
        <v>-0.34768189999999999</v>
      </c>
      <c r="Z3314">
        <v>9.1310989999999995E-2</v>
      </c>
      <c r="AA3314">
        <v>0.93315570000000003</v>
      </c>
      <c r="AB3314">
        <v>16</v>
      </c>
      <c r="AC3314">
        <v>9.1989000000000303</v>
      </c>
      <c r="AD3314">
        <v>-1.112489830461</v>
      </c>
      <c r="AE3314">
        <v>-4.7380000000000004</v>
      </c>
      <c r="AF3314">
        <v>-3.6518808686237199</v>
      </c>
      <c r="AG3314">
        <v>-1.112489830461</v>
      </c>
      <c r="AH3314">
        <v>9.5550599420513596</v>
      </c>
      <c r="AI3314">
        <v>96.206914742803406</v>
      </c>
      <c r="AJ3314">
        <v>110.916526313701</v>
      </c>
      <c r="AK3314">
        <v>10.289462473700601</v>
      </c>
      <c r="AL3314">
        <v>89.127193918342797</v>
      </c>
      <c r="AM3314">
        <v>96.594046418528805</v>
      </c>
      <c r="AN3314">
        <v>0.99999995391663998</v>
      </c>
    </row>
    <row r="3315" spans="1:40" x14ac:dyDescent="0.25">
      <c r="A3315" t="str">
        <f>"20190312160704388"</f>
        <v>20190312160704388</v>
      </c>
      <c r="B3315" t="str">
        <f>"1552378024378875"</f>
        <v>1552378024378875</v>
      </c>
      <c r="C3315" t="s">
        <v>40</v>
      </c>
      <c r="D3315">
        <v>9.7647879999999994</v>
      </c>
      <c r="E3315">
        <v>0.40513769999999999</v>
      </c>
      <c r="F3315" t="s">
        <v>61</v>
      </c>
      <c r="G3315">
        <v>-476.58170000000001</v>
      </c>
      <c r="H3315" s="1">
        <v>3.2040160000000002E-6</v>
      </c>
      <c r="I3315">
        <v>218.3749</v>
      </c>
      <c r="J3315">
        <v>-485.75880000000001</v>
      </c>
      <c r="K3315">
        <v>1.1124769999999999</v>
      </c>
      <c r="L3315">
        <v>223.07060000000001</v>
      </c>
      <c r="M3315">
        <v>0.67064609999999902</v>
      </c>
      <c r="N3315">
        <v>0</v>
      </c>
      <c r="O3315">
        <v>-0.74163199999999996</v>
      </c>
      <c r="P3315">
        <v>0.75121400000000005</v>
      </c>
      <c r="Q3315">
        <v>1.0393869999999999E-3</v>
      </c>
      <c r="R3315">
        <v>-0.66005859999999905</v>
      </c>
      <c r="S3315">
        <v>2.748688</v>
      </c>
      <c r="T3315">
        <v>-0.32939849999999998</v>
      </c>
      <c r="U3315">
        <v>-1.4227909999999999</v>
      </c>
      <c r="V3315">
        <v>-0.1145519</v>
      </c>
      <c r="W3315">
        <v>1.5044419999999999E-2</v>
      </c>
      <c r="X3315">
        <v>0.99330339999999995</v>
      </c>
      <c r="Y3315">
        <v>-0.3455223</v>
      </c>
      <c r="Z3315">
        <v>9.1298799999999999E-2</v>
      </c>
      <c r="AA3315">
        <v>0.93395870000000003</v>
      </c>
      <c r="AB3315">
        <v>16</v>
      </c>
      <c r="AC3315">
        <v>9.1770999999999905</v>
      </c>
      <c r="AD3315">
        <v>-1.1124737959840001</v>
      </c>
      <c r="AE3315">
        <v>-4.6957000000000102</v>
      </c>
      <c r="AF3315">
        <v>-3.61517074515793</v>
      </c>
      <c r="AG3315">
        <v>-1.1124737959840001</v>
      </c>
      <c r="AH3315">
        <v>9.5271551176008096</v>
      </c>
      <c r="AI3315">
        <v>96.230481000184099</v>
      </c>
      <c r="AJ3315">
        <v>110.77973182108001</v>
      </c>
      <c r="AK3315">
        <v>10.250548380366</v>
      </c>
      <c r="AL3315">
        <v>89.137985759772803</v>
      </c>
      <c r="AM3315">
        <v>96.5785274289467</v>
      </c>
      <c r="AN3315">
        <v>1.00000005840915</v>
      </c>
    </row>
    <row r="3316" spans="1:40" x14ac:dyDescent="0.25">
      <c r="A3316" t="str">
        <f>"20190312160704411"</f>
        <v>20190312160704411</v>
      </c>
      <c r="B3316" t="str">
        <f>"1552378024408156"</f>
        <v>1552378024408156</v>
      </c>
      <c r="C3316" t="s">
        <v>40</v>
      </c>
      <c r="D3316">
        <v>5.9922180000000003</v>
      </c>
      <c r="E3316">
        <v>0.40595829999999999</v>
      </c>
      <c r="F3316" t="s">
        <v>61</v>
      </c>
      <c r="G3316">
        <v>-476.41410000000002</v>
      </c>
      <c r="H3316" s="1">
        <v>3.273788E-6</v>
      </c>
      <c r="I3316">
        <v>218.2705</v>
      </c>
      <c r="J3316">
        <v>-485.64929999999998</v>
      </c>
      <c r="K3316">
        <v>1.1124620000000001</v>
      </c>
      <c r="L3316">
        <v>222.9588</v>
      </c>
      <c r="M3316">
        <v>0.67449689999999995</v>
      </c>
      <c r="N3316">
        <v>0</v>
      </c>
      <c r="O3316">
        <v>-0.73813139999999999</v>
      </c>
      <c r="P3316">
        <v>0.75431949999999903</v>
      </c>
      <c r="Q3316">
        <v>5.0907120000000001E-4</v>
      </c>
      <c r="R3316">
        <v>-0.65650730000000002</v>
      </c>
      <c r="S3316">
        <v>2.7519230000000001</v>
      </c>
      <c r="T3316">
        <v>-0.32761249999999997</v>
      </c>
      <c r="U3316">
        <v>-1.413605</v>
      </c>
      <c r="V3316">
        <v>-0.1140644</v>
      </c>
      <c r="W3316">
        <v>1.4514239999999999E-2</v>
      </c>
      <c r="X3316">
        <v>0.99336729999999995</v>
      </c>
      <c r="Y3316">
        <v>-0.34362359999999997</v>
      </c>
      <c r="Z3316">
        <v>9.0476570000000006E-2</v>
      </c>
      <c r="AA3316">
        <v>0.93473890000000004</v>
      </c>
      <c r="AB3316">
        <v>16</v>
      </c>
      <c r="AC3316">
        <v>9.2351999999999599</v>
      </c>
      <c r="AD3316">
        <v>-1.112458726212</v>
      </c>
      <c r="AE3316">
        <v>-4.6882999999999901</v>
      </c>
      <c r="AF3316">
        <v>-3.6132558169611202</v>
      </c>
      <c r="AG3316">
        <v>-1.112458726212</v>
      </c>
      <c r="AH3316">
        <v>9.5802146821429606</v>
      </c>
      <c r="AI3316">
        <v>96.2008441118127</v>
      </c>
      <c r="AJ3316">
        <v>110.66437503672</v>
      </c>
      <c r="AK3316">
        <v>10.2992084828046</v>
      </c>
      <c r="AL3316">
        <v>89.168366080700494</v>
      </c>
      <c r="AM3316">
        <v>96.550357230908006</v>
      </c>
      <c r="AN3316">
        <v>0.99999997160971299</v>
      </c>
    </row>
    <row r="3317" spans="1:40" x14ac:dyDescent="0.25">
      <c r="A3317" t="str">
        <f>"20190312160704432"</f>
        <v>20190312160704432</v>
      </c>
      <c r="B3317" t="str">
        <f>"1552378024428652"</f>
        <v>1552378024428652</v>
      </c>
      <c r="C3317" t="s">
        <v>40</v>
      </c>
      <c r="D3317">
        <v>9.5588709999999999</v>
      </c>
      <c r="E3317">
        <v>0.40656809999999899</v>
      </c>
      <c r="F3317" t="s">
        <v>61</v>
      </c>
      <c r="G3317">
        <v>-476.28910000000002</v>
      </c>
      <c r="H3317" s="1">
        <v>3.3253339999999998E-6</v>
      </c>
      <c r="I3317">
        <v>218.1815</v>
      </c>
      <c r="J3317">
        <v>-485.54790000000003</v>
      </c>
      <c r="K3317">
        <v>1.112447</v>
      </c>
      <c r="L3317">
        <v>222.8563</v>
      </c>
      <c r="M3317">
        <v>0.67802530000000005</v>
      </c>
      <c r="N3317">
        <v>0</v>
      </c>
      <c r="O3317">
        <v>-0.73489190000000004</v>
      </c>
      <c r="P3317">
        <v>0.75716879999999998</v>
      </c>
      <c r="Q3317">
        <v>3.5582670000000003E-4</v>
      </c>
      <c r="R3317">
        <v>-0.65321960000000001</v>
      </c>
      <c r="S3317">
        <v>2.7539980000000002</v>
      </c>
      <c r="T3317">
        <v>-0.32731199999999999</v>
      </c>
      <c r="U3317">
        <v>-1.405594</v>
      </c>
      <c r="V3317">
        <v>-0.11362609999999999</v>
      </c>
      <c r="W3317">
        <v>1.436167E-2</v>
      </c>
      <c r="X3317">
        <v>0.99341979999999996</v>
      </c>
      <c r="Y3317">
        <v>-0.34159339999999999</v>
      </c>
      <c r="Z3317">
        <v>9.0092169999999999E-2</v>
      </c>
      <c r="AA3317">
        <v>0.93551980000000001</v>
      </c>
      <c r="AB3317">
        <v>16</v>
      </c>
      <c r="AC3317">
        <v>9.2588000000000008</v>
      </c>
      <c r="AD3317">
        <v>-1.112443674666</v>
      </c>
      <c r="AE3317">
        <v>-4.6748000000000003</v>
      </c>
      <c r="AF3317">
        <v>-3.59363708438058</v>
      </c>
      <c r="AG3317">
        <v>-1.112443674666</v>
      </c>
      <c r="AH3317">
        <v>9.6037443212875004</v>
      </c>
      <c r="AI3317">
        <v>96.1916843962765</v>
      </c>
      <c r="AJ3317">
        <v>110.51540931816299</v>
      </c>
      <c r="AK3317">
        <v>10.3142456540554</v>
      </c>
      <c r="AL3317">
        <v>89.177108652079596</v>
      </c>
      <c r="AM3317">
        <v>96.525062673206193</v>
      </c>
      <c r="AN3317">
        <v>1.0000000235992099</v>
      </c>
    </row>
    <row r="3318" spans="1:40" x14ac:dyDescent="0.25">
      <c r="A3318" t="str">
        <f>"20190312160704455"</f>
        <v>20190312160704455</v>
      </c>
      <c r="B3318" t="str">
        <f>"1552378024448171"</f>
        <v>1552378024448171</v>
      </c>
      <c r="C3318" t="s">
        <v>40</v>
      </c>
      <c r="D3318">
        <v>6.2888460000000004</v>
      </c>
      <c r="E3318">
        <v>0.40709010000000001</v>
      </c>
      <c r="F3318" t="s">
        <v>61</v>
      </c>
      <c r="G3318">
        <v>-476.1542</v>
      </c>
      <c r="H3318" s="1">
        <v>3.3814150000000001E-6</v>
      </c>
      <c r="I3318">
        <v>218.09620000000001</v>
      </c>
      <c r="J3318">
        <v>-485.4393</v>
      </c>
      <c r="K3318">
        <v>1.11243</v>
      </c>
      <c r="L3318">
        <v>222.74760000000001</v>
      </c>
      <c r="M3318">
        <v>0.68177100000000002</v>
      </c>
      <c r="N3318">
        <v>0</v>
      </c>
      <c r="O3318">
        <v>-0.73141859999999903</v>
      </c>
      <c r="P3318">
        <v>0.75988750000000005</v>
      </c>
      <c r="Q3318">
        <v>2.7376480000000002E-4</v>
      </c>
      <c r="R3318">
        <v>-0.6500551</v>
      </c>
      <c r="S3318">
        <v>2.7569889999999999</v>
      </c>
      <c r="T3318">
        <v>-0.32649470000000003</v>
      </c>
      <c r="U3318">
        <v>-1.397079</v>
      </c>
      <c r="V3318">
        <v>-0.1126944</v>
      </c>
      <c r="W3318">
        <v>1.428252E-2</v>
      </c>
      <c r="X3318">
        <v>0.9935271</v>
      </c>
      <c r="Y3318">
        <v>-0.33954489999999998</v>
      </c>
      <c r="Z3318">
        <v>8.9527780000000001E-2</v>
      </c>
      <c r="AA3318">
        <v>0.93631940000000002</v>
      </c>
      <c r="AB3318">
        <v>16</v>
      </c>
      <c r="AC3318">
        <v>9.2850999999999999</v>
      </c>
      <c r="AD3318">
        <v>-1.112426618585</v>
      </c>
      <c r="AE3318">
        <v>-4.65139999999999</v>
      </c>
      <c r="AF3318">
        <v>-3.5794231168615198</v>
      </c>
      <c r="AG3318">
        <v>-1.112426618585</v>
      </c>
      <c r="AH3318">
        <v>9.6230610491302002</v>
      </c>
      <c r="AI3318">
        <v>96.183733694588</v>
      </c>
      <c r="AJ3318">
        <v>110.40334118404</v>
      </c>
      <c r="AK3318">
        <v>10.3272971675335</v>
      </c>
      <c r="AL3318">
        <v>89.181644106505701</v>
      </c>
      <c r="AM3318">
        <v>96.471321881054806</v>
      </c>
      <c r="AN3318">
        <v>1.00000005830165</v>
      </c>
    </row>
    <row r="3319" spans="1:40" x14ac:dyDescent="0.25">
      <c r="A3319" t="str">
        <f>"20190312160704477"</f>
        <v>20190312160704477</v>
      </c>
      <c r="B3319" t="str">
        <f>"1552378024468669"</f>
        <v>1552378024468669</v>
      </c>
      <c r="C3319" t="s">
        <v>40</v>
      </c>
      <c r="D3319">
        <v>6.2472269999999996</v>
      </c>
      <c r="E3319">
        <v>0.40762809999999999</v>
      </c>
      <c r="F3319" t="s">
        <v>61</v>
      </c>
      <c r="G3319">
        <v>-476.00740000000002</v>
      </c>
      <c r="H3319" s="1">
        <v>3.4424689999999999E-6</v>
      </c>
      <c r="I3319">
        <v>218.00380000000001</v>
      </c>
      <c r="J3319">
        <v>-485.32859999999999</v>
      </c>
      <c r="K3319">
        <v>1.112414</v>
      </c>
      <c r="L3319">
        <v>222.63800000000001</v>
      </c>
      <c r="M3319">
        <v>0.68555180000000004</v>
      </c>
      <c r="N3319">
        <v>0</v>
      </c>
      <c r="O3319">
        <v>-0.72787590000000002</v>
      </c>
      <c r="P3319">
        <v>0.76296709999999901</v>
      </c>
      <c r="Q3319">
        <v>2.7566549999999998E-4</v>
      </c>
      <c r="R3319">
        <v>-0.64643739999999905</v>
      </c>
      <c r="S3319">
        <v>2.7603759999999999</v>
      </c>
      <c r="T3319">
        <v>-0.325567</v>
      </c>
      <c r="U3319">
        <v>-1.388336</v>
      </c>
      <c r="V3319">
        <v>-0.11226559999999999</v>
      </c>
      <c r="W3319">
        <v>1.428491E-2</v>
      </c>
      <c r="X3319">
        <v>0.9935756</v>
      </c>
      <c r="Y3319">
        <v>-0.33754859999999998</v>
      </c>
      <c r="Z3319">
        <v>8.8921609999999998E-2</v>
      </c>
      <c r="AA3319">
        <v>0.93709869999999995</v>
      </c>
      <c r="AB3319">
        <v>16</v>
      </c>
      <c r="AC3319">
        <v>9.3211999999999708</v>
      </c>
      <c r="AD3319">
        <v>-1.1124105575309999</v>
      </c>
      <c r="AE3319">
        <v>-4.6341999999999901</v>
      </c>
      <c r="AF3319">
        <v>-3.56734292629814</v>
      </c>
      <c r="AG3319">
        <v>-1.1124105575309999</v>
      </c>
      <c r="AH3319">
        <v>9.6540917326567204</v>
      </c>
      <c r="AI3319">
        <v>96.168802571181999</v>
      </c>
      <c r="AJ3319">
        <v>110.280086138706</v>
      </c>
      <c r="AK3319">
        <v>10.3520471398108</v>
      </c>
      <c r="AL3319">
        <v>89.181507147406606</v>
      </c>
      <c r="AM3319">
        <v>96.4465942763171</v>
      </c>
      <c r="AN3319">
        <v>1.0000000482562099</v>
      </c>
    </row>
    <row r="3320" spans="1:40" x14ac:dyDescent="0.25">
      <c r="A3320" t="str">
        <f>"20190312160704513"</f>
        <v>20190312160704513</v>
      </c>
      <c r="B3320" t="str">
        <f>"1552378024508684"</f>
        <v>1552378024508684</v>
      </c>
      <c r="C3320" t="s">
        <v>40</v>
      </c>
      <c r="D3320">
        <v>5.6831459999999998</v>
      </c>
      <c r="E3320">
        <v>0.40841620000000001</v>
      </c>
      <c r="F3320" t="s">
        <v>61</v>
      </c>
      <c r="G3320">
        <v>-475.86959999999999</v>
      </c>
      <c r="H3320" s="1">
        <v>3.4999409999999998E-6</v>
      </c>
      <c r="I3320">
        <v>217.92060000000001</v>
      </c>
      <c r="J3320">
        <v>-485.15660000000003</v>
      </c>
      <c r="K3320">
        <v>1.112385</v>
      </c>
      <c r="L3320">
        <v>222.46979999999999</v>
      </c>
      <c r="M3320">
        <v>0.69135159999999996</v>
      </c>
      <c r="N3320">
        <v>0</v>
      </c>
      <c r="O3320">
        <v>-0.72236999999999996</v>
      </c>
      <c r="P3320">
        <v>0.76855419999999997</v>
      </c>
      <c r="Q3320">
        <v>2.7988939999999999E-4</v>
      </c>
      <c r="R3320">
        <v>-0.6397851</v>
      </c>
      <c r="S3320">
        <v>2.7640989999999999</v>
      </c>
      <c r="T3320">
        <v>-0.32507029999999998</v>
      </c>
      <c r="U3320">
        <v>-1.3785099999999999</v>
      </c>
      <c r="V3320">
        <v>-0.1129497</v>
      </c>
      <c r="W3320">
        <v>1.427966E-2</v>
      </c>
      <c r="X3320">
        <v>0.99349810000000005</v>
      </c>
      <c r="Y3320">
        <v>-0.33324409999999999</v>
      </c>
      <c r="Z3320">
        <v>8.8176829999999998E-2</v>
      </c>
      <c r="AA3320">
        <v>0.93870819999999999</v>
      </c>
      <c r="AB3320">
        <v>15</v>
      </c>
      <c r="AC3320">
        <v>9.2870000000000292</v>
      </c>
      <c r="AD3320">
        <v>-1.1123815000590001</v>
      </c>
      <c r="AE3320">
        <v>-4.5491999999999804</v>
      </c>
      <c r="AF3320">
        <v>-3.5231709215620999</v>
      </c>
      <c r="AG3320">
        <v>-1.1123815000590001</v>
      </c>
      <c r="AH3320">
        <v>9.5967895532480192</v>
      </c>
      <c r="AI3320">
        <v>96.209975906636103</v>
      </c>
      <c r="AJ3320">
        <v>110.159182999108</v>
      </c>
      <c r="AK3320">
        <v>10.2834087574862</v>
      </c>
      <c r="AL3320">
        <v>89.181807948847805</v>
      </c>
      <c r="AM3320">
        <v>96.486045062939098</v>
      </c>
      <c r="AN3320">
        <v>1.0000000090617001</v>
      </c>
    </row>
    <row r="3321" spans="1:40" x14ac:dyDescent="0.25">
      <c r="A3321" t="str">
        <f>"20190312160704535"</f>
        <v>20190312160704535</v>
      </c>
      <c r="B3321" t="str">
        <f>"1552378024528204"</f>
        <v>1552378024528204</v>
      </c>
      <c r="C3321" t="s">
        <v>40</v>
      </c>
      <c r="D3321">
        <v>7.1275009999999996</v>
      </c>
      <c r="E3321">
        <v>0.40889950000000003</v>
      </c>
      <c r="F3321" t="s">
        <v>61</v>
      </c>
      <c r="G3321">
        <v>-475.7115</v>
      </c>
      <c r="H3321" s="1">
        <v>3.5663130000000002E-6</v>
      </c>
      <c r="I3321">
        <v>217.8349</v>
      </c>
      <c r="J3321">
        <v>-485.0521</v>
      </c>
      <c r="K3321">
        <v>1.1123809999999901</v>
      </c>
      <c r="L3321">
        <v>222.369</v>
      </c>
      <c r="M3321">
        <v>0.69483240000000002</v>
      </c>
      <c r="N3321">
        <v>0</v>
      </c>
      <c r="O3321">
        <v>-0.71902239999999995</v>
      </c>
      <c r="P3321">
        <v>0.77176750000000005</v>
      </c>
      <c r="Q3321">
        <v>-6.3306579999999999E-4</v>
      </c>
      <c r="R3321">
        <v>-0.63590500000000005</v>
      </c>
      <c r="S3321">
        <v>2.7714539999999999</v>
      </c>
      <c r="T3321">
        <v>-0.32640469999999999</v>
      </c>
      <c r="U3321">
        <v>-1.3600159999999999</v>
      </c>
      <c r="V3321">
        <v>-0.113152</v>
      </c>
      <c r="W3321">
        <v>1.3362789999999999E-2</v>
      </c>
      <c r="X3321">
        <v>0.99348780000000003</v>
      </c>
      <c r="Y3321">
        <v>-0.33469100000000002</v>
      </c>
      <c r="Z3321">
        <v>8.8351470000000001E-2</v>
      </c>
      <c r="AA3321">
        <v>0.93817689999999998</v>
      </c>
      <c r="AB3321">
        <v>15</v>
      </c>
      <c r="AC3321">
        <v>9.3405999999999896</v>
      </c>
      <c r="AD3321">
        <v>-1.11237743368699</v>
      </c>
      <c r="AE3321">
        <v>-4.53410000000002</v>
      </c>
      <c r="AF3321">
        <v>-3.5255773708056499</v>
      </c>
      <c r="AG3321">
        <v>-1.11237743368699</v>
      </c>
      <c r="AH3321">
        <v>9.6406625009498406</v>
      </c>
      <c r="AI3321">
        <v>96.184728853369506</v>
      </c>
      <c r="AJ3321">
        <v>110.087398463366</v>
      </c>
      <c r="AK3321">
        <v>10.325185364424801</v>
      </c>
      <c r="AL3321">
        <v>89.234345723021704</v>
      </c>
      <c r="AM3321">
        <v>96.497629508543895</v>
      </c>
      <c r="AN3321">
        <v>0.99999997400471097</v>
      </c>
    </row>
    <row r="3322" spans="1:40" x14ac:dyDescent="0.25">
      <c r="A3322" t="str">
        <f>"20190312160704557"</f>
        <v>20190312160704557</v>
      </c>
      <c r="B3322" t="str">
        <f>"1552378024548701"</f>
        <v>1552378024548701</v>
      </c>
      <c r="C3322" t="s">
        <v>40</v>
      </c>
      <c r="D3322">
        <v>6.2361849999999999</v>
      </c>
      <c r="E3322">
        <v>0.40939740000000002</v>
      </c>
      <c r="F3322" t="s">
        <v>61</v>
      </c>
      <c r="G3322">
        <v>-475.62009999999998</v>
      </c>
      <c r="H3322" s="1">
        <v>3.6047960000000001E-6</v>
      </c>
      <c r="I3322">
        <v>217.78829999999999</v>
      </c>
      <c r="J3322">
        <v>-484.94049999999999</v>
      </c>
      <c r="K3322">
        <v>1.1123670000000001</v>
      </c>
      <c r="L3322">
        <v>222.26240000000001</v>
      </c>
      <c r="M3322">
        <v>0.69851300000000005</v>
      </c>
      <c r="N3322">
        <v>0</v>
      </c>
      <c r="O3322">
        <v>-0.71544750000000001</v>
      </c>
      <c r="P3322">
        <v>0.77474980000000004</v>
      </c>
      <c r="Q3322">
        <v>-7.6037030000000001E-4</v>
      </c>
      <c r="R3322">
        <v>-0.63226769999999999</v>
      </c>
      <c r="S3322">
        <v>2.7760310000000001</v>
      </c>
      <c r="T3322">
        <v>-0.32739829999999998</v>
      </c>
      <c r="U3322">
        <v>-1.348206</v>
      </c>
      <c r="V3322">
        <v>-0.1127254</v>
      </c>
      <c r="W3322">
        <v>1.3235490000000001E-2</v>
      </c>
      <c r="X3322">
        <v>0.99353800000000003</v>
      </c>
      <c r="Y3322">
        <v>-0.33368340000000002</v>
      </c>
      <c r="Z3322">
        <v>8.8298559999999998E-2</v>
      </c>
      <c r="AA3322">
        <v>0.93854079999999995</v>
      </c>
      <c r="AB3322">
        <v>15</v>
      </c>
      <c r="AC3322">
        <v>9.3203999999999994</v>
      </c>
      <c r="AD3322">
        <v>-1.112363395204</v>
      </c>
      <c r="AE3322">
        <v>-4.4741000000000204</v>
      </c>
      <c r="AF3322">
        <v>-3.5028698626921599</v>
      </c>
      <c r="AG3322">
        <v>-1.112363395204</v>
      </c>
      <c r="AH3322">
        <v>9.6012990182028304</v>
      </c>
      <c r="AI3322">
        <v>96.2115288550945</v>
      </c>
      <c r="AJ3322">
        <v>110.043633643421</v>
      </c>
      <c r="AK3322">
        <v>10.280680543373</v>
      </c>
      <c r="AL3322">
        <v>89.241640122349096</v>
      </c>
      <c r="AM3322">
        <v>96.473016494112002</v>
      </c>
      <c r="AN3322">
        <v>0.999999975722349</v>
      </c>
    </row>
    <row r="3323" spans="1:40" x14ac:dyDescent="0.25">
      <c r="A3323" t="str">
        <f>"20190312160704580"</f>
        <v>20190312160704580</v>
      </c>
      <c r="B3323" t="str">
        <f>"1552378024568222"</f>
        <v>1552378024568222</v>
      </c>
      <c r="C3323" t="s">
        <v>40</v>
      </c>
      <c r="D3323">
        <v>6.3607849999999999</v>
      </c>
      <c r="E3323">
        <v>0.40995100000000001</v>
      </c>
      <c r="F3323" t="s">
        <v>61</v>
      </c>
      <c r="G3323">
        <v>-475.48790000000002</v>
      </c>
      <c r="H3323" s="1">
        <v>3.6601820000000001E-6</v>
      </c>
      <c r="I3323">
        <v>217.71379999999999</v>
      </c>
      <c r="J3323">
        <v>-484.82769999999999</v>
      </c>
      <c r="K3323">
        <v>1.1123540000000001</v>
      </c>
      <c r="L3323">
        <v>222.1558</v>
      </c>
      <c r="M3323">
        <v>0.70219880000000001</v>
      </c>
      <c r="N3323">
        <v>0</v>
      </c>
      <c r="O3323">
        <v>-0.71183059999999998</v>
      </c>
      <c r="P3323">
        <v>0.777933599999999</v>
      </c>
      <c r="Q3323">
        <v>-4.5694639999999999E-4</v>
      </c>
      <c r="R3323">
        <v>-0.62834639999999997</v>
      </c>
      <c r="S3323">
        <v>2.780151</v>
      </c>
      <c r="T3323">
        <v>-0.32716289999999998</v>
      </c>
      <c r="U3323">
        <v>-1.3378300000000001</v>
      </c>
      <c r="V3323">
        <v>-0.11261359999999999</v>
      </c>
      <c r="W3323">
        <v>1.3536339999999999E-2</v>
      </c>
      <c r="X3323">
        <v>0.9935467</v>
      </c>
      <c r="Y3323">
        <v>-0.33223140000000001</v>
      </c>
      <c r="Z3323">
        <v>8.7885580000000005E-2</v>
      </c>
      <c r="AA3323">
        <v>0.93909450000000005</v>
      </c>
      <c r="AB3323">
        <v>15</v>
      </c>
      <c r="AC3323">
        <v>9.3397999999999595</v>
      </c>
      <c r="AD3323">
        <v>-1.1123503398179999</v>
      </c>
      <c r="AE3323">
        <v>-4.4420000000000002</v>
      </c>
      <c r="AF3323">
        <v>-3.4892039076694599</v>
      </c>
      <c r="AG3323">
        <v>-1.1123503398179999</v>
      </c>
      <c r="AH3323">
        <v>9.6102197612081603</v>
      </c>
      <c r="AI3323">
        <v>96.209220794324594</v>
      </c>
      <c r="AJ3323">
        <v>109.954553700067</v>
      </c>
      <c r="AK3323">
        <v>10.284366341515801</v>
      </c>
      <c r="AL3323">
        <v>89.224401199867899</v>
      </c>
      <c r="AM3323">
        <v>96.466594878155206</v>
      </c>
      <c r="AN3323">
        <v>1.00000005024322</v>
      </c>
    </row>
    <row r="3324" spans="1:40" x14ac:dyDescent="0.25">
      <c r="A3324" t="str">
        <f>"20190312160704601"</f>
        <v>20190312160704601</v>
      </c>
      <c r="B3324" t="str">
        <f>"1552378024598476"</f>
        <v>1552378024598476</v>
      </c>
      <c r="C3324" t="s">
        <v>40</v>
      </c>
      <c r="D3324">
        <v>6.1843570000000003</v>
      </c>
      <c r="E3324">
        <v>0.4105665</v>
      </c>
      <c r="F3324" t="s">
        <v>61</v>
      </c>
      <c r="G3324">
        <v>-475.3818</v>
      </c>
      <c r="H3324" s="1">
        <v>3.7044289999999998E-6</v>
      </c>
      <c r="I3324">
        <v>217.6498</v>
      </c>
      <c r="J3324">
        <v>-484.7251</v>
      </c>
      <c r="K3324">
        <v>1.1123350000000001</v>
      </c>
      <c r="L3324">
        <v>222.0598</v>
      </c>
      <c r="M3324">
        <v>0.70551589999999997</v>
      </c>
      <c r="N3324">
        <v>0</v>
      </c>
      <c r="O3324">
        <v>-0.70854300000000003</v>
      </c>
      <c r="P3324">
        <v>0.78087890000000004</v>
      </c>
      <c r="Q3324">
        <v>-9.4935760000000005E-4</v>
      </c>
      <c r="R3324">
        <v>-0.62468210000000002</v>
      </c>
      <c r="S3324">
        <v>2.7836609999999999</v>
      </c>
      <c r="T3324">
        <v>-0.32780599999999999</v>
      </c>
      <c r="U3324">
        <v>-1.3278810000000001</v>
      </c>
      <c r="V3324">
        <v>-0.1126413</v>
      </c>
      <c r="W3324">
        <v>1.304191E-2</v>
      </c>
      <c r="X3324">
        <v>0.99355009999999999</v>
      </c>
      <c r="Y3324">
        <v>-0.33101999999999998</v>
      </c>
      <c r="Z3324">
        <v>8.7752769999999994E-2</v>
      </c>
      <c r="AA3324">
        <v>0.93953450000000005</v>
      </c>
      <c r="AB3324">
        <v>15</v>
      </c>
      <c r="AC3324">
        <v>9.3432999999999993</v>
      </c>
      <c r="AD3324">
        <v>-1.1123312955710001</v>
      </c>
      <c r="AE3324">
        <v>-4.4099999999999904</v>
      </c>
      <c r="AF3324">
        <v>-3.4689717218513101</v>
      </c>
      <c r="AG3324">
        <v>-1.1123312955710001</v>
      </c>
      <c r="AH3324">
        <v>9.6062165631850007</v>
      </c>
      <c r="AI3324">
        <v>96.215540632068198</v>
      </c>
      <c r="AJ3324">
        <v>109.85553192953201</v>
      </c>
      <c r="AK3324">
        <v>10.2737744951366</v>
      </c>
      <c r="AL3324">
        <v>89.252732398442504</v>
      </c>
      <c r="AM3324">
        <v>96.4681500661939</v>
      </c>
      <c r="AN3324">
        <v>0.99999997754607295</v>
      </c>
    </row>
    <row r="3325" spans="1:40" x14ac:dyDescent="0.25">
      <c r="A3325" t="str">
        <f>"20190312160704622"</f>
        <v>20190312160704622</v>
      </c>
      <c r="B3325" t="str">
        <f>"1552378024617997"</f>
        <v>1552378024617997</v>
      </c>
      <c r="C3325" t="s">
        <v>40</v>
      </c>
      <c r="D3325">
        <v>5.79847</v>
      </c>
      <c r="E3325">
        <v>0.36838199999999999</v>
      </c>
      <c r="F3325" t="s">
        <v>61</v>
      </c>
      <c r="G3325">
        <v>-475.30520000000001</v>
      </c>
      <c r="H3325" s="1">
        <v>3.7363359999999998E-6</v>
      </c>
      <c r="I3325">
        <v>217.60300000000001</v>
      </c>
      <c r="J3325">
        <v>-484.62259999999998</v>
      </c>
      <c r="K3325">
        <v>1.1123209999999999</v>
      </c>
      <c r="L3325">
        <v>221.96469999999999</v>
      </c>
      <c r="M3325">
        <v>0.7088042</v>
      </c>
      <c r="N3325">
        <v>0</v>
      </c>
      <c r="O3325">
        <v>-0.70525340000000003</v>
      </c>
      <c r="P3325">
        <v>0.78380360000000004</v>
      </c>
      <c r="Q3325">
        <v>-1.645288E-3</v>
      </c>
      <c r="R3325">
        <v>-0.62100639999999996</v>
      </c>
      <c r="S3325">
        <v>2.7867130000000002</v>
      </c>
      <c r="T3325">
        <v>-0.32906530000000001</v>
      </c>
      <c r="U3325">
        <v>-1.318481</v>
      </c>
      <c r="V3325">
        <v>-0.11268259999999999</v>
      </c>
      <c r="W3325">
        <v>1.234292E-2</v>
      </c>
      <c r="X3325">
        <v>0.99355439999999995</v>
      </c>
      <c r="Y3325">
        <v>-0.32959959999999899</v>
      </c>
      <c r="Z3325">
        <v>8.7775950000000005E-2</v>
      </c>
      <c r="AA3325">
        <v>0.94003159999999997</v>
      </c>
      <c r="AB3325">
        <v>15</v>
      </c>
      <c r="AC3325">
        <v>9.3173999999999602</v>
      </c>
      <c r="AD3325">
        <v>-1.112317263664</v>
      </c>
      <c r="AE3325">
        <v>-4.3617000000000097</v>
      </c>
      <c r="AF3325">
        <v>-3.4396994919986801</v>
      </c>
      <c r="AG3325">
        <v>-1.112317263664</v>
      </c>
      <c r="AH3325">
        <v>9.5694859536780807</v>
      </c>
      <c r="AI3325">
        <v>96.242434752285803</v>
      </c>
      <c r="AJ3325">
        <v>109.770697305227</v>
      </c>
      <c r="AK3325">
        <v>10.2295573564032</v>
      </c>
      <c r="AL3325">
        <v>89.292784841104805</v>
      </c>
      <c r="AM3325">
        <v>96.470473742345604</v>
      </c>
      <c r="AN3325">
        <v>1.0000000308881201</v>
      </c>
    </row>
    <row r="3326" spans="1:40" x14ac:dyDescent="0.25">
      <c r="A3326" t="str">
        <f>"20190312160704645"</f>
        <v>20190312160704645</v>
      </c>
      <c r="B3326" t="str">
        <f>"1552378024638492"</f>
        <v>1552378024638492</v>
      </c>
      <c r="C3326" t="s">
        <v>40</v>
      </c>
      <c r="D3326">
        <v>6.4796519999999997</v>
      </c>
      <c r="E3326">
        <v>0.35632209999999997</v>
      </c>
      <c r="F3326" t="s">
        <v>66</v>
      </c>
      <c r="G3326">
        <v>-464.24130000000002</v>
      </c>
      <c r="H3326" s="1">
        <v>7.0782449999999996E-7</v>
      </c>
      <c r="I3326">
        <v>214.89949999999999</v>
      </c>
      <c r="J3326">
        <v>-484.50850000000003</v>
      </c>
      <c r="K3326">
        <v>1.112304</v>
      </c>
      <c r="L3326">
        <v>221.85990000000001</v>
      </c>
      <c r="M3326">
        <v>0.71243040000000002</v>
      </c>
      <c r="N3326">
        <v>0</v>
      </c>
      <c r="O3326">
        <v>-0.70159050000000001</v>
      </c>
      <c r="P3326">
        <v>0.78733809999999904</v>
      </c>
      <c r="Q3326">
        <v>-2.315101E-3</v>
      </c>
      <c r="R3326">
        <v>-0.61651739999999999</v>
      </c>
      <c r="S3326">
        <v>3.002472</v>
      </c>
      <c r="T3326">
        <v>-0.1638616</v>
      </c>
      <c r="U3326">
        <v>-1.0408170000000001</v>
      </c>
      <c r="V3326">
        <v>-0.1132336</v>
      </c>
      <c r="W3326">
        <v>1.166348E-2</v>
      </c>
      <c r="X3326">
        <v>0.99349989999999999</v>
      </c>
      <c r="Y3326">
        <v>-0.42832579999999998</v>
      </c>
      <c r="Z3326">
        <v>4.4410619999999998E-2</v>
      </c>
      <c r="AA3326">
        <v>0.90253240000000001</v>
      </c>
      <c r="AB3326">
        <v>15</v>
      </c>
      <c r="AC3326">
        <v>20.267199999999999</v>
      </c>
      <c r="AD3326">
        <v>-1.1123032921755001</v>
      </c>
      <c r="AE3326">
        <v>-6.9604000000000203</v>
      </c>
      <c r="AF3326">
        <v>-9.2365783667567101</v>
      </c>
      <c r="AG3326">
        <v>-1.1123032921755001</v>
      </c>
      <c r="AH3326">
        <v>19.2724599152107</v>
      </c>
      <c r="AI3326">
        <v>92.979330338503203</v>
      </c>
      <c r="AJ3326">
        <v>115.606679643058</v>
      </c>
      <c r="AK3326">
        <v>21.400451156983301</v>
      </c>
      <c r="AL3326">
        <v>89.331716647822603</v>
      </c>
      <c r="AM3326">
        <v>96.502196670220698</v>
      </c>
      <c r="AN3326">
        <v>0.99999996811733904</v>
      </c>
    </row>
    <row r="3327" spans="1:40" x14ac:dyDescent="0.25">
      <c r="A3327" t="str">
        <f>"20190312160704667"</f>
        <v>20190312160704667</v>
      </c>
      <c r="B3327" t="str">
        <f>"1552378024658013"</f>
        <v>1552378024658013</v>
      </c>
      <c r="C3327" t="s">
        <v>40</v>
      </c>
      <c r="D3327">
        <v>6.2214260000000001</v>
      </c>
      <c r="E3327">
        <v>0.34562229999999999</v>
      </c>
      <c r="F3327" t="s">
        <v>44</v>
      </c>
      <c r="G3327">
        <v>-483.56939999999997</v>
      </c>
      <c r="H3327">
        <v>1.06664</v>
      </c>
      <c r="I3327">
        <v>221.5693</v>
      </c>
      <c r="J3327">
        <v>-484.4008</v>
      </c>
      <c r="K3327">
        <v>1.112295</v>
      </c>
      <c r="L3327">
        <v>221.762</v>
      </c>
      <c r="M3327">
        <v>0.7158196</v>
      </c>
      <c r="N3327">
        <v>0</v>
      </c>
      <c r="O3327">
        <v>-0.69813259999999999</v>
      </c>
      <c r="P3327">
        <v>0.79072049999999905</v>
      </c>
      <c r="Q3327">
        <v>-2.4706720000000001E-3</v>
      </c>
      <c r="R3327">
        <v>-0.61217259999999996</v>
      </c>
      <c r="S3327">
        <v>3.0676269999999999</v>
      </c>
      <c r="T3327">
        <v>-0.1490852</v>
      </c>
      <c r="U3327">
        <v>-0.94781490000000002</v>
      </c>
      <c r="V3327">
        <v>-0.1138922</v>
      </c>
      <c r="W3327">
        <v>1.149039E-2</v>
      </c>
      <c r="X3327">
        <v>0.9934267</v>
      </c>
      <c r="Y3327">
        <v>-0.45469609999999999</v>
      </c>
      <c r="Z3327">
        <v>4.0387689999999997E-2</v>
      </c>
      <c r="AA3327">
        <v>0.88973049999999998</v>
      </c>
      <c r="AB3327">
        <v>15</v>
      </c>
      <c r="AC3327">
        <v>0.83140000000003</v>
      </c>
      <c r="AD3327">
        <v>-4.5655000000000001E-2</v>
      </c>
      <c r="AE3327">
        <v>-0.19270000000000201</v>
      </c>
      <c r="AF3327">
        <v>-0.44127336543208101</v>
      </c>
      <c r="AG3327">
        <v>-4.5655000000000001E-2</v>
      </c>
      <c r="AH3327">
        <v>0.72765797993401204</v>
      </c>
      <c r="AI3327">
        <v>93.070881718760205</v>
      </c>
      <c r="AJ3327">
        <v>121.233864165348</v>
      </c>
      <c r="AK3327">
        <v>0.85222807852499305</v>
      </c>
      <c r="AL3327">
        <v>89.341634683499095</v>
      </c>
      <c r="AM3327">
        <v>96.540166388674095</v>
      </c>
      <c r="AN3327">
        <v>1.00000003527804</v>
      </c>
    </row>
    <row r="3328" spans="1:40" x14ac:dyDescent="0.25">
      <c r="A3328" t="str">
        <f>"20190312160704691"</f>
        <v>20190312160704691</v>
      </c>
      <c r="B3328" t="str">
        <f>"1552378024678508"</f>
        <v>1552378024678508</v>
      </c>
      <c r="C3328" t="s">
        <v>40</v>
      </c>
      <c r="D3328">
        <v>6.1641180000000002</v>
      </c>
      <c r="E3328">
        <v>0.34230519999999998</v>
      </c>
      <c r="F3328" t="s">
        <v>66</v>
      </c>
      <c r="G3328">
        <v>-460.12540000000001</v>
      </c>
      <c r="H3328" s="1">
        <v>-1.489274E-6</v>
      </c>
      <c r="I3328">
        <v>215.05539999999999</v>
      </c>
      <c r="J3328">
        <v>-484.28640000000001</v>
      </c>
      <c r="K3328">
        <v>1.1122829999999999</v>
      </c>
      <c r="L3328">
        <v>221.65899999999999</v>
      </c>
      <c r="M3328">
        <v>0.71938809999999997</v>
      </c>
      <c r="N3328">
        <v>0</v>
      </c>
      <c r="O3328">
        <v>-0.6944553</v>
      </c>
      <c r="P3328">
        <v>0.79415769999999997</v>
      </c>
      <c r="Q3328">
        <v>-1.749502E-3</v>
      </c>
      <c r="R3328">
        <v>-0.60770959999999996</v>
      </c>
      <c r="S3328">
        <v>3.1251220000000002</v>
      </c>
      <c r="T3328">
        <v>-0.1431924</v>
      </c>
      <c r="U3328">
        <v>-0.86338809999999999</v>
      </c>
      <c r="V3328">
        <v>-0.1144001</v>
      </c>
      <c r="W3328">
        <v>1.2187959999999999E-2</v>
      </c>
      <c r="X3328">
        <v>0.99336000000000002</v>
      </c>
      <c r="Y3328">
        <v>-0.4768753</v>
      </c>
      <c r="Z3328">
        <v>3.8715520000000003E-2</v>
      </c>
      <c r="AA3328">
        <v>0.87811790000000001</v>
      </c>
      <c r="AB3328">
        <v>15</v>
      </c>
      <c r="AC3328">
        <v>24.160999999999898</v>
      </c>
      <c r="AD3328">
        <v>-1.11228448927399</v>
      </c>
      <c r="AE3328">
        <v>-6.6036000000000197</v>
      </c>
      <c r="AF3328">
        <v>-12.005786240011499</v>
      </c>
      <c r="AG3328">
        <v>-1.11228448927399</v>
      </c>
      <c r="AH3328">
        <v>21.926137307045401</v>
      </c>
      <c r="AI3328">
        <v>92.547703211966194</v>
      </c>
      <c r="AJ3328">
        <v>118.703169869606</v>
      </c>
      <c r="AK3328">
        <v>25.022621310193301</v>
      </c>
      <c r="AL3328">
        <v>89.3016640477679</v>
      </c>
      <c r="AM3328">
        <v>96.569514999497102</v>
      </c>
      <c r="AN3328">
        <v>1.0000000094244801</v>
      </c>
    </row>
    <row r="3329" spans="1:40" x14ac:dyDescent="0.25">
      <c r="A3329" t="str">
        <f>"20190312160704714"</f>
        <v>20190312160704714</v>
      </c>
      <c r="B3329" t="str">
        <f>"1552378024708764"</f>
        <v>1552378024708764</v>
      </c>
      <c r="C3329" t="s">
        <v>40</v>
      </c>
      <c r="D3329">
        <v>6.2183449999999896</v>
      </c>
      <c r="E3329">
        <v>0.34156170000000002</v>
      </c>
      <c r="F3329" t="s">
        <v>66</v>
      </c>
      <c r="G3329">
        <v>-460.20280000000002</v>
      </c>
      <c r="H3329" s="1">
        <v>-1.460668E-6</v>
      </c>
      <c r="I3329">
        <v>215.3441</v>
      </c>
      <c r="J3329">
        <v>-484.17250000000001</v>
      </c>
      <c r="K3329">
        <v>1.1122700000000001</v>
      </c>
      <c r="L3329">
        <v>221.5575</v>
      </c>
      <c r="M3329">
        <v>0.72290279999999996</v>
      </c>
      <c r="N3329">
        <v>0</v>
      </c>
      <c r="O3329">
        <v>-0.69079659999999998</v>
      </c>
      <c r="P3329">
        <v>0.79722409999999999</v>
      </c>
      <c r="Q3329">
        <v>-1.589834E-3</v>
      </c>
      <c r="R3329">
        <v>-0.60368159999999904</v>
      </c>
      <c r="S3329">
        <v>3.1460270000000001</v>
      </c>
      <c r="T3329">
        <v>-0.14529690000000001</v>
      </c>
      <c r="U3329">
        <v>-0.82490540000000001</v>
      </c>
      <c r="V3329">
        <v>-0.114389</v>
      </c>
      <c r="W3329">
        <v>1.2326230000000001E-2</v>
      </c>
      <c r="X3329">
        <v>0.99335960000000001</v>
      </c>
      <c r="Y3329">
        <v>-0.4838944</v>
      </c>
      <c r="Z3329">
        <v>3.9175349999999998E-2</v>
      </c>
      <c r="AA3329">
        <v>0.8742491</v>
      </c>
      <c r="AB3329">
        <v>15</v>
      </c>
      <c r="AC3329">
        <v>23.9696999999999</v>
      </c>
      <c r="AD3329">
        <v>-1.112271460668</v>
      </c>
      <c r="AE3329">
        <v>-6.2134</v>
      </c>
      <c r="AF3329">
        <v>-12.043479920310199</v>
      </c>
      <c r="AG3329">
        <v>-1.112271460668</v>
      </c>
      <c r="AH3329">
        <v>21.5787076043467</v>
      </c>
      <c r="AI3329">
        <v>92.577100892816702</v>
      </c>
      <c r="AJ3329">
        <v>119.166702528446</v>
      </c>
      <c r="AK3329">
        <v>24.737081037726</v>
      </c>
      <c r="AL3329">
        <v>89.293741184767796</v>
      </c>
      <c r="AM3329">
        <v>96.568885766622401</v>
      </c>
      <c r="AN3329">
        <v>1.0000000370895801</v>
      </c>
    </row>
    <row r="3330" spans="1:40" x14ac:dyDescent="0.25">
      <c r="A3330" t="str">
        <f>"20190312160704736"</f>
        <v>20190312160704736</v>
      </c>
      <c r="B3330" t="str">
        <f>"1552378024728285"</f>
        <v>1552378024728285</v>
      </c>
      <c r="C3330" t="s">
        <v>40</v>
      </c>
      <c r="D3330">
        <v>6.1118620000000004</v>
      </c>
      <c r="E3330">
        <v>0.34194809999999998</v>
      </c>
      <c r="F3330" t="s">
        <v>44</v>
      </c>
      <c r="G3330">
        <v>-483.25279999999998</v>
      </c>
      <c r="H3330">
        <v>1.066584</v>
      </c>
      <c r="I3330">
        <v>221.32300000000001</v>
      </c>
      <c r="J3330">
        <v>-484.0634</v>
      </c>
      <c r="K3330">
        <v>1.1122449999999999</v>
      </c>
      <c r="L3330">
        <v>221.46119999999999</v>
      </c>
      <c r="M3330">
        <v>0.72624309999999903</v>
      </c>
      <c r="N3330">
        <v>0</v>
      </c>
      <c r="O3330">
        <v>-0.68728440000000002</v>
      </c>
      <c r="P3330">
        <v>0.80005550000000003</v>
      </c>
      <c r="Q3330">
        <v>-1.617521E-3</v>
      </c>
      <c r="R3330">
        <v>-0.59992429999999997</v>
      </c>
      <c r="S3330">
        <v>3.1537169999999999</v>
      </c>
      <c r="T3330">
        <v>-0.156666</v>
      </c>
      <c r="U3330">
        <v>-0.80429079999999997</v>
      </c>
      <c r="V3330">
        <v>-0.1142464</v>
      </c>
      <c r="W3330">
        <v>1.2282360000000001E-2</v>
      </c>
      <c r="X3330">
        <v>0.9933765</v>
      </c>
      <c r="Y3330">
        <v>-0.48537160000000001</v>
      </c>
      <c r="Z3330">
        <v>4.2111139999999998E-2</v>
      </c>
      <c r="AA3330">
        <v>0.87329319999999899</v>
      </c>
      <c r="AB3330">
        <v>15</v>
      </c>
      <c r="AC3330">
        <v>0.81060000000002197</v>
      </c>
      <c r="AD3330">
        <v>-4.5661000000000097E-2</v>
      </c>
      <c r="AE3330">
        <v>-0.13820000000001101</v>
      </c>
      <c r="AF3330">
        <v>-0.45538999582260198</v>
      </c>
      <c r="AG3330">
        <v>-4.5661000000000097E-2</v>
      </c>
      <c r="AH3330">
        <v>0.68164573280239504</v>
      </c>
      <c r="AI3330">
        <v>93.188071973676998</v>
      </c>
      <c r="AJ3330">
        <v>123.745866877284</v>
      </c>
      <c r="AK3330">
        <v>0.82103951199928504</v>
      </c>
      <c r="AL3330">
        <v>89.296254903111205</v>
      </c>
      <c r="AM3330">
        <v>96.560657634759707</v>
      </c>
      <c r="AN3330">
        <v>0.99999998351618902</v>
      </c>
    </row>
    <row r="3331" spans="1:40" x14ac:dyDescent="0.25">
      <c r="A3331" t="str">
        <f>"20190312160704757"</f>
        <v>20190312160704757</v>
      </c>
      <c r="B3331" t="str">
        <f>"1552378024748780"</f>
        <v>1552378024748780</v>
      </c>
      <c r="C3331" t="s">
        <v>40</v>
      </c>
      <c r="D3331">
        <v>6.1754769999999999</v>
      </c>
      <c r="E3331">
        <v>0.3421901</v>
      </c>
      <c r="F3331" t="s">
        <v>44</v>
      </c>
      <c r="G3331">
        <v>-483.12729999999999</v>
      </c>
      <c r="H3331">
        <v>1.0625359999999999</v>
      </c>
      <c r="I3331">
        <v>221.22620000000001</v>
      </c>
      <c r="J3331">
        <v>-483.95690000000002</v>
      </c>
      <c r="K3331">
        <v>1.1122299999999901</v>
      </c>
      <c r="L3331">
        <v>221.3682</v>
      </c>
      <c r="M3331">
        <v>0.72946759999999999</v>
      </c>
      <c r="N3331">
        <v>0</v>
      </c>
      <c r="O3331">
        <v>-0.68386119999999995</v>
      </c>
      <c r="P3331">
        <v>0.80305389999999999</v>
      </c>
      <c r="Q3331">
        <v>-1.9588259999999999E-3</v>
      </c>
      <c r="R3331">
        <v>-0.59590330000000002</v>
      </c>
      <c r="S3331">
        <v>3.155548</v>
      </c>
      <c r="T3331">
        <v>-0.16756770000000001</v>
      </c>
      <c r="U3331">
        <v>-0.79203800000000002</v>
      </c>
      <c r="V3331">
        <v>-0.1145553</v>
      </c>
      <c r="W3331">
        <v>1.1924290000000001E-2</v>
      </c>
      <c r="X3331">
        <v>0.99334529999999999</v>
      </c>
      <c r="Y3331">
        <v>-0.48440329999999898</v>
      </c>
      <c r="Z3331">
        <v>4.4898729999999998E-2</v>
      </c>
      <c r="AA3331">
        <v>0.87369189999999997</v>
      </c>
      <c r="AB3331">
        <v>15</v>
      </c>
      <c r="AC3331">
        <v>0.82960000000002698</v>
      </c>
      <c r="AD3331">
        <v>-4.96939999999996E-2</v>
      </c>
      <c r="AE3331">
        <v>-0.14199999999999499</v>
      </c>
      <c r="AF3331">
        <v>-0.46218457505451299</v>
      </c>
      <c r="AG3331">
        <v>-4.96939999999996E-2</v>
      </c>
      <c r="AH3331">
        <v>0.69990877824657904</v>
      </c>
      <c r="AI3331">
        <v>93.390714172566604</v>
      </c>
      <c r="AJ3331">
        <v>123.43876703431501</v>
      </c>
      <c r="AK3331">
        <v>0.84021209996103896</v>
      </c>
      <c r="AL3331">
        <v>89.316772314197607</v>
      </c>
      <c r="AM3331">
        <v>96.578445911082298</v>
      </c>
      <c r="AN3331">
        <v>0.99999999524109195</v>
      </c>
    </row>
    <row r="3332" spans="1:40" x14ac:dyDescent="0.25">
      <c r="A3332" t="str">
        <f>"20190312160704780"</f>
        <v>20190312160704780</v>
      </c>
      <c r="B3332" t="str">
        <f>"1552378024768304"</f>
        <v>1552378024768304</v>
      </c>
      <c r="C3332" t="s">
        <v>40</v>
      </c>
      <c r="D3332">
        <v>6.2921120000000004</v>
      </c>
      <c r="E3332">
        <v>0.3162316</v>
      </c>
      <c r="F3332" t="s">
        <v>44</v>
      </c>
      <c r="G3332">
        <v>-483.03019999999998</v>
      </c>
      <c r="H3332">
        <v>1.0610619999999999</v>
      </c>
      <c r="I3332">
        <v>221.13980000000001</v>
      </c>
      <c r="J3332">
        <v>-483.84550000000002</v>
      </c>
      <c r="K3332">
        <v>1.1122179999999999</v>
      </c>
      <c r="L3332">
        <v>221.27180000000001</v>
      </c>
      <c r="M3332">
        <v>0.73281169999999995</v>
      </c>
      <c r="N3332">
        <v>0</v>
      </c>
      <c r="O3332">
        <v>-0.68027700000000002</v>
      </c>
      <c r="P3332">
        <v>0.80643569999999998</v>
      </c>
      <c r="Q3332">
        <v>-1.466464E-3</v>
      </c>
      <c r="R3332">
        <v>-0.59132019999999996</v>
      </c>
      <c r="S3332">
        <v>3.1580810000000001</v>
      </c>
      <c r="T3332">
        <v>-0.1743692</v>
      </c>
      <c r="U3332">
        <v>-0.77787779999999995</v>
      </c>
      <c r="V3332">
        <v>-0.11534469999999999</v>
      </c>
      <c r="W3332">
        <v>1.2396799999999999E-2</v>
      </c>
      <c r="X3332">
        <v>0.99324820000000003</v>
      </c>
      <c r="Y3332">
        <v>-0.48386390000000001</v>
      </c>
      <c r="Z3332">
        <v>4.6573379999999998E-2</v>
      </c>
      <c r="AA3332">
        <v>0.87390319999999899</v>
      </c>
      <c r="AB3332">
        <v>15</v>
      </c>
      <c r="AC3332">
        <v>0.815300000000036</v>
      </c>
      <c r="AD3332">
        <v>-5.1155999999999702E-2</v>
      </c>
      <c r="AE3332">
        <v>-0.132000000000005</v>
      </c>
      <c r="AF3332">
        <v>-0.45619668923180501</v>
      </c>
      <c r="AG3332">
        <v>-5.1155999999999702E-2</v>
      </c>
      <c r="AH3332">
        <v>0.68470341270471802</v>
      </c>
      <c r="AI3332">
        <v>93.557847120351795</v>
      </c>
      <c r="AJ3332">
        <v>123.674292467269</v>
      </c>
      <c r="AK3332">
        <v>0.824348906089859</v>
      </c>
      <c r="AL3332">
        <v>89.289697510340702</v>
      </c>
      <c r="AM3332">
        <v>96.624018276575796</v>
      </c>
      <c r="AN3332">
        <v>1.0000000336357799</v>
      </c>
    </row>
    <row r="3333" spans="1:40" x14ac:dyDescent="0.25">
      <c r="A3333" t="str">
        <f>"20190312160704801"</f>
        <v>20190312160704801</v>
      </c>
      <c r="B3333" t="str">
        <f>"1552378024798557"</f>
        <v>1552378024798557</v>
      </c>
      <c r="C3333" t="s">
        <v>40</v>
      </c>
      <c r="D3333">
        <v>5.9927849999999996</v>
      </c>
      <c r="E3333">
        <v>0.32796239999999999</v>
      </c>
      <c r="F3333" t="s">
        <v>51</v>
      </c>
      <c r="G3333">
        <v>-158.4897</v>
      </c>
      <c r="H3333">
        <v>52.856389999999998</v>
      </c>
      <c r="I3333">
        <v>163.0017</v>
      </c>
      <c r="J3333">
        <v>-483.73750000000001</v>
      </c>
      <c r="K3333">
        <v>1.1122069999999999</v>
      </c>
      <c r="L3333">
        <v>221.17930000000001</v>
      </c>
      <c r="M3333">
        <v>0.73602380000000001</v>
      </c>
      <c r="N3333">
        <v>0</v>
      </c>
      <c r="O3333">
        <v>-0.67680069999999903</v>
      </c>
      <c r="P3333">
        <v>0.80928849999999997</v>
      </c>
      <c r="Q3333">
        <v>-1.893172E-3</v>
      </c>
      <c r="R3333">
        <v>-0.58740839999999905</v>
      </c>
      <c r="S3333">
        <v>3.2890929999999998</v>
      </c>
      <c r="T3333">
        <v>0.52309349999999999</v>
      </c>
      <c r="U3333">
        <v>-0.58906559999999997</v>
      </c>
      <c r="V3333">
        <v>-0.115449499999999</v>
      </c>
      <c r="W3333">
        <v>1.195528E-2</v>
      </c>
      <c r="X3333">
        <v>0.99324140000000005</v>
      </c>
      <c r="Y3333">
        <v>-0.52354679999999998</v>
      </c>
      <c r="Z3333">
        <v>-0.13759589999999999</v>
      </c>
      <c r="AA3333">
        <v>0.84081269999999997</v>
      </c>
      <c r="AB3333">
        <v>15</v>
      </c>
      <c r="AC3333">
        <v>325.24779999999998</v>
      </c>
      <c r="AD3333">
        <v>51.744183</v>
      </c>
      <c r="AE3333">
        <v>-58.177599999999998</v>
      </c>
      <c r="AF3333">
        <v>-173.08154102339401</v>
      </c>
      <c r="AG3333">
        <v>51.744183</v>
      </c>
      <c r="AH3333">
        <v>272.12014130463098</v>
      </c>
      <c r="AI3333">
        <v>80.884763171678898</v>
      </c>
      <c r="AJ3333">
        <v>122.458328849732</v>
      </c>
      <c r="AK3333">
        <v>326.62524645382598</v>
      </c>
      <c r="AL3333">
        <v>89.314996592762299</v>
      </c>
      <c r="AM3333">
        <v>96.630028163144701</v>
      </c>
      <c r="AN3333">
        <v>0.99999999722204402</v>
      </c>
    </row>
    <row r="3334" spans="1:40" x14ac:dyDescent="0.25">
      <c r="A3334" t="str">
        <f>"20190312160704823"</f>
        <v>20190312160704823</v>
      </c>
      <c r="B3334" t="str">
        <f>"1552378024818076"</f>
        <v>1552378024818076</v>
      </c>
      <c r="C3334" t="s">
        <v>40</v>
      </c>
      <c r="D3334">
        <v>6.0428189999999997</v>
      </c>
      <c r="E3334">
        <v>0.3299435</v>
      </c>
      <c r="F3334" t="s">
        <v>77</v>
      </c>
      <c r="G3334">
        <v>-432.83789999999999</v>
      </c>
      <c r="H3334" s="1">
        <v>3.7991039999999999E-6</v>
      </c>
      <c r="I3334">
        <v>210.91419999999999</v>
      </c>
      <c r="J3334">
        <v>-483.62950000000001</v>
      </c>
      <c r="K3334">
        <v>1.1122080000000001</v>
      </c>
      <c r="L3334">
        <v>221.08770000000001</v>
      </c>
      <c r="M3334">
        <v>0.73920589999999997</v>
      </c>
      <c r="N3334">
        <v>0</v>
      </c>
      <c r="O3334">
        <v>-0.67332429999999999</v>
      </c>
      <c r="P3334">
        <v>0.81135859999999904</v>
      </c>
      <c r="Q3334">
        <v>-1.402871E-3</v>
      </c>
      <c r="R3334">
        <v>-0.58454759999999995</v>
      </c>
      <c r="S3334">
        <v>3.2334589999999999</v>
      </c>
      <c r="T3334">
        <v>-7.0654030000000007E-2</v>
      </c>
      <c r="U3334">
        <v>-0.6520996</v>
      </c>
      <c r="V3334">
        <v>-0.1142775</v>
      </c>
      <c r="W3334">
        <v>1.243971E-2</v>
      </c>
      <c r="X3334">
        <v>0.993371</v>
      </c>
      <c r="Y3334">
        <v>-0.51371339999999999</v>
      </c>
      <c r="Z3334">
        <v>1.879975E-2</v>
      </c>
      <c r="AA3334">
        <v>0.85775590000000002</v>
      </c>
      <c r="AB3334">
        <v>15</v>
      </c>
      <c r="AC3334">
        <v>50.791600000000003</v>
      </c>
      <c r="AD3334">
        <v>-1.112204200896</v>
      </c>
      <c r="AE3334">
        <v>-10.173500000000001</v>
      </c>
      <c r="AF3334">
        <v>-26.669401377317602</v>
      </c>
      <c r="AG3334">
        <v>-1.112204200896</v>
      </c>
      <c r="AH3334">
        <v>44.379696667938497</v>
      </c>
      <c r="AI3334">
        <v>91.230571920487193</v>
      </c>
      <c r="AJ3334">
        <v>121.00321494251401</v>
      </c>
      <c r="AK3334">
        <v>51.7885261843508</v>
      </c>
      <c r="AL3334">
        <v>89.287238748153896</v>
      </c>
      <c r="AM3334">
        <v>96.562464009210302</v>
      </c>
      <c r="AN3334">
        <v>1.00000001851606</v>
      </c>
    </row>
    <row r="3335" spans="1:40" x14ac:dyDescent="0.25">
      <c r="A3335" t="str">
        <f>"20190312160704847"</f>
        <v>20190312160704847</v>
      </c>
      <c r="B3335" t="str">
        <f>"1552378024838573"</f>
        <v>1552378024838573</v>
      </c>
      <c r="C3335" t="s">
        <v>40</v>
      </c>
      <c r="D3335">
        <v>6.1209670000000003</v>
      </c>
      <c r="E3335">
        <v>0.33075280000000001</v>
      </c>
      <c r="F3335" t="s">
        <v>66</v>
      </c>
      <c r="G3335">
        <v>-442.24</v>
      </c>
      <c r="H3335" s="1">
        <v>-2.6112110000000002E-7</v>
      </c>
      <c r="I3335">
        <v>212.7021</v>
      </c>
      <c r="J3335">
        <v>-483.51119999999997</v>
      </c>
      <c r="K3335">
        <v>1.1122019999999999</v>
      </c>
      <c r="L3335">
        <v>220.98830000000001</v>
      </c>
      <c r="M3335">
        <v>0.74266100000000002</v>
      </c>
      <c r="N3335">
        <v>0</v>
      </c>
      <c r="O3335">
        <v>-0.66951169999999904</v>
      </c>
      <c r="P3335">
        <v>0.81295930000000005</v>
      </c>
      <c r="Q3335">
        <v>-3.0246940000000001E-4</v>
      </c>
      <c r="R3335">
        <v>-0.58232059999999997</v>
      </c>
      <c r="S3335">
        <v>3.2264710000000001</v>
      </c>
      <c r="T3335">
        <v>-8.6700799999999995E-2</v>
      </c>
      <c r="U3335">
        <v>-0.65368649999999995</v>
      </c>
      <c r="V3335">
        <v>-0.11189489999999901</v>
      </c>
      <c r="W3335">
        <v>1.3539199999999999E-2</v>
      </c>
      <c r="X3335">
        <v>0.99362779999999995</v>
      </c>
      <c r="Y3335">
        <v>-0.50840370000000001</v>
      </c>
      <c r="Z3335">
        <v>2.2973529999999999E-2</v>
      </c>
      <c r="AA3335">
        <v>0.86081240000000003</v>
      </c>
      <c r="AB3335">
        <v>15</v>
      </c>
      <c r="AC3335">
        <v>41.271199999999901</v>
      </c>
      <c r="AD3335">
        <v>-1.1122022611211</v>
      </c>
      <c r="AE3335">
        <v>-8.2861999999999991</v>
      </c>
      <c r="AF3335">
        <v>-21.464971040684699</v>
      </c>
      <c r="AG3335">
        <v>-1.1122022611211</v>
      </c>
      <c r="AH3335">
        <v>36.176742232370401</v>
      </c>
      <c r="AI3335">
        <v>91.514536519152898</v>
      </c>
      <c r="AJ3335">
        <v>120.682190441339</v>
      </c>
      <c r="AK3335">
        <v>42.080145605670701</v>
      </c>
      <c r="AL3335">
        <v>89.224237273555104</v>
      </c>
      <c r="AM3335">
        <v>96.425151260956198</v>
      </c>
      <c r="AN3335">
        <v>0.99999999175774401</v>
      </c>
    </row>
    <row r="3336" spans="1:40" x14ac:dyDescent="0.25">
      <c r="A3336" t="str">
        <f>"20190312160704868"</f>
        <v>20190312160704868</v>
      </c>
      <c r="B3336" t="str">
        <f>"1552378024858105"</f>
        <v>1552378024858105</v>
      </c>
      <c r="C3336" t="s">
        <v>40</v>
      </c>
      <c r="D3336">
        <v>5.9879579999999999</v>
      </c>
      <c r="E3336">
        <v>0.3317967</v>
      </c>
      <c r="F3336" t="s">
        <v>66</v>
      </c>
      <c r="G3336">
        <v>-443.24470000000002</v>
      </c>
      <c r="H3336" s="1">
        <v>2.6622719999999998E-7</v>
      </c>
      <c r="I3336">
        <v>212.86949999999999</v>
      </c>
      <c r="J3336">
        <v>-483.40390000000002</v>
      </c>
      <c r="K3336">
        <v>1.1121970000000001</v>
      </c>
      <c r="L3336">
        <v>220.899</v>
      </c>
      <c r="M3336">
        <v>0.74577369999999898</v>
      </c>
      <c r="N3336">
        <v>0</v>
      </c>
      <c r="O3336">
        <v>-0.66604319999999995</v>
      </c>
      <c r="P3336">
        <v>0.81464440000000005</v>
      </c>
      <c r="Q3336">
        <v>6.6485630000000001E-4</v>
      </c>
      <c r="R3336">
        <v>-0.57996009999999998</v>
      </c>
      <c r="S3336">
        <v>3.2245180000000002</v>
      </c>
      <c r="T3336">
        <v>-8.9064359999999995E-2</v>
      </c>
      <c r="U3336">
        <v>-0.65014649999999996</v>
      </c>
      <c r="V3336">
        <v>-0.1101487</v>
      </c>
      <c r="W3336">
        <v>1.449135E-2</v>
      </c>
      <c r="X3336">
        <v>0.99380950000000001</v>
      </c>
      <c r="Y3336">
        <v>-0.50517509999999999</v>
      </c>
      <c r="Z3336">
        <v>2.3506820000000001E-2</v>
      </c>
      <c r="AA3336">
        <v>0.86269669999999898</v>
      </c>
      <c r="AB3336">
        <v>15</v>
      </c>
      <c r="AC3336">
        <v>40.159199999999998</v>
      </c>
      <c r="AD3336">
        <v>-1.11219673377279</v>
      </c>
      <c r="AE3336">
        <v>-8.0295000000000094</v>
      </c>
      <c r="AF3336">
        <v>-20.746431186798201</v>
      </c>
      <c r="AG3336">
        <v>-1.11219673377279</v>
      </c>
      <c r="AH3336">
        <v>35.275325355442703</v>
      </c>
      <c r="AI3336">
        <v>91.556756477801301</v>
      </c>
      <c r="AJ3336">
        <v>120.461007270678</v>
      </c>
      <c r="AK3336">
        <v>40.9389785839304</v>
      </c>
      <c r="AL3336">
        <v>89.169677766578104</v>
      </c>
      <c r="AM3336">
        <v>96.324554178317101</v>
      </c>
      <c r="AN3336">
        <v>1.0000000288133799</v>
      </c>
    </row>
    <row r="3337" spans="1:40" x14ac:dyDescent="0.25">
      <c r="A3337" t="str">
        <f>"20190312160704891"</f>
        <v>20190312160704891</v>
      </c>
      <c r="B3337" t="str">
        <f>"1552378024888349"</f>
        <v>1552378024888349</v>
      </c>
      <c r="C3337" t="s">
        <v>40</v>
      </c>
      <c r="D3337">
        <v>6.0063440000000003</v>
      </c>
      <c r="E3337">
        <v>0.33316030000000002</v>
      </c>
      <c r="F3337" t="s">
        <v>66</v>
      </c>
      <c r="G3337">
        <v>-441.53120000000001</v>
      </c>
      <c r="H3337" s="1">
        <v>-6.2862190000000004E-7</v>
      </c>
      <c r="I3337">
        <v>212.4812</v>
      </c>
      <c r="J3337">
        <v>-483.29219999999998</v>
      </c>
      <c r="K3337">
        <v>1.1121909999999999</v>
      </c>
      <c r="L3337">
        <v>220.80690000000001</v>
      </c>
      <c r="M3337">
        <v>0.74899640000000001</v>
      </c>
      <c r="N3337">
        <v>0</v>
      </c>
      <c r="O3337">
        <v>-0.66241810000000001</v>
      </c>
      <c r="P3337">
        <v>0.81690299999999905</v>
      </c>
      <c r="Q3337">
        <v>1.556205E-3</v>
      </c>
      <c r="R3337">
        <v>-0.57677299999999998</v>
      </c>
      <c r="S3337">
        <v>3.2215880000000001</v>
      </c>
      <c r="T3337">
        <v>-8.5569859999999998E-2</v>
      </c>
      <c r="U3337">
        <v>-0.647644</v>
      </c>
      <c r="V3337">
        <v>-0.1092137</v>
      </c>
      <c r="W3337">
        <v>1.5346230000000001E-2</v>
      </c>
      <c r="X3337">
        <v>0.9938998</v>
      </c>
      <c r="Y3337">
        <v>-0.50150740000000005</v>
      </c>
      <c r="Z3337">
        <v>2.249195E-2</v>
      </c>
      <c r="AA3337">
        <v>0.86486090000000004</v>
      </c>
      <c r="AB3337">
        <v>15</v>
      </c>
      <c r="AC3337">
        <v>41.760999999999903</v>
      </c>
      <c r="AD3337">
        <v>-1.1121916286219</v>
      </c>
      <c r="AE3337">
        <v>-8.3257000000000101</v>
      </c>
      <c r="AF3337">
        <v>-21.414928773546499</v>
      </c>
      <c r="AG3337">
        <v>-1.1121916286219</v>
      </c>
      <c r="AH3337">
        <v>36.772650378131601</v>
      </c>
      <c r="AI3337">
        <v>91.497148624468295</v>
      </c>
      <c r="AJ3337">
        <v>120.214819755836</v>
      </c>
      <c r="AK3337">
        <v>42.568344581709397</v>
      </c>
      <c r="AL3337">
        <v>89.120691252066806</v>
      </c>
      <c r="AM3337">
        <v>96.270732374211804</v>
      </c>
      <c r="AN3337">
        <v>0.99999997574147104</v>
      </c>
    </row>
    <row r="3338" spans="1:40" x14ac:dyDescent="0.25">
      <c r="A3338" t="str">
        <f>"20190312160704917"</f>
        <v>20190312160704917</v>
      </c>
      <c r="B3338" t="str">
        <f>"1552378024908844"</f>
        <v>1552378024908844</v>
      </c>
      <c r="C3338" t="s">
        <v>40</v>
      </c>
      <c r="D3338">
        <v>6.0625549999999997</v>
      </c>
      <c r="E3338">
        <v>0.33349459999999997</v>
      </c>
      <c r="F3338" t="s">
        <v>66</v>
      </c>
      <c r="G3338">
        <v>-441.50709999999998</v>
      </c>
      <c r="H3338" s="1">
        <v>-6.3986429999999999E-7</v>
      </c>
      <c r="I3338">
        <v>212.44540000000001</v>
      </c>
      <c r="J3338">
        <v>-483.16500000000002</v>
      </c>
      <c r="K3338">
        <v>1.112204</v>
      </c>
      <c r="L3338">
        <v>220.70330000000001</v>
      </c>
      <c r="M3338">
        <v>0.75265559999999998</v>
      </c>
      <c r="N3338">
        <v>0</v>
      </c>
      <c r="O3338">
        <v>-0.65825880000000003</v>
      </c>
      <c r="P3338">
        <v>0.8197276</v>
      </c>
      <c r="Q3338">
        <v>3.11166E-3</v>
      </c>
      <c r="R3338">
        <v>-0.57274539999999996</v>
      </c>
      <c r="S3338">
        <v>3.2179259999999998</v>
      </c>
      <c r="T3338">
        <v>-8.5651399999999905E-2</v>
      </c>
      <c r="U3338">
        <v>-0.64393619999999996</v>
      </c>
      <c r="V3338">
        <v>-0.10860300000000001</v>
      </c>
      <c r="W3338">
        <v>1.684664E-2</v>
      </c>
      <c r="X3338">
        <v>0.9939424</v>
      </c>
      <c r="Y3338">
        <v>-0.49747789999999997</v>
      </c>
      <c r="Z3338">
        <v>2.2411159999999999E-2</v>
      </c>
      <c r="AA3338">
        <v>0.86718709999999899</v>
      </c>
      <c r="AB3338">
        <v>15</v>
      </c>
      <c r="AC3338">
        <v>41.657899999999998</v>
      </c>
      <c r="AD3338">
        <v>-1.1122046398643</v>
      </c>
      <c r="AE3338">
        <v>-8.2578999999999994</v>
      </c>
      <c r="AF3338">
        <v>-21.193961414444601</v>
      </c>
      <c r="AG3338">
        <v>-1.1122046398643</v>
      </c>
      <c r="AH3338">
        <v>36.768438761535201</v>
      </c>
      <c r="AI3338">
        <v>91.501200757303707</v>
      </c>
      <c r="AJ3338">
        <v>119.959889152209</v>
      </c>
      <c r="AK3338">
        <v>42.453964344436301</v>
      </c>
      <c r="AL3338">
        <v>89.034712924949403</v>
      </c>
      <c r="AM3338">
        <v>96.2356796158289</v>
      </c>
      <c r="AN3338">
        <v>0.99999995770302297</v>
      </c>
    </row>
    <row r="3339" spans="1:40" x14ac:dyDescent="0.25">
      <c r="A3339" t="str">
        <f>"20190312160704947"</f>
        <v>20190312160704947</v>
      </c>
      <c r="B3339" t="str">
        <f>"1552378024938125"</f>
        <v>1552378024938125</v>
      </c>
      <c r="C3339" t="s">
        <v>40</v>
      </c>
      <c r="D3339">
        <v>6.2701880000000001</v>
      </c>
      <c r="E3339">
        <v>0.34014949999999999</v>
      </c>
      <c r="F3339" t="s">
        <v>77</v>
      </c>
      <c r="G3339">
        <v>-438.81540000000001</v>
      </c>
      <c r="H3339" s="1">
        <v>6.3531399999999996E-6</v>
      </c>
      <c r="I3339">
        <v>212.02119999999999</v>
      </c>
      <c r="J3339">
        <v>-483.00920000000002</v>
      </c>
      <c r="K3339">
        <v>1.1122259999999999</v>
      </c>
      <c r="L3339">
        <v>220.57810000000001</v>
      </c>
      <c r="M3339">
        <v>0.75713160000000002</v>
      </c>
      <c r="N3339">
        <v>0</v>
      </c>
      <c r="O3339">
        <v>-0.65310690000000005</v>
      </c>
      <c r="P3339">
        <v>0.82366219999999901</v>
      </c>
      <c r="Q3339">
        <v>3.8172380000000001E-3</v>
      </c>
      <c r="R3339">
        <v>-0.56706780000000001</v>
      </c>
      <c r="S3339">
        <v>3.2197269999999998</v>
      </c>
      <c r="T3339">
        <v>-8.0744270000000007E-2</v>
      </c>
      <c r="U3339">
        <v>-0.63031009999999998</v>
      </c>
      <c r="V3339">
        <v>-0.10868899999999999</v>
      </c>
      <c r="W3339">
        <v>1.7482169999999998E-2</v>
      </c>
      <c r="X3339">
        <v>0.99392210000000003</v>
      </c>
      <c r="Y3339">
        <v>-0.49522189999999999</v>
      </c>
      <c r="Z3339">
        <v>2.1009940000000001E-2</v>
      </c>
      <c r="AA3339">
        <v>0.86851250000000002</v>
      </c>
      <c r="AB3339">
        <v>15</v>
      </c>
      <c r="AC3339">
        <v>44.193800000000003</v>
      </c>
      <c r="AD3339">
        <v>-1.1122196468600001</v>
      </c>
      <c r="AE3339">
        <v>-8.5569000000000095</v>
      </c>
      <c r="AF3339">
        <v>-22.3731915360848</v>
      </c>
      <c r="AG3339">
        <v>-1.1122196468600001</v>
      </c>
      <c r="AH3339">
        <v>39.029232572254202</v>
      </c>
      <c r="AI3339">
        <v>91.4162390710229</v>
      </c>
      <c r="AJ3339">
        <v>119.82314188412801</v>
      </c>
      <c r="AK3339">
        <v>45.000863627627297</v>
      </c>
      <c r="AL3339">
        <v>88.998294446248806</v>
      </c>
      <c r="AM3339">
        <v>96.2407050021678</v>
      </c>
      <c r="AN3339">
        <v>1.00000003292865</v>
      </c>
    </row>
    <row r="3340" spans="1:40" x14ac:dyDescent="0.25">
      <c r="A3340" t="str">
        <f>"20190312160704969"</f>
        <v>20190312160704969</v>
      </c>
      <c r="B3340" t="str">
        <f>"1552378024958624"</f>
        <v>1552378024958624</v>
      </c>
      <c r="C3340" t="s">
        <v>40</v>
      </c>
      <c r="D3340">
        <v>6.0947990000000001</v>
      </c>
      <c r="E3340">
        <v>0.3409645</v>
      </c>
      <c r="F3340" t="s">
        <v>66</v>
      </c>
      <c r="G3340">
        <v>-455.65499999999997</v>
      </c>
      <c r="H3340" s="1">
        <v>1.456019E-6</v>
      </c>
      <c r="I3340">
        <v>214.994</v>
      </c>
      <c r="J3340">
        <v>-482.90280000000001</v>
      </c>
      <c r="K3340">
        <v>1.112244</v>
      </c>
      <c r="L3340">
        <v>220.49369999999999</v>
      </c>
      <c r="M3340">
        <v>0.76018359999999996</v>
      </c>
      <c r="N3340">
        <v>0</v>
      </c>
      <c r="O3340">
        <v>-0.64955260000000004</v>
      </c>
      <c r="P3340">
        <v>0.82613859999999995</v>
      </c>
      <c r="Q3340">
        <v>3.5956909999999998E-3</v>
      </c>
      <c r="R3340">
        <v>-0.5634557</v>
      </c>
      <c r="S3340">
        <v>3.1939700000000002</v>
      </c>
      <c r="T3340">
        <v>-0.12986739999999999</v>
      </c>
      <c r="U3340">
        <v>-0.65202329999999997</v>
      </c>
      <c r="V3340">
        <v>-0.1083848</v>
      </c>
      <c r="W3340">
        <v>1.7221380000000001E-2</v>
      </c>
      <c r="X3340">
        <v>0.99395979999999995</v>
      </c>
      <c r="Y3340">
        <v>-0.48362470000000002</v>
      </c>
      <c r="Z3340">
        <v>3.367568E-2</v>
      </c>
      <c r="AA3340">
        <v>0.87462739999999894</v>
      </c>
      <c r="AB3340">
        <v>15</v>
      </c>
      <c r="AC3340">
        <v>27.247800000000002</v>
      </c>
      <c r="AD3340">
        <v>-1.112242543981</v>
      </c>
      <c r="AE3340">
        <v>-5.4996999999999598</v>
      </c>
      <c r="AF3340">
        <v>-13.497855044005499</v>
      </c>
      <c r="AG3340">
        <v>-1.112242543981</v>
      </c>
      <c r="AH3340">
        <v>24.2493087794108</v>
      </c>
      <c r="AI3340">
        <v>92.294996818647405</v>
      </c>
      <c r="AJ3340">
        <v>119.101556628569</v>
      </c>
      <c r="AK3340">
        <v>27.775135473024001</v>
      </c>
      <c r="AL3340">
        <v>89.013238792476699</v>
      </c>
      <c r="AM3340">
        <v>96.223141497526598</v>
      </c>
      <c r="AN3340">
        <v>0.99999996240809097</v>
      </c>
    </row>
    <row r="3341" spans="1:40" x14ac:dyDescent="0.25">
      <c r="A3341" t="str">
        <f>"20190312160704993"</f>
        <v>20190312160704993</v>
      </c>
      <c r="B3341" t="str">
        <f>"1552378024988878"</f>
        <v>1552378024988878</v>
      </c>
      <c r="C3341" t="s">
        <v>40</v>
      </c>
      <c r="D3341">
        <v>6.0151629999999896</v>
      </c>
      <c r="E3341">
        <v>0.34192729999999999</v>
      </c>
      <c r="F3341" t="s">
        <v>66</v>
      </c>
      <c r="G3341">
        <v>-455.0265</v>
      </c>
      <c r="H3341" s="1">
        <v>1.1266799999999901E-6</v>
      </c>
      <c r="I3341">
        <v>214.87700000000001</v>
      </c>
      <c r="J3341">
        <v>-482.78089999999997</v>
      </c>
      <c r="K3341">
        <v>1.1122609999999999</v>
      </c>
      <c r="L3341">
        <v>220.398</v>
      </c>
      <c r="M3341">
        <v>0.76369010000000004</v>
      </c>
      <c r="N3341">
        <v>0</v>
      </c>
      <c r="O3341">
        <v>-0.64542730000000004</v>
      </c>
      <c r="P3341">
        <v>0.82900689999999999</v>
      </c>
      <c r="Q3341">
        <v>2.992214E-3</v>
      </c>
      <c r="R3341">
        <v>-0.55923059999999902</v>
      </c>
      <c r="S3341">
        <v>3.193146</v>
      </c>
      <c r="T3341">
        <v>-0.12740399999999999</v>
      </c>
      <c r="U3341">
        <v>-0.64337159999999904</v>
      </c>
      <c r="V3341">
        <v>-0.1080769</v>
      </c>
      <c r="W3341">
        <v>1.657631E-2</v>
      </c>
      <c r="X3341">
        <v>0.99400429999999995</v>
      </c>
      <c r="Y3341">
        <v>-0.48115000000000002</v>
      </c>
      <c r="Z3341">
        <v>3.2892169999999998E-2</v>
      </c>
      <c r="AA3341">
        <v>0.87602099999999905</v>
      </c>
      <c r="AB3341">
        <v>15</v>
      </c>
      <c r="AC3341">
        <v>27.754399999999901</v>
      </c>
      <c r="AD3341">
        <v>-1.11225987332</v>
      </c>
      <c r="AE3341">
        <v>-5.5209999999999804</v>
      </c>
      <c r="AF3341">
        <v>-13.6773615075963</v>
      </c>
      <c r="AG3341">
        <v>-1.11225987332</v>
      </c>
      <c r="AH3341">
        <v>24.723458907047899</v>
      </c>
      <c r="AI3341">
        <v>92.254323873183793</v>
      </c>
      <c r="AJ3341">
        <v>118.95197904554099</v>
      </c>
      <c r="AK3341">
        <v>28.276434714506799</v>
      </c>
      <c r="AL3341">
        <v>89.050203868085106</v>
      </c>
      <c r="AM3341">
        <v>96.205325248634395</v>
      </c>
      <c r="AN3341">
        <v>0.99999996939265701</v>
      </c>
    </row>
    <row r="3342" spans="1:40" x14ac:dyDescent="0.25">
      <c r="A3342" t="str">
        <f>"20190312160705013"</f>
        <v>20190312160705013</v>
      </c>
      <c r="B3342" t="str">
        <f>"1552378025008396"</f>
        <v>1552378025008396</v>
      </c>
      <c r="C3342" t="s">
        <v>40</v>
      </c>
      <c r="D3342">
        <v>6.1547640000000001</v>
      </c>
      <c r="E3342">
        <v>0.3426611</v>
      </c>
      <c r="F3342" t="s">
        <v>66</v>
      </c>
      <c r="G3342">
        <v>-455.50380000000001</v>
      </c>
      <c r="H3342" s="1">
        <v>1.375877E-6</v>
      </c>
      <c r="I3342">
        <v>214.98670000000001</v>
      </c>
      <c r="J3342">
        <v>-482.68</v>
      </c>
      <c r="K3342">
        <v>1.1122829999999999</v>
      </c>
      <c r="L3342">
        <v>220.31970000000001</v>
      </c>
      <c r="M3342">
        <v>0.76661230000000002</v>
      </c>
      <c r="N3342">
        <v>0</v>
      </c>
      <c r="O3342">
        <v>-0.64195409999999997</v>
      </c>
      <c r="P3342">
        <v>0.83130329999999997</v>
      </c>
      <c r="Q3342">
        <v>1.7137319999999999E-3</v>
      </c>
      <c r="R3342">
        <v>-0.55581669999999905</v>
      </c>
      <c r="S3342">
        <v>3.192078</v>
      </c>
      <c r="T3342">
        <v>-0.130161</v>
      </c>
      <c r="U3342">
        <v>-0.63325500000000001</v>
      </c>
      <c r="V3342">
        <v>-0.1076497</v>
      </c>
      <c r="W3342">
        <v>1.526661E-2</v>
      </c>
      <c r="X3342">
        <v>0.9940717</v>
      </c>
      <c r="Y3342">
        <v>-0.47975210000000001</v>
      </c>
      <c r="Z3342">
        <v>3.3499699999999903E-2</v>
      </c>
      <c r="AA3342">
        <v>0.8767644</v>
      </c>
      <c r="AB3342">
        <v>15</v>
      </c>
      <c r="AC3342">
        <v>27.176199999999898</v>
      </c>
      <c r="AD3342">
        <v>-1.11228162412299</v>
      </c>
      <c r="AE3342">
        <v>-5.3329999999999904</v>
      </c>
      <c r="AF3342">
        <v>-13.337355494121701</v>
      </c>
      <c r="AG3342">
        <v>-1.11228162412299</v>
      </c>
      <c r="AH3342">
        <v>24.2205143826293</v>
      </c>
      <c r="AI3342">
        <v>92.303612005212202</v>
      </c>
      <c r="AJ3342">
        <v>118.839976446188</v>
      </c>
      <c r="AK3342">
        <v>27.672288285342301</v>
      </c>
      <c r="AL3342">
        <v>89.125253729361006</v>
      </c>
      <c r="AM3342">
        <v>96.180571596381498</v>
      </c>
      <c r="AN3342">
        <v>1.00000003601593</v>
      </c>
    </row>
    <row r="3343" spans="1:40" x14ac:dyDescent="0.25">
      <c r="A3343" t="str">
        <f>"20190312160705036"</f>
        <v>20190312160705036</v>
      </c>
      <c r="B3343" t="str">
        <f>"1552378025027916"</f>
        <v>1552378025027916</v>
      </c>
      <c r="C3343" t="s">
        <v>40</v>
      </c>
      <c r="D3343">
        <v>6.1551689999999999</v>
      </c>
      <c r="E3343">
        <v>0.34361390000000003</v>
      </c>
      <c r="F3343" t="s">
        <v>66</v>
      </c>
      <c r="G3343">
        <v>-456.34219999999999</v>
      </c>
      <c r="H3343" s="1">
        <v>1.814293E-6</v>
      </c>
      <c r="I3343">
        <v>215.16370000000001</v>
      </c>
      <c r="J3343">
        <v>-482.56490000000002</v>
      </c>
      <c r="K3343">
        <v>1.112312</v>
      </c>
      <c r="L3343">
        <v>220.23140000000001</v>
      </c>
      <c r="M3343">
        <v>0.76996379999999998</v>
      </c>
      <c r="N3343">
        <v>0</v>
      </c>
      <c r="O3343">
        <v>-0.63793129999999998</v>
      </c>
      <c r="P3343">
        <v>0.83368430000000004</v>
      </c>
      <c r="Q3343">
        <v>1.3255319999999999E-3</v>
      </c>
      <c r="R3343">
        <v>-0.55224030000000002</v>
      </c>
      <c r="S3343">
        <v>3.1913450000000001</v>
      </c>
      <c r="T3343">
        <v>-0.1347749</v>
      </c>
      <c r="U3343">
        <v>-0.62475590000000003</v>
      </c>
      <c r="V3343">
        <v>-0.1067142</v>
      </c>
      <c r="W3343">
        <v>1.484894E-2</v>
      </c>
      <c r="X3343">
        <v>0.99417880000000003</v>
      </c>
      <c r="Y3343">
        <v>-0.47731200000000001</v>
      </c>
      <c r="Z3343">
        <v>3.4532859999999999E-2</v>
      </c>
      <c r="AA3343">
        <v>0.87805509999999998</v>
      </c>
      <c r="AB3343">
        <v>14</v>
      </c>
      <c r="AC3343">
        <v>26.2227</v>
      </c>
      <c r="AD3343">
        <v>-1.1123101857069999</v>
      </c>
      <c r="AE3343">
        <v>-5.0677000000000003</v>
      </c>
      <c r="AF3343">
        <v>-12.805403665325899</v>
      </c>
      <c r="AG3343">
        <v>-1.1123101857069999</v>
      </c>
      <c r="AH3343">
        <v>23.385148507418801</v>
      </c>
      <c r="AI3343">
        <v>92.388964864603196</v>
      </c>
      <c r="AJ3343">
        <v>118.704540603686</v>
      </c>
      <c r="AK3343">
        <v>26.6848415340096</v>
      </c>
      <c r="AL3343">
        <v>89.149187096254494</v>
      </c>
      <c r="AM3343">
        <v>96.126616328701502</v>
      </c>
      <c r="AN3343">
        <v>0.99999994893510002</v>
      </c>
    </row>
    <row r="3344" spans="1:40" x14ac:dyDescent="0.25">
      <c r="A3344" t="str">
        <f>"20190312160705058"</f>
        <v>20190312160705058</v>
      </c>
      <c r="B3344" t="str">
        <f>"1552378025048416"</f>
        <v>1552378025048416</v>
      </c>
      <c r="C3344" t="s">
        <v>40</v>
      </c>
      <c r="D3344">
        <v>6.0775600000000001</v>
      </c>
      <c r="E3344">
        <v>0.34425489999999997</v>
      </c>
      <c r="F3344" t="s">
        <v>44</v>
      </c>
      <c r="G3344">
        <v>-481.55079999999998</v>
      </c>
      <c r="H3344">
        <v>1.067661</v>
      </c>
      <c r="I3344">
        <v>220.0351</v>
      </c>
      <c r="J3344">
        <v>-482.45249999999999</v>
      </c>
      <c r="K3344">
        <v>1.1123449999999999</v>
      </c>
      <c r="L3344">
        <v>220.1463</v>
      </c>
      <c r="M3344">
        <v>0.77325299999999997</v>
      </c>
      <c r="N3344">
        <v>0</v>
      </c>
      <c r="O3344">
        <v>-0.63394059999999997</v>
      </c>
      <c r="P3344">
        <v>0.83653149999999998</v>
      </c>
      <c r="Q3344">
        <v>1.1200100000000001E-3</v>
      </c>
      <c r="R3344">
        <v>-0.54791800000000002</v>
      </c>
      <c r="S3344">
        <v>3.1898499999999999</v>
      </c>
      <c r="T3344">
        <v>-0.14043720000000001</v>
      </c>
      <c r="U3344">
        <v>-0.61724849999999998</v>
      </c>
      <c r="V3344">
        <v>-0.1067179</v>
      </c>
      <c r="W3344">
        <v>1.461293E-2</v>
      </c>
      <c r="X3344">
        <v>0.99418189999999995</v>
      </c>
      <c r="Y3344">
        <v>-0.47460980000000003</v>
      </c>
      <c r="Z3344">
        <v>3.5823399999999998E-2</v>
      </c>
      <c r="AA3344">
        <v>0.879467</v>
      </c>
      <c r="AB3344">
        <v>14</v>
      </c>
      <c r="AC3344">
        <v>0.90170000000000505</v>
      </c>
      <c r="AD3344">
        <v>-4.4684000000000099E-2</v>
      </c>
      <c r="AE3344">
        <v>-0.111199999999996</v>
      </c>
      <c r="AF3344">
        <v>-0.48451484994737898</v>
      </c>
      <c r="AG3344">
        <v>-4.4684000000000099E-2</v>
      </c>
      <c r="AH3344">
        <v>0.76596005983729198</v>
      </c>
      <c r="AI3344">
        <v>92.822492196846099</v>
      </c>
      <c r="AJ3344">
        <v>122.315763273998</v>
      </c>
      <c r="AK3344">
        <v>0.90743931639613196</v>
      </c>
      <c r="AL3344">
        <v>89.162710941453696</v>
      </c>
      <c r="AM3344">
        <v>96.126808176430103</v>
      </c>
      <c r="AN3344">
        <v>0.99999994909560097</v>
      </c>
    </row>
    <row r="3345" spans="1:40" x14ac:dyDescent="0.25">
      <c r="A3345" t="str">
        <f>"20190312160705081"</f>
        <v>20190312160705081</v>
      </c>
      <c r="B3345" t="str">
        <f>"1552378025078669"</f>
        <v>1552378025078669</v>
      </c>
      <c r="C3345" t="s">
        <v>40</v>
      </c>
      <c r="D3345">
        <v>6.233441</v>
      </c>
      <c r="E3345">
        <v>0.34549879999999999</v>
      </c>
      <c r="F3345" t="s">
        <v>44</v>
      </c>
      <c r="G3345">
        <v>-481.43729999999999</v>
      </c>
      <c r="H3345">
        <v>1.0675140000000001</v>
      </c>
      <c r="I3345">
        <v>219.9538</v>
      </c>
      <c r="J3345">
        <v>-482.33409999999998</v>
      </c>
      <c r="K3345">
        <v>1.1123620000000001</v>
      </c>
      <c r="L3345">
        <v>220.05779999999999</v>
      </c>
      <c r="M3345">
        <v>0.77672220000000003</v>
      </c>
      <c r="N3345">
        <v>0</v>
      </c>
      <c r="O3345">
        <v>-0.62968570000000001</v>
      </c>
      <c r="P3345">
        <v>0.83953449999999996</v>
      </c>
      <c r="Q3345">
        <v>6.6407300000000005E-4</v>
      </c>
      <c r="R3345">
        <v>-0.54330639999999997</v>
      </c>
      <c r="S3345">
        <v>3.1901860000000002</v>
      </c>
      <c r="T3345">
        <v>-0.14089199999999999</v>
      </c>
      <c r="U3345">
        <v>-0.60494999999999999</v>
      </c>
      <c r="V3345">
        <v>-0.106729</v>
      </c>
      <c r="W3345">
        <v>1.4130419999999999E-2</v>
      </c>
      <c r="X3345">
        <v>0.99418770000000001</v>
      </c>
      <c r="Y3345">
        <v>-0.47306340000000002</v>
      </c>
      <c r="Z3345">
        <v>3.5783280000000001E-2</v>
      </c>
      <c r="AA3345">
        <v>0.88030140000000001</v>
      </c>
      <c r="AB3345">
        <v>14</v>
      </c>
      <c r="AC3345">
        <v>0.89679999999998405</v>
      </c>
      <c r="AD3345">
        <v>-4.48480000000002E-2</v>
      </c>
      <c r="AE3345">
        <v>-0.10399999999998499</v>
      </c>
      <c r="AF3345">
        <v>-0.48277971597873198</v>
      </c>
      <c r="AG3345">
        <v>-4.48480000000002E-2</v>
      </c>
      <c r="AH3345">
        <v>0.76025136697943796</v>
      </c>
      <c r="AI3345">
        <v>92.850893762952794</v>
      </c>
      <c r="AJ3345">
        <v>122.416626735306</v>
      </c>
      <c r="AK3345">
        <v>0.90170379740722495</v>
      </c>
      <c r="AL3345">
        <v>89.190359598494496</v>
      </c>
      <c r="AM3345">
        <v>96.127405118735794</v>
      </c>
      <c r="AN3345">
        <v>0.99999996552083203</v>
      </c>
    </row>
    <row r="3346" spans="1:40" x14ac:dyDescent="0.25">
      <c r="A3346" t="str">
        <f>"20190312160705104"</f>
        <v>20190312160705104</v>
      </c>
      <c r="B3346" t="str">
        <f>"1552378025098189"</f>
        <v>1552378025098189</v>
      </c>
      <c r="C3346" t="s">
        <v>40</v>
      </c>
      <c r="D3346">
        <v>6.1008180000000003</v>
      </c>
      <c r="E3346">
        <v>0.3463504</v>
      </c>
      <c r="F3346" t="s">
        <v>44</v>
      </c>
      <c r="G3346">
        <v>-481.35700000000003</v>
      </c>
      <c r="H3346">
        <v>1.067626</v>
      </c>
      <c r="I3346">
        <v>219.87479999999999</v>
      </c>
      <c r="J3346">
        <v>-482.22179999999997</v>
      </c>
      <c r="K3346">
        <v>1.112374</v>
      </c>
      <c r="L3346">
        <v>219.97479999999999</v>
      </c>
      <c r="M3346">
        <v>0.78001489999999996</v>
      </c>
      <c r="N3346">
        <v>0</v>
      </c>
      <c r="O3346">
        <v>-0.62560280000000001</v>
      </c>
      <c r="P3346">
        <v>0.84247950000000005</v>
      </c>
      <c r="Q3346">
        <v>-9.3915350000000003E-4</v>
      </c>
      <c r="R3346">
        <v>-0.53872779999999998</v>
      </c>
      <c r="S3346">
        <v>3.187897</v>
      </c>
      <c r="T3346">
        <v>-0.1459271</v>
      </c>
      <c r="U3346">
        <v>-0.59593200000000002</v>
      </c>
      <c r="V3346">
        <v>-0.1069186</v>
      </c>
      <c r="W3346">
        <v>1.2505509999999999E-2</v>
      </c>
      <c r="X3346">
        <v>0.99418910000000005</v>
      </c>
      <c r="Y3346">
        <v>-0.47066609999999998</v>
      </c>
      <c r="Z3346">
        <v>3.6908320000000001E-2</v>
      </c>
      <c r="AA3346">
        <v>0.88153919999999997</v>
      </c>
      <c r="AB3346">
        <v>14</v>
      </c>
      <c r="AC3346">
        <v>0.86480000000000201</v>
      </c>
      <c r="AD3346">
        <v>-4.4748000000000003E-2</v>
      </c>
      <c r="AE3346">
        <v>-9.9999999999994302E-2</v>
      </c>
      <c r="AF3346">
        <v>-0.46184539587991102</v>
      </c>
      <c r="AG3346">
        <v>-4.4748000000000003E-2</v>
      </c>
      <c r="AH3346">
        <v>0.735247522261954</v>
      </c>
      <c r="AI3346">
        <v>92.9502456692979</v>
      </c>
      <c r="AJ3346">
        <v>122.134965371771</v>
      </c>
      <c r="AK3346">
        <v>0.86942076820824499</v>
      </c>
      <c r="AL3346">
        <v>89.283468358374094</v>
      </c>
      <c r="AM3346">
        <v>96.138198619023797</v>
      </c>
      <c r="AN3346">
        <v>0.99999997068256397</v>
      </c>
    </row>
    <row r="3347" spans="1:40" x14ac:dyDescent="0.25">
      <c r="A3347" t="str">
        <f>"20190312160705128"</f>
        <v>20190312160705128</v>
      </c>
      <c r="B3347" t="str">
        <f>"1552378025118687"</f>
        <v>1552378025118687</v>
      </c>
      <c r="C3347" t="s">
        <v>40</v>
      </c>
      <c r="D3347">
        <v>6.1268409999999998</v>
      </c>
      <c r="E3347">
        <v>0.34696630000000001</v>
      </c>
      <c r="F3347" t="s">
        <v>44</v>
      </c>
      <c r="G3347">
        <v>-481.30489999999998</v>
      </c>
      <c r="H3347">
        <v>1.068076</v>
      </c>
      <c r="I3347">
        <v>219.80690000000001</v>
      </c>
      <c r="J3347">
        <v>-482.09870000000001</v>
      </c>
      <c r="K3347">
        <v>1.1123769999999999</v>
      </c>
      <c r="L3347">
        <v>219.88489999999999</v>
      </c>
      <c r="M3347">
        <v>0.78363159999999998</v>
      </c>
      <c r="N3347">
        <v>0</v>
      </c>
      <c r="O3347">
        <v>-0.62106669999999997</v>
      </c>
      <c r="P3347">
        <v>0.84596150000000003</v>
      </c>
      <c r="Q3347">
        <v>-1.0705269999999999E-3</v>
      </c>
      <c r="R3347">
        <v>-0.53324300000000002</v>
      </c>
      <c r="S3347">
        <v>3.1873779999999998</v>
      </c>
      <c r="T3347">
        <v>-0.15397759999999999</v>
      </c>
      <c r="U3347">
        <v>-0.58383180000000001</v>
      </c>
      <c r="V3347">
        <v>-0.107609</v>
      </c>
      <c r="W3347">
        <v>1.235055E-2</v>
      </c>
      <c r="X3347">
        <v>0.99411649999999996</v>
      </c>
      <c r="Y3347">
        <v>-0.46864840000000002</v>
      </c>
      <c r="Z3347">
        <v>3.8756989999999998E-2</v>
      </c>
      <c r="AA3347">
        <v>0.88253409999999999</v>
      </c>
      <c r="AB3347">
        <v>14</v>
      </c>
      <c r="AC3347">
        <v>0.79380000000003204</v>
      </c>
      <c r="AD3347">
        <v>-4.4300999999999903E-2</v>
      </c>
      <c r="AE3347">
        <v>-7.7999999999974506E-2</v>
      </c>
      <c r="AF3347">
        <v>-0.430593862346068</v>
      </c>
      <c r="AG3347">
        <v>-4.4300999999999903E-2</v>
      </c>
      <c r="AH3347">
        <v>0.66849405141291895</v>
      </c>
      <c r="AI3347">
        <v>93.188801085206194</v>
      </c>
      <c r="AJ3347">
        <v>122.78660532276299</v>
      </c>
      <c r="AK3347">
        <v>0.79640313263168605</v>
      </c>
      <c r="AL3347">
        <v>89.292347565542698</v>
      </c>
      <c r="AM3347">
        <v>96.177976661436304</v>
      </c>
      <c r="AN3347">
        <v>0.99999992426927298</v>
      </c>
    </row>
    <row r="3348" spans="1:40" x14ac:dyDescent="0.25">
      <c r="A3348" t="str">
        <f>"20190312160705150"</f>
        <v>20190312160705150</v>
      </c>
      <c r="B3348" t="str">
        <f>"1552378025147965"</f>
        <v>1552378025147965</v>
      </c>
      <c r="C3348" t="s">
        <v>40</v>
      </c>
      <c r="D3348">
        <v>6.1004559999999897</v>
      </c>
      <c r="E3348">
        <v>0.3477674</v>
      </c>
      <c r="F3348" t="s">
        <v>44</v>
      </c>
      <c r="G3348">
        <v>-481.1617</v>
      </c>
      <c r="H3348">
        <v>1.067539</v>
      </c>
      <c r="I3348">
        <v>219.71799999999999</v>
      </c>
      <c r="J3348">
        <v>-481.98570000000001</v>
      </c>
      <c r="K3348">
        <v>1.1123909999999999</v>
      </c>
      <c r="L3348">
        <v>219.80350000000001</v>
      </c>
      <c r="M3348">
        <v>0.78695579999999998</v>
      </c>
      <c r="N3348">
        <v>0</v>
      </c>
      <c r="O3348">
        <v>-0.61684930000000004</v>
      </c>
      <c r="P3348">
        <v>0.84922549999999997</v>
      </c>
      <c r="Q3348">
        <v>-3.5222809999999998E-4</v>
      </c>
      <c r="R3348">
        <v>-0.52803049999999996</v>
      </c>
      <c r="S3348">
        <v>3.1884769999999998</v>
      </c>
      <c r="T3348">
        <v>-0.1525415</v>
      </c>
      <c r="U3348">
        <v>-0.56730649999999905</v>
      </c>
      <c r="V3348">
        <v>-0.10838780000000001</v>
      </c>
      <c r="W3348">
        <v>1.3047629999999999E-2</v>
      </c>
      <c r="X3348">
        <v>0.99402310000000005</v>
      </c>
      <c r="Y3348">
        <v>-0.46841339999999998</v>
      </c>
      <c r="Z3348">
        <v>3.8253200000000001E-2</v>
      </c>
      <c r="AA3348">
        <v>0.88268099999999905</v>
      </c>
      <c r="AB3348">
        <v>14</v>
      </c>
      <c r="AC3348">
        <v>0.82400000000001195</v>
      </c>
      <c r="AD3348">
        <v>-4.4851999999999802E-2</v>
      </c>
      <c r="AE3348">
        <v>-8.5500000000024501E-2</v>
      </c>
      <c r="AF3348">
        <v>-0.43975361558572601</v>
      </c>
      <c r="AG3348">
        <v>-4.4851999999999802E-2</v>
      </c>
      <c r="AH3348">
        <v>0.69921186024582205</v>
      </c>
      <c r="AI3348">
        <v>93.1081121588484</v>
      </c>
      <c r="AJ3348">
        <v>122.166919217028</v>
      </c>
      <c r="AK3348">
        <v>0.82721954149617505</v>
      </c>
      <c r="AL3348">
        <v>89.252404685071397</v>
      </c>
      <c r="AM3348">
        <v>96.222919202277197</v>
      </c>
      <c r="AN3348">
        <v>1.00000003958553</v>
      </c>
    </row>
    <row r="3349" spans="1:40" x14ac:dyDescent="0.25">
      <c r="A3349" t="str">
        <f>"20190312160705171"</f>
        <v>20190312160705171</v>
      </c>
      <c r="B3349" t="str">
        <f>"1552378025168461"</f>
        <v>1552378025168461</v>
      </c>
      <c r="C3349" t="s">
        <v>40</v>
      </c>
      <c r="D3349">
        <v>6.106846</v>
      </c>
      <c r="E3349">
        <v>0.34797440000000002</v>
      </c>
      <c r="F3349" t="s">
        <v>44</v>
      </c>
      <c r="G3349">
        <v>-481.04</v>
      </c>
      <c r="H3349">
        <v>1.0672889999999999</v>
      </c>
      <c r="I3349">
        <v>219.63929999999999</v>
      </c>
      <c r="J3349">
        <v>-481.88139999999999</v>
      </c>
      <c r="K3349">
        <v>1.1124050000000001</v>
      </c>
      <c r="L3349">
        <v>219.72919999999999</v>
      </c>
      <c r="M3349">
        <v>0.79003009999999996</v>
      </c>
      <c r="N3349">
        <v>0</v>
      </c>
      <c r="O3349">
        <v>-0.61290739999999999</v>
      </c>
      <c r="P3349">
        <v>0.85211269999999995</v>
      </c>
      <c r="Q3349">
        <v>1.29677E-4</v>
      </c>
      <c r="R3349">
        <v>-0.5233582</v>
      </c>
      <c r="S3349">
        <v>3.188599</v>
      </c>
      <c r="T3349">
        <v>-0.15204790000000001</v>
      </c>
      <c r="U3349">
        <v>-0.55320740000000002</v>
      </c>
      <c r="V3349">
        <v>-0.10888100000000001</v>
      </c>
      <c r="W3349">
        <v>1.3512980000000001E-2</v>
      </c>
      <c r="X3349">
        <v>0.99396289999999998</v>
      </c>
      <c r="Y3349">
        <v>-0.46779979999999899</v>
      </c>
      <c r="Z3349">
        <v>3.7994069999999998E-2</v>
      </c>
      <c r="AA3349">
        <v>0.88301749999999901</v>
      </c>
      <c r="AB3349">
        <v>14</v>
      </c>
      <c r="AC3349">
        <v>0.84139999999996395</v>
      </c>
      <c r="AD3349">
        <v>-4.5115999999999899E-2</v>
      </c>
      <c r="AE3349">
        <v>-8.9899999999999994E-2</v>
      </c>
      <c r="AF3349">
        <v>-0.44345976915298502</v>
      </c>
      <c r="AG3349">
        <v>-4.5115999999999899E-2</v>
      </c>
      <c r="AH3349">
        <v>0.71786195680968501</v>
      </c>
      <c r="AI3349">
        <v>93.060590706039605</v>
      </c>
      <c r="AJ3349">
        <v>121.705730355062</v>
      </c>
      <c r="AK3349">
        <v>0.84499574516553</v>
      </c>
      <c r="AL3349">
        <v>89.225739681515705</v>
      </c>
      <c r="AM3349">
        <v>96.251387459251205</v>
      </c>
      <c r="AN3349">
        <v>0.99999995968294397</v>
      </c>
    </row>
    <row r="3350" spans="1:40" x14ac:dyDescent="0.25">
      <c r="A3350" t="str">
        <f>"20190312160705192"</f>
        <v>20190312160705192</v>
      </c>
      <c r="B3350" t="str">
        <f>"1552378025187980"</f>
        <v>1552378025187980</v>
      </c>
      <c r="C3350" t="s">
        <v>40</v>
      </c>
      <c r="D3350">
        <v>6.2502269999999998</v>
      </c>
      <c r="E3350">
        <v>0.34829480000000002</v>
      </c>
      <c r="F3350" t="s">
        <v>66</v>
      </c>
      <c r="G3350">
        <v>-457.51639999999998</v>
      </c>
      <c r="H3350" s="1">
        <v>2.4189400000000001E-6</v>
      </c>
      <c r="I3350">
        <v>215.62610000000001</v>
      </c>
      <c r="J3350">
        <v>-481.77280000000002</v>
      </c>
      <c r="K3350">
        <v>1.112425</v>
      </c>
      <c r="L3350">
        <v>219.65280000000001</v>
      </c>
      <c r="M3350">
        <v>0.79322769999999898</v>
      </c>
      <c r="N3350">
        <v>0</v>
      </c>
      <c r="O3350">
        <v>-0.60876359999999996</v>
      </c>
      <c r="P3350">
        <v>0.85503019999999996</v>
      </c>
      <c r="Q3350">
        <v>1.7862490000000001E-4</v>
      </c>
      <c r="R3350">
        <v>-0.5185786</v>
      </c>
      <c r="S3350">
        <v>3.1907040000000002</v>
      </c>
      <c r="T3350">
        <v>-0.14567430000000001</v>
      </c>
      <c r="U3350">
        <v>-0.537323</v>
      </c>
      <c r="V3350">
        <v>-0.10924449999999999</v>
      </c>
      <c r="W3350">
        <v>1.3546829999999999E-2</v>
      </c>
      <c r="X3350">
        <v>0.99392259999999999</v>
      </c>
      <c r="Y3350">
        <v>-0.46763690000000002</v>
      </c>
      <c r="Z3350">
        <v>3.6255870000000003E-2</v>
      </c>
      <c r="AA3350">
        <v>0.88317679999999998</v>
      </c>
      <c r="AB3350">
        <v>14</v>
      </c>
      <c r="AC3350">
        <v>24.256399999999999</v>
      </c>
      <c r="AD3350">
        <v>-1.1124225810599999</v>
      </c>
      <c r="AE3350">
        <v>-4.0266999999999999</v>
      </c>
      <c r="AF3350">
        <v>-11.549821229026699</v>
      </c>
      <c r="AG3350">
        <v>-1.1124225810599999</v>
      </c>
      <c r="AH3350">
        <v>21.6499767547845</v>
      </c>
      <c r="AI3350">
        <v>92.595695195477603</v>
      </c>
      <c r="AJ3350">
        <v>118.079011718445</v>
      </c>
      <c r="AK3350">
        <v>24.563333403755198</v>
      </c>
      <c r="AL3350">
        <v>89.223800077780297</v>
      </c>
      <c r="AM3350">
        <v>96.272343986181497</v>
      </c>
      <c r="AN3350">
        <v>1.00000000608702</v>
      </c>
    </row>
    <row r="3351" spans="1:40" x14ac:dyDescent="0.25">
      <c r="A3351" t="str">
        <f>"20190312160705215"</f>
        <v>20190312160705215</v>
      </c>
      <c r="B3351" t="str">
        <f>"1552378025208477"</f>
        <v>1552378025208477</v>
      </c>
      <c r="C3351" t="s">
        <v>40</v>
      </c>
      <c r="D3351">
        <v>6.1268529999999997</v>
      </c>
      <c r="E3351">
        <v>0.34875040000000002</v>
      </c>
      <c r="F3351" t="s">
        <v>66</v>
      </c>
      <c r="G3351">
        <v>-456.77269999999999</v>
      </c>
      <c r="H3351" s="1">
        <v>2.025617E-6</v>
      </c>
      <c r="I3351">
        <v>215.56970000000001</v>
      </c>
      <c r="J3351">
        <v>-481.65789999999998</v>
      </c>
      <c r="K3351">
        <v>1.1124499999999999</v>
      </c>
      <c r="L3351">
        <v>219.57300000000001</v>
      </c>
      <c r="M3351">
        <v>0.79661179999999998</v>
      </c>
      <c r="N3351">
        <v>0</v>
      </c>
      <c r="O3351">
        <v>-0.60432859999999999</v>
      </c>
      <c r="P3351">
        <v>0.85773459999999901</v>
      </c>
      <c r="Q3351">
        <v>3.3839550000000002E-4</v>
      </c>
      <c r="R3351">
        <v>-0.51409300000000002</v>
      </c>
      <c r="S3351">
        <v>3.192383</v>
      </c>
      <c r="T3351">
        <v>-0.1420506</v>
      </c>
      <c r="U3351">
        <v>-0.52139279999999999</v>
      </c>
      <c r="V3351">
        <v>-0.1089064</v>
      </c>
      <c r="W3351">
        <v>1.3696069999999999E-2</v>
      </c>
      <c r="X3351">
        <v>0.9939576</v>
      </c>
      <c r="Y3351">
        <v>-0.46712480000000001</v>
      </c>
      <c r="Z3351">
        <v>3.5196869999999998E-2</v>
      </c>
      <c r="AA3351">
        <v>0.88349059999999902</v>
      </c>
      <c r="AB3351">
        <v>14</v>
      </c>
      <c r="AC3351">
        <v>24.885200000000001</v>
      </c>
      <c r="AD3351">
        <v>-1.112447974383</v>
      </c>
      <c r="AE3351">
        <v>-4.0032999999999603</v>
      </c>
      <c r="AF3351">
        <v>-11.8278866692748</v>
      </c>
      <c r="AG3351">
        <v>-1.112447974383</v>
      </c>
      <c r="AH3351">
        <v>22.202090423897801</v>
      </c>
      <c r="AI3351">
        <v>92.532067999996499</v>
      </c>
      <c r="AJ3351">
        <v>118.04590280976301</v>
      </c>
      <c r="AK3351">
        <v>25.180731974028301</v>
      </c>
      <c r="AL3351">
        <v>89.215248417066306</v>
      </c>
      <c r="AM3351">
        <v>96.252867323863796</v>
      </c>
      <c r="AN3351">
        <v>0.99999994844608098</v>
      </c>
    </row>
    <row r="3352" spans="1:40" x14ac:dyDescent="0.25">
      <c r="A3352" t="str">
        <f>"20190312160705237"</f>
        <v>20190312160705237</v>
      </c>
      <c r="B3352" t="str">
        <f>"1552378025227997"</f>
        <v>1552378025227997</v>
      </c>
      <c r="C3352" t="s">
        <v>40</v>
      </c>
      <c r="D3352">
        <v>6.281174</v>
      </c>
      <c r="E3352">
        <v>0.34924110000000003</v>
      </c>
      <c r="F3352" t="s">
        <v>44</v>
      </c>
      <c r="G3352">
        <v>-480.63600000000002</v>
      </c>
      <c r="H3352">
        <v>1.067979</v>
      </c>
      <c r="I3352">
        <v>219.41040000000001</v>
      </c>
      <c r="J3352">
        <v>-481.54129999999998</v>
      </c>
      <c r="K3352">
        <v>1.112471</v>
      </c>
      <c r="L3352">
        <v>219.4931</v>
      </c>
      <c r="M3352">
        <v>0.80004969999999997</v>
      </c>
      <c r="N3352">
        <v>0</v>
      </c>
      <c r="O3352">
        <v>-0.59977029999999998</v>
      </c>
      <c r="P3352">
        <v>0.86030509999999905</v>
      </c>
      <c r="Q3352">
        <v>5.5154589999999995E-4</v>
      </c>
      <c r="R3352">
        <v>-0.50977950000000005</v>
      </c>
      <c r="S3352">
        <v>3.1932680000000002</v>
      </c>
      <c r="T3352">
        <v>-0.13895650000000001</v>
      </c>
      <c r="U3352">
        <v>-0.50782780000000005</v>
      </c>
      <c r="V3352">
        <v>-0.1082235</v>
      </c>
      <c r="W3352">
        <v>1.3903469999999999E-2</v>
      </c>
      <c r="X3352">
        <v>0.9940293</v>
      </c>
      <c r="Y3352">
        <v>-0.46581899999999998</v>
      </c>
      <c r="Z3352">
        <v>3.4258610000000002E-2</v>
      </c>
      <c r="AA3352">
        <v>0.88421659999999902</v>
      </c>
      <c r="AB3352">
        <v>14</v>
      </c>
      <c r="AC3352">
        <v>0.90530000000001098</v>
      </c>
      <c r="AD3352">
        <v>-4.44919999999999E-2</v>
      </c>
      <c r="AE3352">
        <v>-8.2699999999988394E-2</v>
      </c>
      <c r="AF3352">
        <v>-0.47571518571258498</v>
      </c>
      <c r="AG3352">
        <v>-4.44919999999999E-2</v>
      </c>
      <c r="AH3352">
        <v>0.77211239190941405</v>
      </c>
      <c r="AI3352">
        <v>92.808655343269805</v>
      </c>
      <c r="AJ3352">
        <v>121.638123103762</v>
      </c>
      <c r="AK3352">
        <v>0.90798789734315</v>
      </c>
      <c r="AL3352">
        <v>89.203364134068096</v>
      </c>
      <c r="AM3352">
        <v>96.213521558942801</v>
      </c>
      <c r="AN3352">
        <v>0.99999994084438804</v>
      </c>
    </row>
    <row r="3353" spans="1:40" x14ac:dyDescent="0.25">
      <c r="A3353" t="str">
        <f>"20190312160705262"</f>
        <v>20190312160705262</v>
      </c>
      <c r="B3353" t="str">
        <f>"1552378025258253"</f>
        <v>1552378025258253</v>
      </c>
      <c r="C3353" t="s">
        <v>40</v>
      </c>
      <c r="D3353">
        <v>6.1814999999999998</v>
      </c>
      <c r="E3353">
        <v>0.35002480000000002</v>
      </c>
      <c r="F3353" t="s">
        <v>66</v>
      </c>
      <c r="G3353">
        <v>-455.34890000000001</v>
      </c>
      <c r="H3353" s="1">
        <v>1.273992E-6</v>
      </c>
      <c r="I3353">
        <v>215.43199999999999</v>
      </c>
      <c r="J3353">
        <v>-481.41969999999998</v>
      </c>
      <c r="K3353">
        <v>1.112482</v>
      </c>
      <c r="L3353">
        <v>219.4109</v>
      </c>
      <c r="M3353">
        <v>0.80362519999999904</v>
      </c>
      <c r="N3353">
        <v>0</v>
      </c>
      <c r="O3353">
        <v>-0.59497109999999997</v>
      </c>
      <c r="P3353">
        <v>0.86300699999999997</v>
      </c>
      <c r="Q3353">
        <v>8.775492E-4</v>
      </c>
      <c r="R3353">
        <v>-0.50519170000000002</v>
      </c>
      <c r="S3353">
        <v>3.1937259999999998</v>
      </c>
      <c r="T3353">
        <v>-0.1356474</v>
      </c>
      <c r="U3353">
        <v>-0.49517820000000001</v>
      </c>
      <c r="V3353">
        <v>-0.107568899999999</v>
      </c>
      <c r="W3353">
        <v>1.422531E-2</v>
      </c>
      <c r="X3353">
        <v>0.99409590000000003</v>
      </c>
      <c r="Y3353">
        <v>-0.46400780000000003</v>
      </c>
      <c r="Z3353">
        <v>3.3258370000000002E-2</v>
      </c>
      <c r="AA3353">
        <v>0.88520650000000001</v>
      </c>
      <c r="AB3353">
        <v>14</v>
      </c>
      <c r="AC3353">
        <v>26.070799999999899</v>
      </c>
      <c r="AD3353">
        <v>-1.1124807260079901</v>
      </c>
      <c r="AE3353">
        <v>-3.9788999999999799</v>
      </c>
      <c r="AF3353">
        <v>-12.2931601416189</v>
      </c>
      <c r="AG3353">
        <v>-1.1124807260079901</v>
      </c>
      <c r="AH3353">
        <v>23.279343544921801</v>
      </c>
      <c r="AI3353">
        <v>92.419773121667205</v>
      </c>
      <c r="AJ3353">
        <v>117.837261777666</v>
      </c>
      <c r="AK3353">
        <v>26.349330836203801</v>
      </c>
      <c r="AL3353">
        <v>89.184922318466207</v>
      </c>
      <c r="AM3353">
        <v>96.175819245631999</v>
      </c>
      <c r="AN3353">
        <v>1.0000000430442999</v>
      </c>
    </row>
    <row r="3354" spans="1:40" x14ac:dyDescent="0.25">
      <c r="A3354" t="str">
        <f>"20190312160705281"</f>
        <v>20190312160705281</v>
      </c>
      <c r="B3354" t="str">
        <f>"1552378025278749"</f>
        <v>1552378025278749</v>
      </c>
      <c r="C3354" t="s">
        <v>40</v>
      </c>
      <c r="D3354">
        <v>6.1785680000000003</v>
      </c>
      <c r="E3354">
        <v>0.3506244</v>
      </c>
      <c r="F3354" t="s">
        <v>66</v>
      </c>
      <c r="G3354">
        <v>-454.4529</v>
      </c>
      <c r="H3354" s="1">
        <v>8.0183080000000002E-7</v>
      </c>
      <c r="I3354">
        <v>215.3253</v>
      </c>
      <c r="J3354">
        <v>-481.31490000000002</v>
      </c>
      <c r="K3354">
        <v>1.1124769999999999</v>
      </c>
      <c r="L3354">
        <v>219.34100000000001</v>
      </c>
      <c r="M3354">
        <v>0.80669849999999999</v>
      </c>
      <c r="N3354">
        <v>0</v>
      </c>
      <c r="O3354">
        <v>-0.59079740000000003</v>
      </c>
      <c r="P3354">
        <v>0.86551619999999996</v>
      </c>
      <c r="Q3354">
        <v>7.2760869999999897E-4</v>
      </c>
      <c r="R3354">
        <v>-0.50088069999999996</v>
      </c>
      <c r="S3354">
        <v>3.1931759999999998</v>
      </c>
      <c r="T3354">
        <v>-0.1317306</v>
      </c>
      <c r="U3354">
        <v>-0.48377989999999998</v>
      </c>
      <c r="V3354">
        <v>-0.10737380000000001</v>
      </c>
      <c r="W3354">
        <v>1.4070829999999999E-2</v>
      </c>
      <c r="X3354">
        <v>0.99411919999999998</v>
      </c>
      <c r="Y3354">
        <v>-0.46253260000000002</v>
      </c>
      <c r="Z3354">
        <v>3.2153260000000003E-2</v>
      </c>
      <c r="AA3354">
        <v>0.88601909999999895</v>
      </c>
      <c r="AB3354">
        <v>14</v>
      </c>
      <c r="AC3354">
        <v>26.861999999999998</v>
      </c>
      <c r="AD3354">
        <v>-1.1124761981692</v>
      </c>
      <c r="AE3354">
        <v>-4.0156999999999803</v>
      </c>
      <c r="AF3354">
        <v>-12.610621899970401</v>
      </c>
      <c r="AG3354">
        <v>-1.1124761981692</v>
      </c>
      <c r="AH3354">
        <v>24.0040853639305</v>
      </c>
      <c r="AI3354">
        <v>92.349416677151694</v>
      </c>
      <c r="AJ3354">
        <v>117.715332611511</v>
      </c>
      <c r="AK3354">
        <v>27.137824197130701</v>
      </c>
      <c r="AL3354">
        <v>89.193774263715</v>
      </c>
      <c r="AM3354">
        <v>96.164560981287593</v>
      </c>
      <c r="AN3354">
        <v>1.00000005249598</v>
      </c>
    </row>
    <row r="3355" spans="1:40" x14ac:dyDescent="0.25">
      <c r="A3355" t="str">
        <f>"20190312160705304"</f>
        <v>20190312160705304</v>
      </c>
      <c r="B3355" t="str">
        <f>"1552378025298269"</f>
        <v>1552378025298269</v>
      </c>
      <c r="C3355" t="s">
        <v>40</v>
      </c>
      <c r="D3355">
        <v>6.13504</v>
      </c>
      <c r="E3355">
        <v>0.35094409999999998</v>
      </c>
      <c r="F3355" t="s">
        <v>66</v>
      </c>
      <c r="G3355">
        <v>-454.21230000000003</v>
      </c>
      <c r="H3355" s="1">
        <v>6.7337649999999997E-7</v>
      </c>
      <c r="I3355">
        <v>215.33500000000001</v>
      </c>
      <c r="J3355">
        <v>-481.20179999999999</v>
      </c>
      <c r="K3355">
        <v>1.1124750000000001</v>
      </c>
      <c r="L3355">
        <v>219.26650000000001</v>
      </c>
      <c r="M3355">
        <v>0.81001129999999999</v>
      </c>
      <c r="N3355">
        <v>0</v>
      </c>
      <c r="O3355">
        <v>-0.58624699999999996</v>
      </c>
      <c r="P3355">
        <v>0.86828859999999997</v>
      </c>
      <c r="Q3355">
        <v>5.4902089999999998E-4</v>
      </c>
      <c r="R3355">
        <v>-0.49605929999999998</v>
      </c>
      <c r="S3355">
        <v>3.1931150000000001</v>
      </c>
      <c r="T3355">
        <v>-0.13106719999999999</v>
      </c>
      <c r="U3355">
        <v>-0.47196959999999999</v>
      </c>
      <c r="V3355">
        <v>-0.1073059</v>
      </c>
      <c r="W3355">
        <v>1.388726E-2</v>
      </c>
      <c r="X3355">
        <v>0.99412909999999999</v>
      </c>
      <c r="Y3355">
        <v>-0.46075709999999998</v>
      </c>
      <c r="Z3355">
        <v>3.1822830000000003E-2</v>
      </c>
      <c r="AA3355">
        <v>0.88695559999999996</v>
      </c>
      <c r="AB3355">
        <v>14</v>
      </c>
      <c r="AC3355">
        <v>26.9894999999999</v>
      </c>
      <c r="AD3355">
        <v>-1.1124743266235</v>
      </c>
      <c r="AE3355">
        <v>-3.9315000000000002</v>
      </c>
      <c r="AF3355">
        <v>-12.618200897580699</v>
      </c>
      <c r="AG3355">
        <v>-1.1124743266235</v>
      </c>
      <c r="AH3355">
        <v>24.128857693835901</v>
      </c>
      <c r="AI3355">
        <v>92.339584770531005</v>
      </c>
      <c r="AJ3355">
        <v>117.60734518026899</v>
      </c>
      <c r="AK3355">
        <v>27.2517589639364</v>
      </c>
      <c r="AL3355">
        <v>89.204293067142899</v>
      </c>
      <c r="AM3355">
        <v>96.160631803487803</v>
      </c>
      <c r="AN3355">
        <v>1.0000000398159601</v>
      </c>
    </row>
    <row r="3356" spans="1:40" x14ac:dyDescent="0.25">
      <c r="A3356" t="str">
        <f>"20190312160705328"</f>
        <v>20190312160705328</v>
      </c>
      <c r="B3356" t="str">
        <f>"1552378025318765"</f>
        <v>1552378025318765</v>
      </c>
      <c r="C3356" t="s">
        <v>40</v>
      </c>
      <c r="D3356">
        <v>6.1428789999999998</v>
      </c>
      <c r="E3356">
        <v>0.37028949999999999</v>
      </c>
      <c r="F3356" t="s">
        <v>66</v>
      </c>
      <c r="G3356">
        <v>-454.04849999999999</v>
      </c>
      <c r="H3356" s="1">
        <v>5.8387300000000003E-7</v>
      </c>
      <c r="I3356">
        <v>215.38839999999999</v>
      </c>
      <c r="J3356">
        <v>-481.07499999999999</v>
      </c>
      <c r="K3356">
        <v>1.1124810000000001</v>
      </c>
      <c r="L3356">
        <v>219.1841</v>
      </c>
      <c r="M3356">
        <v>0.81372369999999905</v>
      </c>
      <c r="N3356">
        <v>0</v>
      </c>
      <c r="O3356">
        <v>-0.58108340000000003</v>
      </c>
      <c r="P3356">
        <v>0.87121749999999998</v>
      </c>
      <c r="Q3356">
        <v>3.7502059999999999E-4</v>
      </c>
      <c r="R3356">
        <v>-0.49089759999999999</v>
      </c>
      <c r="S3356">
        <v>3.1945190000000001</v>
      </c>
      <c r="T3356">
        <v>-0.13087960000000001</v>
      </c>
      <c r="U3356">
        <v>-0.45625310000000002</v>
      </c>
      <c r="V3356">
        <v>-0.1068823</v>
      </c>
      <c r="W3356">
        <v>1.3711330000000001E-2</v>
      </c>
      <c r="X3356">
        <v>0.99417710000000004</v>
      </c>
      <c r="Y3356">
        <v>-0.45944980000000002</v>
      </c>
      <c r="Z3356">
        <v>3.1587629999999998E-2</v>
      </c>
      <c r="AA3356">
        <v>0.88764189999999998</v>
      </c>
      <c r="AB3356">
        <v>14</v>
      </c>
      <c r="AC3356">
        <v>27.026499999999999</v>
      </c>
      <c r="AD3356">
        <v>-1.1124804161270001</v>
      </c>
      <c r="AE3356">
        <v>-3.7957000000000001</v>
      </c>
      <c r="AF3356">
        <v>-12.596305070787301</v>
      </c>
      <c r="AG3356">
        <v>-1.1124804161270001</v>
      </c>
      <c r="AH3356">
        <v>24.159947630415601</v>
      </c>
      <c r="AI3356">
        <v>92.338103026194503</v>
      </c>
      <c r="AJ3356">
        <v>117.536246630039</v>
      </c>
      <c r="AK3356">
        <v>27.2691691038989</v>
      </c>
      <c r="AL3356">
        <v>89.214374015419395</v>
      </c>
      <c r="AM3356">
        <v>96.136204036183699</v>
      </c>
      <c r="AN3356">
        <v>0.99999996639403299</v>
      </c>
    </row>
    <row r="3357" spans="1:40" x14ac:dyDescent="0.25">
      <c r="A3357" t="str">
        <f>"20190312160705350"</f>
        <v>20190312160705350</v>
      </c>
      <c r="B3357" t="str">
        <f>"1552378025348044"</f>
        <v>1552378025348044</v>
      </c>
      <c r="C3357" t="s">
        <v>40</v>
      </c>
      <c r="D3357">
        <v>6.1901719999999996</v>
      </c>
      <c r="E3357">
        <v>0.3715349</v>
      </c>
      <c r="F3357" t="s">
        <v>66</v>
      </c>
      <c r="G3357">
        <v>-462.36169999999998</v>
      </c>
      <c r="H3357" s="1">
        <v>-3.2983139999999998E-7</v>
      </c>
      <c r="I3357">
        <v>215.75559999999999</v>
      </c>
      <c r="J3357">
        <v>-480.95949999999999</v>
      </c>
      <c r="K3357">
        <v>1.1124849999999999</v>
      </c>
      <c r="L3357">
        <v>219.11009999999999</v>
      </c>
      <c r="M3357">
        <v>0.81709309999999902</v>
      </c>
      <c r="N3357">
        <v>0</v>
      </c>
      <c r="O3357">
        <v>-0.57633579999999995</v>
      </c>
      <c r="P3357">
        <v>0.8737646</v>
      </c>
      <c r="Q3357">
        <v>1.009487E-4</v>
      </c>
      <c r="R3357">
        <v>-0.48634929999999899</v>
      </c>
      <c r="S3357">
        <v>3.1213069999999998</v>
      </c>
      <c r="T3357">
        <v>-0.18555769999999999</v>
      </c>
      <c r="U3357">
        <v>-0.57185359999999996</v>
      </c>
      <c r="V3357">
        <v>-0.10627499999999999</v>
      </c>
      <c r="W3357">
        <v>1.343574E-2</v>
      </c>
      <c r="X3357">
        <v>0.99424599999999996</v>
      </c>
      <c r="Y3357">
        <v>-0.41813509999999998</v>
      </c>
      <c r="Z3357">
        <v>4.4132749999999998E-2</v>
      </c>
      <c r="AA3357">
        <v>0.90731220000000001</v>
      </c>
      <c r="AB3357">
        <v>14</v>
      </c>
      <c r="AC3357">
        <v>18.597799999999999</v>
      </c>
      <c r="AD3357">
        <v>-1.1124853298313999</v>
      </c>
      <c r="AE3357">
        <v>-3.3544999999999998</v>
      </c>
      <c r="AF3357">
        <v>-7.9508672735997701</v>
      </c>
      <c r="AG3357">
        <v>-1.1124853298313999</v>
      </c>
      <c r="AH3357">
        <v>17.071968401120099</v>
      </c>
      <c r="AI3357">
        <v>93.380658341704304</v>
      </c>
      <c r="AJ3357">
        <v>114.97264096007601</v>
      </c>
      <c r="AK3357">
        <v>18.8654716108645</v>
      </c>
      <c r="AL3357">
        <v>89.230165641795793</v>
      </c>
      <c r="AM3357">
        <v>96.101182527931996</v>
      </c>
      <c r="AN3357">
        <v>1.00000000162517</v>
      </c>
    </row>
    <row r="3358" spans="1:40" x14ac:dyDescent="0.25">
      <c r="A3358" t="str">
        <f>"20190312160705372"</f>
        <v>20190312160705372</v>
      </c>
      <c r="B3358" t="str">
        <f>"1552378025368541"</f>
        <v>1552378025368541</v>
      </c>
      <c r="C3358" t="s">
        <v>40</v>
      </c>
      <c r="D3358">
        <v>6.2075670000000001</v>
      </c>
      <c r="E3358">
        <v>0.372249</v>
      </c>
      <c r="F3358" t="s">
        <v>66</v>
      </c>
      <c r="G3358">
        <v>-462.74270000000001</v>
      </c>
      <c r="H3358" s="1">
        <v>-1.2969879999999999E-7</v>
      </c>
      <c r="I3358">
        <v>215.816</v>
      </c>
      <c r="J3358">
        <v>-480.84829999999999</v>
      </c>
      <c r="K3358">
        <v>1.112498</v>
      </c>
      <c r="L3358">
        <v>219.03980000000001</v>
      </c>
      <c r="M3358">
        <v>0.82033299999999998</v>
      </c>
      <c r="N3358">
        <v>0</v>
      </c>
      <c r="O3358">
        <v>-0.57171510000000003</v>
      </c>
      <c r="P3358">
        <v>0.87654759999999998</v>
      </c>
      <c r="Q3358">
        <v>-1.398464E-4</v>
      </c>
      <c r="R3358">
        <v>-0.48131550000000001</v>
      </c>
      <c r="S3358">
        <v>3.1194760000000001</v>
      </c>
      <c r="T3358">
        <v>-0.1905036</v>
      </c>
      <c r="U3358">
        <v>-0.56408689999999995</v>
      </c>
      <c r="V3358">
        <v>-0.1063815</v>
      </c>
      <c r="W3358">
        <v>1.318924E-2</v>
      </c>
      <c r="X3358">
        <v>0.99423790000000001</v>
      </c>
      <c r="Y3358">
        <v>-0.41502519999999998</v>
      </c>
      <c r="Z3358">
        <v>4.5029319999999998E-2</v>
      </c>
      <c r="AA3358">
        <v>0.90869489999999997</v>
      </c>
      <c r="AB3358">
        <v>14</v>
      </c>
      <c r="AC3358">
        <v>18.1055999999999</v>
      </c>
      <c r="AD3358">
        <v>-1.1124981296987999</v>
      </c>
      <c r="AE3358">
        <v>-3.2238000000000402</v>
      </c>
      <c r="AF3358">
        <v>-7.6793070983428002</v>
      </c>
      <c r="AG3358">
        <v>-1.1124981296987999</v>
      </c>
      <c r="AH3358">
        <v>16.6364689028326</v>
      </c>
      <c r="AI3358">
        <v>93.4744421876199</v>
      </c>
      <c r="AJ3358">
        <v>114.777800364999</v>
      </c>
      <c r="AK3358">
        <v>18.357056059024199</v>
      </c>
      <c r="AL3358">
        <v>89.244290294856796</v>
      </c>
      <c r="AM3358">
        <v>96.107299823595099</v>
      </c>
      <c r="AN3358">
        <v>0.99999999069521806</v>
      </c>
    </row>
    <row r="3359" spans="1:40" x14ac:dyDescent="0.25">
      <c r="A3359" t="str">
        <f>"20190312160705393"</f>
        <v>20190312160705393</v>
      </c>
      <c r="B3359" t="str">
        <f>"1552378025388061"</f>
        <v>1552378025388061</v>
      </c>
      <c r="C3359" t="s">
        <v>40</v>
      </c>
      <c r="D3359">
        <v>6.3323999999999998</v>
      </c>
      <c r="E3359">
        <v>0.37286970000000003</v>
      </c>
      <c r="F3359" t="s">
        <v>66</v>
      </c>
      <c r="G3359">
        <v>-463.49509999999998</v>
      </c>
      <c r="H3359" s="1">
        <v>2.6384589999999997E-7</v>
      </c>
      <c r="I3359">
        <v>215.97329999999999</v>
      </c>
      <c r="J3359">
        <v>-480.7398</v>
      </c>
      <c r="K3359">
        <v>1.112514</v>
      </c>
      <c r="L3359">
        <v>218.97219999999999</v>
      </c>
      <c r="M3359">
        <v>0.82348909999999997</v>
      </c>
      <c r="N3359">
        <v>0</v>
      </c>
      <c r="O3359">
        <v>-0.56715950000000004</v>
      </c>
      <c r="P3359">
        <v>0.87935019999999997</v>
      </c>
      <c r="Q3359">
        <v>-1.054576E-4</v>
      </c>
      <c r="R3359">
        <v>-0.47617599999999999</v>
      </c>
      <c r="S3359">
        <v>3.1197509999999999</v>
      </c>
      <c r="T3359">
        <v>-0.20000480000000001</v>
      </c>
      <c r="U3359">
        <v>-0.55130000000000001</v>
      </c>
      <c r="V3359">
        <v>-0.106692</v>
      </c>
      <c r="W3359">
        <v>1.3215930000000001E-2</v>
      </c>
      <c r="X3359">
        <v>0.99420430000000004</v>
      </c>
      <c r="Y3359">
        <v>-0.41344900000000001</v>
      </c>
      <c r="Z3359">
        <v>4.7008840000000003E-2</v>
      </c>
      <c r="AA3359">
        <v>0.90931300000000004</v>
      </c>
      <c r="AB3359">
        <v>14</v>
      </c>
      <c r="AC3359">
        <v>17.244700000000002</v>
      </c>
      <c r="AD3359">
        <v>-1.1125137361541</v>
      </c>
      <c r="AE3359">
        <v>-2.9988999999999901</v>
      </c>
      <c r="AF3359">
        <v>-7.2822310497617604</v>
      </c>
      <c r="AG3359">
        <v>-1.1125137361541</v>
      </c>
      <c r="AH3359">
        <v>15.8392467072541</v>
      </c>
      <c r="AI3359">
        <v>93.651448040102196</v>
      </c>
      <c r="AJ3359">
        <v>114.69101699154299</v>
      </c>
      <c r="AK3359">
        <v>17.468552090213599</v>
      </c>
      <c r="AL3359">
        <v>89.242760957039295</v>
      </c>
      <c r="AM3359">
        <v>96.125195572041704</v>
      </c>
      <c r="AN3359">
        <v>1.0000000169041201</v>
      </c>
    </row>
    <row r="3360" spans="1:40" x14ac:dyDescent="0.25">
      <c r="A3360" t="str">
        <f>"20190312160705417"</f>
        <v>20190312160705417</v>
      </c>
      <c r="B3360" t="str">
        <f>"1552378025408557"</f>
        <v>1552378025408557</v>
      </c>
      <c r="C3360" t="s">
        <v>40</v>
      </c>
      <c r="D3360">
        <v>6.1682930000000002</v>
      </c>
      <c r="E3360">
        <v>0.37345610000000001</v>
      </c>
      <c r="F3360" t="s">
        <v>66</v>
      </c>
      <c r="G3360">
        <v>-464.1207</v>
      </c>
      <c r="H3360" s="1">
        <v>5.9071360000000001E-7</v>
      </c>
      <c r="I3360">
        <v>216.1112</v>
      </c>
      <c r="J3360">
        <v>-480.62240000000003</v>
      </c>
      <c r="K3360">
        <v>1.1125389999999999</v>
      </c>
      <c r="L3360">
        <v>218.90010000000001</v>
      </c>
      <c r="M3360">
        <v>0.82690549999999996</v>
      </c>
      <c r="N3360">
        <v>0</v>
      </c>
      <c r="O3360">
        <v>-0.56216699999999997</v>
      </c>
      <c r="P3360">
        <v>0.88236550000000002</v>
      </c>
      <c r="Q3360">
        <v>-3.377225E-4</v>
      </c>
      <c r="R3360">
        <v>-0.47056500000000001</v>
      </c>
      <c r="S3360">
        <v>3.1206360000000002</v>
      </c>
      <c r="T3360">
        <v>-0.208901</v>
      </c>
      <c r="U3360">
        <v>-0.53723140000000003</v>
      </c>
      <c r="V3360">
        <v>-0.10700949999999999</v>
      </c>
      <c r="W3360">
        <v>1.2976110000000001E-2</v>
      </c>
      <c r="X3360">
        <v>0.99417330000000004</v>
      </c>
      <c r="Y3360">
        <v>-0.41181279999999998</v>
      </c>
      <c r="Z3360">
        <v>4.8787549999999999E-2</v>
      </c>
      <c r="AA3360">
        <v>0.90996149999999998</v>
      </c>
      <c r="AB3360">
        <v>14</v>
      </c>
      <c r="AC3360">
        <v>16.5017</v>
      </c>
      <c r="AD3360">
        <v>-1.1125384092863999</v>
      </c>
      <c r="AE3360">
        <v>-2.7889000000000101</v>
      </c>
      <c r="AF3360">
        <v>-6.9405645102667402</v>
      </c>
      <c r="AG3360">
        <v>-1.1125384092863999</v>
      </c>
      <c r="AH3360">
        <v>15.147721287553701</v>
      </c>
      <c r="AI3360">
        <v>93.820008036119404</v>
      </c>
      <c r="AJ3360">
        <v>114.616871781179</v>
      </c>
      <c r="AK3360">
        <v>16.699180747531202</v>
      </c>
      <c r="AL3360">
        <v>89.256502782794996</v>
      </c>
      <c r="AM3360">
        <v>96.143474188612899</v>
      </c>
      <c r="AN3360">
        <v>0.99999998147693503</v>
      </c>
    </row>
    <row r="3361" spans="1:40" x14ac:dyDescent="0.25">
      <c r="A3361" t="str">
        <f>"20190312160705438"</f>
        <v>20190312160705438</v>
      </c>
      <c r="B3361" t="str">
        <f>"1552378025428077"</f>
        <v>1552378025428077</v>
      </c>
      <c r="C3361" t="s">
        <v>40</v>
      </c>
      <c r="D3361">
        <v>6.196167</v>
      </c>
      <c r="E3361">
        <v>0.37405379999999999</v>
      </c>
      <c r="F3361" t="s">
        <v>66</v>
      </c>
      <c r="G3361">
        <v>-463.73689999999999</v>
      </c>
      <c r="H3361" s="1">
        <v>3.8777040000000001E-7</v>
      </c>
      <c r="I3361">
        <v>216.08150000000001</v>
      </c>
      <c r="J3361">
        <v>-480.50420000000003</v>
      </c>
      <c r="K3361">
        <v>1.11256</v>
      </c>
      <c r="L3361">
        <v>218.8287</v>
      </c>
      <c r="M3361">
        <v>0.83033690000000004</v>
      </c>
      <c r="N3361">
        <v>0</v>
      </c>
      <c r="O3361">
        <v>-0.55708630000000003</v>
      </c>
      <c r="P3361">
        <v>0.8851002</v>
      </c>
      <c r="Q3361">
        <v>1.129892E-4</v>
      </c>
      <c r="R3361">
        <v>-0.4654007</v>
      </c>
      <c r="S3361">
        <v>3.121918</v>
      </c>
      <c r="T3361">
        <v>-0.20569499999999999</v>
      </c>
      <c r="U3361">
        <v>-0.52111819999999998</v>
      </c>
      <c r="V3361">
        <v>-0.1067258</v>
      </c>
      <c r="W3361">
        <v>1.34243E-2</v>
      </c>
      <c r="X3361">
        <v>0.99419780000000002</v>
      </c>
      <c r="Y3361">
        <v>-0.4109254</v>
      </c>
      <c r="Z3361">
        <v>4.7753150000000001E-2</v>
      </c>
      <c r="AA3361">
        <v>0.91041740000000004</v>
      </c>
      <c r="AB3361">
        <v>14</v>
      </c>
      <c r="AC3361">
        <v>16.767299999999999</v>
      </c>
      <c r="AD3361">
        <v>-1.1125596122296</v>
      </c>
      <c r="AE3361">
        <v>-2.7471999999999901</v>
      </c>
      <c r="AF3361">
        <v>-7.0302786104886197</v>
      </c>
      <c r="AG3361">
        <v>-1.1125596122296</v>
      </c>
      <c r="AH3361">
        <v>15.3884662313873</v>
      </c>
      <c r="AI3361">
        <v>93.762389099921293</v>
      </c>
      <c r="AJ3361">
        <v>114.55346882684501</v>
      </c>
      <c r="AK3361">
        <v>16.954866534019299</v>
      </c>
      <c r="AL3361">
        <v>89.230821114820898</v>
      </c>
      <c r="AM3361">
        <v>96.1271610287952</v>
      </c>
      <c r="AN3361">
        <v>0.99999993687048305</v>
      </c>
    </row>
    <row r="3362" spans="1:40" x14ac:dyDescent="0.25">
      <c r="A3362" t="str">
        <f>"20190312160705461"</f>
        <v>20190312160705461</v>
      </c>
      <c r="B3362" t="str">
        <f>"1552378025458333"</f>
        <v>1552378025458333</v>
      </c>
      <c r="C3362" t="s">
        <v>40</v>
      </c>
      <c r="D3362">
        <v>6.2930760000000001</v>
      </c>
      <c r="E3362">
        <v>0.37217119999999998</v>
      </c>
      <c r="F3362" t="s">
        <v>66</v>
      </c>
      <c r="G3362">
        <v>-463.65519999999998</v>
      </c>
      <c r="H3362" s="1">
        <v>3.4377010000000001E-7</v>
      </c>
      <c r="I3362">
        <v>216.09379999999999</v>
      </c>
      <c r="J3362">
        <v>-480.39080000000001</v>
      </c>
      <c r="K3362">
        <v>1.1125719999999999</v>
      </c>
      <c r="L3362">
        <v>218.7611</v>
      </c>
      <c r="M3362">
        <v>0.83362119999999995</v>
      </c>
      <c r="N3362">
        <v>0</v>
      </c>
      <c r="O3362">
        <v>-0.55215969999999903</v>
      </c>
      <c r="P3362">
        <v>0.88767649999999998</v>
      </c>
      <c r="Q3362">
        <v>4.6579439999999998E-4</v>
      </c>
      <c r="R3362">
        <v>-0.46046759999999898</v>
      </c>
      <c r="S3362">
        <v>3.122925</v>
      </c>
      <c r="T3362">
        <v>-0.20621059999999999</v>
      </c>
      <c r="U3362">
        <v>-0.50691220000000003</v>
      </c>
      <c r="V3362">
        <v>-0.106374</v>
      </c>
      <c r="W3362">
        <v>1.377712E-2</v>
      </c>
      <c r="X3362">
        <v>0.99423070000000002</v>
      </c>
      <c r="Y3362">
        <v>-0.40961029999999998</v>
      </c>
      <c r="Z3362">
        <v>4.7576889999999997E-2</v>
      </c>
      <c r="AA3362">
        <v>0.91101909999999997</v>
      </c>
      <c r="AB3362">
        <v>14</v>
      </c>
      <c r="AC3362">
        <v>16.735600000000002</v>
      </c>
      <c r="AD3362">
        <v>-1.1125716562299</v>
      </c>
      <c r="AE3362">
        <v>-2.6673000000000102</v>
      </c>
      <c r="AF3362">
        <v>-6.9877741364684001</v>
      </c>
      <c r="AG3362">
        <v>-1.1125716562299</v>
      </c>
      <c r="AH3362">
        <v>15.359234728334799</v>
      </c>
      <c r="AI3362">
        <v>93.772263224110603</v>
      </c>
      <c r="AJ3362">
        <v>114.463440713602</v>
      </c>
      <c r="AK3362">
        <v>16.910733115765002</v>
      </c>
      <c r="AL3362">
        <v>89.210604165508798</v>
      </c>
      <c r="AM3362">
        <v>96.1069163970907</v>
      </c>
      <c r="AN3362">
        <v>0.99999996086699094</v>
      </c>
    </row>
    <row r="3363" spans="1:40" x14ac:dyDescent="0.25">
      <c r="A3363" t="str">
        <f>"20190312160705484"</f>
        <v>20190312160705484</v>
      </c>
      <c r="B3363" t="str">
        <f>"1552378025477853"</f>
        <v>1552378025477853</v>
      </c>
      <c r="C3363" t="s">
        <v>40</v>
      </c>
      <c r="D3363">
        <v>6.1881159999999999</v>
      </c>
      <c r="E3363">
        <v>0.38218340000000001</v>
      </c>
      <c r="F3363" t="s">
        <v>66</v>
      </c>
      <c r="G3363">
        <v>-453.75830000000002</v>
      </c>
      <c r="H3363" s="1">
        <v>4.5907879999999999E-7</v>
      </c>
      <c r="I3363">
        <v>214.71090000000001</v>
      </c>
      <c r="J3363">
        <v>-480.27260000000001</v>
      </c>
      <c r="K3363">
        <v>1.112574</v>
      </c>
      <c r="L3363">
        <v>218.6917</v>
      </c>
      <c r="M3363">
        <v>0.83702869999999996</v>
      </c>
      <c r="N3363">
        <v>0</v>
      </c>
      <c r="O3363">
        <v>-0.54698029999999997</v>
      </c>
      <c r="P3363">
        <v>0.89002440000000005</v>
      </c>
      <c r="Q3363">
        <v>2.3890289999999999E-4</v>
      </c>
      <c r="R3363">
        <v>-0.45591350000000003</v>
      </c>
      <c r="S3363">
        <v>3.132568</v>
      </c>
      <c r="T3363">
        <v>-0.13086310000000001</v>
      </c>
      <c r="U3363">
        <v>-0.4763947</v>
      </c>
      <c r="V3363">
        <v>-0.1053024</v>
      </c>
      <c r="W3363">
        <v>1.3556840000000001E-2</v>
      </c>
      <c r="X3363">
        <v>0.9943478</v>
      </c>
      <c r="Y3363">
        <v>-0.41419479999999997</v>
      </c>
      <c r="Z3363">
        <v>3.0075319999999999E-2</v>
      </c>
      <c r="AA3363">
        <v>0.90969120000000003</v>
      </c>
      <c r="AB3363">
        <v>14</v>
      </c>
      <c r="AC3363">
        <v>26.514299999999899</v>
      </c>
      <c r="AD3363">
        <v>-1.1125735409212001</v>
      </c>
      <c r="AE3363">
        <v>-3.9807999999999799</v>
      </c>
      <c r="AF3363">
        <v>-11.152643953804899</v>
      </c>
      <c r="AG3363">
        <v>-1.1125735409212001</v>
      </c>
      <c r="AH3363">
        <v>24.331135318372599</v>
      </c>
      <c r="AI3363">
        <v>92.380279655298295</v>
      </c>
      <c r="AJ3363">
        <v>114.62526481566999</v>
      </c>
      <c r="AK3363">
        <v>26.788494413185202</v>
      </c>
      <c r="AL3363">
        <v>89.223226462721399</v>
      </c>
      <c r="AM3363">
        <v>96.045147210359303</v>
      </c>
      <c r="AN3363">
        <v>0.99999996536069202</v>
      </c>
    </row>
    <row r="3364" spans="1:40" x14ac:dyDescent="0.25">
      <c r="A3364" t="str">
        <f>"20190312160705505"</f>
        <v>20190312160705505</v>
      </c>
      <c r="B3364" t="str">
        <f>"1552378025498349"</f>
        <v>1552378025498349</v>
      </c>
      <c r="C3364" t="s">
        <v>40</v>
      </c>
      <c r="D3364">
        <v>6.1906780000000001</v>
      </c>
      <c r="E3364">
        <v>0.38233689999999998</v>
      </c>
      <c r="F3364" t="s">
        <v>66</v>
      </c>
      <c r="G3364">
        <v>-465.82769999999999</v>
      </c>
      <c r="H3364" s="1">
        <v>1.494512E-6</v>
      </c>
      <c r="I3364">
        <v>216.21549999999999</v>
      </c>
      <c r="J3364">
        <v>-480.16019999999997</v>
      </c>
      <c r="K3364">
        <v>1.1125719999999999</v>
      </c>
      <c r="L3364">
        <v>218.6267</v>
      </c>
      <c r="M3364">
        <v>0.84025590000000006</v>
      </c>
      <c r="N3364">
        <v>0</v>
      </c>
      <c r="O3364">
        <v>-0.54200919999999997</v>
      </c>
      <c r="P3364">
        <v>0.89220299999999997</v>
      </c>
      <c r="Q3364" s="1">
        <v>-6.2026780000000006E-5</v>
      </c>
      <c r="R3364">
        <v>-0.4516346</v>
      </c>
      <c r="S3364">
        <v>3.0986630000000002</v>
      </c>
      <c r="T3364">
        <v>-0.23866370000000001</v>
      </c>
      <c r="U3364">
        <v>-0.53117369999999997</v>
      </c>
      <c r="V3364">
        <v>-0.10418090000000001</v>
      </c>
      <c r="W3364">
        <v>1.326314E-2</v>
      </c>
      <c r="X3364">
        <v>0.99446990000000002</v>
      </c>
      <c r="Y3364">
        <v>-0.3898026</v>
      </c>
      <c r="Z3364">
        <v>5.4010549999999997E-2</v>
      </c>
      <c r="AA3364">
        <v>0.9193133</v>
      </c>
      <c r="AB3364">
        <v>14</v>
      </c>
      <c r="AC3364">
        <v>14.3324999999999</v>
      </c>
      <c r="AD3364">
        <v>-1.112570505488</v>
      </c>
      <c r="AE3364">
        <v>-2.4112</v>
      </c>
      <c r="AF3364">
        <v>-5.7094281164342497</v>
      </c>
      <c r="AG3364">
        <v>-1.112570505488</v>
      </c>
      <c r="AH3364">
        <v>13.273388324884101</v>
      </c>
      <c r="AI3364">
        <v>94.403005451393994</v>
      </c>
      <c r="AJ3364">
        <v>113.27452101183999</v>
      </c>
      <c r="AK3364">
        <v>14.4920053881297</v>
      </c>
      <c r="AL3364">
        <v>89.240055755457703</v>
      </c>
      <c r="AM3364">
        <v>95.980504868837997</v>
      </c>
      <c r="AN3364">
        <v>0.99999997640673899</v>
      </c>
    </row>
    <row r="3365" spans="1:40" x14ac:dyDescent="0.25">
      <c r="A3365" t="str">
        <f>"20190312160705530"</f>
        <v>20190312160705530</v>
      </c>
      <c r="B3365" t="str">
        <f>"1552378025517869"</f>
        <v>1552378025517869</v>
      </c>
      <c r="C3365" t="s">
        <v>40</v>
      </c>
      <c r="D3365">
        <v>6.1757489999999997</v>
      </c>
      <c r="E3365">
        <v>0.38305270000000002</v>
      </c>
      <c r="F3365" t="s">
        <v>66</v>
      </c>
      <c r="G3365">
        <v>-465.19959999999998</v>
      </c>
      <c r="H3365" s="1">
        <v>1.1640349999999999E-6</v>
      </c>
      <c r="I3365">
        <v>216.1302</v>
      </c>
      <c r="J3365">
        <v>-480.03269999999998</v>
      </c>
      <c r="K3365">
        <v>1.1125659999999999</v>
      </c>
      <c r="L3365">
        <v>218.554</v>
      </c>
      <c r="M3365">
        <v>0.843898699999999</v>
      </c>
      <c r="N3365">
        <v>0</v>
      </c>
      <c r="O3365">
        <v>-0.53632029999999997</v>
      </c>
      <c r="P3365">
        <v>0.89492709999999998</v>
      </c>
      <c r="Q3365">
        <v>2.2018109999999999E-4</v>
      </c>
      <c r="R3365">
        <v>-0.44621270000000002</v>
      </c>
      <c r="S3365">
        <v>3.1005250000000002</v>
      </c>
      <c r="T3365">
        <v>-0.230576</v>
      </c>
      <c r="U3365">
        <v>-0.51737979999999995</v>
      </c>
      <c r="V3365">
        <v>-0.1034981</v>
      </c>
      <c r="W3365">
        <v>1.354969E-2</v>
      </c>
      <c r="X3365">
        <v>0.99453740000000002</v>
      </c>
      <c r="Y3365">
        <v>-0.38783610000000002</v>
      </c>
      <c r="Z3365">
        <v>5.1762490000000001E-2</v>
      </c>
      <c r="AA3365">
        <v>0.92027369999999997</v>
      </c>
      <c r="AB3365">
        <v>14</v>
      </c>
      <c r="AC3365">
        <v>14.8331</v>
      </c>
      <c r="AD3365">
        <v>-1.112564835965</v>
      </c>
      <c r="AE3365">
        <v>-2.4238</v>
      </c>
      <c r="AF3365">
        <v>-5.8782189674457896</v>
      </c>
      <c r="AG3365">
        <v>-1.112564835965</v>
      </c>
      <c r="AH3365">
        <v>13.7436095263574</v>
      </c>
      <c r="AI3365">
        <v>94.256642787059604</v>
      </c>
      <c r="AJ3365">
        <v>113.156667634684</v>
      </c>
      <c r="AK3365">
        <v>14.9892648771194</v>
      </c>
      <c r="AL3365">
        <v>89.223636227334097</v>
      </c>
      <c r="AM3365">
        <v>95.941189671486896</v>
      </c>
      <c r="AN3365">
        <v>1.0000000454007301</v>
      </c>
    </row>
    <row r="3366" spans="1:40" x14ac:dyDescent="0.25">
      <c r="A3366" t="str">
        <f>"20190312160705553"</f>
        <v>20190312160705553</v>
      </c>
      <c r="B3366" t="str">
        <f>"1552378025548126"</f>
        <v>1552378025548126</v>
      </c>
      <c r="C3366" t="s">
        <v>40</v>
      </c>
      <c r="D3366">
        <v>6.3038460000000001</v>
      </c>
      <c r="E3366">
        <v>0.38415880000000002</v>
      </c>
      <c r="F3366" t="s">
        <v>66</v>
      </c>
      <c r="G3366">
        <v>-464.99720000000002</v>
      </c>
      <c r="H3366" s="1">
        <v>1.057054E-6</v>
      </c>
      <c r="I3366">
        <v>216.11240000000001</v>
      </c>
      <c r="J3366">
        <v>-479.91019999999997</v>
      </c>
      <c r="K3366">
        <v>1.112563</v>
      </c>
      <c r="L3366">
        <v>218.4853</v>
      </c>
      <c r="M3366">
        <v>0.84737779999999996</v>
      </c>
      <c r="N3366">
        <v>0</v>
      </c>
      <c r="O3366">
        <v>-0.53080620000000001</v>
      </c>
      <c r="P3366">
        <v>0.89759519999999904</v>
      </c>
      <c r="Q3366">
        <v>2.5064359999999998E-4</v>
      </c>
      <c r="R3366">
        <v>-0.44082130000000003</v>
      </c>
      <c r="S3366">
        <v>3.1012270000000002</v>
      </c>
      <c r="T3366">
        <v>-0.22947719999999999</v>
      </c>
      <c r="U3366">
        <v>-0.50360109999999902</v>
      </c>
      <c r="V3366">
        <v>-0.1029958</v>
      </c>
      <c r="W3366">
        <v>1.358259E-2</v>
      </c>
      <c r="X3366">
        <v>0.99458899999999995</v>
      </c>
      <c r="Y3366">
        <v>-0.38588129999999998</v>
      </c>
      <c r="Z3366">
        <v>5.1122929999999997E-2</v>
      </c>
      <c r="AA3366">
        <v>0.92113080000000003</v>
      </c>
      <c r="AB3366">
        <v>14</v>
      </c>
      <c r="AC3366">
        <v>14.912999999999901</v>
      </c>
      <c r="AD3366">
        <v>-1.1125619429460001</v>
      </c>
      <c r="AE3366">
        <v>-2.37289999999998</v>
      </c>
      <c r="AF3366">
        <v>-5.8738630200451896</v>
      </c>
      <c r="AG3366">
        <v>-1.1125619429460001</v>
      </c>
      <c r="AH3366">
        <v>13.8228210122127</v>
      </c>
      <c r="AI3366">
        <v>94.236538160487299</v>
      </c>
      <c r="AJ3366">
        <v>113.022557178035</v>
      </c>
      <c r="AK3366">
        <v>15.0602271427364</v>
      </c>
      <c r="AL3366">
        <v>89.221750948729493</v>
      </c>
      <c r="AM3366">
        <v>95.912255898700906</v>
      </c>
      <c r="AN3366">
        <v>0.99999995024487198</v>
      </c>
    </row>
    <row r="3367" spans="1:40" x14ac:dyDescent="0.25">
      <c r="A3367" t="str">
        <f>"20190312160705575"</f>
        <v>20190312160705575</v>
      </c>
      <c r="B3367" t="str">
        <f>"1552378025568622"</f>
        <v>1552378025568622</v>
      </c>
      <c r="C3367" t="s">
        <v>40</v>
      </c>
      <c r="D3367">
        <v>6.2196020000000001</v>
      </c>
      <c r="E3367">
        <v>0.41270089999999998</v>
      </c>
      <c r="F3367" t="s">
        <v>66</v>
      </c>
      <c r="G3367">
        <v>-463.95460000000003</v>
      </c>
      <c r="H3367" s="1">
        <v>5.0937799999999997E-7</v>
      </c>
      <c r="I3367">
        <v>215.94980000000001</v>
      </c>
      <c r="J3367">
        <v>-479.80220000000003</v>
      </c>
      <c r="K3367">
        <v>1.1125640000000001</v>
      </c>
      <c r="L3367">
        <v>218.4256</v>
      </c>
      <c r="M3367">
        <v>0.85042459999999898</v>
      </c>
      <c r="N3367">
        <v>0</v>
      </c>
      <c r="O3367">
        <v>-0.52591100000000002</v>
      </c>
      <c r="P3367">
        <v>0.899756</v>
      </c>
      <c r="Q3367" s="1">
        <v>8.002471E-5</v>
      </c>
      <c r="R3367">
        <v>-0.43639349999999999</v>
      </c>
      <c r="S3367">
        <v>3.1003720000000001</v>
      </c>
      <c r="T3367">
        <v>-0.2161853</v>
      </c>
      <c r="U3367">
        <v>-0.4926758</v>
      </c>
      <c r="V3367">
        <v>-0.1021599</v>
      </c>
      <c r="W3367">
        <v>1.341667E-2</v>
      </c>
      <c r="X3367">
        <v>0.99467749999999999</v>
      </c>
      <c r="Y3367">
        <v>-0.3839552</v>
      </c>
      <c r="Z3367">
        <v>4.7851089999999999E-2</v>
      </c>
      <c r="AA3367">
        <v>0.92211100000000001</v>
      </c>
      <c r="AB3367">
        <v>14</v>
      </c>
      <c r="AC3367">
        <v>15.8476</v>
      </c>
      <c r="AD3367">
        <v>-1.1125634906220001</v>
      </c>
      <c r="AE3367">
        <v>-2.4757999999999898</v>
      </c>
      <c r="AF3367">
        <v>-6.1997273652517801</v>
      </c>
      <c r="AG3367">
        <v>-1.1125634906220001</v>
      </c>
      <c r="AH3367">
        <v>14.7099132825675</v>
      </c>
      <c r="AI3367">
        <v>93.986855655258296</v>
      </c>
      <c r="AJ3367">
        <v>112.853765767532</v>
      </c>
      <c r="AK3367">
        <v>16.001748832698599</v>
      </c>
      <c r="AL3367">
        <v>89.231258362330195</v>
      </c>
      <c r="AM3367">
        <v>95.864090463658997</v>
      </c>
      <c r="AN3367">
        <v>0.99999999060407396</v>
      </c>
    </row>
    <row r="3368" spans="1:40" x14ac:dyDescent="0.25">
      <c r="A3368" t="str">
        <f>"20190312160705596"</f>
        <v>20190312160705596</v>
      </c>
      <c r="B3368" t="str">
        <f>"1552378025588141"</f>
        <v>1552378025588141</v>
      </c>
      <c r="C3368" t="s">
        <v>40</v>
      </c>
      <c r="D3368">
        <v>6.1507560000000003</v>
      </c>
      <c r="E3368">
        <v>0.41696299999999997</v>
      </c>
      <c r="F3368" t="s">
        <v>66</v>
      </c>
      <c r="G3368">
        <v>-466.93090000000001</v>
      </c>
      <c r="H3368" s="1">
        <v>2.1127550000000002E-6</v>
      </c>
      <c r="I3368">
        <v>215.50309999999999</v>
      </c>
      <c r="J3368">
        <v>-479.68470000000002</v>
      </c>
      <c r="K3368">
        <v>1.1125700000000001</v>
      </c>
      <c r="L3368">
        <v>218.36179999999999</v>
      </c>
      <c r="M3368">
        <v>0.85371529999999995</v>
      </c>
      <c r="N3368">
        <v>0</v>
      </c>
      <c r="O3368">
        <v>-0.52055229999999997</v>
      </c>
      <c r="P3368">
        <v>0.90194989999999997</v>
      </c>
      <c r="Q3368">
        <v>-2.152012E-4</v>
      </c>
      <c r="R3368">
        <v>-0.43184090000000003</v>
      </c>
      <c r="S3368">
        <v>3.003479</v>
      </c>
      <c r="T3368">
        <v>-0.25961420000000002</v>
      </c>
      <c r="U3368">
        <v>-0.68197629999999998</v>
      </c>
      <c r="V3368">
        <v>-0.1009294</v>
      </c>
      <c r="W3368">
        <v>1.312868E-2</v>
      </c>
      <c r="X3368">
        <v>0.99480690000000005</v>
      </c>
      <c r="Y3368">
        <v>-0.31588860000000002</v>
      </c>
      <c r="Z3368">
        <v>5.5437170000000001E-2</v>
      </c>
      <c r="AA3368">
        <v>0.94717530000000005</v>
      </c>
      <c r="AB3368">
        <v>14</v>
      </c>
      <c r="AC3368">
        <v>12.7538</v>
      </c>
      <c r="AD3368">
        <v>-1.112567887245</v>
      </c>
      <c r="AE3368">
        <v>-2.85869999999999</v>
      </c>
      <c r="AF3368">
        <v>-4.1687089080524302</v>
      </c>
      <c r="AG3368">
        <v>-1.112567887245</v>
      </c>
      <c r="AH3368">
        <v>12.2883880380147</v>
      </c>
      <c r="AI3368">
        <v>94.900492333637601</v>
      </c>
      <c r="AJ3368">
        <v>108.738975465911</v>
      </c>
      <c r="AK3368">
        <v>13.023840517935801</v>
      </c>
      <c r="AL3368">
        <v>89.247760387473804</v>
      </c>
      <c r="AM3368">
        <v>95.793193321050396</v>
      </c>
      <c r="AN3368">
        <v>0.99999993715525404</v>
      </c>
    </row>
    <row r="3369" spans="1:40" x14ac:dyDescent="0.25">
      <c r="A3369" t="str">
        <f>"20190312160705620"</f>
        <v>20190312160705620</v>
      </c>
      <c r="B3369" t="str">
        <f>"1552378025608638"</f>
        <v>1552378025608638</v>
      </c>
      <c r="C3369" t="s">
        <v>40</v>
      </c>
      <c r="D3369">
        <v>6.3165120000000003</v>
      </c>
      <c r="E3369">
        <v>0.4178926</v>
      </c>
      <c r="F3369" t="s">
        <v>66</v>
      </c>
      <c r="G3369">
        <v>-466.09059999999999</v>
      </c>
      <c r="H3369" s="1">
        <v>1.6790970000000001E-6</v>
      </c>
      <c r="I3369">
        <v>215.1935</v>
      </c>
      <c r="J3369">
        <v>-479.56869999999998</v>
      </c>
      <c r="K3369">
        <v>1.112557</v>
      </c>
      <c r="L3369">
        <v>218.2998</v>
      </c>
      <c r="M3369">
        <v>0.85693539999999901</v>
      </c>
      <c r="N3369">
        <v>0</v>
      </c>
      <c r="O3369">
        <v>-0.51523379999999996</v>
      </c>
      <c r="P3369">
        <v>0.90391770000000005</v>
      </c>
      <c r="Q3369">
        <v>-8.2565479999999896E-4</v>
      </c>
      <c r="R3369">
        <v>-0.42770609999999998</v>
      </c>
      <c r="S3369">
        <v>2.9921570000000002</v>
      </c>
      <c r="T3369">
        <v>-0.2448843</v>
      </c>
      <c r="U3369">
        <v>-0.69738769999999894</v>
      </c>
      <c r="V3369">
        <v>-9.9295369999999994E-2</v>
      </c>
      <c r="W3369">
        <v>1.252935E-2</v>
      </c>
      <c r="X3369">
        <v>0.99497910000000001</v>
      </c>
      <c r="Y3369">
        <v>-0.30489860000000002</v>
      </c>
      <c r="Z3369">
        <v>5.1645879999999998E-2</v>
      </c>
      <c r="AA3369">
        <v>0.95098349999999998</v>
      </c>
      <c r="AB3369">
        <v>14</v>
      </c>
      <c r="AC3369">
        <v>13.4780999999999</v>
      </c>
      <c r="AD3369">
        <v>-1.1125553209029999</v>
      </c>
      <c r="AE3369">
        <v>-3.1063000000000001</v>
      </c>
      <c r="AF3369">
        <v>-4.2553611576728496</v>
      </c>
      <c r="AG3369">
        <v>-1.1125553209029999</v>
      </c>
      <c r="AH3369">
        <v>13.0670747306966</v>
      </c>
      <c r="AI3369">
        <v>94.628413133553906</v>
      </c>
      <c r="AJ3369">
        <v>108.038110165872</v>
      </c>
      <c r="AK3369">
        <v>13.787469671477499</v>
      </c>
      <c r="AL3369">
        <v>89.282102328249906</v>
      </c>
      <c r="AM3369">
        <v>95.699045135424399</v>
      </c>
      <c r="AN3369">
        <v>0.99999998227583398</v>
      </c>
    </row>
    <row r="3370" spans="1:40" x14ac:dyDescent="0.25">
      <c r="A3370" t="str">
        <f>"20190312160705641"</f>
        <v>20190312160705641</v>
      </c>
      <c r="B3370" t="str">
        <f>"1552378025628157"</f>
        <v>1552378025628157</v>
      </c>
      <c r="C3370" t="s">
        <v>40</v>
      </c>
      <c r="D3370">
        <v>6.1455919999999997</v>
      </c>
      <c r="E3370">
        <v>0.4199504</v>
      </c>
      <c r="F3370" t="s">
        <v>66</v>
      </c>
      <c r="G3370">
        <v>-465.2758</v>
      </c>
      <c r="H3370" s="1">
        <v>1.2538449999999999E-6</v>
      </c>
      <c r="I3370">
        <v>215.00309999999999</v>
      </c>
      <c r="J3370">
        <v>-479.4522</v>
      </c>
      <c r="K3370">
        <v>1.1125480000000001</v>
      </c>
      <c r="L3370">
        <v>218.23849999999999</v>
      </c>
      <c r="M3370">
        <v>0.86014020000000002</v>
      </c>
      <c r="N3370">
        <v>0</v>
      </c>
      <c r="O3370">
        <v>-0.50986579999999904</v>
      </c>
      <c r="P3370">
        <v>0.9059431</v>
      </c>
      <c r="Q3370">
        <v>-1.0695590000000001E-3</v>
      </c>
      <c r="R3370">
        <v>-0.423398</v>
      </c>
      <c r="S3370">
        <v>2.9920960000000001</v>
      </c>
      <c r="T3370">
        <v>-0.2329051</v>
      </c>
      <c r="U3370">
        <v>-0.69015499999999996</v>
      </c>
      <c r="V3370">
        <v>-9.7809110000000005E-2</v>
      </c>
      <c r="W3370">
        <v>1.2295240000000001E-2</v>
      </c>
      <c r="X3370">
        <v>0.99512920000000005</v>
      </c>
      <c r="Y3370">
        <v>-0.3013711</v>
      </c>
      <c r="Z3370">
        <v>4.866301E-2</v>
      </c>
      <c r="AA3370">
        <v>0.95226429999999995</v>
      </c>
      <c r="AB3370">
        <v>13</v>
      </c>
      <c r="AC3370">
        <v>14.176399999999999</v>
      </c>
      <c r="AD3370">
        <v>-1.1125467461549901</v>
      </c>
      <c r="AE3370">
        <v>-3.2353999999999901</v>
      </c>
      <c r="AF3370">
        <v>-4.4197258469815104</v>
      </c>
      <c r="AG3370">
        <v>-1.1125467461549901</v>
      </c>
      <c r="AH3370">
        <v>13.7640910403716</v>
      </c>
      <c r="AI3370">
        <v>94.400773159235001</v>
      </c>
      <c r="AJ3370">
        <v>107.802112001615</v>
      </c>
      <c r="AK3370">
        <v>14.499032346763499</v>
      </c>
      <c r="AL3370">
        <v>89.295516861028403</v>
      </c>
      <c r="AM3370">
        <v>95.613449096972005</v>
      </c>
      <c r="AN3370">
        <v>0.99999995980914402</v>
      </c>
    </row>
    <row r="3371" spans="1:40" x14ac:dyDescent="0.25">
      <c r="A3371" t="str">
        <f>"20190312160705662"</f>
        <v>20190312160705662</v>
      </c>
      <c r="B3371" t="str">
        <f>"1552378025658413"</f>
        <v>1552378025658413</v>
      </c>
      <c r="C3371" t="s">
        <v>40</v>
      </c>
      <c r="D3371">
        <v>6.1632119999999997</v>
      </c>
      <c r="E3371">
        <v>0.42150369999999998</v>
      </c>
      <c r="F3371" t="s">
        <v>66</v>
      </c>
      <c r="G3371">
        <v>-466.3931</v>
      </c>
      <c r="H3371" s="1">
        <v>1.8389159999999999E-6</v>
      </c>
      <c r="I3371">
        <v>215.21960000000001</v>
      </c>
      <c r="J3371">
        <v>-479.34309999999999</v>
      </c>
      <c r="K3371">
        <v>1.1125430000000001</v>
      </c>
      <c r="L3371">
        <v>218.18190000000001</v>
      </c>
      <c r="M3371">
        <v>0.86311970000000005</v>
      </c>
      <c r="N3371">
        <v>0</v>
      </c>
      <c r="O3371">
        <v>-0.50480590000000003</v>
      </c>
      <c r="P3371">
        <v>0.90792240000000002</v>
      </c>
      <c r="Q3371">
        <v>-1.15416E-3</v>
      </c>
      <c r="R3371">
        <v>-0.41913719999999999</v>
      </c>
      <c r="S3371">
        <v>2.9883120000000001</v>
      </c>
      <c r="T3371">
        <v>-0.25458249999999999</v>
      </c>
      <c r="U3371">
        <v>-0.69081119999999996</v>
      </c>
      <c r="V3371">
        <v>-9.6639000000000003E-2</v>
      </c>
      <c r="W3371">
        <v>1.221847E-2</v>
      </c>
      <c r="X3371">
        <v>0.99524449999999998</v>
      </c>
      <c r="Y3371">
        <v>-0.29491509999999999</v>
      </c>
      <c r="Z3371">
        <v>5.260807E-2</v>
      </c>
      <c r="AA3371">
        <v>0.95407410000000004</v>
      </c>
      <c r="AB3371">
        <v>13</v>
      </c>
      <c r="AC3371">
        <v>12.9499999999999</v>
      </c>
      <c r="AD3371">
        <v>-1.1125411610839999</v>
      </c>
      <c r="AE3371">
        <v>-2.9622999999999902</v>
      </c>
      <c r="AF3371">
        <v>-3.9530804276174498</v>
      </c>
      <c r="AG3371">
        <v>-1.1125411610839999</v>
      </c>
      <c r="AH3371">
        <v>12.5857531601633</v>
      </c>
      <c r="AI3371">
        <v>94.8206173888845</v>
      </c>
      <c r="AJ3371">
        <v>107.43707022538899</v>
      </c>
      <c r="AK3371">
        <v>13.238798106734601</v>
      </c>
      <c r="AL3371">
        <v>89.299915817515597</v>
      </c>
      <c r="AM3371">
        <v>95.546076995879304</v>
      </c>
      <c r="AN3371">
        <v>1.0000000010551899</v>
      </c>
    </row>
    <row r="3372" spans="1:40" x14ac:dyDescent="0.25">
      <c r="A3372" t="str">
        <f>"20190312160705683"</f>
        <v>20190312160705683</v>
      </c>
      <c r="B3372" t="str">
        <f>"1552378025677933"</f>
        <v>1552378025677933</v>
      </c>
      <c r="C3372" t="s">
        <v>40</v>
      </c>
      <c r="D3372">
        <v>6.1337380000000001</v>
      </c>
      <c r="E3372">
        <v>0.42190909999999898</v>
      </c>
      <c r="F3372" t="s">
        <v>66</v>
      </c>
      <c r="G3372">
        <v>-466.91079999999999</v>
      </c>
      <c r="H3372" s="1">
        <v>2.1100550000000002E-6</v>
      </c>
      <c r="I3372">
        <v>215.31970000000001</v>
      </c>
      <c r="J3372">
        <v>-479.23079999999999</v>
      </c>
      <c r="K3372">
        <v>1.1125400000000001</v>
      </c>
      <c r="L3372">
        <v>218.12459999999999</v>
      </c>
      <c r="M3372">
        <v>0.86615980000000004</v>
      </c>
      <c r="N3372">
        <v>0</v>
      </c>
      <c r="O3372">
        <v>-0.49957190000000001</v>
      </c>
      <c r="P3372">
        <v>0.90993009999999996</v>
      </c>
      <c r="Q3372">
        <v>-7.9591149999999904E-4</v>
      </c>
      <c r="R3372">
        <v>-0.41476160000000001</v>
      </c>
      <c r="S3372">
        <v>2.9864809999999999</v>
      </c>
      <c r="T3372">
        <v>-0.26725470000000001</v>
      </c>
      <c r="U3372">
        <v>-0.68757630000000003</v>
      </c>
      <c r="V3372">
        <v>-9.5407919999999993E-2</v>
      </c>
      <c r="W3372">
        <v>1.258418E-2</v>
      </c>
      <c r="X3372">
        <v>0.99535870000000004</v>
      </c>
      <c r="Y3372">
        <v>-0.28975380000000001</v>
      </c>
      <c r="Z3372">
        <v>5.463747E-2</v>
      </c>
      <c r="AA3372">
        <v>0.95554039999999996</v>
      </c>
      <c r="AB3372">
        <v>13</v>
      </c>
      <c r="AC3372">
        <v>12.319999999999901</v>
      </c>
      <c r="AD3372">
        <v>-1.11253788994499</v>
      </c>
      <c r="AE3372">
        <v>-2.8048999999999702</v>
      </c>
      <c r="AF3372">
        <v>-3.6969358987032499</v>
      </c>
      <c r="AG3372">
        <v>-1.11253788994499</v>
      </c>
      <c r="AH3372">
        <v>11.9806319182034</v>
      </c>
      <c r="AI3372">
        <v>95.070739035641296</v>
      </c>
      <c r="AJ3372">
        <v>107.148972193905</v>
      </c>
      <c r="AK3372">
        <v>12.587319681137799</v>
      </c>
      <c r="AL3372">
        <v>89.278960556476804</v>
      </c>
      <c r="AM3372">
        <v>95.475233497448698</v>
      </c>
      <c r="AN3372">
        <v>0.999999987225344</v>
      </c>
    </row>
    <row r="3373" spans="1:40" x14ac:dyDescent="0.25">
      <c r="A3373" t="str">
        <f>"20190312160705720"</f>
        <v>20190312160705720</v>
      </c>
      <c r="B3373" t="str">
        <f>"1552378025708695"</f>
        <v>1552378025708695</v>
      </c>
      <c r="C3373" t="s">
        <v>40</v>
      </c>
      <c r="D3373">
        <v>6.1301509999999997</v>
      </c>
      <c r="E3373">
        <v>0.42370429999999998</v>
      </c>
      <c r="F3373" t="s">
        <v>66</v>
      </c>
      <c r="G3373">
        <v>-466.62060000000002</v>
      </c>
      <c r="H3373" s="1">
        <v>1.9576110000000002E-6</v>
      </c>
      <c r="I3373">
        <v>215.2739</v>
      </c>
      <c r="J3373">
        <v>-479.0453</v>
      </c>
      <c r="K3373">
        <v>1.1125419999999999</v>
      </c>
      <c r="L3373">
        <v>218.0318</v>
      </c>
      <c r="M3373">
        <v>0.87112179999999995</v>
      </c>
      <c r="N3373">
        <v>0</v>
      </c>
      <c r="O3373">
        <v>-0.49086809999999997</v>
      </c>
      <c r="P3373">
        <v>0.91410049999999998</v>
      </c>
      <c r="Q3373">
        <v>-2.4016710000000001E-4</v>
      </c>
      <c r="R3373">
        <v>-0.40548800000000002</v>
      </c>
      <c r="S3373">
        <v>2.9887700000000001</v>
      </c>
      <c r="T3373">
        <v>-0.263685</v>
      </c>
      <c r="U3373">
        <v>-0.67564389999999996</v>
      </c>
      <c r="V3373">
        <v>-9.5558180000000006E-2</v>
      </c>
      <c r="W3373">
        <v>1.313631E-2</v>
      </c>
      <c r="X3373">
        <v>0.99533720000000003</v>
      </c>
      <c r="Y3373">
        <v>-0.28407059999999901</v>
      </c>
      <c r="Z3373">
        <v>5.3007480000000003E-2</v>
      </c>
      <c r="AA3373">
        <v>0.95733699999999999</v>
      </c>
      <c r="AB3373">
        <v>13</v>
      </c>
      <c r="AC3373">
        <v>12.4246999999999</v>
      </c>
      <c r="AD3373">
        <v>-1.112540042389</v>
      </c>
      <c r="AE3373">
        <v>-2.7578999999999998</v>
      </c>
      <c r="AF3373">
        <v>-3.66874878845791</v>
      </c>
      <c r="AG3373">
        <v>-1.112540042389</v>
      </c>
      <c r="AH3373">
        <v>12.086027554464801</v>
      </c>
      <c r="AI3373">
        <v>95.033791955521906</v>
      </c>
      <c r="AJ3373">
        <v>106.885819412863</v>
      </c>
      <c r="AK3373">
        <v>12.6794923031647</v>
      </c>
      <c r="AL3373">
        <v>89.247323256637102</v>
      </c>
      <c r="AM3373">
        <v>95.483921769651701</v>
      </c>
      <c r="AN3373">
        <v>1.0000000350545799</v>
      </c>
    </row>
    <row r="3374" spans="1:40" x14ac:dyDescent="0.25">
      <c r="A3374" t="str">
        <f>"20190312160705741"</f>
        <v>20190312160705741</v>
      </c>
      <c r="B3374" t="str">
        <f>"1552378025728217"</f>
        <v>1552378025728217</v>
      </c>
      <c r="C3374" t="s">
        <v>40</v>
      </c>
      <c r="D3374">
        <v>6.011806</v>
      </c>
      <c r="E3374">
        <v>0.42469440000000003</v>
      </c>
      <c r="F3374" t="s">
        <v>66</v>
      </c>
      <c r="G3374">
        <v>-467.04379999999998</v>
      </c>
      <c r="H3374" s="1">
        <v>2.1777700000000002E-6</v>
      </c>
      <c r="I3374">
        <v>215.38929999999999</v>
      </c>
      <c r="J3374">
        <v>-478.92939999999999</v>
      </c>
      <c r="K3374">
        <v>1.112541</v>
      </c>
      <c r="L3374">
        <v>217.97499999999999</v>
      </c>
      <c r="M3374">
        <v>0.87418799999999997</v>
      </c>
      <c r="N3374">
        <v>0</v>
      </c>
      <c r="O3374">
        <v>-0.48538629999999999</v>
      </c>
      <c r="P3374">
        <v>0.91655980000000004</v>
      </c>
      <c r="Q3374">
        <v>-4.019777E-4</v>
      </c>
      <c r="R3374">
        <v>-0.39989720000000001</v>
      </c>
      <c r="S3374">
        <v>2.9898380000000002</v>
      </c>
      <c r="T3374">
        <v>-0.27715790000000001</v>
      </c>
      <c r="U3374">
        <v>-0.6583099</v>
      </c>
      <c r="V3374">
        <v>-9.5383739999999995E-2</v>
      </c>
      <c r="W3374">
        <v>1.29742E-2</v>
      </c>
      <c r="X3374">
        <v>0.99535600000000002</v>
      </c>
      <c r="Y3374">
        <v>-0.28315079999999998</v>
      </c>
      <c r="Z3374">
        <v>5.5260129999999998E-2</v>
      </c>
      <c r="AA3374">
        <v>0.9574821</v>
      </c>
      <c r="AB3374">
        <v>13</v>
      </c>
      <c r="AC3374">
        <v>11.8856</v>
      </c>
      <c r="AD3374">
        <v>-1.1125388222299999</v>
      </c>
      <c r="AE3374">
        <v>-2.5857000000000001</v>
      </c>
      <c r="AF3374">
        <v>-3.4799500487411699</v>
      </c>
      <c r="AG3374">
        <v>-1.1125388222299999</v>
      </c>
      <c r="AH3374">
        <v>11.549827501856299</v>
      </c>
      <c r="AI3374">
        <v>95.269466206449394</v>
      </c>
      <c r="AJ3374">
        <v>106.76749515589501</v>
      </c>
      <c r="AK3374">
        <v>12.1138891482191</v>
      </c>
      <c r="AL3374">
        <v>89.256612223790995</v>
      </c>
      <c r="AM3374">
        <v>95.473869052159699</v>
      </c>
      <c r="AN3374">
        <v>0.99999997722901302</v>
      </c>
    </row>
    <row r="3375" spans="1:40" x14ac:dyDescent="0.25">
      <c r="A3375" t="str">
        <f>"20190312160705764"</f>
        <v>20190312160705764</v>
      </c>
      <c r="B3375" t="str">
        <f>"1552378025758471"</f>
        <v>1552378025758471</v>
      </c>
      <c r="C3375" t="s">
        <v>40</v>
      </c>
      <c r="D3375">
        <v>6.1546779999999996</v>
      </c>
      <c r="E3375">
        <v>0.42555809999999999</v>
      </c>
      <c r="F3375" t="s">
        <v>66</v>
      </c>
      <c r="G3375">
        <v>-467.16570000000002</v>
      </c>
      <c r="H3375" s="1">
        <v>2.2408589999999999E-6</v>
      </c>
      <c r="I3375">
        <v>215.43049999999999</v>
      </c>
      <c r="J3375">
        <v>-478.81200000000001</v>
      </c>
      <c r="K3375">
        <v>1.112533</v>
      </c>
      <c r="L3375">
        <v>217.9186</v>
      </c>
      <c r="M3375">
        <v>0.87726029999999999</v>
      </c>
      <c r="N3375">
        <v>0</v>
      </c>
      <c r="O3375">
        <v>-0.4798115</v>
      </c>
      <c r="P3375">
        <v>0.91895039999999995</v>
      </c>
      <c r="Q3375">
        <v>-9.3580180000000005E-4</v>
      </c>
      <c r="R3375">
        <v>-0.39437240000000001</v>
      </c>
      <c r="S3375">
        <v>2.9906920000000001</v>
      </c>
      <c r="T3375">
        <v>-0.28284219999999999</v>
      </c>
      <c r="U3375">
        <v>-0.64689640000000004</v>
      </c>
      <c r="V3375">
        <v>-9.503694E-2</v>
      </c>
      <c r="W3375">
        <v>1.244114E-2</v>
      </c>
      <c r="X3375">
        <v>0.99539599999999995</v>
      </c>
      <c r="Y3375">
        <v>-0.28050049999999999</v>
      </c>
      <c r="Z3375">
        <v>5.5830650000000002E-2</v>
      </c>
      <c r="AA3375">
        <v>0.95822879999999999</v>
      </c>
      <c r="AB3375">
        <v>13</v>
      </c>
      <c r="AC3375">
        <v>11.646299999999901</v>
      </c>
      <c r="AD3375">
        <v>-1.1125307591410001</v>
      </c>
      <c r="AE3375">
        <v>-2.4881000000000002</v>
      </c>
      <c r="AF3375">
        <v>-3.3761858852520499</v>
      </c>
      <c r="AG3375">
        <v>-1.1125307591410001</v>
      </c>
      <c r="AH3375">
        <v>11.313041000979601</v>
      </c>
      <c r="AI3375">
        <v>95.383297023203397</v>
      </c>
      <c r="AJ3375">
        <v>106.616844706655</v>
      </c>
      <c r="AK3375">
        <v>11.858383216596399</v>
      </c>
      <c r="AL3375">
        <v>89.287156795202804</v>
      </c>
      <c r="AM3375">
        <v>95.453869317544104</v>
      </c>
      <c r="AN3375">
        <v>0.99999999937253103</v>
      </c>
    </row>
    <row r="3376" spans="1:40" x14ac:dyDescent="0.25">
      <c r="A3376" t="str">
        <f>"20190312160705787"</f>
        <v>20190312160705787</v>
      </c>
      <c r="B3376" t="str">
        <f>"1552378025777993"</f>
        <v>1552378025777993</v>
      </c>
      <c r="C3376" t="s">
        <v>40</v>
      </c>
      <c r="D3376">
        <v>6.14961</v>
      </c>
      <c r="E3376">
        <v>0.42626799999999998</v>
      </c>
      <c r="F3376" t="s">
        <v>66</v>
      </c>
      <c r="G3376">
        <v>-466.89850000000001</v>
      </c>
      <c r="H3376" s="1">
        <v>2.1003730000000001E-6</v>
      </c>
      <c r="I3376">
        <v>215.39080000000001</v>
      </c>
      <c r="J3376">
        <v>-478.68700000000001</v>
      </c>
      <c r="K3376">
        <v>1.112527</v>
      </c>
      <c r="L3376">
        <v>217.85939999999999</v>
      </c>
      <c r="M3376">
        <v>0.88050069999999903</v>
      </c>
      <c r="N3376">
        <v>0</v>
      </c>
      <c r="O3376">
        <v>-0.47383890000000001</v>
      </c>
      <c r="P3376">
        <v>0.92135619999999996</v>
      </c>
      <c r="Q3376">
        <v>-4.1290880000000003E-4</v>
      </c>
      <c r="R3376">
        <v>-0.38871899999999998</v>
      </c>
      <c r="S3376">
        <v>2.9918209999999998</v>
      </c>
      <c r="T3376">
        <v>-0.279387099999999</v>
      </c>
      <c r="U3376">
        <v>-0.63479609999999997</v>
      </c>
      <c r="V3376">
        <v>-9.4390760000000004E-2</v>
      </c>
      <c r="W3376">
        <v>1.296657E-2</v>
      </c>
      <c r="X3376">
        <v>0.99545079999999997</v>
      </c>
      <c r="Y3376">
        <v>-0.27786369999999999</v>
      </c>
      <c r="Z3376">
        <v>5.4563380000000002E-2</v>
      </c>
      <c r="AA3376">
        <v>0.95906970000000002</v>
      </c>
      <c r="AB3376">
        <v>13</v>
      </c>
      <c r="AC3376">
        <v>11.7884999999999</v>
      </c>
      <c r="AD3376">
        <v>-1.1125248996269901</v>
      </c>
      <c r="AE3376">
        <v>-2.4685999999999799</v>
      </c>
      <c r="AF3376">
        <v>-3.38370830116753</v>
      </c>
      <c r="AG3376">
        <v>-1.1125248996269901</v>
      </c>
      <c r="AH3376">
        <v>11.4529095791211</v>
      </c>
      <c r="AI3376">
        <v>95.322217516462999</v>
      </c>
      <c r="AJ3376">
        <v>106.45952758989699</v>
      </c>
      <c r="AK3376">
        <v>11.994012312283401</v>
      </c>
      <c r="AL3376">
        <v>89.257049460169</v>
      </c>
      <c r="AM3376">
        <v>95.416711987454903</v>
      </c>
      <c r="AN3376">
        <v>1.00000002136579</v>
      </c>
    </row>
    <row r="3377" spans="1:40" x14ac:dyDescent="0.25">
      <c r="A3377" t="str">
        <f>"20190312160705808"</f>
        <v>20190312160705808</v>
      </c>
      <c r="B3377" t="str">
        <f>"1552378025798487"</f>
        <v>1552378025798487</v>
      </c>
      <c r="C3377" t="s">
        <v>40</v>
      </c>
      <c r="D3377">
        <v>6.0395919999999998</v>
      </c>
      <c r="E3377">
        <v>0.42719259999999898</v>
      </c>
      <c r="F3377" t="s">
        <v>66</v>
      </c>
      <c r="G3377">
        <v>-466.63580000000002</v>
      </c>
      <c r="H3377" s="1">
        <v>1.962108E-6</v>
      </c>
      <c r="I3377">
        <v>215.35659999999999</v>
      </c>
      <c r="J3377">
        <v>-478.58069999999998</v>
      </c>
      <c r="K3377">
        <v>1.112525</v>
      </c>
      <c r="L3377">
        <v>217.81010000000001</v>
      </c>
      <c r="M3377">
        <v>0.88322690000000004</v>
      </c>
      <c r="N3377">
        <v>0</v>
      </c>
      <c r="O3377">
        <v>-0.46873779999999998</v>
      </c>
      <c r="P3377">
        <v>0.92362940000000004</v>
      </c>
      <c r="Q3377">
        <v>-3.8190739999999999E-4</v>
      </c>
      <c r="R3377">
        <v>-0.38328699999999999</v>
      </c>
      <c r="S3377">
        <v>2.9935909999999999</v>
      </c>
      <c r="T3377">
        <v>-0.27635969999999999</v>
      </c>
      <c r="U3377">
        <v>-0.62171940000000003</v>
      </c>
      <c r="V3377">
        <v>-9.4494690000000006E-2</v>
      </c>
      <c r="W3377">
        <v>1.299518E-2</v>
      </c>
      <c r="X3377">
        <v>0.99544049999999995</v>
      </c>
      <c r="Y3377">
        <v>-0.27652310000000002</v>
      </c>
      <c r="Z3377">
        <v>5.3510090000000003E-2</v>
      </c>
      <c r="AA3377">
        <v>0.95951629999999999</v>
      </c>
      <c r="AB3377">
        <v>13</v>
      </c>
      <c r="AC3377">
        <v>11.944899999999899</v>
      </c>
      <c r="AD3377">
        <v>-1.1125230378919999</v>
      </c>
      <c r="AE3377">
        <v>-2.45350000000002</v>
      </c>
      <c r="AF3377">
        <v>-3.4040303623959298</v>
      </c>
      <c r="AG3377">
        <v>-1.1125230378919999</v>
      </c>
      <c r="AH3377">
        <v>11.6046554131654</v>
      </c>
      <c r="AI3377">
        <v>95.255995597722205</v>
      </c>
      <c r="AJ3377">
        <v>106.34816294545099</v>
      </c>
      <c r="AK3377">
        <v>12.144676095979801</v>
      </c>
      <c r="AL3377">
        <v>89.255410040476406</v>
      </c>
      <c r="AM3377">
        <v>95.422696361387395</v>
      </c>
      <c r="AN3377">
        <v>0.99999995509083806</v>
      </c>
    </row>
    <row r="3378" spans="1:40" x14ac:dyDescent="0.25">
      <c r="A3378" t="str">
        <f>"20190312160705830"</f>
        <v>20190312160705830</v>
      </c>
      <c r="B3378" t="str">
        <f>"1552378025818007"</f>
        <v>1552378025818007</v>
      </c>
      <c r="C3378" t="s">
        <v>40</v>
      </c>
      <c r="D3378">
        <v>6.3046170000000004</v>
      </c>
      <c r="E3378">
        <v>0.42775239999999998</v>
      </c>
      <c r="F3378" t="s">
        <v>66</v>
      </c>
      <c r="G3378">
        <v>-466.47789999999998</v>
      </c>
      <c r="H3378" s="1">
        <v>1.8787440000000001E-6</v>
      </c>
      <c r="I3378">
        <v>215.3416</v>
      </c>
      <c r="J3378">
        <v>-478.46339999999998</v>
      </c>
      <c r="K3378">
        <v>1.112519</v>
      </c>
      <c r="L3378">
        <v>217.75640000000001</v>
      </c>
      <c r="M3378">
        <v>0.88621059999999996</v>
      </c>
      <c r="N3378">
        <v>0</v>
      </c>
      <c r="O3378">
        <v>-0.46307229999999999</v>
      </c>
      <c r="P3378">
        <v>0.92608210000000002</v>
      </c>
      <c r="Q3378">
        <v>-3.6176060000000002E-4</v>
      </c>
      <c r="R3378">
        <v>-0.37732270000000001</v>
      </c>
      <c r="S3378">
        <v>2.994507</v>
      </c>
      <c r="T3378">
        <v>-0.27526309999999998</v>
      </c>
      <c r="U3378">
        <v>-0.61074830000000002</v>
      </c>
      <c r="V3378">
        <v>-9.453976E-2</v>
      </c>
      <c r="W3378">
        <v>1.30132999999999E-2</v>
      </c>
      <c r="X3378">
        <v>0.99543599999999999</v>
      </c>
      <c r="Y3378">
        <v>-0.27385300000000001</v>
      </c>
      <c r="Z3378">
        <v>5.2737729999999997E-2</v>
      </c>
      <c r="AA3378">
        <v>0.96032459999999997</v>
      </c>
      <c r="AB3378">
        <v>13</v>
      </c>
      <c r="AC3378">
        <v>11.9855</v>
      </c>
      <c r="AD3378">
        <v>-1.1125171212559899</v>
      </c>
      <c r="AE3378">
        <v>-2.4148000000000098</v>
      </c>
      <c r="AF3378">
        <v>-3.3824578203285398</v>
      </c>
      <c r="AG3378">
        <v>-1.1125171212559899</v>
      </c>
      <c r="AH3378">
        <v>11.6446325567931</v>
      </c>
      <c r="AI3378">
        <v>95.242032236564199</v>
      </c>
      <c r="AJ3378">
        <v>106.197183726162</v>
      </c>
      <c r="AK3378">
        <v>12.1768708063326</v>
      </c>
      <c r="AL3378">
        <v>89.254371765081203</v>
      </c>
      <c r="AM3378">
        <v>95.425291710832298</v>
      </c>
      <c r="AN3378">
        <v>0.999999971146873</v>
      </c>
    </row>
    <row r="3379" spans="1:40" x14ac:dyDescent="0.25">
      <c r="A3379" t="str">
        <f>"20190312160705852"</f>
        <v>20190312160705852</v>
      </c>
      <c r="B3379" t="str">
        <f>"1552378025838503"</f>
        <v>1552378025838503</v>
      </c>
      <c r="C3379" t="s">
        <v>40</v>
      </c>
      <c r="D3379">
        <v>6.2052399999999999</v>
      </c>
      <c r="E3379">
        <v>0.427236</v>
      </c>
      <c r="F3379" t="s">
        <v>66</v>
      </c>
      <c r="G3379">
        <v>-466.30410000000001</v>
      </c>
      <c r="H3379" s="1">
        <v>1.7862839999999999E-6</v>
      </c>
      <c r="I3379">
        <v>215.34020000000001</v>
      </c>
      <c r="J3379">
        <v>-478.34989999999999</v>
      </c>
      <c r="K3379">
        <v>1.11252</v>
      </c>
      <c r="L3379">
        <v>217.7054</v>
      </c>
      <c r="M3379">
        <v>0.88907000000000003</v>
      </c>
      <c r="N3379">
        <v>0</v>
      </c>
      <c r="O3379">
        <v>-0.45755849999999998</v>
      </c>
      <c r="P3379">
        <v>0.92813020000000002</v>
      </c>
      <c r="Q3379">
        <v>-7.6874619999999904E-4</v>
      </c>
      <c r="R3379">
        <v>-0.37225570000000002</v>
      </c>
      <c r="S3379">
        <v>2.9967350000000001</v>
      </c>
      <c r="T3379">
        <v>-0.27418520000000002</v>
      </c>
      <c r="U3379">
        <v>-0.5954895</v>
      </c>
      <c r="V3379">
        <v>-9.3793570000000007E-2</v>
      </c>
      <c r="W3379">
        <v>1.261088E-2</v>
      </c>
      <c r="X3379">
        <v>0.99551179999999995</v>
      </c>
      <c r="Y3379">
        <v>-0.2727657</v>
      </c>
      <c r="Z3379">
        <v>5.2042850000000002E-2</v>
      </c>
      <c r="AA3379">
        <v>0.96067179999999996</v>
      </c>
      <c r="AB3379">
        <v>13</v>
      </c>
      <c r="AC3379">
        <v>12.0457999999999</v>
      </c>
      <c r="AD3379">
        <v>-1.1125182137159999</v>
      </c>
      <c r="AE3379">
        <v>-2.3651999999999802</v>
      </c>
      <c r="AF3379">
        <v>-3.3813896694449901</v>
      </c>
      <c r="AG3379">
        <v>-1.1125182137159999</v>
      </c>
      <c r="AH3379">
        <v>11.696856198626801</v>
      </c>
      <c r="AI3379">
        <v>95.220688849508804</v>
      </c>
      <c r="AJ3379">
        <v>106.123806575073</v>
      </c>
      <c r="AK3379">
        <v>12.226525990805101</v>
      </c>
      <c r="AL3379">
        <v>89.277430651311306</v>
      </c>
      <c r="AM3379">
        <v>95.382315650930096</v>
      </c>
      <c r="AN3379">
        <v>1.0000000060034699</v>
      </c>
    </row>
    <row r="3380" spans="1:40" x14ac:dyDescent="0.25">
      <c r="A3380" t="str">
        <f>"20190312160705873"</f>
        <v>20190312160705873</v>
      </c>
      <c r="B3380" t="str">
        <f>"1552378025868759"</f>
        <v>1552378025868759</v>
      </c>
      <c r="C3380" t="s">
        <v>40</v>
      </c>
      <c r="D3380">
        <v>6.1879210000000002</v>
      </c>
      <c r="E3380">
        <v>0.40465489999999998</v>
      </c>
      <c r="F3380" t="s">
        <v>66</v>
      </c>
      <c r="G3380">
        <v>-466.15960000000001</v>
      </c>
      <c r="H3380" s="1">
        <v>1.708093E-6</v>
      </c>
      <c r="I3380">
        <v>215.3699</v>
      </c>
      <c r="J3380">
        <v>-478.2355</v>
      </c>
      <c r="K3380">
        <v>1.1125119999999999</v>
      </c>
      <c r="L3380">
        <v>217.6549</v>
      </c>
      <c r="M3380">
        <v>0.89191339999999997</v>
      </c>
      <c r="N3380">
        <v>0</v>
      </c>
      <c r="O3380">
        <v>-0.45199040000000001</v>
      </c>
      <c r="P3380">
        <v>0.92988649999999995</v>
      </c>
      <c r="Q3380">
        <v>-1.007614E-3</v>
      </c>
      <c r="R3380">
        <v>-0.36784509999999998</v>
      </c>
      <c r="S3380">
        <v>3.001465</v>
      </c>
      <c r="T3380">
        <v>-0.273922</v>
      </c>
      <c r="U3380">
        <v>-0.57502749999999903</v>
      </c>
      <c r="V3380">
        <v>-9.2293689999999998E-2</v>
      </c>
      <c r="W3380">
        <v>1.2381059999999999E-2</v>
      </c>
      <c r="X3380">
        <v>0.99565490000000001</v>
      </c>
      <c r="Y3380">
        <v>-0.27337689999999998</v>
      </c>
      <c r="Z3380">
        <v>5.154454E-2</v>
      </c>
      <c r="AA3380">
        <v>0.96052499999999996</v>
      </c>
      <c r="AB3380">
        <v>13</v>
      </c>
      <c r="AC3380">
        <v>12.075899999999899</v>
      </c>
      <c r="AD3380">
        <v>-1.112510291907</v>
      </c>
      <c r="AE3380">
        <v>-2.2849999999999899</v>
      </c>
      <c r="AF3380">
        <v>-3.39270303269504</v>
      </c>
      <c r="AG3380">
        <v>-1.112510291907</v>
      </c>
      <c r="AH3380">
        <v>11.7086672568675</v>
      </c>
      <c r="AI3380">
        <v>95.214480283855096</v>
      </c>
      <c r="AJ3380">
        <v>106.159472191201</v>
      </c>
      <c r="AK3380">
        <v>12.2409559246694</v>
      </c>
      <c r="AL3380">
        <v>89.290599425200696</v>
      </c>
      <c r="AM3380">
        <v>95.295982032664</v>
      </c>
      <c r="AN3380">
        <v>1.0000000478772699</v>
      </c>
    </row>
    <row r="3381" spans="1:40" x14ac:dyDescent="0.25">
      <c r="A3381" t="str">
        <f>"20190312160705897"</f>
        <v>20190312160705897</v>
      </c>
      <c r="B3381" t="str">
        <f>"1552378025888280"</f>
        <v>1552378025888280</v>
      </c>
      <c r="C3381" t="s">
        <v>40</v>
      </c>
      <c r="D3381">
        <v>6.1618849999999998</v>
      </c>
      <c r="E3381">
        <v>0.40426580000000001</v>
      </c>
      <c r="F3381" t="s">
        <v>66</v>
      </c>
      <c r="G3381">
        <v>-463.01229999999998</v>
      </c>
      <c r="H3381" s="1">
        <v>1.8717070000000001E-8</v>
      </c>
      <c r="I3381">
        <v>215.70269999999999</v>
      </c>
      <c r="J3381">
        <v>-478.11</v>
      </c>
      <c r="K3381">
        <v>1.1125050000000001</v>
      </c>
      <c r="L3381">
        <v>217.60050000000001</v>
      </c>
      <c r="M3381">
        <v>0.8949975</v>
      </c>
      <c r="N3381">
        <v>0</v>
      </c>
      <c r="O3381">
        <v>-0.44585259999999999</v>
      </c>
      <c r="P3381">
        <v>0.93205119999999997</v>
      </c>
      <c r="Q3381">
        <v>-8.0573000000000005E-4</v>
      </c>
      <c r="R3381">
        <v>-0.36232639999999999</v>
      </c>
      <c r="S3381">
        <v>3.0702509999999998</v>
      </c>
      <c r="T3381">
        <v>-0.22437409999999999</v>
      </c>
      <c r="U3381">
        <v>-0.39372249999999998</v>
      </c>
      <c r="V3381">
        <v>-9.1356709999999994E-2</v>
      </c>
      <c r="W3381">
        <v>1.258895E-2</v>
      </c>
      <c r="X3381">
        <v>0.99573869999999998</v>
      </c>
      <c r="Y3381">
        <v>-0.32648929999999998</v>
      </c>
      <c r="Z3381">
        <v>4.315165E-2</v>
      </c>
      <c r="AA3381">
        <v>0.94421540000000004</v>
      </c>
      <c r="AB3381">
        <v>13</v>
      </c>
      <c r="AC3381">
        <v>15.0977</v>
      </c>
      <c r="AD3381">
        <v>-1.11250498128293</v>
      </c>
      <c r="AE3381">
        <v>-1.8978000000000099</v>
      </c>
      <c r="AF3381">
        <v>-5.00655152448482</v>
      </c>
      <c r="AG3381">
        <v>-1.11250498128293</v>
      </c>
      <c r="AH3381">
        <v>14.283592124176799</v>
      </c>
      <c r="AI3381">
        <v>94.203823803800603</v>
      </c>
      <c r="AJ3381">
        <v>109.316108484181</v>
      </c>
      <c r="AK3381">
        <v>15.176436652605499</v>
      </c>
      <c r="AL3381">
        <v>89.278687275197697</v>
      </c>
      <c r="AM3381">
        <v>95.242078756455498</v>
      </c>
      <c r="AN3381">
        <v>1.0000000444009001</v>
      </c>
    </row>
    <row r="3382" spans="1:40" x14ac:dyDescent="0.25">
      <c r="A3382" t="str">
        <f>"20190312160705922"</f>
        <v>20190312160705922</v>
      </c>
      <c r="B3382" t="str">
        <f>"1552378025908307"</f>
        <v>1552378025908307</v>
      </c>
      <c r="C3382" t="s">
        <v>40</v>
      </c>
      <c r="D3382">
        <v>6.1435930000000001</v>
      </c>
      <c r="E3382">
        <v>0.40599970000000002</v>
      </c>
      <c r="F3382" t="s">
        <v>66</v>
      </c>
      <c r="G3382">
        <v>-461.35430000000002</v>
      </c>
      <c r="H3382" s="1">
        <v>-8.5770200000000001E-7</v>
      </c>
      <c r="I3382">
        <v>215.56800000000001</v>
      </c>
      <c r="J3382">
        <v>-477.99270000000001</v>
      </c>
      <c r="K3382">
        <v>1.112492</v>
      </c>
      <c r="L3382">
        <v>217.55070000000001</v>
      </c>
      <c r="M3382">
        <v>0.89783459999999904</v>
      </c>
      <c r="N3382">
        <v>0</v>
      </c>
      <c r="O3382">
        <v>-0.44011139999999999</v>
      </c>
      <c r="P3382">
        <v>0.9342703</v>
      </c>
      <c r="Q3382">
        <v>-8.8417019999999995E-4</v>
      </c>
      <c r="R3382">
        <v>-0.35656480000000002</v>
      </c>
      <c r="S3382">
        <v>3.0736080000000001</v>
      </c>
      <c r="T3382">
        <v>-0.2040749</v>
      </c>
      <c r="U3382">
        <v>-0.37283329999999998</v>
      </c>
      <c r="V3382">
        <v>-9.1126509999999994E-2</v>
      </c>
      <c r="W3382">
        <v>1.251123E-2</v>
      </c>
      <c r="X3382">
        <v>0.99576070000000005</v>
      </c>
      <c r="Y3382">
        <v>-0.32723259999999899</v>
      </c>
      <c r="Z3382">
        <v>3.8925099999999997E-2</v>
      </c>
      <c r="AA3382">
        <v>0.94414169999999997</v>
      </c>
      <c r="AB3382">
        <v>13</v>
      </c>
      <c r="AC3382">
        <v>16.638399999999901</v>
      </c>
      <c r="AD3382">
        <v>-1.1124928577019999</v>
      </c>
      <c r="AE3382">
        <v>-1.9827000000000199</v>
      </c>
      <c r="AF3382">
        <v>-5.5188259757362399</v>
      </c>
      <c r="AG3382">
        <v>-1.1124928577019999</v>
      </c>
      <c r="AH3382">
        <v>15.7432844127897</v>
      </c>
      <c r="AI3382">
        <v>93.815172145502302</v>
      </c>
      <c r="AJ3382">
        <v>109.31817218299599</v>
      </c>
      <c r="AK3382">
        <v>16.7196317127766</v>
      </c>
      <c r="AL3382">
        <v>89.283140601581295</v>
      </c>
      <c r="AM3382">
        <v>95.228828229646496</v>
      </c>
      <c r="AN3382">
        <v>0.99999997168269095</v>
      </c>
    </row>
    <row r="3383" spans="1:40" x14ac:dyDescent="0.25">
      <c r="A3383" t="str">
        <f>"20190312160705945"</f>
        <v>20190312160705945</v>
      </c>
      <c r="B3383" t="str">
        <f>"1552378025938563"</f>
        <v>1552378025938563</v>
      </c>
      <c r="C3383" t="s">
        <v>40</v>
      </c>
      <c r="D3383">
        <v>6.1424329999999996</v>
      </c>
      <c r="E3383">
        <v>0.40715269999999998</v>
      </c>
      <c r="F3383" t="s">
        <v>66</v>
      </c>
      <c r="G3383">
        <v>-461.41</v>
      </c>
      <c r="H3383" s="1">
        <v>-8.2810599999999896E-7</v>
      </c>
      <c r="I3383">
        <v>215.5686</v>
      </c>
      <c r="J3383">
        <v>-477.86059999999998</v>
      </c>
      <c r="K3383">
        <v>1.112471</v>
      </c>
      <c r="L3383">
        <v>217.4956</v>
      </c>
      <c r="M3383">
        <v>0.90098429999999996</v>
      </c>
      <c r="N3383">
        <v>0</v>
      </c>
      <c r="O3383">
        <v>-0.4336274</v>
      </c>
      <c r="P3383">
        <v>0.93681170000000002</v>
      </c>
      <c r="Q3383">
        <v>-1.0708860000000001E-3</v>
      </c>
      <c r="R3383">
        <v>-0.3498328</v>
      </c>
      <c r="S3383">
        <v>3.07077</v>
      </c>
      <c r="T3383">
        <v>-0.20600950000000001</v>
      </c>
      <c r="U3383">
        <v>-0.3670349</v>
      </c>
      <c r="V3383">
        <v>-9.1111059999999994E-2</v>
      </c>
      <c r="W3383">
        <v>1.232432E-2</v>
      </c>
      <c r="X3383">
        <v>0.99576450000000005</v>
      </c>
      <c r="Y3383">
        <v>-0.32206109999999999</v>
      </c>
      <c r="Z3383">
        <v>3.8773160000000001E-2</v>
      </c>
      <c r="AA3383">
        <v>0.9459246</v>
      </c>
      <c r="AB3383">
        <v>13</v>
      </c>
      <c r="AC3383">
        <v>16.450599999999898</v>
      </c>
      <c r="AD3383">
        <v>-1.112471828106</v>
      </c>
      <c r="AE3383">
        <v>-1.9269999999999901</v>
      </c>
      <c r="AF3383">
        <v>-5.3735180753507796</v>
      </c>
      <c r="AG3383">
        <v>-1.112471828106</v>
      </c>
      <c r="AH3383">
        <v>15.588532156052199</v>
      </c>
      <c r="AI3383">
        <v>93.8598259047764</v>
      </c>
      <c r="AJ3383">
        <v>109.019568673238</v>
      </c>
      <c r="AK3383">
        <v>16.5261799837326</v>
      </c>
      <c r="AL3383">
        <v>89.293850620741694</v>
      </c>
      <c r="AM3383">
        <v>95.227926783127103</v>
      </c>
      <c r="AN3383">
        <v>1.0000000267890099</v>
      </c>
    </row>
    <row r="3384" spans="1:40" x14ac:dyDescent="0.25">
      <c r="A3384" t="str">
        <f>"20190312160705965"</f>
        <v>20190312160705965</v>
      </c>
      <c r="B3384" t="str">
        <f>"1552378025958084"</f>
        <v>1552378025958084</v>
      </c>
      <c r="C3384" t="s">
        <v>40</v>
      </c>
      <c r="D3384">
        <v>6.103866</v>
      </c>
      <c r="E3384">
        <v>0.42083530000000002</v>
      </c>
      <c r="F3384" t="s">
        <v>66</v>
      </c>
      <c r="G3384">
        <v>-461.1019</v>
      </c>
      <c r="H3384" s="1">
        <v>-9.9195169999999991E-7</v>
      </c>
      <c r="I3384">
        <v>215.56659999999999</v>
      </c>
      <c r="J3384">
        <v>-477.75319999999999</v>
      </c>
      <c r="K3384">
        <v>1.1124540000000001</v>
      </c>
      <c r="L3384">
        <v>217.45160000000001</v>
      </c>
      <c r="M3384">
        <v>0.9035031</v>
      </c>
      <c r="N3384">
        <v>0</v>
      </c>
      <c r="O3384">
        <v>-0.42835499999999999</v>
      </c>
      <c r="P3384">
        <v>0.93854009999999999</v>
      </c>
      <c r="Q3384">
        <v>-1.7206179999999999E-3</v>
      </c>
      <c r="R3384">
        <v>-0.34516649999999999</v>
      </c>
      <c r="S3384">
        <v>3.0701900000000002</v>
      </c>
      <c r="T3384">
        <v>-0.20380470000000001</v>
      </c>
      <c r="U3384">
        <v>-0.35339359999999997</v>
      </c>
      <c r="V3384">
        <v>-9.024327E-2</v>
      </c>
      <c r="W3384">
        <v>1.1679210000000001E-2</v>
      </c>
      <c r="X3384">
        <v>0.99585129999999999</v>
      </c>
      <c r="Y3384">
        <v>-0.32070070000000001</v>
      </c>
      <c r="Z3384">
        <v>3.8022279999999999E-2</v>
      </c>
      <c r="AA3384">
        <v>0.94641710000000001</v>
      </c>
      <c r="AB3384">
        <v>13</v>
      </c>
      <c r="AC3384">
        <v>16.6512999999999</v>
      </c>
      <c r="AD3384">
        <v>-1.1124549919516999</v>
      </c>
      <c r="AE3384">
        <v>-1.88500000000001</v>
      </c>
      <c r="AF3384">
        <v>-5.4062662393908196</v>
      </c>
      <c r="AG3384">
        <v>-1.1124549919516999</v>
      </c>
      <c r="AH3384">
        <v>15.783930301463601</v>
      </c>
      <c r="AI3384">
        <v>93.814689238413095</v>
      </c>
      <c r="AJ3384">
        <v>108.907209592352</v>
      </c>
      <c r="AK3384">
        <v>16.721175990992901</v>
      </c>
      <c r="AL3384">
        <v>89.330815366353903</v>
      </c>
      <c r="AM3384">
        <v>95.177956343961398</v>
      </c>
      <c r="AN3384">
        <v>1.0000000317191</v>
      </c>
    </row>
    <row r="3385" spans="1:40" x14ac:dyDescent="0.25">
      <c r="A3385" t="str">
        <f>"20190312160705987"</f>
        <v>20190312160705987</v>
      </c>
      <c r="B3385" t="str">
        <f>"1552378025978579"</f>
        <v>1552378025978579</v>
      </c>
      <c r="C3385" t="s">
        <v>40</v>
      </c>
      <c r="D3385">
        <v>6.0814149999999998</v>
      </c>
      <c r="E3385">
        <v>0.41896509999999998</v>
      </c>
      <c r="F3385" t="s">
        <v>66</v>
      </c>
      <c r="G3385">
        <v>-463.94760000000002</v>
      </c>
      <c r="H3385" s="1">
        <v>5.2745199999999998E-7</v>
      </c>
      <c r="I3385">
        <v>215.45050000000001</v>
      </c>
      <c r="J3385">
        <v>-477.64179999999999</v>
      </c>
      <c r="K3385">
        <v>1.1124309999999999</v>
      </c>
      <c r="L3385">
        <v>217.4068</v>
      </c>
      <c r="M3385">
        <v>0.90607530000000003</v>
      </c>
      <c r="N3385">
        <v>0</v>
      </c>
      <c r="O3385">
        <v>-0.42288690000000001</v>
      </c>
      <c r="P3385">
        <v>0.94029649999999998</v>
      </c>
      <c r="Q3385">
        <v>-1.586414E-3</v>
      </c>
      <c r="R3385">
        <v>-0.34035270000000001</v>
      </c>
      <c r="S3385">
        <v>3.0342709999999999</v>
      </c>
      <c r="T3385">
        <v>-0.24450060000000001</v>
      </c>
      <c r="U3385">
        <v>-0.43981930000000002</v>
      </c>
      <c r="V3385">
        <v>-8.9328030000000003E-2</v>
      </c>
      <c r="W3385">
        <v>1.181891E-2</v>
      </c>
      <c r="X3385">
        <v>0.99593220000000005</v>
      </c>
      <c r="Y3385">
        <v>-0.28641109999999997</v>
      </c>
      <c r="Z3385">
        <v>4.4222129999999998E-2</v>
      </c>
      <c r="AA3385">
        <v>0.95708570000000004</v>
      </c>
      <c r="AB3385">
        <v>13</v>
      </c>
      <c r="AC3385">
        <v>13.694199999999899</v>
      </c>
      <c r="AD3385">
        <v>-1.1124304725480001</v>
      </c>
      <c r="AE3385">
        <v>-1.9562999999999899</v>
      </c>
      <c r="AF3385">
        <v>-3.99310978616866</v>
      </c>
      <c r="AG3385">
        <v>-1.1124304725480001</v>
      </c>
      <c r="AH3385">
        <v>13.151505527183501</v>
      </c>
      <c r="AI3385">
        <v>94.627280273766701</v>
      </c>
      <c r="AJ3385">
        <v>106.88953736369101</v>
      </c>
      <c r="AK3385">
        <v>13.789290226555799</v>
      </c>
      <c r="AL3385">
        <v>89.322810616426196</v>
      </c>
      <c r="AM3385">
        <v>95.125308941804903</v>
      </c>
      <c r="AN3385">
        <v>1.00000006528705</v>
      </c>
    </row>
    <row r="3386" spans="1:40" x14ac:dyDescent="0.25">
      <c r="A3386" t="str">
        <f>"20190312160706009"</f>
        <v>20190312160706009</v>
      </c>
      <c r="B3386" t="str">
        <f>"1552378025998100"</f>
        <v>1552378025998100</v>
      </c>
      <c r="C3386" t="s">
        <v>40</v>
      </c>
      <c r="D3386">
        <v>6.0531230000000003</v>
      </c>
      <c r="E3386">
        <v>0.41855730000000002</v>
      </c>
      <c r="F3386" t="s">
        <v>66</v>
      </c>
      <c r="G3386">
        <v>-464.72329999999999</v>
      </c>
      <c r="H3386" s="1">
        <v>9.3088370000000001E-7</v>
      </c>
      <c r="I3386">
        <v>215.66489999999999</v>
      </c>
      <c r="J3386">
        <v>-477.52100000000002</v>
      </c>
      <c r="K3386">
        <v>1.1124069999999999</v>
      </c>
      <c r="L3386">
        <v>217.35900000000001</v>
      </c>
      <c r="M3386">
        <v>0.90881849999999997</v>
      </c>
      <c r="N3386">
        <v>0</v>
      </c>
      <c r="O3386">
        <v>-0.41695900000000002</v>
      </c>
      <c r="P3386">
        <v>0.94243759999999999</v>
      </c>
      <c r="Q3386">
        <v>-1.9538379999999998E-3</v>
      </c>
      <c r="R3386">
        <v>-0.33437650000000002</v>
      </c>
      <c r="S3386">
        <v>3.0416259999999999</v>
      </c>
      <c r="T3386">
        <v>-0.2619185</v>
      </c>
      <c r="U3386">
        <v>-0.41011049999999899</v>
      </c>
      <c r="V3386">
        <v>-8.9141789999999999E-2</v>
      </c>
      <c r="W3386">
        <v>1.145082E-2</v>
      </c>
      <c r="X3386">
        <v>0.99595310000000004</v>
      </c>
      <c r="Y3386">
        <v>-0.28934860000000001</v>
      </c>
      <c r="Z3386">
        <v>4.6963079999999997E-2</v>
      </c>
      <c r="AA3386">
        <v>0.956071</v>
      </c>
      <c r="AB3386">
        <v>13</v>
      </c>
      <c r="AC3386">
        <v>12.797699999999899</v>
      </c>
      <c r="AD3386">
        <v>-1.1124060691163</v>
      </c>
      <c r="AE3386">
        <v>-1.6941000000000199</v>
      </c>
      <c r="AF3386">
        <v>-3.7688700448915302</v>
      </c>
      <c r="AG3386">
        <v>-1.1124060691163</v>
      </c>
      <c r="AH3386">
        <v>12.247412759242099</v>
      </c>
      <c r="AI3386">
        <v>94.961435687392793</v>
      </c>
      <c r="AJ3386">
        <v>107.10458945847</v>
      </c>
      <c r="AK3386">
        <v>12.8623850033007</v>
      </c>
      <c r="AL3386">
        <v>89.343901989460605</v>
      </c>
      <c r="AM3386">
        <v>95.114573160422907</v>
      </c>
      <c r="AN3386">
        <v>0.99999997870134305</v>
      </c>
    </row>
    <row r="3387" spans="1:40" x14ac:dyDescent="0.25">
      <c r="A3387" t="str">
        <f>"20190312160706031"</f>
        <v>20190312160706031</v>
      </c>
      <c r="B3387" t="str">
        <f>"1552378026028355"</f>
        <v>1552378026028355</v>
      </c>
      <c r="C3387" t="s">
        <v>40</v>
      </c>
      <c r="D3387">
        <v>6.0608870000000001</v>
      </c>
      <c r="E3387">
        <v>0.41959259999999898</v>
      </c>
      <c r="F3387" t="s">
        <v>66</v>
      </c>
      <c r="G3387">
        <v>-464.87</v>
      </c>
      <c r="H3387" s="1">
        <v>1.005286E-6</v>
      </c>
      <c r="I3387">
        <v>215.74809999999999</v>
      </c>
      <c r="J3387">
        <v>-477.40949999999998</v>
      </c>
      <c r="K3387">
        <v>1.1123829999999999</v>
      </c>
      <c r="L3387">
        <v>217.31569999999999</v>
      </c>
      <c r="M3387">
        <v>0.91130710000000004</v>
      </c>
      <c r="N3387">
        <v>0</v>
      </c>
      <c r="O3387">
        <v>-0.41149150000000001</v>
      </c>
      <c r="P3387">
        <v>0.94422309999999998</v>
      </c>
      <c r="Q3387">
        <v>-1.963911E-3</v>
      </c>
      <c r="R3387">
        <v>-0.32930110000000001</v>
      </c>
      <c r="S3387">
        <v>3.0450740000000001</v>
      </c>
      <c r="T3387">
        <v>-0.26775339999999997</v>
      </c>
      <c r="U3387">
        <v>-0.38774110000000001</v>
      </c>
      <c r="V3387">
        <v>-8.8516319999999996E-2</v>
      </c>
      <c r="W3387">
        <v>1.144271E-2</v>
      </c>
      <c r="X3387">
        <v>0.99600900000000003</v>
      </c>
      <c r="Y3387">
        <v>-0.29055409999999998</v>
      </c>
      <c r="Z3387">
        <v>4.760474E-2</v>
      </c>
      <c r="AA3387">
        <v>0.95567360000000001</v>
      </c>
      <c r="AB3387">
        <v>13</v>
      </c>
      <c r="AC3387">
        <v>12.539499999999901</v>
      </c>
      <c r="AD3387">
        <v>-1.1123819947139999</v>
      </c>
      <c r="AE3387">
        <v>-1.5675999999999899</v>
      </c>
      <c r="AF3387">
        <v>-3.7030024726460899</v>
      </c>
      <c r="AG3387">
        <v>-1.1123819947139999</v>
      </c>
      <c r="AH3387">
        <v>11.980729714452499</v>
      </c>
      <c r="AI3387">
        <v>95.069274627788701</v>
      </c>
      <c r="AJ3387">
        <v>107.17532667058001</v>
      </c>
      <c r="AK3387">
        <v>12.5891820824608</v>
      </c>
      <c r="AL3387">
        <v>89.344366703504704</v>
      </c>
      <c r="AM3387">
        <v>95.078591173010395</v>
      </c>
      <c r="AN3387">
        <v>1.0000000012997401</v>
      </c>
    </row>
    <row r="3388" spans="1:40" x14ac:dyDescent="0.25">
      <c r="A3388" t="str">
        <f>"20190312160706053"</f>
        <v>20190312160706053</v>
      </c>
      <c r="B3388" t="str">
        <f>"1552378026048850"</f>
        <v>1552378026048850</v>
      </c>
      <c r="C3388" t="s">
        <v>40</v>
      </c>
      <c r="D3388">
        <v>6.7314910000000001</v>
      </c>
      <c r="E3388">
        <v>0.41992819999999997</v>
      </c>
      <c r="F3388" t="s">
        <v>66</v>
      </c>
      <c r="G3388">
        <v>-465.30369999999999</v>
      </c>
      <c r="H3388" s="1">
        <v>1.2334220000000001E-6</v>
      </c>
      <c r="I3388">
        <v>215.8091</v>
      </c>
      <c r="J3388">
        <v>-477.29129999999998</v>
      </c>
      <c r="K3388">
        <v>1.112366</v>
      </c>
      <c r="L3388">
        <v>217.2706</v>
      </c>
      <c r="M3388">
        <v>0.91390059999999995</v>
      </c>
      <c r="N3388">
        <v>0</v>
      </c>
      <c r="O3388">
        <v>-0.40569939999999999</v>
      </c>
      <c r="P3388">
        <v>0.94610179999999999</v>
      </c>
      <c r="Q3388">
        <v>-2.045229E-3</v>
      </c>
      <c r="R3388">
        <v>-0.32386310000000001</v>
      </c>
      <c r="S3388">
        <v>3.0445250000000001</v>
      </c>
      <c r="T3388">
        <v>-0.27975450000000002</v>
      </c>
      <c r="U3388">
        <v>-0.37889099999999998</v>
      </c>
      <c r="V3388">
        <v>-8.7923669999999995E-2</v>
      </c>
      <c r="W3388">
        <v>1.136261E-2</v>
      </c>
      <c r="X3388">
        <v>0.99606240000000001</v>
      </c>
      <c r="Y3388">
        <v>-0.2869949</v>
      </c>
      <c r="Z3388">
        <v>4.9106280000000002E-2</v>
      </c>
      <c r="AA3388">
        <v>0.95667259999999998</v>
      </c>
      <c r="AB3388">
        <v>13</v>
      </c>
      <c r="AC3388">
        <v>11.987599999999899</v>
      </c>
      <c r="AD3388">
        <v>-1.1123647665780001</v>
      </c>
      <c r="AE3388">
        <v>-1.4615</v>
      </c>
      <c r="AF3388">
        <v>-3.4983565642415702</v>
      </c>
      <c r="AG3388">
        <v>-1.1123647665780001</v>
      </c>
      <c r="AH3388">
        <v>11.4523564733939</v>
      </c>
      <c r="AI3388">
        <v>95.307113460465004</v>
      </c>
      <c r="AJ3388">
        <v>106.986363743095</v>
      </c>
      <c r="AK3388">
        <v>12.026317924376601</v>
      </c>
      <c r="AL3388">
        <v>89.348956388209302</v>
      </c>
      <c r="AM3388">
        <v>95.044495089525299</v>
      </c>
      <c r="AN3388">
        <v>0.99999999267301998</v>
      </c>
    </row>
    <row r="3389" spans="1:40" x14ac:dyDescent="0.25">
      <c r="A3389" t="str">
        <f>"20190312160706076"</f>
        <v>20190312160706076</v>
      </c>
      <c r="B3389" t="str">
        <f>"1552378026068371"</f>
        <v>1552378026068371</v>
      </c>
      <c r="C3389" t="s">
        <v>40</v>
      </c>
      <c r="D3389">
        <v>5.9668080000000003</v>
      </c>
      <c r="E3389">
        <v>0.41904910000000001</v>
      </c>
      <c r="F3389" t="s">
        <v>66</v>
      </c>
      <c r="G3389">
        <v>-464.93180000000001</v>
      </c>
      <c r="H3389" s="1">
        <v>1.036149E-6</v>
      </c>
      <c r="I3389">
        <v>215.79470000000001</v>
      </c>
      <c r="J3389">
        <v>-477.17169999999999</v>
      </c>
      <c r="K3389">
        <v>1.112349</v>
      </c>
      <c r="L3389">
        <v>217.2259</v>
      </c>
      <c r="M3389">
        <v>0.91648200000000002</v>
      </c>
      <c r="N3389">
        <v>0</v>
      </c>
      <c r="O3389">
        <v>-0.39983370000000001</v>
      </c>
      <c r="P3389">
        <v>0.94820360000000004</v>
      </c>
      <c r="Q3389">
        <v>-2.401907E-3</v>
      </c>
      <c r="R3389">
        <v>-0.31765379999999999</v>
      </c>
      <c r="S3389">
        <v>3.0458370000000001</v>
      </c>
      <c r="T3389">
        <v>-0.27412700000000001</v>
      </c>
      <c r="U3389">
        <v>-0.36370849999999999</v>
      </c>
      <c r="V3389">
        <v>-8.8066989999999998E-2</v>
      </c>
      <c r="W3389">
        <v>1.100167E-2</v>
      </c>
      <c r="X3389">
        <v>0.99605379999999999</v>
      </c>
      <c r="Y3389">
        <v>-0.28574349999999998</v>
      </c>
      <c r="Z3389">
        <v>4.7587379999999999E-2</v>
      </c>
      <c r="AA3389">
        <v>0.95712390000000003</v>
      </c>
      <c r="AB3389">
        <v>13</v>
      </c>
      <c r="AC3389">
        <v>12.239899999999899</v>
      </c>
      <c r="AD3389">
        <v>-1.1123479638510001</v>
      </c>
      <c r="AE3389">
        <v>-1.43119999999998</v>
      </c>
      <c r="AF3389">
        <v>-3.5536489637827802</v>
      </c>
      <c r="AG3389">
        <v>-1.1123479638510001</v>
      </c>
      <c r="AH3389">
        <v>11.695740535303701</v>
      </c>
      <c r="AI3389">
        <v>95.199555547484493</v>
      </c>
      <c r="AJ3389">
        <v>106.90094763564601</v>
      </c>
      <c r="AK3389">
        <v>12.2742040727546</v>
      </c>
      <c r="AL3389">
        <v>89.3696380260578</v>
      </c>
      <c r="AM3389">
        <v>95.052718738988602</v>
      </c>
      <c r="AN3389">
        <v>1.00000000198244</v>
      </c>
    </row>
    <row r="3390" spans="1:40" x14ac:dyDescent="0.25">
      <c r="A3390" t="str">
        <f>"20190312160706098"</f>
        <v>20190312160706098</v>
      </c>
      <c r="B3390" t="str">
        <f>"1552378026088868"</f>
        <v>1552378026088868</v>
      </c>
      <c r="C3390" t="s">
        <v>40</v>
      </c>
      <c r="D3390">
        <v>6.1300319999999999</v>
      </c>
      <c r="E3390">
        <v>0.41861029999999999</v>
      </c>
      <c r="F3390" t="s">
        <v>66</v>
      </c>
      <c r="G3390">
        <v>-464.03210000000001</v>
      </c>
      <c r="H3390" s="1">
        <v>5.583645E-7</v>
      </c>
      <c r="I3390">
        <v>215.77289999999999</v>
      </c>
      <c r="J3390">
        <v>-477.05099999999999</v>
      </c>
      <c r="K3390">
        <v>1.1123339999999999</v>
      </c>
      <c r="L3390">
        <v>217.18170000000001</v>
      </c>
      <c r="M3390">
        <v>0.91903919999999995</v>
      </c>
      <c r="N3390">
        <v>0</v>
      </c>
      <c r="O3390">
        <v>-0.39392080000000002</v>
      </c>
      <c r="P3390">
        <v>0.9501811</v>
      </c>
      <c r="Q3390">
        <v>-2.338849E-3</v>
      </c>
      <c r="R3390">
        <v>-0.31169049999999998</v>
      </c>
      <c r="S3390">
        <v>3.0502929999999999</v>
      </c>
      <c r="T3390">
        <v>-0.2582277</v>
      </c>
      <c r="U3390">
        <v>-0.33731080000000002</v>
      </c>
      <c r="V3390">
        <v>-8.790734E-2</v>
      </c>
      <c r="W3390">
        <v>1.1062219999999999E-2</v>
      </c>
      <c r="X3390">
        <v>0.99606719999999904</v>
      </c>
      <c r="Y3390">
        <v>-0.28822150000000002</v>
      </c>
      <c r="Z3390">
        <v>4.445441E-2</v>
      </c>
      <c r="AA3390">
        <v>0.95653129999999997</v>
      </c>
      <c r="AB3390">
        <v>13</v>
      </c>
      <c r="AC3390">
        <v>13.018899999999901</v>
      </c>
      <c r="AD3390">
        <v>-1.1123334416355</v>
      </c>
      <c r="AE3390">
        <v>-1.40880000000001</v>
      </c>
      <c r="AF3390">
        <v>-3.8065774593448598</v>
      </c>
      <c r="AG3390">
        <v>-1.1123334416355</v>
      </c>
      <c r="AH3390">
        <v>12.431347425145299</v>
      </c>
      <c r="AI3390">
        <v>94.890141395674206</v>
      </c>
      <c r="AJ3390">
        <v>107.02500481521101</v>
      </c>
      <c r="AK3390">
        <v>13.048590592245599</v>
      </c>
      <c r="AL3390">
        <v>89.366168535228795</v>
      </c>
      <c r="AM3390">
        <v>95.043538832601001</v>
      </c>
      <c r="AN3390">
        <v>0.99999997002652097</v>
      </c>
    </row>
    <row r="3391" spans="1:40" x14ac:dyDescent="0.25">
      <c r="A3391" t="str">
        <f>"20190312160706121"</f>
        <v>20190312160706121</v>
      </c>
      <c r="B3391" t="str">
        <f>"1552378026108404"</f>
        <v>1552378026108404</v>
      </c>
      <c r="C3391" t="s">
        <v>40</v>
      </c>
      <c r="D3391">
        <v>6.0183910000000003</v>
      </c>
      <c r="E3391">
        <v>0.4184795</v>
      </c>
      <c r="F3391" t="s">
        <v>66</v>
      </c>
      <c r="G3391">
        <v>-463.2962</v>
      </c>
      <c r="H3391" s="1">
        <v>1.6719400000000001E-7</v>
      </c>
      <c r="I3391">
        <v>215.76259999999999</v>
      </c>
      <c r="J3391">
        <v>-476.93759999999997</v>
      </c>
      <c r="K3391">
        <v>1.112323</v>
      </c>
      <c r="L3391">
        <v>217.14089999999999</v>
      </c>
      <c r="M3391">
        <v>0.92140350000000004</v>
      </c>
      <c r="N3391">
        <v>0</v>
      </c>
      <c r="O3391">
        <v>-0.38835839999999999</v>
      </c>
      <c r="P3391">
        <v>0.9521482</v>
      </c>
      <c r="Q3391">
        <v>-3.1353779999999999E-3</v>
      </c>
      <c r="R3391">
        <v>-0.30562009999999901</v>
      </c>
      <c r="S3391">
        <v>3.053375</v>
      </c>
      <c r="T3391">
        <v>-0.2469229</v>
      </c>
      <c r="U3391">
        <v>-0.31501770000000001</v>
      </c>
      <c r="V3391">
        <v>-8.8237709999999997E-2</v>
      </c>
      <c r="W3391">
        <v>1.0260699999999999E-2</v>
      </c>
      <c r="X3391">
        <v>0.9960466</v>
      </c>
      <c r="Y3391">
        <v>-0.2896591</v>
      </c>
      <c r="Z3391">
        <v>4.2143640000000003E-2</v>
      </c>
      <c r="AA3391">
        <v>0.95620159999999998</v>
      </c>
      <c r="AB3391">
        <v>13</v>
      </c>
      <c r="AC3391">
        <v>13.6413999999999</v>
      </c>
      <c r="AD3391">
        <v>-1.112322832806</v>
      </c>
      <c r="AE3391">
        <v>-1.3782999999999901</v>
      </c>
      <c r="AF3391">
        <v>-4.0018327253213402</v>
      </c>
      <c r="AG3391">
        <v>-1.112322832806</v>
      </c>
      <c r="AH3391">
        <v>13.020081891071801</v>
      </c>
      <c r="AI3391">
        <v>94.6684788601478</v>
      </c>
      <c r="AJ3391">
        <v>107.085255218246</v>
      </c>
      <c r="AK3391">
        <v>13.6665452728936</v>
      </c>
      <c r="AL3391">
        <v>89.412094880286304</v>
      </c>
      <c r="AM3391">
        <v>95.062499111558495</v>
      </c>
      <c r="AN3391">
        <v>1.00000000240104</v>
      </c>
    </row>
    <row r="3392" spans="1:40" x14ac:dyDescent="0.25">
      <c r="A3392" t="str">
        <f>"20190312160706144"</f>
        <v>20190312160706144</v>
      </c>
      <c r="B3392" t="str">
        <f>"1552378026138643"</f>
        <v>1552378026138643</v>
      </c>
      <c r="C3392" t="s">
        <v>40</v>
      </c>
      <c r="D3392">
        <v>6.0148169999999999</v>
      </c>
      <c r="E3392">
        <v>0.41915069999999999</v>
      </c>
      <c r="F3392" t="s">
        <v>66</v>
      </c>
      <c r="G3392">
        <v>-462.83080000000001</v>
      </c>
      <c r="H3392" s="1">
        <v>-8.1310470000000002E-8</v>
      </c>
      <c r="I3392">
        <v>215.78139999999999</v>
      </c>
      <c r="J3392">
        <v>-476.81259999999997</v>
      </c>
      <c r="K3392">
        <v>1.1123099999999999</v>
      </c>
      <c r="L3392">
        <v>217.09690000000001</v>
      </c>
      <c r="M3392">
        <v>0.92396140000000004</v>
      </c>
      <c r="N3392">
        <v>0</v>
      </c>
      <c r="O3392">
        <v>-0.38223299999999999</v>
      </c>
      <c r="P3392">
        <v>0.95413570000000003</v>
      </c>
      <c r="Q3392">
        <v>-3.0477339999999999E-3</v>
      </c>
      <c r="R3392">
        <v>-0.29935919999999999</v>
      </c>
      <c r="S3392">
        <v>3.0553889999999999</v>
      </c>
      <c r="T3392">
        <v>-0.24091779999999999</v>
      </c>
      <c r="U3392">
        <v>-0.29444890000000001</v>
      </c>
      <c r="V3392">
        <v>-8.8168759999999999E-2</v>
      </c>
      <c r="W3392">
        <v>1.0345099999999999E-2</v>
      </c>
      <c r="X3392">
        <v>0.99605180000000004</v>
      </c>
      <c r="Y3392">
        <v>-0.28986479999999998</v>
      </c>
      <c r="Z3392">
        <v>4.0680380000000002E-2</v>
      </c>
      <c r="AA3392">
        <v>0.95620260000000001</v>
      </c>
      <c r="AB3392">
        <v>13</v>
      </c>
      <c r="AC3392">
        <v>13.9817999999999</v>
      </c>
      <c r="AD3392">
        <v>-1.11231008131047</v>
      </c>
      <c r="AE3392">
        <v>-1.3155000000000101</v>
      </c>
      <c r="AF3392">
        <v>-4.1034906326248999</v>
      </c>
      <c r="AG3392">
        <v>-1.11231008131047</v>
      </c>
      <c r="AH3392">
        <v>13.3390876807557</v>
      </c>
      <c r="AI3392">
        <v>94.556910767092205</v>
      </c>
      <c r="AJ3392">
        <v>107.099417037148</v>
      </c>
      <c r="AK3392">
        <v>14.0002546135388</v>
      </c>
      <c r="AL3392">
        <v>89.407258840508007</v>
      </c>
      <c r="AM3392">
        <v>95.058537475623197</v>
      </c>
      <c r="AN3392">
        <v>0.99999996980859296</v>
      </c>
    </row>
    <row r="3393" spans="1:40" x14ac:dyDescent="0.25">
      <c r="A3393" t="str">
        <f>"20190312160706166"</f>
        <v>20190312160706166</v>
      </c>
      <c r="B3393" t="str">
        <f>"1552378026158163"</f>
        <v>1552378026158163</v>
      </c>
      <c r="C3393" t="s">
        <v>40</v>
      </c>
      <c r="D3393">
        <v>6.1571089999999904</v>
      </c>
      <c r="E3393">
        <v>0.41912339999999998</v>
      </c>
      <c r="F3393" t="s">
        <v>66</v>
      </c>
      <c r="G3393">
        <v>-462.31060000000002</v>
      </c>
      <c r="H3393" s="1">
        <v>-3.5765049999999999E-7</v>
      </c>
      <c r="I3393">
        <v>215.7705</v>
      </c>
      <c r="J3393">
        <v>-476.69630000000001</v>
      </c>
      <c r="K3393">
        <v>1.1123000000000001</v>
      </c>
      <c r="L3393">
        <v>217.05670000000001</v>
      </c>
      <c r="M3393">
        <v>0.92630310000000005</v>
      </c>
      <c r="N3393">
        <v>0</v>
      </c>
      <c r="O3393">
        <v>-0.37652340000000001</v>
      </c>
      <c r="P3393">
        <v>0.95587040000000001</v>
      </c>
      <c r="Q3393">
        <v>-2.2296009999999999E-3</v>
      </c>
      <c r="R3393">
        <v>-0.293780599999999</v>
      </c>
      <c r="S3393">
        <v>3.0557560000000001</v>
      </c>
      <c r="T3393">
        <v>-0.23437759999999999</v>
      </c>
      <c r="U3393">
        <v>-0.2794952</v>
      </c>
      <c r="V3393">
        <v>-8.7844549999999993E-2</v>
      </c>
      <c r="W3393">
        <v>1.116235E-2</v>
      </c>
      <c r="X3393">
        <v>0.99607159999999995</v>
      </c>
      <c r="Y3393">
        <v>-0.2887344</v>
      </c>
      <c r="Z3393">
        <v>3.9141170000000003E-2</v>
      </c>
      <c r="AA3393">
        <v>0.95660880000000004</v>
      </c>
      <c r="AB3393">
        <v>13</v>
      </c>
      <c r="AC3393">
        <v>14.3856999999999</v>
      </c>
      <c r="AD3393">
        <v>-1.1123003576504999</v>
      </c>
      <c r="AE3393">
        <v>-1.2862</v>
      </c>
      <c r="AF3393">
        <v>-4.2006350140752096</v>
      </c>
      <c r="AG3393">
        <v>-1.1123003576504999</v>
      </c>
      <c r="AH3393">
        <v>13.729703455178999</v>
      </c>
      <c r="AI3393">
        <v>94.429823133526099</v>
      </c>
      <c r="AJ3393">
        <v>107.01161419588099</v>
      </c>
      <c r="AK3393">
        <v>14.400948009567299</v>
      </c>
      <c r="AL3393">
        <v>89.360431140110407</v>
      </c>
      <c r="AM3393">
        <v>95.039932772093493</v>
      </c>
      <c r="AN3393">
        <v>0.99999994767439104</v>
      </c>
    </row>
    <row r="3394" spans="1:40" x14ac:dyDescent="0.25">
      <c r="A3394" t="str">
        <f>"20190312160706190"</f>
        <v>20190312160706190</v>
      </c>
      <c r="B3394" t="str">
        <f>"1552378026178660"</f>
        <v>1552378026178660</v>
      </c>
      <c r="C3394" t="s">
        <v>40</v>
      </c>
      <c r="D3394">
        <v>6.0963799999999999</v>
      </c>
      <c r="E3394">
        <v>0.41851929999999998</v>
      </c>
      <c r="F3394" t="s">
        <v>66</v>
      </c>
      <c r="G3394">
        <v>-462.13510000000002</v>
      </c>
      <c r="H3394" s="1">
        <v>-4.5286089999999998E-7</v>
      </c>
      <c r="I3394">
        <v>215.8115</v>
      </c>
      <c r="J3394">
        <v>-476.57260000000002</v>
      </c>
      <c r="K3394">
        <v>1.1122890000000001</v>
      </c>
      <c r="L3394">
        <v>217.01490000000001</v>
      </c>
      <c r="M3394">
        <v>0.92875160000000001</v>
      </c>
      <c r="N3394">
        <v>0</v>
      </c>
      <c r="O3394">
        <v>-0.37044270000000001</v>
      </c>
      <c r="P3394">
        <v>0.95766600000000002</v>
      </c>
      <c r="Q3394">
        <v>-1.40097299999999E-3</v>
      </c>
      <c r="R3394">
        <v>-0.28787810000000003</v>
      </c>
      <c r="S3394">
        <v>3.0575869999999998</v>
      </c>
      <c r="T3394">
        <v>-0.23356189999999999</v>
      </c>
      <c r="U3394">
        <v>-0.2614746</v>
      </c>
      <c r="V3394">
        <v>-8.7463730000000003E-2</v>
      </c>
      <c r="W3394">
        <v>1.198961E-2</v>
      </c>
      <c r="X3394">
        <v>0.99609550000000002</v>
      </c>
      <c r="Y3394">
        <v>-0.28813830000000001</v>
      </c>
      <c r="Z3394">
        <v>3.8545410000000002E-2</v>
      </c>
      <c r="AA3394">
        <v>0.95681269999999996</v>
      </c>
      <c r="AB3394">
        <v>13</v>
      </c>
      <c r="AC3394">
        <v>14.4375</v>
      </c>
      <c r="AD3394">
        <v>-1.11228945286089</v>
      </c>
      <c r="AE3394">
        <v>-1.20340000000001</v>
      </c>
      <c r="AF3394">
        <v>-4.2062209798983696</v>
      </c>
      <c r="AG3394">
        <v>-1.11228945286089</v>
      </c>
      <c r="AH3394">
        <v>13.7747818218229</v>
      </c>
      <c r="AI3394">
        <v>94.416073135321099</v>
      </c>
      <c r="AJ3394">
        <v>106.98039846802099</v>
      </c>
      <c r="AK3394">
        <v>14.4455563062661</v>
      </c>
      <c r="AL3394">
        <v>89.313029455194695</v>
      </c>
      <c r="AM3394">
        <v>95.018075881568194</v>
      </c>
      <c r="AN3394">
        <v>0.99999994996685604</v>
      </c>
    </row>
    <row r="3395" spans="1:40" x14ac:dyDescent="0.25">
      <c r="A3395" t="str">
        <f>"20190312160706210"</f>
        <v>20190312160706210</v>
      </c>
      <c r="B3395" t="str">
        <f>"1552378026198179"</f>
        <v>1552378026198179</v>
      </c>
      <c r="C3395" t="s">
        <v>40</v>
      </c>
      <c r="D3395">
        <v>6.0651739999999998</v>
      </c>
      <c r="E3395">
        <v>0.41820160000000001</v>
      </c>
      <c r="F3395" t="s">
        <v>66</v>
      </c>
      <c r="G3395">
        <v>-461.97899999999998</v>
      </c>
      <c r="H3395" s="1">
        <v>-5.3886859999999996E-7</v>
      </c>
      <c r="I3395">
        <v>215.8793</v>
      </c>
      <c r="J3395">
        <v>-476.46620000000001</v>
      </c>
      <c r="K3395">
        <v>1.112274</v>
      </c>
      <c r="L3395">
        <v>216.9796</v>
      </c>
      <c r="M3395">
        <v>0.9308187</v>
      </c>
      <c r="N3395">
        <v>0</v>
      </c>
      <c r="O3395">
        <v>-0.36521740000000003</v>
      </c>
      <c r="P3395">
        <v>0.95901970000000003</v>
      </c>
      <c r="Q3395">
        <v>-1.8590239999999999E-3</v>
      </c>
      <c r="R3395">
        <v>-0.283333</v>
      </c>
      <c r="S3395">
        <v>3.0606689999999999</v>
      </c>
      <c r="T3395">
        <v>-0.2332774</v>
      </c>
      <c r="U3395">
        <v>-0.23815919999999999</v>
      </c>
      <c r="V3395">
        <v>-8.6586410000000003E-2</v>
      </c>
      <c r="W3395">
        <v>1.153378E-2</v>
      </c>
      <c r="X3395">
        <v>0.9961776</v>
      </c>
      <c r="Y3395">
        <v>-0.2900952</v>
      </c>
      <c r="Z3395">
        <v>3.8184530000000001E-2</v>
      </c>
      <c r="AA3395">
        <v>0.95623570000000002</v>
      </c>
      <c r="AB3395">
        <v>13</v>
      </c>
      <c r="AC3395">
        <v>14.4871999999999</v>
      </c>
      <c r="AD3395">
        <v>-1.1122745388685999</v>
      </c>
      <c r="AE3395">
        <v>-1.1003000000000001</v>
      </c>
      <c r="AF3395">
        <v>-4.2423455268264698</v>
      </c>
      <c r="AG3395">
        <v>-1.1122745388685999</v>
      </c>
      <c r="AH3395">
        <v>13.8072228371951</v>
      </c>
      <c r="AI3395">
        <v>94.4033464357274</v>
      </c>
      <c r="AJ3395">
        <v>107.07986484781399</v>
      </c>
      <c r="AK3395">
        <v>14.487030499545501</v>
      </c>
      <c r="AL3395">
        <v>89.339148446588297</v>
      </c>
      <c r="AM3395">
        <v>94.967586991756804</v>
      </c>
      <c r="AN3395">
        <v>1.0000000226097601</v>
      </c>
    </row>
    <row r="3396" spans="1:40" x14ac:dyDescent="0.25">
      <c r="A3396" t="str">
        <f>"20190312160706233"</f>
        <v>20190312160706233</v>
      </c>
      <c r="B3396" t="str">
        <f>"1552378026228437"</f>
        <v>1552378026228437</v>
      </c>
      <c r="C3396" t="s">
        <v>40</v>
      </c>
      <c r="D3396">
        <v>6.0083270000000004</v>
      </c>
      <c r="E3396">
        <v>0.41821639999999999</v>
      </c>
      <c r="F3396" t="s">
        <v>66</v>
      </c>
      <c r="G3396">
        <v>-462.17090000000002</v>
      </c>
      <c r="H3396" s="1">
        <v>-4.3977319999999999E-7</v>
      </c>
      <c r="I3396">
        <v>215.94839999999999</v>
      </c>
      <c r="J3396">
        <v>-476.34829999999999</v>
      </c>
      <c r="K3396">
        <v>1.112255</v>
      </c>
      <c r="L3396">
        <v>216.94130000000001</v>
      </c>
      <c r="M3396">
        <v>0.93307260000000003</v>
      </c>
      <c r="N3396">
        <v>0</v>
      </c>
      <c r="O3396">
        <v>-0.35942039999999997</v>
      </c>
      <c r="P3396">
        <v>0.96035689999999996</v>
      </c>
      <c r="Q3396">
        <v>-3.9703059999999998E-3</v>
      </c>
      <c r="R3396">
        <v>-0.27874579999999999</v>
      </c>
      <c r="S3396">
        <v>3.0625309999999999</v>
      </c>
      <c r="T3396">
        <v>-0.23828550000000001</v>
      </c>
      <c r="U3396">
        <v>-0.22093199999999999</v>
      </c>
      <c r="V3396">
        <v>-8.5138930000000002E-2</v>
      </c>
      <c r="W3396">
        <v>9.4291410000000003E-3</v>
      </c>
      <c r="X3396">
        <v>0.99632449999999995</v>
      </c>
      <c r="Y3396">
        <v>-0.28947790000000001</v>
      </c>
      <c r="Z3396">
        <v>3.8547640000000001E-2</v>
      </c>
      <c r="AA3396">
        <v>0.95640820000000004</v>
      </c>
      <c r="AB3396">
        <v>13</v>
      </c>
      <c r="AC3396">
        <v>14.177399999999899</v>
      </c>
      <c r="AD3396">
        <v>-1.1122554397732001</v>
      </c>
      <c r="AE3396">
        <v>-0.99290000000001999</v>
      </c>
      <c r="AF3396">
        <v>-4.1442178843883504</v>
      </c>
      <c r="AG3396">
        <v>-1.1122554397732001</v>
      </c>
      <c r="AH3396">
        <v>13.504010585565499</v>
      </c>
      <c r="AI3396">
        <v>94.502200469629699</v>
      </c>
      <c r="AJ3396">
        <v>107.060618062763</v>
      </c>
      <c r="AK3396">
        <v>14.1693315273394</v>
      </c>
      <c r="AL3396">
        <v>89.459742025424703</v>
      </c>
      <c r="AM3396">
        <v>94.884231454416195</v>
      </c>
      <c r="AN3396">
        <v>1.00000002770089</v>
      </c>
    </row>
    <row r="3397" spans="1:40" x14ac:dyDescent="0.25">
      <c r="A3397" t="str">
        <f>"20190312160706254"</f>
        <v>20190312160706254</v>
      </c>
      <c r="B3397" t="str">
        <f>"1552378026247955"</f>
        <v>1552378026247955</v>
      </c>
      <c r="C3397" t="s">
        <v>40</v>
      </c>
      <c r="D3397">
        <v>6.0484330000000002</v>
      </c>
      <c r="E3397">
        <v>0.41825200000000001</v>
      </c>
      <c r="F3397" t="s">
        <v>66</v>
      </c>
      <c r="G3397">
        <v>-462.72449999999998</v>
      </c>
      <c r="H3397" s="1">
        <v>-1.48492299999999E-7</v>
      </c>
      <c r="I3397">
        <v>216.0241</v>
      </c>
      <c r="J3397">
        <v>-476.23559999999998</v>
      </c>
      <c r="K3397">
        <v>1.1122449999999999</v>
      </c>
      <c r="L3397">
        <v>216.90549999999999</v>
      </c>
      <c r="M3397">
        <v>0.93519039999999998</v>
      </c>
      <c r="N3397">
        <v>0</v>
      </c>
      <c r="O3397">
        <v>-0.35387390000000002</v>
      </c>
      <c r="P3397">
        <v>0.96178790000000003</v>
      </c>
      <c r="Q3397">
        <v>-4.5995020000000001E-3</v>
      </c>
      <c r="R3397">
        <v>-0.27375820000000001</v>
      </c>
      <c r="S3397">
        <v>3.0629270000000002</v>
      </c>
      <c r="T3397">
        <v>-0.25005840000000001</v>
      </c>
      <c r="U3397">
        <v>-0.2062225</v>
      </c>
      <c r="V3397">
        <v>-8.4388759999999993E-2</v>
      </c>
      <c r="W3397">
        <v>8.8016499999999994E-3</v>
      </c>
      <c r="X3397">
        <v>0.996394</v>
      </c>
      <c r="Y3397">
        <v>-0.28820469999999998</v>
      </c>
      <c r="Z3397">
        <v>3.9977039999999998E-2</v>
      </c>
      <c r="AA3397">
        <v>0.95673390000000003</v>
      </c>
      <c r="AB3397">
        <v>13</v>
      </c>
      <c r="AC3397">
        <v>13.511100000000001</v>
      </c>
      <c r="AD3397">
        <v>-1.1122451484922999</v>
      </c>
      <c r="AE3397">
        <v>-0.88139999999998497</v>
      </c>
      <c r="AF3397">
        <v>-3.9308040249675198</v>
      </c>
      <c r="AG3397">
        <v>-1.1122451484922999</v>
      </c>
      <c r="AH3397">
        <v>12.8618082148882</v>
      </c>
      <c r="AI3397">
        <v>94.727634598292596</v>
      </c>
      <c r="AJ3397">
        <v>106.994111502149</v>
      </c>
      <c r="AK3397">
        <v>13.494977588333001</v>
      </c>
      <c r="AL3397">
        <v>89.495696074415406</v>
      </c>
      <c r="AM3397">
        <v>94.841065234994701</v>
      </c>
      <c r="AN3397">
        <v>0.99999996754652898</v>
      </c>
    </row>
    <row r="3398" spans="1:40" x14ac:dyDescent="0.25">
      <c r="A3398" t="str">
        <f>"20190312160706277"</f>
        <v>20190312160706277</v>
      </c>
      <c r="B3398" t="str">
        <f>"1552378026268452"</f>
        <v>1552378026268452</v>
      </c>
      <c r="C3398" t="s">
        <v>40</v>
      </c>
      <c r="D3398">
        <v>6.0417509999999996</v>
      </c>
      <c r="E3398">
        <v>0.41840470000000002</v>
      </c>
      <c r="F3398" t="s">
        <v>66</v>
      </c>
      <c r="G3398">
        <v>-462.76249999999999</v>
      </c>
      <c r="H3398" s="1">
        <v>-1.301538E-7</v>
      </c>
      <c r="I3398">
        <v>216.0667</v>
      </c>
      <c r="J3398">
        <v>-476.11630000000002</v>
      </c>
      <c r="K3398">
        <v>1.112231</v>
      </c>
      <c r="L3398">
        <v>216.86840000000001</v>
      </c>
      <c r="M3398">
        <v>0.93739030000000001</v>
      </c>
      <c r="N3398">
        <v>0</v>
      </c>
      <c r="O3398">
        <v>-0.3480048</v>
      </c>
      <c r="P3398">
        <v>0.96350590000000003</v>
      </c>
      <c r="Q3398">
        <v>-4.1635789999999997E-3</v>
      </c>
      <c r="R3398">
        <v>-0.2676557</v>
      </c>
      <c r="S3398">
        <v>3.0637509999999999</v>
      </c>
      <c r="T3398">
        <v>-0.2529209</v>
      </c>
      <c r="U3398">
        <v>-0.19073490000000001</v>
      </c>
      <c r="V3398">
        <v>-8.4461579999999994E-2</v>
      </c>
      <c r="W3398">
        <v>9.2336459999999999E-3</v>
      </c>
      <c r="X3398">
        <v>0.99638400000000005</v>
      </c>
      <c r="Y3398">
        <v>-0.28701290000000002</v>
      </c>
      <c r="Z3398">
        <v>3.9930479999999997E-2</v>
      </c>
      <c r="AA3398">
        <v>0.95709409999999895</v>
      </c>
      <c r="AB3398">
        <v>13</v>
      </c>
      <c r="AC3398">
        <v>13.3538</v>
      </c>
      <c r="AD3398">
        <v>-1.1122311301537999</v>
      </c>
      <c r="AE3398">
        <v>-0.80170000000001096</v>
      </c>
      <c r="AF3398">
        <v>-3.8693093617935101</v>
      </c>
      <c r="AG3398">
        <v>-1.1122311301537999</v>
      </c>
      <c r="AH3398">
        <v>12.710092222155099</v>
      </c>
      <c r="AI3398">
        <v>94.7853281019934</v>
      </c>
      <c r="AJ3398">
        <v>106.93172297576101</v>
      </c>
      <c r="AK3398">
        <v>13.332481288936201</v>
      </c>
      <c r="AL3398">
        <v>89.470943561500306</v>
      </c>
      <c r="AM3398">
        <v>94.845271161775798</v>
      </c>
      <c r="AN3398">
        <v>1.0000000470852699</v>
      </c>
    </row>
    <row r="3399" spans="1:40" x14ac:dyDescent="0.25">
      <c r="A3399" t="str">
        <f>"20190312160706299"</f>
        <v>20190312160706299</v>
      </c>
      <c r="B3399" t="str">
        <f>"1552378026288948"</f>
        <v>1552378026288948</v>
      </c>
      <c r="C3399" t="s">
        <v>40</v>
      </c>
      <c r="D3399">
        <v>6.0549369999999998</v>
      </c>
      <c r="E3399">
        <v>0.4184175</v>
      </c>
      <c r="F3399" t="s">
        <v>66</v>
      </c>
      <c r="G3399">
        <v>-462.65249999999997</v>
      </c>
      <c r="H3399" s="1">
        <v>-1.905814E-7</v>
      </c>
      <c r="I3399">
        <v>216.11070000000001</v>
      </c>
      <c r="J3399">
        <v>-476.00069999999999</v>
      </c>
      <c r="K3399">
        <v>1.1122160000000001</v>
      </c>
      <c r="L3399">
        <v>216.83320000000001</v>
      </c>
      <c r="M3399">
        <v>0.93948299999999996</v>
      </c>
      <c r="N3399">
        <v>0</v>
      </c>
      <c r="O3399">
        <v>-0.34231549999999999</v>
      </c>
      <c r="P3399">
        <v>0.96515329999999999</v>
      </c>
      <c r="Q3399">
        <v>-4.7110490000000001E-3</v>
      </c>
      <c r="R3399">
        <v>-0.26164320000000002</v>
      </c>
      <c r="S3399">
        <v>3.064667</v>
      </c>
      <c r="T3399">
        <v>-0.25316850000000002</v>
      </c>
      <c r="U3399">
        <v>-0.17245479999999899</v>
      </c>
      <c r="V3399">
        <v>-8.4629709999999997E-2</v>
      </c>
      <c r="W3399">
        <v>8.6824450000000004E-3</v>
      </c>
      <c r="X3399">
        <v>0.99637469999999995</v>
      </c>
      <c r="Y3399">
        <v>-0.2869292</v>
      </c>
      <c r="Z3399">
        <v>3.9525159999999997E-2</v>
      </c>
      <c r="AA3399">
        <v>0.95713599999999999</v>
      </c>
      <c r="AB3399">
        <v>12</v>
      </c>
      <c r="AC3399">
        <v>13.3482</v>
      </c>
      <c r="AD3399">
        <v>-1.1122161905813901</v>
      </c>
      <c r="AE3399">
        <v>-0.72249999999999603</v>
      </c>
      <c r="AF3399">
        <v>-3.8641429259727902</v>
      </c>
      <c r="AG3399">
        <v>-1.1122161905813901</v>
      </c>
      <c r="AH3399">
        <v>12.701033581259701</v>
      </c>
      <c r="AI3399">
        <v>94.788912993295995</v>
      </c>
      <c r="AJ3399">
        <v>106.92177801210499</v>
      </c>
      <c r="AK3399">
        <v>13.3223451178545</v>
      </c>
      <c r="AL3399">
        <v>89.502526323903098</v>
      </c>
      <c r="AM3399">
        <v>94.8549152468416</v>
      </c>
      <c r="AN3399">
        <v>1.00000005773297</v>
      </c>
    </row>
    <row r="3400" spans="1:40" x14ac:dyDescent="0.25">
      <c r="A3400" t="str">
        <f>"20190312160706321"</f>
        <v>20190312160706321</v>
      </c>
      <c r="B3400" t="str">
        <f>"1552378026308471"</f>
        <v>1552378026308471</v>
      </c>
      <c r="C3400" t="s">
        <v>40</v>
      </c>
      <c r="D3400">
        <v>6.0029979999999998</v>
      </c>
      <c r="E3400">
        <v>0.41841919999999999</v>
      </c>
      <c r="F3400" t="s">
        <v>66</v>
      </c>
      <c r="G3400">
        <v>-462.55860000000001</v>
      </c>
      <c r="H3400" s="1">
        <v>-2.4288039999999998E-7</v>
      </c>
      <c r="I3400">
        <v>216.1634</v>
      </c>
      <c r="J3400">
        <v>-475.88799999999998</v>
      </c>
      <c r="K3400">
        <v>1.112204</v>
      </c>
      <c r="L3400">
        <v>216.7996</v>
      </c>
      <c r="M3400">
        <v>0.94148469999999995</v>
      </c>
      <c r="N3400">
        <v>0</v>
      </c>
      <c r="O3400">
        <v>-0.33677069999999998</v>
      </c>
      <c r="P3400">
        <v>0.96662230000000005</v>
      </c>
      <c r="Q3400">
        <v>-4.2707700000000001E-3</v>
      </c>
      <c r="R3400">
        <v>-0.25617069999999997</v>
      </c>
      <c r="S3400">
        <v>3.065674</v>
      </c>
      <c r="T3400">
        <v>-0.2536561</v>
      </c>
      <c r="U3400">
        <v>-0.15275569999999999</v>
      </c>
      <c r="V3400">
        <v>-8.4403249999999999E-2</v>
      </c>
      <c r="W3400">
        <v>9.1215940000000002E-3</v>
      </c>
      <c r="X3400">
        <v>0.99638990000000005</v>
      </c>
      <c r="Y3400">
        <v>-0.2874428</v>
      </c>
      <c r="Z3400">
        <v>3.9189790000000002E-2</v>
      </c>
      <c r="AA3400">
        <v>0.9569957</v>
      </c>
      <c r="AB3400">
        <v>12</v>
      </c>
      <c r="AC3400">
        <v>13.3294</v>
      </c>
      <c r="AD3400">
        <v>-1.1122042428804</v>
      </c>
      <c r="AE3400">
        <v>-0.63620000000000199</v>
      </c>
      <c r="AF3400">
        <v>-3.8635148893763298</v>
      </c>
      <c r="AG3400">
        <v>-1.1122042428804</v>
      </c>
      <c r="AH3400">
        <v>12.6768470959595</v>
      </c>
      <c r="AI3400">
        <v>94.797249478079095</v>
      </c>
      <c r="AJ3400">
        <v>106.94961637941999</v>
      </c>
      <c r="AK3400">
        <v>13.2991051530789</v>
      </c>
      <c r="AL3400">
        <v>89.477363899277506</v>
      </c>
      <c r="AM3400">
        <v>94.841912349177505</v>
      </c>
      <c r="AN3400">
        <v>0.99999997245483596</v>
      </c>
    </row>
    <row r="3401" spans="1:40" x14ac:dyDescent="0.25">
      <c r="A3401" t="str">
        <f>"20190312160706346"</f>
        <v>20190312160706346</v>
      </c>
      <c r="B3401" t="str">
        <f>"1552378026338723"</f>
        <v>1552378026338723</v>
      </c>
      <c r="C3401" t="s">
        <v>40</v>
      </c>
      <c r="D3401">
        <v>6.011018</v>
      </c>
      <c r="E3401">
        <v>0.41468189999999999</v>
      </c>
      <c r="F3401" t="s">
        <v>66</v>
      </c>
      <c r="G3401">
        <v>-462.24810000000002</v>
      </c>
      <c r="H3401" s="1">
        <v>-4.0963030000000003E-7</v>
      </c>
      <c r="I3401">
        <v>216.19829999999999</v>
      </c>
      <c r="J3401">
        <v>-475.75819999999999</v>
      </c>
      <c r="K3401">
        <v>1.1121840000000001</v>
      </c>
      <c r="L3401">
        <v>216.76169999999999</v>
      </c>
      <c r="M3401">
        <v>0.94374020000000003</v>
      </c>
      <c r="N3401">
        <v>0</v>
      </c>
      <c r="O3401">
        <v>-0.33039750000000001</v>
      </c>
      <c r="P3401">
        <v>0.96820720000000005</v>
      </c>
      <c r="Q3401">
        <v>-3.9417519999999998E-3</v>
      </c>
      <c r="R3401">
        <v>-0.25011919999999999</v>
      </c>
      <c r="S3401">
        <v>3.066681</v>
      </c>
      <c r="T3401">
        <v>-0.25005880000000003</v>
      </c>
      <c r="U3401">
        <v>-0.13517760000000001</v>
      </c>
      <c r="V3401">
        <v>-8.3901249999999997E-2</v>
      </c>
      <c r="W3401">
        <v>9.4510730000000008E-3</v>
      </c>
      <c r="X3401">
        <v>0.99642929999999996</v>
      </c>
      <c r="Y3401">
        <v>-0.28654089999999999</v>
      </c>
      <c r="Z3401">
        <v>3.8105420000000001E-2</v>
      </c>
      <c r="AA3401">
        <v>0.95730999999999999</v>
      </c>
      <c r="AB3401">
        <v>12</v>
      </c>
      <c r="AC3401">
        <v>13.5100999999999</v>
      </c>
      <c r="AD3401">
        <v>-1.1121844096303</v>
      </c>
      <c r="AE3401">
        <v>-0.56340000000000101</v>
      </c>
      <c r="AF3401">
        <v>-3.9059527922054</v>
      </c>
      <c r="AG3401">
        <v>-1.1121844096303</v>
      </c>
      <c r="AH3401">
        <v>12.850475721846401</v>
      </c>
      <c r="AI3401">
        <v>94.733714321137299</v>
      </c>
      <c r="AJ3401">
        <v>106.906856261339</v>
      </c>
      <c r="AK3401">
        <v>13.476948751617501</v>
      </c>
      <c r="AL3401">
        <v>89.458485368453793</v>
      </c>
      <c r="AM3401">
        <v>94.813060677349497</v>
      </c>
      <c r="AN3401">
        <v>1.0000000462154499</v>
      </c>
    </row>
    <row r="3402" spans="1:40" x14ac:dyDescent="0.25">
      <c r="A3402" t="str">
        <f>"20190312160706369"</f>
        <v>20190312160706369</v>
      </c>
      <c r="B3402" t="str">
        <f>"1552378026358245"</f>
        <v>1552378026358245</v>
      </c>
      <c r="C3402" t="s">
        <v>40</v>
      </c>
      <c r="D3402">
        <v>6.0501820000000004</v>
      </c>
      <c r="E3402">
        <v>0.41548940000000001</v>
      </c>
      <c r="F3402" t="s">
        <v>66</v>
      </c>
      <c r="G3402">
        <v>-454.73110000000003</v>
      </c>
      <c r="H3402" s="1">
        <v>9.1359889999999996E-7</v>
      </c>
      <c r="I3402">
        <v>216.1551</v>
      </c>
      <c r="J3402">
        <v>-475.63659999999999</v>
      </c>
      <c r="K3402">
        <v>1.112158</v>
      </c>
      <c r="L3402">
        <v>216.72720000000001</v>
      </c>
      <c r="M3402">
        <v>0.94580220000000004</v>
      </c>
      <c r="N3402">
        <v>0</v>
      </c>
      <c r="O3402">
        <v>-0.32444840000000003</v>
      </c>
      <c r="P3402">
        <v>0.96963889999999997</v>
      </c>
      <c r="Q3402">
        <v>-3.880756E-3</v>
      </c>
      <c r="R3402">
        <v>-0.24451120000000001</v>
      </c>
      <c r="S3402">
        <v>3.0749209999999998</v>
      </c>
      <c r="T3402">
        <v>-0.16264139999999999</v>
      </c>
      <c r="U3402">
        <v>-8.8714600000000005E-2</v>
      </c>
      <c r="V3402">
        <v>-8.3393750000000003E-2</v>
      </c>
      <c r="W3402">
        <v>9.5125839999999993E-3</v>
      </c>
      <c r="X3402">
        <v>0.99647129999999995</v>
      </c>
      <c r="Y3402">
        <v>-0.29621360000000002</v>
      </c>
      <c r="Z3402">
        <v>2.4715270000000001E-2</v>
      </c>
      <c r="AA3402">
        <v>0.95480189999999998</v>
      </c>
      <c r="AB3402">
        <v>12</v>
      </c>
      <c r="AC3402">
        <v>20.9054999999999</v>
      </c>
      <c r="AD3402">
        <v>-1.1121570864010999</v>
      </c>
      <c r="AE3402">
        <v>-0.57210000000000505</v>
      </c>
      <c r="AF3402">
        <v>-6.2246565101926299</v>
      </c>
      <c r="AG3402">
        <v>-1.1121570864010999</v>
      </c>
      <c r="AH3402">
        <v>19.903706884736899</v>
      </c>
      <c r="AI3402">
        <v>93.052677340278194</v>
      </c>
      <c r="AJ3402">
        <v>107.36647590088501</v>
      </c>
      <c r="AK3402">
        <v>20.8839840501815</v>
      </c>
      <c r="AL3402">
        <v>89.454960880242197</v>
      </c>
      <c r="AM3402">
        <v>94.7838823724219</v>
      </c>
      <c r="AN3402">
        <v>1.00000002925855</v>
      </c>
    </row>
    <row r="3403" spans="1:40" x14ac:dyDescent="0.25">
      <c r="A3403" t="str">
        <f>"20190312160706391"</f>
        <v>20190312160706391</v>
      </c>
      <c r="B3403" t="str">
        <f>"1552378026388499"</f>
        <v>1552378026388499</v>
      </c>
      <c r="C3403" t="s">
        <v>40</v>
      </c>
      <c r="D3403">
        <v>6.0569430000000004</v>
      </c>
      <c r="E3403">
        <v>0.41842220000000002</v>
      </c>
      <c r="F3403" t="s">
        <v>66</v>
      </c>
      <c r="G3403">
        <v>-454.66669999999999</v>
      </c>
      <c r="H3403" s="1">
        <v>8.7733289999999997E-7</v>
      </c>
      <c r="I3403">
        <v>216.2003</v>
      </c>
      <c r="J3403">
        <v>-475.52850000000001</v>
      </c>
      <c r="K3403">
        <v>1.112128</v>
      </c>
      <c r="L3403">
        <v>216.697</v>
      </c>
      <c r="M3403">
        <v>0.94759249999999995</v>
      </c>
      <c r="N3403">
        <v>0</v>
      </c>
      <c r="O3403">
        <v>-0.31918200000000002</v>
      </c>
      <c r="P3403">
        <v>0.97074530000000003</v>
      </c>
      <c r="Q3403">
        <v>-4.4543660000000004E-3</v>
      </c>
      <c r="R3403">
        <v>-0.24007010000000001</v>
      </c>
      <c r="S3403">
        <v>3.0737920000000001</v>
      </c>
      <c r="T3403">
        <v>-0.16302059999999999</v>
      </c>
      <c r="U3403">
        <v>-7.7224730000000005E-2</v>
      </c>
      <c r="V3403">
        <v>-8.2406759999999996E-2</v>
      </c>
      <c r="W3403">
        <v>8.9427869999999902E-3</v>
      </c>
      <c r="X3403">
        <v>0.99655870000000002</v>
      </c>
      <c r="Y3403">
        <v>-0.294462</v>
      </c>
      <c r="Z3403">
        <v>2.447266E-2</v>
      </c>
      <c r="AA3403">
        <v>0.95534980000000003</v>
      </c>
      <c r="AB3403">
        <v>12</v>
      </c>
      <c r="AC3403">
        <v>20.861799999999999</v>
      </c>
      <c r="AD3403">
        <v>-1.1121271226670999</v>
      </c>
      <c r="AE3403">
        <v>-0.49670000000000403</v>
      </c>
      <c r="AF3403">
        <v>-6.1711062485659696</v>
      </c>
      <c r="AG3403">
        <v>-1.1121271226670999</v>
      </c>
      <c r="AH3403">
        <v>19.872486087822899</v>
      </c>
      <c r="AI3403">
        <v>93.059292434308503</v>
      </c>
      <c r="AJ3403">
        <v>107.251407636235</v>
      </c>
      <c r="AK3403">
        <v>20.838308049809999</v>
      </c>
      <c r="AL3403">
        <v>89.487609241130201</v>
      </c>
      <c r="AM3403">
        <v>94.727109109520299</v>
      </c>
      <c r="AN3403">
        <v>1.00000004503935</v>
      </c>
    </row>
    <row r="3404" spans="1:40" x14ac:dyDescent="0.25">
      <c r="A3404" t="str">
        <f>"20190312160706410"</f>
        <v>20190312160706410</v>
      </c>
      <c r="B3404" t="str">
        <f>"1552378026398263"</f>
        <v>1552378026398263</v>
      </c>
      <c r="C3404" t="s">
        <v>40</v>
      </c>
      <c r="D3404">
        <v>6.0735619999999999</v>
      </c>
      <c r="E3404">
        <v>0.41938829999999999</v>
      </c>
      <c r="F3404" t="s">
        <v>66</v>
      </c>
      <c r="G3404">
        <v>-457.47890000000001</v>
      </c>
      <c r="H3404" s="1">
        <v>2.3741010000000001E-6</v>
      </c>
      <c r="I3404">
        <v>216.19479999999999</v>
      </c>
      <c r="J3404">
        <v>-475.41950000000003</v>
      </c>
      <c r="K3404">
        <v>1.112088</v>
      </c>
      <c r="L3404">
        <v>216.66730000000001</v>
      </c>
      <c r="M3404">
        <v>0.94935320000000001</v>
      </c>
      <c r="N3404">
        <v>0</v>
      </c>
      <c r="O3404">
        <v>-0.3139072</v>
      </c>
      <c r="P3404">
        <v>0.97173259999999995</v>
      </c>
      <c r="Q3404">
        <v>-5.1901480000000003E-3</v>
      </c>
      <c r="R3404">
        <v>-0.2360276</v>
      </c>
      <c r="S3404">
        <v>3.068451</v>
      </c>
      <c r="T3404">
        <v>-0.18906220000000001</v>
      </c>
      <c r="U3404">
        <v>-8.5388179999999994E-2</v>
      </c>
      <c r="V3404">
        <v>-8.1007259999999998E-2</v>
      </c>
      <c r="W3404">
        <v>8.2137289999999995E-3</v>
      </c>
      <c r="X3404">
        <v>0.99667969999999895</v>
      </c>
      <c r="Y3404">
        <v>-0.28628550000000003</v>
      </c>
      <c r="Z3404">
        <v>2.7859040000000002E-2</v>
      </c>
      <c r="AA3404">
        <v>0.95773929999999996</v>
      </c>
      <c r="AB3404">
        <v>12</v>
      </c>
      <c r="AC3404">
        <v>17.9406</v>
      </c>
      <c r="AD3404">
        <v>-1.112085625899</v>
      </c>
      <c r="AE3404">
        <v>-0.47250000000002501</v>
      </c>
      <c r="AF3404">
        <v>-5.1637810340208397</v>
      </c>
      <c r="AG3404">
        <v>-1.112085625899</v>
      </c>
      <c r="AH3404">
        <v>17.1162044501413</v>
      </c>
      <c r="AI3404">
        <v>93.5594140661632</v>
      </c>
      <c r="AJ3404">
        <v>106.7880170868</v>
      </c>
      <c r="AK3404">
        <v>17.912727982797101</v>
      </c>
      <c r="AL3404">
        <v>89.529382717917599</v>
      </c>
      <c r="AM3404">
        <v>94.646622345923703</v>
      </c>
      <c r="AN3404">
        <v>1.0000000329544401</v>
      </c>
    </row>
    <row r="3405" spans="1:40" x14ac:dyDescent="0.25">
      <c r="A3405" t="str">
        <f>"20190312160706432"</f>
        <v>20190312160706432</v>
      </c>
      <c r="B3405" t="str">
        <f>"1552378026428515"</f>
        <v>1552378026428515</v>
      </c>
      <c r="C3405" t="s">
        <v>40</v>
      </c>
      <c r="D3405">
        <v>6.0820220000000003</v>
      </c>
      <c r="E3405">
        <v>0.42168729999999899</v>
      </c>
      <c r="F3405" t="s">
        <v>66</v>
      </c>
      <c r="G3405">
        <v>-458.17169999999999</v>
      </c>
      <c r="H3405" s="1">
        <v>2.7417430000000001E-6</v>
      </c>
      <c r="I3405">
        <v>216.21879999999999</v>
      </c>
      <c r="J3405">
        <v>-475.30770000000001</v>
      </c>
      <c r="K3405">
        <v>1.112045</v>
      </c>
      <c r="L3405">
        <v>216.63740000000001</v>
      </c>
      <c r="M3405">
        <v>0.9511117</v>
      </c>
      <c r="N3405">
        <v>0</v>
      </c>
      <c r="O3405">
        <v>-0.30853809999999998</v>
      </c>
      <c r="P3405">
        <v>0.9727806</v>
      </c>
      <c r="Q3405">
        <v>-5.9994339999999997E-3</v>
      </c>
      <c r="R3405">
        <v>-0.23165040000000001</v>
      </c>
      <c r="S3405">
        <v>3.0668639999999998</v>
      </c>
      <c r="T3405">
        <v>-0.1977419</v>
      </c>
      <c r="U3405">
        <v>-7.9757690000000006E-2</v>
      </c>
      <c r="V3405">
        <v>-7.9856629999999998E-2</v>
      </c>
      <c r="W3405">
        <v>7.408853E-3</v>
      </c>
      <c r="X3405">
        <v>0.99677879999999996</v>
      </c>
      <c r="Y3405">
        <v>-0.28252640000000001</v>
      </c>
      <c r="Z3405">
        <v>2.8700139999999999E-2</v>
      </c>
      <c r="AA3405">
        <v>0.95883010000000002</v>
      </c>
      <c r="AB3405">
        <v>12</v>
      </c>
      <c r="AC3405">
        <v>17.135999999999999</v>
      </c>
      <c r="AD3405">
        <v>-1.112042258257</v>
      </c>
      <c r="AE3405">
        <v>-0.41860000000002601</v>
      </c>
      <c r="AF3405">
        <v>-4.8689472150158597</v>
      </c>
      <c r="AG3405">
        <v>-1.112042258257</v>
      </c>
      <c r="AH3405">
        <v>16.360113885746401</v>
      </c>
      <c r="AI3405">
        <v>93.727483000472802</v>
      </c>
      <c r="AJ3405">
        <v>106.573575691424</v>
      </c>
      <c r="AK3405">
        <v>17.1054556011043</v>
      </c>
      <c r="AL3405">
        <v>89.575500097549593</v>
      </c>
      <c r="AM3405">
        <v>94.580450975394697</v>
      </c>
      <c r="AN3405">
        <v>0.999999974293585</v>
      </c>
    </row>
    <row r="3406" spans="1:40" x14ac:dyDescent="0.25">
      <c r="A3406" t="str">
        <f>"20190312160706456"</f>
        <v>20190312160706456</v>
      </c>
      <c r="B3406" t="str">
        <f>"1552378026449011"</f>
        <v>1552378026449011</v>
      </c>
      <c r="C3406" t="s">
        <v>40</v>
      </c>
      <c r="D3406">
        <v>6.0628669999999998</v>
      </c>
      <c r="E3406">
        <v>0.42248849999999999</v>
      </c>
      <c r="F3406" t="s">
        <v>66</v>
      </c>
      <c r="G3406">
        <v>-459.58199999999999</v>
      </c>
      <c r="H3406" s="1">
        <v>3.4926240000000001E-6</v>
      </c>
      <c r="I3406">
        <v>216.20920000000001</v>
      </c>
      <c r="J3406">
        <v>-475.18610000000001</v>
      </c>
      <c r="K3406">
        <v>1.1119870000000001</v>
      </c>
      <c r="L3406">
        <v>216.60560000000001</v>
      </c>
      <c r="M3406">
        <v>0.95296800000000004</v>
      </c>
      <c r="N3406">
        <v>0</v>
      </c>
      <c r="O3406">
        <v>-0.30275669999999999</v>
      </c>
      <c r="P3406">
        <v>0.97400560000000003</v>
      </c>
      <c r="Q3406">
        <v>-6.3268639999999998E-3</v>
      </c>
      <c r="R3406">
        <v>-0.22643659999999999</v>
      </c>
      <c r="S3406">
        <v>3.062805</v>
      </c>
      <c r="T3406">
        <v>-0.21658479999999999</v>
      </c>
      <c r="U3406">
        <v>-8.3389279999999996E-2</v>
      </c>
      <c r="V3406">
        <v>-7.9140050000000003E-2</v>
      </c>
      <c r="W3406">
        <v>7.083659E-3</v>
      </c>
      <c r="X3406">
        <v>0.99683829999999995</v>
      </c>
      <c r="Y3406">
        <v>-0.27531319999999998</v>
      </c>
      <c r="Z3406">
        <v>3.0821890000000001E-2</v>
      </c>
      <c r="AA3406">
        <v>0.96086039999999995</v>
      </c>
      <c r="AB3406">
        <v>12</v>
      </c>
      <c r="AC3406">
        <v>15.604100000000001</v>
      </c>
      <c r="AD3406">
        <v>-1.111983507376</v>
      </c>
      <c r="AE3406">
        <v>-0.39639999999999898</v>
      </c>
      <c r="AF3406">
        <v>-4.3249537973399601</v>
      </c>
      <c r="AG3406">
        <v>-1.111983507376</v>
      </c>
      <c r="AH3406">
        <v>14.915948818217499</v>
      </c>
      <c r="AI3406">
        <v>94.095435884390994</v>
      </c>
      <c r="AJ3406">
        <v>106.169780187695</v>
      </c>
      <c r="AK3406">
        <v>15.570075844949599</v>
      </c>
      <c r="AL3406">
        <v>89.594132825647904</v>
      </c>
      <c r="AM3406">
        <v>94.539251808804096</v>
      </c>
      <c r="AN3406">
        <v>0.99999996104285904</v>
      </c>
    </row>
    <row r="3407" spans="1:40" x14ac:dyDescent="0.25">
      <c r="A3407" t="str">
        <f>"20190312160706477"</f>
        <v>20190312160706477</v>
      </c>
      <c r="B3407" t="str">
        <f>"1552378026468532"</f>
        <v>1552378026468532</v>
      </c>
      <c r="C3407" t="s">
        <v>40</v>
      </c>
      <c r="D3407">
        <v>6.0468149999999996</v>
      </c>
      <c r="E3407">
        <v>0.42330010000000001</v>
      </c>
      <c r="F3407" t="s">
        <v>66</v>
      </c>
      <c r="G3407">
        <v>-459.54050000000001</v>
      </c>
      <c r="H3407" s="1">
        <v>3.469608E-6</v>
      </c>
      <c r="I3407">
        <v>216.23150000000001</v>
      </c>
      <c r="J3407">
        <v>-475.07330000000002</v>
      </c>
      <c r="K3407">
        <v>1.1119410000000001</v>
      </c>
      <c r="L3407">
        <v>216.57669999999999</v>
      </c>
      <c r="M3407">
        <v>0.95463629999999999</v>
      </c>
      <c r="N3407">
        <v>0</v>
      </c>
      <c r="O3407">
        <v>-0.29745500000000002</v>
      </c>
      <c r="P3407">
        <v>0.97510969999999997</v>
      </c>
      <c r="Q3407">
        <v>-6.349642E-3</v>
      </c>
      <c r="R3407">
        <v>-0.22163189999999999</v>
      </c>
      <c r="S3407">
        <v>3.0616460000000001</v>
      </c>
      <c r="T3407">
        <v>-0.2176013</v>
      </c>
      <c r="U3407">
        <v>-7.3211670000000006E-2</v>
      </c>
      <c r="V3407">
        <v>-7.8512620000000005E-2</v>
      </c>
      <c r="W3407">
        <v>7.0607710000000004E-3</v>
      </c>
      <c r="X3407">
        <v>0.99688810000000005</v>
      </c>
      <c r="Y3407">
        <v>-0.27315620000000002</v>
      </c>
      <c r="Z3407">
        <v>3.0543420000000002E-2</v>
      </c>
      <c r="AA3407">
        <v>0.96148469999999997</v>
      </c>
      <c r="AB3407">
        <v>12</v>
      </c>
      <c r="AC3407">
        <v>15.5328</v>
      </c>
      <c r="AD3407">
        <v>-1.1119375303919901</v>
      </c>
      <c r="AE3407">
        <v>-0.34519999999997703</v>
      </c>
      <c r="AF3407">
        <v>-4.2693086140715204</v>
      </c>
      <c r="AG3407">
        <v>-1.1119375303919901</v>
      </c>
      <c r="AH3407">
        <v>14.8561806224265</v>
      </c>
      <c r="AI3407">
        <v>94.114503392139596</v>
      </c>
      <c r="AJ3407">
        <v>106.033376734058</v>
      </c>
      <c r="AK3407">
        <v>15.497403130842301</v>
      </c>
      <c r="AL3407">
        <v>89.595444253970598</v>
      </c>
      <c r="AM3407">
        <v>94.503188757369401</v>
      </c>
      <c r="AN3407">
        <v>0.999999984953994</v>
      </c>
    </row>
    <row r="3408" spans="1:40" x14ac:dyDescent="0.25">
      <c r="A3408" t="str">
        <f>"20190312160706500"</f>
        <v>20190312160706500</v>
      </c>
      <c r="B3408" t="str">
        <f>"1552378026488051"</f>
        <v>1552378026488051</v>
      </c>
      <c r="C3408" t="s">
        <v>40</v>
      </c>
      <c r="D3408">
        <v>6.0948699999999896</v>
      </c>
      <c r="E3408">
        <v>0.42408289999999998</v>
      </c>
      <c r="F3408" t="s">
        <v>66</v>
      </c>
      <c r="G3408">
        <v>-459.44310000000002</v>
      </c>
      <c r="H3408" s="1">
        <v>3.416961E-6</v>
      </c>
      <c r="I3408">
        <v>216.249</v>
      </c>
      <c r="J3408">
        <v>-474.95240000000001</v>
      </c>
      <c r="K3408">
        <v>1.1119019999999999</v>
      </c>
      <c r="L3408">
        <v>216.54650000000001</v>
      </c>
      <c r="M3408">
        <v>0.95637079999999997</v>
      </c>
      <c r="N3408">
        <v>0</v>
      </c>
      <c r="O3408">
        <v>-0.2918307</v>
      </c>
      <c r="P3408">
        <v>0.97616389999999997</v>
      </c>
      <c r="Q3408">
        <v>-6.8883159999999898E-3</v>
      </c>
      <c r="R3408">
        <v>-0.21692620000000001</v>
      </c>
      <c r="S3408">
        <v>3.0605159999999998</v>
      </c>
      <c r="T3408">
        <v>-0.21772530000000001</v>
      </c>
      <c r="U3408">
        <v>-6.4178470000000001E-2</v>
      </c>
      <c r="V3408">
        <v>-7.7448539999999996E-2</v>
      </c>
      <c r="W3408">
        <v>6.5229119999999996E-3</v>
      </c>
      <c r="X3408">
        <v>0.99697499999999994</v>
      </c>
      <c r="Y3408">
        <v>-0.27034029999999998</v>
      </c>
      <c r="Z3408">
        <v>3.0090370000000002E-2</v>
      </c>
      <c r="AA3408">
        <v>0.96229450000000005</v>
      </c>
      <c r="AB3408">
        <v>12</v>
      </c>
      <c r="AC3408">
        <v>15.5092999999999</v>
      </c>
      <c r="AD3408">
        <v>-1.111898583039</v>
      </c>
      <c r="AE3408">
        <v>-0.297499999999985</v>
      </c>
      <c r="AF3408">
        <v>-4.2202885601024001</v>
      </c>
      <c r="AG3408">
        <v>-1.111898583039</v>
      </c>
      <c r="AH3408">
        <v>14.844606658471699</v>
      </c>
      <c r="AI3408">
        <v>94.120895613437696</v>
      </c>
      <c r="AJ3408">
        <v>105.870332762578</v>
      </c>
      <c r="AK3408">
        <v>15.4728633689513</v>
      </c>
      <c r="AL3408">
        <v>89.626262017302807</v>
      </c>
      <c r="AM3408">
        <v>94.442017434337103</v>
      </c>
      <c r="AN3408">
        <v>0.99999998767704501</v>
      </c>
    </row>
    <row r="3409" spans="1:40" x14ac:dyDescent="0.25">
      <c r="A3409" t="str">
        <f>"20190312160706523"</f>
        <v>20190312160706523</v>
      </c>
      <c r="B3409" t="str">
        <f>"1552378026518307"</f>
        <v>1552378026518307</v>
      </c>
      <c r="C3409" t="s">
        <v>40</v>
      </c>
      <c r="D3409">
        <v>6.0846580000000001</v>
      </c>
      <c r="E3409">
        <v>0.42516910000000002</v>
      </c>
      <c r="F3409" t="s">
        <v>66</v>
      </c>
      <c r="G3409">
        <v>-459.65010000000001</v>
      </c>
      <c r="H3409" s="1">
        <v>3.5261769999999998E-6</v>
      </c>
      <c r="I3409">
        <v>216.2705</v>
      </c>
      <c r="J3409">
        <v>-474.8417</v>
      </c>
      <c r="K3409">
        <v>1.1118589999999999</v>
      </c>
      <c r="L3409">
        <v>216.51929999999999</v>
      </c>
      <c r="M3409">
        <v>0.95791090000000001</v>
      </c>
      <c r="N3409">
        <v>0</v>
      </c>
      <c r="O3409">
        <v>-0.28673559999999998</v>
      </c>
      <c r="P3409">
        <v>0.97716970000000003</v>
      </c>
      <c r="Q3409">
        <v>-6.7929160000000004E-3</v>
      </c>
      <c r="R3409">
        <v>-0.2123526</v>
      </c>
      <c r="S3409">
        <v>3.0594480000000002</v>
      </c>
      <c r="T3409">
        <v>-0.22230510000000001</v>
      </c>
      <c r="U3409">
        <v>-5.5175780000000001E-2</v>
      </c>
      <c r="V3409">
        <v>-7.6810030000000001E-2</v>
      </c>
      <c r="W3409">
        <v>6.6168470000000004E-3</v>
      </c>
      <c r="X3409">
        <v>0.99702380000000002</v>
      </c>
      <c r="Y3409">
        <v>-0.26799780000000001</v>
      </c>
      <c r="Z3409">
        <v>3.0293730000000001E-2</v>
      </c>
      <c r="AA3409">
        <v>0.96294310000000005</v>
      </c>
      <c r="AB3409">
        <v>12</v>
      </c>
      <c r="AC3409">
        <v>15.1915999999999</v>
      </c>
      <c r="AD3409">
        <v>-1.111855473823</v>
      </c>
      <c r="AE3409">
        <v>-0.248799999999988</v>
      </c>
      <c r="AF3409">
        <v>-4.0960990102774897</v>
      </c>
      <c r="AG3409">
        <v>-1.111855473823</v>
      </c>
      <c r="AH3409">
        <v>14.5470223546076</v>
      </c>
      <c r="AI3409">
        <v>94.207721623956601</v>
      </c>
      <c r="AJ3409">
        <v>105.72596983959301</v>
      </c>
      <c r="AK3409">
        <v>15.153551038687899</v>
      </c>
      <c r="AL3409">
        <v>89.620879830707196</v>
      </c>
      <c r="AM3409">
        <v>94.405326037413403</v>
      </c>
      <c r="AN3409">
        <v>1.0000000105696301</v>
      </c>
    </row>
    <row r="3410" spans="1:40" x14ac:dyDescent="0.25">
      <c r="A3410" t="str">
        <f>"20190312160706548"</f>
        <v>20190312160706548</v>
      </c>
      <c r="B3410" t="str">
        <f>"1552378026538804"</f>
        <v>1552378026538804</v>
      </c>
      <c r="C3410" t="s">
        <v>40</v>
      </c>
      <c r="D3410">
        <v>6.0672620000000004</v>
      </c>
      <c r="E3410">
        <v>0.42601869999999997</v>
      </c>
      <c r="F3410" t="s">
        <v>66</v>
      </c>
      <c r="G3410">
        <v>-459.90190000000001</v>
      </c>
      <c r="H3410" s="1">
        <v>3.6598020000000001E-6</v>
      </c>
      <c r="I3410">
        <v>216.27940000000001</v>
      </c>
      <c r="J3410">
        <v>-474.70830000000001</v>
      </c>
      <c r="K3410">
        <v>1.11182</v>
      </c>
      <c r="L3410">
        <v>216.4873</v>
      </c>
      <c r="M3410">
        <v>0.95970420000000001</v>
      </c>
      <c r="N3410">
        <v>0</v>
      </c>
      <c r="O3410">
        <v>-0.28067629999999999</v>
      </c>
      <c r="P3410">
        <v>0.97838190000000003</v>
      </c>
      <c r="Q3410">
        <v>-6.4444949999999997E-3</v>
      </c>
      <c r="R3410">
        <v>-0.2067068</v>
      </c>
      <c r="S3410">
        <v>3.0578310000000002</v>
      </c>
      <c r="T3410">
        <v>-0.2275702</v>
      </c>
      <c r="U3410">
        <v>-4.9102779999999999E-2</v>
      </c>
      <c r="V3410">
        <v>-7.6267379999999996E-2</v>
      </c>
      <c r="W3410">
        <v>6.961592E-3</v>
      </c>
      <c r="X3410">
        <v>0.99706309999999998</v>
      </c>
      <c r="Y3410">
        <v>-0.26376840000000001</v>
      </c>
      <c r="Z3410">
        <v>3.0435239999999999E-2</v>
      </c>
      <c r="AA3410">
        <v>0.96410580000000001</v>
      </c>
      <c r="AB3410">
        <v>12</v>
      </c>
      <c r="AC3410">
        <v>14.806399999999901</v>
      </c>
      <c r="AD3410">
        <v>-1.1118163401979999</v>
      </c>
      <c r="AE3410">
        <v>-0.20789999999999501</v>
      </c>
      <c r="AF3410">
        <v>-3.9344759684641</v>
      </c>
      <c r="AG3410">
        <v>-1.1118163401979999</v>
      </c>
      <c r="AH3410">
        <v>14.189470777134201</v>
      </c>
      <c r="AI3410">
        <v>94.317989015890802</v>
      </c>
      <c r="AJ3410">
        <v>105.49770321430201</v>
      </c>
      <c r="AK3410">
        <v>14.766763953415801</v>
      </c>
      <c r="AL3410">
        <v>89.6011269383268</v>
      </c>
      <c r="AM3410">
        <v>94.374152623358299</v>
      </c>
      <c r="AN3410">
        <v>1.00000000119842</v>
      </c>
    </row>
    <row r="3411" spans="1:40" x14ac:dyDescent="0.25">
      <c r="A3411" t="str">
        <f>"20190312160706569"</f>
        <v>20190312160706569</v>
      </c>
      <c r="B3411" t="str">
        <f>"1552378026558324"</f>
        <v>1552378026558324</v>
      </c>
      <c r="C3411" t="s">
        <v>40</v>
      </c>
      <c r="D3411">
        <v>6.0505680000000002</v>
      </c>
      <c r="E3411">
        <v>0.42692570000000002</v>
      </c>
      <c r="F3411" t="s">
        <v>66</v>
      </c>
      <c r="G3411">
        <v>-459.87779999999998</v>
      </c>
      <c r="H3411" s="1">
        <v>3.6460689999999999E-6</v>
      </c>
      <c r="I3411">
        <v>216.30080000000001</v>
      </c>
      <c r="J3411">
        <v>-474.60140000000001</v>
      </c>
      <c r="K3411">
        <v>1.111788</v>
      </c>
      <c r="L3411">
        <v>216.4622</v>
      </c>
      <c r="M3411">
        <v>0.96109069999999996</v>
      </c>
      <c r="N3411">
        <v>0</v>
      </c>
      <c r="O3411">
        <v>-0.27589160000000001</v>
      </c>
      <c r="P3411">
        <v>0.97918090000000002</v>
      </c>
      <c r="Q3411">
        <v>-6.0524039999999999E-3</v>
      </c>
      <c r="R3411">
        <v>-0.20289950000000001</v>
      </c>
      <c r="S3411">
        <v>3.0566710000000001</v>
      </c>
      <c r="T3411">
        <v>-0.22915389999999999</v>
      </c>
      <c r="U3411">
        <v>-3.8452149999999997E-2</v>
      </c>
      <c r="V3411">
        <v>-7.5179800000000005E-2</v>
      </c>
      <c r="W3411">
        <v>7.3544959999999899E-3</v>
      </c>
      <c r="X3411">
        <v>0.99714290000000005</v>
      </c>
      <c r="Y3411">
        <v>-0.26231189999999999</v>
      </c>
      <c r="Z3411">
        <v>3.026007E-2</v>
      </c>
      <c r="AA3411">
        <v>0.96450860000000005</v>
      </c>
      <c r="AB3411">
        <v>12</v>
      </c>
      <c r="AC3411">
        <v>14.723599999999999</v>
      </c>
      <c r="AD3411">
        <v>-1.1117843539309999</v>
      </c>
      <c r="AE3411">
        <v>-0.161399999999986</v>
      </c>
      <c r="AF3411">
        <v>-3.8852156746420601</v>
      </c>
      <c r="AG3411">
        <v>-1.1117843539309999</v>
      </c>
      <c r="AH3411">
        <v>14.116104225593199</v>
      </c>
      <c r="AI3411">
        <v>94.342495169628194</v>
      </c>
      <c r="AJ3411">
        <v>105.38865412468699</v>
      </c>
      <c r="AK3411">
        <v>14.6831660004217</v>
      </c>
      <c r="AL3411">
        <v>89.578614631373398</v>
      </c>
      <c r="AM3411">
        <v>94.311669964254506</v>
      </c>
      <c r="AN3411">
        <v>1.0000000269799301</v>
      </c>
    </row>
    <row r="3412" spans="1:40" x14ac:dyDescent="0.25">
      <c r="A3412" t="str">
        <f>"20190312160706592"</f>
        <v>20190312160706592</v>
      </c>
      <c r="B3412" t="str">
        <f>"1552378026578820"</f>
        <v>1552378026578820</v>
      </c>
      <c r="C3412" t="s">
        <v>40</v>
      </c>
      <c r="D3412">
        <v>6.0511520000000001</v>
      </c>
      <c r="E3412">
        <v>0.43853249999999999</v>
      </c>
      <c r="F3412" t="s">
        <v>66</v>
      </c>
      <c r="G3412">
        <v>-459.87639999999999</v>
      </c>
      <c r="H3412" s="1">
        <v>3.6452229999999998E-6</v>
      </c>
      <c r="I3412">
        <v>216.30250000000001</v>
      </c>
      <c r="J3412">
        <v>-474.48110000000003</v>
      </c>
      <c r="K3412">
        <v>1.1117459999999999</v>
      </c>
      <c r="L3412">
        <v>216.43450000000001</v>
      </c>
      <c r="M3412">
        <v>0.96259640000000002</v>
      </c>
      <c r="N3412">
        <v>0</v>
      </c>
      <c r="O3412">
        <v>-0.27059169999999999</v>
      </c>
      <c r="P3412">
        <v>0.97993169999999996</v>
      </c>
      <c r="Q3412">
        <v>-5.8804690000000001E-3</v>
      </c>
      <c r="R3412">
        <v>-0.19924700000000001</v>
      </c>
      <c r="S3412">
        <v>3.0555110000000001</v>
      </c>
      <c r="T3412">
        <v>-0.23070089999999999</v>
      </c>
      <c r="U3412">
        <v>-3.3142089999999999E-2</v>
      </c>
      <c r="V3412">
        <v>-7.3403209999999997E-2</v>
      </c>
      <c r="W3412">
        <v>7.5299669999999898E-3</v>
      </c>
      <c r="X3412">
        <v>0.99727390000000005</v>
      </c>
      <c r="Y3412">
        <v>-0.25866939999999999</v>
      </c>
      <c r="Z3412">
        <v>2.995217E-2</v>
      </c>
      <c r="AA3412">
        <v>0.96550139999999995</v>
      </c>
      <c r="AB3412">
        <v>12</v>
      </c>
      <c r="AC3412">
        <v>14.604699999999999</v>
      </c>
      <c r="AD3412">
        <v>-1.111742354777</v>
      </c>
      <c r="AE3412">
        <v>-0.132000000000005</v>
      </c>
      <c r="AF3412">
        <v>-3.80317200337393</v>
      </c>
      <c r="AG3412">
        <v>-1.111742354777</v>
      </c>
      <c r="AH3412">
        <v>14.014276506173101</v>
      </c>
      <c r="AI3412">
        <v>94.378033828020307</v>
      </c>
      <c r="AJ3412">
        <v>105.18316012641399</v>
      </c>
      <c r="AK3412">
        <v>14.563654566836201</v>
      </c>
      <c r="AL3412">
        <v>89.568560585905104</v>
      </c>
      <c r="AM3412">
        <v>94.209599694900703</v>
      </c>
      <c r="AN3412">
        <v>0.99999998163126702</v>
      </c>
    </row>
    <row r="3413" spans="1:40" x14ac:dyDescent="0.25">
      <c r="A3413" t="str">
        <f>"20190312160706614"</f>
        <v>20190312160706614</v>
      </c>
      <c r="B3413" t="str">
        <f>"1552378026608100"</f>
        <v>1552378026608100</v>
      </c>
      <c r="C3413" t="s">
        <v>40</v>
      </c>
      <c r="D3413">
        <v>6.0788399999999996</v>
      </c>
      <c r="E3413">
        <v>0.44039279999999997</v>
      </c>
      <c r="F3413" t="s">
        <v>66</v>
      </c>
      <c r="G3413">
        <v>-461.1268</v>
      </c>
      <c r="H3413" s="1">
        <v>-9.951347000000001E-7</v>
      </c>
      <c r="I3413">
        <v>215.9427</v>
      </c>
      <c r="J3413">
        <v>-474.36340000000001</v>
      </c>
      <c r="K3413">
        <v>1.1116870000000001</v>
      </c>
      <c r="L3413">
        <v>216.40799999999999</v>
      </c>
      <c r="M3413">
        <v>0.9640126</v>
      </c>
      <c r="N3413">
        <v>0</v>
      </c>
      <c r="O3413">
        <v>-0.2655035</v>
      </c>
      <c r="P3413">
        <v>0.98073860000000002</v>
      </c>
      <c r="Q3413">
        <v>-5.7784630000000002E-3</v>
      </c>
      <c r="R3413">
        <v>-0.19524050000000001</v>
      </c>
      <c r="S3413">
        <v>3.0371700000000001</v>
      </c>
      <c r="T3413">
        <v>-0.2528455</v>
      </c>
      <c r="U3413">
        <v>-0.1118469</v>
      </c>
      <c r="V3413">
        <v>-7.2210940000000001E-2</v>
      </c>
      <c r="W3413">
        <v>7.6329609999999997E-3</v>
      </c>
      <c r="X3413">
        <v>0.99736020000000003</v>
      </c>
      <c r="Y3413">
        <v>-0.2281839</v>
      </c>
      <c r="Z3413">
        <v>3.1309570000000002E-2</v>
      </c>
      <c r="AA3413">
        <v>0.97311449999999999</v>
      </c>
      <c r="AB3413">
        <v>12</v>
      </c>
      <c r="AC3413">
        <v>13.236599999999999</v>
      </c>
      <c r="AD3413">
        <v>-1.1116879951346901</v>
      </c>
      <c r="AE3413">
        <v>-0.465299999999985</v>
      </c>
      <c r="AF3413">
        <v>-3.0446468557192001</v>
      </c>
      <c r="AG3413">
        <v>-1.1116879951346901</v>
      </c>
      <c r="AH3413">
        <v>12.7948577562896</v>
      </c>
      <c r="AI3413">
        <v>94.831463431135404</v>
      </c>
      <c r="AJ3413">
        <v>103.38509050533</v>
      </c>
      <c r="AK3413">
        <v>13.199019269561299</v>
      </c>
      <c r="AL3413">
        <v>89.562659313752704</v>
      </c>
      <c r="AM3413">
        <v>94.141106977018296</v>
      </c>
      <c r="AN3413">
        <v>1.0000000252466701</v>
      </c>
    </row>
    <row r="3414" spans="1:40" x14ac:dyDescent="0.25">
      <c r="A3414" t="str">
        <f>"20190312160706637"</f>
        <v>20190312160706637</v>
      </c>
      <c r="B3414" t="str">
        <f>"1552378026628597"</f>
        <v>1552378026628597</v>
      </c>
      <c r="C3414" t="s">
        <v>40</v>
      </c>
      <c r="D3414">
        <v>6.094627</v>
      </c>
      <c r="E3414">
        <v>0.44124140000000001</v>
      </c>
      <c r="F3414" t="s">
        <v>66</v>
      </c>
      <c r="G3414">
        <v>-462.0967</v>
      </c>
      <c r="H3414" s="1">
        <v>-4.7930929999999997E-7</v>
      </c>
      <c r="I3414">
        <v>215.9494</v>
      </c>
      <c r="J3414">
        <v>-474.24990000000003</v>
      </c>
      <c r="K3414">
        <v>1.1116170000000001</v>
      </c>
      <c r="L3414">
        <v>216.38290000000001</v>
      </c>
      <c r="M3414">
        <v>0.96532289999999998</v>
      </c>
      <c r="N3414">
        <v>0</v>
      </c>
      <c r="O3414">
        <v>-0.26069940000000003</v>
      </c>
      <c r="P3414">
        <v>0.98135479999999997</v>
      </c>
      <c r="Q3414">
        <v>-5.8350930000000004E-3</v>
      </c>
      <c r="R3414">
        <v>-0.19211690000000001</v>
      </c>
      <c r="S3414">
        <v>3.0346980000000001</v>
      </c>
      <c r="T3414">
        <v>-0.27502300000000002</v>
      </c>
      <c r="U3414">
        <v>-0.1134491</v>
      </c>
      <c r="V3414">
        <v>-7.0417919999999995E-2</v>
      </c>
      <c r="W3414">
        <v>7.5805100000000004E-3</v>
      </c>
      <c r="X3414">
        <v>0.99748879999999995</v>
      </c>
      <c r="Y3414">
        <v>-0.2225221</v>
      </c>
      <c r="Z3414">
        <v>3.3394550000000002E-2</v>
      </c>
      <c r="AA3414">
        <v>0.97435550000000004</v>
      </c>
      <c r="AB3414">
        <v>12</v>
      </c>
      <c r="AC3414">
        <v>12.1532</v>
      </c>
      <c r="AD3414">
        <v>-1.1116174793093001</v>
      </c>
      <c r="AE3414">
        <v>-0.43350000000000899</v>
      </c>
      <c r="AF3414">
        <v>-2.72733384736914</v>
      </c>
      <c r="AG3414">
        <v>-1.1116174793093001</v>
      </c>
      <c r="AH3414">
        <v>11.747726974579299</v>
      </c>
      <c r="AI3414">
        <v>95.266226941220907</v>
      </c>
      <c r="AJ3414">
        <v>103.070164512592</v>
      </c>
      <c r="AK3414">
        <v>12.1112812040911</v>
      </c>
      <c r="AL3414">
        <v>89.565664622256406</v>
      </c>
      <c r="AM3414">
        <v>94.038107614325</v>
      </c>
      <c r="AN3414">
        <v>1.00000002685721</v>
      </c>
    </row>
    <row r="3415" spans="1:40" x14ac:dyDescent="0.25">
      <c r="A3415" t="str">
        <f>"20190312160706657"</f>
        <v>20190312160706657</v>
      </c>
      <c r="B3415" t="str">
        <f>"1552378026648115"</f>
        <v>1552378026648115</v>
      </c>
      <c r="C3415" t="s">
        <v>40</v>
      </c>
      <c r="D3415">
        <v>6.1017380000000001</v>
      </c>
      <c r="E3415">
        <v>0.44215019999999999</v>
      </c>
      <c r="F3415" t="s">
        <v>66</v>
      </c>
      <c r="G3415">
        <v>-462.06130000000002</v>
      </c>
      <c r="H3415" s="1">
        <v>-4.9766889999999996E-7</v>
      </c>
      <c r="I3415">
        <v>215.9391</v>
      </c>
      <c r="J3415">
        <v>-474.14409999999998</v>
      </c>
      <c r="K3415">
        <v>1.1115660000000001</v>
      </c>
      <c r="L3415">
        <v>216.36</v>
      </c>
      <c r="M3415">
        <v>0.96650150000000001</v>
      </c>
      <c r="N3415">
        <v>0</v>
      </c>
      <c r="O3415">
        <v>-0.25629600000000002</v>
      </c>
      <c r="P3415">
        <v>0.98199879999999995</v>
      </c>
      <c r="Q3415">
        <v>-6.5368939999999997E-3</v>
      </c>
      <c r="R3415">
        <v>-0.18877440000000001</v>
      </c>
      <c r="S3415">
        <v>3.033722</v>
      </c>
      <c r="T3415">
        <v>-0.27667960000000003</v>
      </c>
      <c r="U3415">
        <v>-0.11047360000000001</v>
      </c>
      <c r="V3415">
        <v>-6.9262420000000005E-2</v>
      </c>
      <c r="W3415">
        <v>6.8786250000000002E-3</v>
      </c>
      <c r="X3415">
        <v>0.99757470000000004</v>
      </c>
      <c r="Y3415">
        <v>-0.21902740000000001</v>
      </c>
      <c r="Z3415">
        <v>3.305893E-2</v>
      </c>
      <c r="AA3415">
        <v>0.97515850000000004</v>
      </c>
      <c r="AB3415">
        <v>12</v>
      </c>
      <c r="AC3415">
        <v>12.082799999999899</v>
      </c>
      <c r="AD3415">
        <v>-1.1115664976688999</v>
      </c>
      <c r="AE3415">
        <v>-0.42090000000001698</v>
      </c>
      <c r="AF3415">
        <v>-2.66767489756253</v>
      </c>
      <c r="AG3415">
        <v>-1.1115664976688999</v>
      </c>
      <c r="AH3415">
        <v>11.688222560742499</v>
      </c>
      <c r="AI3415">
        <v>95.297158253207996</v>
      </c>
      <c r="AJ3415">
        <v>102.856743886009</v>
      </c>
      <c r="AK3415">
        <v>12.040208306639601</v>
      </c>
      <c r="AL3415">
        <v>89.605880687042998</v>
      </c>
      <c r="AM3415">
        <v>93.971718524222695</v>
      </c>
      <c r="AN3415">
        <v>0.999999940193116</v>
      </c>
    </row>
    <row r="3416" spans="1:40" x14ac:dyDescent="0.25">
      <c r="A3416" t="str">
        <f>"20190312160706680"</f>
        <v>20190312160706680</v>
      </c>
      <c r="B3416" t="str">
        <f>"1552378026668612"</f>
        <v>1552378026668612</v>
      </c>
      <c r="C3416" t="s">
        <v>40</v>
      </c>
      <c r="D3416">
        <v>6.0814969999999997</v>
      </c>
      <c r="E3416">
        <v>0.44291079999999999</v>
      </c>
      <c r="F3416" t="s">
        <v>66</v>
      </c>
      <c r="G3416">
        <v>-462.11329999999998</v>
      </c>
      <c r="H3416" s="1">
        <v>-4.6982870000000001E-7</v>
      </c>
      <c r="I3416">
        <v>215.93510000000001</v>
      </c>
      <c r="J3416">
        <v>-474.0292</v>
      </c>
      <c r="K3416">
        <v>1.111515</v>
      </c>
      <c r="L3416">
        <v>216.3355</v>
      </c>
      <c r="M3416">
        <v>0.96773310000000001</v>
      </c>
      <c r="N3416">
        <v>0</v>
      </c>
      <c r="O3416">
        <v>-0.25160670000000002</v>
      </c>
      <c r="P3416">
        <v>0.98270239999999998</v>
      </c>
      <c r="Q3416">
        <v>-6.4206879999999999E-3</v>
      </c>
      <c r="R3416">
        <v>-0.1850812</v>
      </c>
      <c r="S3416">
        <v>3.0325319999999998</v>
      </c>
      <c r="T3416">
        <v>-0.28018559999999998</v>
      </c>
      <c r="U3416">
        <v>-0.1071014</v>
      </c>
      <c r="V3416">
        <v>-6.8174910000000005E-2</v>
      </c>
      <c r="W3416">
        <v>6.9930629999999999E-3</v>
      </c>
      <c r="X3416">
        <v>0.99764889999999995</v>
      </c>
      <c r="Y3416">
        <v>-0.21534900000000001</v>
      </c>
      <c r="Z3416">
        <v>3.2900899999999997E-2</v>
      </c>
      <c r="AA3416">
        <v>0.97598269999999998</v>
      </c>
      <c r="AB3416">
        <v>12</v>
      </c>
      <c r="AC3416">
        <v>11.915900000000001</v>
      </c>
      <c r="AD3416">
        <v>-1.1115154698287</v>
      </c>
      <c r="AE3416">
        <v>-0.40039999999998999</v>
      </c>
      <c r="AF3416">
        <v>-2.5883871228994901</v>
      </c>
      <c r="AG3416">
        <v>-1.1115154698287</v>
      </c>
      <c r="AH3416">
        <v>11.533002909853501</v>
      </c>
      <c r="AI3416">
        <v>95.372163949997002</v>
      </c>
      <c r="AJ3416">
        <v>102.649461644434</v>
      </c>
      <c r="AK3416">
        <v>11.8720415538504</v>
      </c>
      <c r="AL3416">
        <v>89.599323748286096</v>
      </c>
      <c r="AM3416">
        <v>93.909262432982203</v>
      </c>
      <c r="AN3416">
        <v>1.0000000244774101</v>
      </c>
    </row>
    <row r="3417" spans="1:40" x14ac:dyDescent="0.25">
      <c r="A3417" t="str">
        <f>"20190312160706702"</f>
        <v>20190312160706702</v>
      </c>
      <c r="B3417" t="str">
        <f>"1552378026698867"</f>
        <v>1552378026698867</v>
      </c>
      <c r="C3417" t="s">
        <v>40</v>
      </c>
      <c r="D3417">
        <v>6.0901719999999999</v>
      </c>
      <c r="E3417">
        <v>0.44409530000000003</v>
      </c>
      <c r="F3417" t="s">
        <v>66</v>
      </c>
      <c r="G3417">
        <v>-461.88099999999997</v>
      </c>
      <c r="H3417" s="1">
        <v>-5.9313910000000005E-7</v>
      </c>
      <c r="I3417">
        <v>215.928</v>
      </c>
      <c r="J3417">
        <v>-473.91140000000001</v>
      </c>
      <c r="K3417">
        <v>1.111467</v>
      </c>
      <c r="L3417">
        <v>216.3109</v>
      </c>
      <c r="M3417">
        <v>0.96894429999999998</v>
      </c>
      <c r="N3417">
        <v>0</v>
      </c>
      <c r="O3417">
        <v>-0.24690210000000001</v>
      </c>
      <c r="P3417">
        <v>0.98344730000000002</v>
      </c>
      <c r="Q3417">
        <v>-6.9720090000000004E-3</v>
      </c>
      <c r="R3417">
        <v>-0.1810602</v>
      </c>
      <c r="S3417">
        <v>3.0318299999999998</v>
      </c>
      <c r="T3417">
        <v>-0.27740100000000001</v>
      </c>
      <c r="U3417">
        <v>-0.1017151</v>
      </c>
      <c r="V3417">
        <v>-6.740496E-2</v>
      </c>
      <c r="W3417">
        <v>6.4375589999999998E-3</v>
      </c>
      <c r="X3417">
        <v>0.99770490000000001</v>
      </c>
      <c r="Y3417">
        <v>-0.212398</v>
      </c>
      <c r="Z3417">
        <v>3.2032350000000001E-2</v>
      </c>
      <c r="AA3417">
        <v>0.97665809999999997</v>
      </c>
      <c r="AB3417">
        <v>12</v>
      </c>
      <c r="AC3417">
        <v>12.0304</v>
      </c>
      <c r="AD3417">
        <v>-1.1114675931391</v>
      </c>
      <c r="AE3417">
        <v>-0.38290000000000601</v>
      </c>
      <c r="AF3417">
        <v>-2.57758546320215</v>
      </c>
      <c r="AG3417">
        <v>-1.1114675931391</v>
      </c>
      <c r="AH3417">
        <v>11.6530560540926</v>
      </c>
      <c r="AI3417">
        <v>95.320545585467698</v>
      </c>
      <c r="AJ3417">
        <v>102.472652178312</v>
      </c>
      <c r="AK3417">
        <v>11.9863681918475</v>
      </c>
      <c r="AL3417">
        <v>89.631152479881294</v>
      </c>
      <c r="AM3417">
        <v>93.865030519770897</v>
      </c>
      <c r="AN3417">
        <v>0.99999996914124401</v>
      </c>
    </row>
    <row r="3418" spans="1:40" x14ac:dyDescent="0.25">
      <c r="A3418" t="str">
        <f>"20190312160706723"</f>
        <v>20190312160706723</v>
      </c>
      <c r="B3418" t="str">
        <f>"1552378026718388"</f>
        <v>1552378026718388</v>
      </c>
      <c r="C3418" t="s">
        <v>40</v>
      </c>
      <c r="D3418">
        <v>6.1247980000000002</v>
      </c>
      <c r="E3418">
        <v>0.44494010000000001</v>
      </c>
      <c r="F3418" t="s">
        <v>66</v>
      </c>
      <c r="G3418">
        <v>-461.75360000000001</v>
      </c>
      <c r="H3418" s="1">
        <v>-6.6048469999999899E-7</v>
      </c>
      <c r="I3418">
        <v>215.91720000000001</v>
      </c>
      <c r="J3418">
        <v>-473.80810000000002</v>
      </c>
      <c r="K3418">
        <v>1.1114170000000001</v>
      </c>
      <c r="L3418">
        <v>216.28970000000001</v>
      </c>
      <c r="M3418">
        <v>0.96996099999999996</v>
      </c>
      <c r="N3418">
        <v>0</v>
      </c>
      <c r="O3418">
        <v>-0.2428778</v>
      </c>
      <c r="P3418">
        <v>0.98396439999999996</v>
      </c>
      <c r="Q3418">
        <v>-7.641536E-3</v>
      </c>
      <c r="R3418">
        <v>-0.1782012</v>
      </c>
      <c r="S3418">
        <v>3.0304570000000002</v>
      </c>
      <c r="T3418">
        <v>-0.27704479999999998</v>
      </c>
      <c r="U3418">
        <v>-9.8129270000000005E-2</v>
      </c>
      <c r="V3418">
        <v>-6.6158739999999994E-2</v>
      </c>
      <c r="W3418">
        <v>5.766663E-3</v>
      </c>
      <c r="X3418">
        <v>0.99779240000000002</v>
      </c>
      <c r="Y3418">
        <v>-0.2095128</v>
      </c>
      <c r="Z3418">
        <v>3.1518030000000002E-2</v>
      </c>
      <c r="AA3418">
        <v>0.97729779999999999</v>
      </c>
      <c r="AB3418">
        <v>12</v>
      </c>
      <c r="AC3418">
        <v>12.054500000000001</v>
      </c>
      <c r="AD3418">
        <v>-1.1114176604846999</v>
      </c>
      <c r="AE3418">
        <v>-0.372500000000002</v>
      </c>
      <c r="AF3418">
        <v>-2.54508429066607</v>
      </c>
      <c r="AG3418">
        <v>-1.1114176604846999</v>
      </c>
      <c r="AH3418">
        <v>11.6847290471137</v>
      </c>
      <c r="AI3418">
        <v>95.309705670122497</v>
      </c>
      <c r="AJ3418">
        <v>102.287835295908</v>
      </c>
      <c r="AK3418">
        <v>12.010228814102399</v>
      </c>
      <c r="AL3418">
        <v>89.669592701558301</v>
      </c>
      <c r="AM3418">
        <v>93.793450626509994</v>
      </c>
      <c r="AN3418">
        <v>0.99999995338915004</v>
      </c>
    </row>
    <row r="3419" spans="1:40" x14ac:dyDescent="0.25">
      <c r="A3419" t="str">
        <f>"20190312160706747"</f>
        <v>20190312160706747</v>
      </c>
      <c r="B3419" t="str">
        <f>"1552378026738884"</f>
        <v>1552378026738884</v>
      </c>
      <c r="C3419" t="s">
        <v>40</v>
      </c>
      <c r="D3419">
        <v>6.1020880000000002</v>
      </c>
      <c r="E3419">
        <v>0.44578479999999998</v>
      </c>
      <c r="F3419" t="s">
        <v>66</v>
      </c>
      <c r="G3419">
        <v>-461.73399999999998</v>
      </c>
      <c r="H3419" s="1">
        <v>-6.7046980000000001E-7</v>
      </c>
      <c r="I3419">
        <v>215.90719999999999</v>
      </c>
      <c r="J3419">
        <v>-473.68369999999999</v>
      </c>
      <c r="K3419">
        <v>1.1113519999999999</v>
      </c>
      <c r="L3419">
        <v>216.2646</v>
      </c>
      <c r="M3419">
        <v>0.97113190000000005</v>
      </c>
      <c r="N3419">
        <v>0</v>
      </c>
      <c r="O3419">
        <v>-0.2381538</v>
      </c>
      <c r="P3419">
        <v>0.98460289999999995</v>
      </c>
      <c r="Q3419">
        <v>-8.3718390000000007E-3</v>
      </c>
      <c r="R3419">
        <v>-0.17460729999999999</v>
      </c>
      <c r="S3419">
        <v>3.0293269999999999</v>
      </c>
      <c r="T3419">
        <v>-0.2788484</v>
      </c>
      <c r="U3419">
        <v>-9.5977779999999999E-2</v>
      </c>
      <c r="V3419">
        <v>-6.4941399999999996E-2</v>
      </c>
      <c r="W3419">
        <v>5.0342499999999997E-3</v>
      </c>
      <c r="X3419">
        <v>0.9978764</v>
      </c>
      <c r="Y3419">
        <v>-0.2054455</v>
      </c>
      <c r="Z3419">
        <v>3.1125070000000001E-2</v>
      </c>
      <c r="AA3419">
        <v>0.97817350000000003</v>
      </c>
      <c r="AB3419">
        <v>12</v>
      </c>
      <c r="AC3419">
        <v>11.949699999999901</v>
      </c>
      <c r="AD3419">
        <v>-1.1113526704698</v>
      </c>
      <c r="AE3419">
        <v>-0.35740000000001199</v>
      </c>
      <c r="AF3419">
        <v>-2.4776050106173702</v>
      </c>
      <c r="AG3419">
        <v>-1.1113526704698</v>
      </c>
      <c r="AH3419">
        <v>11.5907715068216</v>
      </c>
      <c r="AI3419">
        <v>95.356639195757396</v>
      </c>
      <c r="AJ3419">
        <v>102.065774077751</v>
      </c>
      <c r="AK3419">
        <v>11.9046048010904</v>
      </c>
      <c r="AL3419">
        <v>89.711557509205605</v>
      </c>
      <c r="AM3419">
        <v>93.723535679456106</v>
      </c>
      <c r="AN3419">
        <v>1.00000001939199</v>
      </c>
    </row>
    <row r="3420" spans="1:40" x14ac:dyDescent="0.25">
      <c r="A3420" t="str">
        <f>"20190312160706770"</f>
        <v>20190312160706770</v>
      </c>
      <c r="B3420" t="str">
        <f>"1552378026758405"</f>
        <v>1552378026758405</v>
      </c>
      <c r="C3420" t="s">
        <v>40</v>
      </c>
      <c r="D3420">
        <v>6.0940180000000002</v>
      </c>
      <c r="E3420">
        <v>0.4461581</v>
      </c>
      <c r="F3420" t="s">
        <v>66</v>
      </c>
      <c r="G3420">
        <v>-461.71269999999998</v>
      </c>
      <c r="H3420" s="1">
        <v>-6.8159389999999996E-7</v>
      </c>
      <c r="I3420">
        <v>215.90270000000001</v>
      </c>
      <c r="J3420">
        <v>-473.5677</v>
      </c>
      <c r="K3420">
        <v>1.1112839999999999</v>
      </c>
      <c r="L3420">
        <v>216.24160000000001</v>
      </c>
      <c r="M3420">
        <v>0.9721689</v>
      </c>
      <c r="N3420">
        <v>0</v>
      </c>
      <c r="O3420">
        <v>-0.23388529999999999</v>
      </c>
      <c r="P3420">
        <v>0.98518340000000004</v>
      </c>
      <c r="Q3420">
        <v>-9.3508470000000007E-3</v>
      </c>
      <c r="R3420">
        <v>-0.1712494</v>
      </c>
      <c r="S3420">
        <v>3.0283199999999999</v>
      </c>
      <c r="T3420">
        <v>-0.28114210000000001</v>
      </c>
      <c r="U3420">
        <v>-9.1537480000000004E-2</v>
      </c>
      <c r="V3420">
        <v>-6.3954319999999995E-2</v>
      </c>
      <c r="W3420">
        <v>4.0529299999999997E-3</v>
      </c>
      <c r="X3420">
        <v>0.99794459999999996</v>
      </c>
      <c r="Y3420">
        <v>-0.20256730000000001</v>
      </c>
      <c r="Z3420">
        <v>3.0872759999999999E-2</v>
      </c>
      <c r="AA3420">
        <v>0.97878160000000003</v>
      </c>
      <c r="AB3420">
        <v>12</v>
      </c>
      <c r="AC3420">
        <v>11.855</v>
      </c>
      <c r="AD3420">
        <v>-1.1112846815938999</v>
      </c>
      <c r="AE3420">
        <v>-0.33889999999999498</v>
      </c>
      <c r="AF3420">
        <v>-2.4222017389125798</v>
      </c>
      <c r="AG3420">
        <v>-1.1112846815938999</v>
      </c>
      <c r="AH3420">
        <v>11.504393141030301</v>
      </c>
      <c r="AI3420">
        <v>95.399791594803403</v>
      </c>
      <c r="AJ3420">
        <v>101.88972740841901</v>
      </c>
      <c r="AK3420">
        <v>11.809025211715101</v>
      </c>
      <c r="AL3420">
        <v>89.767783581286196</v>
      </c>
      <c r="AM3420">
        <v>93.666845307547604</v>
      </c>
      <c r="AN3420">
        <v>1.0000000029787</v>
      </c>
    </row>
    <row r="3421" spans="1:40" x14ac:dyDescent="0.25">
      <c r="A3421" t="str">
        <f>"20190312160706793"</f>
        <v>20190312160706793</v>
      </c>
      <c r="B3421" t="str">
        <f>"1552378026788660"</f>
        <v>1552378026788660</v>
      </c>
      <c r="C3421" t="s">
        <v>40</v>
      </c>
      <c r="D3421">
        <v>6.108962</v>
      </c>
      <c r="E3421">
        <v>0.45527600000000001</v>
      </c>
      <c r="F3421" t="s">
        <v>66</v>
      </c>
      <c r="G3421">
        <v>-461.7242</v>
      </c>
      <c r="H3421" s="1">
        <v>-6.7590279999999995E-7</v>
      </c>
      <c r="I3421">
        <v>215.91229999999999</v>
      </c>
      <c r="J3421">
        <v>-473.44810000000001</v>
      </c>
      <c r="K3421">
        <v>1.11121</v>
      </c>
      <c r="L3421">
        <v>216.2182</v>
      </c>
      <c r="M3421">
        <v>0.97318450000000001</v>
      </c>
      <c r="N3421">
        <v>0</v>
      </c>
      <c r="O3421">
        <v>-0.22962450000000001</v>
      </c>
      <c r="P3421">
        <v>0.98570219999999997</v>
      </c>
      <c r="Q3421">
        <v>-9.8411009999999997E-3</v>
      </c>
      <c r="R3421">
        <v>-0.16821120000000001</v>
      </c>
      <c r="S3421">
        <v>3.0278320000000001</v>
      </c>
      <c r="T3421">
        <v>-0.28410279999999999</v>
      </c>
      <c r="U3421">
        <v>-8.4182740000000006E-2</v>
      </c>
      <c r="V3421">
        <v>-6.2656249999999997E-2</v>
      </c>
      <c r="W3421">
        <v>3.5622679999999999E-3</v>
      </c>
      <c r="X3421">
        <v>0.99802880000000005</v>
      </c>
      <c r="Y3421">
        <v>-0.2006356</v>
      </c>
      <c r="Z3421">
        <v>3.072387E-2</v>
      </c>
      <c r="AA3421">
        <v>0.97918400000000005</v>
      </c>
      <c r="AB3421">
        <v>12</v>
      </c>
      <c r="AC3421">
        <v>11.7239</v>
      </c>
      <c r="AD3421">
        <v>-1.1112106759028</v>
      </c>
      <c r="AE3421">
        <v>-0.305900000000008</v>
      </c>
      <c r="AF3421">
        <v>-2.3733121788301199</v>
      </c>
      <c r="AG3421">
        <v>-1.1112106759028</v>
      </c>
      <c r="AH3421">
        <v>11.378667721505099</v>
      </c>
      <c r="AI3421">
        <v>95.460881632255294</v>
      </c>
      <c r="AJ3421">
        <v>101.781590444017</v>
      </c>
      <c r="AK3421">
        <v>11.6765354014299</v>
      </c>
      <c r="AL3421">
        <v>89.795896644499507</v>
      </c>
      <c r="AM3421">
        <v>93.592314601572696</v>
      </c>
      <c r="AN3421">
        <v>0.99999999052340305</v>
      </c>
    </row>
    <row r="3422" spans="1:40" x14ac:dyDescent="0.25">
      <c r="A3422" t="str">
        <f>"20190312160706815"</f>
        <v>20190312160706815</v>
      </c>
      <c r="B3422" t="str">
        <f>"1552378026808180"</f>
        <v>1552378026808180</v>
      </c>
      <c r="C3422" t="s">
        <v>40</v>
      </c>
      <c r="D3422">
        <v>6.0704760000000002</v>
      </c>
      <c r="E3422">
        <v>0.4559609</v>
      </c>
      <c r="F3422" t="s">
        <v>66</v>
      </c>
      <c r="G3422">
        <v>-461.61090000000002</v>
      </c>
      <c r="H3422" s="1">
        <v>-7.2437319999999998E-7</v>
      </c>
      <c r="I3422">
        <v>215.6422</v>
      </c>
      <c r="J3422">
        <v>-473.33800000000002</v>
      </c>
      <c r="K3422">
        <v>1.1111340000000001</v>
      </c>
      <c r="L3422">
        <v>216.197</v>
      </c>
      <c r="M3422">
        <v>0.97406720000000002</v>
      </c>
      <c r="N3422">
        <v>0</v>
      </c>
      <c r="O3422">
        <v>-0.22585140000000001</v>
      </c>
      <c r="P3422">
        <v>0.98626860000000005</v>
      </c>
      <c r="Q3422">
        <v>-9.7940719999999992E-3</v>
      </c>
      <c r="R3422">
        <v>-0.16485929999999999</v>
      </c>
      <c r="S3422">
        <v>3.0156559999999999</v>
      </c>
      <c r="T3422">
        <v>-0.28309329999999999</v>
      </c>
      <c r="U3422">
        <v>-0.146759</v>
      </c>
      <c r="V3422">
        <v>-6.218129E-2</v>
      </c>
      <c r="W3422">
        <v>3.6066140000000002E-3</v>
      </c>
      <c r="X3422">
        <v>0.99805840000000001</v>
      </c>
      <c r="Y3422">
        <v>-0.1765061</v>
      </c>
      <c r="Z3422">
        <v>2.9238819999999999E-2</v>
      </c>
      <c r="AA3422">
        <v>0.98386510000000005</v>
      </c>
      <c r="AB3422">
        <v>12</v>
      </c>
      <c r="AC3422">
        <v>11.7271</v>
      </c>
      <c r="AD3422">
        <v>-1.1111347243731999</v>
      </c>
      <c r="AE3422">
        <v>-0.55479999999999996</v>
      </c>
      <c r="AF3422">
        <v>-2.08964593310878</v>
      </c>
      <c r="AG3422">
        <v>-1.1111347243731999</v>
      </c>
      <c r="AH3422">
        <v>11.446816222643299</v>
      </c>
      <c r="AI3422">
        <v>95.454704371020398</v>
      </c>
      <c r="AJ3422">
        <v>100.345573099831</v>
      </c>
      <c r="AK3422">
        <v>11.688919630848501</v>
      </c>
      <c r="AL3422">
        <v>89.793355800802601</v>
      </c>
      <c r="AM3422">
        <v>93.565048428225197</v>
      </c>
      <c r="AN3422">
        <v>1.0000000451505799</v>
      </c>
    </row>
    <row r="3423" spans="1:40" x14ac:dyDescent="0.25">
      <c r="A3423" t="str">
        <f>"20190312160706835"</f>
        <v>20190312160706835</v>
      </c>
      <c r="B3423" t="str">
        <f>"1552378026828676"</f>
        <v>1552378026828676</v>
      </c>
      <c r="C3423" t="s">
        <v>40</v>
      </c>
      <c r="D3423">
        <v>6.0905469999999999</v>
      </c>
      <c r="E3423">
        <v>0.45642529999999998</v>
      </c>
      <c r="F3423" t="s">
        <v>66</v>
      </c>
      <c r="G3423">
        <v>-461.80509999999998</v>
      </c>
      <c r="H3423" s="1">
        <v>-6.2154689999999998E-7</v>
      </c>
      <c r="I3423">
        <v>215.65379999999999</v>
      </c>
      <c r="J3423">
        <v>-473.23509999999999</v>
      </c>
      <c r="K3423">
        <v>1.1110599999999999</v>
      </c>
      <c r="L3423">
        <v>216.17740000000001</v>
      </c>
      <c r="M3423">
        <v>0.97484550000000003</v>
      </c>
      <c r="N3423">
        <v>0</v>
      </c>
      <c r="O3423">
        <v>-0.22246879999999999</v>
      </c>
      <c r="P3423">
        <v>0.98675599999999997</v>
      </c>
      <c r="Q3423">
        <v>-1.021824E-2</v>
      </c>
      <c r="R3423">
        <v>-0.1618897</v>
      </c>
      <c r="S3423">
        <v>3.0151370000000002</v>
      </c>
      <c r="T3423">
        <v>-0.29049419999999998</v>
      </c>
      <c r="U3423">
        <v>-0.14199829999999999</v>
      </c>
      <c r="V3423">
        <v>-6.1718309999999998E-2</v>
      </c>
      <c r="W3423">
        <v>3.179847E-3</v>
      </c>
      <c r="X3423">
        <v>0.99808850000000005</v>
      </c>
      <c r="Y3423">
        <v>-0.17456240000000001</v>
      </c>
      <c r="Z3423">
        <v>2.959583E-2</v>
      </c>
      <c r="AA3423">
        <v>0.98420129999999995</v>
      </c>
      <c r="AB3423">
        <v>12</v>
      </c>
      <c r="AC3423">
        <v>11.43</v>
      </c>
      <c r="AD3423">
        <v>-1.1110606215469001</v>
      </c>
      <c r="AE3423">
        <v>-0.52360000000001605</v>
      </c>
      <c r="AF3423">
        <v>-2.0135897242321299</v>
      </c>
      <c r="AG3423">
        <v>-1.1110606215469001</v>
      </c>
      <c r="AH3423">
        <v>11.1548235165313</v>
      </c>
      <c r="AI3423">
        <v>95.598216382659004</v>
      </c>
      <c r="AJ3423">
        <v>100.232436828356</v>
      </c>
      <c r="AK3423">
        <v>11.3894287375287</v>
      </c>
      <c r="AL3423">
        <v>89.817807872625906</v>
      </c>
      <c r="AM3423">
        <v>93.538465586455899</v>
      </c>
      <c r="AN3423">
        <v>0.99999995752422299</v>
      </c>
    </row>
    <row r="3424" spans="1:40" x14ac:dyDescent="0.25">
      <c r="A3424" t="str">
        <f>"20190312160706858"</f>
        <v>20190312160706858</v>
      </c>
      <c r="B3424" t="str">
        <f>"1552378026848196"</f>
        <v>1552378026848196</v>
      </c>
      <c r="C3424" t="s">
        <v>40</v>
      </c>
      <c r="D3424">
        <v>6.1300330000000001</v>
      </c>
      <c r="E3424">
        <v>0.45701649999999999</v>
      </c>
      <c r="F3424" t="s">
        <v>66</v>
      </c>
      <c r="G3424">
        <v>-461.99810000000002</v>
      </c>
      <c r="H3424" s="1">
        <v>-5.194677E-7</v>
      </c>
      <c r="I3424">
        <v>215.6679</v>
      </c>
      <c r="J3424">
        <v>-473.11450000000002</v>
      </c>
      <c r="K3424">
        <v>1.1109849999999999</v>
      </c>
      <c r="L3424">
        <v>216.15469999999999</v>
      </c>
      <c r="M3424">
        <v>0.97570889999999999</v>
      </c>
      <c r="N3424">
        <v>0</v>
      </c>
      <c r="O3424">
        <v>-0.2186516</v>
      </c>
      <c r="P3424">
        <v>0.98734390000000005</v>
      </c>
      <c r="Q3424">
        <v>-1.081417E-2</v>
      </c>
      <c r="R3424">
        <v>-0.15822459999999999</v>
      </c>
      <c r="S3424">
        <v>3.0147400000000002</v>
      </c>
      <c r="T3424">
        <v>-0.29808259999999998</v>
      </c>
      <c r="U3424">
        <v>-0.13670350000000001</v>
      </c>
      <c r="V3424">
        <v>-6.1514249999999999E-2</v>
      </c>
      <c r="W3424">
        <v>2.5785579999999999E-3</v>
      </c>
      <c r="X3424">
        <v>0.99810290000000002</v>
      </c>
      <c r="Y3424">
        <v>-0.17235989999999901</v>
      </c>
      <c r="Z3424">
        <v>2.989466E-2</v>
      </c>
      <c r="AA3424">
        <v>0.98458029999999996</v>
      </c>
      <c r="AB3424">
        <v>12</v>
      </c>
      <c r="AC3424">
        <v>11.116400000000001</v>
      </c>
      <c r="AD3424">
        <v>-1.1109855194677001</v>
      </c>
      <c r="AE3424">
        <v>-0.48679999999998802</v>
      </c>
      <c r="AF3424">
        <v>-1.93651776578965</v>
      </c>
      <c r="AG3424">
        <v>-1.1109855194677001</v>
      </c>
      <c r="AH3424">
        <v>10.8456938068854</v>
      </c>
      <c r="AI3424">
        <v>95.758286803155698</v>
      </c>
      <c r="AJ3424">
        <v>100.123579796717</v>
      </c>
      <c r="AK3424">
        <v>11.073096406805</v>
      </c>
      <c r="AL3424">
        <v>89.852259349409906</v>
      </c>
      <c r="AM3424">
        <v>93.526745138757803</v>
      </c>
      <c r="AN3424">
        <v>1.0000000254514101</v>
      </c>
    </row>
    <row r="3425" spans="1:40" x14ac:dyDescent="0.25">
      <c r="A3425" t="str">
        <f>"20190312160706880"</f>
        <v>20190312160706880</v>
      </c>
      <c r="B3425" t="str">
        <f>"1552378026868695"</f>
        <v>1552378026868695</v>
      </c>
      <c r="C3425" t="s">
        <v>40</v>
      </c>
      <c r="D3425">
        <v>6.11076</v>
      </c>
      <c r="E3425">
        <v>0.45744449999999998</v>
      </c>
      <c r="F3425" t="s">
        <v>66</v>
      </c>
      <c r="G3425">
        <v>-461.91609999999997</v>
      </c>
      <c r="H3425" s="1">
        <v>-5.6325889999999996E-7</v>
      </c>
      <c r="I3425">
        <v>215.67099999999999</v>
      </c>
      <c r="J3425">
        <v>-473.00529999999998</v>
      </c>
      <c r="K3425">
        <v>1.1109370000000001</v>
      </c>
      <c r="L3425">
        <v>216.1344</v>
      </c>
      <c r="M3425">
        <v>0.97644989999999998</v>
      </c>
      <c r="N3425">
        <v>0</v>
      </c>
      <c r="O3425">
        <v>-0.2153196</v>
      </c>
      <c r="P3425">
        <v>0.98793160000000002</v>
      </c>
      <c r="Q3425">
        <v>-1.099841E-2</v>
      </c>
      <c r="R3425">
        <v>-0.15450079999999999</v>
      </c>
      <c r="S3425">
        <v>3.014313</v>
      </c>
      <c r="T3425">
        <v>-0.29904599999999998</v>
      </c>
      <c r="U3425">
        <v>-0.13020319999999999</v>
      </c>
      <c r="V3425">
        <v>-6.1869309999999997E-2</v>
      </c>
      <c r="W3425">
        <v>2.3863930000000001E-3</v>
      </c>
      <c r="X3425">
        <v>0.99808140000000001</v>
      </c>
      <c r="Y3425">
        <v>-0.17111970000000001</v>
      </c>
      <c r="Z3425">
        <v>2.9613589999999999E-2</v>
      </c>
      <c r="AA3425">
        <v>0.98480509999999999</v>
      </c>
      <c r="AB3425">
        <v>12</v>
      </c>
      <c r="AC3425">
        <v>11.0892</v>
      </c>
      <c r="AD3425">
        <v>-1.11093756325889</v>
      </c>
      <c r="AE3425">
        <v>-0.46340000000000697</v>
      </c>
      <c r="AF3425">
        <v>-1.91621397902511</v>
      </c>
      <c r="AG3425">
        <v>-1.11093756325889</v>
      </c>
      <c r="AH3425">
        <v>10.820418743114701</v>
      </c>
      <c r="AI3425">
        <v>95.772841424558393</v>
      </c>
      <c r="AJ3425">
        <v>100.042527602972</v>
      </c>
      <c r="AK3425">
        <v>11.0447960623644</v>
      </c>
      <c r="AL3425">
        <v>89.863269622203006</v>
      </c>
      <c r="AM3425">
        <v>93.547125887418801</v>
      </c>
      <c r="AN3425">
        <v>0.99999999370869297</v>
      </c>
    </row>
    <row r="3426" spans="1:40" x14ac:dyDescent="0.25">
      <c r="A3426" t="str">
        <f>"20190312160706902"</f>
        <v>20190312160706902</v>
      </c>
      <c r="B3426" t="str">
        <f>"1552378026898947"</f>
        <v>1552378026898947</v>
      </c>
      <c r="C3426" t="s">
        <v>40</v>
      </c>
      <c r="D3426">
        <v>6.0616729999999999</v>
      </c>
      <c r="E3426">
        <v>0.44406709999999999</v>
      </c>
      <c r="F3426" t="s">
        <v>66</v>
      </c>
      <c r="G3426">
        <v>-461.83920000000001</v>
      </c>
      <c r="H3426" s="1">
        <v>-6.0456200000000001E-7</v>
      </c>
      <c r="I3426">
        <v>215.68020000000001</v>
      </c>
      <c r="J3426">
        <v>-472.89389999999997</v>
      </c>
      <c r="K3426">
        <v>1.110892</v>
      </c>
      <c r="L3426">
        <v>216.114</v>
      </c>
      <c r="M3426">
        <v>0.97716530000000001</v>
      </c>
      <c r="N3426">
        <v>0</v>
      </c>
      <c r="O3426">
        <v>-0.21204970000000001</v>
      </c>
      <c r="P3426">
        <v>0.98848309999999995</v>
      </c>
      <c r="Q3426">
        <v>-1.100983E-2</v>
      </c>
      <c r="R3426">
        <v>-0.1509306</v>
      </c>
      <c r="S3426">
        <v>3.0140690000000001</v>
      </c>
      <c r="T3426">
        <v>-0.29987560000000002</v>
      </c>
      <c r="U3426">
        <v>-0.1226044</v>
      </c>
      <c r="V3426">
        <v>-6.2133929999999997E-2</v>
      </c>
      <c r="W3426">
        <v>2.366843E-3</v>
      </c>
      <c r="X3426">
        <v>0.99806499999999998</v>
      </c>
      <c r="Y3426">
        <v>-0.17030590000000001</v>
      </c>
      <c r="Z3426">
        <v>2.9342409999999999E-2</v>
      </c>
      <c r="AA3426">
        <v>0.98495429999999995</v>
      </c>
      <c r="AB3426">
        <v>12</v>
      </c>
      <c r="AC3426">
        <v>11.054699999999899</v>
      </c>
      <c r="AD3426">
        <v>-1.110892604562</v>
      </c>
      <c r="AE3426">
        <v>-0.43379999999999003</v>
      </c>
      <c r="AF3426">
        <v>-1.90125711179123</v>
      </c>
      <c r="AG3426">
        <v>-1.110892604562</v>
      </c>
      <c r="AH3426">
        <v>10.786494549300899</v>
      </c>
      <c r="AI3426">
        <v>95.791458987758105</v>
      </c>
      <c r="AJ3426">
        <v>99.996430368513003</v>
      </c>
      <c r="AK3426">
        <v>11.008965693747299</v>
      </c>
      <c r="AL3426">
        <v>89.864389756778806</v>
      </c>
      <c r="AM3426">
        <v>93.562316629369903</v>
      </c>
      <c r="AN3426">
        <v>0.99999998571401505</v>
      </c>
    </row>
    <row r="3427" spans="1:40" x14ac:dyDescent="0.25">
      <c r="A3427" t="str">
        <f>"20190312160706925"</f>
        <v>20190312160706925</v>
      </c>
      <c r="B3427" t="str">
        <f>"1552378026918468"</f>
        <v>1552378026918468</v>
      </c>
      <c r="C3427" t="s">
        <v>40</v>
      </c>
      <c r="D3427">
        <v>6.0531420000000002</v>
      </c>
      <c r="E3427">
        <v>0.44317970000000001</v>
      </c>
      <c r="F3427" t="s">
        <v>66</v>
      </c>
      <c r="G3427">
        <v>-458.64890000000003</v>
      </c>
      <c r="H3427" s="1">
        <v>3.0018799999999999E-6</v>
      </c>
      <c r="I3427">
        <v>216.0771</v>
      </c>
      <c r="J3427">
        <v>-472.77980000000002</v>
      </c>
      <c r="K3427">
        <v>1.110849</v>
      </c>
      <c r="L3427">
        <v>216.0933</v>
      </c>
      <c r="M3427">
        <v>0.97785420000000001</v>
      </c>
      <c r="N3427">
        <v>0</v>
      </c>
      <c r="O3427">
        <v>-0.20885100000000001</v>
      </c>
      <c r="P3427">
        <v>0.98906150000000004</v>
      </c>
      <c r="Q3427">
        <v>-1.1207780000000001E-2</v>
      </c>
      <c r="R3427">
        <v>-0.14707879999999901</v>
      </c>
      <c r="S3427">
        <v>3.0311279999999998</v>
      </c>
      <c r="T3427">
        <v>-0.23638190000000001</v>
      </c>
      <c r="U3427">
        <v>-7.8430180000000002E-3</v>
      </c>
      <c r="V3427">
        <v>-6.275501E-2</v>
      </c>
      <c r="W3427">
        <v>2.1608500000000002E-3</v>
      </c>
      <c r="X3427">
        <v>0.99802659999999999</v>
      </c>
      <c r="Y3427">
        <v>-0.20508940000000001</v>
      </c>
      <c r="Z3427">
        <v>2.4156850000000001E-2</v>
      </c>
      <c r="AA3427">
        <v>0.97844509999999996</v>
      </c>
      <c r="AB3427">
        <v>12</v>
      </c>
      <c r="AC3427">
        <v>14.130899999999899</v>
      </c>
      <c r="AD3427">
        <v>-1.1108459981200001</v>
      </c>
      <c r="AE3427">
        <v>-1.6199999999997699E-2</v>
      </c>
      <c r="AF3427">
        <v>-2.9176489389547902</v>
      </c>
      <c r="AG3427">
        <v>-1.1108459981200001</v>
      </c>
      <c r="AH3427">
        <v>13.737709200128201</v>
      </c>
      <c r="AI3427">
        <v>94.522501110042697</v>
      </c>
      <c r="AJ3427">
        <v>101.990457428602</v>
      </c>
      <c r="AK3427">
        <v>14.087984533985299</v>
      </c>
      <c r="AL3427">
        <v>89.876192315696002</v>
      </c>
      <c r="AM3427">
        <v>93.597969925801806</v>
      </c>
      <c r="AN3427">
        <v>0.99999997743019098</v>
      </c>
    </row>
    <row r="3428" spans="1:40" x14ac:dyDescent="0.25">
      <c r="A3428" t="str">
        <f>"20190312160706948"</f>
        <v>20190312160706948</v>
      </c>
      <c r="B3428" t="str">
        <f>"1552378026938963"</f>
        <v>1552378026938963</v>
      </c>
      <c r="C3428" t="s">
        <v>40</v>
      </c>
      <c r="D3428">
        <v>6.0679959999999999</v>
      </c>
      <c r="E3428">
        <v>0.4432237</v>
      </c>
      <c r="F3428" t="s">
        <v>66</v>
      </c>
      <c r="G3428">
        <v>-459.84719999999999</v>
      </c>
      <c r="H3428" s="1">
        <v>3.6368040000000002E-6</v>
      </c>
      <c r="I3428">
        <v>216.14009999999999</v>
      </c>
      <c r="J3428">
        <v>-472.66199999999998</v>
      </c>
      <c r="K3428">
        <v>1.1107910000000001</v>
      </c>
      <c r="L3428">
        <v>216.07210000000001</v>
      </c>
      <c r="M3428">
        <v>0.97852090000000003</v>
      </c>
      <c r="N3428">
        <v>0</v>
      </c>
      <c r="O3428">
        <v>-0.20570640000000001</v>
      </c>
      <c r="P3428">
        <v>0.98956699999999997</v>
      </c>
      <c r="Q3428">
        <v>-1.159459E-2</v>
      </c>
      <c r="R3428">
        <v>-0.1436067</v>
      </c>
      <c r="S3428">
        <v>3.0318299999999998</v>
      </c>
      <c r="T3428">
        <v>-0.26041950000000003</v>
      </c>
      <c r="U3428">
        <v>1.0971069999999999E-2</v>
      </c>
      <c r="V3428">
        <v>-6.3046779999999997E-2</v>
      </c>
      <c r="W3428">
        <v>1.76889E-3</v>
      </c>
      <c r="X3428">
        <v>0.99800900000000003</v>
      </c>
      <c r="Y3428">
        <v>-0.2077504</v>
      </c>
      <c r="Z3428">
        <v>2.6450330000000001E-2</v>
      </c>
      <c r="AA3428">
        <v>0.97782420000000003</v>
      </c>
      <c r="AB3428">
        <v>12</v>
      </c>
      <c r="AC3428">
        <v>12.8147999999999</v>
      </c>
      <c r="AD3428">
        <v>-1.1107873631959999</v>
      </c>
      <c r="AE3428">
        <v>6.7999999999983601E-2</v>
      </c>
      <c r="AF3428">
        <v>-2.6827155712402799</v>
      </c>
      <c r="AG3428">
        <v>-1.1107873631959999</v>
      </c>
      <c r="AH3428">
        <v>12.4332858725033</v>
      </c>
      <c r="AI3428">
        <v>94.990981333389996</v>
      </c>
      <c r="AJ3428">
        <v>102.175978060566</v>
      </c>
      <c r="AK3428">
        <v>12.767827105259601</v>
      </c>
      <c r="AL3428">
        <v>89.898650015192501</v>
      </c>
      <c r="AM3428">
        <v>93.614717474204397</v>
      </c>
      <c r="AN3428">
        <v>0.99999999476059998</v>
      </c>
    </row>
    <row r="3429" spans="1:40" x14ac:dyDescent="0.25">
      <c r="A3429" t="str">
        <f>"20190312160706973"</f>
        <v>20190312160706973</v>
      </c>
      <c r="B3429" t="str">
        <f>"1552378026969220"</f>
        <v>1552378026969220</v>
      </c>
      <c r="C3429" t="s">
        <v>40</v>
      </c>
      <c r="D3429">
        <v>6.0462819999999997</v>
      </c>
      <c r="E3429">
        <v>0.44382890000000003</v>
      </c>
      <c r="F3429" t="s">
        <v>66</v>
      </c>
      <c r="G3429">
        <v>-460.24040000000002</v>
      </c>
      <c r="H3429" s="1">
        <v>-1.476242E-6</v>
      </c>
      <c r="I3429">
        <v>216.1583</v>
      </c>
      <c r="J3429">
        <v>-472.54140000000001</v>
      </c>
      <c r="K3429">
        <v>1.110719</v>
      </c>
      <c r="L3429">
        <v>216.0506</v>
      </c>
      <c r="M3429">
        <v>0.97915850000000004</v>
      </c>
      <c r="N3429">
        <v>0</v>
      </c>
      <c r="O3429">
        <v>-0.2026501</v>
      </c>
      <c r="P3429">
        <v>0.9900949</v>
      </c>
      <c r="Q3429">
        <v>-1.1905890000000001E-2</v>
      </c>
      <c r="R3429">
        <v>-0.1398953</v>
      </c>
      <c r="S3429">
        <v>3.0314939999999999</v>
      </c>
      <c r="T3429">
        <v>-0.27108900000000002</v>
      </c>
      <c r="U3429">
        <v>2.1041870000000001E-2</v>
      </c>
      <c r="V3429">
        <v>-6.3671660000000005E-2</v>
      </c>
      <c r="W3429">
        <v>1.4532239999999999E-3</v>
      </c>
      <c r="X3429">
        <v>0.99796989999999997</v>
      </c>
      <c r="Y3429">
        <v>-0.2078305</v>
      </c>
      <c r="Z3429">
        <v>2.726926E-2</v>
      </c>
      <c r="AA3429">
        <v>0.97778469999999995</v>
      </c>
      <c r="AB3429">
        <v>12</v>
      </c>
      <c r="AC3429">
        <v>12.300999999999901</v>
      </c>
      <c r="AD3429">
        <v>-1.110720476242</v>
      </c>
      <c r="AE3429">
        <v>0.10769999999999399</v>
      </c>
      <c r="AF3429">
        <v>-2.5774770583612501</v>
      </c>
      <c r="AG3429">
        <v>-1.110720476242</v>
      </c>
      <c r="AH3429">
        <v>11.926661779786199</v>
      </c>
      <c r="AI3429">
        <v>95.201173861033098</v>
      </c>
      <c r="AJ3429">
        <v>102.19468302681</v>
      </c>
      <c r="AK3429">
        <v>12.2524425798342</v>
      </c>
      <c r="AL3429">
        <v>89.916736373529204</v>
      </c>
      <c r="AM3429">
        <v>93.650590513152295</v>
      </c>
      <c r="AN3429">
        <v>1.0000000567265701</v>
      </c>
    </row>
    <row r="3430" spans="1:40" x14ac:dyDescent="0.25">
      <c r="A3430" t="str">
        <f>"20190312160706994"</f>
        <v>20190312160706994</v>
      </c>
      <c r="B3430" t="str">
        <f>"1552378026988740"</f>
        <v>1552378026988740</v>
      </c>
      <c r="C3430" t="s">
        <v>40</v>
      </c>
      <c r="D3430">
        <v>6.0997979999999998</v>
      </c>
      <c r="E3430">
        <v>0.44445079999999998</v>
      </c>
      <c r="F3430" t="s">
        <v>66</v>
      </c>
      <c r="G3430">
        <v>-460.64550000000003</v>
      </c>
      <c r="H3430" s="1">
        <v>-1.2606249999999999E-6</v>
      </c>
      <c r="I3430">
        <v>216.1574</v>
      </c>
      <c r="J3430">
        <v>-472.42959999999999</v>
      </c>
      <c r="K3430">
        <v>1.1106339999999999</v>
      </c>
      <c r="L3430">
        <v>216.0308</v>
      </c>
      <c r="M3430">
        <v>0.9797072</v>
      </c>
      <c r="N3430">
        <v>0</v>
      </c>
      <c r="O3430">
        <v>-0.19998170000000001</v>
      </c>
      <c r="P3430">
        <v>0.99069569999999996</v>
      </c>
      <c r="Q3430">
        <v>-1.2592010000000001E-2</v>
      </c>
      <c r="R3430">
        <v>-0.1355132</v>
      </c>
      <c r="S3430">
        <v>3.0304570000000002</v>
      </c>
      <c r="T3430">
        <v>-0.28295540000000002</v>
      </c>
      <c r="U3430">
        <v>2.7221680000000002E-2</v>
      </c>
      <c r="V3430">
        <v>-6.5364740000000005E-2</v>
      </c>
      <c r="W3430">
        <v>7.622878E-4</v>
      </c>
      <c r="X3430">
        <v>0.99786109999999995</v>
      </c>
      <c r="Y3430">
        <v>-0.20703050000000001</v>
      </c>
      <c r="Z3430">
        <v>2.8186200000000002E-2</v>
      </c>
      <c r="AA3430">
        <v>0.97792840000000003</v>
      </c>
      <c r="AB3430">
        <v>12</v>
      </c>
      <c r="AC3430">
        <v>11.784099999999899</v>
      </c>
      <c r="AD3430">
        <v>-1.1106352606250001</v>
      </c>
      <c r="AE3430">
        <v>0.12659999999999599</v>
      </c>
      <c r="AF3430">
        <v>-2.4590194944887802</v>
      </c>
      <c r="AG3430">
        <v>-1.1106352606250001</v>
      </c>
      <c r="AH3430">
        <v>11.419269875407901</v>
      </c>
      <c r="AI3430">
        <v>95.431368582023396</v>
      </c>
      <c r="AJ3430">
        <v>102.15246957443701</v>
      </c>
      <c r="AK3430">
        <v>11.7337126283124</v>
      </c>
      <c r="AL3430">
        <v>89.956324119985794</v>
      </c>
      <c r="AM3430">
        <v>93.747797010746197</v>
      </c>
      <c r="AN3430">
        <v>0.99999995260558205</v>
      </c>
    </row>
    <row r="3431" spans="1:40" x14ac:dyDescent="0.25">
      <c r="A3431" t="str">
        <f>"20190312160707017"</f>
        <v>20190312160707017</v>
      </c>
      <c r="B3431" t="str">
        <f>"1552378027008261"</f>
        <v>1552378027008261</v>
      </c>
      <c r="C3431" t="s">
        <v>40</v>
      </c>
      <c r="D3431">
        <v>6.0842349999999996</v>
      </c>
      <c r="E3431">
        <v>0.44468780000000002</v>
      </c>
      <c r="F3431" t="s">
        <v>66</v>
      </c>
      <c r="G3431">
        <v>-460.59249999999997</v>
      </c>
      <c r="H3431" s="1">
        <v>-1.2893089999999999E-6</v>
      </c>
      <c r="I3431">
        <v>216.1679</v>
      </c>
      <c r="J3431">
        <v>-472.3184</v>
      </c>
      <c r="K3431">
        <v>1.110552</v>
      </c>
      <c r="L3431">
        <v>216.0112</v>
      </c>
      <c r="M3431">
        <v>0.98020989999999997</v>
      </c>
      <c r="N3431">
        <v>0</v>
      </c>
      <c r="O3431">
        <v>-0.1975034</v>
      </c>
      <c r="P3431">
        <v>0.99129529999999999</v>
      </c>
      <c r="Q3431">
        <v>-1.2844680000000001E-2</v>
      </c>
      <c r="R3431">
        <v>-0.1310308</v>
      </c>
      <c r="S3431">
        <v>3.0293580000000002</v>
      </c>
      <c r="T3431">
        <v>-0.28423540000000003</v>
      </c>
      <c r="U3431">
        <v>3.507996E-2</v>
      </c>
      <c r="V3431">
        <v>-6.7353060000000006E-2</v>
      </c>
      <c r="W3431">
        <v>5.0574940000000003E-4</v>
      </c>
      <c r="X3431">
        <v>0.99772910000000004</v>
      </c>
      <c r="Y3431">
        <v>-0.20708989999999999</v>
      </c>
      <c r="Z3431">
        <v>2.8098379999999999E-2</v>
      </c>
      <c r="AA3431">
        <v>0.97791830000000002</v>
      </c>
      <c r="AB3431">
        <v>12</v>
      </c>
      <c r="AC3431">
        <v>11.725899999999999</v>
      </c>
      <c r="AD3431">
        <v>-1.110553289309</v>
      </c>
      <c r="AE3431">
        <v>0.15670000000000001</v>
      </c>
      <c r="AF3431">
        <v>-2.4477751601294901</v>
      </c>
      <c r="AG3431">
        <v>-1.110553289309</v>
      </c>
      <c r="AH3431">
        <v>11.362033944276</v>
      </c>
      <c r="AI3431">
        <v>95.458057438701303</v>
      </c>
      <c r="AJ3431">
        <v>102.15767823335899</v>
      </c>
      <c r="AK3431">
        <v>11.6756476134655</v>
      </c>
      <c r="AL3431">
        <v>89.971022693340998</v>
      </c>
      <c r="AM3431">
        <v>93.861970168933993</v>
      </c>
      <c r="AN3431">
        <v>1.0000000237303099</v>
      </c>
    </row>
    <row r="3432" spans="1:40" x14ac:dyDescent="0.25">
      <c r="A3432" t="str">
        <f>"20190312160707037"</f>
        <v>20190312160707037</v>
      </c>
      <c r="B3432" t="str">
        <f>"1552378027028756"</f>
        <v>1552378027028756</v>
      </c>
      <c r="C3432" t="s">
        <v>40</v>
      </c>
      <c r="D3432">
        <v>6.0954379999999997</v>
      </c>
      <c r="E3432">
        <v>0.44557859999999999</v>
      </c>
      <c r="F3432" t="s">
        <v>66</v>
      </c>
      <c r="G3432">
        <v>-460.38389999999998</v>
      </c>
      <c r="H3432" s="1">
        <v>-1.401415E-6</v>
      </c>
      <c r="I3432">
        <v>216.1926</v>
      </c>
      <c r="J3432">
        <v>-472.21539999999999</v>
      </c>
      <c r="K3432">
        <v>1.1105020000000001</v>
      </c>
      <c r="L3432">
        <v>215.9932</v>
      </c>
      <c r="M3432">
        <v>0.98064569999999995</v>
      </c>
      <c r="N3432">
        <v>0</v>
      </c>
      <c r="O3432">
        <v>-0.1953288</v>
      </c>
      <c r="P3432">
        <v>0.99178750000000004</v>
      </c>
      <c r="Q3432">
        <v>-1.302859E-2</v>
      </c>
      <c r="R3432">
        <v>-0.12723180000000001</v>
      </c>
      <c r="S3432">
        <v>3.0287480000000002</v>
      </c>
      <c r="T3432">
        <v>-0.28183750000000002</v>
      </c>
      <c r="U3432">
        <v>4.6035769999999997E-2</v>
      </c>
      <c r="V3432">
        <v>-6.8961980000000006E-2</v>
      </c>
      <c r="W3432">
        <v>3.1739870000000001E-4</v>
      </c>
      <c r="X3432">
        <v>0.99761920000000004</v>
      </c>
      <c r="Y3432">
        <v>-0.2084916</v>
      </c>
      <c r="Z3432">
        <v>2.773494E-2</v>
      </c>
      <c r="AA3432">
        <v>0.97763080000000002</v>
      </c>
      <c r="AB3432">
        <v>12</v>
      </c>
      <c r="AC3432">
        <v>11.8315</v>
      </c>
      <c r="AD3432">
        <v>-1.1105034014149999</v>
      </c>
      <c r="AE3432">
        <v>0.199399999999997</v>
      </c>
      <c r="AF3432">
        <v>-2.4849148228404201</v>
      </c>
      <c r="AG3432">
        <v>-1.1105034014149999</v>
      </c>
      <c r="AH3432">
        <v>11.463643416378201</v>
      </c>
      <c r="AI3432">
        <v>95.408249250858304</v>
      </c>
      <c r="AJ3432">
        <v>102.230495227042</v>
      </c>
      <c r="AK3432">
        <v>11.7823231944807</v>
      </c>
      <c r="AL3432">
        <v>89.981814393067296</v>
      </c>
      <c r="AM3432">
        <v>93.954369320143996</v>
      </c>
      <c r="AN3432">
        <v>0.99999996181804696</v>
      </c>
    </row>
    <row r="3433" spans="1:40" x14ac:dyDescent="0.25">
      <c r="A3433" t="str">
        <f>"20190312160707059"</f>
        <v>20190312160707059</v>
      </c>
      <c r="B3433" t="str">
        <f>"1552378027048276"</f>
        <v>1552378027048276</v>
      </c>
      <c r="C3433" t="s">
        <v>40</v>
      </c>
      <c r="D3433">
        <v>6.1260459999999997</v>
      </c>
      <c r="E3433">
        <v>0.4465865</v>
      </c>
      <c r="F3433" t="s">
        <v>66</v>
      </c>
      <c r="G3433">
        <v>-460.5795</v>
      </c>
      <c r="H3433" s="1">
        <v>-1.2969860000000001E-6</v>
      </c>
      <c r="I3433">
        <v>216.18530000000001</v>
      </c>
      <c r="J3433">
        <v>-472.10660000000001</v>
      </c>
      <c r="K3433">
        <v>1.1104620000000001</v>
      </c>
      <c r="L3433">
        <v>215.9742</v>
      </c>
      <c r="M3433">
        <v>0.98107610000000001</v>
      </c>
      <c r="N3433">
        <v>0</v>
      </c>
      <c r="O3433">
        <v>-0.1931563</v>
      </c>
      <c r="P3433">
        <v>0.9922166</v>
      </c>
      <c r="Q3433">
        <v>-1.361423E-2</v>
      </c>
      <c r="R3433">
        <v>-0.1237799</v>
      </c>
      <c r="S3433">
        <v>3.027466</v>
      </c>
      <c r="T3433">
        <v>-0.28893459999999899</v>
      </c>
      <c r="U3433">
        <v>4.9972530000000001E-2</v>
      </c>
      <c r="V3433">
        <v>-7.0221580000000006E-2</v>
      </c>
      <c r="W3433">
        <v>-2.7311099999999998E-4</v>
      </c>
      <c r="X3433">
        <v>0.99753139999999996</v>
      </c>
      <c r="Y3433">
        <v>-0.2075274</v>
      </c>
      <c r="Z3433">
        <v>2.8192579999999998E-2</v>
      </c>
      <c r="AA3433">
        <v>0.97782290000000005</v>
      </c>
      <c r="AB3433">
        <v>11</v>
      </c>
      <c r="AC3433">
        <v>11.527100000000001</v>
      </c>
      <c r="AD3433">
        <v>-1.110463296986</v>
      </c>
      <c r="AE3433">
        <v>0.211100000000016</v>
      </c>
      <c r="AF3433">
        <v>-2.41148448875864</v>
      </c>
      <c r="AG3433">
        <v>-1.110463296986</v>
      </c>
      <c r="AH3433">
        <v>11.165616124790899</v>
      </c>
      <c r="AI3433">
        <v>95.552415863466507</v>
      </c>
      <c r="AJ3433">
        <v>102.187218301491</v>
      </c>
      <c r="AK3433">
        <v>11.4769059253646</v>
      </c>
      <c r="AL3433">
        <v>90.015648107528904</v>
      </c>
      <c r="AM3433">
        <v>94.026714207195596</v>
      </c>
      <c r="AN3433">
        <v>1.0000000194366301</v>
      </c>
    </row>
    <row r="3434" spans="1:40" x14ac:dyDescent="0.25">
      <c r="A3434" t="str">
        <f>"20190312160707082"</f>
        <v>20190312160707082</v>
      </c>
      <c r="B3434" t="str">
        <f>"1552378027078532"</f>
        <v>1552378027078532</v>
      </c>
      <c r="C3434" t="s">
        <v>40</v>
      </c>
      <c r="D3434">
        <v>6.1349</v>
      </c>
      <c r="E3434">
        <v>0.44753789999999999</v>
      </c>
      <c r="F3434" t="s">
        <v>66</v>
      </c>
      <c r="G3434">
        <v>-460.65140000000002</v>
      </c>
      <c r="H3434" s="1">
        <v>-1.258159E-6</v>
      </c>
      <c r="I3434">
        <v>216.17189999999999</v>
      </c>
      <c r="J3434">
        <v>-471.99029999999999</v>
      </c>
      <c r="K3434">
        <v>1.110428</v>
      </c>
      <c r="L3434">
        <v>215.95400000000001</v>
      </c>
      <c r="M3434">
        <v>0.98150179999999998</v>
      </c>
      <c r="N3434">
        <v>0</v>
      </c>
      <c r="O3434">
        <v>-0.1909814</v>
      </c>
      <c r="P3434">
        <v>0.99268449999999997</v>
      </c>
      <c r="Q3434">
        <v>-1.3926330000000001E-2</v>
      </c>
      <c r="R3434">
        <v>-0.1199321</v>
      </c>
      <c r="S3434">
        <v>3.0260310000000001</v>
      </c>
      <c r="T3434">
        <v>-0.29334159999999998</v>
      </c>
      <c r="U3434">
        <v>5.2215579999999998E-2</v>
      </c>
      <c r="V3434">
        <v>-7.1876770000000006E-2</v>
      </c>
      <c r="W3434">
        <v>-5.9179049999999998E-4</v>
      </c>
      <c r="X3434">
        <v>0.99741329999999995</v>
      </c>
      <c r="Y3434">
        <v>-0.2060516</v>
      </c>
      <c r="Z3434">
        <v>2.8355390000000001E-2</v>
      </c>
      <c r="AA3434">
        <v>0.97813019999999995</v>
      </c>
      <c r="AB3434">
        <v>11</v>
      </c>
      <c r="AC3434">
        <v>11.338899999999899</v>
      </c>
      <c r="AD3434">
        <v>-1.1104292581590001</v>
      </c>
      <c r="AE3434">
        <v>0.21789999999998599</v>
      </c>
      <c r="AF3434">
        <v>-2.3570063385735698</v>
      </c>
      <c r="AG3434">
        <v>-1.1104292581590001</v>
      </c>
      <c r="AH3434">
        <v>10.9832401460078</v>
      </c>
      <c r="AI3434">
        <v>95.645436318811605</v>
      </c>
      <c r="AJ3434">
        <v>102.111987628118</v>
      </c>
      <c r="AK3434">
        <v>11.2880510329431</v>
      </c>
      <c r="AL3434">
        <v>90.033907101488893</v>
      </c>
      <c r="AM3434">
        <v>94.121790727572701</v>
      </c>
      <c r="AN3434">
        <v>0.99999995564925803</v>
      </c>
    </row>
    <row r="3435" spans="1:40" x14ac:dyDescent="0.25">
      <c r="A3435" t="str">
        <f>"20190312160707102"</f>
        <v>20190312160707102</v>
      </c>
      <c r="B3435" t="str">
        <f>"1552378027098052"</f>
        <v>1552378027098052</v>
      </c>
      <c r="C3435" t="s">
        <v>40</v>
      </c>
      <c r="D3435">
        <v>6.1329339999999997</v>
      </c>
      <c r="E3435">
        <v>0.44795360000000001</v>
      </c>
      <c r="F3435" t="s">
        <v>66</v>
      </c>
      <c r="G3435">
        <v>-460.9871</v>
      </c>
      <c r="H3435" s="1">
        <v>-1.078862E-6</v>
      </c>
      <c r="I3435">
        <v>216.1575</v>
      </c>
      <c r="J3435">
        <v>-471.88659999999999</v>
      </c>
      <c r="K3435">
        <v>1.1103959999999999</v>
      </c>
      <c r="L3435">
        <v>215.93610000000001</v>
      </c>
      <c r="M3435">
        <v>0.98185350000000005</v>
      </c>
      <c r="N3435">
        <v>0</v>
      </c>
      <c r="O3435">
        <v>-0.18916569999999999</v>
      </c>
      <c r="P3435">
        <v>0.99313130000000005</v>
      </c>
      <c r="Q3435">
        <v>-1.334021E-2</v>
      </c>
      <c r="R3435">
        <v>-0.1162416</v>
      </c>
      <c r="S3435">
        <v>3.024597</v>
      </c>
      <c r="T3435">
        <v>-0.30523879999999998</v>
      </c>
      <c r="U3435">
        <v>5.5923460000000001E-2</v>
      </c>
      <c r="V3435">
        <v>-7.3740539999999993E-2</v>
      </c>
      <c r="W3435" s="1">
        <v>-1.178341E-5</v>
      </c>
      <c r="X3435">
        <v>0.99727739999999998</v>
      </c>
      <c r="Y3435">
        <v>-0.20530689999999999</v>
      </c>
      <c r="Z3435">
        <v>2.9296010000000001E-2</v>
      </c>
      <c r="AA3435">
        <v>0.97825910000000005</v>
      </c>
      <c r="AB3435">
        <v>11</v>
      </c>
      <c r="AC3435">
        <v>10.8994999999999</v>
      </c>
      <c r="AD3435">
        <v>-1.1103970788619999</v>
      </c>
      <c r="AE3435">
        <v>0.221399999999988</v>
      </c>
      <c r="AF3435">
        <v>-2.2559944554626798</v>
      </c>
      <c r="AG3435">
        <v>-1.1103970788619999</v>
      </c>
      <c r="AH3435">
        <v>10.5513266613724</v>
      </c>
      <c r="AI3435">
        <v>95.875718086507803</v>
      </c>
      <c r="AJ3435">
        <v>102.06877420152399</v>
      </c>
      <c r="AK3435">
        <v>10.8467961615774</v>
      </c>
      <c r="AL3435">
        <v>90.000675139701798</v>
      </c>
      <c r="AM3435">
        <v>94.228860419271399</v>
      </c>
      <c r="AN3435">
        <v>0.99999993996454795</v>
      </c>
    </row>
    <row r="3436" spans="1:40" x14ac:dyDescent="0.25">
      <c r="A3436" t="str">
        <f>"20190312160707126"</f>
        <v>20190312160707126</v>
      </c>
      <c r="B3436" t="str">
        <f>"1552378027118548"</f>
        <v>1552378027118548</v>
      </c>
      <c r="C3436" t="s">
        <v>40</v>
      </c>
      <c r="D3436">
        <v>6.1332529999999998</v>
      </c>
      <c r="E3436">
        <v>0.45947310000000002</v>
      </c>
      <c r="F3436" t="s">
        <v>66</v>
      </c>
      <c r="G3436">
        <v>-460.90519999999998</v>
      </c>
      <c r="H3436" s="1">
        <v>-1.122842E-6</v>
      </c>
      <c r="I3436">
        <v>216.16569999999999</v>
      </c>
      <c r="J3436">
        <v>-471.76949999999999</v>
      </c>
      <c r="K3436">
        <v>1.1103609999999999</v>
      </c>
      <c r="L3436">
        <v>215.916</v>
      </c>
      <c r="M3436">
        <v>0.9822206</v>
      </c>
      <c r="N3436">
        <v>0</v>
      </c>
      <c r="O3436">
        <v>-0.18725149999999999</v>
      </c>
      <c r="P3436">
        <v>0.99358109999999999</v>
      </c>
      <c r="Q3436">
        <v>-1.368231E-2</v>
      </c>
      <c r="R3436">
        <v>-0.1122935</v>
      </c>
      <c r="S3436">
        <v>3.0240170000000002</v>
      </c>
      <c r="T3436">
        <v>-0.3057764</v>
      </c>
      <c r="U3436">
        <v>6.3232419999999998E-2</v>
      </c>
      <c r="V3436">
        <v>-7.5759519999999997E-2</v>
      </c>
      <c r="W3436">
        <v>-3.592558E-4</v>
      </c>
      <c r="X3436">
        <v>0.99712599999999996</v>
      </c>
      <c r="Y3436">
        <v>-0.20576630000000001</v>
      </c>
      <c r="Z3436">
        <v>2.9185889999999999E-2</v>
      </c>
      <c r="AA3436">
        <v>0.97816590000000003</v>
      </c>
      <c r="AB3436">
        <v>11</v>
      </c>
      <c r="AC3436">
        <v>10.8643</v>
      </c>
      <c r="AD3436">
        <v>-1.110362122842</v>
      </c>
      <c r="AE3436">
        <v>0.24969999999999001</v>
      </c>
      <c r="AF3436">
        <v>-2.2562664558519101</v>
      </c>
      <c r="AG3436">
        <v>-1.110362122842</v>
      </c>
      <c r="AH3436">
        <v>10.5155552296618</v>
      </c>
      <c r="AI3436">
        <v>95.894478158218405</v>
      </c>
      <c r="AJ3436">
        <v>102.110036549093</v>
      </c>
      <c r="AK3436">
        <v>10.8120555007691</v>
      </c>
      <c r="AL3436">
        <v>90.020583842641201</v>
      </c>
      <c r="AM3436">
        <v>94.344864272617698</v>
      </c>
      <c r="AN3436">
        <v>0.99999994690567795</v>
      </c>
    </row>
    <row r="3437" spans="1:40" x14ac:dyDescent="0.25">
      <c r="A3437" t="str">
        <f>"20190312160707147"</f>
        <v>20190312160707147</v>
      </c>
      <c r="B3437" t="str">
        <f>"1552378027138068"</f>
        <v>1552378027138068</v>
      </c>
      <c r="C3437" t="s">
        <v>40</v>
      </c>
      <c r="D3437">
        <v>6.1430230000000003</v>
      </c>
      <c r="E3437">
        <v>0.45970080000000002</v>
      </c>
      <c r="F3437" t="s">
        <v>66</v>
      </c>
      <c r="G3437">
        <v>-461.04919999999998</v>
      </c>
      <c r="H3437" s="1">
        <v>-1.032743E-6</v>
      </c>
      <c r="I3437">
        <v>215.85839999999999</v>
      </c>
      <c r="J3437">
        <v>-471.66370000000001</v>
      </c>
      <c r="K3437">
        <v>1.1103259999999999</v>
      </c>
      <c r="L3437">
        <v>215.89779999999999</v>
      </c>
      <c r="M3437">
        <v>0.98252819999999996</v>
      </c>
      <c r="N3437">
        <v>0</v>
      </c>
      <c r="O3437">
        <v>-0.1856312</v>
      </c>
      <c r="P3437">
        <v>0.99388770000000004</v>
      </c>
      <c r="Q3437">
        <v>-1.49365E-2</v>
      </c>
      <c r="R3437">
        <v>-0.1093826</v>
      </c>
      <c r="S3437">
        <v>3.0132750000000001</v>
      </c>
      <c r="T3437">
        <v>-0.31210320000000003</v>
      </c>
      <c r="U3437">
        <v>-1.6174319999999999E-2</v>
      </c>
      <c r="V3437">
        <v>-7.7031249999999996E-2</v>
      </c>
      <c r="W3437">
        <v>-1.616258E-3</v>
      </c>
      <c r="X3437">
        <v>0.99702740000000001</v>
      </c>
      <c r="Y3437">
        <v>-0.17843249999999999</v>
      </c>
      <c r="Z3437">
        <v>2.8306520000000002E-2</v>
      </c>
      <c r="AA3437">
        <v>0.98354490000000006</v>
      </c>
      <c r="AB3437">
        <v>11</v>
      </c>
      <c r="AC3437">
        <v>10.6145</v>
      </c>
      <c r="AD3437">
        <v>-1.1103270327429999</v>
      </c>
      <c r="AE3437">
        <v>-3.9400000000000497E-2</v>
      </c>
      <c r="AF3437">
        <v>-1.9109346006909</v>
      </c>
      <c r="AG3437">
        <v>-1.1103270327429999</v>
      </c>
      <c r="AH3437">
        <v>10.324326885367601</v>
      </c>
      <c r="AI3437">
        <v>96.036513460612099</v>
      </c>
      <c r="AJ3437">
        <v>100.486230532365</v>
      </c>
      <c r="AK3437">
        <v>10.558230098064801</v>
      </c>
      <c r="AL3437">
        <v>90.092604799446505</v>
      </c>
      <c r="AM3437">
        <v>94.4179477356695</v>
      </c>
      <c r="AN3437">
        <v>1.0000000310586199</v>
      </c>
    </row>
    <row r="3438" spans="1:40" x14ac:dyDescent="0.25">
      <c r="A3438" t="str">
        <f>"20190312160707173"</f>
        <v>20190312160707173</v>
      </c>
      <c r="B3438" t="str">
        <f>"1552378027168324"</f>
        <v>1552378027168324</v>
      </c>
      <c r="C3438" t="s">
        <v>40</v>
      </c>
      <c r="D3438">
        <v>6.184304</v>
      </c>
      <c r="E3438">
        <v>0.46075389999999999</v>
      </c>
      <c r="F3438" t="s">
        <v>66</v>
      </c>
      <c r="G3438">
        <v>-461.26990000000001</v>
      </c>
      <c r="H3438" s="1">
        <v>-9.1569000000000002E-7</v>
      </c>
      <c r="I3438">
        <v>215.86699999999999</v>
      </c>
      <c r="J3438">
        <v>-471.54320000000001</v>
      </c>
      <c r="K3438">
        <v>1.1102909999999999</v>
      </c>
      <c r="L3438">
        <v>215.87719999999999</v>
      </c>
      <c r="M3438">
        <v>0.98285480000000003</v>
      </c>
      <c r="N3438">
        <v>0</v>
      </c>
      <c r="O3438">
        <v>-0.1838941</v>
      </c>
      <c r="P3438">
        <v>0.99412590000000001</v>
      </c>
      <c r="Q3438">
        <v>-1.5257990000000001E-2</v>
      </c>
      <c r="R3438">
        <v>-0.1071507</v>
      </c>
      <c r="S3438">
        <v>3.0126339999999998</v>
      </c>
      <c r="T3438">
        <v>-0.32182670000000002</v>
      </c>
      <c r="U3438">
        <v>-8.9416500000000006E-3</v>
      </c>
      <c r="V3438">
        <v>-7.7506140000000001E-2</v>
      </c>
      <c r="W3438">
        <v>-1.9389260000000001E-3</v>
      </c>
      <c r="X3438">
        <v>0.99699000000000004</v>
      </c>
      <c r="Y3438">
        <v>-0.17893719999999999</v>
      </c>
      <c r="Z3438">
        <v>2.9035180000000001E-2</v>
      </c>
      <c r="AA3438">
        <v>0.98343199999999997</v>
      </c>
      <c r="AB3438">
        <v>11</v>
      </c>
      <c r="AC3438">
        <v>10.273300000000001</v>
      </c>
      <c r="AD3438">
        <v>-1.11029191569</v>
      </c>
      <c r="AE3438">
        <v>-1.01999999999691E-2</v>
      </c>
      <c r="AF3438">
        <v>-1.8576448762701701</v>
      </c>
      <c r="AG3438">
        <v>-1.11029191569</v>
      </c>
      <c r="AH3438">
        <v>9.9833356011223398</v>
      </c>
      <c r="AI3438">
        <v>96.239807490916505</v>
      </c>
      <c r="AJ3438">
        <v>100.54073754751499</v>
      </c>
      <c r="AK3438">
        <v>10.215213279663599</v>
      </c>
      <c r="AL3438">
        <v>90.111092345014001</v>
      </c>
      <c r="AM3438">
        <v>94.445241200553895</v>
      </c>
      <c r="AN3438">
        <v>1.00000001063586</v>
      </c>
    </row>
    <row r="3439" spans="1:40" x14ac:dyDescent="0.25">
      <c r="A3439" t="str">
        <f>"20190312160707196"</f>
        <v>20190312160707196</v>
      </c>
      <c r="B3439" t="str">
        <f>"1552378027188821"</f>
        <v>1552378027188821</v>
      </c>
      <c r="C3439" t="s">
        <v>40</v>
      </c>
      <c r="D3439">
        <v>6.1775840000000004</v>
      </c>
      <c r="E3439">
        <v>0.46154139999999999</v>
      </c>
      <c r="F3439" t="s">
        <v>66</v>
      </c>
      <c r="G3439">
        <v>-461.10390000000001</v>
      </c>
      <c r="H3439" s="1">
        <v>-1.002854E-6</v>
      </c>
      <c r="I3439">
        <v>215.84100000000001</v>
      </c>
      <c r="J3439">
        <v>-471.4282</v>
      </c>
      <c r="K3439">
        <v>1.110274</v>
      </c>
      <c r="L3439">
        <v>215.85759999999999</v>
      </c>
      <c r="M3439">
        <v>0.98314539999999995</v>
      </c>
      <c r="N3439">
        <v>0</v>
      </c>
      <c r="O3439">
        <v>-0.18233450000000001</v>
      </c>
      <c r="P3439">
        <v>0.99428539999999999</v>
      </c>
      <c r="Q3439">
        <v>-1.549536E-2</v>
      </c>
      <c r="R3439">
        <v>-0.1056237</v>
      </c>
      <c r="S3439">
        <v>3.0116580000000002</v>
      </c>
      <c r="T3439">
        <v>-0.32031100000000001</v>
      </c>
      <c r="U3439">
        <v>-1.043701E-2</v>
      </c>
      <c r="V3439">
        <v>-7.745523E-2</v>
      </c>
      <c r="W3439">
        <v>-2.1796319999999999E-3</v>
      </c>
      <c r="X3439">
        <v>0.99699340000000003</v>
      </c>
      <c r="Y3439">
        <v>-0.1769251</v>
      </c>
      <c r="Z3439">
        <v>2.8638319999999998E-2</v>
      </c>
      <c r="AA3439">
        <v>0.9838076</v>
      </c>
      <c r="AB3439">
        <v>11</v>
      </c>
      <c r="AC3439">
        <v>10.3242999999999</v>
      </c>
      <c r="AD3439">
        <v>-1.110275002854</v>
      </c>
      <c r="AE3439">
        <v>-1.6600000000010998E-2</v>
      </c>
      <c r="AF3439">
        <v>-1.8449862156110199</v>
      </c>
      <c r="AG3439">
        <v>-1.110275002854</v>
      </c>
      <c r="AH3439">
        <v>10.0381357280641</v>
      </c>
      <c r="AI3439">
        <v>96.208423430577696</v>
      </c>
      <c r="AJ3439">
        <v>100.41459651796001</v>
      </c>
      <c r="AK3439">
        <v>10.2664917870124</v>
      </c>
      <c r="AL3439">
        <v>90.124883819425705</v>
      </c>
      <c r="AM3439">
        <v>94.442317941187895</v>
      </c>
      <c r="AN3439">
        <v>0.99999995154678301</v>
      </c>
    </row>
    <row r="3440" spans="1:40" x14ac:dyDescent="0.25">
      <c r="A3440" t="str">
        <f>"20190312160707218"</f>
        <v>20190312160707218</v>
      </c>
      <c r="B3440" t="str">
        <f>"1552378027208340"</f>
        <v>1552378027208340</v>
      </c>
      <c r="C3440" t="s">
        <v>40</v>
      </c>
      <c r="D3440">
        <v>6.2010540000000001</v>
      </c>
      <c r="E3440">
        <v>0.46196340000000002</v>
      </c>
      <c r="F3440" t="s">
        <v>66</v>
      </c>
      <c r="G3440">
        <v>-461.05489999999998</v>
      </c>
      <c r="H3440" s="1">
        <v>-1.0278750000000001E-6</v>
      </c>
      <c r="I3440">
        <v>215.81659999999999</v>
      </c>
      <c r="J3440">
        <v>-471.31670000000003</v>
      </c>
      <c r="K3440">
        <v>1.110268</v>
      </c>
      <c r="L3440">
        <v>215.83869999999999</v>
      </c>
      <c r="M3440">
        <v>0.98341009999999995</v>
      </c>
      <c r="N3440">
        <v>0</v>
      </c>
      <c r="O3440">
        <v>-0.1809026</v>
      </c>
      <c r="P3440">
        <v>0.99442459999999999</v>
      </c>
      <c r="Q3440">
        <v>-1.4965529999999999E-2</v>
      </c>
      <c r="R3440">
        <v>-0.10438459999999999</v>
      </c>
      <c r="S3440">
        <v>3.0109560000000002</v>
      </c>
      <c r="T3440">
        <v>-0.32226959999999999</v>
      </c>
      <c r="U3440">
        <v>-1.191711E-2</v>
      </c>
      <c r="V3440">
        <v>-7.7247079999999996E-2</v>
      </c>
      <c r="W3440">
        <v>-1.6612409999999999E-3</v>
      </c>
      <c r="X3440">
        <v>0.99701059999999997</v>
      </c>
      <c r="Y3440">
        <v>-0.17500089999999999</v>
      </c>
      <c r="Z3440">
        <v>2.856533E-2</v>
      </c>
      <c r="AA3440">
        <v>0.98415379999999997</v>
      </c>
      <c r="AB3440">
        <v>11</v>
      </c>
      <c r="AC3440">
        <v>10.261799999999999</v>
      </c>
      <c r="AD3440">
        <v>-1.110269027875</v>
      </c>
      <c r="AE3440">
        <v>-2.20999999999946E-2</v>
      </c>
      <c r="AF3440">
        <v>-1.8135872056328799</v>
      </c>
      <c r="AG3440">
        <v>-1.110269027875</v>
      </c>
      <c r="AH3440">
        <v>9.9796371828410599</v>
      </c>
      <c r="AI3440">
        <v>96.246763115469093</v>
      </c>
      <c r="AJ3440">
        <v>100.299887489659</v>
      </c>
      <c r="AK3440">
        <v>10.203673562391</v>
      </c>
      <c r="AL3440">
        <v>90.095182141471597</v>
      </c>
      <c r="AM3440">
        <v>94.430351305031195</v>
      </c>
      <c r="AN3440">
        <v>1.00000000380127</v>
      </c>
    </row>
    <row r="3441" spans="1:40" x14ac:dyDescent="0.25">
      <c r="A3441" t="str">
        <f>"20190312160707239"</f>
        <v>20190312160707239</v>
      </c>
      <c r="B3441" t="str">
        <f>"1552378027228836"</f>
        <v>1552378027228836</v>
      </c>
      <c r="C3441" t="s">
        <v>40</v>
      </c>
      <c r="D3441">
        <v>6.2605760000000004</v>
      </c>
      <c r="E3441">
        <v>0.46485559999999998</v>
      </c>
      <c r="F3441" t="s">
        <v>66</v>
      </c>
      <c r="G3441">
        <v>-460.85109999999997</v>
      </c>
      <c r="H3441" s="1">
        <v>-1.1355950000000001E-6</v>
      </c>
      <c r="I3441">
        <v>215.7997</v>
      </c>
      <c r="J3441">
        <v>-471.21249999999998</v>
      </c>
      <c r="K3441">
        <v>1.110274</v>
      </c>
      <c r="L3441">
        <v>215.8211</v>
      </c>
      <c r="M3441">
        <v>0.98364750000000001</v>
      </c>
      <c r="N3441">
        <v>0</v>
      </c>
      <c r="O3441">
        <v>-0.17960799999999999</v>
      </c>
      <c r="P3441">
        <v>0.99450400000000005</v>
      </c>
      <c r="Q3441">
        <v>-1.4651050000000001E-2</v>
      </c>
      <c r="R3441">
        <v>-0.1036695</v>
      </c>
      <c r="S3441">
        <v>3.0108030000000001</v>
      </c>
      <c r="T3441">
        <v>-0.31940879999999999</v>
      </c>
      <c r="U3441">
        <v>-1.121521E-2</v>
      </c>
      <c r="V3441">
        <v>-7.6652849999999995E-2</v>
      </c>
      <c r="W3441">
        <v>-1.3645839999999901E-3</v>
      </c>
      <c r="X3441">
        <v>0.99705690000000002</v>
      </c>
      <c r="Y3441">
        <v>-0.17398279999999999</v>
      </c>
      <c r="Z3441">
        <v>2.812564E-2</v>
      </c>
      <c r="AA3441">
        <v>0.98434699999999997</v>
      </c>
      <c r="AB3441">
        <v>11</v>
      </c>
      <c r="AC3441">
        <v>10.3614</v>
      </c>
      <c r="AD3441">
        <v>-1.110275135595</v>
      </c>
      <c r="AE3441">
        <v>-2.1399999999999801E-2</v>
      </c>
      <c r="AF3441">
        <v>-1.81921609109625</v>
      </c>
      <c r="AG3441">
        <v>-1.110275135595</v>
      </c>
      <c r="AH3441">
        <v>10.080968234648299</v>
      </c>
      <c r="AI3441">
        <v>96.185860059716504</v>
      </c>
      <c r="AJ3441">
        <v>100.22952571301499</v>
      </c>
      <c r="AK3441">
        <v>10.303794379296001</v>
      </c>
      <c r="AL3441">
        <v>90.078184928906893</v>
      </c>
      <c r="AM3441">
        <v>94.396201211957205</v>
      </c>
      <c r="AN3441">
        <v>0.999999991670112</v>
      </c>
    </row>
    <row r="3442" spans="1:40" x14ac:dyDescent="0.25">
      <c r="A3442" t="str">
        <f>"20190312160707261"</f>
        <v>20190312160707261</v>
      </c>
      <c r="B3442" t="str">
        <f>"1552378027248356"</f>
        <v>1552378027248356</v>
      </c>
      <c r="C3442" t="s">
        <v>40</v>
      </c>
      <c r="D3442">
        <v>6.2333089999999904</v>
      </c>
      <c r="E3442">
        <v>0.46471180000000001</v>
      </c>
      <c r="F3442" t="s">
        <v>66</v>
      </c>
      <c r="G3442">
        <v>-457.67739999999998</v>
      </c>
      <c r="H3442" s="1">
        <v>2.5023819999999999E-6</v>
      </c>
      <c r="I3442">
        <v>215.6771</v>
      </c>
      <c r="J3442">
        <v>-471.10419999999999</v>
      </c>
      <c r="K3442">
        <v>1.1102829999999999</v>
      </c>
      <c r="L3442">
        <v>215.80289999999999</v>
      </c>
      <c r="M3442">
        <v>0.98388750000000003</v>
      </c>
      <c r="N3442">
        <v>0</v>
      </c>
      <c r="O3442">
        <v>-0.17829049999999999</v>
      </c>
      <c r="P3442">
        <v>0.99456730000000004</v>
      </c>
      <c r="Q3442">
        <v>-1.576932E-2</v>
      </c>
      <c r="R3442">
        <v>-0.10289470000000001</v>
      </c>
      <c r="S3442">
        <v>3.0095519999999998</v>
      </c>
      <c r="T3442">
        <v>-0.24687049999999999</v>
      </c>
      <c r="U3442">
        <v>-3.2012939999999997E-2</v>
      </c>
      <c r="V3442">
        <v>-7.6090699999999997E-2</v>
      </c>
      <c r="W3442">
        <v>-2.5066340000000002E-3</v>
      </c>
      <c r="X3442">
        <v>0.99709769999999998</v>
      </c>
      <c r="Y3442">
        <v>-0.16667699999999999</v>
      </c>
      <c r="Z3442">
        <v>2.136335E-2</v>
      </c>
      <c r="AA3442">
        <v>0.98578010000000005</v>
      </c>
      <c r="AB3442">
        <v>11</v>
      </c>
      <c r="AC3442">
        <v>13.4268</v>
      </c>
      <c r="AD3442">
        <v>-1.1102804976180001</v>
      </c>
      <c r="AE3442">
        <v>-0.125799999999998</v>
      </c>
      <c r="AF3442">
        <v>-2.2548825488394799</v>
      </c>
      <c r="AG3442">
        <v>-1.1102804976180001</v>
      </c>
      <c r="AH3442">
        <v>13.1441964302222</v>
      </c>
      <c r="AI3442">
        <v>94.759076296122998</v>
      </c>
      <c r="AJ3442">
        <v>99.734318721296802</v>
      </c>
      <c r="AK3442">
        <v>13.382343512581</v>
      </c>
      <c r="AL3442">
        <v>90.143619706479001</v>
      </c>
      <c r="AM3442">
        <v>94.363907859295793</v>
      </c>
      <c r="AN3442">
        <v>0.99999995059289304</v>
      </c>
    </row>
    <row r="3443" spans="1:40" x14ac:dyDescent="0.25">
      <c r="A3443" t="str">
        <f>"20190312160707284"</f>
        <v>20190312160707284</v>
      </c>
      <c r="B3443" t="str">
        <f>"1552378027278612"</f>
        <v>1552378027278612</v>
      </c>
      <c r="C3443" t="s">
        <v>40</v>
      </c>
      <c r="D3443">
        <v>6.2136120000000004</v>
      </c>
      <c r="E3443">
        <v>0.46714470000000002</v>
      </c>
      <c r="F3443" t="s">
        <v>66</v>
      </c>
      <c r="G3443">
        <v>-457.71859999999998</v>
      </c>
      <c r="H3443" s="1">
        <v>2.5243109999999998E-6</v>
      </c>
      <c r="I3443">
        <v>215.67660000000001</v>
      </c>
      <c r="J3443">
        <v>-470.98930000000001</v>
      </c>
      <c r="K3443">
        <v>1.110312</v>
      </c>
      <c r="L3443">
        <v>215.78380000000001</v>
      </c>
      <c r="M3443">
        <v>0.9841375</v>
      </c>
      <c r="N3443">
        <v>0</v>
      </c>
      <c r="O3443">
        <v>-0.17690690000000001</v>
      </c>
      <c r="P3443">
        <v>0.9945756</v>
      </c>
      <c r="Q3443">
        <v>-1.6471420000000001E-2</v>
      </c>
      <c r="R3443">
        <v>-0.1027044</v>
      </c>
      <c r="S3443">
        <v>3.0094910000000001</v>
      </c>
      <c r="T3443">
        <v>-0.2496254</v>
      </c>
      <c r="U3443">
        <v>-2.8396609999999999E-2</v>
      </c>
      <c r="V3443">
        <v>-7.4876639999999994E-2</v>
      </c>
      <c r="W3443">
        <v>-3.2392689999999999E-3</v>
      </c>
      <c r="X3443">
        <v>0.99718759999999995</v>
      </c>
      <c r="Y3443">
        <v>-0.16645460000000001</v>
      </c>
      <c r="Z3443">
        <v>2.1479560000000002E-2</v>
      </c>
      <c r="AA3443">
        <v>0.9858152</v>
      </c>
      <c r="AB3443">
        <v>11</v>
      </c>
      <c r="AC3443">
        <v>13.2707</v>
      </c>
      <c r="AD3443">
        <v>-1.110309475689</v>
      </c>
      <c r="AE3443">
        <v>-0.107200000000005</v>
      </c>
      <c r="AF3443">
        <v>-2.2267910806216502</v>
      </c>
      <c r="AG3443">
        <v>-1.110309475689</v>
      </c>
      <c r="AH3443">
        <v>12.989397408327999</v>
      </c>
      <c r="AI3443">
        <v>94.815746157448103</v>
      </c>
      <c r="AJ3443">
        <v>99.727738122669393</v>
      </c>
      <c r="AK3443">
        <v>13.2255748714382</v>
      </c>
      <c r="AL3443">
        <v>90.185596756433199</v>
      </c>
      <c r="AM3443">
        <v>94.294156694044304</v>
      </c>
      <c r="AN3443">
        <v>1.00000005683755</v>
      </c>
    </row>
    <row r="3444" spans="1:40" x14ac:dyDescent="0.25">
      <c r="A3444" t="str">
        <f>"20190312160707328"</f>
        <v>20190312160707328</v>
      </c>
      <c r="B3444" t="str">
        <f>"1552378027318500"</f>
        <v>1552378027318500</v>
      </c>
      <c r="C3444" t="s">
        <v>40</v>
      </c>
      <c r="D3444">
        <v>6.437506</v>
      </c>
      <c r="E3444">
        <v>0.46782170000000001</v>
      </c>
      <c r="F3444" t="s">
        <v>66</v>
      </c>
      <c r="G3444">
        <v>-459.51679999999999</v>
      </c>
      <c r="H3444" s="1">
        <v>3.484276E-6</v>
      </c>
      <c r="I3444">
        <v>215.6063</v>
      </c>
      <c r="J3444">
        <v>-470.77589999999998</v>
      </c>
      <c r="K3444">
        <v>1.110363</v>
      </c>
      <c r="L3444">
        <v>215.74870000000001</v>
      </c>
      <c r="M3444">
        <v>0.98460020000000004</v>
      </c>
      <c r="N3444">
        <v>0</v>
      </c>
      <c r="O3444">
        <v>-0.17432039999999999</v>
      </c>
      <c r="P3444">
        <v>0.99485239999999997</v>
      </c>
      <c r="Q3444">
        <v>-1.496023E-2</v>
      </c>
      <c r="R3444">
        <v>-0.100226</v>
      </c>
      <c r="S3444">
        <v>3.0067140000000001</v>
      </c>
      <c r="T3444">
        <v>-0.29098780000000002</v>
      </c>
      <c r="U3444">
        <v>-4.6524049999999997E-2</v>
      </c>
      <c r="V3444">
        <v>-7.4745679999999995E-2</v>
      </c>
      <c r="W3444">
        <v>-1.827382E-3</v>
      </c>
      <c r="X3444">
        <v>0.997201</v>
      </c>
      <c r="Y3444">
        <v>-0.15753729999999999</v>
      </c>
      <c r="Z3444">
        <v>2.4365979999999999E-2</v>
      </c>
      <c r="AA3444">
        <v>0.98721239999999999</v>
      </c>
      <c r="AB3444">
        <v>11</v>
      </c>
      <c r="AC3444">
        <v>11.259099999999901</v>
      </c>
      <c r="AD3444">
        <v>-1.110359515724</v>
      </c>
      <c r="AE3444">
        <v>-0.14240000000000899</v>
      </c>
      <c r="AF3444">
        <v>-1.80509017555194</v>
      </c>
      <c r="AG3444">
        <v>-1.110359515724</v>
      </c>
      <c r="AH3444">
        <v>11.004497687728101</v>
      </c>
      <c r="AI3444">
        <v>95.686191496180399</v>
      </c>
      <c r="AJ3444">
        <v>99.315386426848093</v>
      </c>
      <c r="AK3444">
        <v>11.206704161137001</v>
      </c>
      <c r="AL3444">
        <v>90.104701329697406</v>
      </c>
      <c r="AM3444">
        <v>94.286616802530702</v>
      </c>
      <c r="AN3444">
        <v>1.0000000452023099</v>
      </c>
    </row>
    <row r="3445" spans="1:40" x14ac:dyDescent="0.25">
      <c r="A3445" t="str">
        <f>"20190312160707349"</f>
        <v>20190312160707349</v>
      </c>
      <c r="B3445" t="str">
        <f>"1552378027338020"</f>
        <v>1552378027338020</v>
      </c>
      <c r="C3445" t="s">
        <v>40</v>
      </c>
      <c r="D3445">
        <v>6.4651550000000002</v>
      </c>
      <c r="E3445">
        <v>0.46834989999999999</v>
      </c>
      <c r="F3445" t="s">
        <v>66</v>
      </c>
      <c r="G3445">
        <v>-459.27460000000002</v>
      </c>
      <c r="H3445" s="1">
        <v>3.356686E-6</v>
      </c>
      <c r="I3445">
        <v>215.5772</v>
      </c>
      <c r="J3445">
        <v>-470.66989999999998</v>
      </c>
      <c r="K3445">
        <v>1.1103780000000001</v>
      </c>
      <c r="L3445">
        <v>215.73159999999999</v>
      </c>
      <c r="M3445">
        <v>0.98483140000000002</v>
      </c>
      <c r="N3445">
        <v>0</v>
      </c>
      <c r="O3445">
        <v>-0.17301520000000001</v>
      </c>
      <c r="P3445">
        <v>0.99501689999999998</v>
      </c>
      <c r="Q3445">
        <v>-1.50671E-2</v>
      </c>
      <c r="R3445">
        <v>-9.856384E-2</v>
      </c>
      <c r="S3445">
        <v>3.0066220000000001</v>
      </c>
      <c r="T3445">
        <v>-0.29026419999999997</v>
      </c>
      <c r="U3445">
        <v>-4.4845580000000003E-2</v>
      </c>
      <c r="V3445">
        <v>-7.5089439999999993E-2</v>
      </c>
      <c r="W3445">
        <v>-2.0120300000000002E-3</v>
      </c>
      <c r="X3445">
        <v>0.99717480000000003</v>
      </c>
      <c r="Y3445">
        <v>-0.15679599999999999</v>
      </c>
      <c r="Z3445">
        <v>2.4146830000000001E-2</v>
      </c>
      <c r="AA3445">
        <v>0.98733579999999999</v>
      </c>
      <c r="AB3445">
        <v>11</v>
      </c>
      <c r="AC3445">
        <v>11.395299999999899</v>
      </c>
      <c r="AD3445">
        <v>-1.110374643314</v>
      </c>
      <c r="AE3445">
        <v>-0.154399999999981</v>
      </c>
      <c r="AF3445">
        <v>-1.8025476590921701</v>
      </c>
      <c r="AG3445">
        <v>-1.110374643314</v>
      </c>
      <c r="AH3445">
        <v>11.144340872370201</v>
      </c>
      <c r="AI3445">
        <v>95.617398706180197</v>
      </c>
      <c r="AJ3445">
        <v>99.187767088740102</v>
      </c>
      <c r="AK3445">
        <v>11.3436521187576</v>
      </c>
      <c r="AL3445">
        <v>90.115280901921295</v>
      </c>
      <c r="AM3445">
        <v>94.3063699469635</v>
      </c>
      <c r="AN3445">
        <v>1.0000000270096301</v>
      </c>
    </row>
    <row r="3446" spans="1:40" x14ac:dyDescent="0.25">
      <c r="A3446" t="str">
        <f>"20190312160707377"</f>
        <v>20190312160707377</v>
      </c>
      <c r="B3446" t="str">
        <f>"1552378027368276"</f>
        <v>1552378027368276</v>
      </c>
      <c r="C3446" t="s">
        <v>40</v>
      </c>
      <c r="D3446">
        <v>6.4779099999999996</v>
      </c>
      <c r="E3446">
        <v>0.46929860000000001</v>
      </c>
      <c r="F3446" t="s">
        <v>66</v>
      </c>
      <c r="G3446">
        <v>-459.2294</v>
      </c>
      <c r="H3446" s="1">
        <v>3.3332600000000001E-6</v>
      </c>
      <c r="I3446">
        <v>215.5635</v>
      </c>
      <c r="J3446">
        <v>-470.5428</v>
      </c>
      <c r="K3446">
        <v>1.1103889999999901</v>
      </c>
      <c r="L3446">
        <v>215.71119999999999</v>
      </c>
      <c r="M3446">
        <v>0.98511029999999999</v>
      </c>
      <c r="N3446">
        <v>0</v>
      </c>
      <c r="O3446">
        <v>-0.1714281</v>
      </c>
      <c r="P3446">
        <v>0.99515339999999997</v>
      </c>
      <c r="Q3446">
        <v>-1.5176490000000001E-2</v>
      </c>
      <c r="R3446">
        <v>-9.7158510000000003E-2</v>
      </c>
      <c r="S3446">
        <v>3.006195</v>
      </c>
      <c r="T3446">
        <v>-0.29177110000000001</v>
      </c>
      <c r="U3446">
        <v>-4.4174190000000002E-2</v>
      </c>
      <c r="V3446">
        <v>-7.4890170000000006E-2</v>
      </c>
      <c r="W3446">
        <v>-2.2379180000000002E-3</v>
      </c>
      <c r="X3446">
        <v>0.99718929999999995</v>
      </c>
      <c r="Y3446">
        <v>-0.15542030000000001</v>
      </c>
      <c r="Z3446">
        <v>2.40567E-2</v>
      </c>
      <c r="AA3446">
        <v>0.98755539999999997</v>
      </c>
      <c r="AB3446">
        <v>11</v>
      </c>
      <c r="AC3446">
        <v>11.3134</v>
      </c>
      <c r="AD3446">
        <v>-1.1103856667399901</v>
      </c>
      <c r="AE3446">
        <v>-0.14769999999998601</v>
      </c>
      <c r="AF3446">
        <v>-1.7769718251908799</v>
      </c>
      <c r="AG3446">
        <v>-1.1103856667399901</v>
      </c>
      <c r="AH3446">
        <v>11.064649402453099</v>
      </c>
      <c r="AI3446">
        <v>95.658663919076602</v>
      </c>
      <c r="AJ3446">
        <v>99.123738284836605</v>
      </c>
      <c r="AK3446">
        <v>11.261307721380801</v>
      </c>
      <c r="AL3446">
        <v>90.128223360385107</v>
      </c>
      <c r="AM3446">
        <v>94.294922438412797</v>
      </c>
      <c r="AN3446">
        <v>1.00000002293704</v>
      </c>
    </row>
    <row r="3447" spans="1:40" x14ac:dyDescent="0.25">
      <c r="A3447" t="str">
        <f>"20190312160707418"</f>
        <v>20190312160707418</v>
      </c>
      <c r="B3447" t="str">
        <f>"1552378027408798"</f>
        <v>1552378027408798</v>
      </c>
      <c r="C3447" t="s">
        <v>40</v>
      </c>
      <c r="D3447">
        <v>6.3402599999999998</v>
      </c>
      <c r="E3447">
        <v>0.47004420000000002</v>
      </c>
      <c r="F3447" t="s">
        <v>66</v>
      </c>
      <c r="G3447">
        <v>-459.565</v>
      </c>
      <c r="H3447" s="1">
        <v>3.5129619999999999E-6</v>
      </c>
      <c r="I3447">
        <v>215.5377</v>
      </c>
      <c r="J3447">
        <v>-470.33870000000002</v>
      </c>
      <c r="K3447">
        <v>1.110365</v>
      </c>
      <c r="L3447">
        <v>215.679</v>
      </c>
      <c r="M3447">
        <v>0.98556200000000005</v>
      </c>
      <c r="N3447">
        <v>0</v>
      </c>
      <c r="O3447">
        <v>-0.16883090000000001</v>
      </c>
      <c r="P3447">
        <v>0.99536400000000003</v>
      </c>
      <c r="Q3447">
        <v>-1.309517E-2</v>
      </c>
      <c r="R3447">
        <v>-9.528586E-2</v>
      </c>
      <c r="S3447">
        <v>3.005341</v>
      </c>
      <c r="T3447">
        <v>-0.30398570000000003</v>
      </c>
      <c r="U3447">
        <v>-4.7500609999999999E-2</v>
      </c>
      <c r="V3447">
        <v>-7.4144269999999998E-2</v>
      </c>
      <c r="W3447">
        <v>-3.9205190000000001E-4</v>
      </c>
      <c r="X3447">
        <v>0.99724749999999995</v>
      </c>
      <c r="Y3447">
        <v>-0.1516197</v>
      </c>
      <c r="Z3447">
        <v>2.4614540000000001E-2</v>
      </c>
      <c r="AA3447">
        <v>0.98813240000000002</v>
      </c>
      <c r="AB3447">
        <v>11</v>
      </c>
      <c r="AC3447">
        <v>10.7737</v>
      </c>
      <c r="AD3447">
        <v>-1.1103614870379901</v>
      </c>
      <c r="AE3447">
        <v>-0.14130000000000101</v>
      </c>
      <c r="AF3447">
        <v>-1.6621589109299999</v>
      </c>
      <c r="AG3447">
        <v>-1.1103614870379901</v>
      </c>
      <c r="AH3447">
        <v>10.5310365688351</v>
      </c>
      <c r="AI3447">
        <v>95.9457929881642</v>
      </c>
      <c r="AJ3447">
        <v>98.969248705020803</v>
      </c>
      <c r="AK3447">
        <v>10.719067407718899</v>
      </c>
      <c r="AL3447">
        <v>90.022462918641594</v>
      </c>
      <c r="AM3447">
        <v>94.252055795851106</v>
      </c>
      <c r="AN3447">
        <v>1.0000000513673799</v>
      </c>
    </row>
    <row r="3448" spans="1:40" x14ac:dyDescent="0.25">
      <c r="A3448" t="str">
        <f>"20190312160707439"</f>
        <v>20190312160707439</v>
      </c>
      <c r="B3448" t="str">
        <f>"1552378027428319"</f>
        <v>1552378027428319</v>
      </c>
      <c r="C3448" t="s">
        <v>40</v>
      </c>
      <c r="D3448">
        <v>6.5065089999999897</v>
      </c>
      <c r="E3448">
        <v>0.47050560000000002</v>
      </c>
      <c r="F3448" t="s">
        <v>66</v>
      </c>
      <c r="G3448">
        <v>-459.41390000000001</v>
      </c>
      <c r="H3448" s="1">
        <v>3.434037E-6</v>
      </c>
      <c r="I3448">
        <v>215.50380000000001</v>
      </c>
      <c r="J3448">
        <v>-470.2373</v>
      </c>
      <c r="K3448">
        <v>1.1103499999999999</v>
      </c>
      <c r="L3448">
        <v>215.66309999999999</v>
      </c>
      <c r="M3448">
        <v>0.98578520000000003</v>
      </c>
      <c r="N3448">
        <v>0</v>
      </c>
      <c r="O3448">
        <v>-0.16753090000000001</v>
      </c>
      <c r="P3448">
        <v>0.99544350000000004</v>
      </c>
      <c r="Q3448">
        <v>-1.2963179999999999E-2</v>
      </c>
      <c r="R3448">
        <v>-9.4469730000000002E-2</v>
      </c>
      <c r="S3448">
        <v>3.00528</v>
      </c>
      <c r="T3448">
        <v>-0.30544789999999999</v>
      </c>
      <c r="U3448">
        <v>-4.8172E-2</v>
      </c>
      <c r="V3448">
        <v>-7.3646400000000001E-2</v>
      </c>
      <c r="W3448">
        <v>-3.8763749999999998E-4</v>
      </c>
      <c r="X3448">
        <v>0.99728439999999996</v>
      </c>
      <c r="Y3448">
        <v>-0.15009359999999999</v>
      </c>
      <c r="Z3448">
        <v>2.452507E-2</v>
      </c>
      <c r="AA3448">
        <v>0.98836760000000001</v>
      </c>
      <c r="AB3448">
        <v>11</v>
      </c>
      <c r="AC3448">
        <v>10.8233999999999</v>
      </c>
      <c r="AD3448">
        <v>-1.1103465659630001</v>
      </c>
      <c r="AE3448">
        <v>-0.15929999999997299</v>
      </c>
      <c r="AF3448">
        <v>-1.63910509267571</v>
      </c>
      <c r="AG3448">
        <v>-1.1103465659630001</v>
      </c>
      <c r="AH3448">
        <v>10.585713825369901</v>
      </c>
      <c r="AI3448">
        <v>95.917904522246104</v>
      </c>
      <c r="AJ3448">
        <v>98.801850104636003</v>
      </c>
      <c r="AK3448">
        <v>10.769255879307901</v>
      </c>
      <c r="AL3448">
        <v>90.022209991988106</v>
      </c>
      <c r="AM3448">
        <v>94.223451704240006</v>
      </c>
      <c r="AN3448">
        <v>1.0000000584895701</v>
      </c>
    </row>
    <row r="3449" spans="1:40" x14ac:dyDescent="0.25">
      <c r="A3449" t="str">
        <f>"20190312160707482"</f>
        <v>20190312160707482</v>
      </c>
      <c r="B3449" t="str">
        <f>"1552378027478094"</f>
        <v>1552378027478094</v>
      </c>
      <c r="C3449" t="s">
        <v>40</v>
      </c>
      <c r="D3449">
        <v>6.3674339999999896</v>
      </c>
      <c r="E3449">
        <v>0.47171069999999998</v>
      </c>
      <c r="F3449" t="s">
        <v>66</v>
      </c>
      <c r="G3449">
        <v>-459.4622</v>
      </c>
      <c r="H3449" s="1">
        <v>3.4605620000000002E-6</v>
      </c>
      <c r="I3449">
        <v>215.48509999999999</v>
      </c>
      <c r="J3449">
        <v>-470.01830000000001</v>
      </c>
      <c r="K3449">
        <v>1.110312</v>
      </c>
      <c r="L3449">
        <v>215.6294</v>
      </c>
      <c r="M3449">
        <v>0.98626040000000004</v>
      </c>
      <c r="N3449">
        <v>0</v>
      </c>
      <c r="O3449">
        <v>-0.16473370000000001</v>
      </c>
      <c r="P3449">
        <v>0.99555229999999995</v>
      </c>
      <c r="Q3449">
        <v>-1.271622E-2</v>
      </c>
      <c r="R3449">
        <v>-9.3349749999999995E-2</v>
      </c>
      <c r="S3449">
        <v>3.0050349999999999</v>
      </c>
      <c r="T3449">
        <v>-0.30966189999999999</v>
      </c>
      <c r="U3449">
        <v>-4.9652099999999998E-2</v>
      </c>
      <c r="V3449">
        <v>-7.1939080000000002E-2</v>
      </c>
      <c r="W3449">
        <v>-4.2729779999999999E-4</v>
      </c>
      <c r="X3449">
        <v>0.99740890000000004</v>
      </c>
      <c r="Y3449">
        <v>-0.1467868</v>
      </c>
      <c r="Z3449">
        <v>2.4409170000000001E-2</v>
      </c>
      <c r="AA3449">
        <v>0.98886689999999999</v>
      </c>
      <c r="AB3449">
        <v>11</v>
      </c>
      <c r="AC3449">
        <v>10.556100000000001</v>
      </c>
      <c r="AD3449">
        <v>-1.1103085394379999</v>
      </c>
      <c r="AE3449">
        <v>-0.144300000000015</v>
      </c>
      <c r="AF3449">
        <v>-1.5792817460833599</v>
      </c>
      <c r="AG3449">
        <v>-1.1103085394379999</v>
      </c>
      <c r="AH3449">
        <v>10.3214670293232</v>
      </c>
      <c r="AI3449">
        <v>96.069749095505102</v>
      </c>
      <c r="AJ3449">
        <v>98.6993238730916</v>
      </c>
      <c r="AK3449">
        <v>10.500457014990699</v>
      </c>
      <c r="AL3449">
        <v>90.024482362166296</v>
      </c>
      <c r="AM3449">
        <v>94.125369714296994</v>
      </c>
      <c r="AN3449">
        <v>0.99999996380693201</v>
      </c>
    </row>
    <row r="3450" spans="1:40" x14ac:dyDescent="0.25">
      <c r="A3450" t="str">
        <f>"20190312160707506"</f>
        <v>20190312160707506</v>
      </c>
      <c r="B3450" t="str">
        <f>"1552378027498590"</f>
        <v>1552378027498590</v>
      </c>
      <c r="C3450" t="s">
        <v>40</v>
      </c>
      <c r="D3450">
        <v>5.9571360000000002</v>
      </c>
      <c r="E3450">
        <v>0.47190399999999999</v>
      </c>
      <c r="F3450" t="s">
        <v>66</v>
      </c>
      <c r="G3450">
        <v>-459.7996</v>
      </c>
      <c r="H3450" s="1">
        <v>3.6421190000000001E-6</v>
      </c>
      <c r="I3450">
        <v>215.4385</v>
      </c>
      <c r="J3450">
        <v>-469.90280000000001</v>
      </c>
      <c r="K3450">
        <v>1.1102909999999999</v>
      </c>
      <c r="L3450">
        <v>215.61189999999999</v>
      </c>
      <c r="M3450">
        <v>0.98650629999999995</v>
      </c>
      <c r="N3450">
        <v>0</v>
      </c>
      <c r="O3450">
        <v>-0.16326650000000001</v>
      </c>
      <c r="P3450">
        <v>0.99566379999999999</v>
      </c>
      <c r="Q3450">
        <v>-1.2001370000000001E-2</v>
      </c>
      <c r="R3450">
        <v>-9.2248750000000004E-2</v>
      </c>
      <c r="S3450">
        <v>3.0039370000000001</v>
      </c>
      <c r="T3450">
        <v>-0.32639010000000002</v>
      </c>
      <c r="U3450">
        <v>-5.6137079999999999E-2</v>
      </c>
      <c r="V3450">
        <v>-7.1560499999999999E-2</v>
      </c>
      <c r="W3450">
        <v>1.3190909999999999E-4</v>
      </c>
      <c r="X3450">
        <v>0.9974362</v>
      </c>
      <c r="Y3450">
        <v>-0.14302210000000001</v>
      </c>
      <c r="Z3450">
        <v>2.5367190000000001E-2</v>
      </c>
      <c r="AA3450">
        <v>0.98939440000000001</v>
      </c>
      <c r="AB3450">
        <v>11</v>
      </c>
      <c r="AC3450">
        <v>10.103199999999999</v>
      </c>
      <c r="AD3450">
        <v>-1.110287357881</v>
      </c>
      <c r="AE3450">
        <v>-0.17339999999998601</v>
      </c>
      <c r="AF3450">
        <v>-1.46092618213297</v>
      </c>
      <c r="AG3450">
        <v>-1.110287357881</v>
      </c>
      <c r="AH3450">
        <v>9.8766835495168497</v>
      </c>
      <c r="AI3450">
        <v>96.345507428218497</v>
      </c>
      <c r="AJ3450">
        <v>98.413990934087494</v>
      </c>
      <c r="AK3450">
        <v>10.0456916767343</v>
      </c>
      <c r="AL3450">
        <v>89.992442164874305</v>
      </c>
      <c r="AM3450">
        <v>94.103622351819396</v>
      </c>
      <c r="AN3450">
        <v>0.99999994781534896</v>
      </c>
    </row>
    <row r="3451" spans="1:40" x14ac:dyDescent="0.25">
      <c r="A3451" t="str">
        <f>"20190312160707528"</f>
        <v>20190312160707528</v>
      </c>
      <c r="B3451" t="str">
        <f>"1552378027518615"</f>
        <v>1552378027518615</v>
      </c>
      <c r="C3451" t="s">
        <v>40</v>
      </c>
      <c r="D3451">
        <v>6.3982190000000001</v>
      </c>
      <c r="E3451">
        <v>0.47217429999999999</v>
      </c>
      <c r="F3451" t="s">
        <v>66</v>
      </c>
      <c r="G3451">
        <v>-459.59989999999999</v>
      </c>
      <c r="H3451" s="1">
        <v>3.5364760000000001E-6</v>
      </c>
      <c r="I3451">
        <v>215.4238</v>
      </c>
      <c r="J3451">
        <v>-469.79689999999999</v>
      </c>
      <c r="K3451">
        <v>1.1102749999999999</v>
      </c>
      <c r="L3451">
        <v>215.596</v>
      </c>
      <c r="M3451">
        <v>0.98672879999999996</v>
      </c>
      <c r="N3451">
        <v>0</v>
      </c>
      <c r="O3451">
        <v>-0.16192679999999901</v>
      </c>
      <c r="P3451">
        <v>0.99575999999999998</v>
      </c>
      <c r="Q3451">
        <v>-1.251473E-2</v>
      </c>
      <c r="R3451">
        <v>-9.1137099999999999E-2</v>
      </c>
      <c r="S3451">
        <v>3.0040589999999998</v>
      </c>
      <c r="T3451">
        <v>-0.32373030000000003</v>
      </c>
      <c r="U3451">
        <v>-5.4840090000000001E-2</v>
      </c>
      <c r="V3451">
        <v>-7.1317439999999996E-2</v>
      </c>
      <c r="W3451">
        <v>-5.2349000000000004E-4</v>
      </c>
      <c r="X3451">
        <v>0.99745349999999999</v>
      </c>
      <c r="Y3451">
        <v>-0.14214779999999999</v>
      </c>
      <c r="Z3451">
        <v>2.4971509999999999E-2</v>
      </c>
      <c r="AA3451">
        <v>0.98953040000000003</v>
      </c>
      <c r="AB3451">
        <v>11</v>
      </c>
      <c r="AC3451">
        <v>10.196999999999999</v>
      </c>
      <c r="AD3451">
        <v>-1.1102714635240001</v>
      </c>
      <c r="AE3451">
        <v>-0.17219999999997501</v>
      </c>
      <c r="AF3451">
        <v>-1.46400964967651</v>
      </c>
      <c r="AG3451">
        <v>-1.1102714635240001</v>
      </c>
      <c r="AH3451">
        <v>9.9721050642906093</v>
      </c>
      <c r="AI3451">
        <v>96.286182100978905</v>
      </c>
      <c r="AJ3451">
        <v>98.351958464586701</v>
      </c>
      <c r="AK3451">
        <v>10.1399657982811</v>
      </c>
      <c r="AL3451">
        <v>90.029993769947694</v>
      </c>
      <c r="AM3451">
        <v>94.089660808598694</v>
      </c>
      <c r="AN3451">
        <v>0.99999996797609103</v>
      </c>
    </row>
    <row r="3452" spans="1:40" x14ac:dyDescent="0.25">
      <c r="A3452" t="str">
        <f>"20190312160707552"</f>
        <v>20190312160707552</v>
      </c>
      <c r="B3452" t="str">
        <f>"1552378027538136"</f>
        <v>1552378027538136</v>
      </c>
      <c r="C3452" t="s">
        <v>40</v>
      </c>
      <c r="D3452">
        <v>6.2786589999999904</v>
      </c>
      <c r="E3452">
        <v>0.47226010000000002</v>
      </c>
      <c r="F3452" t="s">
        <v>66</v>
      </c>
      <c r="G3452">
        <v>-459.58780000000002</v>
      </c>
      <c r="H3452" s="1">
        <v>3.5304929999999999E-6</v>
      </c>
      <c r="I3452">
        <v>215.4136</v>
      </c>
      <c r="J3452">
        <v>-469.67720000000003</v>
      </c>
      <c r="K3452">
        <v>1.1102609999999999</v>
      </c>
      <c r="L3452">
        <v>215.57820000000001</v>
      </c>
      <c r="M3452">
        <v>0.98697780000000002</v>
      </c>
      <c r="N3452">
        <v>0</v>
      </c>
      <c r="O3452">
        <v>-0.1604139</v>
      </c>
      <c r="P3452">
        <v>0.99582590000000004</v>
      </c>
      <c r="Q3452">
        <v>-1.336409E-2</v>
      </c>
      <c r="R3452">
        <v>-9.0289640000000004E-2</v>
      </c>
      <c r="S3452">
        <v>3.0037229999999999</v>
      </c>
      <c r="T3452">
        <v>-0.32666210000000001</v>
      </c>
      <c r="U3452">
        <v>-5.3665160000000003E-2</v>
      </c>
      <c r="V3452">
        <v>-7.0634370000000002E-2</v>
      </c>
      <c r="W3452">
        <v>-1.532095E-3</v>
      </c>
      <c r="X3452">
        <v>0.99750110000000003</v>
      </c>
      <c r="Y3452">
        <v>-0.1409985</v>
      </c>
      <c r="Z3452">
        <v>2.4974730000000001E-2</v>
      </c>
      <c r="AA3452">
        <v>0.98969479999999999</v>
      </c>
      <c r="AB3452">
        <v>11</v>
      </c>
      <c r="AC3452">
        <v>10.089399999999999</v>
      </c>
      <c r="AD3452">
        <v>-1.110257469507</v>
      </c>
      <c r="AE3452">
        <v>-0.16460000000000699</v>
      </c>
      <c r="AF3452">
        <v>-1.4387099511688901</v>
      </c>
      <c r="AG3452">
        <v>-1.110257469507</v>
      </c>
      <c r="AH3452">
        <v>9.8656937048013393</v>
      </c>
      <c r="AI3452">
        <v>96.354239428142193</v>
      </c>
      <c r="AJ3452">
        <v>98.296934294313402</v>
      </c>
      <c r="AK3452">
        <v>10.0316733523946</v>
      </c>
      <c r="AL3452">
        <v>90.087782611390196</v>
      </c>
      <c r="AM3452">
        <v>94.050428884740896</v>
      </c>
      <c r="AN3452">
        <v>1.0000000030207901</v>
      </c>
    </row>
    <row r="3453" spans="1:40" x14ac:dyDescent="0.25">
      <c r="A3453" t="str">
        <f>"20190312160707577"</f>
        <v>20190312160707577</v>
      </c>
      <c r="B3453" t="str">
        <f>"1552378027568392"</f>
        <v>1552378027568392</v>
      </c>
      <c r="C3453" t="s">
        <v>40</v>
      </c>
      <c r="D3453">
        <v>6.4472690000000004</v>
      </c>
      <c r="E3453">
        <v>0.47249849999999999</v>
      </c>
      <c r="F3453" t="s">
        <v>66</v>
      </c>
      <c r="G3453">
        <v>-459.52069999999998</v>
      </c>
      <c r="H3453" s="1">
        <v>3.4951720000000001E-6</v>
      </c>
      <c r="I3453">
        <v>215.40459999999999</v>
      </c>
      <c r="J3453">
        <v>-469.55829999999997</v>
      </c>
      <c r="K3453">
        <v>1.1102430000000001</v>
      </c>
      <c r="L3453">
        <v>215.56059999999999</v>
      </c>
      <c r="M3453">
        <v>0.98722270000000001</v>
      </c>
      <c r="N3453">
        <v>0</v>
      </c>
      <c r="O3453">
        <v>-0.158912</v>
      </c>
      <c r="P3453">
        <v>0.9958439</v>
      </c>
      <c r="Q3453">
        <v>-1.331033E-2</v>
      </c>
      <c r="R3453">
        <v>-9.0101870000000001E-2</v>
      </c>
      <c r="S3453">
        <v>3.0035099999999999</v>
      </c>
      <c r="T3453">
        <v>-0.3283256</v>
      </c>
      <c r="U3453">
        <v>-5.1315310000000003E-2</v>
      </c>
      <c r="V3453">
        <v>-6.9304400000000002E-2</v>
      </c>
      <c r="W3453">
        <v>-1.63463E-3</v>
      </c>
      <c r="X3453">
        <v>0.99759419999999999</v>
      </c>
      <c r="Y3453">
        <v>-0.14025979999999999</v>
      </c>
      <c r="Z3453">
        <v>2.490113E-2</v>
      </c>
      <c r="AA3453">
        <v>0.9898015</v>
      </c>
      <c r="AB3453">
        <v>11</v>
      </c>
      <c r="AC3453">
        <v>10.0375999999999</v>
      </c>
      <c r="AD3453">
        <v>-1.110239504828</v>
      </c>
      <c r="AE3453">
        <v>-0.156000000000005</v>
      </c>
      <c r="AF3453">
        <v>-1.42377357924766</v>
      </c>
      <c r="AG3453">
        <v>-1.110239504828</v>
      </c>
      <c r="AH3453">
        <v>9.8147775417670502</v>
      </c>
      <c r="AI3453">
        <v>96.387519626700694</v>
      </c>
      <c r="AJ3453">
        <v>98.253993995910605</v>
      </c>
      <c r="AK3453">
        <v>9.97945996321541</v>
      </c>
      <c r="AL3453">
        <v>90.093657443659396</v>
      </c>
      <c r="AM3453">
        <v>93.974040641089303</v>
      </c>
      <c r="AN3453">
        <v>0.99999997987411804</v>
      </c>
    </row>
    <row r="3454" spans="1:40" x14ac:dyDescent="0.25">
      <c r="A3454" t="str">
        <f>"20190312160707597"</f>
        <v>20190312160707597</v>
      </c>
      <c r="B3454" t="str">
        <f>"1552378027588888"</f>
        <v>1552378027588888</v>
      </c>
      <c r="C3454" t="s">
        <v>40</v>
      </c>
      <c r="D3454">
        <v>6.4306190000000001</v>
      </c>
      <c r="E3454">
        <v>0.47263129999999998</v>
      </c>
      <c r="F3454" t="s">
        <v>66</v>
      </c>
      <c r="G3454">
        <v>-459.41469999999998</v>
      </c>
      <c r="H3454" s="1">
        <v>3.4396929999999999E-6</v>
      </c>
      <c r="I3454">
        <v>215.38380000000001</v>
      </c>
      <c r="J3454">
        <v>-469.45699999999999</v>
      </c>
      <c r="K3454">
        <v>1.1102289999999999</v>
      </c>
      <c r="L3454">
        <v>215.54589999999999</v>
      </c>
      <c r="M3454">
        <v>0.98742940000000001</v>
      </c>
      <c r="N3454">
        <v>0</v>
      </c>
      <c r="O3454">
        <v>-0.15763260000000001</v>
      </c>
      <c r="P3454">
        <v>0.99588350000000003</v>
      </c>
      <c r="Q3454">
        <v>-1.269233E-2</v>
      </c>
      <c r="R3454">
        <v>-8.9751739999999997E-2</v>
      </c>
      <c r="S3454">
        <v>3.0033569999999998</v>
      </c>
      <c r="T3454">
        <v>-0.32872430000000002</v>
      </c>
      <c r="U3454">
        <v>-5.2352910000000002E-2</v>
      </c>
      <c r="V3454">
        <v>-6.8363969999999996E-2</v>
      </c>
      <c r="W3454">
        <v>-1.1525350000000001E-3</v>
      </c>
      <c r="X3454">
        <v>0.99765979999999999</v>
      </c>
      <c r="Y3454">
        <v>-0.13864660000000001</v>
      </c>
      <c r="Z3454">
        <v>2.470603E-2</v>
      </c>
      <c r="AA3454">
        <v>0.99003370000000002</v>
      </c>
      <c r="AB3454">
        <v>11</v>
      </c>
      <c r="AC3454">
        <v>10.042299999999999</v>
      </c>
      <c r="AD3454">
        <v>-1.1102255603069999</v>
      </c>
      <c r="AE3454">
        <v>-0.16209999999998101</v>
      </c>
      <c r="AF3454">
        <v>-1.4058493527725</v>
      </c>
      <c r="AG3454">
        <v>-1.1102255603069999</v>
      </c>
      <c r="AH3454">
        <v>9.8222660744809893</v>
      </c>
      <c r="AI3454">
        <v>96.384340146997602</v>
      </c>
      <c r="AJ3454">
        <v>98.145356407104103</v>
      </c>
      <c r="AK3454">
        <v>9.9842838519019494</v>
      </c>
      <c r="AL3454">
        <v>90.066035404630099</v>
      </c>
      <c r="AM3454">
        <v>93.920026998236096</v>
      </c>
      <c r="AN3454">
        <v>1.00000001863356</v>
      </c>
    </row>
    <row r="3455" spans="1:40" x14ac:dyDescent="0.25">
      <c r="A3455" t="str">
        <f>"20190312160707620"</f>
        <v>20190312160707620</v>
      </c>
      <c r="B3455" t="str">
        <f>"1552378027608916"</f>
        <v>1552378027608916</v>
      </c>
      <c r="C3455" t="s">
        <v>40</v>
      </c>
      <c r="D3455">
        <v>6.3147549999999999</v>
      </c>
      <c r="E3455">
        <v>0.4727343</v>
      </c>
      <c r="F3455" t="s">
        <v>66</v>
      </c>
      <c r="G3455">
        <v>-459.21370000000002</v>
      </c>
      <c r="H3455" s="1">
        <v>3.333442E-6</v>
      </c>
      <c r="I3455">
        <v>215.36799999999999</v>
      </c>
      <c r="J3455">
        <v>-469.33909999999997</v>
      </c>
      <c r="K3455">
        <v>1.110217</v>
      </c>
      <c r="L3455">
        <v>215.52889999999999</v>
      </c>
      <c r="M3455">
        <v>0.98766750000000003</v>
      </c>
      <c r="N3455">
        <v>0</v>
      </c>
      <c r="O3455">
        <v>-0.156145899999999</v>
      </c>
      <c r="P3455">
        <v>0.99597519999999995</v>
      </c>
      <c r="Q3455">
        <v>-1.179083E-2</v>
      </c>
      <c r="R3455">
        <v>-8.8852500000000001E-2</v>
      </c>
      <c r="S3455">
        <v>3.0035099999999999</v>
      </c>
      <c r="T3455">
        <v>-0.32553890000000002</v>
      </c>
      <c r="U3455">
        <v>-5.2139280000000003E-2</v>
      </c>
      <c r="V3455">
        <v>-6.7765049999999993E-2</v>
      </c>
      <c r="W3455">
        <v>-4.0929939999999999E-4</v>
      </c>
      <c r="X3455">
        <v>0.99770119999999896</v>
      </c>
      <c r="Y3455">
        <v>-0.1372775</v>
      </c>
      <c r="Z3455">
        <v>2.423378E-2</v>
      </c>
      <c r="AA3455">
        <v>0.99023620000000001</v>
      </c>
      <c r="AB3455">
        <v>11</v>
      </c>
      <c r="AC3455">
        <v>10.1253999999999</v>
      </c>
      <c r="AD3455">
        <v>-1.110213666558</v>
      </c>
      <c r="AE3455">
        <v>-0.16089999999999799</v>
      </c>
      <c r="AF3455">
        <v>-1.40532637791614</v>
      </c>
      <c r="AG3455">
        <v>-1.110213666558</v>
      </c>
      <c r="AH3455">
        <v>9.9072329794104306</v>
      </c>
      <c r="AI3455">
        <v>96.331088234093102</v>
      </c>
      <c r="AJ3455">
        <v>98.073460579058604</v>
      </c>
      <c r="AK3455">
        <v>10.067809191785299</v>
      </c>
      <c r="AL3455">
        <v>90.023451129371296</v>
      </c>
      <c r="AM3455">
        <v>93.8856295249347</v>
      </c>
      <c r="AN3455">
        <v>0.99999997700446996</v>
      </c>
    </row>
    <row r="3456" spans="1:40" x14ac:dyDescent="0.25">
      <c r="A3456" t="str">
        <f>"20190312160707644"</f>
        <v>20190312160707644</v>
      </c>
      <c r="B3456" t="str">
        <f>"1552378027628438"</f>
        <v>1552378027628438</v>
      </c>
      <c r="C3456" t="s">
        <v>40</v>
      </c>
      <c r="D3456">
        <v>6.9233399999999996</v>
      </c>
      <c r="E3456">
        <v>0.47298010000000001</v>
      </c>
      <c r="F3456" t="s">
        <v>66</v>
      </c>
      <c r="G3456">
        <v>-458.99740000000003</v>
      </c>
      <c r="H3456" s="1">
        <v>3.2188750000000002E-6</v>
      </c>
      <c r="I3456">
        <v>215.35599999999999</v>
      </c>
      <c r="J3456">
        <v>-469.22109999999998</v>
      </c>
      <c r="K3456">
        <v>1.110204</v>
      </c>
      <c r="L3456">
        <v>215.512</v>
      </c>
      <c r="M3456">
        <v>0.9879038</v>
      </c>
      <c r="N3456">
        <v>0</v>
      </c>
      <c r="O3456">
        <v>-0.1546546</v>
      </c>
      <c r="P3456">
        <v>0.99604519999999996</v>
      </c>
      <c r="Q3456">
        <v>-1.1158889999999999E-2</v>
      </c>
      <c r="R3456">
        <v>-8.8146020000000005E-2</v>
      </c>
      <c r="S3456">
        <v>3.0038149999999999</v>
      </c>
      <c r="T3456">
        <v>-0.32246989999999998</v>
      </c>
      <c r="U3456">
        <v>-5.0216669999999998E-2</v>
      </c>
      <c r="V3456">
        <v>-6.6967700000000005E-2</v>
      </c>
      <c r="W3456" s="1">
        <v>6.7810469999999995E-5</v>
      </c>
      <c r="X3456">
        <v>0.99775519999999995</v>
      </c>
      <c r="Y3456">
        <v>-0.1364629</v>
      </c>
      <c r="Z3456">
        <v>2.3802879999999998E-2</v>
      </c>
      <c r="AA3456">
        <v>0.9903592</v>
      </c>
      <c r="AB3456">
        <v>11</v>
      </c>
      <c r="AC3456">
        <v>10.2236999999999</v>
      </c>
      <c r="AD3456">
        <v>-1.1102007811249901</v>
      </c>
      <c r="AE3456">
        <v>-0.156000000000005</v>
      </c>
      <c r="AF3456">
        <v>-1.4104919794603199</v>
      </c>
      <c r="AG3456">
        <v>-1.1102007811249901</v>
      </c>
      <c r="AH3456">
        <v>10.006833443986499</v>
      </c>
      <c r="AI3456">
        <v>96.269277493717794</v>
      </c>
      <c r="AJ3456">
        <v>98.023149785414702</v>
      </c>
      <c r="AK3456">
        <v>10.1665504953361</v>
      </c>
      <c r="AL3456">
        <v>89.996114746485603</v>
      </c>
      <c r="AM3456">
        <v>93.839840084962105</v>
      </c>
      <c r="AN3456">
        <v>1.0000000582842901</v>
      </c>
    </row>
    <row r="3457" spans="1:40" x14ac:dyDescent="0.25">
      <c r="A3457" t="str">
        <f>"20190312160707662"</f>
        <v>20190312160707662</v>
      </c>
      <c r="B3457" t="str">
        <f>"1552378027658692"</f>
        <v>1552378027658692</v>
      </c>
      <c r="C3457" t="s">
        <v>40</v>
      </c>
      <c r="D3457">
        <v>6.3296250000000001</v>
      </c>
      <c r="E3457">
        <v>0.47324549999999999</v>
      </c>
      <c r="F3457" t="s">
        <v>66</v>
      </c>
      <c r="G3457">
        <v>-458.79680000000002</v>
      </c>
      <c r="H3457" s="1">
        <v>3.1128690000000001E-6</v>
      </c>
      <c r="I3457">
        <v>215.33879999999999</v>
      </c>
      <c r="J3457">
        <v>-469.13</v>
      </c>
      <c r="K3457">
        <v>1.110195</v>
      </c>
      <c r="L3457">
        <v>215.4991</v>
      </c>
      <c r="M3457">
        <v>0.98808470000000004</v>
      </c>
      <c r="N3457">
        <v>0</v>
      </c>
      <c r="O3457">
        <v>-0.15350359999999999</v>
      </c>
      <c r="P3457">
        <v>0.99608160000000001</v>
      </c>
      <c r="Q3457">
        <v>-1.0975189999999999E-2</v>
      </c>
      <c r="R3457">
        <v>-8.775587E-2</v>
      </c>
      <c r="S3457">
        <v>3.0039060000000002</v>
      </c>
      <c r="T3457">
        <v>-0.31992100000000001</v>
      </c>
      <c r="U3457">
        <v>-4.9896240000000001E-2</v>
      </c>
      <c r="V3457">
        <v>-6.6195989999999996E-2</v>
      </c>
      <c r="W3457">
        <v>1.3477009999999999E-4</v>
      </c>
      <c r="X3457">
        <v>0.99780659999999999</v>
      </c>
      <c r="Y3457">
        <v>-0.1354532</v>
      </c>
      <c r="Z3457">
        <v>2.3440450000000002E-2</v>
      </c>
      <c r="AA3457">
        <v>0.99050640000000001</v>
      </c>
      <c r="AB3457">
        <v>11</v>
      </c>
      <c r="AC3457">
        <v>10.3331999999999</v>
      </c>
      <c r="AD3457">
        <v>-1.1101918871309999</v>
      </c>
      <c r="AE3457">
        <v>-0.16030000000000599</v>
      </c>
      <c r="AF3457">
        <v>-1.41159247893651</v>
      </c>
      <c r="AG3457">
        <v>-1.1101918871309999</v>
      </c>
      <c r="AH3457">
        <v>10.1185521360112</v>
      </c>
      <c r="AI3457">
        <v>96.201776249073504</v>
      </c>
      <c r="AJ3457">
        <v>97.941813750270995</v>
      </c>
      <c r="AK3457">
        <v>10.2766831556693</v>
      </c>
      <c r="AL3457">
        <v>89.992278241803604</v>
      </c>
      <c r="AM3457">
        <v>93.795526390626506</v>
      </c>
      <c r="AN3457">
        <v>0.999999969129309</v>
      </c>
    </row>
    <row r="3458" spans="1:40" x14ac:dyDescent="0.25">
      <c r="A3458" t="str">
        <f>"20190312160707684"</f>
        <v>20190312160707684</v>
      </c>
      <c r="B3458" t="str">
        <f>"1552378027678212"</f>
        <v>1552378027678212</v>
      </c>
      <c r="C3458" t="s">
        <v>40</v>
      </c>
      <c r="D3458">
        <v>6.2922169999999999</v>
      </c>
      <c r="E3458">
        <v>0.47350589999999998</v>
      </c>
      <c r="F3458" t="s">
        <v>66</v>
      </c>
      <c r="G3458">
        <v>-458.73610000000002</v>
      </c>
      <c r="H3458" s="1">
        <v>3.081259E-6</v>
      </c>
      <c r="I3458">
        <v>215.3229</v>
      </c>
      <c r="J3458">
        <v>-469.02330000000001</v>
      </c>
      <c r="K3458">
        <v>1.110187</v>
      </c>
      <c r="L3458">
        <v>215.48410000000001</v>
      </c>
      <c r="M3458">
        <v>0.98829480000000003</v>
      </c>
      <c r="N3458">
        <v>0</v>
      </c>
      <c r="O3458">
        <v>-0.1521544</v>
      </c>
      <c r="P3458">
        <v>0.99614340000000001</v>
      </c>
      <c r="Q3458">
        <v>-1.093355E-2</v>
      </c>
      <c r="R3458">
        <v>-8.7057170000000003E-2</v>
      </c>
      <c r="S3458">
        <v>3.0038149999999999</v>
      </c>
      <c r="T3458">
        <v>-0.32084380000000001</v>
      </c>
      <c r="U3458">
        <v>-5.0918579999999998E-2</v>
      </c>
      <c r="V3458">
        <v>-6.5533209999999995E-2</v>
      </c>
      <c r="W3458" s="1">
        <v>4.2486220000000001E-5</v>
      </c>
      <c r="X3458">
        <v>0.99785040000000003</v>
      </c>
      <c r="Y3458">
        <v>-0.13377049999999999</v>
      </c>
      <c r="Z3458">
        <v>2.327628E-2</v>
      </c>
      <c r="AA3458">
        <v>0.99073889999999998</v>
      </c>
      <c r="AB3458">
        <v>11</v>
      </c>
      <c r="AC3458">
        <v>10.287199999999901</v>
      </c>
      <c r="AD3458">
        <v>-1.1101839187410001</v>
      </c>
      <c r="AE3458">
        <v>-0.161200000000008</v>
      </c>
      <c r="AF3458">
        <v>-1.3898329730133701</v>
      </c>
      <c r="AG3458">
        <v>-1.1101839187410001</v>
      </c>
      <c r="AH3458">
        <v>10.0746320423076</v>
      </c>
      <c r="AI3458">
        <v>96.229861570933195</v>
      </c>
      <c r="AJ3458">
        <v>97.854588844487395</v>
      </c>
      <c r="AK3458">
        <v>10.230462101694</v>
      </c>
      <c r="AL3458">
        <v>89.997565718935206</v>
      </c>
      <c r="AM3458">
        <v>93.757469060762006</v>
      </c>
      <c r="AN3458">
        <v>1.00000001209907</v>
      </c>
    </row>
    <row r="3459" spans="1:40" x14ac:dyDescent="0.25">
      <c r="A3459" t="str">
        <f>"20190312160707707"</f>
        <v>20190312160707707</v>
      </c>
      <c r="B3459" t="str">
        <f>"1552378027698708"</f>
        <v>1552378027698708</v>
      </c>
      <c r="C3459" t="s">
        <v>40</v>
      </c>
      <c r="D3459">
        <v>6.3854670000000002</v>
      </c>
      <c r="E3459">
        <v>0.4736398</v>
      </c>
      <c r="F3459" t="s">
        <v>66</v>
      </c>
      <c r="G3459">
        <v>-458.67759999999998</v>
      </c>
      <c r="H3459" s="1">
        <v>3.0507089999999999E-6</v>
      </c>
      <c r="I3459">
        <v>215.30950000000001</v>
      </c>
      <c r="J3459">
        <v>-468.90649999999999</v>
      </c>
      <c r="K3459">
        <v>1.110174</v>
      </c>
      <c r="L3459">
        <v>215.46789999999999</v>
      </c>
      <c r="M3459">
        <v>0.98852280000000003</v>
      </c>
      <c r="N3459">
        <v>0</v>
      </c>
      <c r="O3459">
        <v>-0.15067639999999999</v>
      </c>
      <c r="P3459">
        <v>0.99618799999999996</v>
      </c>
      <c r="Q3459">
        <v>-1.0591059999999999E-2</v>
      </c>
      <c r="R3459">
        <v>-8.6589449999999998E-2</v>
      </c>
      <c r="S3459">
        <v>3.0036619999999998</v>
      </c>
      <c r="T3459">
        <v>-0.32231939999999998</v>
      </c>
      <c r="U3459">
        <v>-5.070496E-2</v>
      </c>
      <c r="V3459">
        <v>-6.4510650000000003E-2</v>
      </c>
      <c r="W3459">
        <v>2.4444259999999998E-4</v>
      </c>
      <c r="X3459">
        <v>0.99791700000000005</v>
      </c>
      <c r="Y3459">
        <v>-0.13235939999999999</v>
      </c>
      <c r="Z3459">
        <v>2.3151749999999999E-2</v>
      </c>
      <c r="AA3459">
        <v>0.99093140000000002</v>
      </c>
      <c r="AB3459">
        <v>11</v>
      </c>
      <c r="AC3459">
        <v>10.228899999999999</v>
      </c>
      <c r="AD3459">
        <v>-1.1101709492909999</v>
      </c>
      <c r="AE3459">
        <v>-0.15839999999997101</v>
      </c>
      <c r="AF3459">
        <v>-1.36863661287839</v>
      </c>
      <c r="AG3459">
        <v>-1.1101709492909999</v>
      </c>
      <c r="AH3459">
        <v>10.0179952965872</v>
      </c>
      <c r="AI3459">
        <v>96.265849056162594</v>
      </c>
      <c r="AJ3459">
        <v>97.779462946661994</v>
      </c>
      <c r="AK3459">
        <v>10.1718177076275</v>
      </c>
      <c r="AL3459">
        <v>89.985994470705606</v>
      </c>
      <c r="AM3459">
        <v>93.6987565512148</v>
      </c>
      <c r="AN3459">
        <v>1.0000000113023</v>
      </c>
    </row>
    <row r="3460" spans="1:40" x14ac:dyDescent="0.25">
      <c r="A3460" t="str">
        <f>"20190312160707729"</f>
        <v>20190312160707729</v>
      </c>
      <c r="B3460" t="str">
        <f>"1552378027718735"</f>
        <v>1552378027718735</v>
      </c>
      <c r="C3460" t="s">
        <v>40</v>
      </c>
      <c r="D3460">
        <v>6.396814</v>
      </c>
      <c r="E3460">
        <v>0.47376469999999998</v>
      </c>
      <c r="F3460" t="s">
        <v>66</v>
      </c>
      <c r="G3460">
        <v>-458.59690000000001</v>
      </c>
      <c r="H3460" s="1">
        <v>3.0083690000000001E-6</v>
      </c>
      <c r="I3460">
        <v>215.2954</v>
      </c>
      <c r="J3460">
        <v>-468.79390000000001</v>
      </c>
      <c r="K3460">
        <v>1.11016</v>
      </c>
      <c r="L3460">
        <v>215.45249999999999</v>
      </c>
      <c r="M3460">
        <v>0.98874030000000002</v>
      </c>
      <c r="N3460">
        <v>0</v>
      </c>
      <c r="O3460">
        <v>-0.1492523</v>
      </c>
      <c r="P3460">
        <v>0.99620900000000001</v>
      </c>
      <c r="Q3460">
        <v>-1.053728E-2</v>
      </c>
      <c r="R3460">
        <v>-8.6354550000000002E-2</v>
      </c>
      <c r="S3460">
        <v>3.0036619999999998</v>
      </c>
      <c r="T3460">
        <v>-0.32344400000000001</v>
      </c>
      <c r="U3460">
        <v>-5.026245E-2</v>
      </c>
      <c r="V3460">
        <v>-6.3308619999999996E-2</v>
      </c>
      <c r="W3460">
        <v>1.70055999999999E-4</v>
      </c>
      <c r="X3460">
        <v>0.99799400000000005</v>
      </c>
      <c r="Y3460">
        <v>-0.1310818</v>
      </c>
      <c r="Z3460">
        <v>2.3012049999999999E-2</v>
      </c>
      <c r="AA3460">
        <v>0.9911044</v>
      </c>
      <c r="AB3460">
        <v>11</v>
      </c>
      <c r="AC3460">
        <v>10.196999999999999</v>
      </c>
      <c r="AD3460">
        <v>-1.1101569916309999</v>
      </c>
      <c r="AE3460">
        <v>-0.157099999999985</v>
      </c>
      <c r="AF3460">
        <v>-1.3506686078235499</v>
      </c>
      <c r="AG3460">
        <v>-1.1101569916309999</v>
      </c>
      <c r="AH3460">
        <v>9.9878635493089796</v>
      </c>
      <c r="AI3460">
        <v>96.285676650549803</v>
      </c>
      <c r="AJ3460">
        <v>97.701444854918094</v>
      </c>
      <c r="AK3460">
        <v>10.1397323689455</v>
      </c>
      <c r="AL3460">
        <v>89.990256509039298</v>
      </c>
      <c r="AM3460">
        <v>93.629744139914706</v>
      </c>
      <c r="AN3460">
        <v>1.00000001716067</v>
      </c>
    </row>
    <row r="3461" spans="1:40" x14ac:dyDescent="0.25">
      <c r="A3461" t="str">
        <f>"20190312160707751"</f>
        <v>20190312160707751</v>
      </c>
      <c r="B3461" t="str">
        <f>"1552378027738271"</f>
        <v>1552378027738271</v>
      </c>
      <c r="C3461" t="s">
        <v>40</v>
      </c>
      <c r="D3461">
        <v>6.3669669999999998</v>
      </c>
      <c r="E3461">
        <v>0.47394700000000001</v>
      </c>
      <c r="F3461" t="s">
        <v>66</v>
      </c>
      <c r="G3461">
        <v>-458.50760000000002</v>
      </c>
      <c r="H3461" s="1">
        <v>2.9614760000000001E-6</v>
      </c>
      <c r="I3461">
        <v>215.28110000000001</v>
      </c>
      <c r="J3461">
        <v>-468.68110000000001</v>
      </c>
      <c r="K3461">
        <v>1.1101540000000001</v>
      </c>
      <c r="L3461">
        <v>215.43709999999999</v>
      </c>
      <c r="M3461">
        <v>0.9889559</v>
      </c>
      <c r="N3461">
        <v>0</v>
      </c>
      <c r="O3461">
        <v>-0.14782419999999999</v>
      </c>
      <c r="P3461">
        <v>0.99624089999999998</v>
      </c>
      <c r="Q3461">
        <v>-9.657278E-3</v>
      </c>
      <c r="R3461">
        <v>-8.6086129999999997E-2</v>
      </c>
      <c r="S3461">
        <v>3.0036320000000001</v>
      </c>
      <c r="T3461">
        <v>-0.32416810000000001</v>
      </c>
      <c r="U3461">
        <v>-5.0033569999999999E-2</v>
      </c>
      <c r="V3461">
        <v>-6.213788E-2</v>
      </c>
      <c r="W3461">
        <v>9.3156499999999998E-4</v>
      </c>
      <c r="X3461">
        <v>0.99806709999999998</v>
      </c>
      <c r="Y3461">
        <v>-0.12973409999999999</v>
      </c>
      <c r="Z3461">
        <v>2.2838710000000002E-2</v>
      </c>
      <c r="AA3461">
        <v>0.99128570000000005</v>
      </c>
      <c r="AB3461">
        <v>11</v>
      </c>
      <c r="AC3461">
        <v>10.173499999999899</v>
      </c>
      <c r="AD3461">
        <v>-1.1101510385240001</v>
      </c>
      <c r="AE3461">
        <v>-0.15599999999997699</v>
      </c>
      <c r="AF3461">
        <v>-1.3338107512892601</v>
      </c>
      <c r="AG3461">
        <v>-1.1101510385240001</v>
      </c>
      <c r="AH3461">
        <v>9.9661348407765207</v>
      </c>
      <c r="AI3461">
        <v>96.300390800967506</v>
      </c>
      <c r="AJ3461">
        <v>97.622843825944202</v>
      </c>
      <c r="AK3461">
        <v>10.116092630711201</v>
      </c>
      <c r="AL3461">
        <v>89.946625247304198</v>
      </c>
      <c r="AM3461">
        <v>93.562535034466194</v>
      </c>
      <c r="AN3461">
        <v>0.99999996002332503</v>
      </c>
    </row>
    <row r="3462" spans="1:40" x14ac:dyDescent="0.25">
      <c r="A3462" t="str">
        <f>"20190312160707773"</f>
        <v>20190312160707773</v>
      </c>
      <c r="B3462" t="str">
        <f>"1552378027758754"</f>
        <v>1552378027758754</v>
      </c>
      <c r="C3462" t="s">
        <v>40</v>
      </c>
      <c r="D3462">
        <v>6.3971970000000002</v>
      </c>
      <c r="E3462">
        <v>0.4741088</v>
      </c>
      <c r="F3462" t="s">
        <v>66</v>
      </c>
      <c r="G3462">
        <v>-458.38569999999999</v>
      </c>
      <c r="H3462" s="1">
        <v>2.8973810000000001E-6</v>
      </c>
      <c r="I3462">
        <v>215.2636</v>
      </c>
      <c r="J3462">
        <v>-468.57310000000001</v>
      </c>
      <c r="K3462">
        <v>1.1101430000000001</v>
      </c>
      <c r="L3462">
        <v>215.42259999999999</v>
      </c>
      <c r="M3462">
        <v>0.98916059999999995</v>
      </c>
      <c r="N3462">
        <v>0</v>
      </c>
      <c r="O3462">
        <v>-0.14645739999999999</v>
      </c>
      <c r="P3462">
        <v>0.99631150000000002</v>
      </c>
      <c r="Q3462">
        <v>-9.5777870000000008E-3</v>
      </c>
      <c r="R3462">
        <v>-8.5276840000000007E-2</v>
      </c>
      <c r="S3462">
        <v>3.0038149999999999</v>
      </c>
      <c r="T3462">
        <v>-0.32390170000000001</v>
      </c>
      <c r="U3462">
        <v>-5.0628659999999999E-2</v>
      </c>
      <c r="V3462">
        <v>-6.1569140000000001E-2</v>
      </c>
      <c r="W3462">
        <v>9.0486199999999998E-4</v>
      </c>
      <c r="X3462">
        <v>0.99810239999999995</v>
      </c>
      <c r="Y3462">
        <v>-0.128188</v>
      </c>
      <c r="Z3462">
        <v>2.25898E-2</v>
      </c>
      <c r="AA3462">
        <v>0.99149259999999995</v>
      </c>
      <c r="AB3462">
        <v>11</v>
      </c>
      <c r="AC3462">
        <v>10.1874</v>
      </c>
      <c r="AD3462">
        <v>-1.1101401026189901</v>
      </c>
      <c r="AE3462">
        <v>-0.15899999999999101</v>
      </c>
      <c r="AF3462">
        <v>-1.3191570212444299</v>
      </c>
      <c r="AG3462">
        <v>-1.1101401026189901</v>
      </c>
      <c r="AH3462">
        <v>9.9823149245126501</v>
      </c>
      <c r="AI3462">
        <v>96.291573155421204</v>
      </c>
      <c r="AJ3462">
        <v>97.527984083186993</v>
      </c>
      <c r="AK3462">
        <v>10.130113402439701</v>
      </c>
      <c r="AL3462">
        <v>89.948155218730193</v>
      </c>
      <c r="AM3462">
        <v>93.5298859117174</v>
      </c>
      <c r="AN3462">
        <v>0.99999998933066903</v>
      </c>
    </row>
    <row r="3463" spans="1:40" x14ac:dyDescent="0.25">
      <c r="A3463" t="str">
        <f>"20190312160707797"</f>
        <v>20190312160707797</v>
      </c>
      <c r="B3463" t="str">
        <f>"1552378027778271"</f>
        <v>1552378027778271</v>
      </c>
      <c r="C3463" t="s">
        <v>40</v>
      </c>
      <c r="D3463">
        <v>6.2723779999999998</v>
      </c>
      <c r="E3463">
        <v>0.47423120000000002</v>
      </c>
      <c r="F3463" t="s">
        <v>66</v>
      </c>
      <c r="G3463">
        <v>-458.36649999999997</v>
      </c>
      <c r="H3463" s="1">
        <v>2.887527E-6</v>
      </c>
      <c r="I3463">
        <v>215.2543</v>
      </c>
      <c r="J3463">
        <v>-468.44580000000002</v>
      </c>
      <c r="K3463">
        <v>1.1101319999999999</v>
      </c>
      <c r="L3463">
        <v>215.4057</v>
      </c>
      <c r="M3463">
        <v>0.98939909999999998</v>
      </c>
      <c r="N3463">
        <v>0</v>
      </c>
      <c r="O3463">
        <v>-0.144845899999999</v>
      </c>
      <c r="P3463">
        <v>0.99634060000000002</v>
      </c>
      <c r="Q3463">
        <v>-1.003885E-2</v>
      </c>
      <c r="R3463">
        <v>-8.4881150000000002E-2</v>
      </c>
      <c r="S3463">
        <v>3.0036930000000002</v>
      </c>
      <c r="T3463">
        <v>-0.32670159999999998</v>
      </c>
      <c r="U3463">
        <v>-4.9530030000000003E-2</v>
      </c>
      <c r="V3463">
        <v>-6.0338370000000002E-2</v>
      </c>
      <c r="W3463">
        <v>3.2836589999999999E-4</v>
      </c>
      <c r="X3463">
        <v>0.99817789999999995</v>
      </c>
      <c r="Y3463">
        <v>-0.1269237</v>
      </c>
      <c r="Z3463">
        <v>2.2543230000000001E-2</v>
      </c>
      <c r="AA3463">
        <v>0.99165630000000005</v>
      </c>
      <c r="AB3463">
        <v>12</v>
      </c>
      <c r="AC3463">
        <v>10.0793</v>
      </c>
      <c r="AD3463">
        <v>-1.1101291124729999</v>
      </c>
      <c r="AE3463">
        <v>-0.15139999999999501</v>
      </c>
      <c r="AF3463">
        <v>-1.2945217947422001</v>
      </c>
      <c r="AG3463">
        <v>-1.1101291124729999</v>
      </c>
      <c r="AH3463">
        <v>9.8751595075143292</v>
      </c>
      <c r="AI3463">
        <v>96.360089885878807</v>
      </c>
      <c r="AJ3463">
        <v>97.468244660679105</v>
      </c>
      <c r="AK3463">
        <v>10.0213246939849</v>
      </c>
      <c r="AL3463">
        <v>89.9811860189551</v>
      </c>
      <c r="AM3463">
        <v>93.459235408996705</v>
      </c>
      <c r="AN3463">
        <v>0.99999997338341495</v>
      </c>
    </row>
    <row r="3464" spans="1:40" x14ac:dyDescent="0.25">
      <c r="A3464" t="str">
        <f>"20190312160707819"</f>
        <v>20190312160707819</v>
      </c>
      <c r="B3464" t="str">
        <f>"1552378027808528"</f>
        <v>1552378027808528</v>
      </c>
      <c r="C3464" t="s">
        <v>40</v>
      </c>
      <c r="D3464">
        <v>6.2795489999999896</v>
      </c>
      <c r="E3464">
        <v>0.47431050000000002</v>
      </c>
      <c r="F3464" t="s">
        <v>66</v>
      </c>
      <c r="G3464">
        <v>-458.31639999999999</v>
      </c>
      <c r="H3464" s="1">
        <v>2.86153E-6</v>
      </c>
      <c r="I3464">
        <v>215.24010000000001</v>
      </c>
      <c r="J3464">
        <v>-468.3356</v>
      </c>
      <c r="K3464">
        <v>1.1101270000000001</v>
      </c>
      <c r="L3464">
        <v>215.3912</v>
      </c>
      <c r="M3464">
        <v>0.98960329999999996</v>
      </c>
      <c r="N3464">
        <v>0</v>
      </c>
      <c r="O3464">
        <v>-0.14345179999999999</v>
      </c>
      <c r="P3464">
        <v>0.99630730000000001</v>
      </c>
      <c r="Q3464">
        <v>-1.0955110000000001E-2</v>
      </c>
      <c r="R3464">
        <v>-8.5158540000000005E-2</v>
      </c>
      <c r="S3464">
        <v>3.003479</v>
      </c>
      <c r="T3464">
        <v>-0.32916640000000003</v>
      </c>
      <c r="U3464">
        <v>-4.9087520000000003E-2</v>
      </c>
      <c r="V3464">
        <v>-5.8651439999999999E-2</v>
      </c>
      <c r="W3464">
        <v>-6.8313130000000001E-4</v>
      </c>
      <c r="X3464">
        <v>0.99827829999999995</v>
      </c>
      <c r="Y3464">
        <v>-0.12566240000000001</v>
      </c>
      <c r="Z3464">
        <v>2.249402E-2</v>
      </c>
      <c r="AA3464">
        <v>0.99181799999999998</v>
      </c>
      <c r="AB3464">
        <v>12</v>
      </c>
      <c r="AC3464">
        <v>10.0192</v>
      </c>
      <c r="AD3464">
        <v>-1.11012413847</v>
      </c>
      <c r="AE3464">
        <v>-0.151099999999985</v>
      </c>
      <c r="AF3464">
        <v>-1.2721973774961799</v>
      </c>
      <c r="AG3464">
        <v>-1.11012413847</v>
      </c>
      <c r="AH3464">
        <v>9.81675143862876</v>
      </c>
      <c r="AI3464">
        <v>96.398805198476396</v>
      </c>
      <c r="AJ3464">
        <v>97.384065825879702</v>
      </c>
      <c r="AK3464">
        <v>9.9608970769675995</v>
      </c>
      <c r="AL3464">
        <v>90.039140542950406</v>
      </c>
      <c r="AM3464">
        <v>93.362410381217998</v>
      </c>
      <c r="AN3464">
        <v>1.00000001116666</v>
      </c>
    </row>
    <row r="3465" spans="1:40" x14ac:dyDescent="0.25">
      <c r="A3465" t="str">
        <f>"20190312160707840"</f>
        <v>20190312160707840</v>
      </c>
      <c r="B3465" t="str">
        <f>"1552378027818287"</f>
        <v>1552378027818287</v>
      </c>
      <c r="C3465" t="s">
        <v>40</v>
      </c>
      <c r="D3465">
        <v>6.5692079999999997</v>
      </c>
      <c r="E3465">
        <v>0.47431050000000002</v>
      </c>
      <c r="F3465" t="s">
        <v>66</v>
      </c>
      <c r="G3465">
        <v>-458.23169999999999</v>
      </c>
      <c r="H3465" s="1">
        <v>2.8172400000000002E-6</v>
      </c>
      <c r="I3465">
        <v>215.2218</v>
      </c>
      <c r="J3465">
        <v>-468.22379999999998</v>
      </c>
      <c r="K3465">
        <v>1.1101190000000001</v>
      </c>
      <c r="L3465">
        <v>215.3767</v>
      </c>
      <c r="M3465">
        <v>0.98980840000000003</v>
      </c>
      <c r="N3465">
        <v>0</v>
      </c>
      <c r="O3465">
        <v>-0.14203540000000001</v>
      </c>
      <c r="P3465">
        <v>0.99639120000000003</v>
      </c>
      <c r="Q3465">
        <v>-1.078028E-2</v>
      </c>
      <c r="R3465">
        <v>-8.4193240000000003E-2</v>
      </c>
      <c r="S3465">
        <v>3.0032040000000002</v>
      </c>
      <c r="T3465">
        <v>-0.32996310000000001</v>
      </c>
      <c r="U3465">
        <v>-5.0369259999999999E-2</v>
      </c>
      <c r="V3465">
        <v>-5.8190180000000001E-2</v>
      </c>
      <c r="W3465">
        <v>-6.0248539999999996E-4</v>
      </c>
      <c r="X3465">
        <v>0.99830529999999995</v>
      </c>
      <c r="Y3465">
        <v>-0.12382940000000001</v>
      </c>
      <c r="Z3465">
        <v>2.2295740000000001E-2</v>
      </c>
      <c r="AA3465">
        <v>0.99205299999999996</v>
      </c>
      <c r="AB3465">
        <v>12</v>
      </c>
      <c r="AC3465">
        <v>9.99209999999999</v>
      </c>
      <c r="AD3465">
        <v>-1.1101161827599999</v>
      </c>
      <c r="AE3465">
        <v>-0.15489999999999701</v>
      </c>
      <c r="AF3465">
        <v>-1.2505453745208299</v>
      </c>
      <c r="AG3465">
        <v>-1.1101161827599999</v>
      </c>
      <c r="AH3465">
        <v>9.7919538327697708</v>
      </c>
      <c r="AI3465">
        <v>96.416345489154395</v>
      </c>
      <c r="AJ3465">
        <v>97.277933856717695</v>
      </c>
      <c r="AK3465">
        <v>9.9337093543175303</v>
      </c>
      <c r="AL3465">
        <v>90.034519873899498</v>
      </c>
      <c r="AM3465">
        <v>93.335936885992894</v>
      </c>
      <c r="AN3465">
        <v>0.999999966022589</v>
      </c>
    </row>
    <row r="3466" spans="1:40" x14ac:dyDescent="0.25">
      <c r="A3466" t="str">
        <f>"20190312160707862"</f>
        <v>20190312160707862</v>
      </c>
      <c r="B3466" t="str">
        <f>"1552378027858304"</f>
        <v>1552378027858304</v>
      </c>
      <c r="C3466" t="s">
        <v>40</v>
      </c>
      <c r="D3466">
        <v>6.2781099999999999</v>
      </c>
      <c r="E3466">
        <v>0.4667192</v>
      </c>
      <c r="F3466" t="s">
        <v>66</v>
      </c>
      <c r="G3466">
        <v>-458.11149999999998</v>
      </c>
      <c r="H3466" s="1">
        <v>2.7535879999999999E-6</v>
      </c>
      <c r="I3466">
        <v>215.21549999999999</v>
      </c>
      <c r="J3466">
        <v>-468.11309999999997</v>
      </c>
      <c r="K3466">
        <v>1.1101160000000001</v>
      </c>
      <c r="L3466">
        <v>215.36250000000001</v>
      </c>
      <c r="M3466">
        <v>0.99000940000000004</v>
      </c>
      <c r="N3466">
        <v>0</v>
      </c>
      <c r="O3466">
        <v>-0.1406345</v>
      </c>
      <c r="P3466">
        <v>0.99648870000000001</v>
      </c>
      <c r="Q3466">
        <v>-1.034679E-2</v>
      </c>
      <c r="R3466">
        <v>-8.3087610000000006E-2</v>
      </c>
      <c r="S3466">
        <v>3.0032649999999999</v>
      </c>
      <c r="T3466">
        <v>-0.32969809999999999</v>
      </c>
      <c r="U3466">
        <v>-4.7897339999999997E-2</v>
      </c>
      <c r="V3466">
        <v>-5.7886E-2</v>
      </c>
      <c r="W3466">
        <v>-2.6038050000000001E-4</v>
      </c>
      <c r="X3466">
        <v>0.99832310000000002</v>
      </c>
      <c r="Y3466">
        <v>-0.12325609999999999</v>
      </c>
      <c r="Z3466">
        <v>2.20944E-2</v>
      </c>
      <c r="AA3466">
        <v>0.99212889999999998</v>
      </c>
      <c r="AB3466">
        <v>12</v>
      </c>
      <c r="AC3466">
        <v>10.0015999999999</v>
      </c>
      <c r="AD3466">
        <v>-1.1101132464119901</v>
      </c>
      <c r="AE3466">
        <v>-0.147000000000019</v>
      </c>
      <c r="AF3466">
        <v>-1.2457598736800699</v>
      </c>
      <c r="AG3466">
        <v>-1.1101132464119901</v>
      </c>
      <c r="AH3466">
        <v>9.8021319553091999</v>
      </c>
      <c r="AI3466">
        <v>96.410216424521195</v>
      </c>
      <c r="AJ3466">
        <v>97.242931586981697</v>
      </c>
      <c r="AK3466">
        <v>9.94314135231037</v>
      </c>
      <c r="AL3466">
        <v>90.014918704864797</v>
      </c>
      <c r="AM3466">
        <v>93.318478839512693</v>
      </c>
      <c r="AN3466">
        <v>0.99999993439380497</v>
      </c>
    </row>
    <row r="3467" spans="1:40" x14ac:dyDescent="0.25">
      <c r="A3467" t="str">
        <f>"20190312160707885"</f>
        <v>20190312160707885</v>
      </c>
      <c r="B3467" t="str">
        <f>"1552378027878799"</f>
        <v>1552378027878799</v>
      </c>
      <c r="C3467" t="s">
        <v>40</v>
      </c>
      <c r="D3467">
        <v>5.9244690000000002</v>
      </c>
      <c r="E3467">
        <v>0.4698966</v>
      </c>
      <c r="F3467" t="s">
        <v>66</v>
      </c>
      <c r="G3467">
        <v>-451.2799</v>
      </c>
      <c r="H3467" s="1">
        <v>-8.9204750000000003E-7</v>
      </c>
      <c r="I3467">
        <v>215.4485</v>
      </c>
      <c r="J3467">
        <v>-467.99380000000002</v>
      </c>
      <c r="K3467">
        <v>1.1101049999999999</v>
      </c>
      <c r="L3467">
        <v>215.34739999999999</v>
      </c>
      <c r="M3467">
        <v>0.99022390000000005</v>
      </c>
      <c r="N3467">
        <v>0</v>
      </c>
      <c r="O3467">
        <v>-0.13912369999999999</v>
      </c>
      <c r="P3467">
        <v>0.99653780000000003</v>
      </c>
      <c r="Q3467">
        <v>-1.0982459999999999E-2</v>
      </c>
      <c r="R3467">
        <v>-8.2414840000000003E-2</v>
      </c>
      <c r="S3467">
        <v>3.0097659999999999</v>
      </c>
      <c r="T3467">
        <v>-0.19848859999999999</v>
      </c>
      <c r="U3467">
        <v>1.538086E-2</v>
      </c>
      <c r="V3467">
        <v>-5.7034790000000002E-2</v>
      </c>
      <c r="W3467">
        <v>-9.9317520000000007E-4</v>
      </c>
      <c r="X3467">
        <v>0.99837169999999997</v>
      </c>
      <c r="Y3467">
        <v>-0.14357679999999901</v>
      </c>
      <c r="Z3467">
        <v>1.387295E-2</v>
      </c>
      <c r="AA3467">
        <v>0.98954189999999997</v>
      </c>
      <c r="AB3467">
        <v>12</v>
      </c>
      <c r="AC3467">
        <v>16.713899999999999</v>
      </c>
      <c r="AD3467">
        <v>-1.1101058920475</v>
      </c>
      <c r="AE3467">
        <v>0.10110000000000199</v>
      </c>
      <c r="AF3467">
        <v>-2.4148814705966899</v>
      </c>
      <c r="AG3467">
        <v>-1.1101058920475</v>
      </c>
      <c r="AH3467">
        <v>16.4646458989737</v>
      </c>
      <c r="AI3467">
        <v>93.816540279753895</v>
      </c>
      <c r="AJ3467">
        <v>98.344118939258294</v>
      </c>
      <c r="AK3467">
        <v>16.677786189635</v>
      </c>
      <c r="AL3467">
        <v>90.056904756489104</v>
      </c>
      <c r="AM3467">
        <v>93.269628660037</v>
      </c>
      <c r="AN3467">
        <v>1.0000000025141</v>
      </c>
    </row>
    <row r="3468" spans="1:40" x14ac:dyDescent="0.25">
      <c r="A3468" t="str">
        <f>"20190312160707907"</f>
        <v>20190312160707907</v>
      </c>
      <c r="B3468" t="str">
        <f>"1552378027898319"</f>
        <v>1552378027898319</v>
      </c>
      <c r="C3468" t="s">
        <v>40</v>
      </c>
      <c r="D3468">
        <v>5.9890670000000004</v>
      </c>
      <c r="E3468">
        <v>0.47081519999999999</v>
      </c>
      <c r="F3468" t="s">
        <v>66</v>
      </c>
      <c r="G3468">
        <v>-452.03730000000002</v>
      </c>
      <c r="H3468" s="1">
        <v>-4.8278350000000003E-7</v>
      </c>
      <c r="I3468">
        <v>215.30590000000001</v>
      </c>
      <c r="J3468">
        <v>-467.87909999999999</v>
      </c>
      <c r="K3468">
        <v>1.1101019999999999</v>
      </c>
      <c r="L3468">
        <v>215.333</v>
      </c>
      <c r="M3468">
        <v>0.99042759999999996</v>
      </c>
      <c r="N3468">
        <v>0</v>
      </c>
      <c r="O3468">
        <v>-0.13767199999999999</v>
      </c>
      <c r="P3468">
        <v>0.99658539999999995</v>
      </c>
      <c r="Q3468">
        <v>-1.0877670000000001E-2</v>
      </c>
      <c r="R3468">
        <v>-8.1849409999999997E-2</v>
      </c>
      <c r="S3468">
        <v>3.0074770000000002</v>
      </c>
      <c r="T3468">
        <v>-0.2092328</v>
      </c>
      <c r="U3468">
        <v>-7.8125E-3</v>
      </c>
      <c r="V3468">
        <v>-5.6137390000000002E-2</v>
      </c>
      <c r="W3468">
        <v>-9.8018270000000004E-4</v>
      </c>
      <c r="X3468">
        <v>0.99842260000000005</v>
      </c>
      <c r="Y3468">
        <v>-0.13444929999999999</v>
      </c>
      <c r="Z3468">
        <v>1.421474E-2</v>
      </c>
      <c r="AA3468">
        <v>0.99081850000000005</v>
      </c>
      <c r="AB3468">
        <v>12</v>
      </c>
      <c r="AC3468">
        <v>15.8417999999999</v>
      </c>
      <c r="AD3468">
        <v>-1.1101024827835</v>
      </c>
      <c r="AE3468">
        <v>-2.7099999999990101E-2</v>
      </c>
      <c r="AF3468">
        <v>-2.1437125136141399</v>
      </c>
      <c r="AG3468">
        <v>-1.1101024827835</v>
      </c>
      <c r="AH3468">
        <v>15.617978062285699</v>
      </c>
      <c r="AI3468">
        <v>94.028019539851599</v>
      </c>
      <c r="AJ3468">
        <v>97.815540074649903</v>
      </c>
      <c r="AK3468">
        <v>15.803451193247099</v>
      </c>
      <c r="AL3468">
        <v>90.0561603392959</v>
      </c>
      <c r="AM3468">
        <v>93.218128760961605</v>
      </c>
      <c r="AN3468">
        <v>1.0000000277524399</v>
      </c>
    </row>
    <row r="3469" spans="1:40" x14ac:dyDescent="0.25">
      <c r="A3469" t="str">
        <f>"20190312160707930"</f>
        <v>20190312160707930</v>
      </c>
      <c r="B3469" t="str">
        <f>"1552378027918816"</f>
        <v>1552378027918816</v>
      </c>
      <c r="C3469" t="s">
        <v>40</v>
      </c>
      <c r="D3469">
        <v>6.2605769999999996</v>
      </c>
      <c r="E3469">
        <v>0.47157900000000003</v>
      </c>
      <c r="F3469" t="s">
        <v>66</v>
      </c>
      <c r="G3469">
        <v>-451.35219999999998</v>
      </c>
      <c r="H3469" s="1">
        <v>-8.4537639999999898E-7</v>
      </c>
      <c r="I3469">
        <v>215.26050000000001</v>
      </c>
      <c r="J3469">
        <v>-467.76010000000002</v>
      </c>
      <c r="K3469">
        <v>1.1100989999999999</v>
      </c>
      <c r="L3469">
        <v>215.31829999999999</v>
      </c>
      <c r="M3469">
        <v>0.99063679999999998</v>
      </c>
      <c r="N3469">
        <v>0</v>
      </c>
      <c r="O3469">
        <v>-0.13616639999999999</v>
      </c>
      <c r="P3469">
        <v>0.99674070000000003</v>
      </c>
      <c r="Q3469">
        <v>-9.7676220000000001E-3</v>
      </c>
      <c r="R3469">
        <v>-8.0078940000000001E-2</v>
      </c>
      <c r="S3469">
        <v>3.0069889999999999</v>
      </c>
      <c r="T3469">
        <v>-0.20197780000000001</v>
      </c>
      <c r="U3469">
        <v>-1.319885E-2</v>
      </c>
      <c r="V3469">
        <v>-5.6395939999999999E-2</v>
      </c>
      <c r="W3469" s="1">
        <v>3.5086380000000002E-5</v>
      </c>
      <c r="X3469">
        <v>0.99840850000000003</v>
      </c>
      <c r="Y3469">
        <v>-0.13122229999999999</v>
      </c>
      <c r="Z3469">
        <v>1.351634E-2</v>
      </c>
      <c r="AA3469">
        <v>0.99126080000000005</v>
      </c>
      <c r="AB3469">
        <v>12</v>
      </c>
      <c r="AC3469">
        <v>16.407900000000001</v>
      </c>
      <c r="AD3469">
        <v>-1.1100998453763999</v>
      </c>
      <c r="AE3469">
        <v>-5.7799999999986001E-2</v>
      </c>
      <c r="AF3469">
        <v>-2.1671322480540001</v>
      </c>
      <c r="AG3469">
        <v>-1.1100998453763999</v>
      </c>
      <c r="AH3469">
        <v>16.188830633880499</v>
      </c>
      <c r="AI3469">
        <v>93.888167559806504</v>
      </c>
      <c r="AJ3469">
        <v>97.624621635729397</v>
      </c>
      <c r="AK3469">
        <v>16.370919984525202</v>
      </c>
      <c r="AL3469">
        <v>89.997989698543506</v>
      </c>
      <c r="AM3469">
        <v>93.232964575791698</v>
      </c>
      <c r="AN3469">
        <v>1.0000000180758899</v>
      </c>
    </row>
    <row r="3470" spans="1:40" x14ac:dyDescent="0.25">
      <c r="A3470" t="str">
        <f>"20190312160707972"</f>
        <v>20190312160707972</v>
      </c>
      <c r="B3470" t="str">
        <f>"1552378027968592"</f>
        <v>1552378027968592</v>
      </c>
      <c r="C3470" t="s">
        <v>40</v>
      </c>
      <c r="D3470">
        <v>6.2979750000000001</v>
      </c>
      <c r="E3470">
        <v>0.47169339999999998</v>
      </c>
      <c r="F3470" t="s">
        <v>66</v>
      </c>
      <c r="G3470">
        <v>-451.34519999999998</v>
      </c>
      <c r="H3470" s="1">
        <v>-8.4829429999999996E-7</v>
      </c>
      <c r="I3470">
        <v>215.24209999999999</v>
      </c>
      <c r="J3470">
        <v>-467.53440000000001</v>
      </c>
      <c r="K3470">
        <v>1.110082</v>
      </c>
      <c r="L3470">
        <v>215.29079999999999</v>
      </c>
      <c r="M3470">
        <v>0.9910274</v>
      </c>
      <c r="N3470">
        <v>0</v>
      </c>
      <c r="O3470">
        <v>-0.13330710000000001</v>
      </c>
      <c r="P3470">
        <v>0.99704590000000004</v>
      </c>
      <c r="Q3470">
        <v>-1.006951E-2</v>
      </c>
      <c r="R3470">
        <v>-7.6147179999999995E-2</v>
      </c>
      <c r="S3470">
        <v>3.0067140000000001</v>
      </c>
      <c r="T3470">
        <v>-0.2033364</v>
      </c>
      <c r="U3470">
        <v>-1.396179E-2</v>
      </c>
      <c r="V3470">
        <v>-5.7451839999999997E-2</v>
      </c>
      <c r="W3470">
        <v>-4.4370260000000002E-4</v>
      </c>
      <c r="X3470">
        <v>0.99834820000000002</v>
      </c>
      <c r="Y3470">
        <v>-0.12811420000000001</v>
      </c>
      <c r="Z3470">
        <v>1.3311460000000001E-2</v>
      </c>
      <c r="AA3470">
        <v>0.9916701</v>
      </c>
      <c r="AB3470">
        <v>12</v>
      </c>
      <c r="AC3470">
        <v>16.1892</v>
      </c>
      <c r="AD3470">
        <v>-1.1100828482942999</v>
      </c>
      <c r="AE3470">
        <v>-4.86999999999966E-2</v>
      </c>
      <c r="AF3470">
        <v>-2.1000972905980699</v>
      </c>
      <c r="AG3470">
        <v>-1.1100828482942999</v>
      </c>
      <c r="AH3470">
        <v>15.9760716400287</v>
      </c>
      <c r="AI3470">
        <v>93.940961253500802</v>
      </c>
      <c r="AJ3470">
        <v>97.488745555413203</v>
      </c>
      <c r="AK3470">
        <v>16.151704479942101</v>
      </c>
      <c r="AL3470">
        <v>90.025422286674399</v>
      </c>
      <c r="AM3470">
        <v>93.293561765186595</v>
      </c>
      <c r="AN3470">
        <v>1.00000001961731</v>
      </c>
    </row>
    <row r="3471" spans="1:40" x14ac:dyDescent="0.25">
      <c r="A3471" t="str">
        <f>"20190312160707999"</f>
        <v>20190312160707999</v>
      </c>
      <c r="B3471" t="str">
        <f>"1552378027988111"</f>
        <v>1552378027988111</v>
      </c>
      <c r="C3471" t="s">
        <v>40</v>
      </c>
      <c r="D3471">
        <v>6.5076739999999997</v>
      </c>
      <c r="E3471">
        <v>0.47170620000000002</v>
      </c>
      <c r="F3471" t="s">
        <v>66</v>
      </c>
      <c r="G3471">
        <v>-450.80130000000003</v>
      </c>
      <c r="H3471" s="1">
        <v>-1.1390579999999999E-6</v>
      </c>
      <c r="I3471">
        <v>215.27199999999999</v>
      </c>
      <c r="J3471">
        <v>-467.39440000000002</v>
      </c>
      <c r="K3471">
        <v>1.11007099999999</v>
      </c>
      <c r="L3471">
        <v>215.2741</v>
      </c>
      <c r="M3471">
        <v>0.99126519999999996</v>
      </c>
      <c r="N3471">
        <v>0</v>
      </c>
      <c r="O3471">
        <v>-0.13153389999999901</v>
      </c>
      <c r="P3471">
        <v>0.99719150000000001</v>
      </c>
      <c r="Q3471">
        <v>-1.04245E-2</v>
      </c>
      <c r="R3471">
        <v>-7.4167689999999994E-2</v>
      </c>
      <c r="S3471">
        <v>3.0066220000000001</v>
      </c>
      <c r="T3471">
        <v>-0.1994611</v>
      </c>
      <c r="U3471">
        <v>-3.372192E-3</v>
      </c>
      <c r="V3471">
        <v>-5.7646049999999997E-2</v>
      </c>
      <c r="W3471">
        <v>-9.0680250000000002E-4</v>
      </c>
      <c r="X3471">
        <v>0.99833669999999997</v>
      </c>
      <c r="Y3471">
        <v>-0.12985479999999999</v>
      </c>
      <c r="Z3471">
        <v>1.300025E-2</v>
      </c>
      <c r="AA3471">
        <v>0.99144779999999999</v>
      </c>
      <c r="AB3471">
        <v>12</v>
      </c>
      <c r="AC3471">
        <v>16.5930999999999</v>
      </c>
      <c r="AD3471">
        <v>-1.11007213905799</v>
      </c>
      <c r="AE3471">
        <v>-2.0999999999844398E-3</v>
      </c>
      <c r="AF3471">
        <v>-2.1708581517476699</v>
      </c>
      <c r="AG3471">
        <v>-1.11007213905799</v>
      </c>
      <c r="AH3471">
        <v>16.375905274999599</v>
      </c>
      <c r="AI3471">
        <v>93.844441306875495</v>
      </c>
      <c r="AJ3471">
        <v>97.551338500916003</v>
      </c>
      <c r="AK3471">
        <v>16.5564234919466</v>
      </c>
      <c r="AL3471">
        <v>90.051955961769195</v>
      </c>
      <c r="AM3471">
        <v>93.304708658586094</v>
      </c>
      <c r="AN3471">
        <v>1.0000000279691299</v>
      </c>
    </row>
    <row r="3472" spans="1:40" x14ac:dyDescent="0.25">
      <c r="A3472" t="str">
        <f>"20190312160708043"</f>
        <v>20190312160708043</v>
      </c>
      <c r="B3472" t="str">
        <f>"1552378028038863"</f>
        <v>1552378028038863</v>
      </c>
      <c r="C3472" t="s">
        <v>40</v>
      </c>
      <c r="D3472">
        <v>6.2933589999999997</v>
      </c>
      <c r="E3472">
        <v>0.47182570000000001</v>
      </c>
      <c r="F3472" t="s">
        <v>66</v>
      </c>
      <c r="G3472">
        <v>-450.45260000000002</v>
      </c>
      <c r="H3472" s="1">
        <v>-1.325346E-6</v>
      </c>
      <c r="I3472">
        <v>215.28919999999999</v>
      </c>
      <c r="J3472">
        <v>-467.15820000000002</v>
      </c>
      <c r="K3472">
        <v>1.1100559999999999</v>
      </c>
      <c r="L3472">
        <v>215.2466</v>
      </c>
      <c r="M3472">
        <v>0.99165919999999996</v>
      </c>
      <c r="N3472">
        <v>0</v>
      </c>
      <c r="O3472">
        <v>-0.1285434</v>
      </c>
      <c r="P3472">
        <v>0.99751610000000002</v>
      </c>
      <c r="Q3472">
        <v>-9.5776799999999999E-3</v>
      </c>
      <c r="R3472">
        <v>-6.978943E-2</v>
      </c>
      <c r="S3472">
        <v>3.0065919999999999</v>
      </c>
      <c r="T3472">
        <v>-0.19700029999999999</v>
      </c>
      <c r="U3472">
        <v>2.6702879999999998E-3</v>
      </c>
      <c r="V3472">
        <v>-5.9019410000000001E-2</v>
      </c>
      <c r="W3472">
        <v>-2.2624909999999999E-4</v>
      </c>
      <c r="X3472">
        <v>0.99825680000000006</v>
      </c>
      <c r="Y3472">
        <v>-0.12887899999999999</v>
      </c>
      <c r="Z3472">
        <v>1.2614179999999999E-2</v>
      </c>
      <c r="AA3472">
        <v>0.99158009999999996</v>
      </c>
      <c r="AB3472">
        <v>12</v>
      </c>
      <c r="AC3472">
        <v>16.7056</v>
      </c>
      <c r="AD3472">
        <v>-1.110057325346</v>
      </c>
      <c r="AE3472">
        <v>4.2599999999992998E-2</v>
      </c>
      <c r="AF3472">
        <v>-2.18011041853114</v>
      </c>
      <c r="AG3472">
        <v>-1.110057325346</v>
      </c>
      <c r="AH3472">
        <v>16.4887166475872</v>
      </c>
      <c r="AI3472">
        <v>93.818337243050294</v>
      </c>
      <c r="AJ3472">
        <v>97.531864585487398</v>
      </c>
      <c r="AK3472">
        <v>16.669219699402898</v>
      </c>
      <c r="AL3472">
        <v>90.012963118784299</v>
      </c>
      <c r="AM3472">
        <v>93.3835294666181</v>
      </c>
      <c r="AN3472">
        <v>0.99999999034582099</v>
      </c>
    </row>
    <row r="3473" spans="1:40" x14ac:dyDescent="0.25">
      <c r="A3473" t="str">
        <f>"20190312160708063"</f>
        <v>20190312160708063</v>
      </c>
      <c r="B3473" t="str">
        <f>"1552378028058383"</f>
        <v>1552378028058383</v>
      </c>
      <c r="C3473" t="s">
        <v>40</v>
      </c>
      <c r="D3473">
        <v>6.2449909999999997</v>
      </c>
      <c r="E3473">
        <v>0.47225830000000002</v>
      </c>
      <c r="F3473" t="s">
        <v>66</v>
      </c>
      <c r="G3473">
        <v>-449.61149999999998</v>
      </c>
      <c r="H3473" s="1">
        <v>3.5467209999999998E-6</v>
      </c>
      <c r="I3473">
        <v>215.33109999999999</v>
      </c>
      <c r="J3473">
        <v>-467.053</v>
      </c>
      <c r="K3473">
        <v>1.1100460000000001</v>
      </c>
      <c r="L3473">
        <v>215.2345</v>
      </c>
      <c r="M3473">
        <v>0.99183120000000002</v>
      </c>
      <c r="N3473">
        <v>0</v>
      </c>
      <c r="O3473">
        <v>-0.12721289999999999</v>
      </c>
      <c r="P3473">
        <v>0.99762430000000002</v>
      </c>
      <c r="Q3473">
        <v>-1.0352129999999999E-2</v>
      </c>
      <c r="R3473">
        <v>-6.8109390000000006E-2</v>
      </c>
      <c r="S3473">
        <v>3.006653</v>
      </c>
      <c r="T3473">
        <v>-0.1902093</v>
      </c>
      <c r="U3473">
        <v>1.448059E-2</v>
      </c>
      <c r="V3473">
        <v>-5.9358760000000003E-2</v>
      </c>
      <c r="W3473">
        <v>-1.0676749999999999E-3</v>
      </c>
      <c r="X3473">
        <v>0.99823609999999896</v>
      </c>
      <c r="Y3473">
        <v>-0.13147779999999901</v>
      </c>
      <c r="Z3473">
        <v>1.2178960000000001E-2</v>
      </c>
      <c r="AA3473">
        <v>0.99124429999999997</v>
      </c>
      <c r="AB3473">
        <v>12</v>
      </c>
      <c r="AC3473">
        <v>17.441500000000001</v>
      </c>
      <c r="AD3473">
        <v>-1.1100424532790001</v>
      </c>
      <c r="AE3473">
        <v>9.6599999999995106E-2</v>
      </c>
      <c r="AF3473">
        <v>-2.3053586169005502</v>
      </c>
      <c r="AG3473">
        <v>-1.1100424532790001</v>
      </c>
      <c r="AH3473">
        <v>17.217754765261098</v>
      </c>
      <c r="AI3473">
        <v>93.656260834002396</v>
      </c>
      <c r="AJ3473">
        <v>97.626218674318693</v>
      </c>
      <c r="AK3473">
        <v>17.406836351194698</v>
      </c>
      <c r="AL3473">
        <v>90.061173285654604</v>
      </c>
      <c r="AM3473">
        <v>93.403008907157201</v>
      </c>
      <c r="AN3473">
        <v>0.99999995683092502</v>
      </c>
    </row>
    <row r="3474" spans="1:40" x14ac:dyDescent="0.25">
      <c r="A3474" t="str">
        <f>"20190312160708086"</f>
        <v>20190312160708086</v>
      </c>
      <c r="B3474" t="str">
        <f>"1552378028078879"</f>
        <v>1552378028078879</v>
      </c>
      <c r="C3474" t="s">
        <v>40</v>
      </c>
      <c r="D3474">
        <v>6.1659230000000003</v>
      </c>
      <c r="E3474">
        <v>0.47247220000000001</v>
      </c>
      <c r="F3474" t="s">
        <v>66</v>
      </c>
      <c r="G3474">
        <v>-450.20370000000003</v>
      </c>
      <c r="H3474" s="1">
        <v>-1.4593130000000001E-6</v>
      </c>
      <c r="I3474">
        <v>215.32419999999999</v>
      </c>
      <c r="J3474">
        <v>-466.92380000000003</v>
      </c>
      <c r="K3474">
        <v>1.1100410000000001</v>
      </c>
      <c r="L3474">
        <v>215.2199</v>
      </c>
      <c r="M3474">
        <v>0.99204029999999999</v>
      </c>
      <c r="N3474">
        <v>0</v>
      </c>
      <c r="O3474">
        <v>-0.12557670000000001</v>
      </c>
      <c r="P3474">
        <v>0.99775709999999995</v>
      </c>
      <c r="Q3474">
        <v>-1.0107059999999999E-2</v>
      </c>
      <c r="R3474">
        <v>-6.6168469999999993E-2</v>
      </c>
      <c r="S3474">
        <v>3.0062259999999998</v>
      </c>
      <c r="T3474">
        <v>-0.1980529</v>
      </c>
      <c r="U3474">
        <v>1.5991209999999999E-2</v>
      </c>
      <c r="V3474">
        <v>-5.9654359999999997E-2</v>
      </c>
      <c r="W3474">
        <v>-9.0316940000000003E-4</v>
      </c>
      <c r="X3474">
        <v>0.99821870000000001</v>
      </c>
      <c r="Y3474">
        <v>-0.1303039</v>
      </c>
      <c r="Z3474">
        <v>1.253629E-2</v>
      </c>
      <c r="AA3474">
        <v>0.99139480000000002</v>
      </c>
      <c r="AB3474">
        <v>12</v>
      </c>
      <c r="AC3474">
        <v>16.720099999999999</v>
      </c>
      <c r="AD3474">
        <v>-1.1100424593130001</v>
      </c>
      <c r="AE3474">
        <v>0.10429999999999399</v>
      </c>
      <c r="AF3474">
        <v>-2.1935522073286502</v>
      </c>
      <c r="AG3474">
        <v>-1.1100424593130001</v>
      </c>
      <c r="AH3474">
        <v>16.501901704621101</v>
      </c>
      <c r="AI3474">
        <v>93.814893134528901</v>
      </c>
      <c r="AJ3474">
        <v>97.571780997563906</v>
      </c>
      <c r="AK3474">
        <v>16.684023058505101</v>
      </c>
      <c r="AL3474">
        <v>90.051747801027801</v>
      </c>
      <c r="AM3474">
        <v>93.419974859870706</v>
      </c>
      <c r="AN3474">
        <v>1.00000001570583</v>
      </c>
    </row>
    <row r="3475" spans="1:40" x14ac:dyDescent="0.25">
      <c r="A3475" t="str">
        <f>"20190312160708130"</f>
        <v>20190312160708130</v>
      </c>
      <c r="B3475" t="str">
        <f>"1552378028128655"</f>
        <v>1552378028128655</v>
      </c>
      <c r="C3475" t="s">
        <v>40</v>
      </c>
      <c r="D3475">
        <v>6.1780249999999999</v>
      </c>
      <c r="E3475">
        <v>0.47199459999999999</v>
      </c>
      <c r="F3475" t="s">
        <v>66</v>
      </c>
      <c r="G3475">
        <v>-450.3759</v>
      </c>
      <c r="H3475" s="1">
        <v>-1.3679460000000001E-6</v>
      </c>
      <c r="I3475">
        <v>215.3305</v>
      </c>
      <c r="J3475">
        <v>-466.68349999999998</v>
      </c>
      <c r="K3475">
        <v>1.110031</v>
      </c>
      <c r="L3475">
        <v>215.19329999999999</v>
      </c>
      <c r="M3475">
        <v>0.99242249999999999</v>
      </c>
      <c r="N3475">
        <v>0</v>
      </c>
      <c r="O3475">
        <v>-0.1225334</v>
      </c>
      <c r="P3475">
        <v>0.99808010000000003</v>
      </c>
      <c r="Q3475">
        <v>-8.4349639999999997E-3</v>
      </c>
      <c r="R3475">
        <v>-6.1361560000000002E-2</v>
      </c>
      <c r="S3475">
        <v>3.0060120000000001</v>
      </c>
      <c r="T3475">
        <v>-0.2016453</v>
      </c>
      <c r="U3475">
        <v>2.0095829999999999E-2</v>
      </c>
      <c r="V3475">
        <v>-6.1404970000000003E-2</v>
      </c>
      <c r="W3475">
        <v>6.087461E-4</v>
      </c>
      <c r="X3475">
        <v>0.99811269999999996</v>
      </c>
      <c r="Y3475">
        <v>-0.128607</v>
      </c>
      <c r="Z3475">
        <v>1.250458E-2</v>
      </c>
      <c r="AA3475">
        <v>0.99161679999999996</v>
      </c>
      <c r="AB3475">
        <v>12</v>
      </c>
      <c r="AC3475">
        <v>16.307599999999901</v>
      </c>
      <c r="AD3475">
        <v>-1.110032367946</v>
      </c>
      <c r="AE3475">
        <v>0.13720000000000701</v>
      </c>
      <c r="AF3475">
        <v>-2.1246314054156499</v>
      </c>
      <c r="AG3475">
        <v>-1.110032367946</v>
      </c>
      <c r="AH3475">
        <v>16.093329673386101</v>
      </c>
      <c r="AI3475">
        <v>93.911872869044302</v>
      </c>
      <c r="AJ3475">
        <v>97.520661697814305</v>
      </c>
      <c r="AK3475">
        <v>16.270878600833299</v>
      </c>
      <c r="AL3475">
        <v>89.965121413825898</v>
      </c>
      <c r="AM3475">
        <v>93.520461171871204</v>
      </c>
      <c r="AN3475">
        <v>0.99999995140690101</v>
      </c>
    </row>
    <row r="3476" spans="1:40" x14ac:dyDescent="0.25">
      <c r="A3476" t="str">
        <f>"20190312160708154"</f>
        <v>20190312160708154</v>
      </c>
      <c r="B3476" t="str">
        <f>"1552378028148176"</f>
        <v>1552378028148176</v>
      </c>
      <c r="C3476" t="s">
        <v>40</v>
      </c>
      <c r="D3476">
        <v>6.3522379999999998</v>
      </c>
      <c r="E3476">
        <v>0.4695184</v>
      </c>
      <c r="F3476" t="s">
        <v>66</v>
      </c>
      <c r="G3476">
        <v>-449.76990000000001</v>
      </c>
      <c r="H3476" s="1">
        <v>3.6277570000000001E-6</v>
      </c>
      <c r="I3476">
        <v>215.4057</v>
      </c>
      <c r="J3476">
        <v>-466.55650000000003</v>
      </c>
      <c r="K3476">
        <v>1.110025</v>
      </c>
      <c r="L3476">
        <v>215.17949999999999</v>
      </c>
      <c r="M3476">
        <v>0.99262019999999995</v>
      </c>
      <c r="N3476">
        <v>0</v>
      </c>
      <c r="O3476">
        <v>-0.1209273</v>
      </c>
      <c r="P3476">
        <v>0.99822630000000001</v>
      </c>
      <c r="Q3476">
        <v>-8.2027739999999995E-3</v>
      </c>
      <c r="R3476">
        <v>-5.8969580000000001E-2</v>
      </c>
      <c r="S3476">
        <v>3.0064700000000002</v>
      </c>
      <c r="T3476">
        <v>-0.19731190000000001</v>
      </c>
      <c r="U3476">
        <v>3.7750239999999997E-2</v>
      </c>
      <c r="V3476">
        <v>-6.2182149999999999E-2</v>
      </c>
      <c r="W3476">
        <v>7.4893619999999905E-4</v>
      </c>
      <c r="X3476">
        <v>0.99806450000000002</v>
      </c>
      <c r="Y3476">
        <v>-0.13284079999999901</v>
      </c>
      <c r="Z3476">
        <v>1.2268980000000001E-2</v>
      </c>
      <c r="AA3476">
        <v>0.99106139999999998</v>
      </c>
      <c r="AB3476">
        <v>12</v>
      </c>
      <c r="AC3476">
        <v>16.7866</v>
      </c>
      <c r="AD3476">
        <v>-1.1100213722429999</v>
      </c>
      <c r="AE3476">
        <v>0.22620000000000501</v>
      </c>
      <c r="AF3476">
        <v>-2.24476740466767</v>
      </c>
      <c r="AG3476">
        <v>-1.1100213722429999</v>
      </c>
      <c r="AH3476">
        <v>16.563631750142601</v>
      </c>
      <c r="AI3476">
        <v>93.799348214054206</v>
      </c>
      <c r="AJ3476">
        <v>97.717923775600198</v>
      </c>
      <c r="AK3476">
        <v>16.751866311018201</v>
      </c>
      <c r="AL3476">
        <v>89.957089111034307</v>
      </c>
      <c r="AM3476">
        <v>93.565075874485004</v>
      </c>
      <c r="AN3476">
        <v>0.99999996342215103</v>
      </c>
    </row>
    <row r="3477" spans="1:40" x14ac:dyDescent="0.25">
      <c r="A3477" t="str">
        <f>"20190312160708175"</f>
        <v>20190312160708175</v>
      </c>
      <c r="B3477" t="str">
        <f>"1552378028168671"</f>
        <v>1552378028168671</v>
      </c>
      <c r="C3477" t="s">
        <v>40</v>
      </c>
      <c r="D3477">
        <v>6.1612</v>
      </c>
      <c r="E3477">
        <v>0.47106599999999998</v>
      </c>
      <c r="F3477" t="s">
        <v>66</v>
      </c>
      <c r="G3477">
        <v>-454.75139999999999</v>
      </c>
      <c r="H3477" s="1">
        <v>9.5603620000000006E-7</v>
      </c>
      <c r="I3477">
        <v>215.43170000000001</v>
      </c>
      <c r="J3477">
        <v>-466.4409</v>
      </c>
      <c r="K3477">
        <v>1.1100139999999901</v>
      </c>
      <c r="L3477">
        <v>215.16720000000001</v>
      </c>
      <c r="M3477">
        <v>0.99279729999999999</v>
      </c>
      <c r="N3477">
        <v>0</v>
      </c>
      <c r="O3477">
        <v>-0.11947290000000001</v>
      </c>
      <c r="P3477">
        <v>0.99829000000000001</v>
      </c>
      <c r="Q3477">
        <v>-8.5089889999999998E-3</v>
      </c>
      <c r="R3477">
        <v>-5.7834450000000003E-2</v>
      </c>
      <c r="S3477">
        <v>3.0068359999999998</v>
      </c>
      <c r="T3477">
        <v>-0.28273019999999999</v>
      </c>
      <c r="U3477">
        <v>6.4239500000000005E-2</v>
      </c>
      <c r="V3477">
        <v>-6.18533E-2</v>
      </c>
      <c r="W3477">
        <v>3.5411520000000002E-4</v>
      </c>
      <c r="X3477">
        <v>0.99808520000000001</v>
      </c>
      <c r="Y3477">
        <v>-0.13951629999999901</v>
      </c>
      <c r="Z3477">
        <v>1.7735890000000001E-2</v>
      </c>
      <c r="AA3477">
        <v>0.99006090000000002</v>
      </c>
      <c r="AB3477">
        <v>12</v>
      </c>
      <c r="AC3477">
        <v>11.689500000000001</v>
      </c>
      <c r="AD3477">
        <v>-1.1100130439638001</v>
      </c>
      <c r="AE3477">
        <v>0.26449999999999801</v>
      </c>
      <c r="AF3477">
        <v>-1.6444192946814999</v>
      </c>
      <c r="AG3477">
        <v>-1.1100130439638001</v>
      </c>
      <c r="AH3477">
        <v>11.470785297915601</v>
      </c>
      <c r="AI3477">
        <v>95.471634691444507</v>
      </c>
      <c r="AJ3477">
        <v>98.158176728553101</v>
      </c>
      <c r="AK3477">
        <v>11.6410978488013</v>
      </c>
      <c r="AL3477">
        <v>89.979710693383495</v>
      </c>
      <c r="AM3477">
        <v>93.546196868800706</v>
      </c>
      <c r="AN3477">
        <v>1.0000000112887499</v>
      </c>
    </row>
    <row r="3478" spans="1:40" x14ac:dyDescent="0.25">
      <c r="A3478" t="str">
        <f>"20190312160708199"</f>
        <v>20190312160708199</v>
      </c>
      <c r="B3478" t="str">
        <f>"1552378028188192"</f>
        <v>1552378028188192</v>
      </c>
      <c r="C3478" t="s">
        <v>40</v>
      </c>
      <c r="D3478">
        <v>6.2440429999999996</v>
      </c>
      <c r="E3478">
        <v>0.4713658</v>
      </c>
      <c r="F3478" t="s">
        <v>66</v>
      </c>
      <c r="G3478">
        <v>-453.66539999999998</v>
      </c>
      <c r="H3478" s="1">
        <v>3.7932139999999998E-7</v>
      </c>
      <c r="I3478">
        <v>215.40369999999999</v>
      </c>
      <c r="J3478">
        <v>-466.30549999999999</v>
      </c>
      <c r="K3478">
        <v>1.1099969999999999</v>
      </c>
      <c r="L3478">
        <v>215.15289999999999</v>
      </c>
      <c r="M3478">
        <v>0.99300080000000002</v>
      </c>
      <c r="N3478">
        <v>0</v>
      </c>
      <c r="O3478">
        <v>-0.11777700000000001</v>
      </c>
      <c r="P3478">
        <v>0.99837120000000001</v>
      </c>
      <c r="Q3478">
        <v>-8.5900190000000008E-3</v>
      </c>
      <c r="R3478">
        <v>-5.6405169999999998E-2</v>
      </c>
      <c r="S3478">
        <v>3.0061339999999999</v>
      </c>
      <c r="T3478">
        <v>-0.26118970000000002</v>
      </c>
      <c r="U3478">
        <v>5.5648799999999998E-2</v>
      </c>
      <c r="V3478">
        <v>-6.1577739999999999E-2</v>
      </c>
      <c r="W3478">
        <v>1.6481079999999999E-4</v>
      </c>
      <c r="X3478">
        <v>0.99810220000000005</v>
      </c>
      <c r="Y3478">
        <v>-0.13518949999999999</v>
      </c>
      <c r="Z3478">
        <v>1.6059790000000001E-2</v>
      </c>
      <c r="AA3478">
        <v>0.99068959999999995</v>
      </c>
      <c r="AB3478">
        <v>12</v>
      </c>
      <c r="AC3478">
        <v>12.6401</v>
      </c>
      <c r="AD3478">
        <v>-1.1099966206785901</v>
      </c>
      <c r="AE3478">
        <v>0.25079999999999802</v>
      </c>
      <c r="AF3478">
        <v>-1.7245318270197401</v>
      </c>
      <c r="AG3478">
        <v>-1.1099966206785901</v>
      </c>
      <c r="AH3478">
        <v>12.426787051723799</v>
      </c>
      <c r="AI3478">
        <v>95.056079243783898</v>
      </c>
      <c r="AJ3478">
        <v>97.900780891154895</v>
      </c>
      <c r="AK3478">
        <v>12.5948854281891</v>
      </c>
      <c r="AL3478">
        <v>89.990557035975996</v>
      </c>
      <c r="AM3478">
        <v>93.530378426172405</v>
      </c>
      <c r="AN3478">
        <v>0.99999992343546995</v>
      </c>
    </row>
    <row r="3479" spans="1:40" x14ac:dyDescent="0.25">
      <c r="A3479" t="str">
        <f>"20190312160708243"</f>
        <v>20190312160708243</v>
      </c>
      <c r="B3479" t="str">
        <f>"1552378028238944"</f>
        <v>1552378028238944</v>
      </c>
      <c r="C3479" t="s">
        <v>40</v>
      </c>
      <c r="D3479">
        <v>6.3229419999999896</v>
      </c>
      <c r="E3479">
        <v>0.47256579999999898</v>
      </c>
      <c r="F3479" t="s">
        <v>66</v>
      </c>
      <c r="G3479">
        <v>-453.13810000000001</v>
      </c>
      <c r="H3479" s="1">
        <v>9.8709140000000006E-8</v>
      </c>
      <c r="I3479">
        <v>215.40450000000001</v>
      </c>
      <c r="J3479">
        <v>-466.05520000000001</v>
      </c>
      <c r="K3479">
        <v>1.109964</v>
      </c>
      <c r="L3479">
        <v>215.12710000000001</v>
      </c>
      <c r="M3479">
        <v>0.993367</v>
      </c>
      <c r="N3479">
        <v>0</v>
      </c>
      <c r="O3479">
        <v>-0.11466229999999999</v>
      </c>
      <c r="P3479">
        <v>0.99851659999999998</v>
      </c>
      <c r="Q3479">
        <v>-8.3143390000000005E-3</v>
      </c>
      <c r="R3479">
        <v>-5.381209E-2</v>
      </c>
      <c r="S3479">
        <v>3.005951</v>
      </c>
      <c r="T3479">
        <v>-0.25339780000000001</v>
      </c>
      <c r="U3479">
        <v>5.7434079999999998E-2</v>
      </c>
      <c r="V3479">
        <v>-6.1039459999999997E-2</v>
      </c>
      <c r="W3479">
        <v>2.3872060000000001E-4</v>
      </c>
      <c r="X3479">
        <v>0.99813529999999995</v>
      </c>
      <c r="Y3479">
        <v>-0.13274659999999999</v>
      </c>
      <c r="Z3479">
        <v>1.5219679999999999E-2</v>
      </c>
      <c r="AA3479">
        <v>0.9910331</v>
      </c>
      <c r="AB3479">
        <v>13</v>
      </c>
      <c r="AC3479">
        <v>12.9171</v>
      </c>
      <c r="AD3479">
        <v>-1.10996390129086</v>
      </c>
      <c r="AE3479">
        <v>0.27739999999999998</v>
      </c>
      <c r="AF3479">
        <v>-1.7438592915565101</v>
      </c>
      <c r="AG3479">
        <v>-1.10996390129086</v>
      </c>
      <c r="AH3479">
        <v>12.706311467096</v>
      </c>
      <c r="AI3479">
        <v>94.946284884367302</v>
      </c>
      <c r="AJ3479">
        <v>97.814655145919602</v>
      </c>
      <c r="AK3479">
        <v>12.8733607185448</v>
      </c>
      <c r="AL3479">
        <v>89.986322316663703</v>
      </c>
      <c r="AM3479">
        <v>93.499478996826298</v>
      </c>
      <c r="AN3479">
        <v>0.99999997488535297</v>
      </c>
    </row>
    <row r="3480" spans="1:40" x14ac:dyDescent="0.25">
      <c r="A3480" t="str">
        <f>"20190312160708266"</f>
        <v>20190312160708266</v>
      </c>
      <c r="B3480" t="str">
        <f>"1552378028258465"</f>
        <v>1552378028258465</v>
      </c>
      <c r="C3480" t="s">
        <v>40</v>
      </c>
      <c r="D3480">
        <v>6.2277259999999997</v>
      </c>
      <c r="E3480">
        <v>0.47262349999999997</v>
      </c>
      <c r="F3480" t="s">
        <v>66</v>
      </c>
      <c r="G3480">
        <v>-451.91919999999999</v>
      </c>
      <c r="H3480" s="1">
        <v>-5.4921859999999999E-7</v>
      </c>
      <c r="I3480">
        <v>215.38829999999999</v>
      </c>
      <c r="J3480">
        <v>-465.93349999999998</v>
      </c>
      <c r="K3480">
        <v>1.109955</v>
      </c>
      <c r="L3480">
        <v>215.1148</v>
      </c>
      <c r="M3480">
        <v>0.99354050000000005</v>
      </c>
      <c r="N3480">
        <v>0</v>
      </c>
      <c r="O3480">
        <v>-0.1131564</v>
      </c>
      <c r="P3480">
        <v>0.99857269999999998</v>
      </c>
      <c r="Q3480">
        <v>-7.86595E-3</v>
      </c>
      <c r="R3480">
        <v>-5.2831129999999997E-2</v>
      </c>
      <c r="S3480">
        <v>3.005493</v>
      </c>
      <c r="T3480">
        <v>-0.23599229999999999</v>
      </c>
      <c r="U3480">
        <v>5.5526730000000003E-2</v>
      </c>
      <c r="V3480">
        <v>-6.0508279999999998E-2</v>
      </c>
      <c r="W3480">
        <v>5.9301060000000003E-4</v>
      </c>
      <c r="X3480">
        <v>0.99816749999999999</v>
      </c>
      <c r="Y3480">
        <v>-0.13074469999999999</v>
      </c>
      <c r="Z3480">
        <v>1.398373E-2</v>
      </c>
      <c r="AA3480">
        <v>0.99131749999999996</v>
      </c>
      <c r="AB3480">
        <v>13</v>
      </c>
      <c r="AC3480">
        <v>14.014299999999899</v>
      </c>
      <c r="AD3480">
        <v>-1.1099555492186</v>
      </c>
      <c r="AE3480">
        <v>0.27349999999998398</v>
      </c>
      <c r="AF3480">
        <v>-1.84603320539072</v>
      </c>
      <c r="AG3480">
        <v>-1.1099555492186</v>
      </c>
      <c r="AH3480">
        <v>13.806757370198801</v>
      </c>
      <c r="AI3480">
        <v>94.555879375184404</v>
      </c>
      <c r="AJ3480">
        <v>97.615568216053703</v>
      </c>
      <c r="AK3480">
        <v>13.9737750445678</v>
      </c>
      <c r="AL3480">
        <v>89.966022992770803</v>
      </c>
      <c r="AM3480">
        <v>93.468988753448301</v>
      </c>
      <c r="AN3480">
        <v>0.99999998083318897</v>
      </c>
    </row>
    <row r="3481" spans="1:40" x14ac:dyDescent="0.25">
      <c r="A3481" t="str">
        <f>"20190312160708285"</f>
        <v>20190312160708285</v>
      </c>
      <c r="B3481" t="str">
        <f>"1552378028278960"</f>
        <v>1552378028278960</v>
      </c>
      <c r="C3481" t="s">
        <v>40</v>
      </c>
      <c r="D3481">
        <v>6.2019299999999999</v>
      </c>
      <c r="E3481">
        <v>0.47272189999999997</v>
      </c>
      <c r="F3481" t="s">
        <v>66</v>
      </c>
      <c r="G3481">
        <v>-451.46949999999998</v>
      </c>
      <c r="H3481" s="1">
        <v>-7.8880150000000001E-7</v>
      </c>
      <c r="I3481">
        <v>215.3947</v>
      </c>
      <c r="J3481">
        <v>-465.8184</v>
      </c>
      <c r="K3481">
        <v>1.109937</v>
      </c>
      <c r="L3481">
        <v>215.10339999999999</v>
      </c>
      <c r="M3481">
        <v>0.99370159999999996</v>
      </c>
      <c r="N3481">
        <v>0</v>
      </c>
      <c r="O3481">
        <v>-0.111739</v>
      </c>
      <c r="P3481">
        <v>0.99863900000000005</v>
      </c>
      <c r="Q3481">
        <v>-7.9461840000000002E-3</v>
      </c>
      <c r="R3481">
        <v>-5.1545100000000003E-2</v>
      </c>
      <c r="S3481">
        <v>3.0055540000000001</v>
      </c>
      <c r="T3481">
        <v>-0.23064480000000001</v>
      </c>
      <c r="U3481">
        <v>5.8151250000000002E-2</v>
      </c>
      <c r="V3481">
        <v>-6.0369300000000001E-2</v>
      </c>
      <c r="W3481">
        <v>4.2277969999999999E-4</v>
      </c>
      <c r="X3481">
        <v>0.99817599999999995</v>
      </c>
      <c r="Y3481">
        <v>-0.13023479999999901</v>
      </c>
      <c r="Z3481">
        <v>1.3539850000000001E-2</v>
      </c>
      <c r="AA3481">
        <v>0.99139069999999996</v>
      </c>
      <c r="AB3481">
        <v>13</v>
      </c>
      <c r="AC3481">
        <v>14.3489</v>
      </c>
      <c r="AD3481">
        <v>-1.1099377888015001</v>
      </c>
      <c r="AE3481">
        <v>0.291300000000006</v>
      </c>
      <c r="AF3481">
        <v>-1.88161060668644</v>
      </c>
      <c r="AG3481">
        <v>-1.1099377888015001</v>
      </c>
      <c r="AH3481">
        <v>14.1418999826989</v>
      </c>
      <c r="AI3481">
        <v>94.448658357849297</v>
      </c>
      <c r="AJ3481">
        <v>97.578815203644794</v>
      </c>
      <c r="AK3481">
        <v>14.309638552069099</v>
      </c>
      <c r="AL3481">
        <v>89.975776506297095</v>
      </c>
      <c r="AM3481">
        <v>93.461010907300803</v>
      </c>
      <c r="AN3481">
        <v>0.99999997905058202</v>
      </c>
    </row>
    <row r="3482" spans="1:40" x14ac:dyDescent="0.25">
      <c r="A3482" t="str">
        <f>"20190312160708309"</f>
        <v>20190312160708309</v>
      </c>
      <c r="B3482" t="str">
        <f>"1552378028298479"</f>
        <v>1552378028298479</v>
      </c>
      <c r="C3482" t="s">
        <v>40</v>
      </c>
      <c r="D3482">
        <v>6.3680830000000004</v>
      </c>
      <c r="E3482">
        <v>0.4728909</v>
      </c>
      <c r="F3482" t="s">
        <v>66</v>
      </c>
      <c r="G3482">
        <v>-451.1617</v>
      </c>
      <c r="H3482" s="1">
        <v>-9.5295879999999997E-7</v>
      </c>
      <c r="I3482">
        <v>215.40199999999999</v>
      </c>
      <c r="J3482">
        <v>-465.6814</v>
      </c>
      <c r="K3482">
        <v>1.1099270000000001</v>
      </c>
      <c r="L3482">
        <v>215.09</v>
      </c>
      <c r="M3482">
        <v>0.9938901</v>
      </c>
      <c r="N3482">
        <v>0</v>
      </c>
      <c r="O3482">
        <v>-0.11005719999999999</v>
      </c>
      <c r="P3482">
        <v>0.99869149999999995</v>
      </c>
      <c r="Q3482">
        <v>-8.3821260000000002E-3</v>
      </c>
      <c r="R3482">
        <v>-5.0449729999999998E-2</v>
      </c>
      <c r="S3482">
        <v>3.0054020000000001</v>
      </c>
      <c r="T3482">
        <v>-0.22759570000000001</v>
      </c>
      <c r="U3482">
        <v>6.123352E-2</v>
      </c>
      <c r="V3482">
        <v>-5.9773850000000003E-2</v>
      </c>
      <c r="W3482">
        <v>-1.192957E-4</v>
      </c>
      <c r="X3482">
        <v>0.99821190000000004</v>
      </c>
      <c r="Y3482">
        <v>-0.1295994</v>
      </c>
      <c r="Z3482">
        <v>1.321135E-2</v>
      </c>
      <c r="AA3482">
        <v>0.99147839999999998</v>
      </c>
      <c r="AB3482">
        <v>13</v>
      </c>
      <c r="AC3482">
        <v>14.5197</v>
      </c>
      <c r="AD3482">
        <v>-1.1099279529588</v>
      </c>
      <c r="AE3482">
        <v>0.31200000000001099</v>
      </c>
      <c r="AF3482">
        <v>-1.89707742460634</v>
      </c>
      <c r="AG3482">
        <v>-1.1099279529588</v>
      </c>
      <c r="AH3482">
        <v>14.3135484398766</v>
      </c>
      <c r="AI3482">
        <v>94.395775703701304</v>
      </c>
      <c r="AJ3482">
        <v>97.549819575890993</v>
      </c>
      <c r="AK3482">
        <v>14.481315953890499</v>
      </c>
      <c r="AL3482">
        <v>90.006835140397698</v>
      </c>
      <c r="AM3482">
        <v>93.426832182324503</v>
      </c>
      <c r="AN3482">
        <v>0.99999996233844701</v>
      </c>
    </row>
    <row r="3483" spans="1:40" x14ac:dyDescent="0.25">
      <c r="A3483" t="str">
        <f>"20190312160708330"</f>
        <v>20190312160708330</v>
      </c>
      <c r="B3483" t="str">
        <f>"1552378028318975"</f>
        <v>1552378028318975</v>
      </c>
      <c r="C3483" t="s">
        <v>40</v>
      </c>
      <c r="D3483">
        <v>5.6641389999999996</v>
      </c>
      <c r="E3483">
        <v>0.47299099999999999</v>
      </c>
      <c r="F3483" t="s">
        <v>66</v>
      </c>
      <c r="G3483">
        <v>-450.96280000000002</v>
      </c>
      <c r="H3483" s="1">
        <v>-1.0586839999999999E-6</v>
      </c>
      <c r="I3483">
        <v>215.3999</v>
      </c>
      <c r="J3483">
        <v>-465.55959999999999</v>
      </c>
      <c r="K3483">
        <v>1.109926</v>
      </c>
      <c r="L3483">
        <v>215.07820000000001</v>
      </c>
      <c r="M3483">
        <v>0.99405489999999996</v>
      </c>
      <c r="N3483">
        <v>0</v>
      </c>
      <c r="O3483">
        <v>-0.1085663</v>
      </c>
      <c r="P3483">
        <v>0.99874810000000003</v>
      </c>
      <c r="Q3483">
        <v>-8.4295440000000006E-3</v>
      </c>
      <c r="R3483">
        <v>-4.9311389999999997E-2</v>
      </c>
      <c r="S3483">
        <v>3.0052189999999999</v>
      </c>
      <c r="T3483">
        <v>-0.2266233</v>
      </c>
      <c r="U3483">
        <v>6.3278199999999896E-2</v>
      </c>
      <c r="V3483">
        <v>-5.941449E-2</v>
      </c>
      <c r="W3483">
        <v>-2.5809630000000002E-4</v>
      </c>
      <c r="X3483">
        <v>0.99823340000000005</v>
      </c>
      <c r="Y3483">
        <v>-0.12879989999999999</v>
      </c>
      <c r="Z3483">
        <v>1.301393E-2</v>
      </c>
      <c r="AA3483">
        <v>0.99158520000000006</v>
      </c>
      <c r="AB3483">
        <v>13</v>
      </c>
      <c r="AC3483">
        <v>14.596799999999901</v>
      </c>
      <c r="AD3483">
        <v>-1.109927058684</v>
      </c>
      <c r="AE3483">
        <v>0.32169999999999199</v>
      </c>
      <c r="AF3483">
        <v>-1.8936294538851901</v>
      </c>
      <c r="AG3483">
        <v>-1.109927058684</v>
      </c>
      <c r="AH3483">
        <v>14.3924128509748</v>
      </c>
      <c r="AI3483">
        <v>94.372324747039002</v>
      </c>
      <c r="AJ3483">
        <v>97.495430788493394</v>
      </c>
      <c r="AK3483">
        <v>14.558822694748599</v>
      </c>
      <c r="AL3483">
        <v>90.014787828351103</v>
      </c>
      <c r="AM3483">
        <v>93.406205553326302</v>
      </c>
      <c r="AN3483">
        <v>1.0000000345555999</v>
      </c>
    </row>
    <row r="3484" spans="1:40" x14ac:dyDescent="0.25">
      <c r="A3484" t="str">
        <f>"20190312160708353"</f>
        <v>20190312160708353</v>
      </c>
      <c r="B3484" t="str">
        <f>"1552378028348256"</f>
        <v>1552378028348256</v>
      </c>
      <c r="C3484" t="s">
        <v>40</v>
      </c>
      <c r="D3484">
        <v>6.2622869999999997</v>
      </c>
      <c r="E3484">
        <v>0.47364859999999998</v>
      </c>
      <c r="F3484" t="s">
        <v>66</v>
      </c>
      <c r="G3484">
        <v>-450.62720000000002</v>
      </c>
      <c r="H3484" s="1">
        <v>-1.237583E-6</v>
      </c>
      <c r="I3484">
        <v>215.40649999999999</v>
      </c>
      <c r="J3484">
        <v>-465.43209999999999</v>
      </c>
      <c r="K3484">
        <v>1.109923</v>
      </c>
      <c r="L3484">
        <v>215.06610000000001</v>
      </c>
      <c r="M3484">
        <v>0.99422480000000002</v>
      </c>
      <c r="N3484">
        <v>0</v>
      </c>
      <c r="O3484">
        <v>-0.1070067</v>
      </c>
      <c r="P3484">
        <v>0.99882280000000001</v>
      </c>
      <c r="Q3484">
        <v>-8.2731539999999996E-3</v>
      </c>
      <c r="R3484">
        <v>-4.7801919999999998E-2</v>
      </c>
      <c r="S3484">
        <v>3.0051269999999999</v>
      </c>
      <c r="T3484">
        <v>-0.2233706</v>
      </c>
      <c r="U3484">
        <v>6.607056E-2</v>
      </c>
      <c r="V3484">
        <v>-5.9356890000000002E-2</v>
      </c>
      <c r="W3484">
        <v>-1.9054710000000001E-4</v>
      </c>
      <c r="X3484">
        <v>0.99823680000000004</v>
      </c>
      <c r="Y3484">
        <v>-0.12819069999999999</v>
      </c>
      <c r="Z3484">
        <v>1.2690089999999999E-2</v>
      </c>
      <c r="AA3484">
        <v>0.99166829999999995</v>
      </c>
      <c r="AB3484">
        <v>13</v>
      </c>
      <c r="AC3484">
        <v>14.8048999999999</v>
      </c>
      <c r="AD3484">
        <v>-1.1099242375830001</v>
      </c>
      <c r="AE3484">
        <v>0.34039999999998799</v>
      </c>
      <c r="AF3484">
        <v>-1.9119810249889899</v>
      </c>
      <c r="AG3484">
        <v>-1.1099242375830001</v>
      </c>
      <c r="AH3484">
        <v>14.6014385580501</v>
      </c>
      <c r="AI3484">
        <v>94.310306938759496</v>
      </c>
      <c r="AJ3484">
        <v>97.460133588173306</v>
      </c>
      <c r="AK3484">
        <v>14.767857367187901</v>
      </c>
      <c r="AL3484">
        <v>90.010917544773207</v>
      </c>
      <c r="AM3484">
        <v>93.4028995722649</v>
      </c>
      <c r="AN3484">
        <v>0.99999999278645402</v>
      </c>
    </row>
    <row r="3485" spans="1:40" x14ac:dyDescent="0.25">
      <c r="A3485" t="str">
        <f>"20190312160708376"</f>
        <v>20190312160708376</v>
      </c>
      <c r="B3485" t="str">
        <f>"1552378028368751"</f>
        <v>1552378028368751</v>
      </c>
      <c r="C3485" t="s">
        <v>40</v>
      </c>
      <c r="D3485">
        <v>6.2734639999999997</v>
      </c>
      <c r="E3485">
        <v>0.47382869999999999</v>
      </c>
      <c r="F3485" t="s">
        <v>66</v>
      </c>
      <c r="G3485">
        <v>-450.04230000000001</v>
      </c>
      <c r="H3485" s="1">
        <v>-1.548551E-6</v>
      </c>
      <c r="I3485">
        <v>215.3998</v>
      </c>
      <c r="J3485">
        <v>-465.29790000000003</v>
      </c>
      <c r="K3485">
        <v>1.1099209999999999</v>
      </c>
      <c r="L3485">
        <v>215.05359999999999</v>
      </c>
      <c r="M3485">
        <v>0.99440070000000003</v>
      </c>
      <c r="N3485">
        <v>0</v>
      </c>
      <c r="O3485">
        <v>-0.1053656</v>
      </c>
      <c r="P3485">
        <v>0.9988863</v>
      </c>
      <c r="Q3485">
        <v>-8.2377779999999994E-3</v>
      </c>
      <c r="R3485">
        <v>-4.6457430000000001E-2</v>
      </c>
      <c r="S3485">
        <v>3.0048520000000001</v>
      </c>
      <c r="T3485">
        <v>-0.2167116</v>
      </c>
      <c r="U3485">
        <v>6.5155030000000003E-2</v>
      </c>
      <c r="V3485">
        <v>-5.9052729999999998E-2</v>
      </c>
      <c r="W3485">
        <v>-2.3804100000000001E-4</v>
      </c>
      <c r="X3485">
        <v>0.9982548</v>
      </c>
      <c r="Y3485">
        <v>-0.12630079999999999</v>
      </c>
      <c r="Z3485">
        <v>1.2128089999999999E-2</v>
      </c>
      <c r="AA3485">
        <v>0.99191779999999996</v>
      </c>
      <c r="AB3485">
        <v>13</v>
      </c>
      <c r="AC3485">
        <v>15.255599999999999</v>
      </c>
      <c r="AD3485">
        <v>-1.109922548551</v>
      </c>
      <c r="AE3485">
        <v>0.34620000000001</v>
      </c>
      <c r="AF3485">
        <v>-1.9414692368839199</v>
      </c>
      <c r="AG3485">
        <v>-1.109922548551</v>
      </c>
      <c r="AH3485">
        <v>15.0545489035631</v>
      </c>
      <c r="AI3485">
        <v>94.182092163844302</v>
      </c>
      <c r="AJ3485">
        <v>97.348436608825196</v>
      </c>
      <c r="AK3485">
        <v>15.219746172368399</v>
      </c>
      <c r="AL3485">
        <v>90.0136387452755</v>
      </c>
      <c r="AM3485">
        <v>93.385441997374102</v>
      </c>
      <c r="AN3485">
        <v>0.99999996365350396</v>
      </c>
    </row>
    <row r="3486" spans="1:40" x14ac:dyDescent="0.25">
      <c r="A3486" t="str">
        <f>"20190312160708400"</f>
        <v>20190312160708400</v>
      </c>
      <c r="B3486" t="str">
        <f>"1552378028388273"</f>
        <v>1552378028388273</v>
      </c>
      <c r="C3486" t="s">
        <v>40</v>
      </c>
      <c r="D3486">
        <v>6.337224</v>
      </c>
      <c r="E3486">
        <v>0.4742536</v>
      </c>
      <c r="F3486" t="s">
        <v>66</v>
      </c>
      <c r="G3486">
        <v>-449.65339999999998</v>
      </c>
      <c r="H3486" s="1">
        <v>3.5656990000000002E-6</v>
      </c>
      <c r="I3486">
        <v>215.4075</v>
      </c>
      <c r="J3486">
        <v>-465.15350000000001</v>
      </c>
      <c r="K3486">
        <v>1.1099239999999999</v>
      </c>
      <c r="L3486">
        <v>215.04040000000001</v>
      </c>
      <c r="M3486">
        <v>0.99458630000000003</v>
      </c>
      <c r="N3486">
        <v>0</v>
      </c>
      <c r="O3486">
        <v>-0.103604</v>
      </c>
      <c r="P3486">
        <v>0.99895339999999999</v>
      </c>
      <c r="Q3486">
        <v>-7.9722189999999991E-3</v>
      </c>
      <c r="R3486">
        <v>-4.5041440000000002E-2</v>
      </c>
      <c r="S3486">
        <v>3.0048219999999999</v>
      </c>
      <c r="T3486">
        <v>-0.2131807</v>
      </c>
      <c r="U3486">
        <v>6.7962649999999999E-2</v>
      </c>
      <c r="V3486">
        <v>-5.8700009999999997E-2</v>
      </c>
      <c r="W3486" s="1">
        <v>-5.0150820000000002E-5</v>
      </c>
      <c r="X3486">
        <v>0.99827560000000004</v>
      </c>
      <c r="Y3486">
        <v>-0.125496</v>
      </c>
      <c r="Z3486">
        <v>1.1778200000000001E-2</v>
      </c>
      <c r="AA3486">
        <v>0.99202420000000002</v>
      </c>
      <c r="AB3486">
        <v>13</v>
      </c>
      <c r="AC3486">
        <v>15.5001</v>
      </c>
      <c r="AD3486">
        <v>-1.1099204343009901</v>
      </c>
      <c r="AE3486">
        <v>0.36709999999999299</v>
      </c>
      <c r="AF3486">
        <v>-1.9609987711952299</v>
      </c>
      <c r="AG3486">
        <v>-1.1099204343009901</v>
      </c>
      <c r="AH3486">
        <v>15.3002389111511</v>
      </c>
      <c r="AI3486">
        <v>94.115573317721498</v>
      </c>
      <c r="AJ3486">
        <v>97.303658345991394</v>
      </c>
      <c r="AK3486">
        <v>15.465275629273799</v>
      </c>
      <c r="AL3486">
        <v>90.002873430516999</v>
      </c>
      <c r="AM3486">
        <v>93.365197520090504</v>
      </c>
      <c r="AN3486">
        <v>0.99999993362223005</v>
      </c>
    </row>
    <row r="3487" spans="1:40" x14ac:dyDescent="0.25">
      <c r="A3487" t="str">
        <f>"20190312160708422"</f>
        <v>20190312160708422</v>
      </c>
      <c r="B3487" t="str">
        <f>"1552378028418527"</f>
        <v>1552378028418527</v>
      </c>
      <c r="C3487" t="s">
        <v>40</v>
      </c>
      <c r="D3487">
        <v>6.336322</v>
      </c>
      <c r="E3487">
        <v>0.47471590000000002</v>
      </c>
      <c r="F3487" t="s">
        <v>66</v>
      </c>
      <c r="G3487">
        <v>-449.26310000000001</v>
      </c>
      <c r="H3487" s="1">
        <v>3.3580950000000002E-6</v>
      </c>
      <c r="I3487">
        <v>215.40479999999999</v>
      </c>
      <c r="J3487">
        <v>-465.02370000000002</v>
      </c>
      <c r="K3487">
        <v>1.1099270000000001</v>
      </c>
      <c r="L3487">
        <v>215.02879999999999</v>
      </c>
      <c r="M3487">
        <v>0.99475009999999997</v>
      </c>
      <c r="N3487">
        <v>0</v>
      </c>
      <c r="O3487">
        <v>-0.10202459999999999</v>
      </c>
      <c r="P3487">
        <v>0.99901649999999997</v>
      </c>
      <c r="Q3487">
        <v>-7.5484940000000002E-3</v>
      </c>
      <c r="R3487">
        <v>-4.3700990000000002E-2</v>
      </c>
      <c r="S3487">
        <v>3.0045470000000001</v>
      </c>
      <c r="T3487">
        <v>-0.20986279999999999</v>
      </c>
      <c r="U3487">
        <v>6.8893430000000005E-2</v>
      </c>
      <c r="V3487">
        <v>-5.8454859999999997E-2</v>
      </c>
      <c r="W3487">
        <v>3.1167670000000001E-4</v>
      </c>
      <c r="X3487">
        <v>0.99829000000000001</v>
      </c>
      <c r="Y3487">
        <v>-0.1242544</v>
      </c>
      <c r="Z3487">
        <v>1.144328E-2</v>
      </c>
      <c r="AA3487">
        <v>0.99218439999999997</v>
      </c>
      <c r="AB3487">
        <v>13</v>
      </c>
      <c r="AC3487">
        <v>15.7606</v>
      </c>
      <c r="AD3487">
        <v>-1.109923641905</v>
      </c>
      <c r="AE3487">
        <v>0.376000000000004</v>
      </c>
      <c r="AF3487">
        <v>-1.97228157193196</v>
      </c>
      <c r="AG3487">
        <v>-1.109923641905</v>
      </c>
      <c r="AH3487">
        <v>15.5628510057187</v>
      </c>
      <c r="AI3487">
        <v>94.047097488020896</v>
      </c>
      <c r="AJ3487">
        <v>97.222597532287907</v>
      </c>
      <c r="AK3487">
        <v>15.726543056757301</v>
      </c>
      <c r="AL3487">
        <v>89.982142240155994</v>
      </c>
      <c r="AM3487">
        <v>93.351127247951197</v>
      </c>
      <c r="AN3487">
        <v>0.999999995949992</v>
      </c>
    </row>
    <row r="3488" spans="1:40" x14ac:dyDescent="0.25">
      <c r="A3488" t="str">
        <f>"20190312160708466"</f>
        <v>20190312160708466</v>
      </c>
      <c r="B3488" t="str">
        <f>"1552378028458543"</f>
        <v>1552378028458543</v>
      </c>
      <c r="C3488" t="s">
        <v>40</v>
      </c>
      <c r="D3488">
        <v>6.2404739999999999</v>
      </c>
      <c r="E3488">
        <v>0.47489749999999997</v>
      </c>
      <c r="F3488" t="s">
        <v>66</v>
      </c>
      <c r="G3488">
        <v>-448.71039999999999</v>
      </c>
      <c r="H3488" s="1">
        <v>3.0640830000000002E-6</v>
      </c>
      <c r="I3488">
        <v>215.40299999999999</v>
      </c>
      <c r="J3488">
        <v>-464.76400000000001</v>
      </c>
      <c r="K3488">
        <v>1.10992</v>
      </c>
      <c r="L3488">
        <v>215.006</v>
      </c>
      <c r="M3488">
        <v>0.99506740000000005</v>
      </c>
      <c r="N3488">
        <v>0</v>
      </c>
      <c r="O3488">
        <v>-9.8890110000000003E-2</v>
      </c>
      <c r="P3488">
        <v>0.99914800000000004</v>
      </c>
      <c r="Q3488">
        <v>-6.9689280000000001E-3</v>
      </c>
      <c r="R3488">
        <v>-4.0679149999999997E-2</v>
      </c>
      <c r="S3488">
        <v>3.0043950000000001</v>
      </c>
      <c r="T3488">
        <v>-0.20441280000000001</v>
      </c>
      <c r="U3488">
        <v>6.8923949999999998E-2</v>
      </c>
      <c r="V3488">
        <v>-5.8330600000000003E-2</v>
      </c>
      <c r="W3488">
        <v>7.8851369999999896E-4</v>
      </c>
      <c r="X3488">
        <v>0.99829699999999999</v>
      </c>
      <c r="Y3488">
        <v>-0.1211815</v>
      </c>
      <c r="Z3488">
        <v>1.0830650000000001E-2</v>
      </c>
      <c r="AA3488">
        <v>0.99257130000000005</v>
      </c>
      <c r="AB3488">
        <v>13</v>
      </c>
      <c r="AC3488">
        <v>16.053599999999999</v>
      </c>
      <c r="AD3488">
        <v>-1.109916935917</v>
      </c>
      <c r="AE3488">
        <v>0.397000000000019</v>
      </c>
      <c r="AF3488">
        <v>-1.97321871114987</v>
      </c>
      <c r="AG3488">
        <v>-1.109916935917</v>
      </c>
      <c r="AH3488">
        <v>15.859880267079101</v>
      </c>
      <c r="AI3488">
        <v>93.972655811068293</v>
      </c>
      <c r="AJ3488">
        <v>97.092053258080995</v>
      </c>
      <c r="AK3488">
        <v>16.020652601337801</v>
      </c>
      <c r="AL3488">
        <v>89.954821487787697</v>
      </c>
      <c r="AM3488">
        <v>93.343996401663603</v>
      </c>
      <c r="AN3488">
        <v>0.99999999042960697</v>
      </c>
    </row>
    <row r="3489" spans="1:40" x14ac:dyDescent="0.25">
      <c r="A3489" t="str">
        <f>"20190312160708487"</f>
        <v>20190312160708487</v>
      </c>
      <c r="B3489" t="str">
        <f>"1552378028478064"</f>
        <v>1552378028478064</v>
      </c>
      <c r="C3489" t="s">
        <v>40</v>
      </c>
      <c r="D3489">
        <v>6.33277</v>
      </c>
      <c r="E3489">
        <v>0.47495229999999999</v>
      </c>
      <c r="F3489" t="s">
        <v>66</v>
      </c>
      <c r="G3489">
        <v>-447.92959999999999</v>
      </c>
      <c r="H3489" s="1">
        <v>2.647144E-6</v>
      </c>
      <c r="I3489">
        <v>215.43520000000001</v>
      </c>
      <c r="J3489">
        <v>-464.62970000000001</v>
      </c>
      <c r="K3489">
        <v>1.109912</v>
      </c>
      <c r="L3489">
        <v>214.99459999999999</v>
      </c>
      <c r="M3489">
        <v>0.99522549999999999</v>
      </c>
      <c r="N3489">
        <v>0</v>
      </c>
      <c r="O3489">
        <v>-9.7288929999999996E-2</v>
      </c>
      <c r="P3489">
        <v>0.99921070000000001</v>
      </c>
      <c r="Q3489">
        <v>-6.5669279999999997E-3</v>
      </c>
      <c r="R3489">
        <v>-3.9183559999999999E-2</v>
      </c>
      <c r="S3489">
        <v>3.0042719999999998</v>
      </c>
      <c r="T3489">
        <v>-0.19807620000000001</v>
      </c>
      <c r="U3489">
        <v>7.6583860000000004E-2</v>
      </c>
      <c r="V3489">
        <v>-5.8219670000000001E-2</v>
      </c>
      <c r="W3489">
        <v>1.1475719999999999E-3</v>
      </c>
      <c r="X3489">
        <v>0.9983031</v>
      </c>
      <c r="Y3489">
        <v>-0.1221469</v>
      </c>
      <c r="Z3489">
        <v>1.042262E-2</v>
      </c>
      <c r="AA3489">
        <v>0.99245729999999999</v>
      </c>
      <c r="AB3489">
        <v>13</v>
      </c>
      <c r="AC3489">
        <v>16.700099999999999</v>
      </c>
      <c r="AD3489">
        <v>-1.109909352856</v>
      </c>
      <c r="AE3489">
        <v>0.44060000000001698</v>
      </c>
      <c r="AF3489">
        <v>-2.0542268106816</v>
      </c>
      <c r="AG3489">
        <v>-1.109909352856</v>
      </c>
      <c r="AH3489">
        <v>16.505151936557201</v>
      </c>
      <c r="AI3489">
        <v>93.817766254422196</v>
      </c>
      <c r="AJ3489">
        <v>97.094535562875706</v>
      </c>
      <c r="AK3489">
        <v>16.669486705058301</v>
      </c>
      <c r="AL3489">
        <v>89.934248950860294</v>
      </c>
      <c r="AM3489">
        <v>93.337631011533503</v>
      </c>
      <c r="AN3489">
        <v>0.99999996318300599</v>
      </c>
    </row>
    <row r="3490" spans="1:40" x14ac:dyDescent="0.25">
      <c r="A3490" t="str">
        <f>"20190312160708511"</f>
        <v>20190312160708511</v>
      </c>
      <c r="B3490" t="str">
        <f>"1552378028508320"</f>
        <v>1552378028508320</v>
      </c>
      <c r="C3490" t="s">
        <v>40</v>
      </c>
      <c r="D3490">
        <v>6.1446079999999998</v>
      </c>
      <c r="E3490">
        <v>0.4742227</v>
      </c>
      <c r="F3490" t="s">
        <v>66</v>
      </c>
      <c r="G3490">
        <v>-447.61219999999997</v>
      </c>
      <c r="H3490" s="1">
        <v>2.4775719999999999E-6</v>
      </c>
      <c r="I3490">
        <v>215.4511</v>
      </c>
      <c r="J3490">
        <v>-464.49239999999998</v>
      </c>
      <c r="K3490">
        <v>1.109904</v>
      </c>
      <c r="L3490">
        <v>214.98310000000001</v>
      </c>
      <c r="M3490">
        <v>0.99538269999999995</v>
      </c>
      <c r="N3490">
        <v>0</v>
      </c>
      <c r="O3490">
        <v>-9.5671329999999999E-2</v>
      </c>
      <c r="P3490">
        <v>0.99928229999999996</v>
      </c>
      <c r="Q3490">
        <v>-6.3406629999999999E-3</v>
      </c>
      <c r="R3490">
        <v>-3.7348869999999999E-2</v>
      </c>
      <c r="S3490">
        <v>3.0042420000000001</v>
      </c>
      <c r="T3490">
        <v>-0.1959419</v>
      </c>
      <c r="U3490">
        <v>8.0596920000000002E-2</v>
      </c>
      <c r="V3490">
        <v>-5.8430040000000003E-2</v>
      </c>
      <c r="W3490">
        <v>1.3354459999999999E-3</v>
      </c>
      <c r="X3490">
        <v>0.99829060000000003</v>
      </c>
      <c r="Y3490">
        <v>-0.1218731</v>
      </c>
      <c r="Z3490">
        <v>1.019659E-2</v>
      </c>
      <c r="AA3490">
        <v>0.99249330000000002</v>
      </c>
      <c r="AB3490">
        <v>14</v>
      </c>
      <c r="AC3490">
        <v>16.880199999999999</v>
      </c>
      <c r="AD3490">
        <v>-1.109901522428</v>
      </c>
      <c r="AE3490">
        <v>0.46799999999998898</v>
      </c>
      <c r="AF3490">
        <v>-2.0719024613356898</v>
      </c>
      <c r="AG3490">
        <v>-1.109901522428</v>
      </c>
      <c r="AH3490">
        <v>16.685907438125</v>
      </c>
      <c r="AI3490">
        <v>93.7766360294073</v>
      </c>
      <c r="AJ3490">
        <v>97.078232794985695</v>
      </c>
      <c r="AK3490">
        <v>16.850642961989699</v>
      </c>
      <c r="AL3490">
        <v>89.923484556734195</v>
      </c>
      <c r="AM3490">
        <v>93.349705587572103</v>
      </c>
      <c r="AN3490">
        <v>0.99999998751939001</v>
      </c>
    </row>
    <row r="3491" spans="1:40" x14ac:dyDescent="0.25">
      <c r="A3491" t="str">
        <f>"20190312160708532"</f>
        <v>20190312160708532</v>
      </c>
      <c r="B3491" t="str">
        <f>"1552378028528817"</f>
        <v>1552378028528817</v>
      </c>
      <c r="C3491" t="s">
        <v>40</v>
      </c>
      <c r="D3491">
        <v>6.6337719999999996</v>
      </c>
      <c r="E3491">
        <v>0.47414030000000001</v>
      </c>
      <c r="F3491" t="s">
        <v>66</v>
      </c>
      <c r="G3491">
        <v>-447.6105</v>
      </c>
      <c r="H3491" s="1">
        <v>2.4745389999999998E-6</v>
      </c>
      <c r="I3491">
        <v>215.49979999999999</v>
      </c>
      <c r="J3491">
        <v>-464.36149999999998</v>
      </c>
      <c r="K3491">
        <v>1.109896</v>
      </c>
      <c r="L3491">
        <v>214.97229999999999</v>
      </c>
      <c r="M3491">
        <v>0.99552799999999997</v>
      </c>
      <c r="N3491">
        <v>0</v>
      </c>
      <c r="O3491">
        <v>-9.4150200000000003E-2</v>
      </c>
      <c r="P3491">
        <v>0.99936360000000002</v>
      </c>
      <c r="Q3491">
        <v>-6.1811590000000003E-3</v>
      </c>
      <c r="R3491">
        <v>-3.5135220000000002E-2</v>
      </c>
      <c r="S3491">
        <v>3.0043639999999998</v>
      </c>
      <c r="T3491">
        <v>-0.197522</v>
      </c>
      <c r="U3491">
        <v>9.196472E-2</v>
      </c>
      <c r="V3491">
        <v>-5.9115969999999997E-2</v>
      </c>
      <c r="W3491">
        <v>1.4618070000000001E-3</v>
      </c>
      <c r="X3491">
        <v>0.99825010000000003</v>
      </c>
      <c r="Y3491">
        <v>-0.1240984</v>
      </c>
      <c r="Z3491">
        <v>1.0251390000000001E-2</v>
      </c>
      <c r="AA3491">
        <v>0.99221689999999996</v>
      </c>
      <c r="AB3491">
        <v>14</v>
      </c>
      <c r="AC3491">
        <v>16.750999999999902</v>
      </c>
      <c r="AD3491">
        <v>-1.1098935254610001</v>
      </c>
      <c r="AE3491">
        <v>0.52750000000000297</v>
      </c>
      <c r="AF3491">
        <v>-2.0931337128748901</v>
      </c>
      <c r="AG3491">
        <v>-1.1098935254610001</v>
      </c>
      <c r="AH3491">
        <v>16.554317719623299</v>
      </c>
      <c r="AI3491">
        <v>93.805478608390302</v>
      </c>
      <c r="AJ3491">
        <v>97.206258191655607</v>
      </c>
      <c r="AK3491">
        <v>16.722993378581201</v>
      </c>
      <c r="AL3491">
        <v>89.916244602667604</v>
      </c>
      <c r="AM3491">
        <v>93.389074965201004</v>
      </c>
      <c r="AN3491">
        <v>1.0000000484693701</v>
      </c>
    </row>
    <row r="3492" spans="1:40" x14ac:dyDescent="0.25">
      <c r="A3492" t="str">
        <f>"20190312160708577"</f>
        <v>20190312160708577</v>
      </c>
      <c r="B3492" t="str">
        <f>"1552378028568833"</f>
        <v>1552378028568833</v>
      </c>
      <c r="C3492" t="s">
        <v>40</v>
      </c>
      <c r="D3492">
        <v>5.2599629999999999</v>
      </c>
      <c r="E3492">
        <v>0.47550540000000002</v>
      </c>
      <c r="F3492" t="s">
        <v>66</v>
      </c>
      <c r="G3492">
        <v>-449.60890000000001</v>
      </c>
      <c r="H3492" s="1">
        <v>3.5397779999999998E-6</v>
      </c>
      <c r="I3492">
        <v>215.45779999999999</v>
      </c>
      <c r="J3492">
        <v>-464.08049999999997</v>
      </c>
      <c r="K3492">
        <v>1.109869</v>
      </c>
      <c r="L3492">
        <v>214.94970000000001</v>
      </c>
      <c r="M3492">
        <v>0.99582380000000004</v>
      </c>
      <c r="N3492">
        <v>0</v>
      </c>
      <c r="O3492">
        <v>-9.0974490000000005E-2</v>
      </c>
      <c r="P3492">
        <v>0.99948959999999998</v>
      </c>
      <c r="Q3492">
        <v>-6.0425009999999996E-3</v>
      </c>
      <c r="R3492">
        <v>-3.1373610000000003E-2</v>
      </c>
      <c r="S3492">
        <v>3.0039980000000002</v>
      </c>
      <c r="T3492">
        <v>-0.2260008</v>
      </c>
      <c r="U3492">
        <v>9.8861690000000002E-2</v>
      </c>
      <c r="V3492">
        <v>-5.9689060000000002E-2</v>
      </c>
      <c r="W3492">
        <v>1.5443E-3</v>
      </c>
      <c r="X3492">
        <v>0.99821579999999999</v>
      </c>
      <c r="Y3492">
        <v>-0.1230796</v>
      </c>
      <c r="Z3492">
        <v>1.145053E-2</v>
      </c>
      <c r="AA3492">
        <v>0.99233070000000001</v>
      </c>
      <c r="AB3492">
        <v>14</v>
      </c>
      <c r="AC3492">
        <v>14.471599999999899</v>
      </c>
      <c r="AD3492">
        <v>-1.1098654602219999</v>
      </c>
      <c r="AE3492">
        <v>0.50809999999998401</v>
      </c>
      <c r="AF3492">
        <v>-1.8119336617399999</v>
      </c>
      <c r="AG3492">
        <v>-1.1098654602219999</v>
      </c>
      <c r="AH3492">
        <v>14.2814637145561</v>
      </c>
      <c r="AI3492">
        <v>94.4085368164545</v>
      </c>
      <c r="AJ3492">
        <v>97.230661857151503</v>
      </c>
      <c r="AK3492">
        <v>14.438667208732401</v>
      </c>
      <c r="AL3492">
        <v>89.911518090409899</v>
      </c>
      <c r="AM3492">
        <v>93.421969397147606</v>
      </c>
      <c r="AN3492">
        <v>0.99999997605790603</v>
      </c>
    </row>
    <row r="3493" spans="1:40" x14ac:dyDescent="0.25">
      <c r="A3493" t="str">
        <f>"20190312160708602"</f>
        <v>20190312160708602</v>
      </c>
      <c r="B3493" t="str">
        <f>"1552378028598112"</f>
        <v>1552378028598112</v>
      </c>
      <c r="C3493" t="s">
        <v>40</v>
      </c>
      <c r="D3493">
        <v>6.4641080000000004</v>
      </c>
      <c r="E3493">
        <v>0.47862670000000002</v>
      </c>
      <c r="F3493" t="s">
        <v>66</v>
      </c>
      <c r="G3493">
        <v>-461.51119999999997</v>
      </c>
      <c r="H3493" s="1">
        <v>-7.5048300000000001E-7</v>
      </c>
      <c r="I3493">
        <v>215.02510000000001</v>
      </c>
      <c r="J3493">
        <v>-463.93720000000002</v>
      </c>
      <c r="K3493">
        <v>1.109861</v>
      </c>
      <c r="L3493">
        <v>214.9385</v>
      </c>
      <c r="M3493">
        <v>0.99596649999999998</v>
      </c>
      <c r="N3493">
        <v>0</v>
      </c>
      <c r="O3493">
        <v>-8.939867E-2</v>
      </c>
      <c r="P3493">
        <v>0.99953689999999995</v>
      </c>
      <c r="Q3493">
        <v>-5.6740019999999896E-3</v>
      </c>
      <c r="R3493">
        <v>-2.9895330000000001E-2</v>
      </c>
      <c r="S3493">
        <v>2.9964599999999999</v>
      </c>
      <c r="T3493">
        <v>-1.2943929999999999</v>
      </c>
      <c r="U3493">
        <v>8.7936399999999998E-2</v>
      </c>
      <c r="V3493">
        <v>-5.9587170000000002E-2</v>
      </c>
      <c r="W3493">
        <v>1.8904830000000001E-3</v>
      </c>
      <c r="X3493">
        <v>0.99822129999999998</v>
      </c>
      <c r="Y3493">
        <v>-0.1015447</v>
      </c>
      <c r="Z3493">
        <v>5.7924969999999999E-2</v>
      </c>
      <c r="AA3493">
        <v>0.9931432</v>
      </c>
      <c r="AB3493">
        <v>14</v>
      </c>
      <c r="AC3493">
        <v>2.4260000000000401</v>
      </c>
      <c r="AD3493">
        <v>-1.109861750483</v>
      </c>
      <c r="AE3493">
        <v>8.6600000000004201E-2</v>
      </c>
      <c r="AF3493">
        <v>-0.25073109725502202</v>
      </c>
      <c r="AG3493">
        <v>-1.109861750483</v>
      </c>
      <c r="AH3493">
        <v>1.9921330748847901</v>
      </c>
      <c r="AI3493">
        <v>118.93212265203699</v>
      </c>
      <c r="AJ3493">
        <v>97.173562286257706</v>
      </c>
      <c r="AK3493">
        <v>2.29417814834982</v>
      </c>
      <c r="AL3493">
        <v>89.891683236634904</v>
      </c>
      <c r="AM3493">
        <v>93.416123118813005</v>
      </c>
      <c r="AN3493">
        <v>0.99999998426413494</v>
      </c>
    </row>
    <row r="3494" spans="1:40" x14ac:dyDescent="0.25">
      <c r="A3494" t="str">
        <f>"20190312160708623"</f>
        <v>20190312160708623</v>
      </c>
      <c r="B3494" t="str">
        <f>"1552378028618608"</f>
        <v>1552378028618608</v>
      </c>
      <c r="C3494" t="s">
        <v>40</v>
      </c>
      <c r="D3494">
        <v>6.6874710000000004</v>
      </c>
      <c r="E3494">
        <v>0.47833029999999999</v>
      </c>
      <c r="F3494" t="s">
        <v>44</v>
      </c>
      <c r="G3494">
        <v>-463.21300000000002</v>
      </c>
      <c r="H3494">
        <v>0.8303971</v>
      </c>
      <c r="I3494">
        <v>214.95480000000001</v>
      </c>
      <c r="J3494">
        <v>-463.79989999999998</v>
      </c>
      <c r="K3494">
        <v>1.1098570000000001</v>
      </c>
      <c r="L3494">
        <v>214.92789999999999</v>
      </c>
      <c r="M3494">
        <v>0.99609859999999995</v>
      </c>
      <c r="N3494">
        <v>0</v>
      </c>
      <c r="O3494">
        <v>-8.7916910000000001E-2</v>
      </c>
      <c r="P3494">
        <v>0.99957870000000004</v>
      </c>
      <c r="Q3494">
        <v>-4.3513830000000003E-3</v>
      </c>
      <c r="R3494">
        <v>-2.86982E-2</v>
      </c>
      <c r="S3494">
        <v>2.9968870000000001</v>
      </c>
      <c r="T3494">
        <v>-1.1569510000000001</v>
      </c>
      <c r="U3494">
        <v>6.9107059999999998E-2</v>
      </c>
      <c r="V3494">
        <v>-5.929947E-2</v>
      </c>
      <c r="W3494">
        <v>3.194629E-3</v>
      </c>
      <c r="X3494">
        <v>0.99823510000000004</v>
      </c>
      <c r="Y3494">
        <v>-9.7533129999999996E-2</v>
      </c>
      <c r="Z3494">
        <v>5.090488E-2</v>
      </c>
      <c r="AA3494">
        <v>0.99392959999999997</v>
      </c>
      <c r="AB3494">
        <v>14</v>
      </c>
      <c r="AC3494">
        <v>0.58689999999995701</v>
      </c>
      <c r="AD3494">
        <v>-0.27945989999999898</v>
      </c>
      <c r="AE3494">
        <v>2.6900000000011901E-2</v>
      </c>
      <c r="AF3494">
        <v>-6.3931015938695504E-2</v>
      </c>
      <c r="AG3494">
        <v>-0.27945989999999898</v>
      </c>
      <c r="AH3494">
        <v>0.474829418695628</v>
      </c>
      <c r="AI3494">
        <v>120.25436512321799</v>
      </c>
      <c r="AJ3494">
        <v>97.668187498186001</v>
      </c>
      <c r="AK3494">
        <v>0.55466024498407296</v>
      </c>
      <c r="AL3494">
        <v>89.816960925060698</v>
      </c>
      <c r="AM3494">
        <v>93.399621214027803</v>
      </c>
      <c r="AN3494">
        <v>0.999999973834369</v>
      </c>
    </row>
    <row r="3495" spans="1:40" x14ac:dyDescent="0.25">
      <c r="A3495" t="str">
        <f>"20190312160708667"</f>
        <v>20190312160708667</v>
      </c>
      <c r="B3495" t="str">
        <f>"1552378028658624"</f>
        <v>1552378028658624</v>
      </c>
      <c r="C3495" t="s">
        <v>40</v>
      </c>
      <c r="D3495">
        <v>6.4148180000000004</v>
      </c>
      <c r="E3495">
        <v>0.48126920000000001</v>
      </c>
      <c r="F3495" t="s">
        <v>66</v>
      </c>
      <c r="G3495">
        <v>-456.67419999999998</v>
      </c>
      <c r="H3495" s="1">
        <v>1.9927469999999998E-6</v>
      </c>
      <c r="I3495">
        <v>215.1223</v>
      </c>
      <c r="J3495">
        <v>-463.5231</v>
      </c>
      <c r="K3495">
        <v>1.1098349999999999</v>
      </c>
      <c r="L3495">
        <v>214.90710000000001</v>
      </c>
      <c r="M3495">
        <v>0.99635039999999997</v>
      </c>
      <c r="N3495">
        <v>0</v>
      </c>
      <c r="O3495">
        <v>-8.5017990000000002E-2</v>
      </c>
      <c r="P3495">
        <v>0.99967220000000001</v>
      </c>
      <c r="Q3495">
        <v>-2.8515400000000001E-3</v>
      </c>
      <c r="R3495">
        <v>-2.5437410000000001E-2</v>
      </c>
      <c r="S3495">
        <v>3.0015869999999998</v>
      </c>
      <c r="T3495">
        <v>-0.46750829999999999</v>
      </c>
      <c r="U3495">
        <v>8.1909179999999998E-2</v>
      </c>
      <c r="V3495">
        <v>-5.9652799999999999E-2</v>
      </c>
      <c r="W3495">
        <v>4.6551689999999998E-3</v>
      </c>
      <c r="X3495">
        <v>0.99820830000000005</v>
      </c>
      <c r="Y3495">
        <v>-0.10982160000000001</v>
      </c>
      <c r="Z3495">
        <v>2.1652040000000001E-2</v>
      </c>
      <c r="AA3495">
        <v>0.99371549999999997</v>
      </c>
      <c r="AB3495">
        <v>14</v>
      </c>
      <c r="AC3495">
        <v>6.8489000000000102</v>
      </c>
      <c r="AD3495">
        <v>-1.109833007253</v>
      </c>
      <c r="AE3495">
        <v>0.21519999999998099</v>
      </c>
      <c r="AF3495">
        <v>-0.77635145994351795</v>
      </c>
      <c r="AG3495">
        <v>-1.109833007253</v>
      </c>
      <c r="AH3495">
        <v>6.6318334222373903</v>
      </c>
      <c r="AI3495">
        <v>99.437103189167004</v>
      </c>
      <c r="AJ3495">
        <v>96.676905248483706</v>
      </c>
      <c r="AK3495">
        <v>6.7687270172204199</v>
      </c>
      <c r="AL3495">
        <v>89.733277491677399</v>
      </c>
      <c r="AM3495">
        <v>93.419921183673196</v>
      </c>
      <c r="AN3495">
        <v>0.99999996866757301</v>
      </c>
    </row>
    <row r="3496" spans="1:40" x14ac:dyDescent="0.25">
      <c r="A3496" t="str">
        <f>"20190312160708688"</f>
        <v>20190312160708688</v>
      </c>
      <c r="B3496" t="str">
        <f>"1552378028678144"</f>
        <v>1552378028678144</v>
      </c>
      <c r="C3496" t="s">
        <v>40</v>
      </c>
      <c r="D3496">
        <v>6.4540899999999999</v>
      </c>
      <c r="E3496">
        <v>0.48409089999999999</v>
      </c>
      <c r="F3496" t="s">
        <v>66</v>
      </c>
      <c r="G3496">
        <v>-452.09070000000003</v>
      </c>
      <c r="H3496" s="1">
        <v>-4.4848489999999999E-7</v>
      </c>
      <c r="I3496">
        <v>215.17089999999999</v>
      </c>
      <c r="J3496">
        <v>-463.38600000000002</v>
      </c>
      <c r="K3496">
        <v>1.109826</v>
      </c>
      <c r="L3496">
        <v>214.89699999999999</v>
      </c>
      <c r="M3496">
        <v>0.99646829999999997</v>
      </c>
      <c r="N3496">
        <v>0</v>
      </c>
      <c r="O3496">
        <v>-8.3628739999999993E-2</v>
      </c>
      <c r="P3496">
        <v>0.999699</v>
      </c>
      <c r="Q3496">
        <v>-3.0004749999999998E-3</v>
      </c>
      <c r="R3496">
        <v>-2.4354170000000001E-2</v>
      </c>
      <c r="S3496">
        <v>3.0019529999999999</v>
      </c>
      <c r="T3496">
        <v>-0.29142210000000002</v>
      </c>
      <c r="U3496">
        <v>6.9274899999999903E-2</v>
      </c>
      <c r="V3496">
        <v>-5.9342970000000002E-2</v>
      </c>
      <c r="W3496">
        <v>4.4825569999999999E-3</v>
      </c>
      <c r="X3496">
        <v>0.99822759999999999</v>
      </c>
      <c r="Y3496">
        <v>-0.1057092</v>
      </c>
      <c r="Z3496">
        <v>1.32117E-2</v>
      </c>
      <c r="AA3496">
        <v>0.99430929999999995</v>
      </c>
      <c r="AB3496">
        <v>14</v>
      </c>
      <c r="AC3496">
        <v>11.2952999999999</v>
      </c>
      <c r="AD3496">
        <v>-1.1098264484848901</v>
      </c>
      <c r="AE3496">
        <v>0.273899999999969</v>
      </c>
      <c r="AF3496">
        <v>-1.2059436398932699</v>
      </c>
      <c r="AG3496">
        <v>-1.1098264484848901</v>
      </c>
      <c r="AH3496">
        <v>11.125479455503299</v>
      </c>
      <c r="AI3496">
        <v>95.663757769882693</v>
      </c>
      <c r="AJ3496">
        <v>96.186408624778807</v>
      </c>
      <c r="AK3496">
        <v>11.245546137168301</v>
      </c>
      <c r="AL3496">
        <v>89.743167545294398</v>
      </c>
      <c r="AM3496">
        <v>93.402134701845299</v>
      </c>
      <c r="AN3496">
        <v>1.00000001140371</v>
      </c>
    </row>
    <row r="3497" spans="1:40" x14ac:dyDescent="0.25">
      <c r="A3497" t="str">
        <f>"20190312160708711"</f>
        <v>20190312160708711</v>
      </c>
      <c r="B3497" t="str">
        <f>"1552378028698644"</f>
        <v>1552378028698644</v>
      </c>
      <c r="C3497" t="s">
        <v>40</v>
      </c>
      <c r="D3497">
        <v>6.5063529999999998</v>
      </c>
      <c r="E3497">
        <v>0.48420449999999998</v>
      </c>
      <c r="F3497" t="s">
        <v>66</v>
      </c>
      <c r="G3497">
        <v>-450.43920000000003</v>
      </c>
      <c r="H3497" s="1">
        <v>-1.3248800000000001E-6</v>
      </c>
      <c r="I3497">
        <v>215.11539999999999</v>
      </c>
      <c r="J3497">
        <v>-463.24349999999998</v>
      </c>
      <c r="K3497">
        <v>1.109815</v>
      </c>
      <c r="L3497">
        <v>214.88669999999999</v>
      </c>
      <c r="M3497">
        <v>0.99658590000000002</v>
      </c>
      <c r="N3497">
        <v>0</v>
      </c>
      <c r="O3497">
        <v>-8.2218860000000005E-2</v>
      </c>
      <c r="P3497">
        <v>0.99972240000000001</v>
      </c>
      <c r="Q3497">
        <v>-2.5222339999999999E-3</v>
      </c>
      <c r="R3497">
        <v>-2.3424199999999999E-2</v>
      </c>
      <c r="S3497">
        <v>3.0013730000000001</v>
      </c>
      <c r="T3497">
        <v>-0.25728519999999999</v>
      </c>
      <c r="U3497">
        <v>5.0628659999999999E-2</v>
      </c>
      <c r="V3497">
        <v>-5.8859710000000003E-2</v>
      </c>
      <c r="W3497">
        <v>4.9317320000000003E-3</v>
      </c>
      <c r="X3497">
        <v>0.99825410000000003</v>
      </c>
      <c r="Y3497">
        <v>-9.8356689999999997E-2</v>
      </c>
      <c r="Z3497">
        <v>1.123773E-2</v>
      </c>
      <c r="AA3497">
        <v>0.99508779999999997</v>
      </c>
      <c r="AB3497">
        <v>14</v>
      </c>
      <c r="AC3497">
        <v>12.8042999999999</v>
      </c>
      <c r="AD3497">
        <v>-1.1098163248799999</v>
      </c>
      <c r="AE3497">
        <v>0.22870000000000301</v>
      </c>
      <c r="AF3497">
        <v>-1.2711636863214999</v>
      </c>
      <c r="AG3497">
        <v>-1.1098163248799999</v>
      </c>
      <c r="AH3497">
        <v>12.6471592071349</v>
      </c>
      <c r="AI3497">
        <v>94.989972071801105</v>
      </c>
      <c r="AJ3497">
        <v>95.739512955540505</v>
      </c>
      <c r="AK3497">
        <v>12.75923921725</v>
      </c>
      <c r="AL3497">
        <v>89.717431430295505</v>
      </c>
      <c r="AM3497">
        <v>93.374404300197796</v>
      </c>
      <c r="AN3497">
        <v>1.0000000178043</v>
      </c>
    </row>
    <row r="3498" spans="1:40" x14ac:dyDescent="0.25">
      <c r="A3498" t="str">
        <f>"20190312160708733"</f>
        <v>20190312160708733</v>
      </c>
      <c r="B3498" t="str">
        <f>"1552378028728896"</f>
        <v>1552378028728896</v>
      </c>
      <c r="C3498" t="s">
        <v>40</v>
      </c>
      <c r="D3498">
        <v>6.3093779999999997</v>
      </c>
      <c r="E3498">
        <v>0.48496289999999997</v>
      </c>
      <c r="F3498" t="s">
        <v>66</v>
      </c>
      <c r="G3498">
        <v>-446.52519999999998</v>
      </c>
      <c r="H3498" s="1">
        <v>1.9107779999999998E-6</v>
      </c>
      <c r="I3498">
        <v>215.18379999999999</v>
      </c>
      <c r="J3498">
        <v>-463.09910000000002</v>
      </c>
      <c r="K3498">
        <v>1.1097999999999999</v>
      </c>
      <c r="L3498">
        <v>214.87639999999999</v>
      </c>
      <c r="M3498">
        <v>0.99670020000000004</v>
      </c>
      <c r="N3498">
        <v>0</v>
      </c>
      <c r="O3498">
        <v>-8.0824709999999994E-2</v>
      </c>
      <c r="P3498">
        <v>0.99974419999999997</v>
      </c>
      <c r="Q3498">
        <v>-1.4478920000000001E-3</v>
      </c>
      <c r="R3498">
        <v>-2.2572720000000001E-2</v>
      </c>
      <c r="S3498">
        <v>3.001617</v>
      </c>
      <c r="T3498">
        <v>-0.19925680000000001</v>
      </c>
      <c r="U3498">
        <v>5.3329469999999997E-2</v>
      </c>
      <c r="V3498">
        <v>-5.8314820000000003E-2</v>
      </c>
      <c r="W3498">
        <v>5.9716989999999996E-3</v>
      </c>
      <c r="X3498">
        <v>0.99828039999999996</v>
      </c>
      <c r="Y3498">
        <v>-9.8126630000000006E-2</v>
      </c>
      <c r="Z3498">
        <v>8.6089359999999993E-3</v>
      </c>
      <c r="AA3498">
        <v>0.99513669999999999</v>
      </c>
      <c r="AB3498">
        <v>14</v>
      </c>
      <c r="AC3498">
        <v>16.573899999999998</v>
      </c>
      <c r="AD3498">
        <v>-1.1097980892220001</v>
      </c>
      <c r="AE3498">
        <v>0.30740000000000101</v>
      </c>
      <c r="AF3498">
        <v>-1.6386676545002099</v>
      </c>
      <c r="AG3498">
        <v>-1.1097980892220001</v>
      </c>
      <c r="AH3498">
        <v>16.421223575493901</v>
      </c>
      <c r="AI3498">
        <v>93.847299792809693</v>
      </c>
      <c r="AJ3498">
        <v>95.698658327543399</v>
      </c>
      <c r="AK3498">
        <v>16.540056444797901</v>
      </c>
      <c r="AL3498">
        <v>89.657844823381794</v>
      </c>
      <c r="AM3498">
        <v>93.343149277444397</v>
      </c>
      <c r="AN3498">
        <v>1.0000000182223601</v>
      </c>
    </row>
    <row r="3499" spans="1:40" x14ac:dyDescent="0.25">
      <c r="A3499" t="str">
        <f>"20190312160708757"</f>
        <v>20190312160708757</v>
      </c>
      <c r="B3499" t="str">
        <f>"1552378028748416"</f>
        <v>1552378028748416</v>
      </c>
      <c r="C3499" t="s">
        <v>40</v>
      </c>
      <c r="D3499">
        <v>6.4701879999999896</v>
      </c>
      <c r="E3499">
        <v>0.4849292</v>
      </c>
      <c r="F3499" t="s">
        <v>66</v>
      </c>
      <c r="G3499">
        <v>-445.58440000000002</v>
      </c>
      <c r="H3499" s="1">
        <v>1.41089499999999E-6</v>
      </c>
      <c r="I3499">
        <v>215.16650000000001</v>
      </c>
      <c r="J3499">
        <v>-462.95010000000002</v>
      </c>
      <c r="K3499">
        <v>1.109774</v>
      </c>
      <c r="L3499">
        <v>214.86609999999999</v>
      </c>
      <c r="M3499">
        <v>0.99681280000000005</v>
      </c>
      <c r="N3499">
        <v>0</v>
      </c>
      <c r="O3499">
        <v>-7.9427559999999994E-2</v>
      </c>
      <c r="P3499">
        <v>0.99977959999999999</v>
      </c>
      <c r="Q3499">
        <v>-9.8830829999999991E-4</v>
      </c>
      <c r="R3499">
        <v>-2.0975540000000001E-2</v>
      </c>
      <c r="S3499">
        <v>3.001617</v>
      </c>
      <c r="T3499">
        <v>-0.19019440000000001</v>
      </c>
      <c r="U3499">
        <v>4.9713130000000001E-2</v>
      </c>
      <c r="V3499">
        <v>-5.8510300000000001E-2</v>
      </c>
      <c r="W3499">
        <v>6.3908309999999996E-3</v>
      </c>
      <c r="X3499">
        <v>0.99826630000000005</v>
      </c>
      <c r="Y3499">
        <v>-9.5575670000000001E-2</v>
      </c>
      <c r="Z3499">
        <v>8.0492299999999992E-3</v>
      </c>
      <c r="AA3499">
        <v>0.99538959999999999</v>
      </c>
      <c r="AB3499">
        <v>14</v>
      </c>
      <c r="AC3499">
        <v>17.3657</v>
      </c>
      <c r="AD3499">
        <v>-1.1097725891050001</v>
      </c>
      <c r="AE3499">
        <v>0.30040000000002398</v>
      </c>
      <c r="AF3499">
        <v>-1.6719780560245401</v>
      </c>
      <c r="AG3499">
        <v>-1.1097725891050001</v>
      </c>
      <c r="AH3499">
        <v>17.216680250272599</v>
      </c>
      <c r="AI3499">
        <v>93.670912702057905</v>
      </c>
      <c r="AJ3499">
        <v>95.5468196834357</v>
      </c>
      <c r="AK3499">
        <v>17.333239300819798</v>
      </c>
      <c r="AL3499">
        <v>89.633829845883795</v>
      </c>
      <c r="AM3499">
        <v>93.354377737336904</v>
      </c>
      <c r="AN3499">
        <v>0.99999995182132395</v>
      </c>
    </row>
    <row r="3500" spans="1:40" x14ac:dyDescent="0.25">
      <c r="A3500" t="str">
        <f>"20190312160708778"</f>
        <v>20190312160708778</v>
      </c>
      <c r="B3500" t="str">
        <f>"1552378028768913"</f>
        <v>1552378028768913</v>
      </c>
      <c r="C3500" t="s">
        <v>40</v>
      </c>
      <c r="D3500">
        <v>6.4384959999999998</v>
      </c>
      <c r="E3500">
        <v>0.48502679999999998</v>
      </c>
      <c r="F3500" t="s">
        <v>66</v>
      </c>
      <c r="G3500">
        <v>-445.03019999999998</v>
      </c>
      <c r="H3500" s="1">
        <v>1.1148290000000001E-6</v>
      </c>
      <c r="I3500">
        <v>215.19309999999999</v>
      </c>
      <c r="J3500">
        <v>-462.80650000000003</v>
      </c>
      <c r="K3500">
        <v>1.109748</v>
      </c>
      <c r="L3500">
        <v>214.8562</v>
      </c>
      <c r="M3500">
        <v>0.99691680000000005</v>
      </c>
      <c r="N3500">
        <v>0</v>
      </c>
      <c r="O3500">
        <v>-7.8115989999999996E-2</v>
      </c>
      <c r="P3500">
        <v>0.99980849999999999</v>
      </c>
      <c r="Q3500">
        <v>-8.131522E-4</v>
      </c>
      <c r="R3500">
        <v>-1.9550499999999998E-2</v>
      </c>
      <c r="S3500">
        <v>3.0016479999999999</v>
      </c>
      <c r="T3500">
        <v>-0.18589069999999999</v>
      </c>
      <c r="U3500">
        <v>5.4779050000000003E-2</v>
      </c>
      <c r="V3500">
        <v>-5.8619739999999997E-2</v>
      </c>
      <c r="W3500">
        <v>6.522435E-3</v>
      </c>
      <c r="X3500">
        <v>0.99825909999999995</v>
      </c>
      <c r="Y3500">
        <v>-9.5962710000000007E-2</v>
      </c>
      <c r="Z3500">
        <v>7.7983219999999999E-3</v>
      </c>
      <c r="AA3500">
        <v>0.99535439999999997</v>
      </c>
      <c r="AB3500">
        <v>15</v>
      </c>
      <c r="AC3500">
        <v>17.776299999999999</v>
      </c>
      <c r="AD3500">
        <v>-1.109746885171</v>
      </c>
      <c r="AE3500">
        <v>0.33689999999998499</v>
      </c>
      <c r="AF3500">
        <v>-1.7178292713663199</v>
      </c>
      <c r="AG3500">
        <v>-1.109746885171</v>
      </c>
      <c r="AH3500">
        <v>17.626986386854298</v>
      </c>
      <c r="AI3500">
        <v>93.585489626627805</v>
      </c>
      <c r="AJ3500">
        <v>95.566155065093795</v>
      </c>
      <c r="AK3500">
        <v>17.745228221610901</v>
      </c>
      <c r="AL3500">
        <v>89.626289361323302</v>
      </c>
      <c r="AM3500">
        <v>93.360661715761495</v>
      </c>
      <c r="AN3500">
        <v>1.0000000234044</v>
      </c>
    </row>
    <row r="3501" spans="1:40" x14ac:dyDescent="0.25">
      <c r="A3501" t="str">
        <f>"20190312160708801"</f>
        <v>20190312160708801</v>
      </c>
      <c r="B3501" t="str">
        <f>"1552378028788437"</f>
        <v>1552378028788437</v>
      </c>
      <c r="C3501" t="s">
        <v>40</v>
      </c>
      <c r="D3501">
        <v>6.0575359999999998</v>
      </c>
      <c r="E3501">
        <v>0.48539949999999998</v>
      </c>
      <c r="F3501" t="s">
        <v>66</v>
      </c>
      <c r="G3501">
        <v>-445.51929999999999</v>
      </c>
      <c r="H3501" s="1">
        <v>1.375216E-6</v>
      </c>
      <c r="I3501">
        <v>215.18979999999999</v>
      </c>
      <c r="J3501">
        <v>-462.66250000000002</v>
      </c>
      <c r="K3501">
        <v>1.109731</v>
      </c>
      <c r="L3501">
        <v>214.84639999999999</v>
      </c>
      <c r="M3501">
        <v>0.99701709999999999</v>
      </c>
      <c r="N3501">
        <v>0</v>
      </c>
      <c r="O3501">
        <v>-7.6828339999999995E-2</v>
      </c>
      <c r="P3501">
        <v>0.99983319999999998</v>
      </c>
      <c r="Q3501">
        <v>-1.094243E-3</v>
      </c>
      <c r="R3501">
        <v>-1.823025E-2</v>
      </c>
      <c r="S3501">
        <v>3.0015559999999999</v>
      </c>
      <c r="T3501">
        <v>-0.19268299999999999</v>
      </c>
      <c r="U3501">
        <v>5.7937620000000002E-2</v>
      </c>
      <c r="V3501">
        <v>-5.8647949999999997E-2</v>
      </c>
      <c r="W3501">
        <v>6.194855E-3</v>
      </c>
      <c r="X3501">
        <v>0.99825949999999997</v>
      </c>
      <c r="Y3501">
        <v>-9.5703109999999994E-2</v>
      </c>
      <c r="Z3501">
        <v>7.9921709999999993E-3</v>
      </c>
      <c r="AA3501">
        <v>0.99537779999999998</v>
      </c>
      <c r="AB3501">
        <v>15</v>
      </c>
      <c r="AC3501">
        <v>17.1432</v>
      </c>
      <c r="AD3501">
        <v>-1.1097296247840001</v>
      </c>
      <c r="AE3501">
        <v>0.34340000000000198</v>
      </c>
      <c r="AF3501">
        <v>-1.65258220885582</v>
      </c>
      <c r="AG3501">
        <v>-1.1097296247840001</v>
      </c>
      <c r="AH3501">
        <v>16.994957817923801</v>
      </c>
      <c r="AI3501">
        <v>93.718482814153703</v>
      </c>
      <c r="AJ3501">
        <v>95.553955072539296</v>
      </c>
      <c r="AK3501">
        <v>17.111140202516001</v>
      </c>
      <c r="AL3501">
        <v>89.6450586813623</v>
      </c>
      <c r="AM3501">
        <v>93.362273937596797</v>
      </c>
      <c r="AN3501">
        <v>0.99999999380396098</v>
      </c>
    </row>
    <row r="3502" spans="1:40" x14ac:dyDescent="0.25">
      <c r="A3502" t="str">
        <f>"20190312160708824"</f>
        <v>20190312160708824</v>
      </c>
      <c r="B3502" t="str">
        <f>"1552378028818687"</f>
        <v>1552378028818687</v>
      </c>
      <c r="C3502" t="s">
        <v>40</v>
      </c>
      <c r="D3502">
        <v>6.4472100000000001</v>
      </c>
      <c r="E3502">
        <v>0.48515580000000003</v>
      </c>
      <c r="F3502" t="s">
        <v>66</v>
      </c>
      <c r="G3502">
        <v>-445.76400000000001</v>
      </c>
      <c r="H3502" s="1">
        <v>1.506013E-6</v>
      </c>
      <c r="I3502">
        <v>215.17750000000001</v>
      </c>
      <c r="J3502">
        <v>-462.50830000000002</v>
      </c>
      <c r="K3502">
        <v>1.1097189999999999</v>
      </c>
      <c r="L3502">
        <v>214.83609999999999</v>
      </c>
      <c r="M3502">
        <v>0.99712040000000002</v>
      </c>
      <c r="N3502">
        <v>0</v>
      </c>
      <c r="O3502">
        <v>-7.5482250000000001E-2</v>
      </c>
      <c r="P3502">
        <v>0.99985250000000003</v>
      </c>
      <c r="Q3502">
        <v>-7.8492049999999999E-4</v>
      </c>
      <c r="R3502">
        <v>-1.7172110000000001E-2</v>
      </c>
      <c r="S3502">
        <v>3.001312</v>
      </c>
      <c r="T3502">
        <v>-0.19709769999999999</v>
      </c>
      <c r="U3502">
        <v>5.8807369999999998E-2</v>
      </c>
      <c r="V3502">
        <v>-5.8356999999999999E-2</v>
      </c>
      <c r="W3502">
        <v>6.4566329999999998E-3</v>
      </c>
      <c r="X3502">
        <v>0.99827489999999997</v>
      </c>
      <c r="Y3502">
        <v>-9.4637810000000003E-2</v>
      </c>
      <c r="Z3502">
        <v>8.0524729999999992E-3</v>
      </c>
      <c r="AA3502">
        <v>0.99547920000000001</v>
      </c>
      <c r="AB3502">
        <v>15</v>
      </c>
      <c r="AC3502">
        <v>16.744299999999999</v>
      </c>
      <c r="AD3502">
        <v>-1.109717493987</v>
      </c>
      <c r="AE3502">
        <v>0.34140000000002102</v>
      </c>
      <c r="AF3502">
        <v>-1.5973440495800699</v>
      </c>
      <c r="AG3502">
        <v>-1.109717493987</v>
      </c>
      <c r="AH3502">
        <v>16.597885659955502</v>
      </c>
      <c r="AI3502">
        <v>93.807504683052201</v>
      </c>
      <c r="AJ3502">
        <v>95.497090822096297</v>
      </c>
      <c r="AK3502">
        <v>16.711456827881499</v>
      </c>
      <c r="AL3502">
        <v>89.630059609504798</v>
      </c>
      <c r="AM3502">
        <v>93.345580328139107</v>
      </c>
      <c r="AN3502">
        <v>1.00000000176435</v>
      </c>
    </row>
    <row r="3503" spans="1:40" x14ac:dyDescent="0.25">
      <c r="A3503" t="str">
        <f>"20190312160708846"</f>
        <v>20190312160708846</v>
      </c>
      <c r="B3503" t="str">
        <f>"1552378028838208"</f>
        <v>1552378028838208</v>
      </c>
      <c r="C3503" t="s">
        <v>40</v>
      </c>
      <c r="D3503">
        <v>6.344252</v>
      </c>
      <c r="E3503">
        <v>0.48514289999999999</v>
      </c>
      <c r="F3503" t="s">
        <v>66</v>
      </c>
      <c r="G3503">
        <v>-445.0301</v>
      </c>
      <c r="H3503" s="1">
        <v>1.1141029999999999E-6</v>
      </c>
      <c r="I3503">
        <v>215.20779999999999</v>
      </c>
      <c r="J3503">
        <v>-462.35939999999999</v>
      </c>
      <c r="K3503">
        <v>1.1097129999999999</v>
      </c>
      <c r="L3503">
        <v>214.8263</v>
      </c>
      <c r="M3503">
        <v>0.99721590000000004</v>
      </c>
      <c r="N3503">
        <v>0</v>
      </c>
      <c r="O3503">
        <v>-7.4212470000000003E-2</v>
      </c>
      <c r="P3503">
        <v>0.99987210000000004</v>
      </c>
      <c r="Q3503">
        <v>-2.6304179999999999E-4</v>
      </c>
      <c r="R3503">
        <v>-1.599561E-2</v>
      </c>
      <c r="S3503">
        <v>3.001404</v>
      </c>
      <c r="T3503">
        <v>-0.19056300000000001</v>
      </c>
      <c r="U3503">
        <v>6.3827510000000004E-2</v>
      </c>
      <c r="V3503">
        <v>-5.8261140000000003E-2</v>
      </c>
      <c r="W3503">
        <v>6.9358429999999997E-3</v>
      </c>
      <c r="X3503">
        <v>0.99827730000000003</v>
      </c>
      <c r="Y3503">
        <v>-9.5059480000000002E-2</v>
      </c>
      <c r="Z3503">
        <v>7.7187239999999997E-3</v>
      </c>
      <c r="AA3503">
        <v>0.99544169999999998</v>
      </c>
      <c r="AB3503">
        <v>15</v>
      </c>
      <c r="AC3503">
        <v>17.3292999999999</v>
      </c>
      <c r="AD3503">
        <v>-1.1097118858970001</v>
      </c>
      <c r="AE3503">
        <v>0.38149999999998802</v>
      </c>
      <c r="AF3503">
        <v>-1.6597293887792599</v>
      </c>
      <c r="AG3503">
        <v>-1.1097118858970001</v>
      </c>
      <c r="AH3503">
        <v>17.182770965514202</v>
      </c>
      <c r="AI3503">
        <v>93.678119983620405</v>
      </c>
      <c r="AJ3503">
        <v>95.517234826419596</v>
      </c>
      <c r="AK3503">
        <v>17.298375073023401</v>
      </c>
      <c r="AL3503">
        <v>89.602602289259494</v>
      </c>
      <c r="AM3503">
        <v>93.340089158502394</v>
      </c>
      <c r="AN3503">
        <v>1.00000001702375</v>
      </c>
    </row>
    <row r="3504" spans="1:40" x14ac:dyDescent="0.25">
      <c r="A3504" t="str">
        <f>"20190312160708868"</f>
        <v>20190312160708868</v>
      </c>
      <c r="B3504" t="str">
        <f>"1552378028858704"</f>
        <v>1552378028858704</v>
      </c>
      <c r="C3504" t="s">
        <v>40</v>
      </c>
      <c r="D3504">
        <v>6.3874440000000003</v>
      </c>
      <c r="E3504">
        <v>0.48492730000000001</v>
      </c>
      <c r="F3504" t="s">
        <v>66</v>
      </c>
      <c r="G3504">
        <v>-444.39530000000002</v>
      </c>
      <c r="H3504" s="1">
        <v>7.7529390000000001E-7</v>
      </c>
      <c r="I3504">
        <v>215.23099999999999</v>
      </c>
      <c r="J3504">
        <v>-462.21370000000002</v>
      </c>
      <c r="K3504">
        <v>1.1097060000000001</v>
      </c>
      <c r="L3504">
        <v>214.8169</v>
      </c>
      <c r="M3504">
        <v>0.99730580000000002</v>
      </c>
      <c r="N3504">
        <v>0</v>
      </c>
      <c r="O3504">
        <v>-7.3001830000000004E-2</v>
      </c>
      <c r="P3504">
        <v>0.99988900000000003</v>
      </c>
      <c r="Q3504" s="1">
        <v>7.0466660000000005E-5</v>
      </c>
      <c r="R3504">
        <v>-1.4902779999999999E-2</v>
      </c>
      <c r="S3504">
        <v>3.0013730000000001</v>
      </c>
      <c r="T3504">
        <v>-0.1854066</v>
      </c>
      <c r="U3504">
        <v>6.7611690000000002E-2</v>
      </c>
      <c r="V3504">
        <v>-5.8140110000000002E-2</v>
      </c>
      <c r="W3504">
        <v>7.2309979999999998E-3</v>
      </c>
      <c r="X3504">
        <v>0.99828229999999996</v>
      </c>
      <c r="Y3504">
        <v>-9.5126069999999993E-2</v>
      </c>
      <c r="Z3504">
        <v>7.4377610000000002E-3</v>
      </c>
      <c r="AA3504">
        <v>0.99543740000000003</v>
      </c>
      <c r="AB3504">
        <v>15</v>
      </c>
      <c r="AC3504">
        <v>17.818399999999901</v>
      </c>
      <c r="AD3504">
        <v>-1.1097052247060999</v>
      </c>
      <c r="AE3504">
        <v>0.41409999999998998</v>
      </c>
      <c r="AF3504">
        <v>-1.7071866277544501</v>
      </c>
      <c r="AG3504">
        <v>-1.1097052247060999</v>
      </c>
      <c r="AH3504">
        <v>17.672117229312899</v>
      </c>
      <c r="AI3504">
        <v>93.576514760942203</v>
      </c>
      <c r="AJ3504">
        <v>95.517845097589202</v>
      </c>
      <c r="AK3504">
        <v>17.789031992615602</v>
      </c>
      <c r="AL3504">
        <v>89.585690745190007</v>
      </c>
      <c r="AM3504">
        <v>93.333149557937105</v>
      </c>
      <c r="AN3504">
        <v>1.0000000551080801</v>
      </c>
    </row>
    <row r="3505" spans="1:40" x14ac:dyDescent="0.25">
      <c r="A3505" t="str">
        <f>"20190312160708889"</f>
        <v>20190312160708889</v>
      </c>
      <c r="B3505" t="str">
        <f>"1552378028878224"</f>
        <v>1552378028878224</v>
      </c>
      <c r="C3505" t="s">
        <v>40</v>
      </c>
      <c r="D3505">
        <v>6.3876280000000003</v>
      </c>
      <c r="E3505">
        <v>0.48490719999999998</v>
      </c>
      <c r="F3505" t="s">
        <v>66</v>
      </c>
      <c r="G3505">
        <v>-443.78480000000002</v>
      </c>
      <c r="H3505" s="1">
        <v>4.4910709999999999E-7</v>
      </c>
      <c r="I3505">
        <v>215.2612</v>
      </c>
      <c r="J3505">
        <v>-462.06619999999998</v>
      </c>
      <c r="K3505">
        <v>1.1096889999999999</v>
      </c>
      <c r="L3505">
        <v>214.8075</v>
      </c>
      <c r="M3505">
        <v>0.99739259999999996</v>
      </c>
      <c r="N3505">
        <v>0</v>
      </c>
      <c r="O3505">
        <v>-7.1809220000000007E-2</v>
      </c>
      <c r="P3505">
        <v>0.99990429999999997</v>
      </c>
      <c r="Q3505">
        <v>4.5228100000000002E-4</v>
      </c>
      <c r="R3505">
        <v>-1.384374E-2</v>
      </c>
      <c r="S3505">
        <v>3.001404</v>
      </c>
      <c r="T3505">
        <v>-0.18073120000000001</v>
      </c>
      <c r="U3505">
        <v>7.2357179999999993E-2</v>
      </c>
      <c r="V3505">
        <v>-5.8004769999999997E-2</v>
      </c>
      <c r="W3505">
        <v>7.5733579999999997E-3</v>
      </c>
      <c r="X3505">
        <v>0.99828760000000005</v>
      </c>
      <c r="Y3505">
        <v>-9.5525879999999994E-2</v>
      </c>
      <c r="Z3505">
        <v>7.190798E-3</v>
      </c>
      <c r="AA3505">
        <v>0.99540099999999998</v>
      </c>
      <c r="AB3505">
        <v>15</v>
      </c>
      <c r="AC3505">
        <v>18.281399999999898</v>
      </c>
      <c r="AD3505">
        <v>-1.1096885508929</v>
      </c>
      <c r="AE3505">
        <v>0.45369999999999699</v>
      </c>
      <c r="AF3505">
        <v>-1.75885890238453</v>
      </c>
      <c r="AG3505">
        <v>-1.1096885508929</v>
      </c>
      <c r="AH3505">
        <v>18.134843928652</v>
      </c>
      <c r="AI3505">
        <v>93.485304300839999</v>
      </c>
      <c r="AJ3505">
        <v>95.539665992350095</v>
      </c>
      <c r="AK3505">
        <v>18.253699834144399</v>
      </c>
      <c r="AL3505">
        <v>89.5660744107536</v>
      </c>
      <c r="AM3505">
        <v>93.325390386814504</v>
      </c>
      <c r="AN3505">
        <v>1.0000000207039501</v>
      </c>
    </row>
    <row r="3506" spans="1:40" x14ac:dyDescent="0.25">
      <c r="A3506" t="str">
        <f>"20190312160708911"</f>
        <v>20190312160708911</v>
      </c>
      <c r="B3506" t="str">
        <f>"1552378028908481"</f>
        <v>1552378028908481</v>
      </c>
      <c r="C3506" t="s">
        <v>40</v>
      </c>
      <c r="D3506">
        <v>6.5064549999999999</v>
      </c>
      <c r="E3506">
        <v>0.4848595</v>
      </c>
      <c r="F3506" t="s">
        <v>66</v>
      </c>
      <c r="G3506">
        <v>-443.26229999999998</v>
      </c>
      <c r="H3506" s="1">
        <v>1.70120499999999E-7</v>
      </c>
      <c r="I3506">
        <v>215.2825</v>
      </c>
      <c r="J3506">
        <v>-461.92129999999997</v>
      </c>
      <c r="K3506">
        <v>1.109672</v>
      </c>
      <c r="L3506">
        <v>214.79839999999999</v>
      </c>
      <c r="M3506">
        <v>0.99747399999999997</v>
      </c>
      <c r="N3506">
        <v>0</v>
      </c>
      <c r="O3506">
        <v>-7.0672780000000004E-2</v>
      </c>
      <c r="P3506">
        <v>0.99992080000000005</v>
      </c>
      <c r="Q3506">
        <v>7.0762539999999995E-4</v>
      </c>
      <c r="R3506">
        <v>-1.256869E-2</v>
      </c>
      <c r="S3506">
        <v>3.001404</v>
      </c>
      <c r="T3506">
        <v>-0.177124</v>
      </c>
      <c r="U3506">
        <v>7.5805659999999997E-2</v>
      </c>
      <c r="V3506">
        <v>-5.8139389999999999E-2</v>
      </c>
      <c r="W3506">
        <v>7.7907899999999997E-3</v>
      </c>
      <c r="X3506">
        <v>0.99827809999999995</v>
      </c>
      <c r="Y3506">
        <v>-9.5548610000000006E-2</v>
      </c>
      <c r="Z3506">
        <v>6.9812429999999998E-3</v>
      </c>
      <c r="AA3506">
        <v>0.99540030000000002</v>
      </c>
      <c r="AB3506">
        <v>15</v>
      </c>
      <c r="AC3506">
        <v>18.658999999999899</v>
      </c>
      <c r="AD3506">
        <v>-1.1096718298795001</v>
      </c>
      <c r="AE3506">
        <v>0.48410000000001202</v>
      </c>
      <c r="AF3506">
        <v>-1.79526125017201</v>
      </c>
      <c r="AG3506">
        <v>-1.1096718298795001</v>
      </c>
      <c r="AH3506">
        <v>18.512696266806302</v>
      </c>
      <c r="AI3506">
        <v>93.414290732380394</v>
      </c>
      <c r="AJ3506">
        <v>95.538915638676301</v>
      </c>
      <c r="AK3506">
        <v>18.632612742002099</v>
      </c>
      <c r="AL3506">
        <v>89.553616109363404</v>
      </c>
      <c r="AM3506">
        <v>93.333122365270398</v>
      </c>
      <c r="AN3506">
        <v>1.000000025009</v>
      </c>
    </row>
    <row r="3507" spans="1:40" x14ac:dyDescent="0.25">
      <c r="A3507" t="str">
        <f>"20190312160708936"</f>
        <v>20190312160708936</v>
      </c>
      <c r="B3507" t="str">
        <f>"1552378028928977"</f>
        <v>1552378028928977</v>
      </c>
      <c r="C3507" t="s">
        <v>40</v>
      </c>
      <c r="D3507">
        <v>6.6192099999999998</v>
      </c>
      <c r="E3507">
        <v>0.48476920000000001</v>
      </c>
      <c r="F3507" t="s">
        <v>66</v>
      </c>
      <c r="G3507">
        <v>-442.44130000000001</v>
      </c>
      <c r="H3507" s="1">
        <v>-2.6824669999999998E-7</v>
      </c>
      <c r="I3507">
        <v>215.31620000000001</v>
      </c>
      <c r="J3507">
        <v>-461.75540000000001</v>
      </c>
      <c r="K3507">
        <v>1.109653</v>
      </c>
      <c r="L3507">
        <v>214.78819999999999</v>
      </c>
      <c r="M3507">
        <v>0.99756219999999995</v>
      </c>
      <c r="N3507">
        <v>0</v>
      </c>
      <c r="O3507">
        <v>-6.9421109999999994E-2</v>
      </c>
      <c r="P3507">
        <v>0.99993600000000005</v>
      </c>
      <c r="Q3507">
        <v>1.348045E-3</v>
      </c>
      <c r="R3507">
        <v>-1.124179E-2</v>
      </c>
      <c r="S3507">
        <v>3.0013429999999999</v>
      </c>
      <c r="T3507">
        <v>-0.1709706</v>
      </c>
      <c r="U3507">
        <v>7.9772949999999995E-2</v>
      </c>
      <c r="V3507">
        <v>-5.8211939999999997E-2</v>
      </c>
      <c r="W3507">
        <v>8.3882469999999997E-3</v>
      </c>
      <c r="X3507">
        <v>0.99826899999999996</v>
      </c>
      <c r="Y3507">
        <v>-9.5636550000000001E-2</v>
      </c>
      <c r="Z3507">
        <v>6.6705430000000001E-3</v>
      </c>
      <c r="AA3507">
        <v>0.995394</v>
      </c>
      <c r="AB3507">
        <v>15</v>
      </c>
      <c r="AC3507">
        <v>19.3141</v>
      </c>
      <c r="AD3507">
        <v>-1.1096532682467</v>
      </c>
      <c r="AE3507">
        <v>0.52800000000002001</v>
      </c>
      <c r="AF3507">
        <v>-1.86142643542206</v>
      </c>
      <c r="AG3507">
        <v>-1.1096532682467</v>
      </c>
      <c r="AH3507">
        <v>19.167623862143099</v>
      </c>
      <c r="AI3507">
        <v>93.297792975849205</v>
      </c>
      <c r="AJ3507">
        <v>95.546774492933807</v>
      </c>
      <c r="AK3507">
        <v>19.289739326149999</v>
      </c>
      <c r="AL3507">
        <v>89.519383210384504</v>
      </c>
      <c r="AM3507">
        <v>93.337302603705496</v>
      </c>
      <c r="AN3507">
        <v>0.99999999450364796</v>
      </c>
    </row>
    <row r="3508" spans="1:40" x14ac:dyDescent="0.25">
      <c r="A3508" t="str">
        <f>"20190312160708956"</f>
        <v>20190312160708956</v>
      </c>
      <c r="B3508" t="str">
        <f>"1552378028948496"</f>
        <v>1552378028948496</v>
      </c>
      <c r="C3508" t="s">
        <v>40</v>
      </c>
      <c r="D3508">
        <v>6.406803</v>
      </c>
      <c r="E3508">
        <v>0.48476469999999999</v>
      </c>
      <c r="F3508" t="s">
        <v>66</v>
      </c>
      <c r="G3508">
        <v>-441.726</v>
      </c>
      <c r="H3508" s="1">
        <v>-6.505393E-7</v>
      </c>
      <c r="I3508">
        <v>215.35390000000001</v>
      </c>
      <c r="J3508">
        <v>-461.61540000000002</v>
      </c>
      <c r="K3508">
        <v>1.1096360000000001</v>
      </c>
      <c r="L3508">
        <v>214.77959999999999</v>
      </c>
      <c r="M3508">
        <v>0.99763210000000002</v>
      </c>
      <c r="N3508">
        <v>0</v>
      </c>
      <c r="O3508">
        <v>-6.8411689999999997E-2</v>
      </c>
      <c r="P3508">
        <v>0.99993960000000004</v>
      </c>
      <c r="Q3508">
        <v>2.8496120000000001E-3</v>
      </c>
      <c r="R3508">
        <v>-1.061809E-2</v>
      </c>
      <c r="S3508">
        <v>3.0013730000000001</v>
      </c>
      <c r="T3508">
        <v>-0.16627999999999901</v>
      </c>
      <c r="U3508">
        <v>8.4762569999999995E-2</v>
      </c>
      <c r="V3508">
        <v>-5.7825120000000001E-2</v>
      </c>
      <c r="W3508">
        <v>9.8535059999999997E-3</v>
      </c>
      <c r="X3508">
        <v>0.99827809999999995</v>
      </c>
      <c r="Y3508">
        <v>-9.6297610000000006E-2</v>
      </c>
      <c r="Z3508">
        <v>6.4501599999999999E-3</v>
      </c>
      <c r="AA3508">
        <v>0.99533170000000004</v>
      </c>
      <c r="AB3508">
        <v>15</v>
      </c>
      <c r="AC3508">
        <v>19.889399999999998</v>
      </c>
      <c r="AD3508">
        <v>-1.1096366505393001</v>
      </c>
      <c r="AE3508">
        <v>0.57430000000002202</v>
      </c>
      <c r="AF3508">
        <v>-1.9276609877633599</v>
      </c>
      <c r="AG3508">
        <v>-1.1096366505393001</v>
      </c>
      <c r="AH3508">
        <v>19.7421130931336</v>
      </c>
      <c r="AI3508">
        <v>93.201820006712794</v>
      </c>
      <c r="AJ3508">
        <v>95.576800898963299</v>
      </c>
      <c r="AK3508">
        <v>19.867012854529602</v>
      </c>
      <c r="AL3508">
        <v>89.435426556942602</v>
      </c>
      <c r="AM3508">
        <v>93.315145607670303</v>
      </c>
      <c r="AN3508">
        <v>1.0000000005115499</v>
      </c>
    </row>
    <row r="3509" spans="1:40" x14ac:dyDescent="0.25">
      <c r="A3509" t="str">
        <f>"20190312160708993"</f>
        <v>20190312160708993</v>
      </c>
      <c r="B3509" t="str">
        <f>"1552378028988512"</f>
        <v>1552378028988512</v>
      </c>
      <c r="C3509" t="s">
        <v>40</v>
      </c>
      <c r="D3509">
        <v>6.6382669999999999</v>
      </c>
      <c r="E3509">
        <v>0.48482700000000001</v>
      </c>
      <c r="F3509" t="s">
        <v>66</v>
      </c>
      <c r="G3509">
        <v>-440.63670000000002</v>
      </c>
      <c r="H3509" s="1">
        <v>-1.2315800000000001E-6</v>
      </c>
      <c r="I3509">
        <v>215.3854</v>
      </c>
      <c r="J3509">
        <v>-461.36579999999998</v>
      </c>
      <c r="K3509">
        <v>1.109604</v>
      </c>
      <c r="L3509">
        <v>214.7646</v>
      </c>
      <c r="M3509">
        <v>0.99774819999999997</v>
      </c>
      <c r="N3509">
        <v>0</v>
      </c>
      <c r="O3509">
        <v>-6.6703830000000006E-2</v>
      </c>
      <c r="P3509">
        <v>0.9999403</v>
      </c>
      <c r="Q3509">
        <v>4.4131309999999998E-3</v>
      </c>
      <c r="R3509">
        <v>-1.000617E-2</v>
      </c>
      <c r="S3509">
        <v>3.0015559999999999</v>
      </c>
      <c r="T3509">
        <v>-0.158763299999999</v>
      </c>
      <c r="U3509">
        <v>8.6669919999999998E-2</v>
      </c>
      <c r="V3509">
        <v>-5.6727439999999997E-2</v>
      </c>
      <c r="W3509">
        <v>1.1356410000000001E-2</v>
      </c>
      <c r="X3509">
        <v>0.99832509999999997</v>
      </c>
      <c r="Y3509">
        <v>-9.5250139999999997E-2</v>
      </c>
      <c r="Z3509">
        <v>6.0407610000000004E-3</v>
      </c>
      <c r="AA3509">
        <v>0.99543510000000002</v>
      </c>
      <c r="AB3509">
        <v>15</v>
      </c>
      <c r="AC3509">
        <v>20.729099999999899</v>
      </c>
      <c r="AD3509">
        <v>-1.10960523158</v>
      </c>
      <c r="AE3509">
        <v>0.62080000000000202</v>
      </c>
      <c r="AF3509">
        <v>-1.9964462568054999</v>
      </c>
      <c r="AG3509">
        <v>-1.10960523158</v>
      </c>
      <c r="AH3509">
        <v>20.5825962447548</v>
      </c>
      <c r="AI3509">
        <v>93.071434329503703</v>
      </c>
      <c r="AJ3509">
        <v>95.540176739037605</v>
      </c>
      <c r="AK3509">
        <v>20.7089422617587</v>
      </c>
      <c r="AL3509">
        <v>89.349311641856403</v>
      </c>
      <c r="AM3509">
        <v>93.252198625246507</v>
      </c>
      <c r="AN3509">
        <v>0.99999998789352496</v>
      </c>
    </row>
    <row r="3510" spans="1:40" x14ac:dyDescent="0.25">
      <c r="A3510" t="str">
        <f>"20190312160709011"</f>
        <v>20190312160709011</v>
      </c>
      <c r="B3510" t="str">
        <f>"1552378029009008"</f>
        <v>1552378029009008</v>
      </c>
      <c r="C3510" t="s">
        <v>40</v>
      </c>
      <c r="D3510">
        <v>6.4667899999999996</v>
      </c>
      <c r="E3510">
        <v>0.48486240000000003</v>
      </c>
      <c r="F3510" t="s">
        <v>77</v>
      </c>
      <c r="G3510">
        <v>-439.07229999999998</v>
      </c>
      <c r="H3510" s="1">
        <v>6.1701880000000003E-6</v>
      </c>
      <c r="I3510">
        <v>215.41679999999999</v>
      </c>
      <c r="J3510">
        <v>-461.23099999999999</v>
      </c>
      <c r="K3510">
        <v>1.1095839999999999</v>
      </c>
      <c r="L3510">
        <v>214.7567</v>
      </c>
      <c r="M3510">
        <v>0.99780639999999998</v>
      </c>
      <c r="N3510">
        <v>0</v>
      </c>
      <c r="O3510">
        <v>-6.5834110000000001E-2</v>
      </c>
      <c r="P3510">
        <v>0.99994439999999996</v>
      </c>
      <c r="Q3510">
        <v>4.905385E-3</v>
      </c>
      <c r="R3510">
        <v>-9.3418330000000008E-3</v>
      </c>
      <c r="S3510">
        <v>3.0017399999999999</v>
      </c>
      <c r="T3510">
        <v>-0.14940309999999901</v>
      </c>
      <c r="U3510">
        <v>8.7814329999999996E-2</v>
      </c>
      <c r="V3510">
        <v>-5.6520529999999999E-2</v>
      </c>
      <c r="W3510">
        <v>1.181987E-2</v>
      </c>
      <c r="X3510">
        <v>0.99833150000000004</v>
      </c>
      <c r="Y3510">
        <v>-9.4787399999999994E-2</v>
      </c>
      <c r="Z3510">
        <v>5.6299940000000001E-3</v>
      </c>
      <c r="AA3510">
        <v>0.99548159999999997</v>
      </c>
      <c r="AB3510">
        <v>15</v>
      </c>
      <c r="AC3510">
        <v>22.1587</v>
      </c>
      <c r="AD3510">
        <v>-1.10957782981199</v>
      </c>
      <c r="AE3510">
        <v>0.66009999999999902</v>
      </c>
      <c r="AF3510">
        <v>-2.1122098914818901</v>
      </c>
      <c r="AG3510">
        <v>-1.10957782981199</v>
      </c>
      <c r="AH3510">
        <v>22.012023606596301</v>
      </c>
      <c r="AI3510">
        <v>92.872539801537599</v>
      </c>
      <c r="AJ3510">
        <v>95.481154739536393</v>
      </c>
      <c r="AK3510">
        <v>22.140952482751</v>
      </c>
      <c r="AL3510">
        <v>89.322755585935596</v>
      </c>
      <c r="AM3510">
        <v>93.240341017221994</v>
      </c>
      <c r="AN3510">
        <v>1.00000003176527</v>
      </c>
    </row>
    <row r="3511" spans="1:40" x14ac:dyDescent="0.25">
      <c r="A3511" t="str">
        <f>"20190312160709037"</f>
        <v>20190312160709037</v>
      </c>
      <c r="B3511" t="str">
        <f>"1552378029028528"</f>
        <v>1552378029028528</v>
      </c>
      <c r="C3511" t="s">
        <v>40</v>
      </c>
      <c r="D3511">
        <v>6.4562160000000004</v>
      </c>
      <c r="E3511">
        <v>0.48487069999999999</v>
      </c>
      <c r="F3511" t="s">
        <v>77</v>
      </c>
      <c r="G3511">
        <v>-438.32549999999998</v>
      </c>
      <c r="H3511" s="1">
        <v>5.83706699999999E-6</v>
      </c>
      <c r="I3511">
        <v>215.4393</v>
      </c>
      <c r="J3511">
        <v>-461.05579999999998</v>
      </c>
      <c r="K3511">
        <v>1.1095549999999901</v>
      </c>
      <c r="L3511">
        <v>214.74639999999999</v>
      </c>
      <c r="M3511">
        <v>0.99787599999999999</v>
      </c>
      <c r="N3511">
        <v>0</v>
      </c>
      <c r="O3511">
        <v>-6.4774899999999996E-2</v>
      </c>
      <c r="P3511">
        <v>0.99995009999999995</v>
      </c>
      <c r="Q3511">
        <v>4.5520040000000001E-3</v>
      </c>
      <c r="R3511">
        <v>-8.9054240000000003E-3</v>
      </c>
      <c r="S3511">
        <v>3.001709</v>
      </c>
      <c r="T3511">
        <v>-0.1454078</v>
      </c>
      <c r="U3511">
        <v>8.9462280000000005E-2</v>
      </c>
      <c r="V3511">
        <v>-5.589525E-2</v>
      </c>
      <c r="W3511">
        <v>1.143508E-2</v>
      </c>
      <c r="X3511">
        <v>0.99837109999999996</v>
      </c>
      <c r="Y3511">
        <v>-9.4289319999999996E-2</v>
      </c>
      <c r="Z3511">
        <v>5.4163750000000002E-3</v>
      </c>
      <c r="AA3511">
        <v>0.99553009999999997</v>
      </c>
      <c r="AB3511">
        <v>16</v>
      </c>
      <c r="AC3511">
        <v>22.7303</v>
      </c>
      <c r="AD3511">
        <v>-1.1095491629330001</v>
      </c>
      <c r="AE3511">
        <v>0.69290000000000795</v>
      </c>
      <c r="AF3511">
        <v>-2.1586938955867798</v>
      </c>
      <c r="AG3511">
        <v>-1.1095491629330001</v>
      </c>
      <c r="AH3511">
        <v>22.5839158423383</v>
      </c>
      <c r="AI3511">
        <v>92.799942130585194</v>
      </c>
      <c r="AJ3511">
        <v>95.460054795969398</v>
      </c>
      <c r="AK3511">
        <v>22.713967364897499</v>
      </c>
      <c r="AL3511">
        <v>89.344803863111906</v>
      </c>
      <c r="AM3511">
        <v>93.204441789610897</v>
      </c>
      <c r="AN3511">
        <v>0.99999994667118797</v>
      </c>
    </row>
    <row r="3512" spans="1:40" x14ac:dyDescent="0.25">
      <c r="A3512" t="str">
        <f>"20190312160709059"</f>
        <v>20190312160709059</v>
      </c>
      <c r="B3512" t="str">
        <f>"1552378029049024"</f>
        <v>1552378029049024</v>
      </c>
      <c r="C3512" t="s">
        <v>40</v>
      </c>
      <c r="D3512">
        <v>6.3610610000000003</v>
      </c>
      <c r="E3512">
        <v>0.48491580000000001</v>
      </c>
      <c r="F3512" t="s">
        <v>77</v>
      </c>
      <c r="G3512">
        <v>-438.03390000000002</v>
      </c>
      <c r="H3512" s="1">
        <v>5.70754299999999E-6</v>
      </c>
      <c r="I3512">
        <v>215.4418</v>
      </c>
      <c r="J3512">
        <v>-460.9</v>
      </c>
      <c r="K3512">
        <v>1.1095250000000001</v>
      </c>
      <c r="L3512">
        <v>214.7373</v>
      </c>
      <c r="M3512">
        <v>0.99793200000000004</v>
      </c>
      <c r="N3512">
        <v>0</v>
      </c>
      <c r="O3512">
        <v>-6.3905400000000001E-2</v>
      </c>
      <c r="P3512">
        <v>0.99994559999999999</v>
      </c>
      <c r="Q3512">
        <v>5.0934689999999998E-3</v>
      </c>
      <c r="R3512">
        <v>-9.1223759999999997E-3</v>
      </c>
      <c r="S3512">
        <v>3.001617</v>
      </c>
      <c r="T3512">
        <v>-0.14466399999999999</v>
      </c>
      <c r="U3512">
        <v>9.0667719999999993E-2</v>
      </c>
      <c r="V3512">
        <v>-5.4808519999999999E-2</v>
      </c>
      <c r="W3512">
        <v>1.1954330000000001E-2</v>
      </c>
      <c r="X3512">
        <v>0.99842529999999996</v>
      </c>
      <c r="Y3512">
        <v>-9.3825649999999997E-2</v>
      </c>
      <c r="Z3512">
        <v>5.3358520000000003E-3</v>
      </c>
      <c r="AA3512">
        <v>0.99557439999999997</v>
      </c>
      <c r="AB3512">
        <v>16</v>
      </c>
      <c r="AC3512">
        <v>22.8660999999999</v>
      </c>
      <c r="AD3512">
        <v>-1.1095192924570001</v>
      </c>
      <c r="AE3512">
        <v>0.70449999999999502</v>
      </c>
      <c r="AF3512">
        <v>-2.1592830584840002</v>
      </c>
      <c r="AG3512">
        <v>-1.1095192924570001</v>
      </c>
      <c r="AH3512">
        <v>22.720892142265001</v>
      </c>
      <c r="AI3512">
        <v>92.783158507613507</v>
      </c>
      <c r="AJ3512">
        <v>95.428807589627098</v>
      </c>
      <c r="AK3512">
        <v>22.8502182949623</v>
      </c>
      <c r="AL3512">
        <v>89.315051015692205</v>
      </c>
      <c r="AM3512">
        <v>93.142096043935197</v>
      </c>
      <c r="AN3512">
        <v>0.99999997977521404</v>
      </c>
    </row>
    <row r="3513" spans="1:40" x14ac:dyDescent="0.25">
      <c r="A3513" t="str">
        <f>"20190312160709081"</f>
        <v>20190312160709081</v>
      </c>
      <c r="B3513" t="str">
        <f>"1552378029068544"</f>
        <v>1552378029068544</v>
      </c>
      <c r="C3513" t="s">
        <v>40</v>
      </c>
      <c r="D3513">
        <v>6.4126409999999998</v>
      </c>
      <c r="E3513">
        <v>0.48493560000000002</v>
      </c>
      <c r="F3513" t="s">
        <v>77</v>
      </c>
      <c r="G3513">
        <v>-437.26659999999998</v>
      </c>
      <c r="H3513" s="1">
        <v>5.3672290000000002E-6</v>
      </c>
      <c r="I3513">
        <v>215.44239999999999</v>
      </c>
      <c r="J3513">
        <v>-460.74560000000002</v>
      </c>
      <c r="K3513">
        <v>1.109499</v>
      </c>
      <c r="L3513">
        <v>214.72839999999999</v>
      </c>
      <c r="M3513">
        <v>0.99798359999999997</v>
      </c>
      <c r="N3513">
        <v>0</v>
      </c>
      <c r="O3513">
        <v>-6.3098130000000002E-2</v>
      </c>
      <c r="P3513">
        <v>0.99994720000000004</v>
      </c>
      <c r="Q3513">
        <v>5.3103789999999996E-3</v>
      </c>
      <c r="R3513">
        <v>-8.8120850000000008E-3</v>
      </c>
      <c r="S3513">
        <v>3.001709</v>
      </c>
      <c r="T3513">
        <v>-0.14092209999999999</v>
      </c>
      <c r="U3513">
        <v>8.9553830000000001E-2</v>
      </c>
      <c r="V3513">
        <v>-5.4309450000000002E-2</v>
      </c>
      <c r="W3513">
        <v>1.21522E-2</v>
      </c>
      <c r="X3513">
        <v>0.99845019999999995</v>
      </c>
      <c r="Y3513">
        <v>-9.2661720000000003E-2</v>
      </c>
      <c r="Z3513">
        <v>5.132714E-3</v>
      </c>
      <c r="AA3513">
        <v>0.99568440000000002</v>
      </c>
      <c r="AB3513">
        <v>16</v>
      </c>
      <c r="AC3513">
        <v>23.478999999999999</v>
      </c>
      <c r="AD3513">
        <v>-1.1094936327709899</v>
      </c>
      <c r="AE3513">
        <v>0.71399999999999797</v>
      </c>
      <c r="AF3513">
        <v>-2.1892092346549199</v>
      </c>
      <c r="AG3513">
        <v>-1.1094936327709899</v>
      </c>
      <c r="AH3513">
        <v>23.3350993563018</v>
      </c>
      <c r="AI3513">
        <v>92.710259331937607</v>
      </c>
      <c r="AJ3513">
        <v>95.359582243663894</v>
      </c>
      <c r="AK3513">
        <v>23.463812033911601</v>
      </c>
      <c r="AL3513">
        <v>89.303713087992605</v>
      </c>
      <c r="AM3513">
        <v>93.113464111970103</v>
      </c>
      <c r="AN3513">
        <v>0.99999999710209098</v>
      </c>
    </row>
    <row r="3514" spans="1:40" x14ac:dyDescent="0.25">
      <c r="A3514" t="str">
        <f>"20190312160709102"</f>
        <v>20190312160709102</v>
      </c>
      <c r="B3514" t="str">
        <f>"1552378029098800"</f>
        <v>1552378029098800</v>
      </c>
      <c r="C3514" t="s">
        <v>40</v>
      </c>
      <c r="D3514">
        <v>6.3671980000000001</v>
      </c>
      <c r="E3514">
        <v>0.48492239999999998</v>
      </c>
      <c r="F3514" t="s">
        <v>77</v>
      </c>
      <c r="G3514">
        <v>-436.70260000000002</v>
      </c>
      <c r="H3514" s="1">
        <v>5.1162360000000004E-6</v>
      </c>
      <c r="I3514">
        <v>215.4522</v>
      </c>
      <c r="J3514">
        <v>-460.5915</v>
      </c>
      <c r="K3514">
        <v>1.109464</v>
      </c>
      <c r="L3514">
        <v>214.71950000000001</v>
      </c>
      <c r="M3514">
        <v>0.99803120000000001</v>
      </c>
      <c r="N3514">
        <v>0</v>
      </c>
      <c r="O3514">
        <v>-6.2343429999999998E-2</v>
      </c>
      <c r="P3514">
        <v>0.99995290000000003</v>
      </c>
      <c r="Q3514">
        <v>5.229867E-3</v>
      </c>
      <c r="R3514">
        <v>-8.1949429999999997E-3</v>
      </c>
      <c r="S3514">
        <v>3.0016780000000001</v>
      </c>
      <c r="T3514">
        <v>-0.1385161</v>
      </c>
      <c r="U3514">
        <v>9.036255E-2</v>
      </c>
      <c r="V3514">
        <v>-5.4170009999999998E-2</v>
      </c>
      <c r="W3514">
        <v>1.205636E-2</v>
      </c>
      <c r="X3514">
        <v>0.99845890000000004</v>
      </c>
      <c r="Y3514">
        <v>-9.2184189999999999E-2</v>
      </c>
      <c r="Z3514">
        <v>4.9994369999999998E-3</v>
      </c>
      <c r="AA3514">
        <v>0.99572939999999999</v>
      </c>
      <c r="AB3514">
        <v>16</v>
      </c>
      <c r="AC3514">
        <v>23.8888999999999</v>
      </c>
      <c r="AD3514">
        <v>-1.109458883764</v>
      </c>
      <c r="AE3514">
        <v>0.73269999999999402</v>
      </c>
      <c r="AF3514">
        <v>-2.2158507554434199</v>
      </c>
      <c r="AG3514">
        <v>-1.109458883764</v>
      </c>
      <c r="AH3514">
        <v>23.7455792600127</v>
      </c>
      <c r="AI3514">
        <v>92.663516268819293</v>
      </c>
      <c r="AJ3514">
        <v>95.331194139036697</v>
      </c>
      <c r="AK3514">
        <v>23.874535136389699</v>
      </c>
      <c r="AL3514">
        <v>89.309204692474395</v>
      </c>
      <c r="AM3514">
        <v>93.105458925265197</v>
      </c>
      <c r="AN3514">
        <v>0.99999996039452899</v>
      </c>
    </row>
    <row r="3515" spans="1:40" x14ac:dyDescent="0.25">
      <c r="A3515" t="str">
        <f>"20190312160709124"</f>
        <v>20190312160709124</v>
      </c>
      <c r="B3515" t="str">
        <f>"1552378029118323"</f>
        <v>1552378029118323</v>
      </c>
      <c r="C3515" t="s">
        <v>40</v>
      </c>
      <c r="D3515">
        <v>6.3695639999999996</v>
      </c>
      <c r="E3515">
        <v>0.48500339999999997</v>
      </c>
      <c r="F3515" t="s">
        <v>77</v>
      </c>
      <c r="G3515">
        <v>-436.23500000000001</v>
      </c>
      <c r="H3515" s="1">
        <v>4.9075309999999998E-6</v>
      </c>
      <c r="I3515">
        <v>215.46789999999999</v>
      </c>
      <c r="J3515">
        <v>-460.43819999999999</v>
      </c>
      <c r="K3515">
        <v>1.10944</v>
      </c>
      <c r="L3515">
        <v>214.71080000000001</v>
      </c>
      <c r="M3515">
        <v>0.99807460000000003</v>
      </c>
      <c r="N3515">
        <v>0</v>
      </c>
      <c r="O3515">
        <v>-6.1644989999999997E-2</v>
      </c>
      <c r="P3515">
        <v>0.99995630000000002</v>
      </c>
      <c r="Q3515">
        <v>5.1504849999999998E-3</v>
      </c>
      <c r="R3515">
        <v>-7.8072339999999997E-3</v>
      </c>
      <c r="S3515">
        <v>3.001617</v>
      </c>
      <c r="T3515">
        <v>-0.1367266</v>
      </c>
      <c r="U3515">
        <v>9.2224120000000007E-2</v>
      </c>
      <c r="V3515">
        <v>-5.3858219999999998E-2</v>
      </c>
      <c r="W3515">
        <v>1.196434E-2</v>
      </c>
      <c r="X3515">
        <v>0.9984769</v>
      </c>
      <c r="Y3515">
        <v>-9.2109979999999994E-2</v>
      </c>
      <c r="Z3515">
        <v>4.9015359999999997E-3</v>
      </c>
      <c r="AA3515">
        <v>0.99573679999999998</v>
      </c>
      <c r="AB3515">
        <v>16</v>
      </c>
      <c r="AC3515">
        <v>24.203199999999899</v>
      </c>
      <c r="AD3515">
        <v>-1.109435092469</v>
      </c>
      <c r="AE3515">
        <v>0.75709999999997901</v>
      </c>
      <c r="AF3515">
        <v>-2.2429928398235899</v>
      </c>
      <c r="AG3515">
        <v>-1.109435092469</v>
      </c>
      <c r="AH3515">
        <v>24.059989831646298</v>
      </c>
      <c r="AI3515">
        <v>92.628725058148206</v>
      </c>
      <c r="AJ3515">
        <v>95.326006059895306</v>
      </c>
      <c r="AK3515">
        <v>24.189770023768801</v>
      </c>
      <c r="AL3515">
        <v>89.314477448562101</v>
      </c>
      <c r="AM3515">
        <v>93.087563755305595</v>
      </c>
      <c r="AN3515">
        <v>0.99999998656340605</v>
      </c>
    </row>
    <row r="3516" spans="1:40" x14ac:dyDescent="0.25">
      <c r="A3516" t="str">
        <f>"20190312160709146"</f>
        <v>20190312160709146</v>
      </c>
      <c r="B3516" t="str">
        <f>"1552378029138820"</f>
        <v>1552378029138820</v>
      </c>
      <c r="C3516" t="s">
        <v>40</v>
      </c>
      <c r="D3516">
        <v>6.3767040000000001</v>
      </c>
      <c r="E3516">
        <v>0.48500559999999998</v>
      </c>
      <c r="F3516" t="s">
        <v>77</v>
      </c>
      <c r="G3516">
        <v>-435.89769999999999</v>
      </c>
      <c r="H3516" s="1">
        <v>4.7578499999999997E-6</v>
      </c>
      <c r="I3516">
        <v>215.46870000000001</v>
      </c>
      <c r="J3516">
        <v>-460.27429999999998</v>
      </c>
      <c r="K3516">
        <v>1.1094170000000001</v>
      </c>
      <c r="L3516">
        <v>214.70150000000001</v>
      </c>
      <c r="M3516">
        <v>0.99811719999999904</v>
      </c>
      <c r="N3516">
        <v>0</v>
      </c>
      <c r="O3516">
        <v>-6.0956209999999997E-2</v>
      </c>
      <c r="P3516">
        <v>0.99995429999999996</v>
      </c>
      <c r="Q3516">
        <v>5.1602360000000003E-3</v>
      </c>
      <c r="R3516">
        <v>-8.0887159999999993E-3</v>
      </c>
      <c r="S3516">
        <v>3.0015559999999999</v>
      </c>
      <c r="T3516">
        <v>-0.13569510000000001</v>
      </c>
      <c r="U3516">
        <v>9.2697139999999997E-2</v>
      </c>
      <c r="V3516">
        <v>-5.2886929999999999E-2</v>
      </c>
      <c r="W3516">
        <v>1.196434E-2</v>
      </c>
      <c r="X3516">
        <v>0.99852879999999999</v>
      </c>
      <c r="Y3516">
        <v>-9.1583800000000007E-2</v>
      </c>
      <c r="Z3516">
        <v>4.821713E-3</v>
      </c>
      <c r="AA3516">
        <v>0.9957857</v>
      </c>
      <c r="AB3516">
        <v>16</v>
      </c>
      <c r="AC3516">
        <v>24.3766</v>
      </c>
      <c r="AD3516">
        <v>-1.1094122421499999</v>
      </c>
      <c r="AE3516">
        <v>0.76720000000000199</v>
      </c>
      <c r="AF3516">
        <v>-2.2470631995332799</v>
      </c>
      <c r="AG3516">
        <v>-1.1094122421499999</v>
      </c>
      <c r="AH3516">
        <v>24.234354926816401</v>
      </c>
      <c r="AI3516">
        <v>92.609904853762899</v>
      </c>
      <c r="AJ3516">
        <v>95.297445111381705</v>
      </c>
      <c r="AK3516">
        <v>24.363580345766898</v>
      </c>
      <c r="AL3516">
        <v>89.314477436256098</v>
      </c>
      <c r="AM3516">
        <v>93.0318295544525</v>
      </c>
      <c r="AN3516">
        <v>0.99999996861294904</v>
      </c>
    </row>
    <row r="3517" spans="1:40" x14ac:dyDescent="0.25">
      <c r="A3517" t="str">
        <f>"20190312160709170"</f>
        <v>20190312160709170</v>
      </c>
      <c r="B3517" t="str">
        <f>"1552378029158340"</f>
        <v>1552378029158340</v>
      </c>
      <c r="C3517" t="s">
        <v>40</v>
      </c>
      <c r="D3517">
        <v>6.3763170000000002</v>
      </c>
      <c r="E3517">
        <v>0.48494959999999998</v>
      </c>
      <c r="F3517" t="s">
        <v>77</v>
      </c>
      <c r="G3517">
        <v>-435.3904</v>
      </c>
      <c r="H3517" s="1">
        <v>4.5331620000000003E-6</v>
      </c>
      <c r="I3517">
        <v>215.46530000000001</v>
      </c>
      <c r="J3517">
        <v>-460.1026</v>
      </c>
      <c r="K3517">
        <v>1.1093949999999999</v>
      </c>
      <c r="L3517">
        <v>214.6918</v>
      </c>
      <c r="M3517">
        <v>0.99815719999999997</v>
      </c>
      <c r="N3517">
        <v>0</v>
      </c>
      <c r="O3517">
        <v>-6.0295679999999997E-2</v>
      </c>
      <c r="P3517">
        <v>0.99995489999999998</v>
      </c>
      <c r="Q3517">
        <v>5.7928279999999999E-3</v>
      </c>
      <c r="R3517">
        <v>-7.5406809999999996E-3</v>
      </c>
      <c r="S3517">
        <v>3.0015869999999998</v>
      </c>
      <c r="T3517">
        <v>-0.1338211</v>
      </c>
      <c r="U3517">
        <v>9.2132569999999997E-2</v>
      </c>
      <c r="V3517">
        <v>-5.2773210000000001E-2</v>
      </c>
      <c r="W3517">
        <v>1.2588469999999999E-2</v>
      </c>
      <c r="X3517">
        <v>0.99852719999999995</v>
      </c>
      <c r="Y3517">
        <v>-9.0743130000000005E-2</v>
      </c>
      <c r="Z3517">
        <v>4.7070259999999996E-3</v>
      </c>
      <c r="AA3517">
        <v>0.99586319999999995</v>
      </c>
      <c r="AB3517">
        <v>16</v>
      </c>
      <c r="AC3517">
        <v>24.712199999999999</v>
      </c>
      <c r="AD3517">
        <v>-1.1093904668379999</v>
      </c>
      <c r="AE3517">
        <v>0.77350000000001196</v>
      </c>
      <c r="AF3517">
        <v>-2.2576208497589798</v>
      </c>
      <c r="AG3517">
        <v>-1.1093904668379999</v>
      </c>
      <c r="AH3517">
        <v>24.571125303234499</v>
      </c>
      <c r="AI3517">
        <v>92.574329558209399</v>
      </c>
      <c r="AJ3517">
        <v>95.2496568682987</v>
      </c>
      <c r="AK3517">
        <v>24.6995505581869</v>
      </c>
      <c r="AL3517">
        <v>89.278714765503807</v>
      </c>
      <c r="AM3517">
        <v>93.025327331947196</v>
      </c>
      <c r="AN3517">
        <v>1.0000000252052399</v>
      </c>
    </row>
    <row r="3518" spans="1:40" x14ac:dyDescent="0.25">
      <c r="A3518" t="str">
        <f>"20190312160709191"</f>
        <v>20190312160709191</v>
      </c>
      <c r="B3518" t="str">
        <f>"1552378029178840"</f>
        <v>1552378029178840</v>
      </c>
      <c r="C3518" t="s">
        <v>40</v>
      </c>
      <c r="D3518">
        <v>6.4220829999999998</v>
      </c>
      <c r="E3518">
        <v>0.48491899999999899</v>
      </c>
      <c r="F3518" t="s">
        <v>77</v>
      </c>
      <c r="G3518">
        <v>-434.32859999999999</v>
      </c>
      <c r="H3518" s="1">
        <v>4.0593469999999996E-6</v>
      </c>
      <c r="I3518">
        <v>215.4992</v>
      </c>
      <c r="J3518">
        <v>-459.9502</v>
      </c>
      <c r="K3518">
        <v>1.109381</v>
      </c>
      <c r="L3518">
        <v>214.6832</v>
      </c>
      <c r="M3518">
        <v>0.99818929999999995</v>
      </c>
      <c r="N3518">
        <v>0</v>
      </c>
      <c r="O3518">
        <v>-5.9762219999999998E-2</v>
      </c>
      <c r="P3518">
        <v>0.99995540000000005</v>
      </c>
      <c r="Q3518">
        <v>5.8718889999999999E-3</v>
      </c>
      <c r="R3518">
        <v>-7.41743E-3</v>
      </c>
      <c r="S3518">
        <v>3.0015869999999998</v>
      </c>
      <c r="T3518">
        <v>-0.12919719999999901</v>
      </c>
      <c r="U3518">
        <v>9.4024659999999996E-2</v>
      </c>
      <c r="V3518">
        <v>-5.2362239999999997E-2</v>
      </c>
      <c r="W3518">
        <v>1.2662369999999999E-2</v>
      </c>
      <c r="X3518">
        <v>0.99854790000000004</v>
      </c>
      <c r="Y3518">
        <v>-9.0848659999999998E-2</v>
      </c>
      <c r="Z3518">
        <v>4.5238509999999997E-3</v>
      </c>
      <c r="AA3518">
        <v>0.99585440000000003</v>
      </c>
      <c r="AB3518">
        <v>16</v>
      </c>
      <c r="AC3518">
        <v>25.621600000000001</v>
      </c>
      <c r="AD3518">
        <v>-1.1093769406530001</v>
      </c>
      <c r="AE3518">
        <v>0.81600000000000195</v>
      </c>
      <c r="AF3518">
        <v>-2.3413957120645201</v>
      </c>
      <c r="AG3518">
        <v>-1.1093769406530001</v>
      </c>
      <c r="AH3518">
        <v>25.479316551770399</v>
      </c>
      <c r="AI3518">
        <v>92.4826532799392</v>
      </c>
      <c r="AJ3518">
        <v>95.250391159076102</v>
      </c>
      <c r="AK3518">
        <v>25.6107091471956</v>
      </c>
      <c r="AL3518">
        <v>89.274480269263904</v>
      </c>
      <c r="AM3518">
        <v>93.001748817037495</v>
      </c>
      <c r="AN3518">
        <v>1.00000002419312</v>
      </c>
    </row>
    <row r="3519" spans="1:40" x14ac:dyDescent="0.25">
      <c r="A3519" t="str">
        <f>"20190312160709212"</f>
        <v>20190312160709212</v>
      </c>
      <c r="B3519" t="str">
        <f>"1552378029209092"</f>
        <v>1552378029209092</v>
      </c>
      <c r="C3519" t="s">
        <v>40</v>
      </c>
      <c r="D3519">
        <v>6.3662020000000004</v>
      </c>
      <c r="E3519">
        <v>0.48492109999999999</v>
      </c>
      <c r="F3519" t="s">
        <v>77</v>
      </c>
      <c r="G3519">
        <v>-433.62279999999998</v>
      </c>
      <c r="H3519" s="1">
        <v>3.7451599999999999E-6</v>
      </c>
      <c r="I3519">
        <v>215.51320000000001</v>
      </c>
      <c r="J3519">
        <v>-459.79329999999999</v>
      </c>
      <c r="K3519">
        <v>1.109359</v>
      </c>
      <c r="L3519">
        <v>214.67449999999999</v>
      </c>
      <c r="M3519">
        <v>0.99821930000000003</v>
      </c>
      <c r="N3519">
        <v>0</v>
      </c>
      <c r="O3519">
        <v>-5.9262769999999999E-2</v>
      </c>
      <c r="P3519">
        <v>0.9999593</v>
      </c>
      <c r="Q3519">
        <v>6.2547159999999996E-3</v>
      </c>
      <c r="R3519">
        <v>-6.5260960000000003E-3</v>
      </c>
      <c r="S3519">
        <v>3.0015869999999998</v>
      </c>
      <c r="T3519">
        <v>-0.12648029999999999</v>
      </c>
      <c r="U3519">
        <v>9.4619750000000002E-2</v>
      </c>
      <c r="V3519">
        <v>-5.2751939999999997E-2</v>
      </c>
      <c r="W3519">
        <v>1.3042379999999999E-2</v>
      </c>
      <c r="X3519">
        <v>0.99852249999999998</v>
      </c>
      <c r="Y3519">
        <v>-9.0554099999999998E-2</v>
      </c>
      <c r="Z3519">
        <v>4.4015779999999997E-3</v>
      </c>
      <c r="AA3519">
        <v>0.99588180000000004</v>
      </c>
      <c r="AB3519">
        <v>16</v>
      </c>
      <c r="AC3519">
        <v>26.170500000000001</v>
      </c>
      <c r="AD3519">
        <v>-1.1093552548400001</v>
      </c>
      <c r="AE3519">
        <v>0.83870000000001699</v>
      </c>
      <c r="AF3519">
        <v>-2.3839187583162</v>
      </c>
      <c r="AG3519">
        <v>-1.1093552548400001</v>
      </c>
      <c r="AH3519">
        <v>26.0280750837338</v>
      </c>
      <c r="AI3519">
        <v>92.430393732864104</v>
      </c>
      <c r="AJ3519">
        <v>95.233136033036203</v>
      </c>
      <c r="AK3519">
        <v>26.160551031891099</v>
      </c>
      <c r="AL3519">
        <v>89.252705504039895</v>
      </c>
      <c r="AM3519">
        <v>93.024124459343795</v>
      </c>
      <c r="AN3519">
        <v>1.00000002692803</v>
      </c>
    </row>
    <row r="3520" spans="1:40" x14ac:dyDescent="0.25">
      <c r="A3520" t="str">
        <f>"20190312160709237"</f>
        <v>20190312160709237</v>
      </c>
      <c r="B3520" t="str">
        <f>"1552378029228612"</f>
        <v>1552378029228612</v>
      </c>
      <c r="C3520" t="s">
        <v>40</v>
      </c>
      <c r="D3520">
        <v>6.3643539999999996</v>
      </c>
      <c r="E3520">
        <v>0.48487629999999998</v>
      </c>
      <c r="F3520" t="s">
        <v>77</v>
      </c>
      <c r="G3520">
        <v>-432.36939999999998</v>
      </c>
      <c r="H3520" s="1">
        <v>3.1847970000000001E-6</v>
      </c>
      <c r="I3520">
        <v>215.56460000000001</v>
      </c>
      <c r="J3520">
        <v>-459.61309999999997</v>
      </c>
      <c r="K3520">
        <v>1.1093360000000001</v>
      </c>
      <c r="L3520">
        <v>214.6644</v>
      </c>
      <c r="M3520">
        <v>0.99824900000000005</v>
      </c>
      <c r="N3520">
        <v>0</v>
      </c>
      <c r="O3520">
        <v>-5.875764E-2</v>
      </c>
      <c r="P3520">
        <v>0.99996379999999996</v>
      </c>
      <c r="Q3520">
        <v>6.8058110000000002E-3</v>
      </c>
      <c r="R3520">
        <v>-5.114642E-3</v>
      </c>
      <c r="S3520">
        <v>3.0015260000000001</v>
      </c>
      <c r="T3520">
        <v>-0.121418</v>
      </c>
      <c r="U3520">
        <v>9.7427369999999999E-2</v>
      </c>
      <c r="V3520">
        <v>-5.3654760000000003E-2</v>
      </c>
      <c r="W3520">
        <v>1.359165E-2</v>
      </c>
      <c r="X3520">
        <v>0.99846699999999999</v>
      </c>
      <c r="Y3520">
        <v>-9.0991859999999994E-2</v>
      </c>
      <c r="Z3520">
        <v>4.2140370000000003E-3</v>
      </c>
      <c r="AA3520">
        <v>0.99584269999999997</v>
      </c>
      <c r="AB3520">
        <v>16</v>
      </c>
      <c r="AC3520">
        <v>27.243699999999901</v>
      </c>
      <c r="AD3520">
        <v>-1.109332815203</v>
      </c>
      <c r="AE3520">
        <v>0.90020000000001199</v>
      </c>
      <c r="AF3520">
        <v>-2.4953245442066199</v>
      </c>
      <c r="AG3520">
        <v>-1.109332815203</v>
      </c>
      <c r="AH3520">
        <v>27.098851776559201</v>
      </c>
      <c r="AI3520">
        <v>92.334316593334606</v>
      </c>
      <c r="AJ3520">
        <v>95.261090657690602</v>
      </c>
      <c r="AK3520">
        <v>27.2360979489304</v>
      </c>
      <c r="AL3520">
        <v>89.221231807179507</v>
      </c>
      <c r="AM3520">
        <v>93.075952757071306</v>
      </c>
      <c r="AN3520">
        <v>0.99999995815468901</v>
      </c>
    </row>
    <row r="3521" spans="1:40" x14ac:dyDescent="0.25">
      <c r="A3521" t="str">
        <f>"20190312160709260"</f>
        <v>20190312160709260</v>
      </c>
      <c r="B3521" t="str">
        <f>"1552378029249108"</f>
        <v>1552378029249108</v>
      </c>
      <c r="C3521" t="s">
        <v>40</v>
      </c>
      <c r="D3521">
        <v>6.316001</v>
      </c>
      <c r="E3521">
        <v>0.48488340000000002</v>
      </c>
      <c r="F3521" t="s">
        <v>77</v>
      </c>
      <c r="G3521">
        <v>-431.28809999999999</v>
      </c>
      <c r="H3521" s="1">
        <v>2.6998220000000002E-6</v>
      </c>
      <c r="I3521">
        <v>215.62710000000001</v>
      </c>
      <c r="J3521">
        <v>-459.44189999999998</v>
      </c>
      <c r="K3521">
        <v>1.1093059999999999</v>
      </c>
      <c r="L3521">
        <v>214.65479999999999</v>
      </c>
      <c r="M3521">
        <v>0.99827339999999998</v>
      </c>
      <c r="N3521">
        <v>0</v>
      </c>
      <c r="O3521">
        <v>-5.8344090000000001E-2</v>
      </c>
      <c r="P3521">
        <v>0.99997100000000005</v>
      </c>
      <c r="Q3521">
        <v>6.566644E-3</v>
      </c>
      <c r="R3521">
        <v>-3.8680020000000002E-3</v>
      </c>
      <c r="S3521">
        <v>3.001404</v>
      </c>
      <c r="T3521">
        <v>-0.117548</v>
      </c>
      <c r="U3521">
        <v>0.102005</v>
      </c>
      <c r="V3521">
        <v>-5.4485239999999997E-2</v>
      </c>
      <c r="W3521">
        <v>1.335421E-2</v>
      </c>
      <c r="X3521">
        <v>0.99842520000000001</v>
      </c>
      <c r="Y3521">
        <v>-9.2104839999999993E-2</v>
      </c>
      <c r="Z3521">
        <v>4.0855199999999996E-3</v>
      </c>
      <c r="AA3521">
        <v>0.99574099999999999</v>
      </c>
      <c r="AB3521">
        <v>17</v>
      </c>
      <c r="AC3521">
        <v>28.153799999999901</v>
      </c>
      <c r="AD3521">
        <v>-1.1093033001779999</v>
      </c>
      <c r="AE3521">
        <v>0.97230000000001804</v>
      </c>
      <c r="AF3521">
        <v>-2.6092434394362098</v>
      </c>
      <c r="AG3521">
        <v>-1.1093033001779999</v>
      </c>
      <c r="AH3521">
        <v>28.005682912191698</v>
      </c>
      <c r="AI3521">
        <v>92.258525349220704</v>
      </c>
      <c r="AJ3521">
        <v>95.322787872315104</v>
      </c>
      <c r="AK3521">
        <v>28.1488362195714</v>
      </c>
      <c r="AL3521">
        <v>89.234837329602001</v>
      </c>
      <c r="AM3521">
        <v>93.123599972995294</v>
      </c>
      <c r="AN3521">
        <v>0.999999928148808</v>
      </c>
    </row>
    <row r="3522" spans="1:40" x14ac:dyDescent="0.25">
      <c r="A3522" t="str">
        <f>"20190312160709280"</f>
        <v>20190312160709280</v>
      </c>
      <c r="B3522" t="str">
        <f>"1552378029268628"</f>
        <v>1552378029268628</v>
      </c>
      <c r="C3522" t="s">
        <v>40</v>
      </c>
      <c r="D3522">
        <v>6.3702670000000001</v>
      </c>
      <c r="E3522">
        <v>0.48489409999999999</v>
      </c>
      <c r="F3522" t="s">
        <v>77</v>
      </c>
      <c r="G3522">
        <v>-430.88170000000002</v>
      </c>
      <c r="H3522" s="1">
        <v>2.5167040000000001E-6</v>
      </c>
      <c r="I3522">
        <v>215.66050000000001</v>
      </c>
      <c r="J3522">
        <v>-459.29349999999999</v>
      </c>
      <c r="K3522">
        <v>1.109281</v>
      </c>
      <c r="L3522">
        <v>214.6465</v>
      </c>
      <c r="M3522">
        <v>0.9982917</v>
      </c>
      <c r="N3522">
        <v>0</v>
      </c>
      <c r="O3522">
        <v>-5.802968E-2</v>
      </c>
      <c r="P3522">
        <v>0.99997959999999997</v>
      </c>
      <c r="Q3522">
        <v>5.7634590000000003E-3</v>
      </c>
      <c r="R3522">
        <v>-2.7880660000000001E-3</v>
      </c>
      <c r="S3522">
        <v>3.0012210000000001</v>
      </c>
      <c r="T3522">
        <v>-0.1165702</v>
      </c>
      <c r="U3522">
        <v>0.105682399999999</v>
      </c>
      <c r="V3522">
        <v>-5.5248480000000003E-2</v>
      </c>
      <c r="W3522">
        <v>1.2553190000000001E-2</v>
      </c>
      <c r="X3522">
        <v>0.99839370000000005</v>
      </c>
      <c r="Y3522">
        <v>-9.3013330000000005E-2</v>
      </c>
      <c r="Z3522">
        <v>4.0571820000000003E-3</v>
      </c>
      <c r="AA3522">
        <v>0.9956566</v>
      </c>
      <c r="AB3522">
        <v>17</v>
      </c>
      <c r="AC3522">
        <v>28.4117999999999</v>
      </c>
      <c r="AD3522">
        <v>-1.1092784832960001</v>
      </c>
      <c r="AE3522">
        <v>1.01400000000001</v>
      </c>
      <c r="AF3522">
        <v>-2.65701191331762</v>
      </c>
      <c r="AG3522">
        <v>-1.1092784832960001</v>
      </c>
      <c r="AH3522">
        <v>28.262050067186699</v>
      </c>
      <c r="AI3522">
        <v>92.237833726532998</v>
      </c>
      <c r="AJ3522">
        <v>95.370785894107598</v>
      </c>
      <c r="AK3522">
        <v>28.408338301653298</v>
      </c>
      <c r="AL3522">
        <v>89.280736286809699</v>
      </c>
      <c r="AM3522">
        <v>93.167367232390006</v>
      </c>
      <c r="AN3522">
        <v>0.99999997866058798</v>
      </c>
    </row>
    <row r="3523" spans="1:40" x14ac:dyDescent="0.25">
      <c r="A3523" t="str">
        <f>"20190312160709302"</f>
        <v>20190312160709302</v>
      </c>
      <c r="B3523" t="str">
        <f>"1552378029298884"</f>
        <v>1552378029298884</v>
      </c>
      <c r="C3523" t="s">
        <v>40</v>
      </c>
      <c r="D3523">
        <v>6.3650599999999997</v>
      </c>
      <c r="E3523">
        <v>0.48493170000000002</v>
      </c>
      <c r="F3523" t="s">
        <v>77</v>
      </c>
      <c r="G3523">
        <v>-430.8569</v>
      </c>
      <c r="H3523" s="1">
        <v>2.5042679999999999E-6</v>
      </c>
      <c r="I3523">
        <v>215.6771</v>
      </c>
      <c r="J3523">
        <v>-459.12450000000001</v>
      </c>
      <c r="K3523">
        <v>1.109256</v>
      </c>
      <c r="L3523">
        <v>214.6371</v>
      </c>
      <c r="M3523">
        <v>0.99830920000000001</v>
      </c>
      <c r="N3523">
        <v>0</v>
      </c>
      <c r="O3523">
        <v>-5.7727929999999997E-2</v>
      </c>
      <c r="P3523">
        <v>0.99998240000000005</v>
      </c>
      <c r="Q3523">
        <v>5.4402540000000003E-3</v>
      </c>
      <c r="R3523">
        <v>-2.3420139999999999E-3</v>
      </c>
      <c r="S3523">
        <v>3.0010680000000001</v>
      </c>
      <c r="T3523">
        <v>-0.1170682</v>
      </c>
      <c r="U3523">
        <v>0.1087646</v>
      </c>
      <c r="V3523">
        <v>-5.5391049999999997E-2</v>
      </c>
      <c r="W3523">
        <v>1.2234210000000001E-2</v>
      </c>
      <c r="X3523">
        <v>0.99838979999999999</v>
      </c>
      <c r="Y3523">
        <v>-9.3734120000000004E-2</v>
      </c>
      <c r="Z3523">
        <v>4.0769409999999997E-3</v>
      </c>
      <c r="AA3523">
        <v>0.9955889</v>
      </c>
      <c r="AB3523">
        <v>17</v>
      </c>
      <c r="AC3523">
        <v>28.267600000000002</v>
      </c>
      <c r="AD3523">
        <v>-1.1092534957319999</v>
      </c>
      <c r="AE3523">
        <v>1.03999999999999</v>
      </c>
      <c r="AF3523">
        <v>-2.6660335267408</v>
      </c>
      <c r="AG3523">
        <v>-1.1092534957319999</v>
      </c>
      <c r="AH3523">
        <v>28.1171807481206</v>
      </c>
      <c r="AI3523">
        <v>92.249132061451405</v>
      </c>
      <c r="AJ3523">
        <v>95.416515490321601</v>
      </c>
      <c r="AK3523">
        <v>28.265067332415502</v>
      </c>
      <c r="AL3523">
        <v>89.299013926784397</v>
      </c>
      <c r="AM3523">
        <v>93.175536370895401</v>
      </c>
      <c r="AN3523">
        <v>1.0000000185292299</v>
      </c>
    </row>
    <row r="3524" spans="1:40" x14ac:dyDescent="0.25">
      <c r="A3524" t="str">
        <f>"20190312160709325"</f>
        <v>20190312160709325</v>
      </c>
      <c r="B3524" t="str">
        <f>"1552378029318910"</f>
        <v>1552378029318910</v>
      </c>
      <c r="C3524" t="s">
        <v>40</v>
      </c>
      <c r="D3524">
        <v>9.5285899999999994</v>
      </c>
      <c r="E3524">
        <v>0.48493839999999999</v>
      </c>
      <c r="F3524" t="s">
        <v>77</v>
      </c>
      <c r="G3524">
        <v>-430.27379999999999</v>
      </c>
      <c r="H3524" s="1">
        <v>2.244237E-6</v>
      </c>
      <c r="I3524">
        <v>215.69370000000001</v>
      </c>
      <c r="J3524">
        <v>-458.94880000000001</v>
      </c>
      <c r="K3524">
        <v>1.109226</v>
      </c>
      <c r="L3524">
        <v>214.62729999999999</v>
      </c>
      <c r="M3524">
        <v>0.99832310000000002</v>
      </c>
      <c r="N3524">
        <v>0</v>
      </c>
      <c r="O3524">
        <v>-5.7485700000000001E-2</v>
      </c>
      <c r="P3524">
        <v>0.9999768</v>
      </c>
      <c r="Q3524">
        <v>6.511874E-3</v>
      </c>
      <c r="R3524">
        <v>-2.0008109999999999E-3</v>
      </c>
      <c r="S3524">
        <v>3.0009459999999999</v>
      </c>
      <c r="T3524">
        <v>-0.115381</v>
      </c>
      <c r="U3524">
        <v>0.1099091</v>
      </c>
      <c r="V3524">
        <v>-5.5488830000000003E-2</v>
      </c>
      <c r="W3524">
        <v>1.3311770000000001E-2</v>
      </c>
      <c r="X3524">
        <v>0.9983706</v>
      </c>
      <c r="Y3524">
        <v>-9.3876550000000003E-2</v>
      </c>
      <c r="Z3524">
        <v>4.011807E-3</v>
      </c>
      <c r="AA3524">
        <v>0.99557580000000001</v>
      </c>
      <c r="AB3524">
        <v>17</v>
      </c>
      <c r="AC3524">
        <v>28.675000000000001</v>
      </c>
      <c r="AD3524">
        <v>-1.109223755763</v>
      </c>
      <c r="AE3524">
        <v>1.06640000000001</v>
      </c>
      <c r="AF3524">
        <v>-2.7090290803973698</v>
      </c>
      <c r="AG3524">
        <v>-1.109223755763</v>
      </c>
      <c r="AH3524">
        <v>28.523652384076101</v>
      </c>
      <c r="AI3524">
        <v>92.217021476000895</v>
      </c>
      <c r="AJ3524">
        <v>95.425383347342205</v>
      </c>
      <c r="AK3524">
        <v>28.6734713843022</v>
      </c>
      <c r="AL3524">
        <v>89.237269259723107</v>
      </c>
      <c r="AM3524">
        <v>93.181191589788796</v>
      </c>
      <c r="AN3524">
        <v>1.0000000342098301</v>
      </c>
    </row>
    <row r="3525" spans="1:40" x14ac:dyDescent="0.25">
      <c r="A3525" t="str">
        <f>"20190312160709347"</f>
        <v>20190312160709347</v>
      </c>
      <c r="B3525" t="str">
        <f>"1552378029338430"</f>
        <v>1552378029338430</v>
      </c>
      <c r="C3525" t="s">
        <v>40</v>
      </c>
      <c r="D3525">
        <v>6.4196049999999998</v>
      </c>
      <c r="E3525">
        <v>0.48495670000000002</v>
      </c>
      <c r="F3525" t="s">
        <v>77</v>
      </c>
      <c r="G3525">
        <v>-428.86040000000003</v>
      </c>
      <c r="H3525" s="1">
        <v>2.294706E-6</v>
      </c>
      <c r="I3525">
        <v>215.7396</v>
      </c>
      <c r="J3525">
        <v>-458.78489999999999</v>
      </c>
      <c r="K3525">
        <v>1.1091949999999999</v>
      </c>
      <c r="L3525">
        <v>214.61799999999999</v>
      </c>
      <c r="M3525">
        <v>0.99833209999999994</v>
      </c>
      <c r="N3525">
        <v>0</v>
      </c>
      <c r="O3525">
        <v>-5.7331720000000003E-2</v>
      </c>
      <c r="P3525">
        <v>0.99997559999999996</v>
      </c>
      <c r="Q3525">
        <v>6.8386860000000001E-3</v>
      </c>
      <c r="R3525">
        <v>-1.616195E-3</v>
      </c>
      <c r="S3525">
        <v>3.0009459999999999</v>
      </c>
      <c r="T3525">
        <v>-0.11063149999999999</v>
      </c>
      <c r="U3525">
        <v>0.110946699999999</v>
      </c>
      <c r="V3525">
        <v>-5.5717570000000001E-2</v>
      </c>
      <c r="W3525">
        <v>1.364601E-2</v>
      </c>
      <c r="X3525">
        <v>0.9983533</v>
      </c>
      <c r="Y3525">
        <v>-9.4075699999999998E-2</v>
      </c>
      <c r="Z3525">
        <v>3.84476E-3</v>
      </c>
      <c r="AA3525">
        <v>0.99555760000000004</v>
      </c>
      <c r="AB3525">
        <v>17</v>
      </c>
      <c r="AC3525">
        <v>29.924499999999899</v>
      </c>
      <c r="AD3525">
        <v>-1.109192705294</v>
      </c>
      <c r="AE3525">
        <v>1.1215999999999999</v>
      </c>
      <c r="AF3525">
        <v>-2.8315328532859798</v>
      </c>
      <c r="AG3525">
        <v>-1.109192705294</v>
      </c>
      <c r="AH3525">
        <v>29.770128421892199</v>
      </c>
      <c r="AI3525">
        <v>92.124194553825006</v>
      </c>
      <c r="AJ3525">
        <v>95.433241587577896</v>
      </c>
      <c r="AK3525">
        <v>29.925046917468102</v>
      </c>
      <c r="AL3525">
        <v>89.218116941690297</v>
      </c>
      <c r="AM3525">
        <v>93.194333461048103</v>
      </c>
      <c r="AN3525">
        <v>0.99999998640825705</v>
      </c>
    </row>
    <row r="3526" spans="1:40" x14ac:dyDescent="0.25">
      <c r="A3526" t="str">
        <f>"20190312160709369"</f>
        <v>20190312160709369</v>
      </c>
      <c r="B3526" t="str">
        <f>"1552378029358926"</f>
        <v>1552378029358926</v>
      </c>
      <c r="C3526" t="s">
        <v>40</v>
      </c>
      <c r="D3526">
        <v>7.800802</v>
      </c>
      <c r="E3526">
        <v>0.4849503</v>
      </c>
      <c r="F3526" t="s">
        <v>77</v>
      </c>
      <c r="G3526">
        <v>-428.19979999999998</v>
      </c>
      <c r="H3526" s="1">
        <v>2.4103079999999998E-6</v>
      </c>
      <c r="I3526">
        <v>215.7577</v>
      </c>
      <c r="J3526">
        <v>-458.61290000000002</v>
      </c>
      <c r="K3526">
        <v>1.1091569999999999</v>
      </c>
      <c r="L3526">
        <v>214.60830000000001</v>
      </c>
      <c r="M3526">
        <v>0.99833709999999998</v>
      </c>
      <c r="N3526">
        <v>0</v>
      </c>
      <c r="O3526">
        <v>-5.7242649999999999E-2</v>
      </c>
      <c r="P3526">
        <v>0.99997950000000002</v>
      </c>
      <c r="Q3526">
        <v>6.0934149999999996E-3</v>
      </c>
      <c r="R3526">
        <v>-2.0955729999999999E-3</v>
      </c>
      <c r="S3526">
        <v>3.0009459999999999</v>
      </c>
      <c r="T3526">
        <v>-0.10883180000000001</v>
      </c>
      <c r="U3526">
        <v>0.1118164</v>
      </c>
      <c r="V3526">
        <v>-5.5149209999999997E-2</v>
      </c>
      <c r="W3526">
        <v>1.291079E-2</v>
      </c>
      <c r="X3526">
        <v>0.99839469999999997</v>
      </c>
      <c r="Y3526">
        <v>-9.4278299999999995E-2</v>
      </c>
      <c r="Z3526">
        <v>3.7826859999999999E-3</v>
      </c>
      <c r="AA3526">
        <v>0.9955387</v>
      </c>
      <c r="AB3526">
        <v>17</v>
      </c>
      <c r="AC3526">
        <v>30.4131</v>
      </c>
      <c r="AD3526">
        <v>-1.1091545896920001</v>
      </c>
      <c r="AE3526">
        <v>1.14939999999998</v>
      </c>
      <c r="AF3526">
        <v>-2.8846507786827198</v>
      </c>
      <c r="AG3526">
        <v>-1.1091545896920001</v>
      </c>
      <c r="AH3526">
        <v>30.257247183108099</v>
      </c>
      <c r="AI3526">
        <v>92.089911252854407</v>
      </c>
      <c r="AJ3526">
        <v>95.4459771481377</v>
      </c>
      <c r="AK3526">
        <v>30.414674765949599</v>
      </c>
      <c r="AL3526">
        <v>89.260245707730704</v>
      </c>
      <c r="AM3526">
        <v>93.161684529876993</v>
      </c>
      <c r="AN3526">
        <v>1.0000000504250599</v>
      </c>
    </row>
    <row r="3527" spans="1:40" x14ac:dyDescent="0.25">
      <c r="A3527" t="str">
        <f>"20190312160709392"</f>
        <v>20190312160709392</v>
      </c>
      <c r="B3527" t="str">
        <f>"1552378029388206"</f>
        <v>1552378029388206</v>
      </c>
      <c r="C3527" t="s">
        <v>40</v>
      </c>
      <c r="D3527">
        <v>6.3680029999999999</v>
      </c>
      <c r="E3527">
        <v>0.48498419999999998</v>
      </c>
      <c r="F3527" t="s">
        <v>77</v>
      </c>
      <c r="G3527">
        <v>-428.32709999999997</v>
      </c>
      <c r="H3527" s="1">
        <v>2.3908410000000001E-6</v>
      </c>
      <c r="I3527">
        <v>215.72210000000001</v>
      </c>
      <c r="J3527">
        <v>-458.44389999999999</v>
      </c>
      <c r="K3527">
        <v>1.109119</v>
      </c>
      <c r="L3527">
        <v>214.59870000000001</v>
      </c>
      <c r="M3527">
        <v>0.99833830000000001</v>
      </c>
      <c r="N3527">
        <v>0</v>
      </c>
      <c r="O3527">
        <v>-5.7219730000000003E-2</v>
      </c>
      <c r="P3527">
        <v>0.99998209999999998</v>
      </c>
      <c r="Q3527">
        <v>4.7958460000000003E-3</v>
      </c>
      <c r="R3527">
        <v>-3.575848E-3</v>
      </c>
      <c r="S3527">
        <v>3.001007</v>
      </c>
      <c r="T3527">
        <v>-0.10990560000000001</v>
      </c>
      <c r="U3527">
        <v>0.1103668</v>
      </c>
      <c r="V3527">
        <v>-5.364704E-2</v>
      </c>
      <c r="W3527">
        <v>1.1623420000000001E-2</v>
      </c>
      <c r="X3527">
        <v>0.9984923</v>
      </c>
      <c r="Y3527">
        <v>-9.3772839999999996E-2</v>
      </c>
      <c r="Z3527">
        <v>3.809846E-3</v>
      </c>
      <c r="AA3527">
        <v>0.99558630000000004</v>
      </c>
      <c r="AB3527">
        <v>17</v>
      </c>
      <c r="AC3527">
        <v>30.116800000000001</v>
      </c>
      <c r="AD3527">
        <v>-1.1091166091589999</v>
      </c>
      <c r="AE3527">
        <v>1.1234</v>
      </c>
      <c r="AF3527">
        <v>-2.8410268510334298</v>
      </c>
      <c r="AG3527">
        <v>-1.1091166091589999</v>
      </c>
      <c r="AH3527">
        <v>29.9625924455442</v>
      </c>
      <c r="AI3527">
        <v>92.110475917757498</v>
      </c>
      <c r="AJ3527">
        <v>95.416541742271306</v>
      </c>
      <c r="AK3527">
        <v>30.117412227460498</v>
      </c>
      <c r="AL3527">
        <v>89.334012087648205</v>
      </c>
      <c r="AM3527">
        <v>93.075433251590297</v>
      </c>
      <c r="AN3527">
        <v>0.99999999097627401</v>
      </c>
    </row>
    <row r="3528" spans="1:40" x14ac:dyDescent="0.25">
      <c r="A3528" t="str">
        <f>"20190312160709414"</f>
        <v>20190312160709414</v>
      </c>
      <c r="B3528" t="str">
        <f>"1552378029408702"</f>
        <v>1552378029408702</v>
      </c>
      <c r="C3528" t="s">
        <v>40</v>
      </c>
      <c r="D3528">
        <v>6.3694620000000004</v>
      </c>
      <c r="E3528">
        <v>0.48503210000000002</v>
      </c>
      <c r="F3528" t="s">
        <v>77</v>
      </c>
      <c r="G3528">
        <v>-428.80840000000001</v>
      </c>
      <c r="H3528" s="1">
        <v>2.3122259999999999E-6</v>
      </c>
      <c r="I3528">
        <v>215.6447</v>
      </c>
      <c r="J3528">
        <v>-458.2715</v>
      </c>
      <c r="K3528">
        <v>1.109081</v>
      </c>
      <c r="L3528">
        <v>214.58869999999999</v>
      </c>
      <c r="M3528">
        <v>0.99833609999999995</v>
      </c>
      <c r="N3528">
        <v>0</v>
      </c>
      <c r="O3528">
        <v>-5.725674E-2</v>
      </c>
      <c r="P3528">
        <v>0.99997579999999997</v>
      </c>
      <c r="Q3528">
        <v>4.9375959999999998E-3</v>
      </c>
      <c r="R3528">
        <v>-4.9044589999999999E-3</v>
      </c>
      <c r="S3528">
        <v>3.0009769999999998</v>
      </c>
      <c r="T3528">
        <v>-0.1123126</v>
      </c>
      <c r="U3528">
        <v>0.10592650000000001</v>
      </c>
      <c r="V3528">
        <v>-5.235662E-2</v>
      </c>
      <c r="W3528">
        <v>1.177505E-2</v>
      </c>
      <c r="X3528">
        <v>0.99855910000000003</v>
      </c>
      <c r="Y3528">
        <v>-9.2335329999999993E-2</v>
      </c>
      <c r="Z3528">
        <v>3.8678470000000002E-3</v>
      </c>
      <c r="AA3528">
        <v>0.99572039999999995</v>
      </c>
      <c r="AB3528">
        <v>17</v>
      </c>
      <c r="AC3528">
        <v>29.463100000000001</v>
      </c>
      <c r="AD3528">
        <v>-1.109078687774</v>
      </c>
      <c r="AE3528">
        <v>1.05600000000001</v>
      </c>
      <c r="AF3528">
        <v>-2.7373940903221898</v>
      </c>
      <c r="AG3528">
        <v>-1.109078687774</v>
      </c>
      <c r="AH3528">
        <v>29.312815841024801</v>
      </c>
      <c r="AI3528">
        <v>92.157429580343901</v>
      </c>
      <c r="AJ3528">
        <v>95.335126105922299</v>
      </c>
      <c r="AK3528">
        <v>29.461238169351301</v>
      </c>
      <c r="AL3528">
        <v>89.325323788447207</v>
      </c>
      <c r="AM3528">
        <v>93.001393627755604</v>
      </c>
      <c r="AN3528">
        <v>1.00000007182656</v>
      </c>
    </row>
    <row r="3529" spans="1:40" x14ac:dyDescent="0.25">
      <c r="A3529" t="str">
        <f>"20190312160709438"</f>
        <v>20190312160709438</v>
      </c>
      <c r="B3529" t="str">
        <f>"1552378029428222"</f>
        <v>1552378029428222</v>
      </c>
      <c r="C3529" t="s">
        <v>40</v>
      </c>
      <c r="D3529">
        <v>6.3219649999999996</v>
      </c>
      <c r="E3529">
        <v>0.485068</v>
      </c>
      <c r="F3529" t="s">
        <v>77</v>
      </c>
      <c r="G3529">
        <v>-428.34930000000003</v>
      </c>
      <c r="H3529" s="1">
        <v>2.39761E-6</v>
      </c>
      <c r="I3529">
        <v>215.59970000000001</v>
      </c>
      <c r="J3529">
        <v>-458.08229999999998</v>
      </c>
      <c r="K3529">
        <v>1.109056</v>
      </c>
      <c r="L3529">
        <v>214.5778</v>
      </c>
      <c r="M3529">
        <v>0.99832949999999998</v>
      </c>
      <c r="N3529">
        <v>0</v>
      </c>
      <c r="O3529">
        <v>-5.7374069999999999E-2</v>
      </c>
      <c r="P3529">
        <v>0.99995849999999997</v>
      </c>
      <c r="Q3529">
        <v>6.5371630000000003E-3</v>
      </c>
      <c r="R3529">
        <v>-6.3851990000000003E-3</v>
      </c>
      <c r="S3529">
        <v>3.00116</v>
      </c>
      <c r="T3529">
        <v>-0.1112392</v>
      </c>
      <c r="U3529">
        <v>0.1013947</v>
      </c>
      <c r="V3529">
        <v>-5.099327E-2</v>
      </c>
      <c r="W3529">
        <v>1.3385670000000001E-2</v>
      </c>
      <c r="X3529">
        <v>0.99860930000000003</v>
      </c>
      <c r="Y3529">
        <v>-9.0951199999999996E-2</v>
      </c>
      <c r="Z3529">
        <v>3.8094589999999998E-3</v>
      </c>
      <c r="AA3529">
        <v>0.99584810000000001</v>
      </c>
      <c r="AB3529">
        <v>17</v>
      </c>
      <c r="AC3529">
        <v>29.732999999999901</v>
      </c>
      <c r="AD3529">
        <v>-1.1090536023899999</v>
      </c>
      <c r="AE3529">
        <v>1.02190000000001</v>
      </c>
      <c r="AF3529">
        <v>-2.7223761891671701</v>
      </c>
      <c r="AG3529">
        <v>-1.1090536023899999</v>
      </c>
      <c r="AH3529">
        <v>29.584275470992299</v>
      </c>
      <c r="AI3529">
        <v>92.137871427117801</v>
      </c>
      <c r="AJ3529">
        <v>95.257611078725404</v>
      </c>
      <c r="AK3529">
        <v>29.7299627842329</v>
      </c>
      <c r="AL3529">
        <v>89.233034707357305</v>
      </c>
      <c r="AM3529">
        <v>92.923228951704502</v>
      </c>
      <c r="AN3529">
        <v>1.00000001189656</v>
      </c>
    </row>
    <row r="3530" spans="1:40" x14ac:dyDescent="0.25">
      <c r="A3530" t="str">
        <f>"20190312160709471"</f>
        <v>20190312160709471</v>
      </c>
      <c r="B3530" t="str">
        <f>"1552378029458478"</f>
        <v>1552378029458478</v>
      </c>
      <c r="C3530" t="s">
        <v>40</v>
      </c>
      <c r="D3530">
        <v>6.3681340000000004</v>
      </c>
      <c r="E3530">
        <v>0.48546460000000002</v>
      </c>
      <c r="F3530" t="s">
        <v>77</v>
      </c>
      <c r="G3530">
        <v>-426.65589999999997</v>
      </c>
      <c r="H3530" s="1">
        <v>2.6988490000000002E-6</v>
      </c>
      <c r="I3530">
        <v>215.5899</v>
      </c>
      <c r="J3530">
        <v>-457.82870000000003</v>
      </c>
      <c r="K3530">
        <v>1.10903</v>
      </c>
      <c r="L3530">
        <v>214.56290000000001</v>
      </c>
      <c r="M3530">
        <v>0.99831479999999995</v>
      </c>
      <c r="N3530">
        <v>0</v>
      </c>
      <c r="O3530">
        <v>-5.762755E-2</v>
      </c>
      <c r="P3530">
        <v>0.99993949999999998</v>
      </c>
      <c r="Q3530">
        <v>8.0934140000000002E-3</v>
      </c>
      <c r="R3530">
        <v>-7.4790150000000003E-3</v>
      </c>
      <c r="S3530">
        <v>3.001404</v>
      </c>
      <c r="T3530">
        <v>-0.1059208</v>
      </c>
      <c r="U3530">
        <v>9.6664429999999996E-2</v>
      </c>
      <c r="V3530">
        <v>-5.0152160000000001E-2</v>
      </c>
      <c r="W3530">
        <v>1.495574E-2</v>
      </c>
      <c r="X3530">
        <v>0.99862960000000001</v>
      </c>
      <c r="Y3530">
        <v>-8.9643650000000005E-2</v>
      </c>
      <c r="Z3530">
        <v>3.6130939999999999E-3</v>
      </c>
      <c r="AA3530">
        <v>0.9959673</v>
      </c>
      <c r="AB3530">
        <v>17</v>
      </c>
      <c r="AC3530">
        <v>31.172799999999999</v>
      </c>
      <c r="AD3530">
        <v>-1.1090273011509999</v>
      </c>
      <c r="AE3530">
        <v>1.0269999999999799</v>
      </c>
      <c r="AF3530">
        <v>-2.81818404868174</v>
      </c>
      <c r="AG3530">
        <v>-1.1090273011509999</v>
      </c>
      <c r="AH3530">
        <v>31.022585348679101</v>
      </c>
      <c r="AI3530">
        <v>92.0390076068973</v>
      </c>
      <c r="AJ3530">
        <v>95.190671962742798</v>
      </c>
      <c r="AK3530">
        <v>31.170064238031699</v>
      </c>
      <c r="AL3530">
        <v>89.143067267137695</v>
      </c>
      <c r="AM3530">
        <v>92.875034895968298</v>
      </c>
      <c r="AN3530">
        <v>0.99999999565388598</v>
      </c>
    </row>
    <row r="3531" spans="1:40" x14ac:dyDescent="0.25">
      <c r="A3531" t="str">
        <f>"20190312160709492"</f>
        <v>20190312160709492</v>
      </c>
      <c r="B3531" t="str">
        <f>"1552378029488734"</f>
        <v>1552378029488734</v>
      </c>
      <c r="C3531" t="s">
        <v>40</v>
      </c>
      <c r="D3531">
        <v>6.3757950000000001</v>
      </c>
      <c r="E3531">
        <v>0.48615550000000002</v>
      </c>
      <c r="F3531" t="s">
        <v>77</v>
      </c>
      <c r="G3531">
        <v>-424.31760000000003</v>
      </c>
      <c r="H3531" s="1">
        <v>3.1153690000000001E-6</v>
      </c>
      <c r="I3531">
        <v>215.56989999999999</v>
      </c>
      <c r="J3531">
        <v>-457.66300000000001</v>
      </c>
      <c r="K3531">
        <v>1.1090230000000001</v>
      </c>
      <c r="L3531">
        <v>214.5531</v>
      </c>
      <c r="M3531">
        <v>0.99830249999999998</v>
      </c>
      <c r="N3531">
        <v>0</v>
      </c>
      <c r="O3531">
        <v>-5.7837720000000002E-2</v>
      </c>
      <c r="P3531">
        <v>0.99993659999999995</v>
      </c>
      <c r="Q3531">
        <v>8.4763770000000002E-3</v>
      </c>
      <c r="R3531">
        <v>-7.4307560000000002E-3</v>
      </c>
      <c r="S3531">
        <v>3.0016479999999999</v>
      </c>
      <c r="T3531">
        <v>-9.9337339999999996E-2</v>
      </c>
      <c r="U3531">
        <v>9.0194700000000003E-2</v>
      </c>
      <c r="V3531">
        <v>-5.0409950000000002E-2</v>
      </c>
      <c r="W3531">
        <v>1.5347660000000001E-2</v>
      </c>
      <c r="X3531">
        <v>0.99861069999999996</v>
      </c>
      <c r="Y3531">
        <v>-8.7717920000000005E-2</v>
      </c>
      <c r="Z3531">
        <v>3.3635570000000001E-3</v>
      </c>
      <c r="AA3531">
        <v>0.99613969999999996</v>
      </c>
      <c r="AB3531">
        <v>17</v>
      </c>
      <c r="AC3531">
        <v>33.345399999999898</v>
      </c>
      <c r="AD3531">
        <v>-1.10901988463099</v>
      </c>
      <c r="AE3531">
        <v>1.0167999999999799</v>
      </c>
      <c r="AF3531">
        <v>-2.9405153715974399</v>
      </c>
      <c r="AG3531">
        <v>-1.10901988463099</v>
      </c>
      <c r="AH3531">
        <v>33.194083420485399</v>
      </c>
      <c r="AI3531">
        <v>91.906091033498001</v>
      </c>
      <c r="AJ3531">
        <v>95.062362298265498</v>
      </c>
      <c r="AK3531">
        <v>33.342521348591099</v>
      </c>
      <c r="AL3531">
        <v>89.120609350079803</v>
      </c>
      <c r="AM3531">
        <v>92.889842643009899</v>
      </c>
      <c r="AN3531">
        <v>1.0000000219404801</v>
      </c>
    </row>
    <row r="3532" spans="1:40" x14ac:dyDescent="0.25">
      <c r="A3532" t="str">
        <f>"20190312160709515"</f>
        <v>20190312160709515</v>
      </c>
      <c r="B3532" t="str">
        <f>"1552378029508255"</f>
        <v>1552378029508255</v>
      </c>
      <c r="C3532" t="s">
        <v>40</v>
      </c>
      <c r="D3532">
        <v>6.3712679999999997</v>
      </c>
      <c r="E3532">
        <v>0.48656349999999998</v>
      </c>
      <c r="F3532" t="s">
        <v>77</v>
      </c>
      <c r="G3532">
        <v>-422.75259999999997</v>
      </c>
      <c r="H3532" s="1">
        <v>3.3955189999999998E-6</v>
      </c>
      <c r="I3532">
        <v>215.54079999999999</v>
      </c>
      <c r="J3532">
        <v>-457.47770000000003</v>
      </c>
      <c r="K3532">
        <v>1.109016</v>
      </c>
      <c r="L3532">
        <v>214.5421</v>
      </c>
      <c r="M3532">
        <v>0.99828720000000004</v>
      </c>
      <c r="N3532">
        <v>0</v>
      </c>
      <c r="O3532">
        <v>-5.8100659999999998E-2</v>
      </c>
      <c r="P3532">
        <v>0.99994039999999995</v>
      </c>
      <c r="Q3532">
        <v>8.439205E-3</v>
      </c>
      <c r="R3532">
        <v>-6.9556189999999997E-3</v>
      </c>
      <c r="S3532">
        <v>3.001617</v>
      </c>
      <c r="T3532">
        <v>-9.5354079999999994E-2</v>
      </c>
      <c r="U3532">
        <v>8.4915160000000003E-2</v>
      </c>
      <c r="V3532">
        <v>-5.1147560000000002E-2</v>
      </c>
      <c r="W3532">
        <v>1.5320479999999999E-2</v>
      </c>
      <c r="X3532">
        <v>0.99857359999999995</v>
      </c>
      <c r="Y3532">
        <v>-8.6236729999999998E-2</v>
      </c>
      <c r="Z3532">
        <v>3.213671E-3</v>
      </c>
      <c r="AA3532">
        <v>0.99626950000000003</v>
      </c>
      <c r="AB3532">
        <v>18</v>
      </c>
      <c r="AC3532">
        <v>34.725099999999998</v>
      </c>
      <c r="AD3532">
        <v>-1.109012604481</v>
      </c>
      <c r="AE3532">
        <v>0.99869999999998504</v>
      </c>
      <c r="AF3532">
        <v>-3.0115423346996</v>
      </c>
      <c r="AG3532">
        <v>-1.109012604481</v>
      </c>
      <c r="AH3532">
        <v>34.573176332777201</v>
      </c>
      <c r="AI3532">
        <v>91.830335388068704</v>
      </c>
      <c r="AJ3532">
        <v>94.978259300325007</v>
      </c>
      <c r="AK3532">
        <v>34.721806086779203</v>
      </c>
      <c r="AL3532">
        <v>89.122166823996494</v>
      </c>
      <c r="AM3532">
        <v>92.932162976856603</v>
      </c>
      <c r="AN3532">
        <v>1.0000000123091699</v>
      </c>
    </row>
    <row r="3533" spans="1:40" x14ac:dyDescent="0.25">
      <c r="A3533" t="str">
        <f>"20190312160709538"</f>
        <v>20190312160709538</v>
      </c>
      <c r="B3533" t="str">
        <f>"1552378029528281"</f>
        <v>1552378029528281</v>
      </c>
      <c r="C3533" t="s">
        <v>40</v>
      </c>
      <c r="D3533">
        <v>6.374104</v>
      </c>
      <c r="E3533">
        <v>0.48690879999999997</v>
      </c>
      <c r="F3533" t="s">
        <v>77</v>
      </c>
      <c r="G3533">
        <v>-421.90699999999998</v>
      </c>
      <c r="H3533" s="1">
        <v>3.5468079999999999E-6</v>
      </c>
      <c r="I3533">
        <v>215.52600000000001</v>
      </c>
      <c r="J3533">
        <v>-457.29829999999998</v>
      </c>
      <c r="K3533">
        <v>1.1090230000000001</v>
      </c>
      <c r="L3533">
        <v>214.53139999999999</v>
      </c>
      <c r="M3533">
        <v>0.99827129999999997</v>
      </c>
      <c r="N3533">
        <v>0</v>
      </c>
      <c r="O3533">
        <v>-5.8371529999999998E-2</v>
      </c>
      <c r="P3533">
        <v>0.99993430000000005</v>
      </c>
      <c r="Q3533">
        <v>9.3940110000000007E-3</v>
      </c>
      <c r="R3533">
        <v>-6.6032549999999997E-3</v>
      </c>
      <c r="S3533">
        <v>3.0015869999999998</v>
      </c>
      <c r="T3533">
        <v>-9.3582509999999994E-2</v>
      </c>
      <c r="U3533">
        <v>8.3023070000000004E-2</v>
      </c>
      <c r="V3533">
        <v>-5.1769580000000003E-2</v>
      </c>
      <c r="W3533">
        <v>1.6284050000000001E-2</v>
      </c>
      <c r="X3533">
        <v>0.99852629999999998</v>
      </c>
      <c r="Y3533">
        <v>-8.5882550000000002E-2</v>
      </c>
      <c r="Z3533">
        <v>3.1569609999999998E-3</v>
      </c>
      <c r="AA3533">
        <v>0.99630030000000003</v>
      </c>
      <c r="AB3533">
        <v>18</v>
      </c>
      <c r="AC3533">
        <v>35.391300000000001</v>
      </c>
      <c r="AD3533">
        <v>-1.1090194531919999</v>
      </c>
      <c r="AE3533">
        <v>0.99459999999999105</v>
      </c>
      <c r="AF3533">
        <v>-3.0557988709627</v>
      </c>
      <c r="AG3533">
        <v>-1.1090194531919999</v>
      </c>
      <c r="AH3533">
        <v>35.238320126867599</v>
      </c>
      <c r="AI3533">
        <v>91.795880771514504</v>
      </c>
      <c r="AJ3533">
        <v>94.956180314113993</v>
      </c>
      <c r="AK3533">
        <v>35.387950438686602</v>
      </c>
      <c r="AL3533">
        <v>89.066951437087198</v>
      </c>
      <c r="AM3533">
        <v>92.967898809761493</v>
      </c>
      <c r="AN3533">
        <v>1.00000001574473</v>
      </c>
    </row>
    <row r="3534" spans="1:40" x14ac:dyDescent="0.25">
      <c r="A3534" t="str">
        <f>"20190312160709560"</f>
        <v>20190312160709560</v>
      </c>
      <c r="B3534" t="str">
        <f>"1552378029548776"</f>
        <v>1552378029548776</v>
      </c>
      <c r="C3534" t="s">
        <v>40</v>
      </c>
      <c r="D3534">
        <v>6.3224619999999998</v>
      </c>
      <c r="E3534">
        <v>0.48710199999999998</v>
      </c>
      <c r="F3534" t="s">
        <v>77</v>
      </c>
      <c r="G3534">
        <v>-419.83190000000002</v>
      </c>
      <c r="H3534" s="1">
        <v>3.8682380000000003E-6</v>
      </c>
      <c r="I3534">
        <v>215.5488</v>
      </c>
      <c r="J3534">
        <v>-457.11810000000003</v>
      </c>
      <c r="K3534">
        <v>1.1090390000000001</v>
      </c>
      <c r="L3534">
        <v>214.5205</v>
      </c>
      <c r="M3534">
        <v>0.99825509999999995</v>
      </c>
      <c r="N3534">
        <v>0</v>
      </c>
      <c r="O3534">
        <v>-5.8648199999999998E-2</v>
      </c>
      <c r="P3534">
        <v>0.99992110000000001</v>
      </c>
      <c r="Q3534">
        <v>1.072352E-2</v>
      </c>
      <c r="R3534">
        <v>-6.5614799999999997E-3</v>
      </c>
      <c r="S3534">
        <v>3.0015559999999999</v>
      </c>
      <c r="T3534">
        <v>-8.8847159999999994E-2</v>
      </c>
      <c r="U3534">
        <v>8.151245E-2</v>
      </c>
      <c r="V3534">
        <v>-5.2086430000000003E-2</v>
      </c>
      <c r="W3534">
        <v>1.762186E-2</v>
      </c>
      <c r="X3534">
        <v>0.99848709999999996</v>
      </c>
      <c r="Y3534">
        <v>-8.5664790000000005E-2</v>
      </c>
      <c r="Z3534">
        <v>3.0022899999999999E-3</v>
      </c>
      <c r="AA3534">
        <v>0.99631950000000002</v>
      </c>
      <c r="AB3534">
        <v>18</v>
      </c>
      <c r="AC3534">
        <v>37.286200000000001</v>
      </c>
      <c r="AD3534">
        <v>-1.109035131762</v>
      </c>
      <c r="AE3534">
        <v>1.0283</v>
      </c>
      <c r="AF3534">
        <v>-3.2105118098515102</v>
      </c>
      <c r="AG3534">
        <v>-1.109035131762</v>
      </c>
      <c r="AH3534">
        <v>37.128884517336502</v>
      </c>
      <c r="AI3534">
        <v>91.704552262280998</v>
      </c>
      <c r="AJ3534">
        <v>94.9420381487611</v>
      </c>
      <c r="AK3534">
        <v>37.283929654830999</v>
      </c>
      <c r="AL3534">
        <v>88.990289540251098</v>
      </c>
      <c r="AM3534">
        <v>92.986147750746795</v>
      </c>
      <c r="AN3534">
        <v>1.0000000075032001</v>
      </c>
    </row>
    <row r="3535" spans="1:40" x14ac:dyDescent="0.25">
      <c r="A3535" t="str">
        <f>"20190312160709583"</f>
        <v>20190312160709583</v>
      </c>
      <c r="B3535" t="str">
        <f>"1552378029579034"</f>
        <v>1552378029579034</v>
      </c>
      <c r="C3535" t="s">
        <v>40</v>
      </c>
      <c r="D3535">
        <v>6.3825969999999996</v>
      </c>
      <c r="E3535">
        <v>0.4876144</v>
      </c>
      <c r="F3535" t="s">
        <v>77</v>
      </c>
      <c r="G3535">
        <v>-417.46179999999998</v>
      </c>
      <c r="H3535" s="1">
        <v>3.4452539999999999E-6</v>
      </c>
      <c r="I3535">
        <v>215.57830000000001</v>
      </c>
      <c r="J3535">
        <v>-456.93459999999999</v>
      </c>
      <c r="K3535">
        <v>1.1090469999999999</v>
      </c>
      <c r="L3535">
        <v>214.5094</v>
      </c>
      <c r="M3535">
        <v>0.99823850000000003</v>
      </c>
      <c r="N3535">
        <v>0</v>
      </c>
      <c r="O3535">
        <v>-5.8927809999999997E-2</v>
      </c>
      <c r="P3535">
        <v>0.99990979999999996</v>
      </c>
      <c r="Q3535">
        <v>1.172247E-2</v>
      </c>
      <c r="R3535">
        <v>-6.5593509999999997E-3</v>
      </c>
      <c r="S3535">
        <v>3.0016479999999999</v>
      </c>
      <c r="T3535">
        <v>-8.3944679999999994E-2</v>
      </c>
      <c r="U3535">
        <v>8.0062869999999994E-2</v>
      </c>
      <c r="V3535">
        <v>-5.236735E-2</v>
      </c>
      <c r="W3535">
        <v>1.8628769999999999E-2</v>
      </c>
      <c r="X3535">
        <v>0.99845410000000001</v>
      </c>
      <c r="Y3535">
        <v>-8.5469009999999998E-2</v>
      </c>
      <c r="Z3535">
        <v>2.8416940000000001E-3</v>
      </c>
      <c r="AA3535">
        <v>0.99633680000000002</v>
      </c>
      <c r="AB3535">
        <v>18</v>
      </c>
      <c r="AC3535">
        <v>39.472799999999999</v>
      </c>
      <c r="AD3535">
        <v>-1.10904355474599</v>
      </c>
      <c r="AE3535">
        <v>1.06890000000001</v>
      </c>
      <c r="AF3535">
        <v>-3.3904687263978501</v>
      </c>
      <c r="AG3535">
        <v>-1.10904355474599</v>
      </c>
      <c r="AH3535">
        <v>39.310204289994097</v>
      </c>
      <c r="AI3535">
        <v>91.610060662657105</v>
      </c>
      <c r="AJ3535">
        <v>94.929508713095899</v>
      </c>
      <c r="AK3535">
        <v>39.471729340276902</v>
      </c>
      <c r="AL3535">
        <v>88.932588336676702</v>
      </c>
      <c r="AM3535">
        <v>93.002322731611997</v>
      </c>
      <c r="AN3535">
        <v>0.99999998011227198</v>
      </c>
    </row>
    <row r="3536" spans="1:40" x14ac:dyDescent="0.25">
      <c r="A3536" t="str">
        <f>"20190312160709604"</f>
        <v>20190312160709604</v>
      </c>
      <c r="B3536" t="str">
        <f>"1552378029598554"</f>
        <v>1552378029598554</v>
      </c>
      <c r="C3536" t="s">
        <v>40</v>
      </c>
      <c r="D3536">
        <v>6.2841839999999998</v>
      </c>
      <c r="E3536">
        <v>0.48778090000000002</v>
      </c>
      <c r="F3536" t="s">
        <v>77</v>
      </c>
      <c r="G3536">
        <v>-414.23719999999997</v>
      </c>
      <c r="H3536" s="1">
        <v>2.8722339999999999E-6</v>
      </c>
      <c r="I3536">
        <v>215.5899</v>
      </c>
      <c r="J3536">
        <v>-456.76510000000002</v>
      </c>
      <c r="K3536">
        <v>1.1090549999999999</v>
      </c>
      <c r="L3536">
        <v>214.4991</v>
      </c>
      <c r="M3536">
        <v>0.99822359999999999</v>
      </c>
      <c r="N3536">
        <v>0</v>
      </c>
      <c r="O3536">
        <v>-5.9180120000000003E-2</v>
      </c>
      <c r="P3536">
        <v>0.99990380000000001</v>
      </c>
      <c r="Q3536">
        <v>1.251998E-2</v>
      </c>
      <c r="R3536">
        <v>-6.0119800000000001E-3</v>
      </c>
      <c r="S3536">
        <v>3.0016479999999999</v>
      </c>
      <c r="T3536">
        <v>-7.7966209999999994E-2</v>
      </c>
      <c r="U3536">
        <v>7.5958250000000005E-2</v>
      </c>
      <c r="V3536">
        <v>-5.3166369999999998E-2</v>
      </c>
      <c r="W3536">
        <v>1.9434489999999999E-2</v>
      </c>
      <c r="X3536">
        <v>0.99839650000000002</v>
      </c>
      <c r="Y3536">
        <v>-8.4367280000000003E-2</v>
      </c>
      <c r="Z3536">
        <v>2.6316550000000001E-3</v>
      </c>
      <c r="AA3536">
        <v>0.99643119999999996</v>
      </c>
      <c r="AB3536">
        <v>18</v>
      </c>
      <c r="AC3536">
        <v>42.527900000000002</v>
      </c>
      <c r="AD3536">
        <v>-1.1090521277659999</v>
      </c>
      <c r="AE3536">
        <v>1.0908</v>
      </c>
      <c r="AF3536">
        <v>-3.6033050072708699</v>
      </c>
      <c r="AG3536">
        <v>-1.1090521277659999</v>
      </c>
      <c r="AH3536">
        <v>42.3600144992349</v>
      </c>
      <c r="AI3536">
        <v>91.4943571723649</v>
      </c>
      <c r="AJ3536">
        <v>94.862093768281895</v>
      </c>
      <c r="AK3536">
        <v>42.527457388996602</v>
      </c>
      <c r="AL3536">
        <v>88.886415601458793</v>
      </c>
      <c r="AM3536">
        <v>93.048221897598793</v>
      </c>
      <c r="AN3536">
        <v>0.99999996675639302</v>
      </c>
    </row>
    <row r="3537" spans="1:40" x14ac:dyDescent="0.25">
      <c r="A3537" t="str">
        <f>"20190312160709625"</f>
        <v>20190312160709625</v>
      </c>
      <c r="B3537" t="str">
        <f>"1552378029608314"</f>
        <v>1552378029608314</v>
      </c>
      <c r="C3537" t="s">
        <v>40</v>
      </c>
      <c r="D3537">
        <v>5.7989920000000001</v>
      </c>
      <c r="E3537">
        <v>0.48778090000000002</v>
      </c>
      <c r="F3537" t="s">
        <v>77</v>
      </c>
      <c r="G3537">
        <v>-411.39280000000002</v>
      </c>
      <c r="H3537" s="1">
        <v>2.3622419999999999E-6</v>
      </c>
      <c r="I3537">
        <v>215.6524</v>
      </c>
      <c r="J3537">
        <v>-456.59019999999998</v>
      </c>
      <c r="K3537">
        <v>1.1090660000000001</v>
      </c>
      <c r="L3537">
        <v>214.48849999999999</v>
      </c>
      <c r="M3537">
        <v>0.9982084</v>
      </c>
      <c r="N3537">
        <v>0</v>
      </c>
      <c r="O3537">
        <v>-5.9432779999999998E-2</v>
      </c>
      <c r="P3537">
        <v>0.99991569999999996</v>
      </c>
      <c r="Q3537">
        <v>1.173274E-2</v>
      </c>
      <c r="R3537">
        <v>-5.5840719999999998E-3</v>
      </c>
      <c r="S3537">
        <v>3.0016780000000001</v>
      </c>
      <c r="T3537">
        <v>-7.3371290000000006E-2</v>
      </c>
      <c r="U3537">
        <v>7.6293949999999999E-2</v>
      </c>
      <c r="V3537">
        <v>-5.3847470000000001E-2</v>
      </c>
      <c r="W3537">
        <v>1.8654520000000001E-2</v>
      </c>
      <c r="X3537">
        <v>0.99837489999999995</v>
      </c>
      <c r="Y3537">
        <v>-8.4735939999999996E-2</v>
      </c>
      <c r="Z3537">
        <v>2.4872520000000001E-3</v>
      </c>
      <c r="AA3537">
        <v>0.99640039999999996</v>
      </c>
      <c r="AB3537">
        <v>18</v>
      </c>
      <c r="AC3537">
        <v>45.197399999999902</v>
      </c>
      <c r="AD3537">
        <v>-1.1090636377580001</v>
      </c>
      <c r="AE3537">
        <v>1.1639000000000099</v>
      </c>
      <c r="AF3537">
        <v>-3.8457996190066499</v>
      </c>
      <c r="AG3537">
        <v>-1.1090636377580001</v>
      </c>
      <c r="AH3537">
        <v>45.021235318244599</v>
      </c>
      <c r="AI3537">
        <v>91.406033770940098</v>
      </c>
      <c r="AJ3537">
        <v>94.882461954110894</v>
      </c>
      <c r="AK3537">
        <v>45.198803374015398</v>
      </c>
      <c r="AL3537">
        <v>88.931112725593294</v>
      </c>
      <c r="AM3537">
        <v>93.087263446610805</v>
      </c>
      <c r="AN3537">
        <v>0.99999999104591997</v>
      </c>
    </row>
    <row r="3538" spans="1:40" x14ac:dyDescent="0.25">
      <c r="A3538" t="str">
        <f>"20190312160709681"</f>
        <v>20190312160709681</v>
      </c>
      <c r="B3538" t="str">
        <f>"1552378029678585"</f>
        <v>1552378029678585</v>
      </c>
      <c r="C3538" t="s">
        <v>40</v>
      </c>
      <c r="D3538">
        <v>5.5980420000000004</v>
      </c>
      <c r="E3538">
        <v>0.50023759999999995</v>
      </c>
      <c r="F3538" t="s">
        <v>77</v>
      </c>
      <c r="G3538">
        <v>-412.66579999999999</v>
      </c>
      <c r="H3538" s="1">
        <v>2.590829E-6</v>
      </c>
      <c r="I3538">
        <v>215.6206</v>
      </c>
      <c r="J3538">
        <v>-456.13409999999999</v>
      </c>
      <c r="K3538">
        <v>1.1090629999999999</v>
      </c>
      <c r="L3538">
        <v>214.4605</v>
      </c>
      <c r="M3538">
        <v>0.99817120000000004</v>
      </c>
      <c r="N3538">
        <v>0</v>
      </c>
      <c r="O3538">
        <v>-6.0055619999999997E-2</v>
      </c>
      <c r="P3538">
        <v>0.9999285</v>
      </c>
      <c r="Q3538">
        <v>1.021655E-2</v>
      </c>
      <c r="R3538">
        <v>-6.2198849999999997E-3</v>
      </c>
      <c r="S3538">
        <v>3.0015869999999998</v>
      </c>
      <c r="T3538">
        <v>-7.5788140000000004E-2</v>
      </c>
      <c r="U3538">
        <v>7.7362059999999996E-2</v>
      </c>
      <c r="V3538">
        <v>-5.3837969999999999E-2</v>
      </c>
      <c r="W3538">
        <v>1.7141279999999998E-2</v>
      </c>
      <c r="X3538">
        <v>0.99840249999999997</v>
      </c>
      <c r="Y3538">
        <v>-8.570933E-2</v>
      </c>
      <c r="Z3538">
        <v>2.5972180000000001E-3</v>
      </c>
      <c r="AA3538">
        <v>0.9963168</v>
      </c>
      <c r="AB3538">
        <v>18</v>
      </c>
      <c r="AC3538">
        <v>43.468299999999999</v>
      </c>
      <c r="AD3538">
        <v>-1.1090604091709999</v>
      </c>
      <c r="AE3538">
        <v>1.1600999999999999</v>
      </c>
      <c r="AF3538">
        <v>-3.7661338494708301</v>
      </c>
      <c r="AG3538">
        <v>-1.1090604091709999</v>
      </c>
      <c r="AH3538">
        <v>43.292003200207503</v>
      </c>
      <c r="AI3538">
        <v>91.461970876330298</v>
      </c>
      <c r="AJ3538">
        <v>94.971857927733694</v>
      </c>
      <c r="AK3538">
        <v>43.469659766900598</v>
      </c>
      <c r="AL3538">
        <v>89.017828851169199</v>
      </c>
      <c r="AM3538">
        <v>93.086634667022594</v>
      </c>
      <c r="AN3538">
        <v>0.99999995125000296</v>
      </c>
    </row>
    <row r="3539" spans="1:40" x14ac:dyDescent="0.25">
      <c r="A3539" t="str">
        <f>"20190312160709703"</f>
        <v>20190312160709703</v>
      </c>
      <c r="B3539" t="str">
        <f>"1552378029698105"</f>
        <v>1552378029698105</v>
      </c>
      <c r="C3539" t="s">
        <v>40</v>
      </c>
      <c r="D3539">
        <v>6.2527489999999997</v>
      </c>
      <c r="E3539">
        <v>0.50123830000000003</v>
      </c>
      <c r="F3539" t="s">
        <v>44</v>
      </c>
      <c r="G3539">
        <v>-455.40429999999998</v>
      </c>
      <c r="H3539">
        <v>0.81185699999999905</v>
      </c>
      <c r="I3539">
        <v>214.4462</v>
      </c>
      <c r="J3539">
        <v>-455.95030000000003</v>
      </c>
      <c r="K3539">
        <v>1.1090599999999999</v>
      </c>
      <c r="L3539">
        <v>214.44909999999999</v>
      </c>
      <c r="M3539">
        <v>0.99815659999999895</v>
      </c>
      <c r="N3539">
        <v>0</v>
      </c>
      <c r="O3539">
        <v>-6.029615E-2</v>
      </c>
      <c r="P3539">
        <v>0.99993560000000004</v>
      </c>
      <c r="Q3539">
        <v>9.4046279999999999E-3</v>
      </c>
      <c r="R3539">
        <v>-6.3720879999999997E-3</v>
      </c>
      <c r="S3539">
        <v>3.0123899999999999</v>
      </c>
      <c r="T3539">
        <v>-1.226591</v>
      </c>
      <c r="U3539">
        <v>-5.7678220000000002E-2</v>
      </c>
      <c r="V3539">
        <v>-5.392773E-2</v>
      </c>
      <c r="W3539">
        <v>1.6326960000000001E-2</v>
      </c>
      <c r="X3539">
        <v>0.99841139999999995</v>
      </c>
      <c r="Y3539">
        <v>-3.3694219999999997E-2</v>
      </c>
      <c r="Z3539">
        <v>3.0190930000000001E-2</v>
      </c>
      <c r="AA3539">
        <v>0.99897610000000003</v>
      </c>
      <c r="AB3539">
        <v>18</v>
      </c>
      <c r="AC3539">
        <v>0.546000000000049</v>
      </c>
      <c r="AD3539">
        <v>-0.29720299999999999</v>
      </c>
      <c r="AE3539">
        <v>-2.8999999999825801E-3</v>
      </c>
      <c r="AF3539">
        <v>-2.3164484737210601E-2</v>
      </c>
      <c r="AG3539">
        <v>-0.29720299999999999</v>
      </c>
      <c r="AH3539">
        <v>0.42057234510881503</v>
      </c>
      <c r="AI3539">
        <v>125.206555071545</v>
      </c>
      <c r="AJ3539">
        <v>93.152578988510996</v>
      </c>
      <c r="AK3539">
        <v>0.51550685158634701</v>
      </c>
      <c r="AL3539">
        <v>89.064492577264701</v>
      </c>
      <c r="AM3539">
        <v>93.091743298169604</v>
      </c>
      <c r="AN3539">
        <v>1.00000004666787</v>
      </c>
    </row>
    <row r="3540" spans="1:40" x14ac:dyDescent="0.25">
      <c r="A3540" t="str">
        <f>"20190312160709726"</f>
        <v>20190312160709726</v>
      </c>
      <c r="B3540" t="str">
        <f>"1552378029718602"</f>
        <v>1552378029718602</v>
      </c>
      <c r="C3540" t="s">
        <v>40</v>
      </c>
      <c r="D3540">
        <v>6.301031</v>
      </c>
      <c r="E3540">
        <v>0.49738539999999998</v>
      </c>
      <c r="F3540" t="s">
        <v>44</v>
      </c>
      <c r="G3540">
        <v>-455.22660000000002</v>
      </c>
      <c r="H3540">
        <v>0.84148690000000004</v>
      </c>
      <c r="I3540">
        <v>214.4341</v>
      </c>
      <c r="J3540">
        <v>-455.76240000000001</v>
      </c>
      <c r="K3540">
        <v>1.1090580000000001</v>
      </c>
      <c r="L3540">
        <v>214.4375</v>
      </c>
      <c r="M3540">
        <v>0.99814190000000003</v>
      </c>
      <c r="N3540">
        <v>0</v>
      </c>
      <c r="O3540">
        <v>-6.0539540000000003E-2</v>
      </c>
      <c r="P3540">
        <v>0.99993960000000004</v>
      </c>
      <c r="Q3540">
        <v>8.4005509999999992E-3</v>
      </c>
      <c r="R3540">
        <v>-7.1094249999999999E-3</v>
      </c>
      <c r="S3540">
        <v>3.0102540000000002</v>
      </c>
      <c r="T3540">
        <v>-1.1128119999999999</v>
      </c>
      <c r="U3540">
        <v>-6.2377929999999998E-2</v>
      </c>
      <c r="V3540">
        <v>-5.3435360000000001E-2</v>
      </c>
      <c r="W3540">
        <v>1.5316669999999999E-2</v>
      </c>
      <c r="X3540">
        <v>0.99845390000000001</v>
      </c>
      <c r="Y3540">
        <v>-3.3628459999999999E-2</v>
      </c>
      <c r="Z3540">
        <v>2.7664520000000001E-2</v>
      </c>
      <c r="AA3540">
        <v>0.99905149999999998</v>
      </c>
      <c r="AB3540">
        <v>18</v>
      </c>
      <c r="AC3540">
        <v>0.53579999999999395</v>
      </c>
      <c r="AD3540">
        <v>-0.26757110000000001</v>
      </c>
      <c r="AE3540">
        <v>-3.3999999999991802E-3</v>
      </c>
      <c r="AF3540">
        <v>-2.3246872548300501E-2</v>
      </c>
      <c r="AG3540">
        <v>-0.26757110000000001</v>
      </c>
      <c r="AH3540">
        <v>0.42823202911202002</v>
      </c>
      <c r="AI3540">
        <v>121.960400230598</v>
      </c>
      <c r="AJ3540">
        <v>93.107291173036401</v>
      </c>
      <c r="AK3540">
        <v>0.50548727125011295</v>
      </c>
      <c r="AL3540">
        <v>89.122385192120007</v>
      </c>
      <c r="AM3540">
        <v>93.063438982281696</v>
      </c>
      <c r="AN3540">
        <v>1.00000006425171</v>
      </c>
    </row>
    <row r="3541" spans="1:40" x14ac:dyDescent="0.25">
      <c r="A3541" t="str">
        <f>"20190312160709762"</f>
        <v>20190312160709762</v>
      </c>
      <c r="B3541" t="str">
        <f>"1552378029758617"</f>
        <v>1552378029758617</v>
      </c>
      <c r="C3541" t="s">
        <v>40</v>
      </c>
      <c r="D3541">
        <v>6.2089650000000001</v>
      </c>
      <c r="E3541">
        <v>0.49298259999999999</v>
      </c>
      <c r="F3541" t="s">
        <v>44</v>
      </c>
      <c r="G3541">
        <v>-454.98739999999998</v>
      </c>
      <c r="H3541">
        <v>1.0044999999999999</v>
      </c>
      <c r="I3541">
        <v>214.43369999999999</v>
      </c>
      <c r="J3541">
        <v>-455.46769999999998</v>
      </c>
      <c r="K3541">
        <v>1.1090549999999999</v>
      </c>
      <c r="L3541">
        <v>214.41909999999999</v>
      </c>
      <c r="M3541">
        <v>0.99811890000000003</v>
      </c>
      <c r="N3541">
        <v>0</v>
      </c>
      <c r="O3541">
        <v>-6.0920589999999997E-2</v>
      </c>
      <c r="P3541">
        <v>0.99993469999999995</v>
      </c>
      <c r="Q3541">
        <v>8.4928750000000004E-3</v>
      </c>
      <c r="R3541">
        <v>-7.6598480000000004E-3</v>
      </c>
      <c r="S3541">
        <v>3.0035400000000001</v>
      </c>
      <c r="T3541">
        <v>-0.40535880000000002</v>
      </c>
      <c r="U3541">
        <v>-1.292419E-2</v>
      </c>
      <c r="V3541">
        <v>-5.3266760000000003E-2</v>
      </c>
      <c r="W3541">
        <v>1.539486E-2</v>
      </c>
      <c r="X3541">
        <v>0.99846170000000001</v>
      </c>
      <c r="Y3541">
        <v>-5.5570990000000001E-2</v>
      </c>
      <c r="Z3541">
        <v>1.191383E-2</v>
      </c>
      <c r="AA3541">
        <v>0.99838360000000004</v>
      </c>
      <c r="AB3541">
        <v>19</v>
      </c>
      <c r="AC3541">
        <v>0.48029999999999901</v>
      </c>
      <c r="AD3541">
        <v>-0.104554999999999</v>
      </c>
      <c r="AE3541">
        <v>1.4600000000001501E-2</v>
      </c>
      <c r="AF3541">
        <v>-4.1852285715547902E-2</v>
      </c>
      <c r="AG3541">
        <v>-0.104554999999999</v>
      </c>
      <c r="AH3541">
        <v>0.45688758910449101</v>
      </c>
      <c r="AI3541">
        <v>102.837767907488</v>
      </c>
      <c r="AJ3541">
        <v>95.233860089839496</v>
      </c>
      <c r="AK3541">
        <v>0.470563099830756</v>
      </c>
      <c r="AL3541">
        <v>89.117904701525205</v>
      </c>
      <c r="AM3541">
        <v>93.053767689281301</v>
      </c>
      <c r="AN3541">
        <v>1.0000000579010999</v>
      </c>
    </row>
    <row r="3542" spans="1:40" x14ac:dyDescent="0.25">
      <c r="A3542" t="str">
        <f>"20190312160709777"</f>
        <v>20190312160709777</v>
      </c>
      <c r="B3542" t="str">
        <f>"1552378029768378"</f>
        <v>1552378029768378</v>
      </c>
      <c r="C3542" t="s">
        <v>40</v>
      </c>
      <c r="D3542">
        <v>6.0268179999999996</v>
      </c>
      <c r="E3542">
        <v>0.49300870000000002</v>
      </c>
      <c r="F3542" t="s">
        <v>77</v>
      </c>
      <c r="G3542">
        <v>-434.58300000000003</v>
      </c>
      <c r="H3542" s="1">
        <v>4.2498140000000003E-6</v>
      </c>
      <c r="I3542">
        <v>214.6112</v>
      </c>
      <c r="J3542">
        <v>-455.33800000000002</v>
      </c>
      <c r="K3542">
        <v>1.1090519999999999</v>
      </c>
      <c r="L3542">
        <v>214.411</v>
      </c>
      <c r="M3542">
        <v>0.99810860000000001</v>
      </c>
      <c r="N3542">
        <v>0</v>
      </c>
      <c r="O3542">
        <v>-6.108889E-2</v>
      </c>
      <c r="P3542">
        <v>0.99992840000000005</v>
      </c>
      <c r="Q3542">
        <v>9.3135749999999993E-3</v>
      </c>
      <c r="R3542">
        <v>-7.5183860000000002E-3</v>
      </c>
      <c r="S3542">
        <v>3.0017399999999999</v>
      </c>
      <c r="T3542">
        <v>-0.1594033</v>
      </c>
      <c r="U3542">
        <v>2.760315E-2</v>
      </c>
      <c r="V3542">
        <v>-5.3575539999999998E-2</v>
      </c>
      <c r="W3542">
        <v>1.6208719999999999E-2</v>
      </c>
      <c r="X3542">
        <v>0.99843219999999999</v>
      </c>
      <c r="Y3542">
        <v>-7.0081149999999995E-2</v>
      </c>
      <c r="Z3542">
        <v>5.0999119999999998E-3</v>
      </c>
      <c r="AA3542">
        <v>0.99752830000000003</v>
      </c>
      <c r="AB3542">
        <v>19</v>
      </c>
      <c r="AC3542">
        <v>20.7549999999999</v>
      </c>
      <c r="AD3542">
        <v>-1.1090477501860001</v>
      </c>
      <c r="AE3542">
        <v>0.200200000000023</v>
      </c>
      <c r="AF3542">
        <v>-1.4635774226865901</v>
      </c>
      <c r="AG3542">
        <v>-1.1090477501860001</v>
      </c>
      <c r="AH3542">
        <v>20.645061574765698</v>
      </c>
      <c r="AI3542">
        <v>93.067276634637395</v>
      </c>
      <c r="AJ3542">
        <v>94.055049706651502</v>
      </c>
      <c r="AK3542">
        <v>20.7265678106689</v>
      </c>
      <c r="AL3542">
        <v>89.071268045608704</v>
      </c>
      <c r="AM3542">
        <v>93.071526734922898</v>
      </c>
      <c r="AN3542">
        <v>0.999999959543584</v>
      </c>
    </row>
    <row r="3543" spans="1:40" x14ac:dyDescent="0.25">
      <c r="A3543" t="str">
        <f>"20190312160709793"</f>
        <v>20190312160709793</v>
      </c>
      <c r="B3543" t="str">
        <f>"1552378029788873"</f>
        <v>1552378029788873</v>
      </c>
      <c r="C3543" t="s">
        <v>40</v>
      </c>
      <c r="D3543">
        <v>6.3174089999999996</v>
      </c>
      <c r="E3543">
        <v>0.49226760000000003</v>
      </c>
      <c r="F3543" t="s">
        <v>77</v>
      </c>
      <c r="G3543">
        <v>-429.70089999999999</v>
      </c>
      <c r="H3543" s="1">
        <v>2.240323E-6</v>
      </c>
      <c r="I3543">
        <v>214.65629999999999</v>
      </c>
      <c r="J3543">
        <v>-455.20089999999999</v>
      </c>
      <c r="K3543">
        <v>1.1090469999999999</v>
      </c>
      <c r="L3543">
        <v>214.4025</v>
      </c>
      <c r="M3543">
        <v>0.99809769999999998</v>
      </c>
      <c r="N3543">
        <v>0</v>
      </c>
      <c r="O3543">
        <v>-6.126732E-2</v>
      </c>
      <c r="P3543">
        <v>0.99992409999999998</v>
      </c>
      <c r="Q3543">
        <v>1.0536500000000001E-2</v>
      </c>
      <c r="R3543">
        <v>-6.3900719999999897E-3</v>
      </c>
      <c r="S3543">
        <v>3.001617</v>
      </c>
      <c r="T3543">
        <v>-0.12984899999999999</v>
      </c>
      <c r="U3543">
        <v>2.8717039999999999E-2</v>
      </c>
      <c r="V3543">
        <v>-5.4880270000000002E-2</v>
      </c>
      <c r="W3543">
        <v>1.742544E-2</v>
      </c>
      <c r="X3543">
        <v>0.99834089999999998</v>
      </c>
      <c r="Y3543">
        <v>-7.0691390000000007E-2</v>
      </c>
      <c r="Z3543">
        <v>4.1764080000000004E-3</v>
      </c>
      <c r="AA3543">
        <v>0.99748950000000003</v>
      </c>
      <c r="AB3543">
        <v>19</v>
      </c>
      <c r="AC3543">
        <v>25.5</v>
      </c>
      <c r="AD3543">
        <v>-1.1090447596769999</v>
      </c>
      <c r="AE3543">
        <v>0.25379999999998398</v>
      </c>
      <c r="AF3543">
        <v>-1.81224917449777</v>
      </c>
      <c r="AG3543">
        <v>-1.1090447596769999</v>
      </c>
      <c r="AH3543">
        <v>25.3885243420908</v>
      </c>
      <c r="AI3543">
        <v>92.494916614590196</v>
      </c>
      <c r="AJ3543">
        <v>94.0828845734666</v>
      </c>
      <c r="AK3543">
        <v>25.477272138484</v>
      </c>
      <c r="AL3543">
        <v>89.001545319310594</v>
      </c>
      <c r="AM3543">
        <v>93.146466559468607</v>
      </c>
      <c r="AN3543">
        <v>1.00000002130363</v>
      </c>
    </row>
    <row r="3544" spans="1:40" x14ac:dyDescent="0.25">
      <c r="A3544" t="str">
        <f>"20190312160709816"</f>
        <v>20190312160709816</v>
      </c>
      <c r="B3544" t="str">
        <f>"1552378029808393"</f>
        <v>1552378029808393</v>
      </c>
      <c r="C3544" t="s">
        <v>40</v>
      </c>
      <c r="D3544">
        <v>4.9891610000000002</v>
      </c>
      <c r="E3544">
        <v>0.48959819999999998</v>
      </c>
      <c r="F3544" t="s">
        <v>77</v>
      </c>
      <c r="G3544">
        <v>-416.56799999999998</v>
      </c>
      <c r="H3544" s="1">
        <v>3.3458860000000001E-6</v>
      </c>
      <c r="I3544">
        <v>214.9014</v>
      </c>
      <c r="J3544">
        <v>-455.01089999999999</v>
      </c>
      <c r="K3544">
        <v>1.10904</v>
      </c>
      <c r="L3544">
        <v>214.3905</v>
      </c>
      <c r="M3544">
        <v>0.99808240000000004</v>
      </c>
      <c r="N3544">
        <v>0</v>
      </c>
      <c r="O3544">
        <v>-6.1516210000000002E-2</v>
      </c>
      <c r="P3544">
        <v>0.99992879999999995</v>
      </c>
      <c r="Q3544">
        <v>1.059715E-2</v>
      </c>
      <c r="R3544">
        <v>-5.4853300000000001E-3</v>
      </c>
      <c r="S3544">
        <v>3.0013429999999999</v>
      </c>
      <c r="T3544">
        <v>-8.6160180000000003E-2</v>
      </c>
      <c r="U3544">
        <v>3.8757319999999998E-2</v>
      </c>
      <c r="V3544">
        <v>-5.6032220000000001E-2</v>
      </c>
      <c r="W3544">
        <v>1.7480269999999999E-2</v>
      </c>
      <c r="X3544">
        <v>0.99827589999999999</v>
      </c>
      <c r="Y3544">
        <v>-7.4344380000000002E-2</v>
      </c>
      <c r="Z3544">
        <v>2.8317469999999999E-3</v>
      </c>
      <c r="AA3544">
        <v>0.99722860000000002</v>
      </c>
      <c r="AB3544">
        <v>19</v>
      </c>
      <c r="AC3544">
        <v>38.442899999999902</v>
      </c>
      <c r="AD3544">
        <v>-1.109036654114</v>
      </c>
      <c r="AE3544">
        <v>0.51089999999999203</v>
      </c>
      <c r="AF3544">
        <v>-2.87245955422827</v>
      </c>
      <c r="AG3544">
        <v>-1.109036654114</v>
      </c>
      <c r="AH3544">
        <v>38.306783964885597</v>
      </c>
      <c r="AI3544">
        <v>91.653692115490998</v>
      </c>
      <c r="AJ3544">
        <v>94.288336415488899</v>
      </c>
      <c r="AK3544">
        <v>38.430335464620498</v>
      </c>
      <c r="AL3544">
        <v>88.998403262849095</v>
      </c>
      <c r="AM3544">
        <v>93.212583470060594</v>
      </c>
      <c r="AN3544">
        <v>0.99999997101910498</v>
      </c>
    </row>
    <row r="3545" spans="1:40" x14ac:dyDescent="0.25">
      <c r="A3545" t="str">
        <f>"20190312160709840"</f>
        <v>20190312160709840</v>
      </c>
      <c r="B3545" t="str">
        <f>"1552378029828889"</f>
        <v>1552378029828889</v>
      </c>
      <c r="C3545" t="s">
        <v>40</v>
      </c>
      <c r="D3545">
        <v>6.1540900000000001</v>
      </c>
      <c r="E3545">
        <v>0.48965150000000002</v>
      </c>
      <c r="F3545" t="s">
        <v>77</v>
      </c>
      <c r="G3545">
        <v>-401.02100000000002</v>
      </c>
      <c r="H3545" s="1">
        <v>7.759624E-6</v>
      </c>
      <c r="I3545">
        <v>215.5352</v>
      </c>
      <c r="J3545">
        <v>-454.80560000000003</v>
      </c>
      <c r="K3545">
        <v>1.109032</v>
      </c>
      <c r="L3545">
        <v>214.3775</v>
      </c>
      <c r="M3545">
        <v>0.9980658</v>
      </c>
      <c r="N3545">
        <v>0</v>
      </c>
      <c r="O3545">
        <v>-6.1786689999999998E-2</v>
      </c>
      <c r="P3545">
        <v>0.99994490000000003</v>
      </c>
      <c r="Q3545">
        <v>9.4230519999999995E-3</v>
      </c>
      <c r="R3545">
        <v>-4.6571360000000001E-3</v>
      </c>
      <c r="S3545">
        <v>3.0011899999999998</v>
      </c>
      <c r="T3545">
        <v>-6.1648849999999998E-2</v>
      </c>
      <c r="U3545">
        <v>6.3629149999999995E-2</v>
      </c>
      <c r="V3545">
        <v>-5.7131010000000003E-2</v>
      </c>
      <c r="W3545">
        <v>1.6301690000000001E-2</v>
      </c>
      <c r="X3545">
        <v>0.99823360000000005</v>
      </c>
      <c r="Y3545">
        <v>-8.2899790000000001E-2</v>
      </c>
      <c r="Z3545">
        <v>2.1197999999999998E-3</v>
      </c>
      <c r="AA3545">
        <v>0.99655559999999999</v>
      </c>
      <c r="AB3545">
        <v>19</v>
      </c>
      <c r="AC3545">
        <v>53.784599999999998</v>
      </c>
      <c r="AD3545">
        <v>-1.109024240376</v>
      </c>
      <c r="AE3545">
        <v>1.1577</v>
      </c>
      <c r="AF3545">
        <v>-4.4768360275461099</v>
      </c>
      <c r="AG3545">
        <v>-1.109024240376</v>
      </c>
      <c r="AH3545">
        <v>53.587527497482398</v>
      </c>
      <c r="AI3545">
        <v>91.181484713799506</v>
      </c>
      <c r="AJ3545">
        <v>94.775543213245896</v>
      </c>
      <c r="AK3545">
        <v>53.785640266494099</v>
      </c>
      <c r="AL3545">
        <v>89.0659405988754</v>
      </c>
      <c r="AM3545">
        <v>93.275584767925594</v>
      </c>
      <c r="AN3545">
        <v>1.0000000087847101</v>
      </c>
    </row>
    <row r="3546" spans="1:40" x14ac:dyDescent="0.25">
      <c r="A3546" t="str">
        <f>"20190312160709863"</f>
        <v>20190312160709863</v>
      </c>
      <c r="B3546" t="str">
        <f>"1552378029858169"</f>
        <v>1552378029858169</v>
      </c>
      <c r="C3546" t="s">
        <v>40</v>
      </c>
      <c r="D3546">
        <v>6.268796</v>
      </c>
      <c r="E3546">
        <v>0.48953659999999999</v>
      </c>
      <c r="F3546" t="s">
        <v>77</v>
      </c>
      <c r="G3546">
        <v>-403.09550000000002</v>
      </c>
      <c r="H3546" s="1">
        <v>6.8450899999999899E-6</v>
      </c>
      <c r="I3546">
        <v>215.50890000000001</v>
      </c>
      <c r="J3546">
        <v>-454.61489999999998</v>
      </c>
      <c r="K3546">
        <v>1.109024</v>
      </c>
      <c r="L3546">
        <v>214.36539999999999</v>
      </c>
      <c r="M3546">
        <v>0.9980502</v>
      </c>
      <c r="N3546">
        <v>0</v>
      </c>
      <c r="O3546">
        <v>-6.2038580000000003E-2</v>
      </c>
      <c r="P3546">
        <v>0.99995699999999998</v>
      </c>
      <c r="Q3546">
        <v>8.3984769999999997E-3</v>
      </c>
      <c r="R3546">
        <v>-3.9730709999999999E-3</v>
      </c>
      <c r="S3546">
        <v>3.0010379999999999</v>
      </c>
      <c r="T3546">
        <v>-6.4363240000000002E-2</v>
      </c>
      <c r="U3546">
        <v>6.5658569999999999E-2</v>
      </c>
      <c r="V3546">
        <v>-5.8067260000000002E-2</v>
      </c>
      <c r="W3546">
        <v>1.527471E-2</v>
      </c>
      <c r="X3546">
        <v>0.99819579999999997</v>
      </c>
      <c r="Y3546">
        <v>-8.3822939999999999E-2</v>
      </c>
      <c r="Z3546">
        <v>2.228509E-3</v>
      </c>
      <c r="AA3546">
        <v>0.99647819999999998</v>
      </c>
      <c r="AB3546">
        <v>19</v>
      </c>
      <c r="AC3546">
        <v>51.519399999999898</v>
      </c>
      <c r="AD3546">
        <v>-1.1090171549099901</v>
      </c>
      <c r="AE3546">
        <v>1.14350000000001</v>
      </c>
      <c r="AF3546">
        <v>-4.3355547747192604</v>
      </c>
      <c r="AG3546">
        <v>-1.1090171549099901</v>
      </c>
      <c r="AH3546">
        <v>51.325442064920097</v>
      </c>
      <c r="AI3546">
        <v>91.233437508011903</v>
      </c>
      <c r="AJ3546">
        <v>94.828417584753794</v>
      </c>
      <c r="AK3546">
        <v>51.520170393875297</v>
      </c>
      <c r="AL3546">
        <v>89.124789538547205</v>
      </c>
      <c r="AM3546">
        <v>93.329270323588801</v>
      </c>
      <c r="AN3546">
        <v>0.99999998929356504</v>
      </c>
    </row>
    <row r="3547" spans="1:40" x14ac:dyDescent="0.25">
      <c r="A3547" t="str">
        <f>"20190312160709885"</f>
        <v>20190312160709885</v>
      </c>
      <c r="B3547" t="str">
        <f>"1552378029878667"</f>
        <v>1552378029878667</v>
      </c>
      <c r="C3547" t="s">
        <v>40</v>
      </c>
      <c r="D3547">
        <v>6.1497039999999998</v>
      </c>
      <c r="E3547">
        <v>0.48956470000000002</v>
      </c>
      <c r="F3547" t="s">
        <v>77</v>
      </c>
      <c r="G3547">
        <v>-404.39100000000002</v>
      </c>
      <c r="H3547" s="1">
        <v>6.2693019999999999E-6</v>
      </c>
      <c r="I3547">
        <v>215.51509999999999</v>
      </c>
      <c r="J3547">
        <v>-454.42110000000002</v>
      </c>
      <c r="K3547">
        <v>1.109027</v>
      </c>
      <c r="L3547">
        <v>214.35310000000001</v>
      </c>
      <c r="M3547">
        <v>0.99803419999999998</v>
      </c>
      <c r="N3547">
        <v>0</v>
      </c>
      <c r="O3547">
        <v>-6.2295000000000003E-2</v>
      </c>
      <c r="P3547">
        <v>0.9999574</v>
      </c>
      <c r="Q3547">
        <v>8.8614339999999996E-3</v>
      </c>
      <c r="R3547">
        <v>-2.6385039999999998E-3</v>
      </c>
      <c r="S3547">
        <v>3.0009459999999999</v>
      </c>
      <c r="T3547">
        <v>-6.6265340000000006E-2</v>
      </c>
      <c r="U3547">
        <v>6.8695069999999997E-2</v>
      </c>
      <c r="V3547">
        <v>-5.9655090000000001E-2</v>
      </c>
      <c r="W3547">
        <v>1.5737190000000002E-2</v>
      </c>
      <c r="X3547">
        <v>0.99809499999999995</v>
      </c>
      <c r="Y3547">
        <v>-8.5084960000000001E-2</v>
      </c>
      <c r="Z3547">
        <v>2.3139910000000001E-3</v>
      </c>
      <c r="AA3547">
        <v>0.99637100000000001</v>
      </c>
      <c r="AB3547">
        <v>19</v>
      </c>
      <c r="AC3547">
        <v>50.030099999999997</v>
      </c>
      <c r="AD3547">
        <v>-1.109020730698</v>
      </c>
      <c r="AE3547">
        <v>1.1619999999999699</v>
      </c>
      <c r="AF3547">
        <v>-4.2743422745483999</v>
      </c>
      <c r="AG3547">
        <v>-1.109020730698</v>
      </c>
      <c r="AH3547">
        <v>49.836062295141403</v>
      </c>
      <c r="AI3547">
        <v>91.270152603809507</v>
      </c>
      <c r="AJ3547">
        <v>94.902150886693605</v>
      </c>
      <c r="AK3547">
        <v>50.0313205297075</v>
      </c>
      <c r="AL3547">
        <v>89.098288217551001</v>
      </c>
      <c r="AM3547">
        <v>93.420439468555301</v>
      </c>
      <c r="AN3547">
        <v>1.0000000089684999</v>
      </c>
    </row>
    <row r="3548" spans="1:40" x14ac:dyDescent="0.25">
      <c r="A3548" t="str">
        <f>"20190312160709905"</f>
        <v>20190312160709905</v>
      </c>
      <c r="B3548" t="str">
        <f>"1552378029898186"</f>
        <v>1552378029898186</v>
      </c>
      <c r="C3548" t="s">
        <v>40</v>
      </c>
      <c r="D3548">
        <v>6.0693109999999999</v>
      </c>
      <c r="E3548">
        <v>0.488873</v>
      </c>
      <c r="F3548" t="s">
        <v>77</v>
      </c>
      <c r="G3548">
        <v>-402.1096</v>
      </c>
      <c r="H3548" s="1">
        <v>7.2600339999999996E-6</v>
      </c>
      <c r="I3548">
        <v>215.6165</v>
      </c>
      <c r="J3548">
        <v>-454.24419999999998</v>
      </c>
      <c r="K3548">
        <v>1.109024</v>
      </c>
      <c r="L3548">
        <v>214.34180000000001</v>
      </c>
      <c r="M3548">
        <v>0.99801949999999995</v>
      </c>
      <c r="N3548">
        <v>0</v>
      </c>
      <c r="O3548">
        <v>-6.2529619999999994E-2</v>
      </c>
      <c r="P3548">
        <v>0.99995120000000004</v>
      </c>
      <c r="Q3548">
        <v>9.7940330000000006E-3</v>
      </c>
      <c r="R3548">
        <v>-1.273146E-3</v>
      </c>
      <c r="S3548">
        <v>3.0008849999999998</v>
      </c>
      <c r="T3548">
        <v>-6.3619729999999999E-2</v>
      </c>
      <c r="U3548">
        <v>7.2479249999999995E-2</v>
      </c>
      <c r="V3548">
        <v>-6.1251300000000002E-2</v>
      </c>
      <c r="W3548">
        <v>1.6670709999999998E-2</v>
      </c>
      <c r="X3548">
        <v>0.99798319999999996</v>
      </c>
      <c r="Y3548">
        <v>-8.6577710000000002E-2</v>
      </c>
      <c r="Z3548">
        <v>2.2424390000000002E-3</v>
      </c>
      <c r="AA3548">
        <v>0.99624259999999998</v>
      </c>
      <c r="AB3548">
        <v>19</v>
      </c>
      <c r="AC3548">
        <v>52.134599999999899</v>
      </c>
      <c r="AD3548">
        <v>-1.109016739966</v>
      </c>
      <c r="AE3548">
        <v>1.27469999999999</v>
      </c>
      <c r="AF3548">
        <v>-4.5301902614801302</v>
      </c>
      <c r="AG3548">
        <v>-1.109016739966</v>
      </c>
      <c r="AH3548">
        <v>51.929380747489503</v>
      </c>
      <c r="AI3548">
        <v>91.218809298348106</v>
      </c>
      <c r="AJ3548">
        <v>94.985719386540495</v>
      </c>
      <c r="AK3548">
        <v>52.138403569273798</v>
      </c>
      <c r="AL3548">
        <v>89.044794476716802</v>
      </c>
      <c r="AM3548">
        <v>93.5121275996066</v>
      </c>
      <c r="AN3548">
        <v>1.0000000509029101</v>
      </c>
    </row>
    <row r="3549" spans="1:40" x14ac:dyDescent="0.25">
      <c r="A3549" t="str">
        <f>"20190312160709929"</f>
        <v>20190312160709929</v>
      </c>
      <c r="B3549" t="str">
        <f>"1552378029918682"</f>
        <v>1552378029918682</v>
      </c>
      <c r="C3549" t="s">
        <v>40</v>
      </c>
      <c r="D3549">
        <v>6.2091799999999999</v>
      </c>
      <c r="E3549">
        <v>0.48923050000000001</v>
      </c>
      <c r="F3549" t="s">
        <v>66</v>
      </c>
      <c r="G3549">
        <v>-389.41919999999999</v>
      </c>
      <c r="H3549" s="1">
        <v>3.409839E-6</v>
      </c>
      <c r="I3549">
        <v>216.12180000000001</v>
      </c>
      <c r="J3549">
        <v>-454.0401</v>
      </c>
      <c r="K3549">
        <v>1.1090199999999999</v>
      </c>
      <c r="L3549">
        <v>214.32859999999999</v>
      </c>
      <c r="M3549">
        <v>0.99800259999999996</v>
      </c>
      <c r="N3549">
        <v>0</v>
      </c>
      <c r="O3549">
        <v>-6.280036E-2</v>
      </c>
      <c r="P3549">
        <v>0.9999576</v>
      </c>
      <c r="Q3549">
        <v>9.1373289999999996E-3</v>
      </c>
      <c r="R3549">
        <v>-1.341903E-3</v>
      </c>
      <c r="S3549">
        <v>3.0007630000000001</v>
      </c>
      <c r="T3549">
        <v>-5.1336769999999997E-2</v>
      </c>
      <c r="U3549">
        <v>8.2397460000000006E-2</v>
      </c>
      <c r="V3549">
        <v>-6.1454210000000002E-2</v>
      </c>
      <c r="W3549">
        <v>1.6016579999999999E-2</v>
      </c>
      <c r="X3549">
        <v>0.99798140000000002</v>
      </c>
      <c r="Y3549">
        <v>-9.015012E-2</v>
      </c>
      <c r="Z3549">
        <v>1.8447660000000001E-3</v>
      </c>
      <c r="AA3549">
        <v>0.99592650000000005</v>
      </c>
      <c r="AB3549">
        <v>19</v>
      </c>
      <c r="AC3549">
        <v>64.620900000000006</v>
      </c>
      <c r="AD3549">
        <v>-1.1090165901610001</v>
      </c>
      <c r="AE3549">
        <v>1.7932000000000099</v>
      </c>
      <c r="AF3549">
        <v>-5.8462506825319496</v>
      </c>
      <c r="AG3549">
        <v>-1.1090165901610001</v>
      </c>
      <c r="AH3549">
        <v>64.361781251723897</v>
      </c>
      <c r="AI3549">
        <v>90.983118112164902</v>
      </c>
      <c r="AJ3549">
        <v>95.190172916226601</v>
      </c>
      <c r="AK3549">
        <v>64.636270396233598</v>
      </c>
      <c r="AL3549">
        <v>89.082278335301496</v>
      </c>
      <c r="AM3549">
        <v>93.523739458414894</v>
      </c>
      <c r="AN3549">
        <v>1.00000001275379</v>
      </c>
    </row>
    <row r="3550" spans="1:40" x14ac:dyDescent="0.25">
      <c r="A3550" t="str">
        <f>"20190312160709949"</f>
        <v>20190312160709949</v>
      </c>
      <c r="B3550" t="str">
        <f>"1552378029938201"</f>
        <v>1552378029938201</v>
      </c>
      <c r="C3550" t="s">
        <v>40</v>
      </c>
      <c r="D3550">
        <v>6.154515</v>
      </c>
      <c r="E3550">
        <v>0.48946339999999999</v>
      </c>
      <c r="F3550" t="s">
        <v>66</v>
      </c>
      <c r="G3550">
        <v>-393.30990000000003</v>
      </c>
      <c r="H3550" s="1">
        <v>2.2459800000000001E-7</v>
      </c>
      <c r="I3550">
        <v>215.9342</v>
      </c>
      <c r="J3550">
        <v>-453.85989999999998</v>
      </c>
      <c r="K3550">
        <v>1.109019</v>
      </c>
      <c r="L3550">
        <v>214.31700000000001</v>
      </c>
      <c r="M3550">
        <v>0.99798750000000003</v>
      </c>
      <c r="N3550">
        <v>0</v>
      </c>
      <c r="O3550">
        <v>-6.3039390000000001E-2</v>
      </c>
      <c r="P3550">
        <v>0.99995800000000001</v>
      </c>
      <c r="Q3550">
        <v>8.7170049999999999E-3</v>
      </c>
      <c r="R3550">
        <v>-2.8843279999999998E-3</v>
      </c>
      <c r="S3550">
        <v>3.0007320000000002</v>
      </c>
      <c r="T3550">
        <v>-5.4797650000000003E-2</v>
      </c>
      <c r="U3550">
        <v>7.9330440000000002E-2</v>
      </c>
      <c r="V3550">
        <v>-6.0153989999999997E-2</v>
      </c>
      <c r="W3550">
        <v>1.5600350000000001E-2</v>
      </c>
      <c r="X3550">
        <v>0.99806719999999904</v>
      </c>
      <c r="Y3550">
        <v>-8.9368699999999995E-2</v>
      </c>
      <c r="Z3550">
        <v>1.9663749999999998E-3</v>
      </c>
      <c r="AA3550">
        <v>0.99599669999999896</v>
      </c>
      <c r="AB3550">
        <v>19</v>
      </c>
      <c r="AC3550">
        <v>60.549999999999898</v>
      </c>
      <c r="AD3550">
        <v>-1.109018775402</v>
      </c>
      <c r="AE3550">
        <v>1.61719999999999</v>
      </c>
      <c r="AF3550">
        <v>-5.4292879943508696</v>
      </c>
      <c r="AG3550">
        <v>-1.109018775402</v>
      </c>
      <c r="AH3550">
        <v>60.307396385398199</v>
      </c>
      <c r="AI3550">
        <v>91.049275534146901</v>
      </c>
      <c r="AJ3550">
        <v>95.144293474596097</v>
      </c>
      <c r="AK3550">
        <v>60.561449368020703</v>
      </c>
      <c r="AL3550">
        <v>89.106129530648602</v>
      </c>
      <c r="AM3550">
        <v>93.449071929270801</v>
      </c>
      <c r="AN3550">
        <v>1.0000000045744399</v>
      </c>
    </row>
    <row r="3551" spans="1:40" x14ac:dyDescent="0.25">
      <c r="A3551" t="str">
        <f>"20190312160709973"</f>
        <v>20190312160709973</v>
      </c>
      <c r="B3551" t="str">
        <f>"1552378029968458"</f>
        <v>1552378029968458</v>
      </c>
      <c r="C3551" t="s">
        <v>40</v>
      </c>
      <c r="D3551">
        <v>6.2002110000000004</v>
      </c>
      <c r="E3551">
        <v>0.4894038</v>
      </c>
      <c r="F3551" t="s">
        <v>66</v>
      </c>
      <c r="G3551">
        <v>-394.94159999999999</v>
      </c>
      <c r="H3551" s="1">
        <v>1.0928579999999901E-6</v>
      </c>
      <c r="I3551">
        <v>215.74850000000001</v>
      </c>
      <c r="J3551">
        <v>-453.66269999999997</v>
      </c>
      <c r="K3551">
        <v>1.1090230000000001</v>
      </c>
      <c r="L3551">
        <v>214.30430000000001</v>
      </c>
      <c r="M3551">
        <v>0.99797080000000005</v>
      </c>
      <c r="N3551">
        <v>0</v>
      </c>
      <c r="O3551">
        <v>-6.3300250000000002E-2</v>
      </c>
      <c r="P3551">
        <v>0.9999439</v>
      </c>
      <c r="Q3551">
        <v>9.2038239999999993E-3</v>
      </c>
      <c r="R3551">
        <v>-5.2397620000000002E-3</v>
      </c>
      <c r="S3551">
        <v>3.0007929999999998</v>
      </c>
      <c r="T3551">
        <v>-5.6483859999999997E-2</v>
      </c>
      <c r="U3551">
        <v>7.2906490000000004E-2</v>
      </c>
      <c r="V3551">
        <v>-5.8063190000000001E-2</v>
      </c>
      <c r="W3551">
        <v>1.6091910000000001E-2</v>
      </c>
      <c r="X3551">
        <v>0.99818320000000005</v>
      </c>
      <c r="Y3551">
        <v>-8.7496240000000003E-2</v>
      </c>
      <c r="Z3551">
        <v>2.014152E-3</v>
      </c>
      <c r="AA3551">
        <v>0.99616280000000001</v>
      </c>
      <c r="AB3551">
        <v>19</v>
      </c>
      <c r="AC3551">
        <v>58.7210999999999</v>
      </c>
      <c r="AD3551">
        <v>-1.10902190714199</v>
      </c>
      <c r="AE3551">
        <v>1.4441999999999899</v>
      </c>
      <c r="AF3551">
        <v>-5.1566136903396904</v>
      </c>
      <c r="AG3551">
        <v>-1.10902190714199</v>
      </c>
      <c r="AH3551">
        <v>58.4910599118421</v>
      </c>
      <c r="AI3551">
        <v>91.082032788706002</v>
      </c>
      <c r="AJ3551">
        <v>95.038211010279099</v>
      </c>
      <c r="AK3551">
        <v>58.728397593946099</v>
      </c>
      <c r="AL3551">
        <v>89.077961668995002</v>
      </c>
      <c r="AM3551">
        <v>93.329079423816594</v>
      </c>
      <c r="AN3551">
        <v>0.99999999218133195</v>
      </c>
    </row>
    <row r="3552" spans="1:40" x14ac:dyDescent="0.25">
      <c r="A3552" t="str">
        <f>"20190312160709996"</f>
        <v>20190312160709996</v>
      </c>
      <c r="B3552" t="str">
        <f>"1552378029988954"</f>
        <v>1552378029988954</v>
      </c>
      <c r="C3552" t="s">
        <v>40</v>
      </c>
      <c r="D3552">
        <v>6.1558489999999999</v>
      </c>
      <c r="E3552">
        <v>0.48950369999999999</v>
      </c>
      <c r="F3552" t="s">
        <v>66</v>
      </c>
      <c r="G3552">
        <v>-387.70870000000002</v>
      </c>
      <c r="H3552" s="1">
        <v>2.5150329999999999E-6</v>
      </c>
      <c r="I3552">
        <v>215.7688</v>
      </c>
      <c r="J3552">
        <v>-453.45549999999997</v>
      </c>
      <c r="K3552">
        <v>1.1090230000000001</v>
      </c>
      <c r="L3552">
        <v>214.29079999999999</v>
      </c>
      <c r="M3552">
        <v>0.99795350000000005</v>
      </c>
      <c r="N3552">
        <v>0</v>
      </c>
      <c r="O3552">
        <v>-6.3573030000000003E-2</v>
      </c>
      <c r="P3552">
        <v>0.99991890000000005</v>
      </c>
      <c r="Q3552">
        <v>1.0529419999999999E-2</v>
      </c>
      <c r="R3552">
        <v>-7.1896149999999999E-3</v>
      </c>
      <c r="S3552">
        <v>3.0009769999999998</v>
      </c>
      <c r="T3552">
        <v>-5.0461649999999997E-2</v>
      </c>
      <c r="U3552">
        <v>6.6635130000000001E-2</v>
      </c>
      <c r="V3552">
        <v>-5.6387850000000003E-2</v>
      </c>
      <c r="W3552">
        <v>1.742353E-2</v>
      </c>
      <c r="X3552">
        <v>0.9982569</v>
      </c>
      <c r="Y3552">
        <v>-8.5691890000000007E-2</v>
      </c>
      <c r="Z3552">
        <v>1.7887689999999999E-3</v>
      </c>
      <c r="AA3552">
        <v>0.99632010000000004</v>
      </c>
      <c r="AB3552">
        <v>20</v>
      </c>
      <c r="AC3552">
        <v>65.746799999999894</v>
      </c>
      <c r="AD3552">
        <v>-1.10902048496699</v>
      </c>
      <c r="AE3552">
        <v>1.478</v>
      </c>
      <c r="AF3552">
        <v>-5.65322454211055</v>
      </c>
      <c r="AG3552">
        <v>-1.10902048496699</v>
      </c>
      <c r="AH3552">
        <v>65.501209474128203</v>
      </c>
      <c r="AI3552">
        <v>90.966407237852493</v>
      </c>
      <c r="AJ3552">
        <v>94.932813214721193</v>
      </c>
      <c r="AK3552">
        <v>65.754066921622595</v>
      </c>
      <c r="AL3552">
        <v>89.001654753298894</v>
      </c>
      <c r="AM3552">
        <v>93.232991652142204</v>
      </c>
      <c r="AN3552">
        <v>1.00000000371144</v>
      </c>
    </row>
    <row r="3553" spans="1:40" x14ac:dyDescent="0.25">
      <c r="A3553" t="str">
        <f>"20190312160710018"</f>
        <v>20190312160710018</v>
      </c>
      <c r="B3553" t="str">
        <f>"1552378030008474"</f>
        <v>1552378030008474</v>
      </c>
      <c r="C3553" t="s">
        <v>40</v>
      </c>
      <c r="D3553">
        <v>6.1536239999999998</v>
      </c>
      <c r="E3553">
        <v>0.48944860000000001</v>
      </c>
      <c r="F3553" t="s">
        <v>66</v>
      </c>
      <c r="G3553">
        <v>-381.73430000000002</v>
      </c>
      <c r="H3553" s="1">
        <v>-6.6210600000000004E-7</v>
      </c>
      <c r="I3553">
        <v>215.7192</v>
      </c>
      <c r="J3553">
        <v>-453.26490000000001</v>
      </c>
      <c r="K3553">
        <v>1.109027</v>
      </c>
      <c r="L3553">
        <v>214.2784</v>
      </c>
      <c r="M3553">
        <v>0.99793770000000004</v>
      </c>
      <c r="N3553">
        <v>0</v>
      </c>
      <c r="O3553">
        <v>-6.3819680000000004E-2</v>
      </c>
      <c r="P3553">
        <v>0.99989899999999998</v>
      </c>
      <c r="Q3553">
        <v>1.138228E-2</v>
      </c>
      <c r="R3553">
        <v>-8.5198240000000005E-3</v>
      </c>
      <c r="S3553">
        <v>3.0011290000000002</v>
      </c>
      <c r="T3553">
        <v>-4.6406389999999999E-2</v>
      </c>
      <c r="U3553">
        <v>5.9768679999999998E-2</v>
      </c>
      <c r="V3553">
        <v>-5.5305479999999997E-2</v>
      </c>
      <c r="W3553">
        <v>1.8283130000000002E-2</v>
      </c>
      <c r="X3553">
        <v>0.99830209999999997</v>
      </c>
      <c r="Y3553">
        <v>-8.3661780000000005E-2</v>
      </c>
      <c r="Z3553">
        <v>1.63309E-3</v>
      </c>
      <c r="AA3553">
        <v>0.99649290000000001</v>
      </c>
      <c r="AB3553">
        <v>20</v>
      </c>
      <c r="AC3553">
        <v>71.530599999999893</v>
      </c>
      <c r="AD3553">
        <v>-1.109027662106</v>
      </c>
      <c r="AE3553">
        <v>1.4407999999999901</v>
      </c>
      <c r="AF3553">
        <v>-6.00158881419088</v>
      </c>
      <c r="AG3553">
        <v>-1.109027662106</v>
      </c>
      <c r="AH3553">
        <v>71.275694134236105</v>
      </c>
      <c r="AI3553">
        <v>90.888289655066302</v>
      </c>
      <c r="AJ3553">
        <v>94.813092005727796</v>
      </c>
      <c r="AK3553">
        <v>71.536519239945704</v>
      </c>
      <c r="AL3553">
        <v>88.952395472039299</v>
      </c>
      <c r="AM3553">
        <v>93.170918679504496</v>
      </c>
      <c r="AN3553">
        <v>1.0000000259125099</v>
      </c>
    </row>
    <row r="3554" spans="1:40" x14ac:dyDescent="0.25">
      <c r="A3554" t="str">
        <f>"20190312160710040"</f>
        <v>20190312160710040</v>
      </c>
      <c r="B3554" t="str">
        <f>"1552378030028969"</f>
        <v>1552378030028969</v>
      </c>
      <c r="C3554" t="s">
        <v>40</v>
      </c>
      <c r="D3554">
        <v>6.3079429999999999</v>
      </c>
      <c r="E3554">
        <v>0.48963849999999998</v>
      </c>
      <c r="F3554" t="s">
        <v>66</v>
      </c>
      <c r="G3554">
        <v>-377.5883</v>
      </c>
      <c r="H3554" s="1">
        <v>2.5013570000000002E-6</v>
      </c>
      <c r="I3554">
        <v>215.69499999999999</v>
      </c>
      <c r="J3554">
        <v>-453.06360000000001</v>
      </c>
      <c r="K3554">
        <v>1.1090279999999999</v>
      </c>
      <c r="L3554">
        <v>214.26519999999999</v>
      </c>
      <c r="M3554">
        <v>0.99792130000000001</v>
      </c>
      <c r="N3554">
        <v>0</v>
      </c>
      <c r="O3554">
        <v>-6.4075400000000005E-2</v>
      </c>
      <c r="P3554">
        <v>0.99989099999999997</v>
      </c>
      <c r="Q3554">
        <v>1.144012E-2</v>
      </c>
      <c r="R3554">
        <v>-9.3408980000000003E-3</v>
      </c>
      <c r="S3554">
        <v>3.0012509999999999</v>
      </c>
      <c r="T3554">
        <v>-4.3982739999999999E-2</v>
      </c>
      <c r="U3554">
        <v>5.6182860000000001E-2</v>
      </c>
      <c r="V3554">
        <v>-5.4741320000000003E-2</v>
      </c>
      <c r="W3554">
        <v>1.8348920000000001E-2</v>
      </c>
      <c r="X3554">
        <v>0.998332</v>
      </c>
      <c r="Y3554">
        <v>-8.2728010000000005E-2</v>
      </c>
      <c r="Z3554">
        <v>1.5446559999999999E-3</v>
      </c>
      <c r="AA3554">
        <v>0.99657090000000004</v>
      </c>
      <c r="AB3554">
        <v>20</v>
      </c>
      <c r="AC3554">
        <v>75.475300000000004</v>
      </c>
      <c r="AD3554">
        <v>-1.1090254986429999</v>
      </c>
      <c r="AE3554">
        <v>1.4298</v>
      </c>
      <c r="AF3554">
        <v>-6.2617349304676599</v>
      </c>
      <c r="AG3554">
        <v>-1.1090254986429999</v>
      </c>
      <c r="AH3554">
        <v>75.212344962984204</v>
      </c>
      <c r="AI3554">
        <v>90.841867746109898</v>
      </c>
      <c r="AJ3554">
        <v>94.759132357781695</v>
      </c>
      <c r="AK3554">
        <v>75.480700160550995</v>
      </c>
      <c r="AL3554">
        <v>88.948625363698099</v>
      </c>
      <c r="AM3554">
        <v>93.138543968559205</v>
      </c>
      <c r="AN3554">
        <v>1.0000000386022501</v>
      </c>
    </row>
    <row r="3555" spans="1:40" x14ac:dyDescent="0.25">
      <c r="A3555" t="str">
        <f>"20190312160710074"</f>
        <v>20190312160710074</v>
      </c>
      <c r="B3555" t="str">
        <f>"1552378030068986"</f>
        <v>1552378030068986</v>
      </c>
      <c r="C3555" t="s">
        <v>40</v>
      </c>
      <c r="D3555">
        <v>6.1579300000000003</v>
      </c>
      <c r="E3555">
        <v>0.48987809999999998</v>
      </c>
      <c r="F3555" t="s">
        <v>66</v>
      </c>
      <c r="G3555">
        <v>-378.21</v>
      </c>
      <c r="H3555" s="1">
        <v>2.8321759999999999E-6</v>
      </c>
      <c r="I3555">
        <v>215.56819999999999</v>
      </c>
      <c r="J3555">
        <v>-452.7604</v>
      </c>
      <c r="K3555">
        <v>1.109038</v>
      </c>
      <c r="L3555">
        <v>214.24529999999999</v>
      </c>
      <c r="M3555">
        <v>0.9978977</v>
      </c>
      <c r="N3555">
        <v>0</v>
      </c>
      <c r="O3555">
        <v>-6.4437629999999996E-2</v>
      </c>
      <c r="P3555">
        <v>0.9998842</v>
      </c>
      <c r="Q3555">
        <v>1.200905E-2</v>
      </c>
      <c r="R3555">
        <v>-9.3418470000000003E-3</v>
      </c>
      <c r="S3555">
        <v>3.0013429999999999</v>
      </c>
      <c r="T3555">
        <v>-4.4467689999999997E-2</v>
      </c>
      <c r="U3555">
        <v>5.2246090000000002E-2</v>
      </c>
      <c r="V3555">
        <v>-5.5102989999999998E-2</v>
      </c>
      <c r="W3555">
        <v>1.8929609999999999E-2</v>
      </c>
      <c r="X3555">
        <v>0.9983012</v>
      </c>
      <c r="Y3555">
        <v>-8.1782129999999995E-2</v>
      </c>
      <c r="Z3555">
        <v>1.5599989999999901E-3</v>
      </c>
      <c r="AA3555">
        <v>0.99664900000000001</v>
      </c>
      <c r="AB3555">
        <v>20</v>
      </c>
      <c r="AC3555">
        <v>74.550399999999996</v>
      </c>
      <c r="AD3555">
        <v>-1.109035167824</v>
      </c>
      <c r="AE3555">
        <v>1.3229</v>
      </c>
      <c r="AF3555">
        <v>-6.1227622845780996</v>
      </c>
      <c r="AG3555">
        <v>-1.109035167824</v>
      </c>
      <c r="AH3555">
        <v>74.293774198508899</v>
      </c>
      <c r="AI3555">
        <v>90.852341508414398</v>
      </c>
      <c r="AJ3555">
        <v>94.7112620993978</v>
      </c>
      <c r="AK3555">
        <v>74.553893672000498</v>
      </c>
      <c r="AL3555">
        <v>88.915348431268995</v>
      </c>
      <c r="AM3555">
        <v>93.159335396393601</v>
      </c>
      <c r="AN3555">
        <v>0.99999997778156502</v>
      </c>
    </row>
    <row r="3556" spans="1:40" x14ac:dyDescent="0.25">
      <c r="A3556" t="str">
        <f>"20190312160710095"</f>
        <v>20190312160710095</v>
      </c>
      <c r="B3556" t="str">
        <f>"1552378030088506"</f>
        <v>1552378030088506</v>
      </c>
      <c r="C3556" t="s">
        <v>40</v>
      </c>
      <c r="D3556">
        <v>6.376341</v>
      </c>
      <c r="E3556">
        <v>0.48992520000000001</v>
      </c>
      <c r="F3556" t="s">
        <v>66</v>
      </c>
      <c r="G3556">
        <v>-378.09530000000001</v>
      </c>
      <c r="H3556" s="1">
        <v>2.7711079999999998E-6</v>
      </c>
      <c r="I3556">
        <v>215.49940000000001</v>
      </c>
      <c r="J3556">
        <v>-452.57089999999999</v>
      </c>
      <c r="K3556">
        <v>1.109048</v>
      </c>
      <c r="L3556">
        <v>214.2328</v>
      </c>
      <c r="M3556">
        <v>0.99788500000000002</v>
      </c>
      <c r="N3556">
        <v>0</v>
      </c>
      <c r="O3556">
        <v>-6.4636970000000002E-2</v>
      </c>
      <c r="P3556">
        <v>0.99987199999999998</v>
      </c>
      <c r="Q3556">
        <v>1.308632E-2</v>
      </c>
      <c r="R3556">
        <v>-9.2166279999999993E-3</v>
      </c>
      <c r="S3556">
        <v>3.0013429999999999</v>
      </c>
      <c r="T3556">
        <v>-4.4580340000000003E-2</v>
      </c>
      <c r="U3556">
        <v>5.0415040000000001E-2</v>
      </c>
      <c r="V3556">
        <v>-5.5426459999999997E-2</v>
      </c>
      <c r="W3556">
        <v>2.001373E-2</v>
      </c>
      <c r="X3556">
        <v>0.99826219999999999</v>
      </c>
      <c r="Y3556">
        <v>-8.1373299999999996E-2</v>
      </c>
      <c r="Z3556">
        <v>1.5638749999999999E-3</v>
      </c>
      <c r="AA3556">
        <v>0.99668250000000003</v>
      </c>
      <c r="AB3556">
        <v>20</v>
      </c>
      <c r="AC3556">
        <v>74.475599999999901</v>
      </c>
      <c r="AD3556">
        <v>-1.1090452288920001</v>
      </c>
      <c r="AE3556">
        <v>1.2666000000000099</v>
      </c>
      <c r="AF3556">
        <v>-6.0765957701317603</v>
      </c>
      <c r="AG3556">
        <v>-1.1090452288920001</v>
      </c>
      <c r="AH3556">
        <v>74.221527267408305</v>
      </c>
      <c r="AI3556">
        <v>90.853216500671493</v>
      </c>
      <c r="AJ3556">
        <v>94.6804279005284</v>
      </c>
      <c r="AK3556">
        <v>74.478118312561705</v>
      </c>
      <c r="AL3556">
        <v>88.853221208512494</v>
      </c>
      <c r="AM3556">
        <v>93.177967577083606</v>
      </c>
      <c r="AN3556">
        <v>1.0000000309027399</v>
      </c>
    </row>
    <row r="3557" spans="1:40" x14ac:dyDescent="0.25">
      <c r="A3557" t="str">
        <f>"20190312160710117"</f>
        <v>20190312160710117</v>
      </c>
      <c r="B3557" t="str">
        <f>"1552378030109001"</f>
        <v>1552378030109001</v>
      </c>
      <c r="C3557" t="s">
        <v>40</v>
      </c>
      <c r="D3557">
        <v>6.2591549999999998</v>
      </c>
      <c r="E3557">
        <v>0.49012080000000002</v>
      </c>
      <c r="F3557" t="s">
        <v>66</v>
      </c>
      <c r="G3557">
        <v>-373.18</v>
      </c>
      <c r="H3557" s="1">
        <v>1.5544479999999999E-7</v>
      </c>
      <c r="I3557">
        <v>215.5643</v>
      </c>
      <c r="J3557">
        <v>-452.3732</v>
      </c>
      <c r="K3557">
        <v>1.1090719999999901</v>
      </c>
      <c r="L3557">
        <v>214.21979999999999</v>
      </c>
      <c r="M3557">
        <v>0.99787289999999995</v>
      </c>
      <c r="N3557">
        <v>0</v>
      </c>
      <c r="O3557">
        <v>-6.4820909999999995E-2</v>
      </c>
      <c r="P3557">
        <v>0.99986799999999998</v>
      </c>
      <c r="Q3557">
        <v>1.35231E-2</v>
      </c>
      <c r="R3557">
        <v>-9.0268580000000005E-3</v>
      </c>
      <c r="S3557">
        <v>3.0014340000000002</v>
      </c>
      <c r="T3557">
        <v>-4.1928409999999999E-2</v>
      </c>
      <c r="U3557">
        <v>5.0338750000000002E-2</v>
      </c>
      <c r="V3557">
        <v>-5.5800580000000002E-2</v>
      </c>
      <c r="W3557">
        <v>2.0458529999999999E-2</v>
      </c>
      <c r="X3557">
        <v>0.99823229999999996</v>
      </c>
      <c r="Y3557">
        <v>-8.1533030000000006E-2</v>
      </c>
      <c r="Z3557">
        <v>1.474492E-3</v>
      </c>
      <c r="AA3557">
        <v>0.99666949999999999</v>
      </c>
      <c r="AB3557">
        <v>20</v>
      </c>
      <c r="AC3557">
        <v>79.193199999999905</v>
      </c>
      <c r="AD3557">
        <v>-1.1090718445551999</v>
      </c>
      <c r="AE3557">
        <v>1.34450000000001</v>
      </c>
      <c r="AF3557">
        <v>-6.4739012081807203</v>
      </c>
      <c r="AG3557">
        <v>-1.1090718445551999</v>
      </c>
      <c r="AH3557">
        <v>78.924013153595894</v>
      </c>
      <c r="AI3557">
        <v>90.802395699203302</v>
      </c>
      <c r="AJ3557">
        <v>94.689303349632993</v>
      </c>
      <c r="AK3557">
        <v>79.196851512409495</v>
      </c>
      <c r="AL3557">
        <v>88.827730779256299</v>
      </c>
      <c r="AM3557">
        <v>93.199469583206493</v>
      </c>
      <c r="AN3557">
        <v>0.99999999047069299</v>
      </c>
    </row>
    <row r="3558" spans="1:40" x14ac:dyDescent="0.25">
      <c r="A3558" t="str">
        <f>"20190312160710140"</f>
        <v>20190312160710140</v>
      </c>
      <c r="B3558" t="str">
        <f>"1552378030128522"</f>
        <v>1552378030128522</v>
      </c>
      <c r="C3558" t="s">
        <v>40</v>
      </c>
      <c r="D3558">
        <v>6.262302</v>
      </c>
      <c r="E3558">
        <v>0.49021239999999999</v>
      </c>
      <c r="F3558" t="s">
        <v>66</v>
      </c>
      <c r="G3558">
        <v>-373.59320000000002</v>
      </c>
      <c r="H3558" s="1">
        <v>3.7535479999999998E-7</v>
      </c>
      <c r="I3558">
        <v>215.50980000000001</v>
      </c>
      <c r="J3558">
        <v>-452.16699999999997</v>
      </c>
      <c r="K3558">
        <v>1.109092</v>
      </c>
      <c r="L3558">
        <v>214.20609999999999</v>
      </c>
      <c r="M3558">
        <v>0.99786260000000004</v>
      </c>
      <c r="N3558">
        <v>0</v>
      </c>
      <c r="O3558">
        <v>-6.4977389999999996E-2</v>
      </c>
      <c r="P3558">
        <v>0.99986359999999996</v>
      </c>
      <c r="Q3558">
        <v>1.344967E-2</v>
      </c>
      <c r="R3558">
        <v>-9.579565E-3</v>
      </c>
      <c r="S3558">
        <v>3.0014340000000002</v>
      </c>
      <c r="T3558">
        <v>-4.2254449999999999E-2</v>
      </c>
      <c r="U3558">
        <v>4.9148560000000001E-2</v>
      </c>
      <c r="V3558">
        <v>-5.5406520000000001E-2</v>
      </c>
      <c r="W3558">
        <v>2.0392739999999999E-2</v>
      </c>
      <c r="X3558">
        <v>0.99825560000000002</v>
      </c>
      <c r="Y3558">
        <v>-8.1293989999999997E-2</v>
      </c>
      <c r="Z3558">
        <v>1.486476E-3</v>
      </c>
      <c r="AA3558">
        <v>0.99668909999999999</v>
      </c>
      <c r="AB3558">
        <v>20</v>
      </c>
      <c r="AC3558">
        <v>78.573799999999906</v>
      </c>
      <c r="AD3558">
        <v>-1.1090916246451901</v>
      </c>
      <c r="AE3558">
        <v>1.3037000000000201</v>
      </c>
      <c r="AF3558">
        <v>-6.4053123720901501</v>
      </c>
      <c r="AG3558">
        <v>-1.1090916246451901</v>
      </c>
      <c r="AH3558">
        <v>78.307434001730499</v>
      </c>
      <c r="AI3558">
        <v>90.808742343738302</v>
      </c>
      <c r="AJ3558">
        <v>94.676211711787502</v>
      </c>
      <c r="AK3558">
        <v>78.576792571033906</v>
      </c>
      <c r="AL3558">
        <v>88.831501060047103</v>
      </c>
      <c r="AM3558">
        <v>93.176847587113997</v>
      </c>
      <c r="AN3558">
        <v>0.99999999461728895</v>
      </c>
    </row>
    <row r="3559" spans="1:40" x14ac:dyDescent="0.25">
      <c r="A3559" t="str">
        <f>"20190312160710161"</f>
        <v>20190312160710161</v>
      </c>
      <c r="B3559" t="str">
        <f>"1552378030158777"</f>
        <v>1552378030158777</v>
      </c>
      <c r="C3559" t="s">
        <v>40</v>
      </c>
      <c r="D3559">
        <v>6.1611770000000003</v>
      </c>
      <c r="E3559">
        <v>0.49013980000000001</v>
      </c>
      <c r="F3559" t="s">
        <v>66</v>
      </c>
      <c r="G3559">
        <v>-376.93639999999999</v>
      </c>
      <c r="H3559" s="1">
        <v>2.1544090000000001E-6</v>
      </c>
      <c r="I3559">
        <v>215.38300000000001</v>
      </c>
      <c r="J3559">
        <v>-451.97140000000002</v>
      </c>
      <c r="K3559">
        <v>1.1091169999999999</v>
      </c>
      <c r="L3559">
        <v>214.19329999999999</v>
      </c>
      <c r="M3559">
        <v>0.99785550000000001</v>
      </c>
      <c r="N3559">
        <v>0</v>
      </c>
      <c r="O3559">
        <v>-6.5084349999999999E-2</v>
      </c>
      <c r="P3559">
        <v>0.99985809999999997</v>
      </c>
      <c r="Q3559">
        <v>1.3098250000000001E-2</v>
      </c>
      <c r="R3559">
        <v>-1.060973E-2</v>
      </c>
      <c r="S3559">
        <v>3.001465</v>
      </c>
      <c r="T3559">
        <v>-4.4249179999999999E-2</v>
      </c>
      <c r="U3559">
        <v>4.695129E-2</v>
      </c>
      <c r="V3559">
        <v>-5.4486769999999997E-2</v>
      </c>
      <c r="W3559">
        <v>2.0047579999999999E-2</v>
      </c>
      <c r="X3559">
        <v>0.99831320000000001</v>
      </c>
      <c r="Y3559">
        <v>-8.0669840000000007E-2</v>
      </c>
      <c r="Z3559">
        <v>1.553603E-3</v>
      </c>
      <c r="AA3559">
        <v>0.99673970000000001</v>
      </c>
      <c r="AB3559">
        <v>20</v>
      </c>
      <c r="AC3559">
        <v>75.034999999999997</v>
      </c>
      <c r="AD3559">
        <v>-1.1091148455909901</v>
      </c>
      <c r="AE3559">
        <v>1.18969999999998</v>
      </c>
      <c r="AF3559">
        <v>-6.0695741059674102</v>
      </c>
      <c r="AG3559">
        <v>-1.1091148455909901</v>
      </c>
      <c r="AH3559">
        <v>74.782132997453203</v>
      </c>
      <c r="AI3559">
        <v>90.8469229539255</v>
      </c>
      <c r="AJ3559">
        <v>94.640150588889796</v>
      </c>
      <c r="AK3559">
        <v>75.036239785968206</v>
      </c>
      <c r="AL3559">
        <v>88.851281298102506</v>
      </c>
      <c r="AM3559">
        <v>93.124037263118197</v>
      </c>
      <c r="AN3559">
        <v>0.99999997943156405</v>
      </c>
    </row>
    <row r="3560" spans="1:40" x14ac:dyDescent="0.25">
      <c r="A3560" t="str">
        <f>"20190312160710185"</f>
        <v>20190312160710185</v>
      </c>
      <c r="B3560" t="str">
        <f>"1552378030178298"</f>
        <v>1552378030178298</v>
      </c>
      <c r="C3560" t="s">
        <v>40</v>
      </c>
      <c r="D3560">
        <v>6.2568539999999997</v>
      </c>
      <c r="E3560">
        <v>0.49014180000000002</v>
      </c>
      <c r="F3560" t="s">
        <v>66</v>
      </c>
      <c r="G3560">
        <v>-381.93579999999997</v>
      </c>
      <c r="H3560" s="1">
        <v>-5.3336380000000003E-7</v>
      </c>
      <c r="I3560">
        <v>215.22720000000001</v>
      </c>
      <c r="J3560">
        <v>-451.75650000000002</v>
      </c>
      <c r="K3560">
        <v>1.1091549999999999</v>
      </c>
      <c r="L3560">
        <v>214.17920000000001</v>
      </c>
      <c r="M3560">
        <v>0.99785109999999999</v>
      </c>
      <c r="N3560">
        <v>0</v>
      </c>
      <c r="O3560">
        <v>-6.5152409999999994E-2</v>
      </c>
      <c r="P3560">
        <v>0.9998475</v>
      </c>
      <c r="Q3560">
        <v>1.3454880000000001E-2</v>
      </c>
      <c r="R3560">
        <v>-1.115034E-2</v>
      </c>
      <c r="S3560">
        <v>3.0015260000000001</v>
      </c>
      <c r="T3560">
        <v>-4.753363E-2</v>
      </c>
      <c r="U3560">
        <v>4.431152E-2</v>
      </c>
      <c r="V3560">
        <v>-5.4016040000000001E-2</v>
      </c>
      <c r="W3560">
        <v>2.0406090000000002E-2</v>
      </c>
      <c r="X3560">
        <v>0.99833150000000004</v>
      </c>
      <c r="Y3560">
        <v>-7.9858750000000006E-2</v>
      </c>
      <c r="Z3560">
        <v>1.6635319999999999E-3</v>
      </c>
      <c r="AA3560">
        <v>0.99680480000000005</v>
      </c>
      <c r="AB3560">
        <v>20</v>
      </c>
      <c r="AC3560">
        <v>69.820700000000002</v>
      </c>
      <c r="AD3560">
        <v>-1.1091555333637999</v>
      </c>
      <c r="AE3560">
        <v>1.048</v>
      </c>
      <c r="AF3560">
        <v>-5.5934588370021299</v>
      </c>
      <c r="AG3560">
        <v>-1.1091555333637999</v>
      </c>
      <c r="AH3560">
        <v>69.586508387634595</v>
      </c>
      <c r="AI3560">
        <v>90.910238052671303</v>
      </c>
      <c r="AJ3560">
        <v>94.595632502413906</v>
      </c>
      <c r="AK3560">
        <v>69.819761939874596</v>
      </c>
      <c r="AL3560">
        <v>88.830735964614504</v>
      </c>
      <c r="AM3560">
        <v>93.097043738014804</v>
      </c>
      <c r="AN3560">
        <v>0.999999962489309</v>
      </c>
    </row>
    <row r="3561" spans="1:40" x14ac:dyDescent="0.25">
      <c r="A3561" t="str">
        <f>"20190312160710207"</f>
        <v>20190312160710207</v>
      </c>
      <c r="B3561" t="str">
        <f>"1552378030198793"</f>
        <v>1552378030198793</v>
      </c>
      <c r="C3561" t="s">
        <v>40</v>
      </c>
      <c r="D3561">
        <v>6.20953</v>
      </c>
      <c r="E3561">
        <v>0.4902048</v>
      </c>
      <c r="F3561" t="s">
        <v>66</v>
      </c>
      <c r="G3561">
        <v>-382.5718</v>
      </c>
      <c r="H3561" s="1">
        <v>-1.920263E-7</v>
      </c>
      <c r="I3561">
        <v>215.1611</v>
      </c>
      <c r="J3561">
        <v>-451.55259999999998</v>
      </c>
      <c r="K3561">
        <v>1.1091839999999999</v>
      </c>
      <c r="L3561">
        <v>214.16579999999999</v>
      </c>
      <c r="M3561">
        <v>0.99784969999999995</v>
      </c>
      <c r="N3561">
        <v>0</v>
      </c>
      <c r="O3561">
        <v>-6.5176029999999996E-2</v>
      </c>
      <c r="P3561">
        <v>0.99983650000000002</v>
      </c>
      <c r="Q3561">
        <v>1.378625E-2</v>
      </c>
      <c r="R3561">
        <v>-1.171648E-2</v>
      </c>
      <c r="S3561">
        <v>3.0015869999999998</v>
      </c>
      <c r="T3561">
        <v>-4.8120860000000001E-2</v>
      </c>
      <c r="U3561">
        <v>4.2602540000000001E-2</v>
      </c>
      <c r="V3561">
        <v>-5.3475370000000001E-2</v>
      </c>
      <c r="W3561">
        <v>2.0735509999999999E-2</v>
      </c>
      <c r="X3561">
        <v>0.99835379999999996</v>
      </c>
      <c r="Y3561">
        <v>-7.9314209999999996E-2</v>
      </c>
      <c r="Z3561">
        <v>1.680062E-3</v>
      </c>
      <c r="AA3561">
        <v>0.99684819999999996</v>
      </c>
      <c r="AB3561">
        <v>20</v>
      </c>
      <c r="AC3561">
        <v>68.980799999999903</v>
      </c>
      <c r="AD3561">
        <v>-1.1091841920262999</v>
      </c>
      <c r="AE3561">
        <v>0.99530000000001395</v>
      </c>
      <c r="AF3561">
        <v>-5.4877678192239703</v>
      </c>
      <c r="AG3561">
        <v>-1.1091841920262999</v>
      </c>
      <c r="AH3561">
        <v>68.751481218292895</v>
      </c>
      <c r="AI3561">
        <v>90.921356467015499</v>
      </c>
      <c r="AJ3561">
        <v>94.563693819678704</v>
      </c>
      <c r="AK3561">
        <v>68.979069687252505</v>
      </c>
      <c r="AL3561">
        <v>88.811857570610698</v>
      </c>
      <c r="AM3561">
        <v>93.066035173014896</v>
      </c>
      <c r="AN3561">
        <v>0.999999943273016</v>
      </c>
    </row>
    <row r="3562" spans="1:40" x14ac:dyDescent="0.25">
      <c r="A3562" t="str">
        <f>"20190312160710230"</f>
        <v>20190312160710230</v>
      </c>
      <c r="B3562" t="str">
        <f>"1552378030218314"</f>
        <v>1552378030218314</v>
      </c>
      <c r="C3562" t="s">
        <v>40</v>
      </c>
      <c r="D3562">
        <v>6.3164660000000001</v>
      </c>
      <c r="E3562">
        <v>0.4901374</v>
      </c>
      <c r="F3562" t="s">
        <v>66</v>
      </c>
      <c r="G3562">
        <v>-383.55680000000001</v>
      </c>
      <c r="H3562" s="1">
        <v>3.3560649999999998E-7</v>
      </c>
      <c r="I3562">
        <v>215.08150000000001</v>
      </c>
      <c r="J3562">
        <v>-451.35090000000002</v>
      </c>
      <c r="K3562">
        <v>1.1092109999999999</v>
      </c>
      <c r="L3562">
        <v>214.15260000000001</v>
      </c>
      <c r="M3562">
        <v>0.99785080000000004</v>
      </c>
      <c r="N3562">
        <v>0</v>
      </c>
      <c r="O3562">
        <v>-6.5156489999999997E-2</v>
      </c>
      <c r="P3562">
        <v>0.99982890000000002</v>
      </c>
      <c r="Q3562">
        <v>1.378328E-2</v>
      </c>
      <c r="R3562">
        <v>-1.2343639999999999E-2</v>
      </c>
      <c r="S3562">
        <v>3.001617</v>
      </c>
      <c r="T3562">
        <v>-4.8963899999999998E-2</v>
      </c>
      <c r="U3562">
        <v>4.0420530000000003E-2</v>
      </c>
      <c r="V3562">
        <v>-5.2830780000000001E-2</v>
      </c>
      <c r="W3562">
        <v>2.0727410000000002E-2</v>
      </c>
      <c r="X3562">
        <v>0.99838839999999995</v>
      </c>
      <c r="Y3562">
        <v>-7.8569459999999994E-2</v>
      </c>
      <c r="Z3562">
        <v>1.703085E-3</v>
      </c>
      <c r="AA3562">
        <v>0.99690719999999999</v>
      </c>
      <c r="AB3562">
        <v>20</v>
      </c>
      <c r="AC3562">
        <v>67.7941</v>
      </c>
      <c r="AD3562">
        <v>-1.1092106643935</v>
      </c>
      <c r="AE3562">
        <v>0.92889999999999795</v>
      </c>
      <c r="AF3562">
        <v>-5.3428285802716999</v>
      </c>
      <c r="AG3562">
        <v>-1.1092106643935</v>
      </c>
      <c r="AH3562">
        <v>67.571423869349701</v>
      </c>
      <c r="AI3562">
        <v>90.937521996379701</v>
      </c>
      <c r="AJ3562">
        <v>94.520934144304206</v>
      </c>
      <c r="AK3562">
        <v>67.791396867651997</v>
      </c>
      <c r="AL3562">
        <v>88.812321901363006</v>
      </c>
      <c r="AM3562">
        <v>93.029041770959296</v>
      </c>
      <c r="AN3562">
        <v>1.00000005704763</v>
      </c>
    </row>
    <row r="3563" spans="1:40" x14ac:dyDescent="0.25">
      <c r="A3563" t="str">
        <f>"20190312160710275"</f>
        <v>20190312160710275</v>
      </c>
      <c r="B3563" t="str">
        <f>"1552378030269065"</f>
        <v>1552378030269065</v>
      </c>
      <c r="C3563" t="s">
        <v>40</v>
      </c>
      <c r="D3563">
        <v>6.2152250000000002</v>
      </c>
      <c r="E3563">
        <v>0.48940159999999999</v>
      </c>
      <c r="F3563" t="s">
        <v>66</v>
      </c>
      <c r="G3563">
        <v>-385.74099999999999</v>
      </c>
      <c r="H3563" s="1">
        <v>1.501357E-6</v>
      </c>
      <c r="I3563">
        <v>215.00409999999999</v>
      </c>
      <c r="J3563">
        <v>-450.92860000000002</v>
      </c>
      <c r="K3563">
        <v>1.109264</v>
      </c>
      <c r="L3563">
        <v>214.12530000000001</v>
      </c>
      <c r="M3563">
        <v>0.99786520000000001</v>
      </c>
      <c r="N3563">
        <v>0</v>
      </c>
      <c r="O3563">
        <v>-6.4938590000000004E-2</v>
      </c>
      <c r="P3563">
        <v>0.99984720000000005</v>
      </c>
      <c r="Q3563">
        <v>1.3157500000000001E-2</v>
      </c>
      <c r="R3563">
        <v>-1.152283E-2</v>
      </c>
      <c r="S3563">
        <v>3.001709</v>
      </c>
      <c r="T3563">
        <v>-5.0747279999999999E-2</v>
      </c>
      <c r="U3563">
        <v>3.8955690000000001E-2</v>
      </c>
      <c r="V3563">
        <v>-5.3436570000000003E-2</v>
      </c>
      <c r="W3563">
        <v>2.007809E-2</v>
      </c>
      <c r="X3563">
        <v>0.99836939999999996</v>
      </c>
      <c r="Y3563">
        <v>-7.7863630000000003E-2</v>
      </c>
      <c r="Z3563">
        <v>1.7554090000000001E-3</v>
      </c>
      <c r="AA3563">
        <v>0.99696249999999997</v>
      </c>
      <c r="AB3563">
        <v>21</v>
      </c>
      <c r="AC3563">
        <v>65.187600000000003</v>
      </c>
      <c r="AD3563">
        <v>-1.109262498643</v>
      </c>
      <c r="AE3563">
        <v>0.87879999999998404</v>
      </c>
      <c r="AF3563">
        <v>-5.1087584473598699</v>
      </c>
      <c r="AG3563">
        <v>-1.109262498643</v>
      </c>
      <c r="AH3563">
        <v>64.9741195555373</v>
      </c>
      <c r="AI3563">
        <v>90.975071121768707</v>
      </c>
      <c r="AJ3563">
        <v>94.495779548094305</v>
      </c>
      <c r="AK3563">
        <v>65.184093828031607</v>
      </c>
      <c r="AL3563">
        <v>88.849532907543306</v>
      </c>
      <c r="AM3563">
        <v>93.063767014497202</v>
      </c>
      <c r="AN3563">
        <v>1.0000000277838801</v>
      </c>
    </row>
    <row r="3564" spans="1:40" x14ac:dyDescent="0.25">
      <c r="A3564" t="str">
        <f>"20190312160710298"</f>
        <v>20190312160710298</v>
      </c>
      <c r="B3564" t="str">
        <f>"1552378030288587"</f>
        <v>1552378030288587</v>
      </c>
      <c r="C3564" t="s">
        <v>40</v>
      </c>
      <c r="D3564">
        <v>6.3169570000000004</v>
      </c>
      <c r="E3564">
        <v>0.48921300000000001</v>
      </c>
      <c r="F3564" t="s">
        <v>66</v>
      </c>
      <c r="G3564">
        <v>-391.40429999999998</v>
      </c>
      <c r="H3564" s="1">
        <v>-7.8950789999999999E-7</v>
      </c>
      <c r="I3564">
        <v>215.06540000000001</v>
      </c>
      <c r="J3564">
        <v>-450.71519999999998</v>
      </c>
      <c r="K3564">
        <v>1.1092949999999999</v>
      </c>
      <c r="L3564">
        <v>214.11160000000001</v>
      </c>
      <c r="M3564">
        <v>0.99787859999999995</v>
      </c>
      <c r="N3564">
        <v>0</v>
      </c>
      <c r="O3564">
        <v>-6.4733929999999995E-2</v>
      </c>
      <c r="P3564">
        <v>0.99984870000000003</v>
      </c>
      <c r="Q3564">
        <v>1.3576E-2</v>
      </c>
      <c r="R3564">
        <v>-1.0900460000000001E-2</v>
      </c>
      <c r="S3564">
        <v>3.001709</v>
      </c>
      <c r="T3564">
        <v>-5.593824E-2</v>
      </c>
      <c r="U3564">
        <v>4.7409060000000003E-2</v>
      </c>
      <c r="V3564">
        <v>-5.3854579999999999E-2</v>
      </c>
      <c r="W3564">
        <v>2.0482360000000002E-2</v>
      </c>
      <c r="X3564">
        <v>0.99833870000000002</v>
      </c>
      <c r="Y3564">
        <v>-8.046114E-2</v>
      </c>
      <c r="Z3564">
        <v>1.95532E-3</v>
      </c>
      <c r="AA3564">
        <v>0.99675579999999997</v>
      </c>
      <c r="AB3564">
        <v>21</v>
      </c>
      <c r="AC3564">
        <v>59.310899999999997</v>
      </c>
      <c r="AD3564">
        <v>-1.1092957895078901</v>
      </c>
      <c r="AE3564">
        <v>0.95380000000000098</v>
      </c>
      <c r="AF3564">
        <v>-4.7896438074790604</v>
      </c>
      <c r="AG3564">
        <v>-1.1092957895078901</v>
      </c>
      <c r="AH3564">
        <v>59.104078721843401</v>
      </c>
      <c r="AI3564">
        <v>91.071718017242105</v>
      </c>
      <c r="AJ3564">
        <v>94.632979852460593</v>
      </c>
      <c r="AK3564">
        <v>59.308206401045403</v>
      </c>
      <c r="AL3564">
        <v>88.826365147472899</v>
      </c>
      <c r="AM3564">
        <v>93.087782042027499</v>
      </c>
      <c r="AN3564">
        <v>1.00000000138791</v>
      </c>
    </row>
    <row r="3565" spans="1:40" x14ac:dyDescent="0.25">
      <c r="A3565" t="str">
        <f>"20190312160710319"</f>
        <v>20190312160710319</v>
      </c>
      <c r="B3565" t="str">
        <f>"1552378030309082"</f>
        <v>1552378030309082</v>
      </c>
      <c r="C3565" t="s">
        <v>40</v>
      </c>
      <c r="D3565">
        <v>6.1839870000000001</v>
      </c>
      <c r="E3565">
        <v>0.4888055</v>
      </c>
      <c r="F3565" t="s">
        <v>66</v>
      </c>
      <c r="G3565">
        <v>-391.26710000000003</v>
      </c>
      <c r="H3565" s="1">
        <v>-8.6251740000000002E-7</v>
      </c>
      <c r="I3565">
        <v>215.1103</v>
      </c>
      <c r="J3565">
        <v>-450.51609999999999</v>
      </c>
      <c r="K3565">
        <v>1.1093249999999999</v>
      </c>
      <c r="L3565">
        <v>214.09889999999999</v>
      </c>
      <c r="M3565">
        <v>0.99789430000000001</v>
      </c>
      <c r="N3565">
        <v>0</v>
      </c>
      <c r="O3565">
        <v>-6.4489480000000002E-2</v>
      </c>
      <c r="P3565">
        <v>0.99985760000000001</v>
      </c>
      <c r="Q3565">
        <v>1.382649E-2</v>
      </c>
      <c r="R3565">
        <v>-9.6760140000000001E-3</v>
      </c>
      <c r="S3565">
        <v>3.0017399999999999</v>
      </c>
      <c r="T3565">
        <v>-5.6012149999999997E-2</v>
      </c>
      <c r="U3565">
        <v>5.0430299999999997E-2</v>
      </c>
      <c r="V3565">
        <v>-5.4833979999999997E-2</v>
      </c>
      <c r="W3565">
        <v>2.072073E-2</v>
      </c>
      <c r="X3565">
        <v>0.99828050000000002</v>
      </c>
      <c r="Y3565">
        <v>-8.1219609999999998E-2</v>
      </c>
      <c r="Z3565">
        <v>1.9603979999999999E-3</v>
      </c>
      <c r="AA3565">
        <v>0.99669430000000003</v>
      </c>
      <c r="AB3565">
        <v>21</v>
      </c>
      <c r="AC3565">
        <v>59.248999999999903</v>
      </c>
      <c r="AD3565">
        <v>-1.1093258625173901</v>
      </c>
      <c r="AE3565">
        <v>1.0114000000000001</v>
      </c>
      <c r="AF3565">
        <v>-4.8286313929887399</v>
      </c>
      <c r="AG3565">
        <v>-1.1093258625173901</v>
      </c>
      <c r="AH3565">
        <v>59.039743692651903</v>
      </c>
      <c r="AI3565">
        <v>91.072849717358196</v>
      </c>
      <c r="AJ3565">
        <v>94.675592899476598</v>
      </c>
      <c r="AK3565">
        <v>59.247258335661698</v>
      </c>
      <c r="AL3565">
        <v>88.812704693596402</v>
      </c>
      <c r="AM3565">
        <v>93.144007759359994</v>
      </c>
      <c r="AN3565">
        <v>1.00000003534731</v>
      </c>
    </row>
    <row r="3566" spans="1:40" x14ac:dyDescent="0.25">
      <c r="A3566" t="str">
        <f>"20190312160710342"</f>
        <v>20190312160710342</v>
      </c>
      <c r="B3566" t="str">
        <f>"1552378030338363"</f>
        <v>1552378030338363</v>
      </c>
      <c r="C3566" t="s">
        <v>40</v>
      </c>
      <c r="D3566">
        <v>6.4982129999999998</v>
      </c>
      <c r="E3566">
        <v>0.48821039999999999</v>
      </c>
      <c r="F3566" t="s">
        <v>66</v>
      </c>
      <c r="G3566">
        <v>-392.72739999999999</v>
      </c>
      <c r="H3566" s="1">
        <v>-8.5414709999999994E-8</v>
      </c>
      <c r="I3566">
        <v>215.20140000000001</v>
      </c>
      <c r="J3566">
        <v>-450.30439999999999</v>
      </c>
      <c r="K3566">
        <v>1.1093649999999999</v>
      </c>
      <c r="L3566">
        <v>214.0856</v>
      </c>
      <c r="M3566">
        <v>0.99791560000000001</v>
      </c>
      <c r="N3566">
        <v>0</v>
      </c>
      <c r="O3566">
        <v>-6.4161659999999995E-2</v>
      </c>
      <c r="P3566">
        <v>0.99988719999999998</v>
      </c>
      <c r="Q3566">
        <v>1.2168389999999999E-2</v>
      </c>
      <c r="R3566">
        <v>-8.8179609999999992E-3</v>
      </c>
      <c r="S3566">
        <v>3.0017399999999999</v>
      </c>
      <c r="T3566">
        <v>-5.7622079999999999E-2</v>
      </c>
      <c r="U3566">
        <v>5.7266240000000003E-2</v>
      </c>
      <c r="V3566">
        <v>-5.5366100000000001E-2</v>
      </c>
      <c r="W3566">
        <v>1.9051180000000001E-2</v>
      </c>
      <c r="X3566">
        <v>0.99828430000000001</v>
      </c>
      <c r="Y3566">
        <v>-8.315931E-2</v>
      </c>
      <c r="Z3566">
        <v>2.0290450000000002E-3</v>
      </c>
      <c r="AA3566">
        <v>0.99653420000000004</v>
      </c>
      <c r="AB3566">
        <v>21</v>
      </c>
      <c r="AC3566">
        <v>57.576999999999998</v>
      </c>
      <c r="AD3566">
        <v>-1.1093650854147099</v>
      </c>
      <c r="AE3566">
        <v>1.1157999999999999</v>
      </c>
      <c r="AF3566">
        <v>-4.8060413712212</v>
      </c>
      <c r="AG3566">
        <v>-1.1093650854147099</v>
      </c>
      <c r="AH3566">
        <v>57.365476487460597</v>
      </c>
      <c r="AI3566">
        <v>91.104012371596198</v>
      </c>
      <c r="AJ3566">
        <v>94.789018430945902</v>
      </c>
      <c r="AK3566">
        <v>57.577136236426497</v>
      </c>
      <c r="AL3566">
        <v>88.908381694410906</v>
      </c>
      <c r="AM3566">
        <v>93.174443685456893</v>
      </c>
      <c r="AN3566">
        <v>0.999999948057544</v>
      </c>
    </row>
    <row r="3567" spans="1:40" x14ac:dyDescent="0.25">
      <c r="A3567" t="str">
        <f>"20190312160710363"</f>
        <v>20190312160710363</v>
      </c>
      <c r="B3567" t="str">
        <f>"1552378030358858"</f>
        <v>1552378030358858</v>
      </c>
      <c r="C3567" t="s">
        <v>40</v>
      </c>
      <c r="D3567">
        <v>6.2947989999999896</v>
      </c>
      <c r="E3567">
        <v>0.48789270000000001</v>
      </c>
      <c r="F3567" t="s">
        <v>66</v>
      </c>
      <c r="G3567">
        <v>-399.73930000000001</v>
      </c>
      <c r="H3567" s="1">
        <v>3.6459609999999999E-6</v>
      </c>
      <c r="I3567">
        <v>215.17830000000001</v>
      </c>
      <c r="J3567">
        <v>-450.1026</v>
      </c>
      <c r="K3567">
        <v>1.1094059999999999</v>
      </c>
      <c r="L3567">
        <v>214.07300000000001</v>
      </c>
      <c r="M3567">
        <v>0.99794020000000005</v>
      </c>
      <c r="N3567">
        <v>0</v>
      </c>
      <c r="O3567">
        <v>-6.3776609999999997E-2</v>
      </c>
      <c r="P3567">
        <v>0.99990270000000003</v>
      </c>
      <c r="Q3567">
        <v>1.107209E-2</v>
      </c>
      <c r="R3567">
        <v>-8.4983929999999999E-3</v>
      </c>
      <c r="S3567">
        <v>3.001709</v>
      </c>
      <c r="T3567">
        <v>-6.5855259999999999E-2</v>
      </c>
      <c r="U3567">
        <v>6.4865110000000004E-2</v>
      </c>
      <c r="V3567">
        <v>-5.5302490000000003E-2</v>
      </c>
      <c r="W3567">
        <v>1.794606E-2</v>
      </c>
      <c r="X3567">
        <v>0.99830839999999998</v>
      </c>
      <c r="Y3567">
        <v>-8.5287760000000004E-2</v>
      </c>
      <c r="Z3567">
        <v>2.3337950000000001E-3</v>
      </c>
      <c r="AA3567">
        <v>0.99635359999999995</v>
      </c>
      <c r="AB3567">
        <v>21</v>
      </c>
      <c r="AC3567">
        <v>50.363299999999903</v>
      </c>
      <c r="AD3567">
        <v>-1.1094023540389999</v>
      </c>
      <c r="AE3567">
        <v>1.1053000000000199</v>
      </c>
      <c r="AF3567">
        <v>-4.3130353796226499</v>
      </c>
      <c r="AG3567">
        <v>-1.1094023540389999</v>
      </c>
      <c r="AH3567">
        <v>50.165941068036297</v>
      </c>
      <c r="AI3567">
        <v>91.262214862597304</v>
      </c>
      <c r="AJ3567">
        <v>94.913942089302907</v>
      </c>
      <c r="AK3567">
        <v>50.363227567449599</v>
      </c>
      <c r="AL3567">
        <v>88.971711348020506</v>
      </c>
      <c r="AM3567">
        <v>93.170727630060995</v>
      </c>
      <c r="AN3567">
        <v>1.00000004399014</v>
      </c>
    </row>
    <row r="3568" spans="1:40" x14ac:dyDescent="0.25">
      <c r="A3568" t="str">
        <f>"20190312160710386"</f>
        <v>20190312160710386</v>
      </c>
      <c r="B3568" t="str">
        <f>"1552378030378378"</f>
        <v>1552378030378378</v>
      </c>
      <c r="C3568" t="s">
        <v>40</v>
      </c>
      <c r="D3568">
        <v>6.0915939999999997</v>
      </c>
      <c r="E3568">
        <v>0.48774689999999998</v>
      </c>
      <c r="F3568" t="s">
        <v>77</v>
      </c>
      <c r="G3568">
        <v>-403.27519999999998</v>
      </c>
      <c r="H3568" s="1">
        <v>6.8425829999999997E-6</v>
      </c>
      <c r="I3568">
        <v>215.1354</v>
      </c>
      <c r="J3568">
        <v>-449.8877</v>
      </c>
      <c r="K3568">
        <v>1.1094569999999999</v>
      </c>
      <c r="L3568">
        <v>214.0598</v>
      </c>
      <c r="M3568">
        <v>0.99797179999999996</v>
      </c>
      <c r="N3568">
        <v>0</v>
      </c>
      <c r="O3568">
        <v>-6.3281610000000002E-2</v>
      </c>
      <c r="P3568">
        <v>0.9999093</v>
      </c>
      <c r="Q3568">
        <v>1.0948090000000001E-2</v>
      </c>
      <c r="R3568">
        <v>-7.8416879999999994E-3</v>
      </c>
      <c r="S3568">
        <v>3.001617</v>
      </c>
      <c r="T3568">
        <v>-7.1112040000000001E-2</v>
      </c>
      <c r="U3568">
        <v>6.8099980000000004E-2</v>
      </c>
      <c r="V3568">
        <v>-5.5464470000000002E-2</v>
      </c>
      <c r="W3568">
        <v>1.7814E-2</v>
      </c>
      <c r="X3568">
        <v>0.99830169999999996</v>
      </c>
      <c r="Y3568">
        <v>-8.5861480000000004E-2</v>
      </c>
      <c r="Z3568">
        <v>2.5151790000000002E-3</v>
      </c>
      <c r="AA3568">
        <v>0.99630390000000002</v>
      </c>
      <c r="AB3568">
        <v>21</v>
      </c>
      <c r="AC3568">
        <v>46.612499999999997</v>
      </c>
      <c r="AD3568">
        <v>-1.1094501574169999</v>
      </c>
      <c r="AE3568">
        <v>1.0755999999999999</v>
      </c>
      <c r="AF3568">
        <v>-4.0209518041088002</v>
      </c>
      <c r="AG3568">
        <v>-1.1094501574169999</v>
      </c>
      <c r="AH3568">
        <v>46.424716995768499</v>
      </c>
      <c r="AI3568">
        <v>91.363880220665195</v>
      </c>
      <c r="AJ3568">
        <v>94.950166058484498</v>
      </c>
      <c r="AK3568">
        <v>46.611729008908803</v>
      </c>
      <c r="AL3568">
        <v>88.979278957603199</v>
      </c>
      <c r="AM3568">
        <v>93.180016900424704</v>
      </c>
      <c r="AN3568">
        <v>0.99999996512563405</v>
      </c>
    </row>
    <row r="3569" spans="1:40" x14ac:dyDescent="0.25">
      <c r="A3569" t="str">
        <f>"20190312160710409"</f>
        <v>20190312160710409</v>
      </c>
      <c r="B3569" t="str">
        <f>"1552378030398873"</f>
        <v>1552378030398873</v>
      </c>
      <c r="C3569" t="s">
        <v>40</v>
      </c>
      <c r="D3569">
        <v>6.1389570000000004</v>
      </c>
      <c r="E3569">
        <v>0.4875562</v>
      </c>
      <c r="F3569" t="s">
        <v>77</v>
      </c>
      <c r="G3569">
        <v>-405.0453</v>
      </c>
      <c r="H3569" s="1">
        <v>6.0602250000000001E-6</v>
      </c>
      <c r="I3569">
        <v>215.12280000000001</v>
      </c>
      <c r="J3569">
        <v>-449.66219999999998</v>
      </c>
      <c r="K3569">
        <v>1.109515</v>
      </c>
      <c r="L3569">
        <v>214.0461</v>
      </c>
      <c r="M3569">
        <v>0.99801059999999997</v>
      </c>
      <c r="N3569">
        <v>0</v>
      </c>
      <c r="O3569">
        <v>-6.2666769999999997E-2</v>
      </c>
      <c r="P3569">
        <v>0.99992040000000004</v>
      </c>
      <c r="Q3569">
        <v>9.8900499999999992E-3</v>
      </c>
      <c r="R3569">
        <v>-7.8341629999999999E-3</v>
      </c>
      <c r="S3569">
        <v>3.0016479999999999</v>
      </c>
      <c r="T3569">
        <v>-7.4264170000000004E-2</v>
      </c>
      <c r="U3569">
        <v>7.1151729999999996E-2</v>
      </c>
      <c r="V3569">
        <v>-5.4859489999999997E-2</v>
      </c>
      <c r="W3569">
        <v>1.6749859999999998E-2</v>
      </c>
      <c r="X3569">
        <v>0.99835359999999995</v>
      </c>
      <c r="Y3569">
        <v>-8.6256109999999997E-2</v>
      </c>
      <c r="Z3569">
        <v>2.6162780000000001E-3</v>
      </c>
      <c r="AA3569">
        <v>0.99626959999999998</v>
      </c>
      <c r="AB3569">
        <v>21</v>
      </c>
      <c r="AC3569">
        <v>44.616900000000001</v>
      </c>
      <c r="AD3569">
        <v>-1.109508939775</v>
      </c>
      <c r="AE3569">
        <v>1.07670000000001</v>
      </c>
      <c r="AF3569">
        <v>-3.86825667371181</v>
      </c>
      <c r="AG3569">
        <v>-1.109508939775</v>
      </c>
      <c r="AH3569">
        <v>44.434264921992401</v>
      </c>
      <c r="AI3569">
        <v>91.424972207876706</v>
      </c>
      <c r="AJ3569">
        <v>94.975381345341901</v>
      </c>
      <c r="AK3569">
        <v>44.616121737987903</v>
      </c>
      <c r="AL3569">
        <v>89.040258849249099</v>
      </c>
      <c r="AM3569">
        <v>93.145237635600296</v>
      </c>
      <c r="AN3569">
        <v>1.00000001604301</v>
      </c>
    </row>
    <row r="3570" spans="1:40" x14ac:dyDescent="0.25">
      <c r="A3570" t="str">
        <f>"20190312160710431"</f>
        <v>20190312160710431</v>
      </c>
      <c r="B3570" t="str">
        <f>"1552378030418394"</f>
        <v>1552378030418394</v>
      </c>
      <c r="C3570" t="s">
        <v>40</v>
      </c>
      <c r="D3570">
        <v>6.3548200000000001</v>
      </c>
      <c r="E3570">
        <v>0.4877205</v>
      </c>
      <c r="F3570" t="s">
        <v>77</v>
      </c>
      <c r="G3570">
        <v>-407.2122</v>
      </c>
      <c r="H3570" s="1">
        <v>5.1096960000000003E-6</v>
      </c>
      <c r="I3570">
        <v>215.07249999999999</v>
      </c>
      <c r="J3570">
        <v>-449.46010000000001</v>
      </c>
      <c r="K3570">
        <v>1.109564</v>
      </c>
      <c r="L3570">
        <v>214.0341</v>
      </c>
      <c r="M3570">
        <v>0.99805060000000001</v>
      </c>
      <c r="N3570">
        <v>0</v>
      </c>
      <c r="O3570">
        <v>-6.2025379999999998E-2</v>
      </c>
      <c r="P3570">
        <v>0.99992740000000002</v>
      </c>
      <c r="Q3570">
        <v>9.3332160000000001E-3</v>
      </c>
      <c r="R3570">
        <v>-7.6348700000000002E-3</v>
      </c>
      <c r="S3570">
        <v>3.0015559999999999</v>
      </c>
      <c r="T3570">
        <v>-7.8451160000000006E-2</v>
      </c>
      <c r="U3570">
        <v>7.2570800000000005E-2</v>
      </c>
      <c r="V3570">
        <v>-5.4419160000000001E-2</v>
      </c>
      <c r="W3570">
        <v>1.618965E-2</v>
      </c>
      <c r="X3570">
        <v>0.99838689999999997</v>
      </c>
      <c r="Y3570">
        <v>-8.6082320000000004E-2</v>
      </c>
      <c r="Z3570">
        <v>2.7447980000000001E-3</v>
      </c>
      <c r="AA3570">
        <v>0.99628419999999895</v>
      </c>
      <c r="AB3570">
        <v>21</v>
      </c>
      <c r="AC3570">
        <v>42.247900000000001</v>
      </c>
      <c r="AD3570">
        <v>-1.1095588903039999</v>
      </c>
      <c r="AE3570">
        <v>1.03839999999999</v>
      </c>
      <c r="AF3570">
        <v>-3.6543862072089199</v>
      </c>
      <c r="AG3570">
        <v>-1.1095588903039999</v>
      </c>
      <c r="AH3570">
        <v>42.073139794530299</v>
      </c>
      <c r="AI3570">
        <v>91.504998587564401</v>
      </c>
      <c r="AJ3570">
        <v>94.964134691333399</v>
      </c>
      <c r="AK3570">
        <v>42.2461211432787</v>
      </c>
      <c r="AL3570">
        <v>89.072360834746902</v>
      </c>
      <c r="AM3570">
        <v>93.119938587532303</v>
      </c>
      <c r="AN3570">
        <v>0.99999997591691803</v>
      </c>
    </row>
    <row r="3571" spans="1:40" x14ac:dyDescent="0.25">
      <c r="A3571" t="str">
        <f>"20190312160710454"</f>
        <v>20190312160710454</v>
      </c>
      <c r="B3571" t="str">
        <f>"1552378030448650"</f>
        <v>1552378030448650</v>
      </c>
      <c r="C3571" t="s">
        <v>40</v>
      </c>
      <c r="D3571">
        <v>5.9525379999999997</v>
      </c>
      <c r="E3571">
        <v>0.53686369999999894</v>
      </c>
      <c r="F3571" t="s">
        <v>77</v>
      </c>
      <c r="G3571">
        <v>-407.26819999999998</v>
      </c>
      <c r="H3571" s="1">
        <v>5.090391E-6</v>
      </c>
      <c r="I3571">
        <v>215.04570000000001</v>
      </c>
      <c r="J3571">
        <v>-449.2407</v>
      </c>
      <c r="K3571">
        <v>1.109623</v>
      </c>
      <c r="L3571">
        <v>214.0213</v>
      </c>
      <c r="M3571">
        <v>0.99809939999999997</v>
      </c>
      <c r="N3571">
        <v>0</v>
      </c>
      <c r="O3571">
        <v>-6.1231960000000002E-2</v>
      </c>
      <c r="P3571">
        <v>0.99993410000000005</v>
      </c>
      <c r="Q3571">
        <v>8.9435939999999992E-3</v>
      </c>
      <c r="R3571">
        <v>-7.1904109999999999E-3</v>
      </c>
      <c r="S3571">
        <v>3.0014949999999998</v>
      </c>
      <c r="T3571">
        <v>-7.8933000000000003E-2</v>
      </c>
      <c r="U3571">
        <v>7.1960449999999995E-2</v>
      </c>
      <c r="V3571">
        <v>-5.407149E-2</v>
      </c>
      <c r="W3571">
        <v>1.579726E-2</v>
      </c>
      <c r="X3571">
        <v>0.99841210000000002</v>
      </c>
      <c r="Y3571">
        <v>-8.5088289999999997E-2</v>
      </c>
      <c r="Z3571">
        <v>2.7278070000000001E-3</v>
      </c>
      <c r="AA3571">
        <v>0.99636970000000002</v>
      </c>
      <c r="AB3571">
        <v>21</v>
      </c>
      <c r="AC3571">
        <v>41.972499999999997</v>
      </c>
      <c r="AD3571">
        <v>-1.109617909609</v>
      </c>
      <c r="AE3571">
        <v>1.02440000000001</v>
      </c>
      <c r="AF3571">
        <v>-3.5900904784118</v>
      </c>
      <c r="AG3571">
        <v>-1.109617909609</v>
      </c>
      <c r="AH3571">
        <v>41.801811872184501</v>
      </c>
      <c r="AI3571">
        <v>91.514969738935704</v>
      </c>
      <c r="AJ3571">
        <v>94.908723084483896</v>
      </c>
      <c r="AK3571">
        <v>41.970364274640403</v>
      </c>
      <c r="AL3571">
        <v>89.0948460244866</v>
      </c>
      <c r="AM3571">
        <v>93.099967013370104</v>
      </c>
      <c r="AN3571">
        <v>1.00000000044036</v>
      </c>
    </row>
    <row r="3572" spans="1:40" x14ac:dyDescent="0.25">
      <c r="A3572" t="str">
        <f>"20190312160710477"</f>
        <v>20190312160710477</v>
      </c>
      <c r="B3572" t="str">
        <f>"1552378030468170"</f>
        <v>1552378030468170</v>
      </c>
      <c r="C3572" t="s">
        <v>40</v>
      </c>
      <c r="D3572">
        <v>6.3639970000000003</v>
      </c>
      <c r="E3572">
        <v>0.53829099999999996</v>
      </c>
      <c r="F3572" t="s">
        <v>51</v>
      </c>
      <c r="G3572">
        <v>-169.40520000000001</v>
      </c>
      <c r="H3572">
        <v>14.725099999999999</v>
      </c>
      <c r="I3572">
        <v>184.87049999999999</v>
      </c>
      <c r="J3572">
        <v>-449.01240000000001</v>
      </c>
      <c r="K3572">
        <v>1.1096900000000001</v>
      </c>
      <c r="L3572">
        <v>214.00839999999999</v>
      </c>
      <c r="M3572">
        <v>0.99815730000000003</v>
      </c>
      <c r="N3572">
        <v>0</v>
      </c>
      <c r="O3572">
        <v>-6.0282250000000002E-2</v>
      </c>
      <c r="P3572">
        <v>0.99994419999999995</v>
      </c>
      <c r="Q3572">
        <v>8.4871930000000005E-3</v>
      </c>
      <c r="R3572">
        <v>-6.3062719999999999E-3</v>
      </c>
      <c r="S3572">
        <v>2.9966430000000002</v>
      </c>
      <c r="T3572">
        <v>0.14580290000000001</v>
      </c>
      <c r="U3572">
        <v>-0.31216430000000001</v>
      </c>
      <c r="V3572">
        <v>-5.4006659999999998E-2</v>
      </c>
      <c r="W3572">
        <v>1.533907E-2</v>
      </c>
      <c r="X3572">
        <v>0.9984227</v>
      </c>
      <c r="Y3572">
        <v>4.3482550000000002E-2</v>
      </c>
      <c r="Z3572">
        <v>-1.865525E-3</v>
      </c>
      <c r="AA3572">
        <v>0.99905250000000001</v>
      </c>
      <c r="AB3572">
        <v>21</v>
      </c>
      <c r="AC3572">
        <v>279.60719999999998</v>
      </c>
      <c r="AD3572">
        <v>13.615410000000001</v>
      </c>
      <c r="AE3572">
        <v>-29.137899999999998</v>
      </c>
      <c r="AF3572">
        <v>12.200531420491799</v>
      </c>
      <c r="AG3572">
        <v>13.615410000000001</v>
      </c>
      <c r="AH3572">
        <v>280.19795186911603</v>
      </c>
      <c r="AI3572">
        <v>87.220694636295605</v>
      </c>
      <c r="AJ3572">
        <v>87.506770931964496</v>
      </c>
      <c r="AK3572">
        <v>280.79374029358002</v>
      </c>
      <c r="AL3572">
        <v>89.121101513005897</v>
      </c>
      <c r="AM3572">
        <v>93.096224679276503</v>
      </c>
      <c r="AN3572">
        <v>0.99999994713405305</v>
      </c>
    </row>
    <row r="3573" spans="1:40" x14ac:dyDescent="0.25">
      <c r="A3573" t="str">
        <f>"20190312160710499"</f>
        <v>20190312160710499</v>
      </c>
      <c r="B3573" t="str">
        <f>"1552378030488666"</f>
        <v>1552378030488666</v>
      </c>
      <c r="C3573" t="s">
        <v>40</v>
      </c>
      <c r="D3573">
        <v>6.4528800000000004</v>
      </c>
      <c r="E3573">
        <v>0.54081020000000002</v>
      </c>
      <c r="F3573" t="s">
        <v>51</v>
      </c>
      <c r="G3573">
        <v>-168.4238</v>
      </c>
      <c r="H3573">
        <v>17.687919999999998</v>
      </c>
      <c r="I3573">
        <v>184.04730000000001</v>
      </c>
      <c r="J3573">
        <v>-448.79680000000002</v>
      </c>
      <c r="K3573">
        <v>1.1097549999999901</v>
      </c>
      <c r="L3573">
        <v>213.9965</v>
      </c>
      <c r="M3573">
        <v>0.99821729999999997</v>
      </c>
      <c r="N3573">
        <v>0</v>
      </c>
      <c r="O3573">
        <v>-5.9277860000000002E-2</v>
      </c>
      <c r="P3573">
        <v>0.99995299999999998</v>
      </c>
      <c r="Q3573">
        <v>8.1007000000000006E-3</v>
      </c>
      <c r="R3573">
        <v>-5.3258209999999997E-3</v>
      </c>
      <c r="S3573">
        <v>2.996613</v>
      </c>
      <c r="T3573">
        <v>0.1770515</v>
      </c>
      <c r="U3573">
        <v>-0.31997680000000001</v>
      </c>
      <c r="V3573">
        <v>-5.3983169999999997E-2</v>
      </c>
      <c r="W3573">
        <v>1.4952409999999999E-2</v>
      </c>
      <c r="X3573">
        <v>0.99842989999999998</v>
      </c>
      <c r="Y3573">
        <v>4.7065929999999999E-2</v>
      </c>
      <c r="Z3573">
        <v>-2.0999429999999999E-3</v>
      </c>
      <c r="AA3573">
        <v>0.99888960000000004</v>
      </c>
      <c r="AB3573">
        <v>22</v>
      </c>
      <c r="AC3573">
        <v>280.37299999999999</v>
      </c>
      <c r="AD3573">
        <v>16.578164999999998</v>
      </c>
      <c r="AE3573">
        <v>-29.949199999999902</v>
      </c>
      <c r="AF3573">
        <v>13.230484102513699</v>
      </c>
      <c r="AG3573">
        <v>16.578164999999998</v>
      </c>
      <c r="AH3573">
        <v>280.68504405826201</v>
      </c>
      <c r="AI3573">
        <v>86.623593269617601</v>
      </c>
      <c r="AJ3573">
        <v>87.301280419164499</v>
      </c>
      <c r="AK3573">
        <v>281.48530196502702</v>
      </c>
      <c r="AL3573">
        <v>89.1432580967505</v>
      </c>
      <c r="AM3573">
        <v>93.094858331382994</v>
      </c>
      <c r="AN3573">
        <v>1.0000000112110301</v>
      </c>
    </row>
    <row r="3574" spans="1:40" x14ac:dyDescent="0.25">
      <c r="A3574" t="str">
        <f>"20190312160710520"</f>
        <v>20190312160710520</v>
      </c>
      <c r="B3574" t="str">
        <f>"1552378030508186"</f>
        <v>1552378030508186</v>
      </c>
      <c r="C3574" t="s">
        <v>40</v>
      </c>
      <c r="D3574">
        <v>6.4066450000000001</v>
      </c>
      <c r="E3574">
        <v>0.54320440000000003</v>
      </c>
      <c r="F3574" t="s">
        <v>51</v>
      </c>
      <c r="G3574">
        <v>-168.4247</v>
      </c>
      <c r="H3574">
        <v>19.015260000000001</v>
      </c>
      <c r="I3574">
        <v>182.48140000000001</v>
      </c>
      <c r="J3574">
        <v>-448.59429999999998</v>
      </c>
      <c r="K3574">
        <v>1.1098059999999901</v>
      </c>
      <c r="L3574">
        <v>213.98560000000001</v>
      </c>
      <c r="M3574">
        <v>0.99827750000000004</v>
      </c>
      <c r="N3574">
        <v>0</v>
      </c>
      <c r="O3574">
        <v>-5.8254359999999998E-2</v>
      </c>
      <c r="P3574">
        <v>0.99995860000000003</v>
      </c>
      <c r="Q3574">
        <v>8.1120110000000006E-3</v>
      </c>
      <c r="R3574">
        <v>-4.1502240000000001E-3</v>
      </c>
      <c r="S3574">
        <v>2.9967959999999998</v>
      </c>
      <c r="T3574">
        <v>0.1913859</v>
      </c>
      <c r="U3574">
        <v>-0.33685300000000001</v>
      </c>
      <c r="V3574">
        <v>-5.4135500000000003E-2</v>
      </c>
      <c r="W3574">
        <v>1.4965279999999999E-2</v>
      </c>
      <c r="X3574">
        <v>0.99842140000000001</v>
      </c>
      <c r="Y3574">
        <v>5.3629259999999998E-2</v>
      </c>
      <c r="Z3574">
        <v>-1.9950290000000002E-3</v>
      </c>
      <c r="AA3574">
        <v>0.99855890000000003</v>
      </c>
      <c r="AB3574">
        <v>22</v>
      </c>
      <c r="AC3574">
        <v>280.16959999999898</v>
      </c>
      <c r="AD3574">
        <v>17.905453999999999</v>
      </c>
      <c r="AE3574">
        <v>-31.504200000000001</v>
      </c>
      <c r="AF3574">
        <v>15.068422842387699</v>
      </c>
      <c r="AG3574">
        <v>17.905453999999999</v>
      </c>
      <c r="AH3574">
        <v>280.398127815968</v>
      </c>
      <c r="AI3574">
        <v>86.351460272735295</v>
      </c>
      <c r="AJ3574">
        <v>86.923918949808296</v>
      </c>
      <c r="AK3574">
        <v>281.37301351160698</v>
      </c>
      <c r="AL3574">
        <v>89.142520566759899</v>
      </c>
      <c r="AM3574">
        <v>93.103600741039301</v>
      </c>
      <c r="AN3574">
        <v>0.99999995197184299</v>
      </c>
    </row>
    <row r="3575" spans="1:40" x14ac:dyDescent="0.25">
      <c r="A3575" t="str">
        <f>"20190312160710543"</f>
        <v>20190312160710543</v>
      </c>
      <c r="B3575" t="str">
        <f>"1552378030538442"</f>
        <v>1552378030538442</v>
      </c>
      <c r="C3575" t="s">
        <v>40</v>
      </c>
      <c r="D3575">
        <v>6.3085009999999997</v>
      </c>
      <c r="E3575">
        <v>0.54551490000000002</v>
      </c>
      <c r="F3575" t="s">
        <v>51</v>
      </c>
      <c r="G3575">
        <v>-168.4254</v>
      </c>
      <c r="H3575">
        <v>19.609529999999999</v>
      </c>
      <c r="I3575">
        <v>181.05240000000001</v>
      </c>
      <c r="J3575">
        <v>-448.3716</v>
      </c>
      <c r="K3575">
        <v>1.1098669999999999</v>
      </c>
      <c r="L3575">
        <v>213.97389999999999</v>
      </c>
      <c r="M3575">
        <v>0.9983476</v>
      </c>
      <c r="N3575">
        <v>0</v>
      </c>
      <c r="O3575">
        <v>-5.7038819999999997E-2</v>
      </c>
      <c r="P3575">
        <v>0.99996300000000005</v>
      </c>
      <c r="Q3575">
        <v>8.1076599999999992E-3</v>
      </c>
      <c r="R3575">
        <v>-2.8832290000000002E-3</v>
      </c>
      <c r="S3575">
        <v>2.9970400000000001</v>
      </c>
      <c r="T3575">
        <v>0.19789670000000001</v>
      </c>
      <c r="U3575">
        <v>-0.35229490000000002</v>
      </c>
      <c r="V3575">
        <v>-5.4187390000000002E-2</v>
      </c>
      <c r="W3575">
        <v>1.496432E-2</v>
      </c>
      <c r="X3575">
        <v>0.99841860000000004</v>
      </c>
      <c r="Y3575">
        <v>5.989738E-2</v>
      </c>
      <c r="Z3575">
        <v>-1.776164E-3</v>
      </c>
      <c r="AA3575">
        <v>0.99820299999999995</v>
      </c>
      <c r="AB3575">
        <v>22</v>
      </c>
      <c r="AC3575">
        <v>279.94619999999998</v>
      </c>
      <c r="AD3575">
        <v>18.499663000000002</v>
      </c>
      <c r="AE3575">
        <v>-32.921499999999902</v>
      </c>
      <c r="AF3575">
        <v>16.827229305284199</v>
      </c>
      <c r="AG3575">
        <v>18.499663000000002</v>
      </c>
      <c r="AH3575">
        <v>280.16150079925302</v>
      </c>
      <c r="AI3575">
        <v>86.228897979232897</v>
      </c>
      <c r="AJ3575">
        <v>86.562795567184693</v>
      </c>
      <c r="AK3575">
        <v>281.27541610900801</v>
      </c>
      <c r="AL3575">
        <v>89.142575577295403</v>
      </c>
      <c r="AM3575">
        <v>93.106578477732995</v>
      </c>
      <c r="AN3575">
        <v>0.99999995246701601</v>
      </c>
    </row>
    <row r="3576" spans="1:40" x14ac:dyDescent="0.25">
      <c r="A3576" t="str">
        <f>"20190312160710566"</f>
        <v>20190312160710566</v>
      </c>
      <c r="B3576" t="str">
        <f>"1552378030558938"</f>
        <v>1552378030558938</v>
      </c>
      <c r="C3576" t="s">
        <v>40</v>
      </c>
      <c r="D3576">
        <v>6.3256779999999999</v>
      </c>
      <c r="E3576">
        <v>0.54644159999999997</v>
      </c>
      <c r="F3576" t="s">
        <v>51</v>
      </c>
      <c r="G3576">
        <v>-168.42609999999999</v>
      </c>
      <c r="H3576">
        <v>20.21161</v>
      </c>
      <c r="I3576">
        <v>179.71289999999999</v>
      </c>
      <c r="J3576">
        <v>-448.14620000000002</v>
      </c>
      <c r="K3576">
        <v>1.1099319999999999</v>
      </c>
      <c r="L3576">
        <v>213.96250000000001</v>
      </c>
      <c r="M3576">
        <v>0.9984227</v>
      </c>
      <c r="N3576">
        <v>0</v>
      </c>
      <c r="O3576">
        <v>-5.5710879999999997E-2</v>
      </c>
      <c r="P3576">
        <v>0.99996160000000001</v>
      </c>
      <c r="Q3576">
        <v>8.7230380000000007E-3</v>
      </c>
      <c r="R3576">
        <v>-1.00019E-3</v>
      </c>
      <c r="S3576">
        <v>2.9974059999999998</v>
      </c>
      <c r="T3576">
        <v>0.20452480000000001</v>
      </c>
      <c r="U3576">
        <v>-0.36683650000000001</v>
      </c>
      <c r="V3576">
        <v>-5.4741989999999997E-2</v>
      </c>
      <c r="W3576">
        <v>1.558271E-2</v>
      </c>
      <c r="X3576">
        <v>0.99837889999999996</v>
      </c>
      <c r="Y3576">
        <v>6.5966460000000005E-2</v>
      </c>
      <c r="Z3576">
        <v>-1.538675E-3</v>
      </c>
      <c r="AA3576">
        <v>0.9978207</v>
      </c>
      <c r="AB3576">
        <v>22</v>
      </c>
      <c r="AC3576">
        <v>279.7201</v>
      </c>
      <c r="AD3576">
        <v>19.101678</v>
      </c>
      <c r="AE3576">
        <v>-34.249600000000001</v>
      </c>
      <c r="AF3576">
        <v>18.527452352139299</v>
      </c>
      <c r="AG3576">
        <v>19.101678</v>
      </c>
      <c r="AH3576">
        <v>279.90775855216299</v>
      </c>
      <c r="AI3576">
        <v>86.104528646522894</v>
      </c>
      <c r="AJ3576">
        <v>86.213043243832999</v>
      </c>
      <c r="AK3576">
        <v>281.16986661228901</v>
      </c>
      <c r="AL3576">
        <v>89.107140317641196</v>
      </c>
      <c r="AM3576">
        <v>93.138435161827999</v>
      </c>
      <c r="AN3576">
        <v>0.99999996714265604</v>
      </c>
    </row>
    <row r="3577" spans="1:40" x14ac:dyDescent="0.25">
      <c r="A3577" t="str">
        <f>"20190312160710588"</f>
        <v>20190312160710588</v>
      </c>
      <c r="B3577" t="str">
        <f>"1552378030578459"</f>
        <v>1552378030578459</v>
      </c>
      <c r="C3577" t="s">
        <v>40</v>
      </c>
      <c r="D3577">
        <v>5.9544100000000002</v>
      </c>
      <c r="E3577">
        <v>0.54741770000000001</v>
      </c>
      <c r="F3577" t="s">
        <v>51</v>
      </c>
      <c r="G3577">
        <v>-168.4263</v>
      </c>
      <c r="H3577">
        <v>20.655339999999999</v>
      </c>
      <c r="I3577">
        <v>179.57550000000001</v>
      </c>
      <c r="J3577">
        <v>-447.92880000000002</v>
      </c>
      <c r="K3577">
        <v>1.1099969999999999</v>
      </c>
      <c r="L3577">
        <v>213.95189999999999</v>
      </c>
      <c r="M3577">
        <v>0.99849829999999995</v>
      </c>
      <c r="N3577">
        <v>0</v>
      </c>
      <c r="O3577">
        <v>-5.4334189999999997E-2</v>
      </c>
      <c r="P3577">
        <v>0.99994780000000005</v>
      </c>
      <c r="Q3577">
        <v>1.010606E-2</v>
      </c>
      <c r="R3577">
        <v>1.5391339999999999E-3</v>
      </c>
      <c r="S3577">
        <v>2.997925</v>
      </c>
      <c r="T3577">
        <v>0.20948</v>
      </c>
      <c r="U3577">
        <v>-0.36854550000000003</v>
      </c>
      <c r="V3577">
        <v>-5.5905139999999999E-2</v>
      </c>
      <c r="W3577">
        <v>1.6967739999999999E-2</v>
      </c>
      <c r="X3577">
        <v>0.99829190000000001</v>
      </c>
      <c r="Y3577">
        <v>6.7872680000000005E-2</v>
      </c>
      <c r="Z3577">
        <v>-1.413807E-3</v>
      </c>
      <c r="AA3577">
        <v>0.99769300000000005</v>
      </c>
      <c r="AB3577">
        <v>22</v>
      </c>
      <c r="AC3577">
        <v>279.5025</v>
      </c>
      <c r="AD3577">
        <v>19.545342999999999</v>
      </c>
      <c r="AE3577">
        <v>-34.376399999999897</v>
      </c>
      <c r="AF3577">
        <v>19.0469503461145</v>
      </c>
      <c r="AG3577">
        <v>19.545342999999999</v>
      </c>
      <c r="AH3577">
        <v>279.61051976129198</v>
      </c>
      <c r="AI3577">
        <v>86.010628208929504</v>
      </c>
      <c r="AJ3577">
        <v>86.103055925034496</v>
      </c>
      <c r="AK3577">
        <v>280.93922743478697</v>
      </c>
      <c r="AL3577">
        <v>89.027773458120194</v>
      </c>
      <c r="AM3577">
        <v>93.205261336351001</v>
      </c>
      <c r="AN3577">
        <v>1.0000000032423599</v>
      </c>
    </row>
    <row r="3578" spans="1:40" x14ac:dyDescent="0.25">
      <c r="A3578" t="str">
        <f>"20190312160710610"</f>
        <v>20190312160710610</v>
      </c>
      <c r="B3578" t="str">
        <f>"1552378030598954"</f>
        <v>1552378030598954</v>
      </c>
      <c r="C3578" t="s">
        <v>40</v>
      </c>
      <c r="D3578">
        <v>5.7208750000000004</v>
      </c>
      <c r="E3578">
        <v>0.547732199999999</v>
      </c>
      <c r="F3578" t="s">
        <v>51</v>
      </c>
      <c r="G3578">
        <v>-168.4265</v>
      </c>
      <c r="H3578">
        <v>21.31908</v>
      </c>
      <c r="I3578">
        <v>179.62569999999999</v>
      </c>
      <c r="J3578">
        <v>-447.71370000000002</v>
      </c>
      <c r="K3578">
        <v>1.110058</v>
      </c>
      <c r="L3578">
        <v>213.9418</v>
      </c>
      <c r="M3578">
        <v>0.99857649999999998</v>
      </c>
      <c r="N3578">
        <v>0</v>
      </c>
      <c r="O3578">
        <v>-5.2880480000000001E-2</v>
      </c>
      <c r="P3578">
        <v>0.99992460000000005</v>
      </c>
      <c r="Q3578">
        <v>1.1344770000000001E-2</v>
      </c>
      <c r="R3578">
        <v>4.7404609999999996E-3</v>
      </c>
      <c r="S3578">
        <v>2.998535</v>
      </c>
      <c r="T3578">
        <v>0.21680579999999999</v>
      </c>
      <c r="U3578">
        <v>-0.36825560000000002</v>
      </c>
      <c r="V3578">
        <v>-5.7652700000000001E-2</v>
      </c>
      <c r="W3578">
        <v>1.8206369999999999E-2</v>
      </c>
      <c r="X3578">
        <v>0.99817069999999997</v>
      </c>
      <c r="Y3578">
        <v>6.9196049999999995E-2</v>
      </c>
      <c r="Z3578">
        <v>-1.31094E-3</v>
      </c>
      <c r="AA3578">
        <v>0.99760219999999999</v>
      </c>
      <c r="AB3578">
        <v>22</v>
      </c>
      <c r="AC3578">
        <v>279.28719999999998</v>
      </c>
      <c r="AD3578">
        <v>20.209022000000001</v>
      </c>
      <c r="AE3578">
        <v>-34.316099999999999</v>
      </c>
      <c r="AF3578">
        <v>19.398824897309701</v>
      </c>
      <c r="AG3578">
        <v>20.209022000000001</v>
      </c>
      <c r="AH3578">
        <v>279.27063525904703</v>
      </c>
      <c r="AI3578">
        <v>85.871001621665002</v>
      </c>
      <c r="AJ3578">
        <v>86.026476887749098</v>
      </c>
      <c r="AK3578">
        <v>280.67206254913401</v>
      </c>
      <c r="AL3578">
        <v>88.956794228256499</v>
      </c>
      <c r="AM3578">
        <v>93.305637473368407</v>
      </c>
      <c r="AN3578">
        <v>1.00000002603217</v>
      </c>
    </row>
    <row r="3579" spans="1:40" x14ac:dyDescent="0.25">
      <c r="A3579" t="str">
        <f>"20190312160710632"</f>
        <v>20190312160710632</v>
      </c>
      <c r="B3579" t="str">
        <f>"1552378030628234"</f>
        <v>1552378030628234</v>
      </c>
      <c r="C3579" t="s">
        <v>40</v>
      </c>
      <c r="D3579">
        <v>6.2554650000000001</v>
      </c>
      <c r="E3579">
        <v>0.49428030000000001</v>
      </c>
      <c r="F3579" t="s">
        <v>51</v>
      </c>
      <c r="G3579">
        <v>-168.4264</v>
      </c>
      <c r="H3579">
        <v>21.739730000000002</v>
      </c>
      <c r="I3579">
        <v>180.32660000000001</v>
      </c>
      <c r="J3579">
        <v>-447.49259999999998</v>
      </c>
      <c r="K3579">
        <v>1.110123</v>
      </c>
      <c r="L3579">
        <v>213.93180000000001</v>
      </c>
      <c r="M3579">
        <v>0.99865879999999996</v>
      </c>
      <c r="N3579">
        <v>0</v>
      </c>
      <c r="O3579">
        <v>-5.1297910000000002E-2</v>
      </c>
      <c r="P3579">
        <v>0.99990679999999998</v>
      </c>
      <c r="Q3579">
        <v>1.1213890000000001E-2</v>
      </c>
      <c r="R3579">
        <v>7.803445E-3</v>
      </c>
      <c r="S3579">
        <v>2.99939</v>
      </c>
      <c r="T3579">
        <v>0.22155140000000001</v>
      </c>
      <c r="U3579">
        <v>-0.36100769999999999</v>
      </c>
      <c r="V3579">
        <v>-5.9131129999999997E-2</v>
      </c>
      <c r="W3579">
        <v>1.8076689999999999E-2</v>
      </c>
      <c r="X3579">
        <v>0.99808649999999999</v>
      </c>
      <c r="Y3579">
        <v>6.8363160000000006E-2</v>
      </c>
      <c r="Z3579">
        <v>-1.2540240000000001E-3</v>
      </c>
      <c r="AA3579">
        <v>0.99765970000000004</v>
      </c>
      <c r="AB3579">
        <v>22</v>
      </c>
      <c r="AC3579">
        <v>279.06619999999998</v>
      </c>
      <c r="AD3579">
        <v>20.629607</v>
      </c>
      <c r="AE3579">
        <v>-33.605200000000004</v>
      </c>
      <c r="AF3579">
        <v>19.1419783808199</v>
      </c>
      <c r="AG3579">
        <v>20.629607</v>
      </c>
      <c r="AH3579">
        <v>278.92024842617798</v>
      </c>
      <c r="AI3579">
        <v>85.779860200801394</v>
      </c>
      <c r="AJ3579">
        <v>86.074012005137305</v>
      </c>
      <c r="AK3579">
        <v>280.33640684618001</v>
      </c>
      <c r="AL3579">
        <v>88.964225498684002</v>
      </c>
      <c r="AM3579">
        <v>93.390496411852894</v>
      </c>
      <c r="AN3579">
        <v>0.99999995936934005</v>
      </c>
    </row>
    <row r="3580" spans="1:40" x14ac:dyDescent="0.25">
      <c r="A3580" t="str">
        <f>"20190312160710656"</f>
        <v>20190312160710656</v>
      </c>
      <c r="B3580" t="str">
        <f>"1552378030648731"</f>
        <v>1552378030648731</v>
      </c>
      <c r="C3580" t="s">
        <v>40</v>
      </c>
      <c r="D3580">
        <v>6.1985789999999996</v>
      </c>
      <c r="E3580">
        <v>0.48956539999999998</v>
      </c>
      <c r="F3580" t="s">
        <v>52</v>
      </c>
      <c r="G3580">
        <v>-157.8382</v>
      </c>
      <c r="H3580">
        <v>5.5854339999999896</v>
      </c>
      <c r="I3580">
        <v>220.62219999999999</v>
      </c>
      <c r="J3580">
        <v>-447.2654</v>
      </c>
      <c r="K3580">
        <v>1.110182</v>
      </c>
      <c r="L3580">
        <v>213.922</v>
      </c>
      <c r="M3580">
        <v>0.99874490000000005</v>
      </c>
      <c r="N3580">
        <v>0</v>
      </c>
      <c r="O3580">
        <v>-4.9589849999999998E-2</v>
      </c>
      <c r="P3580">
        <v>0.99988679999999996</v>
      </c>
      <c r="Q3580">
        <v>1.0797579999999999E-2</v>
      </c>
      <c r="R3580">
        <v>1.049048E-2</v>
      </c>
      <c r="S3580">
        <v>2.9992070000000002</v>
      </c>
      <c r="T3580">
        <v>4.6339869999999998E-2</v>
      </c>
      <c r="U3580">
        <v>6.9274899999999903E-2</v>
      </c>
      <c r="V3580">
        <v>-6.0108139999999997E-2</v>
      </c>
      <c r="W3580">
        <v>1.7664300000000001E-2</v>
      </c>
      <c r="X3580">
        <v>0.99803560000000002</v>
      </c>
      <c r="Y3580">
        <v>-7.2626449999999995E-2</v>
      </c>
      <c r="Z3580">
        <v>-1.3269E-3</v>
      </c>
      <c r="AA3580">
        <v>0.99735830000000003</v>
      </c>
      <c r="AB3580">
        <v>22</v>
      </c>
      <c r="AC3580">
        <v>289.42720000000003</v>
      </c>
      <c r="AD3580">
        <v>4.4752519999999896</v>
      </c>
      <c r="AE3580">
        <v>6.7001999999999899</v>
      </c>
      <c r="AF3580">
        <v>-21.0399348978261</v>
      </c>
      <c r="AG3580">
        <v>4.4752519999999896</v>
      </c>
      <c r="AH3580">
        <v>288.66983997537602</v>
      </c>
      <c r="AI3580">
        <v>89.114163433772802</v>
      </c>
      <c r="AJ3580">
        <v>94.168677872639606</v>
      </c>
      <c r="AK3580">
        <v>289.470176792666</v>
      </c>
      <c r="AL3580">
        <v>88.987857559132394</v>
      </c>
      <c r="AM3580">
        <v>93.446558208917097</v>
      </c>
      <c r="AN3580">
        <v>1.00000003742805</v>
      </c>
    </row>
    <row r="3581" spans="1:40" x14ac:dyDescent="0.25">
      <c r="A3581" t="str">
        <f>"20190312160710678"</f>
        <v>20190312160710678</v>
      </c>
      <c r="B3581" t="str">
        <f>"1552378030668250"</f>
        <v>1552378030668250</v>
      </c>
      <c r="C3581" t="s">
        <v>40</v>
      </c>
      <c r="D3581">
        <v>6.233282</v>
      </c>
      <c r="E3581">
        <v>0.48803730000000001</v>
      </c>
      <c r="F3581" t="s">
        <v>52</v>
      </c>
      <c r="G3581">
        <v>-168.35059999999999</v>
      </c>
      <c r="H3581">
        <v>3.5914060000000001</v>
      </c>
      <c r="I3581">
        <v>224.5873</v>
      </c>
      <c r="J3581">
        <v>-447.03050000000002</v>
      </c>
      <c r="K3581">
        <v>1.1102320000000001</v>
      </c>
      <c r="L3581">
        <v>213.91249999999999</v>
      </c>
      <c r="M3581">
        <v>0.99883469999999996</v>
      </c>
      <c r="N3581">
        <v>0</v>
      </c>
      <c r="O3581">
        <v>-4.7747980000000002E-2</v>
      </c>
      <c r="P3581">
        <v>0.99984859999999998</v>
      </c>
      <c r="Q3581">
        <v>1.1157129999999999E-2</v>
      </c>
      <c r="R3581">
        <v>1.3359299999999999E-2</v>
      </c>
      <c r="S3581">
        <v>2.9988100000000002</v>
      </c>
      <c r="T3581">
        <v>2.6677969999999999E-2</v>
      </c>
      <c r="U3581">
        <v>0.1146698</v>
      </c>
      <c r="V3581">
        <v>-6.1134229999999998E-2</v>
      </c>
      <c r="W3581">
        <v>1.802902E-2</v>
      </c>
      <c r="X3581">
        <v>0.99796669999999998</v>
      </c>
      <c r="Y3581">
        <v>-8.5875939999999998E-2</v>
      </c>
      <c r="Z3581">
        <v>-8.0643449999999895E-4</v>
      </c>
      <c r="AA3581">
        <v>0.99630549999999996</v>
      </c>
      <c r="AB3581">
        <v>22</v>
      </c>
      <c r="AC3581">
        <v>278.67989999999998</v>
      </c>
      <c r="AD3581">
        <v>2.4811740000000002</v>
      </c>
      <c r="AE3581">
        <v>10.674799999999999</v>
      </c>
      <c r="AF3581">
        <v>-23.967457575868298</v>
      </c>
      <c r="AG3581">
        <v>2.4811740000000002</v>
      </c>
      <c r="AH3581">
        <v>277.83032233587397</v>
      </c>
      <c r="AI3581">
        <v>89.490224753273694</v>
      </c>
      <c r="AJ3581">
        <v>94.930501417181304</v>
      </c>
      <c r="AK3581">
        <v>278.87323868798302</v>
      </c>
      <c r="AL3581">
        <v>88.966957262305002</v>
      </c>
      <c r="AM3581">
        <v>93.505489415358099</v>
      </c>
      <c r="AN3581">
        <v>0.99999998697437098</v>
      </c>
    </row>
    <row r="3582" spans="1:40" x14ac:dyDescent="0.25">
      <c r="A3582" t="str">
        <f>"20190312160710701"</f>
        <v>20190312160710701</v>
      </c>
      <c r="B3582" t="str">
        <f>"1552378030688746"</f>
        <v>1552378030688746</v>
      </c>
      <c r="C3582" t="s">
        <v>40</v>
      </c>
      <c r="D3582">
        <v>6.2260339999999896</v>
      </c>
      <c r="E3582">
        <v>0.48809200000000003</v>
      </c>
      <c r="F3582" t="s">
        <v>52</v>
      </c>
      <c r="G3582">
        <v>-157.25</v>
      </c>
      <c r="H3582">
        <v>2.6401669999999999</v>
      </c>
      <c r="I3582">
        <v>226.96299999999999</v>
      </c>
      <c r="J3582">
        <v>-446.80220000000003</v>
      </c>
      <c r="K3582">
        <v>1.110271</v>
      </c>
      <c r="L3582">
        <v>213.90360000000001</v>
      </c>
      <c r="M3582">
        <v>0.99892069999999999</v>
      </c>
      <c r="N3582">
        <v>0</v>
      </c>
      <c r="O3582">
        <v>-4.591228E-2</v>
      </c>
      <c r="P3582">
        <v>0.9998186</v>
      </c>
      <c r="Q3582">
        <v>1.1256149999999999E-2</v>
      </c>
      <c r="R3582">
        <v>1.537763E-2</v>
      </c>
      <c r="S3582">
        <v>2.9985050000000002</v>
      </c>
      <c r="T3582">
        <v>1.583159E-2</v>
      </c>
      <c r="U3582">
        <v>0.135040299999999</v>
      </c>
      <c r="V3582">
        <v>-6.1316370000000002E-2</v>
      </c>
      <c r="W3582">
        <v>1.813772E-2</v>
      </c>
      <c r="X3582">
        <v>0.9979536</v>
      </c>
      <c r="Y3582">
        <v>-9.0807860000000004E-2</v>
      </c>
      <c r="Z3582">
        <v>-4.818911E-4</v>
      </c>
      <c r="AA3582">
        <v>0.99586830000000004</v>
      </c>
      <c r="AB3582">
        <v>22</v>
      </c>
      <c r="AC3582">
        <v>289.55220000000003</v>
      </c>
      <c r="AD3582">
        <v>1.5298959999999999</v>
      </c>
      <c r="AE3582">
        <v>13.059399999999901</v>
      </c>
      <c r="AF3582">
        <v>-26.3392247401178</v>
      </c>
      <c r="AG3582">
        <v>1.5298959999999999</v>
      </c>
      <c r="AH3582">
        <v>288.639201643452</v>
      </c>
      <c r="AI3582">
        <v>89.697570280053199</v>
      </c>
      <c r="AJ3582">
        <v>95.213977563006793</v>
      </c>
      <c r="AK3582">
        <v>289.84251597557301</v>
      </c>
      <c r="AL3582">
        <v>88.960728238117696</v>
      </c>
      <c r="AM3582">
        <v>93.515953356922296</v>
      </c>
      <c r="AN3582">
        <v>1.00000003093486</v>
      </c>
    </row>
    <row r="3583" spans="1:40" x14ac:dyDescent="0.25">
      <c r="A3583" t="str">
        <f>"20190312160710721"</f>
        <v>20190312160710721</v>
      </c>
      <c r="B3583" t="str">
        <f>"1552378030719002"</f>
        <v>1552378030719002</v>
      </c>
      <c r="C3583" t="s">
        <v>40</v>
      </c>
      <c r="D3583">
        <v>6.1266639999999999</v>
      </c>
      <c r="E3583">
        <v>0.48849140000000002</v>
      </c>
      <c r="F3583" t="s">
        <v>52</v>
      </c>
      <c r="G3583">
        <v>-157.25</v>
      </c>
      <c r="H3583">
        <v>1.7468919999999999</v>
      </c>
      <c r="I3583">
        <v>227.44280000000001</v>
      </c>
      <c r="J3583">
        <v>-446.59750000000003</v>
      </c>
      <c r="K3583">
        <v>1.110282</v>
      </c>
      <c r="L3583">
        <v>213.89609999999999</v>
      </c>
      <c r="M3583">
        <v>0.998996</v>
      </c>
      <c r="N3583">
        <v>0</v>
      </c>
      <c r="O3583">
        <v>-4.4238300000000001E-2</v>
      </c>
      <c r="P3583">
        <v>0.99981569999999997</v>
      </c>
      <c r="Q3583">
        <v>1.086205E-2</v>
      </c>
      <c r="R3583">
        <v>1.5839309999999999E-2</v>
      </c>
      <c r="S3583">
        <v>2.998291</v>
      </c>
      <c r="T3583">
        <v>6.592751E-3</v>
      </c>
      <c r="U3583">
        <v>0.14019779999999901</v>
      </c>
      <c r="V3583">
        <v>-6.0105180000000001E-2</v>
      </c>
      <c r="W3583">
        <v>1.7759170000000001E-2</v>
      </c>
      <c r="X3583">
        <v>0.99803410000000004</v>
      </c>
      <c r="Y3583">
        <v>-9.085327E-2</v>
      </c>
      <c r="Z3583">
        <v>-1.970544E-4</v>
      </c>
      <c r="AA3583">
        <v>0.99586430000000004</v>
      </c>
      <c r="AB3583">
        <v>23</v>
      </c>
      <c r="AC3583">
        <v>289.34750000000003</v>
      </c>
      <c r="AD3583">
        <v>0.63660999999999901</v>
      </c>
      <c r="AE3583">
        <v>13.5467</v>
      </c>
      <c r="AF3583">
        <v>-26.3338713217601</v>
      </c>
      <c r="AG3583">
        <v>0.63660999999999901</v>
      </c>
      <c r="AH3583">
        <v>288.46352545796299</v>
      </c>
      <c r="AI3583">
        <v>89.874077800429703</v>
      </c>
      <c r="AJ3583">
        <v>95.216080865065095</v>
      </c>
      <c r="AK3583">
        <v>289.66374224386499</v>
      </c>
      <c r="AL3583">
        <v>88.982421061372705</v>
      </c>
      <c r="AM3583">
        <v>93.4463940609959</v>
      </c>
      <c r="AN3583">
        <v>1.0000000427723601</v>
      </c>
    </row>
    <row r="3584" spans="1:40" x14ac:dyDescent="0.25">
      <c r="A3584" t="str">
        <f>"20190312160710743"</f>
        <v>20190312160710743</v>
      </c>
      <c r="B3584" t="str">
        <f>"1552378030738522"</f>
        <v>1552378030738522</v>
      </c>
      <c r="C3584" t="s">
        <v>40</v>
      </c>
      <c r="D3584">
        <v>6.1729029999999998</v>
      </c>
      <c r="E3584">
        <v>0.4889327</v>
      </c>
      <c r="F3584" t="s">
        <v>52</v>
      </c>
      <c r="G3584">
        <v>-157.25</v>
      </c>
      <c r="H3584">
        <v>0.86826519999999996</v>
      </c>
      <c r="I3584">
        <v>227.2295</v>
      </c>
      <c r="J3584">
        <v>-446.38319999999999</v>
      </c>
      <c r="K3584">
        <v>1.1102879999999999</v>
      </c>
      <c r="L3584">
        <v>213.88849999999999</v>
      </c>
      <c r="M3584">
        <v>0.99907239999999997</v>
      </c>
      <c r="N3584">
        <v>0</v>
      </c>
      <c r="O3584">
        <v>-4.2471990000000001E-2</v>
      </c>
      <c r="P3584">
        <v>0.99981140000000002</v>
      </c>
      <c r="Q3584">
        <v>1.040902E-2</v>
      </c>
      <c r="R3584">
        <v>1.640233E-2</v>
      </c>
      <c r="S3584">
        <v>2.998383</v>
      </c>
      <c r="T3584">
        <v>-2.507329E-3</v>
      </c>
      <c r="U3584">
        <v>0.13816829999999999</v>
      </c>
      <c r="V3584">
        <v>-5.890157E-2</v>
      </c>
      <c r="W3584">
        <v>1.732293E-2</v>
      </c>
      <c r="X3584">
        <v>0.99811349999999999</v>
      </c>
      <c r="Y3584">
        <v>-8.8418570000000002E-2</v>
      </c>
      <c r="Z3584" s="1">
        <v>7.2448350000000006E-5</v>
      </c>
      <c r="AA3584">
        <v>0.99608339999999995</v>
      </c>
      <c r="AB3584">
        <v>23</v>
      </c>
      <c r="AC3584">
        <v>289.13319999999999</v>
      </c>
      <c r="AD3584">
        <v>-0.24202280000000001</v>
      </c>
      <c r="AE3584">
        <v>13.340999999999999</v>
      </c>
      <c r="AF3584">
        <v>-25.6093156166488</v>
      </c>
      <c r="AG3584">
        <v>-0.24202280000000001</v>
      </c>
      <c r="AH3584">
        <v>288.30545507662202</v>
      </c>
      <c r="AI3584">
        <v>90.047909245622705</v>
      </c>
      <c r="AJ3584">
        <v>95.076091038672303</v>
      </c>
      <c r="AK3584">
        <v>289.44072113012498</v>
      </c>
      <c r="AL3584">
        <v>89.007419593805594</v>
      </c>
      <c r="AM3584">
        <v>93.377273140680003</v>
      </c>
      <c r="AN3584">
        <v>1.00000001886724</v>
      </c>
    </row>
    <row r="3585" spans="1:40" x14ac:dyDescent="0.25">
      <c r="A3585" t="str">
        <f>"20190312160710765"</f>
        <v>20190312160710765</v>
      </c>
      <c r="B3585" t="str">
        <f>"1552378030759018"</f>
        <v>1552378030759018</v>
      </c>
      <c r="C3585" t="s">
        <v>40</v>
      </c>
      <c r="D3585">
        <v>6.125216</v>
      </c>
      <c r="E3585">
        <v>0.48948049999999999</v>
      </c>
      <c r="F3585" t="s">
        <v>52</v>
      </c>
      <c r="G3585">
        <v>-157.25</v>
      </c>
      <c r="H3585">
        <v>0.3899918</v>
      </c>
      <c r="I3585">
        <v>227.03700000000001</v>
      </c>
      <c r="J3585">
        <v>-446.15129999999999</v>
      </c>
      <c r="K3585">
        <v>1.1102909999999999</v>
      </c>
      <c r="L3585">
        <v>213.88079999999999</v>
      </c>
      <c r="M3585">
        <v>0.99915200000000004</v>
      </c>
      <c r="N3585">
        <v>0</v>
      </c>
      <c r="O3585">
        <v>-4.0555399999999998E-2</v>
      </c>
      <c r="P3585">
        <v>0.99979030000000002</v>
      </c>
      <c r="Q3585">
        <v>1.0581709999999999E-2</v>
      </c>
      <c r="R3585">
        <v>1.7534589999999999E-2</v>
      </c>
      <c r="S3585">
        <v>2.998383</v>
      </c>
      <c r="T3585">
        <v>-7.4690579999999998E-3</v>
      </c>
      <c r="U3585">
        <v>0.13635249999999999</v>
      </c>
      <c r="V3585">
        <v>-5.8117479999999999E-2</v>
      </c>
      <c r="W3585">
        <v>1.751364E-2</v>
      </c>
      <c r="X3585">
        <v>0.99815609999999999</v>
      </c>
      <c r="Y3585">
        <v>-8.5905209999999996E-2</v>
      </c>
      <c r="Z3585">
        <v>2.0791820000000001E-4</v>
      </c>
      <c r="AA3585">
        <v>0.9963033</v>
      </c>
      <c r="AB3585">
        <v>23</v>
      </c>
      <c r="AC3585">
        <v>288.90129999999999</v>
      </c>
      <c r="AD3585">
        <v>-0.72029919999999903</v>
      </c>
      <c r="AE3585">
        <v>13.1562</v>
      </c>
      <c r="AF3585">
        <v>-24.862025376781901</v>
      </c>
      <c r="AG3585">
        <v>-0.72029919999999903</v>
      </c>
      <c r="AH3585">
        <v>288.12825057962402</v>
      </c>
      <c r="AI3585">
        <v>90.1427046143463</v>
      </c>
      <c r="AJ3585">
        <v>94.931725460961104</v>
      </c>
      <c r="AK3585">
        <v>289.19980622200899</v>
      </c>
      <c r="AL3585">
        <v>88.996491023443994</v>
      </c>
      <c r="AM3585">
        <v>93.332275420020693</v>
      </c>
      <c r="AN3585">
        <v>0.99999998451740402</v>
      </c>
    </row>
    <row r="3586" spans="1:40" x14ac:dyDescent="0.25">
      <c r="A3586" t="str">
        <f>"20190312160710788"</f>
        <v>20190312160710788</v>
      </c>
      <c r="B3586" t="str">
        <f>"1552378030778542"</f>
        <v>1552378030778542</v>
      </c>
      <c r="C3586" t="s">
        <v>40</v>
      </c>
      <c r="D3586">
        <v>6.0669040000000001</v>
      </c>
      <c r="E3586">
        <v>0.4897532</v>
      </c>
      <c r="F3586" t="s">
        <v>61</v>
      </c>
      <c r="G3586">
        <v>-179.92859999999999</v>
      </c>
      <c r="H3586">
        <v>7.9165059999999995E-2</v>
      </c>
      <c r="I3586">
        <v>225.87370000000001</v>
      </c>
      <c r="J3586">
        <v>-445.92349999999999</v>
      </c>
      <c r="K3586">
        <v>1.11029</v>
      </c>
      <c r="L3586">
        <v>213.87370000000001</v>
      </c>
      <c r="M3586">
        <v>0.99922639999999996</v>
      </c>
      <c r="N3586">
        <v>0</v>
      </c>
      <c r="O3586">
        <v>-3.867839E-2</v>
      </c>
      <c r="P3586">
        <v>0.99976849999999995</v>
      </c>
      <c r="Q3586">
        <v>1.0473E-2</v>
      </c>
      <c r="R3586">
        <v>1.8806750000000001E-2</v>
      </c>
      <c r="S3586">
        <v>2.9983520000000001</v>
      </c>
      <c r="T3586">
        <v>-1.1613129999999999E-2</v>
      </c>
      <c r="U3586">
        <v>0.13507079999999999</v>
      </c>
      <c r="V3586">
        <v>-5.7512149999999998E-2</v>
      </c>
      <c r="W3586">
        <v>1.742258E-2</v>
      </c>
      <c r="X3586">
        <v>0.99819279999999999</v>
      </c>
      <c r="Y3586">
        <v>-8.3608290000000002E-2</v>
      </c>
      <c r="Z3586">
        <v>3.1157180000000002E-4</v>
      </c>
      <c r="AA3586">
        <v>0.99649860000000001</v>
      </c>
      <c r="AB3586">
        <v>23</v>
      </c>
      <c r="AC3586">
        <v>265.99489999999997</v>
      </c>
      <c r="AD3586">
        <v>-1.03112494</v>
      </c>
      <c r="AE3586">
        <v>12</v>
      </c>
      <c r="AF3586">
        <v>-22.2792006654945</v>
      </c>
      <c r="AG3586">
        <v>-1.03112494</v>
      </c>
      <c r="AH3586">
        <v>265.32771746326398</v>
      </c>
      <c r="AI3586">
        <v>90.2218827081211</v>
      </c>
      <c r="AJ3586">
        <v>94.7997876541544</v>
      </c>
      <c r="AK3586">
        <v>266.26344783916699</v>
      </c>
      <c r="AL3586">
        <v>89.001709218631007</v>
      </c>
      <c r="AM3586">
        <v>93.297523705031594</v>
      </c>
      <c r="AN3586">
        <v>1.00000002983165</v>
      </c>
    </row>
    <row r="3587" spans="1:40" x14ac:dyDescent="0.25">
      <c r="A3587" t="str">
        <f>"20190312160710810"</f>
        <v>20190312160710810</v>
      </c>
      <c r="B3587" t="str">
        <f>"1552378030799034"</f>
        <v>1552378030799034</v>
      </c>
      <c r="C3587" t="s">
        <v>40</v>
      </c>
      <c r="D3587">
        <v>6.0195109999999996</v>
      </c>
      <c r="E3587">
        <v>0.4901276</v>
      </c>
      <c r="F3587" t="s">
        <v>66</v>
      </c>
      <c r="G3587">
        <v>-238.29599999999999</v>
      </c>
      <c r="H3587">
        <v>8.000061E-2</v>
      </c>
      <c r="I3587">
        <v>223.34219999999999</v>
      </c>
      <c r="J3587">
        <v>-445.69659999999999</v>
      </c>
      <c r="K3587">
        <v>1.11029</v>
      </c>
      <c r="L3587">
        <v>213.86689999999999</v>
      </c>
      <c r="M3587">
        <v>0.99929650000000003</v>
      </c>
      <c r="N3587">
        <v>0</v>
      </c>
      <c r="O3587">
        <v>-3.6818660000000003E-2</v>
      </c>
      <c r="P3587">
        <v>0.99974689999999999</v>
      </c>
      <c r="Q3587">
        <v>1.019545E-2</v>
      </c>
      <c r="R3587">
        <v>2.0058690000000001E-2</v>
      </c>
      <c r="S3587">
        <v>2.9983219999999999</v>
      </c>
      <c r="T3587">
        <v>-1.4878270000000001E-2</v>
      </c>
      <c r="U3587">
        <v>0.13673399999999999</v>
      </c>
      <c r="V3587">
        <v>-5.6903620000000002E-2</v>
      </c>
      <c r="W3587">
        <v>1.7162259999999999E-2</v>
      </c>
      <c r="X3587">
        <v>0.99823209999999996</v>
      </c>
      <c r="Y3587">
        <v>-8.2305199999999995E-2</v>
      </c>
      <c r="Z3587">
        <v>3.8671769999999999E-4</v>
      </c>
      <c r="AA3587">
        <v>0.99660709999999997</v>
      </c>
      <c r="AB3587">
        <v>23</v>
      </c>
      <c r="AC3587">
        <v>207.4006</v>
      </c>
      <c r="AD3587">
        <v>-1.0302893900000001</v>
      </c>
      <c r="AE3587">
        <v>9.4753000000000007</v>
      </c>
      <c r="AF3587">
        <v>-17.104860339371399</v>
      </c>
      <c r="AG3587">
        <v>-1.0302893900000001</v>
      </c>
      <c r="AH3587">
        <v>206.90599563372899</v>
      </c>
      <c r="AI3587">
        <v>90.284332315480995</v>
      </c>
      <c r="AJ3587">
        <v>94.725879495286804</v>
      </c>
      <c r="AK3587">
        <v>207.61437515895</v>
      </c>
      <c r="AL3587">
        <v>89.016626602955796</v>
      </c>
      <c r="AM3587">
        <v>93.262580560428205</v>
      </c>
      <c r="AN3587">
        <v>0.99999994530390901</v>
      </c>
    </row>
    <row r="3588" spans="1:40" x14ac:dyDescent="0.25">
      <c r="A3588" t="str">
        <f>"20190312160710832"</f>
        <v>20190312160710832</v>
      </c>
      <c r="B3588" t="str">
        <f>"1552378030828314"</f>
        <v>1552378030828314</v>
      </c>
      <c r="C3588" t="s">
        <v>40</v>
      </c>
      <c r="D3588">
        <v>6.0148929999999998</v>
      </c>
      <c r="E3588">
        <v>0.49068630000000002</v>
      </c>
      <c r="F3588" t="s">
        <v>66</v>
      </c>
      <c r="G3588">
        <v>-275.7321</v>
      </c>
      <c r="H3588">
        <v>7.9999929999999997E-2</v>
      </c>
      <c r="I3588">
        <v>221.66239999999999</v>
      </c>
      <c r="J3588">
        <v>-445.4701</v>
      </c>
      <c r="K3588">
        <v>1.110285</v>
      </c>
      <c r="L3588">
        <v>213.86070000000001</v>
      </c>
      <c r="M3588">
        <v>0.99936270000000005</v>
      </c>
      <c r="N3588">
        <v>0</v>
      </c>
      <c r="O3588">
        <v>-3.4971919999999997E-2</v>
      </c>
      <c r="P3588">
        <v>0.99972340000000004</v>
      </c>
      <c r="Q3588">
        <v>1.0068260000000001E-2</v>
      </c>
      <c r="R3588">
        <v>2.1261599999999999E-2</v>
      </c>
      <c r="S3588">
        <v>2.9981689999999999</v>
      </c>
      <c r="T3588">
        <v>-1.8174289999999999E-2</v>
      </c>
      <c r="U3588">
        <v>0.1375122</v>
      </c>
      <c r="V3588">
        <v>-5.6259700000000003E-2</v>
      </c>
      <c r="W3588">
        <v>1.7052609999999999E-2</v>
      </c>
      <c r="X3588">
        <v>0.99827049999999995</v>
      </c>
      <c r="Y3588">
        <v>-8.0723169999999997E-2</v>
      </c>
      <c r="Z3588">
        <v>4.5642779999999997E-4</v>
      </c>
      <c r="AA3588">
        <v>0.99673650000000003</v>
      </c>
      <c r="AB3588">
        <v>23</v>
      </c>
      <c r="AC3588">
        <v>169.738</v>
      </c>
      <c r="AD3588">
        <v>-1.0302850699999999</v>
      </c>
      <c r="AE3588">
        <v>7.8016999999999799</v>
      </c>
      <c r="AF3588">
        <v>-13.7326381357461</v>
      </c>
      <c r="AG3588">
        <v>-1.0302850699999999</v>
      </c>
      <c r="AH3588">
        <v>169.355091329266</v>
      </c>
      <c r="AI3588">
        <v>90.347418817473894</v>
      </c>
      <c r="AJ3588">
        <v>94.635848016101406</v>
      </c>
      <c r="AK3588">
        <v>169.914077688215</v>
      </c>
      <c r="AL3588">
        <v>89.022910027490795</v>
      </c>
      <c r="AM3588">
        <v>93.225615865738604</v>
      </c>
      <c r="AN3588">
        <v>0.99999996826107496</v>
      </c>
    </row>
    <row r="3589" spans="1:40" x14ac:dyDescent="0.25">
      <c r="A3589" t="str">
        <f>"20190312160710854"</f>
        <v>20190312160710854</v>
      </c>
      <c r="B3589" t="str">
        <f>"1552378030839050"</f>
        <v>1552378030839050</v>
      </c>
      <c r="C3589" t="s">
        <v>40</v>
      </c>
      <c r="D3589">
        <v>6.019228</v>
      </c>
      <c r="E3589">
        <v>0.49082019999999998</v>
      </c>
      <c r="F3589" t="s">
        <v>77</v>
      </c>
      <c r="G3589">
        <v>-301.26369999999997</v>
      </c>
      <c r="H3589" s="1">
        <v>2.2157370000000002E-6</v>
      </c>
      <c r="I3589">
        <v>220.41820000000001</v>
      </c>
      <c r="J3589">
        <v>-445.24360000000001</v>
      </c>
      <c r="K3589">
        <v>1.110284</v>
      </c>
      <c r="L3589">
        <v>213.85480000000001</v>
      </c>
      <c r="M3589">
        <v>0.99942520000000001</v>
      </c>
      <c r="N3589">
        <v>0</v>
      </c>
      <c r="O3589">
        <v>-3.3135190000000002E-2</v>
      </c>
      <c r="P3589">
        <v>0.99967130000000004</v>
      </c>
      <c r="Q3589">
        <v>1.0555109999999999E-2</v>
      </c>
      <c r="R3589">
        <v>2.3373870000000001E-2</v>
      </c>
      <c r="S3589">
        <v>2.9981689999999999</v>
      </c>
      <c r="T3589">
        <v>-2.308369E-2</v>
      </c>
      <c r="U3589">
        <v>0.13633729999999999</v>
      </c>
      <c r="V3589">
        <v>-5.6535769999999999E-2</v>
      </c>
      <c r="W3589">
        <v>1.755369E-2</v>
      </c>
      <c r="X3589">
        <v>0.99824630000000003</v>
      </c>
      <c r="Y3589">
        <v>-7.8500150000000005E-2</v>
      </c>
      <c r="Z3589">
        <v>5.5703649999999996E-4</v>
      </c>
      <c r="AA3589">
        <v>0.99691399999999997</v>
      </c>
      <c r="AB3589">
        <v>23</v>
      </c>
      <c r="AC3589">
        <v>143.97989999999999</v>
      </c>
      <c r="AD3589">
        <v>-1.1102817842629999</v>
      </c>
      <c r="AE3589">
        <v>6.5633999999999997</v>
      </c>
      <c r="AF3589">
        <v>-11.330047154082401</v>
      </c>
      <c r="AG3589">
        <v>-1.1102817842629999</v>
      </c>
      <c r="AH3589">
        <v>143.67482250977201</v>
      </c>
      <c r="AI3589">
        <v>90.441387862530704</v>
      </c>
      <c r="AJ3589">
        <v>94.508954398220496</v>
      </c>
      <c r="AK3589">
        <v>144.12514463954099</v>
      </c>
      <c r="AL3589">
        <v>88.994196040893598</v>
      </c>
      <c r="AM3589">
        <v>93.241488915578898</v>
      </c>
      <c r="AN3589">
        <v>1.0000000503928901</v>
      </c>
    </row>
    <row r="3590" spans="1:40" x14ac:dyDescent="0.25">
      <c r="A3590" t="str">
        <f>"20190312160710879"</f>
        <v>20190312160710879</v>
      </c>
      <c r="B3590" t="str">
        <f>"1552378030868331"</f>
        <v>1552378030868331</v>
      </c>
      <c r="C3590" t="s">
        <v>40</v>
      </c>
      <c r="D3590">
        <v>5.9155329999999999</v>
      </c>
      <c r="E3590">
        <v>0.49128719999999998</v>
      </c>
      <c r="F3590" t="s">
        <v>77</v>
      </c>
      <c r="G3590">
        <v>-300.13029999999998</v>
      </c>
      <c r="H3590" s="1">
        <v>2.3376849999999999E-6</v>
      </c>
      <c r="I3590">
        <v>220.71549999999999</v>
      </c>
      <c r="J3590">
        <v>-444.99270000000001</v>
      </c>
      <c r="K3590">
        <v>1.1102920000000001</v>
      </c>
      <c r="L3590">
        <v>213.84880000000001</v>
      </c>
      <c r="M3590">
        <v>0.99949030000000005</v>
      </c>
      <c r="N3590">
        <v>0</v>
      </c>
      <c r="O3590">
        <v>-3.1109620000000001E-2</v>
      </c>
      <c r="P3590">
        <v>0.99960760000000004</v>
      </c>
      <c r="Q3590">
        <v>1.063915E-2</v>
      </c>
      <c r="R3590">
        <v>2.5919459999999998E-2</v>
      </c>
      <c r="S3590">
        <v>2.9979550000000001</v>
      </c>
      <c r="T3590">
        <v>-2.293777E-2</v>
      </c>
      <c r="U3590">
        <v>0.1417389</v>
      </c>
      <c r="V3590">
        <v>-5.7054970000000003E-2</v>
      </c>
      <c r="W3590">
        <v>1.7653329999999998E-2</v>
      </c>
      <c r="X3590">
        <v>0.99821499999999996</v>
      </c>
      <c r="Y3590">
        <v>-7.8275440000000002E-2</v>
      </c>
      <c r="Z3590">
        <v>5.3718549999999998E-4</v>
      </c>
      <c r="AA3590">
        <v>0.99693160000000003</v>
      </c>
      <c r="AB3590">
        <v>23</v>
      </c>
      <c r="AC3590">
        <v>144.86240000000001</v>
      </c>
      <c r="AD3590">
        <v>-1.110289662315</v>
      </c>
      <c r="AE3590">
        <v>6.8666999999999803</v>
      </c>
      <c r="AF3590">
        <v>-11.369439701198999</v>
      </c>
      <c r="AG3590">
        <v>-1.110289662315</v>
      </c>
      <c r="AH3590">
        <v>144.57018044536699</v>
      </c>
      <c r="AI3590">
        <v>90.438664873167795</v>
      </c>
      <c r="AJ3590">
        <v>94.496659794796102</v>
      </c>
      <c r="AK3590">
        <v>145.02080532206199</v>
      </c>
      <c r="AL3590">
        <v>88.988486202469701</v>
      </c>
      <c r="AM3590">
        <v>93.271295339166798</v>
      </c>
      <c r="AN3590">
        <v>1.0000000479433899</v>
      </c>
    </row>
    <row r="3591" spans="1:40" x14ac:dyDescent="0.25">
      <c r="A3591" t="str">
        <f>"20190312160710901"</f>
        <v>20190312160710901</v>
      </c>
      <c r="B3591" t="str">
        <f>"1552378030888826"</f>
        <v>1552378030888826</v>
      </c>
      <c r="C3591" t="s">
        <v>40</v>
      </c>
      <c r="D3591">
        <v>5.9668809999999999</v>
      </c>
      <c r="E3591">
        <v>0.49172650000000001</v>
      </c>
      <c r="F3591" t="s">
        <v>66</v>
      </c>
      <c r="G3591">
        <v>-326.1508</v>
      </c>
      <c r="H3591">
        <v>5.3550430000000003E-2</v>
      </c>
      <c r="I3591">
        <v>219.6199</v>
      </c>
      <c r="J3591">
        <v>-444.7577</v>
      </c>
      <c r="K3591">
        <v>1.110303</v>
      </c>
      <c r="L3591">
        <v>213.84360000000001</v>
      </c>
      <c r="M3591">
        <v>0.99954739999999997</v>
      </c>
      <c r="N3591">
        <v>0</v>
      </c>
      <c r="O3591">
        <v>-2.9214819999999999E-2</v>
      </c>
      <c r="P3591">
        <v>0.99953630000000004</v>
      </c>
      <c r="Q3591">
        <v>1.1457159999999999E-2</v>
      </c>
      <c r="R3591">
        <v>2.8218920000000002E-2</v>
      </c>
      <c r="S3591">
        <v>2.9976500000000001</v>
      </c>
      <c r="T3591">
        <v>-2.6655080000000001E-2</v>
      </c>
      <c r="U3591">
        <v>0.1455688</v>
      </c>
      <c r="V3591">
        <v>-5.746155E-2</v>
      </c>
      <c r="W3591">
        <v>1.8483840000000001E-2</v>
      </c>
      <c r="X3591">
        <v>0.99817659999999997</v>
      </c>
      <c r="Y3591">
        <v>-7.7660090000000001E-2</v>
      </c>
      <c r="Z3591">
        <v>6.047111E-4</v>
      </c>
      <c r="AA3591">
        <v>0.99697970000000002</v>
      </c>
      <c r="AB3591">
        <v>23</v>
      </c>
      <c r="AC3591">
        <v>118.6069</v>
      </c>
      <c r="AD3591">
        <v>-1.05675257</v>
      </c>
      <c r="AE3591">
        <v>5.7762999999999902</v>
      </c>
      <c r="AF3591">
        <v>-9.2382711144404102</v>
      </c>
      <c r="AG3591">
        <v>-1.05675257</v>
      </c>
      <c r="AH3591">
        <v>118.378137886254</v>
      </c>
      <c r="AI3591">
        <v>90.509911133832802</v>
      </c>
      <c r="AJ3591">
        <v>94.462338269461796</v>
      </c>
      <c r="AK3591">
        <v>118.742772026743</v>
      </c>
      <c r="AL3591">
        <v>88.940893668904494</v>
      </c>
      <c r="AM3591">
        <v>93.294682243697295</v>
      </c>
      <c r="AN3591">
        <v>1.0000000034285501</v>
      </c>
    </row>
    <row r="3592" spans="1:40" x14ac:dyDescent="0.25">
      <c r="A3592" t="str">
        <f>"20190312160710921"</f>
        <v>20190312160710921</v>
      </c>
      <c r="B3592" t="str">
        <f>"1552378030918107"</f>
        <v>1552378030918107</v>
      </c>
      <c r="C3592" t="s">
        <v>40</v>
      </c>
      <c r="D3592">
        <v>5.8936529999999996</v>
      </c>
      <c r="E3592">
        <v>0.49189709999999998</v>
      </c>
      <c r="F3592" t="s">
        <v>66</v>
      </c>
      <c r="G3592">
        <v>-327.85050000000001</v>
      </c>
      <c r="H3592">
        <v>8.0000849999999998E-2</v>
      </c>
      <c r="I3592">
        <v>219.65729999999999</v>
      </c>
      <c r="J3592">
        <v>-444.5478</v>
      </c>
      <c r="K3592">
        <v>1.110303</v>
      </c>
      <c r="L3592">
        <v>213.83940000000001</v>
      </c>
      <c r="M3592">
        <v>0.99959520000000002</v>
      </c>
      <c r="N3592">
        <v>0</v>
      </c>
      <c r="O3592">
        <v>-2.7524079999999999E-2</v>
      </c>
      <c r="P3592">
        <v>0.99944789999999994</v>
      </c>
      <c r="Q3592">
        <v>1.219174E-2</v>
      </c>
      <c r="R3592">
        <v>3.0911810000000001E-2</v>
      </c>
      <c r="S3592">
        <v>2.9974669999999999</v>
      </c>
      <c r="T3592">
        <v>-2.6416660000000002E-2</v>
      </c>
      <c r="U3592">
        <v>0.1490631</v>
      </c>
      <c r="V3592">
        <v>-5.8464519999999999E-2</v>
      </c>
      <c r="W3592">
        <v>1.9224709999999999E-2</v>
      </c>
      <c r="X3592">
        <v>0.99810430000000006</v>
      </c>
      <c r="Y3592">
        <v>-7.7136270000000007E-2</v>
      </c>
      <c r="Z3592">
        <v>5.8212420000000001E-4</v>
      </c>
      <c r="AA3592">
        <v>0.99702040000000003</v>
      </c>
      <c r="AB3592">
        <v>23</v>
      </c>
      <c r="AC3592">
        <v>116.697299999999</v>
      </c>
      <c r="AD3592">
        <v>-1.03030215</v>
      </c>
      <c r="AE3592">
        <v>5.8178999999999803</v>
      </c>
      <c r="AF3592">
        <v>-9.0270629320822593</v>
      </c>
      <c r="AG3592">
        <v>-1.03030215</v>
      </c>
      <c r="AH3592">
        <v>116.483892127069</v>
      </c>
      <c r="AI3592">
        <v>90.505254155403904</v>
      </c>
      <c r="AJ3592">
        <v>94.431350214345798</v>
      </c>
      <c r="AK3592">
        <v>116.837693030848</v>
      </c>
      <c r="AL3592">
        <v>88.898437328895398</v>
      </c>
      <c r="AM3592">
        <v>93.352301945517794</v>
      </c>
      <c r="AN3592">
        <v>0.99999994162594996</v>
      </c>
    </row>
    <row r="3593" spans="1:40" x14ac:dyDescent="0.25">
      <c r="A3593" t="str">
        <f>"20190312160710943"</f>
        <v>20190312160710943</v>
      </c>
      <c r="B3593" t="str">
        <f>"1552378030938605"</f>
        <v>1552378030938605</v>
      </c>
      <c r="C3593" t="s">
        <v>40</v>
      </c>
      <c r="D3593">
        <v>5.2428059999999999</v>
      </c>
      <c r="E3593">
        <v>0.49191000000000001</v>
      </c>
      <c r="F3593" t="s">
        <v>66</v>
      </c>
      <c r="G3593">
        <v>-333.30459999999999</v>
      </c>
      <c r="H3593">
        <v>5.3183229999999998E-2</v>
      </c>
      <c r="I3593">
        <v>219.61949999999999</v>
      </c>
      <c r="J3593">
        <v>-444.31380000000001</v>
      </c>
      <c r="K3593">
        <v>1.110303</v>
      </c>
      <c r="L3593">
        <v>213.83500000000001</v>
      </c>
      <c r="M3593">
        <v>0.99964520000000001</v>
      </c>
      <c r="N3593">
        <v>0</v>
      </c>
      <c r="O3593">
        <v>-2.5640820000000002E-2</v>
      </c>
      <c r="P3593">
        <v>0.99936250000000004</v>
      </c>
      <c r="Q3593">
        <v>1.172522E-2</v>
      </c>
      <c r="R3593">
        <v>3.3724030000000002E-2</v>
      </c>
      <c r="S3593">
        <v>2.9971619999999999</v>
      </c>
      <c r="T3593">
        <v>-2.8481360000000001E-2</v>
      </c>
      <c r="U3593">
        <v>0.15573119999999999</v>
      </c>
      <c r="V3593">
        <v>-5.9391659999999999E-2</v>
      </c>
      <c r="W3593">
        <v>1.876179E-2</v>
      </c>
      <c r="X3593">
        <v>0.99805840000000001</v>
      </c>
      <c r="Y3593">
        <v>-7.747482E-2</v>
      </c>
      <c r="Z3593">
        <v>6.1137289999999998E-4</v>
      </c>
      <c r="AA3593">
        <v>0.99699409999999999</v>
      </c>
      <c r="AB3593">
        <v>23</v>
      </c>
      <c r="AC3593">
        <v>111.00920000000001</v>
      </c>
      <c r="AD3593">
        <v>-1.0571197699999999</v>
      </c>
      <c r="AE3593">
        <v>5.78449999999998</v>
      </c>
      <c r="AF3593">
        <v>-8.6282587040008991</v>
      </c>
      <c r="AG3593">
        <v>-1.0571197699999999</v>
      </c>
      <c r="AH3593">
        <v>110.814355457085</v>
      </c>
      <c r="AI3593">
        <v>90.544910554820603</v>
      </c>
      <c r="AJ3593">
        <v>94.452197496936094</v>
      </c>
      <c r="AK3593">
        <v>111.154782739388</v>
      </c>
      <c r="AL3593">
        <v>88.924965510871999</v>
      </c>
      <c r="AM3593">
        <v>93.405495411402498</v>
      </c>
      <c r="AN3593">
        <v>0.99999997192605905</v>
      </c>
    </row>
    <row r="3594" spans="1:40" x14ac:dyDescent="0.25">
      <c r="A3594" t="str">
        <f>"20190312160710965"</f>
        <v>20190312160710965</v>
      </c>
      <c r="B3594" t="str">
        <f>"1552378030958122"</f>
        <v>1552378030958122</v>
      </c>
      <c r="C3594" t="s">
        <v>40</v>
      </c>
      <c r="D3594">
        <v>5.886584</v>
      </c>
      <c r="E3594">
        <v>0.49189840000000001</v>
      </c>
      <c r="F3594" t="s">
        <v>66</v>
      </c>
      <c r="G3594">
        <v>-344.00779999999997</v>
      </c>
      <c r="H3594" s="1">
        <v>5.9595539999999999E-7</v>
      </c>
      <c r="I3594">
        <v>219.32130000000001</v>
      </c>
      <c r="J3594">
        <v>-444.07350000000002</v>
      </c>
      <c r="K3594">
        <v>1.110301</v>
      </c>
      <c r="L3594">
        <v>213.83099999999999</v>
      </c>
      <c r="M3594">
        <v>0.9996931</v>
      </c>
      <c r="N3594">
        <v>0</v>
      </c>
      <c r="O3594">
        <v>-2.3706169999999999E-2</v>
      </c>
      <c r="P3594">
        <v>0.99931349999999997</v>
      </c>
      <c r="Q3594">
        <v>1.07507E-2</v>
      </c>
      <c r="R3594">
        <v>3.5456519999999998E-2</v>
      </c>
      <c r="S3594">
        <v>2.9967649999999999</v>
      </c>
      <c r="T3594">
        <v>-3.3171649999999997E-2</v>
      </c>
      <c r="U3594">
        <v>0.1639099</v>
      </c>
      <c r="V3594">
        <v>-5.9188539999999998E-2</v>
      </c>
      <c r="W3594">
        <v>1.77935E-2</v>
      </c>
      <c r="X3594">
        <v>0.99808819999999998</v>
      </c>
      <c r="Y3594">
        <v>-7.8263799999999994E-2</v>
      </c>
      <c r="Z3594">
        <v>6.9505450000000002E-4</v>
      </c>
      <c r="AA3594">
        <v>0.99693240000000005</v>
      </c>
      <c r="AB3594">
        <v>23</v>
      </c>
      <c r="AC3594">
        <v>100.06570000000001</v>
      </c>
      <c r="AD3594">
        <v>-1.1103004040446001</v>
      </c>
      <c r="AE3594">
        <v>5.4903000000000102</v>
      </c>
      <c r="AF3594">
        <v>-7.8600280412486603</v>
      </c>
      <c r="AG3594">
        <v>-1.1103004040446001</v>
      </c>
      <c r="AH3594">
        <v>99.895157989120506</v>
      </c>
      <c r="AI3594">
        <v>90.634834777053698</v>
      </c>
      <c r="AJ3594">
        <v>94.498921848973893</v>
      </c>
      <c r="AK3594">
        <v>100.210056368948</v>
      </c>
      <c r="AL3594">
        <v>88.980453715803506</v>
      </c>
      <c r="AM3594">
        <v>93.393774763670507</v>
      </c>
      <c r="AN3594">
        <v>0.99999997344441005</v>
      </c>
    </row>
    <row r="3595" spans="1:40" x14ac:dyDescent="0.25">
      <c r="A3595" t="str">
        <f>"20190312160710990"</f>
        <v>20190312160710990</v>
      </c>
      <c r="B3595" t="str">
        <f>"1552378030978622"</f>
        <v>1552378030978622</v>
      </c>
      <c r="C3595" t="s">
        <v>40</v>
      </c>
      <c r="D3595">
        <v>5.9007829999999997</v>
      </c>
      <c r="E3595">
        <v>0.4936122</v>
      </c>
      <c r="F3595" t="s">
        <v>66</v>
      </c>
      <c r="G3595">
        <v>-355.57569999999998</v>
      </c>
      <c r="H3595" s="1">
        <v>1.2465639999999999E-6</v>
      </c>
      <c r="I3595">
        <v>218.81970000000001</v>
      </c>
      <c r="J3595">
        <v>-443.82510000000002</v>
      </c>
      <c r="K3595">
        <v>1.110304</v>
      </c>
      <c r="L3595">
        <v>213.82730000000001</v>
      </c>
      <c r="M3595">
        <v>0.99973829999999997</v>
      </c>
      <c r="N3595">
        <v>0</v>
      </c>
      <c r="O3595">
        <v>-2.1707270000000001E-2</v>
      </c>
      <c r="P3595">
        <v>0.99925450000000005</v>
      </c>
      <c r="Q3595">
        <v>1.006144E-2</v>
      </c>
      <c r="R3595">
        <v>3.7274099999999998E-2</v>
      </c>
      <c r="S3595">
        <v>2.996521</v>
      </c>
      <c r="T3595">
        <v>-3.7594559999999999E-2</v>
      </c>
      <c r="U3595">
        <v>0.1689148</v>
      </c>
      <c r="V3595">
        <v>-5.900648E-2</v>
      </c>
      <c r="W3595">
        <v>1.7109820000000001E-2</v>
      </c>
      <c r="X3595">
        <v>0.99811090000000002</v>
      </c>
      <c r="Y3595">
        <v>-7.7933299999999997E-2</v>
      </c>
      <c r="Z3595">
        <v>7.6061819999999997E-4</v>
      </c>
      <c r="AA3595">
        <v>0.99695829999999996</v>
      </c>
      <c r="AB3595">
        <v>24</v>
      </c>
      <c r="AC3595">
        <v>88.249399999999994</v>
      </c>
      <c r="AD3595">
        <v>-1.1103027534359999</v>
      </c>
      <c r="AE3595">
        <v>4.9923999999999999</v>
      </c>
      <c r="AF3595">
        <v>-6.9058374070133999</v>
      </c>
      <c r="AG3595">
        <v>-1.1103027534359999</v>
      </c>
      <c r="AH3595">
        <v>88.106328415406296</v>
      </c>
      <c r="AI3595">
        <v>90.719787212719098</v>
      </c>
      <c r="AJ3595">
        <v>94.481721531618007</v>
      </c>
      <c r="AK3595">
        <v>88.383530532219694</v>
      </c>
      <c r="AL3595">
        <v>89.0196316295022</v>
      </c>
      <c r="AM3595">
        <v>93.383283257603694</v>
      </c>
      <c r="AN3595">
        <v>0.99999993966061396</v>
      </c>
    </row>
    <row r="3596" spans="1:40" x14ac:dyDescent="0.25">
      <c r="A3596" t="str">
        <f>"20190312160711010"</f>
        <v>20190312160711010</v>
      </c>
      <c r="B3596" t="str">
        <f>"1552378030998139"</f>
        <v>1552378030998139</v>
      </c>
      <c r="C3596" t="s">
        <v>40</v>
      </c>
      <c r="D3596">
        <v>5.8933229999999996</v>
      </c>
      <c r="E3596">
        <v>0.49276900000000001</v>
      </c>
      <c r="F3596" t="s">
        <v>77</v>
      </c>
      <c r="G3596">
        <v>-417.13389999999998</v>
      </c>
      <c r="H3596" s="1">
        <v>3.4167310000000001E-6</v>
      </c>
      <c r="I3596">
        <v>215.23929999999999</v>
      </c>
      <c r="J3596">
        <v>-443.60469999999998</v>
      </c>
      <c r="K3596">
        <v>1.1103069999999999</v>
      </c>
      <c r="L3596">
        <v>213.8245</v>
      </c>
      <c r="M3596">
        <v>0.99977519999999998</v>
      </c>
      <c r="N3596">
        <v>0</v>
      </c>
      <c r="O3596">
        <v>-1.9933909999999999E-2</v>
      </c>
      <c r="P3596">
        <v>0.999197</v>
      </c>
      <c r="Q3596">
        <v>1.005639E-2</v>
      </c>
      <c r="R3596">
        <v>3.8786029999999999E-2</v>
      </c>
      <c r="S3596">
        <v>2.99762</v>
      </c>
      <c r="T3596">
        <v>-0.124694899999999</v>
      </c>
      <c r="U3596">
        <v>0.1585693</v>
      </c>
      <c r="V3596">
        <v>-5.8746149999999997E-2</v>
      </c>
      <c r="W3596">
        <v>1.7110770000000001E-2</v>
      </c>
      <c r="X3596">
        <v>0.99812630000000002</v>
      </c>
      <c r="Y3596">
        <v>-7.264081E-2</v>
      </c>
      <c r="Z3596">
        <v>2.3375119999999999E-3</v>
      </c>
      <c r="AA3596">
        <v>0.9973554</v>
      </c>
      <c r="AB3596">
        <v>24</v>
      </c>
      <c r="AC3596">
        <v>26.470800000000001</v>
      </c>
      <c r="AD3596">
        <v>-1.110303583269</v>
      </c>
      <c r="AE3596">
        <v>1.4147999999999801</v>
      </c>
      <c r="AF3596">
        <v>-1.93879789379985</v>
      </c>
      <c r="AG3596">
        <v>-1.110303583269</v>
      </c>
      <c r="AH3596">
        <v>26.391038237164899</v>
      </c>
      <c r="AI3596">
        <v>92.402616436083207</v>
      </c>
      <c r="AJ3596">
        <v>94.201643702789397</v>
      </c>
      <c r="AK3596">
        <v>26.485441483115199</v>
      </c>
      <c r="AL3596">
        <v>89.019577249380006</v>
      </c>
      <c r="AM3596">
        <v>93.368339183981504</v>
      </c>
      <c r="AN3596">
        <v>0.99999999967075204</v>
      </c>
    </row>
    <row r="3597" spans="1:40" x14ac:dyDescent="0.25">
      <c r="A3597" t="str">
        <f>"20190312160711032"</f>
        <v>20190312160711032</v>
      </c>
      <c r="B3597" t="str">
        <f>"1552378031028889"</f>
        <v>1552378031028889</v>
      </c>
      <c r="C3597" t="s">
        <v>40</v>
      </c>
      <c r="D3597">
        <v>5.8982109999999999</v>
      </c>
      <c r="E3597">
        <v>0.49221530000000002</v>
      </c>
      <c r="F3597" t="s">
        <v>77</v>
      </c>
      <c r="G3597">
        <v>-415.03339999999997</v>
      </c>
      <c r="H3597" s="1">
        <v>3.0261269999999998E-6</v>
      </c>
      <c r="I3597">
        <v>215.4452</v>
      </c>
      <c r="J3597">
        <v>-443.37369999999999</v>
      </c>
      <c r="K3597">
        <v>1.1103130000000001</v>
      </c>
      <c r="L3597">
        <v>213.8219</v>
      </c>
      <c r="M3597">
        <v>0.99981050000000005</v>
      </c>
      <c r="N3597">
        <v>0</v>
      </c>
      <c r="O3597">
        <v>-1.8076390000000001E-2</v>
      </c>
      <c r="P3597">
        <v>0.99913870000000005</v>
      </c>
      <c r="Q3597">
        <v>1.0338419999999999E-2</v>
      </c>
      <c r="R3597">
        <v>4.018538E-2</v>
      </c>
      <c r="S3597">
        <v>2.9969790000000001</v>
      </c>
      <c r="T3597">
        <v>-0.116464899999999</v>
      </c>
      <c r="U3597">
        <v>0.16999819999999999</v>
      </c>
      <c r="V3597">
        <v>-5.8290839999999997E-2</v>
      </c>
      <c r="W3597">
        <v>1.7399689999999999E-2</v>
      </c>
      <c r="X3597">
        <v>0.99814800000000004</v>
      </c>
      <c r="Y3597">
        <v>-7.4601020000000004E-2</v>
      </c>
      <c r="Z3597">
        <v>2.1495300000000002E-3</v>
      </c>
      <c r="AA3597">
        <v>0.99721119999999996</v>
      </c>
      <c r="AB3597">
        <v>24</v>
      </c>
      <c r="AC3597">
        <v>28.340299999999999</v>
      </c>
      <c r="AD3597">
        <v>-1.11030997387299</v>
      </c>
      <c r="AE3597">
        <v>1.6233</v>
      </c>
      <c r="AF3597">
        <v>-2.13207662288091</v>
      </c>
      <c r="AG3597">
        <v>-1.11030997387299</v>
      </c>
      <c r="AH3597">
        <v>28.263085930393299</v>
      </c>
      <c r="AI3597">
        <v>92.243329524355204</v>
      </c>
      <c r="AJ3597">
        <v>94.314039046906103</v>
      </c>
      <c r="AK3597">
        <v>28.365129389317399</v>
      </c>
      <c r="AL3597">
        <v>89.003020888644997</v>
      </c>
      <c r="AM3597">
        <v>93.342219904017497</v>
      </c>
      <c r="AN3597">
        <v>1.000000000572</v>
      </c>
    </row>
    <row r="3598" spans="1:40" x14ac:dyDescent="0.25">
      <c r="A3598" t="str">
        <f>"20190312160711056"</f>
        <v>20190312160711056</v>
      </c>
      <c r="B3598" t="str">
        <f>"1552378031048409"</f>
        <v>1552378031048409</v>
      </c>
      <c r="C3598" t="s">
        <v>40</v>
      </c>
      <c r="D3598">
        <v>5.9973559999999999</v>
      </c>
      <c r="E3598">
        <v>0.49220930000000002</v>
      </c>
      <c r="F3598" t="s">
        <v>77</v>
      </c>
      <c r="G3598">
        <v>-411.51350000000002</v>
      </c>
      <c r="H3598" s="1">
        <v>2.377298E-6</v>
      </c>
      <c r="I3598">
        <v>215.72499999999999</v>
      </c>
      <c r="J3598">
        <v>-443.13319999999999</v>
      </c>
      <c r="K3598">
        <v>1.110325</v>
      </c>
      <c r="L3598">
        <v>213.81970000000001</v>
      </c>
      <c r="M3598">
        <v>0.99984340000000005</v>
      </c>
      <c r="N3598">
        <v>0</v>
      </c>
      <c r="O3598">
        <v>-1.6144840000000001E-2</v>
      </c>
      <c r="P3598">
        <v>0.99908569999999997</v>
      </c>
      <c r="Q3598">
        <v>1.0023249999999999E-2</v>
      </c>
      <c r="R3598">
        <v>4.1561149999999998E-2</v>
      </c>
      <c r="S3598">
        <v>2.9964599999999999</v>
      </c>
      <c r="T3598">
        <v>-0.104425</v>
      </c>
      <c r="U3598">
        <v>0.17898559999999999</v>
      </c>
      <c r="V3598">
        <v>-5.773665E-2</v>
      </c>
      <c r="W3598">
        <v>1.7093609999999999E-2</v>
      </c>
      <c r="X3598">
        <v>0.99818549999999995</v>
      </c>
      <c r="Y3598">
        <v>-7.5679289999999996E-2</v>
      </c>
      <c r="Z3598">
        <v>1.8791490000000001E-3</v>
      </c>
      <c r="AA3598">
        <v>0.99713050000000003</v>
      </c>
      <c r="AB3598">
        <v>24</v>
      </c>
      <c r="AC3598">
        <v>31.619699999999899</v>
      </c>
      <c r="AD3598">
        <v>-1.110322622702</v>
      </c>
      <c r="AE3598">
        <v>1.90529999999998</v>
      </c>
      <c r="AF3598">
        <v>-2.41259595612765</v>
      </c>
      <c r="AG3598">
        <v>-1.110322622702</v>
      </c>
      <c r="AH3598">
        <v>31.546059670658199</v>
      </c>
      <c r="AI3598">
        <v>92.009935470289705</v>
      </c>
      <c r="AJ3598">
        <v>94.373383092386604</v>
      </c>
      <c r="AK3598">
        <v>31.657658099087701</v>
      </c>
      <c r="AL3598">
        <v>89.020560591381198</v>
      </c>
      <c r="AM3598">
        <v>93.310391249215797</v>
      </c>
      <c r="AN3598">
        <v>1.0000000023331499</v>
      </c>
    </row>
    <row r="3599" spans="1:40" x14ac:dyDescent="0.25">
      <c r="A3599" t="str">
        <f>"20190312160711080"</f>
        <v>20190312160711080</v>
      </c>
      <c r="B3599" t="str">
        <f>"1552378031068905"</f>
        <v>1552378031068905</v>
      </c>
      <c r="C3599" t="s">
        <v>40</v>
      </c>
      <c r="D3599">
        <v>5.9985460000000002</v>
      </c>
      <c r="E3599">
        <v>0.49252639999999998</v>
      </c>
      <c r="F3599" t="s">
        <v>77</v>
      </c>
      <c r="G3599">
        <v>-411.40570000000002</v>
      </c>
      <c r="H3599" s="1">
        <v>2.355142E-6</v>
      </c>
      <c r="I3599">
        <v>215.75970000000001</v>
      </c>
      <c r="J3599">
        <v>-442.86950000000002</v>
      </c>
      <c r="K3599">
        <v>1.110331</v>
      </c>
      <c r="L3599">
        <v>213.81790000000001</v>
      </c>
      <c r="M3599">
        <v>0.99987519999999996</v>
      </c>
      <c r="N3599">
        <v>0</v>
      </c>
      <c r="O3599">
        <v>-1.4031750000000001E-2</v>
      </c>
      <c r="P3599">
        <v>0.99901850000000003</v>
      </c>
      <c r="Q3599">
        <v>1.067067E-2</v>
      </c>
      <c r="R3599">
        <v>4.2990779999999999E-2</v>
      </c>
      <c r="S3599">
        <v>2.996124</v>
      </c>
      <c r="T3599">
        <v>-0.104851</v>
      </c>
      <c r="U3599">
        <v>0.183197</v>
      </c>
      <c r="V3599">
        <v>-5.7057730000000001E-2</v>
      </c>
      <c r="W3599">
        <v>1.775154E-2</v>
      </c>
      <c r="X3599">
        <v>0.99821309999999996</v>
      </c>
      <c r="Y3599">
        <v>-7.4976349999999997E-2</v>
      </c>
      <c r="Z3599">
        <v>1.8007889999999999E-3</v>
      </c>
      <c r="AA3599">
        <v>0.99718370000000001</v>
      </c>
      <c r="AB3599">
        <v>24</v>
      </c>
      <c r="AC3599">
        <v>31.4637999999999</v>
      </c>
      <c r="AD3599">
        <v>-1.1103286448580001</v>
      </c>
      <c r="AE3599">
        <v>1.9418</v>
      </c>
      <c r="AF3599">
        <v>-2.3801598157174002</v>
      </c>
      <c r="AG3599">
        <v>-1.1103286448580001</v>
      </c>
      <c r="AH3599">
        <v>31.394506816937</v>
      </c>
      <c r="AI3599">
        <v>92.0197425423694</v>
      </c>
      <c r="AJ3599">
        <v>94.335558652241502</v>
      </c>
      <c r="AK3599">
        <v>31.5041750999237</v>
      </c>
      <c r="AL3599">
        <v>88.982858301752302</v>
      </c>
      <c r="AM3599">
        <v>93.271459455776906</v>
      </c>
      <c r="AN3599">
        <v>1.0000000473683599</v>
      </c>
    </row>
    <row r="3600" spans="1:40" x14ac:dyDescent="0.25">
      <c r="A3600" t="str">
        <f>"20190312160711102"</f>
        <v>20190312160711102</v>
      </c>
      <c r="B3600" t="str">
        <f>"1552378031099160"</f>
        <v>1552378031099160</v>
      </c>
      <c r="C3600" t="s">
        <v>40</v>
      </c>
      <c r="D3600">
        <v>6.053566</v>
      </c>
      <c r="E3600">
        <v>0.49763980000000002</v>
      </c>
      <c r="F3600" t="s">
        <v>77</v>
      </c>
      <c r="G3600">
        <v>-410.35829999999999</v>
      </c>
      <c r="H3600" s="1">
        <v>2.163565E-6</v>
      </c>
      <c r="I3600">
        <v>215.82579999999999</v>
      </c>
      <c r="J3600">
        <v>-442.63139999999999</v>
      </c>
      <c r="K3600">
        <v>1.110336</v>
      </c>
      <c r="L3600">
        <v>213.8167</v>
      </c>
      <c r="M3600">
        <v>0.99990009999999996</v>
      </c>
      <c r="N3600">
        <v>0</v>
      </c>
      <c r="O3600">
        <v>-1.212894E-2</v>
      </c>
      <c r="P3600">
        <v>0.99892159999999997</v>
      </c>
      <c r="Q3600">
        <v>1.103794E-2</v>
      </c>
      <c r="R3600">
        <v>4.5100479999999998E-2</v>
      </c>
      <c r="S3600">
        <v>2.9960629999999999</v>
      </c>
      <c r="T3600">
        <v>-0.102322</v>
      </c>
      <c r="U3600">
        <v>0.18504329999999999</v>
      </c>
      <c r="V3600">
        <v>-5.7267239999999997E-2</v>
      </c>
      <c r="W3600">
        <v>1.8127230000000001E-2</v>
      </c>
      <c r="X3600">
        <v>0.99819429999999998</v>
      </c>
      <c r="Y3600">
        <v>-7.3696520000000001E-2</v>
      </c>
      <c r="Z3600">
        <v>1.6706410000000001E-3</v>
      </c>
      <c r="AA3600">
        <v>0.99727929999999998</v>
      </c>
      <c r="AB3600">
        <v>24</v>
      </c>
      <c r="AC3600">
        <v>32.273099999999999</v>
      </c>
      <c r="AD3600">
        <v>-1.1103338364349999</v>
      </c>
      <c r="AE3600">
        <v>2.0090999999999801</v>
      </c>
      <c r="AF3600">
        <v>-2.3975740613684402</v>
      </c>
      <c r="AG3600">
        <v>-1.1103338364349999</v>
      </c>
      <c r="AH3600">
        <v>32.208380533955001</v>
      </c>
      <c r="AI3600">
        <v>91.968957633177297</v>
      </c>
      <c r="AJ3600">
        <v>94.257214370571802</v>
      </c>
      <c r="AK3600">
        <v>32.316574373347997</v>
      </c>
      <c r="AL3600">
        <v>88.961329334300004</v>
      </c>
      <c r="AM3600">
        <v>93.283507382130594</v>
      </c>
      <c r="AN3600">
        <v>0.99999999689858998</v>
      </c>
    </row>
    <row r="3601" spans="1:40" x14ac:dyDescent="0.25">
      <c r="A3601" t="str">
        <f>"20190312160711134"</f>
        <v>20190312160711134</v>
      </c>
      <c r="B3601" t="str">
        <f>"1552378031128441"</f>
        <v>1552378031128441</v>
      </c>
      <c r="C3601" t="s">
        <v>40</v>
      </c>
      <c r="D3601">
        <v>6.0556929999999998</v>
      </c>
      <c r="E3601">
        <v>0.49526589999999998</v>
      </c>
      <c r="F3601" t="s">
        <v>77</v>
      </c>
      <c r="G3601">
        <v>-425.96409999999997</v>
      </c>
      <c r="H3601" s="1">
        <v>2.9049259999999998E-6</v>
      </c>
      <c r="I3601">
        <v>214.6362</v>
      </c>
      <c r="J3601">
        <v>-442.2885</v>
      </c>
      <c r="K3601">
        <v>1.1103369999999999</v>
      </c>
      <c r="L3601">
        <v>213.81559999999999</v>
      </c>
      <c r="M3601">
        <v>0.99992939999999997</v>
      </c>
      <c r="N3601">
        <v>0</v>
      </c>
      <c r="O3601">
        <v>-9.4039810000000005E-3</v>
      </c>
      <c r="P3601">
        <v>0.99876739999999997</v>
      </c>
      <c r="Q3601">
        <v>1.031963E-2</v>
      </c>
      <c r="R3601">
        <v>4.8554750000000001E-2</v>
      </c>
      <c r="S3601">
        <v>2.9988100000000002</v>
      </c>
      <c r="T3601">
        <v>-0.1997736</v>
      </c>
      <c r="U3601">
        <v>0.14744570000000001</v>
      </c>
      <c r="V3601">
        <v>-5.7997640000000003E-2</v>
      </c>
      <c r="W3601">
        <v>1.7421619999999999E-2</v>
      </c>
      <c r="X3601">
        <v>0.99816470000000002</v>
      </c>
      <c r="Y3601">
        <v>-5.8349619999999998E-2</v>
      </c>
      <c r="Z3601">
        <v>2.5656839999999999E-3</v>
      </c>
      <c r="AA3601">
        <v>0.99829290000000004</v>
      </c>
      <c r="AB3601">
        <v>24</v>
      </c>
      <c r="AC3601">
        <v>16.324400000000001</v>
      </c>
      <c r="AD3601">
        <v>-1.1103340950739999</v>
      </c>
      <c r="AE3601">
        <v>0.82060000000001299</v>
      </c>
      <c r="AF3601">
        <v>-0.96960772911813597</v>
      </c>
      <c r="AG3601">
        <v>-1.1103340950739999</v>
      </c>
      <c r="AH3601">
        <v>16.241014742973601</v>
      </c>
      <c r="AI3601">
        <v>93.904070952373303</v>
      </c>
      <c r="AJ3601">
        <v>93.4165702940427</v>
      </c>
      <c r="AK3601">
        <v>16.3077754716128</v>
      </c>
      <c r="AL3601">
        <v>89.001764204846594</v>
      </c>
      <c r="AM3601">
        <v>93.325391016932301</v>
      </c>
      <c r="AN3601">
        <v>1.0000000037075401</v>
      </c>
    </row>
    <row r="3602" spans="1:40" x14ac:dyDescent="0.25">
      <c r="A3602" t="str">
        <f>"20190312160711156"</f>
        <v>20190312160711156</v>
      </c>
      <c r="B3602" t="str">
        <f>"1552378031148937"</f>
        <v>1552378031148937</v>
      </c>
      <c r="C3602" t="s">
        <v>40</v>
      </c>
      <c r="D3602">
        <v>6.05701</v>
      </c>
      <c r="E3602">
        <v>0.49496659999999998</v>
      </c>
      <c r="F3602" t="s">
        <v>77</v>
      </c>
      <c r="G3602">
        <v>-420.69920000000002</v>
      </c>
      <c r="H3602" s="1">
        <v>3.7981469999999999E-6</v>
      </c>
      <c r="I3602">
        <v>215.10149999999999</v>
      </c>
      <c r="J3602">
        <v>-442.04739999999998</v>
      </c>
      <c r="K3602">
        <v>1.1103430000000001</v>
      </c>
      <c r="L3602">
        <v>213.81549999999999</v>
      </c>
      <c r="M3602">
        <v>0.99994530000000004</v>
      </c>
      <c r="N3602">
        <v>0</v>
      </c>
      <c r="O3602">
        <v>-7.5118349999999997E-3</v>
      </c>
      <c r="P3602">
        <v>0.99864949999999997</v>
      </c>
      <c r="Q3602">
        <v>1.0749079999999999E-2</v>
      </c>
      <c r="R3602">
        <v>5.082859E-2</v>
      </c>
      <c r="S3602">
        <v>2.996613</v>
      </c>
      <c r="T3602">
        <v>-0.1541159</v>
      </c>
      <c r="U3602">
        <v>0.1784821</v>
      </c>
      <c r="V3602">
        <v>-5.8381750000000003E-2</v>
      </c>
      <c r="W3602">
        <v>1.786215E-2</v>
      </c>
      <c r="X3602">
        <v>0.99813450000000004</v>
      </c>
      <c r="Y3602">
        <v>-6.6855029999999996E-2</v>
      </c>
      <c r="Z3602">
        <v>2.102292E-3</v>
      </c>
      <c r="AA3602">
        <v>0.99776050000000005</v>
      </c>
      <c r="AB3602">
        <v>24</v>
      </c>
      <c r="AC3602">
        <v>21.348199999999899</v>
      </c>
      <c r="AD3602">
        <v>-1.1103392018529901</v>
      </c>
      <c r="AE3602">
        <v>1.286</v>
      </c>
      <c r="AF3602">
        <v>-1.44244422092018</v>
      </c>
      <c r="AG3602">
        <v>-1.1103392018529901</v>
      </c>
      <c r="AH3602">
        <v>21.280578489363201</v>
      </c>
      <c r="AI3602">
        <v>92.979940931348196</v>
      </c>
      <c r="AJ3602">
        <v>93.877702084689105</v>
      </c>
      <c r="AK3602">
        <v>21.3582892413129</v>
      </c>
      <c r="AL3602">
        <v>88.976519744598605</v>
      </c>
      <c r="AM3602">
        <v>93.347465735308205</v>
      </c>
      <c r="AN3602">
        <v>0.99999998261296696</v>
      </c>
    </row>
    <row r="3603" spans="1:40" x14ac:dyDescent="0.25">
      <c r="A3603" t="str">
        <f>"20190312160711189"</f>
        <v>20190312160711189</v>
      </c>
      <c r="B3603" t="str">
        <f>"1552378031179193"</f>
        <v>1552378031179193</v>
      </c>
      <c r="C3603" t="s">
        <v>40</v>
      </c>
      <c r="D3603">
        <v>6.104927</v>
      </c>
      <c r="E3603">
        <v>0.49449080000000001</v>
      </c>
      <c r="F3603" t="s">
        <v>77</v>
      </c>
      <c r="G3603">
        <v>-418.28539999999998</v>
      </c>
      <c r="H3603" s="1">
        <v>3.6152609999999999E-6</v>
      </c>
      <c r="I3603">
        <v>215.3048</v>
      </c>
      <c r="J3603">
        <v>-441.68</v>
      </c>
      <c r="K3603">
        <v>1.110322</v>
      </c>
      <c r="L3603">
        <v>213.81610000000001</v>
      </c>
      <c r="M3603">
        <v>0.99996229999999997</v>
      </c>
      <c r="N3603">
        <v>0</v>
      </c>
      <c r="O3603">
        <v>-4.6873440000000004E-3</v>
      </c>
      <c r="P3603">
        <v>0.99840189999999995</v>
      </c>
      <c r="Q3603">
        <v>1.084823E-2</v>
      </c>
      <c r="R3603">
        <v>5.5463739999999997E-2</v>
      </c>
      <c r="S3603">
        <v>2.9959720000000001</v>
      </c>
      <c r="T3603">
        <v>-0.1399946</v>
      </c>
      <c r="U3603">
        <v>0.18777469999999999</v>
      </c>
      <c r="V3603">
        <v>-6.019584E-2</v>
      </c>
      <c r="W3603">
        <v>1.7976570000000001E-2</v>
      </c>
      <c r="X3603">
        <v>0.99802469999999999</v>
      </c>
      <c r="Y3603">
        <v>-6.7152489999999995E-2</v>
      </c>
      <c r="Z3603">
        <v>1.785256E-3</v>
      </c>
      <c r="AA3603">
        <v>0.99774110000000005</v>
      </c>
      <c r="AB3603">
        <v>24</v>
      </c>
      <c r="AC3603">
        <v>23.394600000000001</v>
      </c>
      <c r="AD3603">
        <v>-1.1103183847389999</v>
      </c>
      <c r="AE3603">
        <v>1.4886999999999899</v>
      </c>
      <c r="AF3603">
        <v>-1.5947673941807701</v>
      </c>
      <c r="AG3603">
        <v>-1.1103183847389999</v>
      </c>
      <c r="AH3603">
        <v>23.335014726903001</v>
      </c>
      <c r="AI3603">
        <v>92.717842690471699</v>
      </c>
      <c r="AJ3603">
        <v>93.909643135587203</v>
      </c>
      <c r="AK3603">
        <v>23.4157853223379</v>
      </c>
      <c r="AL3603">
        <v>88.969962925491004</v>
      </c>
      <c r="AM3603">
        <v>93.451612321930497</v>
      </c>
      <c r="AN3603">
        <v>0.99999999901617997</v>
      </c>
    </row>
    <row r="3604" spans="1:40" x14ac:dyDescent="0.25">
      <c r="A3604" t="str">
        <f>"20190312160711211"</f>
        <v>20190312160711211</v>
      </c>
      <c r="B3604" t="str">
        <f>"1552378031198717"</f>
        <v>1552378031198717</v>
      </c>
      <c r="C3604" t="s">
        <v>40</v>
      </c>
      <c r="D3604">
        <v>6.34816</v>
      </c>
      <c r="E3604">
        <v>0.49435059999999897</v>
      </c>
      <c r="F3604" t="s">
        <v>77</v>
      </c>
      <c r="G3604">
        <v>-416.34829999999999</v>
      </c>
      <c r="H3604" s="1">
        <v>3.2498460000000002E-6</v>
      </c>
      <c r="I3604">
        <v>215.55420000000001</v>
      </c>
      <c r="J3604">
        <v>-441.44420000000002</v>
      </c>
      <c r="K3604">
        <v>1.1103000000000001</v>
      </c>
      <c r="L3604">
        <v>213.8169</v>
      </c>
      <c r="M3604">
        <v>0.99996910000000006</v>
      </c>
      <c r="N3604">
        <v>0</v>
      </c>
      <c r="O3604">
        <v>-2.914607E-3</v>
      </c>
      <c r="P3604">
        <v>0.99828890000000003</v>
      </c>
      <c r="Q3604">
        <v>9.8820060000000005E-3</v>
      </c>
      <c r="R3604">
        <v>5.7637199999999902E-2</v>
      </c>
      <c r="S3604">
        <v>2.994812</v>
      </c>
      <c r="T3604">
        <v>-0.13126640000000001</v>
      </c>
      <c r="U3604">
        <v>0.20549010000000001</v>
      </c>
      <c r="V3604">
        <v>-6.0595650000000001E-2</v>
      </c>
      <c r="W3604">
        <v>1.702495E-2</v>
      </c>
      <c r="X3604">
        <v>0.99801719999999905</v>
      </c>
      <c r="Y3604">
        <v>-7.1291049999999995E-2</v>
      </c>
      <c r="Z3604">
        <v>1.6873529999999999E-3</v>
      </c>
      <c r="AA3604">
        <v>0.99745410000000001</v>
      </c>
      <c r="AB3604">
        <v>24</v>
      </c>
      <c r="AC3604">
        <v>25.0959</v>
      </c>
      <c r="AD3604">
        <v>-1.110296750154</v>
      </c>
      <c r="AE3604">
        <v>1.7373000000000001</v>
      </c>
      <c r="AF3604">
        <v>-1.8069193175265399</v>
      </c>
      <c r="AG3604">
        <v>-1.110296750154</v>
      </c>
      <c r="AH3604">
        <v>25.041947181293502</v>
      </c>
      <c r="AI3604">
        <v>92.532113138531201</v>
      </c>
      <c r="AJ3604">
        <v>94.127064753347994</v>
      </c>
      <c r="AK3604">
        <v>25.131590377931701</v>
      </c>
      <c r="AL3604">
        <v>89.024495096314197</v>
      </c>
      <c r="AM3604">
        <v>93.474507383645204</v>
      </c>
      <c r="AN3604">
        <v>1.0000000066086301</v>
      </c>
    </row>
    <row r="3605" spans="1:40" x14ac:dyDescent="0.25">
      <c r="A3605" t="str">
        <f>"20190312160711234"</f>
        <v>20190312160711234</v>
      </c>
      <c r="B3605" t="str">
        <f>"1552378031228499"</f>
        <v>1552378031228499</v>
      </c>
      <c r="C3605" t="s">
        <v>40</v>
      </c>
      <c r="D3605">
        <v>6.2097530000000001</v>
      </c>
      <c r="E3605">
        <v>0.49464239999999998</v>
      </c>
      <c r="F3605" t="s">
        <v>77</v>
      </c>
      <c r="G3605">
        <v>-415.61520000000002</v>
      </c>
      <c r="H3605" s="1">
        <v>3.110841E-6</v>
      </c>
      <c r="I3605">
        <v>215.6567</v>
      </c>
      <c r="J3605">
        <v>-441.19459999999998</v>
      </c>
      <c r="K3605">
        <v>1.1102650000000001</v>
      </c>
      <c r="L3605">
        <v>213.81819999999999</v>
      </c>
      <c r="M3605">
        <v>0.99997259999999999</v>
      </c>
      <c r="N3605">
        <v>0</v>
      </c>
      <c r="O3605">
        <v>-1.091741E-3</v>
      </c>
      <c r="P3605">
        <v>0.99819360000000001</v>
      </c>
      <c r="Q3605">
        <v>9.0874019999999996E-3</v>
      </c>
      <c r="R3605">
        <v>5.9390470000000001E-2</v>
      </c>
      <c r="S3605">
        <v>2.994049</v>
      </c>
      <c r="T3605">
        <v>-0.1287037</v>
      </c>
      <c r="U3605">
        <v>0.21327209999999999</v>
      </c>
      <c r="V3605">
        <v>-6.0526009999999998E-2</v>
      </c>
      <c r="W3605">
        <v>1.6247810000000001E-2</v>
      </c>
      <c r="X3605">
        <v>0.99803439999999999</v>
      </c>
      <c r="Y3605">
        <v>-7.2073709999999999E-2</v>
      </c>
      <c r="Z3605">
        <v>1.5932779999999901E-3</v>
      </c>
      <c r="AA3605">
        <v>0.99739800000000001</v>
      </c>
      <c r="AB3605">
        <v>24</v>
      </c>
      <c r="AC3605">
        <v>25.5793999999999</v>
      </c>
      <c r="AD3605">
        <v>-1.1102618891589999</v>
      </c>
      <c r="AE3605">
        <v>1.83850000000001</v>
      </c>
      <c r="AF3605">
        <v>-1.8629340890516699</v>
      </c>
      <c r="AG3605">
        <v>-1.1102618891589999</v>
      </c>
      <c r="AH3605">
        <v>25.529528278483902</v>
      </c>
      <c r="AI3605">
        <v>92.483590189496695</v>
      </c>
      <c r="AJ3605">
        <v>94.173575269337604</v>
      </c>
      <c r="AK3605">
        <v>25.621475738227499</v>
      </c>
      <c r="AL3605">
        <v>89.069028120766504</v>
      </c>
      <c r="AM3605">
        <v>93.470464381377695</v>
      </c>
      <c r="AN3605">
        <v>1.0000000263998301</v>
      </c>
    </row>
    <row r="3606" spans="1:40" x14ac:dyDescent="0.25">
      <c r="A3606" t="str">
        <f>"20190312160711256"</f>
        <v>20190312160711256</v>
      </c>
      <c r="B3606" t="str">
        <f>"1552378031248995"</f>
        <v>1552378031248995</v>
      </c>
      <c r="C3606" t="s">
        <v>40</v>
      </c>
      <c r="D3606">
        <v>6.1412269999999998</v>
      </c>
      <c r="E3606">
        <v>0.4953591</v>
      </c>
      <c r="F3606" t="s">
        <v>77</v>
      </c>
      <c r="G3606">
        <v>-413.39</v>
      </c>
      <c r="H3606" s="1">
        <v>2.7010399999999999E-6</v>
      </c>
      <c r="I3606">
        <v>215.82939999999999</v>
      </c>
      <c r="J3606">
        <v>-440.94659999999999</v>
      </c>
      <c r="K3606">
        <v>1.1102270000000001</v>
      </c>
      <c r="L3606">
        <v>213.81989999999999</v>
      </c>
      <c r="M3606">
        <v>0.9999728</v>
      </c>
      <c r="N3606">
        <v>0</v>
      </c>
      <c r="O3606">
        <v>6.4356449999999996E-4</v>
      </c>
      <c r="P3606">
        <v>0.99809930000000002</v>
      </c>
      <c r="Q3606">
        <v>9.3414689999999998E-3</v>
      </c>
      <c r="R3606">
        <v>6.0917300000000001E-2</v>
      </c>
      <c r="S3606">
        <v>2.993652</v>
      </c>
      <c r="T3606">
        <v>-0.11953950000000001</v>
      </c>
      <c r="U3606">
        <v>0.21653749999999999</v>
      </c>
      <c r="V3606">
        <v>-6.032013E-2</v>
      </c>
      <c r="W3606">
        <v>1.6521959999999999E-2</v>
      </c>
      <c r="X3606">
        <v>0.99804230000000005</v>
      </c>
      <c r="Y3606">
        <v>-7.1445679999999998E-2</v>
      </c>
      <c r="Z3606">
        <v>1.398367E-3</v>
      </c>
      <c r="AA3606">
        <v>0.99744350000000004</v>
      </c>
      <c r="AB3606">
        <v>25</v>
      </c>
      <c r="AC3606">
        <v>27.5566</v>
      </c>
      <c r="AD3606">
        <v>-1.11022429896</v>
      </c>
      <c r="AE3606">
        <v>2.0095000000000001</v>
      </c>
      <c r="AF3606">
        <v>-1.98855392233247</v>
      </c>
      <c r="AG3606">
        <v>-1.11022429896</v>
      </c>
      <c r="AH3606">
        <v>27.513464136254601</v>
      </c>
      <c r="AI3606">
        <v>92.304742347908004</v>
      </c>
      <c r="AJ3606">
        <v>94.133902389536502</v>
      </c>
      <c r="AK3606">
        <v>27.607565149302701</v>
      </c>
      <c r="AL3606">
        <v>89.053318314179506</v>
      </c>
      <c r="AM3606">
        <v>93.458660947092497</v>
      </c>
      <c r="AN3606">
        <v>0.99999996291737303</v>
      </c>
    </row>
    <row r="3607" spans="1:40" x14ac:dyDescent="0.25">
      <c r="A3607" t="str">
        <f>"20190312160711281"</f>
        <v>20190312160711281</v>
      </c>
      <c r="B3607" t="str">
        <f>"1552378031268515"</f>
        <v>1552378031268515</v>
      </c>
      <c r="C3607" t="s">
        <v>40</v>
      </c>
      <c r="D3607">
        <v>6.3329890000000004</v>
      </c>
      <c r="E3607">
        <v>0.49491370000000001</v>
      </c>
      <c r="F3607" t="s">
        <v>77</v>
      </c>
      <c r="G3607">
        <v>-412.96339999999998</v>
      </c>
      <c r="H3607" s="1">
        <v>2.6251699999999999E-6</v>
      </c>
      <c r="I3607">
        <v>215.83150000000001</v>
      </c>
      <c r="J3607">
        <v>-440.68130000000002</v>
      </c>
      <c r="K3607">
        <v>1.110179</v>
      </c>
      <c r="L3607">
        <v>213.82210000000001</v>
      </c>
      <c r="M3607">
        <v>0.99997000000000003</v>
      </c>
      <c r="N3607">
        <v>0</v>
      </c>
      <c r="O3607">
        <v>2.4213220000000001E-3</v>
      </c>
      <c r="P3607">
        <v>0.9980002</v>
      </c>
      <c r="Q3607">
        <v>8.6364189999999993E-3</v>
      </c>
      <c r="R3607">
        <v>6.2618899999999894E-2</v>
      </c>
      <c r="S3607">
        <v>2.9937130000000001</v>
      </c>
      <c r="T3607">
        <v>-0.1187748</v>
      </c>
      <c r="U3607">
        <v>0.21521000000000001</v>
      </c>
      <c r="V3607">
        <v>-6.0243709999999999E-2</v>
      </c>
      <c r="W3607">
        <v>1.583445E-2</v>
      </c>
      <c r="X3607">
        <v>0.99805809999999995</v>
      </c>
      <c r="Y3607">
        <v>-6.9234610000000002E-2</v>
      </c>
      <c r="Z3607">
        <v>1.275221E-3</v>
      </c>
      <c r="AA3607">
        <v>0.99759960000000003</v>
      </c>
      <c r="AB3607">
        <v>25</v>
      </c>
      <c r="AC3607">
        <v>27.7179</v>
      </c>
      <c r="AD3607">
        <v>-1.11017637483</v>
      </c>
      <c r="AE3607">
        <v>2.0093999999999901</v>
      </c>
      <c r="AF3607">
        <v>-1.93918372224629</v>
      </c>
      <c r="AG3607">
        <v>-1.11017637483</v>
      </c>
      <c r="AH3607">
        <v>27.678514051684498</v>
      </c>
      <c r="AI3607">
        <v>92.291273733521294</v>
      </c>
      <c r="AJ3607">
        <v>94.007649585816694</v>
      </c>
      <c r="AK3607">
        <v>27.768562533936699</v>
      </c>
      <c r="AL3607">
        <v>89.092714929932896</v>
      </c>
      <c r="AM3607">
        <v>93.4542352102455</v>
      </c>
      <c r="AN3607">
        <v>1.0000000026884801</v>
      </c>
    </row>
    <row r="3608" spans="1:40" x14ac:dyDescent="0.25">
      <c r="A3608" t="str">
        <f>"20190312160711848"</f>
        <v>20190312160711848</v>
      </c>
      <c r="B3608" t="str">
        <f>"1552378031839007"</f>
        <v>1552378031839007</v>
      </c>
      <c r="C3608" t="s">
        <v>40</v>
      </c>
      <c r="D3608">
        <v>6.098973</v>
      </c>
      <c r="E3608">
        <v>0.49978830000000002</v>
      </c>
      <c r="F3608" t="s">
        <v>77</v>
      </c>
      <c r="G3608">
        <v>-412.53370000000001</v>
      </c>
      <c r="H3608" s="1">
        <v>2.5405320000000001E-6</v>
      </c>
      <c r="I3608">
        <v>215.92779999999999</v>
      </c>
      <c r="J3608">
        <v>-434.12650000000002</v>
      </c>
      <c r="K3608">
        <v>1.1088629999999999</v>
      </c>
      <c r="L3608">
        <v>213.946</v>
      </c>
      <c r="M3608">
        <v>0.99975630000000004</v>
      </c>
      <c r="N3608">
        <v>0</v>
      </c>
      <c r="O3608">
        <v>2.0697960000000001E-2</v>
      </c>
      <c r="P3608">
        <v>0.99804950000000003</v>
      </c>
      <c r="Q3608">
        <v>1.3163630000000001E-2</v>
      </c>
      <c r="R3608">
        <v>6.1026230000000001E-2</v>
      </c>
      <c r="S3608">
        <v>2.9930110000000001</v>
      </c>
      <c r="T3608">
        <v>-0.11804820000000001</v>
      </c>
      <c r="U3608">
        <v>0.22390750000000001</v>
      </c>
      <c r="V3608">
        <v>-4.0341960000000003E-2</v>
      </c>
      <c r="W3608">
        <v>2.0866610000000001E-2</v>
      </c>
      <c r="X3608">
        <v>0.99896799999999997</v>
      </c>
      <c r="Y3608">
        <v>-5.3919099999999998E-2</v>
      </c>
      <c r="Z3608">
        <v>2.4670220000000002E-4</v>
      </c>
      <c r="AA3608">
        <v>0.99854529999999997</v>
      </c>
      <c r="AB3608">
        <v>27</v>
      </c>
      <c r="AC3608">
        <v>21.5928</v>
      </c>
      <c r="AD3608">
        <v>-1.1088604594679901</v>
      </c>
      <c r="AE3608">
        <v>1.98179999999999</v>
      </c>
      <c r="AF3608">
        <v>-1.5304330640366399</v>
      </c>
      <c r="AG3608">
        <v>-1.1088604594679901</v>
      </c>
      <c r="AH3608">
        <v>21.572778856965101</v>
      </c>
      <c r="AI3608">
        <v>92.935101843002201</v>
      </c>
      <c r="AJ3608">
        <v>94.057923737559094</v>
      </c>
      <c r="AK3608">
        <v>21.655405433599899</v>
      </c>
      <c r="AL3608">
        <v>88.804344508344499</v>
      </c>
      <c r="AM3608">
        <v>92.312555311016695</v>
      </c>
      <c r="AN3608">
        <v>0.99999997708676602</v>
      </c>
    </row>
    <row r="3609" spans="1:40" x14ac:dyDescent="0.25">
      <c r="A3609" t="str">
        <f>"20190312160711870"</f>
        <v>20190312160711870</v>
      </c>
      <c r="B3609" t="str">
        <f>"1552378031858527"</f>
        <v>1552378031858527</v>
      </c>
      <c r="C3609" t="s">
        <v>40</v>
      </c>
      <c r="D3609">
        <v>6.8005950000000004</v>
      </c>
      <c r="E3609">
        <v>0.46755439999999998</v>
      </c>
      <c r="F3609" t="s">
        <v>44</v>
      </c>
      <c r="G3609">
        <v>-433.39729999999997</v>
      </c>
      <c r="H3609">
        <v>0.8924339</v>
      </c>
      <c r="I3609">
        <v>213.9845</v>
      </c>
      <c r="J3609">
        <v>-433.86919999999998</v>
      </c>
      <c r="K3609">
        <v>1.108819</v>
      </c>
      <c r="L3609">
        <v>213.95099999999999</v>
      </c>
      <c r="M3609">
        <v>0.99976410000000004</v>
      </c>
      <c r="N3609">
        <v>0</v>
      </c>
      <c r="O3609">
        <v>2.0310519999999999E-2</v>
      </c>
      <c r="P3609">
        <v>0.99812679999999998</v>
      </c>
      <c r="Q3609">
        <v>1.276482E-2</v>
      </c>
      <c r="R3609">
        <v>5.9833799999999999E-2</v>
      </c>
      <c r="S3609">
        <v>3.0079039999999999</v>
      </c>
      <c r="T3609">
        <v>-0.89278040000000003</v>
      </c>
      <c r="U3609">
        <v>0.15986629999999999</v>
      </c>
      <c r="V3609">
        <v>-3.9532949999999997E-2</v>
      </c>
      <c r="W3609">
        <v>2.048999E-2</v>
      </c>
      <c r="X3609">
        <v>0.99900820000000001</v>
      </c>
      <c r="Y3609">
        <v>-3.2266379999999997E-2</v>
      </c>
      <c r="Z3609">
        <v>-1.211995E-3</v>
      </c>
      <c r="AA3609">
        <v>0.99947859999999999</v>
      </c>
      <c r="AB3609">
        <v>27</v>
      </c>
      <c r="AC3609">
        <v>0.47190000000000498</v>
      </c>
      <c r="AD3609">
        <v>-0.2163851</v>
      </c>
      <c r="AE3609">
        <v>3.3500000000003603E-2</v>
      </c>
      <c r="AF3609">
        <v>-1.9771895816779399E-2</v>
      </c>
      <c r="AG3609">
        <v>-0.2163851</v>
      </c>
      <c r="AH3609">
        <v>0.39073867399953899</v>
      </c>
      <c r="AI3609">
        <v>118.945975722226</v>
      </c>
      <c r="AJ3609">
        <v>92.896771830370199</v>
      </c>
      <c r="AK3609">
        <v>0.44709076340841297</v>
      </c>
      <c r="AL3609">
        <v>88.825927932778995</v>
      </c>
      <c r="AM3609">
        <v>92.266137515466099</v>
      </c>
      <c r="AN3609">
        <v>1.00000003874657</v>
      </c>
    </row>
    <row r="3610" spans="1:40" x14ac:dyDescent="0.25">
      <c r="A3610" t="str">
        <f>"20190312160711894"</f>
        <v>20190312160711894</v>
      </c>
      <c r="B3610" t="str">
        <f>"1552378031888783"</f>
        <v>1552378031888783</v>
      </c>
      <c r="C3610" t="s">
        <v>40</v>
      </c>
      <c r="D3610">
        <v>6.3941359999999996</v>
      </c>
      <c r="E3610">
        <v>0.47963430000000001</v>
      </c>
      <c r="F3610" t="s">
        <v>77</v>
      </c>
      <c r="G3610">
        <v>-427.23039999999997</v>
      </c>
      <c r="H3610" s="1">
        <v>2.6576939999999998E-6</v>
      </c>
      <c r="I3610">
        <v>214.8948</v>
      </c>
      <c r="J3610">
        <v>-433.5752</v>
      </c>
      <c r="K3610">
        <v>1.108778</v>
      </c>
      <c r="L3610">
        <v>213.9564</v>
      </c>
      <c r="M3610">
        <v>0.99977380000000005</v>
      </c>
      <c r="N3610">
        <v>0</v>
      </c>
      <c r="O3610">
        <v>1.9817189999999998E-2</v>
      </c>
      <c r="P3610">
        <v>0.99820869999999995</v>
      </c>
      <c r="Q3610">
        <v>1.238678E-2</v>
      </c>
      <c r="R3610">
        <v>5.8533200000000001E-2</v>
      </c>
      <c r="S3610">
        <v>2.9865719999999998</v>
      </c>
      <c r="T3610">
        <v>-0.49882480000000001</v>
      </c>
      <c r="U3610">
        <v>0.4245911</v>
      </c>
      <c r="V3610">
        <v>-3.8722439999999997E-2</v>
      </c>
      <c r="W3610">
        <v>2.0135770000000001E-2</v>
      </c>
      <c r="X3610">
        <v>0.99904709999999997</v>
      </c>
      <c r="Y3610">
        <v>-0.1197472</v>
      </c>
      <c r="Z3610">
        <v>6.612939E-3</v>
      </c>
      <c r="AA3610">
        <v>0.99278239999999995</v>
      </c>
      <c r="AB3610">
        <v>27</v>
      </c>
      <c r="AC3610">
        <v>6.3448000000000198</v>
      </c>
      <c r="AD3610">
        <v>-1.1087753423060001</v>
      </c>
      <c r="AE3610">
        <v>0.93840000000000101</v>
      </c>
      <c r="AF3610">
        <v>-0.78889956607974199</v>
      </c>
      <c r="AG3610">
        <v>-1.1087753423060001</v>
      </c>
      <c r="AH3610">
        <v>6.1775351414424602</v>
      </c>
      <c r="AI3610">
        <v>100.095115237765</v>
      </c>
      <c r="AJ3610">
        <v>97.277542543777599</v>
      </c>
      <c r="AK3610">
        <v>6.3256371780891003</v>
      </c>
      <c r="AL3610">
        <v>88.846227377879799</v>
      </c>
      <c r="AM3610">
        <v>92.219637468301201</v>
      </c>
      <c r="AN3610">
        <v>0.999999992305728</v>
      </c>
    </row>
    <row r="3611" spans="1:40" x14ac:dyDescent="0.25">
      <c r="A3611" t="str">
        <f>"20190312160711918"</f>
        <v>20190312160711918</v>
      </c>
      <c r="B3611" t="str">
        <f>"1552378031908303"</f>
        <v>1552378031908303</v>
      </c>
      <c r="C3611" t="s">
        <v>40</v>
      </c>
      <c r="D3611">
        <v>6.0536669999999999</v>
      </c>
      <c r="E3611">
        <v>0.4808597</v>
      </c>
      <c r="F3611" t="s">
        <v>77</v>
      </c>
      <c r="G3611">
        <v>-423.16230000000002</v>
      </c>
      <c r="H3611" s="1">
        <v>3.3609969999999998E-6</v>
      </c>
      <c r="I3611">
        <v>215.1044</v>
      </c>
      <c r="J3611">
        <v>-433.30189999999999</v>
      </c>
      <c r="K3611">
        <v>1.1087560000000001</v>
      </c>
      <c r="L3611">
        <v>213.96129999999999</v>
      </c>
      <c r="M3611">
        <v>0.99978339999999999</v>
      </c>
      <c r="N3611">
        <v>0</v>
      </c>
      <c r="O3611">
        <v>1.932006E-2</v>
      </c>
      <c r="P3611">
        <v>0.99826649999999995</v>
      </c>
      <c r="Q3611">
        <v>1.252093E-2</v>
      </c>
      <c r="R3611">
        <v>5.750926E-2</v>
      </c>
      <c r="S3611">
        <v>2.9900509999999998</v>
      </c>
      <c r="T3611">
        <v>-0.31838240000000001</v>
      </c>
      <c r="U3611">
        <v>0.32962039999999998</v>
      </c>
      <c r="V3611">
        <v>-3.8193539999999998E-2</v>
      </c>
      <c r="W3611">
        <v>2.0291190000000001E-2</v>
      </c>
      <c r="X3611">
        <v>0.99906430000000002</v>
      </c>
      <c r="Y3611">
        <v>-8.9956159999999993E-2</v>
      </c>
      <c r="Z3611">
        <v>2.716797E-3</v>
      </c>
      <c r="AA3611">
        <v>0.99594199999999999</v>
      </c>
      <c r="AB3611">
        <v>27</v>
      </c>
      <c r="AC3611">
        <v>10.1395999999999</v>
      </c>
      <c r="AD3611">
        <v>-1.10875263900299</v>
      </c>
      <c r="AE3611">
        <v>1.1431</v>
      </c>
      <c r="AF3611">
        <v>-0.93593244387744601</v>
      </c>
      <c r="AG3611">
        <v>-1.10875263900299</v>
      </c>
      <c r="AH3611">
        <v>10.041235002531</v>
      </c>
      <c r="AI3611">
        <v>96.274093819819001</v>
      </c>
      <c r="AJ3611">
        <v>95.325090721654206</v>
      </c>
      <c r="AK3611">
        <v>10.145526222431901</v>
      </c>
      <c r="AL3611">
        <v>88.837320630435698</v>
      </c>
      <c r="AM3611">
        <v>92.189312053445704</v>
      </c>
      <c r="AN3611">
        <v>0.99999997721191802</v>
      </c>
    </row>
    <row r="3612" spans="1:40" x14ac:dyDescent="0.25">
      <c r="A3612" t="str">
        <f>"20190312160711938"</f>
        <v>20190312160711938</v>
      </c>
      <c r="B3612" t="str">
        <f>"1552378031928800"</f>
        <v>1552378031928800</v>
      </c>
      <c r="C3612" t="s">
        <v>40</v>
      </c>
      <c r="D3612">
        <v>6.3507910000000001</v>
      </c>
      <c r="E3612">
        <v>0.48324610000000001</v>
      </c>
      <c r="F3612" t="s">
        <v>77</v>
      </c>
      <c r="G3612">
        <v>-421.88749999999999</v>
      </c>
      <c r="H3612" s="1">
        <v>3.581019E-6</v>
      </c>
      <c r="I3612">
        <v>215.17420000000001</v>
      </c>
      <c r="J3612">
        <v>-433.03399999999999</v>
      </c>
      <c r="K3612">
        <v>1.108741</v>
      </c>
      <c r="L3612">
        <v>213.9659</v>
      </c>
      <c r="M3612">
        <v>0.99979289999999998</v>
      </c>
      <c r="N3612">
        <v>0</v>
      </c>
      <c r="O3612">
        <v>1.8814580000000001E-2</v>
      </c>
      <c r="P3612">
        <v>0.99829630000000003</v>
      </c>
      <c r="Q3612">
        <v>1.3053449999999999E-2</v>
      </c>
      <c r="R3612">
        <v>5.6873559999999997E-2</v>
      </c>
      <c r="S3612">
        <v>2.9905400000000002</v>
      </c>
      <c r="T3612">
        <v>-0.29048930000000001</v>
      </c>
      <c r="U3612">
        <v>0.31777949999999999</v>
      </c>
      <c r="V3612">
        <v>-3.8061150000000002E-2</v>
      </c>
      <c r="W3612">
        <v>2.0843259999999999E-2</v>
      </c>
      <c r="X3612">
        <v>0.999058</v>
      </c>
      <c r="Y3612">
        <v>-8.6622749999999998E-2</v>
      </c>
      <c r="Z3612">
        <v>2.367797E-3</v>
      </c>
      <c r="AA3612">
        <v>0.99623839999999997</v>
      </c>
      <c r="AB3612">
        <v>27</v>
      </c>
      <c r="AC3612">
        <v>11.1465</v>
      </c>
      <c r="AD3612">
        <v>-1.108737418981</v>
      </c>
      <c r="AE3612">
        <v>1.2082999999999999</v>
      </c>
      <c r="AF3612">
        <v>-0.98869436446312398</v>
      </c>
      <c r="AG3612">
        <v>-1.108737418981</v>
      </c>
      <c r="AH3612">
        <v>11.0591110696817</v>
      </c>
      <c r="AI3612">
        <v>95.702498015749498</v>
      </c>
      <c r="AJ3612">
        <v>95.108712036491696</v>
      </c>
      <c r="AK3612">
        <v>11.1584386390806</v>
      </c>
      <c r="AL3612">
        <v>88.805682671276799</v>
      </c>
      <c r="AM3612">
        <v>92.181744347245896</v>
      </c>
      <c r="AN3612">
        <v>0.99999998999537498</v>
      </c>
    </row>
    <row r="3613" spans="1:40" x14ac:dyDescent="0.25">
      <c r="A3613" t="str">
        <f>"20190312160711961"</f>
        <v>20190312160711961</v>
      </c>
      <c r="B3613" t="str">
        <f>"1552378031948319"</f>
        <v>1552378031948319</v>
      </c>
      <c r="C3613" t="s">
        <v>40</v>
      </c>
      <c r="D3613">
        <v>6.4305199999999996</v>
      </c>
      <c r="E3613">
        <v>0.48552919999999999</v>
      </c>
      <c r="F3613" t="s">
        <v>77</v>
      </c>
      <c r="G3613">
        <v>-420.04520000000002</v>
      </c>
      <c r="H3613" s="1">
        <v>3.9004610000000002E-6</v>
      </c>
      <c r="I3613">
        <v>215.25829999999999</v>
      </c>
      <c r="J3613">
        <v>-432.76799999999997</v>
      </c>
      <c r="K3613">
        <v>1.1087370000000001</v>
      </c>
      <c r="L3613">
        <v>213.97040000000001</v>
      </c>
      <c r="M3613">
        <v>0.99980230000000003</v>
      </c>
      <c r="N3613">
        <v>0</v>
      </c>
      <c r="O3613">
        <v>1.8304709999999998E-2</v>
      </c>
      <c r="P3613">
        <v>0.99831979999999998</v>
      </c>
      <c r="Q3613">
        <v>1.307439E-2</v>
      </c>
      <c r="R3613">
        <v>5.6452080000000002E-2</v>
      </c>
      <c r="S3613">
        <v>2.9915159999999998</v>
      </c>
      <c r="T3613">
        <v>-0.25535930000000001</v>
      </c>
      <c r="U3613">
        <v>0.29763790000000001</v>
      </c>
      <c r="V3613">
        <v>-3.814828E-2</v>
      </c>
      <c r="W3613">
        <v>2.088282E-2</v>
      </c>
      <c r="X3613">
        <v>0.99905379999999999</v>
      </c>
      <c r="Y3613">
        <v>-8.0549239999999994E-2</v>
      </c>
      <c r="Z3613">
        <v>1.8677590000000001E-3</v>
      </c>
      <c r="AA3613">
        <v>0.99674890000000005</v>
      </c>
      <c r="AB3613">
        <v>27</v>
      </c>
      <c r="AC3613">
        <v>12.722799999999999</v>
      </c>
      <c r="AD3613">
        <v>-1.1087330995389999</v>
      </c>
      <c r="AE3613">
        <v>1.2878999999999701</v>
      </c>
      <c r="AF3613">
        <v>-1.0469200228756199</v>
      </c>
      <c r="AG3613">
        <v>-1.1087330995389999</v>
      </c>
      <c r="AH3613">
        <v>12.649156257050899</v>
      </c>
      <c r="AI3613">
        <v>94.992345457892995</v>
      </c>
      <c r="AJ3613">
        <v>94.731358353309005</v>
      </c>
      <c r="AK3613">
        <v>12.7407411336861</v>
      </c>
      <c r="AL3613">
        <v>88.803415496172505</v>
      </c>
      <c r="AM3613">
        <v>92.186743161179194</v>
      </c>
      <c r="AN3613">
        <v>0.99999993936627296</v>
      </c>
    </row>
    <row r="3614" spans="1:40" x14ac:dyDescent="0.25">
      <c r="A3614" t="str">
        <f>"20190312160711983"</f>
        <v>20190312160711983</v>
      </c>
      <c r="B3614" t="str">
        <f>"1552378031978576"</f>
        <v>1552378031978576</v>
      </c>
      <c r="C3614" t="s">
        <v>40</v>
      </c>
      <c r="D3614">
        <v>6.4748619999999999</v>
      </c>
      <c r="E3614">
        <v>0.48534519999999998</v>
      </c>
      <c r="F3614" t="s">
        <v>77</v>
      </c>
      <c r="G3614">
        <v>-419.75299999999999</v>
      </c>
      <c r="H3614" s="1">
        <v>3.8865659999999997E-6</v>
      </c>
      <c r="I3614">
        <v>215.17910000000001</v>
      </c>
      <c r="J3614">
        <v>-432.49439999999998</v>
      </c>
      <c r="K3614">
        <v>1.1087340000000001</v>
      </c>
      <c r="L3614">
        <v>213.97489999999999</v>
      </c>
      <c r="M3614">
        <v>0.99981149999999996</v>
      </c>
      <c r="N3614">
        <v>0</v>
      </c>
      <c r="O3614">
        <v>1.7779260000000002E-2</v>
      </c>
      <c r="P3614">
        <v>0.99836069999999999</v>
      </c>
      <c r="Q3614">
        <v>1.258387E-2</v>
      </c>
      <c r="R3614">
        <v>5.583904E-2</v>
      </c>
      <c r="S3614">
        <v>2.9927060000000001</v>
      </c>
      <c r="T3614">
        <v>-0.25494430000000001</v>
      </c>
      <c r="U3614">
        <v>0.27793879999999999</v>
      </c>
      <c r="V3614">
        <v>-3.8060049999999998E-2</v>
      </c>
      <c r="W3614">
        <v>2.0411809999999999E-2</v>
      </c>
      <c r="X3614">
        <v>0.99906689999999998</v>
      </c>
      <c r="Y3614">
        <v>-7.4552099999999996E-2</v>
      </c>
      <c r="Z3614">
        <v>1.654684E-3</v>
      </c>
      <c r="AA3614">
        <v>0.99721570000000004</v>
      </c>
      <c r="AB3614">
        <v>27</v>
      </c>
      <c r="AC3614">
        <v>12.741399999999899</v>
      </c>
      <c r="AD3614">
        <v>-1.108730113434</v>
      </c>
      <c r="AE3614">
        <v>1.2042000000000099</v>
      </c>
      <c r="AF3614">
        <v>-0.97018874617787698</v>
      </c>
      <c r="AG3614">
        <v>-1.108730113434</v>
      </c>
      <c r="AH3614">
        <v>12.665738970613599</v>
      </c>
      <c r="AI3614">
        <v>94.988251501551304</v>
      </c>
      <c r="AJ3614">
        <v>94.380271997922193</v>
      </c>
      <c r="AK3614">
        <v>12.7511369037967</v>
      </c>
      <c r="AL3614">
        <v>88.830408138201193</v>
      </c>
      <c r="AM3614">
        <v>92.181661937568805</v>
      </c>
      <c r="AN3614">
        <v>0.99999994003454196</v>
      </c>
    </row>
    <row r="3615" spans="1:40" x14ac:dyDescent="0.25">
      <c r="A3615" t="str">
        <f>"20190312160712005"</f>
        <v>20190312160712005</v>
      </c>
      <c r="B3615" t="str">
        <f>"1552378031999072"</f>
        <v>1552378031999072</v>
      </c>
      <c r="C3615" t="s">
        <v>40</v>
      </c>
      <c r="D3615">
        <v>7.1135469999999996</v>
      </c>
      <c r="E3615">
        <v>0.48548479999999999</v>
      </c>
      <c r="F3615" t="s">
        <v>77</v>
      </c>
      <c r="G3615">
        <v>-415.15839999999997</v>
      </c>
      <c r="H3615" s="1">
        <v>3.035484E-6</v>
      </c>
      <c r="I3615">
        <v>215.59180000000001</v>
      </c>
      <c r="J3615">
        <v>-432.21850000000001</v>
      </c>
      <c r="K3615">
        <v>1.1087290000000001</v>
      </c>
      <c r="L3615">
        <v>213.97919999999999</v>
      </c>
      <c r="M3615">
        <v>0.99982070000000001</v>
      </c>
      <c r="N3615">
        <v>0</v>
      </c>
      <c r="O3615">
        <v>1.7252449999999999E-2</v>
      </c>
      <c r="P3615">
        <v>0.99840870000000004</v>
      </c>
      <c r="Q3615">
        <v>1.2221070000000001E-2</v>
      </c>
      <c r="R3615">
        <v>5.5054699999999998E-2</v>
      </c>
      <c r="S3615">
        <v>2.99173</v>
      </c>
      <c r="T3615">
        <v>-0.19133720000000001</v>
      </c>
      <c r="U3615">
        <v>0.27903749999999999</v>
      </c>
      <c r="V3615">
        <v>-3.780211E-2</v>
      </c>
      <c r="W3615">
        <v>2.0068079999999999E-2</v>
      </c>
      <c r="X3615">
        <v>0.99908370000000002</v>
      </c>
      <c r="Y3615">
        <v>-7.5556269999999995E-2</v>
      </c>
      <c r="Z3615">
        <v>1.3087859999999999E-3</v>
      </c>
      <c r="AA3615">
        <v>0.99714069999999999</v>
      </c>
      <c r="AB3615">
        <v>27</v>
      </c>
      <c r="AC3615">
        <v>17.060099999999998</v>
      </c>
      <c r="AD3615">
        <v>-1.1087259645159999</v>
      </c>
      <c r="AE3615">
        <v>1.61260000000001</v>
      </c>
      <c r="AF3615">
        <v>-1.3125279547304201</v>
      </c>
      <c r="AG3615">
        <v>-1.1087259645159999</v>
      </c>
      <c r="AH3615">
        <v>17.0141578374276</v>
      </c>
      <c r="AI3615">
        <v>93.717388698257395</v>
      </c>
      <c r="AJ3615">
        <v>94.411247677175297</v>
      </c>
      <c r="AK3615">
        <v>17.100689161938401</v>
      </c>
      <c r="AL3615">
        <v>88.850106502910293</v>
      </c>
      <c r="AM3615">
        <v>92.1668541511157</v>
      </c>
      <c r="AN3615">
        <v>0.999999983480514</v>
      </c>
    </row>
    <row r="3616" spans="1:40" x14ac:dyDescent="0.25">
      <c r="A3616" t="str">
        <f>"20190312160712028"</f>
        <v>20190312160712028</v>
      </c>
      <c r="B3616" t="str">
        <f>"1552378032018591"</f>
        <v>1552378032018591</v>
      </c>
      <c r="C3616" t="s">
        <v>40</v>
      </c>
      <c r="D3616">
        <v>6.5465049999999998</v>
      </c>
      <c r="E3616">
        <v>0.48612880000000003</v>
      </c>
      <c r="F3616" t="s">
        <v>77</v>
      </c>
      <c r="G3616">
        <v>-411.6927</v>
      </c>
      <c r="H3616" s="1">
        <v>2.3958769999999998E-6</v>
      </c>
      <c r="I3616">
        <v>215.87610000000001</v>
      </c>
      <c r="J3616">
        <v>-431.9425</v>
      </c>
      <c r="K3616">
        <v>1.1087260000000001</v>
      </c>
      <c r="L3616">
        <v>213.98339999999999</v>
      </c>
      <c r="M3616">
        <v>0.99982930000000003</v>
      </c>
      <c r="N3616">
        <v>0</v>
      </c>
      <c r="O3616">
        <v>1.673088E-2</v>
      </c>
      <c r="P3616">
        <v>0.99846170000000001</v>
      </c>
      <c r="Q3616">
        <v>1.154234E-2</v>
      </c>
      <c r="R3616">
        <v>5.4230769999999998E-2</v>
      </c>
      <c r="S3616">
        <v>2.9915470000000002</v>
      </c>
      <c r="T3616">
        <v>-0.16159209999999999</v>
      </c>
      <c r="U3616">
        <v>0.2764587</v>
      </c>
      <c r="V3616">
        <v>-3.7499129999999999E-2</v>
      </c>
      <c r="W3616">
        <v>1.9408269999999998E-2</v>
      </c>
      <c r="X3616">
        <v>0.9991082</v>
      </c>
      <c r="Y3616">
        <v>-7.5263350000000007E-2</v>
      </c>
      <c r="Z3616">
        <v>1.125944E-3</v>
      </c>
      <c r="AA3616">
        <v>0.99716309999999997</v>
      </c>
      <c r="AB3616">
        <v>27</v>
      </c>
      <c r="AC3616">
        <v>20.2498</v>
      </c>
      <c r="AD3616">
        <v>-1.108723604123</v>
      </c>
      <c r="AE3616">
        <v>1.89270000000001</v>
      </c>
      <c r="AF3616">
        <v>-1.5490242028941501</v>
      </c>
      <c r="AG3616">
        <v>-1.108723604123</v>
      </c>
      <c r="AH3616">
        <v>20.218546377968298</v>
      </c>
      <c r="AI3616">
        <v>93.129629387796498</v>
      </c>
      <c r="AJ3616">
        <v>94.381101688063794</v>
      </c>
      <c r="AK3616">
        <v>20.308086114883999</v>
      </c>
      <c r="AL3616">
        <v>88.887918251151603</v>
      </c>
      <c r="AM3616">
        <v>92.149450735529499</v>
      </c>
      <c r="AN3616">
        <v>1.00000003050119</v>
      </c>
    </row>
    <row r="3617" spans="1:40" x14ac:dyDescent="0.25">
      <c r="A3617" t="str">
        <f>"20190312160712049"</f>
        <v>20190312160712049</v>
      </c>
      <c r="B3617" t="str">
        <f>"1552378032039088"</f>
        <v>1552378032039088</v>
      </c>
      <c r="C3617" t="s">
        <v>40</v>
      </c>
      <c r="D3617">
        <v>6.4420380000000002</v>
      </c>
      <c r="E3617">
        <v>0.48737959999999902</v>
      </c>
      <c r="F3617" t="s">
        <v>77</v>
      </c>
      <c r="G3617">
        <v>-411.81479999999999</v>
      </c>
      <c r="H3617" s="1">
        <v>2.4250819999999998E-6</v>
      </c>
      <c r="I3617">
        <v>215.78989999999999</v>
      </c>
      <c r="J3617">
        <v>-431.67849999999999</v>
      </c>
      <c r="K3617">
        <v>1.1087199999999999</v>
      </c>
      <c r="L3617">
        <v>213.9873</v>
      </c>
      <c r="M3617">
        <v>0.99983739999999999</v>
      </c>
      <c r="N3617">
        <v>0</v>
      </c>
      <c r="O3617">
        <v>1.6236380000000002E-2</v>
      </c>
      <c r="P3617">
        <v>0.9985098</v>
      </c>
      <c r="Q3617">
        <v>1.080296E-2</v>
      </c>
      <c r="R3617">
        <v>5.3493510000000001E-2</v>
      </c>
      <c r="S3617">
        <v>2.991943</v>
      </c>
      <c r="T3617">
        <v>-0.16480989999999901</v>
      </c>
      <c r="U3617">
        <v>0.26852419999999999</v>
      </c>
      <c r="V3617">
        <v>-3.7255719999999999E-2</v>
      </c>
      <c r="W3617">
        <v>1.8686939999999999E-2</v>
      </c>
      <c r="X3617">
        <v>0.99913099999999999</v>
      </c>
      <c r="Y3617">
        <v>-7.3120610000000003E-2</v>
      </c>
      <c r="Z3617">
        <v>1.1166119999999999E-3</v>
      </c>
      <c r="AA3617">
        <v>0.9973225</v>
      </c>
      <c r="AB3617">
        <v>27</v>
      </c>
      <c r="AC3617">
        <v>19.863699999999898</v>
      </c>
      <c r="AD3617">
        <v>-1.108717574918</v>
      </c>
      <c r="AE3617">
        <v>1.80259999999998</v>
      </c>
      <c r="AF3617">
        <v>-1.47527923573417</v>
      </c>
      <c r="AG3617">
        <v>-1.108717574918</v>
      </c>
      <c r="AH3617">
        <v>19.829078010818499</v>
      </c>
      <c r="AI3617">
        <v>93.191485590494096</v>
      </c>
      <c r="AJ3617">
        <v>94.254954649141993</v>
      </c>
      <c r="AK3617">
        <v>19.9147693494915</v>
      </c>
      <c r="AL3617">
        <v>88.929254852995996</v>
      </c>
      <c r="AM3617">
        <v>92.135462743537403</v>
      </c>
      <c r="AN3617">
        <v>0.99999997278013997</v>
      </c>
    </row>
    <row r="3618" spans="1:40" x14ac:dyDescent="0.25">
      <c r="A3618" t="str">
        <f>"20190312160712071"</f>
        <v>20190312160712071</v>
      </c>
      <c r="B3618" t="str">
        <f>"1552378032058608"</f>
        <v>1552378032058608</v>
      </c>
      <c r="C3618" t="s">
        <v>40</v>
      </c>
      <c r="D3618">
        <v>6.3190770000000001</v>
      </c>
      <c r="E3618">
        <v>0.48802190000000001</v>
      </c>
      <c r="F3618" t="s">
        <v>77</v>
      </c>
      <c r="G3618">
        <v>-412.11559999999997</v>
      </c>
      <c r="H3618" s="1">
        <v>2.489413E-6</v>
      </c>
      <c r="I3618">
        <v>215.66419999999999</v>
      </c>
      <c r="J3618">
        <v>-431.41460000000001</v>
      </c>
      <c r="K3618">
        <v>1.1087209999999901</v>
      </c>
      <c r="L3618">
        <v>213.99109999999999</v>
      </c>
      <c r="M3618">
        <v>0.99984499999999998</v>
      </c>
      <c r="N3618">
        <v>0</v>
      </c>
      <c r="O3618">
        <v>1.5745329999999998E-2</v>
      </c>
      <c r="P3618">
        <v>0.99855669999999996</v>
      </c>
      <c r="Q3618">
        <v>1.0189790000000001E-2</v>
      </c>
      <c r="R3618">
        <v>5.2733910000000002E-2</v>
      </c>
      <c r="S3618">
        <v>2.9925839999999999</v>
      </c>
      <c r="T3618">
        <v>-0.1696029</v>
      </c>
      <c r="U3618">
        <v>0.25651550000000001</v>
      </c>
      <c r="V3618">
        <v>-3.6986940000000003E-2</v>
      </c>
      <c r="W3618">
        <v>1.8091469999999998E-2</v>
      </c>
      <c r="X3618">
        <v>0.99915189999999998</v>
      </c>
      <c r="Y3618">
        <v>-6.9619219999999996E-2</v>
      </c>
      <c r="Z3618">
        <v>1.0777689999999999E-3</v>
      </c>
      <c r="AA3618">
        <v>0.99757309999999999</v>
      </c>
      <c r="AB3618">
        <v>27</v>
      </c>
      <c r="AC3618">
        <v>19.298999999999999</v>
      </c>
      <c r="AD3618">
        <v>-1.1087185105870001</v>
      </c>
      <c r="AE3618">
        <v>1.6731</v>
      </c>
      <c r="AF3618">
        <v>-1.3645440155138699</v>
      </c>
      <c r="AG3618">
        <v>-1.1087185105870001</v>
      </c>
      <c r="AH3618">
        <v>19.259859779358099</v>
      </c>
      <c r="AI3618">
        <v>93.286448935194798</v>
      </c>
      <c r="AJ3618">
        <v>94.052583531119495</v>
      </c>
      <c r="AK3618">
        <v>19.339944049208899</v>
      </c>
      <c r="AL3618">
        <v>88.963378495115407</v>
      </c>
      <c r="AM3618">
        <v>92.120026330316094</v>
      </c>
      <c r="AN3618">
        <v>0.99999992714546404</v>
      </c>
    </row>
    <row r="3619" spans="1:40" x14ac:dyDescent="0.25">
      <c r="A3619" t="str">
        <f>"20190312160712118"</f>
        <v>20190312160712118</v>
      </c>
      <c r="B3619" t="str">
        <f>"1552378032108384"</f>
        <v>1552378032108384</v>
      </c>
      <c r="C3619" t="s">
        <v>40</v>
      </c>
      <c r="D3619">
        <v>6.6207339999999997</v>
      </c>
      <c r="E3619">
        <v>0.49009799999999998</v>
      </c>
      <c r="F3619" t="s">
        <v>77</v>
      </c>
      <c r="G3619">
        <v>-411.78250000000003</v>
      </c>
      <c r="H3619" s="1">
        <v>2.4337609999999999E-6</v>
      </c>
      <c r="I3619">
        <v>215.6249</v>
      </c>
      <c r="J3619">
        <v>-430.82499999999999</v>
      </c>
      <c r="K3619">
        <v>1.1087199999999999</v>
      </c>
      <c r="L3619">
        <v>213.999</v>
      </c>
      <c r="M3619">
        <v>0.99986140000000001</v>
      </c>
      <c r="N3619">
        <v>0</v>
      </c>
      <c r="O3619">
        <v>1.465281E-2</v>
      </c>
      <c r="P3619">
        <v>0.99852719999999995</v>
      </c>
      <c r="Q3619">
        <v>1.081788E-2</v>
      </c>
      <c r="R3619">
        <v>5.3164669999999997E-2</v>
      </c>
      <c r="S3619">
        <v>2.9929199999999998</v>
      </c>
      <c r="T3619">
        <v>-0.1690247</v>
      </c>
      <c r="U3619">
        <v>0.24906919999999999</v>
      </c>
      <c r="V3619">
        <v>-3.8509099999999997E-2</v>
      </c>
      <c r="W3619">
        <v>1.876131E-2</v>
      </c>
      <c r="X3619">
        <v>0.99908209999999997</v>
      </c>
      <c r="Y3619">
        <v>-6.8236329999999998E-2</v>
      </c>
      <c r="Z3619">
        <v>1.096659E-3</v>
      </c>
      <c r="AA3619">
        <v>0.99766860000000002</v>
      </c>
      <c r="AB3619">
        <v>28</v>
      </c>
      <c r="AC3619">
        <v>19.042499999999901</v>
      </c>
      <c r="AD3619">
        <v>-1.1087175662389901</v>
      </c>
      <c r="AE3619">
        <v>1.6258999999999699</v>
      </c>
      <c r="AF3619">
        <v>-1.3421736060004299</v>
      </c>
      <c r="AG3619">
        <v>-1.1087175662389901</v>
      </c>
      <c r="AH3619">
        <v>19.000336134044701</v>
      </c>
      <c r="AI3619">
        <v>93.331284009285795</v>
      </c>
      <c r="AJ3619">
        <v>94.040631383492396</v>
      </c>
      <c r="AK3619">
        <v>19.079922899137099</v>
      </c>
      <c r="AL3619">
        <v>88.9249930371613</v>
      </c>
      <c r="AM3619">
        <v>92.207343325993307</v>
      </c>
      <c r="AN3619">
        <v>0.99999999003806805</v>
      </c>
    </row>
    <row r="3620" spans="1:40" x14ac:dyDescent="0.25">
      <c r="A3620" t="str">
        <f>"20190312160712139"</f>
        <v>20190312160712139</v>
      </c>
      <c r="B3620" t="str">
        <f>"1552378032128880"</f>
        <v>1552378032128880</v>
      </c>
      <c r="C3620" t="s">
        <v>40</v>
      </c>
      <c r="D3620">
        <v>6.4483059999999996</v>
      </c>
      <c r="E3620">
        <v>0.49158239999999997</v>
      </c>
      <c r="F3620" t="s">
        <v>77</v>
      </c>
      <c r="G3620">
        <v>-410.83210000000003</v>
      </c>
      <c r="H3620" s="1">
        <v>2.2711210000000001E-6</v>
      </c>
      <c r="I3620">
        <v>215.55690000000001</v>
      </c>
      <c r="J3620">
        <v>-430.5598</v>
      </c>
      <c r="K3620">
        <v>1.108719</v>
      </c>
      <c r="L3620">
        <v>214.00239999999999</v>
      </c>
      <c r="M3620">
        <v>0.99986830000000004</v>
      </c>
      <c r="N3620">
        <v>0</v>
      </c>
      <c r="O3620">
        <v>1.4161699999999999E-2</v>
      </c>
      <c r="P3620">
        <v>0.99851000000000001</v>
      </c>
      <c r="Q3620">
        <v>1.100984E-2</v>
      </c>
      <c r="R3620">
        <v>5.3448889999999999E-2</v>
      </c>
      <c r="S3620">
        <v>2.993805</v>
      </c>
      <c r="T3620">
        <v>-0.1660229</v>
      </c>
      <c r="U3620">
        <v>0.23327639999999999</v>
      </c>
      <c r="V3620">
        <v>-3.9284029999999998E-2</v>
      </c>
      <c r="W3620">
        <v>1.8972039999999999E-2</v>
      </c>
      <c r="X3620">
        <v>0.99904789999999999</v>
      </c>
      <c r="Y3620">
        <v>-6.3481789999999996E-2</v>
      </c>
      <c r="Z3620">
        <v>9.7274609999999995E-4</v>
      </c>
      <c r="AA3620">
        <v>0.99798249999999999</v>
      </c>
      <c r="AB3620">
        <v>28</v>
      </c>
      <c r="AC3620">
        <v>19.727699999999899</v>
      </c>
      <c r="AD3620">
        <v>-1.1087167288789901</v>
      </c>
      <c r="AE3620">
        <v>1.55450000000001</v>
      </c>
      <c r="AF3620">
        <v>-1.2709679074778599</v>
      </c>
      <c r="AG3620">
        <v>-1.1087167288789901</v>
      </c>
      <c r="AH3620">
        <v>19.685941186370499</v>
      </c>
      <c r="AI3620">
        <v>93.216822826141097</v>
      </c>
      <c r="AJ3620">
        <v>93.694015391362299</v>
      </c>
      <c r="AK3620">
        <v>19.758058927940599</v>
      </c>
      <c r="AL3620">
        <v>88.912916893454195</v>
      </c>
      <c r="AM3620">
        <v>92.251794079009699</v>
      </c>
      <c r="AN3620">
        <v>0.99999993990460401</v>
      </c>
    </row>
    <row r="3621" spans="1:40" x14ac:dyDescent="0.25">
      <c r="A3621" t="str">
        <f>"20190312160712162"</f>
        <v>20190312160712162</v>
      </c>
      <c r="B3621" t="str">
        <f>"1552378032159135"</f>
        <v>1552378032159135</v>
      </c>
      <c r="C3621" t="s">
        <v>40</v>
      </c>
      <c r="D3621">
        <v>6.3704580000000002</v>
      </c>
      <c r="E3621">
        <v>0.49347150000000001</v>
      </c>
      <c r="F3621" t="s">
        <v>77</v>
      </c>
      <c r="G3621">
        <v>-409.62990000000002</v>
      </c>
      <c r="H3621" s="1">
        <v>3.9368659999999999E-6</v>
      </c>
      <c r="I3621">
        <v>215.55959999999999</v>
      </c>
      <c r="J3621">
        <v>-430.29020000000003</v>
      </c>
      <c r="K3621">
        <v>1.1087209999999901</v>
      </c>
      <c r="L3621">
        <v>214.00569999999999</v>
      </c>
      <c r="M3621">
        <v>0.99987510000000002</v>
      </c>
      <c r="N3621">
        <v>0</v>
      </c>
      <c r="O3621">
        <v>1.36629E-2</v>
      </c>
      <c r="P3621">
        <v>0.9984982</v>
      </c>
      <c r="Q3621">
        <v>1.103149E-2</v>
      </c>
      <c r="R3621">
        <v>5.3664690000000001E-2</v>
      </c>
      <c r="S3621">
        <v>2.9942929999999999</v>
      </c>
      <c r="T3621">
        <v>-0.15861639999999999</v>
      </c>
      <c r="U3621">
        <v>0.22277830000000001</v>
      </c>
      <c r="V3621">
        <v>-3.9998569999999997E-2</v>
      </c>
      <c r="W3621">
        <v>1.9013039999999998E-2</v>
      </c>
      <c r="X3621">
        <v>0.99901879999999998</v>
      </c>
      <c r="Y3621">
        <v>-6.0498009999999998E-2</v>
      </c>
      <c r="Z3621">
        <v>8.7687520000000001E-4</v>
      </c>
      <c r="AA3621">
        <v>0.9981679</v>
      </c>
      <c r="AB3621">
        <v>28</v>
      </c>
      <c r="AC3621">
        <v>20.660299999999999</v>
      </c>
      <c r="AD3621">
        <v>-1.10871706313399</v>
      </c>
      <c r="AE3621">
        <v>1.5538999999999901</v>
      </c>
      <c r="AF3621">
        <v>-1.26783580127184</v>
      </c>
      <c r="AG3621">
        <v>-1.10871706313399</v>
      </c>
      <c r="AH3621">
        <v>20.620553020457098</v>
      </c>
      <c r="AI3621">
        <v>93.071901672450593</v>
      </c>
      <c r="AJ3621">
        <v>93.518349482012496</v>
      </c>
      <c r="AK3621">
        <v>20.689221058670899</v>
      </c>
      <c r="AL3621">
        <v>88.910567377548404</v>
      </c>
      <c r="AM3621">
        <v>92.292775514556894</v>
      </c>
      <c r="AN3621">
        <v>0.99999997202276203</v>
      </c>
    </row>
    <row r="3622" spans="1:40" x14ac:dyDescent="0.25">
      <c r="A3622" t="str">
        <f>"20190312160712196"</f>
        <v>20190312160712196</v>
      </c>
      <c r="B3622" t="str">
        <f>"1552378032188417"</f>
        <v>1552378032188417</v>
      </c>
      <c r="C3622" t="s">
        <v>40</v>
      </c>
      <c r="D3622">
        <v>6.5136699999999896</v>
      </c>
      <c r="E3622">
        <v>0.49481320000000001</v>
      </c>
      <c r="F3622" t="s">
        <v>77</v>
      </c>
      <c r="G3622">
        <v>-408.70859999999999</v>
      </c>
      <c r="H3622" s="1">
        <v>4.3555829999999996E-6</v>
      </c>
      <c r="I3622">
        <v>215.5104</v>
      </c>
      <c r="J3622">
        <v>-429.86430000000001</v>
      </c>
      <c r="K3622">
        <v>1.1087180000000001</v>
      </c>
      <c r="L3622">
        <v>214.01070000000001</v>
      </c>
      <c r="M3622">
        <v>0.99988529999999998</v>
      </c>
      <c r="N3622">
        <v>0</v>
      </c>
      <c r="O3622">
        <v>1.287496E-2</v>
      </c>
      <c r="P3622">
        <v>0.99850930000000004</v>
      </c>
      <c r="Q3622">
        <v>1.139561E-2</v>
      </c>
      <c r="R3622">
        <v>5.3378410000000001E-2</v>
      </c>
      <c r="S3622">
        <v>2.9949949999999999</v>
      </c>
      <c r="T3622">
        <v>-0.15386320000000001</v>
      </c>
      <c r="U3622">
        <v>0.20881649999999999</v>
      </c>
      <c r="V3622">
        <v>-4.0498449999999998E-2</v>
      </c>
      <c r="W3622">
        <v>1.9406360000000001E-2</v>
      </c>
      <c r="X3622">
        <v>0.99899110000000002</v>
      </c>
      <c r="Y3622">
        <v>-5.6645599999999997E-2</v>
      </c>
      <c r="Z3622">
        <v>7.9219259999999895E-4</v>
      </c>
      <c r="AA3622">
        <v>0.998394</v>
      </c>
      <c r="AB3622">
        <v>28</v>
      </c>
      <c r="AC3622">
        <v>21.1557</v>
      </c>
      <c r="AD3622">
        <v>-1.108713644417</v>
      </c>
      <c r="AE3622">
        <v>1.49969999999998</v>
      </c>
      <c r="AF3622">
        <v>-1.2238437181891499</v>
      </c>
      <c r="AG3622">
        <v>-1.108713644417</v>
      </c>
      <c r="AH3622">
        <v>21.115551105238598</v>
      </c>
      <c r="AI3622">
        <v>93.000641155280306</v>
      </c>
      <c r="AJ3622">
        <v>93.317115353943905</v>
      </c>
      <c r="AK3622">
        <v>21.180026861876499</v>
      </c>
      <c r="AL3622">
        <v>88.888027644500198</v>
      </c>
      <c r="AM3622">
        <v>92.321462497408803</v>
      </c>
      <c r="AN3622">
        <v>0.99999997457002998</v>
      </c>
    </row>
    <row r="3623" spans="1:40" x14ac:dyDescent="0.25">
      <c r="A3623" t="str">
        <f>"20190312160712217"</f>
        <v>20190312160712217</v>
      </c>
      <c r="B3623" t="str">
        <f>"1552378032208912"</f>
        <v>1552378032208912</v>
      </c>
      <c r="C3623" t="s">
        <v>40</v>
      </c>
      <c r="D3623">
        <v>6.389138</v>
      </c>
      <c r="E3623">
        <v>0.49524449999999998</v>
      </c>
      <c r="F3623" t="s">
        <v>77</v>
      </c>
      <c r="G3623">
        <v>-408.1028</v>
      </c>
      <c r="H3623" s="1">
        <v>4.6387350000000001E-6</v>
      </c>
      <c r="I3623">
        <v>215.4402</v>
      </c>
      <c r="J3623">
        <v>-429.5838</v>
      </c>
      <c r="K3623">
        <v>1.108722</v>
      </c>
      <c r="L3623">
        <v>214.0137</v>
      </c>
      <c r="M3623">
        <v>0.9998918</v>
      </c>
      <c r="N3623">
        <v>0</v>
      </c>
      <c r="O3623">
        <v>1.235607E-2</v>
      </c>
      <c r="P3623">
        <v>0.99852280000000004</v>
      </c>
      <c r="Q3623">
        <v>1.1072490000000001E-2</v>
      </c>
      <c r="R3623">
        <v>5.3197660000000001E-2</v>
      </c>
      <c r="S3623">
        <v>2.9956969999999998</v>
      </c>
      <c r="T3623">
        <v>-0.15262619999999999</v>
      </c>
      <c r="U3623">
        <v>0.19679260000000001</v>
      </c>
      <c r="V3623">
        <v>-4.0836890000000001E-2</v>
      </c>
      <c r="W3623">
        <v>1.9102190000000002E-2</v>
      </c>
      <c r="X3623">
        <v>0.99898319999999996</v>
      </c>
      <c r="Y3623">
        <v>-5.3162899999999999E-2</v>
      </c>
      <c r="Z3623">
        <v>7.2356899999999997E-4</v>
      </c>
      <c r="AA3623">
        <v>0.99858559999999996</v>
      </c>
      <c r="AB3623">
        <v>28</v>
      </c>
      <c r="AC3623">
        <v>21.480999999999899</v>
      </c>
      <c r="AD3623">
        <v>-1.1087173612649901</v>
      </c>
      <c r="AE3623">
        <v>1.4265000000000001</v>
      </c>
      <c r="AF3623">
        <v>-1.1578908323024599</v>
      </c>
      <c r="AG3623">
        <v>-1.1087173612649901</v>
      </c>
      <c r="AH3623">
        <v>21.440121040986099</v>
      </c>
      <c r="AI3623">
        <v>92.955958136455294</v>
      </c>
      <c r="AJ3623">
        <v>93.0913012018936</v>
      </c>
      <c r="AK3623">
        <v>21.499971060883698</v>
      </c>
      <c r="AL3623">
        <v>88.905458550031</v>
      </c>
      <c r="AM3623">
        <v>92.340859640906999</v>
      </c>
      <c r="AN3623">
        <v>0.99999998956495395</v>
      </c>
    </row>
    <row r="3624" spans="1:40" x14ac:dyDescent="0.25">
      <c r="A3624" t="str">
        <f>"20190312160712509"</f>
        <v>20190312160712509</v>
      </c>
      <c r="B3624" t="str">
        <f>"1552378032498298"</f>
        <v>1552378032498298</v>
      </c>
      <c r="C3624" t="s">
        <v>40</v>
      </c>
      <c r="D3624">
        <v>4.852614</v>
      </c>
      <c r="E3624">
        <v>0.49541600000000002</v>
      </c>
      <c r="F3624" t="s">
        <v>77</v>
      </c>
      <c r="G3624">
        <v>-406.77190000000002</v>
      </c>
      <c r="H3624" s="1">
        <v>5.2202849999999996E-6</v>
      </c>
      <c r="I3624">
        <v>215.4821</v>
      </c>
      <c r="J3624">
        <v>-425.87</v>
      </c>
      <c r="K3624">
        <v>1.108681</v>
      </c>
      <c r="L3624">
        <v>214.04060000000001</v>
      </c>
      <c r="M3624">
        <v>0.99995100000000003</v>
      </c>
      <c r="N3624">
        <v>0</v>
      </c>
      <c r="O3624">
        <v>5.5057880000000002E-3</v>
      </c>
      <c r="P3624">
        <v>0.99890730000000005</v>
      </c>
      <c r="Q3624">
        <v>9.0025909999999904E-3</v>
      </c>
      <c r="R3624">
        <v>4.5865950000000003E-2</v>
      </c>
      <c r="S3624">
        <v>2.995819</v>
      </c>
      <c r="T3624">
        <v>-0.14560439999999999</v>
      </c>
      <c r="U3624">
        <v>0.1928406</v>
      </c>
      <c r="V3624">
        <v>-4.0347590000000003E-2</v>
      </c>
      <c r="W3624">
        <v>1.7281930000000001E-2</v>
      </c>
      <c r="X3624">
        <v>0.99903629999999999</v>
      </c>
      <c r="Y3624">
        <v>-5.8678899999999999E-2</v>
      </c>
      <c r="Z3624">
        <v>1.156502E-3</v>
      </c>
      <c r="AA3624">
        <v>0.99827619999999895</v>
      </c>
      <c r="AB3624">
        <v>29</v>
      </c>
      <c r="AC3624">
        <v>19.098099999999899</v>
      </c>
      <c r="AD3624">
        <v>-1.108675779715</v>
      </c>
      <c r="AE3624">
        <v>1.44149999999999</v>
      </c>
      <c r="AF3624">
        <v>-1.3318615647651999</v>
      </c>
      <c r="AG3624">
        <v>-1.108675779715</v>
      </c>
      <c r="AH3624">
        <v>19.0419397144281</v>
      </c>
      <c r="AI3624">
        <v>93.324058456795299</v>
      </c>
      <c r="AJ3624">
        <v>94.000956455061598</v>
      </c>
      <c r="AK3624">
        <v>19.120629835341202</v>
      </c>
      <c r="AL3624">
        <v>89.009769114080896</v>
      </c>
      <c r="AM3624">
        <v>92.312719743442898</v>
      </c>
      <c r="AN3624">
        <v>1.0000000609205</v>
      </c>
    </row>
    <row r="3625" spans="1:40" x14ac:dyDescent="0.25">
      <c r="A3625" t="str">
        <f>"20190312160712531"</f>
        <v>20190312160712531</v>
      </c>
      <c r="B3625" t="str">
        <f>"1552378032518794"</f>
        <v>1552378032518794</v>
      </c>
      <c r="C3625" t="s">
        <v>40</v>
      </c>
      <c r="D3625">
        <v>6.5308970000000004</v>
      </c>
      <c r="E3625">
        <v>0.49278729999999998</v>
      </c>
      <c r="F3625" t="s">
        <v>77</v>
      </c>
      <c r="G3625">
        <v>-404.43020000000001</v>
      </c>
      <c r="H3625" s="1">
        <v>6.3065689999999899E-6</v>
      </c>
      <c r="I3625">
        <v>215.25069999999999</v>
      </c>
      <c r="J3625">
        <v>-425.58269999999999</v>
      </c>
      <c r="K3625">
        <v>1.1086849999999999</v>
      </c>
      <c r="L3625">
        <v>214.04169999999999</v>
      </c>
      <c r="M3625">
        <v>0.9999536</v>
      </c>
      <c r="N3625">
        <v>0</v>
      </c>
      <c r="O3625">
        <v>4.9770550000000002E-3</v>
      </c>
      <c r="P3625">
        <v>0.99895540000000005</v>
      </c>
      <c r="Q3625">
        <v>9.4040259999999994E-3</v>
      </c>
      <c r="R3625">
        <v>4.4715820000000003E-2</v>
      </c>
      <c r="S3625">
        <v>2.9968870000000001</v>
      </c>
      <c r="T3625">
        <v>-0.15497179999999999</v>
      </c>
      <c r="U3625">
        <v>0.16914370000000001</v>
      </c>
      <c r="V3625">
        <v>-3.9724660000000002E-2</v>
      </c>
      <c r="W3625">
        <v>1.7701479999999999E-2</v>
      </c>
      <c r="X3625">
        <v>0.99905379999999999</v>
      </c>
      <c r="Y3625">
        <v>-5.1318379999999997E-2</v>
      </c>
      <c r="Z3625">
        <v>1.067931E-3</v>
      </c>
      <c r="AA3625">
        <v>0.99868179999999995</v>
      </c>
      <c r="AB3625">
        <v>29</v>
      </c>
      <c r="AC3625">
        <v>21.1524999999999</v>
      </c>
      <c r="AD3625">
        <v>-1.108678693431</v>
      </c>
      <c r="AE3625">
        <v>1.2090000000000001</v>
      </c>
      <c r="AF3625">
        <v>-1.10069033341589</v>
      </c>
      <c r="AG3625">
        <v>-1.108678693431</v>
      </c>
      <c r="AH3625">
        <v>21.100477285722</v>
      </c>
      <c r="AI3625">
        <v>93.0036399786554</v>
      </c>
      <c r="AJ3625">
        <v>92.986084194832401</v>
      </c>
      <c r="AK3625">
        <v>21.158233133714401</v>
      </c>
      <c r="AL3625">
        <v>88.985726873369003</v>
      </c>
      <c r="AM3625">
        <v>92.277011494587597</v>
      </c>
      <c r="AN3625">
        <v>0.999999943150371</v>
      </c>
    </row>
    <row r="3626" spans="1:40" x14ac:dyDescent="0.25">
      <c r="A3626" t="str">
        <f>"20190312160712551"</f>
        <v>20190312160712551</v>
      </c>
      <c r="B3626" t="str">
        <f>"1552378032549050"</f>
        <v>1552378032549050</v>
      </c>
      <c r="C3626" t="s">
        <v>40</v>
      </c>
      <c r="D3626">
        <v>6.0960140000000003</v>
      </c>
      <c r="E3626">
        <v>0.50163690000000005</v>
      </c>
      <c r="F3626" t="s">
        <v>44</v>
      </c>
      <c r="G3626">
        <v>-424.87819999999999</v>
      </c>
      <c r="H3626">
        <v>0.88548519999999897</v>
      </c>
      <c r="I3626">
        <v>214.07980000000001</v>
      </c>
      <c r="J3626">
        <v>-425.3014</v>
      </c>
      <c r="K3626">
        <v>1.108679</v>
      </c>
      <c r="L3626">
        <v>214.04249999999999</v>
      </c>
      <c r="M3626">
        <v>0.99995579999999995</v>
      </c>
      <c r="N3626">
        <v>0</v>
      </c>
      <c r="O3626">
        <v>4.4599459999999898E-3</v>
      </c>
      <c r="P3626">
        <v>0.99902650000000004</v>
      </c>
      <c r="Q3626">
        <v>9.3532500000000005E-3</v>
      </c>
      <c r="R3626">
        <v>4.3112289999999998E-2</v>
      </c>
      <c r="S3626">
        <v>3.0047000000000001</v>
      </c>
      <c r="T3626">
        <v>-0.95179100000000005</v>
      </c>
      <c r="U3626">
        <v>0.1648712</v>
      </c>
      <c r="V3626">
        <v>-3.8637539999999998E-2</v>
      </c>
      <c r="W3626">
        <v>1.766858E-2</v>
      </c>
      <c r="X3626">
        <v>0.99909700000000001</v>
      </c>
      <c r="Y3626">
        <v>-4.8199180000000001E-2</v>
      </c>
      <c r="Z3626">
        <v>6.0682599999999998E-3</v>
      </c>
      <c r="AA3626">
        <v>0.99881929999999997</v>
      </c>
      <c r="AB3626">
        <v>29</v>
      </c>
      <c r="AC3626">
        <v>0.42320000000000801</v>
      </c>
      <c r="AD3626">
        <v>-0.2231938</v>
      </c>
      <c r="AE3626">
        <v>3.7300000000016098E-2</v>
      </c>
      <c r="AF3626">
        <v>-2.77523977487204E-2</v>
      </c>
      <c r="AG3626">
        <v>-0.2231938</v>
      </c>
      <c r="AH3626">
        <v>0.331787999073266</v>
      </c>
      <c r="AI3626">
        <v>123.836281232915</v>
      </c>
      <c r="AJ3626">
        <v>94.781373646595398</v>
      </c>
      <c r="AK3626">
        <v>0.40083530816070201</v>
      </c>
      <c r="AL3626">
        <v>88.987612182931102</v>
      </c>
      <c r="AM3626">
        <v>92.214665197628406</v>
      </c>
      <c r="AN3626">
        <v>0.99999992681273098</v>
      </c>
    </row>
    <row r="3627" spans="1:40" x14ac:dyDescent="0.25">
      <c r="A3627" t="str">
        <f>"20190312160712575"</f>
        <v>20190312160712575</v>
      </c>
      <c r="B3627" t="str">
        <f>"1552378032568571"</f>
        <v>1552378032568571</v>
      </c>
      <c r="C3627" t="s">
        <v>40</v>
      </c>
      <c r="D3627">
        <v>7.640466</v>
      </c>
      <c r="E3627">
        <v>0.50172550000000005</v>
      </c>
      <c r="F3627" t="s">
        <v>77</v>
      </c>
      <c r="G3627">
        <v>-413.92160000000001</v>
      </c>
      <c r="H3627" s="1">
        <v>2.9158020000000002E-6</v>
      </c>
      <c r="I3627">
        <v>214.45140000000001</v>
      </c>
      <c r="J3627">
        <v>-425.00540000000001</v>
      </c>
      <c r="K3627">
        <v>1.108679</v>
      </c>
      <c r="L3627">
        <v>214.04329999999999</v>
      </c>
      <c r="M3627">
        <v>0.99995800000000001</v>
      </c>
      <c r="N3627">
        <v>0</v>
      </c>
      <c r="O3627">
        <v>3.9163080000000003E-3</v>
      </c>
      <c r="P3627">
        <v>0.9990715</v>
      </c>
      <c r="Q3627">
        <v>9.4476660000000004E-3</v>
      </c>
      <c r="R3627">
        <v>4.2035990000000002E-2</v>
      </c>
      <c r="S3627">
        <v>3.0009769999999998</v>
      </c>
      <c r="T3627">
        <v>-0.2923713</v>
      </c>
      <c r="U3627">
        <v>0.1078339</v>
      </c>
      <c r="V3627">
        <v>-3.8104369999999999E-2</v>
      </c>
      <c r="W3627">
        <v>1.7782050000000001E-2</v>
      </c>
      <c r="X3627">
        <v>0.99911550000000005</v>
      </c>
      <c r="Y3627">
        <v>-3.1863420000000003E-2</v>
      </c>
      <c r="Z3627">
        <v>1.1674610000000001E-3</v>
      </c>
      <c r="AA3627">
        <v>0.99949160000000004</v>
      </c>
      <c r="AB3627">
        <v>29</v>
      </c>
      <c r="AC3627">
        <v>11.083799999999901</v>
      </c>
      <c r="AD3627">
        <v>-1.1086760841979999</v>
      </c>
      <c r="AE3627">
        <v>0.408100000000018</v>
      </c>
      <c r="AF3627">
        <v>-0.36107996728177799</v>
      </c>
      <c r="AG3627">
        <v>-1.1086760841979999</v>
      </c>
      <c r="AH3627">
        <v>10.9756468520574</v>
      </c>
      <c r="AI3627">
        <v>95.7649196918142</v>
      </c>
      <c r="AJ3627">
        <v>91.884253353167395</v>
      </c>
      <c r="AK3627">
        <v>11.037407540882199</v>
      </c>
      <c r="AL3627">
        <v>88.981109845998802</v>
      </c>
      <c r="AM3627">
        <v>92.184093827326905</v>
      </c>
      <c r="AN3627">
        <v>0.99999996332777397</v>
      </c>
    </row>
    <row r="3628" spans="1:40" x14ac:dyDescent="0.25">
      <c r="A3628" t="str">
        <f>"20190312160712597"</f>
        <v>20190312160712597</v>
      </c>
      <c r="B3628" t="str">
        <f>"1552378032589067"</f>
        <v>1552378032589067</v>
      </c>
      <c r="C3628" t="s">
        <v>40</v>
      </c>
      <c r="D3628">
        <v>6.0472429999999999</v>
      </c>
      <c r="E3628">
        <v>0.50283639999999996</v>
      </c>
      <c r="F3628" t="s">
        <v>77</v>
      </c>
      <c r="G3628">
        <v>-407.90600000000001</v>
      </c>
      <c r="H3628" s="1">
        <v>4.8892179999999998E-6</v>
      </c>
      <c r="I3628">
        <v>214.65049999999999</v>
      </c>
      <c r="J3628">
        <v>-424.70870000000002</v>
      </c>
      <c r="K3628">
        <v>1.1086830000000001</v>
      </c>
      <c r="L3628">
        <v>214.04390000000001</v>
      </c>
      <c r="M3628">
        <v>0.99995970000000001</v>
      </c>
      <c r="N3628">
        <v>0</v>
      </c>
      <c r="O3628">
        <v>3.3709439999999999E-3</v>
      </c>
      <c r="P3628">
        <v>0.99911570000000005</v>
      </c>
      <c r="Q3628">
        <v>9.5725740000000004E-3</v>
      </c>
      <c r="R3628">
        <v>4.0943529999999999E-2</v>
      </c>
      <c r="S3628">
        <v>3.0001220000000002</v>
      </c>
      <c r="T3628">
        <v>-0.19451830000000001</v>
      </c>
      <c r="U3628">
        <v>0.1065369</v>
      </c>
      <c r="V3628">
        <v>-3.755638E-2</v>
      </c>
      <c r="W3628">
        <v>1.7926029999999999E-2</v>
      </c>
      <c r="X3628">
        <v>0.99913370000000001</v>
      </c>
      <c r="Y3628">
        <v>-3.2059190000000001E-2</v>
      </c>
      <c r="Z3628">
        <v>8.1962429999999904E-4</v>
      </c>
      <c r="AA3628">
        <v>0.99948559999999997</v>
      </c>
      <c r="AB3628">
        <v>29</v>
      </c>
      <c r="AC3628">
        <v>16.802700000000002</v>
      </c>
      <c r="AD3628">
        <v>-1.1086781107820001</v>
      </c>
      <c r="AE3628">
        <v>0.60659999999998604</v>
      </c>
      <c r="AF3628">
        <v>-0.547572798207978</v>
      </c>
      <c r="AG3628">
        <v>-1.1086781107820001</v>
      </c>
      <c r="AH3628">
        <v>16.731899512479</v>
      </c>
      <c r="AI3628">
        <v>93.7889310278061</v>
      </c>
      <c r="AJ3628">
        <v>91.8744086411768</v>
      </c>
      <c r="AK3628">
        <v>16.777528555134602</v>
      </c>
      <c r="AL3628">
        <v>88.972859108895605</v>
      </c>
      <c r="AM3628">
        <v>92.152674330839105</v>
      </c>
      <c r="AN3628">
        <v>0.99999998735297702</v>
      </c>
    </row>
    <row r="3629" spans="1:40" x14ac:dyDescent="0.25">
      <c r="A3629" t="str">
        <f>"20190312160712619"</f>
        <v>20190312160712619</v>
      </c>
      <c r="B3629" t="str">
        <f>"1552378032608586"</f>
        <v>1552378032608586</v>
      </c>
      <c r="C3629" t="s">
        <v>40</v>
      </c>
      <c r="D3629">
        <v>6.1045059999999998</v>
      </c>
      <c r="E3629">
        <v>0.50104769999999998</v>
      </c>
      <c r="F3629" t="s">
        <v>77</v>
      </c>
      <c r="G3629">
        <v>-405.63060000000002</v>
      </c>
      <c r="H3629" s="1">
        <v>5.8991330000000003E-6</v>
      </c>
      <c r="I3629">
        <v>214.6463</v>
      </c>
      <c r="J3629">
        <v>-424.42360000000002</v>
      </c>
      <c r="K3629">
        <v>1.1086879999999999</v>
      </c>
      <c r="L3629">
        <v>214.04429999999999</v>
      </c>
      <c r="M3629">
        <v>0.99996119999999999</v>
      </c>
      <c r="N3629">
        <v>0</v>
      </c>
      <c r="O3629">
        <v>2.8472189999999998E-3</v>
      </c>
      <c r="P3629">
        <v>0.99914400000000003</v>
      </c>
      <c r="Q3629">
        <v>9.5334640000000002E-3</v>
      </c>
      <c r="R3629">
        <v>4.0256939999999998E-2</v>
      </c>
      <c r="S3629">
        <v>3.0004580000000001</v>
      </c>
      <c r="T3629">
        <v>-0.17436370000000001</v>
      </c>
      <c r="U3629">
        <v>9.4741820000000004E-2</v>
      </c>
      <c r="V3629">
        <v>-3.7392990000000001E-2</v>
      </c>
      <c r="W3629">
        <v>1.790506E-2</v>
      </c>
      <c r="X3629">
        <v>0.99914020000000003</v>
      </c>
      <c r="Y3629">
        <v>-2.867051E-2</v>
      </c>
      <c r="Z3629">
        <v>6.6686489999999996E-4</v>
      </c>
      <c r="AA3629">
        <v>0.9995887</v>
      </c>
      <c r="AB3629">
        <v>29</v>
      </c>
      <c r="AC3629">
        <v>18.792999999999999</v>
      </c>
      <c r="AD3629">
        <v>-1.10868210086699</v>
      </c>
      <c r="AE3629">
        <v>0.60200000000000298</v>
      </c>
      <c r="AF3629">
        <v>-0.54658755251637703</v>
      </c>
      <c r="AG3629">
        <v>-1.10868210086699</v>
      </c>
      <c r="AH3629">
        <v>18.7295196033111</v>
      </c>
      <c r="AI3629">
        <v>93.386196217045395</v>
      </c>
      <c r="AJ3629">
        <v>91.671600477421407</v>
      </c>
      <c r="AK3629">
        <v>18.770264743049399</v>
      </c>
      <c r="AL3629">
        <v>88.974060789873903</v>
      </c>
      <c r="AM3629">
        <v>92.143303888577805</v>
      </c>
      <c r="AN3629">
        <v>0.99999998306539095</v>
      </c>
    </row>
    <row r="3630" spans="1:40" x14ac:dyDescent="0.25">
      <c r="A3630" t="str">
        <f>"20190312160712640"</f>
        <v>20190312160712640</v>
      </c>
      <c r="B3630" t="str">
        <f>"1552378032629092"</f>
        <v>1552378032629092</v>
      </c>
      <c r="C3630" t="s">
        <v>40</v>
      </c>
      <c r="D3630">
        <v>6.0781280000000004</v>
      </c>
      <c r="E3630">
        <v>0.50028009999999901</v>
      </c>
      <c r="F3630" t="s">
        <v>77</v>
      </c>
      <c r="G3630">
        <v>-404.7731</v>
      </c>
      <c r="H3630" s="1">
        <v>6.2583239999999997E-6</v>
      </c>
      <c r="I3630">
        <v>214.7482</v>
      </c>
      <c r="J3630">
        <v>-424.14679999999998</v>
      </c>
      <c r="K3630">
        <v>1.10869</v>
      </c>
      <c r="L3630">
        <v>214.0445</v>
      </c>
      <c r="M3630">
        <v>0.99996229999999997</v>
      </c>
      <c r="N3630">
        <v>0</v>
      </c>
      <c r="O3630">
        <v>2.3386380000000001E-3</v>
      </c>
      <c r="P3630">
        <v>0.99916510000000003</v>
      </c>
      <c r="Q3630">
        <v>9.9583169999999995E-3</v>
      </c>
      <c r="R3630">
        <v>3.9621240000000002E-2</v>
      </c>
      <c r="S3630">
        <v>2.9998469999999999</v>
      </c>
      <c r="T3630">
        <v>-0.16925109999999999</v>
      </c>
      <c r="U3630">
        <v>0.1074677</v>
      </c>
      <c r="V3630">
        <v>-3.7264529999999997E-2</v>
      </c>
      <c r="W3630">
        <v>1.8347970000000002E-2</v>
      </c>
      <c r="X3630">
        <v>0.99913700000000005</v>
      </c>
      <c r="Y3630">
        <v>-3.3414729999999997E-2</v>
      </c>
      <c r="Z3630">
        <v>8.0977580000000005E-4</v>
      </c>
      <c r="AA3630">
        <v>0.99944129999999998</v>
      </c>
      <c r="AB3630">
        <v>29</v>
      </c>
      <c r="AC3630">
        <v>19.3736999999999</v>
      </c>
      <c r="AD3630">
        <v>-1.108683741676</v>
      </c>
      <c r="AE3630">
        <v>0.70369999999999699</v>
      </c>
      <c r="AF3630">
        <v>-0.65624216309716099</v>
      </c>
      <c r="AG3630">
        <v>-1.108683741676</v>
      </c>
      <c r="AH3630">
        <v>19.3121319418869</v>
      </c>
      <c r="AI3630">
        <v>93.283776693947701</v>
      </c>
      <c r="AJ3630">
        <v>91.946208955920397</v>
      </c>
      <c r="AK3630">
        <v>19.355058087139099</v>
      </c>
      <c r="AL3630">
        <v>88.948679783224094</v>
      </c>
      <c r="AM3630">
        <v>92.135954441751295</v>
      </c>
      <c r="AN3630">
        <v>1.0000000189841201</v>
      </c>
    </row>
    <row r="3631" spans="1:40" x14ac:dyDescent="0.25">
      <c r="A3631" t="str">
        <f>"20190312160712663"</f>
        <v>20190312160712663</v>
      </c>
      <c r="B3631" t="str">
        <f>"1552378032658362"</f>
        <v>1552378032658362</v>
      </c>
      <c r="C3631" t="s">
        <v>40</v>
      </c>
      <c r="D3631">
        <v>6.0152130000000001</v>
      </c>
      <c r="E3631">
        <v>0.50062340000000005</v>
      </c>
      <c r="F3631" t="s">
        <v>77</v>
      </c>
      <c r="G3631">
        <v>-404.30669999999998</v>
      </c>
      <c r="H3631" s="1">
        <v>6.4585209999999899E-6</v>
      </c>
      <c r="I3631">
        <v>214.78020000000001</v>
      </c>
      <c r="J3631">
        <v>-423.84309999999999</v>
      </c>
      <c r="K3631">
        <v>1.1086910000000001</v>
      </c>
      <c r="L3631">
        <v>214.0446</v>
      </c>
      <c r="M3631">
        <v>0.99996350000000001</v>
      </c>
      <c r="N3631">
        <v>0</v>
      </c>
      <c r="O3631">
        <v>1.7805760000000001E-3</v>
      </c>
      <c r="P3631">
        <v>0.99917659999999997</v>
      </c>
      <c r="Q3631">
        <v>1.020283E-2</v>
      </c>
      <c r="R3631">
        <v>3.927485E-2</v>
      </c>
      <c r="S3631">
        <v>2.9997250000000002</v>
      </c>
      <c r="T3631">
        <v>-0.16762759999999999</v>
      </c>
      <c r="U3631">
        <v>0.1112366</v>
      </c>
      <c r="V3631">
        <v>-3.7475880000000003E-2</v>
      </c>
      <c r="W3631">
        <v>1.8612569999999998E-2</v>
      </c>
      <c r="X3631">
        <v>0.99912420000000002</v>
      </c>
      <c r="Y3631">
        <v>-3.522521E-2</v>
      </c>
      <c r="Z3631">
        <v>8.837141E-4</v>
      </c>
      <c r="AA3631">
        <v>0.99937900000000002</v>
      </c>
      <c r="AB3631">
        <v>29</v>
      </c>
      <c r="AC3631">
        <v>19.5364</v>
      </c>
      <c r="AD3631">
        <v>-1.1086845414790001</v>
      </c>
      <c r="AE3631">
        <v>0.73560000000000503</v>
      </c>
      <c r="AF3631">
        <v>-0.69856501200926402</v>
      </c>
      <c r="AG3631">
        <v>-1.1086845414790001</v>
      </c>
      <c r="AH3631">
        <v>19.475047748168901</v>
      </c>
      <c r="AI3631">
        <v>93.256154329549005</v>
      </c>
      <c r="AJ3631">
        <v>92.054304299050401</v>
      </c>
      <c r="AK3631">
        <v>19.5190844888273</v>
      </c>
      <c r="AL3631">
        <v>88.933516729889107</v>
      </c>
      <c r="AM3631">
        <v>92.148084926228407</v>
      </c>
      <c r="AN3631">
        <v>1.0000000181847</v>
      </c>
    </row>
    <row r="3632" spans="1:40" x14ac:dyDescent="0.25">
      <c r="A3632" t="str">
        <f>"20190312160712686"</f>
        <v>20190312160712686</v>
      </c>
      <c r="B3632" t="str">
        <f>"1552378032678858"</f>
        <v>1552378032678858</v>
      </c>
      <c r="C3632" t="s">
        <v>40</v>
      </c>
      <c r="D3632">
        <v>6.0069150000000002</v>
      </c>
      <c r="E3632">
        <v>0.50066359999999999</v>
      </c>
      <c r="F3632" t="s">
        <v>77</v>
      </c>
      <c r="G3632">
        <v>-402.7704</v>
      </c>
      <c r="H3632" s="1">
        <v>7.1354649999999998E-6</v>
      </c>
      <c r="I3632">
        <v>214.8014</v>
      </c>
      <c r="J3632">
        <v>-423.5367</v>
      </c>
      <c r="K3632">
        <v>1.1086849999999999</v>
      </c>
      <c r="L3632">
        <v>214.0446</v>
      </c>
      <c r="M3632">
        <v>0.99996410000000002</v>
      </c>
      <c r="N3632">
        <v>0</v>
      </c>
      <c r="O3632">
        <v>1.2185200000000001E-3</v>
      </c>
      <c r="P3632">
        <v>0.99920969999999998</v>
      </c>
      <c r="Q3632">
        <v>9.0578550000000001E-3</v>
      </c>
      <c r="R3632">
        <v>3.8701390000000002E-2</v>
      </c>
      <c r="S3632">
        <v>2.9998170000000002</v>
      </c>
      <c r="T3632">
        <v>-0.15782739999999901</v>
      </c>
      <c r="U3632">
        <v>0.10772710000000001</v>
      </c>
      <c r="V3632">
        <v>-3.746472E-2</v>
      </c>
      <c r="W3632">
        <v>1.7486930000000001E-2</v>
      </c>
      <c r="X3632">
        <v>0.9991449</v>
      </c>
      <c r="Y3632">
        <v>-3.4624130000000003E-2</v>
      </c>
      <c r="Z3632">
        <v>8.458602E-4</v>
      </c>
      <c r="AA3632">
        <v>0.99939999999999996</v>
      </c>
      <c r="AB3632">
        <v>29</v>
      </c>
      <c r="AC3632">
        <v>20.766300000000001</v>
      </c>
      <c r="AD3632">
        <v>-1.1086778645349999</v>
      </c>
      <c r="AE3632">
        <v>0.75679999999999803</v>
      </c>
      <c r="AF3632">
        <v>-0.729418084589184</v>
      </c>
      <c r="AG3632">
        <v>-1.1086778645349999</v>
      </c>
      <c r="AH3632">
        <v>20.708260063622198</v>
      </c>
      <c r="AI3632">
        <v>93.062677287086899</v>
      </c>
      <c r="AJ3632">
        <v>92.017325767349703</v>
      </c>
      <c r="AK3632">
        <v>20.750741003926699</v>
      </c>
      <c r="AL3632">
        <v>88.998021608159902</v>
      </c>
      <c r="AM3632">
        <v>92.147401395173404</v>
      </c>
      <c r="AN3632">
        <v>0.99999996458075502</v>
      </c>
    </row>
    <row r="3633" spans="1:40" x14ac:dyDescent="0.25">
      <c r="A3633" t="str">
        <f>"20190312160712711"</f>
        <v>20190312160712711</v>
      </c>
      <c r="B3633" t="str">
        <f>"1552378032698378"</f>
        <v>1552378032698378</v>
      </c>
      <c r="C3633" t="s">
        <v>40</v>
      </c>
      <c r="D3633">
        <v>6.0174070000000004</v>
      </c>
      <c r="E3633">
        <v>0.5010173</v>
      </c>
      <c r="F3633" t="s">
        <v>77</v>
      </c>
      <c r="G3633">
        <v>-402.67399999999998</v>
      </c>
      <c r="H3633" s="1">
        <v>7.18206E-6</v>
      </c>
      <c r="I3633">
        <v>214.78270000000001</v>
      </c>
      <c r="J3633">
        <v>-423.22089999999997</v>
      </c>
      <c r="K3633">
        <v>1.1086830000000001</v>
      </c>
      <c r="L3633">
        <v>214.0444</v>
      </c>
      <c r="M3633">
        <v>0.99996450000000003</v>
      </c>
      <c r="N3633">
        <v>0</v>
      </c>
      <c r="O3633">
        <v>6.3875819999999997E-4</v>
      </c>
      <c r="P3633">
        <v>0.9992624</v>
      </c>
      <c r="Q3633">
        <v>9.1123820000000005E-3</v>
      </c>
      <c r="R3633">
        <v>3.7306949999999998E-2</v>
      </c>
      <c r="S3633">
        <v>2.9996640000000001</v>
      </c>
      <c r="T3633">
        <v>-0.15940679999999999</v>
      </c>
      <c r="U3633">
        <v>0.10612489999999999</v>
      </c>
      <c r="V3633">
        <v>-3.6649969999999997E-2</v>
      </c>
      <c r="W3633">
        <v>1.756131E-2</v>
      </c>
      <c r="X3633">
        <v>0.9991738</v>
      </c>
      <c r="Y3633">
        <v>-3.4670449999999998E-2</v>
      </c>
      <c r="Z3633">
        <v>8.8637280000000002E-4</v>
      </c>
      <c r="AA3633">
        <v>0.99939840000000002</v>
      </c>
      <c r="AB3633">
        <v>29</v>
      </c>
      <c r="AC3633">
        <v>20.546899999999901</v>
      </c>
      <c r="AD3633">
        <v>-1.10867581794</v>
      </c>
      <c r="AE3633">
        <v>0.73830000000000895</v>
      </c>
      <c r="AF3633">
        <v>-0.72307237591947904</v>
      </c>
      <c r="AG3633">
        <v>-1.10867581794</v>
      </c>
      <c r="AH3633">
        <v>20.487794160103899</v>
      </c>
      <c r="AI3633">
        <v>93.095557271379704</v>
      </c>
      <c r="AJ3633">
        <v>92.021291645180995</v>
      </c>
      <c r="AK3633">
        <v>20.530506698006501</v>
      </c>
      <c r="AL3633">
        <v>88.993759280003005</v>
      </c>
      <c r="AM3633">
        <v>92.100683184394697</v>
      </c>
      <c r="AN3633">
        <v>0.99999995125817698</v>
      </c>
    </row>
    <row r="3634" spans="1:40" x14ac:dyDescent="0.25">
      <c r="A3634" t="str">
        <f>"20190312160712734"</f>
        <v>20190312160712734</v>
      </c>
      <c r="B3634" t="str">
        <f>"1552378032728635"</f>
        <v>1552378032728635</v>
      </c>
      <c r="C3634" t="s">
        <v>40</v>
      </c>
      <c r="D3634">
        <v>5.9853630000000004</v>
      </c>
      <c r="E3634">
        <v>0.50110549999999998</v>
      </c>
      <c r="F3634" t="s">
        <v>77</v>
      </c>
      <c r="G3634">
        <v>-402.06450000000001</v>
      </c>
      <c r="H3634" s="1">
        <v>7.4603670000000003E-6</v>
      </c>
      <c r="I3634">
        <v>214.744</v>
      </c>
      <c r="J3634">
        <v>-422.91210000000001</v>
      </c>
      <c r="K3634">
        <v>1.1086830000000001</v>
      </c>
      <c r="L3634">
        <v>214.04400000000001</v>
      </c>
      <c r="M3634">
        <v>0.99996450000000003</v>
      </c>
      <c r="N3634">
        <v>0</v>
      </c>
      <c r="O3634" s="1">
        <v>7.2112209999999896E-5</v>
      </c>
      <c r="P3634">
        <v>0.99931729999999996</v>
      </c>
      <c r="Q3634">
        <v>9.26219E-3</v>
      </c>
      <c r="R3634">
        <v>3.576965E-2</v>
      </c>
      <c r="S3634">
        <v>2.9999389999999999</v>
      </c>
      <c r="T3634">
        <v>-0.15720770000000001</v>
      </c>
      <c r="U3634">
        <v>9.9197389999999996E-2</v>
      </c>
      <c r="V3634">
        <v>-3.5678389999999997E-2</v>
      </c>
      <c r="W3634">
        <v>1.773009E-2</v>
      </c>
      <c r="X3634">
        <v>0.99920600000000004</v>
      </c>
      <c r="Y3634">
        <v>-3.2931290000000002E-2</v>
      </c>
      <c r="Z3634">
        <v>8.5825759999999995E-4</v>
      </c>
      <c r="AA3634">
        <v>0.99945720000000005</v>
      </c>
      <c r="AB3634">
        <v>30</v>
      </c>
      <c r="AC3634">
        <v>20.8476</v>
      </c>
      <c r="AD3634">
        <v>-1.1086755396329999</v>
      </c>
      <c r="AE3634">
        <v>0.70000000000001705</v>
      </c>
      <c r="AF3634">
        <v>-0.69652893393071702</v>
      </c>
      <c r="AG3634">
        <v>-1.1086755396329999</v>
      </c>
      <c r="AH3634">
        <v>20.7889232063931</v>
      </c>
      <c r="AI3634">
        <v>93.050989534719903</v>
      </c>
      <c r="AJ3634">
        <v>91.918966394198605</v>
      </c>
      <c r="AK3634">
        <v>20.8301138280445</v>
      </c>
      <c r="AL3634">
        <v>88.9840874079797</v>
      </c>
      <c r="AM3634">
        <v>92.044976767885402</v>
      </c>
      <c r="AN3634">
        <v>0.999999967020199</v>
      </c>
    </row>
    <row r="3635" spans="1:40" x14ac:dyDescent="0.25">
      <c r="A3635" t="str">
        <f>"20190312160712753"</f>
        <v>20190312160712753</v>
      </c>
      <c r="B3635" t="str">
        <f>"1552378032749130"</f>
        <v>1552378032749130</v>
      </c>
      <c r="C3635" t="s">
        <v>40</v>
      </c>
      <c r="D3635">
        <v>6.0104389999999999</v>
      </c>
      <c r="E3635">
        <v>0.50124679999999999</v>
      </c>
      <c r="F3635" t="s">
        <v>77</v>
      </c>
      <c r="G3635">
        <v>-400.99979999999999</v>
      </c>
      <c r="H3635" s="1">
        <v>7.9348979999999902E-6</v>
      </c>
      <c r="I3635">
        <v>214.73240000000001</v>
      </c>
      <c r="J3635">
        <v>-422.65800000000002</v>
      </c>
      <c r="K3635">
        <v>1.108684</v>
      </c>
      <c r="L3635">
        <v>214.04349999999999</v>
      </c>
      <c r="M3635">
        <v>0.99996419999999997</v>
      </c>
      <c r="N3635">
        <v>0</v>
      </c>
      <c r="O3635">
        <v>-3.93843E-4</v>
      </c>
      <c r="P3635">
        <v>0.99934990000000001</v>
      </c>
      <c r="Q3635">
        <v>9.4453809999999992E-3</v>
      </c>
      <c r="R3635">
        <v>3.4796830000000001E-2</v>
      </c>
      <c r="S3635">
        <v>3.000092</v>
      </c>
      <c r="T3635">
        <v>-0.15179289999999901</v>
      </c>
      <c r="U3635">
        <v>9.4253539999999997E-2</v>
      </c>
      <c r="V3635">
        <v>-3.5171300000000003E-2</v>
      </c>
      <c r="W3635">
        <v>1.7928900000000001E-2</v>
      </c>
      <c r="X3635">
        <v>0.99922049999999996</v>
      </c>
      <c r="Y3635">
        <v>-3.1753980000000001E-2</v>
      </c>
      <c r="Z3635">
        <v>8.2251239999999999E-4</v>
      </c>
      <c r="AA3635">
        <v>0.99949540000000003</v>
      </c>
      <c r="AB3635">
        <v>30</v>
      </c>
      <c r="AC3635">
        <v>21.658200000000001</v>
      </c>
      <c r="AD3635">
        <v>-1.108676065102</v>
      </c>
      <c r="AE3635">
        <v>0.68890000000001705</v>
      </c>
      <c r="AF3635">
        <v>-0.69560926198535</v>
      </c>
      <c r="AG3635">
        <v>-1.108676065102</v>
      </c>
      <c r="AH3635">
        <v>21.601380332038602</v>
      </c>
      <c r="AI3635">
        <v>92.936569154474299</v>
      </c>
      <c r="AJ3635">
        <v>91.844405611866407</v>
      </c>
      <c r="AK3635">
        <v>21.6409950582702</v>
      </c>
      <c r="AL3635">
        <v>88.972694694284797</v>
      </c>
      <c r="AM3635">
        <v>92.015906836321705</v>
      </c>
      <c r="AN3635">
        <v>1.0000000367095701</v>
      </c>
    </row>
    <row r="3636" spans="1:40" x14ac:dyDescent="0.25">
      <c r="A3636" t="str">
        <f>"20190312160712776"</f>
        <v>20190312160712776</v>
      </c>
      <c r="B3636" t="str">
        <f>"1552378032768650"</f>
        <v>1552378032768650</v>
      </c>
      <c r="C3636" t="s">
        <v>40</v>
      </c>
      <c r="D3636">
        <v>5.9357550000000003</v>
      </c>
      <c r="E3636">
        <v>0.5011679</v>
      </c>
      <c r="F3636" t="s">
        <v>77</v>
      </c>
      <c r="G3636">
        <v>-400.39100000000002</v>
      </c>
      <c r="H3636" s="1">
        <v>8.2089349999999994E-6</v>
      </c>
      <c r="I3636">
        <v>214.71270000000001</v>
      </c>
      <c r="J3636">
        <v>-422.3519</v>
      </c>
      <c r="K3636">
        <v>1.1086830000000001</v>
      </c>
      <c r="L3636">
        <v>214.0428</v>
      </c>
      <c r="M3636">
        <v>0.99996379999999996</v>
      </c>
      <c r="N3636">
        <v>0</v>
      </c>
      <c r="O3636">
        <v>-9.5494459999999998E-4</v>
      </c>
      <c r="P3636">
        <v>0.99939350000000005</v>
      </c>
      <c r="Q3636">
        <v>9.4747389999999994E-3</v>
      </c>
      <c r="R3636">
        <v>3.3516120000000003E-2</v>
      </c>
      <c r="S3636">
        <v>3.0002140000000002</v>
      </c>
      <c r="T3636">
        <v>-0.1493814</v>
      </c>
      <c r="U3636">
        <v>9.0164179999999997E-2</v>
      </c>
      <c r="V3636">
        <v>-3.4451320000000001E-2</v>
      </c>
      <c r="W3636">
        <v>1.7977050000000001E-2</v>
      </c>
      <c r="X3636">
        <v>0.99924469999999999</v>
      </c>
      <c r="Y3636">
        <v>-3.095407E-2</v>
      </c>
      <c r="Z3636">
        <v>8.1746369999999996E-4</v>
      </c>
      <c r="AA3636">
        <v>0.99952050000000003</v>
      </c>
      <c r="AB3636">
        <v>30</v>
      </c>
      <c r="AC3636">
        <v>21.960899999999999</v>
      </c>
      <c r="AD3636">
        <v>-1.1086747910649899</v>
      </c>
      <c r="AE3636">
        <v>0.66990000000001204</v>
      </c>
      <c r="AF3636">
        <v>-0.68911720977305502</v>
      </c>
      <c r="AG3636">
        <v>-1.1086747910649899</v>
      </c>
      <c r="AH3636">
        <v>21.904475575605201</v>
      </c>
      <c r="AI3636">
        <v>92.896069987667602</v>
      </c>
      <c r="AJ3636">
        <v>91.801937197148007</v>
      </c>
      <c r="AK3636">
        <v>21.943338227430999</v>
      </c>
      <c r="AL3636">
        <v>88.969935439789793</v>
      </c>
      <c r="AM3636">
        <v>91.974625102958797</v>
      </c>
      <c r="AN3636">
        <v>1.00000001912726</v>
      </c>
    </row>
    <row r="3637" spans="1:40" x14ac:dyDescent="0.25">
      <c r="A3637" t="str">
        <f>"20190312160712798"</f>
        <v>20190312160712798</v>
      </c>
      <c r="B3637" t="str">
        <f>"1552378032789148"</f>
        <v>1552378032789148</v>
      </c>
      <c r="C3637" t="s">
        <v>40</v>
      </c>
      <c r="D3637">
        <v>6.0582710000000004</v>
      </c>
      <c r="E3637">
        <v>0.50118359999999995</v>
      </c>
      <c r="F3637" t="s">
        <v>66</v>
      </c>
      <c r="G3637">
        <v>-399.74709999999999</v>
      </c>
      <c r="H3637" s="1">
        <v>3.650137E-6</v>
      </c>
      <c r="I3637">
        <v>214.69659999999999</v>
      </c>
      <c r="J3637">
        <v>-422.05270000000002</v>
      </c>
      <c r="K3637">
        <v>1.1086800000000001</v>
      </c>
      <c r="L3637">
        <v>214.0419</v>
      </c>
      <c r="M3637">
        <v>0.99996300000000005</v>
      </c>
      <c r="N3637">
        <v>0</v>
      </c>
      <c r="O3637">
        <v>-1.5031689999999999E-3</v>
      </c>
      <c r="P3637">
        <v>0.99941590000000002</v>
      </c>
      <c r="Q3637">
        <v>9.6376880000000002E-3</v>
      </c>
      <c r="R3637">
        <v>3.2791460000000001E-2</v>
      </c>
      <c r="S3637">
        <v>3.000305</v>
      </c>
      <c r="T3637">
        <v>-0.1471536</v>
      </c>
      <c r="U3637">
        <v>8.6776729999999996E-2</v>
      </c>
      <c r="V3637">
        <v>-3.4273949999999997E-2</v>
      </c>
      <c r="W3637">
        <v>1.8158690000000002E-2</v>
      </c>
      <c r="X3637">
        <v>0.99924749999999996</v>
      </c>
      <c r="Y3637">
        <v>-3.037482E-2</v>
      </c>
      <c r="Z3637">
        <v>8.1795030000000001E-4</v>
      </c>
      <c r="AA3637">
        <v>0.99953820000000004</v>
      </c>
      <c r="AB3637">
        <v>30</v>
      </c>
      <c r="AC3637">
        <v>22.305599999999998</v>
      </c>
      <c r="AD3637">
        <v>-1.1086763498629999</v>
      </c>
      <c r="AE3637">
        <v>0.65469999999999096</v>
      </c>
      <c r="AF3637">
        <v>-0.68653493698113799</v>
      </c>
      <c r="AG3637">
        <v>-1.1086763498629999</v>
      </c>
      <c r="AH3637">
        <v>22.249670534765301</v>
      </c>
      <c r="AI3637">
        <v>92.851270848875998</v>
      </c>
      <c r="AJ3637">
        <v>91.767355511015296</v>
      </c>
      <c r="AK3637">
        <v>22.287851676957199</v>
      </c>
      <c r="AL3637">
        <v>88.959526519683493</v>
      </c>
      <c r="AM3637">
        <v>91.964461381531393</v>
      </c>
      <c r="AN3637">
        <v>1.0000000039636801</v>
      </c>
    </row>
    <row r="3638" spans="1:40" x14ac:dyDescent="0.25">
      <c r="A3638" t="str">
        <f>"20190312160712820"</f>
        <v>20190312160712820</v>
      </c>
      <c r="B3638" t="str">
        <f>"1552378032808666"</f>
        <v>1552378032808666</v>
      </c>
      <c r="C3638" t="s">
        <v>40</v>
      </c>
      <c r="D3638">
        <v>6.0899739999999998</v>
      </c>
      <c r="E3638">
        <v>0.50132169999999998</v>
      </c>
      <c r="F3638" t="s">
        <v>66</v>
      </c>
      <c r="G3638">
        <v>-399.01620000000003</v>
      </c>
      <c r="H3638" s="1">
        <v>3.2611980000000002E-6</v>
      </c>
      <c r="I3638">
        <v>214.69239999999999</v>
      </c>
      <c r="J3638">
        <v>-421.76260000000002</v>
      </c>
      <c r="K3638">
        <v>1.108673</v>
      </c>
      <c r="L3638">
        <v>214.041</v>
      </c>
      <c r="M3638">
        <v>0.99996169999999995</v>
      </c>
      <c r="N3638">
        <v>0</v>
      </c>
      <c r="O3638">
        <v>-2.0345810000000001E-3</v>
      </c>
      <c r="P3638">
        <v>0.99941639999999998</v>
      </c>
      <c r="Q3638">
        <v>9.637428E-3</v>
      </c>
      <c r="R3638">
        <v>3.277128E-2</v>
      </c>
      <c r="S3638">
        <v>3.0003359999999999</v>
      </c>
      <c r="T3638">
        <v>-0.144397</v>
      </c>
      <c r="U3638">
        <v>8.4716799999999995E-2</v>
      </c>
      <c r="V3638">
        <v>-3.4784719999999998E-2</v>
      </c>
      <c r="W3638">
        <v>1.8177289999999999E-2</v>
      </c>
      <c r="X3638">
        <v>0.99922949999999999</v>
      </c>
      <c r="Y3638">
        <v>-3.022101E-2</v>
      </c>
      <c r="Z3638">
        <v>8.2450350000000004E-4</v>
      </c>
      <c r="AA3638">
        <v>0.99954290000000001</v>
      </c>
      <c r="AB3638">
        <v>30</v>
      </c>
      <c r="AC3638">
        <v>22.746399999999898</v>
      </c>
      <c r="AD3638">
        <v>-1.1086697388019999</v>
      </c>
      <c r="AE3638">
        <v>0.65139999999999498</v>
      </c>
      <c r="AF3638">
        <v>-0.69602757172497198</v>
      </c>
      <c r="AG3638">
        <v>-1.1086697388019999</v>
      </c>
      <c r="AH3638">
        <v>22.6911658707382</v>
      </c>
      <c r="AI3638">
        <v>92.795882377409498</v>
      </c>
      <c r="AJ3638">
        <v>91.756936693619394</v>
      </c>
      <c r="AK3638">
        <v>22.728893759787098</v>
      </c>
      <c r="AL3638">
        <v>88.958460629951801</v>
      </c>
      <c r="AM3638">
        <v>91.993749341135299</v>
      </c>
      <c r="AN3638">
        <v>0.99999999214373603</v>
      </c>
    </row>
    <row r="3639" spans="1:40" x14ac:dyDescent="0.25">
      <c r="A3639" t="str">
        <f>"20190312160712841"</f>
        <v>20190312160712841</v>
      </c>
      <c r="B3639" t="str">
        <f>"1552378032839024"</f>
        <v>1552378032839024</v>
      </c>
      <c r="C3639" t="s">
        <v>40</v>
      </c>
      <c r="D3639">
        <v>6.0034710000000002</v>
      </c>
      <c r="E3639">
        <v>0.5009981</v>
      </c>
      <c r="F3639" t="s">
        <v>66</v>
      </c>
      <c r="G3639">
        <v>-398.86630000000002</v>
      </c>
      <c r="H3639" s="1">
        <v>3.181419E-6</v>
      </c>
      <c r="I3639">
        <v>214.678</v>
      </c>
      <c r="J3639">
        <v>-421.47629999999998</v>
      </c>
      <c r="K3639">
        <v>1.108673</v>
      </c>
      <c r="L3639">
        <v>214.03980000000001</v>
      </c>
      <c r="M3639">
        <v>0.99996050000000003</v>
      </c>
      <c r="N3639">
        <v>0</v>
      </c>
      <c r="O3639">
        <v>-2.5594350000000001E-3</v>
      </c>
      <c r="P3639">
        <v>0.99942140000000002</v>
      </c>
      <c r="Q3639">
        <v>9.437796E-3</v>
      </c>
      <c r="R3639">
        <v>3.2679649999999998E-2</v>
      </c>
      <c r="S3639">
        <v>3.0004270000000002</v>
      </c>
      <c r="T3639">
        <v>-0.14528479999999999</v>
      </c>
      <c r="U3639">
        <v>8.3480830000000006E-2</v>
      </c>
      <c r="V3639">
        <v>-3.5217480000000002E-2</v>
      </c>
      <c r="W3639">
        <v>1.799564E-2</v>
      </c>
      <c r="X3639">
        <v>0.99921760000000004</v>
      </c>
      <c r="Y3639">
        <v>-3.033216E-2</v>
      </c>
      <c r="Z3639">
        <v>8.5763069999999998E-4</v>
      </c>
      <c r="AA3639">
        <v>0.99953950000000003</v>
      </c>
      <c r="AB3639">
        <v>30</v>
      </c>
      <c r="AC3639">
        <v>22.6099999999999</v>
      </c>
      <c r="AD3639">
        <v>-1.108669818581</v>
      </c>
      <c r="AE3639">
        <v>0.638199999999983</v>
      </c>
      <c r="AF3639">
        <v>-0.69440055672959999</v>
      </c>
      <c r="AG3639">
        <v>-1.108669818581</v>
      </c>
      <c r="AH3639">
        <v>22.554106948603501</v>
      </c>
      <c r="AI3639">
        <v>92.8128358047354</v>
      </c>
      <c r="AJ3639">
        <v>91.763477362461202</v>
      </c>
      <c r="AK3639">
        <v>22.5920136585667</v>
      </c>
      <c r="AL3639">
        <v>88.9688700811122</v>
      </c>
      <c r="AM3639">
        <v>92.018557392098302</v>
      </c>
      <c r="AN3639">
        <v>0.99999996305315897</v>
      </c>
    </row>
    <row r="3640" spans="1:40" x14ac:dyDescent="0.25">
      <c r="A3640" t="str">
        <f>"20190312160712865"</f>
        <v>20190312160712865</v>
      </c>
      <c r="B3640" t="str">
        <f>"1552378032858545"</f>
        <v>1552378032858545</v>
      </c>
      <c r="C3640" t="s">
        <v>40</v>
      </c>
      <c r="D3640">
        <v>5.954828</v>
      </c>
      <c r="E3640">
        <v>0.5007355</v>
      </c>
      <c r="F3640" t="s">
        <v>66</v>
      </c>
      <c r="G3640">
        <v>-398.17399999999998</v>
      </c>
      <c r="H3640" s="1">
        <v>2.8129720000000001E-6</v>
      </c>
      <c r="I3640">
        <v>214.7071</v>
      </c>
      <c r="J3640">
        <v>-421.16160000000002</v>
      </c>
      <c r="K3640">
        <v>1.1086750000000001</v>
      </c>
      <c r="L3640">
        <v>214.0384</v>
      </c>
      <c r="M3640">
        <v>0.99995880000000004</v>
      </c>
      <c r="N3640">
        <v>0</v>
      </c>
      <c r="O3640">
        <v>-3.1356779999999998E-3</v>
      </c>
      <c r="P3640">
        <v>0.99942430000000004</v>
      </c>
      <c r="Q3640">
        <v>9.787736E-3</v>
      </c>
      <c r="R3640">
        <v>3.2490779999999997E-2</v>
      </c>
      <c r="S3640">
        <v>3.0002749999999998</v>
      </c>
      <c r="T3640">
        <v>-0.14274609999999999</v>
      </c>
      <c r="U3640">
        <v>8.5906979999999994E-2</v>
      </c>
      <c r="V3640">
        <v>-3.5604120000000003E-2</v>
      </c>
      <c r="W3640">
        <v>1.8365610000000001E-2</v>
      </c>
      <c r="X3640">
        <v>0.99919720000000001</v>
      </c>
      <c r="Y3640">
        <v>-3.1716290000000001E-2</v>
      </c>
      <c r="Z3640">
        <v>9.0299320000000001E-4</v>
      </c>
      <c r="AA3640">
        <v>0.99949650000000001</v>
      </c>
      <c r="AB3640">
        <v>30</v>
      </c>
      <c r="AC3640">
        <v>22.987599999999901</v>
      </c>
      <c r="AD3640">
        <v>-1.1086721870280001</v>
      </c>
      <c r="AE3640">
        <v>0.66870000000000096</v>
      </c>
      <c r="AF3640">
        <v>-0.73906339441948699</v>
      </c>
      <c r="AG3640">
        <v>-1.1086721870280001</v>
      </c>
      <c r="AH3640">
        <v>22.932093977699601</v>
      </c>
      <c r="AI3640">
        <v>92.766425480333993</v>
      </c>
      <c r="AJ3640">
        <v>91.845909127093805</v>
      </c>
      <c r="AK3640">
        <v>22.970770620971901</v>
      </c>
      <c r="AL3640">
        <v>88.9476688919503</v>
      </c>
      <c r="AM3640">
        <v>92.040741398090503</v>
      </c>
      <c r="AN3640">
        <v>0.99999999673974305</v>
      </c>
    </row>
    <row r="3641" spans="1:40" x14ac:dyDescent="0.25">
      <c r="A3641" t="str">
        <f>"20190312160712887"</f>
        <v>20190312160712887</v>
      </c>
      <c r="B3641" t="str">
        <f>"1552378032879040"</f>
        <v>1552378032879040</v>
      </c>
      <c r="C3641" t="s">
        <v>40</v>
      </c>
      <c r="D3641">
        <v>6.1671569999999996</v>
      </c>
      <c r="E3641">
        <v>0.50054089999999996</v>
      </c>
      <c r="F3641" t="s">
        <v>66</v>
      </c>
      <c r="G3641">
        <v>-397.3777</v>
      </c>
      <c r="H3641" s="1">
        <v>2.3892619999999999E-6</v>
      </c>
      <c r="I3641">
        <v>214.7313</v>
      </c>
      <c r="J3641">
        <v>-420.8528</v>
      </c>
      <c r="K3641">
        <v>1.1086750000000001</v>
      </c>
      <c r="L3641">
        <v>214.0369</v>
      </c>
      <c r="M3641">
        <v>0.99995650000000003</v>
      </c>
      <c r="N3641">
        <v>0</v>
      </c>
      <c r="O3641">
        <v>-3.7007139999999999E-3</v>
      </c>
      <c r="P3641">
        <v>0.99943380000000004</v>
      </c>
      <c r="Q3641">
        <v>9.989731E-3</v>
      </c>
      <c r="R3641">
        <v>3.2130069999999997E-2</v>
      </c>
      <c r="S3641">
        <v>3.0001829999999998</v>
      </c>
      <c r="T3641">
        <v>-0.1398517</v>
      </c>
      <c r="U3641">
        <v>8.7402339999999995E-2</v>
      </c>
      <c r="V3641">
        <v>-3.5807890000000002E-2</v>
      </c>
      <c r="W3641">
        <v>1.858682E-2</v>
      </c>
      <c r="X3641">
        <v>0.99918589999999996</v>
      </c>
      <c r="Y3641">
        <v>-3.277948E-2</v>
      </c>
      <c r="Z3641">
        <v>9.358061E-4</v>
      </c>
      <c r="AA3641">
        <v>0.99946219999999997</v>
      </c>
      <c r="AB3641">
        <v>30</v>
      </c>
      <c r="AC3641">
        <v>23.475100000000001</v>
      </c>
      <c r="AD3641">
        <v>-1.1086726107380001</v>
      </c>
      <c r="AE3641">
        <v>0.69440000000000102</v>
      </c>
      <c r="AF3641">
        <v>-0.77953586739262204</v>
      </c>
      <c r="AG3641">
        <v>-1.1086726107380001</v>
      </c>
      <c r="AH3641">
        <v>23.420177591944601</v>
      </c>
      <c r="AI3641">
        <v>92.708766652430299</v>
      </c>
      <c r="AJ3641">
        <v>91.9063746137045</v>
      </c>
      <c r="AK3641">
        <v>23.4593595301444</v>
      </c>
      <c r="AL3641">
        <v>88.934992405375496</v>
      </c>
      <c r="AM3641">
        <v>92.052434228921797</v>
      </c>
      <c r="AN3641">
        <v>1.0000000688113799</v>
      </c>
    </row>
    <row r="3642" spans="1:40" x14ac:dyDescent="0.25">
      <c r="A3642" t="str">
        <f>"20190312160712912"</f>
        <v>20190312160712912</v>
      </c>
      <c r="B3642" t="str">
        <f>"1552378032908321"</f>
        <v>1552378032908321</v>
      </c>
      <c r="C3642" t="s">
        <v>40</v>
      </c>
      <c r="D3642">
        <v>6.5689270000000004</v>
      </c>
      <c r="E3642">
        <v>0.50039549999999999</v>
      </c>
      <c r="F3642" t="s">
        <v>66</v>
      </c>
      <c r="G3642">
        <v>-396.51900000000001</v>
      </c>
      <c r="H3642" s="1">
        <v>1.9323079999999999E-6</v>
      </c>
      <c r="I3642">
        <v>214.7491</v>
      </c>
      <c r="J3642">
        <v>-420.53500000000003</v>
      </c>
      <c r="K3642">
        <v>1.108673</v>
      </c>
      <c r="L3642">
        <v>214.0351</v>
      </c>
      <c r="M3642">
        <v>0.99995409999999996</v>
      </c>
      <c r="N3642">
        <v>0</v>
      </c>
      <c r="O3642">
        <v>-4.2822040000000004E-3</v>
      </c>
      <c r="P3642">
        <v>0.99943300000000002</v>
      </c>
      <c r="Q3642">
        <v>1.004467E-2</v>
      </c>
      <c r="R3642">
        <v>3.2141599999999999E-2</v>
      </c>
      <c r="S3642">
        <v>3.0002439999999999</v>
      </c>
      <c r="T3642">
        <v>-0.13669439999999999</v>
      </c>
      <c r="U3642">
        <v>8.7814329999999996E-2</v>
      </c>
      <c r="V3642">
        <v>-3.6400549999999997E-2</v>
      </c>
      <c r="W3642">
        <v>1.8661670000000002E-2</v>
      </c>
      <c r="X3642">
        <v>0.99916300000000002</v>
      </c>
      <c r="Y3642">
        <v>-3.3497640000000002E-2</v>
      </c>
      <c r="Z3642">
        <v>9.5750480000000003E-4</v>
      </c>
      <c r="AA3642">
        <v>0.9994383</v>
      </c>
      <c r="AB3642">
        <v>30</v>
      </c>
      <c r="AC3642">
        <v>24.015999999999998</v>
      </c>
      <c r="AD3642">
        <v>-1.108671067692</v>
      </c>
      <c r="AE3642">
        <v>0.71399999999999797</v>
      </c>
      <c r="AF3642">
        <v>-0.81510310872904801</v>
      </c>
      <c r="AG3642">
        <v>-1.108671067692</v>
      </c>
      <c r="AH3642">
        <v>23.961702464936501</v>
      </c>
      <c r="AI3642">
        <v>92.6475689860291</v>
      </c>
      <c r="AJ3642">
        <v>91.948274202614101</v>
      </c>
      <c r="AK3642">
        <v>24.001181838241699</v>
      </c>
      <c r="AL3642">
        <v>88.930702976844998</v>
      </c>
      <c r="AM3642">
        <v>92.086422273444697</v>
      </c>
      <c r="AN3642">
        <v>0.99999997926824502</v>
      </c>
    </row>
    <row r="3643" spans="1:40" x14ac:dyDescent="0.25">
      <c r="A3643" t="str">
        <f>"20190312160712935"</f>
        <v>20190312160712935</v>
      </c>
      <c r="B3643" t="str">
        <f>"1552378032919057"</f>
        <v>1552378032919057</v>
      </c>
      <c r="C3643" t="s">
        <v>40</v>
      </c>
      <c r="D3643">
        <v>5.9807169999999896</v>
      </c>
      <c r="E3643">
        <v>0.50026440000000005</v>
      </c>
      <c r="F3643" t="s">
        <v>66</v>
      </c>
      <c r="G3643">
        <v>-396.55860000000001</v>
      </c>
      <c r="H3643" s="1">
        <v>1.9533789999999999E-6</v>
      </c>
      <c r="I3643">
        <v>214.7465</v>
      </c>
      <c r="J3643">
        <v>-420.23899999999998</v>
      </c>
      <c r="K3643">
        <v>1.1086750000000001</v>
      </c>
      <c r="L3643">
        <v>214.0333</v>
      </c>
      <c r="M3643">
        <v>0.99995140000000005</v>
      </c>
      <c r="N3643">
        <v>0</v>
      </c>
      <c r="O3643">
        <v>-4.8238680000000003E-3</v>
      </c>
      <c r="P3643">
        <v>0.99944370000000005</v>
      </c>
      <c r="Q3643">
        <v>1.040694E-2</v>
      </c>
      <c r="R3643">
        <v>3.1691820000000002E-2</v>
      </c>
      <c r="S3643">
        <v>3.0002749999999998</v>
      </c>
      <c r="T3643">
        <v>-0.138733</v>
      </c>
      <c r="U3643">
        <v>8.9019780000000007E-2</v>
      </c>
      <c r="V3643">
        <v>-3.6491280000000001E-2</v>
      </c>
      <c r="W3643">
        <v>1.90426E-2</v>
      </c>
      <c r="X3643">
        <v>0.9991525</v>
      </c>
      <c r="Y3643">
        <v>-3.443715E-2</v>
      </c>
      <c r="Z3643">
        <v>1.018489E-3</v>
      </c>
      <c r="AA3643">
        <v>0.99940629999999997</v>
      </c>
      <c r="AB3643">
        <v>30</v>
      </c>
      <c r="AC3643">
        <v>23.680399999999999</v>
      </c>
      <c r="AD3643">
        <v>-1.108673046621</v>
      </c>
      <c r="AE3643">
        <v>0.71319999999999995</v>
      </c>
      <c r="AF3643">
        <v>-0.82561897957603503</v>
      </c>
      <c r="AG3643">
        <v>-1.108673046621</v>
      </c>
      <c r="AH3643">
        <v>23.624946385641199</v>
      </c>
      <c r="AI3643">
        <v>92.685172170821801</v>
      </c>
      <c r="AJ3643">
        <v>92.001496168305906</v>
      </c>
      <c r="AK3643">
        <v>23.665352191509001</v>
      </c>
      <c r="AL3643">
        <v>88.908873412124507</v>
      </c>
      <c r="AM3643">
        <v>92.091640122066394</v>
      </c>
      <c r="AN3643">
        <v>0.99999997619352399</v>
      </c>
    </row>
    <row r="3644" spans="1:40" x14ac:dyDescent="0.25">
      <c r="A3644" t="str">
        <f>"20190312160712956"</f>
        <v>20190312160712956</v>
      </c>
      <c r="B3644" t="str">
        <f>"1552378032948336"</f>
        <v>1552378032948336</v>
      </c>
      <c r="C3644" t="s">
        <v>40</v>
      </c>
      <c r="D3644">
        <v>6.042484</v>
      </c>
      <c r="E3644">
        <v>0.50030379999999997</v>
      </c>
      <c r="F3644" t="s">
        <v>66</v>
      </c>
      <c r="G3644">
        <v>-395.85550000000001</v>
      </c>
      <c r="H3644" s="1">
        <v>1.5791930000000001E-6</v>
      </c>
      <c r="I3644">
        <v>214.75530000000001</v>
      </c>
      <c r="J3644">
        <v>-419.9409</v>
      </c>
      <c r="K3644">
        <v>1.108679</v>
      </c>
      <c r="L3644">
        <v>214.03129999999999</v>
      </c>
      <c r="M3644">
        <v>0.99994850000000002</v>
      </c>
      <c r="N3644">
        <v>0</v>
      </c>
      <c r="O3644">
        <v>-5.3691099999999999E-3</v>
      </c>
      <c r="P3644">
        <v>0.99945220000000001</v>
      </c>
      <c r="Q3644">
        <v>1.0469310000000001E-2</v>
      </c>
      <c r="R3644">
        <v>3.139629E-2</v>
      </c>
      <c r="S3644">
        <v>3.0002439999999999</v>
      </c>
      <c r="T3644">
        <v>-0.1364155</v>
      </c>
      <c r="U3644">
        <v>8.8836670000000006E-2</v>
      </c>
      <c r="V3644">
        <v>-3.6740399999999999E-2</v>
      </c>
      <c r="W3644">
        <v>1.9123640000000001E-2</v>
      </c>
      <c r="X3644">
        <v>0.99914190000000003</v>
      </c>
      <c r="Y3644">
        <v>-3.4921779999999999E-2</v>
      </c>
      <c r="Z3644">
        <v>1.037287E-3</v>
      </c>
      <c r="AA3644">
        <v>0.99938950000000004</v>
      </c>
      <c r="AB3644">
        <v>30</v>
      </c>
      <c r="AC3644">
        <v>24.0854</v>
      </c>
      <c r="AD3644">
        <v>-1.108677420807</v>
      </c>
      <c r="AE3644">
        <v>0.72400000000001696</v>
      </c>
      <c r="AF3644">
        <v>-0.85150892052338401</v>
      </c>
      <c r="AG3644">
        <v>-1.108677420807</v>
      </c>
      <c r="AH3644">
        <v>24.030294520442698</v>
      </c>
      <c r="AI3644">
        <v>92.639907935140002</v>
      </c>
      <c r="AJ3644">
        <v>92.029415949294304</v>
      </c>
      <c r="AK3644">
        <v>24.070922038932299</v>
      </c>
      <c r="AL3644">
        <v>88.904229401038904</v>
      </c>
      <c r="AM3644">
        <v>92.105928915520593</v>
      </c>
      <c r="AN3644">
        <v>1.0000000534672999</v>
      </c>
    </row>
    <row r="3645" spans="1:40" x14ac:dyDescent="0.25">
      <c r="A3645" t="str">
        <f>"20190312160712976"</f>
        <v>20190312160712976</v>
      </c>
      <c r="B3645" t="str">
        <f>"1552378032968835"</f>
        <v>1552378032968835</v>
      </c>
      <c r="C3645" t="s">
        <v>40</v>
      </c>
      <c r="D3645">
        <v>5.9964570000000004</v>
      </c>
      <c r="E3645">
        <v>0.50030850000000004</v>
      </c>
      <c r="F3645" t="s">
        <v>66</v>
      </c>
      <c r="G3645">
        <v>-395.2303</v>
      </c>
      <c r="H3645" s="1">
        <v>1.2465409999999999E-6</v>
      </c>
      <c r="I3645">
        <v>214.75399999999999</v>
      </c>
      <c r="J3645">
        <v>-419.64690000000002</v>
      </c>
      <c r="K3645">
        <v>1.108673</v>
      </c>
      <c r="L3645">
        <v>214.0292</v>
      </c>
      <c r="M3645">
        <v>0.99994530000000004</v>
      </c>
      <c r="N3645">
        <v>0</v>
      </c>
      <c r="O3645">
        <v>-5.9066020000000004E-3</v>
      </c>
      <c r="P3645">
        <v>0.99946729999999995</v>
      </c>
      <c r="Q3645">
        <v>9.8905899999999995E-3</v>
      </c>
      <c r="R3645">
        <v>3.110249E-2</v>
      </c>
      <c r="S3645">
        <v>3.000305</v>
      </c>
      <c r="T3645">
        <v>-0.1346136</v>
      </c>
      <c r="U3645">
        <v>8.7753300000000006E-2</v>
      </c>
      <c r="V3645">
        <v>-3.6984719999999999E-2</v>
      </c>
      <c r="W3645">
        <v>1.856346E-2</v>
      </c>
      <c r="X3645">
        <v>0.99914340000000001</v>
      </c>
      <c r="Y3645">
        <v>-3.5098190000000001E-2</v>
      </c>
      <c r="Z3645">
        <v>1.051639E-3</v>
      </c>
      <c r="AA3645">
        <v>0.99938329999999997</v>
      </c>
      <c r="AB3645">
        <v>30</v>
      </c>
      <c r="AC3645">
        <v>24.416599999999999</v>
      </c>
      <c r="AD3645">
        <v>-1.108671753459</v>
      </c>
      <c r="AE3645">
        <v>0.72480000000001599</v>
      </c>
      <c r="AF3645">
        <v>-0.86722544088775</v>
      </c>
      <c r="AG3645">
        <v>-1.108671753459</v>
      </c>
      <c r="AH3645">
        <v>24.361709292041599</v>
      </c>
      <c r="AI3645">
        <v>92.604016275048494</v>
      </c>
      <c r="AJ3645">
        <v>92.038747957859698</v>
      </c>
      <c r="AK3645">
        <v>24.4023382619819</v>
      </c>
      <c r="AL3645">
        <v>88.936330995286596</v>
      </c>
      <c r="AM3645">
        <v>92.119917218059101</v>
      </c>
      <c r="AN3645">
        <v>1.0000000026621001</v>
      </c>
    </row>
    <row r="3646" spans="1:40" x14ac:dyDescent="0.25">
      <c r="A3646" t="str">
        <f>"20190312160713000"</f>
        <v>20190312160713000</v>
      </c>
      <c r="B3646" t="str">
        <f>"1552378032988353"</f>
        <v>1552378032988353</v>
      </c>
      <c r="C3646" t="s">
        <v>40</v>
      </c>
      <c r="D3646">
        <v>6.0486899999999997</v>
      </c>
      <c r="E3646">
        <v>0.52265890000000004</v>
      </c>
      <c r="F3646" t="s">
        <v>66</v>
      </c>
      <c r="G3646">
        <v>-394.68669999999997</v>
      </c>
      <c r="H3646" s="1">
        <v>9.5725109999999999E-7</v>
      </c>
      <c r="I3646">
        <v>214.7517</v>
      </c>
      <c r="J3646">
        <v>-419.34339999999997</v>
      </c>
      <c r="K3646">
        <v>1.108671</v>
      </c>
      <c r="L3646">
        <v>214.02680000000001</v>
      </c>
      <c r="M3646">
        <v>0.99994159999999999</v>
      </c>
      <c r="N3646">
        <v>0</v>
      </c>
      <c r="O3646">
        <v>-6.4609069999999897E-3</v>
      </c>
      <c r="P3646">
        <v>0.99950280000000002</v>
      </c>
      <c r="Q3646">
        <v>8.5535890000000003E-3</v>
      </c>
      <c r="R3646">
        <v>3.034657E-2</v>
      </c>
      <c r="S3646">
        <v>3.0002439999999999</v>
      </c>
      <c r="T3646">
        <v>-0.13326379999999999</v>
      </c>
      <c r="U3646">
        <v>8.6853029999999998E-2</v>
      </c>
      <c r="V3646">
        <v>-3.678406E-2</v>
      </c>
      <c r="W3646">
        <v>1.7244740000000001E-2</v>
      </c>
      <c r="X3646">
        <v>0.99917440000000002</v>
      </c>
      <c r="Y3646">
        <v>-3.5353179999999998E-2</v>
      </c>
      <c r="Z3646">
        <v>1.0713949999999999E-3</v>
      </c>
      <c r="AA3646">
        <v>0.99937430000000005</v>
      </c>
      <c r="AB3646">
        <v>30</v>
      </c>
      <c r="AC3646">
        <v>24.656700000000001</v>
      </c>
      <c r="AD3646">
        <v>-1.10867004274889</v>
      </c>
      <c r="AE3646">
        <v>0.72489999999999</v>
      </c>
      <c r="AF3646">
        <v>-0.88241298534676305</v>
      </c>
      <c r="AG3646">
        <v>-1.10867004274889</v>
      </c>
      <c r="AH3646">
        <v>24.601805065240601</v>
      </c>
      <c r="AI3646">
        <v>92.578608656824002</v>
      </c>
      <c r="AJ3646">
        <v>92.054193797766303</v>
      </c>
      <c r="AK3646">
        <v>24.642577267982698</v>
      </c>
      <c r="AL3646">
        <v>89.011900166664702</v>
      </c>
      <c r="AM3646">
        <v>92.108360694124997</v>
      </c>
      <c r="AN3646">
        <v>0.99999996487155496</v>
      </c>
    </row>
    <row r="3647" spans="1:40" x14ac:dyDescent="0.25">
      <c r="A3647" t="str">
        <f>"20190312160713021"</f>
        <v>20190312160713021</v>
      </c>
      <c r="B3647" t="str">
        <f>"1552378033008859"</f>
        <v>1552378033008859</v>
      </c>
      <c r="C3647" t="s">
        <v>40</v>
      </c>
      <c r="D3647">
        <v>6.1190989999999896</v>
      </c>
      <c r="E3647">
        <v>0.52321819999999997</v>
      </c>
      <c r="F3647" t="s">
        <v>51</v>
      </c>
      <c r="G3647">
        <v>-169.71119999999999</v>
      </c>
      <c r="H3647">
        <v>6.9484349999999999</v>
      </c>
      <c r="I3647">
        <v>206.65600000000001</v>
      </c>
      <c r="J3647">
        <v>-419.0487</v>
      </c>
      <c r="K3647">
        <v>1.108662</v>
      </c>
      <c r="L3647">
        <v>214.02440000000001</v>
      </c>
      <c r="M3647">
        <v>0.99993799999999999</v>
      </c>
      <c r="N3647">
        <v>0</v>
      </c>
      <c r="O3647">
        <v>-6.9994710000000002E-3</v>
      </c>
      <c r="P3647">
        <v>0.99954019999999999</v>
      </c>
      <c r="Q3647">
        <v>7.7432589999999997E-3</v>
      </c>
      <c r="R3647">
        <v>2.9320479999999999E-2</v>
      </c>
      <c r="S3647">
        <v>3.0035400000000001</v>
      </c>
      <c r="T3647">
        <v>7.0263619999999999E-2</v>
      </c>
      <c r="U3647">
        <v>-8.8684079999999998E-2</v>
      </c>
      <c r="V3647">
        <v>-3.6297610000000001E-2</v>
      </c>
      <c r="W3647">
        <v>1.6452350000000001E-2</v>
      </c>
      <c r="X3647">
        <v>0.99920560000000003</v>
      </c>
      <c r="Y3647">
        <v>2.2512009999999999E-2</v>
      </c>
      <c r="Z3647" s="1">
        <v>9.9539510000000005E-5</v>
      </c>
      <c r="AA3647">
        <v>0.99974660000000004</v>
      </c>
      <c r="AB3647">
        <v>30</v>
      </c>
      <c r="AC3647">
        <v>249.33750000000001</v>
      </c>
      <c r="AD3647">
        <v>5.8397730000000001</v>
      </c>
      <c r="AE3647">
        <v>-7.3684000000000296</v>
      </c>
      <c r="AF3647">
        <v>5.6198433535167203</v>
      </c>
      <c r="AG3647">
        <v>5.8397730000000001</v>
      </c>
      <c r="AH3647">
        <v>249.24636350361399</v>
      </c>
      <c r="AI3647">
        <v>88.658162292381704</v>
      </c>
      <c r="AJ3647">
        <v>88.708351237230303</v>
      </c>
      <c r="AK3647">
        <v>249.37809708910899</v>
      </c>
      <c r="AL3647">
        <v>89.057307263590204</v>
      </c>
      <c r="AM3647">
        <v>92.080438484226704</v>
      </c>
      <c r="AN3647">
        <v>1.0000000136917899</v>
      </c>
    </row>
    <row r="3648" spans="1:40" x14ac:dyDescent="0.25">
      <c r="A3648" t="str">
        <f>"20190312160713043"</f>
        <v>20190312160713043</v>
      </c>
      <c r="B3648" t="str">
        <f>"1552378033039104"</f>
        <v>1552378033039104</v>
      </c>
      <c r="C3648" t="s">
        <v>40</v>
      </c>
      <c r="D3648">
        <v>6.1226120000000002</v>
      </c>
      <c r="E3648">
        <v>0.5290802</v>
      </c>
      <c r="F3648" t="s">
        <v>51</v>
      </c>
      <c r="G3648">
        <v>-168.41329999999999</v>
      </c>
      <c r="H3648">
        <v>7.9555379999999998</v>
      </c>
      <c r="I3648">
        <v>206.03819999999999</v>
      </c>
      <c r="J3648">
        <v>-418.74180000000001</v>
      </c>
      <c r="K3648">
        <v>1.108663</v>
      </c>
      <c r="L3648">
        <v>214.02160000000001</v>
      </c>
      <c r="M3648">
        <v>0.99993379999999998</v>
      </c>
      <c r="N3648">
        <v>0</v>
      </c>
      <c r="O3648">
        <v>-7.560331E-3</v>
      </c>
      <c r="P3648">
        <v>0.99955709999999998</v>
      </c>
      <c r="Q3648">
        <v>7.5219469999999898E-3</v>
      </c>
      <c r="R3648">
        <v>2.8800659999999999E-2</v>
      </c>
      <c r="S3648">
        <v>3.0035400000000001</v>
      </c>
      <c r="T3648">
        <v>8.2051280000000004E-2</v>
      </c>
      <c r="U3648">
        <v>-9.5703129999999997E-2</v>
      </c>
      <c r="V3648">
        <v>-3.6338710000000003E-2</v>
      </c>
      <c r="W3648">
        <v>1.6249240000000002E-2</v>
      </c>
      <c r="X3648">
        <v>0.99920739999999997</v>
      </c>
      <c r="Y3648">
        <v>2.428336E-2</v>
      </c>
      <c r="Z3648">
        <v>1.2509899999999999E-4</v>
      </c>
      <c r="AA3648">
        <v>0.99970510000000001</v>
      </c>
      <c r="AB3648">
        <v>30</v>
      </c>
      <c r="AC3648">
        <v>250.32849999999999</v>
      </c>
      <c r="AD3648">
        <v>6.8468749999999998</v>
      </c>
      <c r="AE3648">
        <v>-7.9834000000000103</v>
      </c>
      <c r="AF3648">
        <v>6.08598595354509</v>
      </c>
      <c r="AG3648">
        <v>6.8468749999999998</v>
      </c>
      <c r="AH3648">
        <v>250.19472210644301</v>
      </c>
      <c r="AI3648">
        <v>88.432887689737498</v>
      </c>
      <c r="AJ3648">
        <v>88.606555107856707</v>
      </c>
      <c r="AK3648">
        <v>250.36237315581701</v>
      </c>
      <c r="AL3648">
        <v>89.068946137440804</v>
      </c>
      <c r="AM3648">
        <v>92.082788354871795</v>
      </c>
      <c r="AN3648">
        <v>0.99999998392989997</v>
      </c>
    </row>
    <row r="3649" spans="1:40" x14ac:dyDescent="0.25">
      <c r="A3649" t="str">
        <f>"20190312160713066"</f>
        <v>20190312160713066</v>
      </c>
      <c r="B3649" t="str">
        <f>"1552378033058625"</f>
        <v>1552378033058625</v>
      </c>
      <c r="C3649" t="s">
        <v>40</v>
      </c>
      <c r="D3649">
        <v>6.2404359999999999</v>
      </c>
      <c r="E3649">
        <v>0.52843699999999905</v>
      </c>
      <c r="F3649" t="s">
        <v>51</v>
      </c>
      <c r="G3649">
        <v>-168.4134</v>
      </c>
      <c r="H3649">
        <v>4.2456379999999996</v>
      </c>
      <c r="I3649">
        <v>201.92140000000001</v>
      </c>
      <c r="J3649">
        <v>-418.42860000000002</v>
      </c>
      <c r="K3649">
        <v>1.1086609999999999</v>
      </c>
      <c r="L3649">
        <v>214.0187</v>
      </c>
      <c r="M3649">
        <v>0.99992910000000002</v>
      </c>
      <c r="N3649">
        <v>0</v>
      </c>
      <c r="O3649">
        <v>-8.1322789999999992E-3</v>
      </c>
      <c r="P3649">
        <v>0.99957859999999998</v>
      </c>
      <c r="Q3649">
        <v>7.3861079999999997E-3</v>
      </c>
      <c r="R3649">
        <v>2.8078450000000001E-2</v>
      </c>
      <c r="S3649">
        <v>3.0052189999999999</v>
      </c>
      <c r="T3649">
        <v>3.7660119999999998E-2</v>
      </c>
      <c r="U3649">
        <v>-0.1452637</v>
      </c>
      <c r="V3649">
        <v>-3.6188209999999998E-2</v>
      </c>
      <c r="W3649">
        <v>1.613291E-2</v>
      </c>
      <c r="X3649">
        <v>0.99921479999999996</v>
      </c>
      <c r="Y3649">
        <v>4.0153559999999998E-2</v>
      </c>
      <c r="Z3649">
        <v>1.495922E-4</v>
      </c>
      <c r="AA3649">
        <v>0.99919349999999996</v>
      </c>
      <c r="AB3649">
        <v>30</v>
      </c>
      <c r="AC3649">
        <v>250.01519999999999</v>
      </c>
      <c r="AD3649">
        <v>3.1369769999999901</v>
      </c>
      <c r="AE3649">
        <v>-12.097299999999899</v>
      </c>
      <c r="AF3649">
        <v>10.0620492832346</v>
      </c>
      <c r="AG3649">
        <v>3.1369769999999901</v>
      </c>
      <c r="AH3649">
        <v>250.066038175882</v>
      </c>
      <c r="AI3649">
        <v>89.281866444568806</v>
      </c>
      <c r="AJ3649">
        <v>87.695800171168997</v>
      </c>
      <c r="AK3649">
        <v>250.288051871156</v>
      </c>
      <c r="AL3649">
        <v>89.075612278400897</v>
      </c>
      <c r="AM3649">
        <v>92.074154504198106</v>
      </c>
      <c r="AN3649">
        <v>1.00000003693355</v>
      </c>
    </row>
    <row r="3650" spans="1:40" x14ac:dyDescent="0.25">
      <c r="A3650" t="str">
        <f>"20190312160713087"</f>
        <v>20190312160713087</v>
      </c>
      <c r="B3650" t="str">
        <f>"1552378033079120"</f>
        <v>1552378033079120</v>
      </c>
      <c r="C3650" t="s">
        <v>40</v>
      </c>
      <c r="D3650">
        <v>6.0350409999999997</v>
      </c>
      <c r="E3650">
        <v>0.52859500000000004</v>
      </c>
      <c r="F3650" t="s">
        <v>51</v>
      </c>
      <c r="G3650">
        <v>-168.4136</v>
      </c>
      <c r="H3650">
        <v>5.1591469999999999</v>
      </c>
      <c r="I3650">
        <v>202.20920000000001</v>
      </c>
      <c r="J3650">
        <v>-418.12860000000001</v>
      </c>
      <c r="K3650">
        <v>1.108652</v>
      </c>
      <c r="L3650">
        <v>214.01570000000001</v>
      </c>
      <c r="M3650">
        <v>0.99992440000000005</v>
      </c>
      <c r="N3650">
        <v>0</v>
      </c>
      <c r="O3650">
        <v>-8.6799040000000004E-3</v>
      </c>
      <c r="P3650">
        <v>0.99959339999999997</v>
      </c>
      <c r="Q3650">
        <v>7.0795709999999998E-3</v>
      </c>
      <c r="R3650">
        <v>2.7625449999999999E-2</v>
      </c>
      <c r="S3650">
        <v>3.0049130000000002</v>
      </c>
      <c r="T3650">
        <v>4.8682929999999999E-2</v>
      </c>
      <c r="U3650">
        <v>-0.14193729999999999</v>
      </c>
      <c r="V3650">
        <v>-3.6283200000000002E-2</v>
      </c>
      <c r="W3650">
        <v>1.5843980000000001E-2</v>
      </c>
      <c r="X3650">
        <v>0.99921599999999999</v>
      </c>
      <c r="Y3650">
        <v>3.8506199999999997E-2</v>
      </c>
      <c r="Z3650">
        <v>1.71194E-4</v>
      </c>
      <c r="AA3650">
        <v>0.99925830000000004</v>
      </c>
      <c r="AB3650">
        <v>31</v>
      </c>
      <c r="AC3650">
        <v>249.715</v>
      </c>
      <c r="AD3650">
        <v>4.0504949999999997</v>
      </c>
      <c r="AE3650">
        <v>-11.8065</v>
      </c>
      <c r="AF3650">
        <v>9.6359411672416293</v>
      </c>
      <c r="AG3650">
        <v>4.0504949999999997</v>
      </c>
      <c r="AH3650">
        <v>249.742513805752</v>
      </c>
      <c r="AI3650">
        <v>89.071510041401794</v>
      </c>
      <c r="AJ3650">
        <v>87.790424108446004</v>
      </c>
      <c r="AK3650">
        <v>249.96115913065401</v>
      </c>
      <c r="AL3650">
        <v>89.092168883302406</v>
      </c>
      <c r="AM3650">
        <v>92.079591658209196</v>
      </c>
      <c r="AN3650">
        <v>1.00000005848023</v>
      </c>
    </row>
    <row r="3651" spans="1:40" x14ac:dyDescent="0.25">
      <c r="A3651" t="str">
        <f>"20190312160713113"</f>
        <v>20190312160713113</v>
      </c>
      <c r="B3651" t="str">
        <f>"1552378033108401"</f>
        <v>1552378033108401</v>
      </c>
      <c r="C3651" t="s">
        <v>40</v>
      </c>
      <c r="D3651">
        <v>6.0808780000000002</v>
      </c>
      <c r="E3651">
        <v>0.52846530000000003</v>
      </c>
      <c r="F3651" t="s">
        <v>51</v>
      </c>
      <c r="G3651">
        <v>-168.4135</v>
      </c>
      <c r="H3651">
        <v>4.716208</v>
      </c>
      <c r="I3651">
        <v>201.9933</v>
      </c>
      <c r="J3651">
        <v>-417.79410000000001</v>
      </c>
      <c r="K3651">
        <v>1.1086450000000001</v>
      </c>
      <c r="L3651">
        <v>214.0121</v>
      </c>
      <c r="M3651">
        <v>0.99991870000000005</v>
      </c>
      <c r="N3651">
        <v>0</v>
      </c>
      <c r="O3651">
        <v>-9.2897689999999998E-3</v>
      </c>
      <c r="P3651">
        <v>0.99961409999999995</v>
      </c>
      <c r="Q3651">
        <v>6.6262700000000001E-3</v>
      </c>
      <c r="R3651">
        <v>2.698186E-2</v>
      </c>
      <c r="S3651">
        <v>3.004883</v>
      </c>
      <c r="T3651">
        <v>4.3411020000000002E-2</v>
      </c>
      <c r="U3651">
        <v>-0.14466860000000001</v>
      </c>
      <c r="V3651">
        <v>-3.6249610000000002E-2</v>
      </c>
      <c r="W3651">
        <v>1.5411070000000001E-2</v>
      </c>
      <c r="X3651">
        <v>0.99922390000000005</v>
      </c>
      <c r="Y3651">
        <v>3.8804279999999997E-2</v>
      </c>
      <c r="Z3651">
        <v>1.4600330000000001E-4</v>
      </c>
      <c r="AA3651">
        <v>0.99924679999999999</v>
      </c>
      <c r="AB3651">
        <v>31</v>
      </c>
      <c r="AC3651">
        <v>249.38059999999999</v>
      </c>
      <c r="AD3651">
        <v>3.6075629999999999</v>
      </c>
      <c r="AE3651">
        <v>-12.018800000000001</v>
      </c>
      <c r="AF3651">
        <v>9.6994797072351897</v>
      </c>
      <c r="AG3651">
        <v>3.6075629999999999</v>
      </c>
      <c r="AH3651">
        <v>249.42941773368301</v>
      </c>
      <c r="AI3651">
        <v>89.171999625835497</v>
      </c>
      <c r="AJ3651">
        <v>87.773079915895394</v>
      </c>
      <c r="AK3651">
        <v>249.644004230733</v>
      </c>
      <c r="AL3651">
        <v>89.116975748128894</v>
      </c>
      <c r="AM3651">
        <v>92.077651704915198</v>
      </c>
      <c r="AN3651">
        <v>0.99999996881745301</v>
      </c>
    </row>
    <row r="3652" spans="1:40" x14ac:dyDescent="0.25">
      <c r="A3652" t="str">
        <f>"20190312160713134"</f>
        <v>20190312160713134</v>
      </c>
      <c r="B3652" t="str">
        <f>"1552378033128897"</f>
        <v>1552378033128897</v>
      </c>
      <c r="C3652" t="s">
        <v>40</v>
      </c>
      <c r="D3652">
        <v>6.141445</v>
      </c>
      <c r="E3652">
        <v>0.52850929999999996</v>
      </c>
      <c r="F3652" t="s">
        <v>51</v>
      </c>
      <c r="G3652">
        <v>-168.41399999999999</v>
      </c>
      <c r="H3652">
        <v>5.9611150000000004</v>
      </c>
      <c r="I3652">
        <v>201.95949999999999</v>
      </c>
      <c r="J3652">
        <v>-417.50040000000001</v>
      </c>
      <c r="K3652">
        <v>1.1086480000000001</v>
      </c>
      <c r="L3652">
        <v>214.00890000000001</v>
      </c>
      <c r="M3652">
        <v>0.9999133</v>
      </c>
      <c r="N3652">
        <v>0</v>
      </c>
      <c r="O3652">
        <v>-9.8253490000000006E-3</v>
      </c>
      <c r="P3652">
        <v>0.99963170000000001</v>
      </c>
      <c r="Q3652">
        <v>6.0286799999999998E-3</v>
      </c>
      <c r="R3652">
        <v>2.646184E-2</v>
      </c>
      <c r="S3652">
        <v>3.0047000000000001</v>
      </c>
      <c r="T3652">
        <v>5.8466199999999899E-2</v>
      </c>
      <c r="U3652">
        <v>-0.14521789999999901</v>
      </c>
      <c r="V3652">
        <v>-3.6265650000000003E-2</v>
      </c>
      <c r="W3652">
        <v>1.483082E-2</v>
      </c>
      <c r="X3652">
        <v>0.99923209999999996</v>
      </c>
      <c r="Y3652">
        <v>3.8451899999999997E-2</v>
      </c>
      <c r="Z3652">
        <v>1.8280149999999999E-4</v>
      </c>
      <c r="AA3652">
        <v>0.99926040000000005</v>
      </c>
      <c r="AB3652">
        <v>31</v>
      </c>
      <c r="AC3652">
        <v>249.0864</v>
      </c>
      <c r="AD3652">
        <v>4.8524669999999999</v>
      </c>
      <c r="AE3652">
        <v>-12.0494</v>
      </c>
      <c r="AF3652">
        <v>9.5977295225998098</v>
      </c>
      <c r="AG3652">
        <v>4.8524669999999999</v>
      </c>
      <c r="AH3652">
        <v>249.098454739723</v>
      </c>
      <c r="AI3652">
        <v>88.884839909644</v>
      </c>
      <c r="AJ3652">
        <v>87.793492880069394</v>
      </c>
      <c r="AK3652">
        <v>249.33050956851</v>
      </c>
      <c r="AL3652">
        <v>89.150225428181599</v>
      </c>
      <c r="AM3652">
        <v>92.078553191226106</v>
      </c>
      <c r="AN3652">
        <v>0.99999997013110098</v>
      </c>
    </row>
    <row r="3653" spans="1:40" x14ac:dyDescent="0.25">
      <c r="A3653" t="str">
        <f>"20190312160713157"</f>
        <v>20190312160713157</v>
      </c>
      <c r="B3653" t="str">
        <f>"1552378033148417"</f>
        <v>1552378033148417</v>
      </c>
      <c r="C3653" t="s">
        <v>40</v>
      </c>
      <c r="D3653">
        <v>8.0861920000000005</v>
      </c>
      <c r="E3653">
        <v>0.52845559999999903</v>
      </c>
      <c r="F3653" t="s">
        <v>51</v>
      </c>
      <c r="G3653">
        <v>-168.41409999999999</v>
      </c>
      <c r="H3653">
        <v>6.4078119999999998</v>
      </c>
      <c r="I3653">
        <v>201.84229999999999</v>
      </c>
      <c r="J3653">
        <v>-417.18689999999998</v>
      </c>
      <c r="K3653">
        <v>1.108646</v>
      </c>
      <c r="L3653">
        <v>214.0052</v>
      </c>
      <c r="M3653">
        <v>0.99990730000000005</v>
      </c>
      <c r="N3653">
        <v>0</v>
      </c>
      <c r="O3653">
        <v>-1.039694E-2</v>
      </c>
      <c r="P3653">
        <v>0.99966239999999995</v>
      </c>
      <c r="Q3653">
        <v>5.4872829999999999E-3</v>
      </c>
      <c r="R3653">
        <v>2.5395270000000001E-2</v>
      </c>
      <c r="S3653">
        <v>3.0046080000000002</v>
      </c>
      <c r="T3653">
        <v>6.3921690000000003E-2</v>
      </c>
      <c r="U3653">
        <v>-0.146759</v>
      </c>
      <c r="V3653">
        <v>-3.5770870000000003E-2</v>
      </c>
      <c r="W3653">
        <v>1.4307790000000001E-2</v>
      </c>
      <c r="X3653">
        <v>0.99925759999999997</v>
      </c>
      <c r="Y3653">
        <v>3.8392570000000001E-2</v>
      </c>
      <c r="Z3653">
        <v>1.87078E-4</v>
      </c>
      <c r="AA3653">
        <v>0.99926269999999995</v>
      </c>
      <c r="AB3653">
        <v>31</v>
      </c>
      <c r="AC3653">
        <v>248.77279999999999</v>
      </c>
      <c r="AD3653">
        <v>5.2991659999999996</v>
      </c>
      <c r="AE3653">
        <v>-12.1629</v>
      </c>
      <c r="AF3653">
        <v>9.5713341443056397</v>
      </c>
      <c r="AG3653">
        <v>5.2991659999999996</v>
      </c>
      <c r="AH3653">
        <v>248.77320496594899</v>
      </c>
      <c r="AI3653">
        <v>88.780617990666698</v>
      </c>
      <c r="AJ3653">
        <v>87.796681113594005</v>
      </c>
      <c r="AK3653">
        <v>249.01365245027699</v>
      </c>
      <c r="AL3653">
        <v>89.180196054334701</v>
      </c>
      <c r="AM3653">
        <v>92.050167139800706</v>
      </c>
      <c r="AN3653">
        <v>1.0000000095765</v>
      </c>
    </row>
    <row r="3654" spans="1:40" x14ac:dyDescent="0.25">
      <c r="A3654" t="str">
        <f>"20190312160713177"</f>
        <v>20190312160713177</v>
      </c>
      <c r="B3654" t="str">
        <f>"1552378033168914"</f>
        <v>1552378033168914</v>
      </c>
      <c r="C3654" t="s">
        <v>40</v>
      </c>
      <c r="D3654">
        <v>6.080546</v>
      </c>
      <c r="E3654">
        <v>0.52869670000000002</v>
      </c>
      <c r="F3654" t="s">
        <v>51</v>
      </c>
      <c r="G3654">
        <v>-169.71279999999999</v>
      </c>
      <c r="H3654">
        <v>6.7147620000000003</v>
      </c>
      <c r="I3654">
        <v>201.68180000000001</v>
      </c>
      <c r="J3654">
        <v>-416.899</v>
      </c>
      <c r="K3654">
        <v>1.1086419999999999</v>
      </c>
      <c r="L3654">
        <v>214.0017</v>
      </c>
      <c r="M3654">
        <v>0.9999017</v>
      </c>
      <c r="N3654">
        <v>0</v>
      </c>
      <c r="O3654">
        <v>-1.0921790000000001E-2</v>
      </c>
      <c r="P3654">
        <v>0.99968069999999998</v>
      </c>
      <c r="Q3654">
        <v>5.4565430000000003E-3</v>
      </c>
      <c r="R3654">
        <v>2.4675869999999999E-2</v>
      </c>
      <c r="S3654">
        <v>3.0044559999999998</v>
      </c>
      <c r="T3654">
        <v>6.8061350000000007E-2</v>
      </c>
      <c r="U3654">
        <v>-0.14961240000000001</v>
      </c>
      <c r="V3654">
        <v>-3.5576950000000003E-2</v>
      </c>
      <c r="W3654">
        <v>1.4293490000000001E-2</v>
      </c>
      <c r="X3654">
        <v>0.99926470000000001</v>
      </c>
      <c r="Y3654">
        <v>3.8816429999999999E-2</v>
      </c>
      <c r="Z3654">
        <v>1.9211440000000001E-4</v>
      </c>
      <c r="AA3654">
        <v>0.99924639999999998</v>
      </c>
      <c r="AB3654">
        <v>31</v>
      </c>
      <c r="AC3654">
        <v>247.18620000000001</v>
      </c>
      <c r="AD3654">
        <v>5.6061199999999998</v>
      </c>
      <c r="AE3654">
        <v>-12.319899999999899</v>
      </c>
      <c r="AF3654">
        <v>9.6144118858720198</v>
      </c>
      <c r="AG3654">
        <v>5.6061199999999998</v>
      </c>
      <c r="AH3654">
        <v>247.17918939954799</v>
      </c>
      <c r="AI3654">
        <v>88.701713629121699</v>
      </c>
      <c r="AJ3654">
        <v>87.772516091765198</v>
      </c>
      <c r="AK3654">
        <v>247.42962063904801</v>
      </c>
      <c r="AL3654">
        <v>89.181015445136893</v>
      </c>
      <c r="AM3654">
        <v>92.039047765133404</v>
      </c>
      <c r="AN3654">
        <v>0.999999981946886</v>
      </c>
    </row>
    <row r="3655" spans="1:40" x14ac:dyDescent="0.25">
      <c r="A3655" t="str">
        <f>"20190312160713201"</f>
        <v>20190312160713201</v>
      </c>
      <c r="B3655" t="str">
        <f>"1552378033188433"</f>
        <v>1552378033188433</v>
      </c>
      <c r="C3655" t="s">
        <v>40</v>
      </c>
      <c r="D3655">
        <v>5.8771630000000004</v>
      </c>
      <c r="E3655">
        <v>0.52858969999999905</v>
      </c>
      <c r="F3655" t="s">
        <v>51</v>
      </c>
      <c r="G3655">
        <v>-168.4143</v>
      </c>
      <c r="H3655">
        <v>6.4283700000000001</v>
      </c>
      <c r="I3655">
        <v>201.2921</v>
      </c>
      <c r="J3655">
        <v>-416.58440000000002</v>
      </c>
      <c r="K3655">
        <v>1.1086339999999999</v>
      </c>
      <c r="L3655">
        <v>213.99770000000001</v>
      </c>
      <c r="M3655">
        <v>0.99989490000000003</v>
      </c>
      <c r="N3655">
        <v>0</v>
      </c>
      <c r="O3655">
        <v>-1.149493E-2</v>
      </c>
      <c r="P3655">
        <v>0.99968369999999995</v>
      </c>
      <c r="Q3655">
        <v>5.6850159999999898E-3</v>
      </c>
      <c r="R3655">
        <v>2.4498760000000001E-2</v>
      </c>
      <c r="S3655">
        <v>3.0044249999999999</v>
      </c>
      <c r="T3655">
        <v>6.4321160000000002E-2</v>
      </c>
      <c r="U3655">
        <v>-0.15367129999999901</v>
      </c>
      <c r="V3655">
        <v>-3.5971820000000002E-2</v>
      </c>
      <c r="W3655">
        <v>1.454094E-2</v>
      </c>
      <c r="X3655">
        <v>0.999247</v>
      </c>
      <c r="Y3655">
        <v>3.9591380000000002E-2</v>
      </c>
      <c r="Z3655">
        <v>1.7758570000000001E-4</v>
      </c>
      <c r="AA3655">
        <v>0.99921599999999999</v>
      </c>
      <c r="AB3655">
        <v>31</v>
      </c>
      <c r="AC3655">
        <v>248.17009999999999</v>
      </c>
      <c r="AD3655">
        <v>5.3197359999999998</v>
      </c>
      <c r="AE3655">
        <v>-12.7056</v>
      </c>
      <c r="AF3655">
        <v>9.84743819693057</v>
      </c>
      <c r="AG3655">
        <v>5.3197359999999998</v>
      </c>
      <c r="AH3655">
        <v>248.18601586101499</v>
      </c>
      <c r="AI3655">
        <v>88.773048422648401</v>
      </c>
      <c r="AJ3655">
        <v>87.727829910128904</v>
      </c>
      <c r="AK3655">
        <v>248.438262147995</v>
      </c>
      <c r="AL3655">
        <v>89.166836136284005</v>
      </c>
      <c r="AM3655">
        <v>92.061696302954203</v>
      </c>
      <c r="AN3655">
        <v>0.99999998888959696</v>
      </c>
    </row>
    <row r="3656" spans="1:40" x14ac:dyDescent="0.25">
      <c r="A3656" t="str">
        <f>"20190312160713233"</f>
        <v>20190312160713233</v>
      </c>
      <c r="B3656" t="str">
        <f>"1552378033228449"</f>
        <v>1552378033228449</v>
      </c>
      <c r="C3656" t="s">
        <v>40</v>
      </c>
      <c r="D3656">
        <v>6.0979419999999998</v>
      </c>
      <c r="E3656">
        <v>0.52964750000000005</v>
      </c>
      <c r="F3656" t="s">
        <v>51</v>
      </c>
      <c r="G3656">
        <v>-168.4144</v>
      </c>
      <c r="H3656">
        <v>6.5145299999999997</v>
      </c>
      <c r="I3656">
        <v>201.334</v>
      </c>
      <c r="J3656">
        <v>-416.13589999999999</v>
      </c>
      <c r="K3656">
        <v>1.108644</v>
      </c>
      <c r="L3656">
        <v>213.99160000000001</v>
      </c>
      <c r="M3656">
        <v>0.99988509999999997</v>
      </c>
      <c r="N3656">
        <v>0</v>
      </c>
      <c r="O3656">
        <v>-1.2312129999999999E-2</v>
      </c>
      <c r="P3656">
        <v>0.99967550000000005</v>
      </c>
      <c r="Q3656">
        <v>6.6527590000000003E-3</v>
      </c>
      <c r="R3656">
        <v>2.4594009999999999E-2</v>
      </c>
      <c r="S3656">
        <v>3.0043329999999999</v>
      </c>
      <c r="T3656">
        <v>6.5443870000000001E-2</v>
      </c>
      <c r="U3656">
        <v>-0.1533051</v>
      </c>
      <c r="V3656">
        <v>-3.6882749999999999E-2</v>
      </c>
      <c r="W3656">
        <v>1.553503E-2</v>
      </c>
      <c r="X3656">
        <v>0.9991989</v>
      </c>
      <c r="Y3656">
        <v>3.8654969999999997E-2</v>
      </c>
      <c r="Z3656">
        <v>1.527148E-4</v>
      </c>
      <c r="AA3656">
        <v>0.99925260000000005</v>
      </c>
      <c r="AB3656">
        <v>31</v>
      </c>
      <c r="AC3656">
        <v>247.72149999999999</v>
      </c>
      <c r="AD3656">
        <v>5.4058859999999997</v>
      </c>
      <c r="AE3656">
        <v>-12.6576</v>
      </c>
      <c r="AF3656">
        <v>9.6019812097671906</v>
      </c>
      <c r="AG3656">
        <v>5.4058859999999997</v>
      </c>
      <c r="AH3656">
        <v>247.74089845111101</v>
      </c>
      <c r="AI3656">
        <v>88.750900475351699</v>
      </c>
      <c r="AJ3656">
        <v>87.780432012891595</v>
      </c>
      <c r="AK3656">
        <v>247.98583510346199</v>
      </c>
      <c r="AL3656">
        <v>89.109872592176004</v>
      </c>
      <c r="AM3656">
        <v>92.113960418953397</v>
      </c>
      <c r="AN3656">
        <v>1.00000005808293</v>
      </c>
    </row>
    <row r="3657" spans="1:40" x14ac:dyDescent="0.25">
      <c r="A3657" t="str">
        <f>"20190312160713256"</f>
        <v>20190312160713256</v>
      </c>
      <c r="B3657" t="str">
        <f>"1552378033248944"</f>
        <v>1552378033248944</v>
      </c>
      <c r="C3657" t="s">
        <v>40</v>
      </c>
      <c r="D3657">
        <v>6.0374999999999996</v>
      </c>
      <c r="E3657">
        <v>0.52863059999999995</v>
      </c>
      <c r="F3657" t="s">
        <v>51</v>
      </c>
      <c r="G3657">
        <v>-168.41290000000001</v>
      </c>
      <c r="H3657">
        <v>1.409904</v>
      </c>
      <c r="I3657">
        <v>200.54480000000001</v>
      </c>
      <c r="J3657">
        <v>-415.80329999999998</v>
      </c>
      <c r="K3657">
        <v>1.108646</v>
      </c>
      <c r="L3657">
        <v>213.98689999999999</v>
      </c>
      <c r="M3657">
        <v>0.99987740000000003</v>
      </c>
      <c r="N3657">
        <v>0</v>
      </c>
      <c r="O3657">
        <v>-1.2917339999999999E-2</v>
      </c>
      <c r="P3657">
        <v>0.99967110000000003</v>
      </c>
      <c r="Q3657">
        <v>7.635841E-3</v>
      </c>
      <c r="R3657">
        <v>2.448875E-2</v>
      </c>
      <c r="S3657">
        <v>3.0050050000000001</v>
      </c>
      <c r="T3657">
        <v>3.6548380000000001E-3</v>
      </c>
      <c r="U3657">
        <v>-0.1631165</v>
      </c>
      <c r="V3657">
        <v>-3.738052E-2</v>
      </c>
      <c r="W3657">
        <v>1.6538170000000001E-2</v>
      </c>
      <c r="X3657">
        <v>0.99916419999999995</v>
      </c>
      <c r="Y3657">
        <v>4.1298410000000001E-2</v>
      </c>
      <c r="Z3657" s="1">
        <v>9.3980470000000007E-6</v>
      </c>
      <c r="AA3657">
        <v>0.99914689999999995</v>
      </c>
      <c r="AB3657">
        <v>31</v>
      </c>
      <c r="AC3657">
        <v>247.3904</v>
      </c>
      <c r="AD3657">
        <v>0.30125799999999903</v>
      </c>
      <c r="AE3657">
        <v>-13.4420999999999</v>
      </c>
      <c r="AF3657">
        <v>10.245212189451101</v>
      </c>
      <c r="AG3657">
        <v>0.30125799999999903</v>
      </c>
      <c r="AH3657">
        <v>247.54303500482601</v>
      </c>
      <c r="AI3657">
        <v>89.930331147881006</v>
      </c>
      <c r="AJ3657">
        <v>87.630017768442698</v>
      </c>
      <c r="AK3657">
        <v>247.75513982274899</v>
      </c>
      <c r="AL3657">
        <v>89.052389416516704</v>
      </c>
      <c r="AM3657">
        <v>92.1425383780212</v>
      </c>
      <c r="AN3657">
        <v>0.99999995645202799</v>
      </c>
    </row>
    <row r="3658" spans="1:40" x14ac:dyDescent="0.25">
      <c r="A3658" t="str">
        <f>"20190312160713278"</f>
        <v>20190312160713278</v>
      </c>
      <c r="B3658" t="str">
        <f>"1552378033268465"</f>
        <v>1552378033268465</v>
      </c>
      <c r="C3658" t="s">
        <v>40</v>
      </c>
      <c r="D3658">
        <v>6.0508870000000003</v>
      </c>
      <c r="E3658">
        <v>0.52764279999999997</v>
      </c>
      <c r="F3658" t="s">
        <v>51</v>
      </c>
      <c r="G3658">
        <v>-168.41329999999999</v>
      </c>
      <c r="H3658">
        <v>3.2345429999999999</v>
      </c>
      <c r="I3658">
        <v>201.2424</v>
      </c>
      <c r="J3658">
        <v>-415.5018</v>
      </c>
      <c r="K3658">
        <v>1.108644</v>
      </c>
      <c r="L3658">
        <v>213.98249999999999</v>
      </c>
      <c r="M3658">
        <v>0.99987000000000004</v>
      </c>
      <c r="N3658">
        <v>0</v>
      </c>
      <c r="O3658">
        <v>-1.346616E-2</v>
      </c>
      <c r="P3658">
        <v>0.99968170000000001</v>
      </c>
      <c r="Q3658">
        <v>7.9078259999999997E-3</v>
      </c>
      <c r="R3658">
        <v>2.3965489999999999E-2</v>
      </c>
      <c r="S3658">
        <v>3.0046080000000002</v>
      </c>
      <c r="T3658">
        <v>2.58199E-2</v>
      </c>
      <c r="U3658">
        <v>-0.15478520000000001</v>
      </c>
      <c r="V3658">
        <v>-3.740607E-2</v>
      </c>
      <c r="W3658">
        <v>1.682757E-2</v>
      </c>
      <c r="X3658">
        <v>0.9991584</v>
      </c>
      <c r="Y3658">
        <v>3.7993279999999997E-2</v>
      </c>
      <c r="Z3658" s="1">
        <v>4.750161E-5</v>
      </c>
      <c r="AA3658">
        <v>0.999278</v>
      </c>
      <c r="AB3658">
        <v>31</v>
      </c>
      <c r="AC3658">
        <v>247.08850000000001</v>
      </c>
      <c r="AD3658">
        <v>2.125899</v>
      </c>
      <c r="AE3658">
        <v>-12.740099999999901</v>
      </c>
      <c r="AF3658">
        <v>9.4107858158993292</v>
      </c>
      <c r="AG3658">
        <v>2.125899</v>
      </c>
      <c r="AH3658">
        <v>247.21940902439499</v>
      </c>
      <c r="AI3658">
        <v>89.507668554579993</v>
      </c>
      <c r="AJ3658">
        <v>87.820000890108005</v>
      </c>
      <c r="AK3658">
        <v>247.40759595170499</v>
      </c>
      <c r="AL3658">
        <v>89.035805697915507</v>
      </c>
      <c r="AM3658">
        <v>92.144013894621096</v>
      </c>
      <c r="AN3658">
        <v>0.999999944737753</v>
      </c>
    </row>
    <row r="3659" spans="1:40" x14ac:dyDescent="0.25">
      <c r="A3659" t="str">
        <f>"20190312160713300"</f>
        <v>20190312160713300</v>
      </c>
      <c r="B3659" t="str">
        <f>"1552378033288961"</f>
        <v>1552378033288961</v>
      </c>
      <c r="C3659" t="s">
        <v>40</v>
      </c>
      <c r="D3659">
        <v>5.9976019999999997</v>
      </c>
      <c r="E3659">
        <v>0.5278988</v>
      </c>
      <c r="F3659" t="s">
        <v>51</v>
      </c>
      <c r="G3659">
        <v>-168.4134</v>
      </c>
      <c r="H3659">
        <v>4.0953140000000001</v>
      </c>
      <c r="I3659">
        <v>201.78639999999999</v>
      </c>
      <c r="J3659">
        <v>-415.19900000000001</v>
      </c>
      <c r="K3659">
        <v>1.1086450000000001</v>
      </c>
      <c r="L3659">
        <v>213.9778</v>
      </c>
      <c r="M3659">
        <v>0.99986220000000003</v>
      </c>
      <c r="N3659">
        <v>0</v>
      </c>
      <c r="O3659">
        <v>-1.4016880000000001E-2</v>
      </c>
      <c r="P3659">
        <v>0.99969110000000005</v>
      </c>
      <c r="Q3659">
        <v>8.3292460000000002E-3</v>
      </c>
      <c r="R3659">
        <v>2.3419120000000002E-2</v>
      </c>
      <c r="S3659">
        <v>3.0042110000000002</v>
      </c>
      <c r="T3659">
        <v>3.6313650000000003E-2</v>
      </c>
      <c r="U3659">
        <v>-0.1482849</v>
      </c>
      <c r="V3659">
        <v>-3.7409610000000003E-2</v>
      </c>
      <c r="W3659">
        <v>1.7266670000000001E-2</v>
      </c>
      <c r="X3659">
        <v>0.99915080000000001</v>
      </c>
      <c r="Y3659">
        <v>3.5292219999999999E-2</v>
      </c>
      <c r="Z3659" s="1">
        <v>4.3852459999999998E-5</v>
      </c>
      <c r="AA3659">
        <v>0.99937699999999996</v>
      </c>
      <c r="AB3659">
        <v>31</v>
      </c>
      <c r="AC3659">
        <v>246.78559999999999</v>
      </c>
      <c r="AD3659">
        <v>2.986669</v>
      </c>
      <c r="AE3659">
        <v>-12.1914</v>
      </c>
      <c r="AF3659">
        <v>8.7296257594336701</v>
      </c>
      <c r="AG3659">
        <v>2.986669</v>
      </c>
      <c r="AH3659">
        <v>246.896172026176</v>
      </c>
      <c r="AI3659">
        <v>89.307367419121306</v>
      </c>
      <c r="AJ3659">
        <v>87.975009352423896</v>
      </c>
      <c r="AK3659">
        <v>247.06850531541801</v>
      </c>
      <c r="AL3659">
        <v>89.0106434871294</v>
      </c>
      <c r="AM3659">
        <v>92.144232903051105</v>
      </c>
      <c r="AN3659">
        <v>0.99999996897693999</v>
      </c>
    </row>
    <row r="3660" spans="1:40" x14ac:dyDescent="0.25">
      <c r="A3660" t="str">
        <f>"20190312160713324"</f>
        <v>20190312160713324</v>
      </c>
      <c r="B3660" t="str">
        <f>"1552378033319216"</f>
        <v>1552378033319216</v>
      </c>
      <c r="C3660" t="s">
        <v>40</v>
      </c>
      <c r="D3660">
        <v>6.092428</v>
      </c>
      <c r="E3660">
        <v>0.52825889999999998</v>
      </c>
      <c r="F3660" t="s">
        <v>51</v>
      </c>
      <c r="G3660">
        <v>-168.4134</v>
      </c>
      <c r="H3660">
        <v>3.848541</v>
      </c>
      <c r="I3660">
        <v>201.4958</v>
      </c>
      <c r="J3660">
        <v>-414.87509999999997</v>
      </c>
      <c r="K3660">
        <v>1.1086499999999999</v>
      </c>
      <c r="L3660">
        <v>213.9727</v>
      </c>
      <c r="M3660">
        <v>0.99985349999999995</v>
      </c>
      <c r="N3660">
        <v>0</v>
      </c>
      <c r="O3660">
        <v>-1.460623E-2</v>
      </c>
      <c r="P3660">
        <v>0.99970499999999995</v>
      </c>
      <c r="Q3660">
        <v>8.6604690000000005E-3</v>
      </c>
      <c r="R3660">
        <v>2.2689129999999998E-2</v>
      </c>
      <c r="S3660">
        <v>3.004181</v>
      </c>
      <c r="T3660">
        <v>3.3353809999999998E-2</v>
      </c>
      <c r="U3660">
        <v>-0.151947</v>
      </c>
      <c r="V3660">
        <v>-3.7268349999999999E-2</v>
      </c>
      <c r="W3660">
        <v>1.7616139999999999E-2</v>
      </c>
      <c r="X3660">
        <v>0.99914999999999998</v>
      </c>
      <c r="Y3660">
        <v>3.5919090000000001E-2</v>
      </c>
      <c r="Z3660" s="1">
        <v>3.7217949999999998E-5</v>
      </c>
      <c r="AA3660">
        <v>0.99935469999999904</v>
      </c>
      <c r="AB3660">
        <v>31</v>
      </c>
      <c r="AC3660">
        <v>246.46170000000001</v>
      </c>
      <c r="AD3660">
        <v>2.7398910000000001</v>
      </c>
      <c r="AE3660">
        <v>-12.476900000000001</v>
      </c>
      <c r="AF3660">
        <v>8.8744553231437209</v>
      </c>
      <c r="AG3660">
        <v>2.7398910000000001</v>
      </c>
      <c r="AH3660">
        <v>246.58725720023301</v>
      </c>
      <c r="AI3660">
        <v>89.363810687335899</v>
      </c>
      <c r="AJ3660">
        <v>87.938865592356507</v>
      </c>
      <c r="AK3660">
        <v>246.762108869065</v>
      </c>
      <c r="AL3660">
        <v>88.990617305722694</v>
      </c>
      <c r="AM3660">
        <v>92.136145428220502</v>
      </c>
      <c r="AN3660">
        <v>0.99999999040011101</v>
      </c>
    </row>
    <row r="3661" spans="1:40" x14ac:dyDescent="0.25">
      <c r="A3661" t="str">
        <f>"20190312160713346"</f>
        <v>20190312160713346</v>
      </c>
      <c r="B3661" t="str">
        <f>"1552378033338740"</f>
        <v>1552378033338740</v>
      </c>
      <c r="C3661" t="s">
        <v>40</v>
      </c>
      <c r="D3661">
        <v>6.0667260000000001</v>
      </c>
      <c r="E3661">
        <v>0.49856980000000001</v>
      </c>
      <c r="F3661" t="s">
        <v>51</v>
      </c>
      <c r="G3661">
        <v>-168.4134</v>
      </c>
      <c r="H3661">
        <v>3.2649970000000001</v>
      </c>
      <c r="I3661">
        <v>201.05019999999999</v>
      </c>
      <c r="J3661">
        <v>-414.56139999999999</v>
      </c>
      <c r="K3661">
        <v>1.1086499999999999</v>
      </c>
      <c r="L3661">
        <v>213.9675</v>
      </c>
      <c r="M3661">
        <v>0.99984499999999998</v>
      </c>
      <c r="N3661">
        <v>0</v>
      </c>
      <c r="O3661">
        <v>-1.5176739999999999E-2</v>
      </c>
      <c r="P3661">
        <v>0.99972179999999999</v>
      </c>
      <c r="Q3661">
        <v>9.0160870000000008E-3</v>
      </c>
      <c r="R3661">
        <v>2.18081E-2</v>
      </c>
      <c r="S3661">
        <v>3.0042110000000002</v>
      </c>
      <c r="T3661">
        <v>2.6284930000000001E-2</v>
      </c>
      <c r="U3661">
        <v>-0.1575165</v>
      </c>
      <c r="V3661">
        <v>-3.6957950000000003E-2</v>
      </c>
      <c r="W3661">
        <v>1.7989450000000001E-2</v>
      </c>
      <c r="X3661">
        <v>0.99915489999999996</v>
      </c>
      <c r="Y3661">
        <v>3.7196569999999998E-2</v>
      </c>
      <c r="Z3661" s="1">
        <v>2.9926920000000001E-5</v>
      </c>
      <c r="AA3661">
        <v>0.99930799999999997</v>
      </c>
      <c r="AB3661">
        <v>31</v>
      </c>
      <c r="AC3661">
        <v>246.148</v>
      </c>
      <c r="AD3661">
        <v>2.1563469999999998</v>
      </c>
      <c r="AE3661">
        <v>-12.917299999999999</v>
      </c>
      <c r="AF3661">
        <v>9.1792366680260997</v>
      </c>
      <c r="AG3661">
        <v>2.1563469999999998</v>
      </c>
      <c r="AH3661">
        <v>246.29684845771999</v>
      </c>
      <c r="AI3661">
        <v>89.498732044493096</v>
      </c>
      <c r="AJ3661">
        <v>87.865631558899807</v>
      </c>
      <c r="AK3661">
        <v>246.477272336411</v>
      </c>
      <c r="AL3661">
        <v>88.969224850176104</v>
      </c>
      <c r="AM3661">
        <v>92.118359834299</v>
      </c>
      <c r="AN3661">
        <v>1.0000000122867501</v>
      </c>
    </row>
    <row r="3662" spans="1:40" x14ac:dyDescent="0.25">
      <c r="A3662" t="str">
        <f>"20190312160713368"</f>
        <v>20190312160713368</v>
      </c>
      <c r="B3662" t="str">
        <f>"1552378033359232"</f>
        <v>1552378033359232</v>
      </c>
      <c r="C3662" t="s">
        <v>40</v>
      </c>
      <c r="D3662">
        <v>6.0523099999999896</v>
      </c>
      <c r="E3662">
        <v>0.49963659999999999</v>
      </c>
      <c r="F3662" t="s">
        <v>52</v>
      </c>
      <c r="G3662">
        <v>-157.8382</v>
      </c>
      <c r="H3662">
        <v>0.78826809999999903</v>
      </c>
      <c r="I3662">
        <v>220.4864</v>
      </c>
      <c r="J3662">
        <v>-414.25130000000001</v>
      </c>
      <c r="K3662">
        <v>1.108654</v>
      </c>
      <c r="L3662">
        <v>213.9622</v>
      </c>
      <c r="M3662">
        <v>0.99983610000000001</v>
      </c>
      <c r="N3662">
        <v>0</v>
      </c>
      <c r="O3662">
        <v>-1.5739510000000002E-2</v>
      </c>
      <c r="P3662">
        <v>0.9997258</v>
      </c>
      <c r="Q3662">
        <v>8.8502800000000003E-3</v>
      </c>
      <c r="R3662">
        <v>2.1682489999999999E-2</v>
      </c>
      <c r="S3662">
        <v>2.9991759999999998</v>
      </c>
      <c r="T3662">
        <v>-3.7422179999999998E-3</v>
      </c>
      <c r="U3662">
        <v>7.6156619999999994E-2</v>
      </c>
      <c r="V3662">
        <v>-3.7394459999999997E-2</v>
      </c>
      <c r="W3662">
        <v>1.7841650000000001E-2</v>
      </c>
      <c r="X3662">
        <v>0.99914130000000001</v>
      </c>
      <c r="Y3662">
        <v>-4.1116199999999999E-2</v>
      </c>
      <c r="Z3662" s="1">
        <v>4.5284129999999998E-5</v>
      </c>
      <c r="AA3662">
        <v>0.9991544</v>
      </c>
      <c r="AB3662">
        <v>31</v>
      </c>
      <c r="AC3662">
        <v>256.41309999999999</v>
      </c>
      <c r="AD3662">
        <v>-0.3203859</v>
      </c>
      <c r="AE3662">
        <v>6.5242000000000004</v>
      </c>
      <c r="AF3662">
        <v>-10.5593533598222</v>
      </c>
      <c r="AG3662">
        <v>-0.3203859</v>
      </c>
      <c r="AH3662">
        <v>256.27824293158898</v>
      </c>
      <c r="AI3662">
        <v>90.071567481357405</v>
      </c>
      <c r="AJ3662">
        <v>92.359405768880904</v>
      </c>
      <c r="AK3662">
        <v>256.49588766801901</v>
      </c>
      <c r="AL3662">
        <v>88.977694516905004</v>
      </c>
      <c r="AM3662">
        <v>92.143385710390305</v>
      </c>
      <c r="AN3662">
        <v>1.00000000373955</v>
      </c>
    </row>
    <row r="3663" spans="1:40" x14ac:dyDescent="0.25">
      <c r="A3663" t="str">
        <f>"20190312160713389"</f>
        <v>20190312160713389</v>
      </c>
      <c r="B3663" t="str">
        <f>"1552378033378756"</f>
        <v>1552378033378756</v>
      </c>
      <c r="C3663" t="s">
        <v>40</v>
      </c>
      <c r="D3663">
        <v>5.8846730000000003</v>
      </c>
      <c r="E3663">
        <v>0.50027979999999905</v>
      </c>
      <c r="F3663" t="s">
        <v>61</v>
      </c>
      <c r="G3663">
        <v>-182.87950000000001</v>
      </c>
      <c r="H3663" s="1">
        <v>2.3218809999999999E-6</v>
      </c>
      <c r="I3663">
        <v>219.13050000000001</v>
      </c>
      <c r="J3663">
        <v>-413.94749999999999</v>
      </c>
      <c r="K3663">
        <v>1.1086450000000001</v>
      </c>
      <c r="L3663">
        <v>213.95689999999999</v>
      </c>
      <c r="M3663">
        <v>0.99982709999999997</v>
      </c>
      <c r="N3663">
        <v>0</v>
      </c>
      <c r="O3663">
        <v>-1.6289979999999999E-2</v>
      </c>
      <c r="P3663">
        <v>0.99973829999999997</v>
      </c>
      <c r="Q3663">
        <v>8.9517250000000007E-3</v>
      </c>
      <c r="R3663">
        <v>2.105286E-2</v>
      </c>
      <c r="S3663">
        <v>2.9995120000000002</v>
      </c>
      <c r="T3663">
        <v>-1.4372589999999999E-2</v>
      </c>
      <c r="U3663">
        <v>6.7001340000000006E-2</v>
      </c>
      <c r="V3663">
        <v>-3.7314809999999997E-2</v>
      </c>
      <c r="W3663">
        <v>1.796037E-2</v>
      </c>
      <c r="X3663">
        <v>0.99914219999999998</v>
      </c>
      <c r="Y3663">
        <v>-3.8614830000000003E-2</v>
      </c>
      <c r="Z3663">
        <v>1.7055179999999999E-4</v>
      </c>
      <c r="AA3663">
        <v>0.99925419999999998</v>
      </c>
      <c r="AB3663">
        <v>31</v>
      </c>
      <c r="AC3663">
        <v>231.06800000000001</v>
      </c>
      <c r="AD3663">
        <v>-1.108642678119</v>
      </c>
      <c r="AE3663">
        <v>5.17360000000002</v>
      </c>
      <c r="AF3663">
        <v>-8.9369522691848893</v>
      </c>
      <c r="AG3663">
        <v>-1.108642678119</v>
      </c>
      <c r="AH3663">
        <v>230.94774203866501</v>
      </c>
      <c r="AI3663">
        <v>90.274835134078003</v>
      </c>
      <c r="AJ3663">
        <v>92.216061012568503</v>
      </c>
      <c r="AK3663">
        <v>231.12325230752401</v>
      </c>
      <c r="AL3663">
        <v>88.970891322433005</v>
      </c>
      <c r="AM3663">
        <v>92.138822630048594</v>
      </c>
      <c r="AN3663">
        <v>1.0000000528783499</v>
      </c>
    </row>
    <row r="3664" spans="1:40" x14ac:dyDescent="0.25">
      <c r="A3664" t="str">
        <f>"20190312160713411"</f>
        <v>20190312160713411</v>
      </c>
      <c r="B3664" t="str">
        <f>"1552378033409010"</f>
        <v>1552378033409010</v>
      </c>
      <c r="C3664" t="s">
        <v>40</v>
      </c>
      <c r="D3664">
        <v>5.3845640000000001</v>
      </c>
      <c r="E3664">
        <v>0.50111309999999998</v>
      </c>
      <c r="F3664" t="s">
        <v>66</v>
      </c>
      <c r="G3664">
        <v>-242.38220000000001</v>
      </c>
      <c r="H3664" s="1">
        <v>-3.8966860000000002E-7</v>
      </c>
      <c r="I3664">
        <v>217.37450000000001</v>
      </c>
      <c r="J3664">
        <v>-413.62950000000001</v>
      </c>
      <c r="K3664">
        <v>1.108641</v>
      </c>
      <c r="L3664">
        <v>213.9512</v>
      </c>
      <c r="M3664">
        <v>0.99981759999999997</v>
      </c>
      <c r="N3664">
        <v>0</v>
      </c>
      <c r="O3664">
        <v>-1.686561E-2</v>
      </c>
      <c r="P3664">
        <v>0.99974600000000002</v>
      </c>
      <c r="Q3664">
        <v>8.8569340000000003E-3</v>
      </c>
      <c r="R3664">
        <v>2.0730309999999998E-2</v>
      </c>
      <c r="S3664">
        <v>2.9996640000000001</v>
      </c>
      <c r="T3664">
        <v>-1.9383669999999999E-2</v>
      </c>
      <c r="U3664">
        <v>5.9753420000000002E-2</v>
      </c>
      <c r="V3664">
        <v>-3.756785E-2</v>
      </c>
      <c r="W3664">
        <v>1.7883599999999999E-2</v>
      </c>
      <c r="X3664">
        <v>0.99913410000000002</v>
      </c>
      <c r="Y3664">
        <v>-3.6775080000000002E-2</v>
      </c>
      <c r="Z3664">
        <v>2.2778410000000001E-4</v>
      </c>
      <c r="AA3664">
        <v>0.99932350000000003</v>
      </c>
      <c r="AB3664">
        <v>31</v>
      </c>
      <c r="AC3664">
        <v>171.2473</v>
      </c>
      <c r="AD3664">
        <v>-1.1086413896686</v>
      </c>
      <c r="AE3664">
        <v>3.42330000000001</v>
      </c>
      <c r="AF3664">
        <v>-6.3108548258825499</v>
      </c>
      <c r="AG3664">
        <v>-1.1086413896686</v>
      </c>
      <c r="AH3664">
        <v>171.158031755899</v>
      </c>
      <c r="AI3664">
        <v>90.370864581320902</v>
      </c>
      <c r="AJ3664">
        <v>92.1116252451544</v>
      </c>
      <c r="AK3664">
        <v>171.27792563234101</v>
      </c>
      <c r="AL3664">
        <v>88.975290631169102</v>
      </c>
      <c r="AM3664">
        <v>92.153330293644601</v>
      </c>
      <c r="AN3664">
        <v>1.00000005814269</v>
      </c>
    </row>
    <row r="3665" spans="1:40" x14ac:dyDescent="0.25">
      <c r="A3665" t="str">
        <f>"20190312160713434"</f>
        <v>20190312160713434</v>
      </c>
      <c r="B3665" t="str">
        <f>"1552378033428529"</f>
        <v>1552378033428529</v>
      </c>
      <c r="C3665" t="s">
        <v>40</v>
      </c>
      <c r="D3665">
        <v>5.842282</v>
      </c>
      <c r="E3665">
        <v>0.50129630000000003</v>
      </c>
      <c r="F3665" t="s">
        <v>77</v>
      </c>
      <c r="G3665">
        <v>-283.94209999999998</v>
      </c>
      <c r="H3665" s="1">
        <v>5.1548329999999996E-6</v>
      </c>
      <c r="I3665">
        <v>216.1927</v>
      </c>
      <c r="J3665">
        <v>-413.32170000000002</v>
      </c>
      <c r="K3665">
        <v>1.108646</v>
      </c>
      <c r="L3665">
        <v>213.94540000000001</v>
      </c>
      <c r="M3665">
        <v>0.99980769999999997</v>
      </c>
      <c r="N3665">
        <v>0</v>
      </c>
      <c r="O3665">
        <v>-1.7421570000000001E-2</v>
      </c>
      <c r="P3665">
        <v>0.99975729999999996</v>
      </c>
      <c r="Q3665">
        <v>8.9049379999999994E-3</v>
      </c>
      <c r="R3665">
        <v>2.0151949999999998E-2</v>
      </c>
      <c r="S3665">
        <v>2.9998779999999998</v>
      </c>
      <c r="T3665">
        <v>-2.564454E-2</v>
      </c>
      <c r="U3665">
        <v>5.1849369999999999E-2</v>
      </c>
      <c r="V3665">
        <v>-3.7545410000000001E-2</v>
      </c>
      <c r="W3665">
        <v>1.7949400000000001E-2</v>
      </c>
      <c r="X3665">
        <v>0.99913370000000001</v>
      </c>
      <c r="Y3665">
        <v>-3.4696400000000002E-2</v>
      </c>
      <c r="Z3665">
        <v>2.9720879999999998E-4</v>
      </c>
      <c r="AA3665">
        <v>0.99939789999999995</v>
      </c>
      <c r="AB3665">
        <v>31</v>
      </c>
      <c r="AC3665">
        <v>129.37960000000001</v>
      </c>
      <c r="AD3665">
        <v>-1.108640845167</v>
      </c>
      <c r="AE3665">
        <v>2.2472999999999899</v>
      </c>
      <c r="AF3665">
        <v>-4.5007156450100503</v>
      </c>
      <c r="AG3665">
        <v>-1.108640845167</v>
      </c>
      <c r="AH3665">
        <v>129.311317809841</v>
      </c>
      <c r="AI3665">
        <v>90.490911773475204</v>
      </c>
      <c r="AJ3665">
        <v>91.993390539319094</v>
      </c>
      <c r="AK3665">
        <v>129.39436788190801</v>
      </c>
      <c r="AL3665">
        <v>88.971519898518594</v>
      </c>
      <c r="AM3665">
        <v>92.152046138497795</v>
      </c>
      <c r="AN3665">
        <v>0.99999999462405897</v>
      </c>
    </row>
    <row r="3666" spans="1:40" x14ac:dyDescent="0.25">
      <c r="A3666" t="str">
        <f>"20190312160713457"</f>
        <v>20190312160713457</v>
      </c>
      <c r="B3666" t="str">
        <f>"1552378033449025"</f>
        <v>1552378033449025</v>
      </c>
      <c r="C3666" t="s">
        <v>40</v>
      </c>
      <c r="D3666">
        <v>5.892881</v>
      </c>
      <c r="E3666">
        <v>0.50156350000000005</v>
      </c>
      <c r="F3666" t="s">
        <v>77</v>
      </c>
      <c r="G3666">
        <v>-291.59949999999998</v>
      </c>
      <c r="H3666" s="1">
        <v>1.1781260000000001E-6</v>
      </c>
      <c r="I3666">
        <v>215.92099999999999</v>
      </c>
      <c r="J3666">
        <v>-412.99340000000001</v>
      </c>
      <c r="K3666">
        <v>1.1086450000000001</v>
      </c>
      <c r="L3666">
        <v>213.9391</v>
      </c>
      <c r="M3666">
        <v>0.99979700000000005</v>
      </c>
      <c r="N3666">
        <v>0</v>
      </c>
      <c r="O3666">
        <v>-1.8011269999999999E-2</v>
      </c>
      <c r="P3666">
        <v>0.99977780000000005</v>
      </c>
      <c r="Q3666">
        <v>9.0752039999999999E-3</v>
      </c>
      <c r="R3666">
        <v>1.902384E-2</v>
      </c>
      <c r="S3666">
        <v>3</v>
      </c>
      <c r="T3666">
        <v>-2.7323960000000001E-2</v>
      </c>
      <c r="U3666">
        <v>4.8690799999999999E-2</v>
      </c>
      <c r="V3666">
        <v>-3.7007390000000001E-2</v>
      </c>
      <c r="W3666">
        <v>1.8137239999999999E-2</v>
      </c>
      <c r="X3666">
        <v>0.99915039999999999</v>
      </c>
      <c r="Y3666">
        <v>-3.423296E-2</v>
      </c>
      <c r="Z3666">
        <v>3.199214E-4</v>
      </c>
      <c r="AA3666">
        <v>0.99941380000000002</v>
      </c>
      <c r="AB3666">
        <v>31</v>
      </c>
      <c r="AC3666">
        <v>121.3939</v>
      </c>
      <c r="AD3666">
        <v>-1.108643821874</v>
      </c>
      <c r="AE3666">
        <v>1.98189999999999</v>
      </c>
      <c r="AF3666">
        <v>-4.16777842894576</v>
      </c>
      <c r="AG3666">
        <v>-1.108643821874</v>
      </c>
      <c r="AH3666">
        <v>121.328391701857</v>
      </c>
      <c r="AI3666">
        <v>90.523219686590807</v>
      </c>
      <c r="AJ3666">
        <v>91.967406392185495</v>
      </c>
      <c r="AK3666">
        <v>121.405016787264</v>
      </c>
      <c r="AL3666">
        <v>88.960755727123299</v>
      </c>
      <c r="AM3666">
        <v>92.121200599465197</v>
      </c>
      <c r="AN3666">
        <v>1.00000001410479</v>
      </c>
    </row>
    <row r="3667" spans="1:40" x14ac:dyDescent="0.25">
      <c r="A3667" t="str">
        <f>"20190312160713480"</f>
        <v>20190312160713480</v>
      </c>
      <c r="B3667" t="str">
        <f>"1552378033468545"</f>
        <v>1552378033468545</v>
      </c>
      <c r="C3667" t="s">
        <v>40</v>
      </c>
      <c r="D3667">
        <v>5.8636210000000002</v>
      </c>
      <c r="E3667">
        <v>0.50165720000000003</v>
      </c>
      <c r="F3667" t="s">
        <v>77</v>
      </c>
      <c r="G3667">
        <v>-290.89510000000001</v>
      </c>
      <c r="H3667" s="1">
        <v>1.0531740000000001E-6</v>
      </c>
      <c r="I3667">
        <v>215.69470000000001</v>
      </c>
      <c r="J3667">
        <v>-412.67419999999998</v>
      </c>
      <c r="K3667">
        <v>1.108652</v>
      </c>
      <c r="L3667">
        <v>213.93279999999999</v>
      </c>
      <c r="M3667">
        <v>0.99978659999999997</v>
      </c>
      <c r="N3667">
        <v>0</v>
      </c>
      <c r="O3667">
        <v>-1.8579709999999999E-2</v>
      </c>
      <c r="P3667">
        <v>0.99979750000000001</v>
      </c>
      <c r="Q3667">
        <v>8.6083419999999997E-3</v>
      </c>
      <c r="R3667">
        <v>1.8198590000000001E-2</v>
      </c>
      <c r="S3667">
        <v>3.0001220000000002</v>
      </c>
      <c r="T3667">
        <v>-2.724087E-2</v>
      </c>
      <c r="U3667">
        <v>4.3136599999999997E-2</v>
      </c>
      <c r="V3667">
        <v>-3.6750890000000001E-2</v>
      </c>
      <c r="W3667">
        <v>1.7687649999999999E-2</v>
      </c>
      <c r="X3667">
        <v>0.9991679</v>
      </c>
      <c r="Y3667">
        <v>-3.2950750000000001E-2</v>
      </c>
      <c r="Z3667">
        <v>3.182797E-4</v>
      </c>
      <c r="AA3667">
        <v>0.99945689999999998</v>
      </c>
      <c r="AB3667">
        <v>32</v>
      </c>
      <c r="AC3667">
        <v>121.779099999999</v>
      </c>
      <c r="AD3667">
        <v>-1.108650946826</v>
      </c>
      <c r="AE3667">
        <v>1.76190000000002</v>
      </c>
      <c r="AF3667">
        <v>-4.02397503182699</v>
      </c>
      <c r="AG3667">
        <v>-1.108650946826</v>
      </c>
      <c r="AH3667">
        <v>121.715254611009</v>
      </c>
      <c r="AI3667">
        <v>90.521582778130593</v>
      </c>
      <c r="AJ3667">
        <v>91.893541137275705</v>
      </c>
      <c r="AK3667">
        <v>121.786800134503</v>
      </c>
      <c r="AL3667">
        <v>88.986519442198002</v>
      </c>
      <c r="AM3667">
        <v>92.106474885902202</v>
      </c>
      <c r="AN3667">
        <v>0.99999998663436196</v>
      </c>
    </row>
    <row r="3668" spans="1:40" x14ac:dyDescent="0.25">
      <c r="A3668" t="str">
        <f>"20190312160713500"</f>
        <v>20190312160713500</v>
      </c>
      <c r="B3668" t="str">
        <f>"1552378033489041"</f>
        <v>1552378033489041</v>
      </c>
      <c r="C3668" t="s">
        <v>40</v>
      </c>
      <c r="D3668">
        <v>6.0499700000000001</v>
      </c>
      <c r="E3668">
        <v>0.50166120000000003</v>
      </c>
      <c r="F3668" t="s">
        <v>77</v>
      </c>
      <c r="G3668">
        <v>-312.98410000000001</v>
      </c>
      <c r="H3668" s="1">
        <v>2.228971E-6</v>
      </c>
      <c r="I3668">
        <v>215.2535</v>
      </c>
      <c r="J3668">
        <v>-412.37439999999998</v>
      </c>
      <c r="K3668">
        <v>1.1086560000000001</v>
      </c>
      <c r="L3668">
        <v>213.92670000000001</v>
      </c>
      <c r="M3668">
        <v>0.99977640000000001</v>
      </c>
      <c r="N3668">
        <v>0</v>
      </c>
      <c r="O3668">
        <v>-1.9108090000000001E-2</v>
      </c>
      <c r="P3668">
        <v>0.99980899999999995</v>
      </c>
      <c r="Q3668">
        <v>8.0541999999999992E-3</v>
      </c>
      <c r="R3668">
        <v>1.7808890000000001E-2</v>
      </c>
      <c r="S3668">
        <v>3.0002140000000002</v>
      </c>
      <c r="T3668">
        <v>-3.3365249999999999E-2</v>
      </c>
      <c r="U3668">
        <v>3.9749149999999997E-2</v>
      </c>
      <c r="V3668">
        <v>-3.6890369999999999E-2</v>
      </c>
      <c r="W3668">
        <v>1.7149859999999999E-2</v>
      </c>
      <c r="X3668">
        <v>0.99917219999999995</v>
      </c>
      <c r="Y3668">
        <v>-3.2349210000000003E-2</v>
      </c>
      <c r="Z3668">
        <v>3.9235380000000002E-4</v>
      </c>
      <c r="AA3668">
        <v>0.99947660000000005</v>
      </c>
      <c r="AB3668">
        <v>32</v>
      </c>
      <c r="AC3668">
        <v>99.390299999999897</v>
      </c>
      <c r="AD3668">
        <v>-1.1086537710290001</v>
      </c>
      <c r="AE3668">
        <v>1.32679999999999</v>
      </c>
      <c r="AF3668">
        <v>-3.2253931906152502</v>
      </c>
      <c r="AG3668">
        <v>-1.1086537710290001</v>
      </c>
      <c r="AH3668">
        <v>99.334441174062505</v>
      </c>
      <c r="AI3668">
        <v>90.639104517076504</v>
      </c>
      <c r="AJ3668">
        <v>91.859742807948507</v>
      </c>
      <c r="AK3668">
        <v>99.392974992105806</v>
      </c>
      <c r="AL3668">
        <v>89.0173372792854</v>
      </c>
      <c r="AM3668">
        <v>92.114453218052006</v>
      </c>
      <c r="AN3668">
        <v>1.00000005117479</v>
      </c>
    </row>
    <row r="3669" spans="1:40" x14ac:dyDescent="0.25">
      <c r="A3669" t="str">
        <f>"20190312160713525"</f>
        <v>20190312160713525</v>
      </c>
      <c r="B3669" t="str">
        <f>"1552378033519297"</f>
        <v>1552378033519297</v>
      </c>
      <c r="C3669" t="s">
        <v>40</v>
      </c>
      <c r="D3669">
        <v>5.8596680000000001</v>
      </c>
      <c r="E3669">
        <v>0.51057149999999996</v>
      </c>
      <c r="F3669" t="s">
        <v>66</v>
      </c>
      <c r="G3669">
        <v>-327.28140000000002</v>
      </c>
      <c r="H3669" s="1">
        <v>2.3380010000000001E-6</v>
      </c>
      <c r="I3669">
        <v>215.01419999999999</v>
      </c>
      <c r="J3669">
        <v>-412.03629999999998</v>
      </c>
      <c r="K3669">
        <v>1.10866</v>
      </c>
      <c r="L3669">
        <v>213.9196</v>
      </c>
      <c r="M3669">
        <v>0.99976500000000001</v>
      </c>
      <c r="N3669">
        <v>0</v>
      </c>
      <c r="O3669">
        <v>-1.969042E-2</v>
      </c>
      <c r="P3669">
        <v>0.99982119999999997</v>
      </c>
      <c r="Q3669">
        <v>8.1848670000000002E-3</v>
      </c>
      <c r="R3669">
        <v>1.704526E-2</v>
      </c>
      <c r="S3669">
        <v>3.0002140000000002</v>
      </c>
      <c r="T3669">
        <v>-3.9088959999999999E-2</v>
      </c>
      <c r="U3669">
        <v>3.8345339999999999E-2</v>
      </c>
      <c r="V3669">
        <v>-3.6709220000000001E-2</v>
      </c>
      <c r="W3669">
        <v>1.729814E-2</v>
      </c>
      <c r="X3669">
        <v>0.99917630000000002</v>
      </c>
      <c r="Y3669">
        <v>-3.2462539999999998E-2</v>
      </c>
      <c r="Z3669">
        <v>4.679811E-4</v>
      </c>
      <c r="AA3669">
        <v>0.9994729</v>
      </c>
      <c r="AB3669">
        <v>32</v>
      </c>
      <c r="AC3669">
        <v>84.754899999999907</v>
      </c>
      <c r="AD3669">
        <v>-1.1086576619990001</v>
      </c>
      <c r="AE3669">
        <v>1.09459999999998</v>
      </c>
      <c r="AF3669">
        <v>-2.7628433057902</v>
      </c>
      <c r="AG3669">
        <v>-1.1086576619990001</v>
      </c>
      <c r="AH3669">
        <v>84.702422085179904</v>
      </c>
      <c r="AI3669">
        <v>90.749494728274698</v>
      </c>
      <c r="AJ3669">
        <v>91.868224686003401</v>
      </c>
      <c r="AK3669">
        <v>84.754721001486601</v>
      </c>
      <c r="AL3669">
        <v>89.008840185478505</v>
      </c>
      <c r="AM3669">
        <v>92.104070934134398</v>
      </c>
      <c r="AN3669">
        <v>1.0000000354810701</v>
      </c>
    </row>
    <row r="3670" spans="1:40" x14ac:dyDescent="0.25">
      <c r="A3670" t="str">
        <f>"20190312160713547"</f>
        <v>20190312160713547</v>
      </c>
      <c r="B3670" t="str">
        <f>"1552378033538818"</f>
        <v>1552378033538818</v>
      </c>
      <c r="C3670" t="s">
        <v>40</v>
      </c>
      <c r="D3670">
        <v>5.8421149999999997</v>
      </c>
      <c r="E3670">
        <v>0.50919360000000002</v>
      </c>
      <c r="F3670" t="s">
        <v>66</v>
      </c>
      <c r="G3670">
        <v>-390.53309999999999</v>
      </c>
      <c r="H3670" s="1">
        <v>-1.253081E-6</v>
      </c>
      <c r="I3670">
        <v>213.64449999999999</v>
      </c>
      <c r="J3670">
        <v>-411.7115</v>
      </c>
      <c r="K3670">
        <v>1.108676</v>
      </c>
      <c r="L3670">
        <v>213.9127</v>
      </c>
      <c r="M3670">
        <v>0.99975420000000004</v>
      </c>
      <c r="N3670">
        <v>0</v>
      </c>
      <c r="O3670">
        <v>-2.0226419999999998E-2</v>
      </c>
      <c r="P3670">
        <v>0.99982409999999999</v>
      </c>
      <c r="Q3670">
        <v>7.9177589999999999E-3</v>
      </c>
      <c r="R3670">
        <v>1.7014620000000001E-2</v>
      </c>
      <c r="S3670">
        <v>3.002472</v>
      </c>
      <c r="T3670">
        <v>-0.15480169999999999</v>
      </c>
      <c r="U3670">
        <v>-3.8406370000000002E-2</v>
      </c>
      <c r="V3670">
        <v>-3.7215360000000003E-2</v>
      </c>
      <c r="W3670">
        <v>1.7047840000000002E-2</v>
      </c>
      <c r="X3670">
        <v>0.99916179999999999</v>
      </c>
      <c r="Y3670">
        <v>-7.40098699999999E-3</v>
      </c>
      <c r="Z3670">
        <v>1.2327130000000001E-3</v>
      </c>
      <c r="AA3670">
        <v>0.99997190000000002</v>
      </c>
      <c r="AB3670">
        <v>32</v>
      </c>
      <c r="AC3670">
        <v>21.1784</v>
      </c>
      <c r="AD3670">
        <v>-1.1086772530810001</v>
      </c>
      <c r="AE3670">
        <v>-0.26820000000000699</v>
      </c>
      <c r="AF3670">
        <v>-0.15979789123416199</v>
      </c>
      <c r="AG3670">
        <v>-1.1086772530810001</v>
      </c>
      <c r="AH3670">
        <v>21.121618284832898</v>
      </c>
      <c r="AI3670">
        <v>93.004621638765698</v>
      </c>
      <c r="AJ3670">
        <v>90.433469156507002</v>
      </c>
      <c r="AK3670">
        <v>21.151299241127699</v>
      </c>
      <c r="AL3670">
        <v>89.023183357319795</v>
      </c>
      <c r="AM3670">
        <v>92.133085789267895</v>
      </c>
      <c r="AN3670">
        <v>0.99999995722391599</v>
      </c>
    </row>
    <row r="3671" spans="1:40" x14ac:dyDescent="0.25">
      <c r="A3671" t="str">
        <f>"20190312160713571"</f>
        <v>20190312160713571</v>
      </c>
      <c r="B3671" t="str">
        <f>"1552378033548577"</f>
        <v>1552378033548577</v>
      </c>
      <c r="C3671" t="s">
        <v>40</v>
      </c>
      <c r="D3671">
        <v>5.8552419999999996</v>
      </c>
      <c r="E3671">
        <v>0.50932719999999998</v>
      </c>
      <c r="F3671" t="s">
        <v>66</v>
      </c>
      <c r="G3671">
        <v>-388.50889999999998</v>
      </c>
      <c r="H3671" s="1">
        <v>3.031052E-6</v>
      </c>
      <c r="I3671">
        <v>213.70580000000001</v>
      </c>
      <c r="J3671">
        <v>-411.38040000000001</v>
      </c>
      <c r="K3671">
        <v>1.1087039999999999</v>
      </c>
      <c r="L3671">
        <v>213.90539999999999</v>
      </c>
      <c r="M3671">
        <v>0.99974350000000001</v>
      </c>
      <c r="N3671">
        <v>0</v>
      </c>
      <c r="O3671">
        <v>-2.0738699999999999E-2</v>
      </c>
      <c r="P3671">
        <v>0.99983069999999996</v>
      </c>
      <c r="Q3671">
        <v>8.5200559999999998E-3</v>
      </c>
      <c r="R3671">
        <v>1.631838E-2</v>
      </c>
      <c r="S3671">
        <v>3.002075</v>
      </c>
      <c r="T3671">
        <v>-0.14344599999999999</v>
      </c>
      <c r="U3671">
        <v>-2.676392E-2</v>
      </c>
      <c r="V3671">
        <v>-3.7032009999999997E-2</v>
      </c>
      <c r="W3671">
        <v>1.766525E-2</v>
      </c>
      <c r="X3671">
        <v>0.99915790000000004</v>
      </c>
      <c r="Y3671">
        <v>-1.1788760000000001E-2</v>
      </c>
      <c r="Z3671">
        <v>1.271803E-3</v>
      </c>
      <c r="AA3671">
        <v>0.99992970000000003</v>
      </c>
      <c r="AB3671">
        <v>32</v>
      </c>
      <c r="AC3671">
        <v>22.871500000000001</v>
      </c>
      <c r="AD3671">
        <v>-1.1087009689480001</v>
      </c>
      <c r="AE3671">
        <v>-0.19959999999997499</v>
      </c>
      <c r="AF3671">
        <v>-0.27414361002857401</v>
      </c>
      <c r="AG3671">
        <v>-1.1087009689480001</v>
      </c>
      <c r="AH3671">
        <v>22.817107610492901</v>
      </c>
      <c r="AI3671">
        <v>92.781657941600699</v>
      </c>
      <c r="AJ3671">
        <v>90.688365780418494</v>
      </c>
      <c r="AK3671">
        <v>22.845672944045202</v>
      </c>
      <c r="AL3671">
        <v>88.9878030513689</v>
      </c>
      <c r="AM3671">
        <v>92.122594567141206</v>
      </c>
      <c r="AN3671">
        <v>0.999999969977305</v>
      </c>
    </row>
    <row r="3672" spans="1:40" x14ac:dyDescent="0.25">
      <c r="A3672" t="str">
        <f>"20190312160713591"</f>
        <v>20190312160713591</v>
      </c>
      <c r="B3672" t="str">
        <f>"1552378033588593"</f>
        <v>1552378033588593</v>
      </c>
      <c r="C3672" t="s">
        <v>40</v>
      </c>
      <c r="D3672">
        <v>5.8208339999999996</v>
      </c>
      <c r="E3672">
        <v>0.50882150000000004</v>
      </c>
      <c r="F3672" t="s">
        <v>66</v>
      </c>
      <c r="G3672">
        <v>-388.4753</v>
      </c>
      <c r="H3672" s="1">
        <v>3.0144310000000001E-6</v>
      </c>
      <c r="I3672">
        <v>213.67590000000001</v>
      </c>
      <c r="J3672">
        <v>-411.08819999999997</v>
      </c>
      <c r="K3672">
        <v>1.1087370000000001</v>
      </c>
      <c r="L3672">
        <v>213.8989</v>
      </c>
      <c r="M3672">
        <v>0.99973449999999997</v>
      </c>
      <c r="N3672">
        <v>0</v>
      </c>
      <c r="O3672">
        <v>-2.1152560000000001E-2</v>
      </c>
      <c r="P3672">
        <v>0.99982590000000005</v>
      </c>
      <c r="Q3672">
        <v>9.1165050000000004E-3</v>
      </c>
      <c r="R3672">
        <v>1.6280079999999999E-2</v>
      </c>
      <c r="S3672">
        <v>3.0022280000000001</v>
      </c>
      <c r="T3672">
        <v>-0.1453197</v>
      </c>
      <c r="U3672">
        <v>-3.0090329999999998E-2</v>
      </c>
      <c r="V3672">
        <v>-3.7407500000000003E-2</v>
      </c>
      <c r="W3672">
        <v>1.8275980000000001E-2</v>
      </c>
      <c r="X3672">
        <v>0.99913289999999999</v>
      </c>
      <c r="Y3672">
        <v>-1.1094720000000001E-2</v>
      </c>
      <c r="Z3672">
        <v>1.2915520000000001E-3</v>
      </c>
      <c r="AA3672">
        <v>0.99993759999999998</v>
      </c>
      <c r="AB3672">
        <v>32</v>
      </c>
      <c r="AC3672">
        <v>22.6128999999999</v>
      </c>
      <c r="AD3672">
        <v>-1.1087339855689999</v>
      </c>
      <c r="AE3672">
        <v>-0.22299999999998399</v>
      </c>
      <c r="AF3672">
        <v>-0.25477815511059998</v>
      </c>
      <c r="AG3672">
        <v>-1.1087339855689999</v>
      </c>
      <c r="AH3672">
        <v>22.558331454591801</v>
      </c>
      <c r="AI3672">
        <v>92.813623774416996</v>
      </c>
      <c r="AJ3672">
        <v>90.647082094166606</v>
      </c>
      <c r="AK3672">
        <v>22.586998936873101</v>
      </c>
      <c r="AL3672">
        <v>88.952805117620301</v>
      </c>
      <c r="AM3672">
        <v>92.144150452640304</v>
      </c>
      <c r="AN3672">
        <v>0.99999994218180799</v>
      </c>
    </row>
    <row r="3673" spans="1:40" x14ac:dyDescent="0.25">
      <c r="A3673" t="str">
        <f>"20190312160713613"</f>
        <v>20190312160713613</v>
      </c>
      <c r="B3673" t="str">
        <f>"1552378033609089"</f>
        <v>1552378033609089</v>
      </c>
      <c r="C3673" t="s">
        <v>40</v>
      </c>
      <c r="D3673">
        <v>5.3506429999999998</v>
      </c>
      <c r="E3673">
        <v>0.4976352</v>
      </c>
      <c r="F3673" t="s">
        <v>66</v>
      </c>
      <c r="G3673">
        <v>-387.98410000000001</v>
      </c>
      <c r="H3673" s="1">
        <v>2.752182E-6</v>
      </c>
      <c r="I3673">
        <v>213.69579999999999</v>
      </c>
      <c r="J3673">
        <v>-410.76900000000001</v>
      </c>
      <c r="K3673">
        <v>1.1087659999999999</v>
      </c>
      <c r="L3673">
        <v>213.89179999999999</v>
      </c>
      <c r="M3673">
        <v>0.9997258</v>
      </c>
      <c r="N3673">
        <v>0</v>
      </c>
      <c r="O3673">
        <v>-2.1560490000000002E-2</v>
      </c>
      <c r="P3673">
        <v>0.99982769999999999</v>
      </c>
      <c r="Q3673">
        <v>9.1201349999999997E-3</v>
      </c>
      <c r="R3673">
        <v>1.6173650000000001E-2</v>
      </c>
      <c r="S3673">
        <v>3.0022280000000001</v>
      </c>
      <c r="T3673">
        <v>-0.14407249999999999</v>
      </c>
      <c r="U3673">
        <v>-2.6397710000000001E-2</v>
      </c>
      <c r="V3673">
        <v>-3.7710489999999999E-2</v>
      </c>
      <c r="W3673">
        <v>1.829267E-2</v>
      </c>
      <c r="X3673">
        <v>0.99912120000000004</v>
      </c>
      <c r="Y3673">
        <v>-1.2730770000000001E-2</v>
      </c>
      <c r="Z3673">
        <v>1.339284E-3</v>
      </c>
      <c r="AA3673">
        <v>0.99991799999999997</v>
      </c>
      <c r="AB3673">
        <v>32</v>
      </c>
      <c r="AC3673">
        <v>22.7849</v>
      </c>
      <c r="AD3673">
        <v>-1.1087632478179901</v>
      </c>
      <c r="AE3673">
        <v>-0.19599999999999701</v>
      </c>
      <c r="AF3673">
        <v>-0.29462206110052003</v>
      </c>
      <c r="AG3673">
        <v>-1.1087632478179901</v>
      </c>
      <c r="AH3673">
        <v>22.7300082537439</v>
      </c>
      <c r="AI3673">
        <v>92.792423805017407</v>
      </c>
      <c r="AJ3673">
        <v>90.742615453444003</v>
      </c>
      <c r="AK3673">
        <v>22.758941832032999</v>
      </c>
      <c r="AL3673">
        <v>88.951848686272697</v>
      </c>
      <c r="AM3673">
        <v>92.161526335894294</v>
      </c>
      <c r="AN3673">
        <v>0.99999993756060201</v>
      </c>
    </row>
    <row r="3674" spans="1:40" x14ac:dyDescent="0.25">
      <c r="A3674" t="str">
        <f>"20190312160713636"</f>
        <v>20190312160713636</v>
      </c>
      <c r="B3674" t="str">
        <f>"1552378033628612"</f>
        <v>1552378033628612</v>
      </c>
      <c r="C3674" t="s">
        <v>40</v>
      </c>
      <c r="D3674">
        <v>5.8272820000000003</v>
      </c>
      <c r="E3674">
        <v>0.48130509999999899</v>
      </c>
      <c r="F3674" t="s">
        <v>66</v>
      </c>
      <c r="G3674">
        <v>-332.44749999999999</v>
      </c>
      <c r="H3674" s="1">
        <v>-2.7730220000000001E-7</v>
      </c>
      <c r="I3674">
        <v>215.59889999999999</v>
      </c>
      <c r="J3674">
        <v>-410.44740000000002</v>
      </c>
      <c r="K3674">
        <v>1.1088</v>
      </c>
      <c r="L3674">
        <v>213.8845</v>
      </c>
      <c r="M3674">
        <v>0.99971790000000005</v>
      </c>
      <c r="N3674">
        <v>0</v>
      </c>
      <c r="O3674">
        <v>-2.1919029999999999E-2</v>
      </c>
      <c r="P3674">
        <v>0.99981759999999997</v>
      </c>
      <c r="Q3674">
        <v>9.0436000000000006E-3</v>
      </c>
      <c r="R3674">
        <v>1.682666E-2</v>
      </c>
      <c r="S3674">
        <v>2.9998170000000002</v>
      </c>
      <c r="T3674">
        <v>-4.2467240000000003E-2</v>
      </c>
      <c r="U3674">
        <v>6.5383910000000003E-2</v>
      </c>
      <c r="V3674">
        <v>-3.8723390000000003E-2</v>
      </c>
      <c r="W3674">
        <v>1.8230690000000001E-2</v>
      </c>
      <c r="X3674">
        <v>0.99908359999999996</v>
      </c>
      <c r="Y3674">
        <v>-4.369373E-2</v>
      </c>
      <c r="Z3674">
        <v>6.1948500000000002E-4</v>
      </c>
      <c r="AA3674">
        <v>0.99904479999999996</v>
      </c>
      <c r="AB3674">
        <v>32</v>
      </c>
      <c r="AC3674">
        <v>77.999899999999997</v>
      </c>
      <c r="AD3674">
        <v>-1.1088002773021901</v>
      </c>
      <c r="AE3674">
        <v>1.7143999999999799</v>
      </c>
      <c r="AF3674">
        <v>-3.4230503738840001</v>
      </c>
      <c r="AG3674">
        <v>-1.1088002773021901</v>
      </c>
      <c r="AH3674">
        <v>77.927839455253903</v>
      </c>
      <c r="AI3674">
        <v>90.814395743699606</v>
      </c>
      <c r="AJ3674">
        <v>92.515151783630102</v>
      </c>
      <c r="AK3674">
        <v>78.010863820886698</v>
      </c>
      <c r="AL3674">
        <v>88.955400483557497</v>
      </c>
      <c r="AM3674">
        <v>92.219610857524003</v>
      </c>
      <c r="AN3674">
        <v>0.99999994938996195</v>
      </c>
    </row>
    <row r="3675" spans="1:40" x14ac:dyDescent="0.25">
      <c r="A3675" t="str">
        <f>"20190312160713657"</f>
        <v>20190312160713657</v>
      </c>
      <c r="B3675" t="str">
        <f>"1552378033649113"</f>
        <v>1552378033649113</v>
      </c>
      <c r="C3675" t="s">
        <v>40</v>
      </c>
      <c r="D3675">
        <v>5.6859529999999996</v>
      </c>
      <c r="E3675">
        <v>0.48490800000000001</v>
      </c>
      <c r="F3675" t="s">
        <v>52</v>
      </c>
      <c r="G3675">
        <v>-157.25</v>
      </c>
      <c r="H3675">
        <v>1.8332740000000001</v>
      </c>
      <c r="I3675">
        <v>230.69919999999999</v>
      </c>
      <c r="J3675">
        <v>-410.13839999999999</v>
      </c>
      <c r="K3675">
        <v>1.1088370000000001</v>
      </c>
      <c r="L3675">
        <v>213.87739999999999</v>
      </c>
      <c r="M3675">
        <v>0.99971100000000002</v>
      </c>
      <c r="N3675">
        <v>0</v>
      </c>
      <c r="O3675">
        <v>-2.2222909999999998E-2</v>
      </c>
      <c r="P3675">
        <v>0.99981569999999997</v>
      </c>
      <c r="Q3675">
        <v>8.880364E-3</v>
      </c>
      <c r="R3675">
        <v>1.7030259999999998E-2</v>
      </c>
      <c r="S3675">
        <v>2.9971009999999998</v>
      </c>
      <c r="T3675">
        <v>8.5762740000000001E-3</v>
      </c>
      <c r="U3675">
        <v>0.19903560000000001</v>
      </c>
      <c r="V3675">
        <v>-3.9232280000000001E-2</v>
      </c>
      <c r="W3675">
        <v>1.8080510000000001E-2</v>
      </c>
      <c r="X3675">
        <v>0.99906649999999997</v>
      </c>
      <c r="Y3675">
        <v>-8.8421630000000001E-2</v>
      </c>
      <c r="Z3675">
        <v>-1.899026E-4</v>
      </c>
      <c r="AA3675">
        <v>0.9960831</v>
      </c>
      <c r="AB3675">
        <v>32</v>
      </c>
      <c r="AC3675">
        <v>252.88839999999999</v>
      </c>
      <c r="AD3675">
        <v>0.724437</v>
      </c>
      <c r="AE3675">
        <v>16.8217999999999</v>
      </c>
      <c r="AF3675">
        <v>-22.437614402491299</v>
      </c>
      <c r="AG3675">
        <v>0.724437</v>
      </c>
      <c r="AH3675">
        <v>252.45003399614299</v>
      </c>
      <c r="AI3675">
        <v>89.836228618193402</v>
      </c>
      <c r="AJ3675">
        <v>95.079069990986397</v>
      </c>
      <c r="AK3675">
        <v>253.446229038224</v>
      </c>
      <c r="AL3675">
        <v>88.964006608210397</v>
      </c>
      <c r="AM3675">
        <v>92.2487889481134</v>
      </c>
      <c r="AN3675">
        <v>0.99999997402905305</v>
      </c>
    </row>
    <row r="3676" spans="1:40" x14ac:dyDescent="0.25">
      <c r="A3676" t="str">
        <f>"20190312160713680"</f>
        <v>20190312160713680</v>
      </c>
      <c r="B3676" t="str">
        <f>"1552378033668625"</f>
        <v>1552378033668625</v>
      </c>
      <c r="C3676" t="s">
        <v>40</v>
      </c>
      <c r="D3676">
        <v>5.7435669999999996</v>
      </c>
      <c r="E3676">
        <v>0.48741329999999999</v>
      </c>
      <c r="F3676" t="s">
        <v>52</v>
      </c>
      <c r="G3676">
        <v>-157.25</v>
      </c>
      <c r="H3676">
        <v>2.3761679999999998</v>
      </c>
      <c r="I3676">
        <v>228.31100000000001</v>
      </c>
      <c r="J3676">
        <v>-409.82240000000002</v>
      </c>
      <c r="K3676">
        <v>1.108865</v>
      </c>
      <c r="L3676">
        <v>213.87010000000001</v>
      </c>
      <c r="M3676">
        <v>0.99970460000000005</v>
      </c>
      <c r="N3676">
        <v>0</v>
      </c>
      <c r="O3676">
        <v>-2.2502080000000001E-2</v>
      </c>
      <c r="P3676">
        <v>0.99980650000000004</v>
      </c>
      <c r="Q3676">
        <v>8.4988670000000002E-3</v>
      </c>
      <c r="R3676">
        <v>1.775123E-2</v>
      </c>
      <c r="S3676">
        <v>2.9974980000000002</v>
      </c>
      <c r="T3676">
        <v>1.5022399999999899E-2</v>
      </c>
      <c r="U3676">
        <v>0.1710815</v>
      </c>
      <c r="V3676">
        <v>-4.0233430000000001E-2</v>
      </c>
      <c r="W3676">
        <v>1.7713400000000001E-2</v>
      </c>
      <c r="X3676">
        <v>0.99903330000000001</v>
      </c>
      <c r="Y3676">
        <v>-7.9432820000000001E-2</v>
      </c>
      <c r="Z3676">
        <v>-3.115773E-4</v>
      </c>
      <c r="AA3676">
        <v>0.99684019999999995</v>
      </c>
      <c r="AB3676">
        <v>32</v>
      </c>
      <c r="AC3676">
        <v>252.57239999999999</v>
      </c>
      <c r="AD3676">
        <v>1.2673029999999901</v>
      </c>
      <c r="AE3676">
        <v>14.4408999999999</v>
      </c>
      <c r="AF3676">
        <v>-20.120382414531601</v>
      </c>
      <c r="AG3676">
        <v>1.2673029999999901</v>
      </c>
      <c r="AH3676">
        <v>252.177150140886</v>
      </c>
      <c r="AI3676">
        <v>89.712977614264602</v>
      </c>
      <c r="AJ3676">
        <v>94.561777535078704</v>
      </c>
      <c r="AK3676">
        <v>252.98172048308101</v>
      </c>
      <c r="AL3676">
        <v>88.985043872425393</v>
      </c>
      <c r="AM3676">
        <v>92.306190096945699</v>
      </c>
      <c r="AN3676">
        <v>1.000000013969</v>
      </c>
    </row>
    <row r="3677" spans="1:40" x14ac:dyDescent="0.25">
      <c r="A3677" t="str">
        <f>"20190312160713814"</f>
        <v>20190312160713814</v>
      </c>
      <c r="B3677" t="str">
        <f>"1552378033809169"</f>
        <v>1552378033809169</v>
      </c>
      <c r="C3677" t="s">
        <v>40</v>
      </c>
      <c r="D3677">
        <v>4.8241899999999998</v>
      </c>
      <c r="E3677">
        <v>0.5118606</v>
      </c>
      <c r="F3677" t="s">
        <v>66</v>
      </c>
      <c r="G3677">
        <v>-249.5746</v>
      </c>
      <c r="H3677">
        <v>8.0001039999999995E-2</v>
      </c>
      <c r="I3677">
        <v>222.0138</v>
      </c>
      <c r="J3677">
        <v>-407.89429999999999</v>
      </c>
      <c r="K3677">
        <v>1.1089420000000001</v>
      </c>
      <c r="L3677">
        <v>213.82419999999999</v>
      </c>
      <c r="M3677">
        <v>0.99967119999999998</v>
      </c>
      <c r="N3677">
        <v>0</v>
      </c>
      <c r="O3677">
        <v>-2.3899940000000001E-2</v>
      </c>
      <c r="P3677">
        <v>0.99980369999999996</v>
      </c>
      <c r="Q3677">
        <v>9.1753549999999996E-3</v>
      </c>
      <c r="R3677">
        <v>1.756827E-2</v>
      </c>
      <c r="S3677">
        <v>2.9980470000000001</v>
      </c>
      <c r="T3677">
        <v>-1.924884E-2</v>
      </c>
      <c r="U3677">
        <v>0.15235899999999999</v>
      </c>
      <c r="V3677">
        <v>-4.1449E-2</v>
      </c>
      <c r="W3677">
        <v>1.8484319999999999E-2</v>
      </c>
      <c r="X3677">
        <v>0.99896960000000001</v>
      </c>
      <c r="Y3677">
        <v>-7.4607569999999998E-2</v>
      </c>
      <c r="Z3677">
        <v>3.9271759999999999E-4</v>
      </c>
      <c r="AA3677">
        <v>0.99721289999999996</v>
      </c>
      <c r="AB3677">
        <v>32</v>
      </c>
      <c r="AC3677">
        <v>158.31969999999899</v>
      </c>
      <c r="AD3677">
        <v>-1.0289409599999999</v>
      </c>
      <c r="AE3677">
        <v>8.1896000000000093</v>
      </c>
      <c r="AF3677">
        <v>-11.970750789786599</v>
      </c>
      <c r="AG3677">
        <v>-1.0289409599999999</v>
      </c>
      <c r="AH3677">
        <v>158.07207462601301</v>
      </c>
      <c r="AI3677">
        <v>90.371886195039494</v>
      </c>
      <c r="AJ3677">
        <v>94.330725930735497</v>
      </c>
      <c r="AK3677">
        <v>158.528036544146</v>
      </c>
      <c r="AL3677">
        <v>88.940866132865196</v>
      </c>
      <c r="AM3677">
        <v>92.375939517510801</v>
      </c>
      <c r="AN3677">
        <v>0.99999997570551002</v>
      </c>
    </row>
    <row r="3678" spans="1:40" x14ac:dyDescent="0.25">
      <c r="A3678" t="str">
        <f>"20190312160713836"</f>
        <v>20190312160713836</v>
      </c>
      <c r="B3678" t="str">
        <f>"1552378033828690"</f>
        <v>1552378033828690</v>
      </c>
      <c r="C3678" t="s">
        <v>40</v>
      </c>
      <c r="D3678">
        <v>6.0306540000000002</v>
      </c>
      <c r="E3678">
        <v>0.52473359999999902</v>
      </c>
      <c r="F3678" t="s">
        <v>44</v>
      </c>
      <c r="G3678">
        <v>-407.24360000000001</v>
      </c>
      <c r="H3678">
        <v>0.85510090000000005</v>
      </c>
      <c r="I3678">
        <v>213.80629999999999</v>
      </c>
      <c r="J3678">
        <v>-407.56659999999999</v>
      </c>
      <c r="K3678">
        <v>1.1089560000000001</v>
      </c>
      <c r="L3678">
        <v>213.81610000000001</v>
      </c>
      <c r="M3678">
        <v>0.99966540000000004</v>
      </c>
      <c r="N3678">
        <v>0</v>
      </c>
      <c r="O3678">
        <v>-2.4128650000000001E-2</v>
      </c>
      <c r="P3678">
        <v>0.99977709999999997</v>
      </c>
      <c r="Q3678">
        <v>1.070611E-2</v>
      </c>
      <c r="R3678">
        <v>1.819256E-2</v>
      </c>
      <c r="S3678">
        <v>3.012756</v>
      </c>
      <c r="T3678">
        <v>-1.175262</v>
      </c>
      <c r="U3678">
        <v>-8.1130980000000005E-2</v>
      </c>
      <c r="V3678">
        <v>-4.2300860000000003E-2</v>
      </c>
      <c r="W3678">
        <v>2.0038520000000001E-2</v>
      </c>
      <c r="X3678">
        <v>0.99890389999999996</v>
      </c>
      <c r="Y3678">
        <v>4.2482450000000003E-3</v>
      </c>
      <c r="Z3678">
        <v>8.2776619999999999E-3</v>
      </c>
      <c r="AA3678">
        <v>0.99995670000000003</v>
      </c>
      <c r="AB3678">
        <v>32</v>
      </c>
      <c r="AC3678">
        <v>0.32299999999997903</v>
      </c>
      <c r="AD3678">
        <v>-0.2538551</v>
      </c>
      <c r="AE3678">
        <v>-9.8000000000126805E-3</v>
      </c>
      <c r="AF3678">
        <v>1.2387815286802801E-3</v>
      </c>
      <c r="AG3678">
        <v>-0.2538551</v>
      </c>
      <c r="AH3678">
        <v>0.199826315372236</v>
      </c>
      <c r="AI3678">
        <v>141.79081697083299</v>
      </c>
      <c r="AJ3678">
        <v>89.644811325387906</v>
      </c>
      <c r="AK3678">
        <v>0.32307042992346102</v>
      </c>
      <c r="AL3678">
        <v>88.851800472094695</v>
      </c>
      <c r="AM3678">
        <v>92.424871429173905</v>
      </c>
      <c r="AN3678">
        <v>0.99999995323786794</v>
      </c>
    </row>
    <row r="3679" spans="1:40" x14ac:dyDescent="0.25">
      <c r="A3679" t="str">
        <f>"20190312160713858"</f>
        <v>20190312160713858</v>
      </c>
      <c r="B3679" t="str">
        <f>"1552378033849185"</f>
        <v>1552378033849185</v>
      </c>
      <c r="C3679" t="s">
        <v>40</v>
      </c>
      <c r="D3679">
        <v>6.1889269999999996</v>
      </c>
      <c r="E3679">
        <v>0.5251924</v>
      </c>
      <c r="F3679" t="s">
        <v>44</v>
      </c>
      <c r="G3679">
        <v>-406.68849999999998</v>
      </c>
      <c r="H3679">
        <v>0.79674519999999904</v>
      </c>
      <c r="I3679">
        <v>213.7636</v>
      </c>
      <c r="J3679">
        <v>-407.23680000000002</v>
      </c>
      <c r="K3679">
        <v>1.1089850000000001</v>
      </c>
      <c r="L3679">
        <v>213.80799999999999</v>
      </c>
      <c r="M3679">
        <v>0.99965879999999996</v>
      </c>
      <c r="N3679">
        <v>0</v>
      </c>
      <c r="O3679">
        <v>-2.435785E-2</v>
      </c>
      <c r="P3679">
        <v>0.99975570000000002</v>
      </c>
      <c r="Q3679">
        <v>1.128383E-2</v>
      </c>
      <c r="R3679">
        <v>1.9017539999999999E-2</v>
      </c>
      <c r="S3679">
        <v>3.0154109999999998</v>
      </c>
      <c r="T3679">
        <v>-1.0720190000000001</v>
      </c>
      <c r="U3679">
        <v>-0.1792755</v>
      </c>
      <c r="V3679">
        <v>-4.3353830000000003E-2</v>
      </c>
      <c r="W3679">
        <v>2.07379E-2</v>
      </c>
      <c r="X3679">
        <v>0.99884450000000002</v>
      </c>
      <c r="Y3679">
        <v>3.4401059999999997E-2</v>
      </c>
      <c r="Z3679">
        <v>2.4651019999999998E-3</v>
      </c>
      <c r="AA3679">
        <v>0.99940510000000005</v>
      </c>
      <c r="AB3679">
        <v>32</v>
      </c>
      <c r="AC3679">
        <v>0.54830000000003998</v>
      </c>
      <c r="AD3679">
        <v>-0.31223980000000001</v>
      </c>
      <c r="AE3679">
        <v>-4.4399999999995998E-2</v>
      </c>
      <c r="AF3679">
        <v>2.3469400008041999E-2</v>
      </c>
      <c r="AG3679">
        <v>-0.31223980000000001</v>
      </c>
      <c r="AH3679">
        <v>0.41538817996923499</v>
      </c>
      <c r="AI3679">
        <v>126.88767982765199</v>
      </c>
      <c r="AJ3679">
        <v>86.766230959474598</v>
      </c>
      <c r="AK3679">
        <v>0.52018443411825699</v>
      </c>
      <c r="AL3679">
        <v>88.811720642094102</v>
      </c>
      <c r="AM3679">
        <v>92.485305147015794</v>
      </c>
      <c r="AN3679">
        <v>0.99999997512616401</v>
      </c>
    </row>
    <row r="3680" spans="1:40" x14ac:dyDescent="0.25">
      <c r="A3680" t="str">
        <f>"20190312160713880"</f>
        <v>20190312160713880</v>
      </c>
      <c r="B3680" t="str">
        <f>"1552378033868705"</f>
        <v>1552378033868705</v>
      </c>
      <c r="C3680" t="s">
        <v>40</v>
      </c>
      <c r="D3680">
        <v>6.799696</v>
      </c>
      <c r="E3680">
        <v>0.52569480000000002</v>
      </c>
      <c r="F3680" t="s">
        <v>44</v>
      </c>
      <c r="G3680">
        <v>-406.37740000000002</v>
      </c>
      <c r="H3680">
        <v>0.84993269999999999</v>
      </c>
      <c r="I3680">
        <v>213.75790000000001</v>
      </c>
      <c r="J3680">
        <v>-406.92669999999998</v>
      </c>
      <c r="K3680">
        <v>1.109035</v>
      </c>
      <c r="L3680">
        <v>213.80019999999999</v>
      </c>
      <c r="M3680">
        <v>0.99965190000000004</v>
      </c>
      <c r="N3680">
        <v>0</v>
      </c>
      <c r="O3680">
        <v>-2.4569790000000001E-2</v>
      </c>
      <c r="P3680">
        <v>0.99974929999999995</v>
      </c>
      <c r="Q3680">
        <v>1.0730399999999999E-2</v>
      </c>
      <c r="R3680">
        <v>1.9666670000000001E-2</v>
      </c>
      <c r="S3680">
        <v>3.0143430000000002</v>
      </c>
      <c r="T3680">
        <v>-0.90868780000000005</v>
      </c>
      <c r="U3680">
        <v>-0.17575070000000001</v>
      </c>
      <c r="V3680">
        <v>-4.4214780000000002E-2</v>
      </c>
      <c r="W3680">
        <v>2.037986E-2</v>
      </c>
      <c r="X3680">
        <v>0.99881419999999999</v>
      </c>
      <c r="Y3680">
        <v>3.3273549999999999E-2</v>
      </c>
      <c r="Z3680">
        <v>2.3360999999999998E-3</v>
      </c>
      <c r="AA3680">
        <v>0.99944350000000004</v>
      </c>
      <c r="AB3680">
        <v>32</v>
      </c>
      <c r="AC3680">
        <v>0.54929999999995904</v>
      </c>
      <c r="AD3680">
        <v>-0.25910229999999901</v>
      </c>
      <c r="AE3680">
        <v>-4.2299999999983101E-2</v>
      </c>
      <c r="AF3680">
        <v>2.3575806727138E-2</v>
      </c>
      <c r="AG3680">
        <v>-0.25910229999999901</v>
      </c>
      <c r="AH3680">
        <v>0.45052431961203698</v>
      </c>
      <c r="AI3680">
        <v>119.869912912416</v>
      </c>
      <c r="AJ3680">
        <v>87.004460840478202</v>
      </c>
      <c r="AK3680">
        <v>0.52025184583047301</v>
      </c>
      <c r="AL3680">
        <v>88.832239242858606</v>
      </c>
      <c r="AM3680">
        <v>92.534673086782306</v>
      </c>
      <c r="AN3680">
        <v>1.00000004579285</v>
      </c>
    </row>
    <row r="3681" spans="1:40" x14ac:dyDescent="0.25">
      <c r="A3681" t="str">
        <f>"20190312160713902"</f>
        <v>20190312160713902</v>
      </c>
      <c r="B3681" t="str">
        <f>"1552378033898961"</f>
        <v>1552378033898961</v>
      </c>
      <c r="C3681" t="s">
        <v>40</v>
      </c>
      <c r="D3681">
        <v>8.8288069999999994</v>
      </c>
      <c r="E3681">
        <v>0.52339729999999995</v>
      </c>
      <c r="F3681" t="s">
        <v>44</v>
      </c>
      <c r="G3681">
        <v>-406.07670000000002</v>
      </c>
      <c r="H3681">
        <v>0.87550890000000003</v>
      </c>
      <c r="I3681">
        <v>213.75040000000001</v>
      </c>
      <c r="J3681">
        <v>-406.60469999999998</v>
      </c>
      <c r="K3681">
        <v>1.1090580000000001</v>
      </c>
      <c r="L3681">
        <v>213.792</v>
      </c>
      <c r="M3681">
        <v>0.99964489999999995</v>
      </c>
      <c r="N3681">
        <v>0</v>
      </c>
      <c r="O3681">
        <v>-2.478323E-2</v>
      </c>
      <c r="P3681">
        <v>0.99973959999999995</v>
      </c>
      <c r="Q3681">
        <v>1.0826809999999999E-2</v>
      </c>
      <c r="R3681">
        <v>2.008793E-2</v>
      </c>
      <c r="S3681">
        <v>3.0130620000000001</v>
      </c>
      <c r="T3681">
        <v>-0.82776740000000004</v>
      </c>
      <c r="U3681">
        <v>-0.1753082</v>
      </c>
      <c r="V3681">
        <v>-4.484846E-2</v>
      </c>
      <c r="W3681">
        <v>2.062777E-2</v>
      </c>
      <c r="X3681">
        <v>0.99878080000000002</v>
      </c>
      <c r="Y3681">
        <v>3.3019970000000003E-2</v>
      </c>
      <c r="Z3681">
        <v>2.2283699999999999E-3</v>
      </c>
      <c r="AA3681">
        <v>0.99945220000000001</v>
      </c>
      <c r="AB3681">
        <v>32</v>
      </c>
      <c r="AC3681">
        <v>0.52799999999996305</v>
      </c>
      <c r="AD3681">
        <v>-0.23354910000000001</v>
      </c>
      <c r="AE3681">
        <v>-4.1599999999988299E-2</v>
      </c>
      <c r="AF3681">
        <v>2.38612942498721E-2</v>
      </c>
      <c r="AG3681">
        <v>-0.23354910000000001</v>
      </c>
      <c r="AH3681">
        <v>0.44277300847096801</v>
      </c>
      <c r="AI3681">
        <v>117.77599485624</v>
      </c>
      <c r="AJ3681">
        <v>86.915281107380693</v>
      </c>
      <c r="AK3681">
        <v>0.50116113227635695</v>
      </c>
      <c r="AL3681">
        <v>88.818031991572894</v>
      </c>
      <c r="AM3681">
        <v>92.571037125627996</v>
      </c>
      <c r="AN3681">
        <v>0.99999998785409205</v>
      </c>
    </row>
    <row r="3682" spans="1:40" x14ac:dyDescent="0.25">
      <c r="A3682" t="str">
        <f>"20190312160713927"</f>
        <v>20190312160713927</v>
      </c>
      <c r="B3682" t="str">
        <f>"1552378033918482"</f>
        <v>1552378033918482</v>
      </c>
      <c r="C3682" t="s">
        <v>40</v>
      </c>
      <c r="D3682">
        <v>5.9259709999999997</v>
      </c>
      <c r="E3682">
        <v>0.52100349999999995</v>
      </c>
      <c r="F3682" t="s">
        <v>66</v>
      </c>
      <c r="G3682">
        <v>-371.4323</v>
      </c>
      <c r="H3682" s="1">
        <v>-7.745738E-7</v>
      </c>
      <c r="I3682">
        <v>212.2602</v>
      </c>
      <c r="J3682">
        <v>-406.25259999999997</v>
      </c>
      <c r="K3682">
        <v>1.109097</v>
      </c>
      <c r="L3682">
        <v>213.78299999999999</v>
      </c>
      <c r="M3682">
        <v>0.99963709999999995</v>
      </c>
      <c r="N3682">
        <v>0</v>
      </c>
      <c r="O3682">
        <v>-2.5021769999999999E-2</v>
      </c>
      <c r="P3682">
        <v>0.99974859999999999</v>
      </c>
      <c r="Q3682">
        <v>1.069319E-2</v>
      </c>
      <c r="R3682">
        <v>1.9719190000000001E-2</v>
      </c>
      <c r="S3682">
        <v>3.0043950000000001</v>
      </c>
      <c r="T3682">
        <v>-9.4734910000000006E-2</v>
      </c>
      <c r="U3682">
        <v>-0.13084409999999999</v>
      </c>
      <c r="V3682">
        <v>-4.4718870000000001E-2</v>
      </c>
      <c r="W3682">
        <v>2.0686409999999999E-2</v>
      </c>
      <c r="X3682">
        <v>0.99878540000000005</v>
      </c>
      <c r="Y3682">
        <v>1.8499950000000001E-2</v>
      </c>
      <c r="Z3682">
        <v>4.9682929999999995E-4</v>
      </c>
      <c r="AA3682">
        <v>0.99982879999999996</v>
      </c>
      <c r="AB3682">
        <v>32</v>
      </c>
      <c r="AC3682">
        <v>34.820299999999897</v>
      </c>
      <c r="AD3682">
        <v>-1.1090977745738</v>
      </c>
      <c r="AE3682">
        <v>-1.5227999999999799</v>
      </c>
      <c r="AF3682">
        <v>0.65035569190700304</v>
      </c>
      <c r="AG3682">
        <v>-1.1090977745738</v>
      </c>
      <c r="AH3682">
        <v>34.812250508528997</v>
      </c>
      <c r="AI3682">
        <v>91.824474380224501</v>
      </c>
      <c r="AJ3682">
        <v>88.929735892314795</v>
      </c>
      <c r="AK3682">
        <v>34.835984927487502</v>
      </c>
      <c r="AL3682">
        <v>88.8146714525775</v>
      </c>
      <c r="AM3682">
        <v>92.563606226715805</v>
      </c>
      <c r="AN3682">
        <v>0.99999999007296203</v>
      </c>
    </row>
    <row r="3683" spans="1:40" x14ac:dyDescent="0.25">
      <c r="A3683" t="str">
        <f>"20190312160713949"</f>
        <v>20190312160713949</v>
      </c>
      <c r="B3683" t="str">
        <f>"1552378033938977"</f>
        <v>1552378033938977</v>
      </c>
      <c r="C3683" t="s">
        <v>40</v>
      </c>
      <c r="D3683">
        <v>5.9862640000000003</v>
      </c>
      <c r="E3683">
        <v>0.5209705</v>
      </c>
      <c r="F3683" t="s">
        <v>66</v>
      </c>
      <c r="G3683">
        <v>-329.72660000000002</v>
      </c>
      <c r="H3683" s="1">
        <v>3.6391960000000001E-6</v>
      </c>
      <c r="I3683">
        <v>210.95249999999999</v>
      </c>
      <c r="J3683">
        <v>-405.92</v>
      </c>
      <c r="K3683">
        <v>1.109127</v>
      </c>
      <c r="L3683">
        <v>213.77440000000001</v>
      </c>
      <c r="M3683">
        <v>0.9996292</v>
      </c>
      <c r="N3683">
        <v>0</v>
      </c>
      <c r="O3683">
        <v>-2.52502E-2</v>
      </c>
      <c r="P3683">
        <v>0.99975939999999996</v>
      </c>
      <c r="Q3683">
        <v>1.086091E-2</v>
      </c>
      <c r="R3683">
        <v>1.9067939999999999E-2</v>
      </c>
      <c r="S3683">
        <v>3.0033569999999998</v>
      </c>
      <c r="T3683">
        <v>-4.3527719999999999E-2</v>
      </c>
      <c r="U3683">
        <v>-0.111084</v>
      </c>
      <c r="V3683">
        <v>-4.429607E-2</v>
      </c>
      <c r="W3683">
        <v>2.1067789999999999E-2</v>
      </c>
      <c r="X3683">
        <v>0.99879629999999997</v>
      </c>
      <c r="Y3683">
        <v>1.171671E-2</v>
      </c>
      <c r="Z3683">
        <v>2.8088279999999999E-4</v>
      </c>
      <c r="AA3683">
        <v>0.99993129999999997</v>
      </c>
      <c r="AB3683">
        <v>32</v>
      </c>
      <c r="AC3683">
        <v>76.193399999999997</v>
      </c>
      <c r="AD3683">
        <v>-1.1091233608040001</v>
      </c>
      <c r="AE3683">
        <v>-2.8219000000000198</v>
      </c>
      <c r="AF3683">
        <v>0.89681187519345296</v>
      </c>
      <c r="AG3683">
        <v>-1.1091233608040001</v>
      </c>
      <c r="AH3683">
        <v>76.224231862831303</v>
      </c>
      <c r="AI3683">
        <v>90.833582768545398</v>
      </c>
      <c r="AJ3683">
        <v>89.3259208591045</v>
      </c>
      <c r="AK3683">
        <v>76.237575704160705</v>
      </c>
      <c r="AL3683">
        <v>88.792815261897303</v>
      </c>
      <c r="AM3683">
        <v>92.539372502718294</v>
      </c>
      <c r="AN3683">
        <v>1.0000000212433</v>
      </c>
    </row>
    <row r="3684" spans="1:40" x14ac:dyDescent="0.25">
      <c r="A3684" t="str">
        <f>"20190312160713972"</f>
        <v>20190312160713972</v>
      </c>
      <c r="B3684" t="str">
        <f>"1552378033969233"</f>
        <v>1552378033969233</v>
      </c>
      <c r="C3684" t="s">
        <v>40</v>
      </c>
      <c r="D3684">
        <v>5.9669939999999997</v>
      </c>
      <c r="E3684">
        <v>0.52372969999999996</v>
      </c>
      <c r="F3684" t="s">
        <v>51</v>
      </c>
      <c r="G3684">
        <v>-168.41139999999999</v>
      </c>
      <c r="H3684">
        <v>1.3799399999999999</v>
      </c>
      <c r="I3684">
        <v>204.9906</v>
      </c>
      <c r="J3684">
        <v>-405.6001</v>
      </c>
      <c r="K3684">
        <v>1.1091530000000001</v>
      </c>
      <c r="L3684">
        <v>213.76609999999999</v>
      </c>
      <c r="M3684">
        <v>0.9996216</v>
      </c>
      <c r="N3684">
        <v>0</v>
      </c>
      <c r="O3684">
        <v>-2.546586E-2</v>
      </c>
      <c r="P3684">
        <v>0.99977919999999998</v>
      </c>
      <c r="Q3684">
        <v>1.110595E-2</v>
      </c>
      <c r="R3684">
        <v>1.783641E-2</v>
      </c>
      <c r="S3684">
        <v>3.0028079999999999</v>
      </c>
      <c r="T3684">
        <v>3.4242869999999998E-3</v>
      </c>
      <c r="U3684">
        <v>-0.1110535</v>
      </c>
      <c r="V3684">
        <v>-4.3280720000000002E-2</v>
      </c>
      <c r="W3684">
        <v>2.151544E-2</v>
      </c>
      <c r="X3684">
        <v>0.99883129999999998</v>
      </c>
      <c r="Y3684">
        <v>1.149614E-2</v>
      </c>
      <c r="Z3684" s="1">
        <v>-2.2473519999999999E-5</v>
      </c>
      <c r="AA3684">
        <v>0.99993390000000004</v>
      </c>
      <c r="AB3684">
        <v>32</v>
      </c>
      <c r="AC3684">
        <v>237.18870000000001</v>
      </c>
      <c r="AD3684">
        <v>0.270786999999999</v>
      </c>
      <c r="AE3684">
        <v>-8.7754999999999903</v>
      </c>
      <c r="AF3684">
        <v>2.7321093055466998</v>
      </c>
      <c r="AG3684">
        <v>0.270786999999999</v>
      </c>
      <c r="AH3684">
        <v>237.33494840787799</v>
      </c>
      <c r="AI3684">
        <v>89.934632814416403</v>
      </c>
      <c r="AJ3684">
        <v>89.340461995613197</v>
      </c>
      <c r="AK3684">
        <v>237.35082785325801</v>
      </c>
      <c r="AL3684">
        <v>88.767161026822706</v>
      </c>
      <c r="AM3684">
        <v>92.481152027317094</v>
      </c>
      <c r="AN3684">
        <v>1.0000000503708899</v>
      </c>
    </row>
    <row r="3685" spans="1:40" x14ac:dyDescent="0.25">
      <c r="A3685" t="str">
        <f>"20190312160713994"</f>
        <v>20190312160713994</v>
      </c>
      <c r="B3685" t="str">
        <f>"1552378033988753"</f>
        <v>1552378033988753</v>
      </c>
      <c r="C3685" t="s">
        <v>40</v>
      </c>
      <c r="D3685">
        <v>5.6818860000000004</v>
      </c>
      <c r="E3685">
        <v>0.5258794</v>
      </c>
      <c r="F3685" t="s">
        <v>66</v>
      </c>
      <c r="G3685">
        <v>-336.7835</v>
      </c>
      <c r="H3685" s="1">
        <v>2.249016E-6</v>
      </c>
      <c r="I3685">
        <v>210.5907</v>
      </c>
      <c r="J3685">
        <v>-405.2817</v>
      </c>
      <c r="K3685">
        <v>1.109178</v>
      </c>
      <c r="L3685">
        <v>213.7577</v>
      </c>
      <c r="M3685">
        <v>0.99961429999999996</v>
      </c>
      <c r="N3685">
        <v>0</v>
      </c>
      <c r="O3685">
        <v>-2.567535E-2</v>
      </c>
      <c r="P3685">
        <v>0.99979779999999996</v>
      </c>
      <c r="Q3685">
        <v>1.0502569999999999E-2</v>
      </c>
      <c r="R3685">
        <v>1.7149049999999999E-2</v>
      </c>
      <c r="S3685">
        <v>3.0036619999999998</v>
      </c>
      <c r="T3685">
        <v>-4.8411490000000001E-2</v>
      </c>
      <c r="U3685">
        <v>-0.13859560000000001</v>
      </c>
      <c r="V3685">
        <v>-4.2803859999999999E-2</v>
      </c>
      <c r="W3685">
        <v>2.1098780000000001E-2</v>
      </c>
      <c r="X3685">
        <v>0.99886070000000005</v>
      </c>
      <c r="Y3685">
        <v>2.042915E-2</v>
      </c>
      <c r="Z3685">
        <v>2.489681E-4</v>
      </c>
      <c r="AA3685">
        <v>0.99979130000000005</v>
      </c>
      <c r="AB3685">
        <v>32</v>
      </c>
      <c r="AC3685">
        <v>68.498199999999997</v>
      </c>
      <c r="AD3685">
        <v>-1.1091757509839999</v>
      </c>
      <c r="AE3685">
        <v>-3.1669999999999998</v>
      </c>
      <c r="AF3685">
        <v>1.40677397276379</v>
      </c>
      <c r="AG3685">
        <v>-1.1091757509839999</v>
      </c>
      <c r="AH3685">
        <v>68.539001326894393</v>
      </c>
      <c r="AI3685">
        <v>90.926949069768696</v>
      </c>
      <c r="AJ3685">
        <v>88.824160056182293</v>
      </c>
      <c r="AK3685">
        <v>68.562409429256903</v>
      </c>
      <c r="AL3685">
        <v>88.791039261574397</v>
      </c>
      <c r="AM3685">
        <v>92.453776558248094</v>
      </c>
      <c r="AN3685">
        <v>1.00000001347643</v>
      </c>
    </row>
    <row r="3686" spans="1:40" x14ac:dyDescent="0.25">
      <c r="A3686" t="str">
        <f>"20190312160714016"</f>
        <v>20190312160714016</v>
      </c>
      <c r="B3686" t="str">
        <f>"1552378034009249"</f>
        <v>1552378034009249</v>
      </c>
      <c r="C3686" t="s">
        <v>40</v>
      </c>
      <c r="D3686">
        <v>5.6834989999999896</v>
      </c>
      <c r="E3686">
        <v>0.52430080000000001</v>
      </c>
      <c r="F3686" t="s">
        <v>66</v>
      </c>
      <c r="G3686">
        <v>-323.65469999999999</v>
      </c>
      <c r="H3686">
        <v>8.0000390000000005E-2</v>
      </c>
      <c r="I3686">
        <v>209.4776</v>
      </c>
      <c r="J3686">
        <v>-404.97570000000002</v>
      </c>
      <c r="K3686">
        <v>1.1092040000000001</v>
      </c>
      <c r="L3686">
        <v>213.74959999999999</v>
      </c>
      <c r="M3686">
        <v>0.99960769999999999</v>
      </c>
      <c r="N3686">
        <v>0</v>
      </c>
      <c r="O3686">
        <v>-2.5869759999999999E-2</v>
      </c>
      <c r="P3686">
        <v>0.99981160000000002</v>
      </c>
      <c r="Q3686">
        <v>1.063481E-2</v>
      </c>
      <c r="R3686">
        <v>1.6249079999999999E-2</v>
      </c>
      <c r="S3686">
        <v>3.0037229999999999</v>
      </c>
      <c r="T3686">
        <v>-3.7871839999999997E-2</v>
      </c>
      <c r="U3686">
        <v>-0.15750120000000001</v>
      </c>
      <c r="V3686">
        <v>-4.209914E-2</v>
      </c>
      <c r="W3686">
        <v>2.1394349999999999E-2</v>
      </c>
      <c r="X3686">
        <v>0.99888429999999995</v>
      </c>
      <c r="Y3686">
        <v>2.651007E-2</v>
      </c>
      <c r="Z3686">
        <v>1.588711E-4</v>
      </c>
      <c r="AA3686">
        <v>0.99964850000000005</v>
      </c>
      <c r="AB3686">
        <v>32</v>
      </c>
      <c r="AC3686">
        <v>81.320999999999998</v>
      </c>
      <c r="AD3686">
        <v>-1.0292036099999999</v>
      </c>
      <c r="AE3686">
        <v>-4.2719999999999896</v>
      </c>
      <c r="AF3686">
        <v>2.1663481065677099</v>
      </c>
      <c r="AG3686">
        <v>-1.0292036099999999</v>
      </c>
      <c r="AH3686">
        <v>81.391301428558094</v>
      </c>
      <c r="AI3686">
        <v>90.724217525565393</v>
      </c>
      <c r="AJ3686">
        <v>88.475349296894905</v>
      </c>
      <c r="AK3686">
        <v>81.4266312235995</v>
      </c>
      <c r="AL3686">
        <v>88.774100447078197</v>
      </c>
      <c r="AM3686">
        <v>92.4133689536784</v>
      </c>
      <c r="AN3686">
        <v>0.99999995029357402</v>
      </c>
    </row>
    <row r="3687" spans="1:40" x14ac:dyDescent="0.25">
      <c r="A3687" t="str">
        <f>"20190312160714038"</f>
        <v>20190312160714038</v>
      </c>
      <c r="B3687" t="str">
        <f>"1552378034028790"</f>
        <v>1552378034028790</v>
      </c>
      <c r="C3687" t="s">
        <v>40</v>
      </c>
      <c r="D3687">
        <v>6.2111010000000002</v>
      </c>
      <c r="E3687">
        <v>0.52296509999999996</v>
      </c>
      <c r="F3687" t="s">
        <v>77</v>
      </c>
      <c r="G3687">
        <v>-289.42700000000002</v>
      </c>
      <c r="H3687">
        <v>1.8893159999999999E-2</v>
      </c>
      <c r="I3687">
        <v>208.08949999999999</v>
      </c>
      <c r="J3687">
        <v>-404.63420000000002</v>
      </c>
      <c r="K3687">
        <v>1.109237</v>
      </c>
      <c r="L3687">
        <v>213.74039999999999</v>
      </c>
      <c r="M3687">
        <v>0.99960039999999994</v>
      </c>
      <c r="N3687">
        <v>0</v>
      </c>
      <c r="O3687">
        <v>-2.607657E-2</v>
      </c>
      <c r="P3687">
        <v>0.99982020000000005</v>
      </c>
      <c r="Q3687">
        <v>1.077797E-2</v>
      </c>
      <c r="R3687">
        <v>1.5607670000000001E-2</v>
      </c>
      <c r="S3687">
        <v>3.0032040000000002</v>
      </c>
      <c r="T3687">
        <v>-2.833807E-2</v>
      </c>
      <c r="U3687">
        <v>-0.14710999999999999</v>
      </c>
      <c r="V3687">
        <v>-4.1664949999999999E-2</v>
      </c>
      <c r="W3687">
        <v>2.1701359999999999E-2</v>
      </c>
      <c r="X3687">
        <v>0.99889589999999995</v>
      </c>
      <c r="Y3687">
        <v>2.2862299999999999E-2</v>
      </c>
      <c r="Z3687">
        <v>1.380621E-4</v>
      </c>
      <c r="AA3687">
        <v>0.99973860000000003</v>
      </c>
      <c r="AB3687">
        <v>32</v>
      </c>
      <c r="AC3687">
        <v>115.2072</v>
      </c>
      <c r="AD3687">
        <v>-1.0903438400000001</v>
      </c>
      <c r="AE3687">
        <v>-5.6509</v>
      </c>
      <c r="AF3687">
        <v>2.6443544235904302</v>
      </c>
      <c r="AG3687">
        <v>-1.0903438400000001</v>
      </c>
      <c r="AH3687">
        <v>115.305080597554</v>
      </c>
      <c r="AI3687">
        <v>90.541639773220197</v>
      </c>
      <c r="AJ3687">
        <v>88.686234869817895</v>
      </c>
      <c r="AK3687">
        <v>115.340552589344</v>
      </c>
      <c r="AL3687">
        <v>88.756506005845196</v>
      </c>
      <c r="AM3687">
        <v>92.388479914696603</v>
      </c>
      <c r="AN3687">
        <v>0.99999996806058</v>
      </c>
    </row>
    <row r="3688" spans="1:40" x14ac:dyDescent="0.25">
      <c r="A3688" t="str">
        <f>"20190312160714060"</f>
        <v>20190312160714060</v>
      </c>
      <c r="B3688" t="str">
        <f>"1552378034049269"</f>
        <v>1552378034049269</v>
      </c>
      <c r="C3688" t="s">
        <v>40</v>
      </c>
      <c r="D3688">
        <v>5.6816659999999999</v>
      </c>
      <c r="E3688">
        <v>0.52266380000000001</v>
      </c>
      <c r="F3688" t="s">
        <v>66</v>
      </c>
      <c r="G3688">
        <v>-278.83049999999997</v>
      </c>
      <c r="H3688">
        <v>8.0000619999999995E-2</v>
      </c>
      <c r="I3688">
        <v>207.9469</v>
      </c>
      <c r="J3688">
        <v>-404.31689999999998</v>
      </c>
      <c r="K3688">
        <v>1.1092679999999999</v>
      </c>
      <c r="L3688">
        <v>213.7319</v>
      </c>
      <c r="M3688">
        <v>0.99959430000000005</v>
      </c>
      <c r="N3688">
        <v>0</v>
      </c>
      <c r="O3688">
        <v>-2.6257809999999999E-2</v>
      </c>
      <c r="P3688">
        <v>0.99982139999999997</v>
      </c>
      <c r="Q3688">
        <v>1.121073E-2</v>
      </c>
      <c r="R3688">
        <v>1.523128E-2</v>
      </c>
      <c r="S3688">
        <v>3.0028990000000002</v>
      </c>
      <c r="T3688">
        <v>-2.4567599999999998E-2</v>
      </c>
      <c r="U3688">
        <v>-0.13829040000000001</v>
      </c>
      <c r="V3688">
        <v>-4.1471050000000002E-2</v>
      </c>
      <c r="W3688">
        <v>2.227057E-2</v>
      </c>
      <c r="X3688">
        <v>0.99889150000000004</v>
      </c>
      <c r="Y3688">
        <v>1.9756289999999999E-2</v>
      </c>
      <c r="Z3688">
        <v>1.3389580000000001E-4</v>
      </c>
      <c r="AA3688">
        <v>0.99980480000000005</v>
      </c>
      <c r="AB3688">
        <v>32</v>
      </c>
      <c r="AC3688">
        <v>125.4864</v>
      </c>
      <c r="AD3688">
        <v>-1.0292673799999901</v>
      </c>
      <c r="AE3688">
        <v>-5.7849999999999904</v>
      </c>
      <c r="AF3688">
        <v>2.48763943785996</v>
      </c>
      <c r="AG3688">
        <v>-1.0292673799999901</v>
      </c>
      <c r="AH3688">
        <v>125.586607130903</v>
      </c>
      <c r="AI3688">
        <v>90.469475151140003</v>
      </c>
      <c r="AJ3688">
        <v>88.865224508829002</v>
      </c>
      <c r="AK3688">
        <v>125.615459366927</v>
      </c>
      <c r="AL3688">
        <v>88.723884864381901</v>
      </c>
      <c r="AM3688">
        <v>92.377387670192704</v>
      </c>
      <c r="AN3688">
        <v>1.00000002752423</v>
      </c>
    </row>
    <row r="3689" spans="1:40" x14ac:dyDescent="0.25">
      <c r="A3689" t="str">
        <f>"20190312160714081"</f>
        <v>20190312160714081</v>
      </c>
      <c r="B3689" t="str">
        <f>"1552378034068786"</f>
        <v>1552378034068786</v>
      </c>
      <c r="C3689" t="s">
        <v>40</v>
      </c>
      <c r="D3689">
        <v>5.9008399999999996</v>
      </c>
      <c r="E3689">
        <v>0.52318350000000002</v>
      </c>
      <c r="F3689" t="s">
        <v>77</v>
      </c>
      <c r="G3689">
        <v>-314.4418</v>
      </c>
      <c r="H3689">
        <v>4.1902189999999999E-2</v>
      </c>
      <c r="I3689">
        <v>209.61600000000001</v>
      </c>
      <c r="J3689">
        <v>-404.01080000000002</v>
      </c>
      <c r="K3689">
        <v>1.109297</v>
      </c>
      <c r="L3689">
        <v>213.72370000000001</v>
      </c>
      <c r="M3689">
        <v>0.9995887</v>
      </c>
      <c r="N3689">
        <v>0</v>
      </c>
      <c r="O3689">
        <v>-2.6411759999999999E-2</v>
      </c>
      <c r="P3689">
        <v>0.99981390000000003</v>
      </c>
      <c r="Q3689">
        <v>1.1662870000000001E-2</v>
      </c>
      <c r="R3689">
        <v>1.5367789999999999E-2</v>
      </c>
      <c r="S3689">
        <v>3.0030209999999999</v>
      </c>
      <c r="T3689">
        <v>-3.56642E-2</v>
      </c>
      <c r="U3689">
        <v>-0.1375275</v>
      </c>
      <c r="V3689">
        <v>-4.1762010000000002E-2</v>
      </c>
      <c r="W3689">
        <v>2.2841199999999999E-2</v>
      </c>
      <c r="X3689">
        <v>0.99886640000000004</v>
      </c>
      <c r="Y3689">
        <v>1.9347199999999998E-2</v>
      </c>
      <c r="Z3689">
        <v>1.9861790000000001E-4</v>
      </c>
      <c r="AA3689">
        <v>0.99981279999999995</v>
      </c>
      <c r="AB3689">
        <v>32</v>
      </c>
      <c r="AC3689">
        <v>89.569000000000003</v>
      </c>
      <c r="AD3689">
        <v>-1.0673948099999999</v>
      </c>
      <c r="AE3689">
        <v>-4.1077000000000199</v>
      </c>
      <c r="AF3689">
        <v>1.74019760620219</v>
      </c>
      <c r="AG3689">
        <v>-1.0673948099999999</v>
      </c>
      <c r="AH3689">
        <v>89.633545581536495</v>
      </c>
      <c r="AI3689">
        <v>90.682141999866303</v>
      </c>
      <c r="AJ3689">
        <v>88.887766256657102</v>
      </c>
      <c r="AK3689">
        <v>89.6567906681164</v>
      </c>
      <c r="AL3689">
        <v>88.691181733494503</v>
      </c>
      <c r="AM3689">
        <v>92.394108120202702</v>
      </c>
      <c r="AN3689">
        <v>0.99999993547281796</v>
      </c>
    </row>
    <row r="3690" spans="1:40" x14ac:dyDescent="0.25">
      <c r="A3690" t="str">
        <f>"20190312160714104"</f>
        <v>20190312160714104</v>
      </c>
      <c r="B3690" t="str">
        <f>"1552378034099041"</f>
        <v>1552378034099041</v>
      </c>
      <c r="C3690" t="s">
        <v>40</v>
      </c>
      <c r="D3690">
        <v>6.1070859999999998</v>
      </c>
      <c r="E3690">
        <v>0.52246759999999903</v>
      </c>
      <c r="F3690" t="s">
        <v>66</v>
      </c>
      <c r="G3690">
        <v>-342.44740000000002</v>
      </c>
      <c r="H3690" s="1">
        <v>-2.3439290000000001E-7</v>
      </c>
      <c r="I3690">
        <v>210.81389999999999</v>
      </c>
      <c r="J3690">
        <v>-403.67970000000003</v>
      </c>
      <c r="K3690">
        <v>1.1093299999999999</v>
      </c>
      <c r="L3690">
        <v>213.7148</v>
      </c>
      <c r="M3690">
        <v>0.99958409999999998</v>
      </c>
      <c r="N3690">
        <v>0</v>
      </c>
      <c r="O3690">
        <v>-2.6543440000000001E-2</v>
      </c>
      <c r="P3690">
        <v>0.99979600000000002</v>
      </c>
      <c r="Q3690">
        <v>1.232486E-2</v>
      </c>
      <c r="R3690">
        <v>1.6009789999999999E-2</v>
      </c>
      <c r="S3690">
        <v>3.0033259999999999</v>
      </c>
      <c r="T3690">
        <v>-5.4116249999999998E-2</v>
      </c>
      <c r="U3690">
        <v>-0.14195250000000001</v>
      </c>
      <c r="V3690">
        <v>-4.2535690000000001E-2</v>
      </c>
      <c r="W3690">
        <v>2.3615379999999998E-2</v>
      </c>
      <c r="X3690">
        <v>0.99881580000000003</v>
      </c>
      <c r="Y3690">
        <v>2.068118E-2</v>
      </c>
      <c r="Z3690">
        <v>2.9168230000000002E-4</v>
      </c>
      <c r="AA3690">
        <v>0.99978610000000001</v>
      </c>
      <c r="AB3690">
        <v>32</v>
      </c>
      <c r="AC3690">
        <v>61.232300000000002</v>
      </c>
      <c r="AD3690">
        <v>-1.1093302343928999</v>
      </c>
      <c r="AE3690">
        <v>-2.9009</v>
      </c>
      <c r="AF3690">
        <v>1.2740413865609901</v>
      </c>
      <c r="AG3690">
        <v>-1.1093302343928999</v>
      </c>
      <c r="AH3690">
        <v>61.267663444835797</v>
      </c>
      <c r="AI3690">
        <v>91.037076644189497</v>
      </c>
      <c r="AJ3690">
        <v>88.808724354463394</v>
      </c>
      <c r="AK3690">
        <v>61.290948589602401</v>
      </c>
      <c r="AL3690">
        <v>88.646812580889105</v>
      </c>
      <c r="AM3690">
        <v>92.438531526386001</v>
      </c>
      <c r="AN3690">
        <v>0.99999998671297996</v>
      </c>
    </row>
    <row r="3691" spans="1:40" x14ac:dyDescent="0.25">
      <c r="A3691" t="str">
        <f>"20190312160714128"</f>
        <v>20190312160714128</v>
      </c>
      <c r="B3691" t="str">
        <f>"1552378034118562"</f>
        <v>1552378034118562</v>
      </c>
      <c r="C3691" t="s">
        <v>40</v>
      </c>
      <c r="D3691">
        <v>6.0419479999999997</v>
      </c>
      <c r="E3691">
        <v>0.52172159999999901</v>
      </c>
      <c r="F3691" t="s">
        <v>66</v>
      </c>
      <c r="G3691">
        <v>-332.01499999999999</v>
      </c>
      <c r="H3691" s="1">
        <v>-2.8511219999999998E-7</v>
      </c>
      <c r="I3691">
        <v>210.51249999999999</v>
      </c>
      <c r="J3691">
        <v>-403.34399999999999</v>
      </c>
      <c r="K3691">
        <v>1.109364</v>
      </c>
      <c r="L3691">
        <v>213.70570000000001</v>
      </c>
      <c r="M3691">
        <v>0.99958029999999998</v>
      </c>
      <c r="N3691">
        <v>0</v>
      </c>
      <c r="O3691">
        <v>-2.66365E-2</v>
      </c>
      <c r="P3691">
        <v>0.99978650000000002</v>
      </c>
      <c r="Q3691">
        <v>1.2450559999999999E-2</v>
      </c>
      <c r="R3691">
        <v>1.6493609999999999E-2</v>
      </c>
      <c r="S3691">
        <v>3.0033569999999998</v>
      </c>
      <c r="T3691">
        <v>-4.649031E-2</v>
      </c>
      <c r="U3691">
        <v>-0.13420099999999999</v>
      </c>
      <c r="V3691">
        <v>-4.3114130000000001E-2</v>
      </c>
      <c r="W3691">
        <v>2.3840380000000001E-2</v>
      </c>
      <c r="X3691">
        <v>0.9987857</v>
      </c>
      <c r="Y3691">
        <v>1.801266E-2</v>
      </c>
      <c r="Z3691">
        <v>2.7268179999999999E-4</v>
      </c>
      <c r="AA3691">
        <v>0.99983770000000005</v>
      </c>
      <c r="AB3691">
        <v>32</v>
      </c>
      <c r="AC3691">
        <v>71.328999999999994</v>
      </c>
      <c r="AD3691">
        <v>-1.1093642851121901</v>
      </c>
      <c r="AE3691">
        <v>-3.1932000000000098</v>
      </c>
      <c r="AF3691">
        <v>1.2916768895348401</v>
      </c>
      <c r="AG3691">
        <v>-1.1093642851121901</v>
      </c>
      <c r="AH3691">
        <v>71.371519885850006</v>
      </c>
      <c r="AI3691">
        <v>90.890360316654593</v>
      </c>
      <c r="AJ3691">
        <v>88.9631780864772</v>
      </c>
      <c r="AK3691">
        <v>71.391827047080994</v>
      </c>
      <c r="AL3691">
        <v>88.633917463266599</v>
      </c>
      <c r="AM3691">
        <v>92.471726498097794</v>
      </c>
      <c r="AN3691">
        <v>1.0000000332243399</v>
      </c>
    </row>
    <row r="3692" spans="1:40" x14ac:dyDescent="0.25">
      <c r="A3692" t="str">
        <f>"20190312160714150"</f>
        <v>20190312160714150</v>
      </c>
      <c r="B3692" t="str">
        <f>"1552378034139058"</f>
        <v>1552378034139058</v>
      </c>
      <c r="C3692" t="s">
        <v>40</v>
      </c>
      <c r="D3692">
        <v>6.0860849999999997</v>
      </c>
      <c r="E3692">
        <v>0.52209879999999997</v>
      </c>
      <c r="F3692" t="s">
        <v>66</v>
      </c>
      <c r="G3692">
        <v>-325.2552</v>
      </c>
      <c r="H3692" s="1">
        <v>1.2597500000000001E-6</v>
      </c>
      <c r="I3692">
        <v>210.4135</v>
      </c>
      <c r="J3692">
        <v>-403.01369999999997</v>
      </c>
      <c r="K3692">
        <v>1.1093980000000001</v>
      </c>
      <c r="L3692">
        <v>213.6968</v>
      </c>
      <c r="M3692">
        <v>0.99957799999999997</v>
      </c>
      <c r="N3692">
        <v>0</v>
      </c>
      <c r="O3692">
        <v>-2.6689859999999999E-2</v>
      </c>
      <c r="P3692">
        <v>0.99978630000000002</v>
      </c>
      <c r="Q3692">
        <v>1.21669E-2</v>
      </c>
      <c r="R3692">
        <v>1.6723559999999998E-2</v>
      </c>
      <c r="S3692">
        <v>3.0032960000000002</v>
      </c>
      <c r="T3692">
        <v>-4.2666080000000002E-2</v>
      </c>
      <c r="U3692">
        <v>-0.12661739999999999</v>
      </c>
      <c r="V3692">
        <v>-4.3398659999999999E-2</v>
      </c>
      <c r="W3692">
        <v>2.3642070000000001E-2</v>
      </c>
      <c r="X3692">
        <v>0.99877800000000005</v>
      </c>
      <c r="Y3692">
        <v>1.5440270000000001E-2</v>
      </c>
      <c r="Z3692">
        <v>2.6929660000000002E-4</v>
      </c>
      <c r="AA3692">
        <v>0.99988069999999896</v>
      </c>
      <c r="AB3692">
        <v>32</v>
      </c>
      <c r="AC3692">
        <v>77.758499999999898</v>
      </c>
      <c r="AD3692">
        <v>-1.10939674024999</v>
      </c>
      <c r="AE3692">
        <v>-3.2832999999999899</v>
      </c>
      <c r="AF3692">
        <v>1.20638516444788</v>
      </c>
      <c r="AG3692">
        <v>-1.10939674024999</v>
      </c>
      <c r="AH3692">
        <v>77.802623630285694</v>
      </c>
      <c r="AI3692">
        <v>90.816833704421498</v>
      </c>
      <c r="AJ3692">
        <v>89.111659267253401</v>
      </c>
      <c r="AK3692">
        <v>77.819884155967202</v>
      </c>
      <c r="AL3692">
        <v>88.645282869157498</v>
      </c>
      <c r="AM3692">
        <v>92.4880372855486</v>
      </c>
      <c r="AN3692">
        <v>0.99999994222383803</v>
      </c>
    </row>
    <row r="3693" spans="1:40" x14ac:dyDescent="0.25">
      <c r="A3693" t="str">
        <f>"20190312160714172"</f>
        <v>20190312160714172</v>
      </c>
      <c r="B3693" t="str">
        <f>"1552378034169313"</f>
        <v>1552378034169313</v>
      </c>
      <c r="C3693" t="s">
        <v>40</v>
      </c>
      <c r="D3693">
        <v>6.1306419999999999</v>
      </c>
      <c r="E3693">
        <v>0.52133600000000002</v>
      </c>
      <c r="F3693" t="s">
        <v>66</v>
      </c>
      <c r="G3693">
        <v>-323.67110000000002</v>
      </c>
      <c r="H3693" s="1">
        <v>4.1681710000000001E-7</v>
      </c>
      <c r="I3693">
        <v>210.29329999999999</v>
      </c>
      <c r="J3693">
        <v>-402.69690000000003</v>
      </c>
      <c r="K3693">
        <v>1.1094299999999999</v>
      </c>
      <c r="L3693">
        <v>213.68819999999999</v>
      </c>
      <c r="M3693">
        <v>0.99957620000000003</v>
      </c>
      <c r="N3693">
        <v>0</v>
      </c>
      <c r="O3693">
        <v>-2.670954E-2</v>
      </c>
      <c r="P3693">
        <v>0.99978489999999998</v>
      </c>
      <c r="Q3693">
        <v>1.2093720000000001E-2</v>
      </c>
      <c r="R3693">
        <v>1.6851919999999999E-2</v>
      </c>
      <c r="S3693">
        <v>3.0033259999999999</v>
      </c>
      <c r="T3693">
        <v>-4.1993620000000002E-2</v>
      </c>
      <c r="U3693">
        <v>-0.12883</v>
      </c>
      <c r="V3693">
        <v>-4.3548190000000001E-2</v>
      </c>
      <c r="W3693">
        <v>2.3655889999999999E-2</v>
      </c>
      <c r="X3693">
        <v>0.99877130000000003</v>
      </c>
      <c r="Y3693">
        <v>1.6155289999999999E-2</v>
      </c>
      <c r="Z3693">
        <v>2.603239E-4</v>
      </c>
      <c r="AA3693">
        <v>0.99986949999999997</v>
      </c>
      <c r="AB3693">
        <v>32</v>
      </c>
      <c r="AC3693">
        <v>79.025800000000004</v>
      </c>
      <c r="AD3693">
        <v>-1.1094295831829</v>
      </c>
      <c r="AE3693">
        <v>-3.3948999999999998</v>
      </c>
      <c r="AF3693">
        <v>1.28255212854461</v>
      </c>
      <c r="AG3693">
        <v>-1.1094295831829</v>
      </c>
      <c r="AH3693">
        <v>79.072729369275805</v>
      </c>
      <c r="AI3693">
        <v>90.803729736139502</v>
      </c>
      <c r="AJ3693">
        <v>89.070749406082996</v>
      </c>
      <c r="AK3693">
        <v>79.090911638880598</v>
      </c>
      <c r="AL3693">
        <v>88.644491003789895</v>
      </c>
      <c r="AM3693">
        <v>92.496615711555506</v>
      </c>
      <c r="AN3693">
        <v>1.0000000778438201</v>
      </c>
    </row>
    <row r="3694" spans="1:40" x14ac:dyDescent="0.25">
      <c r="A3694" t="str">
        <f>"20190312160714194"</f>
        <v>20190312160714194</v>
      </c>
      <c r="B3694" t="str">
        <f>"1552378034188834"</f>
        <v>1552378034188834</v>
      </c>
      <c r="C3694" t="s">
        <v>40</v>
      </c>
      <c r="D3694">
        <v>6.185371</v>
      </c>
      <c r="E3694">
        <v>0.52077010000000001</v>
      </c>
      <c r="F3694" t="s">
        <v>77</v>
      </c>
      <c r="G3694">
        <v>-315.83319999999998</v>
      </c>
      <c r="H3694" s="1">
        <v>3.492424E-6</v>
      </c>
      <c r="I3694">
        <v>210.154</v>
      </c>
      <c r="J3694">
        <v>-402.37139999999999</v>
      </c>
      <c r="K3694">
        <v>1.1091930000000001</v>
      </c>
      <c r="L3694">
        <v>213.67949999999999</v>
      </c>
      <c r="M3694">
        <v>0.99958579999999997</v>
      </c>
      <c r="N3694">
        <v>0</v>
      </c>
      <c r="O3694">
        <v>-2.671861E-2</v>
      </c>
      <c r="P3694">
        <v>0.99977649999999996</v>
      </c>
      <c r="Q3694">
        <v>1.302655E-2</v>
      </c>
      <c r="R3694">
        <v>1.6660749999999998E-2</v>
      </c>
      <c r="S3694">
        <v>3.0032040000000002</v>
      </c>
      <c r="T3694">
        <v>-3.8357019999999999E-2</v>
      </c>
      <c r="U3694">
        <v>-0.12219240000000001</v>
      </c>
      <c r="V3694">
        <v>-4.3366670000000003E-2</v>
      </c>
      <c r="W3694">
        <v>2.3713100000000001E-2</v>
      </c>
      <c r="X3694">
        <v>0.99877769999999999</v>
      </c>
      <c r="Y3694">
        <v>1.394217E-2</v>
      </c>
      <c r="Z3694">
        <v>2.520442E-4</v>
      </c>
      <c r="AA3694">
        <v>0.99990279999999998</v>
      </c>
      <c r="AB3694">
        <v>32</v>
      </c>
      <c r="AC3694">
        <v>86.538200000000003</v>
      </c>
      <c r="AD3694">
        <v>-1.1091895075759901</v>
      </c>
      <c r="AE3694">
        <v>-3.5254999999999601</v>
      </c>
      <c r="AF3694">
        <v>1.21172987432723</v>
      </c>
      <c r="AG3694">
        <v>-1.1091895075759901</v>
      </c>
      <c r="AH3694">
        <v>86.587302317917207</v>
      </c>
      <c r="AI3694">
        <v>90.733851024003002</v>
      </c>
      <c r="AJ3694">
        <v>89.198237222214303</v>
      </c>
      <c r="AK3694">
        <v>86.602883978228206</v>
      </c>
      <c r="AL3694">
        <v>88.641212000777401</v>
      </c>
      <c r="AM3694">
        <v>92.486206352627207</v>
      </c>
      <c r="AN3694">
        <v>0.99999993659789199</v>
      </c>
    </row>
    <row r="3695" spans="1:40" x14ac:dyDescent="0.25">
      <c r="A3695" t="str">
        <f>"20190312160714216"</f>
        <v>20190312160714216</v>
      </c>
      <c r="B3695" t="str">
        <f>"1552378034208353"</f>
        <v>1552378034208353</v>
      </c>
      <c r="C3695" t="s">
        <v>40</v>
      </c>
      <c r="D3695">
        <v>6.1899189999999997</v>
      </c>
      <c r="E3695">
        <v>0.52028869999999905</v>
      </c>
      <c r="F3695" t="s">
        <v>77</v>
      </c>
      <c r="G3695">
        <v>-297.75779999999997</v>
      </c>
      <c r="H3695" s="1">
        <v>2.2852109999999998E-6</v>
      </c>
      <c r="I3695">
        <v>209.56110000000001</v>
      </c>
      <c r="J3695">
        <v>-402.04590000000002</v>
      </c>
      <c r="K3695">
        <v>1.108887</v>
      </c>
      <c r="L3695">
        <v>213.67080000000001</v>
      </c>
      <c r="M3695">
        <v>0.99959830000000005</v>
      </c>
      <c r="N3695">
        <v>0</v>
      </c>
      <c r="O3695">
        <v>-2.6727939999999999E-2</v>
      </c>
      <c r="P3695">
        <v>0.99977419999999995</v>
      </c>
      <c r="Q3695">
        <v>1.381726E-2</v>
      </c>
      <c r="R3695">
        <v>1.616105E-2</v>
      </c>
      <c r="S3695">
        <v>3.003082</v>
      </c>
      <c r="T3695">
        <v>-3.1840920000000002E-2</v>
      </c>
      <c r="U3695">
        <v>-0.1182251</v>
      </c>
      <c r="V3695">
        <v>-4.2876589999999999E-2</v>
      </c>
      <c r="W3695">
        <v>2.3255939999999999E-2</v>
      </c>
      <c r="X3695">
        <v>0.99880970000000002</v>
      </c>
      <c r="Y3695">
        <v>1.261575E-2</v>
      </c>
      <c r="Z3695">
        <v>2.1636889999999999E-4</v>
      </c>
      <c r="AA3695">
        <v>0.99992040000000004</v>
      </c>
      <c r="AB3695">
        <v>33</v>
      </c>
      <c r="AC3695">
        <v>104.2881</v>
      </c>
      <c r="AD3695">
        <v>-1.108884714789</v>
      </c>
      <c r="AE3695">
        <v>-4.1097000000000001</v>
      </c>
      <c r="AF3695">
        <v>1.3205526631103399</v>
      </c>
      <c r="AG3695">
        <v>-1.108884714789</v>
      </c>
      <c r="AH3695">
        <v>104.348908677053</v>
      </c>
      <c r="AI3695">
        <v>90.608793489819305</v>
      </c>
      <c r="AJ3695">
        <v>89.2749511576814</v>
      </c>
      <c r="AK3695">
        <v>104.363155503936</v>
      </c>
      <c r="AL3695">
        <v>88.6674126901721</v>
      </c>
      <c r="AM3695">
        <v>92.458066123774401</v>
      </c>
      <c r="AN3695">
        <v>1.0000000287647</v>
      </c>
    </row>
    <row r="3696" spans="1:40" x14ac:dyDescent="0.25">
      <c r="A3696" t="str">
        <f>"20190312160714238"</f>
        <v>20190312160714238</v>
      </c>
      <c r="B3696" t="str">
        <f>"1552378034228849"</f>
        <v>1552378034228849</v>
      </c>
      <c r="C3696" t="s">
        <v>40</v>
      </c>
      <c r="D3696">
        <v>6.0421750000000003</v>
      </c>
      <c r="E3696">
        <v>0.52043779999999995</v>
      </c>
      <c r="F3696" t="s">
        <v>77</v>
      </c>
      <c r="G3696">
        <v>-281.55489999999998</v>
      </c>
      <c r="H3696">
        <v>7.9999760000000003E-2</v>
      </c>
      <c r="I3696">
        <v>209.03059999999999</v>
      </c>
      <c r="J3696">
        <v>-401.7133</v>
      </c>
      <c r="K3696">
        <v>1.1086259999999999</v>
      </c>
      <c r="L3696">
        <v>213.6619</v>
      </c>
      <c r="M3696">
        <v>0.99960939999999998</v>
      </c>
      <c r="N3696">
        <v>0</v>
      </c>
      <c r="O3696">
        <v>-2.6735680000000001E-2</v>
      </c>
      <c r="P3696">
        <v>0.99977910000000003</v>
      </c>
      <c r="Q3696">
        <v>1.468992E-2</v>
      </c>
      <c r="R3696">
        <v>1.5044139999999999E-2</v>
      </c>
      <c r="S3696">
        <v>3.0029599999999999</v>
      </c>
      <c r="T3696">
        <v>-2.564263E-2</v>
      </c>
      <c r="U3696">
        <v>-0.1156464</v>
      </c>
      <c r="V3696">
        <v>-4.1767720000000001E-2</v>
      </c>
      <c r="W3696">
        <v>2.2847869999999999E-2</v>
      </c>
      <c r="X3696">
        <v>0.99886609999999998</v>
      </c>
      <c r="Y3696">
        <v>1.175229E-2</v>
      </c>
      <c r="Z3696">
        <v>1.7801070000000001E-4</v>
      </c>
      <c r="AA3696">
        <v>0.99993089999999996</v>
      </c>
      <c r="AB3696">
        <v>33</v>
      </c>
      <c r="AC3696">
        <v>120.1584</v>
      </c>
      <c r="AD3696">
        <v>-1.0286262399999999</v>
      </c>
      <c r="AE3696">
        <v>-4.6313000000000004</v>
      </c>
      <c r="AF3696">
        <v>1.4169177398859401</v>
      </c>
      <c r="AG3696">
        <v>-1.0286262399999999</v>
      </c>
      <c r="AH3696">
        <v>120.23047227194699</v>
      </c>
      <c r="AI3696">
        <v>90.490145395462804</v>
      </c>
      <c r="AJ3696">
        <v>89.324799722031699</v>
      </c>
      <c r="AK3696">
        <v>120.243220975482</v>
      </c>
      <c r="AL3696">
        <v>88.690799590268796</v>
      </c>
      <c r="AM3696">
        <v>92.394435797090594</v>
      </c>
      <c r="AN3696">
        <v>1.00000002666337</v>
      </c>
    </row>
    <row r="3697" spans="1:40" x14ac:dyDescent="0.25">
      <c r="A3697" t="str">
        <f>"20190312160714271"</f>
        <v>20190312160714271</v>
      </c>
      <c r="B3697" t="str">
        <f>"1552378034259124"</f>
        <v>1552378034259124</v>
      </c>
      <c r="C3697" t="s">
        <v>40</v>
      </c>
      <c r="D3697">
        <v>6.0366229999999996</v>
      </c>
      <c r="E3697">
        <v>0.52011949999999996</v>
      </c>
      <c r="F3697" t="s">
        <v>77</v>
      </c>
      <c r="G3697">
        <v>-288.37130000000002</v>
      </c>
      <c r="H3697">
        <v>6.1525059999999899E-3</v>
      </c>
      <c r="I3697">
        <v>209.11840000000001</v>
      </c>
      <c r="J3697">
        <v>-401.22480000000002</v>
      </c>
      <c r="K3697">
        <v>1.1083240000000001</v>
      </c>
      <c r="L3697">
        <v>213.64879999999999</v>
      </c>
      <c r="M3697">
        <v>0.99962229999999996</v>
      </c>
      <c r="N3697">
        <v>0</v>
      </c>
      <c r="O3697">
        <v>-2.6745120000000001E-2</v>
      </c>
      <c r="P3697">
        <v>0.99975530000000001</v>
      </c>
      <c r="Q3697">
        <v>1.62618E-2</v>
      </c>
      <c r="R3697">
        <v>1.5014319999999999E-2</v>
      </c>
      <c r="S3697">
        <v>3.0029300000000001</v>
      </c>
      <c r="T3697">
        <v>-2.920938E-2</v>
      </c>
      <c r="U3697">
        <v>-0.1203766</v>
      </c>
      <c r="V3697">
        <v>-4.1747470000000002E-2</v>
      </c>
      <c r="W3697">
        <v>2.2600459999999999E-2</v>
      </c>
      <c r="X3697">
        <v>0.99887250000000005</v>
      </c>
      <c r="Y3697">
        <v>1.331632E-2</v>
      </c>
      <c r="Z3697">
        <v>1.9524909999999999E-4</v>
      </c>
      <c r="AA3697">
        <v>0.99991129999999995</v>
      </c>
      <c r="AB3697">
        <v>33</v>
      </c>
      <c r="AC3697">
        <v>112.8535</v>
      </c>
      <c r="AD3697">
        <v>-1.102171494</v>
      </c>
      <c r="AE3697">
        <v>-4.5303999999999798</v>
      </c>
      <c r="AF3697">
        <v>1.51029481998996</v>
      </c>
      <c r="AG3697">
        <v>-1.102171494</v>
      </c>
      <c r="AH3697">
        <v>112.923543953267</v>
      </c>
      <c r="AI3697">
        <v>90.559158177136695</v>
      </c>
      <c r="AJ3697">
        <v>89.233743850821199</v>
      </c>
      <c r="AK3697">
        <v>112.939021385042</v>
      </c>
      <c r="AL3697">
        <v>88.704978703033007</v>
      </c>
      <c r="AM3697">
        <v>92.393260950501102</v>
      </c>
      <c r="AN3697">
        <v>0.99999995164993005</v>
      </c>
    </row>
    <row r="3698" spans="1:40" x14ac:dyDescent="0.25">
      <c r="A3698" t="str">
        <f>"20190312160714295"</f>
        <v>20190312160714295</v>
      </c>
      <c r="B3698" t="str">
        <f>"1552378034289362"</f>
        <v>1552378034289362</v>
      </c>
      <c r="C3698" t="s">
        <v>40</v>
      </c>
      <c r="D3698">
        <v>6.0175789999999996</v>
      </c>
      <c r="E3698">
        <v>0.51951229999999904</v>
      </c>
      <c r="F3698" t="s">
        <v>66</v>
      </c>
      <c r="G3698">
        <v>-261.33530000000002</v>
      </c>
      <c r="H3698">
        <v>8.0001349999999999E-2</v>
      </c>
      <c r="I3698">
        <v>208.149</v>
      </c>
      <c r="J3698">
        <v>-400.87650000000002</v>
      </c>
      <c r="K3698">
        <v>1.1081669999999999</v>
      </c>
      <c r="L3698">
        <v>213.63939999999999</v>
      </c>
      <c r="M3698">
        <v>0.99962910000000005</v>
      </c>
      <c r="N3698">
        <v>0</v>
      </c>
      <c r="O3698">
        <v>-2.6750639999999999E-2</v>
      </c>
      <c r="P3698">
        <v>0.99973619999999996</v>
      </c>
      <c r="Q3698">
        <v>1.7203759999999998E-2</v>
      </c>
      <c r="R3698">
        <v>1.523038E-2</v>
      </c>
      <c r="S3698">
        <v>3.0028380000000001</v>
      </c>
      <c r="T3698">
        <v>-2.207375E-2</v>
      </c>
      <c r="U3698">
        <v>-0.1180573</v>
      </c>
      <c r="V3698">
        <v>-4.1968249999999999E-2</v>
      </c>
      <c r="W3698">
        <v>2.2334449999999999E-2</v>
      </c>
      <c r="X3698">
        <v>0.99886929999999996</v>
      </c>
      <c r="Y3698">
        <v>1.2540859999999999E-2</v>
      </c>
      <c r="Z3698">
        <v>1.5044820000000001E-4</v>
      </c>
      <c r="AA3698">
        <v>0.99992130000000001</v>
      </c>
      <c r="AB3698">
        <v>34</v>
      </c>
      <c r="AC3698">
        <v>139.5412</v>
      </c>
      <c r="AD3698">
        <v>-1.0281656499999901</v>
      </c>
      <c r="AE3698">
        <v>-5.4903999999999904</v>
      </c>
      <c r="AF3698">
        <v>1.7554749267632901</v>
      </c>
      <c r="AG3698">
        <v>-1.0281656499999901</v>
      </c>
      <c r="AH3698">
        <v>139.63056692597601</v>
      </c>
      <c r="AI3698">
        <v>90.421854856897298</v>
      </c>
      <c r="AJ3698">
        <v>89.279699225670896</v>
      </c>
      <c r="AK3698">
        <v>139.64538673687699</v>
      </c>
      <c r="AL3698">
        <v>88.720223889951399</v>
      </c>
      <c r="AM3698">
        <v>92.4059104903492</v>
      </c>
      <c r="AN3698">
        <v>1.0000000200736701</v>
      </c>
    </row>
    <row r="3699" spans="1:40" x14ac:dyDescent="0.25">
      <c r="A3699" t="str">
        <f>"20190312160714316"</f>
        <v>20190312160714316</v>
      </c>
      <c r="B3699" t="str">
        <f>"1552378034308882"</f>
        <v>1552378034308882</v>
      </c>
      <c r="C3699" t="s">
        <v>40</v>
      </c>
      <c r="D3699">
        <v>6.1534509999999996</v>
      </c>
      <c r="E3699">
        <v>0.51919009999999999</v>
      </c>
      <c r="F3699" t="s">
        <v>43</v>
      </c>
      <c r="G3699">
        <v>-178.0574</v>
      </c>
      <c r="H3699">
        <v>0.1674109</v>
      </c>
      <c r="I3699">
        <v>205.3125</v>
      </c>
      <c r="J3699">
        <v>-400.5265</v>
      </c>
      <c r="K3699">
        <v>1.1080760000000001</v>
      </c>
      <c r="L3699">
        <v>213.6301</v>
      </c>
      <c r="M3699">
        <v>0.99963340000000001</v>
      </c>
      <c r="N3699">
        <v>0</v>
      </c>
      <c r="O3699">
        <v>-2.6755379999999999E-2</v>
      </c>
      <c r="P3699">
        <v>0.99972589999999995</v>
      </c>
      <c r="Q3699">
        <v>1.7731980000000001E-2</v>
      </c>
      <c r="R3699">
        <v>1.528145E-2</v>
      </c>
      <c r="S3699">
        <v>3.0027159999999999</v>
      </c>
      <c r="T3699">
        <v>-1.267767E-2</v>
      </c>
      <c r="U3699">
        <v>-0.1122131</v>
      </c>
      <c r="V3699">
        <v>-4.202347E-2</v>
      </c>
      <c r="W3699">
        <v>2.185869E-2</v>
      </c>
      <c r="X3699">
        <v>0.99887749999999997</v>
      </c>
      <c r="Y3699">
        <v>1.0594309999999999E-2</v>
      </c>
      <c r="Z3699" s="1">
        <v>9.0542820000000005E-5</v>
      </c>
      <c r="AA3699">
        <v>0.9999439</v>
      </c>
      <c r="AB3699">
        <v>34</v>
      </c>
      <c r="AC3699">
        <v>222.4691</v>
      </c>
      <c r="AD3699">
        <v>-0.94066510000000003</v>
      </c>
      <c r="AE3699">
        <v>-8.3175999999999899</v>
      </c>
      <c r="AF3699">
        <v>2.3622836180850499</v>
      </c>
      <c r="AG3699">
        <v>-0.94066510000000003</v>
      </c>
      <c r="AH3699">
        <v>222.60802520665999</v>
      </c>
      <c r="AI3699">
        <v>90.242097224372998</v>
      </c>
      <c r="AJ3699">
        <v>89.392008437535907</v>
      </c>
      <c r="AK3699">
        <v>222.62254630007999</v>
      </c>
      <c r="AL3699">
        <v>88.747489583266798</v>
      </c>
      <c r="AM3699">
        <v>92.409052602378296</v>
      </c>
      <c r="AN3699">
        <v>1.0000000171828001</v>
      </c>
    </row>
    <row r="3700" spans="1:40" x14ac:dyDescent="0.25">
      <c r="A3700" t="str">
        <f>"20190312160714342"</f>
        <v>20190312160714342</v>
      </c>
      <c r="B3700" t="str">
        <f>"1552378034328405"</f>
        <v>1552378034328405</v>
      </c>
      <c r="C3700" t="s">
        <v>40</v>
      </c>
      <c r="D3700">
        <v>6.0409790000000001</v>
      </c>
      <c r="E3700">
        <v>0.51932299999999998</v>
      </c>
      <c r="F3700" t="s">
        <v>43</v>
      </c>
      <c r="G3700">
        <v>-177.76820000000001</v>
      </c>
      <c r="H3700">
        <v>0.54230100000000003</v>
      </c>
      <c r="I3700">
        <v>205.51570000000001</v>
      </c>
      <c r="J3700">
        <v>-400.15769999999998</v>
      </c>
      <c r="K3700">
        <v>1.1080749999999999</v>
      </c>
      <c r="L3700">
        <v>213.62020000000001</v>
      </c>
      <c r="M3700">
        <v>0.99963590000000002</v>
      </c>
      <c r="N3700">
        <v>0</v>
      </c>
      <c r="O3700">
        <v>-2.676104E-2</v>
      </c>
      <c r="P3700">
        <v>0.99969969999999997</v>
      </c>
      <c r="Q3700">
        <v>1.8917380000000001E-2</v>
      </c>
      <c r="R3700">
        <v>1.558879E-2</v>
      </c>
      <c r="S3700">
        <v>3.0025940000000002</v>
      </c>
      <c r="T3700">
        <v>-7.6261760000000001E-3</v>
      </c>
      <c r="U3700">
        <v>-0.109375</v>
      </c>
      <c r="V3700">
        <v>-4.2335909999999997E-2</v>
      </c>
      <c r="W3700">
        <v>2.2374970000000001E-2</v>
      </c>
      <c r="X3700">
        <v>0.99885279999999999</v>
      </c>
      <c r="Y3700">
        <v>9.6462539999999999E-3</v>
      </c>
      <c r="Z3700" s="1">
        <v>5.5686780000000002E-5</v>
      </c>
      <c r="AA3700">
        <v>0.99995339999999999</v>
      </c>
      <c r="AB3700">
        <v>34</v>
      </c>
      <c r="AC3700">
        <v>222.3895</v>
      </c>
      <c r="AD3700">
        <v>-0.565773999999999</v>
      </c>
      <c r="AE3700">
        <v>-8.1044999999999998</v>
      </c>
      <c r="AF3700">
        <v>2.15017375728541</v>
      </c>
      <c r="AG3700">
        <v>-0.565773999999999</v>
      </c>
      <c r="AH3700">
        <v>222.52530011008199</v>
      </c>
      <c r="AI3700">
        <v>90.145668287206703</v>
      </c>
      <c r="AJ3700">
        <v>89.446390825817801</v>
      </c>
      <c r="AK3700">
        <v>222.53640721573601</v>
      </c>
      <c r="AL3700">
        <v>88.717901584984503</v>
      </c>
      <c r="AM3700">
        <v>92.427002255525096</v>
      </c>
      <c r="AN3700">
        <v>0.99999994231293199</v>
      </c>
    </row>
    <row r="3701" spans="1:40" x14ac:dyDescent="0.25">
      <c r="A3701" t="str">
        <f>"20190312160714363"</f>
        <v>20190312160714363</v>
      </c>
      <c r="B3701" t="str">
        <f>"1552378034359245"</f>
        <v>1552378034359245</v>
      </c>
      <c r="C3701" t="s">
        <v>40</v>
      </c>
      <c r="D3701">
        <v>6.1549019999999999</v>
      </c>
      <c r="E3701">
        <v>0.51850470000000004</v>
      </c>
      <c r="F3701" t="s">
        <v>43</v>
      </c>
      <c r="G3701">
        <v>-177.7784</v>
      </c>
      <c r="H3701">
        <v>0.49681619999999999</v>
      </c>
      <c r="I3701">
        <v>205.4941</v>
      </c>
      <c r="J3701">
        <v>-399.81659999999999</v>
      </c>
      <c r="K3701">
        <v>1.1081730000000001</v>
      </c>
      <c r="L3701">
        <v>213.61109999999999</v>
      </c>
      <c r="M3701">
        <v>0.99963650000000004</v>
      </c>
      <c r="N3701">
        <v>0</v>
      </c>
      <c r="O3701">
        <v>-2.6766229999999998E-2</v>
      </c>
      <c r="P3701">
        <v>0.99968800000000002</v>
      </c>
      <c r="Q3701">
        <v>1.9128280000000001E-2</v>
      </c>
      <c r="R3701">
        <v>1.6077250000000001E-2</v>
      </c>
      <c r="S3701">
        <v>3.002777</v>
      </c>
      <c r="T3701">
        <v>-8.2538130000000005E-3</v>
      </c>
      <c r="U3701">
        <v>-0.109726</v>
      </c>
      <c r="V3701">
        <v>-4.2829310000000002E-2</v>
      </c>
      <c r="W3701">
        <v>2.2406430000000001E-2</v>
      </c>
      <c r="X3701">
        <v>0.99883109999999997</v>
      </c>
      <c r="Y3701">
        <v>9.7555860000000001E-3</v>
      </c>
      <c r="Z3701" s="1">
        <v>6.0129949999999998E-5</v>
      </c>
      <c r="AA3701">
        <v>0.99995239999999996</v>
      </c>
      <c r="AB3701">
        <v>35</v>
      </c>
      <c r="AC3701">
        <v>222.03819999999999</v>
      </c>
      <c r="AD3701">
        <v>-0.61135679999999903</v>
      </c>
      <c r="AE3701">
        <v>-8.1169999999999902</v>
      </c>
      <c r="AF3701">
        <v>2.1709188332928</v>
      </c>
      <c r="AG3701">
        <v>-0.61135679999999903</v>
      </c>
      <c r="AH3701">
        <v>222.17422792456</v>
      </c>
      <c r="AI3701">
        <v>90.157652866721705</v>
      </c>
      <c r="AJ3701">
        <v>89.440166712525397</v>
      </c>
      <c r="AK3701">
        <v>222.185675054878</v>
      </c>
      <c r="AL3701">
        <v>88.716098658753793</v>
      </c>
      <c r="AM3701">
        <v>92.455306392500603</v>
      </c>
      <c r="AN3701">
        <v>0.99999998211381502</v>
      </c>
    </row>
    <row r="3702" spans="1:40" x14ac:dyDescent="0.25">
      <c r="A3702" t="str">
        <f>"20190312160714385"</f>
        <v>20190312160714385</v>
      </c>
      <c r="B3702" t="str">
        <f>"1552378034378766"</f>
        <v>1552378034378766</v>
      </c>
      <c r="C3702" t="s">
        <v>40</v>
      </c>
      <c r="D3702">
        <v>6.077197</v>
      </c>
      <c r="E3702">
        <v>0.48075780000000001</v>
      </c>
      <c r="F3702" t="s">
        <v>51</v>
      </c>
      <c r="G3702">
        <v>-168.41099999999901</v>
      </c>
      <c r="H3702">
        <v>0.90952869999999997</v>
      </c>
      <c r="I3702">
        <v>205.77440000000001</v>
      </c>
      <c r="J3702">
        <v>-399.47289999999998</v>
      </c>
      <c r="K3702">
        <v>1.10833</v>
      </c>
      <c r="L3702">
        <v>213.6019</v>
      </c>
      <c r="M3702">
        <v>0.99963579999999996</v>
      </c>
      <c r="N3702">
        <v>0</v>
      </c>
      <c r="O3702">
        <v>-2.6769939999999999E-2</v>
      </c>
      <c r="P3702">
        <v>0.99969169999999996</v>
      </c>
      <c r="Q3702">
        <v>1.87184E-2</v>
      </c>
      <c r="R3702">
        <v>1.6321019999999999E-2</v>
      </c>
      <c r="S3702">
        <v>3.0025940000000002</v>
      </c>
      <c r="T3702">
        <v>-2.5770659999999998E-3</v>
      </c>
      <c r="U3702">
        <v>-0.1016846</v>
      </c>
      <c r="V3702">
        <v>-4.307627E-2</v>
      </c>
      <c r="W3702">
        <v>2.215044E-2</v>
      </c>
      <c r="X3702">
        <v>0.9988262</v>
      </c>
      <c r="Y3702">
        <v>7.0792900000000002E-3</v>
      </c>
      <c r="Z3702" s="1">
        <v>1.992786E-5</v>
      </c>
      <c r="AA3702">
        <v>0.99997499999999995</v>
      </c>
      <c r="AB3702">
        <v>35</v>
      </c>
      <c r="AC3702">
        <v>231.06190000000001</v>
      </c>
      <c r="AD3702">
        <v>-0.19880129999999999</v>
      </c>
      <c r="AE3702">
        <v>-7.8274999999999801</v>
      </c>
      <c r="AF3702">
        <v>1.63914435116486</v>
      </c>
      <c r="AG3702">
        <v>-0.19880129999999999</v>
      </c>
      <c r="AH3702">
        <v>231.18846327148299</v>
      </c>
      <c r="AI3702">
        <v>90.0492679703774</v>
      </c>
      <c r="AJ3702">
        <v>89.593775232735993</v>
      </c>
      <c r="AK3702">
        <v>231.19435950297401</v>
      </c>
      <c r="AL3702">
        <v>88.730769459952498</v>
      </c>
      <c r="AM3702">
        <v>92.469458667764002</v>
      </c>
      <c r="AN3702">
        <v>0.99999999241787296</v>
      </c>
    </row>
    <row r="3703" spans="1:40" x14ac:dyDescent="0.25">
      <c r="A3703" t="str">
        <f>"20190312160714406"</f>
        <v>20190312160714406</v>
      </c>
      <c r="B3703" t="str">
        <f>"1552378034399260"</f>
        <v>1552378034399260</v>
      </c>
      <c r="C3703" t="s">
        <v>40</v>
      </c>
      <c r="D3703">
        <v>6.1980449999999996</v>
      </c>
      <c r="E3703">
        <v>0.48486679999999999</v>
      </c>
      <c r="F3703" t="s">
        <v>52</v>
      </c>
      <c r="G3703">
        <v>-167.89859999999999</v>
      </c>
      <c r="H3703">
        <v>10.85727</v>
      </c>
      <c r="I3703">
        <v>229.44329999999999</v>
      </c>
      <c r="J3703">
        <v>-399.14429999999999</v>
      </c>
      <c r="K3703">
        <v>1.1084769999999999</v>
      </c>
      <c r="L3703">
        <v>213.59309999999999</v>
      </c>
      <c r="M3703">
        <v>0.99963449999999998</v>
      </c>
      <c r="N3703">
        <v>0</v>
      </c>
      <c r="O3703">
        <v>-2.6771670000000001E-2</v>
      </c>
      <c r="P3703">
        <v>0.99968710000000005</v>
      </c>
      <c r="Q3703">
        <v>1.8680430000000001E-2</v>
      </c>
      <c r="R3703">
        <v>1.6635830000000001E-2</v>
      </c>
      <c r="S3703">
        <v>2.995209</v>
      </c>
      <c r="T3703">
        <v>0.1260946</v>
      </c>
      <c r="U3703">
        <v>0.20489499999999999</v>
      </c>
      <c r="V3703">
        <v>-4.3392260000000002E-2</v>
      </c>
      <c r="W3703">
        <v>2.241311E-2</v>
      </c>
      <c r="X3703">
        <v>0.99880670000000005</v>
      </c>
      <c r="Y3703">
        <v>-9.4825820000000005E-2</v>
      </c>
      <c r="Z3703">
        <v>-3.1182219999999999E-3</v>
      </c>
      <c r="AA3703">
        <v>0.99548899999999996</v>
      </c>
      <c r="AB3703">
        <v>35</v>
      </c>
      <c r="AC3703">
        <v>231.2457</v>
      </c>
      <c r="AD3703">
        <v>9.7487929999999992</v>
      </c>
      <c r="AE3703">
        <v>15.850199999999999</v>
      </c>
      <c r="AF3703">
        <v>-21.996485185442801</v>
      </c>
      <c r="AG3703">
        <v>9.7487929999999992</v>
      </c>
      <c r="AH3703">
        <v>230.33102807136601</v>
      </c>
      <c r="AI3703">
        <v>87.587358440741596</v>
      </c>
      <c r="AJ3703">
        <v>95.455171263228095</v>
      </c>
      <c r="AK3703">
        <v>231.58425425292299</v>
      </c>
      <c r="AL3703">
        <v>88.715715888111404</v>
      </c>
      <c r="AM3703">
        <v>92.487599444033094</v>
      </c>
      <c r="AN3703">
        <v>1.0000000298463301</v>
      </c>
    </row>
    <row r="3704" spans="1:40" x14ac:dyDescent="0.25">
      <c r="A3704" t="str">
        <f>"20190312160714428"</f>
        <v>20190312160714428</v>
      </c>
      <c r="B3704" t="str">
        <f>"1552378034418782"</f>
        <v>1552378034418782</v>
      </c>
      <c r="C3704" t="s">
        <v>40</v>
      </c>
      <c r="D3704">
        <v>6.2000869999999999</v>
      </c>
      <c r="E3704">
        <v>0.48584650000000001</v>
      </c>
      <c r="F3704" t="s">
        <v>52</v>
      </c>
      <c r="G3704">
        <v>-169.1439</v>
      </c>
      <c r="H3704">
        <v>8.3194269999999992</v>
      </c>
      <c r="I3704">
        <v>226.78630000000001</v>
      </c>
      <c r="J3704">
        <v>-398.79039999999998</v>
      </c>
      <c r="K3704">
        <v>1.108614</v>
      </c>
      <c r="L3704">
        <v>213.58359999999999</v>
      </c>
      <c r="M3704">
        <v>0.99963310000000005</v>
      </c>
      <c r="N3704">
        <v>0</v>
      </c>
      <c r="O3704">
        <v>-2.6771699999999999E-2</v>
      </c>
      <c r="P3704">
        <v>0.99968360000000001</v>
      </c>
      <c r="Q3704">
        <v>1.8568210000000002E-2</v>
      </c>
      <c r="R3704">
        <v>1.6972339999999999E-2</v>
      </c>
      <c r="S3704">
        <v>2.9963380000000002</v>
      </c>
      <c r="T3704">
        <v>9.3941570000000002E-2</v>
      </c>
      <c r="U3704">
        <v>0.171875</v>
      </c>
      <c r="V3704">
        <v>-4.3729190000000001E-2</v>
      </c>
      <c r="W3704">
        <v>2.2686749999999999E-2</v>
      </c>
      <c r="X3704">
        <v>0.99878579999999995</v>
      </c>
      <c r="Y3704">
        <v>-8.3920789999999995E-2</v>
      </c>
      <c r="Z3704">
        <v>-2.1526929999999998E-3</v>
      </c>
      <c r="AA3704">
        <v>0.99647010000000003</v>
      </c>
      <c r="AB3704">
        <v>35</v>
      </c>
      <c r="AC3704">
        <v>229.6465</v>
      </c>
      <c r="AD3704">
        <v>7.2108129999999999</v>
      </c>
      <c r="AE3704">
        <v>13.2027</v>
      </c>
      <c r="AF3704">
        <v>-19.327054542009201</v>
      </c>
      <c r="AG3704">
        <v>7.2108129999999999</v>
      </c>
      <c r="AH3704">
        <v>228.985704030774</v>
      </c>
      <c r="AI3704">
        <v>88.2027248128325</v>
      </c>
      <c r="AJ3704">
        <v>94.824494575512503</v>
      </c>
      <c r="AK3704">
        <v>229.91299117679199</v>
      </c>
      <c r="AL3704">
        <v>88.700033448093393</v>
      </c>
      <c r="AM3704">
        <v>92.506942872431594</v>
      </c>
      <c r="AN3704">
        <v>1.0000000024826201</v>
      </c>
    </row>
    <row r="3705" spans="1:40" x14ac:dyDescent="0.25">
      <c r="A3705" t="str">
        <f>"20190312160714450"</f>
        <v>20190312160714450</v>
      </c>
      <c r="B3705" t="str">
        <f>"1552378034438301"</f>
        <v>1552378034438301</v>
      </c>
      <c r="C3705" t="s">
        <v>40</v>
      </c>
      <c r="D3705">
        <v>6.1042759999999996</v>
      </c>
      <c r="E3705">
        <v>0.48635080000000003</v>
      </c>
      <c r="F3705" t="s">
        <v>52</v>
      </c>
      <c r="G3705">
        <v>-169.1439</v>
      </c>
      <c r="H3705">
        <v>6.8519909999999999</v>
      </c>
      <c r="I3705">
        <v>226.1865</v>
      </c>
      <c r="J3705">
        <v>-398.46319999999997</v>
      </c>
      <c r="K3705">
        <v>1.1087129999999901</v>
      </c>
      <c r="L3705">
        <v>213.57480000000001</v>
      </c>
      <c r="M3705">
        <v>0.99963159999999895</v>
      </c>
      <c r="N3705">
        <v>0</v>
      </c>
      <c r="O3705">
        <v>-2.6770840000000001E-2</v>
      </c>
      <c r="P3705">
        <v>0.99969209999999997</v>
      </c>
      <c r="Q3705">
        <v>1.819221E-2</v>
      </c>
      <c r="R3705">
        <v>1.688247E-2</v>
      </c>
      <c r="S3705">
        <v>2.9967350000000001</v>
      </c>
      <c r="T3705">
        <v>7.4947949999999999E-2</v>
      </c>
      <c r="U3705">
        <v>0.1644592</v>
      </c>
      <c r="V3705">
        <v>-4.3638700000000002E-2</v>
      </c>
      <c r="W3705">
        <v>2.268674E-2</v>
      </c>
      <c r="X3705">
        <v>0.9987897</v>
      </c>
      <c r="Y3705">
        <v>-8.1474500000000005E-2</v>
      </c>
      <c r="Z3705">
        <v>-1.686906E-3</v>
      </c>
      <c r="AA3705">
        <v>0.99667399999999995</v>
      </c>
      <c r="AB3705">
        <v>35</v>
      </c>
      <c r="AC3705">
        <v>229.3193</v>
      </c>
      <c r="AD3705">
        <v>5.7432780000000001</v>
      </c>
      <c r="AE3705">
        <v>12.6116999999999</v>
      </c>
      <c r="AF3705">
        <v>-18.734595695554301</v>
      </c>
      <c r="AG3705">
        <v>5.7432780000000001</v>
      </c>
      <c r="AH3705">
        <v>228.756426357973</v>
      </c>
      <c r="AI3705">
        <v>88.566601454351797</v>
      </c>
      <c r="AJ3705">
        <v>94.681936254033502</v>
      </c>
      <c r="AK3705">
        <v>229.59414826630899</v>
      </c>
      <c r="AL3705">
        <v>88.700033945898497</v>
      </c>
      <c r="AM3705">
        <v>92.5017520292092</v>
      </c>
      <c r="AN3705">
        <v>0.99999994456780195</v>
      </c>
    </row>
    <row r="3706" spans="1:40" x14ac:dyDescent="0.25">
      <c r="A3706" t="str">
        <f>"20190312160714473"</f>
        <v>20190312160714473</v>
      </c>
      <c r="B3706" t="str">
        <f>"1552378034468590"</f>
        <v>1552378034468590</v>
      </c>
      <c r="C3706" t="s">
        <v>40</v>
      </c>
      <c r="D3706">
        <v>6.1953149999999999</v>
      </c>
      <c r="E3706">
        <v>0.48705910000000002</v>
      </c>
      <c r="F3706" t="s">
        <v>52</v>
      </c>
      <c r="G3706">
        <v>-157.25</v>
      </c>
      <c r="H3706">
        <v>6.3260040000000002</v>
      </c>
      <c r="I3706">
        <v>226.4512</v>
      </c>
      <c r="J3706">
        <v>-398.10379999999998</v>
      </c>
      <c r="K3706">
        <v>1.108795</v>
      </c>
      <c r="L3706">
        <v>213.5652</v>
      </c>
      <c r="M3706">
        <v>0.99962960000000001</v>
      </c>
      <c r="N3706">
        <v>0</v>
      </c>
      <c r="O3706">
        <v>-2.676918E-2</v>
      </c>
      <c r="P3706">
        <v>0.99969839999999999</v>
      </c>
      <c r="Q3706">
        <v>1.8112779999999998E-2</v>
      </c>
      <c r="R3706">
        <v>1.6584640000000001E-2</v>
      </c>
      <c r="S3706">
        <v>2.9970699999999999</v>
      </c>
      <c r="T3706">
        <v>6.4825419999999995E-2</v>
      </c>
      <c r="U3706">
        <v>0.1599884</v>
      </c>
      <c r="V3706">
        <v>-4.3339269999999999E-2</v>
      </c>
      <c r="W3706">
        <v>2.3022830000000001E-2</v>
      </c>
      <c r="X3706">
        <v>0.99879510000000005</v>
      </c>
      <c r="Y3706">
        <v>-7.9993140000000004E-2</v>
      </c>
      <c r="Z3706">
        <v>-1.442979E-3</v>
      </c>
      <c r="AA3706">
        <v>0.99679430000000002</v>
      </c>
      <c r="AB3706">
        <v>35</v>
      </c>
      <c r="AC3706">
        <v>240.85380000000001</v>
      </c>
      <c r="AD3706">
        <v>5.2172089999999898</v>
      </c>
      <c r="AE3706">
        <v>12.8859999999999</v>
      </c>
      <c r="AF3706">
        <v>-19.3198791605693</v>
      </c>
      <c r="AG3706">
        <v>5.2172089999999898</v>
      </c>
      <c r="AH3706">
        <v>240.310099417061</v>
      </c>
      <c r="AI3706">
        <v>88.760284424283498</v>
      </c>
      <c r="AJ3706">
        <v>94.596443693220905</v>
      </c>
      <c r="AK3706">
        <v>241.14191025694001</v>
      </c>
      <c r="AL3706">
        <v>88.680772444706193</v>
      </c>
      <c r="AM3706">
        <v>92.484594252304802</v>
      </c>
      <c r="AN3706">
        <v>0.99999999740467505</v>
      </c>
    </row>
    <row r="3707" spans="1:40" x14ac:dyDescent="0.25">
      <c r="A3707" t="str">
        <f>"20190312160714495"</f>
        <v>20190312160714495</v>
      </c>
      <c r="B3707" t="str">
        <f>"1552378034489086"</f>
        <v>1552378034489086</v>
      </c>
      <c r="C3707" t="s">
        <v>40</v>
      </c>
      <c r="D3707">
        <v>6.1938050000000002</v>
      </c>
      <c r="E3707">
        <v>0.48746149999999999</v>
      </c>
      <c r="F3707" t="s">
        <v>52</v>
      </c>
      <c r="G3707">
        <v>-157.25</v>
      </c>
      <c r="H3707">
        <v>5.7200819999999997</v>
      </c>
      <c r="I3707">
        <v>225.88079999999999</v>
      </c>
      <c r="J3707">
        <v>-397.75510000000003</v>
      </c>
      <c r="K3707">
        <v>1.1088519999999999</v>
      </c>
      <c r="L3707">
        <v>213.55590000000001</v>
      </c>
      <c r="M3707">
        <v>0.99962779999999996</v>
      </c>
      <c r="N3707">
        <v>0</v>
      </c>
      <c r="O3707">
        <v>-2.6765379999999998E-2</v>
      </c>
      <c r="P3707">
        <v>0.99972079999999997</v>
      </c>
      <c r="Q3707">
        <v>1.7030489999999999E-2</v>
      </c>
      <c r="R3707">
        <v>1.638972E-2</v>
      </c>
      <c r="S3707">
        <v>2.9972840000000001</v>
      </c>
      <c r="T3707">
        <v>5.7385440000000003E-2</v>
      </c>
      <c r="U3707">
        <v>0.15325929999999999</v>
      </c>
      <c r="V3707">
        <v>-4.3141350000000002E-2</v>
      </c>
      <c r="W3707">
        <v>2.2329209999999999E-2</v>
      </c>
      <c r="X3707">
        <v>0.99881940000000002</v>
      </c>
      <c r="Y3707">
        <v>-7.7759430000000004E-2</v>
      </c>
      <c r="Z3707">
        <v>-1.2559419999999999E-3</v>
      </c>
      <c r="AA3707">
        <v>0.99697139999999995</v>
      </c>
      <c r="AB3707">
        <v>35</v>
      </c>
      <c r="AC3707">
        <v>240.5051</v>
      </c>
      <c r="AD3707">
        <v>4.6112299999999999</v>
      </c>
      <c r="AE3707">
        <v>12.3248999999999</v>
      </c>
      <c r="AF3707">
        <v>-18.7509095821713</v>
      </c>
      <c r="AG3707">
        <v>4.6112299999999999</v>
      </c>
      <c r="AH3707">
        <v>240.001054515645</v>
      </c>
      <c r="AI3707">
        <v>88.902633470463499</v>
      </c>
      <c r="AJ3707">
        <v>94.467355341478594</v>
      </c>
      <c r="AK3707">
        <v>240.77658985228101</v>
      </c>
      <c r="AL3707">
        <v>88.720524145689396</v>
      </c>
      <c r="AM3707">
        <v>92.473201734706805</v>
      </c>
      <c r="AN3707">
        <v>0.99999998175770299</v>
      </c>
    </row>
    <row r="3708" spans="1:40" x14ac:dyDescent="0.25">
      <c r="A3708" t="str">
        <f>"20190312160714518"</f>
        <v>20190312160714518</v>
      </c>
      <c r="B3708" t="str">
        <f>"1552378034508606"</f>
        <v>1552378034508606</v>
      </c>
      <c r="C3708" t="s">
        <v>40</v>
      </c>
      <c r="D3708">
        <v>6.09023</v>
      </c>
      <c r="E3708">
        <v>0.48791040000000002</v>
      </c>
      <c r="F3708" t="s">
        <v>52</v>
      </c>
      <c r="G3708">
        <v>-157.25</v>
      </c>
      <c r="H3708">
        <v>5.1896849999999999</v>
      </c>
      <c r="I3708">
        <v>225.5147</v>
      </c>
      <c r="J3708">
        <v>-397.39069999999998</v>
      </c>
      <c r="K3708">
        <v>1.1088960000000001</v>
      </c>
      <c r="L3708">
        <v>213.5461</v>
      </c>
      <c r="M3708">
        <v>0.99962600000000001</v>
      </c>
      <c r="N3708">
        <v>0</v>
      </c>
      <c r="O3708">
        <v>-2.6755640000000001E-2</v>
      </c>
      <c r="P3708">
        <v>0.99973610000000002</v>
      </c>
      <c r="Q3708">
        <v>1.6183340000000001E-2</v>
      </c>
      <c r="R3708">
        <v>1.6315670000000001E-2</v>
      </c>
      <c r="S3708">
        <v>2.997528</v>
      </c>
      <c r="T3708">
        <v>5.0862070000000002E-2</v>
      </c>
      <c r="U3708">
        <v>0.14904790000000001</v>
      </c>
      <c r="V3708">
        <v>-4.3058449999999998E-2</v>
      </c>
      <c r="W3708">
        <v>2.186012E-2</v>
      </c>
      <c r="X3708">
        <v>0.99883339999999998</v>
      </c>
      <c r="Y3708">
        <v>-7.6352699999999996E-2</v>
      </c>
      <c r="Z3708">
        <v>-1.101049E-3</v>
      </c>
      <c r="AA3708">
        <v>0.99708030000000003</v>
      </c>
      <c r="AB3708">
        <v>35</v>
      </c>
      <c r="AC3708">
        <v>240.14070000000001</v>
      </c>
      <c r="AD3708">
        <v>4.0807890000000002</v>
      </c>
      <c r="AE3708">
        <v>11.9686</v>
      </c>
      <c r="AF3708">
        <v>-18.3842403395393</v>
      </c>
      <c r="AG3708">
        <v>4.0807890000000002</v>
      </c>
      <c r="AH3708">
        <v>239.66545766394</v>
      </c>
      <c r="AI3708">
        <v>89.027374537040899</v>
      </c>
      <c r="AJ3708">
        <v>94.386450462125893</v>
      </c>
      <c r="AK3708">
        <v>240.40416953328901</v>
      </c>
      <c r="AL3708">
        <v>88.747407644221894</v>
      </c>
      <c r="AM3708">
        <v>92.468420582523294</v>
      </c>
      <c r="AN3708">
        <v>1.0000000279591801</v>
      </c>
    </row>
    <row r="3709" spans="1:40" x14ac:dyDescent="0.25">
      <c r="A3709" t="str">
        <f>"20190312160714541"</f>
        <v>20190312160714541</v>
      </c>
      <c r="B3709" t="str">
        <f>"1552378034529107"</f>
        <v>1552378034529107</v>
      </c>
      <c r="C3709" t="s">
        <v>40</v>
      </c>
      <c r="D3709">
        <v>6.0405499999999996</v>
      </c>
      <c r="E3709">
        <v>0.48843059999999999</v>
      </c>
      <c r="F3709" t="s">
        <v>52</v>
      </c>
      <c r="G3709">
        <v>-157.25</v>
      </c>
      <c r="H3709">
        <v>4.7581319999999998</v>
      </c>
      <c r="I3709">
        <v>225.19280000000001</v>
      </c>
      <c r="J3709">
        <v>-397.03289999999998</v>
      </c>
      <c r="K3709">
        <v>1.108927</v>
      </c>
      <c r="L3709">
        <v>213.53659999999999</v>
      </c>
      <c r="M3709">
        <v>0.99962439999999997</v>
      </c>
      <c r="N3709">
        <v>0</v>
      </c>
      <c r="O3709">
        <v>-2.6740839999999998E-2</v>
      </c>
      <c r="P3709">
        <v>0.99974649999999998</v>
      </c>
      <c r="Q3709">
        <v>1.5650020000000001E-2</v>
      </c>
      <c r="R3709">
        <v>1.6192930000000001E-2</v>
      </c>
      <c r="S3709">
        <v>2.997681</v>
      </c>
      <c r="T3709">
        <v>4.5554160000000003E-2</v>
      </c>
      <c r="U3709">
        <v>0.14538570000000001</v>
      </c>
      <c r="V3709">
        <v>-4.2921460000000002E-2</v>
      </c>
      <c r="W3709">
        <v>2.1667519999999999E-2</v>
      </c>
      <c r="X3709">
        <v>0.9988435</v>
      </c>
      <c r="Y3709">
        <v>-7.5123350000000005E-2</v>
      </c>
      <c r="Z3709">
        <v>-9.7657789999999896E-4</v>
      </c>
      <c r="AA3709">
        <v>0.9971738</v>
      </c>
      <c r="AB3709">
        <v>35</v>
      </c>
      <c r="AC3709">
        <v>239.78290000000001</v>
      </c>
      <c r="AD3709">
        <v>3.6492049999999998</v>
      </c>
      <c r="AE3709">
        <v>11.6562</v>
      </c>
      <c r="AF3709">
        <v>-18.059970094150401</v>
      </c>
      <c r="AG3709">
        <v>3.6492049999999998</v>
      </c>
      <c r="AH3709">
        <v>239.33014738019801</v>
      </c>
      <c r="AI3709">
        <v>89.128922026815303</v>
      </c>
      <c r="AJ3709">
        <v>94.315388955307199</v>
      </c>
      <c r="AK3709">
        <v>240.03832748534401</v>
      </c>
      <c r="AL3709">
        <v>88.758445434615794</v>
      </c>
      <c r="AM3709">
        <v>92.460552146296493</v>
      </c>
      <c r="AN3709">
        <v>1.0000000353218601</v>
      </c>
    </row>
    <row r="3710" spans="1:40" x14ac:dyDescent="0.25">
      <c r="A3710" t="str">
        <f>"20190312160714564"</f>
        <v>20190312160714564</v>
      </c>
      <c r="B3710" t="str">
        <f>"1552378034558890"</f>
        <v>1552378034558890</v>
      </c>
      <c r="C3710" t="s">
        <v>40</v>
      </c>
      <c r="D3710">
        <v>6.1424450000000004</v>
      </c>
      <c r="E3710">
        <v>0.48916369999999998</v>
      </c>
      <c r="F3710" t="s">
        <v>52</v>
      </c>
      <c r="G3710">
        <v>-168.35059999999999</v>
      </c>
      <c r="H3710">
        <v>4.327801</v>
      </c>
      <c r="I3710">
        <v>224.2732</v>
      </c>
      <c r="J3710">
        <v>-396.6705</v>
      </c>
      <c r="K3710">
        <v>1.1089500000000001</v>
      </c>
      <c r="L3710">
        <v>213.52690000000001</v>
      </c>
      <c r="M3710">
        <v>0.99962309999999999</v>
      </c>
      <c r="N3710">
        <v>0</v>
      </c>
      <c r="O3710">
        <v>-2.6719329999999999E-2</v>
      </c>
      <c r="P3710">
        <v>0.99973659999999998</v>
      </c>
      <c r="Q3710">
        <v>1.6138570000000001E-2</v>
      </c>
      <c r="R3710">
        <v>1.63302E-2</v>
      </c>
      <c r="S3710">
        <v>2.9978030000000002</v>
      </c>
      <c r="T3710">
        <v>4.2196989999999997E-2</v>
      </c>
      <c r="U3710">
        <v>0.14074710000000001</v>
      </c>
      <c r="V3710">
        <v>-4.3037390000000002E-2</v>
      </c>
      <c r="W3710">
        <v>2.2467930000000001E-2</v>
      </c>
      <c r="X3710">
        <v>0.99882079999999995</v>
      </c>
      <c r="Y3710">
        <v>-7.3562230000000006E-2</v>
      </c>
      <c r="Z3710">
        <v>-8.9332729999999996E-4</v>
      </c>
      <c r="AA3710">
        <v>0.99729029999999996</v>
      </c>
      <c r="AB3710">
        <v>35</v>
      </c>
      <c r="AC3710">
        <v>228.31989999999999</v>
      </c>
      <c r="AD3710">
        <v>3.2188509999999999</v>
      </c>
      <c r="AE3710">
        <v>10.7462999999999</v>
      </c>
      <c r="AF3710">
        <v>-16.839799543931701</v>
      </c>
      <c r="AG3710">
        <v>3.2188509999999999</v>
      </c>
      <c r="AH3710">
        <v>227.906044259608</v>
      </c>
      <c r="AI3710">
        <v>89.193031413287997</v>
      </c>
      <c r="AJ3710">
        <v>94.2258610198393</v>
      </c>
      <c r="AK3710">
        <v>228.55000516408401</v>
      </c>
      <c r="AL3710">
        <v>88.712574113854799</v>
      </c>
      <c r="AM3710">
        <v>92.467245848985897</v>
      </c>
      <c r="AN3710">
        <v>1.0000000076645601</v>
      </c>
    </row>
    <row r="3711" spans="1:40" x14ac:dyDescent="0.25">
      <c r="A3711" t="str">
        <f>"20190312160714587"</f>
        <v>20190312160714587</v>
      </c>
      <c r="B3711" t="str">
        <f>"1552378034578410"</f>
        <v>1552378034578410</v>
      </c>
      <c r="C3711" t="s">
        <v>40</v>
      </c>
      <c r="D3711">
        <v>6.0880850000000004</v>
      </c>
      <c r="E3711">
        <v>0.48930240000000003</v>
      </c>
      <c r="F3711" t="s">
        <v>52</v>
      </c>
      <c r="G3711">
        <v>-168.35059999999999</v>
      </c>
      <c r="H3711">
        <v>4.3249389999999996</v>
      </c>
      <c r="I3711">
        <v>223.82429999999999</v>
      </c>
      <c r="J3711">
        <v>-396.31290000000001</v>
      </c>
      <c r="K3711">
        <v>1.108962</v>
      </c>
      <c r="L3711">
        <v>213.51740000000001</v>
      </c>
      <c r="M3711">
        <v>0.99962189999999995</v>
      </c>
      <c r="N3711">
        <v>0</v>
      </c>
      <c r="O3711">
        <v>-2.6692029999999999E-2</v>
      </c>
      <c r="P3711">
        <v>0.99972000000000005</v>
      </c>
      <c r="Q3711">
        <v>1.6971799999999999E-2</v>
      </c>
      <c r="R3711">
        <v>1.6496589999999998E-2</v>
      </c>
      <c r="S3711">
        <v>2.997925</v>
      </c>
      <c r="T3711">
        <v>4.2227859999999999E-2</v>
      </c>
      <c r="U3711">
        <v>0.1352081</v>
      </c>
      <c r="V3711">
        <v>-4.3176310000000002E-2</v>
      </c>
      <c r="W3711">
        <v>2.3576280000000002E-2</v>
      </c>
      <c r="X3711">
        <v>0.99878929999999999</v>
      </c>
      <c r="Y3711">
        <v>-7.169449E-2</v>
      </c>
      <c r="Z3711">
        <v>-8.8044950000000001E-4</v>
      </c>
      <c r="AA3711">
        <v>0.99742629999999999</v>
      </c>
      <c r="AB3711">
        <v>35</v>
      </c>
      <c r="AC3711">
        <v>227.9623</v>
      </c>
      <c r="AD3711">
        <v>3.2159770000000001</v>
      </c>
      <c r="AE3711">
        <v>10.306899999999899</v>
      </c>
      <c r="AF3711">
        <v>-16.3848824260592</v>
      </c>
      <c r="AG3711">
        <v>3.2159770000000001</v>
      </c>
      <c r="AH3711">
        <v>227.56075931840101</v>
      </c>
      <c r="AI3711">
        <v>89.192418097911698</v>
      </c>
      <c r="AJ3711">
        <v>94.118316888417993</v>
      </c>
      <c r="AK3711">
        <v>228.17253573063499</v>
      </c>
      <c r="AL3711">
        <v>88.649053555670505</v>
      </c>
      <c r="AM3711">
        <v>92.475277926584496</v>
      </c>
      <c r="AN3711">
        <v>1.0000000502591699</v>
      </c>
    </row>
    <row r="3712" spans="1:40" x14ac:dyDescent="0.25">
      <c r="A3712" t="str">
        <f>"20190312160714607"</f>
        <v>20190312160714607</v>
      </c>
      <c r="B3712" t="str">
        <f>"1552378034598906"</f>
        <v>1552378034598906</v>
      </c>
      <c r="C3712" t="s">
        <v>40</v>
      </c>
      <c r="D3712">
        <v>6.7089889999999999</v>
      </c>
      <c r="E3712">
        <v>0.48967650000000001</v>
      </c>
      <c r="F3712" t="s">
        <v>52</v>
      </c>
      <c r="G3712">
        <v>-168.35059999999999</v>
      </c>
      <c r="H3712">
        <v>4.4638559999999998</v>
      </c>
      <c r="I3712">
        <v>223.76179999999999</v>
      </c>
      <c r="J3712">
        <v>-395.97269999999997</v>
      </c>
      <c r="K3712">
        <v>1.108967</v>
      </c>
      <c r="L3712">
        <v>213.50829999999999</v>
      </c>
      <c r="M3712">
        <v>0.99962099999999998</v>
      </c>
      <c r="N3712">
        <v>0</v>
      </c>
      <c r="O3712">
        <v>-2.6660679999999999E-2</v>
      </c>
      <c r="P3712">
        <v>0.99971410000000005</v>
      </c>
      <c r="Q3712">
        <v>1.7099079999999999E-2</v>
      </c>
      <c r="R3712">
        <v>1.6706519999999999E-2</v>
      </c>
      <c r="S3712">
        <v>2.997833</v>
      </c>
      <c r="T3712">
        <v>4.4119480000000003E-2</v>
      </c>
      <c r="U3712">
        <v>0.134719799999999</v>
      </c>
      <c r="V3712">
        <v>-4.3355009999999999E-2</v>
      </c>
      <c r="W3712">
        <v>2.393762E-2</v>
      </c>
      <c r="X3712">
        <v>0.99877289999999996</v>
      </c>
      <c r="Y3712">
        <v>-7.1501640000000005E-2</v>
      </c>
      <c r="Z3712">
        <v>-9.1803809999999996E-4</v>
      </c>
      <c r="AA3712">
        <v>0.99743999999999999</v>
      </c>
      <c r="AB3712">
        <v>35</v>
      </c>
      <c r="AC3712">
        <v>227.62209999999999</v>
      </c>
      <c r="AD3712">
        <v>3.354889</v>
      </c>
      <c r="AE3712">
        <v>10.253500000000001</v>
      </c>
      <c r="AF3712">
        <v>-16.3150209120734</v>
      </c>
      <c r="AG3712">
        <v>3.354889</v>
      </c>
      <c r="AH3712">
        <v>227.21855452627</v>
      </c>
      <c r="AI3712">
        <v>89.156259432811197</v>
      </c>
      <c r="AJ3712">
        <v>94.106972289741194</v>
      </c>
      <c r="AK3712">
        <v>227.82823948881099</v>
      </c>
      <c r="AL3712">
        <v>88.628344366831897</v>
      </c>
      <c r="AM3712">
        <v>92.485550654844602</v>
      </c>
      <c r="AN3712">
        <v>0.99999998615888697</v>
      </c>
    </row>
    <row r="3713" spans="1:40" x14ac:dyDescent="0.25">
      <c r="A3713" t="str">
        <f>"20190312160714630"</f>
        <v>20190312160714630</v>
      </c>
      <c r="B3713" t="str">
        <f>"1552378034619402"</f>
        <v>1552378034619402</v>
      </c>
      <c r="C3713" t="s">
        <v>40</v>
      </c>
      <c r="D3713">
        <v>6.0898159999999999</v>
      </c>
      <c r="E3713">
        <v>0.49012289999999997</v>
      </c>
      <c r="F3713" t="s">
        <v>52</v>
      </c>
      <c r="G3713">
        <v>-168.35059999999999</v>
      </c>
      <c r="H3713">
        <v>4.4177549999999997</v>
      </c>
      <c r="I3713">
        <v>223.54849999999999</v>
      </c>
      <c r="J3713">
        <v>-395.62959999999998</v>
      </c>
      <c r="K3713">
        <v>1.1089690000000001</v>
      </c>
      <c r="L3713">
        <v>213.4992</v>
      </c>
      <c r="M3713">
        <v>0.99962070000000003</v>
      </c>
      <c r="N3713">
        <v>0</v>
      </c>
      <c r="O3713">
        <v>-2.662428E-2</v>
      </c>
      <c r="P3713">
        <v>0.99972989999999995</v>
      </c>
      <c r="Q3713">
        <v>1.626495E-2</v>
      </c>
      <c r="R3713">
        <v>1.6613289999999999E-2</v>
      </c>
      <c r="S3713">
        <v>2.9978639999999999</v>
      </c>
      <c r="T3713">
        <v>4.3578619999999998E-2</v>
      </c>
      <c r="U3713">
        <v>0.13223270000000001</v>
      </c>
      <c r="V3713">
        <v>-4.3226109999999998E-2</v>
      </c>
      <c r="W3713">
        <v>2.3314100000000001E-2</v>
      </c>
      <c r="X3713">
        <v>0.99879320000000005</v>
      </c>
      <c r="Y3713">
        <v>-7.0639320000000005E-2</v>
      </c>
      <c r="Z3713">
        <v>-8.9999890000000003E-4</v>
      </c>
      <c r="AA3713">
        <v>0.99750150000000004</v>
      </c>
      <c r="AB3713">
        <v>35</v>
      </c>
      <c r="AC3713">
        <v>227.279</v>
      </c>
      <c r="AD3713">
        <v>3.308786</v>
      </c>
      <c r="AE3713">
        <v>10.049299999999899</v>
      </c>
      <c r="AF3713">
        <v>-16.093623004175701</v>
      </c>
      <c r="AG3713">
        <v>3.308786</v>
      </c>
      <c r="AH3713">
        <v>226.882873716929</v>
      </c>
      <c r="AI3713">
        <v>89.166570033619394</v>
      </c>
      <c r="AJ3713">
        <v>94.057400977462706</v>
      </c>
      <c r="AK3713">
        <v>227.47701236003201</v>
      </c>
      <c r="AL3713">
        <v>88.664079358882304</v>
      </c>
      <c r="AM3713">
        <v>92.478119716093701</v>
      </c>
      <c r="AN3713">
        <v>0.999999950105389</v>
      </c>
    </row>
    <row r="3714" spans="1:40" x14ac:dyDescent="0.25">
      <c r="A3714" t="str">
        <f>"20190312160714650"</f>
        <v>20190312160714650</v>
      </c>
      <c r="B3714" t="str">
        <f>"1552378034638921"</f>
        <v>1552378034638921</v>
      </c>
      <c r="C3714" t="s">
        <v>40</v>
      </c>
      <c r="D3714">
        <v>6.0910640000000003</v>
      </c>
      <c r="E3714">
        <v>0.49058099999999999</v>
      </c>
      <c r="F3714" t="s">
        <v>52</v>
      </c>
      <c r="G3714">
        <v>-168.35059999999999</v>
      </c>
      <c r="H3714">
        <v>4.0973329999999999</v>
      </c>
      <c r="I3714">
        <v>223.2321</v>
      </c>
      <c r="J3714">
        <v>-395.29329999999999</v>
      </c>
      <c r="K3714">
        <v>1.10897</v>
      </c>
      <c r="L3714">
        <v>213.49019999999999</v>
      </c>
      <c r="M3714">
        <v>0.99962050000000002</v>
      </c>
      <c r="N3714">
        <v>0</v>
      </c>
      <c r="O3714">
        <v>-2.6584469999999999E-2</v>
      </c>
      <c r="P3714">
        <v>0.99973710000000005</v>
      </c>
      <c r="Q3714">
        <v>1.5937199999999999E-2</v>
      </c>
      <c r="R3714">
        <v>1.6500190000000001E-2</v>
      </c>
      <c r="S3714">
        <v>2.9980470000000001</v>
      </c>
      <c r="T3714">
        <v>3.9420370000000003E-2</v>
      </c>
      <c r="U3714">
        <v>0.12838749999999999</v>
      </c>
      <c r="V3714">
        <v>-4.3073849999999997E-2</v>
      </c>
      <c r="W3714">
        <v>2.3169180000000001E-2</v>
      </c>
      <c r="X3714">
        <v>0.9988032</v>
      </c>
      <c r="Y3714">
        <v>-6.9321919999999995E-2</v>
      </c>
      <c r="Z3714">
        <v>-8.04921E-4</v>
      </c>
      <c r="AA3714">
        <v>0.99759399999999998</v>
      </c>
      <c r="AB3714">
        <v>35</v>
      </c>
      <c r="AC3714">
        <v>226.9427</v>
      </c>
      <c r="AD3714">
        <v>2.9883630000000001</v>
      </c>
      <c r="AE3714">
        <v>9.74190000000001</v>
      </c>
      <c r="AF3714">
        <v>-15.769036153269299</v>
      </c>
      <c r="AG3714">
        <v>2.9883630000000001</v>
      </c>
      <c r="AH3714">
        <v>226.56428493174599</v>
      </c>
      <c r="AI3714">
        <v>89.246141053234098</v>
      </c>
      <c r="AJ3714">
        <v>93.981406497771999</v>
      </c>
      <c r="AK3714">
        <v>227.13204974476</v>
      </c>
      <c r="AL3714">
        <v>88.672384973304702</v>
      </c>
      <c r="AM3714">
        <v>92.469376898758895</v>
      </c>
      <c r="AN3714">
        <v>0.99999999989296695</v>
      </c>
    </row>
    <row r="3715" spans="1:40" x14ac:dyDescent="0.25">
      <c r="A3715" t="str">
        <f>"20190312160714674"</f>
        <v>20190312160714674</v>
      </c>
      <c r="B3715" t="str">
        <f>"1552378034669178"</f>
        <v>1552378034669178</v>
      </c>
      <c r="C3715" t="s">
        <v>40</v>
      </c>
      <c r="D3715">
        <v>6.0470660000000001</v>
      </c>
      <c r="E3715">
        <v>0.49073489999999997</v>
      </c>
      <c r="F3715" t="s">
        <v>52</v>
      </c>
      <c r="G3715">
        <v>-168.35059999999999</v>
      </c>
      <c r="H3715">
        <v>3.9598659999999999</v>
      </c>
      <c r="I3715">
        <v>222.9034</v>
      </c>
      <c r="J3715">
        <v>-394.928</v>
      </c>
      <c r="K3715">
        <v>1.1089639999999901</v>
      </c>
      <c r="L3715">
        <v>213.48060000000001</v>
      </c>
      <c r="M3715">
        <v>0.99962030000000002</v>
      </c>
      <c r="N3715">
        <v>0</v>
      </c>
      <c r="O3715">
        <v>-2.6538699999999998E-2</v>
      </c>
      <c r="P3715">
        <v>0.99972740000000004</v>
      </c>
      <c r="Q3715">
        <v>1.642652E-2</v>
      </c>
      <c r="R3715">
        <v>1.6594640000000001E-2</v>
      </c>
      <c r="S3715">
        <v>2.9981990000000001</v>
      </c>
      <c r="T3715">
        <v>3.7664650000000001E-2</v>
      </c>
      <c r="U3715">
        <v>0.1243591</v>
      </c>
      <c r="V3715">
        <v>-4.3122220000000003E-2</v>
      </c>
      <c r="W3715">
        <v>2.383418E-2</v>
      </c>
      <c r="X3715">
        <v>0.99878540000000005</v>
      </c>
      <c r="Y3715">
        <v>-6.793689E-2</v>
      </c>
      <c r="Z3715">
        <v>-7.5978539999999896E-4</v>
      </c>
      <c r="AA3715">
        <v>0.9976893</v>
      </c>
      <c r="AB3715">
        <v>36</v>
      </c>
      <c r="AC3715">
        <v>226.57740000000001</v>
      </c>
      <c r="AD3715">
        <v>2.850902</v>
      </c>
      <c r="AE3715">
        <v>9.4227999999999899</v>
      </c>
      <c r="AF3715">
        <v>-15.43027717376</v>
      </c>
      <c r="AG3715">
        <v>2.850902</v>
      </c>
      <c r="AH3715">
        <v>226.211764648311</v>
      </c>
      <c r="AI3715">
        <v>89.279624651523605</v>
      </c>
      <c r="AJ3715">
        <v>93.902194930423903</v>
      </c>
      <c r="AK3715">
        <v>226.75533855055201</v>
      </c>
      <c r="AL3715">
        <v>88.634272663368293</v>
      </c>
      <c r="AM3715">
        <v>92.472190462822596</v>
      </c>
      <c r="AN3715">
        <v>0.99999993462357795</v>
      </c>
    </row>
    <row r="3716" spans="1:40" x14ac:dyDescent="0.25">
      <c r="A3716" t="str">
        <f>"20190312160714696"</f>
        <v>20190312160714696</v>
      </c>
      <c r="B3716" t="str">
        <f>"1552378034688697"</f>
        <v>1552378034688697</v>
      </c>
      <c r="C3716" t="s">
        <v>40</v>
      </c>
      <c r="D3716">
        <v>5.8553870000000003</v>
      </c>
      <c r="E3716">
        <v>0.49065059999999999</v>
      </c>
      <c r="F3716" t="s">
        <v>52</v>
      </c>
      <c r="G3716">
        <v>-168.35059999999999</v>
      </c>
      <c r="H3716">
        <v>3.9750489999999998</v>
      </c>
      <c r="I3716">
        <v>222.79220000000001</v>
      </c>
      <c r="J3716">
        <v>-394.56369999999998</v>
      </c>
      <c r="K3716">
        <v>1.1089580000000001</v>
      </c>
      <c r="L3716">
        <v>213.4709</v>
      </c>
      <c r="M3716">
        <v>0.99962059999999997</v>
      </c>
      <c r="N3716">
        <v>0</v>
      </c>
      <c r="O3716">
        <v>-2.649083E-2</v>
      </c>
      <c r="P3716">
        <v>0.99972499999999997</v>
      </c>
      <c r="Q3716">
        <v>1.6409070000000001E-2</v>
      </c>
      <c r="R3716">
        <v>1.676513E-2</v>
      </c>
      <c r="S3716">
        <v>2.998138</v>
      </c>
      <c r="T3716">
        <v>3.7925599999999997E-2</v>
      </c>
      <c r="U3716">
        <v>0.1232147</v>
      </c>
      <c r="V3716">
        <v>-4.3244970000000001E-2</v>
      </c>
      <c r="W3716">
        <v>2.3968139999999999E-2</v>
      </c>
      <c r="X3716">
        <v>0.99877700000000003</v>
      </c>
      <c r="Y3716">
        <v>-6.7509749999999993E-2</v>
      </c>
      <c r="Z3716">
        <v>-7.6176480000000001E-4</v>
      </c>
      <c r="AA3716">
        <v>0.99771829999999995</v>
      </c>
      <c r="AB3716">
        <v>36</v>
      </c>
      <c r="AC3716">
        <v>226.2131</v>
      </c>
      <c r="AD3716">
        <v>2.8660909999999999</v>
      </c>
      <c r="AE3716">
        <v>9.3213000000000008</v>
      </c>
      <c r="AF3716">
        <v>-15.3083185984267</v>
      </c>
      <c r="AG3716">
        <v>2.8660909999999999</v>
      </c>
      <c r="AH3716">
        <v>225.85057808228501</v>
      </c>
      <c r="AI3716">
        <v>89.274607840672004</v>
      </c>
      <c r="AJ3716">
        <v>93.877619188324999</v>
      </c>
      <c r="AK3716">
        <v>226.38693141617901</v>
      </c>
      <c r="AL3716">
        <v>88.626595281950102</v>
      </c>
      <c r="AM3716">
        <v>92.47923975866</v>
      </c>
      <c r="AN3716">
        <v>1.00000004744717</v>
      </c>
    </row>
    <row r="3717" spans="1:40" x14ac:dyDescent="0.25">
      <c r="A3717" t="str">
        <f>"20190312160715166"</f>
        <v>20190312160715166</v>
      </c>
      <c r="B3717" t="str">
        <f>"1552378035159131"</f>
        <v>1552378035159131</v>
      </c>
      <c r="C3717" t="s">
        <v>40</v>
      </c>
      <c r="D3717">
        <v>6.0522679999999998</v>
      </c>
      <c r="E3717">
        <v>0.48856290000000002</v>
      </c>
      <c r="F3717" t="s">
        <v>52</v>
      </c>
      <c r="G3717">
        <v>-168.35059999999999</v>
      </c>
      <c r="H3717">
        <v>4.1491669999999896</v>
      </c>
      <c r="I3717">
        <v>222.86439999999999</v>
      </c>
      <c r="J3717">
        <v>-386.91669999999999</v>
      </c>
      <c r="K3717">
        <v>1.1091439999999999</v>
      </c>
      <c r="L3717">
        <v>213.2774</v>
      </c>
      <c r="M3717">
        <v>0.99968069999999998</v>
      </c>
      <c r="N3717">
        <v>0</v>
      </c>
      <c r="O3717">
        <v>-2.3751270000000001E-2</v>
      </c>
      <c r="P3717">
        <v>0.99971929999999998</v>
      </c>
      <c r="Q3717">
        <v>1.2438340000000001E-2</v>
      </c>
      <c r="R3717">
        <v>2.0176840000000001E-2</v>
      </c>
      <c r="S3717">
        <v>2.9981080000000002</v>
      </c>
      <c r="T3717">
        <v>4.0294049999999998E-2</v>
      </c>
      <c r="U3717">
        <v>0.1244965</v>
      </c>
      <c r="V3717">
        <v>-4.3927460000000002E-2</v>
      </c>
      <c r="W3717">
        <v>2.104491E-2</v>
      </c>
      <c r="X3717">
        <v>0.99881299999999995</v>
      </c>
      <c r="Y3717">
        <v>-6.5201239999999994E-2</v>
      </c>
      <c r="Z3717">
        <v>-7.5702799999999998E-4</v>
      </c>
      <c r="AA3717">
        <v>0.99787190000000003</v>
      </c>
      <c r="AB3717">
        <v>37</v>
      </c>
      <c r="AC3717">
        <v>218.56610000000001</v>
      </c>
      <c r="AD3717">
        <v>3.0400230000000001</v>
      </c>
      <c r="AE3717">
        <v>9.5869999999999802</v>
      </c>
      <c r="AF3717">
        <v>-14.7728583593848</v>
      </c>
      <c r="AG3717">
        <v>3.0400230000000001</v>
      </c>
      <c r="AH3717">
        <v>218.23458746593701</v>
      </c>
      <c r="AI3717">
        <v>89.203739445780002</v>
      </c>
      <c r="AJ3717">
        <v>93.872590220659404</v>
      </c>
      <c r="AK3717">
        <v>218.755146797452</v>
      </c>
      <c r="AL3717">
        <v>88.794126405517304</v>
      </c>
      <c r="AM3717">
        <v>92.518226366651604</v>
      </c>
      <c r="AN3717">
        <v>0.99999995947397902</v>
      </c>
    </row>
    <row r="3718" spans="1:40" x14ac:dyDescent="0.25">
      <c r="A3718" t="str">
        <f>"20190312160715190"</f>
        <v>20190312160715190</v>
      </c>
      <c r="B3718" t="str">
        <f>"1552378035178650"</f>
        <v>1552378035178650</v>
      </c>
      <c r="C3718" t="s">
        <v>40</v>
      </c>
      <c r="D3718">
        <v>6.1439209999999997</v>
      </c>
      <c r="E3718">
        <v>0.48856709999999898</v>
      </c>
      <c r="F3718" t="s">
        <v>52</v>
      </c>
      <c r="G3718">
        <v>-168.35059999999999</v>
      </c>
      <c r="H3718">
        <v>2.4582660000000001</v>
      </c>
      <c r="I3718">
        <v>224.3022</v>
      </c>
      <c r="J3718">
        <v>-386.53140000000002</v>
      </c>
      <c r="K3718">
        <v>1.1091580000000001</v>
      </c>
      <c r="L3718">
        <v>213.26849999999999</v>
      </c>
      <c r="M3718">
        <v>0.99968650000000003</v>
      </c>
      <c r="N3718">
        <v>0</v>
      </c>
      <c r="O3718">
        <v>-2.3493900000000002E-2</v>
      </c>
      <c r="P3718">
        <v>0.99971089999999996</v>
      </c>
      <c r="Q3718">
        <v>1.243491E-2</v>
      </c>
      <c r="R3718">
        <v>2.0577100000000001E-2</v>
      </c>
      <c r="S3718">
        <v>2.997528</v>
      </c>
      <c r="T3718">
        <v>1.8503309999999999E-2</v>
      </c>
      <c r="U3718">
        <v>0.15119929999999901</v>
      </c>
      <c r="V3718">
        <v>-4.4070320000000003E-2</v>
      </c>
      <c r="W3718">
        <v>2.1057309999999999E-2</v>
      </c>
      <c r="X3718">
        <v>0.99880650000000004</v>
      </c>
      <c r="Y3718">
        <v>-7.3826500000000003E-2</v>
      </c>
      <c r="Z3718">
        <v>-3.7266110000000002E-4</v>
      </c>
      <c r="AA3718">
        <v>0.99727100000000002</v>
      </c>
      <c r="AB3718">
        <v>37</v>
      </c>
      <c r="AC3718">
        <v>218.1808</v>
      </c>
      <c r="AD3718">
        <v>1.349108</v>
      </c>
      <c r="AE3718">
        <v>11.0337</v>
      </c>
      <c r="AF3718">
        <v>-16.156148070875599</v>
      </c>
      <c r="AG3718">
        <v>1.349108</v>
      </c>
      <c r="AH3718">
        <v>217.85303056712499</v>
      </c>
      <c r="AI3718">
        <v>89.646158127661593</v>
      </c>
      <c r="AJ3718">
        <v>94.241334860814604</v>
      </c>
      <c r="AK3718">
        <v>218.45545115689899</v>
      </c>
      <c r="AL3718">
        <v>88.793415846059006</v>
      </c>
      <c r="AM3718">
        <v>92.526421917467104</v>
      </c>
      <c r="AN3718">
        <v>1.0000000139257901</v>
      </c>
    </row>
    <row r="3719" spans="1:40" x14ac:dyDescent="0.25">
      <c r="A3719" t="str">
        <f>"20190312160715210"</f>
        <v>20190312160715210</v>
      </c>
      <c r="B3719" t="str">
        <f>"1552378035199149"</f>
        <v>1552378035199149</v>
      </c>
      <c r="C3719" t="s">
        <v>40</v>
      </c>
      <c r="D3719">
        <v>6.8060020000000003</v>
      </c>
      <c r="E3719">
        <v>0.48860429999999999</v>
      </c>
      <c r="F3719" t="s">
        <v>52</v>
      </c>
      <c r="G3719">
        <v>-168.35059999999999</v>
      </c>
      <c r="H3719">
        <v>2.1651039999999999</v>
      </c>
      <c r="I3719">
        <v>224.33600000000001</v>
      </c>
      <c r="J3719">
        <v>-386.18389999999999</v>
      </c>
      <c r="K3719">
        <v>1.109167</v>
      </c>
      <c r="L3719">
        <v>213.26050000000001</v>
      </c>
      <c r="M3719">
        <v>0.99969189999999997</v>
      </c>
      <c r="N3719">
        <v>0</v>
      </c>
      <c r="O3719">
        <v>-2.3260019999999999E-2</v>
      </c>
      <c r="P3719">
        <v>0.99969909999999995</v>
      </c>
      <c r="Q3719">
        <v>1.2625870000000001E-2</v>
      </c>
      <c r="R3719">
        <v>2.1031020000000001E-2</v>
      </c>
      <c r="S3719">
        <v>2.997528</v>
      </c>
      <c r="T3719">
        <v>1.4508129999999999E-2</v>
      </c>
      <c r="U3719">
        <v>0.15205379999999999</v>
      </c>
      <c r="V3719">
        <v>-4.4290650000000001E-2</v>
      </c>
      <c r="W3719">
        <v>2.1261349999999998E-2</v>
      </c>
      <c r="X3719">
        <v>0.99879240000000002</v>
      </c>
      <c r="Y3719">
        <v>-7.3877449999999997E-2</v>
      </c>
      <c r="Z3719">
        <v>-2.9118809999999998E-4</v>
      </c>
      <c r="AA3719">
        <v>0.99726729999999997</v>
      </c>
      <c r="AB3719">
        <v>37</v>
      </c>
      <c r="AC3719">
        <v>217.83330000000001</v>
      </c>
      <c r="AD3719">
        <v>1.0559369999999999</v>
      </c>
      <c r="AE3719">
        <v>11.0754999999999</v>
      </c>
      <c r="AF3719">
        <v>-16.1391221571747</v>
      </c>
      <c r="AG3719">
        <v>1.0559369999999999</v>
      </c>
      <c r="AH3719">
        <v>217.51163669476401</v>
      </c>
      <c r="AI3719">
        <v>89.722615281851901</v>
      </c>
      <c r="AJ3719">
        <v>94.243507173787805</v>
      </c>
      <c r="AK3719">
        <v>218.11212337829201</v>
      </c>
      <c r="AL3719">
        <v>88.781722559118194</v>
      </c>
      <c r="AM3719">
        <v>92.539072096942604</v>
      </c>
      <c r="AN3719">
        <v>0.99999998248950195</v>
      </c>
    </row>
    <row r="3720" spans="1:40" x14ac:dyDescent="0.25">
      <c r="A3720" t="str">
        <f>"20190312160715231"</f>
        <v>20190312160715231</v>
      </c>
      <c r="B3720" t="str">
        <f>"1552378035228425"</f>
        <v>1552378035228425</v>
      </c>
      <c r="C3720" t="s">
        <v>40</v>
      </c>
      <c r="D3720">
        <v>6.182455</v>
      </c>
      <c r="E3720">
        <v>0.4890234</v>
      </c>
      <c r="F3720" t="s">
        <v>52</v>
      </c>
      <c r="G3720">
        <v>-168.35059999999999</v>
      </c>
      <c r="H3720">
        <v>2.2704439999999999</v>
      </c>
      <c r="I3720">
        <v>224.386</v>
      </c>
      <c r="J3720">
        <v>-385.83769999999998</v>
      </c>
      <c r="K3720">
        <v>1.1091770000000001</v>
      </c>
      <c r="L3720">
        <v>213.2527</v>
      </c>
      <c r="M3720">
        <v>0.99969730000000001</v>
      </c>
      <c r="N3720">
        <v>0</v>
      </c>
      <c r="O3720">
        <v>-2.302543E-2</v>
      </c>
      <c r="P3720">
        <v>0.99968400000000002</v>
      </c>
      <c r="Q3720">
        <v>1.335335E-2</v>
      </c>
      <c r="R3720">
        <v>2.1303260000000001E-2</v>
      </c>
      <c r="S3720">
        <v>2.9974669999999999</v>
      </c>
      <c r="T3720">
        <v>1.5980359999999999E-2</v>
      </c>
      <c r="U3720">
        <v>0.15309139999999999</v>
      </c>
      <c r="V3720">
        <v>-4.4328510000000002E-2</v>
      </c>
      <c r="W3720">
        <v>2.200123E-2</v>
      </c>
      <c r="X3720">
        <v>0.99877470000000002</v>
      </c>
      <c r="Y3720">
        <v>-7.3988529999999997E-2</v>
      </c>
      <c r="Z3720">
        <v>-3.1978619999999998E-4</v>
      </c>
      <c r="AA3720">
        <v>0.99725900000000001</v>
      </c>
      <c r="AB3720">
        <v>37</v>
      </c>
      <c r="AC3720">
        <v>217.4871</v>
      </c>
      <c r="AD3720">
        <v>1.1612669999999901</v>
      </c>
      <c r="AE3720">
        <v>11.133299999999901</v>
      </c>
      <c r="AF3720">
        <v>-16.137811370228299</v>
      </c>
      <c r="AG3720">
        <v>1.1612669999999901</v>
      </c>
      <c r="AH3720">
        <v>217.16690151223099</v>
      </c>
      <c r="AI3720">
        <v>89.694464863215302</v>
      </c>
      <c r="AJ3720">
        <v>94.249874809403295</v>
      </c>
      <c r="AK3720">
        <v>217.76877785690399</v>
      </c>
      <c r="AL3720">
        <v>88.739320639303401</v>
      </c>
      <c r="AM3720">
        <v>92.541284647972304</v>
      </c>
      <c r="AN3720">
        <v>0.99999998614021102</v>
      </c>
    </row>
    <row r="3721" spans="1:40" x14ac:dyDescent="0.25">
      <c r="A3721" t="str">
        <f>"20190312160715254"</f>
        <v>20190312160715254</v>
      </c>
      <c r="B3721" t="str">
        <f>"1552378035248922"</f>
        <v>1552378035248922</v>
      </c>
      <c r="C3721" t="s">
        <v>40</v>
      </c>
      <c r="D3721">
        <v>4.8851000000000004</v>
      </c>
      <c r="E3721">
        <v>0.4890234</v>
      </c>
      <c r="F3721" t="s">
        <v>52</v>
      </c>
      <c r="G3721">
        <v>-168.35059999999999</v>
      </c>
      <c r="H3721">
        <v>2.5056720000000001</v>
      </c>
      <c r="I3721">
        <v>224.18340000000001</v>
      </c>
      <c r="J3721">
        <v>-385.44970000000001</v>
      </c>
      <c r="K3721">
        <v>1.109186</v>
      </c>
      <c r="L3721">
        <v>213.244</v>
      </c>
      <c r="M3721">
        <v>0.99970329999999996</v>
      </c>
      <c r="N3721">
        <v>0</v>
      </c>
      <c r="O3721">
        <v>-2.2761159999999999E-2</v>
      </c>
      <c r="P3721">
        <v>0.99965919999999997</v>
      </c>
      <c r="Q3721">
        <v>1.370704E-2</v>
      </c>
      <c r="R3721">
        <v>2.2227110000000001E-2</v>
      </c>
      <c r="S3721">
        <v>2.9974669999999999</v>
      </c>
      <c r="T3721">
        <v>1.9247650000000002E-2</v>
      </c>
      <c r="U3721">
        <v>0.15065000000000001</v>
      </c>
      <c r="V3721">
        <v>-4.498775E-2</v>
      </c>
      <c r="W3721">
        <v>2.236782E-2</v>
      </c>
      <c r="X3721">
        <v>0.99873710000000004</v>
      </c>
      <c r="Y3721">
        <v>-7.2914110000000004E-2</v>
      </c>
      <c r="Z3721">
        <v>-3.8003139999999999E-4</v>
      </c>
      <c r="AA3721">
        <v>0.99733819999999995</v>
      </c>
      <c r="AB3721">
        <v>37</v>
      </c>
      <c r="AC3721">
        <v>217.09909999999999</v>
      </c>
      <c r="AD3721">
        <v>1.3964859999999999</v>
      </c>
      <c r="AE3721">
        <v>10.9393999999999</v>
      </c>
      <c r="AF3721">
        <v>-15.877523694095499</v>
      </c>
      <c r="AG3721">
        <v>1.3964859999999999</v>
      </c>
      <c r="AH3721">
        <v>216.784902217997</v>
      </c>
      <c r="AI3721">
        <v>89.631902815445699</v>
      </c>
      <c r="AJ3721">
        <v>94.188915659169496</v>
      </c>
      <c r="AK3721">
        <v>217.37005258653099</v>
      </c>
      <c r="AL3721">
        <v>88.718311433985406</v>
      </c>
      <c r="AM3721">
        <v>92.579124161041406</v>
      </c>
      <c r="AN3721">
        <v>1.00000000596901</v>
      </c>
    </row>
    <row r="3722" spans="1:40" x14ac:dyDescent="0.25">
      <c r="A3722" t="str">
        <f>"20190312160715355"</f>
        <v>20190312160715355</v>
      </c>
      <c r="B3722" t="str">
        <f>"1552378035348474"</f>
        <v>1552378035348474</v>
      </c>
      <c r="C3722" t="s">
        <v>40</v>
      </c>
      <c r="D3722">
        <v>6.4739079999999998</v>
      </c>
      <c r="E3722">
        <v>0.50989640000000003</v>
      </c>
      <c r="F3722" t="s">
        <v>52</v>
      </c>
      <c r="G3722">
        <v>-168.35059999999999</v>
      </c>
      <c r="H3722">
        <v>2.57524</v>
      </c>
      <c r="I3722">
        <v>224.36340000000001</v>
      </c>
      <c r="J3722">
        <v>-383.76260000000002</v>
      </c>
      <c r="K3722">
        <v>1.1092</v>
      </c>
      <c r="L3722">
        <v>213.2073</v>
      </c>
      <c r="M3722">
        <v>0.99972859999999997</v>
      </c>
      <c r="N3722">
        <v>0</v>
      </c>
      <c r="O3722">
        <v>-2.1593709999999999E-2</v>
      </c>
      <c r="P3722">
        <v>0.99964940000000002</v>
      </c>
      <c r="Q3722">
        <v>1.473694E-2</v>
      </c>
      <c r="R3722">
        <v>2.20033E-2</v>
      </c>
      <c r="S3722">
        <v>2.9973450000000001</v>
      </c>
      <c r="T3722">
        <v>2.0241619999999998E-2</v>
      </c>
      <c r="U3722">
        <v>0.15351870000000001</v>
      </c>
      <c r="V3722">
        <v>-4.3599359999999997E-2</v>
      </c>
      <c r="W3722">
        <v>2.34533E-2</v>
      </c>
      <c r="X3722">
        <v>0.99877380000000004</v>
      </c>
      <c r="Y3722">
        <v>-7.2703359999999995E-2</v>
      </c>
      <c r="Z3722">
        <v>-3.9107230000000001E-4</v>
      </c>
      <c r="AA3722">
        <v>0.99735359999999995</v>
      </c>
      <c r="AB3722">
        <v>38</v>
      </c>
      <c r="AC3722">
        <v>215.41200000000001</v>
      </c>
      <c r="AD3722">
        <v>1.46604</v>
      </c>
      <c r="AE3722">
        <v>11.1561</v>
      </c>
      <c r="AF3722">
        <v>-15.8044904868208</v>
      </c>
      <c r="AG3722">
        <v>1.46604</v>
      </c>
      <c r="AH3722">
        <v>215.11092055712299</v>
      </c>
      <c r="AI3722">
        <v>89.610569207315606</v>
      </c>
      <c r="AJ3722">
        <v>94.202048382578297</v>
      </c>
      <c r="AK3722">
        <v>215.69571005414701</v>
      </c>
      <c r="AL3722">
        <v>88.656101715340498</v>
      </c>
      <c r="AM3722">
        <v>92.499539318222105</v>
      </c>
      <c r="AN3722">
        <v>1.0000000325198599</v>
      </c>
    </row>
    <row r="3723" spans="1:40" x14ac:dyDescent="0.25">
      <c r="A3723" t="str">
        <f>"20190312160715379"</f>
        <v>20190312160715379</v>
      </c>
      <c r="B3723" t="str">
        <f>"1552378035368971"</f>
        <v>1552378035368971</v>
      </c>
      <c r="C3723" t="s">
        <v>40</v>
      </c>
      <c r="D3723">
        <v>6.2384930000000001</v>
      </c>
      <c r="E3723">
        <v>0.50749960000000005</v>
      </c>
      <c r="F3723" t="s">
        <v>44</v>
      </c>
      <c r="G3723">
        <v>-382.80689999999998</v>
      </c>
      <c r="H3723">
        <v>0.82930059999999906</v>
      </c>
      <c r="I3723">
        <v>213.19210000000001</v>
      </c>
      <c r="J3723">
        <v>-383.35520000000002</v>
      </c>
      <c r="K3723">
        <v>1.1092070000000001</v>
      </c>
      <c r="L3723">
        <v>213.19880000000001</v>
      </c>
      <c r="M3723">
        <v>0.99973480000000003</v>
      </c>
      <c r="N3723">
        <v>0</v>
      </c>
      <c r="O3723">
        <v>-2.1300929999999999E-2</v>
      </c>
      <c r="P3723">
        <v>0.9996583</v>
      </c>
      <c r="Q3723">
        <v>1.4478359999999999E-2</v>
      </c>
      <c r="R3723">
        <v>2.176409E-2</v>
      </c>
      <c r="S3723">
        <v>3.0151059999999998</v>
      </c>
      <c r="T3723">
        <v>-0.88302209999999903</v>
      </c>
      <c r="U3723">
        <v>-4.6676639999999998E-2</v>
      </c>
      <c r="V3723">
        <v>-4.3067620000000001E-2</v>
      </c>
      <c r="W3723">
        <v>2.3206839999999999E-2</v>
      </c>
      <c r="X3723">
        <v>0.99880259999999998</v>
      </c>
      <c r="Y3723">
        <v>-4.7306450000000003E-3</v>
      </c>
      <c r="Z3723">
        <v>6.7877229999999998E-3</v>
      </c>
      <c r="AA3723">
        <v>0.99996580000000002</v>
      </c>
      <c r="AB3723">
        <v>38</v>
      </c>
      <c r="AC3723">
        <v>0.54830000000003998</v>
      </c>
      <c r="AD3723">
        <v>-0.2799064</v>
      </c>
      <c r="AE3723">
        <v>-6.6999999999950398E-3</v>
      </c>
      <c r="AF3723">
        <v>-3.9515994831851699E-3</v>
      </c>
      <c r="AG3723">
        <v>-0.2799064</v>
      </c>
      <c r="AH3723">
        <v>0.43497650409350302</v>
      </c>
      <c r="AI3723">
        <v>122.760113810306</v>
      </c>
      <c r="AJ3723">
        <v>90.5204964919199</v>
      </c>
      <c r="AK3723">
        <v>0.51726953033485401</v>
      </c>
      <c r="AL3723">
        <v>88.670226641429693</v>
      </c>
      <c r="AM3723">
        <v>92.469021663020698</v>
      </c>
      <c r="AN3723">
        <v>1.0000000055410001</v>
      </c>
    </row>
    <row r="3724" spans="1:40" x14ac:dyDescent="0.25">
      <c r="A3724" t="str">
        <f>"20190312160715401"</f>
        <v>20190312160715401</v>
      </c>
      <c r="B3724" t="str">
        <f>"1552378035388491"</f>
        <v>1552378035388491</v>
      </c>
      <c r="C3724" t="s">
        <v>40</v>
      </c>
      <c r="D3724">
        <v>6.3124729999999998</v>
      </c>
      <c r="E3724">
        <v>0.50332679999999996</v>
      </c>
      <c r="F3724" t="s">
        <v>44</v>
      </c>
      <c r="G3724">
        <v>-382.38130000000001</v>
      </c>
      <c r="H3724">
        <v>1.0244850000000001</v>
      </c>
      <c r="I3724">
        <v>213.1968</v>
      </c>
      <c r="J3724">
        <v>-382.98680000000002</v>
      </c>
      <c r="K3724">
        <v>1.1092150000000001</v>
      </c>
      <c r="L3724">
        <v>213.19110000000001</v>
      </c>
      <c r="M3724">
        <v>0.99974030000000003</v>
      </c>
      <c r="N3724">
        <v>0</v>
      </c>
      <c r="O3724">
        <v>-2.1031629999999999E-2</v>
      </c>
      <c r="P3724">
        <v>0.99965510000000002</v>
      </c>
      <c r="Q3724">
        <v>1.402597E-2</v>
      </c>
      <c r="R3724">
        <v>2.2203469999999999E-2</v>
      </c>
      <c r="S3724">
        <v>3.0049739999999998</v>
      </c>
      <c r="T3724">
        <v>-0.26152429999999999</v>
      </c>
      <c r="U3724">
        <v>-5.5236819999999898E-3</v>
      </c>
      <c r="V3724">
        <v>-4.3238079999999998E-2</v>
      </c>
      <c r="W3724">
        <v>2.2764920000000001E-2</v>
      </c>
      <c r="X3724">
        <v>0.99880539999999995</v>
      </c>
      <c r="Y3724">
        <v>-1.904316E-2</v>
      </c>
      <c r="Z3724">
        <v>2.6540019999999999E-3</v>
      </c>
      <c r="AA3724">
        <v>0.99981520000000002</v>
      </c>
      <c r="AB3724">
        <v>38</v>
      </c>
      <c r="AC3724">
        <v>0.60550000000000603</v>
      </c>
      <c r="AD3724">
        <v>-8.4729999999999903E-2</v>
      </c>
      <c r="AE3724">
        <v>5.6999999999902597E-3</v>
      </c>
      <c r="AF3724">
        <v>-1.8079881462338802E-2</v>
      </c>
      <c r="AG3724">
        <v>-8.4729999999999903E-2</v>
      </c>
      <c r="AH3724">
        <v>0.59362316835107798</v>
      </c>
      <c r="AI3724">
        <v>98.119453214340695</v>
      </c>
      <c r="AJ3724">
        <v>91.744508685403403</v>
      </c>
      <c r="AK3724">
        <v>0.59991209440789295</v>
      </c>
      <c r="AL3724">
        <v>88.695553476899804</v>
      </c>
      <c r="AM3724">
        <v>92.478774851335899</v>
      </c>
      <c r="AN3724">
        <v>1.00000000010692</v>
      </c>
    </row>
    <row r="3725" spans="1:40" x14ac:dyDescent="0.25">
      <c r="A3725" t="str">
        <f>"20190312160715421"</f>
        <v>20190312160715421</v>
      </c>
      <c r="B3725" t="str">
        <f>"1552378035408986"</f>
        <v>1552378035408986</v>
      </c>
      <c r="C3725" t="s">
        <v>40</v>
      </c>
      <c r="D3725">
        <v>6.1660300000000001</v>
      </c>
      <c r="E3725">
        <v>0.50336809999999998</v>
      </c>
      <c r="F3725" t="s">
        <v>66</v>
      </c>
      <c r="G3725">
        <v>-362.3381</v>
      </c>
      <c r="H3725" s="1">
        <v>-2.9256070000000002E-7</v>
      </c>
      <c r="I3725">
        <v>213.41579999999999</v>
      </c>
      <c r="J3725">
        <v>-382.64280000000002</v>
      </c>
      <c r="K3725">
        <v>1.109219</v>
      </c>
      <c r="L3725">
        <v>213.1841</v>
      </c>
      <c r="M3725">
        <v>0.99974580000000002</v>
      </c>
      <c r="N3725">
        <v>0</v>
      </c>
      <c r="O3725">
        <v>-2.0773170000000001E-2</v>
      </c>
      <c r="P3725">
        <v>0.99965369999999998</v>
      </c>
      <c r="Q3725">
        <v>1.3567859999999999E-2</v>
      </c>
      <c r="R3725">
        <v>2.2563960000000001E-2</v>
      </c>
      <c r="S3725">
        <v>3.0025940000000002</v>
      </c>
      <c r="T3725">
        <v>-0.1612943</v>
      </c>
      <c r="U3725">
        <v>3.2669070000000001E-2</v>
      </c>
      <c r="V3725">
        <v>-4.3340440000000001E-2</v>
      </c>
      <c r="W3725">
        <v>2.2316329999999999E-2</v>
      </c>
      <c r="X3725">
        <v>0.99881109999999995</v>
      </c>
      <c r="Y3725">
        <v>-3.1574560000000002E-2</v>
      </c>
      <c r="Z3725">
        <v>1.962508E-3</v>
      </c>
      <c r="AA3725">
        <v>0.99949949999999999</v>
      </c>
      <c r="AB3725">
        <v>38</v>
      </c>
      <c r="AC3725">
        <v>20.3047</v>
      </c>
      <c r="AD3725">
        <v>-1.1092192925606901</v>
      </c>
      <c r="AE3725">
        <v>0.231699999999989</v>
      </c>
      <c r="AF3725">
        <v>-0.65151512375979603</v>
      </c>
      <c r="AG3725">
        <v>-1.1092192925606901</v>
      </c>
      <c r="AH3725">
        <v>20.235125163714901</v>
      </c>
      <c r="AI3725">
        <v>93.135993675214394</v>
      </c>
      <c r="AJ3725">
        <v>91.844128730928404</v>
      </c>
      <c r="AK3725">
        <v>20.275974200681102</v>
      </c>
      <c r="AL3725">
        <v>88.721262339113196</v>
      </c>
      <c r="AM3725">
        <v>92.484621491080304</v>
      </c>
      <c r="AN3725">
        <v>1.0000000129036299</v>
      </c>
    </row>
    <row r="3726" spans="1:40" x14ac:dyDescent="0.25">
      <c r="A3726" t="str">
        <f>"20190312160715444"</f>
        <v>20190312160715444</v>
      </c>
      <c r="B3726" t="str">
        <f>"1552378035439243"</f>
        <v>1552378035439243</v>
      </c>
      <c r="C3726" t="s">
        <v>40</v>
      </c>
      <c r="D3726">
        <v>5.9062609999999998</v>
      </c>
      <c r="E3726">
        <v>0.49922549999999999</v>
      </c>
      <c r="F3726" t="s">
        <v>66</v>
      </c>
      <c r="G3726">
        <v>-358.13080000000002</v>
      </c>
      <c r="H3726" s="1">
        <v>2.840294E-6</v>
      </c>
      <c r="I3726">
        <v>213.46600000000001</v>
      </c>
      <c r="J3726">
        <v>-382.2561</v>
      </c>
      <c r="K3726">
        <v>1.109224</v>
      </c>
      <c r="L3726">
        <v>213.1763</v>
      </c>
      <c r="M3726">
        <v>0.99975179999999997</v>
      </c>
      <c r="N3726">
        <v>0</v>
      </c>
      <c r="O3726">
        <v>-2.0472239999999999E-2</v>
      </c>
      <c r="P3726">
        <v>0.99966100000000002</v>
      </c>
      <c r="Q3726">
        <v>1.346404E-2</v>
      </c>
      <c r="R3726">
        <v>2.2289550000000002E-2</v>
      </c>
      <c r="S3726">
        <v>3.0021360000000001</v>
      </c>
      <c r="T3726">
        <v>-0.13585269999999999</v>
      </c>
      <c r="U3726">
        <v>3.4530640000000001E-2</v>
      </c>
      <c r="V3726">
        <v>-4.2765669999999999E-2</v>
      </c>
      <c r="W3726">
        <v>2.2223380000000001E-2</v>
      </c>
      <c r="X3726">
        <v>0.99883789999999995</v>
      </c>
      <c r="Y3726">
        <v>-3.1916920000000001E-2</v>
      </c>
      <c r="Z3726">
        <v>1.647679E-3</v>
      </c>
      <c r="AA3726">
        <v>0.99948919999999997</v>
      </c>
      <c r="AB3726">
        <v>38</v>
      </c>
      <c r="AC3726">
        <v>24.1252999999999</v>
      </c>
      <c r="AD3726">
        <v>-1.109221159706</v>
      </c>
      <c r="AE3726">
        <v>0.28969999999998203</v>
      </c>
      <c r="AF3726">
        <v>-0.78190462985161702</v>
      </c>
      <c r="AG3726">
        <v>-1.109221159706</v>
      </c>
      <c r="AH3726">
        <v>24.063451287726</v>
      </c>
      <c r="AI3726">
        <v>92.637829509377994</v>
      </c>
      <c r="AJ3726">
        <v>91.861082925977001</v>
      </c>
      <c r="AK3726">
        <v>24.1016894492499</v>
      </c>
      <c r="AL3726">
        <v>88.726589242884401</v>
      </c>
      <c r="AM3726">
        <v>92.451645841459893</v>
      </c>
      <c r="AN3726">
        <v>0.99999996581279105</v>
      </c>
    </row>
    <row r="3727" spans="1:40" x14ac:dyDescent="0.25">
      <c r="A3727" t="str">
        <f>"20190312160715467"</f>
        <v>20190312160715467</v>
      </c>
      <c r="B3727" t="str">
        <f>"1552378035458763"</f>
        <v>1552378035458763</v>
      </c>
      <c r="C3727" t="s">
        <v>40</v>
      </c>
      <c r="D3727">
        <v>6.306025</v>
      </c>
      <c r="E3727">
        <v>0.49962410000000002</v>
      </c>
      <c r="F3727" t="s">
        <v>66</v>
      </c>
      <c r="G3727">
        <v>-353.94199999999898</v>
      </c>
      <c r="H3727" s="1">
        <v>5.9603669999999897E-7</v>
      </c>
      <c r="I3727">
        <v>213.8142</v>
      </c>
      <c r="J3727">
        <v>-381.86</v>
      </c>
      <c r="K3727">
        <v>1.1092360000000001</v>
      </c>
      <c r="L3727">
        <v>213.16849999999999</v>
      </c>
      <c r="M3727">
        <v>0.99975820000000004</v>
      </c>
      <c r="N3727">
        <v>0</v>
      </c>
      <c r="O3727">
        <v>-2.0152710000000001E-2</v>
      </c>
      <c r="P3727">
        <v>0.99965780000000004</v>
      </c>
      <c r="Q3727">
        <v>1.3378599999999999E-2</v>
      </c>
      <c r="R3727">
        <v>2.2485069999999999E-2</v>
      </c>
      <c r="S3727">
        <v>3.0011290000000002</v>
      </c>
      <c r="T3727">
        <v>-0.1175712</v>
      </c>
      <c r="U3727">
        <v>6.7611690000000002E-2</v>
      </c>
      <c r="V3727">
        <v>-4.2642369999999999E-2</v>
      </c>
      <c r="W3727">
        <v>2.2148049999999999E-2</v>
      </c>
      <c r="X3727">
        <v>0.99884490000000004</v>
      </c>
      <c r="Y3727">
        <v>-4.2618709999999997E-2</v>
      </c>
      <c r="Z3727">
        <v>1.623511E-3</v>
      </c>
      <c r="AA3727">
        <v>0.99909009999999998</v>
      </c>
      <c r="AB3727">
        <v>38</v>
      </c>
      <c r="AC3727">
        <v>27.917999999999999</v>
      </c>
      <c r="AD3727">
        <v>-1.1092354039632999</v>
      </c>
      <c r="AE3727">
        <v>0.64570000000000405</v>
      </c>
      <c r="AF3727">
        <v>-1.2063106987263299</v>
      </c>
      <c r="AG3727">
        <v>-1.1092354039632999</v>
      </c>
      <c r="AH3727">
        <v>27.855367028924601</v>
      </c>
      <c r="AI3727">
        <v>92.278251346727401</v>
      </c>
      <c r="AJ3727">
        <v>92.479714325853195</v>
      </c>
      <c r="AK3727">
        <v>27.903531335645798</v>
      </c>
      <c r="AL3727">
        <v>88.730906466807795</v>
      </c>
      <c r="AM3727">
        <v>92.4445688460752</v>
      </c>
      <c r="AN3727">
        <v>1.0000000210470099</v>
      </c>
    </row>
    <row r="3728" spans="1:40" x14ac:dyDescent="0.25">
      <c r="A3728" t="str">
        <f>"20190312160715489"</f>
        <v>20190312160715489</v>
      </c>
      <c r="B3728" t="str">
        <f>"1552378035479257"</f>
        <v>1552378035479257</v>
      </c>
      <c r="C3728" t="s">
        <v>40</v>
      </c>
      <c r="D3728">
        <v>6.2328130000000002</v>
      </c>
      <c r="E3728">
        <v>0.4996449</v>
      </c>
      <c r="F3728" t="s">
        <v>66</v>
      </c>
      <c r="G3728">
        <v>-355.09460000000001</v>
      </c>
      <c r="H3728" s="1">
        <v>1.2123809999999999E-6</v>
      </c>
      <c r="I3728">
        <v>213.74520000000001</v>
      </c>
      <c r="J3728">
        <v>-381.48360000000002</v>
      </c>
      <c r="K3728">
        <v>1.1092409999999999</v>
      </c>
      <c r="L3728">
        <v>213.16120000000001</v>
      </c>
      <c r="M3728">
        <v>0.9997644</v>
      </c>
      <c r="N3728">
        <v>0</v>
      </c>
      <c r="O3728">
        <v>-1.9839030000000001E-2</v>
      </c>
      <c r="P3728">
        <v>0.99964759999999997</v>
      </c>
      <c r="Q3728">
        <v>1.360863E-2</v>
      </c>
      <c r="R3728">
        <v>2.2797069999999999E-2</v>
      </c>
      <c r="S3728">
        <v>3.0012819999999998</v>
      </c>
      <c r="T3728">
        <v>-0.12438150000000001</v>
      </c>
      <c r="U3728">
        <v>6.4666749999999995E-2</v>
      </c>
      <c r="V3728">
        <v>-4.2641199999999997E-2</v>
      </c>
      <c r="W3728">
        <v>2.2387850000000001E-2</v>
      </c>
      <c r="X3728">
        <v>0.99883960000000005</v>
      </c>
      <c r="Y3728">
        <v>-4.1319849999999998E-2</v>
      </c>
      <c r="Z3728">
        <v>1.677511E-3</v>
      </c>
      <c r="AA3728">
        <v>0.99914460000000005</v>
      </c>
      <c r="AB3728">
        <v>38</v>
      </c>
      <c r="AC3728">
        <v>26.388999999999999</v>
      </c>
      <c r="AD3728">
        <v>-1.1092397876190001</v>
      </c>
      <c r="AE3728">
        <v>0.58400000000000296</v>
      </c>
      <c r="AF3728">
        <v>-1.10548522368435</v>
      </c>
      <c r="AG3728">
        <v>-1.1092397876190001</v>
      </c>
      <c r="AH3728">
        <v>26.325728043953401</v>
      </c>
      <c r="AI3728">
        <v>92.410619931535393</v>
      </c>
      <c r="AJ3728">
        <v>92.404584835008393</v>
      </c>
      <c r="AK3728">
        <v>26.372267015378402</v>
      </c>
      <c r="AL3728">
        <v>88.717163526413103</v>
      </c>
      <c r="AM3728">
        <v>92.444514809760804</v>
      </c>
      <c r="AN3728">
        <v>1.0000000171466099</v>
      </c>
    </row>
    <row r="3729" spans="1:40" x14ac:dyDescent="0.25">
      <c r="A3729" t="str">
        <f>"20190312160715510"</f>
        <v>20190312160715510</v>
      </c>
      <c r="B3729" t="str">
        <f>"1552378035498777"</f>
        <v>1552378035498777</v>
      </c>
      <c r="C3729" t="s">
        <v>40</v>
      </c>
      <c r="D3729">
        <v>6.1794419999999999</v>
      </c>
      <c r="E3729">
        <v>0.50003019999999998</v>
      </c>
      <c r="F3729" t="s">
        <v>66</v>
      </c>
      <c r="G3729">
        <v>-355.20769999999999</v>
      </c>
      <c r="H3729" s="1">
        <v>1.2731740000000001E-6</v>
      </c>
      <c r="I3729">
        <v>213.73150000000001</v>
      </c>
      <c r="J3729">
        <v>-381.125</v>
      </c>
      <c r="K3729">
        <v>1.1092470000000001</v>
      </c>
      <c r="L3729">
        <v>213.15430000000001</v>
      </c>
      <c r="M3729">
        <v>0.9997703</v>
      </c>
      <c r="N3729">
        <v>0</v>
      </c>
      <c r="O3729">
        <v>-1.9530220000000001E-2</v>
      </c>
      <c r="P3729">
        <v>0.99964629999999999</v>
      </c>
      <c r="Q3729">
        <v>1.318502E-2</v>
      </c>
      <c r="R3729">
        <v>2.309189E-2</v>
      </c>
      <c r="S3729">
        <v>3.001312</v>
      </c>
      <c r="T3729">
        <v>-0.12670090000000001</v>
      </c>
      <c r="U3729">
        <v>6.513977E-2</v>
      </c>
      <c r="V3729">
        <v>-4.26273E-2</v>
      </c>
      <c r="W3729">
        <v>2.197358E-2</v>
      </c>
      <c r="X3729">
        <v>0.9988494</v>
      </c>
      <c r="Y3729">
        <v>-4.1166870000000001E-2</v>
      </c>
      <c r="Z3729">
        <v>1.69248799999999E-3</v>
      </c>
      <c r="AA3729">
        <v>0.99915089999999995</v>
      </c>
      <c r="AB3729">
        <v>38</v>
      </c>
      <c r="AC3729">
        <v>25.917300000000001</v>
      </c>
      <c r="AD3729">
        <v>-1.1092457268260001</v>
      </c>
      <c r="AE3729">
        <v>0.57720000000000404</v>
      </c>
      <c r="AF3729">
        <v>-1.08130045720783</v>
      </c>
      <c r="AG3729">
        <v>-1.1092457268260001</v>
      </c>
      <c r="AH3729">
        <v>25.853747854527001</v>
      </c>
      <c r="AI3729">
        <v>92.454604764473501</v>
      </c>
      <c r="AJ3729">
        <v>92.394928077365705</v>
      </c>
      <c r="AK3729">
        <v>25.900114186750201</v>
      </c>
      <c r="AL3729">
        <v>88.7409052988951</v>
      </c>
      <c r="AM3729">
        <v>92.443694976259295</v>
      </c>
      <c r="AN3729">
        <v>1.0000000244018299</v>
      </c>
    </row>
    <row r="3730" spans="1:40" x14ac:dyDescent="0.25">
      <c r="A3730" t="str">
        <f>"20190312160715533"</f>
        <v>20190312160715533</v>
      </c>
      <c r="B3730" t="str">
        <f>"1552378035529034"</f>
        <v>1552378035529034</v>
      </c>
      <c r="C3730" t="s">
        <v>40</v>
      </c>
      <c r="D3730">
        <v>6.1874169999999999</v>
      </c>
      <c r="E3730">
        <v>0.50014449999999999</v>
      </c>
      <c r="F3730" t="s">
        <v>66</v>
      </c>
      <c r="G3730">
        <v>-354.96</v>
      </c>
      <c r="H3730" s="1">
        <v>1.1425390000000001E-6</v>
      </c>
      <c r="I3730">
        <v>213.70439999999999</v>
      </c>
      <c r="J3730">
        <v>-380.74299999999999</v>
      </c>
      <c r="K3730">
        <v>1.1092569999999999</v>
      </c>
      <c r="L3730">
        <v>213.1472</v>
      </c>
      <c r="M3730">
        <v>0.99977700000000003</v>
      </c>
      <c r="N3730">
        <v>0</v>
      </c>
      <c r="O3730">
        <v>-1.91909E-2</v>
      </c>
      <c r="P3730">
        <v>0.99964489999999995</v>
      </c>
      <c r="Q3730">
        <v>1.301775E-2</v>
      </c>
      <c r="R3730">
        <v>2.3257839999999998E-2</v>
      </c>
      <c r="S3730">
        <v>3.0012819999999998</v>
      </c>
      <c r="T3730">
        <v>-0.1272373</v>
      </c>
      <c r="U3730">
        <v>6.3095090000000006E-2</v>
      </c>
      <c r="V3730">
        <v>-4.2455029999999998E-2</v>
      </c>
      <c r="W3730">
        <v>2.181578E-2</v>
      </c>
      <c r="X3730">
        <v>0.99886019999999998</v>
      </c>
      <c r="Y3730">
        <v>-4.0148330000000003E-2</v>
      </c>
      <c r="Z3730">
        <v>1.6637209999999999E-3</v>
      </c>
      <c r="AA3730">
        <v>0.99919239999999998</v>
      </c>
      <c r="AB3730">
        <v>38</v>
      </c>
      <c r="AC3730">
        <v>25.783000000000001</v>
      </c>
      <c r="AD3730">
        <v>-1.1092558574610001</v>
      </c>
      <c r="AE3730">
        <v>0.55719999999999403</v>
      </c>
      <c r="AF3730">
        <v>-1.0499730168746599</v>
      </c>
      <c r="AG3730">
        <v>-1.1092558574610001</v>
      </c>
      <c r="AH3730">
        <v>25.719973423737301</v>
      </c>
      <c r="AI3730">
        <v>92.467480108350003</v>
      </c>
      <c r="AJ3730">
        <v>92.337702133468397</v>
      </c>
      <c r="AK3730">
        <v>25.765285265473601</v>
      </c>
      <c r="AL3730">
        <v>88.749948745666799</v>
      </c>
      <c r="AM3730">
        <v>92.4338048709281</v>
      </c>
      <c r="AN3730">
        <v>1.0000000284866699</v>
      </c>
    </row>
    <row r="3731" spans="1:40" x14ac:dyDescent="0.25">
      <c r="A3731" t="str">
        <f>"20190312160715557"</f>
        <v>20190312160715557</v>
      </c>
      <c r="B3731" t="str">
        <f>"1552378035548555"</f>
        <v>1552378035548555</v>
      </c>
      <c r="C3731" t="s">
        <v>40</v>
      </c>
      <c r="D3731">
        <v>6.1800280000000001</v>
      </c>
      <c r="E3731">
        <v>0.50045509999999904</v>
      </c>
      <c r="F3731" t="s">
        <v>66</v>
      </c>
      <c r="G3731">
        <v>-355.15210000000002</v>
      </c>
      <c r="H3731" s="1">
        <v>1.245723E-6</v>
      </c>
      <c r="I3731">
        <v>213.68289999999999</v>
      </c>
      <c r="J3731">
        <v>-380.34269999999998</v>
      </c>
      <c r="K3731">
        <v>1.109264</v>
      </c>
      <c r="L3731">
        <v>213.13980000000001</v>
      </c>
      <c r="M3731">
        <v>0.99978370000000005</v>
      </c>
      <c r="N3731">
        <v>0</v>
      </c>
      <c r="O3731">
        <v>-1.882176E-2</v>
      </c>
      <c r="P3731">
        <v>0.99964129999999995</v>
      </c>
      <c r="Q3731">
        <v>1.250383E-2</v>
      </c>
      <c r="R3731">
        <v>2.3690119999999999E-2</v>
      </c>
      <c r="S3731">
        <v>3.001312</v>
      </c>
      <c r="T3731">
        <v>-0.1300943</v>
      </c>
      <c r="U3731">
        <v>6.283569E-2</v>
      </c>
      <c r="V3731">
        <v>-4.2518359999999998E-2</v>
      </c>
      <c r="W3731">
        <v>2.1312359999999999E-2</v>
      </c>
      <c r="X3731">
        <v>0.99886830000000004</v>
      </c>
      <c r="Y3731">
        <v>-3.9691240000000003E-2</v>
      </c>
      <c r="Z3731">
        <v>1.6751349999999999E-3</v>
      </c>
      <c r="AA3731">
        <v>0.99921059999999995</v>
      </c>
      <c r="AB3731">
        <v>38</v>
      </c>
      <c r="AC3731">
        <v>25.1905999999999</v>
      </c>
      <c r="AD3731">
        <v>-1.1092627542769999</v>
      </c>
      <c r="AE3731">
        <v>0.54309999999998104</v>
      </c>
      <c r="AF3731">
        <v>-1.01518617949403</v>
      </c>
      <c r="AG3731">
        <v>-1.1092627542769999</v>
      </c>
      <c r="AH3731">
        <v>25.127214158054301</v>
      </c>
      <c r="AI3731">
        <v>92.525673050691594</v>
      </c>
      <c r="AJ3731">
        <v>92.313597752736499</v>
      </c>
      <c r="AK3731">
        <v>25.172166338672302</v>
      </c>
      <c r="AL3731">
        <v>88.778799204386104</v>
      </c>
      <c r="AM3731">
        <v>92.437411250924299</v>
      </c>
      <c r="AN3731">
        <v>0.99999995418537302</v>
      </c>
    </row>
    <row r="3732" spans="1:40" x14ac:dyDescent="0.25">
      <c r="A3732" t="str">
        <f>"20190312160715580"</f>
        <v>20190312160715580</v>
      </c>
      <c r="B3732" t="str">
        <f>"1552378035569050"</f>
        <v>1552378035569050</v>
      </c>
      <c r="C3732" t="s">
        <v>40</v>
      </c>
      <c r="D3732">
        <v>6.1799010000000001</v>
      </c>
      <c r="E3732">
        <v>0.50051299999999999</v>
      </c>
      <c r="F3732" t="s">
        <v>66</v>
      </c>
      <c r="G3732">
        <v>-355.01249999999999</v>
      </c>
      <c r="H3732" s="1">
        <v>1.1725039999999999E-6</v>
      </c>
      <c r="I3732">
        <v>213.65799999999999</v>
      </c>
      <c r="J3732">
        <v>-379.93430000000001</v>
      </c>
      <c r="K3732">
        <v>1.109273</v>
      </c>
      <c r="L3732">
        <v>213.13249999999999</v>
      </c>
      <c r="M3732">
        <v>0.99979090000000004</v>
      </c>
      <c r="N3732">
        <v>0</v>
      </c>
      <c r="O3732">
        <v>-1.8431280000000001E-2</v>
      </c>
      <c r="P3732">
        <v>0.9996197</v>
      </c>
      <c r="Q3732">
        <v>1.256461E-2</v>
      </c>
      <c r="R3732">
        <v>2.4549270000000002E-2</v>
      </c>
      <c r="S3732">
        <v>3.001312</v>
      </c>
      <c r="T3732">
        <v>-0.1314341</v>
      </c>
      <c r="U3732">
        <v>6.1401369999999997E-2</v>
      </c>
      <c r="V3732">
        <v>-4.2987450000000003E-2</v>
      </c>
      <c r="W3732">
        <v>2.1381959999999998E-2</v>
      </c>
      <c r="X3732">
        <v>0.99884680000000003</v>
      </c>
      <c r="Y3732">
        <v>-3.8823709999999997E-2</v>
      </c>
      <c r="Z3732">
        <v>1.6563029999999901E-3</v>
      </c>
      <c r="AA3732">
        <v>0.99924469999999999</v>
      </c>
      <c r="AB3732">
        <v>38</v>
      </c>
      <c r="AC3732">
        <v>24.921800000000001</v>
      </c>
      <c r="AD3732">
        <v>-1.1092718274959901</v>
      </c>
      <c r="AE3732">
        <v>0.52549999999999297</v>
      </c>
      <c r="AF3732">
        <v>-0.98282316348187204</v>
      </c>
      <c r="AG3732">
        <v>-1.1092718274959901</v>
      </c>
      <c r="AH3732">
        <v>24.858653361710001</v>
      </c>
      <c r="AI3732">
        <v>92.553032188428801</v>
      </c>
      <c r="AJ3732">
        <v>92.264093115504807</v>
      </c>
      <c r="AK3732">
        <v>24.902792460196199</v>
      </c>
      <c r="AL3732">
        <v>88.774810589017093</v>
      </c>
      <c r="AM3732">
        <v>92.464322353362903</v>
      </c>
      <c r="AN3732">
        <v>1.00000001947059</v>
      </c>
    </row>
    <row r="3733" spans="1:40" x14ac:dyDescent="0.25">
      <c r="A3733" t="str">
        <f>"20190312160715603"</f>
        <v>20190312160715603</v>
      </c>
      <c r="B3733" t="str">
        <f>"1552378035599306"</f>
        <v>1552378035599306</v>
      </c>
      <c r="C3733" t="s">
        <v>40</v>
      </c>
      <c r="D3733">
        <v>6.1283070000000004</v>
      </c>
      <c r="E3733">
        <v>0.50027719999999998</v>
      </c>
      <c r="F3733" t="s">
        <v>66</v>
      </c>
      <c r="G3733">
        <v>-354.65109999999999</v>
      </c>
      <c r="H3733" s="1">
        <v>9.7975030000000005E-7</v>
      </c>
      <c r="I3733">
        <v>213.66759999999999</v>
      </c>
      <c r="J3733">
        <v>-379.55090000000001</v>
      </c>
      <c r="K3733">
        <v>1.1092839999999999</v>
      </c>
      <c r="L3733">
        <v>213.12569999999999</v>
      </c>
      <c r="M3733">
        <v>0.99979770000000001</v>
      </c>
      <c r="N3733">
        <v>0</v>
      </c>
      <c r="O3733">
        <v>-1.8053920000000001E-2</v>
      </c>
      <c r="P3733">
        <v>0.99959869999999995</v>
      </c>
      <c r="Q3733">
        <v>1.2708560000000001E-2</v>
      </c>
      <c r="R3733">
        <v>2.5320220000000001E-2</v>
      </c>
      <c r="S3733">
        <v>3.0012509999999999</v>
      </c>
      <c r="T3733">
        <v>-0.1316766</v>
      </c>
      <c r="U3733">
        <v>6.3522339999999997E-2</v>
      </c>
      <c r="V3733">
        <v>-4.3381669999999997E-2</v>
      </c>
      <c r="W3733">
        <v>2.153451E-2</v>
      </c>
      <c r="X3733">
        <v>0.9988264</v>
      </c>
      <c r="Y3733">
        <v>-3.9152670000000001E-2</v>
      </c>
      <c r="Z3733">
        <v>1.650044E-3</v>
      </c>
      <c r="AA3733">
        <v>0.99923189999999995</v>
      </c>
      <c r="AB3733">
        <v>38</v>
      </c>
      <c r="AC3733">
        <v>24.899799999999999</v>
      </c>
      <c r="AD3733">
        <v>-1.1092830202496999</v>
      </c>
      <c r="AE3733">
        <v>0.54189999999999805</v>
      </c>
      <c r="AF3733">
        <v>-0.98940560456383297</v>
      </c>
      <c r="AG3733">
        <v>-1.1092830202496999</v>
      </c>
      <c r="AH3733">
        <v>24.836687748424701</v>
      </c>
      <c r="AI3733">
        <v>92.555282517945002</v>
      </c>
      <c r="AJ3733">
        <v>92.281254536809698</v>
      </c>
      <c r="AK3733">
        <v>24.8811271967752</v>
      </c>
      <c r="AL3733">
        <v>88.766068008021804</v>
      </c>
      <c r="AM3733">
        <v>92.486944111196095</v>
      </c>
      <c r="AN3733">
        <v>0.99999994087494204</v>
      </c>
    </row>
    <row r="3734" spans="1:40" x14ac:dyDescent="0.25">
      <c r="A3734" t="str">
        <f>"20190312160715625"</f>
        <v>20190312160715625</v>
      </c>
      <c r="B3734" t="str">
        <f>"1552378035618826"</f>
        <v>1552378035618826</v>
      </c>
      <c r="C3734" t="s">
        <v>40</v>
      </c>
      <c r="D3734">
        <v>6.1524279999999996</v>
      </c>
      <c r="E3734">
        <v>0.50073789999999996</v>
      </c>
      <c r="F3734" t="s">
        <v>66</v>
      </c>
      <c r="G3734">
        <v>-353.39780000000002</v>
      </c>
      <c r="H3734" s="1">
        <v>3.1069059999999999E-7</v>
      </c>
      <c r="I3734">
        <v>213.71639999999999</v>
      </c>
      <c r="J3734">
        <v>-379.16030000000001</v>
      </c>
      <c r="K3734">
        <v>1.1093040000000001</v>
      </c>
      <c r="L3734">
        <v>213.119</v>
      </c>
      <c r="M3734">
        <v>0.99980460000000004</v>
      </c>
      <c r="N3734">
        <v>0</v>
      </c>
      <c r="O3734">
        <v>-1.765771E-2</v>
      </c>
      <c r="P3734">
        <v>0.99958899999999995</v>
      </c>
      <c r="Q3734">
        <v>1.2477790000000001E-2</v>
      </c>
      <c r="R3734">
        <v>2.5810630000000001E-2</v>
      </c>
      <c r="S3734">
        <v>3.0011290000000002</v>
      </c>
      <c r="T3734">
        <v>-0.12729289999999999</v>
      </c>
      <c r="U3734">
        <v>6.7779539999999999E-2</v>
      </c>
      <c r="V3734">
        <v>-4.347666E-2</v>
      </c>
      <c r="W3734">
        <v>2.131284E-2</v>
      </c>
      <c r="X3734">
        <v>0.99882709999999997</v>
      </c>
      <c r="Y3734">
        <v>-4.0177329999999997E-2</v>
      </c>
      <c r="Z3734">
        <v>1.600127E-3</v>
      </c>
      <c r="AA3734">
        <v>0.9991913</v>
      </c>
      <c r="AB3734">
        <v>38</v>
      </c>
      <c r="AC3734">
        <v>25.7624999999999</v>
      </c>
      <c r="AD3734">
        <v>-1.1093036893093999</v>
      </c>
      <c r="AE3734">
        <v>0.59739999999996396</v>
      </c>
      <c r="AF3734">
        <v>-1.0502853180826</v>
      </c>
      <c r="AG3734">
        <v>-1.1093036893093999</v>
      </c>
      <c r="AH3734">
        <v>25.700309501113399</v>
      </c>
      <c r="AI3734">
        <v>92.469467685770994</v>
      </c>
      <c r="AJ3734">
        <v>92.340183856622104</v>
      </c>
      <c r="AK3734">
        <v>25.7456707501963</v>
      </c>
      <c r="AL3734">
        <v>88.778771772157199</v>
      </c>
      <c r="AM3734">
        <v>92.492381005732497</v>
      </c>
      <c r="AN3734">
        <v>1.0000000164040099</v>
      </c>
    </row>
    <row r="3735" spans="1:40" x14ac:dyDescent="0.25">
      <c r="A3735" t="str">
        <f>"20190312160715646"</f>
        <v>20190312160715646</v>
      </c>
      <c r="B3735" t="str">
        <f>"1552378035639323"</f>
        <v>1552378035639323</v>
      </c>
      <c r="C3735" t="s">
        <v>40</v>
      </c>
      <c r="D3735">
        <v>6.1571759999999998</v>
      </c>
      <c r="E3735">
        <v>0.50114190000000003</v>
      </c>
      <c r="F3735" t="s">
        <v>66</v>
      </c>
      <c r="G3735">
        <v>-353.21640000000002</v>
      </c>
      <c r="H3735" s="1">
        <v>2.1535189999999999E-7</v>
      </c>
      <c r="I3735">
        <v>213.68870000000001</v>
      </c>
      <c r="J3735">
        <v>-378.80739999999997</v>
      </c>
      <c r="K3735">
        <v>1.109318</v>
      </c>
      <c r="L3735">
        <v>213.1131</v>
      </c>
      <c r="M3735">
        <v>0.99981109999999895</v>
      </c>
      <c r="N3735">
        <v>0</v>
      </c>
      <c r="O3735">
        <v>-1.7286650000000001E-2</v>
      </c>
      <c r="P3735">
        <v>0.99956429999999996</v>
      </c>
      <c r="Q3735">
        <v>1.3004129999999999E-2</v>
      </c>
      <c r="R3735">
        <v>2.6502970000000001E-2</v>
      </c>
      <c r="S3735">
        <v>3.001099</v>
      </c>
      <c r="T3735">
        <v>-0.12831999999999999</v>
      </c>
      <c r="U3735">
        <v>6.5902710000000003E-2</v>
      </c>
      <c r="V3735">
        <v>-4.3798589999999998E-2</v>
      </c>
      <c r="W3735">
        <v>2.1846290000000001E-2</v>
      </c>
      <c r="X3735">
        <v>0.99880150000000001</v>
      </c>
      <c r="Y3735">
        <v>-3.9182549999999997E-2</v>
      </c>
      <c r="Z3735">
        <v>1.575941E-3</v>
      </c>
      <c r="AA3735">
        <v>0.99923079999999997</v>
      </c>
      <c r="AB3735">
        <v>38</v>
      </c>
      <c r="AC3735">
        <v>25.590999999999902</v>
      </c>
      <c r="AD3735">
        <v>-1.1093177846480999</v>
      </c>
      <c r="AE3735">
        <v>0.57560000000000799</v>
      </c>
      <c r="AF3735">
        <v>-1.01600594847655</v>
      </c>
      <c r="AG3735">
        <v>-1.1093177846480999</v>
      </c>
      <c r="AH3735">
        <v>25.529278731133299</v>
      </c>
      <c r="AI3735">
        <v>92.486129367117798</v>
      </c>
      <c r="AJ3735">
        <v>92.279036122489501</v>
      </c>
      <c r="AK3735">
        <v>25.573559129823298</v>
      </c>
      <c r="AL3735">
        <v>88.748200207413902</v>
      </c>
      <c r="AM3735">
        <v>92.510876986342495</v>
      </c>
      <c r="AN3735">
        <v>1.0000000066375001</v>
      </c>
    </row>
    <row r="3736" spans="1:40" x14ac:dyDescent="0.25">
      <c r="A3736" t="str">
        <f>"20190312160715668"</f>
        <v>20190312160715668</v>
      </c>
      <c r="B3736" t="str">
        <f>"1552378035658858"</f>
        <v>1552378035658858</v>
      </c>
      <c r="C3736" t="s">
        <v>40</v>
      </c>
      <c r="D3736">
        <v>6.1319879999999998</v>
      </c>
      <c r="E3736">
        <v>0.50162700000000005</v>
      </c>
      <c r="F3736" t="s">
        <v>66</v>
      </c>
      <c r="G3736">
        <v>-352.58030000000002</v>
      </c>
      <c r="H3736" s="1">
        <v>-1.2262579999999999E-7</v>
      </c>
      <c r="I3736">
        <v>213.67660000000001</v>
      </c>
      <c r="J3736">
        <v>-378.42430000000002</v>
      </c>
      <c r="K3736">
        <v>1.109332</v>
      </c>
      <c r="L3736">
        <v>213.10679999999999</v>
      </c>
      <c r="M3736">
        <v>0.99981810000000004</v>
      </c>
      <c r="N3736">
        <v>0</v>
      </c>
      <c r="O3736">
        <v>-1.686824E-2</v>
      </c>
      <c r="P3736">
        <v>0.99956029999999996</v>
      </c>
      <c r="Q3736">
        <v>1.282843E-2</v>
      </c>
      <c r="R3736">
        <v>2.673354E-2</v>
      </c>
      <c r="S3736">
        <v>3.0012210000000001</v>
      </c>
      <c r="T3736">
        <v>-0.12694130000000001</v>
      </c>
      <c r="U3736">
        <v>6.4483639999999995E-2</v>
      </c>
      <c r="V3736">
        <v>-4.3612049999999999E-2</v>
      </c>
      <c r="W3736">
        <v>2.167991E-2</v>
      </c>
      <c r="X3736">
        <v>0.99881330000000002</v>
      </c>
      <c r="Y3736">
        <v>-3.8293510000000003E-2</v>
      </c>
      <c r="Z3736">
        <v>1.52249E-3</v>
      </c>
      <c r="AA3736">
        <v>0.99926539999999997</v>
      </c>
      <c r="AB3736">
        <v>38</v>
      </c>
      <c r="AC3736">
        <v>25.843999999999902</v>
      </c>
      <c r="AD3736">
        <v>-1.1093321226257999</v>
      </c>
      <c r="AE3736">
        <v>0.56980000000001496</v>
      </c>
      <c r="AF3736">
        <v>-1.00383034572189</v>
      </c>
      <c r="AG3736">
        <v>-1.1093321226257999</v>
      </c>
      <c r="AH3736">
        <v>25.783228645379701</v>
      </c>
      <c r="AI3736">
        <v>92.461787995799696</v>
      </c>
      <c r="AJ3736">
        <v>92.229596942183093</v>
      </c>
      <c r="AK3736">
        <v>25.826598159672699</v>
      </c>
      <c r="AL3736">
        <v>88.757735352646804</v>
      </c>
      <c r="AM3736">
        <v>92.500167156961197</v>
      </c>
      <c r="AN3736">
        <v>1.0000000188298499</v>
      </c>
    </row>
    <row r="3737" spans="1:40" x14ac:dyDescent="0.25">
      <c r="A3737" t="str">
        <f>"20190312160715690"</f>
        <v>20190312160715690</v>
      </c>
      <c r="B3737" t="str">
        <f>"1552378035679338"</f>
        <v>1552378035679338</v>
      </c>
      <c r="C3737" t="s">
        <v>40</v>
      </c>
      <c r="D3737">
        <v>6.1342189999999999</v>
      </c>
      <c r="E3737">
        <v>0.50221380000000004</v>
      </c>
      <c r="F3737" t="s">
        <v>66</v>
      </c>
      <c r="G3737">
        <v>-351.69</v>
      </c>
      <c r="H3737" s="1">
        <v>-5.9534439999999996E-7</v>
      </c>
      <c r="I3737">
        <v>213.65289999999999</v>
      </c>
      <c r="J3737">
        <v>-378.05829999999997</v>
      </c>
      <c r="K3737">
        <v>1.109343</v>
      </c>
      <c r="L3737">
        <v>213.101</v>
      </c>
      <c r="M3737">
        <v>0.99982499999999996</v>
      </c>
      <c r="N3737">
        <v>0</v>
      </c>
      <c r="O3737">
        <v>-1.64534E-2</v>
      </c>
      <c r="P3737">
        <v>0.99955709999999998</v>
      </c>
      <c r="Q3737">
        <v>1.228463E-2</v>
      </c>
      <c r="R3737">
        <v>2.7111980000000001E-2</v>
      </c>
      <c r="S3737">
        <v>3.001312</v>
      </c>
      <c r="T3737">
        <v>-0.12453880000000001</v>
      </c>
      <c r="U3737">
        <v>6.1309809999999999E-2</v>
      </c>
      <c r="V3737">
        <v>-4.3576360000000001E-2</v>
      </c>
      <c r="W3737">
        <v>2.1144070000000001E-2</v>
      </c>
      <c r="X3737">
        <v>0.99882629999999994</v>
      </c>
      <c r="Y3737">
        <v>-3.6825440000000001E-2</v>
      </c>
      <c r="Z3737">
        <v>1.4460219999999999E-3</v>
      </c>
      <c r="AA3737">
        <v>0.99932069999999995</v>
      </c>
      <c r="AB3737">
        <v>38</v>
      </c>
      <c r="AC3737">
        <v>26.368299999999898</v>
      </c>
      <c r="AD3737">
        <v>-1.1093435953444</v>
      </c>
      <c r="AE3737">
        <v>0.55189999999998895</v>
      </c>
      <c r="AF3737">
        <v>-0.98394985884662201</v>
      </c>
      <c r="AG3737">
        <v>-1.1093435953444</v>
      </c>
      <c r="AH3737">
        <v>26.3091031992616</v>
      </c>
      <c r="AI3737">
        <v>92.412805545017903</v>
      </c>
      <c r="AJ3737">
        <v>92.141840820731701</v>
      </c>
      <c r="AK3737">
        <v>26.3508578928021</v>
      </c>
      <c r="AL3737">
        <v>88.788443709162806</v>
      </c>
      <c r="AM3737">
        <v>92.498091261126902</v>
      </c>
      <c r="AN3737">
        <v>0.99999997420935105</v>
      </c>
    </row>
    <row r="3738" spans="1:40" x14ac:dyDescent="0.25">
      <c r="A3738" t="str">
        <f>"20190312160715713"</f>
        <v>20190312160715713</v>
      </c>
      <c r="B3738" t="str">
        <f>"1552378035708618"</f>
        <v>1552378035708618</v>
      </c>
      <c r="C3738" t="s">
        <v>40</v>
      </c>
      <c r="D3738">
        <v>6.1320100000000002</v>
      </c>
      <c r="E3738">
        <v>0.5027007</v>
      </c>
      <c r="F3738" t="s">
        <v>66</v>
      </c>
      <c r="G3738">
        <v>-350.22739999999999</v>
      </c>
      <c r="H3738" s="1">
        <v>-1.3731999999999901E-6</v>
      </c>
      <c r="I3738">
        <v>213.64150000000001</v>
      </c>
      <c r="J3738">
        <v>-377.65640000000002</v>
      </c>
      <c r="K3738">
        <v>1.1093649999999999</v>
      </c>
      <c r="L3738">
        <v>213.09479999999999</v>
      </c>
      <c r="M3738">
        <v>0.99983259999999996</v>
      </c>
      <c r="N3738">
        <v>0</v>
      </c>
      <c r="O3738">
        <v>-1.5979650000000001E-2</v>
      </c>
      <c r="P3738">
        <v>0.99956979999999995</v>
      </c>
      <c r="Q3738">
        <v>1.2033810000000001E-2</v>
      </c>
      <c r="R3738">
        <v>2.6749269999999999E-2</v>
      </c>
      <c r="S3738">
        <v>3.0011899999999998</v>
      </c>
      <c r="T3738">
        <v>-0.1196277</v>
      </c>
      <c r="U3738">
        <v>5.8288569999999998E-2</v>
      </c>
      <c r="V3738">
        <v>-4.2740680000000003E-2</v>
      </c>
      <c r="W3738">
        <v>2.090332E-2</v>
      </c>
      <c r="X3738">
        <v>0.99886750000000002</v>
      </c>
      <c r="Y3738">
        <v>-3.5352210000000002E-2</v>
      </c>
      <c r="Z3738">
        <v>1.3408929999999999E-3</v>
      </c>
      <c r="AA3738">
        <v>0.99937399999999998</v>
      </c>
      <c r="AB3738">
        <v>39</v>
      </c>
      <c r="AC3738">
        <v>27.428999999999998</v>
      </c>
      <c r="AD3738">
        <v>-1.1093663732000001</v>
      </c>
      <c r="AE3738">
        <v>0.54670000000001495</v>
      </c>
      <c r="AF3738">
        <v>-0.98334549968972895</v>
      </c>
      <c r="AG3738">
        <v>-1.1093663732000001</v>
      </c>
      <c r="AH3738">
        <v>27.3720037627685</v>
      </c>
      <c r="AI3738">
        <v>92.319389283997495</v>
      </c>
      <c r="AJ3738">
        <v>92.057479153807606</v>
      </c>
      <c r="AK3738">
        <v>27.412118708898799</v>
      </c>
      <c r="AL3738">
        <v>88.802240747057098</v>
      </c>
      <c r="AM3738">
        <v>92.450142455443796</v>
      </c>
      <c r="AN3738">
        <v>0.99999999853506705</v>
      </c>
    </row>
    <row r="3739" spans="1:40" x14ac:dyDescent="0.25">
      <c r="A3739" t="str">
        <f>"20190312160715746"</f>
        <v>20190312160715746</v>
      </c>
      <c r="B3739" t="str">
        <f>"1552378035738875"</f>
        <v>1552378035738875</v>
      </c>
      <c r="C3739" t="s">
        <v>40</v>
      </c>
      <c r="D3739">
        <v>6.1290480000000001</v>
      </c>
      <c r="E3739">
        <v>0.50313739999999996</v>
      </c>
      <c r="F3739" t="s">
        <v>66</v>
      </c>
      <c r="G3739">
        <v>-348.10059999999999</v>
      </c>
      <c r="H3739" s="1">
        <v>2.7739170000000001E-6</v>
      </c>
      <c r="I3739">
        <v>213.624</v>
      </c>
      <c r="J3739">
        <v>-377.08589999999998</v>
      </c>
      <c r="K3739">
        <v>1.109394</v>
      </c>
      <c r="L3739">
        <v>213.08629999999999</v>
      </c>
      <c r="M3739">
        <v>0.9998435</v>
      </c>
      <c r="N3739">
        <v>0</v>
      </c>
      <c r="O3739">
        <v>-1.5269919999999999E-2</v>
      </c>
      <c r="P3739">
        <v>0.99956239999999996</v>
      </c>
      <c r="Q3739">
        <v>1.246186E-2</v>
      </c>
      <c r="R3739">
        <v>2.682886E-2</v>
      </c>
      <c r="S3739">
        <v>3.0012210000000001</v>
      </c>
      <c r="T3739">
        <v>-0.112649</v>
      </c>
      <c r="U3739">
        <v>5.3741459999999998E-2</v>
      </c>
      <c r="V3739">
        <v>-4.2112999999999998E-2</v>
      </c>
      <c r="W3739">
        <v>2.13443E-2</v>
      </c>
      <c r="X3739">
        <v>0.99888489999999996</v>
      </c>
      <c r="Y3739">
        <v>-3.3135589999999999E-2</v>
      </c>
      <c r="Z3739">
        <v>1.1945180000000001E-3</v>
      </c>
      <c r="AA3739">
        <v>0.99945010000000001</v>
      </c>
      <c r="AB3739">
        <v>39</v>
      </c>
      <c r="AC3739">
        <v>28.985299999999899</v>
      </c>
      <c r="AD3739">
        <v>-1.1093912260829999</v>
      </c>
      <c r="AE3739">
        <v>0.53770000000002904</v>
      </c>
      <c r="AF3739">
        <v>-0.97882477115852695</v>
      </c>
      <c r="AG3739">
        <v>-1.1093912260829999</v>
      </c>
      <c r="AH3739">
        <v>28.931341795859002</v>
      </c>
      <c r="AI3739">
        <v>92.194713755414995</v>
      </c>
      <c r="AJ3739">
        <v>91.937730543553499</v>
      </c>
      <c r="AK3739">
        <v>28.969145395298799</v>
      </c>
      <c r="AL3739">
        <v>88.7769688946602</v>
      </c>
      <c r="AM3739">
        <v>92.414161101643799</v>
      </c>
      <c r="AN3739">
        <v>1.0000000636797399</v>
      </c>
    </row>
    <row r="3740" spans="1:40" x14ac:dyDescent="0.25">
      <c r="A3740" t="str">
        <f>"20190312160715768"</f>
        <v>20190312160715768</v>
      </c>
      <c r="B3740" t="str">
        <f>"1552378035759370"</f>
        <v>1552378035759370</v>
      </c>
      <c r="C3740" t="s">
        <v>40</v>
      </c>
      <c r="D3740">
        <v>6.1309750000000003</v>
      </c>
      <c r="E3740">
        <v>0.50341099999999905</v>
      </c>
      <c r="F3740" t="s">
        <v>66</v>
      </c>
      <c r="G3740">
        <v>-345.18759999999997</v>
      </c>
      <c r="H3740" s="1">
        <v>1.223768E-6</v>
      </c>
      <c r="I3740">
        <v>213.62260000000001</v>
      </c>
      <c r="J3740">
        <v>-376.69799999999998</v>
      </c>
      <c r="K3740">
        <v>1.109413</v>
      </c>
      <c r="L3740">
        <v>213.08080000000001</v>
      </c>
      <c r="M3740">
        <v>0.99985089999999999</v>
      </c>
      <c r="N3740">
        <v>0</v>
      </c>
      <c r="O3740">
        <v>-1.4767209999999999E-2</v>
      </c>
      <c r="P3740">
        <v>0.99955110000000003</v>
      </c>
      <c r="Q3740">
        <v>1.2462259999999999E-2</v>
      </c>
      <c r="R3740">
        <v>2.724905E-2</v>
      </c>
      <c r="S3740">
        <v>3.0012819999999998</v>
      </c>
      <c r="T3740">
        <v>-0.1043814</v>
      </c>
      <c r="U3740">
        <v>5.0460820000000003E-2</v>
      </c>
      <c r="V3740">
        <v>-4.2032029999999998E-2</v>
      </c>
      <c r="W3740">
        <v>2.1352880000000001E-2</v>
      </c>
      <c r="X3740">
        <v>0.99888809999999995</v>
      </c>
      <c r="Y3740">
        <v>-3.1546610000000003E-2</v>
      </c>
      <c r="Z3740">
        <v>1.061794E-3</v>
      </c>
      <c r="AA3740">
        <v>0.99950170000000005</v>
      </c>
      <c r="AB3740">
        <v>39</v>
      </c>
      <c r="AC3740">
        <v>31.510400000000001</v>
      </c>
      <c r="AD3740">
        <v>-1.1094117762319999</v>
      </c>
      <c r="AE3740">
        <v>0.54179999999999495</v>
      </c>
      <c r="AF3740">
        <v>-1.0058337976451199</v>
      </c>
      <c r="AG3740">
        <v>-1.1094117762319999</v>
      </c>
      <c r="AH3740">
        <v>31.459976683549101</v>
      </c>
      <c r="AI3740">
        <v>92.018623891695896</v>
      </c>
      <c r="AJ3740">
        <v>91.831228536754793</v>
      </c>
      <c r="AK3740">
        <v>31.495596978739499</v>
      </c>
      <c r="AL3740">
        <v>88.776477151794296</v>
      </c>
      <c r="AM3740">
        <v>92.409517198266201</v>
      </c>
      <c r="AN3740">
        <v>1.0000000366759101</v>
      </c>
    </row>
    <row r="3741" spans="1:40" x14ac:dyDescent="0.25">
      <c r="A3741" t="str">
        <f>"20190312160715792"</f>
        <v>20190312160715792</v>
      </c>
      <c r="B3741" t="str">
        <f>"1552378035778891"</f>
        <v>1552378035778891</v>
      </c>
      <c r="C3741" t="s">
        <v>40</v>
      </c>
      <c r="D3741">
        <v>6.1384569999999998</v>
      </c>
      <c r="E3741">
        <v>0.50365819999999994</v>
      </c>
      <c r="F3741" t="s">
        <v>66</v>
      </c>
      <c r="G3741">
        <v>-343.45960000000002</v>
      </c>
      <c r="H3741" s="1">
        <v>3.0421180000000001E-7</v>
      </c>
      <c r="I3741">
        <v>213.62970000000001</v>
      </c>
      <c r="J3741">
        <v>-376.2842</v>
      </c>
      <c r="K3741">
        <v>1.109429</v>
      </c>
      <c r="L3741">
        <v>213.0752</v>
      </c>
      <c r="M3741">
        <v>0.99985889999999999</v>
      </c>
      <c r="N3741">
        <v>0</v>
      </c>
      <c r="O3741">
        <v>-1.4214559999999999E-2</v>
      </c>
      <c r="P3741">
        <v>0.99954279999999995</v>
      </c>
      <c r="Q3741">
        <v>1.1952829999999999E-2</v>
      </c>
      <c r="R3741">
        <v>2.7774770000000001E-2</v>
      </c>
      <c r="S3741">
        <v>3.0012509999999999</v>
      </c>
      <c r="T3741">
        <v>-0.100174</v>
      </c>
      <c r="U3741">
        <v>4.9560550000000002E-2</v>
      </c>
      <c r="V3741">
        <v>-4.2005319999999999E-2</v>
      </c>
      <c r="W3741">
        <v>2.085279E-2</v>
      </c>
      <c r="X3741">
        <v>0.9988998</v>
      </c>
      <c r="Y3741">
        <v>-3.069757E-2</v>
      </c>
      <c r="Z3741">
        <v>9.8642649999999897E-4</v>
      </c>
      <c r="AA3741">
        <v>0.99952819999999998</v>
      </c>
      <c r="AB3741">
        <v>39</v>
      </c>
      <c r="AC3741">
        <v>32.824599999999897</v>
      </c>
      <c r="AD3741">
        <v>-1.10942869578819</v>
      </c>
      <c r="AE3741">
        <v>0.55450000000001798</v>
      </c>
      <c r="AF3741">
        <v>-1.0198851781754501</v>
      </c>
      <c r="AG3741">
        <v>-1.10942869578819</v>
      </c>
      <c r="AH3741">
        <v>32.7759701013686</v>
      </c>
      <c r="AI3741">
        <v>91.937718557965198</v>
      </c>
      <c r="AJ3741">
        <v>91.782289493214606</v>
      </c>
      <c r="AK3741">
        <v>32.810596061234698</v>
      </c>
      <c r="AL3741">
        <v>88.805136593227502</v>
      </c>
      <c r="AM3741">
        <v>92.407959659412597</v>
      </c>
      <c r="AN3741">
        <v>1.0000000480995599</v>
      </c>
    </row>
    <row r="3742" spans="1:40" x14ac:dyDescent="0.25">
      <c r="A3742" t="str">
        <f>"20190312160715815"</f>
        <v>20190312160715815</v>
      </c>
      <c r="B3742" t="str">
        <f>"1552378035809146"</f>
        <v>1552378035809146</v>
      </c>
      <c r="C3742" t="s">
        <v>40</v>
      </c>
      <c r="D3742">
        <v>6.1392870000000004</v>
      </c>
      <c r="E3742">
        <v>0.50387599999999999</v>
      </c>
      <c r="F3742" t="s">
        <v>66</v>
      </c>
      <c r="G3742">
        <v>-342.28559999999999</v>
      </c>
      <c r="H3742" s="1">
        <v>-3.2049119999999999E-7</v>
      </c>
      <c r="I3742">
        <v>213.63630000000001</v>
      </c>
      <c r="J3742">
        <v>-375.899</v>
      </c>
      <c r="K3742">
        <v>1.109443</v>
      </c>
      <c r="L3742">
        <v>213.0701</v>
      </c>
      <c r="M3742">
        <v>0.99986620000000004</v>
      </c>
      <c r="N3742">
        <v>0</v>
      </c>
      <c r="O3742">
        <v>-1.3685640000000001E-2</v>
      </c>
      <c r="P3742">
        <v>0.99952920000000001</v>
      </c>
      <c r="Q3742">
        <v>1.162904E-2</v>
      </c>
      <c r="R3742">
        <v>2.8398900000000001E-2</v>
      </c>
      <c r="S3742">
        <v>3.00116</v>
      </c>
      <c r="T3742">
        <v>-9.7932699999999998E-2</v>
      </c>
      <c r="U3742">
        <v>4.9530030000000003E-2</v>
      </c>
      <c r="V3742">
        <v>-4.2101329999999999E-2</v>
      </c>
      <c r="W3742">
        <v>2.053671E-2</v>
      </c>
      <c r="X3742">
        <v>0.99890230000000002</v>
      </c>
      <c r="Y3742">
        <v>-3.0160840000000001E-2</v>
      </c>
      <c r="Z3742">
        <v>9.3838999999999999E-4</v>
      </c>
      <c r="AA3742">
        <v>0.99954460000000001</v>
      </c>
      <c r="AB3742">
        <v>39</v>
      </c>
      <c r="AC3742">
        <v>33.613399999999999</v>
      </c>
      <c r="AD3742">
        <v>-1.1094433204912</v>
      </c>
      <c r="AE3742">
        <v>0.56620000000000903</v>
      </c>
      <c r="AF3742">
        <v>-1.0250699394684599</v>
      </c>
      <c r="AG3742">
        <v>-1.1094433204912</v>
      </c>
      <c r="AH3742">
        <v>33.565946439451999</v>
      </c>
      <c r="AI3742">
        <v>91.892206374182706</v>
      </c>
      <c r="AJ3742">
        <v>91.749211305459596</v>
      </c>
      <c r="AK3742">
        <v>33.599916565943197</v>
      </c>
      <c r="AL3742">
        <v>88.823250514148498</v>
      </c>
      <c r="AM3742">
        <v>92.413450909624999</v>
      </c>
      <c r="AN3742">
        <v>1.0000000416953401</v>
      </c>
    </row>
    <row r="3743" spans="1:40" x14ac:dyDescent="0.25">
      <c r="A3743" t="str">
        <f>"20190312160715835"</f>
        <v>20190312160715835</v>
      </c>
      <c r="B3743" t="str">
        <f>"1552378035828667"</f>
        <v>1552378035828667</v>
      </c>
      <c r="C3743" t="s">
        <v>40</v>
      </c>
      <c r="D3743">
        <v>6.0885669999999896</v>
      </c>
      <c r="E3743">
        <v>0.50396439999999998</v>
      </c>
      <c r="F3743" t="s">
        <v>66</v>
      </c>
      <c r="G3743">
        <v>-340.27480000000003</v>
      </c>
      <c r="H3743" s="1">
        <v>-1.3905629999999999E-6</v>
      </c>
      <c r="I3743">
        <v>213.66120000000001</v>
      </c>
      <c r="J3743">
        <v>-375.53629999999998</v>
      </c>
      <c r="K3743">
        <v>1.109459</v>
      </c>
      <c r="L3743">
        <v>213.06559999999999</v>
      </c>
      <c r="M3743">
        <v>0.99987300000000001</v>
      </c>
      <c r="N3743">
        <v>0</v>
      </c>
      <c r="O3743">
        <v>-1.317606E-2</v>
      </c>
      <c r="P3743">
        <v>0.99951089999999998</v>
      </c>
      <c r="Q3743">
        <v>1.180381E-2</v>
      </c>
      <c r="R3743">
        <v>2.896253E-2</v>
      </c>
      <c r="S3743">
        <v>3.001099</v>
      </c>
      <c r="T3743">
        <v>-9.3463180000000007E-2</v>
      </c>
      <c r="U3743">
        <v>4.9789430000000003E-2</v>
      </c>
      <c r="V3743">
        <v>-4.2156430000000002E-2</v>
      </c>
      <c r="W3743">
        <v>2.0720260000000001E-2</v>
      </c>
      <c r="X3743">
        <v>0.99889609999999995</v>
      </c>
      <c r="Y3743">
        <v>-2.974065E-2</v>
      </c>
      <c r="Z3743">
        <v>8.7319549999999996E-4</v>
      </c>
      <c r="AA3743">
        <v>0.99955729999999998</v>
      </c>
      <c r="AB3743">
        <v>39</v>
      </c>
      <c r="AC3743">
        <v>35.261499999999899</v>
      </c>
      <c r="AD3743">
        <v>-1.1094603905630001</v>
      </c>
      <c r="AE3743">
        <v>0.595600000000018</v>
      </c>
      <c r="AF3743">
        <v>-1.0591264009638099</v>
      </c>
      <c r="AG3743">
        <v>-1.1094603905630001</v>
      </c>
      <c r="AH3743">
        <v>35.215738214188697</v>
      </c>
      <c r="AI3743">
        <v>91.803673051130701</v>
      </c>
      <c r="AJ3743">
        <v>91.722672563842806</v>
      </c>
      <c r="AK3743">
        <v>35.249125791453501</v>
      </c>
      <c r="AL3743">
        <v>88.812731534388206</v>
      </c>
      <c r="AM3743">
        <v>92.416620746366505</v>
      </c>
      <c r="AN3743">
        <v>0.99999995618001003</v>
      </c>
    </row>
    <row r="3744" spans="1:40" x14ac:dyDescent="0.25">
      <c r="A3744" t="str">
        <f>"20190312160715857"</f>
        <v>20190312160715857</v>
      </c>
      <c r="B3744" t="str">
        <f>"1552378035849166"</f>
        <v>1552378035849166</v>
      </c>
      <c r="C3744" t="s">
        <v>40</v>
      </c>
      <c r="D3744">
        <v>6.0092980000000003</v>
      </c>
      <c r="E3744">
        <v>0.50406090000000003</v>
      </c>
      <c r="F3744" t="s">
        <v>66</v>
      </c>
      <c r="G3744">
        <v>-338.20670000000001</v>
      </c>
      <c r="H3744" s="1">
        <v>2.8705010000000001E-6</v>
      </c>
      <c r="I3744">
        <v>213.69929999999999</v>
      </c>
      <c r="J3744">
        <v>-375.13529999999997</v>
      </c>
      <c r="K3744">
        <v>1.1094660000000001</v>
      </c>
      <c r="L3744">
        <v>213.0608</v>
      </c>
      <c r="M3744">
        <v>0.99988010000000005</v>
      </c>
      <c r="N3744">
        <v>0</v>
      </c>
      <c r="O3744">
        <v>-1.2603659999999999E-2</v>
      </c>
      <c r="P3744">
        <v>0.99948979999999998</v>
      </c>
      <c r="Q3744">
        <v>1.15527999999999E-2</v>
      </c>
      <c r="R3744">
        <v>2.9780379999999999E-2</v>
      </c>
      <c r="S3744">
        <v>3.001007</v>
      </c>
      <c r="T3744">
        <v>-8.9191560000000003E-2</v>
      </c>
      <c r="U3744">
        <v>5.0949099999999997E-2</v>
      </c>
      <c r="V3744">
        <v>-4.2402410000000001E-2</v>
      </c>
      <c r="W3744">
        <v>2.0477599999999999E-2</v>
      </c>
      <c r="X3744">
        <v>0.99889079999999997</v>
      </c>
      <c r="Y3744">
        <v>-2.9557279999999998E-2</v>
      </c>
      <c r="Z3744">
        <v>8.1359640000000001E-4</v>
      </c>
      <c r="AA3744">
        <v>0.99956270000000003</v>
      </c>
      <c r="AB3744">
        <v>39</v>
      </c>
      <c r="AC3744">
        <v>36.928599999999904</v>
      </c>
      <c r="AD3744">
        <v>-1.1094631294990001</v>
      </c>
      <c r="AE3744">
        <v>0.63849999999999296</v>
      </c>
      <c r="AF3744">
        <v>-1.1029084362669499</v>
      </c>
      <c r="AG3744">
        <v>-1.1094631294990001</v>
      </c>
      <c r="AH3744">
        <v>36.884336572716499</v>
      </c>
      <c r="AI3744">
        <v>91.722140775690207</v>
      </c>
      <c r="AJ3744">
        <v>91.712737190042404</v>
      </c>
      <c r="AK3744">
        <v>36.917497204766399</v>
      </c>
      <c r="AL3744">
        <v>88.826638005369006</v>
      </c>
      <c r="AM3744">
        <v>92.430717587399798</v>
      </c>
      <c r="AN3744">
        <v>1.0000000634001001</v>
      </c>
    </row>
    <row r="3745" spans="1:40" x14ac:dyDescent="0.25">
      <c r="A3745" t="str">
        <f>"20190312160715879"</f>
        <v>20190312160715879</v>
      </c>
      <c r="B3745" t="str">
        <f>"1552378035868682"</f>
        <v>1552378035868682</v>
      </c>
      <c r="C3745" t="s">
        <v>40</v>
      </c>
      <c r="D3745">
        <v>6.0350729999999997</v>
      </c>
      <c r="E3745">
        <v>0.5041793</v>
      </c>
      <c r="F3745" t="s">
        <v>66</v>
      </c>
      <c r="G3745">
        <v>-336.63569999999999</v>
      </c>
      <c r="H3745" s="1">
        <v>2.0327999999999998E-6</v>
      </c>
      <c r="I3745">
        <v>213.73830000000001</v>
      </c>
      <c r="J3745">
        <v>-374.76049999999998</v>
      </c>
      <c r="K3745">
        <v>1.109475</v>
      </c>
      <c r="L3745">
        <v>213.0565</v>
      </c>
      <c r="M3745">
        <v>0.99988679999999996</v>
      </c>
      <c r="N3745">
        <v>0</v>
      </c>
      <c r="O3745">
        <v>-1.2063229999999999E-2</v>
      </c>
      <c r="P3745">
        <v>0.99947909999999995</v>
      </c>
      <c r="Q3745">
        <v>1.141782E-2</v>
      </c>
      <c r="R3745">
        <v>3.018815E-2</v>
      </c>
      <c r="S3745">
        <v>3.0009459999999999</v>
      </c>
      <c r="T3745">
        <v>-8.6480020000000005E-2</v>
      </c>
      <c r="U3745">
        <v>5.2810669999999997E-2</v>
      </c>
      <c r="V3745">
        <v>-4.227011E-2</v>
      </c>
      <c r="W3745">
        <v>2.035174E-2</v>
      </c>
      <c r="X3745">
        <v>0.99889890000000003</v>
      </c>
      <c r="Y3745">
        <v>-2.963855E-2</v>
      </c>
      <c r="Z3745">
        <v>7.7448519999999996E-4</v>
      </c>
      <c r="AA3745">
        <v>0.99956040000000002</v>
      </c>
      <c r="AB3745">
        <v>39</v>
      </c>
      <c r="AC3745">
        <v>38.124799999999901</v>
      </c>
      <c r="AD3745">
        <v>-1.1094729672000001</v>
      </c>
      <c r="AE3745">
        <v>0.68180000000000895</v>
      </c>
      <c r="AF3745">
        <v>-1.1407114845870501</v>
      </c>
      <c r="AG3745">
        <v>-1.1094729672000001</v>
      </c>
      <c r="AH3745">
        <v>38.08156070671</v>
      </c>
      <c r="AI3745">
        <v>91.668042630529499</v>
      </c>
      <c r="AJ3745">
        <v>91.715749437469896</v>
      </c>
      <c r="AK3745">
        <v>38.114792650818103</v>
      </c>
      <c r="AL3745">
        <v>88.833850662231598</v>
      </c>
      <c r="AM3745">
        <v>92.423122920145502</v>
      </c>
      <c r="AN3745">
        <v>0.99999998397082401</v>
      </c>
    </row>
    <row r="3746" spans="1:40" x14ac:dyDescent="0.25">
      <c r="A3746" t="str">
        <f>"20190312160715901"</f>
        <v>20190312160715901</v>
      </c>
      <c r="B3746" t="str">
        <f>"1552378035898938"</f>
        <v>1552378035898938</v>
      </c>
      <c r="C3746" t="s">
        <v>40</v>
      </c>
      <c r="D3746">
        <v>7.4969910000000004</v>
      </c>
      <c r="E3746">
        <v>0.52218120000000001</v>
      </c>
      <c r="F3746" t="s">
        <v>66</v>
      </c>
      <c r="G3746">
        <v>-334.96749999999997</v>
      </c>
      <c r="H3746" s="1">
        <v>1.143978E-6</v>
      </c>
      <c r="I3746">
        <v>213.7627</v>
      </c>
      <c r="J3746">
        <v>-374.36869999999999</v>
      </c>
      <c r="K3746">
        <v>1.1094839999999999</v>
      </c>
      <c r="L3746">
        <v>213.0523</v>
      </c>
      <c r="M3746">
        <v>0.99989329999999998</v>
      </c>
      <c r="N3746">
        <v>0</v>
      </c>
      <c r="O3746">
        <v>-1.149444E-2</v>
      </c>
      <c r="P3746">
        <v>0.99943199999999999</v>
      </c>
      <c r="Q3746">
        <v>1.185625E-2</v>
      </c>
      <c r="R3746">
        <v>3.1545620000000003E-2</v>
      </c>
      <c r="S3746">
        <v>3.0009160000000001</v>
      </c>
      <c r="T3746">
        <v>-8.3668950000000006E-2</v>
      </c>
      <c r="U3746">
        <v>5.3253170000000002E-2</v>
      </c>
      <c r="V3746">
        <v>-4.3059899999999998E-2</v>
      </c>
      <c r="W3746">
        <v>2.0797960000000001E-2</v>
      </c>
      <c r="X3746">
        <v>0.99885599999999997</v>
      </c>
      <c r="Y3746">
        <v>-2.9218959999999999E-2</v>
      </c>
      <c r="Z3746">
        <v>7.2762429999999995E-4</v>
      </c>
      <c r="AA3746">
        <v>0.99957280000000004</v>
      </c>
      <c r="AB3746">
        <v>39</v>
      </c>
      <c r="AC3746">
        <v>39.401200000000003</v>
      </c>
      <c r="AD3746">
        <v>-1.10948285602199</v>
      </c>
      <c r="AE3746">
        <v>0.71039999999999204</v>
      </c>
      <c r="AF3746">
        <v>-1.16234486590852</v>
      </c>
      <c r="AG3746">
        <v>-1.10948285602199</v>
      </c>
      <c r="AH3746">
        <v>39.359232762430103</v>
      </c>
      <c r="AI3746">
        <v>91.613958702040705</v>
      </c>
      <c r="AJ3746">
        <v>91.691549866702402</v>
      </c>
      <c r="AK3746">
        <v>39.392019514646101</v>
      </c>
      <c r="AL3746">
        <v>88.808278756035904</v>
      </c>
      <c r="AM3746">
        <v>92.468447821157497</v>
      </c>
      <c r="AN3746">
        <v>1.00000000943208</v>
      </c>
    </row>
    <row r="3747" spans="1:40" x14ac:dyDescent="0.25">
      <c r="A3747" t="str">
        <f>"20190312160715925"</f>
        <v>20190312160715925</v>
      </c>
      <c r="B3747" t="str">
        <f>"1552378035918458"</f>
        <v>1552378035918458</v>
      </c>
      <c r="C3747" t="s">
        <v>40</v>
      </c>
      <c r="D3747">
        <v>5.9782989999999998</v>
      </c>
      <c r="E3747">
        <v>0.52383299999999999</v>
      </c>
      <c r="F3747" t="s">
        <v>51</v>
      </c>
      <c r="G3747">
        <v>-168.4109</v>
      </c>
      <c r="H3747">
        <v>2.1257820000000001</v>
      </c>
      <c r="I3747">
        <v>207.36150000000001</v>
      </c>
      <c r="J3747">
        <v>-373.97430000000003</v>
      </c>
      <c r="K3747">
        <v>1.1094900000000001</v>
      </c>
      <c r="L3747">
        <v>213.04820000000001</v>
      </c>
      <c r="M3747">
        <v>0.99989989999999995</v>
      </c>
      <c r="N3747">
        <v>0</v>
      </c>
      <c r="O3747">
        <v>-1.0919949999999999E-2</v>
      </c>
      <c r="P3747">
        <v>0.99940709999999999</v>
      </c>
      <c r="Q3747">
        <v>1.166007E-2</v>
      </c>
      <c r="R3747">
        <v>3.2401770000000003E-2</v>
      </c>
      <c r="S3747">
        <v>3.004181</v>
      </c>
      <c r="T3747">
        <v>1.482463E-2</v>
      </c>
      <c r="U3747">
        <v>-8.3007810000000001E-2</v>
      </c>
      <c r="V3747">
        <v>-4.3342039999999998E-2</v>
      </c>
      <c r="W3747">
        <v>2.0610610000000001E-2</v>
      </c>
      <c r="X3747">
        <v>0.99884770000000001</v>
      </c>
      <c r="Y3747">
        <v>1.670228E-2</v>
      </c>
      <c r="Z3747" s="1">
        <v>-1.267306E-5</v>
      </c>
      <c r="AA3747">
        <v>0.99986050000000004</v>
      </c>
      <c r="AB3747">
        <v>39</v>
      </c>
      <c r="AC3747">
        <v>205.5634</v>
      </c>
      <c r="AD3747">
        <v>1.016292</v>
      </c>
      <c r="AE3747">
        <v>-5.6867000000000001</v>
      </c>
      <c r="AF3747">
        <v>3.4414439478657801</v>
      </c>
      <c r="AG3747">
        <v>1.016292</v>
      </c>
      <c r="AH3747">
        <v>205.60822166640301</v>
      </c>
      <c r="AI3747">
        <v>89.716837133557306</v>
      </c>
      <c r="AJ3747">
        <v>89.041080160227807</v>
      </c>
      <c r="AK3747">
        <v>205.63953219820499</v>
      </c>
      <c r="AL3747">
        <v>88.819015444518598</v>
      </c>
      <c r="AM3747">
        <v>92.484622169641099</v>
      </c>
      <c r="AN3747">
        <v>1.0000000287356099</v>
      </c>
    </row>
    <row r="3748" spans="1:40" x14ac:dyDescent="0.25">
      <c r="A3748" t="str">
        <f>"20190312160715947"</f>
        <v>20190312160715947</v>
      </c>
      <c r="B3748" t="str">
        <f>"1552378035938954"</f>
        <v>1552378035938954</v>
      </c>
      <c r="C3748" t="s">
        <v>40</v>
      </c>
      <c r="D3748">
        <v>5.9456429999999996</v>
      </c>
      <c r="E3748">
        <v>0.52604059999999997</v>
      </c>
      <c r="F3748" t="s">
        <v>51</v>
      </c>
      <c r="G3748">
        <v>-168.41120000000001</v>
      </c>
      <c r="H3748">
        <v>2.2905980000000001</v>
      </c>
      <c r="I3748">
        <v>206.65610000000001</v>
      </c>
      <c r="J3748">
        <v>-373.57069999999999</v>
      </c>
      <c r="K3748">
        <v>1.109499</v>
      </c>
      <c r="L3748">
        <v>213.04429999999999</v>
      </c>
      <c r="M3748">
        <v>0.99990590000000001</v>
      </c>
      <c r="N3748">
        <v>0</v>
      </c>
      <c r="O3748">
        <v>-1.0330209999999999E-2</v>
      </c>
      <c r="P3748">
        <v>0.99940419999999996</v>
      </c>
      <c r="Q3748">
        <v>1.1014120000000001E-2</v>
      </c>
      <c r="R3748">
        <v>3.2712379999999999E-2</v>
      </c>
      <c r="S3748">
        <v>3.0046080000000002</v>
      </c>
      <c r="T3748">
        <v>1.7264129999999999E-2</v>
      </c>
      <c r="U3748">
        <v>-9.3429570000000003E-2</v>
      </c>
      <c r="V3748">
        <v>-4.3062530000000002E-2</v>
      </c>
      <c r="W3748">
        <v>1.9974639999999998E-2</v>
      </c>
      <c r="X3748">
        <v>0.99887269999999995</v>
      </c>
      <c r="Y3748">
        <v>2.0752940000000001E-2</v>
      </c>
      <c r="Z3748" s="1">
        <v>2.6650740000000001E-7</v>
      </c>
      <c r="AA3748">
        <v>0.99978460000000002</v>
      </c>
      <c r="AB3748">
        <v>39</v>
      </c>
      <c r="AC3748">
        <v>205.15950000000001</v>
      </c>
      <c r="AD3748">
        <v>1.1810989999999999</v>
      </c>
      <c r="AE3748">
        <v>-6.3881999999999799</v>
      </c>
      <c r="AF3748">
        <v>4.2682907207523</v>
      </c>
      <c r="AG3748">
        <v>1.1810989999999999</v>
      </c>
      <c r="AH3748">
        <v>205.207751760695</v>
      </c>
      <c r="AI3748">
        <v>89.670301893094106</v>
      </c>
      <c r="AJ3748">
        <v>88.8084281246974</v>
      </c>
      <c r="AK3748">
        <v>205.25553508542399</v>
      </c>
      <c r="AL3748">
        <v>88.855461334959998</v>
      </c>
      <c r="AM3748">
        <v>92.468557180722101</v>
      </c>
      <c r="AN3748">
        <v>1.00000001926921</v>
      </c>
    </row>
    <row r="3749" spans="1:40" x14ac:dyDescent="0.25">
      <c r="A3749" t="str">
        <f>"20190312160715970"</f>
        <v>20190312160715970</v>
      </c>
      <c r="B3749" t="str">
        <f>"1552378035959450"</f>
        <v>1552378035959450</v>
      </c>
      <c r="C3749" t="s">
        <v>40</v>
      </c>
      <c r="D3749">
        <v>5.9622129999999904</v>
      </c>
      <c r="E3749">
        <v>0.52691060000000001</v>
      </c>
      <c r="F3749" t="s">
        <v>51</v>
      </c>
      <c r="G3749">
        <v>-168.41130000000001</v>
      </c>
      <c r="H3749">
        <v>1.4997020000000001</v>
      </c>
      <c r="I3749">
        <v>205.4924</v>
      </c>
      <c r="J3749">
        <v>-373.18090000000001</v>
      </c>
      <c r="K3749">
        <v>1.1095029999999999</v>
      </c>
      <c r="L3749">
        <v>213.04069999999999</v>
      </c>
      <c r="M3749">
        <v>0.99991149999999995</v>
      </c>
      <c r="N3749">
        <v>0</v>
      </c>
      <c r="O3749">
        <v>-9.7605030000000002E-3</v>
      </c>
      <c r="P3749">
        <v>0.99938959999999999</v>
      </c>
      <c r="Q3749">
        <v>1.093334E-2</v>
      </c>
      <c r="R3749">
        <v>3.3182110000000001E-2</v>
      </c>
      <c r="S3749">
        <v>3.0053709999999998</v>
      </c>
      <c r="T3749">
        <v>5.7165619999999997E-3</v>
      </c>
      <c r="U3749">
        <v>-0.11062619999999999</v>
      </c>
      <c r="V3749">
        <v>-4.296353E-2</v>
      </c>
      <c r="W3749">
        <v>1.9903130000000002E-2</v>
      </c>
      <c r="X3749">
        <v>0.99887840000000006</v>
      </c>
      <c r="Y3749">
        <v>2.7028509999999999E-2</v>
      </c>
      <c r="Z3749" s="1">
        <v>7.1379449999999996E-6</v>
      </c>
      <c r="AA3749">
        <v>0.99963469999999999</v>
      </c>
      <c r="AB3749">
        <v>39</v>
      </c>
      <c r="AC3749">
        <v>204.7696</v>
      </c>
      <c r="AD3749">
        <v>0.39019900000000002</v>
      </c>
      <c r="AE3749">
        <v>-7.5482999999999798</v>
      </c>
      <c r="AF3749">
        <v>5.54918431619868</v>
      </c>
      <c r="AG3749">
        <v>0.39019900000000002</v>
      </c>
      <c r="AH3749">
        <v>204.832780485966</v>
      </c>
      <c r="AI3749">
        <v>89.890893786236404</v>
      </c>
      <c r="AJ3749">
        <v>88.448162981506798</v>
      </c>
      <c r="AK3749">
        <v>204.908305501379</v>
      </c>
      <c r="AL3749">
        <v>88.859559381564097</v>
      </c>
      <c r="AM3749">
        <v>92.462874970538707</v>
      </c>
      <c r="AN3749">
        <v>1.0000000287402</v>
      </c>
    </row>
    <row r="3750" spans="1:40" x14ac:dyDescent="0.25">
      <c r="A3750" t="str">
        <f>"20190312160715993"</f>
        <v>20190312160715993</v>
      </c>
      <c r="B3750" t="str">
        <f>"1552378035989707"</f>
        <v>1552378035989707</v>
      </c>
      <c r="C3750" t="s">
        <v>40</v>
      </c>
      <c r="D3750">
        <v>5.9464790000000001</v>
      </c>
      <c r="E3750">
        <v>0.52771380000000001</v>
      </c>
      <c r="F3750" t="s">
        <v>51</v>
      </c>
      <c r="G3750">
        <v>-168.41130000000001</v>
      </c>
      <c r="H3750">
        <v>1.105766</v>
      </c>
      <c r="I3750">
        <v>205.1268</v>
      </c>
      <c r="J3750">
        <v>-372.77370000000002</v>
      </c>
      <c r="K3750">
        <v>1.1095090000000001</v>
      </c>
      <c r="L3750">
        <v>213.03720000000001</v>
      </c>
      <c r="M3750">
        <v>0.9999171</v>
      </c>
      <c r="N3750">
        <v>0</v>
      </c>
      <c r="O3750">
        <v>-9.1649379999999992E-3</v>
      </c>
      <c r="P3750">
        <v>0.99935799999999997</v>
      </c>
      <c r="Q3750">
        <v>1.173009E-2</v>
      </c>
      <c r="R3750">
        <v>3.3857909999999998E-2</v>
      </c>
      <c r="S3750">
        <v>3.0057369999999999</v>
      </c>
      <c r="T3750" s="1">
        <v>-5.4359440000000003E-5</v>
      </c>
      <c r="U3750">
        <v>-0.1161652</v>
      </c>
      <c r="V3750">
        <v>-4.3045220000000002E-2</v>
      </c>
      <c r="W3750">
        <v>2.0709290000000002E-2</v>
      </c>
      <c r="X3750">
        <v>0.99885849999999998</v>
      </c>
      <c r="Y3750">
        <v>2.945888E-2</v>
      </c>
      <c r="Z3750" s="1">
        <v>-1.0060010000000001E-7</v>
      </c>
      <c r="AA3750">
        <v>0.99956599999999995</v>
      </c>
      <c r="AB3750">
        <v>39</v>
      </c>
      <c r="AC3750">
        <v>204.36240000000001</v>
      </c>
      <c r="AD3750">
        <v>-3.7430000000000501E-3</v>
      </c>
      <c r="AE3750">
        <v>-7.9104000000000099</v>
      </c>
      <c r="AF3750">
        <v>6.0370224106149104</v>
      </c>
      <c r="AG3750">
        <v>-3.7430000000000501E-3</v>
      </c>
      <c r="AH3750">
        <v>204.42631751883999</v>
      </c>
      <c r="AI3750">
        <v>90.001048615710204</v>
      </c>
      <c r="AJ3750">
        <v>88.308459456296106</v>
      </c>
      <c r="AK3750">
        <v>204.515439387616</v>
      </c>
      <c r="AL3750">
        <v>88.813360296773894</v>
      </c>
      <c r="AM3750">
        <v>92.467601148821302</v>
      </c>
      <c r="AN3750">
        <v>1.0000000343397</v>
      </c>
    </row>
    <row r="3751" spans="1:40" x14ac:dyDescent="0.25">
      <c r="A3751" t="str">
        <f>"20190312160716016"</f>
        <v>20190312160716016</v>
      </c>
      <c r="B3751" t="str">
        <f>"1552378036009229"</f>
        <v>1552378036009229</v>
      </c>
      <c r="C3751" t="s">
        <v>40</v>
      </c>
      <c r="D3751">
        <v>5.907152</v>
      </c>
      <c r="E3751">
        <v>0.52815230000000002</v>
      </c>
      <c r="F3751" t="s">
        <v>51</v>
      </c>
      <c r="G3751">
        <v>-168.4111</v>
      </c>
      <c r="H3751">
        <v>0.30478290000000002</v>
      </c>
      <c r="I3751">
        <v>204.79580000000001</v>
      </c>
      <c r="J3751">
        <v>-372.38529999999997</v>
      </c>
      <c r="K3751">
        <v>1.1095159999999999</v>
      </c>
      <c r="L3751">
        <v>213.0342</v>
      </c>
      <c r="M3751">
        <v>0.99992199999999998</v>
      </c>
      <c r="N3751">
        <v>0</v>
      </c>
      <c r="O3751">
        <v>-8.5972719999999996E-3</v>
      </c>
      <c r="P3751">
        <v>0.99930839999999999</v>
      </c>
      <c r="Q3751">
        <v>1.240482E-2</v>
      </c>
      <c r="R3751">
        <v>3.5054519999999999E-2</v>
      </c>
      <c r="S3751">
        <v>3.0061650000000002</v>
      </c>
      <c r="T3751">
        <v>-1.183701E-2</v>
      </c>
      <c r="U3751">
        <v>-0.12123109999999999</v>
      </c>
      <c r="V3751">
        <v>-4.3675180000000001E-2</v>
      </c>
      <c r="W3751">
        <v>2.139245E-2</v>
      </c>
      <c r="X3751">
        <v>0.9988167</v>
      </c>
      <c r="Y3751">
        <v>3.1702439999999998E-2</v>
      </c>
      <c r="Z3751" s="1">
        <v>-2.855166E-5</v>
      </c>
      <c r="AA3751">
        <v>0.99949739999999998</v>
      </c>
      <c r="AB3751">
        <v>39</v>
      </c>
      <c r="AC3751">
        <v>203.9742</v>
      </c>
      <c r="AD3751">
        <v>-0.80473309999999998</v>
      </c>
      <c r="AE3751">
        <v>-8.2383999999999808</v>
      </c>
      <c r="AF3751">
        <v>6.4843010896945996</v>
      </c>
      <c r="AG3751">
        <v>-0.80473309999999998</v>
      </c>
      <c r="AH3751">
        <v>204.03432108114399</v>
      </c>
      <c r="AI3751">
        <v>90.225865455177399</v>
      </c>
      <c r="AJ3751">
        <v>88.179727409119295</v>
      </c>
      <c r="AK3751">
        <v>204.138918227337</v>
      </c>
      <c r="AL3751">
        <v>88.774209369462895</v>
      </c>
      <c r="AM3751">
        <v>92.503773123812906</v>
      </c>
      <c r="AN3751">
        <v>0.99999997923196204</v>
      </c>
    </row>
    <row r="3752" spans="1:40" x14ac:dyDescent="0.25">
      <c r="A3752" t="str">
        <f>"20190312160716037"</f>
        <v>20190312160716037</v>
      </c>
      <c r="B3752" t="str">
        <f>"1552378036028747"</f>
        <v>1552378036028747</v>
      </c>
      <c r="C3752" t="s">
        <v>40</v>
      </c>
      <c r="D3752">
        <v>6.4974189999999998</v>
      </c>
      <c r="E3752">
        <v>0.52793219999999996</v>
      </c>
      <c r="F3752" t="s">
        <v>61</v>
      </c>
      <c r="G3752">
        <v>-179.92959999999999</v>
      </c>
      <c r="H3752">
        <v>7.8145469999999995E-2</v>
      </c>
      <c r="I3752">
        <v>205.26400000000001</v>
      </c>
      <c r="J3752">
        <v>-371.97910000000002</v>
      </c>
      <c r="K3752">
        <v>1.1095200000000001</v>
      </c>
      <c r="L3752">
        <v>213.03120000000001</v>
      </c>
      <c r="M3752">
        <v>0.9999268</v>
      </c>
      <c r="N3752">
        <v>0</v>
      </c>
      <c r="O3752">
        <v>-8.0036240000000008E-3</v>
      </c>
      <c r="P3752">
        <v>0.99929570000000001</v>
      </c>
      <c r="Q3752">
        <v>1.224189E-2</v>
      </c>
      <c r="R3752">
        <v>3.547049E-2</v>
      </c>
      <c r="S3752">
        <v>3.0065</v>
      </c>
      <c r="T3752">
        <v>-1.611185E-2</v>
      </c>
      <c r="U3752">
        <v>-0.1213837</v>
      </c>
      <c r="V3752">
        <v>-4.3497679999999997E-2</v>
      </c>
      <c r="W3752">
        <v>2.1239890000000001E-2</v>
      </c>
      <c r="X3752">
        <v>0.99882769999999999</v>
      </c>
      <c r="Y3752">
        <v>3.2341799999999997E-2</v>
      </c>
      <c r="Z3752" s="1">
        <v>-4.3750639999999997E-5</v>
      </c>
      <c r="AA3752">
        <v>0.9994769</v>
      </c>
      <c r="AB3752">
        <v>39</v>
      </c>
      <c r="AC3752">
        <v>192.04949999999999</v>
      </c>
      <c r="AD3752">
        <v>-1.0313745299999999</v>
      </c>
      <c r="AE3752">
        <v>-7.7671999999999999</v>
      </c>
      <c r="AF3752">
        <v>6.2296165557291703</v>
      </c>
      <c r="AG3752">
        <v>-1.0313745299999999</v>
      </c>
      <c r="AH3752">
        <v>192.09998529072999</v>
      </c>
      <c r="AI3752">
        <v>90.307453395214694</v>
      </c>
      <c r="AJ3752">
        <v>88.142604259717899</v>
      </c>
      <c r="AK3752">
        <v>192.20373618780499</v>
      </c>
      <c r="AL3752">
        <v>88.782952398449495</v>
      </c>
      <c r="AM3752">
        <v>92.493582999941694</v>
      </c>
      <c r="AN3752">
        <v>0.99999997768994198</v>
      </c>
    </row>
    <row r="3753" spans="1:40" x14ac:dyDescent="0.25">
      <c r="A3753" t="str">
        <f>"20190312160716059"</f>
        <v>20190312160716059</v>
      </c>
      <c r="B3753" t="str">
        <f>"1552378036049243"</f>
        <v>1552378036049243</v>
      </c>
      <c r="C3753" t="s">
        <v>40</v>
      </c>
      <c r="D3753">
        <v>5.9408830000000004</v>
      </c>
      <c r="E3753">
        <v>0.52722089999999999</v>
      </c>
      <c r="F3753" t="s">
        <v>61</v>
      </c>
      <c r="G3753">
        <v>-179.95779999999999</v>
      </c>
      <c r="H3753">
        <v>3.083029E-2</v>
      </c>
      <c r="I3753">
        <v>205.47559999999999</v>
      </c>
      <c r="J3753">
        <v>-371.5942</v>
      </c>
      <c r="K3753">
        <v>1.1095250000000001</v>
      </c>
      <c r="L3753">
        <v>213.02860000000001</v>
      </c>
      <c r="M3753">
        <v>0.99993129999999997</v>
      </c>
      <c r="N3753">
        <v>0</v>
      </c>
      <c r="O3753">
        <v>-7.4418119999999999E-3</v>
      </c>
      <c r="P3753">
        <v>0.9993069</v>
      </c>
      <c r="Q3753">
        <v>1.213409E-2</v>
      </c>
      <c r="R3753">
        <v>3.5196999999999999E-2</v>
      </c>
      <c r="S3753">
        <v>3.0065919999999999</v>
      </c>
      <c r="T3753">
        <v>-1.6889689999999999E-2</v>
      </c>
      <c r="U3753">
        <v>-0.1183014</v>
      </c>
      <c r="V3753">
        <v>-4.2663310000000003E-2</v>
      </c>
      <c r="W3753">
        <v>2.114359E-2</v>
      </c>
      <c r="X3753">
        <v>0.99886569999999997</v>
      </c>
      <c r="Y3753">
        <v>3.1879079999999997E-2</v>
      </c>
      <c r="Z3753" s="1">
        <v>-4.771772E-5</v>
      </c>
      <c r="AA3753">
        <v>0.99949180000000004</v>
      </c>
      <c r="AB3753">
        <v>40</v>
      </c>
      <c r="AC3753">
        <v>191.63640000000001</v>
      </c>
      <c r="AD3753">
        <v>-1.0786947099999999</v>
      </c>
      <c r="AE3753">
        <v>-7.5530000000000204</v>
      </c>
      <c r="AF3753">
        <v>6.1264164801888104</v>
      </c>
      <c r="AG3753">
        <v>-1.0786947099999999</v>
      </c>
      <c r="AH3753">
        <v>191.68123951222</v>
      </c>
      <c r="AI3753">
        <v>90.322266588601195</v>
      </c>
      <c r="AJ3753">
        <v>88.169365159890503</v>
      </c>
      <c r="AK3753">
        <v>191.78215282478001</v>
      </c>
      <c r="AL3753">
        <v>88.788471185562301</v>
      </c>
      <c r="AM3753">
        <v>92.445716952962101</v>
      </c>
      <c r="AN3753">
        <v>0.99999994802736503</v>
      </c>
    </row>
    <row r="3754" spans="1:40" x14ac:dyDescent="0.25">
      <c r="A3754" t="str">
        <f>"20190312160716080"</f>
        <v>20190312160716080</v>
      </c>
      <c r="B3754" t="str">
        <f>"1552378036068762"</f>
        <v>1552378036068762</v>
      </c>
      <c r="C3754" t="s">
        <v>40</v>
      </c>
      <c r="D3754">
        <v>5.9456249999999997</v>
      </c>
      <c r="E3754">
        <v>0.52729490000000001</v>
      </c>
      <c r="F3754" t="s">
        <v>43</v>
      </c>
      <c r="G3754">
        <v>-177.79130000000001</v>
      </c>
      <c r="H3754">
        <v>0.43928689999999998</v>
      </c>
      <c r="I3754">
        <v>205.73740000000001</v>
      </c>
      <c r="J3754">
        <v>-371.22199999999998</v>
      </c>
      <c r="K3754">
        <v>1.109531</v>
      </c>
      <c r="L3754">
        <v>213.02619999999999</v>
      </c>
      <c r="M3754">
        <v>0.99993489999999996</v>
      </c>
      <c r="N3754">
        <v>0</v>
      </c>
      <c r="O3754">
        <v>-6.8982549999999998E-3</v>
      </c>
      <c r="P3754">
        <v>0.99930580000000002</v>
      </c>
      <c r="Q3754">
        <v>1.209374E-2</v>
      </c>
      <c r="R3754">
        <v>3.5235280000000001E-2</v>
      </c>
      <c r="S3754">
        <v>3.006195</v>
      </c>
      <c r="T3754">
        <v>-1.039648E-2</v>
      </c>
      <c r="U3754">
        <v>-0.11309809999999999</v>
      </c>
      <c r="V3754">
        <v>-4.2158929999999997E-2</v>
      </c>
      <c r="W3754">
        <v>2.1117850000000001E-2</v>
      </c>
      <c r="X3754">
        <v>0.99888770000000005</v>
      </c>
      <c r="Y3754">
        <v>3.0700399999999999E-2</v>
      </c>
      <c r="Z3754" s="1">
        <v>-2.9219310000000001E-5</v>
      </c>
      <c r="AA3754">
        <v>0.99952859999999999</v>
      </c>
      <c r="AB3754">
        <v>40</v>
      </c>
      <c r="AC3754">
        <v>193.4307</v>
      </c>
      <c r="AD3754">
        <v>-0.67024410000000001</v>
      </c>
      <c r="AE3754">
        <v>-7.2887999999999797</v>
      </c>
      <c r="AF3754">
        <v>5.95416576293501</v>
      </c>
      <c r="AG3754">
        <v>-0.67024410000000001</v>
      </c>
      <c r="AH3754">
        <v>193.47405970787901</v>
      </c>
      <c r="AI3754">
        <v>90.198392654662797</v>
      </c>
      <c r="AJ3754">
        <v>88.237278270369103</v>
      </c>
      <c r="AK3754">
        <v>193.56681817123001</v>
      </c>
      <c r="AL3754">
        <v>88.789946356851402</v>
      </c>
      <c r="AM3754">
        <v>92.416784188470601</v>
      </c>
      <c r="AN3754">
        <v>0.999999988089328</v>
      </c>
    </row>
    <row r="3755" spans="1:40" x14ac:dyDescent="0.25">
      <c r="A3755" t="str">
        <f>"20190312160716102"</f>
        <v>20190312160716102</v>
      </c>
      <c r="B3755" t="str">
        <f>"1552378036099018"</f>
        <v>1552378036099018</v>
      </c>
      <c r="C3755" t="s">
        <v>40</v>
      </c>
      <c r="D3755">
        <v>5.8807470000000004</v>
      </c>
      <c r="E3755">
        <v>0.52792530000000004</v>
      </c>
      <c r="F3755" t="s">
        <v>43</v>
      </c>
      <c r="G3755">
        <v>-177.79390000000001</v>
      </c>
      <c r="H3755">
        <v>0.42757230000000002</v>
      </c>
      <c r="I3755">
        <v>205.71870000000001</v>
      </c>
      <c r="J3755">
        <v>-370.82560000000001</v>
      </c>
      <c r="K3755">
        <v>1.109537</v>
      </c>
      <c r="L3755">
        <v>213.0239</v>
      </c>
      <c r="M3755">
        <v>0.99993869999999896</v>
      </c>
      <c r="N3755">
        <v>0</v>
      </c>
      <c r="O3755">
        <v>-6.3200239999999996E-3</v>
      </c>
      <c r="P3755">
        <v>0.99928760000000005</v>
      </c>
      <c r="Q3755">
        <v>1.2599330000000001E-2</v>
      </c>
      <c r="R3755">
        <v>3.5578110000000003E-2</v>
      </c>
      <c r="S3755">
        <v>3.0062259999999998</v>
      </c>
      <c r="T3755">
        <v>-1.05989E-2</v>
      </c>
      <c r="U3755">
        <v>-0.1135712</v>
      </c>
      <c r="V3755">
        <v>-4.1924120000000002E-2</v>
      </c>
      <c r="W3755">
        <v>2.1641299999999999E-2</v>
      </c>
      <c r="X3755">
        <v>0.99888639999999995</v>
      </c>
      <c r="Y3755">
        <v>3.1435039999999997E-2</v>
      </c>
      <c r="Z3755" s="1">
        <v>-3.3120210000000003E-5</v>
      </c>
      <c r="AA3755">
        <v>0.9995058</v>
      </c>
      <c r="AB3755">
        <v>40</v>
      </c>
      <c r="AC3755">
        <v>193.0317</v>
      </c>
      <c r="AD3755">
        <v>-0.68196469999999998</v>
      </c>
      <c r="AE3755">
        <v>-7.3051999999999797</v>
      </c>
      <c r="AF3755">
        <v>6.0849628538690004</v>
      </c>
      <c r="AG3755">
        <v>-0.68196469999999998</v>
      </c>
      <c r="AH3755">
        <v>193.071609110926</v>
      </c>
      <c r="AI3755">
        <v>90.202278033347099</v>
      </c>
      <c r="AJ3755">
        <v>88.194828721051394</v>
      </c>
      <c r="AK3755">
        <v>193.16867782709301</v>
      </c>
      <c r="AL3755">
        <v>88.759948049484294</v>
      </c>
      <c r="AM3755">
        <v>92.403342526050196</v>
      </c>
      <c r="AN3755">
        <v>1.00000000890421</v>
      </c>
    </row>
    <row r="3756" spans="1:40" x14ac:dyDescent="0.25">
      <c r="A3756" t="str">
        <f>"20190312160716125"</f>
        <v>20190312160716125</v>
      </c>
      <c r="B3756" t="str">
        <f>"1552378036118541"</f>
        <v>1552378036118541</v>
      </c>
      <c r="C3756" t="s">
        <v>40</v>
      </c>
      <c r="D3756">
        <v>5.9726739999999996</v>
      </c>
      <c r="E3756">
        <v>0.52845229999999999</v>
      </c>
      <c r="F3756" t="s">
        <v>43</v>
      </c>
      <c r="G3756">
        <v>-178.0574</v>
      </c>
      <c r="H3756">
        <v>0.1944844</v>
      </c>
      <c r="I3756">
        <v>205.4829</v>
      </c>
      <c r="J3756">
        <v>-370.42180000000002</v>
      </c>
      <c r="K3756">
        <v>1.109532</v>
      </c>
      <c r="L3756">
        <v>213.02189999999999</v>
      </c>
      <c r="M3756">
        <v>0.99994209999999994</v>
      </c>
      <c r="N3756">
        <v>0</v>
      </c>
      <c r="O3756">
        <v>-5.7309509999999998E-3</v>
      </c>
      <c r="P3756">
        <v>0.99926440000000005</v>
      </c>
      <c r="Q3756">
        <v>1.2714E-2</v>
      </c>
      <c r="R3756">
        <v>3.6187839999999999E-2</v>
      </c>
      <c r="S3756">
        <v>3.0065309999999998</v>
      </c>
      <c r="T3756">
        <v>-1.427174E-2</v>
      </c>
      <c r="U3756">
        <v>-0.1176147</v>
      </c>
      <c r="V3756">
        <v>-4.1945910000000003E-2</v>
      </c>
      <c r="W3756">
        <v>2.1774310000000002E-2</v>
      </c>
      <c r="X3756">
        <v>0.99888259999999995</v>
      </c>
      <c r="Y3756">
        <v>3.3362089999999997E-2</v>
      </c>
      <c r="Z3756" s="1">
        <v>-5.1958710000000002E-5</v>
      </c>
      <c r="AA3756">
        <v>0.99944339999999998</v>
      </c>
      <c r="AB3756">
        <v>40</v>
      </c>
      <c r="AC3756">
        <v>192.36439999999999</v>
      </c>
      <c r="AD3756">
        <v>-0.91504759999999996</v>
      </c>
      <c r="AE3756">
        <v>-7.5389999999999802</v>
      </c>
      <c r="AF3756">
        <v>6.4362540922689302</v>
      </c>
      <c r="AG3756">
        <v>-0.91504759999999996</v>
      </c>
      <c r="AH3756">
        <v>192.40010128414499</v>
      </c>
      <c r="AI3756">
        <v>90.272342164839401</v>
      </c>
      <c r="AJ3756">
        <v>88.084030487655198</v>
      </c>
      <c r="AK3756">
        <v>192.509900142823</v>
      </c>
      <c r="AL3756">
        <v>88.752325348368302</v>
      </c>
      <c r="AM3756">
        <v>92.404599330888701</v>
      </c>
      <c r="AN3756">
        <v>1.0000000142622301</v>
      </c>
    </row>
    <row r="3757" spans="1:40" x14ac:dyDescent="0.25">
      <c r="A3757" t="str">
        <f>"20190312160716147"</f>
        <v>20190312160716147</v>
      </c>
      <c r="B3757" t="str">
        <f>"1552378036139034"</f>
        <v>1552378036139034</v>
      </c>
      <c r="C3757" t="s">
        <v>40</v>
      </c>
      <c r="D3757">
        <v>5.9812849999999997</v>
      </c>
      <c r="E3757">
        <v>0.52866659999999999</v>
      </c>
      <c r="F3757" t="s">
        <v>61</v>
      </c>
      <c r="G3757">
        <v>-178.9051</v>
      </c>
      <c r="H3757">
        <v>8.0003870000000005E-2</v>
      </c>
      <c r="I3757">
        <v>205.36609999999999</v>
      </c>
      <c r="J3757">
        <v>-370.0204</v>
      </c>
      <c r="K3757">
        <v>1.1095269999999999</v>
      </c>
      <c r="L3757">
        <v>213.02010000000001</v>
      </c>
      <c r="M3757">
        <v>0.99994490000000003</v>
      </c>
      <c r="N3757">
        <v>0</v>
      </c>
      <c r="O3757">
        <v>-5.1454550000000002E-3</v>
      </c>
      <c r="P3757">
        <v>0.99925189999999997</v>
      </c>
      <c r="Q3757">
        <v>1.209847E-2</v>
      </c>
      <c r="R3757">
        <v>3.673158E-2</v>
      </c>
      <c r="S3757">
        <v>3.0067439999999999</v>
      </c>
      <c r="T3757">
        <v>-1.6163230000000001E-2</v>
      </c>
      <c r="U3757">
        <v>-0.12019349999999999</v>
      </c>
      <c r="V3757">
        <v>-4.1904049999999998E-2</v>
      </c>
      <c r="W3757">
        <v>2.117697E-2</v>
      </c>
      <c r="X3757">
        <v>0.99889720000000004</v>
      </c>
      <c r="Y3757">
        <v>3.4800209999999998E-2</v>
      </c>
      <c r="Z3757" s="1">
        <v>-6.5849669999999897E-5</v>
      </c>
      <c r="AA3757">
        <v>0.99939429999999996</v>
      </c>
      <c r="AB3757">
        <v>40</v>
      </c>
      <c r="AC3757">
        <v>191.11529999999999</v>
      </c>
      <c r="AD3757">
        <v>-1.0295231300000001</v>
      </c>
      <c r="AE3757">
        <v>-7.6540000000000203</v>
      </c>
      <c r="AF3757">
        <v>6.67028907042158</v>
      </c>
      <c r="AG3757">
        <v>-1.0295231300000001</v>
      </c>
      <c r="AH3757">
        <v>191.14661678977799</v>
      </c>
      <c r="AI3757">
        <v>90.308406598729206</v>
      </c>
      <c r="AJ3757">
        <v>88.001406463404095</v>
      </c>
      <c r="AK3757">
        <v>191.265736043695</v>
      </c>
      <c r="AL3757">
        <v>88.786558305079893</v>
      </c>
      <c r="AM3757">
        <v>92.402167399245698</v>
      </c>
      <c r="AN3757">
        <v>1.00000001481631</v>
      </c>
    </row>
    <row r="3758" spans="1:40" x14ac:dyDescent="0.25">
      <c r="A3758" t="str">
        <f>"20190312160716169"</f>
        <v>20190312160716169</v>
      </c>
      <c r="B3758" t="str">
        <f>"1552378036159065"</f>
        <v>1552378036159065</v>
      </c>
      <c r="C3758" t="s">
        <v>40</v>
      </c>
      <c r="D3758">
        <v>5.917503</v>
      </c>
      <c r="E3758">
        <v>0.54614419999999897</v>
      </c>
      <c r="F3758" t="s">
        <v>66</v>
      </c>
      <c r="G3758">
        <v>-234.59049999999999</v>
      </c>
      <c r="H3758">
        <v>8.0000420000000003E-2</v>
      </c>
      <c r="I3758">
        <v>207.59440000000001</v>
      </c>
      <c r="J3758">
        <v>-369.64510000000001</v>
      </c>
      <c r="K3758">
        <v>1.109524</v>
      </c>
      <c r="L3758">
        <v>213.01859999999999</v>
      </c>
      <c r="M3758">
        <v>0.99994749999999999</v>
      </c>
      <c r="N3758">
        <v>0</v>
      </c>
      <c r="O3758">
        <v>-4.5984600000000004E-3</v>
      </c>
      <c r="P3758">
        <v>0.99922730000000004</v>
      </c>
      <c r="Q3758">
        <v>1.182538E-2</v>
      </c>
      <c r="R3758">
        <v>3.7485980000000002E-2</v>
      </c>
      <c r="S3758">
        <v>3.0069889999999999</v>
      </c>
      <c r="T3758">
        <v>-2.2858860000000002E-2</v>
      </c>
      <c r="U3758">
        <v>-0.12046809999999999</v>
      </c>
      <c r="V3758">
        <v>-4.2111000000000003E-2</v>
      </c>
      <c r="W3758">
        <v>2.0920009999999999E-2</v>
      </c>
      <c r="X3758">
        <v>0.9988939</v>
      </c>
      <c r="Y3758">
        <v>3.5434340000000002E-2</v>
      </c>
      <c r="Z3758" s="1">
        <v>-9.9685249999999996E-5</v>
      </c>
      <c r="AA3758">
        <v>0.99937200000000004</v>
      </c>
      <c r="AB3758">
        <v>40</v>
      </c>
      <c r="AC3758">
        <v>135.05459999999999</v>
      </c>
      <c r="AD3758">
        <v>-1.02952358</v>
      </c>
      <c r="AE3758">
        <v>-5.4241999999999804</v>
      </c>
      <c r="AF3758">
        <v>4.80279478720706</v>
      </c>
      <c r="AG3758">
        <v>-1.02952358</v>
      </c>
      <c r="AH3758">
        <v>135.07027961729199</v>
      </c>
      <c r="AI3758">
        <v>90.436431767067802</v>
      </c>
      <c r="AJ3758">
        <v>87.963549161293002</v>
      </c>
      <c r="AK3758">
        <v>135.159561972001</v>
      </c>
      <c r="AL3758">
        <v>88.801284277050996</v>
      </c>
      <c r="AM3758">
        <v>92.414024860953603</v>
      </c>
      <c r="AN3758">
        <v>1.0000000032983001</v>
      </c>
    </row>
    <row r="3759" spans="1:40" x14ac:dyDescent="0.25">
      <c r="A3759" t="str">
        <f>"20190312160716193"</f>
        <v>20190312160716193</v>
      </c>
      <c r="B3759" t="str">
        <f>"1552378036189318"</f>
        <v>1552378036189318</v>
      </c>
      <c r="C3759" t="s">
        <v>40</v>
      </c>
      <c r="D3759">
        <v>5.9044489999999996</v>
      </c>
      <c r="E3759">
        <v>0.55283110000000002</v>
      </c>
      <c r="F3759" t="s">
        <v>44</v>
      </c>
      <c r="G3759">
        <v>-368.83850000000001</v>
      </c>
      <c r="H3759">
        <v>1.029892</v>
      </c>
      <c r="I3759">
        <v>212.947</v>
      </c>
      <c r="J3759">
        <v>-369.21969999999999</v>
      </c>
      <c r="K3759">
        <v>1.109529</v>
      </c>
      <c r="L3759">
        <v>213.0171</v>
      </c>
      <c r="M3759">
        <v>0.99994989999999995</v>
      </c>
      <c r="N3759">
        <v>0</v>
      </c>
      <c r="O3759">
        <v>-3.9782890000000003E-3</v>
      </c>
      <c r="P3759">
        <v>0.9991987</v>
      </c>
      <c r="Q3759">
        <v>1.1544199999999999E-2</v>
      </c>
      <c r="R3759">
        <v>3.831909E-2</v>
      </c>
      <c r="S3759">
        <v>3.0158390000000002</v>
      </c>
      <c r="T3759">
        <v>-0.29792790000000002</v>
      </c>
      <c r="U3759">
        <v>-0.26623540000000001</v>
      </c>
      <c r="V3759">
        <v>-4.2324140000000003E-2</v>
      </c>
      <c r="W3759">
        <v>2.0659230000000001E-2</v>
      </c>
      <c r="X3759">
        <v>0.99889030000000001</v>
      </c>
      <c r="Y3759">
        <v>8.3588819999999994E-2</v>
      </c>
      <c r="Z3759">
        <v>-3.71952E-3</v>
      </c>
      <c r="AA3759">
        <v>0.99649339999999997</v>
      </c>
      <c r="AB3759">
        <v>40</v>
      </c>
      <c r="AC3759">
        <v>0.381199999999978</v>
      </c>
      <c r="AD3759">
        <v>-7.9636999999999902E-2</v>
      </c>
      <c r="AE3759">
        <v>-7.0099999999996498E-2</v>
      </c>
      <c r="AF3759">
        <v>6.58048194314277E-2</v>
      </c>
      <c r="AG3759">
        <v>-7.9636999999999902E-2</v>
      </c>
      <c r="AH3759">
        <v>0.36602369545622399</v>
      </c>
      <c r="AI3759">
        <v>102.086783186357</v>
      </c>
      <c r="AJ3759">
        <v>79.808072546717497</v>
      </c>
      <c r="AK3759">
        <v>0.380323114817957</v>
      </c>
      <c r="AL3759">
        <v>88.816229077591501</v>
      </c>
      <c r="AM3759">
        <v>92.426237340488399</v>
      </c>
      <c r="AN3759">
        <v>0.999999984022511</v>
      </c>
    </row>
    <row r="3760" spans="1:40" x14ac:dyDescent="0.25">
      <c r="A3760" t="str">
        <f>"20190312160716216"</f>
        <v>20190312160716216</v>
      </c>
      <c r="B3760" t="str">
        <f>"1552378036208837"</f>
        <v>1552378036208837</v>
      </c>
      <c r="C3760" t="s">
        <v>40</v>
      </c>
      <c r="D3760">
        <v>5.7929349999999999</v>
      </c>
      <c r="E3760">
        <v>0.55330939999999995</v>
      </c>
      <c r="F3760" t="s">
        <v>44</v>
      </c>
      <c r="G3760">
        <v>-368.49220000000003</v>
      </c>
      <c r="H3760">
        <v>1.0085869999999999</v>
      </c>
      <c r="I3760">
        <v>212.93960000000001</v>
      </c>
      <c r="J3760">
        <v>-368.80900000000003</v>
      </c>
      <c r="K3760">
        <v>1.1095389999999901</v>
      </c>
      <c r="L3760">
        <v>213.01599999999999</v>
      </c>
      <c r="M3760">
        <v>0.99995199999999995</v>
      </c>
      <c r="N3760">
        <v>0</v>
      </c>
      <c r="O3760">
        <v>-3.380185E-3</v>
      </c>
      <c r="P3760">
        <v>0.99918130000000005</v>
      </c>
      <c r="Q3760">
        <v>1.150197E-2</v>
      </c>
      <c r="R3760">
        <v>3.8791350000000002E-2</v>
      </c>
      <c r="S3760">
        <v>3.0195620000000001</v>
      </c>
      <c r="T3760">
        <v>-0.4190876</v>
      </c>
      <c r="U3760">
        <v>-0.32083129999999999</v>
      </c>
      <c r="V3760">
        <v>-4.2199359999999998E-2</v>
      </c>
      <c r="W3760">
        <v>2.0641119999999999E-2</v>
      </c>
      <c r="X3760">
        <v>0.99889589999999995</v>
      </c>
      <c r="Y3760">
        <v>0.1013655</v>
      </c>
      <c r="Z3760">
        <v>-6.5157729999999999E-3</v>
      </c>
      <c r="AA3760">
        <v>0.99482789999999999</v>
      </c>
      <c r="AB3760">
        <v>40</v>
      </c>
      <c r="AC3760">
        <v>0.31680000000000003</v>
      </c>
      <c r="AD3760">
        <v>-0.100951999999999</v>
      </c>
      <c r="AE3760">
        <v>-7.6399999999978194E-2</v>
      </c>
      <c r="AF3760">
        <v>6.8732797380265206E-2</v>
      </c>
      <c r="AG3760">
        <v>-0.100951999999999</v>
      </c>
      <c r="AH3760">
        <v>0.28929456622614902</v>
      </c>
      <c r="AI3760">
        <v>108.75278523305001</v>
      </c>
      <c r="AJ3760">
        <v>76.635031337837503</v>
      </c>
      <c r="AK3760">
        <v>0.31401727625672499</v>
      </c>
      <c r="AL3760">
        <v>88.817266862086299</v>
      </c>
      <c r="AM3760">
        <v>92.419079273759905</v>
      </c>
      <c r="AN3760">
        <v>0.99999993042803403</v>
      </c>
    </row>
    <row r="3761" spans="1:40" x14ac:dyDescent="0.25">
      <c r="A3761" t="str">
        <f>"20190312160716238"</f>
        <v>20190312160716238</v>
      </c>
      <c r="B3761" t="str">
        <f>"1552378036229334"</f>
        <v>1552378036229334</v>
      </c>
      <c r="C3761" t="s">
        <v>40</v>
      </c>
      <c r="D3761">
        <v>5.9613550000000002</v>
      </c>
      <c r="E3761">
        <v>0.57225319999999902</v>
      </c>
      <c r="F3761" t="s">
        <v>44</v>
      </c>
      <c r="G3761">
        <v>-367.79790000000003</v>
      </c>
      <c r="H3761">
        <v>0.96583129999999995</v>
      </c>
      <c r="I3761">
        <v>212.90770000000001</v>
      </c>
      <c r="J3761">
        <v>-368.4171</v>
      </c>
      <c r="K3761">
        <v>1.1095440000000001</v>
      </c>
      <c r="L3761">
        <v>213.01509999999999</v>
      </c>
      <c r="M3761">
        <v>0.99995339999999999</v>
      </c>
      <c r="N3761">
        <v>0</v>
      </c>
      <c r="O3761">
        <v>-2.809396E-3</v>
      </c>
      <c r="P3761">
        <v>0.99918419999999997</v>
      </c>
      <c r="Q3761">
        <v>1.109827E-2</v>
      </c>
      <c r="R3761">
        <v>3.8835189999999999E-2</v>
      </c>
      <c r="S3761">
        <v>3.0199579999999999</v>
      </c>
      <c r="T3761">
        <v>-0.4292414</v>
      </c>
      <c r="U3761">
        <v>-0.323501599999999</v>
      </c>
      <c r="V3761">
        <v>-4.1672399999999998E-2</v>
      </c>
      <c r="W3761">
        <v>2.02664E-2</v>
      </c>
      <c r="X3761">
        <v>0.99892570000000003</v>
      </c>
      <c r="Y3761">
        <v>0.1027251</v>
      </c>
      <c r="Z3761">
        <v>-6.8472890000000003E-3</v>
      </c>
      <c r="AA3761">
        <v>0.99468619999999996</v>
      </c>
      <c r="AB3761">
        <v>40</v>
      </c>
      <c r="AC3761">
        <v>0.61919999999997799</v>
      </c>
      <c r="AD3761">
        <v>-0.1437127</v>
      </c>
      <c r="AE3761">
        <v>-0.10739999999998399</v>
      </c>
      <c r="AF3761">
        <v>0.100409087862994</v>
      </c>
      <c r="AG3761">
        <v>-0.1437127</v>
      </c>
      <c r="AH3761">
        <v>0.58871289280995898</v>
      </c>
      <c r="AI3761">
        <v>103.53031553551899</v>
      </c>
      <c r="AJ3761">
        <v>80.320941800725805</v>
      </c>
      <c r="AK3761">
        <v>0.61426231792894403</v>
      </c>
      <c r="AL3761">
        <v>88.838741235960697</v>
      </c>
      <c r="AM3761">
        <v>92.388835314344803</v>
      </c>
      <c r="AN3761">
        <v>0.99999993500560203</v>
      </c>
    </row>
    <row r="3762" spans="1:40" x14ac:dyDescent="0.25">
      <c r="A3762" t="str">
        <f>"20190312160716260"</f>
        <v>20190312160716260</v>
      </c>
      <c r="B3762" t="str">
        <f>"1552378036248853"</f>
        <v>1552378036248853</v>
      </c>
      <c r="C3762" t="s">
        <v>40</v>
      </c>
      <c r="D3762">
        <v>5.8254900000000003</v>
      </c>
      <c r="E3762">
        <v>0.5585253</v>
      </c>
      <c r="F3762" t="s">
        <v>44</v>
      </c>
      <c r="G3762">
        <v>-367.48509999999999</v>
      </c>
      <c r="H3762">
        <v>0.8604271</v>
      </c>
      <c r="I3762">
        <v>212.86519999999999</v>
      </c>
      <c r="J3762">
        <v>-368.01900000000001</v>
      </c>
      <c r="K3762">
        <v>1.1095489999999999</v>
      </c>
      <c r="L3762">
        <v>213.0145</v>
      </c>
      <c r="M3762">
        <v>0.99995460000000003</v>
      </c>
      <c r="N3762">
        <v>0</v>
      </c>
      <c r="O3762">
        <v>-2.2300380000000002E-3</v>
      </c>
      <c r="P3762">
        <v>0.99918249999999997</v>
      </c>
      <c r="Q3762">
        <v>1.072653E-2</v>
      </c>
      <c r="R3762">
        <v>3.8978789999999999E-2</v>
      </c>
      <c r="S3762">
        <v>3.0303339999999999</v>
      </c>
      <c r="T3762">
        <v>-0.81010070000000001</v>
      </c>
      <c r="U3762">
        <v>-0.48686220000000002</v>
      </c>
      <c r="V3762">
        <v>-4.1236839999999997E-2</v>
      </c>
      <c r="W3762">
        <v>1.9926960000000001E-2</v>
      </c>
      <c r="X3762">
        <v>0.99895069999999997</v>
      </c>
      <c r="Y3762">
        <v>0.15132079999999901</v>
      </c>
      <c r="Z3762">
        <v>-1.917468E-2</v>
      </c>
      <c r="AA3762">
        <v>0.98829869999999997</v>
      </c>
      <c r="AB3762">
        <v>40</v>
      </c>
      <c r="AC3762">
        <v>0.53390000000001603</v>
      </c>
      <c r="AD3762">
        <v>-0.24912189999999901</v>
      </c>
      <c r="AE3762">
        <v>-0.14930000000001001</v>
      </c>
      <c r="AF3762">
        <v>0.123225739925282</v>
      </c>
      <c r="AG3762">
        <v>-0.24912189999999901</v>
      </c>
      <c r="AH3762">
        <v>0.44447741651552403</v>
      </c>
      <c r="AI3762">
        <v>118.373939857435</v>
      </c>
      <c r="AJ3762">
        <v>74.504639309675397</v>
      </c>
      <c r="AK3762">
        <v>0.52421987546453996</v>
      </c>
      <c r="AL3762">
        <v>88.858193754771605</v>
      </c>
      <c r="AM3762">
        <v>92.3638365844986</v>
      </c>
      <c r="AN3762">
        <v>1.00000003086925</v>
      </c>
    </row>
    <row r="3763" spans="1:40" x14ac:dyDescent="0.25">
      <c r="A3763" t="str">
        <f>"20190312160716281"</f>
        <v>20190312160716281</v>
      </c>
      <c r="B3763" t="str">
        <f>"1552378036268883"</f>
        <v>1552378036268883</v>
      </c>
      <c r="C3763" t="s">
        <v>40</v>
      </c>
      <c r="D3763">
        <v>5.8553169999999897</v>
      </c>
      <c r="E3763">
        <v>0.55783459999999996</v>
      </c>
      <c r="F3763" t="s">
        <v>44</v>
      </c>
      <c r="G3763">
        <v>-367.0883</v>
      </c>
      <c r="H3763">
        <v>0.95122660000000003</v>
      </c>
      <c r="I3763">
        <v>212.90119999999999</v>
      </c>
      <c r="J3763">
        <v>-367.65069999999997</v>
      </c>
      <c r="K3763">
        <v>1.1095549999999901</v>
      </c>
      <c r="L3763">
        <v>213.01410000000001</v>
      </c>
      <c r="M3763">
        <v>0.99995529999999999</v>
      </c>
      <c r="N3763">
        <v>0</v>
      </c>
      <c r="O3763">
        <v>-1.69444E-3</v>
      </c>
      <c r="P3763">
        <v>0.99917920000000005</v>
      </c>
      <c r="Q3763">
        <v>1.007856E-2</v>
      </c>
      <c r="R3763">
        <v>3.9235279999999997E-2</v>
      </c>
      <c r="S3763">
        <v>3.0223080000000002</v>
      </c>
      <c r="T3763">
        <v>-0.514127</v>
      </c>
      <c r="U3763">
        <v>-0.36741639999999998</v>
      </c>
      <c r="V3763">
        <v>-4.0956770000000003E-2</v>
      </c>
      <c r="W3763">
        <v>1.931387E-2</v>
      </c>
      <c r="X3763">
        <v>0.99897420000000003</v>
      </c>
      <c r="Y3763">
        <v>0.1173598</v>
      </c>
      <c r="Z3763">
        <v>-9.5901430000000006E-3</v>
      </c>
      <c r="AA3763">
        <v>0.99304309999999996</v>
      </c>
      <c r="AB3763">
        <v>40</v>
      </c>
      <c r="AC3763">
        <v>0.56239999999996804</v>
      </c>
      <c r="AD3763">
        <v>-0.15832839999999901</v>
      </c>
      <c r="AE3763">
        <v>-0.112900000000024</v>
      </c>
      <c r="AF3763">
        <v>0.104021945345029</v>
      </c>
      <c r="AG3763">
        <v>-0.15832839999999901</v>
      </c>
      <c r="AH3763">
        <v>0.52276381068739997</v>
      </c>
      <c r="AI3763">
        <v>106.54375270353</v>
      </c>
      <c r="AJ3763">
        <v>78.746019202784794</v>
      </c>
      <c r="AK3763">
        <v>0.556030978565346</v>
      </c>
      <c r="AL3763">
        <v>88.893327916778105</v>
      </c>
      <c r="AM3763">
        <v>92.347744873662805</v>
      </c>
      <c r="AN3763">
        <v>0.99999996742442399</v>
      </c>
    </row>
    <row r="3764" spans="1:40" x14ac:dyDescent="0.25">
      <c r="A3764" t="str">
        <f>"20190312160716304"</f>
        <v>20190312160716304</v>
      </c>
      <c r="B3764" t="str">
        <f>"1552378036299138"</f>
        <v>1552378036299138</v>
      </c>
      <c r="C3764" t="s">
        <v>40</v>
      </c>
      <c r="D3764">
        <v>5.8803330000000003</v>
      </c>
      <c r="E3764">
        <v>0.55657780000000001</v>
      </c>
      <c r="F3764" t="s">
        <v>44</v>
      </c>
      <c r="G3764">
        <v>-366.72669999999999</v>
      </c>
      <c r="H3764">
        <v>0.95707889999999995</v>
      </c>
      <c r="I3764">
        <v>212.90350000000001</v>
      </c>
      <c r="J3764">
        <v>-367.24160000000001</v>
      </c>
      <c r="K3764">
        <v>1.1095619999999999</v>
      </c>
      <c r="L3764">
        <v>213.01390000000001</v>
      </c>
      <c r="M3764">
        <v>0.99995579999999995</v>
      </c>
      <c r="N3764">
        <v>0</v>
      </c>
      <c r="O3764">
        <v>-1.0997509999999999E-3</v>
      </c>
      <c r="P3764">
        <v>0.99915690000000001</v>
      </c>
      <c r="Q3764">
        <v>1.043179E-2</v>
      </c>
      <c r="R3764">
        <v>3.9707770000000003E-2</v>
      </c>
      <c r="S3764">
        <v>3.0217290000000001</v>
      </c>
      <c r="T3764">
        <v>-0.49876740000000003</v>
      </c>
      <c r="U3764">
        <v>-0.36056519999999997</v>
      </c>
      <c r="V3764">
        <v>-4.0835929999999999E-2</v>
      </c>
      <c r="W3764">
        <v>1.9710519999999999E-2</v>
      </c>
      <c r="X3764">
        <v>0.99897139999999995</v>
      </c>
      <c r="Y3764">
        <v>0.1158604</v>
      </c>
      <c r="Z3764">
        <v>-9.2851340000000004E-3</v>
      </c>
      <c r="AA3764">
        <v>0.9932221</v>
      </c>
      <c r="AB3764">
        <v>40</v>
      </c>
      <c r="AC3764">
        <v>0.51490000000001102</v>
      </c>
      <c r="AD3764">
        <v>-0.15248310000000001</v>
      </c>
      <c r="AE3764">
        <v>-0.110399999999998</v>
      </c>
      <c r="AF3764">
        <v>0.101337034144314</v>
      </c>
      <c r="AG3764">
        <v>-0.15248310000000001</v>
      </c>
      <c r="AH3764">
        <v>0.47517962834258298</v>
      </c>
      <c r="AI3764">
        <v>107.423858188005</v>
      </c>
      <c r="AJ3764">
        <v>77.961417573457098</v>
      </c>
      <c r="AK3764">
        <v>0.50923076249041699</v>
      </c>
      <c r="AL3764">
        <v>88.870597217985903</v>
      </c>
      <c r="AM3764">
        <v>92.340832292004293</v>
      </c>
      <c r="AN3764">
        <v>0.99999996789779699</v>
      </c>
    </row>
    <row r="3765" spans="1:40" x14ac:dyDescent="0.25">
      <c r="A3765" t="str">
        <f>"20190312160716327"</f>
        <v>20190312160716327</v>
      </c>
      <c r="B3765" t="str">
        <f>"1552378036318659"</f>
        <v>1552378036318659</v>
      </c>
      <c r="C3765" t="s">
        <v>40</v>
      </c>
      <c r="D3765">
        <v>5.9302070000000002</v>
      </c>
      <c r="E3765">
        <v>0.55580969999999996</v>
      </c>
      <c r="F3765" t="s">
        <v>44</v>
      </c>
      <c r="G3765">
        <v>-366.36149999999998</v>
      </c>
      <c r="H3765">
        <v>0.96985049999999995</v>
      </c>
      <c r="I3765">
        <v>212.91220000000001</v>
      </c>
      <c r="J3765">
        <v>-366.81439999999998</v>
      </c>
      <c r="K3765">
        <v>1.109567</v>
      </c>
      <c r="L3765">
        <v>213.01390000000001</v>
      </c>
      <c r="M3765">
        <v>0.99995579999999995</v>
      </c>
      <c r="N3765">
        <v>0</v>
      </c>
      <c r="O3765">
        <v>-4.788603E-4</v>
      </c>
      <c r="P3765">
        <v>0.99912109999999998</v>
      </c>
      <c r="Q3765">
        <v>1.036109E-2</v>
      </c>
      <c r="R3765">
        <v>4.0620360000000001E-2</v>
      </c>
      <c r="S3765">
        <v>3.0213930000000002</v>
      </c>
      <c r="T3765">
        <v>-0.47974509999999998</v>
      </c>
      <c r="U3765">
        <v>-0.348053</v>
      </c>
      <c r="V3765">
        <v>-4.1128430000000001E-2</v>
      </c>
      <c r="W3765">
        <v>1.9688110000000002E-2</v>
      </c>
      <c r="X3765">
        <v>0.99895990000000001</v>
      </c>
      <c r="Y3765">
        <v>0.1125776</v>
      </c>
      <c r="Z3765">
        <v>-8.7780040000000007E-3</v>
      </c>
      <c r="AA3765">
        <v>0.99360420000000005</v>
      </c>
      <c r="AB3765">
        <v>40</v>
      </c>
      <c r="AC3765">
        <v>0.45289999999999903</v>
      </c>
      <c r="AD3765">
        <v>-0.13971649999999999</v>
      </c>
      <c r="AE3765">
        <v>-0.101699999999993</v>
      </c>
      <c r="AF3765">
        <v>9.3052579578149705E-2</v>
      </c>
      <c r="AG3765">
        <v>-0.13971649999999999</v>
      </c>
      <c r="AH3765">
        <v>0.41532076871455498</v>
      </c>
      <c r="AI3765">
        <v>108.173346522152</v>
      </c>
      <c r="AJ3765">
        <v>77.371440314409298</v>
      </c>
      <c r="AK3765">
        <v>0.44796297153229803</v>
      </c>
      <c r="AL3765">
        <v>88.871881530779305</v>
      </c>
      <c r="AM3765">
        <v>92.357607486225405</v>
      </c>
      <c r="AN3765">
        <v>1.00000002561882</v>
      </c>
    </row>
    <row r="3766" spans="1:40" x14ac:dyDescent="0.25">
      <c r="A3766" t="str">
        <f>"20190312160716349"</f>
        <v>20190312160716349</v>
      </c>
      <c r="B3766" t="str">
        <f>"1552378036339155"</f>
        <v>1552378036339155</v>
      </c>
      <c r="C3766" t="s">
        <v>40</v>
      </c>
      <c r="D3766">
        <v>6.0413439999999996</v>
      </c>
      <c r="E3766">
        <v>0.55568469999999903</v>
      </c>
      <c r="F3766" t="s">
        <v>44</v>
      </c>
      <c r="G3766">
        <v>-365.99650000000003</v>
      </c>
      <c r="H3766">
        <v>0.98140179999999999</v>
      </c>
      <c r="I3766">
        <v>212.92160000000001</v>
      </c>
      <c r="J3766">
        <v>-366.41849999999999</v>
      </c>
      <c r="K3766">
        <v>1.1095710000000001</v>
      </c>
      <c r="L3766">
        <v>213.01419999999999</v>
      </c>
      <c r="M3766">
        <v>0.99995540000000005</v>
      </c>
      <c r="N3766">
        <v>0</v>
      </c>
      <c r="O3766" s="1">
        <v>9.5997470000000002E-5</v>
      </c>
      <c r="P3766">
        <v>0.99907299999999999</v>
      </c>
      <c r="Q3766">
        <v>9.8609739999999998E-3</v>
      </c>
      <c r="R3766">
        <v>4.1902920000000003E-2</v>
      </c>
      <c r="S3766">
        <v>3.0213619999999999</v>
      </c>
      <c r="T3766">
        <v>-0.47371750000000001</v>
      </c>
      <c r="U3766">
        <v>-0.3391113</v>
      </c>
      <c r="V3766">
        <v>-4.1836150000000003E-2</v>
      </c>
      <c r="W3766">
        <v>1.92395E-2</v>
      </c>
      <c r="X3766">
        <v>0.99893920000000003</v>
      </c>
      <c r="Y3766">
        <v>0.11030089999999999</v>
      </c>
      <c r="Z3766">
        <v>-8.5830079999999996E-3</v>
      </c>
      <c r="AA3766">
        <v>0.9938612</v>
      </c>
      <c r="AB3766">
        <v>40</v>
      </c>
      <c r="AC3766">
        <v>0.42199999999996801</v>
      </c>
      <c r="AD3766">
        <v>-0.12816919999999901</v>
      </c>
      <c r="AE3766">
        <v>-9.2599999999975993E-2</v>
      </c>
      <c r="AF3766">
        <v>8.5146954065186395E-2</v>
      </c>
      <c r="AG3766">
        <v>-0.12816919999999901</v>
      </c>
      <c r="AH3766">
        <v>0.38785685243874901</v>
      </c>
      <c r="AI3766">
        <v>107.88845156641599</v>
      </c>
      <c r="AJ3766">
        <v>77.6181656431189</v>
      </c>
      <c r="AK3766">
        <v>0.41726524609523002</v>
      </c>
      <c r="AL3766">
        <v>88.897589802706804</v>
      </c>
      <c r="AM3766">
        <v>92.398178834655894</v>
      </c>
      <c r="AN3766">
        <v>0.99999997355185599</v>
      </c>
    </row>
    <row r="3767" spans="1:40" x14ac:dyDescent="0.25">
      <c r="A3767" t="str">
        <f>"20190312160716371"</f>
        <v>20190312160716371</v>
      </c>
      <c r="B3767" t="str">
        <f>"1552378036358675"</f>
        <v>1552378036358675</v>
      </c>
      <c r="C3767" t="s">
        <v>40</v>
      </c>
      <c r="D3767">
        <v>6.3520960000000004</v>
      </c>
      <c r="E3767">
        <v>0.55603469999999999</v>
      </c>
      <c r="F3767" t="s">
        <v>44</v>
      </c>
      <c r="G3767">
        <v>-365.63389999999998</v>
      </c>
      <c r="H3767">
        <v>0.98708249999999997</v>
      </c>
      <c r="I3767">
        <v>212.9273</v>
      </c>
      <c r="J3767">
        <v>-366.03559999999999</v>
      </c>
      <c r="K3767">
        <v>1.10958</v>
      </c>
      <c r="L3767">
        <v>213.0147</v>
      </c>
      <c r="M3767">
        <v>0.99995449999999997</v>
      </c>
      <c r="N3767">
        <v>0</v>
      </c>
      <c r="O3767">
        <v>6.5162779999999995E-4</v>
      </c>
      <c r="P3767">
        <v>0.99904979999999999</v>
      </c>
      <c r="Q3767">
        <v>9.4152420000000007E-3</v>
      </c>
      <c r="R3767">
        <v>4.2552760000000002E-2</v>
      </c>
      <c r="S3767">
        <v>3.0214539999999999</v>
      </c>
      <c r="T3767">
        <v>-0.47171999999999997</v>
      </c>
      <c r="U3767">
        <v>-0.33439639999999998</v>
      </c>
      <c r="V3767">
        <v>-4.1929809999999998E-2</v>
      </c>
      <c r="W3767">
        <v>1.8855230000000001E-2</v>
      </c>
      <c r="X3767">
        <v>0.99894260000000001</v>
      </c>
      <c r="Y3767">
        <v>0.10933370000000001</v>
      </c>
      <c r="Z3767">
        <v>-8.5588580000000008E-3</v>
      </c>
      <c r="AA3767">
        <v>0.99396819999999997</v>
      </c>
      <c r="AB3767">
        <v>40</v>
      </c>
      <c r="AC3767">
        <v>0.401700000000005</v>
      </c>
      <c r="AD3767">
        <v>-0.122497499999999</v>
      </c>
      <c r="AE3767">
        <v>-8.7400000000002295E-2</v>
      </c>
      <c r="AF3767">
        <v>8.0513010989344796E-2</v>
      </c>
      <c r="AG3767">
        <v>-0.122497499999999</v>
      </c>
      <c r="AH3767">
        <v>0.368889318716071</v>
      </c>
      <c r="AI3767">
        <v>107.974804933136</v>
      </c>
      <c r="AJ3767">
        <v>77.687822724921602</v>
      </c>
      <c r="AK3767">
        <v>0.396947492633002</v>
      </c>
      <c r="AL3767">
        <v>88.919610847435806</v>
      </c>
      <c r="AM3767">
        <v>92.403533257937397</v>
      </c>
      <c r="AN3767">
        <v>0.99999997337987401</v>
      </c>
    </row>
    <row r="3768" spans="1:40" x14ac:dyDescent="0.25">
      <c r="A3768" t="str">
        <f>"20190312160716394"</f>
        <v>20190312160716394</v>
      </c>
      <c r="B3768" t="str">
        <f>"1552378036388931"</f>
        <v>1552378036388931</v>
      </c>
      <c r="C3768" t="s">
        <v>40</v>
      </c>
      <c r="D3768">
        <v>5.9135900000000001</v>
      </c>
      <c r="E3768">
        <v>0.55674729999999995</v>
      </c>
      <c r="F3768" t="s">
        <v>44</v>
      </c>
      <c r="G3768">
        <v>-365.27190000000002</v>
      </c>
      <c r="H3768">
        <v>0.99064830000000004</v>
      </c>
      <c r="I3768">
        <v>212.92949999999999</v>
      </c>
      <c r="J3768">
        <v>-365.61020000000002</v>
      </c>
      <c r="K3768">
        <v>1.109594</v>
      </c>
      <c r="L3768">
        <v>213.0155</v>
      </c>
      <c r="M3768">
        <v>0.99995330000000004</v>
      </c>
      <c r="N3768">
        <v>0</v>
      </c>
      <c r="O3768">
        <v>1.2685750000000001E-3</v>
      </c>
      <c r="P3768">
        <v>0.99900100000000003</v>
      </c>
      <c r="Q3768">
        <v>9.329057E-3</v>
      </c>
      <c r="R3768">
        <v>4.3705130000000002E-2</v>
      </c>
      <c r="S3768">
        <v>3.0215450000000001</v>
      </c>
      <c r="T3768">
        <v>-0.47076630000000003</v>
      </c>
      <c r="U3768">
        <v>-0.33518979999999998</v>
      </c>
      <c r="V3768">
        <v>-4.2466169999999998E-2</v>
      </c>
      <c r="W3768">
        <v>1.8847610000000001E-2</v>
      </c>
      <c r="X3768">
        <v>0.99892009999999998</v>
      </c>
      <c r="Y3768">
        <v>0.1101892</v>
      </c>
      <c r="Z3768">
        <v>-8.7027049999999998E-3</v>
      </c>
      <c r="AA3768">
        <v>0.99387250000000005</v>
      </c>
      <c r="AB3768">
        <v>40</v>
      </c>
      <c r="AC3768">
        <v>0.33830000000000299</v>
      </c>
      <c r="AD3768">
        <v>-0.118945699999999</v>
      </c>
      <c r="AE3768">
        <v>-8.6000000000012705E-2</v>
      </c>
      <c r="AF3768">
        <v>7.7437292388790005E-2</v>
      </c>
      <c r="AG3768">
        <v>-0.118945699999999</v>
      </c>
      <c r="AH3768">
        <v>0.30300631942827</v>
      </c>
      <c r="AI3768">
        <v>110.823221011859</v>
      </c>
      <c r="AJ3768">
        <v>75.664148507937497</v>
      </c>
      <c r="AK3768">
        <v>0.33460042351208003</v>
      </c>
      <c r="AL3768">
        <v>88.920047533694202</v>
      </c>
      <c r="AM3768">
        <v>92.434296916490894</v>
      </c>
      <c r="AN3768">
        <v>0.99999998709059501</v>
      </c>
    </row>
    <row r="3769" spans="1:40" x14ac:dyDescent="0.25">
      <c r="A3769" t="str">
        <f>"20190312160716417"</f>
        <v>20190312160716417</v>
      </c>
      <c r="B3769" t="str">
        <f>"1552378036409427"</f>
        <v>1552378036409427</v>
      </c>
      <c r="C3769" t="s">
        <v>40</v>
      </c>
      <c r="D3769">
        <v>5.9261619999999997</v>
      </c>
      <c r="E3769">
        <v>0.55734039999999996</v>
      </c>
      <c r="F3769" t="s">
        <v>44</v>
      </c>
      <c r="G3769">
        <v>-364.57010000000002</v>
      </c>
      <c r="H3769">
        <v>0.94829859999999999</v>
      </c>
      <c r="I3769">
        <v>212.899</v>
      </c>
      <c r="J3769">
        <v>-365.19310000000002</v>
      </c>
      <c r="K3769">
        <v>1.1096109999999999</v>
      </c>
      <c r="L3769">
        <v>213.01660000000001</v>
      </c>
      <c r="M3769">
        <v>0.99995140000000005</v>
      </c>
      <c r="N3769">
        <v>0</v>
      </c>
      <c r="O3769">
        <v>1.8725669999999999E-3</v>
      </c>
      <c r="P3769">
        <v>0.99897840000000004</v>
      </c>
      <c r="Q3769">
        <v>9.2289869999999993E-3</v>
      </c>
      <c r="R3769">
        <v>4.4243079999999997E-2</v>
      </c>
      <c r="S3769">
        <v>3.022125</v>
      </c>
      <c r="T3769">
        <v>-0.46882190000000001</v>
      </c>
      <c r="U3769">
        <v>-0.33728029999999998</v>
      </c>
      <c r="V3769">
        <v>-4.2400920000000002E-2</v>
      </c>
      <c r="W3769">
        <v>1.8846180000000001E-2</v>
      </c>
      <c r="X3769">
        <v>0.99892289999999995</v>
      </c>
      <c r="Y3769">
        <v>0.1114372</v>
      </c>
      <c r="Z3769">
        <v>-8.8540159999999993E-3</v>
      </c>
      <c r="AA3769">
        <v>0.99373199999999995</v>
      </c>
      <c r="AB3769">
        <v>40</v>
      </c>
      <c r="AC3769">
        <v>0.62299999999999001</v>
      </c>
      <c r="AD3769">
        <v>-0.16131239999999999</v>
      </c>
      <c r="AE3769">
        <v>-0.11760000000001</v>
      </c>
      <c r="AF3769">
        <v>0.111545324138119</v>
      </c>
      <c r="AG3769">
        <v>-0.16131239999999999</v>
      </c>
      <c r="AH3769">
        <v>0.58491304243715103</v>
      </c>
      <c r="AI3769">
        <v>105.15797403587899</v>
      </c>
      <c r="AJ3769">
        <v>79.2031007564823</v>
      </c>
      <c r="AK3769">
        <v>0.61691759331690499</v>
      </c>
      <c r="AL3769">
        <v>88.920129482554898</v>
      </c>
      <c r="AM3769">
        <v>92.430554261860905</v>
      </c>
      <c r="AN3769">
        <v>0.99999998833092396</v>
      </c>
    </row>
    <row r="3770" spans="1:40" x14ac:dyDescent="0.25">
      <c r="A3770" t="str">
        <f>"20190312160716438"</f>
        <v>20190312160716438</v>
      </c>
      <c r="B3770" t="str">
        <f>"1552378036428947"</f>
        <v>1552378036428947</v>
      </c>
      <c r="C3770" t="s">
        <v>40</v>
      </c>
      <c r="D3770">
        <v>5.9926469999999998</v>
      </c>
      <c r="E3770">
        <v>0.55756719999999904</v>
      </c>
      <c r="F3770" t="s">
        <v>44</v>
      </c>
      <c r="G3770">
        <v>-364.20519999999999</v>
      </c>
      <c r="H3770">
        <v>0.95680960000000004</v>
      </c>
      <c r="I3770">
        <v>212.90479999999999</v>
      </c>
      <c r="J3770">
        <v>-364.81529999999998</v>
      </c>
      <c r="K3770">
        <v>1.1096250000000001</v>
      </c>
      <c r="L3770">
        <v>213.01769999999999</v>
      </c>
      <c r="M3770">
        <v>0.99994919999999998</v>
      </c>
      <c r="N3770">
        <v>0</v>
      </c>
      <c r="O3770">
        <v>2.4191579999999998E-3</v>
      </c>
      <c r="P3770">
        <v>0.99896370000000001</v>
      </c>
      <c r="Q3770">
        <v>8.8160679999999998E-3</v>
      </c>
      <c r="R3770">
        <v>4.4654140000000002E-2</v>
      </c>
      <c r="S3770">
        <v>3.0224299999999999</v>
      </c>
      <c r="T3770">
        <v>-0.46765269999999998</v>
      </c>
      <c r="U3770">
        <v>-0.34048460000000003</v>
      </c>
      <c r="V3770">
        <v>-4.2265400000000002E-2</v>
      </c>
      <c r="W3770">
        <v>1.8532E-2</v>
      </c>
      <c r="X3770">
        <v>0.99893449999999995</v>
      </c>
      <c r="Y3770">
        <v>0.11299190000000001</v>
      </c>
      <c r="Z3770">
        <v>-9.0338280000000007E-3</v>
      </c>
      <c r="AA3770">
        <v>0.99355479999999996</v>
      </c>
      <c r="AB3770">
        <v>40</v>
      </c>
      <c r="AC3770">
        <v>0.61009999999998799</v>
      </c>
      <c r="AD3770">
        <v>-0.15281539999999999</v>
      </c>
      <c r="AE3770">
        <v>-0.112899999999996</v>
      </c>
      <c r="AF3770">
        <v>0.10783433628799401</v>
      </c>
      <c r="AG3770">
        <v>-0.15281539999999999</v>
      </c>
      <c r="AH3770">
        <v>0.57494818107234502</v>
      </c>
      <c r="AI3770">
        <v>104.64046902806101</v>
      </c>
      <c r="AJ3770">
        <v>79.377307231214502</v>
      </c>
      <c r="AK3770">
        <v>0.60460416925309901</v>
      </c>
      <c r="AL3770">
        <v>88.938133792950097</v>
      </c>
      <c r="AM3770">
        <v>92.422766999724004</v>
      </c>
      <c r="AN3770">
        <v>0.99999996717570405</v>
      </c>
    </row>
    <row r="3771" spans="1:40" x14ac:dyDescent="0.25">
      <c r="A3771" t="str">
        <f>"20190312160716460"</f>
        <v>20190312160716460</v>
      </c>
      <c r="B3771" t="str">
        <f>"1552378036449455"</f>
        <v>1552378036449455</v>
      </c>
      <c r="C3771" t="s">
        <v>40</v>
      </c>
      <c r="D3771">
        <v>5.9190779999999998</v>
      </c>
      <c r="E3771">
        <v>0.55782089999999995</v>
      </c>
      <c r="F3771" t="s">
        <v>44</v>
      </c>
      <c r="G3771">
        <v>-363.84280000000001</v>
      </c>
      <c r="H3771">
        <v>0.959337</v>
      </c>
      <c r="I3771">
        <v>212.90770000000001</v>
      </c>
      <c r="J3771">
        <v>-364.42309999999998</v>
      </c>
      <c r="K3771">
        <v>1.10964</v>
      </c>
      <c r="L3771">
        <v>213.01920000000001</v>
      </c>
      <c r="M3771">
        <v>0.99994669999999997</v>
      </c>
      <c r="N3771">
        <v>0</v>
      </c>
      <c r="O3771">
        <v>2.9861940000000002E-3</v>
      </c>
      <c r="P3771">
        <v>0.99897029999999998</v>
      </c>
      <c r="Q3771">
        <v>8.4368849999999999E-3</v>
      </c>
      <c r="R3771">
        <v>4.4580199999999903E-2</v>
      </c>
      <c r="S3771">
        <v>3.022491</v>
      </c>
      <c r="T3771">
        <v>-0.4672018</v>
      </c>
      <c r="U3771">
        <v>-0.34098820000000002</v>
      </c>
      <c r="V3771">
        <v>-4.1624469999999997E-2</v>
      </c>
      <c r="W3771">
        <v>1.8264530000000001E-2</v>
      </c>
      <c r="X3771">
        <v>0.99896640000000003</v>
      </c>
      <c r="Y3771">
        <v>0.1137041</v>
      </c>
      <c r="Z3771">
        <v>-9.1663779999999993E-3</v>
      </c>
      <c r="AA3771">
        <v>0.99347240000000003</v>
      </c>
      <c r="AB3771">
        <v>40</v>
      </c>
      <c r="AC3771">
        <v>0.58029999999996495</v>
      </c>
      <c r="AD3771">
        <v>-0.15030299999999899</v>
      </c>
      <c r="AE3771">
        <v>-0.111500000000006</v>
      </c>
      <c r="AF3771">
        <v>0.10635181097929999</v>
      </c>
      <c r="AG3771">
        <v>-0.15030299999999899</v>
      </c>
      <c r="AH3771">
        <v>0.54472241789698395</v>
      </c>
      <c r="AI3771">
        <v>105.152961434722</v>
      </c>
      <c r="AJ3771">
        <v>78.952523450976699</v>
      </c>
      <c r="AK3771">
        <v>0.57499931484055999</v>
      </c>
      <c r="AL3771">
        <v>88.953461354664398</v>
      </c>
      <c r="AM3771">
        <v>92.385993842810805</v>
      </c>
      <c r="AN3771">
        <v>1.0000000289439299</v>
      </c>
    </row>
    <row r="3772" spans="1:40" x14ac:dyDescent="0.25">
      <c r="A3772" t="str">
        <f>"20190312160716482"</f>
        <v>20190312160716482</v>
      </c>
      <c r="B3772" t="str">
        <f>"1552378036478722"</f>
        <v>1552378036478722</v>
      </c>
      <c r="C3772" t="s">
        <v>40</v>
      </c>
      <c r="D3772">
        <v>5.8621160000000003</v>
      </c>
      <c r="E3772">
        <v>0.55966839999999995</v>
      </c>
      <c r="F3772" t="s">
        <v>44</v>
      </c>
      <c r="G3772">
        <v>-363.47949999999997</v>
      </c>
      <c r="H3772">
        <v>0.9633391</v>
      </c>
      <c r="I3772">
        <v>212.91200000000001</v>
      </c>
      <c r="J3772">
        <v>-364.02280000000002</v>
      </c>
      <c r="K3772">
        <v>1.1096539999999999</v>
      </c>
      <c r="L3772">
        <v>213.02090000000001</v>
      </c>
      <c r="M3772">
        <v>0.99994340000000004</v>
      </c>
      <c r="N3772">
        <v>0</v>
      </c>
      <c r="O3772">
        <v>3.5641760000000001E-3</v>
      </c>
      <c r="P3772">
        <v>0.99894859999999996</v>
      </c>
      <c r="Q3772">
        <v>8.6738739999999998E-3</v>
      </c>
      <c r="R3772">
        <v>4.5018759999999998E-2</v>
      </c>
      <c r="S3772">
        <v>3.0223080000000002</v>
      </c>
      <c r="T3772">
        <v>-0.46866730000000001</v>
      </c>
      <c r="U3772">
        <v>-0.34268189999999998</v>
      </c>
      <c r="V3772">
        <v>-4.1486519999999999E-2</v>
      </c>
      <c r="W3772">
        <v>1.863068E-2</v>
      </c>
      <c r="X3772">
        <v>0.99896529999999994</v>
      </c>
      <c r="Y3772">
        <v>0.114806199999999</v>
      </c>
      <c r="Z3772">
        <v>-9.3685620000000004E-3</v>
      </c>
      <c r="AA3772">
        <v>0.99334370000000005</v>
      </c>
      <c r="AB3772">
        <v>40</v>
      </c>
      <c r="AC3772">
        <v>0.54330000000004397</v>
      </c>
      <c r="AD3772">
        <v>-0.1463149</v>
      </c>
      <c r="AE3772">
        <v>-0.10890000000000501</v>
      </c>
      <c r="AF3772">
        <v>0.10361147912732201</v>
      </c>
      <c r="AG3772">
        <v>-0.1463149</v>
      </c>
      <c r="AH3772">
        <v>0.50752130650982696</v>
      </c>
      <c r="AI3772">
        <v>105.773228215199</v>
      </c>
      <c r="AJ3772">
        <v>78.461510006370403</v>
      </c>
      <c r="AK3772">
        <v>0.53825761966776098</v>
      </c>
      <c r="AL3772">
        <v>88.932478852823905</v>
      </c>
      <c r="AM3772">
        <v>92.378097995441607</v>
      </c>
      <c r="AN3772">
        <v>0.99999995209153003</v>
      </c>
    </row>
    <row r="3773" spans="1:40" x14ac:dyDescent="0.25">
      <c r="A3773" t="str">
        <f>"20190312160716516"</f>
        <v>20190312160716516</v>
      </c>
      <c r="B3773" t="str">
        <f>"1552378036508980"</f>
        <v>1552378036508980</v>
      </c>
      <c r="C3773" t="s">
        <v>40</v>
      </c>
      <c r="D3773">
        <v>5.8515160000000002</v>
      </c>
      <c r="E3773">
        <v>0.5599847</v>
      </c>
      <c r="F3773" t="s">
        <v>44</v>
      </c>
      <c r="G3773">
        <v>-363.11970000000002</v>
      </c>
      <c r="H3773">
        <v>0.95954810000000001</v>
      </c>
      <c r="I3773">
        <v>212.91329999999999</v>
      </c>
      <c r="J3773">
        <v>-363.3972</v>
      </c>
      <c r="K3773">
        <v>1.1096950000000001</v>
      </c>
      <c r="L3773">
        <v>213.0239</v>
      </c>
      <c r="M3773">
        <v>0.99993739999999998</v>
      </c>
      <c r="N3773">
        <v>0</v>
      </c>
      <c r="O3773">
        <v>4.4682890000000003E-3</v>
      </c>
      <c r="P3773">
        <v>0.9988648</v>
      </c>
      <c r="Q3773">
        <v>8.4218769999999995E-3</v>
      </c>
      <c r="R3773">
        <v>4.6889930000000003E-2</v>
      </c>
      <c r="S3773">
        <v>3.0237120000000002</v>
      </c>
      <c r="T3773">
        <v>-0.50279510000000005</v>
      </c>
      <c r="U3773">
        <v>-0.35820010000000002</v>
      </c>
      <c r="V3773">
        <v>-4.2454440000000003E-2</v>
      </c>
      <c r="W3773">
        <v>1.862163E-2</v>
      </c>
      <c r="X3773">
        <v>0.9989249</v>
      </c>
      <c r="Y3773">
        <v>0.1203864</v>
      </c>
      <c r="Z3773">
        <v>-1.0642489999999999E-2</v>
      </c>
      <c r="AA3773">
        <v>0.9926701</v>
      </c>
      <c r="AB3773">
        <v>40</v>
      </c>
      <c r="AC3773">
        <v>0.27749999999997499</v>
      </c>
      <c r="AD3773">
        <v>-0.1501469</v>
      </c>
      <c r="AE3773">
        <v>-0.110600000000005</v>
      </c>
      <c r="AF3773">
        <v>8.9283483405179401E-2</v>
      </c>
      <c r="AG3773">
        <v>-0.1501469</v>
      </c>
      <c r="AH3773">
        <v>0.221137647339854</v>
      </c>
      <c r="AI3773">
        <v>122.194343131803</v>
      </c>
      <c r="AJ3773">
        <v>68.013794450465895</v>
      </c>
      <c r="AK3773">
        <v>0.28181109108688102</v>
      </c>
      <c r="AL3773">
        <v>88.932997574328496</v>
      </c>
      <c r="AM3773">
        <v>92.433613643938401</v>
      </c>
      <c r="AN3773">
        <v>1.0000000502097799</v>
      </c>
    </row>
    <row r="3774" spans="1:40" x14ac:dyDescent="0.25">
      <c r="A3774" t="str">
        <f>"20190312160716539"</f>
        <v>20190312160716539</v>
      </c>
      <c r="B3774" t="str">
        <f>"1552378036528503"</f>
        <v>1552378036528503</v>
      </c>
      <c r="C3774" t="s">
        <v>40</v>
      </c>
      <c r="D3774">
        <v>5.9000190000000003</v>
      </c>
      <c r="E3774">
        <v>0.56008590000000003</v>
      </c>
      <c r="F3774" t="s">
        <v>44</v>
      </c>
      <c r="G3774">
        <v>-362.40219999999999</v>
      </c>
      <c r="H3774">
        <v>0.94647840000000005</v>
      </c>
      <c r="I3774">
        <v>212.9066</v>
      </c>
      <c r="J3774">
        <v>-363.00229999999999</v>
      </c>
      <c r="K3774">
        <v>1.109729</v>
      </c>
      <c r="L3774">
        <v>213.02619999999999</v>
      </c>
      <c r="M3774">
        <v>0.9999325</v>
      </c>
      <c r="N3774">
        <v>0</v>
      </c>
      <c r="O3774">
        <v>5.0396310000000001E-3</v>
      </c>
      <c r="P3774">
        <v>0.99885959999999996</v>
      </c>
      <c r="Q3774">
        <v>6.5548539999999997E-3</v>
      </c>
      <c r="R3774">
        <v>4.7290310000000002E-2</v>
      </c>
      <c r="S3774">
        <v>3.0242610000000001</v>
      </c>
      <c r="T3774">
        <v>-0.49624279999999998</v>
      </c>
      <c r="U3774">
        <v>-0.35519410000000001</v>
      </c>
      <c r="V3774">
        <v>-4.2281850000000003E-2</v>
      </c>
      <c r="W3774">
        <v>1.6942470000000001E-2</v>
      </c>
      <c r="X3774">
        <v>0.99896200000000002</v>
      </c>
      <c r="Y3774">
        <v>0.1200007</v>
      </c>
      <c r="Z3774">
        <v>-1.056585E-2</v>
      </c>
      <c r="AA3774">
        <v>0.99271759999999998</v>
      </c>
      <c r="AB3774">
        <v>40</v>
      </c>
      <c r="AC3774">
        <v>0.60009999999999697</v>
      </c>
      <c r="AD3774">
        <v>-0.1632506</v>
      </c>
      <c r="AE3774">
        <v>-0.11959999999999101</v>
      </c>
      <c r="AF3774">
        <v>0.114474840703942</v>
      </c>
      <c r="AG3774">
        <v>-0.1632506</v>
      </c>
      <c r="AH3774">
        <v>0.55965452363003698</v>
      </c>
      <c r="AI3774">
        <v>105.948969380633</v>
      </c>
      <c r="AJ3774">
        <v>78.439864117620601</v>
      </c>
      <c r="AK3774">
        <v>0.59411146544576698</v>
      </c>
      <c r="AL3774">
        <v>89.029221469014104</v>
      </c>
      <c r="AM3774">
        <v>92.423642192226595</v>
      </c>
      <c r="AN3774">
        <v>0.99999993978655899</v>
      </c>
    </row>
    <row r="3775" spans="1:40" x14ac:dyDescent="0.25">
      <c r="A3775" t="str">
        <f>"20190312160716561"</f>
        <v>20190312160716561</v>
      </c>
      <c r="B3775" t="str">
        <f>"1552378036548995"</f>
        <v>1552378036548995</v>
      </c>
      <c r="C3775" t="s">
        <v>40</v>
      </c>
      <c r="D3775">
        <v>5.9130630000000002</v>
      </c>
      <c r="E3775">
        <v>0.56003729999999996</v>
      </c>
      <c r="F3775" t="s">
        <v>44</v>
      </c>
      <c r="G3775">
        <v>-362.03879999999998</v>
      </c>
      <c r="H3775">
        <v>0.9506348</v>
      </c>
      <c r="I3775">
        <v>212.9134</v>
      </c>
      <c r="J3775">
        <v>-362.60219999999998</v>
      </c>
      <c r="K3775">
        <v>1.1097629999999901</v>
      </c>
      <c r="L3775">
        <v>213.02879999999999</v>
      </c>
      <c r="M3775">
        <v>0.99992729999999996</v>
      </c>
      <c r="N3775">
        <v>0</v>
      </c>
      <c r="O3775">
        <v>5.6166089999999998E-3</v>
      </c>
      <c r="P3775">
        <v>0.99884470000000003</v>
      </c>
      <c r="Q3775">
        <v>6.4554469999999996E-3</v>
      </c>
      <c r="R3775">
        <v>4.762065E-2</v>
      </c>
      <c r="S3775">
        <v>3.0234679999999998</v>
      </c>
      <c r="T3775">
        <v>-0.49932589999999999</v>
      </c>
      <c r="U3775">
        <v>-0.35308840000000002</v>
      </c>
      <c r="V3775">
        <v>-4.2035980000000001E-2</v>
      </c>
      <c r="W3775">
        <v>1.7047840000000002E-2</v>
      </c>
      <c r="X3775">
        <v>0.99897060000000004</v>
      </c>
      <c r="Y3775">
        <v>0.11989379999999999</v>
      </c>
      <c r="Z3775">
        <v>-1.07194E-2</v>
      </c>
      <c r="AA3775">
        <v>0.99272879999999997</v>
      </c>
      <c r="AB3775">
        <v>40</v>
      </c>
      <c r="AC3775">
        <v>0.56340000000000101</v>
      </c>
      <c r="AD3775">
        <v>-0.159128199999999</v>
      </c>
      <c r="AE3775">
        <v>-0.11539999999999299</v>
      </c>
      <c r="AF3775">
        <v>0.11013093913126</v>
      </c>
      <c r="AG3775">
        <v>-0.159128199999999</v>
      </c>
      <c r="AH3775">
        <v>0.52272237579182201</v>
      </c>
      <c r="AI3775">
        <v>106.587869622128</v>
      </c>
      <c r="AJ3775">
        <v>78.1025128091309</v>
      </c>
      <c r="AK3775">
        <v>0.55739509321720804</v>
      </c>
      <c r="AL3775">
        <v>89.023183356186493</v>
      </c>
      <c r="AM3775">
        <v>92.409544593899994</v>
      </c>
      <c r="AN3775">
        <v>0.99999995606379199</v>
      </c>
    </row>
    <row r="3776" spans="1:40" x14ac:dyDescent="0.25">
      <c r="A3776" t="str">
        <f>"20190312160716584"</f>
        <v>20190312160716584</v>
      </c>
      <c r="B3776" t="str">
        <f>"1552378036579251"</f>
        <v>1552378036579251</v>
      </c>
      <c r="C3776" t="s">
        <v>40</v>
      </c>
      <c r="D3776">
        <v>5.9341330000000001</v>
      </c>
      <c r="E3776">
        <v>0.56000340000000004</v>
      </c>
      <c r="F3776" t="s">
        <v>44</v>
      </c>
      <c r="G3776">
        <v>-361.6739</v>
      </c>
      <c r="H3776">
        <v>0.95796700000000001</v>
      </c>
      <c r="I3776">
        <v>212.92060000000001</v>
      </c>
      <c r="J3776">
        <v>-362.18540000000002</v>
      </c>
      <c r="K3776">
        <v>1.10981</v>
      </c>
      <c r="L3776">
        <v>213.0316</v>
      </c>
      <c r="M3776">
        <v>0.99992130000000001</v>
      </c>
      <c r="N3776">
        <v>0</v>
      </c>
      <c r="O3776">
        <v>6.2122459999999899E-3</v>
      </c>
      <c r="P3776">
        <v>0.99882950000000004</v>
      </c>
      <c r="Q3776">
        <v>6.6726959999999997E-3</v>
      </c>
      <c r="R3776">
        <v>4.7908850000000003E-2</v>
      </c>
      <c r="S3776">
        <v>3.0233759999999998</v>
      </c>
      <c r="T3776">
        <v>-0.49451669999999998</v>
      </c>
      <c r="U3776">
        <v>-0.35128779999999998</v>
      </c>
      <c r="V3776">
        <v>-4.1730299999999998E-2</v>
      </c>
      <c r="W3776">
        <v>1.751173E-2</v>
      </c>
      <c r="X3776">
        <v>0.99897550000000002</v>
      </c>
      <c r="Y3776">
        <v>0.1199287</v>
      </c>
      <c r="Z3776">
        <v>-1.071749E-2</v>
      </c>
      <c r="AA3776">
        <v>0.99272470000000002</v>
      </c>
      <c r="AB3776">
        <v>40</v>
      </c>
      <c r="AC3776">
        <v>0.51150000000001195</v>
      </c>
      <c r="AD3776">
        <v>-0.15184299999999901</v>
      </c>
      <c r="AE3776">
        <v>-0.11099999999999</v>
      </c>
      <c r="AF3776">
        <v>0.105312370967418</v>
      </c>
      <c r="AG3776">
        <v>-0.15184299999999901</v>
      </c>
      <c r="AH3776">
        <v>0.47114803708824998</v>
      </c>
      <c r="AI3776">
        <v>107.459488740558</v>
      </c>
      <c r="AJ3776">
        <v>77.4001960504051</v>
      </c>
      <c r="AK3776">
        <v>0.50609037234459398</v>
      </c>
      <c r="AL3776">
        <v>88.996600555044296</v>
      </c>
      <c r="AM3776">
        <v>92.392031417397902</v>
      </c>
      <c r="AN3776">
        <v>1.0000000641129601</v>
      </c>
    </row>
    <row r="3777" spans="1:40" x14ac:dyDescent="0.25">
      <c r="A3777" t="str">
        <f>"20190312160716607"</f>
        <v>20190312160716607</v>
      </c>
      <c r="B3777" t="str">
        <f>"1552378036598771"</f>
        <v>1552378036598771</v>
      </c>
      <c r="C3777" t="s">
        <v>40</v>
      </c>
      <c r="D3777">
        <v>5.9411569999999996</v>
      </c>
      <c r="E3777">
        <v>0.55994949999999999</v>
      </c>
      <c r="F3777" t="s">
        <v>44</v>
      </c>
      <c r="G3777">
        <v>-361.30759999999998</v>
      </c>
      <c r="H3777">
        <v>0.96853710000000004</v>
      </c>
      <c r="I3777">
        <v>212.9298</v>
      </c>
      <c r="J3777">
        <v>-361.77030000000002</v>
      </c>
      <c r="K3777">
        <v>1.10985</v>
      </c>
      <c r="L3777">
        <v>213.03479999999999</v>
      </c>
      <c r="M3777">
        <v>0.99991419999999998</v>
      </c>
      <c r="N3777">
        <v>0</v>
      </c>
      <c r="O3777">
        <v>6.7990389999999998E-3</v>
      </c>
      <c r="P3777">
        <v>0.99881980000000004</v>
      </c>
      <c r="Q3777">
        <v>6.4506190000000003E-3</v>
      </c>
      <c r="R3777">
        <v>4.814293E-2</v>
      </c>
      <c r="S3777">
        <v>3.0235599999999998</v>
      </c>
      <c r="T3777">
        <v>-0.48666140000000002</v>
      </c>
      <c r="U3777">
        <v>-0.3506165</v>
      </c>
      <c r="V3777">
        <v>-4.1378230000000002E-2</v>
      </c>
      <c r="W3777">
        <v>1.758181E-2</v>
      </c>
      <c r="X3777">
        <v>0.99898889999999996</v>
      </c>
      <c r="Y3777">
        <v>0.12032619999999999</v>
      </c>
      <c r="Z3777">
        <v>-1.067415E-2</v>
      </c>
      <c r="AA3777">
        <v>0.99267700000000003</v>
      </c>
      <c r="AB3777">
        <v>40</v>
      </c>
      <c r="AC3777">
        <v>0.46270000000004002</v>
      </c>
      <c r="AD3777">
        <v>-0.14131289999999999</v>
      </c>
      <c r="AE3777">
        <v>-0.104999999999989</v>
      </c>
      <c r="AF3777">
        <v>9.93322442077888E-2</v>
      </c>
      <c r="AG3777">
        <v>-0.14131289999999999</v>
      </c>
      <c r="AH3777">
        <v>0.424334062164338</v>
      </c>
      <c r="AI3777">
        <v>107.965645724526</v>
      </c>
      <c r="AJ3777">
        <v>76.824884178310299</v>
      </c>
      <c r="AK3777">
        <v>0.45814367479935197</v>
      </c>
      <c r="AL3777">
        <v>88.992584634722206</v>
      </c>
      <c r="AM3777">
        <v>92.371841705319198</v>
      </c>
      <c r="AN3777">
        <v>1.0000000501420001</v>
      </c>
    </row>
    <row r="3778" spans="1:40" x14ac:dyDescent="0.25">
      <c r="A3778" t="str">
        <f>"20190312160716630"</f>
        <v>20190312160716630</v>
      </c>
      <c r="B3778" t="str">
        <f>"1552378036619267"</f>
        <v>1552378036619267</v>
      </c>
      <c r="C3778" t="s">
        <v>40</v>
      </c>
      <c r="D3778">
        <v>5.9417730000000004</v>
      </c>
      <c r="E3778">
        <v>0.55979569999999901</v>
      </c>
      <c r="F3778" t="s">
        <v>44</v>
      </c>
      <c r="G3778">
        <v>-360.94240000000002</v>
      </c>
      <c r="H3778">
        <v>0.97761050000000005</v>
      </c>
      <c r="I3778">
        <v>212.93889999999999</v>
      </c>
      <c r="J3778">
        <v>-361.35719999999998</v>
      </c>
      <c r="K3778">
        <v>1.109891</v>
      </c>
      <c r="L3778">
        <v>213.03819999999999</v>
      </c>
      <c r="M3778">
        <v>0.99990619999999997</v>
      </c>
      <c r="N3778">
        <v>0</v>
      </c>
      <c r="O3778">
        <v>7.3851029999999996E-3</v>
      </c>
      <c r="P3778">
        <v>0.99881279999999995</v>
      </c>
      <c r="Q3778">
        <v>6.0160550000000002E-3</v>
      </c>
      <c r="R3778">
        <v>4.8338440000000003E-2</v>
      </c>
      <c r="S3778">
        <v>3.0234990000000002</v>
      </c>
      <c r="T3778">
        <v>-0.48306209999999999</v>
      </c>
      <c r="U3778">
        <v>-0.34928890000000001</v>
      </c>
      <c r="V3778">
        <v>-4.0987200000000001E-2</v>
      </c>
      <c r="W3778">
        <v>1.747835E-2</v>
      </c>
      <c r="X3778">
        <v>0.99900679999999997</v>
      </c>
      <c r="Y3778">
        <v>0.1204942</v>
      </c>
      <c r="Z3778">
        <v>-1.0702730000000001E-2</v>
      </c>
      <c r="AA3778">
        <v>0.99265639999999999</v>
      </c>
      <c r="AB3778">
        <v>40</v>
      </c>
      <c r="AC3778">
        <v>0.41479999999995598</v>
      </c>
      <c r="AD3778">
        <v>-0.1322805</v>
      </c>
      <c r="AE3778">
        <v>-9.92999999999995E-2</v>
      </c>
      <c r="AF3778">
        <v>9.337906760952E-2</v>
      </c>
      <c r="AG3778">
        <v>-0.1322805</v>
      </c>
      <c r="AH3778">
        <v>0.37772354172608003</v>
      </c>
      <c r="AI3778">
        <v>108.77648689589</v>
      </c>
      <c r="AJ3778">
        <v>76.114016681180402</v>
      </c>
      <c r="AK3778">
        <v>0.41096575881935399</v>
      </c>
      <c r="AL3778">
        <v>88.998513331472907</v>
      </c>
      <c r="AM3778">
        <v>92.349410660112198</v>
      </c>
      <c r="AN3778">
        <v>1.0000000148643999</v>
      </c>
    </row>
    <row r="3779" spans="1:40" x14ac:dyDescent="0.25">
      <c r="A3779" t="str">
        <f>"20190312160716650"</f>
        <v>20190312160716650</v>
      </c>
      <c r="B3779" t="str">
        <f>"1552378036638787"</f>
        <v>1552378036638787</v>
      </c>
      <c r="C3779" t="s">
        <v>40</v>
      </c>
      <c r="D3779">
        <v>6.0193589999999997</v>
      </c>
      <c r="E3779">
        <v>0.55971329999999997</v>
      </c>
      <c r="F3779" t="s">
        <v>44</v>
      </c>
      <c r="G3779">
        <v>-360.57760000000002</v>
      </c>
      <c r="H3779">
        <v>0.98600460000000001</v>
      </c>
      <c r="I3779">
        <v>212.9485</v>
      </c>
      <c r="J3779">
        <v>-360.99270000000001</v>
      </c>
      <c r="K3779">
        <v>1.1099300000000001</v>
      </c>
      <c r="L3779">
        <v>213.04130000000001</v>
      </c>
      <c r="M3779">
        <v>0.99989850000000002</v>
      </c>
      <c r="N3779">
        <v>0</v>
      </c>
      <c r="O3779">
        <v>7.9074450000000008E-3</v>
      </c>
      <c r="P3779">
        <v>0.99880959999999996</v>
      </c>
      <c r="Q3779">
        <v>5.3156599999999998E-3</v>
      </c>
      <c r="R3779">
        <v>4.8488129999999997E-2</v>
      </c>
      <c r="S3779">
        <v>3.0232540000000001</v>
      </c>
      <c r="T3779">
        <v>-0.4804523</v>
      </c>
      <c r="U3779">
        <v>-0.34733579999999997</v>
      </c>
      <c r="V3779">
        <v>-4.0614490000000003E-2</v>
      </c>
      <c r="W3779">
        <v>1.7095030000000001E-2</v>
      </c>
      <c r="X3779">
        <v>0.99902860000000004</v>
      </c>
      <c r="Y3779">
        <v>0.1204004</v>
      </c>
      <c r="Z3779">
        <v>-1.0721710000000001E-2</v>
      </c>
      <c r="AA3779">
        <v>0.99266750000000004</v>
      </c>
      <c r="AB3779">
        <v>40</v>
      </c>
      <c r="AC3779">
        <v>0.41509999999999497</v>
      </c>
      <c r="AD3779">
        <v>-0.12392539999999901</v>
      </c>
      <c r="AE3779">
        <v>-9.2800000000011096E-2</v>
      </c>
      <c r="AF3779">
        <v>8.8562058536650307E-2</v>
      </c>
      <c r="AG3779">
        <v>-0.12392539999999901</v>
      </c>
      <c r="AH3779">
        <v>0.38193255287492001</v>
      </c>
      <c r="AI3779">
        <v>107.54086208223001</v>
      </c>
      <c r="AJ3779">
        <v>76.945039162823093</v>
      </c>
      <c r="AK3779">
        <v>0.41118513825643399</v>
      </c>
      <c r="AL3779">
        <v>89.020479178242795</v>
      </c>
      <c r="AM3779">
        <v>92.328019570540405</v>
      </c>
      <c r="AN3779">
        <v>0.99999996023330895</v>
      </c>
    </row>
    <row r="3780" spans="1:40" x14ac:dyDescent="0.25">
      <c r="A3780" t="str">
        <f>"20190312160716671"</f>
        <v>20190312160716671</v>
      </c>
      <c r="B3780" t="str">
        <f>"1552378036669043"</f>
        <v>1552378036669043</v>
      </c>
      <c r="C3780" t="s">
        <v>40</v>
      </c>
      <c r="D3780">
        <v>6.0653199999999998</v>
      </c>
      <c r="E3780">
        <v>0.55948500000000001</v>
      </c>
      <c r="F3780" t="s">
        <v>44</v>
      </c>
      <c r="G3780">
        <v>-360.21679999999998</v>
      </c>
      <c r="H3780">
        <v>0.98717580000000005</v>
      </c>
      <c r="I3780">
        <v>212.9521</v>
      </c>
      <c r="J3780">
        <v>-360.59699999999998</v>
      </c>
      <c r="K3780">
        <v>1.1099699999999999</v>
      </c>
      <c r="L3780">
        <v>213.04499999999999</v>
      </c>
      <c r="M3780">
        <v>0.99988980000000005</v>
      </c>
      <c r="N3780">
        <v>0</v>
      </c>
      <c r="O3780">
        <v>8.4771829999999992E-3</v>
      </c>
      <c r="P3780">
        <v>0.9987646</v>
      </c>
      <c r="Q3780">
        <v>5.3309669999999998E-3</v>
      </c>
      <c r="R3780">
        <v>4.9404919999999998E-2</v>
      </c>
      <c r="S3780">
        <v>3.0229189999999999</v>
      </c>
      <c r="T3780">
        <v>-0.47842499999999999</v>
      </c>
      <c r="U3780">
        <v>-0.34608460000000002</v>
      </c>
      <c r="V3780">
        <v>-4.096197E-2</v>
      </c>
      <c r="W3780">
        <v>1.7458330000000001E-2</v>
      </c>
      <c r="X3780">
        <v>0.99900820000000001</v>
      </c>
      <c r="Y3780">
        <v>0.12057660000000001</v>
      </c>
      <c r="Z3780">
        <v>-1.0781600000000001E-2</v>
      </c>
      <c r="AA3780">
        <v>0.99264549999999996</v>
      </c>
      <c r="AB3780">
        <v>40</v>
      </c>
      <c r="AC3780">
        <v>0.38020000000000198</v>
      </c>
      <c r="AD3780">
        <v>-0.12279420000000001</v>
      </c>
      <c r="AE3780">
        <v>-9.2899999999985994E-2</v>
      </c>
      <c r="AF3780">
        <v>8.7506299674080801E-2</v>
      </c>
      <c r="AG3780">
        <v>-0.12279420000000001</v>
      </c>
      <c r="AH3780">
        <v>0.345399564723532</v>
      </c>
      <c r="AI3780">
        <v>109.015259060426</v>
      </c>
      <c r="AJ3780">
        <v>75.783355193814103</v>
      </c>
      <c r="AK3780">
        <v>0.37687746993883298</v>
      </c>
      <c r="AL3780">
        <v>88.999660583122804</v>
      </c>
      <c r="AM3780">
        <v>92.347962793845198</v>
      </c>
      <c r="AN3780">
        <v>1.0000000299699501</v>
      </c>
    </row>
    <row r="3781" spans="1:40" x14ac:dyDescent="0.25">
      <c r="A3781" t="str">
        <f>"20190312160716695"</f>
        <v>20190312160716695</v>
      </c>
      <c r="B3781" t="str">
        <f>"1552378036688565"</f>
        <v>1552378036688565</v>
      </c>
      <c r="C3781" t="s">
        <v>40</v>
      </c>
      <c r="D3781">
        <v>6.064819</v>
      </c>
      <c r="E3781">
        <v>0.55936830000000004</v>
      </c>
      <c r="F3781" t="s">
        <v>44</v>
      </c>
      <c r="G3781">
        <v>-359.8537</v>
      </c>
      <c r="H3781">
        <v>0.99386110000000005</v>
      </c>
      <c r="I3781">
        <v>212.96080000000001</v>
      </c>
      <c r="J3781">
        <v>-360.18579999999997</v>
      </c>
      <c r="K3781">
        <v>1.1100019999999999</v>
      </c>
      <c r="L3781">
        <v>213.04900000000001</v>
      </c>
      <c r="M3781">
        <v>0.99988030000000006</v>
      </c>
      <c r="N3781">
        <v>0</v>
      </c>
      <c r="O3781">
        <v>9.0672979999999997E-3</v>
      </c>
      <c r="P3781">
        <v>0.99872519999999998</v>
      </c>
      <c r="Q3781">
        <v>5.1936090000000001E-3</v>
      </c>
      <c r="R3781">
        <v>5.0206720000000003E-2</v>
      </c>
      <c r="S3781">
        <v>3.0231020000000002</v>
      </c>
      <c r="T3781">
        <v>-0.47235830000000001</v>
      </c>
      <c r="U3781">
        <v>-0.34155269999999999</v>
      </c>
      <c r="V3781">
        <v>-4.1174269999999999E-2</v>
      </c>
      <c r="W3781">
        <v>1.766715E-2</v>
      </c>
      <c r="X3781">
        <v>0.99899579999999999</v>
      </c>
      <c r="Y3781">
        <v>0.11972919999999999</v>
      </c>
      <c r="Z3781">
        <v>-1.0672559999999999E-2</v>
      </c>
      <c r="AA3781">
        <v>0.9927492</v>
      </c>
      <c r="AB3781">
        <v>40</v>
      </c>
      <c r="AC3781">
        <v>0.33209999999996798</v>
      </c>
      <c r="AD3781">
        <v>-0.11614090000000001</v>
      </c>
      <c r="AE3781">
        <v>-8.82000000000005E-2</v>
      </c>
      <c r="AF3781">
        <v>8.1856297188820495E-2</v>
      </c>
      <c r="AG3781">
        <v>-0.11614090000000001</v>
      </c>
      <c r="AH3781">
        <v>0.29731966151528599</v>
      </c>
      <c r="AI3781">
        <v>110.637066025889</v>
      </c>
      <c r="AJ3781">
        <v>74.607018407268299</v>
      </c>
      <c r="AK3781">
        <v>0.32952715087810103</v>
      </c>
      <c r="AL3781">
        <v>88.987694231701099</v>
      </c>
      <c r="AM3781">
        <v>92.360147483718194</v>
      </c>
      <c r="AN3781">
        <v>1.0000000285583901</v>
      </c>
    </row>
    <row r="3782" spans="1:40" x14ac:dyDescent="0.25">
      <c r="A3782" t="str">
        <f>"20190312160716717"</f>
        <v>20190312160716717</v>
      </c>
      <c r="B3782" t="str">
        <f>"1552378036709063"</f>
        <v>1552378036709063</v>
      </c>
      <c r="C3782" t="s">
        <v>40</v>
      </c>
      <c r="D3782">
        <v>5.9633979999999998</v>
      </c>
      <c r="E3782">
        <v>0.55927109999999902</v>
      </c>
      <c r="F3782" t="s">
        <v>44</v>
      </c>
      <c r="G3782">
        <v>-359.15530000000001</v>
      </c>
      <c r="H3782">
        <v>0.95016259999999997</v>
      </c>
      <c r="I3782">
        <v>212.93360000000001</v>
      </c>
      <c r="J3782">
        <v>-359.78030000000001</v>
      </c>
      <c r="K3782">
        <v>1.1100410000000001</v>
      </c>
      <c r="L3782">
        <v>213.0532</v>
      </c>
      <c r="M3782">
        <v>0.99987090000000001</v>
      </c>
      <c r="N3782">
        <v>0</v>
      </c>
      <c r="O3782">
        <v>9.6428880000000005E-3</v>
      </c>
      <c r="P3782">
        <v>0.99868049999999997</v>
      </c>
      <c r="Q3782">
        <v>4.895679E-3</v>
      </c>
      <c r="R3782">
        <v>5.1121439999999997E-2</v>
      </c>
      <c r="S3782">
        <v>3.0232540000000001</v>
      </c>
      <c r="T3782">
        <v>-0.46900799999999998</v>
      </c>
      <c r="U3782">
        <v>-0.33807369999999998</v>
      </c>
      <c r="V3782">
        <v>-4.1513920000000003E-2</v>
      </c>
      <c r="W3782">
        <v>1.7680029999999999E-2</v>
      </c>
      <c r="X3782">
        <v>0.99898149999999997</v>
      </c>
      <c r="Y3782">
        <v>0.119188</v>
      </c>
      <c r="Z3782">
        <v>-1.0644819999999999E-2</v>
      </c>
      <c r="AA3782">
        <v>0.99281470000000005</v>
      </c>
      <c r="AB3782">
        <v>40</v>
      </c>
      <c r="AC3782">
        <v>0.625</v>
      </c>
      <c r="AD3782">
        <v>-0.1598784</v>
      </c>
      <c r="AE3782">
        <v>-0.11959999999999101</v>
      </c>
      <c r="AF3782">
        <v>0.11816273346975301</v>
      </c>
      <c r="AG3782">
        <v>-0.1598784</v>
      </c>
      <c r="AH3782">
        <v>0.58677730749706702</v>
      </c>
      <c r="AI3782">
        <v>104.954945102889</v>
      </c>
      <c r="AJ3782">
        <v>78.614293438231897</v>
      </c>
      <c r="AK3782">
        <v>0.61954107447457596</v>
      </c>
      <c r="AL3782">
        <v>88.986956131218307</v>
      </c>
      <c r="AM3782">
        <v>92.379628272784302</v>
      </c>
      <c r="AN3782">
        <v>1.0000000131783999</v>
      </c>
    </row>
    <row r="3783" spans="1:40" x14ac:dyDescent="0.25">
      <c r="A3783" t="str">
        <f>"20190312160716739"</f>
        <v>20190312160716739</v>
      </c>
      <c r="B3783" t="str">
        <f>"1552378036728579"</f>
        <v>1552378036728579</v>
      </c>
      <c r="C3783" t="s">
        <v>40</v>
      </c>
      <c r="D3783">
        <v>6.1655519999999999</v>
      </c>
      <c r="E3783">
        <v>0.55921580000000004</v>
      </c>
      <c r="F3783" t="s">
        <v>44</v>
      </c>
      <c r="G3783">
        <v>-358.79329999999999</v>
      </c>
      <c r="H3783">
        <v>0.95773459999999999</v>
      </c>
      <c r="I3783">
        <v>212.94380000000001</v>
      </c>
      <c r="J3783">
        <v>-359.38690000000003</v>
      </c>
      <c r="K3783">
        <v>1.1100699999999999</v>
      </c>
      <c r="L3783">
        <v>213.0575</v>
      </c>
      <c r="M3783">
        <v>0.99986189999999997</v>
      </c>
      <c r="N3783">
        <v>0</v>
      </c>
      <c r="O3783">
        <v>1.0196500000000001E-2</v>
      </c>
      <c r="P3783">
        <v>0.99862099999999998</v>
      </c>
      <c r="Q3783">
        <v>5.0902680000000002E-3</v>
      </c>
      <c r="R3783">
        <v>5.2253239999999999E-2</v>
      </c>
      <c r="S3783">
        <v>3.0233150000000002</v>
      </c>
      <c r="T3783">
        <v>-0.46667720000000001</v>
      </c>
      <c r="U3783">
        <v>-0.3340302</v>
      </c>
      <c r="V3783">
        <v>-4.2093749999999999E-2</v>
      </c>
      <c r="W3783">
        <v>1.814582E-2</v>
      </c>
      <c r="X3783">
        <v>0.99894890000000003</v>
      </c>
      <c r="Y3783">
        <v>0.1184409</v>
      </c>
      <c r="Z3783">
        <v>-1.0620660000000001E-2</v>
      </c>
      <c r="AA3783">
        <v>0.99290429999999996</v>
      </c>
      <c r="AB3783">
        <v>40</v>
      </c>
      <c r="AC3783">
        <v>0.59360000000003699</v>
      </c>
      <c r="AD3783">
        <v>-0.15233540000000001</v>
      </c>
      <c r="AE3783">
        <v>-0.113699999999994</v>
      </c>
      <c r="AF3783">
        <v>0.11259435265565</v>
      </c>
      <c r="AG3783">
        <v>-0.15233540000000001</v>
      </c>
      <c r="AH3783">
        <v>0.55702310478776795</v>
      </c>
      <c r="AI3783">
        <v>105.00591285485601</v>
      </c>
      <c r="AJ3783">
        <v>78.572446176365105</v>
      </c>
      <c r="AK3783">
        <v>0.58835219181244702</v>
      </c>
      <c r="AL3783">
        <v>88.960264064634103</v>
      </c>
      <c r="AM3783">
        <v>92.412904469343204</v>
      </c>
      <c r="AN3783">
        <v>1.0000000296918701</v>
      </c>
    </row>
    <row r="3784" spans="1:40" x14ac:dyDescent="0.25">
      <c r="A3784" t="str">
        <f>"20190312160716761"</f>
        <v>20190312160716761</v>
      </c>
      <c r="B3784" t="str">
        <f>"1552378036758836"</f>
        <v>1552378036758836</v>
      </c>
      <c r="C3784" t="s">
        <v>40</v>
      </c>
      <c r="D3784">
        <v>6.0835369999999998</v>
      </c>
      <c r="E3784">
        <v>0.5590309</v>
      </c>
      <c r="F3784" t="s">
        <v>44</v>
      </c>
      <c r="G3784">
        <v>-358.43220000000002</v>
      </c>
      <c r="H3784">
        <v>0.96405149999999995</v>
      </c>
      <c r="I3784">
        <v>212.953</v>
      </c>
      <c r="J3784">
        <v>-358.9898</v>
      </c>
      <c r="K3784">
        <v>1.1100939999999999</v>
      </c>
      <c r="L3784">
        <v>213.06209999999999</v>
      </c>
      <c r="M3784">
        <v>0.99985279999999999</v>
      </c>
      <c r="N3784">
        <v>0</v>
      </c>
      <c r="O3784">
        <v>1.0753449999999999E-2</v>
      </c>
      <c r="P3784">
        <v>0.99856699999999998</v>
      </c>
      <c r="Q3784">
        <v>5.9319029999999997E-3</v>
      </c>
      <c r="R3784">
        <v>5.3186839999999999E-2</v>
      </c>
      <c r="S3784">
        <v>3.0238040000000002</v>
      </c>
      <c r="T3784">
        <v>-0.4625667</v>
      </c>
      <c r="U3784">
        <v>-0.33036799999999999</v>
      </c>
      <c r="V3784">
        <v>-4.2473480000000001E-2</v>
      </c>
      <c r="W3784">
        <v>1.923329E-2</v>
      </c>
      <c r="X3784">
        <v>0.99891249999999998</v>
      </c>
      <c r="Y3784">
        <v>0.1178154</v>
      </c>
      <c r="Z3784">
        <v>-1.0564270000000001E-2</v>
      </c>
      <c r="AA3784">
        <v>0.99297930000000001</v>
      </c>
      <c r="AB3784">
        <v>40</v>
      </c>
      <c r="AC3784">
        <v>0.557599999999979</v>
      </c>
      <c r="AD3784">
        <v>-0.14604249999999999</v>
      </c>
      <c r="AE3784">
        <v>-0.109099999999983</v>
      </c>
      <c r="AF3784">
        <v>0.107957699935153</v>
      </c>
      <c r="AG3784">
        <v>-0.14604249999999999</v>
      </c>
      <c r="AH3784">
        <v>0.52191225949853204</v>
      </c>
      <c r="AI3784">
        <v>105.32409278358401</v>
      </c>
      <c r="AJ3784">
        <v>78.313172886595495</v>
      </c>
      <c r="AK3784">
        <v>0.55260807395151401</v>
      </c>
      <c r="AL3784">
        <v>88.897945758847399</v>
      </c>
      <c r="AM3784">
        <v>92.434733946588594</v>
      </c>
      <c r="AN3784">
        <v>1.0000000493018899</v>
      </c>
    </row>
    <row r="3785" spans="1:40" x14ac:dyDescent="0.25">
      <c r="A3785" t="str">
        <f>"20190312160716784"</f>
        <v>20190312160716784</v>
      </c>
      <c r="B3785" t="str">
        <f>"1552378036779331"</f>
        <v>1552378036779331</v>
      </c>
      <c r="C3785" t="s">
        <v>40</v>
      </c>
      <c r="D3785">
        <v>6.0367490000000004</v>
      </c>
      <c r="E3785">
        <v>0.51963700000000002</v>
      </c>
      <c r="F3785" t="s">
        <v>44</v>
      </c>
      <c r="G3785">
        <v>-358.07080000000002</v>
      </c>
      <c r="H3785">
        <v>0.97192279999999998</v>
      </c>
      <c r="I3785">
        <v>212.96260000000001</v>
      </c>
      <c r="J3785">
        <v>-358.59129999999999</v>
      </c>
      <c r="K3785">
        <v>1.110112</v>
      </c>
      <c r="L3785">
        <v>213.0669</v>
      </c>
      <c r="M3785">
        <v>0.99984360000000005</v>
      </c>
      <c r="N3785">
        <v>0</v>
      </c>
      <c r="O3785">
        <v>1.1313729999999999E-2</v>
      </c>
      <c r="P3785">
        <v>0.99854330000000002</v>
      </c>
      <c r="Q3785">
        <v>6.0715880000000002E-3</v>
      </c>
      <c r="R3785">
        <v>5.3614200000000001E-2</v>
      </c>
      <c r="S3785">
        <v>3.0243530000000001</v>
      </c>
      <c r="T3785">
        <v>-0.45480920000000002</v>
      </c>
      <c r="U3785">
        <v>-0.32626339999999998</v>
      </c>
      <c r="V3785">
        <v>-4.2341719999999999E-2</v>
      </c>
      <c r="W3785">
        <v>1.9594190000000001E-2</v>
      </c>
      <c r="X3785">
        <v>0.99891099999999999</v>
      </c>
      <c r="Y3785">
        <v>0.1170716</v>
      </c>
      <c r="Z3785">
        <v>-1.0416069999999999E-2</v>
      </c>
      <c r="AA3785">
        <v>0.99306890000000003</v>
      </c>
      <c r="AB3785">
        <v>40</v>
      </c>
      <c r="AC3785">
        <v>0.52049999999996999</v>
      </c>
      <c r="AD3785">
        <v>-0.13818919999999901</v>
      </c>
      <c r="AE3785">
        <v>-0.10429999999999399</v>
      </c>
      <c r="AF3785">
        <v>0.10318993794686</v>
      </c>
      <c r="AG3785">
        <v>-0.13818919999999901</v>
      </c>
      <c r="AH3785">
        <v>0.48633010785507802</v>
      </c>
      <c r="AI3785">
        <v>105.533741706038</v>
      </c>
      <c r="AJ3785">
        <v>78.020597468532202</v>
      </c>
      <c r="AK3785">
        <v>0.51600522487320699</v>
      </c>
      <c r="AL3785">
        <v>88.8772637257659</v>
      </c>
      <c r="AM3785">
        <v>92.427193672859005</v>
      </c>
      <c r="AN3785">
        <v>0.99999996972765604</v>
      </c>
    </row>
    <row r="3786" spans="1:40" x14ac:dyDescent="0.25">
      <c r="A3786" t="str">
        <f>"20190312160716808"</f>
        <v>20190312160716808</v>
      </c>
      <c r="B3786" t="str">
        <f>"1552378036798851"</f>
        <v>1552378036798851</v>
      </c>
      <c r="C3786" t="s">
        <v>40</v>
      </c>
      <c r="D3786">
        <v>6.198569</v>
      </c>
      <c r="E3786">
        <v>0.50610169999999999</v>
      </c>
      <c r="F3786" t="s">
        <v>44</v>
      </c>
      <c r="G3786">
        <v>-357.67509999999999</v>
      </c>
      <c r="H3786">
        <v>1.0444819999999999</v>
      </c>
      <c r="I3786">
        <v>213.066</v>
      </c>
      <c r="J3786">
        <v>-358.15449999999998</v>
      </c>
      <c r="K3786">
        <v>1.1101270000000001</v>
      </c>
      <c r="L3786">
        <v>213.07239999999999</v>
      </c>
      <c r="M3786">
        <v>0.99983350000000004</v>
      </c>
      <c r="N3786">
        <v>0</v>
      </c>
      <c r="O3786">
        <v>1.19308E-2</v>
      </c>
      <c r="P3786">
        <v>0.99853049999999999</v>
      </c>
      <c r="Q3786">
        <v>6.3401380000000004E-3</v>
      </c>
      <c r="R3786">
        <v>5.3821689999999998E-2</v>
      </c>
      <c r="S3786">
        <v>3.0058289999999999</v>
      </c>
      <c r="T3786">
        <v>-0.2153426</v>
      </c>
      <c r="U3786">
        <v>-2.853394E-3</v>
      </c>
      <c r="V3786">
        <v>-4.1933110000000003E-2</v>
      </c>
      <c r="W3786">
        <v>2.007666E-2</v>
      </c>
      <c r="X3786">
        <v>0.99891870000000005</v>
      </c>
      <c r="Y3786">
        <v>1.2817719999999999E-2</v>
      </c>
      <c r="Z3786">
        <v>-1.3122699999999999E-3</v>
      </c>
      <c r="AA3786">
        <v>0.99991699999999994</v>
      </c>
      <c r="AB3786">
        <v>40</v>
      </c>
      <c r="AC3786">
        <v>0.47939999999999799</v>
      </c>
      <c r="AD3786">
        <v>-6.5645000000000106E-2</v>
      </c>
      <c r="AE3786">
        <v>-6.4000000000134999E-3</v>
      </c>
      <c r="AF3786">
        <v>1.1896688918227699E-2</v>
      </c>
      <c r="AG3786">
        <v>-6.5645000000000106E-2</v>
      </c>
      <c r="AH3786">
        <v>0.47046965260122697</v>
      </c>
      <c r="AI3786">
        <v>97.940735514005993</v>
      </c>
      <c r="AJ3786">
        <v>88.551479710577297</v>
      </c>
      <c r="AK3786">
        <v>0.47517627387206102</v>
      </c>
      <c r="AL3786">
        <v>88.849614840705698</v>
      </c>
      <c r="AM3786">
        <v>92.403779644925095</v>
      </c>
      <c r="AN3786">
        <v>1.00000001360035</v>
      </c>
    </row>
    <row r="3787" spans="1:40" x14ac:dyDescent="0.25">
      <c r="A3787" t="str">
        <f>"20190312160716832"</f>
        <v>20190312160716832</v>
      </c>
      <c r="B3787" t="str">
        <f>"1552378036819347"</f>
        <v>1552378036819347</v>
      </c>
      <c r="C3787" t="s">
        <v>40</v>
      </c>
      <c r="D3787">
        <v>6.1464210000000001</v>
      </c>
      <c r="E3787">
        <v>0.49959389999999998</v>
      </c>
      <c r="F3787" t="s">
        <v>66</v>
      </c>
      <c r="G3787">
        <v>-327.29480000000001</v>
      </c>
      <c r="H3787" s="1">
        <v>2.3451569999999999E-6</v>
      </c>
      <c r="I3787">
        <v>214.19200000000001</v>
      </c>
      <c r="J3787">
        <v>-357.75240000000002</v>
      </c>
      <c r="K3787">
        <v>1.110134</v>
      </c>
      <c r="L3787">
        <v>213.07769999999999</v>
      </c>
      <c r="M3787">
        <v>0.99982420000000005</v>
      </c>
      <c r="N3787">
        <v>0</v>
      </c>
      <c r="O3787">
        <v>1.250132E-2</v>
      </c>
      <c r="P3787">
        <v>0.99853530000000001</v>
      </c>
      <c r="Q3787">
        <v>6.1048099999999996E-3</v>
      </c>
      <c r="R3787">
        <v>5.3758279999999999E-2</v>
      </c>
      <c r="S3787">
        <v>2.9992070000000002</v>
      </c>
      <c r="T3787">
        <v>-0.1078914</v>
      </c>
      <c r="U3787">
        <v>0.1088104</v>
      </c>
      <c r="V3787">
        <v>-4.1299170000000003E-2</v>
      </c>
      <c r="W3787">
        <v>2.001373E-2</v>
      </c>
      <c r="X3787">
        <v>0.99894640000000001</v>
      </c>
      <c r="Y3787">
        <v>-2.375147E-2</v>
      </c>
      <c r="Z3787" s="1">
        <v>-2.249944E-5</v>
      </c>
      <c r="AA3787">
        <v>0.99971790000000005</v>
      </c>
      <c r="AB3787">
        <v>40</v>
      </c>
      <c r="AC3787">
        <v>30.457599999999999</v>
      </c>
      <c r="AD3787">
        <v>-1.110131654843</v>
      </c>
      <c r="AE3787">
        <v>1.1143000000000101</v>
      </c>
      <c r="AF3787">
        <v>-0.73244377638847302</v>
      </c>
      <c r="AG3787">
        <v>-1.110131654843</v>
      </c>
      <c r="AH3787">
        <v>30.4287807874267</v>
      </c>
      <c r="AI3787">
        <v>92.088787828476597</v>
      </c>
      <c r="AJ3787">
        <v>91.378886495237197</v>
      </c>
      <c r="AK3787">
        <v>30.457832595014398</v>
      </c>
      <c r="AL3787">
        <v>88.853221219464899</v>
      </c>
      <c r="AM3787">
        <v>92.367415669869601</v>
      </c>
      <c r="AN3787">
        <v>1.0000000404520799</v>
      </c>
    </row>
    <row r="3788" spans="1:40" x14ac:dyDescent="0.25">
      <c r="A3788" t="str">
        <f>"20190312160716850"</f>
        <v>20190312160716850</v>
      </c>
      <c r="B3788" t="str">
        <f>"1552378036838868"</f>
        <v>1552378036838868</v>
      </c>
      <c r="C3788" t="s">
        <v>40</v>
      </c>
      <c r="D3788">
        <v>6.1502109999999997</v>
      </c>
      <c r="E3788">
        <v>0.49675730000000001</v>
      </c>
      <c r="F3788" t="s">
        <v>77</v>
      </c>
      <c r="G3788">
        <v>-287.16250000000002</v>
      </c>
      <c r="H3788" s="1">
        <v>3.6413510000000001E-6</v>
      </c>
      <c r="I3788">
        <v>216.90889999999999</v>
      </c>
      <c r="J3788">
        <v>-357.40469999999999</v>
      </c>
      <c r="K3788">
        <v>1.110144</v>
      </c>
      <c r="L3788">
        <v>213.08250000000001</v>
      </c>
      <c r="M3788">
        <v>0.99981600000000004</v>
      </c>
      <c r="N3788">
        <v>0</v>
      </c>
      <c r="O3788">
        <v>1.299557E-2</v>
      </c>
      <c r="P3788">
        <v>0.99852249999999998</v>
      </c>
      <c r="Q3788">
        <v>6.6364170000000004E-3</v>
      </c>
      <c r="R3788">
        <v>5.3933200000000001E-2</v>
      </c>
      <c r="S3788">
        <v>2.995911</v>
      </c>
      <c r="T3788">
        <v>-4.7115089999999998E-2</v>
      </c>
      <c r="U3788">
        <v>0.16259770000000001</v>
      </c>
      <c r="V3788">
        <v>-4.0981370000000003E-2</v>
      </c>
      <c r="W3788">
        <v>2.067544E-2</v>
      </c>
      <c r="X3788">
        <v>0.998946</v>
      </c>
      <c r="Y3788">
        <v>-4.120762E-2</v>
      </c>
      <c r="Z3788">
        <v>1.195573E-4</v>
      </c>
      <c r="AA3788">
        <v>0.9991506</v>
      </c>
      <c r="AB3788">
        <v>40</v>
      </c>
      <c r="AC3788">
        <v>70.242199999999897</v>
      </c>
      <c r="AD3788">
        <v>-1.110140358649</v>
      </c>
      <c r="AE3788">
        <v>3.8263999999999698</v>
      </c>
      <c r="AF3788">
        <v>-2.91242319056032</v>
      </c>
      <c r="AG3788">
        <v>-1.110140358649</v>
      </c>
      <c r="AH3788">
        <v>70.268498533757395</v>
      </c>
      <c r="AI3788">
        <v>90.904338614230198</v>
      </c>
      <c r="AJ3788">
        <v>92.373383607310998</v>
      </c>
      <c r="AK3788">
        <v>70.337589570907795</v>
      </c>
      <c r="AL3788">
        <v>88.815300167521698</v>
      </c>
      <c r="AM3788">
        <v>92.3492196698231</v>
      </c>
      <c r="AN3788">
        <v>1.0000000287111299</v>
      </c>
    </row>
    <row r="3789" spans="1:40" x14ac:dyDescent="0.25">
      <c r="A3789" t="str">
        <f>"20190312160716874"</f>
        <v>20190312160716874</v>
      </c>
      <c r="B3789" t="str">
        <f>"1552378036869123"</f>
        <v>1552378036869123</v>
      </c>
      <c r="C3789" t="s">
        <v>40</v>
      </c>
      <c r="D3789">
        <v>6.1820940000000002</v>
      </c>
      <c r="E3789">
        <v>0.49505589999999999</v>
      </c>
      <c r="F3789" t="s">
        <v>77</v>
      </c>
      <c r="G3789">
        <v>-286.07589999999999</v>
      </c>
      <c r="H3789" s="1">
        <v>4.0524770000000002E-6</v>
      </c>
      <c r="I3789">
        <v>217.50219999999999</v>
      </c>
      <c r="J3789">
        <v>-356.98970000000003</v>
      </c>
      <c r="K3789">
        <v>1.11015</v>
      </c>
      <c r="L3789">
        <v>213.08850000000001</v>
      </c>
      <c r="M3789">
        <v>0.99980630000000004</v>
      </c>
      <c r="N3789">
        <v>0</v>
      </c>
      <c r="O3789">
        <v>1.358578E-2</v>
      </c>
      <c r="P3789">
        <v>0.99851710000000005</v>
      </c>
      <c r="Q3789">
        <v>6.9715920000000004E-3</v>
      </c>
      <c r="R3789">
        <v>5.3995229999999998E-2</v>
      </c>
      <c r="S3789">
        <v>2.9947509999999999</v>
      </c>
      <c r="T3789">
        <v>-4.6609400000000002E-2</v>
      </c>
      <c r="U3789">
        <v>0.18556210000000001</v>
      </c>
      <c r="V3789">
        <v>-4.0454129999999998E-2</v>
      </c>
      <c r="W3789">
        <v>2.1147880000000001E-2</v>
      </c>
      <c r="X3789">
        <v>0.9989576</v>
      </c>
      <c r="Y3789">
        <v>-4.8272799999999998E-2</v>
      </c>
      <c r="Z3789">
        <v>1.6404510000000001E-4</v>
      </c>
      <c r="AA3789">
        <v>0.99883420000000001</v>
      </c>
      <c r="AB3789">
        <v>40</v>
      </c>
      <c r="AC3789">
        <v>70.913799999999995</v>
      </c>
      <c r="AD3789">
        <v>-1.110145947523</v>
      </c>
      <c r="AE3789">
        <v>4.4136999999999702</v>
      </c>
      <c r="AF3789">
        <v>-3.4489336017133501</v>
      </c>
      <c r="AG3789">
        <v>-1.110145947523</v>
      </c>
      <c r="AH3789">
        <v>70.949902673712202</v>
      </c>
      <c r="AI3789">
        <v>90.895371022846007</v>
      </c>
      <c r="AJ3789">
        <v>92.783004640492194</v>
      </c>
      <c r="AK3789">
        <v>71.042355369336306</v>
      </c>
      <c r="AL3789">
        <v>88.788225428643301</v>
      </c>
      <c r="AM3789">
        <v>92.319002430137303</v>
      </c>
      <c r="AN3789">
        <v>1.00000002803015</v>
      </c>
    </row>
    <row r="3790" spans="1:40" x14ac:dyDescent="0.25">
      <c r="A3790" t="str">
        <f>"20190312160716896"</f>
        <v>20190312160716896</v>
      </c>
      <c r="B3790" t="str">
        <f>"1552378036888644"</f>
        <v>1552378036888644</v>
      </c>
      <c r="C3790" t="s">
        <v>40</v>
      </c>
      <c r="D3790">
        <v>6.2376310000000004</v>
      </c>
      <c r="E3790">
        <v>0.4940176</v>
      </c>
      <c r="F3790" t="s">
        <v>77</v>
      </c>
      <c r="G3790">
        <v>-298.57339999999999</v>
      </c>
      <c r="H3790" s="1">
        <v>2.4151899999999999E-6</v>
      </c>
      <c r="I3790">
        <v>216.97239999999999</v>
      </c>
      <c r="J3790">
        <v>-356.59160000000003</v>
      </c>
      <c r="K3790">
        <v>1.1101589999999999</v>
      </c>
      <c r="L3790">
        <v>213.09440000000001</v>
      </c>
      <c r="M3790">
        <v>0.99979680000000004</v>
      </c>
      <c r="N3790">
        <v>0</v>
      </c>
      <c r="O3790">
        <v>1.4151540000000001E-2</v>
      </c>
      <c r="P3790">
        <v>0.9984807</v>
      </c>
      <c r="Q3790">
        <v>6.832556E-3</v>
      </c>
      <c r="R3790">
        <v>5.4677200000000002E-2</v>
      </c>
      <c r="S3790">
        <v>2.9940799999999999</v>
      </c>
      <c r="T3790">
        <v>-5.6899669999999999E-2</v>
      </c>
      <c r="U3790">
        <v>0.1990662</v>
      </c>
      <c r="V3790">
        <v>-4.0570870000000002E-2</v>
      </c>
      <c r="W3790">
        <v>2.112023E-2</v>
      </c>
      <c r="X3790">
        <v>0.99895339999999999</v>
      </c>
      <c r="Y3790">
        <v>-5.2204840000000002E-2</v>
      </c>
      <c r="Z3790">
        <v>2.2685500000000001E-4</v>
      </c>
      <c r="AA3790">
        <v>0.99863639999999998</v>
      </c>
      <c r="AB3790">
        <v>40</v>
      </c>
      <c r="AC3790">
        <v>58.0182</v>
      </c>
      <c r="AD3790">
        <v>-1.1101565848099999</v>
      </c>
      <c r="AE3790">
        <v>3.8779999999999801</v>
      </c>
      <c r="AF3790">
        <v>-3.0553663900034298</v>
      </c>
      <c r="AG3790">
        <v>-1.1101565848099999</v>
      </c>
      <c r="AH3790">
        <v>58.046116176916399</v>
      </c>
      <c r="AI3790">
        <v>91.094158156327097</v>
      </c>
      <c r="AJ3790">
        <v>93.0130903323127</v>
      </c>
      <c r="AK3790">
        <v>58.137073495696598</v>
      </c>
      <c r="AL3790">
        <v>88.789809949644706</v>
      </c>
      <c r="AM3790">
        <v>92.325696892150404</v>
      </c>
      <c r="AN3790">
        <v>0.99999997748968406</v>
      </c>
    </row>
    <row r="3791" spans="1:40" x14ac:dyDescent="0.25">
      <c r="A3791" t="str">
        <f>"20190312160716918"</f>
        <v>20190312160716918</v>
      </c>
      <c r="B3791" t="str">
        <f>"1552378036909140"</f>
        <v>1552378036909140</v>
      </c>
      <c r="C3791" t="s">
        <v>40</v>
      </c>
      <c r="D3791">
        <v>6.0466569999999997</v>
      </c>
      <c r="E3791">
        <v>0.49189709999999998</v>
      </c>
      <c r="F3791" t="s">
        <v>77</v>
      </c>
      <c r="G3791">
        <v>-300.66629999999998</v>
      </c>
      <c r="H3791" s="1">
        <v>2.5350669999999998E-6</v>
      </c>
      <c r="I3791">
        <v>217.0044</v>
      </c>
      <c r="J3791">
        <v>-356.19029999999998</v>
      </c>
      <c r="K3791">
        <v>1.1101589999999999</v>
      </c>
      <c r="L3791">
        <v>213.10069999999999</v>
      </c>
      <c r="M3791">
        <v>0.99978719999999999</v>
      </c>
      <c r="N3791">
        <v>0</v>
      </c>
      <c r="O3791">
        <v>1.47215E-2</v>
      </c>
      <c r="P3791">
        <v>0.99844569999999999</v>
      </c>
      <c r="Q3791">
        <v>6.8007320000000003E-3</v>
      </c>
      <c r="R3791">
        <v>5.5317199999999997E-2</v>
      </c>
      <c r="S3791">
        <v>2.9935299999999998</v>
      </c>
      <c r="T3791">
        <v>-5.9423690000000001E-2</v>
      </c>
      <c r="U3791">
        <v>0.20928959999999999</v>
      </c>
      <c r="V3791">
        <v>-4.0641789999999997E-2</v>
      </c>
      <c r="W3791">
        <v>2.118507E-2</v>
      </c>
      <c r="X3791">
        <v>0.99894919999999998</v>
      </c>
      <c r="Y3791">
        <v>-5.5041069999999997E-2</v>
      </c>
      <c r="Z3791">
        <v>2.5375009999999999E-4</v>
      </c>
      <c r="AA3791">
        <v>0.99848409999999999</v>
      </c>
      <c r="AB3791">
        <v>40</v>
      </c>
      <c r="AC3791">
        <v>55.523999999999901</v>
      </c>
      <c r="AD3791">
        <v>-1.110156464933</v>
      </c>
      <c r="AE3791">
        <v>3.9037000000000099</v>
      </c>
      <c r="AF3791">
        <v>-3.0845679070272398</v>
      </c>
      <c r="AG3791">
        <v>-1.110156464933</v>
      </c>
      <c r="AH3791">
        <v>55.553356926372601</v>
      </c>
      <c r="AI3791">
        <v>91.143063790209297</v>
      </c>
      <c r="AJ3791">
        <v>93.178051654109694</v>
      </c>
      <c r="AK3791">
        <v>55.649999751470297</v>
      </c>
      <c r="AL3791">
        <v>88.786094127492206</v>
      </c>
      <c r="AM3791">
        <v>92.329767640485699</v>
      </c>
      <c r="AN3791">
        <v>1.0000000332329699</v>
      </c>
    </row>
    <row r="3792" spans="1:40" x14ac:dyDescent="0.25">
      <c r="A3792" t="str">
        <f>"20190312160716940"</f>
        <v>20190312160716940</v>
      </c>
      <c r="B3792" t="str">
        <f>"1552378036928659"</f>
        <v>1552378036928659</v>
      </c>
      <c r="C3792" t="s">
        <v>40</v>
      </c>
      <c r="D3792">
        <v>5.9795829999999999</v>
      </c>
      <c r="E3792">
        <v>0.49020590000000003</v>
      </c>
      <c r="F3792" t="s">
        <v>77</v>
      </c>
      <c r="G3792">
        <v>-301.3571</v>
      </c>
      <c r="H3792" s="1">
        <v>2.4125319999999998E-6</v>
      </c>
      <c r="I3792">
        <v>217.27760000000001</v>
      </c>
      <c r="J3792">
        <v>-355.8159</v>
      </c>
      <c r="K3792">
        <v>1.1101669999999999</v>
      </c>
      <c r="L3792">
        <v>213.10669999999999</v>
      </c>
      <c r="M3792">
        <v>0.99977819999999995</v>
      </c>
      <c r="N3792">
        <v>0</v>
      </c>
      <c r="O3792">
        <v>1.52535E-2</v>
      </c>
      <c r="P3792">
        <v>0.99839480000000003</v>
      </c>
      <c r="Q3792">
        <v>6.2578260000000002E-3</v>
      </c>
      <c r="R3792">
        <v>5.6292330000000002E-2</v>
      </c>
      <c r="S3792">
        <v>2.9924930000000001</v>
      </c>
      <c r="T3792">
        <v>-6.0586210000000001E-2</v>
      </c>
      <c r="U3792">
        <v>0.22795099999999999</v>
      </c>
      <c r="V3792">
        <v>-4.1085169999999997E-2</v>
      </c>
      <c r="W3792">
        <v>2.071978E-2</v>
      </c>
      <c r="X3792">
        <v>0.99894079999999996</v>
      </c>
      <c r="Y3792">
        <v>-6.0725130000000002E-2</v>
      </c>
      <c r="Z3792">
        <v>3.0544680000000002E-4</v>
      </c>
      <c r="AA3792">
        <v>0.99815449999999994</v>
      </c>
      <c r="AB3792">
        <v>40</v>
      </c>
      <c r="AC3792">
        <v>54.458799999999997</v>
      </c>
      <c r="AD3792">
        <v>-1.110164587468</v>
      </c>
      <c r="AE3792">
        <v>4.1709000000000103</v>
      </c>
      <c r="AF3792">
        <v>-3.3382605681103201</v>
      </c>
      <c r="AG3792">
        <v>-1.110164587468</v>
      </c>
      <c r="AH3792">
        <v>54.493576837209297</v>
      </c>
      <c r="AI3792">
        <v>91.164907565666795</v>
      </c>
      <c r="AJ3792">
        <v>93.505541920804006</v>
      </c>
      <c r="AK3792">
        <v>54.607017548522997</v>
      </c>
      <c r="AL3792">
        <v>88.812759107589599</v>
      </c>
      <c r="AM3792">
        <v>92.355175464375094</v>
      </c>
      <c r="AN3792">
        <v>1.0000000111909</v>
      </c>
    </row>
    <row r="3793" spans="1:40" x14ac:dyDescent="0.25">
      <c r="A3793" t="str">
        <f>"20190312160716962"</f>
        <v>20190312160716962</v>
      </c>
      <c r="B3793" t="str">
        <f>"1552378036958916"</f>
        <v>1552378036958916</v>
      </c>
      <c r="C3793" t="s">
        <v>40</v>
      </c>
      <c r="D3793">
        <v>6.1765319999999999</v>
      </c>
      <c r="E3793">
        <v>0.48892089999999999</v>
      </c>
      <c r="F3793" t="s">
        <v>77</v>
      </c>
      <c r="G3793">
        <v>-303.23829999999998</v>
      </c>
      <c r="H3793" s="1">
        <v>2.0788319999999999E-6</v>
      </c>
      <c r="I3793">
        <v>217.4015</v>
      </c>
      <c r="J3793">
        <v>-355.41890000000001</v>
      </c>
      <c r="K3793">
        <v>1.110169</v>
      </c>
      <c r="L3793">
        <v>213.11330000000001</v>
      </c>
      <c r="M3793">
        <v>0.9997684</v>
      </c>
      <c r="N3793">
        <v>0</v>
      </c>
      <c r="O3793">
        <v>1.5816879999999998E-2</v>
      </c>
      <c r="P3793">
        <v>0.9983649</v>
      </c>
      <c r="Q3793">
        <v>6.6823749999999999E-3</v>
      </c>
      <c r="R3793">
        <v>5.6772410000000002E-2</v>
      </c>
      <c r="S3793">
        <v>2.991425</v>
      </c>
      <c r="T3793">
        <v>-6.3163399999999995E-2</v>
      </c>
      <c r="U3793">
        <v>0.24435419999999999</v>
      </c>
      <c r="V3793">
        <v>-4.1003299999999999E-2</v>
      </c>
      <c r="W3793">
        <v>2.1216530000000001E-2</v>
      </c>
      <c r="X3793">
        <v>0.99893370000000004</v>
      </c>
      <c r="Y3793">
        <v>-6.5626480000000001E-2</v>
      </c>
      <c r="Z3793">
        <v>3.5826750000000001E-4</v>
      </c>
      <c r="AA3793">
        <v>0.99784419999999996</v>
      </c>
      <c r="AB3793">
        <v>40</v>
      </c>
      <c r="AC3793">
        <v>52.180599999999998</v>
      </c>
      <c r="AD3793">
        <v>-1.1101669211680001</v>
      </c>
      <c r="AE3793">
        <v>4.2881999999999802</v>
      </c>
      <c r="AF3793">
        <v>-3.4606853091571299</v>
      </c>
      <c r="AG3793">
        <v>-1.1101669211680001</v>
      </c>
      <c r="AH3793">
        <v>52.218426374220499</v>
      </c>
      <c r="AI3793">
        <v>91.215263202759303</v>
      </c>
      <c r="AJ3793">
        <v>93.791633402434201</v>
      </c>
      <c r="AK3793">
        <v>52.344750132193397</v>
      </c>
      <c r="AL3793">
        <v>88.784291125534097</v>
      </c>
      <c r="AM3793">
        <v>92.350504286748603</v>
      </c>
      <c r="AN3793">
        <v>0.99999997437591004</v>
      </c>
    </row>
    <row r="3794" spans="1:40" x14ac:dyDescent="0.25">
      <c r="A3794" t="str">
        <f>"20190312160716985"</f>
        <v>20190312160716985</v>
      </c>
      <c r="B3794" t="str">
        <f>"1552378036979411"</f>
        <v>1552378036979411</v>
      </c>
      <c r="C3794" t="s">
        <v>40</v>
      </c>
      <c r="D3794">
        <v>6.2178550000000001</v>
      </c>
      <c r="E3794">
        <v>0.48887700000000001</v>
      </c>
      <c r="F3794" t="s">
        <v>77</v>
      </c>
      <c r="G3794">
        <v>-303.62090000000001</v>
      </c>
      <c r="H3794" s="1">
        <v>2.010965E-6</v>
      </c>
      <c r="I3794">
        <v>217.5479</v>
      </c>
      <c r="J3794">
        <v>-355.01569999999998</v>
      </c>
      <c r="K3794">
        <v>1.1101760000000001</v>
      </c>
      <c r="L3794">
        <v>213.12020000000001</v>
      </c>
      <c r="M3794">
        <v>0.99975809999999998</v>
      </c>
      <c r="N3794">
        <v>0</v>
      </c>
      <c r="O3794">
        <v>1.638794E-2</v>
      </c>
      <c r="P3794">
        <v>0.99835030000000002</v>
      </c>
      <c r="Q3794">
        <v>6.7934270000000003E-3</v>
      </c>
      <c r="R3794">
        <v>5.7015299999999998E-2</v>
      </c>
      <c r="S3794">
        <v>2.9908139999999999</v>
      </c>
      <c r="T3794">
        <v>-6.4100980000000002E-2</v>
      </c>
      <c r="U3794">
        <v>0.2560577</v>
      </c>
      <c r="V3794">
        <v>-4.0675900000000001E-2</v>
      </c>
      <c r="W3794">
        <v>2.139054E-2</v>
      </c>
      <c r="X3794">
        <v>0.99894340000000004</v>
      </c>
      <c r="Y3794">
        <v>-6.8949280000000002E-2</v>
      </c>
      <c r="Z3794">
        <v>3.8692890000000001E-4</v>
      </c>
      <c r="AA3794">
        <v>0.99762010000000001</v>
      </c>
      <c r="AB3794">
        <v>40</v>
      </c>
      <c r="AC3794">
        <v>51.394799999999897</v>
      </c>
      <c r="AD3794">
        <v>-1.110173989035</v>
      </c>
      <c r="AE3794">
        <v>4.4276999999999802</v>
      </c>
      <c r="AF3794">
        <v>-3.58310018658872</v>
      </c>
      <c r="AG3794">
        <v>-1.110173989035</v>
      </c>
      <c r="AH3794">
        <v>51.436641864279402</v>
      </c>
      <c r="AI3794">
        <v>91.233453549249504</v>
      </c>
      <c r="AJ3794">
        <v>93.984813194650599</v>
      </c>
      <c r="AK3794">
        <v>51.573241312789399</v>
      </c>
      <c r="AL3794">
        <v>88.774318855183296</v>
      </c>
      <c r="AM3794">
        <v>92.331734342989293</v>
      </c>
      <c r="AN3794">
        <v>1.0000000002229299</v>
      </c>
    </row>
    <row r="3795" spans="1:40" x14ac:dyDescent="0.25">
      <c r="A3795" t="str">
        <f>"20190312160717009"</f>
        <v>20190312160717009</v>
      </c>
      <c r="B3795" t="str">
        <f>"1552378036998931"</f>
        <v>1552378036998931</v>
      </c>
      <c r="C3795" t="s">
        <v>40</v>
      </c>
      <c r="D3795">
        <v>6.2288180000000004</v>
      </c>
      <c r="E3795">
        <v>0.48887920000000001</v>
      </c>
      <c r="F3795" t="s">
        <v>77</v>
      </c>
      <c r="G3795">
        <v>-305.4128</v>
      </c>
      <c r="H3795" s="1">
        <v>1.6931210000000001E-6</v>
      </c>
      <c r="I3795">
        <v>217.38480000000001</v>
      </c>
      <c r="J3795">
        <v>-354.59660000000002</v>
      </c>
      <c r="K3795">
        <v>1.1101810000000001</v>
      </c>
      <c r="L3795">
        <v>213.1276</v>
      </c>
      <c r="M3795">
        <v>0.99974759999999996</v>
      </c>
      <c r="N3795">
        <v>0</v>
      </c>
      <c r="O3795">
        <v>1.697941E-2</v>
      </c>
      <c r="P3795">
        <v>0.99829860000000004</v>
      </c>
      <c r="Q3795">
        <v>7.0418989999999999E-3</v>
      </c>
      <c r="R3795">
        <v>5.788459E-2</v>
      </c>
      <c r="S3795">
        <v>2.990723</v>
      </c>
      <c r="T3795">
        <v>-6.6936019999999999E-2</v>
      </c>
      <c r="U3795">
        <v>0.25712590000000002</v>
      </c>
      <c r="V3795">
        <v>-4.0954770000000001E-2</v>
      </c>
      <c r="W3795">
        <v>2.169422E-2</v>
      </c>
      <c r="X3795">
        <v>0.99892539999999996</v>
      </c>
      <c r="Y3795">
        <v>-6.8714460000000005E-2</v>
      </c>
      <c r="Z3795">
        <v>3.8821409999999999E-4</v>
      </c>
      <c r="AA3795">
        <v>0.99763630000000003</v>
      </c>
      <c r="AB3795">
        <v>40</v>
      </c>
      <c r="AC3795">
        <v>49.183799999999998</v>
      </c>
      <c r="AD3795">
        <v>-1.11017930687899</v>
      </c>
      <c r="AE3795">
        <v>4.2572000000000099</v>
      </c>
      <c r="AF3795">
        <v>-3.41965450328733</v>
      </c>
      <c r="AG3795">
        <v>-1.11017930687899</v>
      </c>
      <c r="AH3795">
        <v>49.2241076076185</v>
      </c>
      <c r="AI3795">
        <v>91.288899807107896</v>
      </c>
      <c r="AJ3795">
        <v>93.974017713806703</v>
      </c>
      <c r="AK3795">
        <v>49.355235839591302</v>
      </c>
      <c r="AL3795">
        <v>88.756915163603594</v>
      </c>
      <c r="AM3795">
        <v>92.347744916192894</v>
      </c>
      <c r="AN3795">
        <v>0.99999994356615896</v>
      </c>
    </row>
    <row r="3796" spans="1:40" x14ac:dyDescent="0.25">
      <c r="A3796" t="str">
        <f>"20190312160717031"</f>
        <v>20190312160717031</v>
      </c>
      <c r="B3796" t="str">
        <f>"1552378037019428"</f>
        <v>1552378037019428</v>
      </c>
      <c r="C3796" t="s">
        <v>40</v>
      </c>
      <c r="D3796">
        <v>6.2781969999999996</v>
      </c>
      <c r="E3796">
        <v>0.48887849999999999</v>
      </c>
      <c r="F3796" t="s">
        <v>77</v>
      </c>
      <c r="G3796">
        <v>-305.29930000000002</v>
      </c>
      <c r="H3796" s="1">
        <v>1.713247E-6</v>
      </c>
      <c r="I3796">
        <v>217.40639999999999</v>
      </c>
      <c r="J3796">
        <v>-354.21980000000002</v>
      </c>
      <c r="K3796">
        <v>1.110187</v>
      </c>
      <c r="L3796">
        <v>213.1345</v>
      </c>
      <c r="M3796">
        <v>0.99973780000000001</v>
      </c>
      <c r="N3796">
        <v>0</v>
      </c>
      <c r="O3796">
        <v>1.7508320000000001E-2</v>
      </c>
      <c r="P3796">
        <v>0.99825920000000001</v>
      </c>
      <c r="Q3796">
        <v>7.3827729999999996E-3</v>
      </c>
      <c r="R3796">
        <v>5.8518529999999999E-2</v>
      </c>
      <c r="S3796">
        <v>2.9905400000000002</v>
      </c>
      <c r="T3796">
        <v>-6.7347290000000004E-2</v>
      </c>
      <c r="U3796">
        <v>0.2595673</v>
      </c>
      <c r="V3796">
        <v>-4.1061109999999998E-2</v>
      </c>
      <c r="W3796">
        <v>2.20775E-2</v>
      </c>
      <c r="X3796">
        <v>0.99891269999999999</v>
      </c>
      <c r="Y3796">
        <v>-6.9000179999999994E-2</v>
      </c>
      <c r="Z3796">
        <v>3.8193729999999999E-4</v>
      </c>
      <c r="AA3796">
        <v>0.99761659999999996</v>
      </c>
      <c r="AB3796">
        <v>40</v>
      </c>
      <c r="AC3796">
        <v>48.920499999999997</v>
      </c>
      <c r="AD3796">
        <v>-1.110185286753</v>
      </c>
      <c r="AE3796">
        <v>4.27189999999998</v>
      </c>
      <c r="AF3796">
        <v>-3.4128916505126701</v>
      </c>
      <c r="AG3796">
        <v>-1.110185286753</v>
      </c>
      <c r="AH3796">
        <v>48.962776537292903</v>
      </c>
      <c r="AI3796">
        <v>91.295762872383904</v>
      </c>
      <c r="AJ3796">
        <v>93.987284413694795</v>
      </c>
      <c r="AK3796">
        <v>49.094132307537002</v>
      </c>
      <c r="AL3796">
        <v>88.734949654184902</v>
      </c>
      <c r="AM3796">
        <v>92.353863934524298</v>
      </c>
      <c r="AN3796">
        <v>1.00000000649098</v>
      </c>
    </row>
    <row r="3797" spans="1:40" x14ac:dyDescent="0.25">
      <c r="A3797" t="str">
        <f>"20190312160717053"</f>
        <v>20190312160717053</v>
      </c>
      <c r="B3797" t="str">
        <f>"1552378037048707"</f>
        <v>1552378037048707</v>
      </c>
      <c r="C3797" t="s">
        <v>40</v>
      </c>
      <c r="D3797">
        <v>6.2278120000000001</v>
      </c>
      <c r="E3797">
        <v>0.4888866</v>
      </c>
      <c r="F3797" t="s">
        <v>77</v>
      </c>
      <c r="G3797">
        <v>-305.66719999999998</v>
      </c>
      <c r="H3797" s="1">
        <v>1.647994E-6</v>
      </c>
      <c r="I3797">
        <v>217.37710000000001</v>
      </c>
      <c r="J3797">
        <v>-353.81479999999999</v>
      </c>
      <c r="K3797">
        <v>1.110187</v>
      </c>
      <c r="L3797">
        <v>213.1422</v>
      </c>
      <c r="M3797">
        <v>0.99972709999999998</v>
      </c>
      <c r="N3797">
        <v>0</v>
      </c>
      <c r="O3797">
        <v>1.807048E-2</v>
      </c>
      <c r="P3797">
        <v>0.99819429999999998</v>
      </c>
      <c r="Q3797">
        <v>7.4527550000000001E-3</v>
      </c>
      <c r="R3797">
        <v>5.960244E-2</v>
      </c>
      <c r="S3797">
        <v>2.9904480000000002</v>
      </c>
      <c r="T3797">
        <v>-6.8378449999999993E-2</v>
      </c>
      <c r="U3797">
        <v>0.26130679999999901</v>
      </c>
      <c r="V3797">
        <v>-4.1584009999999998E-2</v>
      </c>
      <c r="W3797">
        <v>2.2186190000000001E-2</v>
      </c>
      <c r="X3797">
        <v>0.99888869999999996</v>
      </c>
      <c r="Y3797">
        <v>-6.9017499999999996E-2</v>
      </c>
      <c r="Z3797">
        <v>3.7516049999999999E-4</v>
      </c>
      <c r="AA3797">
        <v>0.99761540000000004</v>
      </c>
      <c r="AB3797">
        <v>39</v>
      </c>
      <c r="AC3797">
        <v>48.147599999999997</v>
      </c>
      <c r="AD3797">
        <v>-1.1101853520059899</v>
      </c>
      <c r="AE3797">
        <v>4.2348999999999997</v>
      </c>
      <c r="AF3797">
        <v>-3.3622888436308198</v>
      </c>
      <c r="AG3797">
        <v>-1.1101853520059899</v>
      </c>
      <c r="AH3797">
        <v>48.190846681431303</v>
      </c>
      <c r="AI3797">
        <v>91.316505399175895</v>
      </c>
      <c r="AJ3797">
        <v>93.991074897188199</v>
      </c>
      <c r="AK3797">
        <v>48.320753322532497</v>
      </c>
      <c r="AL3797">
        <v>88.728720700392202</v>
      </c>
      <c r="AM3797">
        <v>92.383862478972503</v>
      </c>
      <c r="AN3797">
        <v>1.0000000459510401</v>
      </c>
    </row>
    <row r="3798" spans="1:40" x14ac:dyDescent="0.25">
      <c r="A3798" t="str">
        <f>"20190312160717074"</f>
        <v>20190312160717074</v>
      </c>
      <c r="B3798" t="str">
        <f>"1552378037069203"</f>
        <v>1552378037069203</v>
      </c>
      <c r="C3798" t="s">
        <v>40</v>
      </c>
      <c r="D3798">
        <v>6.3789720000000001</v>
      </c>
      <c r="E3798">
        <v>0.48926560000000002</v>
      </c>
      <c r="F3798" t="s">
        <v>77</v>
      </c>
      <c r="G3798">
        <v>-307.3716</v>
      </c>
      <c r="H3798" s="1">
        <v>1.3456610000000001E-6</v>
      </c>
      <c r="I3798">
        <v>217.2474</v>
      </c>
      <c r="J3798">
        <v>-353.4572</v>
      </c>
      <c r="K3798">
        <v>1.1101859999999999</v>
      </c>
      <c r="L3798">
        <v>213.1491</v>
      </c>
      <c r="M3798">
        <v>0.99971779999999999</v>
      </c>
      <c r="N3798">
        <v>0</v>
      </c>
      <c r="O3798">
        <v>1.8556509999999998E-2</v>
      </c>
      <c r="P3798">
        <v>0.99810149999999997</v>
      </c>
      <c r="Q3798">
        <v>7.2749569999999899E-3</v>
      </c>
      <c r="R3798">
        <v>6.1161840000000002E-2</v>
      </c>
      <c r="S3798">
        <v>2.9902039999999999</v>
      </c>
      <c r="T3798">
        <v>-7.1478249999999993E-2</v>
      </c>
      <c r="U3798">
        <v>0.26431270000000001</v>
      </c>
      <c r="V3798">
        <v>-4.2658679999999997E-2</v>
      </c>
      <c r="W3798">
        <v>2.2035550000000001E-2</v>
      </c>
      <c r="X3798">
        <v>0.99884669999999998</v>
      </c>
      <c r="Y3798">
        <v>-6.9533499999999998E-2</v>
      </c>
      <c r="Z3798">
        <v>3.867438E-4</v>
      </c>
      <c r="AA3798">
        <v>0.99757949999999995</v>
      </c>
      <c r="AB3798">
        <v>39</v>
      </c>
      <c r="AC3798">
        <v>46.085599999999999</v>
      </c>
      <c r="AD3798">
        <v>-1.1101846543389999</v>
      </c>
      <c r="AE3798">
        <v>4.0982999999999903</v>
      </c>
      <c r="AF3798">
        <v>-3.2404464893529501</v>
      </c>
      <c r="AG3798">
        <v>-1.1101846543389999</v>
      </c>
      <c r="AH3798">
        <v>46.127163408457598</v>
      </c>
      <c r="AI3798">
        <v>91.375335556998294</v>
      </c>
      <c r="AJ3798">
        <v>94.018443181580693</v>
      </c>
      <c r="AK3798">
        <v>46.254169623155498</v>
      </c>
      <c r="AL3798">
        <v>88.737353825756301</v>
      </c>
      <c r="AM3798">
        <v>92.445498316576803</v>
      </c>
      <c r="AN3798">
        <v>1.0000000292720099</v>
      </c>
    </row>
    <row r="3799" spans="1:40" x14ac:dyDescent="0.25">
      <c r="A3799" t="str">
        <f>"20190312160717097"</f>
        <v>20190312160717097</v>
      </c>
      <c r="B3799" t="str">
        <f>"1552378037088723"</f>
        <v>1552378037088723</v>
      </c>
      <c r="C3799" t="s">
        <v>40</v>
      </c>
      <c r="D3799">
        <v>6.2404500000000001</v>
      </c>
      <c r="E3799">
        <v>0.48930689999999999</v>
      </c>
      <c r="F3799" t="s">
        <v>77</v>
      </c>
      <c r="G3799">
        <v>-310.0523</v>
      </c>
      <c r="H3799" s="1">
        <v>9.2884610000000005E-7</v>
      </c>
      <c r="I3799">
        <v>217.0086</v>
      </c>
      <c r="J3799">
        <v>-353.0403</v>
      </c>
      <c r="K3799">
        <v>1.110174</v>
      </c>
      <c r="L3799">
        <v>213.1574</v>
      </c>
      <c r="M3799">
        <v>0.99970709999999996</v>
      </c>
      <c r="N3799">
        <v>0</v>
      </c>
      <c r="O3799">
        <v>1.910363E-2</v>
      </c>
      <c r="P3799">
        <v>0.99801249999999997</v>
      </c>
      <c r="Q3799">
        <v>7.2045019999999998E-3</v>
      </c>
      <c r="R3799">
        <v>6.2604989999999999E-2</v>
      </c>
      <c r="S3799">
        <v>2.9898989999999999</v>
      </c>
      <c r="T3799">
        <v>-7.6473830000000007E-2</v>
      </c>
      <c r="U3799">
        <v>0.26585389999999998</v>
      </c>
      <c r="V3799">
        <v>-4.3555080000000003E-2</v>
      </c>
      <c r="W3799">
        <v>2.1993120000000001E-2</v>
      </c>
      <c r="X3799">
        <v>0.9988089</v>
      </c>
      <c r="Y3799">
        <v>-6.9504759999999999E-2</v>
      </c>
      <c r="Z3799">
        <v>3.9947289999999998E-4</v>
      </c>
      <c r="AA3799">
        <v>0.99758150000000001</v>
      </c>
      <c r="AB3799">
        <v>39</v>
      </c>
      <c r="AC3799">
        <v>42.988</v>
      </c>
      <c r="AD3799">
        <v>-1.1101730711539</v>
      </c>
      <c r="AE3799">
        <v>3.8512</v>
      </c>
      <c r="AF3799">
        <v>-3.0271766539245202</v>
      </c>
      <c r="AG3799">
        <v>-1.1101730711539</v>
      </c>
      <c r="AH3799">
        <v>43.025266560933296</v>
      </c>
      <c r="AI3799">
        <v>91.474421268820095</v>
      </c>
      <c r="AJ3799">
        <v>94.024590860043006</v>
      </c>
      <c r="AK3799">
        <v>43.145913426202299</v>
      </c>
      <c r="AL3799">
        <v>88.739785413459899</v>
      </c>
      <c r="AM3799">
        <v>92.496916334433706</v>
      </c>
      <c r="AN3799">
        <v>0.99999998052017502</v>
      </c>
    </row>
    <row r="3800" spans="1:40" x14ac:dyDescent="0.25">
      <c r="A3800" t="str">
        <f>"20190312160717118"</f>
        <v>20190312160717118</v>
      </c>
      <c r="B3800" t="str">
        <f>"1552378037109223"</f>
        <v>1552378037109223</v>
      </c>
      <c r="C3800" t="s">
        <v>40</v>
      </c>
      <c r="D3800">
        <v>6.4649169999999998</v>
      </c>
      <c r="E3800">
        <v>0.491006</v>
      </c>
      <c r="F3800" t="s">
        <v>77</v>
      </c>
      <c r="G3800">
        <v>-310.46980000000002</v>
      </c>
      <c r="H3800" s="1">
        <v>1.1139869999999999E-6</v>
      </c>
      <c r="I3800">
        <v>216.99510000000001</v>
      </c>
      <c r="J3800">
        <v>-352.66320000000002</v>
      </c>
      <c r="K3800">
        <v>1.110161</v>
      </c>
      <c r="L3800">
        <v>213.16499999999999</v>
      </c>
      <c r="M3800">
        <v>0.99969759999999996</v>
      </c>
      <c r="N3800">
        <v>0</v>
      </c>
      <c r="O3800">
        <v>1.957474E-2</v>
      </c>
      <c r="P3800">
        <v>0.99795679999999998</v>
      </c>
      <c r="Q3800">
        <v>6.9457420000000004E-3</v>
      </c>
      <c r="R3800">
        <v>6.3514719999999997E-2</v>
      </c>
      <c r="S3800">
        <v>2.9896240000000001</v>
      </c>
      <c r="T3800">
        <v>-7.7964899999999906E-2</v>
      </c>
      <c r="U3800">
        <v>0.26951599999999998</v>
      </c>
      <c r="V3800">
        <v>-4.3993940000000002E-2</v>
      </c>
      <c r="W3800">
        <v>2.1756669999999999E-2</v>
      </c>
      <c r="X3800">
        <v>0.99879490000000004</v>
      </c>
      <c r="Y3800">
        <v>-7.0254239999999996E-2</v>
      </c>
      <c r="Z3800">
        <v>4.0477349999999999E-4</v>
      </c>
      <c r="AA3800">
        <v>0.997529</v>
      </c>
      <c r="AB3800">
        <v>39</v>
      </c>
      <c r="AC3800">
        <v>42.193399999999997</v>
      </c>
      <c r="AD3800">
        <v>-1.110159886013</v>
      </c>
      <c r="AE3800">
        <v>3.8301000000000101</v>
      </c>
      <c r="AF3800">
        <v>-3.0012888870520702</v>
      </c>
      <c r="AG3800">
        <v>-1.110159886013</v>
      </c>
      <c r="AH3800">
        <v>42.231298358129699</v>
      </c>
      <c r="AI3800">
        <v>91.502035685503301</v>
      </c>
      <c r="AJ3800">
        <v>94.065055119451102</v>
      </c>
      <c r="AK3800">
        <v>42.352364172138302</v>
      </c>
      <c r="AL3800">
        <v>88.753336312316307</v>
      </c>
      <c r="AM3800">
        <v>92.522078188513504</v>
      </c>
      <c r="AN3800">
        <v>1.0000000358561101</v>
      </c>
    </row>
    <row r="3801" spans="1:40" x14ac:dyDescent="0.25">
      <c r="A3801" t="str">
        <f>"20190312160717141"</f>
        <v>20190312160717141</v>
      </c>
      <c r="B3801" t="str">
        <f>"1552378037128740"</f>
        <v>1552378037128740</v>
      </c>
      <c r="C3801" t="s">
        <v>40</v>
      </c>
      <c r="D3801">
        <v>6.2872399999999997</v>
      </c>
      <c r="E3801">
        <v>0.57065969999999999</v>
      </c>
      <c r="F3801" t="s">
        <v>77</v>
      </c>
      <c r="G3801">
        <v>-313.70100000000002</v>
      </c>
      <c r="H3801" s="1">
        <v>2.5468809999999998E-6</v>
      </c>
      <c r="I3801">
        <v>216.536</v>
      </c>
      <c r="J3801">
        <v>-352.26889999999997</v>
      </c>
      <c r="K3801">
        <v>1.1101399999999999</v>
      </c>
      <c r="L3801">
        <v>213.17320000000001</v>
      </c>
      <c r="M3801">
        <v>0.99968809999999997</v>
      </c>
      <c r="N3801">
        <v>0</v>
      </c>
      <c r="O3801">
        <v>2.004305E-2</v>
      </c>
      <c r="P3801">
        <v>0.99787919999999997</v>
      </c>
      <c r="Q3801">
        <v>7.0642600000000002E-3</v>
      </c>
      <c r="R3801">
        <v>6.4710299999999998E-2</v>
      </c>
      <c r="S3801">
        <v>2.9902340000000001</v>
      </c>
      <c r="T3801">
        <v>-8.5201379999999993E-2</v>
      </c>
      <c r="U3801">
        <v>0.25871280000000002</v>
      </c>
      <c r="V3801">
        <v>-4.4721999999999998E-2</v>
      </c>
      <c r="W3801">
        <v>2.1895390000000001E-2</v>
      </c>
      <c r="X3801">
        <v>0.99875950000000002</v>
      </c>
      <c r="Y3801">
        <v>-6.619063E-2</v>
      </c>
      <c r="Z3801">
        <v>3.7122119999999999E-4</v>
      </c>
      <c r="AA3801">
        <v>0.99780690000000005</v>
      </c>
      <c r="AB3801">
        <v>39</v>
      </c>
      <c r="AC3801">
        <v>38.567900000000002</v>
      </c>
      <c r="AD3801">
        <v>-1.11013745311899</v>
      </c>
      <c r="AE3801">
        <v>3.36279999999996</v>
      </c>
      <c r="AF3801">
        <v>-2.5868930501949201</v>
      </c>
      <c r="AG3801">
        <v>-1.11013745311899</v>
      </c>
      <c r="AH3801">
        <v>38.595822896166297</v>
      </c>
      <c r="AI3801">
        <v>91.643866597461695</v>
      </c>
      <c r="AJ3801">
        <v>93.834526343242501</v>
      </c>
      <c r="AK3801">
        <v>38.698345776663402</v>
      </c>
      <c r="AL3801">
        <v>88.745386305910699</v>
      </c>
      <c r="AM3801">
        <v>92.563851817148105</v>
      </c>
      <c r="AN3801">
        <v>1.0000000021137501</v>
      </c>
    </row>
    <row r="3802" spans="1:40" x14ac:dyDescent="0.25">
      <c r="A3802" t="str">
        <f>"20190312160717163"</f>
        <v>20190312160717163</v>
      </c>
      <c r="B3802" t="str">
        <f>"1552378037158996"</f>
        <v>1552378037158996</v>
      </c>
      <c r="C3802" t="s">
        <v>40</v>
      </c>
      <c r="D3802">
        <v>6.2993110000000003</v>
      </c>
      <c r="E3802">
        <v>0.57976689999999997</v>
      </c>
      <c r="F3802" t="s">
        <v>44</v>
      </c>
      <c r="G3802">
        <v>-351.36369999999999</v>
      </c>
      <c r="H3802">
        <v>0.94258759999999997</v>
      </c>
      <c r="I3802">
        <v>213.0574</v>
      </c>
      <c r="J3802">
        <v>-351.87849999999997</v>
      </c>
      <c r="K3802">
        <v>1.110128</v>
      </c>
      <c r="L3802">
        <v>213.1814</v>
      </c>
      <c r="M3802">
        <v>0.99967919999999999</v>
      </c>
      <c r="N3802">
        <v>0</v>
      </c>
      <c r="O3802">
        <v>2.0478030000000001E-2</v>
      </c>
      <c r="P3802">
        <v>0.99784329999999999</v>
      </c>
      <c r="Q3802">
        <v>7.1974600000000001E-3</v>
      </c>
      <c r="R3802">
        <v>6.5245269999999994E-2</v>
      </c>
      <c r="S3802">
        <v>3.0355829999999999</v>
      </c>
      <c r="T3802">
        <v>-0.56183289999999997</v>
      </c>
      <c r="U3802">
        <v>-0.38845829999999998</v>
      </c>
      <c r="V3802">
        <v>-4.4821859999999998E-2</v>
      </c>
      <c r="W3802">
        <v>2.2046509999999998E-2</v>
      </c>
      <c r="X3802">
        <v>0.99875170000000002</v>
      </c>
      <c r="Y3802">
        <v>0.1444628</v>
      </c>
      <c r="Z3802">
        <v>-1.6948439999999999E-2</v>
      </c>
      <c r="AA3802">
        <v>0.9893651</v>
      </c>
      <c r="AB3802">
        <v>39</v>
      </c>
      <c r="AC3802">
        <v>0.51479999999997905</v>
      </c>
      <c r="AD3802">
        <v>-0.16754040000000001</v>
      </c>
      <c r="AE3802">
        <v>-0.123999999999995</v>
      </c>
      <c r="AF3802">
        <v>0.122276406726676</v>
      </c>
      <c r="AG3802">
        <v>-0.16754040000000001</v>
      </c>
      <c r="AH3802">
        <v>0.46554744441115198</v>
      </c>
      <c r="AI3802">
        <v>109.191601476383</v>
      </c>
      <c r="AJ3802">
        <v>75.283613409113499</v>
      </c>
      <c r="AK3802">
        <v>0.50966236693707501</v>
      </c>
      <c r="AL3802">
        <v>88.736725678241001</v>
      </c>
      <c r="AM3802">
        <v>92.569589032174505</v>
      </c>
      <c r="AN3802">
        <v>1.0000000029949601</v>
      </c>
    </row>
    <row r="3803" spans="1:40" x14ac:dyDescent="0.25">
      <c r="A3803" t="str">
        <f>"20190312160717186"</f>
        <v>20190312160717186</v>
      </c>
      <c r="B3803" t="str">
        <f>"1552378037179492"</f>
        <v>1552378037179492</v>
      </c>
      <c r="C3803" t="s">
        <v>40</v>
      </c>
      <c r="D3803">
        <v>7.2652399999999897</v>
      </c>
      <c r="E3803">
        <v>0.57484380000000002</v>
      </c>
      <c r="F3803" t="s">
        <v>44</v>
      </c>
      <c r="G3803">
        <v>-351.02670000000001</v>
      </c>
      <c r="H3803">
        <v>0.91221870000000005</v>
      </c>
      <c r="I3803">
        <v>213.05099999999999</v>
      </c>
      <c r="J3803">
        <v>-351.48480000000001</v>
      </c>
      <c r="K3803">
        <v>1.1101110000000001</v>
      </c>
      <c r="L3803">
        <v>213.18989999999999</v>
      </c>
      <c r="M3803">
        <v>0.99967050000000002</v>
      </c>
      <c r="N3803">
        <v>0</v>
      </c>
      <c r="O3803">
        <v>2.0884360000000001E-2</v>
      </c>
      <c r="P3803">
        <v>0.99786660000000005</v>
      </c>
      <c r="Q3803">
        <v>7.2703500000000001E-3</v>
      </c>
      <c r="R3803">
        <v>6.4880759999999996E-2</v>
      </c>
      <c r="S3803">
        <v>3.0419010000000002</v>
      </c>
      <c r="T3803">
        <v>-0.70685359999999997</v>
      </c>
      <c r="U3803">
        <v>-0.4642792</v>
      </c>
      <c r="V3803">
        <v>-4.40493E-2</v>
      </c>
      <c r="W3803">
        <v>2.2136610000000001E-2</v>
      </c>
      <c r="X3803">
        <v>0.99878409999999995</v>
      </c>
      <c r="Y3803">
        <v>0.16660820000000001</v>
      </c>
      <c r="Z3803">
        <v>-2.376209E-2</v>
      </c>
      <c r="AA3803">
        <v>0.98573679999999997</v>
      </c>
      <c r="AB3803">
        <v>39</v>
      </c>
      <c r="AC3803">
        <v>0.45810000000000101</v>
      </c>
      <c r="AD3803">
        <v>-0.19789229999999999</v>
      </c>
      <c r="AE3803">
        <v>-0.13890000000000599</v>
      </c>
      <c r="AF3803">
        <v>0.12677255479331401</v>
      </c>
      <c r="AG3803">
        <v>-0.19789229999999999</v>
      </c>
      <c r="AH3803">
        <v>0.388674689915539</v>
      </c>
      <c r="AI3803">
        <v>115.82927149949801</v>
      </c>
      <c r="AJ3803">
        <v>71.935423139695203</v>
      </c>
      <c r="AK3803">
        <v>0.45420332190446899</v>
      </c>
      <c r="AL3803">
        <v>88.731562095471304</v>
      </c>
      <c r="AM3803">
        <v>92.525275023318102</v>
      </c>
      <c r="AN3803">
        <v>1.00000002437279</v>
      </c>
    </row>
    <row r="3804" spans="1:40" x14ac:dyDescent="0.25">
      <c r="A3804" t="str">
        <f>"20190312160717209"</f>
        <v>20190312160717209</v>
      </c>
      <c r="B3804" t="str">
        <f>"1552378037199011"</f>
        <v>1552378037199011</v>
      </c>
      <c r="C3804" t="s">
        <v>40</v>
      </c>
      <c r="D3804">
        <v>6.301323</v>
      </c>
      <c r="E3804">
        <v>0.57686319999999902</v>
      </c>
      <c r="F3804" t="s">
        <v>44</v>
      </c>
      <c r="G3804">
        <v>-350.6635</v>
      </c>
      <c r="H3804">
        <v>0.94546249999999998</v>
      </c>
      <c r="I3804">
        <v>213.07550000000001</v>
      </c>
      <c r="J3804">
        <v>-351.08240000000001</v>
      </c>
      <c r="K3804">
        <v>1.1100890000000001</v>
      </c>
      <c r="L3804">
        <v>213.1987</v>
      </c>
      <c r="M3804">
        <v>0.9996623</v>
      </c>
      <c r="N3804">
        <v>0</v>
      </c>
      <c r="O3804">
        <v>2.1266179999999999E-2</v>
      </c>
      <c r="P3804">
        <v>0.99790310000000004</v>
      </c>
      <c r="Q3804">
        <v>7.6288830000000004E-3</v>
      </c>
      <c r="R3804">
        <v>6.4275319999999997E-2</v>
      </c>
      <c r="S3804">
        <v>3.0383300000000002</v>
      </c>
      <c r="T3804">
        <v>-0.6091126</v>
      </c>
      <c r="U3804">
        <v>-0.422821</v>
      </c>
      <c r="V3804">
        <v>-4.3060210000000002E-2</v>
      </c>
      <c r="W3804">
        <v>2.2510840000000001E-2</v>
      </c>
      <c r="X3804">
        <v>0.99881880000000001</v>
      </c>
      <c r="Y3804">
        <v>0.15541650000000001</v>
      </c>
      <c r="Z3804">
        <v>-1.9556819999999999E-2</v>
      </c>
      <c r="AA3804">
        <v>0.98765550000000002</v>
      </c>
      <c r="AB3804">
        <v>39</v>
      </c>
      <c r="AC3804">
        <v>0.41890000000000699</v>
      </c>
      <c r="AD3804">
        <v>-0.16462649999999901</v>
      </c>
      <c r="AE3804">
        <v>-0.12319999999999701</v>
      </c>
      <c r="AF3804">
        <v>0.11564277867113699</v>
      </c>
      <c r="AG3804">
        <v>-0.16462649999999901</v>
      </c>
      <c r="AH3804">
        <v>0.36438694827872498</v>
      </c>
      <c r="AI3804">
        <v>113.29789397214</v>
      </c>
      <c r="AJ3804">
        <v>72.392510025400099</v>
      </c>
      <c r="AK3804">
        <v>0.41623669328509899</v>
      </c>
      <c r="AL3804">
        <v>88.710114865178994</v>
      </c>
      <c r="AM3804">
        <v>92.468557391993002</v>
      </c>
      <c r="AN3804">
        <v>0.999999957418093</v>
      </c>
    </row>
    <row r="3805" spans="1:40" x14ac:dyDescent="0.25">
      <c r="A3805" t="str">
        <f>"20190312160717232"</f>
        <v>20190312160717232</v>
      </c>
      <c r="B3805" t="str">
        <f>"1552378037218532"</f>
        <v>1552378037218532</v>
      </c>
      <c r="C3805" t="s">
        <v>40</v>
      </c>
      <c r="D3805">
        <v>6.2545630000000001</v>
      </c>
      <c r="E3805">
        <v>0.57810119999999998</v>
      </c>
      <c r="F3805" t="s">
        <v>44</v>
      </c>
      <c r="G3805">
        <v>-350.31479999999999</v>
      </c>
      <c r="H3805">
        <v>0.94525610000000004</v>
      </c>
      <c r="I3805">
        <v>213.0866</v>
      </c>
      <c r="J3805">
        <v>-350.69699999999898</v>
      </c>
      <c r="K3805">
        <v>1.110069</v>
      </c>
      <c r="L3805">
        <v>213.2072</v>
      </c>
      <c r="M3805">
        <v>0.99965479999999995</v>
      </c>
      <c r="N3805">
        <v>0</v>
      </c>
      <c r="O3805">
        <v>2.1604849999999998E-2</v>
      </c>
      <c r="P3805">
        <v>0.99791470000000004</v>
      </c>
      <c r="Q3805">
        <v>8.2245410000000001E-3</v>
      </c>
      <c r="R3805">
        <v>6.4020750000000001E-2</v>
      </c>
      <c r="S3805">
        <v>3.0397639999999999</v>
      </c>
      <c r="T3805">
        <v>-0.65290090000000001</v>
      </c>
      <c r="U3805">
        <v>-0.44247439999999999</v>
      </c>
      <c r="V3805">
        <v>-4.2466169999999998E-2</v>
      </c>
      <c r="W3805">
        <v>2.3118639999999999E-2</v>
      </c>
      <c r="X3805">
        <v>0.99883040000000001</v>
      </c>
      <c r="Y3805">
        <v>0.16130320000000001</v>
      </c>
      <c r="Z3805">
        <v>-2.1607620000000001E-2</v>
      </c>
      <c r="AA3805">
        <v>0.98666830000000005</v>
      </c>
      <c r="AB3805">
        <v>39</v>
      </c>
      <c r="AC3805">
        <v>0.38219999999995402</v>
      </c>
      <c r="AD3805">
        <v>-0.16481290000000001</v>
      </c>
      <c r="AE3805">
        <v>-0.120599999999996</v>
      </c>
      <c r="AF3805">
        <v>0.110194679009149</v>
      </c>
      <c r="AG3805">
        <v>-0.16481290000000001</v>
      </c>
      <c r="AH3805">
        <v>0.32460900912480301</v>
      </c>
      <c r="AI3805">
        <v>115.677328839932</v>
      </c>
      <c r="AJ3805">
        <v>71.249245310451499</v>
      </c>
      <c r="AK3805">
        <v>0.38036452002431298</v>
      </c>
      <c r="AL3805">
        <v>88.675281487976505</v>
      </c>
      <c r="AM3805">
        <v>92.434515265594499</v>
      </c>
      <c r="AN3805">
        <v>1.0000000075370299</v>
      </c>
    </row>
    <row r="3806" spans="1:40" x14ac:dyDescent="0.25">
      <c r="A3806" t="str">
        <f>"20190312160717254"</f>
        <v>20190312160717254</v>
      </c>
      <c r="B3806" t="str">
        <f>"1552378037248788"</f>
        <v>1552378037248788</v>
      </c>
      <c r="C3806" t="s">
        <v>40</v>
      </c>
      <c r="D3806">
        <v>6.2947119999999996</v>
      </c>
      <c r="E3806">
        <v>0.591553</v>
      </c>
      <c r="F3806" t="s">
        <v>44</v>
      </c>
      <c r="G3806">
        <v>-349.96499999999997</v>
      </c>
      <c r="H3806">
        <v>0.94837199999999999</v>
      </c>
      <c r="I3806">
        <v>213.09780000000001</v>
      </c>
      <c r="J3806">
        <v>-350.30130000000003</v>
      </c>
      <c r="K3806">
        <v>1.1100509999999999</v>
      </c>
      <c r="L3806">
        <v>213.21610000000001</v>
      </c>
      <c r="M3806">
        <v>0.99964759999999997</v>
      </c>
      <c r="N3806">
        <v>0</v>
      </c>
      <c r="O3806">
        <v>2.1932190000000001E-2</v>
      </c>
      <c r="P3806">
        <v>0.99790319999999999</v>
      </c>
      <c r="Q3806">
        <v>8.2360379999999993E-3</v>
      </c>
      <c r="R3806">
        <v>6.4198539999999998E-2</v>
      </c>
      <c r="S3806">
        <v>3.0409549999999999</v>
      </c>
      <c r="T3806">
        <v>-0.6717651</v>
      </c>
      <c r="U3806">
        <v>-0.45433040000000002</v>
      </c>
      <c r="V3806">
        <v>-4.2315650000000003E-2</v>
      </c>
      <c r="W3806">
        <v>2.3139139999999999E-2</v>
      </c>
      <c r="X3806">
        <v>0.99883630000000001</v>
      </c>
      <c r="Y3806">
        <v>0.16500879999999901</v>
      </c>
      <c r="Z3806">
        <v>-2.2676600000000002E-2</v>
      </c>
      <c r="AA3806">
        <v>0.9860314</v>
      </c>
      <c r="AB3806">
        <v>39</v>
      </c>
      <c r="AC3806">
        <v>0.336300000000051</v>
      </c>
      <c r="AD3806">
        <v>-0.16167899999999999</v>
      </c>
      <c r="AE3806">
        <v>-0.118300000000004</v>
      </c>
      <c r="AF3806">
        <v>0.10421372717046599</v>
      </c>
      <c r="AG3806">
        <v>-0.16167899999999999</v>
      </c>
      <c r="AH3806">
        <v>0.27671096769049403</v>
      </c>
      <c r="AI3806">
        <v>118.669627971</v>
      </c>
      <c r="AJ3806">
        <v>69.362832344690901</v>
      </c>
      <c r="AK3806">
        <v>0.33700083028379901</v>
      </c>
      <c r="AL3806">
        <v>88.6741065924178</v>
      </c>
      <c r="AM3806">
        <v>92.425882217970198</v>
      </c>
      <c r="AN3806">
        <v>0.99999999411627605</v>
      </c>
    </row>
    <row r="3807" spans="1:40" x14ac:dyDescent="0.25">
      <c r="A3807" t="str">
        <f>"20190312160717276"</f>
        <v>20190312160717276</v>
      </c>
      <c r="B3807" t="str">
        <f>"1552378037269284"</f>
        <v>1552378037269284</v>
      </c>
      <c r="C3807" t="s">
        <v>40</v>
      </c>
      <c r="D3807">
        <v>6.3884019999999904</v>
      </c>
      <c r="E3807">
        <v>0.57733080000000003</v>
      </c>
      <c r="F3807" t="s">
        <v>66</v>
      </c>
      <c r="G3807">
        <v>-335.72089999999997</v>
      </c>
      <c r="H3807" s="1">
        <v>1.6830020000000001E-6</v>
      </c>
      <c r="I3807">
        <v>210.6028</v>
      </c>
      <c r="J3807">
        <v>-349.9282</v>
      </c>
      <c r="K3807">
        <v>1.1100380000000001</v>
      </c>
      <c r="L3807">
        <v>213.22450000000001</v>
      </c>
      <c r="M3807">
        <v>0.99964109999999995</v>
      </c>
      <c r="N3807">
        <v>0</v>
      </c>
      <c r="O3807">
        <v>2.2226039999999999E-2</v>
      </c>
      <c r="P3807">
        <v>0.99787159999999997</v>
      </c>
      <c r="Q3807">
        <v>8.9981750000000006E-3</v>
      </c>
      <c r="R3807">
        <v>6.4588610000000005E-2</v>
      </c>
      <c r="S3807">
        <v>3.043304</v>
      </c>
      <c r="T3807">
        <v>-0.23169509999999999</v>
      </c>
      <c r="U3807">
        <v>-0.54545589999999999</v>
      </c>
      <c r="V3807">
        <v>-4.2412039999999998E-2</v>
      </c>
      <c r="W3807">
        <v>2.3907589999999999E-2</v>
      </c>
      <c r="X3807">
        <v>0.99881410000000004</v>
      </c>
      <c r="Y3807">
        <v>0.19763939999999999</v>
      </c>
      <c r="Z3807">
        <v>-9.1307090000000007E-3</v>
      </c>
      <c r="AA3807">
        <v>0.9802322</v>
      </c>
      <c r="AB3807">
        <v>39</v>
      </c>
      <c r="AC3807">
        <v>14.2073</v>
      </c>
      <c r="AD3807">
        <v>-1.1100363169980001</v>
      </c>
      <c r="AE3807">
        <v>-2.6217000000000001</v>
      </c>
      <c r="AF3807">
        <v>2.9196235875912202</v>
      </c>
      <c r="AG3807">
        <v>-1.1100363169980001</v>
      </c>
      <c r="AH3807">
        <v>14.0624952630791</v>
      </c>
      <c r="AI3807">
        <v>94.419477047733096</v>
      </c>
      <c r="AJ3807">
        <v>78.271011244602903</v>
      </c>
      <c r="AK3807">
        <v>14.405212790597499</v>
      </c>
      <c r="AL3807">
        <v>88.630065443470301</v>
      </c>
      <c r="AM3807">
        <v>92.431455440336805</v>
      </c>
      <c r="AN3807">
        <v>0.99999998017768899</v>
      </c>
    </row>
    <row r="3808" spans="1:40" x14ac:dyDescent="0.25">
      <c r="A3808" t="str">
        <f>"20190312160717298"</f>
        <v>20190312160717298</v>
      </c>
      <c r="B3808" t="str">
        <f>"1552378037288804"</f>
        <v>1552378037288804</v>
      </c>
      <c r="C3808" t="s">
        <v>40</v>
      </c>
      <c r="D3808">
        <v>6.3032919999999999</v>
      </c>
      <c r="E3808">
        <v>0.57339439999999997</v>
      </c>
      <c r="F3808" t="s">
        <v>44</v>
      </c>
      <c r="G3808">
        <v>-348.89170000000001</v>
      </c>
      <c r="H3808">
        <v>1.0056290000000001</v>
      </c>
      <c r="I3808">
        <v>213.0763</v>
      </c>
      <c r="J3808">
        <v>-349.53210000000001</v>
      </c>
      <c r="K3808">
        <v>1.110023</v>
      </c>
      <c r="L3808">
        <v>213.2337</v>
      </c>
      <c r="M3808">
        <v>0.99963420000000003</v>
      </c>
      <c r="N3808">
        <v>0</v>
      </c>
      <c r="O3808">
        <v>2.2528949999999999E-2</v>
      </c>
      <c r="P3808">
        <v>0.9978477</v>
      </c>
      <c r="Q3808">
        <v>8.7447189999999998E-3</v>
      </c>
      <c r="R3808">
        <v>6.4989110000000003E-2</v>
      </c>
      <c r="S3808">
        <v>3.037201</v>
      </c>
      <c r="T3808">
        <v>-0.30601699999999998</v>
      </c>
      <c r="U3808">
        <v>-0.43357849999999998</v>
      </c>
      <c r="V3808">
        <v>-4.250897E-2</v>
      </c>
      <c r="W3808">
        <v>2.365971E-2</v>
      </c>
      <c r="X3808">
        <v>0.99881589999999998</v>
      </c>
      <c r="Y3808">
        <v>0.16267290000000001</v>
      </c>
      <c r="Z3808">
        <v>-1.038742E-2</v>
      </c>
      <c r="AA3808">
        <v>0.98662539999999999</v>
      </c>
      <c r="AB3808">
        <v>39</v>
      </c>
      <c r="AC3808">
        <v>0.64039999999999897</v>
      </c>
      <c r="AD3808">
        <v>-0.104393999999999</v>
      </c>
      <c r="AE3808">
        <v>-0.15739999999999499</v>
      </c>
      <c r="AF3808">
        <v>0.16758946586981799</v>
      </c>
      <c r="AG3808">
        <v>-0.104393999999999</v>
      </c>
      <c r="AH3808">
        <v>0.62112578538640195</v>
      </c>
      <c r="AI3808">
        <v>99.217010511460899</v>
      </c>
      <c r="AJ3808">
        <v>74.900269407627405</v>
      </c>
      <c r="AK3808">
        <v>0.65175269664068602</v>
      </c>
      <c r="AL3808">
        <v>88.6442719647264</v>
      </c>
      <c r="AM3808">
        <v>92.437001297374593</v>
      </c>
      <c r="AN3808">
        <v>0.99999999825027697</v>
      </c>
    </row>
    <row r="3809" spans="1:40" x14ac:dyDescent="0.25">
      <c r="A3809" t="str">
        <f>"20190312160717320"</f>
        <v>20190312160717320</v>
      </c>
      <c r="B3809" t="str">
        <f>"1552378037309303"</f>
        <v>1552378037309303</v>
      </c>
      <c r="C3809" t="s">
        <v>40</v>
      </c>
      <c r="D3809">
        <v>6.2855210000000001</v>
      </c>
      <c r="E3809">
        <v>0.57113630000000004</v>
      </c>
      <c r="F3809" t="s">
        <v>44</v>
      </c>
      <c r="G3809">
        <v>-348.5505</v>
      </c>
      <c r="H3809">
        <v>0.99573210000000001</v>
      </c>
      <c r="I3809">
        <v>213.10329999999999</v>
      </c>
      <c r="J3809">
        <v>-349.16239999999999</v>
      </c>
      <c r="K3809">
        <v>1.110015</v>
      </c>
      <c r="L3809">
        <v>213.2423</v>
      </c>
      <c r="M3809">
        <v>0.99962790000000001</v>
      </c>
      <c r="N3809">
        <v>0</v>
      </c>
      <c r="O3809">
        <v>2.280691E-2</v>
      </c>
      <c r="P3809">
        <v>0.99781149999999996</v>
      </c>
      <c r="Q3809">
        <v>8.6154890000000005E-3</v>
      </c>
      <c r="R3809">
        <v>6.5563179999999999E-2</v>
      </c>
      <c r="S3809">
        <v>3.035828</v>
      </c>
      <c r="T3809">
        <v>-0.35353889999999999</v>
      </c>
      <c r="U3809">
        <v>-0.40217589999999998</v>
      </c>
      <c r="V3809">
        <v>-4.2805820000000001E-2</v>
      </c>
      <c r="W3809">
        <v>2.3533390000000001E-2</v>
      </c>
      <c r="X3809">
        <v>0.99880619999999998</v>
      </c>
      <c r="Y3809">
        <v>0.15273999999999999</v>
      </c>
      <c r="Z3809">
        <v>-1.146235E-2</v>
      </c>
      <c r="AA3809">
        <v>0.98819990000000002</v>
      </c>
      <c r="AB3809">
        <v>39</v>
      </c>
      <c r="AC3809">
        <v>0.61189999999999101</v>
      </c>
      <c r="AD3809">
        <v>-0.11428289999999899</v>
      </c>
      <c r="AE3809">
        <v>-0.13900000000001</v>
      </c>
      <c r="AF3809">
        <v>0.14801135832286799</v>
      </c>
      <c r="AG3809">
        <v>-0.11428289999999899</v>
      </c>
      <c r="AH3809">
        <v>0.58903189116447996</v>
      </c>
      <c r="AI3809">
        <v>100.65665355436499</v>
      </c>
      <c r="AJ3809">
        <v>75.894805420645497</v>
      </c>
      <c r="AK3809">
        <v>0.61800203254827102</v>
      </c>
      <c r="AL3809">
        <v>88.651511574847007</v>
      </c>
      <c r="AM3809">
        <v>92.454022513072402</v>
      </c>
      <c r="AN3809">
        <v>0.99999999191460198</v>
      </c>
    </row>
    <row r="3810" spans="1:40" x14ac:dyDescent="0.25">
      <c r="A3810" t="str">
        <f>"20190312160717343"</f>
        <v>20190312160717343</v>
      </c>
      <c r="B3810" t="str">
        <f>"1552378037339556"</f>
        <v>1552378037339556</v>
      </c>
      <c r="C3810" t="s">
        <v>40</v>
      </c>
      <c r="D3810">
        <v>6.3154510000000004</v>
      </c>
      <c r="E3810">
        <v>0.5838525</v>
      </c>
      <c r="F3810" t="s">
        <v>44</v>
      </c>
      <c r="G3810">
        <v>-348.2063</v>
      </c>
      <c r="H3810">
        <v>0.99187040000000004</v>
      </c>
      <c r="I3810">
        <v>213.12129999999999</v>
      </c>
      <c r="J3810">
        <v>-348.75740000000002</v>
      </c>
      <c r="K3810">
        <v>1.110006</v>
      </c>
      <c r="L3810">
        <v>213.2518</v>
      </c>
      <c r="M3810">
        <v>0.99962090000000003</v>
      </c>
      <c r="N3810">
        <v>0</v>
      </c>
      <c r="O3810">
        <v>2.3109500000000002E-2</v>
      </c>
      <c r="P3810">
        <v>0.99777170000000004</v>
      </c>
      <c r="Q3810">
        <v>8.0326129999999992E-3</v>
      </c>
      <c r="R3810">
        <v>6.6235859999999994E-2</v>
      </c>
      <c r="S3810">
        <v>3.0350039999999998</v>
      </c>
      <c r="T3810">
        <v>-0.37510280000000001</v>
      </c>
      <c r="U3810">
        <v>-0.38331599999999999</v>
      </c>
      <c r="V3810">
        <v>-4.3175499999999999E-2</v>
      </c>
      <c r="W3810">
        <v>2.2952279999999999E-2</v>
      </c>
      <c r="X3810">
        <v>0.99880380000000002</v>
      </c>
      <c r="Y3810">
        <v>0.146925</v>
      </c>
      <c r="Z3810">
        <v>-1.184495E-2</v>
      </c>
      <c r="AA3810">
        <v>0.98907670000000003</v>
      </c>
      <c r="AB3810">
        <v>39</v>
      </c>
      <c r="AC3810">
        <v>0.55110000000001902</v>
      </c>
      <c r="AD3810">
        <v>-0.11813559999999999</v>
      </c>
      <c r="AE3810">
        <v>-0.130500000000012</v>
      </c>
      <c r="AF3810">
        <v>0.137231050751983</v>
      </c>
      <c r="AG3810">
        <v>-0.11813559999999999</v>
      </c>
      <c r="AH3810">
        <v>0.52508911973452799</v>
      </c>
      <c r="AI3810">
        <v>102.280075292589</v>
      </c>
      <c r="AJ3810">
        <v>75.353457266097493</v>
      </c>
      <c r="AK3810">
        <v>0.55543403293409699</v>
      </c>
      <c r="AL3810">
        <v>88.684815708719</v>
      </c>
      <c r="AM3810">
        <v>92.475195658265093</v>
      </c>
      <c r="AN3810">
        <v>0.999999980925944</v>
      </c>
    </row>
    <row r="3811" spans="1:40" x14ac:dyDescent="0.25">
      <c r="A3811" t="str">
        <f>"20190312160717365"</f>
        <v>20190312160717365</v>
      </c>
      <c r="B3811" t="str">
        <f>"1552378037359076"</f>
        <v>1552378037359076</v>
      </c>
      <c r="C3811" t="s">
        <v>40</v>
      </c>
      <c r="D3811">
        <v>6.3242849999999997</v>
      </c>
      <c r="E3811">
        <v>0.56281300000000001</v>
      </c>
      <c r="F3811" t="s">
        <v>44</v>
      </c>
      <c r="G3811">
        <v>-347.9117</v>
      </c>
      <c r="H3811">
        <v>0.87659940000000003</v>
      </c>
      <c r="I3811">
        <v>213.113</v>
      </c>
      <c r="J3811">
        <v>-348.37299999999999</v>
      </c>
      <c r="K3811">
        <v>1.1100000000000001</v>
      </c>
      <c r="L3811">
        <v>213.261</v>
      </c>
      <c r="M3811">
        <v>0.99961440000000001</v>
      </c>
      <c r="N3811">
        <v>0</v>
      </c>
      <c r="O3811">
        <v>2.3396409999999999E-2</v>
      </c>
      <c r="P3811">
        <v>0.99774280000000004</v>
      </c>
      <c r="Q3811">
        <v>7.8594279999999999E-3</v>
      </c>
      <c r="R3811">
        <v>6.6695749999999998E-2</v>
      </c>
      <c r="S3811">
        <v>3.0466310000000001</v>
      </c>
      <c r="T3811">
        <v>-0.84092029999999995</v>
      </c>
      <c r="U3811">
        <v>-0.49943539999999997</v>
      </c>
      <c r="V3811">
        <v>-4.3349029999999997E-2</v>
      </c>
      <c r="W3811">
        <v>2.2780660000000001E-2</v>
      </c>
      <c r="X3811">
        <v>0.99880020000000003</v>
      </c>
      <c r="Y3811">
        <v>0.17749179999999901</v>
      </c>
      <c r="Z3811">
        <v>-3.0197470000000001E-2</v>
      </c>
      <c r="AA3811">
        <v>0.9836589</v>
      </c>
      <c r="AB3811">
        <v>39</v>
      </c>
      <c r="AC3811">
        <v>0.461300000000051</v>
      </c>
      <c r="AD3811">
        <v>-0.23340060000000001</v>
      </c>
      <c r="AE3811">
        <v>-0.147999999999996</v>
      </c>
      <c r="AF3811">
        <v>0.12884715791523099</v>
      </c>
      <c r="AG3811">
        <v>-0.23340060000000001</v>
      </c>
      <c r="AH3811">
        <v>0.37148619846777597</v>
      </c>
      <c r="AI3811">
        <v>120.693269133966</v>
      </c>
      <c r="AJ3811">
        <v>70.871286531356702</v>
      </c>
      <c r="AK3811">
        <v>0.457252037540821</v>
      </c>
      <c r="AL3811">
        <v>88.694651365731303</v>
      </c>
      <c r="AM3811">
        <v>92.485140407702303</v>
      </c>
      <c r="AN3811">
        <v>0.99999996819600701</v>
      </c>
    </row>
    <row r="3812" spans="1:40" x14ac:dyDescent="0.25">
      <c r="A3812" t="str">
        <f>"20190312160717387"</f>
        <v>20190312160717387</v>
      </c>
      <c r="B3812" t="str">
        <f>"1552378037378596"</f>
        <v>1552378037378596</v>
      </c>
      <c r="C3812" t="s">
        <v>40</v>
      </c>
      <c r="D3812">
        <v>6.3589209999999996</v>
      </c>
      <c r="E3812">
        <v>0.56297450000000004</v>
      </c>
      <c r="F3812" t="s">
        <v>44</v>
      </c>
      <c r="G3812">
        <v>-347.51830000000001</v>
      </c>
      <c r="H3812">
        <v>0.98689970000000005</v>
      </c>
      <c r="I3812">
        <v>213.17189999999999</v>
      </c>
      <c r="J3812">
        <v>-347.99040000000002</v>
      </c>
      <c r="K3812">
        <v>1.1099950000000001</v>
      </c>
      <c r="L3812">
        <v>213.27019999999999</v>
      </c>
      <c r="M3812">
        <v>0.99960749999999998</v>
      </c>
      <c r="N3812">
        <v>0</v>
      </c>
      <c r="O3812">
        <v>2.3681959999999998E-2</v>
      </c>
      <c r="P3812">
        <v>0.99775899999999995</v>
      </c>
      <c r="Q3812">
        <v>7.3442459999999996E-3</v>
      </c>
      <c r="R3812">
        <v>6.6507289999999997E-2</v>
      </c>
      <c r="S3812">
        <v>3.0313110000000001</v>
      </c>
      <c r="T3812">
        <v>-0.43668289999999998</v>
      </c>
      <c r="U3812">
        <v>-0.31607059999999998</v>
      </c>
      <c r="V3812">
        <v>-4.287374E-2</v>
      </c>
      <c r="W3812">
        <v>2.226771E-2</v>
      </c>
      <c r="X3812">
        <v>0.99883230000000001</v>
      </c>
      <c r="Y3812">
        <v>0.1257076</v>
      </c>
      <c r="Z3812">
        <v>-1.2370269999999999E-2</v>
      </c>
      <c r="AA3812">
        <v>0.99199020000000004</v>
      </c>
      <c r="AB3812">
        <v>39</v>
      </c>
      <c r="AC3812">
        <v>0.47210000000001101</v>
      </c>
      <c r="AD3812">
        <v>-0.1230953</v>
      </c>
      <c r="AE3812">
        <v>-9.8299999999994697E-2</v>
      </c>
      <c r="AF3812">
        <v>0.102758180350129</v>
      </c>
      <c r="AG3812">
        <v>-0.1230953</v>
      </c>
      <c r="AH3812">
        <v>0.44090958356191301</v>
      </c>
      <c r="AI3812">
        <v>105.210897261574</v>
      </c>
      <c r="AJ3812">
        <v>76.880856354549195</v>
      </c>
      <c r="AK3812">
        <v>0.46916197350989503</v>
      </c>
      <c r="AL3812">
        <v>88.724048717970604</v>
      </c>
      <c r="AM3812">
        <v>92.457847391558005</v>
      </c>
      <c r="AN3812">
        <v>0.99999998600675999</v>
      </c>
    </row>
    <row r="3813" spans="1:40" x14ac:dyDescent="0.25">
      <c r="A3813" t="str">
        <f>"20190312160717409"</f>
        <v>20190312160717409</v>
      </c>
      <c r="B3813" t="str">
        <f>"1552378037399095"</f>
        <v>1552378037399095</v>
      </c>
      <c r="C3813" t="s">
        <v>40</v>
      </c>
      <c r="D3813">
        <v>6.3642560000000001</v>
      </c>
      <c r="E3813">
        <v>0.56338549999999998</v>
      </c>
      <c r="F3813" t="s">
        <v>44</v>
      </c>
      <c r="G3813">
        <v>-347.17090000000002</v>
      </c>
      <c r="H3813">
        <v>0.99134639999999996</v>
      </c>
      <c r="I3813">
        <v>213.18440000000001</v>
      </c>
      <c r="J3813">
        <v>-347.60640000000001</v>
      </c>
      <c r="K3813">
        <v>1.10999</v>
      </c>
      <c r="L3813">
        <v>213.27959999999999</v>
      </c>
      <c r="M3813">
        <v>0.99960079999999996</v>
      </c>
      <c r="N3813">
        <v>0</v>
      </c>
      <c r="O3813">
        <v>2.3965480000000001E-2</v>
      </c>
      <c r="P3813">
        <v>0.99778610000000001</v>
      </c>
      <c r="Q3813">
        <v>7.278741E-3</v>
      </c>
      <c r="R3813">
        <v>6.6106330000000005E-2</v>
      </c>
      <c r="S3813">
        <v>3.0311279999999998</v>
      </c>
      <c r="T3813">
        <v>-0.43890000000000001</v>
      </c>
      <c r="U3813">
        <v>-0.31741329999999901</v>
      </c>
      <c r="V3813">
        <v>-4.2188419999999997E-2</v>
      </c>
      <c r="W3813">
        <v>2.220335E-2</v>
      </c>
      <c r="X3813">
        <v>0.9988629</v>
      </c>
      <c r="Y3813">
        <v>0.12640409999999999</v>
      </c>
      <c r="Z3813">
        <v>-1.2523680000000001E-2</v>
      </c>
      <c r="AA3813">
        <v>0.9918998</v>
      </c>
      <c r="AB3813">
        <v>39</v>
      </c>
      <c r="AC3813">
        <v>0.43549999999999001</v>
      </c>
      <c r="AD3813">
        <v>-0.1186436</v>
      </c>
      <c r="AE3813">
        <v>-9.5199999999976997E-2</v>
      </c>
      <c r="AF3813">
        <v>9.8624825997618695E-2</v>
      </c>
      <c r="AG3813">
        <v>-0.1186436</v>
      </c>
      <c r="AH3813">
        <v>0.40444480376408898</v>
      </c>
      <c r="AI3813">
        <v>105.907451005789</v>
      </c>
      <c r="AJ3813">
        <v>76.295746419825704</v>
      </c>
      <c r="AK3813">
        <v>0.43287268268602103</v>
      </c>
      <c r="AL3813">
        <v>88.727737168843007</v>
      </c>
      <c r="AM3813">
        <v>92.418532687669895</v>
      </c>
      <c r="AN3813">
        <v>0.99999997226486403</v>
      </c>
    </row>
    <row r="3814" spans="1:40" x14ac:dyDescent="0.25">
      <c r="A3814" t="str">
        <f>"20190312160717433"</f>
        <v>20190312160717433</v>
      </c>
      <c r="B3814" t="str">
        <f>"1552378037429347"</f>
        <v>1552378037429347</v>
      </c>
      <c r="C3814" t="s">
        <v>40</v>
      </c>
      <c r="D3814">
        <v>6.3808040000000004</v>
      </c>
      <c r="E3814">
        <v>0.56368689999999999</v>
      </c>
      <c r="F3814" t="s">
        <v>44</v>
      </c>
      <c r="G3814">
        <v>-346.8236</v>
      </c>
      <c r="H3814">
        <v>0.99628950000000005</v>
      </c>
      <c r="I3814">
        <v>213.1962</v>
      </c>
      <c r="J3814">
        <v>-347.2165</v>
      </c>
      <c r="K3814">
        <v>1.10998</v>
      </c>
      <c r="L3814">
        <v>213.28919999999999</v>
      </c>
      <c r="M3814">
        <v>0.99959390000000004</v>
      </c>
      <c r="N3814">
        <v>0</v>
      </c>
      <c r="O3814">
        <v>2.4247609999999999E-2</v>
      </c>
      <c r="P3814">
        <v>0.99779839999999997</v>
      </c>
      <c r="Q3814">
        <v>6.8559700000000003E-3</v>
      </c>
      <c r="R3814">
        <v>6.5966209999999997E-2</v>
      </c>
      <c r="S3814">
        <v>3.0311889999999999</v>
      </c>
      <c r="T3814">
        <v>-0.44038949999999999</v>
      </c>
      <c r="U3814">
        <v>-0.32160949999999999</v>
      </c>
      <c r="V3814">
        <v>-4.1765860000000002E-2</v>
      </c>
      <c r="W3814">
        <v>2.1780979999999998E-2</v>
      </c>
      <c r="X3814">
        <v>0.99888999999999994</v>
      </c>
      <c r="Y3814">
        <v>0.12800999999999901</v>
      </c>
      <c r="Z3814">
        <v>-1.2721029999999999E-2</v>
      </c>
      <c r="AA3814">
        <v>0.99169130000000005</v>
      </c>
      <c r="AB3814">
        <v>39</v>
      </c>
      <c r="AC3814">
        <v>0.39289999999999697</v>
      </c>
      <c r="AD3814">
        <v>-0.113690499999999</v>
      </c>
      <c r="AE3814">
        <v>-9.29999999999893E-2</v>
      </c>
      <c r="AF3814">
        <v>9.4970551553469104E-2</v>
      </c>
      <c r="AG3814">
        <v>-0.113690499999999</v>
      </c>
      <c r="AH3814">
        <v>0.361839537434122</v>
      </c>
      <c r="AI3814">
        <v>106.90444088181501</v>
      </c>
      <c r="AJ3814">
        <v>75.293522218309903</v>
      </c>
      <c r="AK3814">
        <v>0.39098949641027397</v>
      </c>
      <c r="AL3814">
        <v>88.751943095946601</v>
      </c>
      <c r="AM3814">
        <v>92.394272070789498</v>
      </c>
      <c r="AN3814">
        <v>1.0000000151256401</v>
      </c>
    </row>
    <row r="3815" spans="1:40" x14ac:dyDescent="0.25">
      <c r="A3815" t="str">
        <f>"20190312160717455"</f>
        <v>20190312160717455</v>
      </c>
      <c r="B3815" t="str">
        <f>"1552378037448869"</f>
        <v>1552378037448869</v>
      </c>
      <c r="C3815" t="s">
        <v>40</v>
      </c>
      <c r="D3815">
        <v>6.3710339999999999</v>
      </c>
      <c r="E3815">
        <v>0.56367440000000002</v>
      </c>
      <c r="F3815" t="s">
        <v>44</v>
      </c>
      <c r="G3815">
        <v>-346.4753</v>
      </c>
      <c r="H3815">
        <v>1.0041530000000001</v>
      </c>
      <c r="I3815">
        <v>213.2097</v>
      </c>
      <c r="J3815">
        <v>-346.82490000000001</v>
      </c>
      <c r="K3815">
        <v>1.1099760000000001</v>
      </c>
      <c r="L3815">
        <v>213.29900000000001</v>
      </c>
      <c r="M3815">
        <v>0.99958740000000001</v>
      </c>
      <c r="N3815">
        <v>0</v>
      </c>
      <c r="O3815">
        <v>2.4519989999999998E-2</v>
      </c>
      <c r="P3815">
        <v>0.99781109999999995</v>
      </c>
      <c r="Q3815">
        <v>6.6208079999999997E-3</v>
      </c>
      <c r="R3815">
        <v>6.5799609999999994E-2</v>
      </c>
      <c r="S3815">
        <v>3.0310060000000001</v>
      </c>
      <c r="T3815">
        <v>-0.4328166</v>
      </c>
      <c r="U3815">
        <v>-0.32450869999999998</v>
      </c>
      <c r="V3815">
        <v>-4.1325960000000002E-2</v>
      </c>
      <c r="W3815">
        <v>2.1545950000000001E-2</v>
      </c>
      <c r="X3815">
        <v>0.99891339999999995</v>
      </c>
      <c r="Y3815">
        <v>0.12926260000000001</v>
      </c>
      <c r="Z3815">
        <v>-1.2631949999999999E-2</v>
      </c>
      <c r="AA3815">
        <v>0.99152989999999996</v>
      </c>
      <c r="AB3815">
        <v>39</v>
      </c>
      <c r="AC3815">
        <v>0.34960000000000901</v>
      </c>
      <c r="AD3815">
        <v>-0.105823</v>
      </c>
      <c r="AE3815">
        <v>-8.9300000000008595E-2</v>
      </c>
      <c r="AF3815">
        <v>9.0096749393071093E-2</v>
      </c>
      <c r="AG3815">
        <v>-0.105823</v>
      </c>
      <c r="AH3815">
        <v>0.31979801488191301</v>
      </c>
      <c r="AI3815">
        <v>107.66703265584999</v>
      </c>
      <c r="AJ3815">
        <v>74.265870295367705</v>
      </c>
      <c r="AK3815">
        <v>0.348692847507101</v>
      </c>
      <c r="AL3815">
        <v>88.765412492094498</v>
      </c>
      <c r="AM3815">
        <v>92.369027790387094</v>
      </c>
      <c r="AN3815">
        <v>1.0000000218154399</v>
      </c>
    </row>
    <row r="3816" spans="1:40" x14ac:dyDescent="0.25">
      <c r="A3816" t="str">
        <f>"20190312160717476"</f>
        <v>20190312160717476</v>
      </c>
      <c r="B3816" t="str">
        <f>"1552378037469120"</f>
        <v>1552378037469120</v>
      </c>
      <c r="C3816" t="s">
        <v>40</v>
      </c>
      <c r="D3816">
        <v>6.2150569999999998</v>
      </c>
      <c r="E3816">
        <v>0.56339819999999996</v>
      </c>
      <c r="F3816" t="s">
        <v>44</v>
      </c>
      <c r="G3816">
        <v>-345.80450000000002</v>
      </c>
      <c r="H3816">
        <v>0.96520220000000001</v>
      </c>
      <c r="I3816">
        <v>213.18940000000001</v>
      </c>
      <c r="J3816">
        <v>-346.4461</v>
      </c>
      <c r="K3816">
        <v>1.109964</v>
      </c>
      <c r="L3816">
        <v>213.30850000000001</v>
      </c>
      <c r="M3816">
        <v>0.99958130000000001</v>
      </c>
      <c r="N3816">
        <v>0</v>
      </c>
      <c r="O3816">
        <v>2.4768189999999999E-2</v>
      </c>
      <c r="P3816">
        <v>0.99781050000000004</v>
      </c>
      <c r="Q3816">
        <v>6.6664929999999999E-3</v>
      </c>
      <c r="R3816">
        <v>6.5805820000000001E-2</v>
      </c>
      <c r="S3816">
        <v>3.0309140000000001</v>
      </c>
      <c r="T3816">
        <v>-0.4300908</v>
      </c>
      <c r="U3816">
        <v>-0.32505800000000001</v>
      </c>
      <c r="V3816">
        <v>-4.108299E-2</v>
      </c>
      <c r="W3816">
        <v>2.1591240000000001E-2</v>
      </c>
      <c r="X3816">
        <v>0.99892239999999999</v>
      </c>
      <c r="Y3816">
        <v>0.12970200000000001</v>
      </c>
      <c r="Z3816">
        <v>-1.261933E-2</v>
      </c>
      <c r="AA3816">
        <v>0.99147269999999998</v>
      </c>
      <c r="AB3816">
        <v>39</v>
      </c>
      <c r="AC3816">
        <v>0.64159999999998196</v>
      </c>
      <c r="AD3816">
        <v>-0.1447618</v>
      </c>
      <c r="AE3816">
        <v>-0.119100000000003</v>
      </c>
      <c r="AF3816">
        <v>0.12862660104292001</v>
      </c>
      <c r="AG3816">
        <v>-0.1447618</v>
      </c>
      <c r="AH3816">
        <v>0.60850737126004595</v>
      </c>
      <c r="AI3816">
        <v>103.102509080883</v>
      </c>
      <c r="AJ3816">
        <v>78.064485187212895</v>
      </c>
      <c r="AK3816">
        <v>0.638578109641182</v>
      </c>
      <c r="AL3816">
        <v>88.762816907624995</v>
      </c>
      <c r="AM3816">
        <v>92.355093969110698</v>
      </c>
      <c r="AN3816">
        <v>0.99999997746691804</v>
      </c>
    </row>
    <row r="3817" spans="1:40" x14ac:dyDescent="0.25">
      <c r="A3817" t="str">
        <f>"20190312160717498"</f>
        <v>20190312160717498</v>
      </c>
      <c r="B3817" t="str">
        <f>"1552378037488638"</f>
        <v>1552378037488638</v>
      </c>
      <c r="C3817" t="s">
        <v>40</v>
      </c>
      <c r="D3817">
        <v>6.2255330000000004</v>
      </c>
      <c r="E3817">
        <v>0.56336129999999995</v>
      </c>
      <c r="F3817" t="s">
        <v>44</v>
      </c>
      <c r="G3817">
        <v>-345.45850000000002</v>
      </c>
      <c r="H3817">
        <v>0.97111250000000005</v>
      </c>
      <c r="I3817">
        <v>213.20330000000001</v>
      </c>
      <c r="J3817">
        <v>-346.07619999999997</v>
      </c>
      <c r="K3817">
        <v>1.109955</v>
      </c>
      <c r="L3817">
        <v>213.31790000000001</v>
      </c>
      <c r="M3817">
        <v>0.99957560000000001</v>
      </c>
      <c r="N3817">
        <v>0</v>
      </c>
      <c r="O3817">
        <v>2.499701E-2</v>
      </c>
      <c r="P3817">
        <v>0.99776880000000001</v>
      </c>
      <c r="Q3817">
        <v>5.974605E-3</v>
      </c>
      <c r="R3817">
        <v>6.6497780000000006E-2</v>
      </c>
      <c r="S3817">
        <v>3.0307309999999998</v>
      </c>
      <c r="T3817">
        <v>-0.42615429999999999</v>
      </c>
      <c r="U3817">
        <v>-0.3226929</v>
      </c>
      <c r="V3817">
        <v>-4.1546109999999997E-2</v>
      </c>
      <c r="W3817">
        <v>2.0898549999999998E-2</v>
      </c>
      <c r="X3817">
        <v>0.99891799999999997</v>
      </c>
      <c r="Y3817">
        <v>0.12920039999999999</v>
      </c>
      <c r="Z3817">
        <v>-1.2503139999999999E-2</v>
      </c>
      <c r="AA3817">
        <v>0.99153970000000002</v>
      </c>
      <c r="AB3817">
        <v>38</v>
      </c>
      <c r="AC3817">
        <v>0.61769999999995595</v>
      </c>
      <c r="AD3817">
        <v>-0.13884249999999901</v>
      </c>
      <c r="AE3817">
        <v>-0.114599999999995</v>
      </c>
      <c r="AF3817">
        <v>0.123952487250558</v>
      </c>
      <c r="AG3817">
        <v>-0.13884249999999901</v>
      </c>
      <c r="AH3817">
        <v>0.586019645263819</v>
      </c>
      <c r="AI3817">
        <v>103.05047117644099</v>
      </c>
      <c r="AJ3817">
        <v>78.057058767167206</v>
      </c>
      <c r="AK3817">
        <v>0.61486623223021597</v>
      </c>
      <c r="AL3817">
        <v>88.802514109019498</v>
      </c>
      <c r="AM3817">
        <v>92.3816225319636</v>
      </c>
      <c r="AN3817">
        <v>0.99999999968611697</v>
      </c>
    </row>
    <row r="3818" spans="1:40" x14ac:dyDescent="0.25">
      <c r="A3818" t="str">
        <f>"20190312160717520"</f>
        <v>20190312160717520</v>
      </c>
      <c r="B3818" t="str">
        <f>"1552378037509133"</f>
        <v>1552378037509133</v>
      </c>
      <c r="C3818" t="s">
        <v>40</v>
      </c>
      <c r="D3818">
        <v>6.2185899999999998</v>
      </c>
      <c r="E3818">
        <v>0.56334459999999997</v>
      </c>
      <c r="F3818" t="s">
        <v>44</v>
      </c>
      <c r="G3818">
        <v>-345.11380000000003</v>
      </c>
      <c r="H3818">
        <v>0.9748019</v>
      </c>
      <c r="I3818">
        <v>213.21610000000001</v>
      </c>
      <c r="J3818">
        <v>-345.7047</v>
      </c>
      <c r="K3818">
        <v>1.109936</v>
      </c>
      <c r="L3818">
        <v>213.32749999999999</v>
      </c>
      <c r="M3818">
        <v>0.99957030000000002</v>
      </c>
      <c r="N3818">
        <v>0</v>
      </c>
      <c r="O3818">
        <v>2.521048E-2</v>
      </c>
      <c r="P3818">
        <v>0.99771480000000001</v>
      </c>
      <c r="Q3818">
        <v>5.9124399999999997E-3</v>
      </c>
      <c r="R3818">
        <v>6.7309430000000003E-2</v>
      </c>
      <c r="S3818">
        <v>3.0306090000000001</v>
      </c>
      <c r="T3818">
        <v>-0.42568590000000001</v>
      </c>
      <c r="U3818">
        <v>-0.32019039999999999</v>
      </c>
      <c r="V3818">
        <v>-4.2144889999999997E-2</v>
      </c>
      <c r="W3818">
        <v>2.083467E-2</v>
      </c>
      <c r="X3818">
        <v>0.99889430000000001</v>
      </c>
      <c r="Y3818">
        <v>0.12861330000000001</v>
      </c>
      <c r="Z3818">
        <v>-1.247941E-2</v>
      </c>
      <c r="AA3818">
        <v>0.99161630000000001</v>
      </c>
      <c r="AB3818">
        <v>38</v>
      </c>
      <c r="AC3818">
        <v>0.590899999999976</v>
      </c>
      <c r="AD3818">
        <v>-0.13513410000000001</v>
      </c>
      <c r="AE3818">
        <v>-0.11139999999997401</v>
      </c>
      <c r="AF3818">
        <v>0.12019278976401</v>
      </c>
      <c r="AG3818">
        <v>-0.13513410000000001</v>
      </c>
      <c r="AH3818">
        <v>0.55963884029613198</v>
      </c>
      <c r="AI3818">
        <v>103.283355481546</v>
      </c>
      <c r="AJ3818">
        <v>77.878798808906595</v>
      </c>
      <c r="AK3818">
        <v>0.58813532733722496</v>
      </c>
      <c r="AL3818">
        <v>88.806175019259996</v>
      </c>
      <c r="AM3818">
        <v>92.415964347287797</v>
      </c>
      <c r="AN3818">
        <v>1.0000000488998</v>
      </c>
    </row>
    <row r="3819" spans="1:40" x14ac:dyDescent="0.25">
      <c r="A3819" t="str">
        <f>"20190312160717555"</f>
        <v>20190312160717555</v>
      </c>
      <c r="B3819" t="str">
        <f>"1552378037549149"</f>
        <v>1552378037549149</v>
      </c>
      <c r="C3819" t="s">
        <v>40</v>
      </c>
      <c r="D3819">
        <v>6.8363319999999996</v>
      </c>
      <c r="E3819">
        <v>0.55099500000000001</v>
      </c>
      <c r="F3819" t="s">
        <v>44</v>
      </c>
      <c r="G3819">
        <v>-344.76929999999999</v>
      </c>
      <c r="H3819">
        <v>0.97899069999999999</v>
      </c>
      <c r="I3819">
        <v>213.22909999999999</v>
      </c>
      <c r="J3819">
        <v>-345.11009999999999</v>
      </c>
      <c r="K3819">
        <v>1.1099049999999999</v>
      </c>
      <c r="L3819">
        <v>213.34280000000001</v>
      </c>
      <c r="M3819">
        <v>0.99956259999999997</v>
      </c>
      <c r="N3819">
        <v>0</v>
      </c>
      <c r="O3819">
        <v>2.551107E-2</v>
      </c>
      <c r="P3819">
        <v>0.99760400000000005</v>
      </c>
      <c r="Q3819">
        <v>6.2288150000000004E-3</v>
      </c>
      <c r="R3819">
        <v>6.890201E-2</v>
      </c>
      <c r="S3819">
        <v>3.0308229999999998</v>
      </c>
      <c r="T3819">
        <v>-0.42446349999999999</v>
      </c>
      <c r="U3819">
        <v>-0.31767269999999997</v>
      </c>
      <c r="V3819">
        <v>-4.3437759999999999E-2</v>
      </c>
      <c r="W3819">
        <v>2.1148360000000001E-2</v>
      </c>
      <c r="X3819">
        <v>0.99883230000000001</v>
      </c>
      <c r="Y3819">
        <v>0.12810009999999999</v>
      </c>
      <c r="Z3819">
        <v>-1.2449709999999999E-2</v>
      </c>
      <c r="AA3819">
        <v>0.99168310000000004</v>
      </c>
      <c r="AB3819">
        <v>38</v>
      </c>
      <c r="AC3819">
        <v>0.34080000000000099</v>
      </c>
      <c r="AD3819">
        <v>-0.13091430000000001</v>
      </c>
      <c r="AE3819">
        <v>-0.11370000000002201</v>
      </c>
      <c r="AF3819">
        <v>0.108015551486544</v>
      </c>
      <c r="AG3819">
        <v>-0.13091430000000001</v>
      </c>
      <c r="AH3819">
        <v>0.29819326144123098</v>
      </c>
      <c r="AI3819">
        <v>112.429782540986</v>
      </c>
      <c r="AJ3819">
        <v>70.087922708538301</v>
      </c>
      <c r="AK3819">
        <v>0.34311096525233797</v>
      </c>
      <c r="AL3819">
        <v>88.788197920267805</v>
      </c>
      <c r="AM3819">
        <v>92.490140851084007</v>
      </c>
      <c r="AN3819">
        <v>1.0000000278238901</v>
      </c>
    </row>
    <row r="3820" spans="1:40" x14ac:dyDescent="0.25">
      <c r="A3820" t="str">
        <f>"20190312160717578"</f>
        <v>20190312160717578</v>
      </c>
      <c r="B3820" t="str">
        <f>"1552378037569255"</f>
        <v>1552378037569255</v>
      </c>
      <c r="C3820" t="s">
        <v>40</v>
      </c>
      <c r="D3820">
        <v>6.2575310000000002</v>
      </c>
      <c r="E3820">
        <v>0.53224189999999905</v>
      </c>
      <c r="F3820" t="s">
        <v>44</v>
      </c>
      <c r="G3820">
        <v>-344.04759999999999</v>
      </c>
      <c r="H3820">
        <v>1.0496970000000001</v>
      </c>
      <c r="I3820">
        <v>213.27019999999999</v>
      </c>
      <c r="J3820">
        <v>-344.72</v>
      </c>
      <c r="K3820">
        <v>1.1098889999999999</v>
      </c>
      <c r="L3820">
        <v>213.35290000000001</v>
      </c>
      <c r="M3820">
        <v>0.99955839999999996</v>
      </c>
      <c r="N3820">
        <v>0</v>
      </c>
      <c r="O3820">
        <v>2.567732E-2</v>
      </c>
      <c r="P3820">
        <v>0.99758060000000004</v>
      </c>
      <c r="Q3820">
        <v>6.0374950000000004E-3</v>
      </c>
      <c r="R3820">
        <v>6.9258360000000005E-2</v>
      </c>
      <c r="S3820">
        <v>3.022491</v>
      </c>
      <c r="T3820">
        <v>-0.17138039999999999</v>
      </c>
      <c r="U3820">
        <v>-0.2059174</v>
      </c>
      <c r="V3820">
        <v>-4.36275E-2</v>
      </c>
      <c r="W3820">
        <v>2.095576E-2</v>
      </c>
      <c r="X3820">
        <v>0.9988281</v>
      </c>
      <c r="Y3820">
        <v>9.3378760000000005E-2</v>
      </c>
      <c r="Z3820">
        <v>-4.095647E-3</v>
      </c>
      <c r="AA3820">
        <v>0.99562220000000001</v>
      </c>
      <c r="AB3820">
        <v>38</v>
      </c>
      <c r="AC3820">
        <v>0.67240000000003797</v>
      </c>
      <c r="AD3820">
        <v>-6.0192000000000002E-2</v>
      </c>
      <c r="AE3820">
        <v>-8.2700000000016802E-2</v>
      </c>
      <c r="AF3820">
        <v>9.9157331328119894E-2</v>
      </c>
      <c r="AG3820">
        <v>-6.0192000000000002E-2</v>
      </c>
      <c r="AH3820">
        <v>0.66480645924007098</v>
      </c>
      <c r="AI3820">
        <v>95.117189522036696</v>
      </c>
      <c r="AJ3820">
        <v>81.516747989155903</v>
      </c>
      <c r="AK3820">
        <v>0.67485026596085296</v>
      </c>
      <c r="AL3820">
        <v>88.799235545469301</v>
      </c>
      <c r="AM3820">
        <v>92.501014729468096</v>
      </c>
      <c r="AN3820">
        <v>1.0000000379915099</v>
      </c>
    </row>
    <row r="3821" spans="1:40" x14ac:dyDescent="0.25">
      <c r="A3821" t="str">
        <f>"20190312160717600"</f>
        <v>20190312160717600</v>
      </c>
      <c r="B3821" t="str">
        <f>"1552378037588775"</f>
        <v>1552378037588775</v>
      </c>
      <c r="C3821" t="s">
        <v>40</v>
      </c>
      <c r="D3821">
        <v>6.2855460000000001</v>
      </c>
      <c r="E3821">
        <v>0.536228699999999</v>
      </c>
      <c r="F3821" t="s">
        <v>51</v>
      </c>
      <c r="G3821">
        <v>-151.6687</v>
      </c>
      <c r="H3821">
        <v>1.7820339999999999</v>
      </c>
      <c r="I3821">
        <v>210.20519999999999</v>
      </c>
      <c r="J3821">
        <v>-344.34730000000002</v>
      </c>
      <c r="K3821">
        <v>1.109882</v>
      </c>
      <c r="L3821">
        <v>213.36259999999999</v>
      </c>
      <c r="M3821">
        <v>0.99955490000000002</v>
      </c>
      <c r="N3821">
        <v>0</v>
      </c>
      <c r="O3821">
        <v>2.5817909999999999E-2</v>
      </c>
      <c r="P3821">
        <v>0.99757810000000002</v>
      </c>
      <c r="Q3821">
        <v>5.9703040000000001E-3</v>
      </c>
      <c r="R3821">
        <v>6.9297689999999995E-2</v>
      </c>
      <c r="S3821">
        <v>3.0106199999999999</v>
      </c>
      <c r="T3821">
        <v>1.048255E-2</v>
      </c>
      <c r="U3821">
        <v>-4.9087520000000003E-2</v>
      </c>
      <c r="V3821">
        <v>-4.3525149999999999E-2</v>
      </c>
      <c r="W3821">
        <v>2.0888070000000002E-2</v>
      </c>
      <c r="X3821">
        <v>0.998834</v>
      </c>
      <c r="Y3821">
        <v>4.2114140000000001E-2</v>
      </c>
      <c r="Z3821">
        <v>1.6320789999999999E-4</v>
      </c>
      <c r="AA3821">
        <v>0.99911280000000002</v>
      </c>
      <c r="AB3821">
        <v>38</v>
      </c>
      <c r="AC3821">
        <v>192.67859999999999</v>
      </c>
      <c r="AD3821">
        <v>0.67215199999999997</v>
      </c>
      <c r="AE3821">
        <v>-3.1573999999999902</v>
      </c>
      <c r="AF3821">
        <v>8.1313629551406308</v>
      </c>
      <c r="AG3821">
        <v>0.67215199999999997</v>
      </c>
      <c r="AH3821">
        <v>192.530489660933</v>
      </c>
      <c r="AI3821">
        <v>89.800151052550206</v>
      </c>
      <c r="AJ3821">
        <v>87.581598281515994</v>
      </c>
      <c r="AK3821">
        <v>192.703296030187</v>
      </c>
      <c r="AL3821">
        <v>88.803114765929905</v>
      </c>
      <c r="AM3821">
        <v>92.4951400596849</v>
      </c>
      <c r="AN3821">
        <v>1.00000005485342</v>
      </c>
    </row>
    <row r="3822" spans="1:40" x14ac:dyDescent="0.25">
      <c r="A3822" t="str">
        <f>"20190312160717621"</f>
        <v>20190312160717621</v>
      </c>
      <c r="B3822" t="str">
        <f>"1552378037609271"</f>
        <v>1552378037609271</v>
      </c>
      <c r="C3822" t="s">
        <v>40</v>
      </c>
      <c r="D3822">
        <v>6.4681170000000003</v>
      </c>
      <c r="E3822">
        <v>0.54030690000000003</v>
      </c>
      <c r="F3822" t="s">
        <v>77</v>
      </c>
      <c r="G3822">
        <v>-300.40780000000001</v>
      </c>
      <c r="H3822" s="1">
        <v>2.5809210000000001E-6</v>
      </c>
      <c r="I3822">
        <v>212.14230000000001</v>
      </c>
      <c r="J3822">
        <v>-343.97739999999999</v>
      </c>
      <c r="K3822">
        <v>1.109872</v>
      </c>
      <c r="L3822">
        <v>213.3723</v>
      </c>
      <c r="M3822">
        <v>0.99955170000000004</v>
      </c>
      <c r="N3822">
        <v>0</v>
      </c>
      <c r="O3822">
        <v>2.594074E-2</v>
      </c>
      <c r="P3822">
        <v>0.99758720000000001</v>
      </c>
      <c r="Q3822">
        <v>6.4937099999999998E-3</v>
      </c>
      <c r="R3822">
        <v>6.9120790000000001E-2</v>
      </c>
      <c r="S3822">
        <v>3.01355</v>
      </c>
      <c r="T3822">
        <v>-7.6120019999999997E-2</v>
      </c>
      <c r="U3822">
        <v>-8.3694459999999998E-2</v>
      </c>
      <c r="V3822">
        <v>-4.3224129999999999E-2</v>
      </c>
      <c r="W3822">
        <v>2.141009E-2</v>
      </c>
      <c r="X3822">
        <v>0.99883599999999995</v>
      </c>
      <c r="Y3822">
        <v>5.3660930000000003E-2</v>
      </c>
      <c r="Z3822">
        <v>-1.332569E-3</v>
      </c>
      <c r="AA3822">
        <v>0.99855830000000001</v>
      </c>
      <c r="AB3822">
        <v>38</v>
      </c>
      <c r="AC3822">
        <v>43.569599999999902</v>
      </c>
      <c r="AD3822">
        <v>-1.1098694190789999</v>
      </c>
      <c r="AE3822">
        <v>-1.22999999999998</v>
      </c>
      <c r="AF3822">
        <v>2.3584108173927598</v>
      </c>
      <c r="AG3822">
        <v>-1.1098694190789999</v>
      </c>
      <c r="AH3822">
        <v>43.494822867793197</v>
      </c>
      <c r="AI3822">
        <v>91.459571896233399</v>
      </c>
      <c r="AJ3822">
        <v>86.896302112402793</v>
      </c>
      <c r="AK3822">
        <v>43.5728531084631</v>
      </c>
      <c r="AL3822">
        <v>88.773198510170502</v>
      </c>
      <c r="AM3822">
        <v>92.477900295797397</v>
      </c>
      <c r="AN3822">
        <v>1.00000003613203</v>
      </c>
    </row>
    <row r="3823" spans="1:40" x14ac:dyDescent="0.25">
      <c r="A3823" t="str">
        <f>"20190312160717645"</f>
        <v>20190312160717645</v>
      </c>
      <c r="B3823" t="str">
        <f>"1552378037639527"</f>
        <v>1552378037639527</v>
      </c>
      <c r="C3823" t="s">
        <v>40</v>
      </c>
      <c r="D3823">
        <v>6.4076409999999999</v>
      </c>
      <c r="E3823">
        <v>0.54186800000000002</v>
      </c>
      <c r="F3823" t="s">
        <v>77</v>
      </c>
      <c r="G3823">
        <v>-301.44490000000002</v>
      </c>
      <c r="H3823" s="1">
        <v>2.3969619999999999E-6</v>
      </c>
      <c r="I3823">
        <v>211.72149999999999</v>
      </c>
      <c r="J3823">
        <v>-343.5813</v>
      </c>
      <c r="K3823">
        <v>1.1098589999999999</v>
      </c>
      <c r="L3823">
        <v>213.3827</v>
      </c>
      <c r="M3823">
        <v>0.99954889999999996</v>
      </c>
      <c r="N3823">
        <v>0</v>
      </c>
      <c r="O3823">
        <v>2.6056260000000001E-2</v>
      </c>
      <c r="P3823">
        <v>0.99761409999999995</v>
      </c>
      <c r="Q3823">
        <v>7.1066760000000001E-3</v>
      </c>
      <c r="R3823">
        <v>6.8672720000000007E-2</v>
      </c>
      <c r="S3823">
        <v>3.0158689999999999</v>
      </c>
      <c r="T3823">
        <v>-7.8697920000000005E-2</v>
      </c>
      <c r="U3823">
        <v>-0.11705019999999999</v>
      </c>
      <c r="V3823">
        <v>-4.265965E-2</v>
      </c>
      <c r="W3823">
        <v>2.2022199999999999E-2</v>
      </c>
      <c r="X3823">
        <v>0.99884689999999998</v>
      </c>
      <c r="Y3823">
        <v>6.4777749999999995E-2</v>
      </c>
      <c r="Z3823">
        <v>-1.524374E-3</v>
      </c>
      <c r="AA3823">
        <v>0.99789859999999997</v>
      </c>
      <c r="AB3823">
        <v>38</v>
      </c>
      <c r="AC3823">
        <v>42.136399999999902</v>
      </c>
      <c r="AD3823">
        <v>-1.1098566030379999</v>
      </c>
      <c r="AE3823">
        <v>-1.6612</v>
      </c>
      <c r="AF3823">
        <v>2.7567657214326</v>
      </c>
      <c r="AG3823">
        <v>-1.1098566030379999</v>
      </c>
      <c r="AH3823">
        <v>42.0496733304457</v>
      </c>
      <c r="AI3823">
        <v>91.508673190828006</v>
      </c>
      <c r="AJ3823">
        <v>86.249071280256004</v>
      </c>
      <c r="AK3823">
        <v>42.154555698279701</v>
      </c>
      <c r="AL3823">
        <v>88.738118843238993</v>
      </c>
      <c r="AM3823">
        <v>92.445553367267905</v>
      </c>
      <c r="AN3823">
        <v>0.99999997633528503</v>
      </c>
    </row>
    <row r="3824" spans="1:40" x14ac:dyDescent="0.25">
      <c r="A3824" t="str">
        <f>"20190312160717666"</f>
        <v>20190312160717666</v>
      </c>
      <c r="B3824" t="str">
        <f>"1552378037659047"</f>
        <v>1552378037659047</v>
      </c>
      <c r="C3824" t="s">
        <v>40</v>
      </c>
      <c r="D3824">
        <v>6.4763769999999896</v>
      </c>
      <c r="E3824">
        <v>0.54334289999999996</v>
      </c>
      <c r="F3824" t="s">
        <v>77</v>
      </c>
      <c r="G3824">
        <v>-303.6207</v>
      </c>
      <c r="H3824" s="1">
        <v>2.0110119999999998E-6</v>
      </c>
      <c r="I3824">
        <v>211.6481</v>
      </c>
      <c r="J3824">
        <v>-343.20760000000001</v>
      </c>
      <c r="K3824">
        <v>1.109847</v>
      </c>
      <c r="L3824">
        <v>213.39250000000001</v>
      </c>
      <c r="M3824">
        <v>0.99954620000000005</v>
      </c>
      <c r="N3824">
        <v>0</v>
      </c>
      <c r="O3824">
        <v>2.6154320000000002E-2</v>
      </c>
      <c r="P3824">
        <v>0.99761849999999996</v>
      </c>
      <c r="Q3824">
        <v>7.9088490000000008E-3</v>
      </c>
      <c r="R3824">
        <v>6.8518410000000002E-2</v>
      </c>
      <c r="S3824">
        <v>3.0168460000000001</v>
      </c>
      <c r="T3824">
        <v>-8.378911E-2</v>
      </c>
      <c r="U3824">
        <v>-0.13095090000000001</v>
      </c>
      <c r="V3824">
        <v>-4.2406920000000001E-2</v>
      </c>
      <c r="W3824">
        <v>2.282261E-2</v>
      </c>
      <c r="X3824">
        <v>0.9988397</v>
      </c>
      <c r="Y3824">
        <v>6.9446729999999998E-2</v>
      </c>
      <c r="Z3824">
        <v>-1.689802E-3</v>
      </c>
      <c r="AA3824">
        <v>0.99758420000000003</v>
      </c>
      <c r="AB3824">
        <v>38</v>
      </c>
      <c r="AC3824">
        <v>39.5869</v>
      </c>
      <c r="AD3824">
        <v>-1.109844988988</v>
      </c>
      <c r="AE3824">
        <v>-1.7444000000000099</v>
      </c>
      <c r="AF3824">
        <v>2.77710865705926</v>
      </c>
      <c r="AG3824">
        <v>-1.109844988988</v>
      </c>
      <c r="AH3824">
        <v>39.496742074433399</v>
      </c>
      <c r="AI3824">
        <v>91.605606386018195</v>
      </c>
      <c r="AJ3824">
        <v>85.978018512976703</v>
      </c>
      <c r="AK3824">
        <v>39.609805893074203</v>
      </c>
      <c r="AL3824">
        <v>88.692247201142706</v>
      </c>
      <c r="AM3824">
        <v>92.431100030897795</v>
      </c>
      <c r="AN3824">
        <v>0.999999982343594</v>
      </c>
    </row>
    <row r="3825" spans="1:40" x14ac:dyDescent="0.25">
      <c r="A3825" t="str">
        <f>"20190312160717689"</f>
        <v>20190312160717689</v>
      </c>
      <c r="B3825" t="str">
        <f>"1552378037678571"</f>
        <v>1552378037678571</v>
      </c>
      <c r="C3825" t="s">
        <v>40</v>
      </c>
      <c r="D3825">
        <v>6.4606059999999896</v>
      </c>
      <c r="E3825">
        <v>0.54430590000000001</v>
      </c>
      <c r="F3825" t="s">
        <v>77</v>
      </c>
      <c r="G3825">
        <v>-302.10980000000001</v>
      </c>
      <c r="H3825" s="1">
        <v>2.2790110000000002E-6</v>
      </c>
      <c r="I3825">
        <v>211.44300000000001</v>
      </c>
      <c r="J3825">
        <v>-342.82940000000002</v>
      </c>
      <c r="K3825">
        <v>1.109837</v>
      </c>
      <c r="L3825">
        <v>213.4025</v>
      </c>
      <c r="M3825">
        <v>0.99954390000000004</v>
      </c>
      <c r="N3825">
        <v>0</v>
      </c>
      <c r="O3825">
        <v>2.624599E-2</v>
      </c>
      <c r="P3825">
        <v>0.99760380000000004</v>
      </c>
      <c r="Q3825">
        <v>8.1228529999999993E-3</v>
      </c>
      <c r="R3825">
        <v>6.8708539999999999E-2</v>
      </c>
      <c r="S3825">
        <v>3.017639</v>
      </c>
      <c r="T3825">
        <v>-8.1491350000000004E-2</v>
      </c>
      <c r="U3825">
        <v>-0.14314270000000001</v>
      </c>
      <c r="V3825">
        <v>-4.2504840000000002E-2</v>
      </c>
      <c r="W3825">
        <v>2.3033789999999998E-2</v>
      </c>
      <c r="X3825">
        <v>0.99883069999999896</v>
      </c>
      <c r="Y3825">
        <v>7.3548859999999994E-2</v>
      </c>
      <c r="Z3825">
        <v>-1.700729E-3</v>
      </c>
      <c r="AA3825">
        <v>0.99729020000000002</v>
      </c>
      <c r="AB3825">
        <v>38</v>
      </c>
      <c r="AC3825">
        <v>40.7196</v>
      </c>
      <c r="AD3825">
        <v>-1.109834720989</v>
      </c>
      <c r="AE3825">
        <v>-1.95950000000002</v>
      </c>
      <c r="AF3825">
        <v>3.0254280118474499</v>
      </c>
      <c r="AG3825">
        <v>-1.109834720989</v>
      </c>
      <c r="AH3825">
        <v>40.624026382497597</v>
      </c>
      <c r="AI3825">
        <v>91.560592478447603</v>
      </c>
      <c r="AJ3825">
        <v>85.740824884044102</v>
      </c>
      <c r="AK3825">
        <v>40.751643737260999</v>
      </c>
      <c r="AL3825">
        <v>88.6801443093659</v>
      </c>
      <c r="AM3825">
        <v>92.436728750762398</v>
      </c>
      <c r="AN3825">
        <v>0.99999999208383905</v>
      </c>
    </row>
    <row r="3826" spans="1:40" x14ac:dyDescent="0.25">
      <c r="A3826" t="str">
        <f>"20190312160717710"</f>
        <v>20190312160717710</v>
      </c>
      <c r="B3826" t="str">
        <f>"1552378037699064"</f>
        <v>1552378037699064</v>
      </c>
      <c r="C3826" t="s">
        <v>40</v>
      </c>
      <c r="D3826">
        <v>6.455857</v>
      </c>
      <c r="E3826">
        <v>0.54355980000000004</v>
      </c>
      <c r="F3826" t="s">
        <v>77</v>
      </c>
      <c r="G3826">
        <v>-300.87040000000002</v>
      </c>
      <c r="H3826" s="1">
        <v>2.4988629999999999E-6</v>
      </c>
      <c r="I3826">
        <v>211.31370000000001</v>
      </c>
      <c r="J3826">
        <v>-342.47179999999997</v>
      </c>
      <c r="K3826">
        <v>1.109829</v>
      </c>
      <c r="L3826">
        <v>213.41200000000001</v>
      </c>
      <c r="M3826">
        <v>0.99954180000000004</v>
      </c>
      <c r="N3826">
        <v>0</v>
      </c>
      <c r="O3826">
        <v>2.6327710000000001E-2</v>
      </c>
      <c r="P3826">
        <v>0.99762870000000003</v>
      </c>
      <c r="Q3826">
        <v>8.0260379999999992E-3</v>
      </c>
      <c r="R3826">
        <v>6.8357200000000007E-2</v>
      </c>
      <c r="S3826">
        <v>3.0182799999999999</v>
      </c>
      <c r="T3826">
        <v>-7.9834939999999993E-2</v>
      </c>
      <c r="U3826">
        <v>-0.15025329999999901</v>
      </c>
      <c r="V3826">
        <v>-4.2071030000000002E-2</v>
      </c>
      <c r="W3826">
        <v>2.2934630000000001E-2</v>
      </c>
      <c r="X3826">
        <v>0.99885139999999994</v>
      </c>
      <c r="Y3826">
        <v>7.5964669999999998E-2</v>
      </c>
      <c r="Z3826">
        <v>-1.6998130000000001E-3</v>
      </c>
      <c r="AA3826">
        <v>0.99710909999999997</v>
      </c>
      <c r="AB3826">
        <v>38</v>
      </c>
      <c r="AC3826">
        <v>41.601399999999899</v>
      </c>
      <c r="AD3826">
        <v>-1.1098265011370001</v>
      </c>
      <c r="AE3826">
        <v>-2.0982999999999898</v>
      </c>
      <c r="AF3826">
        <v>3.1906992114064301</v>
      </c>
      <c r="AG3826">
        <v>-1.1098265011370001</v>
      </c>
      <c r="AH3826">
        <v>41.502264689186603</v>
      </c>
      <c r="AI3826">
        <v>91.527296526084498</v>
      </c>
      <c r="AJ3826">
        <v>85.603741258286504</v>
      </c>
      <c r="AK3826">
        <v>41.639527502741899</v>
      </c>
      <c r="AL3826">
        <v>88.685827328490106</v>
      </c>
      <c r="AM3826">
        <v>92.411838771793896</v>
      </c>
      <c r="AN3826">
        <v>1.0000000440502199</v>
      </c>
    </row>
    <row r="3827" spans="1:40" x14ac:dyDescent="0.25">
      <c r="A3827" t="str">
        <f>"20190312160717733"</f>
        <v>20190312160717733</v>
      </c>
      <c r="B3827" t="str">
        <f>"1552378037729319"</f>
        <v>1552378037729319</v>
      </c>
      <c r="C3827" t="s">
        <v>40</v>
      </c>
      <c r="D3827">
        <v>6.420839</v>
      </c>
      <c r="E3827">
        <v>0.54465959999999902</v>
      </c>
      <c r="F3827" t="s">
        <v>77</v>
      </c>
      <c r="G3827">
        <v>-287.62450000000001</v>
      </c>
      <c r="H3827" s="1">
        <v>4.1666839999999998E-6</v>
      </c>
      <c r="I3827">
        <v>210.78319999999999</v>
      </c>
      <c r="J3827">
        <v>-342.0881</v>
      </c>
      <c r="K3827">
        <v>1.1098250000000001</v>
      </c>
      <c r="L3827">
        <v>213.4222</v>
      </c>
      <c r="M3827">
        <v>0.99953970000000003</v>
      </c>
      <c r="N3827">
        <v>0</v>
      </c>
      <c r="O3827">
        <v>2.6412620000000001E-2</v>
      </c>
      <c r="P3827">
        <v>0.99764640000000004</v>
      </c>
      <c r="Q3827">
        <v>7.6813869999999996E-3</v>
      </c>
      <c r="R3827">
        <v>6.8139889999999995E-2</v>
      </c>
      <c r="S3827">
        <v>3.017487</v>
      </c>
      <c r="T3827">
        <v>-6.1058279999999999E-2</v>
      </c>
      <c r="U3827">
        <v>-0.1446228</v>
      </c>
      <c r="V3827">
        <v>-4.1767970000000001E-2</v>
      </c>
      <c r="W3827">
        <v>2.2587110000000001E-2</v>
      </c>
      <c r="X3827">
        <v>0.99887199999999998</v>
      </c>
      <c r="Y3827">
        <v>7.4221300000000004E-2</v>
      </c>
      <c r="Z3827">
        <v>-1.28461E-3</v>
      </c>
      <c r="AA3827">
        <v>0.99724100000000004</v>
      </c>
      <c r="AB3827">
        <v>38</v>
      </c>
      <c r="AC3827">
        <v>54.4635999999999</v>
      </c>
      <c r="AD3827">
        <v>-1.109820833316</v>
      </c>
      <c r="AE3827">
        <v>-2.63900000000001</v>
      </c>
      <c r="AF3827">
        <v>4.0750775898362601</v>
      </c>
      <c r="AG3827">
        <v>-1.109820833316</v>
      </c>
      <c r="AH3827">
        <v>54.352368061826297</v>
      </c>
      <c r="AI3827">
        <v>91.166486720863006</v>
      </c>
      <c r="AJ3827">
        <v>85.712261837340094</v>
      </c>
      <c r="AK3827">
        <v>54.516216610963397</v>
      </c>
      <c r="AL3827">
        <v>88.705743868191206</v>
      </c>
      <c r="AM3827">
        <v>92.394435985517703</v>
      </c>
      <c r="AN3827">
        <v>1.0000000066200301</v>
      </c>
    </row>
    <row r="3828" spans="1:40" x14ac:dyDescent="0.25">
      <c r="A3828" t="str">
        <f>"20190312160717756"</f>
        <v>20190312160717756</v>
      </c>
      <c r="B3828" t="str">
        <f>"1552378037748839"</f>
        <v>1552378037748839</v>
      </c>
      <c r="C3828" t="s">
        <v>40</v>
      </c>
      <c r="D3828">
        <v>6.4739500000000003</v>
      </c>
      <c r="E3828">
        <v>0.54577319999999996</v>
      </c>
      <c r="F3828" t="s">
        <v>77</v>
      </c>
      <c r="G3828">
        <v>-281.01049999999998</v>
      </c>
      <c r="H3828" s="1">
        <v>7.1559130000000001E-6</v>
      </c>
      <c r="I3828">
        <v>210.31190000000001</v>
      </c>
      <c r="J3828">
        <v>-341.69600000000003</v>
      </c>
      <c r="K3828">
        <v>1.1098220000000001</v>
      </c>
      <c r="L3828">
        <v>213.43260000000001</v>
      </c>
      <c r="M3828">
        <v>0.99953749999999997</v>
      </c>
      <c r="N3828">
        <v>0</v>
      </c>
      <c r="O3828">
        <v>2.6496039999999998E-2</v>
      </c>
      <c r="P3828">
        <v>0.99764699999999995</v>
      </c>
      <c r="Q3828">
        <v>8.1255049999999999E-3</v>
      </c>
      <c r="R3828">
        <v>6.8076390000000001E-2</v>
      </c>
      <c r="S3828">
        <v>3.018005</v>
      </c>
      <c r="T3828">
        <v>-5.4839020000000002E-2</v>
      </c>
      <c r="U3828">
        <v>-0.1536865</v>
      </c>
      <c r="V3828">
        <v>-4.1620850000000001E-2</v>
      </c>
      <c r="W3828">
        <v>2.3028070000000001E-2</v>
      </c>
      <c r="X3828">
        <v>0.99886799999999998</v>
      </c>
      <c r="Y3828">
        <v>7.7287069999999999E-2</v>
      </c>
      <c r="Z3828">
        <v>-1.182855E-3</v>
      </c>
      <c r="AA3828">
        <v>0.99700820000000001</v>
      </c>
      <c r="AB3828">
        <v>38</v>
      </c>
      <c r="AC3828">
        <v>60.685499999999898</v>
      </c>
      <c r="AD3828">
        <v>-1.1098148440869999</v>
      </c>
      <c r="AE3828">
        <v>-3.1206999999999998</v>
      </c>
      <c r="AF3828">
        <v>4.7261321940475503</v>
      </c>
      <c r="AG3828">
        <v>-1.1098148440869999</v>
      </c>
      <c r="AH3828">
        <v>60.561292978731899</v>
      </c>
      <c r="AI3828">
        <v>91.046673623838103</v>
      </c>
      <c r="AJ3828">
        <v>85.537748435615399</v>
      </c>
      <c r="AK3828">
        <v>60.755561241416999</v>
      </c>
      <c r="AL3828">
        <v>88.680472051910598</v>
      </c>
      <c r="AM3828">
        <v>92.386021333139198</v>
      </c>
      <c r="AN3828">
        <v>0.99999993429332101</v>
      </c>
    </row>
    <row r="3829" spans="1:40" x14ac:dyDescent="0.25">
      <c r="A3829" t="str">
        <f>"20190312160717778"</f>
        <v>20190312160717778</v>
      </c>
      <c r="B3829" t="str">
        <f>"1552378037769336"</f>
        <v>1552378037769336</v>
      </c>
      <c r="C3829" t="s">
        <v>40</v>
      </c>
      <c r="D3829">
        <v>6.3165279999999999</v>
      </c>
      <c r="E3829">
        <v>0.54671619999999999</v>
      </c>
      <c r="F3829" t="s">
        <v>77</v>
      </c>
      <c r="G3829">
        <v>-282.3252</v>
      </c>
      <c r="H3829" s="1">
        <v>6.5829239999999999E-6</v>
      </c>
      <c r="I3829">
        <v>210.22800000000001</v>
      </c>
      <c r="J3829">
        <v>-341.3202</v>
      </c>
      <c r="K3829">
        <v>1.1098129999999999</v>
      </c>
      <c r="L3829">
        <v>213.4427</v>
      </c>
      <c r="M3829">
        <v>0.99953559999999997</v>
      </c>
      <c r="N3829">
        <v>0</v>
      </c>
      <c r="O3829">
        <v>2.65711E-2</v>
      </c>
      <c r="P3829">
        <v>0.99762479999999998</v>
      </c>
      <c r="Q3829">
        <v>8.0112169999999993E-3</v>
      </c>
      <c r="R3829">
        <v>6.8417240000000004E-2</v>
      </c>
      <c r="S3829">
        <v>3.0186160000000002</v>
      </c>
      <c r="T3829">
        <v>-5.6426759999999999E-2</v>
      </c>
      <c r="U3829">
        <v>-0.162933299999999</v>
      </c>
      <c r="V3829">
        <v>-4.1886729999999997E-2</v>
      </c>
      <c r="W3829">
        <v>2.2910320000000001E-2</v>
      </c>
      <c r="X3829">
        <v>0.99885959999999996</v>
      </c>
      <c r="Y3829">
        <v>8.0395480000000005E-2</v>
      </c>
      <c r="Z3829">
        <v>-1.2471889999999999E-3</v>
      </c>
      <c r="AA3829">
        <v>0.99676229999999999</v>
      </c>
      <c r="AB3829">
        <v>38</v>
      </c>
      <c r="AC3829">
        <v>58.994999999999997</v>
      </c>
      <c r="AD3829">
        <v>-1.109806417076</v>
      </c>
      <c r="AE3829">
        <v>-3.2147000000000201</v>
      </c>
      <c r="AF3829">
        <v>4.7796147990784403</v>
      </c>
      <c r="AG3829">
        <v>-1.109806417076</v>
      </c>
      <c r="AH3829">
        <v>58.8679672319848</v>
      </c>
      <c r="AI3829">
        <v>91.076497302820002</v>
      </c>
      <c r="AJ3829">
        <v>85.358216372121404</v>
      </c>
      <c r="AK3829">
        <v>59.072108087802199</v>
      </c>
      <c r="AL3829">
        <v>88.687220419221603</v>
      </c>
      <c r="AM3829">
        <v>92.401265966766204</v>
      </c>
      <c r="AN3829">
        <v>0.99999994071237497</v>
      </c>
    </row>
    <row r="3830" spans="1:40" x14ac:dyDescent="0.25">
      <c r="A3830" t="str">
        <f>"20190312160717800"</f>
        <v>20190312160717800</v>
      </c>
      <c r="B3830" t="str">
        <f>"1552378037788855"</f>
        <v>1552378037788855</v>
      </c>
      <c r="C3830" t="s">
        <v>40</v>
      </c>
      <c r="D3830">
        <v>6.2686640000000002</v>
      </c>
      <c r="E3830">
        <v>0.54741169999999995</v>
      </c>
      <c r="F3830" t="s">
        <v>77</v>
      </c>
      <c r="G3830">
        <v>-284.58679999999998</v>
      </c>
      <c r="H3830" s="1">
        <v>5.5765440000000003E-6</v>
      </c>
      <c r="I3830">
        <v>210.25700000000001</v>
      </c>
      <c r="J3830">
        <v>-340.95409999999998</v>
      </c>
      <c r="K3830">
        <v>1.109809</v>
      </c>
      <c r="L3830">
        <v>213.45249999999999</v>
      </c>
      <c r="M3830">
        <v>0.99953389999999998</v>
      </c>
      <c r="N3830">
        <v>0</v>
      </c>
      <c r="O3830">
        <v>2.663888E-2</v>
      </c>
      <c r="P3830">
        <v>0.99762150000000005</v>
      </c>
      <c r="Q3830">
        <v>7.0133859999999999E-3</v>
      </c>
      <c r="R3830">
        <v>6.8572530000000007E-2</v>
      </c>
      <c r="S3830">
        <v>3.0193180000000002</v>
      </c>
      <c r="T3830">
        <v>-5.9063320000000002E-2</v>
      </c>
      <c r="U3830">
        <v>-0.16954040000000001</v>
      </c>
      <c r="V3830">
        <v>-4.1973410000000003E-2</v>
      </c>
      <c r="W3830">
        <v>2.1909689999999999E-2</v>
      </c>
      <c r="X3830">
        <v>0.9988785</v>
      </c>
      <c r="Y3830">
        <v>8.2622769999999998E-2</v>
      </c>
      <c r="Z3830">
        <v>-1.328166E-3</v>
      </c>
      <c r="AA3830">
        <v>0.99658000000000002</v>
      </c>
      <c r="AB3830">
        <v>38</v>
      </c>
      <c r="AC3830">
        <v>56.3673</v>
      </c>
      <c r="AD3830">
        <v>-1.1098034234559999</v>
      </c>
      <c r="AE3830">
        <v>-3.19549999999998</v>
      </c>
      <c r="AF3830">
        <v>4.6942805426813603</v>
      </c>
      <c r="AG3830">
        <v>-1.1098034234559999</v>
      </c>
      <c r="AH3830">
        <v>56.240426380687303</v>
      </c>
      <c r="AI3830">
        <v>91.126565673345098</v>
      </c>
      <c r="AJ3830">
        <v>85.228691087881103</v>
      </c>
      <c r="AK3830">
        <v>56.4469086215855</v>
      </c>
      <c r="AL3830">
        <v>88.744566814323804</v>
      </c>
      <c r="AM3830">
        <v>92.406183813690504</v>
      </c>
      <c r="AN3830">
        <v>1.00000002971258</v>
      </c>
    </row>
    <row r="3831" spans="1:40" x14ac:dyDescent="0.25">
      <c r="A3831" t="str">
        <f>"20190312160717823"</f>
        <v>20190312160717823</v>
      </c>
      <c r="B3831" t="str">
        <f>"1552378037819111"</f>
        <v>1552378037819111</v>
      </c>
      <c r="C3831" t="s">
        <v>40</v>
      </c>
      <c r="D3831">
        <v>6.4908519999999896</v>
      </c>
      <c r="E3831">
        <v>0.54833849999999995</v>
      </c>
      <c r="F3831" t="s">
        <v>77</v>
      </c>
      <c r="G3831">
        <v>-294.68329999999997</v>
      </c>
      <c r="H3831" s="1">
        <v>1.725153E-6</v>
      </c>
      <c r="I3831">
        <v>210.76830000000001</v>
      </c>
      <c r="J3831">
        <v>-340.56220000000002</v>
      </c>
      <c r="K3831">
        <v>1.109793</v>
      </c>
      <c r="L3831">
        <v>213.46299999999999</v>
      </c>
      <c r="M3831">
        <v>0.99953219999999998</v>
      </c>
      <c r="N3831">
        <v>0</v>
      </c>
      <c r="O3831">
        <v>2.6701599999999898E-2</v>
      </c>
      <c r="P3831">
        <v>0.99762209999999996</v>
      </c>
      <c r="Q3831">
        <v>6.4679619999999998E-3</v>
      </c>
      <c r="R3831">
        <v>6.8618819999999997E-2</v>
      </c>
      <c r="S3831">
        <v>3.0196839999999998</v>
      </c>
      <c r="T3831">
        <v>-7.2427270000000002E-2</v>
      </c>
      <c r="U3831">
        <v>-0.17517089999999999</v>
      </c>
      <c r="V3831">
        <v>-4.195629E-2</v>
      </c>
      <c r="W3831">
        <v>2.1361459999999999E-2</v>
      </c>
      <c r="X3831">
        <v>0.99889110000000003</v>
      </c>
      <c r="Y3831">
        <v>8.4519520000000001E-2</v>
      </c>
      <c r="Z3831">
        <v>-1.652553E-3</v>
      </c>
      <c r="AA3831">
        <v>0.99642039999999998</v>
      </c>
      <c r="AB3831">
        <v>38</v>
      </c>
      <c r="AC3831">
        <v>45.878900000000002</v>
      </c>
      <c r="AD3831">
        <v>-1.109791274847</v>
      </c>
      <c r="AE3831">
        <v>-2.6946999999999801</v>
      </c>
      <c r="AF3831">
        <v>3.9166313923815599</v>
      </c>
      <c r="AG3831">
        <v>-1.109791274847</v>
      </c>
      <c r="AH3831">
        <v>45.763891349029102</v>
      </c>
      <c r="AI3831">
        <v>91.384113790331199</v>
      </c>
      <c r="AJ3831">
        <v>85.108349680956096</v>
      </c>
      <c r="AK3831">
        <v>45.944590427418703</v>
      </c>
      <c r="AL3831">
        <v>88.775985440983106</v>
      </c>
      <c r="AM3831">
        <v>92.405173235238706</v>
      </c>
      <c r="AN3831">
        <v>1.00000003595155</v>
      </c>
    </row>
    <row r="3832" spans="1:40" x14ac:dyDescent="0.25">
      <c r="A3832" t="str">
        <f>"20190312160717847"</f>
        <v>20190312160717847</v>
      </c>
      <c r="B3832" t="str">
        <f>"1552378037838631"</f>
        <v>1552378037838631</v>
      </c>
      <c r="C3832" t="s">
        <v>40</v>
      </c>
      <c r="D3832">
        <v>6.2224219999999999</v>
      </c>
      <c r="E3832">
        <v>0.54747449999999998</v>
      </c>
      <c r="F3832" t="s">
        <v>77</v>
      </c>
      <c r="G3832">
        <v>-296.43430000000001</v>
      </c>
      <c r="H3832" s="1">
        <v>2.0357479999999999E-6</v>
      </c>
      <c r="I3832">
        <v>210.80170000000001</v>
      </c>
      <c r="J3832">
        <v>-340.1669</v>
      </c>
      <c r="K3832">
        <v>1.1097809999999999</v>
      </c>
      <c r="L3832">
        <v>213.4736</v>
      </c>
      <c r="M3832">
        <v>0.99953110000000001</v>
      </c>
      <c r="N3832">
        <v>0</v>
      </c>
      <c r="O3832">
        <v>2.674996E-2</v>
      </c>
      <c r="P3832">
        <v>0.99763069999999998</v>
      </c>
      <c r="Q3832">
        <v>6.7704210000000004E-3</v>
      </c>
      <c r="R3832">
        <v>6.8465310000000001E-2</v>
      </c>
      <c r="S3832">
        <v>3.0201720000000001</v>
      </c>
      <c r="T3832">
        <v>-7.5955510000000004E-2</v>
      </c>
      <c r="U3832">
        <v>-0.18214420000000001</v>
      </c>
      <c r="V3832">
        <v>-4.1754060000000003E-2</v>
      </c>
      <c r="W3832">
        <v>2.1660840000000001E-2</v>
      </c>
      <c r="X3832">
        <v>0.99889309999999998</v>
      </c>
      <c r="Y3832">
        <v>8.6846880000000001E-2</v>
      </c>
      <c r="Z3832">
        <v>-1.763089E-3</v>
      </c>
      <c r="AA3832">
        <v>0.99622010000000005</v>
      </c>
      <c r="AB3832">
        <v>38</v>
      </c>
      <c r="AC3832">
        <v>43.732599999999898</v>
      </c>
      <c r="AD3832">
        <v>-1.109778964252</v>
      </c>
      <c r="AE3832">
        <v>-2.6718999999999902</v>
      </c>
      <c r="AF3832">
        <v>3.8384562107344502</v>
      </c>
      <c r="AG3832">
        <v>-1.109778964252</v>
      </c>
      <c r="AH3832">
        <v>43.617482229666102</v>
      </c>
      <c r="AI3832">
        <v>91.451878737237095</v>
      </c>
      <c r="AJ3832">
        <v>84.970772898882103</v>
      </c>
      <c r="AK3832">
        <v>43.800115427775502</v>
      </c>
      <c r="AL3832">
        <v>88.758828228043498</v>
      </c>
      <c r="AM3832">
        <v>92.393588990466498</v>
      </c>
      <c r="AN3832">
        <v>1.00000000937179</v>
      </c>
    </row>
    <row r="3833" spans="1:40" x14ac:dyDescent="0.25">
      <c r="A3833" t="str">
        <f>"20190312160717868"</f>
        <v>20190312160717868</v>
      </c>
      <c r="B3833" t="str">
        <f>"1552378037859130"</f>
        <v>1552378037859130</v>
      </c>
      <c r="C3833" t="s">
        <v>40</v>
      </c>
      <c r="D3833">
        <v>6.0690900000000001</v>
      </c>
      <c r="E3833">
        <v>0.48168179999999999</v>
      </c>
      <c r="F3833" t="s">
        <v>77</v>
      </c>
      <c r="G3833">
        <v>-292.39370000000002</v>
      </c>
      <c r="H3833" s="1">
        <v>1.319007E-6</v>
      </c>
      <c r="I3833">
        <v>210.69739999999999</v>
      </c>
      <c r="J3833">
        <v>-339.80650000000003</v>
      </c>
      <c r="K3833">
        <v>1.1097699999999999</v>
      </c>
      <c r="L3833">
        <v>213.48330000000001</v>
      </c>
      <c r="M3833">
        <v>0.99953029999999998</v>
      </c>
      <c r="N3833">
        <v>0</v>
      </c>
      <c r="O3833">
        <v>2.6780680000000001E-2</v>
      </c>
      <c r="P3833">
        <v>0.99763170000000001</v>
      </c>
      <c r="Q3833">
        <v>6.639041E-3</v>
      </c>
      <c r="R3833">
        <v>6.8461569999999999E-2</v>
      </c>
      <c r="S3833">
        <v>3.0196529999999999</v>
      </c>
      <c r="T3833">
        <v>-7.0147039999999994E-2</v>
      </c>
      <c r="U3833">
        <v>-0.1754761</v>
      </c>
      <c r="V3833">
        <v>-4.1718930000000001E-2</v>
      </c>
      <c r="W3833">
        <v>2.152689E-2</v>
      </c>
      <c r="X3833">
        <v>0.99889740000000005</v>
      </c>
      <c r="Y3833">
        <v>8.4701199999999893E-2</v>
      </c>
      <c r="Z3833">
        <v>-1.604496E-3</v>
      </c>
      <c r="AA3833">
        <v>0.99640510000000004</v>
      </c>
      <c r="AB3833">
        <v>38</v>
      </c>
      <c r="AC3833">
        <v>47.412799999999997</v>
      </c>
      <c r="AD3833">
        <v>-1.1097686809930001</v>
      </c>
      <c r="AE3833">
        <v>-2.7859000000000198</v>
      </c>
      <c r="AF3833">
        <v>4.0525759162572097</v>
      </c>
      <c r="AG3833">
        <v>-1.1097686809930001</v>
      </c>
      <c r="AH3833">
        <v>47.295351926382203</v>
      </c>
      <c r="AI3833">
        <v>91.339272705576505</v>
      </c>
      <c r="AJ3833">
        <v>85.102484643777402</v>
      </c>
      <c r="AK3833">
        <v>47.481630889457499</v>
      </c>
      <c r="AL3833">
        <v>88.766504709342897</v>
      </c>
      <c r="AM3833">
        <v>92.391567187819902</v>
      </c>
      <c r="AN3833">
        <v>0.99999994592008701</v>
      </c>
    </row>
    <row r="3834" spans="1:40" x14ac:dyDescent="0.25">
      <c r="A3834" t="str">
        <f>"20190312160717889"</f>
        <v>20190312160717889</v>
      </c>
      <c r="B3834" t="str">
        <f>"1552378037879157"</f>
        <v>1552378037879157</v>
      </c>
      <c r="C3834" t="s">
        <v>40</v>
      </c>
      <c r="D3834">
        <v>5.9411839999999998</v>
      </c>
      <c r="E3834">
        <v>0.47279739999999998</v>
      </c>
      <c r="F3834" t="s">
        <v>77</v>
      </c>
      <c r="G3834">
        <v>-286.83159999999998</v>
      </c>
      <c r="H3834">
        <v>1.6433529999999998E-2</v>
      </c>
      <c r="I3834">
        <v>219.66630000000001</v>
      </c>
      <c r="J3834">
        <v>-339.44940000000003</v>
      </c>
      <c r="K3834">
        <v>1.1097589999999999</v>
      </c>
      <c r="L3834">
        <v>213.49289999999999</v>
      </c>
      <c r="M3834">
        <v>0.99952980000000002</v>
      </c>
      <c r="N3834">
        <v>0</v>
      </c>
      <c r="O3834">
        <v>2.6800939999999999E-2</v>
      </c>
      <c r="P3834">
        <v>0.99765610000000005</v>
      </c>
      <c r="Q3834">
        <v>6.6219089999999996E-3</v>
      </c>
      <c r="R3834">
        <v>6.8108279999999993E-2</v>
      </c>
      <c r="S3834">
        <v>2.9836119999999999</v>
      </c>
      <c r="T3834">
        <v>-6.1578149999999998E-2</v>
      </c>
      <c r="U3834">
        <v>0.34823609999999999</v>
      </c>
      <c r="V3834">
        <v>-4.134409E-2</v>
      </c>
      <c r="W3834">
        <v>2.150734E-2</v>
      </c>
      <c r="X3834">
        <v>0.99891350000000001</v>
      </c>
      <c r="Y3834">
        <v>-8.9251360000000002E-2</v>
      </c>
      <c r="Z3834">
        <v>3.6680110000000002E-4</v>
      </c>
      <c r="AA3834">
        <v>0.99600909999999998</v>
      </c>
      <c r="AB3834">
        <v>38</v>
      </c>
      <c r="AC3834">
        <v>52.617800000000003</v>
      </c>
      <c r="AD3834">
        <v>-1.0933254699999999</v>
      </c>
      <c r="AE3834">
        <v>6.1734000000000098</v>
      </c>
      <c r="AF3834">
        <v>-4.7587922653597499</v>
      </c>
      <c r="AG3834">
        <v>-1.0933254699999999</v>
      </c>
      <c r="AH3834">
        <v>52.7419040783846</v>
      </c>
      <c r="AI3834">
        <v>91.182752686402296</v>
      </c>
      <c r="AJ3834">
        <v>95.155718182036907</v>
      </c>
      <c r="AK3834">
        <v>52.967441982992902</v>
      </c>
      <c r="AL3834">
        <v>88.767625217204994</v>
      </c>
      <c r="AM3834">
        <v>92.370065678249105</v>
      </c>
      <c r="AN3834">
        <v>1.0000000399670199</v>
      </c>
    </row>
    <row r="3835" spans="1:40" x14ac:dyDescent="0.25">
      <c r="A3835" t="str">
        <f>"20190312160717912"</f>
        <v>20190312160717912</v>
      </c>
      <c r="B3835" t="str">
        <f>"1552378037898674"</f>
        <v>1552378037898674</v>
      </c>
      <c r="C3835" t="s">
        <v>40</v>
      </c>
      <c r="D3835">
        <v>6.1714120000000001</v>
      </c>
      <c r="E3835">
        <v>0.47216079999999999</v>
      </c>
      <c r="F3835" t="s">
        <v>77</v>
      </c>
      <c r="G3835">
        <v>-294.43599999999998</v>
      </c>
      <c r="H3835" s="1">
        <v>1.6647579999999901E-6</v>
      </c>
      <c r="I3835">
        <v>219.80260000000001</v>
      </c>
      <c r="J3835">
        <v>-339.07459999999998</v>
      </c>
      <c r="K3835">
        <v>1.1097410000000001</v>
      </c>
      <c r="L3835">
        <v>213.50290000000001</v>
      </c>
      <c r="M3835">
        <v>0.99952940000000001</v>
      </c>
      <c r="N3835">
        <v>0</v>
      </c>
      <c r="O3835">
        <v>2.68136E-2</v>
      </c>
      <c r="P3835">
        <v>0.99766840000000001</v>
      </c>
      <c r="Q3835">
        <v>6.738544E-3</v>
      </c>
      <c r="R3835">
        <v>6.7913979999999999E-2</v>
      </c>
      <c r="S3835">
        <v>2.979034</v>
      </c>
      <c r="T3835">
        <v>-7.3444960000000004E-2</v>
      </c>
      <c r="U3835">
        <v>0.41758729999999999</v>
      </c>
      <c r="V3835">
        <v>-4.1136310000000002E-2</v>
      </c>
      <c r="W3835">
        <v>2.1620799999999999E-2</v>
      </c>
      <c r="X3835">
        <v>0.99891960000000002</v>
      </c>
      <c r="Y3835">
        <v>-0.11218590000000001</v>
      </c>
      <c r="Z3835">
        <v>7.1852570000000004E-4</v>
      </c>
      <c r="AA3835">
        <v>0.99368699999999999</v>
      </c>
      <c r="AB3835">
        <v>38</v>
      </c>
      <c r="AC3835">
        <v>44.638599999999997</v>
      </c>
      <c r="AD3835">
        <v>-1.109739335242</v>
      </c>
      <c r="AE3835">
        <v>6.2996999999999996</v>
      </c>
      <c r="AF3835">
        <v>-5.0972911528446598</v>
      </c>
      <c r="AG3835">
        <v>-1.109739335242</v>
      </c>
      <c r="AH3835">
        <v>44.764356883372599</v>
      </c>
      <c r="AI3835">
        <v>91.410996605748295</v>
      </c>
      <c r="AJ3835">
        <v>96.496256004718305</v>
      </c>
      <c r="AK3835">
        <v>45.067300181739398</v>
      </c>
      <c r="AL3835">
        <v>88.761122890596994</v>
      </c>
      <c r="AM3835">
        <v>92.358153707248306</v>
      </c>
      <c r="AN3835">
        <v>1.0000000111286</v>
      </c>
    </row>
    <row r="3836" spans="1:40" x14ac:dyDescent="0.25">
      <c r="A3836" t="str">
        <f>"20190312160717934"</f>
        <v>20190312160717934</v>
      </c>
      <c r="B3836" t="str">
        <f>"1552378037928930"</f>
        <v>1552378037928930</v>
      </c>
      <c r="C3836" t="s">
        <v>40</v>
      </c>
      <c r="D3836">
        <v>6.0148339999999996</v>
      </c>
      <c r="E3836">
        <v>0.47276509999999999</v>
      </c>
      <c r="F3836" t="s">
        <v>77</v>
      </c>
      <c r="G3836">
        <v>-301.2022</v>
      </c>
      <c r="H3836" s="1">
        <v>2.440004E-6</v>
      </c>
      <c r="I3836">
        <v>218.8631</v>
      </c>
      <c r="J3836">
        <v>-338.69479999999999</v>
      </c>
      <c r="K3836">
        <v>1.109737</v>
      </c>
      <c r="L3836">
        <v>213.51310000000001</v>
      </c>
      <c r="M3836">
        <v>0.99952940000000001</v>
      </c>
      <c r="N3836">
        <v>0</v>
      </c>
      <c r="O3836">
        <v>2.6819280000000001E-2</v>
      </c>
      <c r="P3836">
        <v>0.99768159999999895</v>
      </c>
      <c r="Q3836">
        <v>6.9834669999999897E-3</v>
      </c>
      <c r="R3836">
        <v>6.7695920000000007E-2</v>
      </c>
      <c r="S3836">
        <v>2.9789119999999998</v>
      </c>
      <c r="T3836">
        <v>-8.7288379999999999E-2</v>
      </c>
      <c r="U3836">
        <v>0.42161559999999998</v>
      </c>
      <c r="V3836">
        <v>-4.0911749999999997E-2</v>
      </c>
      <c r="W3836">
        <v>2.1862019999999999E-2</v>
      </c>
      <c r="X3836">
        <v>0.99892349999999996</v>
      </c>
      <c r="Y3836">
        <v>-0.1134923</v>
      </c>
      <c r="Z3836">
        <v>8.7274049999999995E-4</v>
      </c>
      <c r="AA3836">
        <v>0.99353849999999999</v>
      </c>
      <c r="AB3836">
        <v>38</v>
      </c>
      <c r="AC3836">
        <v>37.492599999999896</v>
      </c>
      <c r="AD3836">
        <v>-1.109734559996</v>
      </c>
      <c r="AE3836">
        <v>5.3499999999999899</v>
      </c>
      <c r="AF3836">
        <v>-4.3387139119299398</v>
      </c>
      <c r="AG3836">
        <v>-1.109734559996</v>
      </c>
      <c r="AH3836">
        <v>37.590334705557297</v>
      </c>
      <c r="AI3836">
        <v>91.679837805291498</v>
      </c>
      <c r="AJ3836">
        <v>96.584001775893498</v>
      </c>
      <c r="AK3836">
        <v>37.856164788301598</v>
      </c>
      <c r="AL3836">
        <v>88.747298644801305</v>
      </c>
      <c r="AM3836">
        <v>92.345285992377796</v>
      </c>
      <c r="AN3836">
        <v>0.99999993902939399</v>
      </c>
    </row>
    <row r="3837" spans="1:40" x14ac:dyDescent="0.25">
      <c r="A3837" t="str">
        <f>"20190312160717957"</f>
        <v>20190312160717957</v>
      </c>
      <c r="B3837" t="str">
        <f>"1552378037949429"</f>
        <v>1552378037949429</v>
      </c>
      <c r="C3837" t="s">
        <v>40</v>
      </c>
      <c r="D3837">
        <v>6.1064069999999999</v>
      </c>
      <c r="E3837">
        <v>0.47274820000000001</v>
      </c>
      <c r="F3837" t="s">
        <v>77</v>
      </c>
      <c r="G3837">
        <v>-311.15269999999998</v>
      </c>
      <c r="H3837" s="1">
        <v>1.41681E-6</v>
      </c>
      <c r="I3837">
        <v>217.3494</v>
      </c>
      <c r="J3837">
        <v>-338.3125</v>
      </c>
      <c r="K3837">
        <v>1.1097410000000001</v>
      </c>
      <c r="L3837">
        <v>213.52340000000001</v>
      </c>
      <c r="M3837">
        <v>0.99952940000000001</v>
      </c>
      <c r="N3837">
        <v>0</v>
      </c>
      <c r="O3837">
        <v>2.6819880000000001E-2</v>
      </c>
      <c r="P3837">
        <v>0.99766560000000004</v>
      </c>
      <c r="Q3837">
        <v>7.4481349999999998E-3</v>
      </c>
      <c r="R3837">
        <v>6.7881609999999995E-2</v>
      </c>
      <c r="S3837">
        <v>2.9796450000000001</v>
      </c>
      <c r="T3837">
        <v>-0.12005689999999999</v>
      </c>
      <c r="U3837">
        <v>0.4150238</v>
      </c>
      <c r="V3837">
        <v>-4.1097090000000003E-2</v>
      </c>
      <c r="W3837">
        <v>2.2323010000000001E-2</v>
      </c>
      <c r="X3837">
        <v>0.99890579999999995</v>
      </c>
      <c r="Y3837">
        <v>-0.11127140000000001</v>
      </c>
      <c r="Z3837">
        <v>1.1554930000000001E-3</v>
      </c>
      <c r="AA3837">
        <v>0.99378940000000004</v>
      </c>
      <c r="AB3837">
        <v>37</v>
      </c>
      <c r="AC3837">
        <v>27.159800000000001</v>
      </c>
      <c r="AD3837">
        <v>-1.1097395831899901</v>
      </c>
      <c r="AE3837">
        <v>3.8259999999999899</v>
      </c>
      <c r="AF3837">
        <v>-3.0910599487945398</v>
      </c>
      <c r="AG3837">
        <v>-1.1097395831899901</v>
      </c>
      <c r="AH3837">
        <v>27.2081118688488</v>
      </c>
      <c r="AI3837">
        <v>92.320721223388404</v>
      </c>
      <c r="AJ3837">
        <v>96.481470901565402</v>
      </c>
      <c r="AK3837">
        <v>27.405611195835998</v>
      </c>
      <c r="AL3837">
        <v>88.720879545713302</v>
      </c>
      <c r="AM3837">
        <v>92.355940451679601</v>
      </c>
      <c r="AN3837">
        <v>1.00000004242778</v>
      </c>
    </row>
    <row r="3838" spans="1:40" x14ac:dyDescent="0.25">
      <c r="A3838" t="str">
        <f>"20190312160717979"</f>
        <v>20190312160717979</v>
      </c>
      <c r="B3838" t="str">
        <f>"1552378037969452"</f>
        <v>1552378037969452</v>
      </c>
      <c r="C3838" t="s">
        <v>40</v>
      </c>
      <c r="D3838">
        <v>6.1413979999999997</v>
      </c>
      <c r="E3838">
        <v>0.47256569999999998</v>
      </c>
      <c r="F3838" t="s">
        <v>77</v>
      </c>
      <c r="G3838">
        <v>-311.38650000000001</v>
      </c>
      <c r="H3838" s="1">
        <v>1.520489E-6</v>
      </c>
      <c r="I3838">
        <v>217.27709999999999</v>
      </c>
      <c r="J3838">
        <v>-337.93939999999998</v>
      </c>
      <c r="K3838">
        <v>1.109742</v>
      </c>
      <c r="L3838">
        <v>213.5334</v>
      </c>
      <c r="M3838">
        <v>0.99952969999999997</v>
      </c>
      <c r="N3838">
        <v>0</v>
      </c>
      <c r="O3838">
        <v>2.6818709999999999E-2</v>
      </c>
      <c r="P3838">
        <v>0.99761860000000002</v>
      </c>
      <c r="Q3838">
        <v>8.2308569999999994E-3</v>
      </c>
      <c r="R3838">
        <v>6.8480739999999998E-2</v>
      </c>
      <c r="S3838">
        <v>2.9797060000000002</v>
      </c>
      <c r="T3838">
        <v>-0.1228069</v>
      </c>
      <c r="U3838">
        <v>0.41538999999999998</v>
      </c>
      <c r="V3838">
        <v>-4.1698409999999998E-2</v>
      </c>
      <c r="W3838">
        <v>2.3101489999999999E-2</v>
      </c>
      <c r="X3838">
        <v>0.99886319999999995</v>
      </c>
      <c r="Y3838">
        <v>-0.1113864</v>
      </c>
      <c r="Z3838">
        <v>1.1843120000000001E-3</v>
      </c>
      <c r="AA3838">
        <v>0.99377649999999995</v>
      </c>
      <c r="AB3838">
        <v>37</v>
      </c>
      <c r="AC3838">
        <v>26.552899999999902</v>
      </c>
      <c r="AD3838">
        <v>-1.109740479511</v>
      </c>
      <c r="AE3838">
        <v>3.7436999999999898</v>
      </c>
      <c r="AF3838">
        <v>-3.0249791156004</v>
      </c>
      <c r="AG3838">
        <v>-1.109740479511</v>
      </c>
      <c r="AH3838">
        <v>26.598205855009098</v>
      </c>
      <c r="AI3838">
        <v>92.373845771018907</v>
      </c>
      <c r="AJ3838">
        <v>96.488296126468697</v>
      </c>
      <c r="AK3838">
        <v>26.792659018602901</v>
      </c>
      <c r="AL3838">
        <v>88.676264448210105</v>
      </c>
      <c r="AM3838">
        <v>92.3904739786568</v>
      </c>
      <c r="AN3838">
        <v>1.00000006427549</v>
      </c>
    </row>
    <row r="3839" spans="1:40" x14ac:dyDescent="0.25">
      <c r="A3839" t="str">
        <f>"20190312160718001"</f>
        <v>20190312160718001</v>
      </c>
      <c r="B3839" t="str">
        <f>"1552378037988973"</f>
        <v>1552378037988973</v>
      </c>
      <c r="C3839" t="s">
        <v>40</v>
      </c>
      <c r="D3839">
        <v>6.1210389999999997</v>
      </c>
      <c r="E3839">
        <v>0.47258450000000002</v>
      </c>
      <c r="F3839" t="s">
        <v>77</v>
      </c>
      <c r="G3839">
        <v>-310.79969999999997</v>
      </c>
      <c r="H3839" s="1">
        <v>1.2602950000000001E-6</v>
      </c>
      <c r="I3839">
        <v>217.346</v>
      </c>
      <c r="J3839">
        <v>-337.56979999999999</v>
      </c>
      <c r="K3839">
        <v>1.1097410000000001</v>
      </c>
      <c r="L3839">
        <v>213.54339999999999</v>
      </c>
      <c r="M3839">
        <v>0.99952949999999996</v>
      </c>
      <c r="N3839">
        <v>0</v>
      </c>
      <c r="O3839">
        <v>2.6817669999999998E-2</v>
      </c>
      <c r="P3839">
        <v>0.99757439999999997</v>
      </c>
      <c r="Q3839">
        <v>8.5001920000000002E-3</v>
      </c>
      <c r="R3839">
        <v>6.9086510000000004E-2</v>
      </c>
      <c r="S3839">
        <v>2.9794309999999999</v>
      </c>
      <c r="T3839">
        <v>-0.1218289</v>
      </c>
      <c r="U3839">
        <v>0.41854859999999999</v>
      </c>
      <c r="V3839">
        <v>-4.23059E-2</v>
      </c>
      <c r="W3839">
        <v>2.3366540000000002E-2</v>
      </c>
      <c r="X3839">
        <v>0.99883149999999998</v>
      </c>
      <c r="Y3839">
        <v>-0.1124334</v>
      </c>
      <c r="Z3839">
        <v>1.1962489999999999E-3</v>
      </c>
      <c r="AA3839">
        <v>0.9936585</v>
      </c>
      <c r="AB3839">
        <v>37</v>
      </c>
      <c r="AC3839">
        <v>26.770099999999999</v>
      </c>
      <c r="AD3839">
        <v>-1.109739739705</v>
      </c>
      <c r="AE3839">
        <v>3.80259999999998</v>
      </c>
      <c r="AF3839">
        <v>-3.0780558642738902</v>
      </c>
      <c r="AG3839">
        <v>-1.109739739705</v>
      </c>
      <c r="AH3839">
        <v>26.817284683090602</v>
      </c>
      <c r="AI3839">
        <v>92.354194907054406</v>
      </c>
      <c r="AJ3839">
        <v>96.547687913968801</v>
      </c>
      <c r="AK3839">
        <v>27.016156424765398</v>
      </c>
      <c r="AL3839">
        <v>88.661074116406994</v>
      </c>
      <c r="AM3839">
        <v>92.425335576305699</v>
      </c>
      <c r="AN3839">
        <v>1.0000000748793101</v>
      </c>
    </row>
    <row r="3840" spans="1:40" x14ac:dyDescent="0.25">
      <c r="A3840" t="str">
        <f>"20190312160718025"</f>
        <v>20190312160718025</v>
      </c>
      <c r="B3840" t="str">
        <f>"1552378038019228"</f>
        <v>1552378038019228</v>
      </c>
      <c r="C3840" t="s">
        <v>40</v>
      </c>
      <c r="D3840">
        <v>6.1271069999999996</v>
      </c>
      <c r="E3840">
        <v>0.4730008</v>
      </c>
      <c r="F3840" t="s">
        <v>77</v>
      </c>
      <c r="G3840">
        <v>-310.4273</v>
      </c>
      <c r="H3840" s="1">
        <v>1.0951520000000001E-6</v>
      </c>
      <c r="I3840">
        <v>217.3741</v>
      </c>
      <c r="J3840">
        <v>-337.18560000000002</v>
      </c>
      <c r="K3840">
        <v>1.109734</v>
      </c>
      <c r="L3840">
        <v>213.55369999999999</v>
      </c>
      <c r="M3840">
        <v>0.99952980000000002</v>
      </c>
      <c r="N3840">
        <v>0</v>
      </c>
      <c r="O3840">
        <v>2.6816639999999999E-2</v>
      </c>
      <c r="P3840">
        <v>0.99753020000000003</v>
      </c>
      <c r="Q3840">
        <v>8.1837530000000002E-3</v>
      </c>
      <c r="R3840">
        <v>6.9763499999999895E-2</v>
      </c>
      <c r="S3840">
        <v>2.9792179999999999</v>
      </c>
      <c r="T3840">
        <v>-0.1218077</v>
      </c>
      <c r="U3840">
        <v>0.42047119999999999</v>
      </c>
      <c r="V3840">
        <v>-4.2984899999999999E-2</v>
      </c>
      <c r="W3840">
        <v>2.3045710000000001E-2</v>
      </c>
      <c r="X3840">
        <v>0.99880990000000003</v>
      </c>
      <c r="Y3840">
        <v>-0.11307250000000001</v>
      </c>
      <c r="Z3840">
        <v>1.2091109999999999E-3</v>
      </c>
      <c r="AA3840">
        <v>0.99358599999999997</v>
      </c>
      <c r="AB3840">
        <v>37</v>
      </c>
      <c r="AC3840">
        <v>26.758299999999998</v>
      </c>
      <c r="AD3840">
        <v>-1.109732904848</v>
      </c>
      <c r="AE3840">
        <v>3.8203999999999998</v>
      </c>
      <c r="AF3840">
        <v>-3.0961598384819302</v>
      </c>
      <c r="AG3840">
        <v>-1.109732904848</v>
      </c>
      <c r="AH3840">
        <v>26.805952111506699</v>
      </c>
      <c r="AI3840">
        <v>92.354981055421604</v>
      </c>
      <c r="AJ3840">
        <v>96.588621408748693</v>
      </c>
      <c r="AK3840">
        <v>27.006976533294601</v>
      </c>
      <c r="AL3840">
        <v>88.679461187783502</v>
      </c>
      <c r="AM3840">
        <v>92.464267275077503</v>
      </c>
      <c r="AN3840">
        <v>1.0000000113577101</v>
      </c>
    </row>
    <row r="3841" spans="1:40" x14ac:dyDescent="0.25">
      <c r="A3841" t="str">
        <f>"20190312160718048"</f>
        <v>20190312160718048</v>
      </c>
      <c r="B3841" t="str">
        <f>"1552378038038749"</f>
        <v>1552378038038749</v>
      </c>
      <c r="C3841" t="s">
        <v>40</v>
      </c>
      <c r="D3841">
        <v>6.0466249999999997</v>
      </c>
      <c r="E3841">
        <v>0.47362009999999999</v>
      </c>
      <c r="F3841" t="s">
        <v>77</v>
      </c>
      <c r="G3841">
        <v>-311.25779999999997</v>
      </c>
      <c r="H3841" s="1">
        <v>1.4634299999999901E-6</v>
      </c>
      <c r="I3841">
        <v>217.19730000000001</v>
      </c>
      <c r="J3841">
        <v>-336.80119999999999</v>
      </c>
      <c r="K3841">
        <v>1.109739</v>
      </c>
      <c r="L3841">
        <v>213.56399999999999</v>
      </c>
      <c r="M3841">
        <v>0.99952969999999997</v>
      </c>
      <c r="N3841">
        <v>0</v>
      </c>
      <c r="O3841">
        <v>2.6816820000000002E-2</v>
      </c>
      <c r="P3841">
        <v>0.99751979999999996</v>
      </c>
      <c r="Q3841">
        <v>7.9189819999999998E-3</v>
      </c>
      <c r="R3841">
        <v>6.9938990000000006E-2</v>
      </c>
      <c r="S3841">
        <v>2.9791560000000001</v>
      </c>
      <c r="T3841">
        <v>-0.1275107</v>
      </c>
      <c r="U3841">
        <v>0.41865540000000001</v>
      </c>
      <c r="V3841">
        <v>-4.3159969999999999E-2</v>
      </c>
      <c r="W3841">
        <v>2.2776850000000001E-2</v>
      </c>
      <c r="X3841">
        <v>0.99880849999999999</v>
      </c>
      <c r="Y3841">
        <v>-0.11247509999999999</v>
      </c>
      <c r="Z3841">
        <v>1.2530239999999999E-3</v>
      </c>
      <c r="AA3841">
        <v>0.99365380000000003</v>
      </c>
      <c r="AB3841">
        <v>37</v>
      </c>
      <c r="AC3841">
        <v>25.543399999999998</v>
      </c>
      <c r="AD3841">
        <v>-1.10973753657</v>
      </c>
      <c r="AE3841">
        <v>3.63329999999999</v>
      </c>
      <c r="AF3841">
        <v>-2.9414826038400701</v>
      </c>
      <c r="AG3841">
        <v>-1.10973753657</v>
      </c>
      <c r="AH3841">
        <v>25.584323638422799</v>
      </c>
      <c r="AI3841">
        <v>92.467452484196897</v>
      </c>
      <c r="AJ3841">
        <v>96.558616913614799</v>
      </c>
      <c r="AK3841">
        <v>25.776761886325499</v>
      </c>
      <c r="AL3841">
        <v>88.694869752722596</v>
      </c>
      <c r="AM3841">
        <v>92.474294821477898</v>
      </c>
      <c r="AN3841">
        <v>0.99999999378928595</v>
      </c>
    </row>
    <row r="3842" spans="1:40" x14ac:dyDescent="0.25">
      <c r="A3842" t="str">
        <f>"20190312160718070"</f>
        <v>20190312160718070</v>
      </c>
      <c r="B3842" t="str">
        <f>"1552378038059246"</f>
        <v>1552378038059246</v>
      </c>
      <c r="C3842" t="s">
        <v>40</v>
      </c>
      <c r="D3842">
        <v>6.0677690000000002</v>
      </c>
      <c r="E3842">
        <v>0.47376629999999997</v>
      </c>
      <c r="F3842" t="s">
        <v>77</v>
      </c>
      <c r="G3842">
        <v>-313.40440000000001</v>
      </c>
      <c r="H3842" s="1">
        <v>2.4153699999999998E-6</v>
      </c>
      <c r="I3842">
        <v>216.81469999999999</v>
      </c>
      <c r="J3842">
        <v>-336.4307</v>
      </c>
      <c r="K3842">
        <v>1.109739</v>
      </c>
      <c r="L3842">
        <v>213.57390000000001</v>
      </c>
      <c r="M3842">
        <v>0.99952980000000002</v>
      </c>
      <c r="N3842">
        <v>0</v>
      </c>
      <c r="O3842">
        <v>2.6817170000000001E-2</v>
      </c>
      <c r="P3842">
        <v>0.99752940000000001</v>
      </c>
      <c r="Q3842">
        <v>7.9213140000000005E-3</v>
      </c>
      <c r="R3842">
        <v>6.9802690000000001E-2</v>
      </c>
      <c r="S3842">
        <v>2.9795530000000001</v>
      </c>
      <c r="T3842">
        <v>-0.14132359999999999</v>
      </c>
      <c r="U3842">
        <v>0.41397089999999998</v>
      </c>
      <c r="V3842">
        <v>-4.30228E-2</v>
      </c>
      <c r="W3842">
        <v>2.277494E-2</v>
      </c>
      <c r="X3842">
        <v>0.99881450000000005</v>
      </c>
      <c r="Y3842">
        <v>-0.110908199999999</v>
      </c>
      <c r="Z3842">
        <v>1.351601E-3</v>
      </c>
      <c r="AA3842">
        <v>0.99382969999999904</v>
      </c>
      <c r="AB3842">
        <v>37</v>
      </c>
      <c r="AC3842">
        <v>23.0262999999999</v>
      </c>
      <c r="AD3842">
        <v>-1.10973658463</v>
      </c>
      <c r="AE3842">
        <v>3.2407999999999699</v>
      </c>
      <c r="AF3842">
        <v>-2.6161073706064299</v>
      </c>
      <c r="AG3842">
        <v>-1.10973658463</v>
      </c>
      <c r="AH3842">
        <v>23.0524319130813</v>
      </c>
      <c r="AI3842">
        <v>92.738521435931602</v>
      </c>
      <c r="AJ3842">
        <v>96.4745168510659</v>
      </c>
      <c r="AK3842">
        <v>23.226927264902201</v>
      </c>
      <c r="AL3842">
        <v>88.694979266337896</v>
      </c>
      <c r="AM3842">
        <v>92.466426004707799</v>
      </c>
      <c r="AN3842">
        <v>1.0000000323110401</v>
      </c>
    </row>
    <row r="3843" spans="1:40" x14ac:dyDescent="0.25">
      <c r="A3843" t="str">
        <f>"20190312160718091"</f>
        <v>20190312160718091</v>
      </c>
      <c r="B3843" t="str">
        <f>"1552378038079271"</f>
        <v>1552378038079271</v>
      </c>
      <c r="C3843" t="s">
        <v>40</v>
      </c>
      <c r="D3843">
        <v>6.0944900000000004</v>
      </c>
      <c r="E3843">
        <v>0.4737864</v>
      </c>
      <c r="F3843" t="s">
        <v>77</v>
      </c>
      <c r="G3843">
        <v>-313.35270000000003</v>
      </c>
      <c r="H3843" s="1">
        <v>2.3924059999999999E-6</v>
      </c>
      <c r="I3843">
        <v>216.76580000000001</v>
      </c>
      <c r="J3843">
        <v>-336.07819999999998</v>
      </c>
      <c r="K3843">
        <v>1.109745</v>
      </c>
      <c r="L3843">
        <v>213.58340000000001</v>
      </c>
      <c r="M3843">
        <v>0.99952980000000002</v>
      </c>
      <c r="N3843">
        <v>0</v>
      </c>
      <c r="O3843">
        <v>2.6817839999999999E-2</v>
      </c>
      <c r="P3843">
        <v>0.99754849999999995</v>
      </c>
      <c r="Q3843">
        <v>8.0526550000000006E-3</v>
      </c>
      <c r="R3843">
        <v>6.9515519999999997E-2</v>
      </c>
      <c r="S3843">
        <v>2.9797359999999999</v>
      </c>
      <c r="T3843">
        <v>-0.1432841</v>
      </c>
      <c r="U3843">
        <v>0.41212460000000001</v>
      </c>
      <c r="V3843">
        <v>-4.2735000000000002E-2</v>
      </c>
      <c r="W3843">
        <v>2.2902700000000002E-2</v>
      </c>
      <c r="X3843">
        <v>0.99882389999999999</v>
      </c>
      <c r="Y3843">
        <v>-0.11029319999999999</v>
      </c>
      <c r="Z3843">
        <v>1.3555609999999999E-3</v>
      </c>
      <c r="AA3843">
        <v>0.99389819999999995</v>
      </c>
      <c r="AB3843">
        <v>37</v>
      </c>
      <c r="AC3843">
        <v>22.725499999999901</v>
      </c>
      <c r="AD3843">
        <v>-1.109742607594</v>
      </c>
      <c r="AE3843">
        <v>3.1823999999999999</v>
      </c>
      <c r="AF3843">
        <v>-2.5657383671107099</v>
      </c>
      <c r="AG3843">
        <v>-1.109742607594</v>
      </c>
      <c r="AH3843">
        <v>22.749473909765701</v>
      </c>
      <c r="AI3843">
        <v>92.775166636165594</v>
      </c>
      <c r="AJ3843">
        <v>96.434759610714806</v>
      </c>
      <c r="AK3843">
        <v>22.920582566651401</v>
      </c>
      <c r="AL3843">
        <v>88.687657203593105</v>
      </c>
      <c r="AM3843">
        <v>92.449924049300506</v>
      </c>
      <c r="AN3843">
        <v>0.99999999855175004</v>
      </c>
    </row>
    <row r="3844" spans="1:40" x14ac:dyDescent="0.25">
      <c r="A3844" t="str">
        <f>"20190312160718112"</f>
        <v>20190312160718112</v>
      </c>
      <c r="B3844" t="str">
        <f>"1552378038109526"</f>
        <v>1552378038109526</v>
      </c>
      <c r="C3844" t="s">
        <v>40</v>
      </c>
      <c r="D3844">
        <v>6.5454800000000004</v>
      </c>
      <c r="E3844">
        <v>0.47445169999999998</v>
      </c>
      <c r="F3844" t="s">
        <v>77</v>
      </c>
      <c r="G3844">
        <v>-313.04880000000003</v>
      </c>
      <c r="H3844" s="1">
        <v>2.2576510000000001E-6</v>
      </c>
      <c r="I3844">
        <v>216.7612</v>
      </c>
      <c r="J3844">
        <v>-335.7253</v>
      </c>
      <c r="K3844">
        <v>1.109748</v>
      </c>
      <c r="L3844">
        <v>213.59289999999999</v>
      </c>
      <c r="M3844">
        <v>0.99952989999999997</v>
      </c>
      <c r="N3844">
        <v>0</v>
      </c>
      <c r="O3844">
        <v>2.6818149999999999E-2</v>
      </c>
      <c r="P3844">
        <v>0.99757229999999997</v>
      </c>
      <c r="Q3844">
        <v>8.0205859999999997E-3</v>
      </c>
      <c r="R3844">
        <v>6.9177310000000006E-2</v>
      </c>
      <c r="S3844">
        <v>2.979889</v>
      </c>
      <c r="T3844">
        <v>-0.14359520000000001</v>
      </c>
      <c r="U3844">
        <v>0.4111938</v>
      </c>
      <c r="V3844">
        <v>-4.2395929999999998E-2</v>
      </c>
      <c r="W3844">
        <v>2.2866939999999999E-2</v>
      </c>
      <c r="X3844">
        <v>0.99883920000000004</v>
      </c>
      <c r="Y3844">
        <v>-0.1099812</v>
      </c>
      <c r="Z3844">
        <v>1.350969E-3</v>
      </c>
      <c r="AA3844">
        <v>0.9939327</v>
      </c>
      <c r="AB3844">
        <v>37</v>
      </c>
      <c r="AC3844">
        <v>22.676499999999901</v>
      </c>
      <c r="AD3844">
        <v>-1.109745742349</v>
      </c>
      <c r="AE3844">
        <v>3.1683000000000101</v>
      </c>
      <c r="AF3844">
        <v>-2.5529541767726398</v>
      </c>
      <c r="AG3844">
        <v>-1.109745742349</v>
      </c>
      <c r="AH3844">
        <v>22.699995214285501</v>
      </c>
      <c r="AI3844">
        <v>92.781311971028998</v>
      </c>
      <c r="AJ3844">
        <v>96.416804476661298</v>
      </c>
      <c r="AK3844">
        <v>22.870043580411998</v>
      </c>
      <c r="AL3844">
        <v>88.689706678144702</v>
      </c>
      <c r="AM3844">
        <v>92.430471967999594</v>
      </c>
      <c r="AN3844">
        <v>1.00000002964108</v>
      </c>
    </row>
    <row r="3845" spans="1:40" x14ac:dyDescent="0.25">
      <c r="A3845" t="str">
        <f>"20190312160718135"</f>
        <v>20190312160718135</v>
      </c>
      <c r="B3845" t="str">
        <f>"1552378038129047"</f>
        <v>1552378038129047</v>
      </c>
      <c r="C3845" t="s">
        <v>40</v>
      </c>
      <c r="D3845">
        <v>6.2571409999999998</v>
      </c>
      <c r="E3845">
        <v>0.54749130000000001</v>
      </c>
      <c r="F3845" t="s">
        <v>77</v>
      </c>
      <c r="G3845">
        <v>-312.7251</v>
      </c>
      <c r="H3845" s="1">
        <v>2.1141039999999999E-6</v>
      </c>
      <c r="I3845">
        <v>216.71709999999999</v>
      </c>
      <c r="J3845">
        <v>-335.34620000000001</v>
      </c>
      <c r="K3845">
        <v>1.1097509999999999</v>
      </c>
      <c r="L3845">
        <v>213.60300000000001</v>
      </c>
      <c r="M3845">
        <v>0.99953000000000003</v>
      </c>
      <c r="N3845">
        <v>0</v>
      </c>
      <c r="O3845">
        <v>2.6818350000000001E-2</v>
      </c>
      <c r="P3845">
        <v>0.99761670000000002</v>
      </c>
      <c r="Q3845">
        <v>8.1519299999999999E-3</v>
      </c>
      <c r="R3845">
        <v>6.8516489999999999E-2</v>
      </c>
      <c r="S3845">
        <v>2.9803470000000001</v>
      </c>
      <c r="T3845">
        <v>-0.14379990000000001</v>
      </c>
      <c r="U3845">
        <v>0.40483089999999999</v>
      </c>
      <c r="V3845">
        <v>-4.1733760000000002E-2</v>
      </c>
      <c r="W3845">
        <v>2.299518E-2</v>
      </c>
      <c r="X3845">
        <v>0.99886410000000003</v>
      </c>
      <c r="Y3845">
        <v>-0.1078793</v>
      </c>
      <c r="Z3845">
        <v>1.302414E-3</v>
      </c>
      <c r="AA3845">
        <v>0.99416320000000002</v>
      </c>
      <c r="AB3845">
        <v>37</v>
      </c>
      <c r="AC3845">
        <v>22.621099999999998</v>
      </c>
      <c r="AD3845">
        <v>-1.1097488858959901</v>
      </c>
      <c r="AE3845">
        <v>3.1141000000000001</v>
      </c>
      <c r="AF3845">
        <v>-2.5003465296964902</v>
      </c>
      <c r="AG3845">
        <v>-1.1097488858959901</v>
      </c>
      <c r="AH3845">
        <v>22.6430047731013</v>
      </c>
      <c r="AI3845">
        <v>92.788934447104893</v>
      </c>
      <c r="AJ3845">
        <v>96.301338781903894</v>
      </c>
      <c r="AK3845">
        <v>22.807650920535401</v>
      </c>
      <c r="AL3845">
        <v>88.682357079678894</v>
      </c>
      <c r="AM3845">
        <v>92.392496005806706</v>
      </c>
      <c r="AN3845">
        <v>0.99999998764789</v>
      </c>
    </row>
    <row r="3846" spans="1:40" x14ac:dyDescent="0.25">
      <c r="A3846" t="str">
        <f>"20190312160718158"</f>
        <v>20190312160718158</v>
      </c>
      <c r="B3846" t="str">
        <f>"1552378038149544"</f>
        <v>1552378038149544</v>
      </c>
      <c r="C3846" t="s">
        <v>40</v>
      </c>
      <c r="D3846">
        <v>6.2490940000000004</v>
      </c>
      <c r="E3846">
        <v>0.5567493</v>
      </c>
      <c r="F3846" t="s">
        <v>51</v>
      </c>
      <c r="G3846">
        <v>-168.41139999999999</v>
      </c>
      <c r="H3846">
        <v>0.37602419999999998</v>
      </c>
      <c r="I3846">
        <v>203.9853</v>
      </c>
      <c r="J3846">
        <v>-334.97109999999998</v>
      </c>
      <c r="K3846">
        <v>1.109745</v>
      </c>
      <c r="L3846">
        <v>213.6131</v>
      </c>
      <c r="M3846">
        <v>0.99953000000000003</v>
      </c>
      <c r="N3846">
        <v>0</v>
      </c>
      <c r="O3846">
        <v>2.6818729999999999E-2</v>
      </c>
      <c r="P3846">
        <v>0.99762200000000001</v>
      </c>
      <c r="Q3846">
        <v>8.082845E-3</v>
      </c>
      <c r="R3846">
        <v>6.8449590000000005E-2</v>
      </c>
      <c r="S3846">
        <v>3.0192570000000001</v>
      </c>
      <c r="T3846">
        <v>-1.3269899999999901E-2</v>
      </c>
      <c r="U3846">
        <v>-0.1739502</v>
      </c>
      <c r="V3846">
        <v>-4.16662E-2</v>
      </c>
      <c r="W3846">
        <v>2.2921759999999999E-2</v>
      </c>
      <c r="X3846">
        <v>0.9988686</v>
      </c>
      <c r="Y3846">
        <v>8.4273730000000005E-2</v>
      </c>
      <c r="Z3846">
        <v>-3.0283859999999998E-4</v>
      </c>
      <c r="AA3846">
        <v>0.99644259999999996</v>
      </c>
      <c r="AB3846">
        <v>37</v>
      </c>
      <c r="AC3846">
        <v>166.55969999999999</v>
      </c>
      <c r="AD3846">
        <v>-0.73372079999999995</v>
      </c>
      <c r="AE3846">
        <v>-9.6278000000000006</v>
      </c>
      <c r="AF3846">
        <v>14.091475963887</v>
      </c>
      <c r="AG3846">
        <v>-0.73372079999999995</v>
      </c>
      <c r="AH3846">
        <v>166.23832843510999</v>
      </c>
      <c r="AI3846">
        <v>90.251979256605097</v>
      </c>
      <c r="AJ3846">
        <v>85.154808066985794</v>
      </c>
      <c r="AK3846">
        <v>166.836116839109</v>
      </c>
      <c r="AL3846">
        <v>88.686564834487498</v>
      </c>
      <c r="AM3846">
        <v>92.388616694757701</v>
      </c>
      <c r="AN3846">
        <v>0.99999997968494803</v>
      </c>
    </row>
    <row r="3847" spans="1:40" x14ac:dyDescent="0.25">
      <c r="A3847" t="str">
        <f>"20190312160718178"</f>
        <v>20190312160718178</v>
      </c>
      <c r="B3847" t="str">
        <f>"1552378038169569"</f>
        <v>1552378038169569</v>
      </c>
      <c r="C3847" t="s">
        <v>40</v>
      </c>
      <c r="D3847">
        <v>6.2376620000000003</v>
      </c>
      <c r="E3847">
        <v>0.56039510000000003</v>
      </c>
      <c r="F3847" t="s">
        <v>51</v>
      </c>
      <c r="G3847">
        <v>-168.41329999999999</v>
      </c>
      <c r="H3847">
        <v>1.9029149999999999</v>
      </c>
      <c r="I3847">
        <v>200.024</v>
      </c>
      <c r="J3847">
        <v>-334.63560000000001</v>
      </c>
      <c r="K3847">
        <v>1.10975</v>
      </c>
      <c r="L3847">
        <v>213.62209999999999</v>
      </c>
      <c r="M3847">
        <v>0.99953020000000004</v>
      </c>
      <c r="N3847">
        <v>0</v>
      </c>
      <c r="O3847">
        <v>2.6818749999999999E-2</v>
      </c>
      <c r="P3847">
        <v>0.99764509999999995</v>
      </c>
      <c r="Q3847">
        <v>8.6732300000000005E-3</v>
      </c>
      <c r="R3847">
        <v>6.8038370000000001E-2</v>
      </c>
      <c r="S3847">
        <v>3.0239560000000001</v>
      </c>
      <c r="T3847">
        <v>1.440108E-2</v>
      </c>
      <c r="U3847">
        <v>-0.24671940000000001</v>
      </c>
      <c r="V3847">
        <v>-4.1254109999999997E-2</v>
      </c>
      <c r="W3847">
        <v>2.3508600000000001E-2</v>
      </c>
      <c r="X3847">
        <v>0.99887210000000004</v>
      </c>
      <c r="Y3847">
        <v>0.1080202</v>
      </c>
      <c r="Z3847">
        <v>3.8433039999999998E-4</v>
      </c>
      <c r="AA3847">
        <v>0.99414860000000005</v>
      </c>
      <c r="AB3847">
        <v>37</v>
      </c>
      <c r="AC3847">
        <v>166.22229999999999</v>
      </c>
      <c r="AD3847">
        <v>0.79316500000000001</v>
      </c>
      <c r="AE3847">
        <v>-13.598099999999899</v>
      </c>
      <c r="AF3847">
        <v>18.051164633069</v>
      </c>
      <c r="AG3847">
        <v>0.79316500000000001</v>
      </c>
      <c r="AH3847">
        <v>165.79402467381399</v>
      </c>
      <c r="AI3847">
        <v>89.727507186143299</v>
      </c>
      <c r="AJ3847">
        <v>83.786280220494803</v>
      </c>
      <c r="AK3847">
        <v>166.77569449073999</v>
      </c>
      <c r="AL3847">
        <v>88.652932360066799</v>
      </c>
      <c r="AM3847">
        <v>92.365011310097898</v>
      </c>
      <c r="AN3847">
        <v>1.0000000140121299</v>
      </c>
    </row>
    <row r="3848" spans="1:40" x14ac:dyDescent="0.25">
      <c r="A3848" t="str">
        <f>"20190312160718201"</f>
        <v>20190312160718201</v>
      </c>
      <c r="B3848" t="str">
        <f>"1552378038189089"</f>
        <v>1552378038189089</v>
      </c>
      <c r="C3848" t="s">
        <v>40</v>
      </c>
      <c r="D3848">
        <v>6.2619910000000001</v>
      </c>
      <c r="E3848">
        <v>0.5627065</v>
      </c>
      <c r="F3848" t="s">
        <v>51</v>
      </c>
      <c r="G3848">
        <v>-168.41409999999999</v>
      </c>
      <c r="H3848">
        <v>2.9461469999999998</v>
      </c>
      <c r="I3848">
        <v>198.4332</v>
      </c>
      <c r="J3848">
        <v>-334.2561</v>
      </c>
      <c r="K3848">
        <v>1.1097509999999999</v>
      </c>
      <c r="L3848">
        <v>213.63229999999999</v>
      </c>
      <c r="M3848">
        <v>0.99953009999999998</v>
      </c>
      <c r="N3848">
        <v>0</v>
      </c>
      <c r="O3848">
        <v>2.6819079999999999E-2</v>
      </c>
      <c r="P3848">
        <v>0.99766840000000001</v>
      </c>
      <c r="Q3848">
        <v>8.6857810000000001E-3</v>
      </c>
      <c r="R3848">
        <v>6.7693929999999999E-2</v>
      </c>
      <c r="S3848">
        <v>3.0256349999999999</v>
      </c>
      <c r="T3848">
        <v>3.3427480000000002E-2</v>
      </c>
      <c r="U3848">
        <v>-0.276474</v>
      </c>
      <c r="V3848">
        <v>-4.090974E-2</v>
      </c>
      <c r="W3848">
        <v>2.351717E-2</v>
      </c>
      <c r="X3848">
        <v>0.99888600000000005</v>
      </c>
      <c r="Y3848">
        <v>0.1176673</v>
      </c>
      <c r="Z3848">
        <v>9.4439969999999998E-4</v>
      </c>
      <c r="AA3848">
        <v>0.99305259999999995</v>
      </c>
      <c r="AB3848">
        <v>37</v>
      </c>
      <c r="AC3848">
        <v>165.84200000000001</v>
      </c>
      <c r="AD3848">
        <v>1.8363959999999999</v>
      </c>
      <c r="AE3848">
        <v>-15.1990999999999</v>
      </c>
      <c r="AF3848">
        <v>19.639463600988901</v>
      </c>
      <c r="AG3848">
        <v>1.8363959999999999</v>
      </c>
      <c r="AH3848">
        <v>165.35455725110199</v>
      </c>
      <c r="AI3848">
        <v>89.368150916860102</v>
      </c>
      <c r="AJ3848">
        <v>83.226606581550598</v>
      </c>
      <c r="AK3848">
        <v>166.52690618789299</v>
      </c>
      <c r="AL3848">
        <v>88.652441116620096</v>
      </c>
      <c r="AM3848">
        <v>92.345258840483496</v>
      </c>
      <c r="AN3848">
        <v>0.999999952553837</v>
      </c>
    </row>
    <row r="3849" spans="1:40" x14ac:dyDescent="0.25">
      <c r="A3849" t="str">
        <f>"20190312160718225"</f>
        <v>20190312160718225</v>
      </c>
      <c r="B3849" t="str">
        <f>"1552378038219345"</f>
        <v>1552378038219345</v>
      </c>
      <c r="C3849" t="s">
        <v>40</v>
      </c>
      <c r="D3849">
        <v>6.2265220000000001</v>
      </c>
      <c r="E3849">
        <v>0.56432499999999997</v>
      </c>
      <c r="F3849" t="s">
        <v>51</v>
      </c>
      <c r="G3849">
        <v>-168.4145</v>
      </c>
      <c r="H3849">
        <v>3.1734290000000001</v>
      </c>
      <c r="I3849">
        <v>197.42449999999999</v>
      </c>
      <c r="J3849">
        <v>-333.86989999999997</v>
      </c>
      <c r="K3849">
        <v>1.1097440000000001</v>
      </c>
      <c r="L3849">
        <v>213.64269999999999</v>
      </c>
      <c r="M3849">
        <v>0.99953009999999998</v>
      </c>
      <c r="N3849">
        <v>0</v>
      </c>
      <c r="O3849">
        <v>2.681946E-2</v>
      </c>
      <c r="P3849">
        <v>0.99766699999999997</v>
      </c>
      <c r="Q3849">
        <v>8.9456359999999999E-3</v>
      </c>
      <c r="R3849">
        <v>6.7680169999999998E-2</v>
      </c>
      <c r="S3849">
        <v>3.026764</v>
      </c>
      <c r="T3849">
        <v>3.7664650000000001E-2</v>
      </c>
      <c r="U3849">
        <v>-0.29580689999999998</v>
      </c>
      <c r="V3849">
        <v>-4.0895670000000002E-2</v>
      </c>
      <c r="W3849">
        <v>2.3772689999999999E-2</v>
      </c>
      <c r="X3849">
        <v>0.99888060000000001</v>
      </c>
      <c r="Y3849">
        <v>0.1239157</v>
      </c>
      <c r="Z3849">
        <v>1.102181E-3</v>
      </c>
      <c r="AA3849">
        <v>0.99229219999999896</v>
      </c>
      <c r="AB3849">
        <v>37</v>
      </c>
      <c r="AC3849">
        <v>165.455399999999</v>
      </c>
      <c r="AD3849">
        <v>2.063685</v>
      </c>
      <c r="AE3849">
        <v>-16.2181999999999</v>
      </c>
      <c r="AF3849">
        <v>20.647096766098201</v>
      </c>
      <c r="AG3849">
        <v>2.063685</v>
      </c>
      <c r="AH3849">
        <v>164.93544546964699</v>
      </c>
      <c r="AI3849">
        <v>89.288699267916002</v>
      </c>
      <c r="AJ3849">
        <v>82.864665915744396</v>
      </c>
      <c r="AK3849">
        <v>166.235563502275</v>
      </c>
      <c r="AL3849">
        <v>88.637796902521401</v>
      </c>
      <c r="AM3849">
        <v>92.344465800872399</v>
      </c>
      <c r="AN3849">
        <v>1.0000000248354699</v>
      </c>
    </row>
    <row r="3850" spans="1:40" x14ac:dyDescent="0.25">
      <c r="A3850" t="str">
        <f>"20190312160718248"</f>
        <v>20190312160718248</v>
      </c>
      <c r="B3850" t="str">
        <f>"1552378038238865"</f>
        <v>1552378038238865</v>
      </c>
      <c r="C3850" t="s">
        <v>40</v>
      </c>
      <c r="D3850">
        <v>6.2442669999999998</v>
      </c>
      <c r="E3850">
        <v>0.56507050000000003</v>
      </c>
      <c r="F3850" t="s">
        <v>51</v>
      </c>
      <c r="G3850">
        <v>-168.41470000000001</v>
      </c>
      <c r="H3850">
        <v>3.0691069999999998</v>
      </c>
      <c r="I3850">
        <v>196.76859999999999</v>
      </c>
      <c r="J3850">
        <v>-333.48399999999998</v>
      </c>
      <c r="K3850">
        <v>1.1097429999999999</v>
      </c>
      <c r="L3850">
        <v>213.65299999999999</v>
      </c>
      <c r="M3850">
        <v>0.99953029999999998</v>
      </c>
      <c r="N3850">
        <v>0</v>
      </c>
      <c r="O3850">
        <v>2.681967E-2</v>
      </c>
      <c r="P3850">
        <v>0.99763639999999998</v>
      </c>
      <c r="Q3850">
        <v>8.8270229999999998E-3</v>
      </c>
      <c r="R3850">
        <v>6.8146180000000001E-2</v>
      </c>
      <c r="S3850">
        <v>3.0276489999999998</v>
      </c>
      <c r="T3850">
        <v>3.5854820000000003E-2</v>
      </c>
      <c r="U3850">
        <v>-0.30877690000000002</v>
      </c>
      <c r="V3850">
        <v>-4.1361620000000002E-2</v>
      </c>
      <c r="W3850">
        <v>2.3649699999999999E-2</v>
      </c>
      <c r="X3850">
        <v>0.99886430000000004</v>
      </c>
      <c r="Y3850">
        <v>0.1280964</v>
      </c>
      <c r="Z3850">
        <v>1.0733920000000001E-3</v>
      </c>
      <c r="AA3850">
        <v>0.99176109999999995</v>
      </c>
      <c r="AB3850">
        <v>37</v>
      </c>
      <c r="AC3850">
        <v>165.0693</v>
      </c>
      <c r="AD3850">
        <v>1.9593640000000001</v>
      </c>
      <c r="AE3850">
        <v>-16.884399999999999</v>
      </c>
      <c r="AF3850">
        <v>21.3029456870362</v>
      </c>
      <c r="AG3850">
        <v>1.9593640000000001</v>
      </c>
      <c r="AH3850">
        <v>164.534083587493</v>
      </c>
      <c r="AI3850">
        <v>89.323369309083603</v>
      </c>
      <c r="AJ3850">
        <v>82.622706118083698</v>
      </c>
      <c r="AK3850">
        <v>165.91901417319599</v>
      </c>
      <c r="AL3850">
        <v>88.644845645998203</v>
      </c>
      <c r="AM3850">
        <v>92.371186101440998</v>
      </c>
      <c r="AN3850">
        <v>0.99999999086680202</v>
      </c>
    </row>
    <row r="3851" spans="1:40" x14ac:dyDescent="0.25">
      <c r="A3851" t="str">
        <f>"20190312160718271"</f>
        <v>20190312160718271</v>
      </c>
      <c r="B3851" t="str">
        <f>"1552378038259361"</f>
        <v>1552378038259361</v>
      </c>
      <c r="C3851" t="s">
        <v>40</v>
      </c>
      <c r="D3851">
        <v>6.2214450000000001</v>
      </c>
      <c r="E3851">
        <v>0.56508950000000002</v>
      </c>
      <c r="F3851" t="s">
        <v>51</v>
      </c>
      <c r="G3851">
        <v>-168.41489999999999</v>
      </c>
      <c r="H3851">
        <v>3.3235220000000001</v>
      </c>
      <c r="I3851">
        <v>196.584</v>
      </c>
      <c r="J3851">
        <v>-333.11840000000001</v>
      </c>
      <c r="K3851">
        <v>1.109739</v>
      </c>
      <c r="L3851">
        <v>213.6628</v>
      </c>
      <c r="M3851">
        <v>0.99953040000000004</v>
      </c>
      <c r="N3851">
        <v>0</v>
      </c>
      <c r="O3851">
        <v>2.6819699999999998E-2</v>
      </c>
      <c r="P3851">
        <v>0.99762530000000005</v>
      </c>
      <c r="Q3851">
        <v>8.2863829999999996E-3</v>
      </c>
      <c r="R3851">
        <v>6.8377599999999997E-2</v>
      </c>
      <c r="S3851">
        <v>3.0281370000000001</v>
      </c>
      <c r="T3851">
        <v>4.0611620000000001E-2</v>
      </c>
      <c r="U3851">
        <v>-0.3131256</v>
      </c>
      <c r="V3851">
        <v>-4.1593150000000002E-2</v>
      </c>
      <c r="W3851">
        <v>2.3105299999999999E-2</v>
      </c>
      <c r="X3851">
        <v>0.99886750000000002</v>
      </c>
      <c r="Y3851">
        <v>0.1294864</v>
      </c>
      <c r="Z3851">
        <v>1.2247999999999901E-3</v>
      </c>
      <c r="AA3851">
        <v>0.99158040000000003</v>
      </c>
      <c r="AB3851">
        <v>37</v>
      </c>
      <c r="AC3851">
        <v>164.70349999999999</v>
      </c>
      <c r="AD3851">
        <v>2.2137829999999998</v>
      </c>
      <c r="AE3851">
        <v>-17.078800000000001</v>
      </c>
      <c r="AF3851">
        <v>21.486598432241198</v>
      </c>
      <c r="AG3851">
        <v>2.2137829999999998</v>
      </c>
      <c r="AH3851">
        <v>164.15680115805799</v>
      </c>
      <c r="AI3851">
        <v>89.233902264719106</v>
      </c>
      <c r="AJ3851">
        <v>82.542908439666405</v>
      </c>
      <c r="AK3851">
        <v>165.57182765738099</v>
      </c>
      <c r="AL3851">
        <v>88.676046092372403</v>
      </c>
      <c r="AM3851">
        <v>92.384436385673894</v>
      </c>
      <c r="AN3851">
        <v>1.0000000637856199</v>
      </c>
    </row>
    <row r="3852" spans="1:40" x14ac:dyDescent="0.25">
      <c r="A3852" t="str">
        <f>"20190312160718291"</f>
        <v>20190312160718291</v>
      </c>
      <c r="B3852" t="str">
        <f>"1552378038278882"</f>
        <v>1552378038278882</v>
      </c>
      <c r="C3852" t="s">
        <v>40</v>
      </c>
      <c r="D3852">
        <v>6.066052</v>
      </c>
      <c r="E3852">
        <v>0.56582519999999903</v>
      </c>
      <c r="F3852" t="s">
        <v>51</v>
      </c>
      <c r="G3852">
        <v>-168.41489999999999</v>
      </c>
      <c r="H3852">
        <v>3.4329390000000002</v>
      </c>
      <c r="I3852">
        <v>196.67339999999999</v>
      </c>
      <c r="J3852">
        <v>-332.78039999999999</v>
      </c>
      <c r="K3852">
        <v>1.1097509999999999</v>
      </c>
      <c r="L3852">
        <v>213.67189999999999</v>
      </c>
      <c r="M3852">
        <v>0.99953029999999998</v>
      </c>
      <c r="N3852">
        <v>0</v>
      </c>
      <c r="O3852">
        <v>2.682002E-2</v>
      </c>
      <c r="P3852">
        <v>0.997618</v>
      </c>
      <c r="Q3852">
        <v>8.203307E-3</v>
      </c>
      <c r="R3852">
        <v>6.8491350000000006E-2</v>
      </c>
      <c r="S3852">
        <v>3.0281980000000002</v>
      </c>
      <c r="T3852">
        <v>4.271436E-2</v>
      </c>
      <c r="U3852">
        <v>-0.31236269999999999</v>
      </c>
      <c r="V3852">
        <v>-4.1707059999999997E-2</v>
      </c>
      <c r="W3852">
        <v>2.3018540000000001E-2</v>
      </c>
      <c r="X3852">
        <v>0.99886470000000005</v>
      </c>
      <c r="Y3852">
        <v>0.12923599999999999</v>
      </c>
      <c r="Z3852">
        <v>1.2864440000000001E-3</v>
      </c>
      <c r="AA3852">
        <v>0.99161299999999997</v>
      </c>
      <c r="AB3852">
        <v>37</v>
      </c>
      <c r="AC3852">
        <v>164.3655</v>
      </c>
      <c r="AD3852">
        <v>2.323188</v>
      </c>
      <c r="AE3852">
        <v>-16.9985</v>
      </c>
      <c r="AF3852">
        <v>21.396925226565301</v>
      </c>
      <c r="AG3852">
        <v>2.323188</v>
      </c>
      <c r="AH3852">
        <v>163.81803007615699</v>
      </c>
      <c r="AI3852">
        <v>89.194355631706799</v>
      </c>
      <c r="AJ3852">
        <v>82.558496652843004</v>
      </c>
      <c r="AK3852">
        <v>165.225823011015</v>
      </c>
      <c r="AL3852">
        <v>88.681018325996106</v>
      </c>
      <c r="AM3852">
        <v>92.390965701472197</v>
      </c>
      <c r="AN3852">
        <v>1.0000000104718301</v>
      </c>
    </row>
    <row r="3853" spans="1:40" x14ac:dyDescent="0.25">
      <c r="A3853" t="str">
        <f>"20190312160718314"</f>
        <v>20190312160718314</v>
      </c>
      <c r="B3853" t="str">
        <f>"1552378038309138"</f>
        <v>1552378038309138</v>
      </c>
      <c r="C3853" t="s">
        <v>40</v>
      </c>
      <c r="D3853">
        <v>6.253755</v>
      </c>
      <c r="E3853">
        <v>0.5664515</v>
      </c>
      <c r="F3853" t="s">
        <v>51</v>
      </c>
      <c r="G3853">
        <v>-168.41480000000001</v>
      </c>
      <c r="H3853">
        <v>3.074621</v>
      </c>
      <c r="I3853">
        <v>196.40969999999999</v>
      </c>
      <c r="J3853">
        <v>-332.40129999999999</v>
      </c>
      <c r="K3853">
        <v>1.1097549999999901</v>
      </c>
      <c r="L3853">
        <v>213.68209999999999</v>
      </c>
      <c r="M3853">
        <v>0.99953040000000004</v>
      </c>
      <c r="N3853">
        <v>0</v>
      </c>
      <c r="O3853">
        <v>2.682006E-2</v>
      </c>
      <c r="P3853">
        <v>0.99761180000000005</v>
      </c>
      <c r="Q3853">
        <v>8.6425749999999996E-3</v>
      </c>
      <c r="R3853">
        <v>6.8530590000000002E-2</v>
      </c>
      <c r="S3853">
        <v>3.0287169999999999</v>
      </c>
      <c r="T3853">
        <v>3.6206719999999998E-2</v>
      </c>
      <c r="U3853">
        <v>-0.3180847</v>
      </c>
      <c r="V3853">
        <v>-4.1746650000000003E-2</v>
      </c>
      <c r="W3853">
        <v>2.34533E-2</v>
      </c>
      <c r="X3853">
        <v>0.99885290000000004</v>
      </c>
      <c r="Y3853">
        <v>0.131076</v>
      </c>
      <c r="Z3853">
        <v>1.1011440000000001E-3</v>
      </c>
      <c r="AA3853">
        <v>0.99137169999999997</v>
      </c>
      <c r="AB3853">
        <v>37</v>
      </c>
      <c r="AC3853">
        <v>163.98649999999901</v>
      </c>
      <c r="AD3853">
        <v>1.964866</v>
      </c>
      <c r="AE3853">
        <v>-17.272400000000001</v>
      </c>
      <c r="AF3853">
        <v>21.661720516819699</v>
      </c>
      <c r="AG3853">
        <v>1.964866</v>
      </c>
      <c r="AH3853">
        <v>163.44099270286199</v>
      </c>
      <c r="AI3853">
        <v>89.317201116055401</v>
      </c>
      <c r="AJ3853">
        <v>82.450279866237096</v>
      </c>
      <c r="AK3853">
        <v>164.88192420591099</v>
      </c>
      <c r="AL3853">
        <v>88.656101641994397</v>
      </c>
      <c r="AM3853">
        <v>92.393260903204805</v>
      </c>
      <c r="AN3853">
        <v>0.99999997795276097</v>
      </c>
    </row>
    <row r="3854" spans="1:40" x14ac:dyDescent="0.25">
      <c r="A3854" t="str">
        <f>"20190312160718336"</f>
        <v>20190312160718336</v>
      </c>
      <c r="B3854" t="str">
        <f>"1552378038328658"</f>
        <v>1552378038328658</v>
      </c>
      <c r="C3854" t="s">
        <v>40</v>
      </c>
      <c r="D3854">
        <v>6.2607489999999997</v>
      </c>
      <c r="E3854">
        <v>0.56691059999999904</v>
      </c>
      <c r="F3854" t="s">
        <v>51</v>
      </c>
      <c r="G3854">
        <v>-168.41499999999999</v>
      </c>
      <c r="H3854">
        <v>3.3847200000000002</v>
      </c>
      <c r="I3854">
        <v>196.20769999999999</v>
      </c>
      <c r="J3854">
        <v>-332.0333</v>
      </c>
      <c r="K3854">
        <v>1.1097539999999999</v>
      </c>
      <c r="L3854">
        <v>213.6919</v>
      </c>
      <c r="M3854">
        <v>0.99953049999999999</v>
      </c>
      <c r="N3854">
        <v>0</v>
      </c>
      <c r="O3854">
        <v>2.6820090000000001E-2</v>
      </c>
      <c r="P3854">
        <v>0.99761869999999997</v>
      </c>
      <c r="Q3854">
        <v>8.4869479999999994E-3</v>
      </c>
      <c r="R3854">
        <v>6.8450120000000003E-2</v>
      </c>
      <c r="S3854">
        <v>3.0289920000000001</v>
      </c>
      <c r="T3854">
        <v>4.2021509999999998E-2</v>
      </c>
      <c r="U3854">
        <v>-0.32276919999999998</v>
      </c>
      <c r="V3854">
        <v>-4.1665840000000003E-2</v>
      </c>
      <c r="W3854">
        <v>2.3293600000000001E-2</v>
      </c>
      <c r="X3854">
        <v>0.99886010000000003</v>
      </c>
      <c r="Y3854">
        <v>0.132578799999999</v>
      </c>
      <c r="Z3854">
        <v>1.2881489999999999E-3</v>
      </c>
      <c r="AA3854">
        <v>0.99117169999999999</v>
      </c>
      <c r="AB3854">
        <v>37</v>
      </c>
      <c r="AC3854">
        <v>163.6183</v>
      </c>
      <c r="AD3854">
        <v>2.274966</v>
      </c>
      <c r="AE3854">
        <v>-17.484200000000001</v>
      </c>
      <c r="AF3854">
        <v>21.862469459372502</v>
      </c>
      <c r="AG3854">
        <v>2.274966</v>
      </c>
      <c r="AH3854">
        <v>163.05928308456001</v>
      </c>
      <c r="AI3854">
        <v>89.207762419964794</v>
      </c>
      <c r="AJ3854">
        <v>82.363506385664493</v>
      </c>
      <c r="AK3854">
        <v>164.534108443246</v>
      </c>
      <c r="AL3854">
        <v>88.6652543971353</v>
      </c>
      <c r="AM3854">
        <v>92.388616383475707</v>
      </c>
      <c r="AN3854">
        <v>1.0000000666979301</v>
      </c>
    </row>
    <row r="3855" spans="1:40" x14ac:dyDescent="0.25">
      <c r="A3855" t="str">
        <f>"20190312160718358"</f>
        <v>20190312160718358</v>
      </c>
      <c r="B3855" t="str">
        <f>"1552378038349153"</f>
        <v>1552378038349153</v>
      </c>
      <c r="C3855" t="s">
        <v>40</v>
      </c>
      <c r="D3855">
        <v>6.2718860000000003</v>
      </c>
      <c r="E3855">
        <v>0.56724379999999996</v>
      </c>
      <c r="F3855" t="s">
        <v>51</v>
      </c>
      <c r="G3855">
        <v>-168.4151</v>
      </c>
      <c r="H3855">
        <v>3.4940839999999902</v>
      </c>
      <c r="I3855">
        <v>196.05279999999999</v>
      </c>
      <c r="J3855">
        <v>-331.66890000000001</v>
      </c>
      <c r="K3855">
        <v>1.10975</v>
      </c>
      <c r="L3855">
        <v>213.70169999999999</v>
      </c>
      <c r="M3855">
        <v>0.99953060000000005</v>
      </c>
      <c r="N3855">
        <v>0</v>
      </c>
      <c r="O3855">
        <v>2.6820469999999999E-2</v>
      </c>
      <c r="P3855">
        <v>0.99763429999999997</v>
      </c>
      <c r="Q3855">
        <v>7.9662719999999999E-3</v>
      </c>
      <c r="R3855">
        <v>6.8283159999999996E-2</v>
      </c>
      <c r="S3855">
        <v>3.0292050000000001</v>
      </c>
      <c r="T3855">
        <v>4.4143799999999997E-2</v>
      </c>
      <c r="U3855">
        <v>-0.32656859999999999</v>
      </c>
      <c r="V3855">
        <v>-4.1497729999999997E-2</v>
      </c>
      <c r="W3855">
        <v>2.276922E-2</v>
      </c>
      <c r="X3855">
        <v>0.99887910000000002</v>
      </c>
      <c r="Y3855">
        <v>0.1337991</v>
      </c>
      <c r="Z3855">
        <v>1.3618879999999999E-3</v>
      </c>
      <c r="AA3855">
        <v>0.99100759999999999</v>
      </c>
      <c r="AB3855">
        <v>37</v>
      </c>
      <c r="AC3855">
        <v>163.25380000000001</v>
      </c>
      <c r="AD3855">
        <v>2.3843339999999902</v>
      </c>
      <c r="AE3855">
        <v>-17.648899999999902</v>
      </c>
      <c r="AF3855">
        <v>22.016931272462301</v>
      </c>
      <c r="AG3855">
        <v>2.3843339999999902</v>
      </c>
      <c r="AH3855">
        <v>162.687353905311</v>
      </c>
      <c r="AI3855">
        <v>89.167921436217298</v>
      </c>
      <c r="AJ3855">
        <v>82.292827650088995</v>
      </c>
      <c r="AK3855">
        <v>164.18771401049401</v>
      </c>
      <c r="AL3855">
        <v>88.695307011926104</v>
      </c>
      <c r="AM3855">
        <v>92.378944880741699</v>
      </c>
      <c r="AN3855">
        <v>0.99999997769568505</v>
      </c>
    </row>
    <row r="3856" spans="1:40" x14ac:dyDescent="0.25">
      <c r="A3856" t="str">
        <f>"20190312160718380"</f>
        <v>20190312160718380</v>
      </c>
      <c r="B3856" t="str">
        <f>"1552378038368674"</f>
        <v>1552378038368674</v>
      </c>
      <c r="C3856" t="s">
        <v>40</v>
      </c>
      <c r="D3856">
        <v>6.3350220000000004</v>
      </c>
      <c r="E3856">
        <v>0.5676658</v>
      </c>
      <c r="F3856" t="s">
        <v>51</v>
      </c>
      <c r="G3856">
        <v>-168.4152</v>
      </c>
      <c r="H3856">
        <v>3.5247120000000001</v>
      </c>
      <c r="I3856">
        <v>195.92500000000001</v>
      </c>
      <c r="J3856">
        <v>-331.31599999999997</v>
      </c>
      <c r="K3856">
        <v>1.1097549999999901</v>
      </c>
      <c r="L3856">
        <v>213.71119999999999</v>
      </c>
      <c r="M3856">
        <v>0.99953069999999999</v>
      </c>
      <c r="N3856">
        <v>0</v>
      </c>
      <c r="O3856">
        <v>2.6820320000000002E-2</v>
      </c>
      <c r="P3856">
        <v>0.99765720000000002</v>
      </c>
      <c r="Q3856">
        <v>8.01784E-3</v>
      </c>
      <c r="R3856">
        <v>6.7942310000000006E-2</v>
      </c>
      <c r="S3856">
        <v>3.0293269999999999</v>
      </c>
      <c r="T3856">
        <v>4.4812560000000001E-2</v>
      </c>
      <c r="U3856">
        <v>-0.3298645</v>
      </c>
      <c r="V3856">
        <v>-4.1156650000000003E-2</v>
      </c>
      <c r="W3856">
        <v>2.2816889999999999E-2</v>
      </c>
      <c r="X3856">
        <v>0.99889209999999995</v>
      </c>
      <c r="Y3856">
        <v>0.1348597</v>
      </c>
      <c r="Z3856">
        <v>1.3902020000000001E-3</v>
      </c>
      <c r="AA3856">
        <v>0.99086370000000001</v>
      </c>
      <c r="AB3856">
        <v>37</v>
      </c>
      <c r="AC3856">
        <v>162.90079999999901</v>
      </c>
      <c r="AD3856">
        <v>2.4149569999999998</v>
      </c>
      <c r="AE3856">
        <v>-17.786199999999901</v>
      </c>
      <c r="AF3856">
        <v>22.144521149162198</v>
      </c>
      <c r="AG3856">
        <v>2.4149569999999998</v>
      </c>
      <c r="AH3856">
        <v>162.329847835431</v>
      </c>
      <c r="AI3856">
        <v>89.155502573243098</v>
      </c>
      <c r="AJ3856">
        <v>82.231842600916707</v>
      </c>
      <c r="AK3856">
        <v>163.851125514937</v>
      </c>
      <c r="AL3856">
        <v>88.692574981145896</v>
      </c>
      <c r="AM3856">
        <v>92.359383267564695</v>
      </c>
      <c r="AN3856">
        <v>0.99999995387545104</v>
      </c>
    </row>
    <row r="3857" spans="1:40" x14ac:dyDescent="0.25">
      <c r="A3857" t="str">
        <f>"20190312160718401"</f>
        <v>20190312160718401</v>
      </c>
      <c r="B3857" t="str">
        <f>"1552378038398930"</f>
        <v>1552378038398930</v>
      </c>
      <c r="C3857" t="s">
        <v>40</v>
      </c>
      <c r="D3857">
        <v>6.1978010000000001</v>
      </c>
      <c r="E3857">
        <v>0.56814379999999998</v>
      </c>
      <c r="F3857" t="s">
        <v>51</v>
      </c>
      <c r="G3857">
        <v>-168.4153</v>
      </c>
      <c r="H3857">
        <v>3.6753849999999999</v>
      </c>
      <c r="I3857">
        <v>195.7535</v>
      </c>
      <c r="J3857">
        <v>-330.96949999999998</v>
      </c>
      <c r="K3857">
        <v>1.109756</v>
      </c>
      <c r="L3857">
        <v>213.72049999999999</v>
      </c>
      <c r="M3857">
        <v>0.99953060000000005</v>
      </c>
      <c r="N3857">
        <v>0</v>
      </c>
      <c r="O3857">
        <v>2.6820710000000001E-2</v>
      </c>
      <c r="P3857">
        <v>0.99768230000000002</v>
      </c>
      <c r="Q3857">
        <v>8.0462119999999901E-3</v>
      </c>
      <c r="R3857">
        <v>6.7569660000000004E-2</v>
      </c>
      <c r="S3857">
        <v>3.0294189999999999</v>
      </c>
      <c r="T3857">
        <v>4.7712919999999999E-2</v>
      </c>
      <c r="U3857">
        <v>-0.33395390000000003</v>
      </c>
      <c r="V3857">
        <v>-4.0783199999999999E-2</v>
      </c>
      <c r="W3857">
        <v>2.2842149999999999E-2</v>
      </c>
      <c r="X3857">
        <v>0.99890690000000004</v>
      </c>
      <c r="Y3857">
        <v>0.13617589999999999</v>
      </c>
      <c r="Z3857">
        <v>1.490356E-3</v>
      </c>
      <c r="AA3857">
        <v>0.9906836</v>
      </c>
      <c r="AB3857">
        <v>37</v>
      </c>
      <c r="AC3857">
        <v>162.55419999999901</v>
      </c>
      <c r="AD3857">
        <v>2.5656289999999999</v>
      </c>
      <c r="AE3857">
        <v>-17.966999999999899</v>
      </c>
      <c r="AF3857">
        <v>22.315340287004101</v>
      </c>
      <c r="AG3857">
        <v>2.5656289999999999</v>
      </c>
      <c r="AH3857">
        <v>161.97390706062299</v>
      </c>
      <c r="AI3857">
        <v>89.101014335377201</v>
      </c>
      <c r="AJ3857">
        <v>82.155673501014206</v>
      </c>
      <c r="AK3857">
        <v>163.524014850339</v>
      </c>
      <c r="AL3857">
        <v>88.691127391151994</v>
      </c>
      <c r="AM3857">
        <v>92.337963799910796</v>
      </c>
      <c r="AN3857">
        <v>1.0000000140432299</v>
      </c>
    </row>
    <row r="3858" spans="1:40" x14ac:dyDescent="0.25">
      <c r="A3858" t="str">
        <f>"20190312160718426"</f>
        <v>20190312160718426</v>
      </c>
      <c r="B3858" t="str">
        <f>"1552378038419426"</f>
        <v>1552378038419426</v>
      </c>
      <c r="C3858" t="s">
        <v>40</v>
      </c>
      <c r="D3858">
        <v>6.0820569999999998</v>
      </c>
      <c r="E3858">
        <v>0.56840849999999998</v>
      </c>
      <c r="F3858" t="s">
        <v>51</v>
      </c>
      <c r="G3858">
        <v>-168.41540000000001</v>
      </c>
      <c r="H3858">
        <v>3.8051200000000001</v>
      </c>
      <c r="I3858">
        <v>195.53710000000001</v>
      </c>
      <c r="J3858">
        <v>-330.57569999999998</v>
      </c>
      <c r="K3858">
        <v>1.1097589999999999</v>
      </c>
      <c r="L3858">
        <v>213.7311</v>
      </c>
      <c r="M3858">
        <v>0.99953069999999999</v>
      </c>
      <c r="N3858">
        <v>0</v>
      </c>
      <c r="O3858">
        <v>2.6820739999999999E-2</v>
      </c>
      <c r="P3858">
        <v>0.9976642</v>
      </c>
      <c r="Q3858">
        <v>8.1739599999999992E-3</v>
      </c>
      <c r="R3858">
        <v>6.7820469999999994E-2</v>
      </c>
      <c r="S3858">
        <v>3.0295100000000001</v>
      </c>
      <c r="T3858">
        <v>5.0233960000000001E-2</v>
      </c>
      <c r="U3858">
        <v>-0.33888239999999997</v>
      </c>
      <c r="V3858">
        <v>-4.1034580000000001E-2</v>
      </c>
      <c r="W3858">
        <v>2.2965619999999999E-2</v>
      </c>
      <c r="X3858">
        <v>0.9988937</v>
      </c>
      <c r="Y3858">
        <v>0.1377622</v>
      </c>
      <c r="Z3858">
        <v>1.5820179999999999E-3</v>
      </c>
      <c r="AA3858">
        <v>0.99046409999999996</v>
      </c>
      <c r="AB3858">
        <v>37</v>
      </c>
      <c r="AC3858">
        <v>162.16029999999901</v>
      </c>
      <c r="AD3858">
        <v>2.6953610000000001</v>
      </c>
      <c r="AE3858">
        <v>-18.1939999999999</v>
      </c>
      <c r="AF3858">
        <v>22.5310416455671</v>
      </c>
      <c r="AG3858">
        <v>2.6953610000000001</v>
      </c>
      <c r="AH3858">
        <v>161.56983845083599</v>
      </c>
      <c r="AI3858">
        <v>89.0534195241448</v>
      </c>
      <c r="AJ3858">
        <v>82.061254428497307</v>
      </c>
      <c r="AK3858">
        <v>163.15552551349199</v>
      </c>
      <c r="AL3858">
        <v>88.6840511278522</v>
      </c>
      <c r="AM3858">
        <v>92.352389481947</v>
      </c>
      <c r="AN3858">
        <v>0.99999994017872296</v>
      </c>
    </row>
    <row r="3859" spans="1:40" x14ac:dyDescent="0.25">
      <c r="A3859" t="str">
        <f>"20190312160718449"</f>
        <v>20190312160718449</v>
      </c>
      <c r="B3859" t="str">
        <f>"1552378038438947"</f>
        <v>1552378038438947</v>
      </c>
      <c r="C3859" t="s">
        <v>40</v>
      </c>
      <c r="D3859">
        <v>6.1288929999999997</v>
      </c>
      <c r="E3859">
        <v>0.57945789999999997</v>
      </c>
      <c r="F3859" t="s">
        <v>51</v>
      </c>
      <c r="G3859">
        <v>-168.41540000000001</v>
      </c>
      <c r="H3859">
        <v>3.9368409999999998</v>
      </c>
      <c r="I3859">
        <v>195.52520000000001</v>
      </c>
      <c r="J3859">
        <v>-330.19529999999997</v>
      </c>
      <c r="K3859">
        <v>1.109761</v>
      </c>
      <c r="L3859">
        <v>213.7413</v>
      </c>
      <c r="M3859">
        <v>0.9995309</v>
      </c>
      <c r="N3859">
        <v>0</v>
      </c>
      <c r="O3859">
        <v>2.6820770000000001E-2</v>
      </c>
      <c r="P3859">
        <v>0.99766270000000001</v>
      </c>
      <c r="Q3859">
        <v>8.6446309999999998E-3</v>
      </c>
      <c r="R3859">
        <v>6.7783910000000003E-2</v>
      </c>
      <c r="S3859">
        <v>3.0297239999999999</v>
      </c>
      <c r="T3859">
        <v>5.2820440000000003E-2</v>
      </c>
      <c r="U3859">
        <v>-0.34014889999999998</v>
      </c>
      <c r="V3859">
        <v>-4.0997939999999997E-2</v>
      </c>
      <c r="W3859">
        <v>2.343137E-2</v>
      </c>
      <c r="X3859">
        <v>0.99888440000000001</v>
      </c>
      <c r="Y3859">
        <v>0.13816099999999901</v>
      </c>
      <c r="Z3859">
        <v>1.6667730000000001E-3</v>
      </c>
      <c r="AA3859">
        <v>0.99040839999999997</v>
      </c>
      <c r="AB3859">
        <v>36</v>
      </c>
      <c r="AC3859">
        <v>161.779899999999</v>
      </c>
      <c r="AD3859">
        <v>2.82708</v>
      </c>
      <c r="AE3859">
        <v>-18.216099999999901</v>
      </c>
      <c r="AF3859">
        <v>22.542283794595999</v>
      </c>
      <c r="AG3859">
        <v>2.82708</v>
      </c>
      <c r="AH3859">
        <v>161.1844603218</v>
      </c>
      <c r="AI3859">
        <v>89.004851990853794</v>
      </c>
      <c r="AJ3859">
        <v>82.038596839399602</v>
      </c>
      <c r="AK3859">
        <v>162.77769254179901</v>
      </c>
      <c r="AL3859">
        <v>88.657358449509104</v>
      </c>
      <c r="AM3859">
        <v>92.350313234656497</v>
      </c>
      <c r="AN3859">
        <v>0.99999995237383899</v>
      </c>
    </row>
    <row r="3860" spans="1:40" x14ac:dyDescent="0.25">
      <c r="A3860" t="str">
        <f>"20190312160718472"</f>
        <v>20190312160718472</v>
      </c>
      <c r="B3860" t="str">
        <f>"1552378038459442"</f>
        <v>1552378038459442</v>
      </c>
      <c r="C3860" t="s">
        <v>40</v>
      </c>
      <c r="D3860">
        <v>5.8484809999999996</v>
      </c>
      <c r="E3860">
        <v>0.58343699999999998</v>
      </c>
      <c r="F3860" t="s">
        <v>51</v>
      </c>
      <c r="G3860">
        <v>-168.41929999999999</v>
      </c>
      <c r="H3860">
        <v>11.13283</v>
      </c>
      <c r="I3860">
        <v>191.1705</v>
      </c>
      <c r="J3860">
        <v>-329.83199999999999</v>
      </c>
      <c r="K3860">
        <v>1.1097619999999999</v>
      </c>
      <c r="L3860">
        <v>213.751</v>
      </c>
      <c r="M3860">
        <v>0.9995309</v>
      </c>
      <c r="N3860">
        <v>0</v>
      </c>
      <c r="O3860">
        <v>2.6820980000000001E-2</v>
      </c>
      <c r="P3860">
        <v>0.99763420000000003</v>
      </c>
      <c r="Q3860">
        <v>9.0080420000000008E-3</v>
      </c>
      <c r="R3860">
        <v>6.8154099999999995E-2</v>
      </c>
      <c r="S3860">
        <v>3.0341800000000001</v>
      </c>
      <c r="T3860">
        <v>0.18798770000000001</v>
      </c>
      <c r="U3860">
        <v>-0.4233246</v>
      </c>
      <c r="V3860">
        <v>-4.1368630000000003E-2</v>
      </c>
      <c r="W3860">
        <v>2.3790800000000001E-2</v>
      </c>
      <c r="X3860">
        <v>0.99886070000000005</v>
      </c>
      <c r="Y3860">
        <v>0.16433729999999999</v>
      </c>
      <c r="Z3860">
        <v>6.7145460000000001E-3</v>
      </c>
      <c r="AA3860">
        <v>0.98638139999999996</v>
      </c>
      <c r="AB3860">
        <v>36</v>
      </c>
      <c r="AC3860">
        <v>161.4127</v>
      </c>
      <c r="AD3860">
        <v>10.023067999999901</v>
      </c>
      <c r="AE3860">
        <v>-22.580499999999901</v>
      </c>
      <c r="AF3860">
        <v>26.800737607544299</v>
      </c>
      <c r="AG3860">
        <v>10.023067999999901</v>
      </c>
      <c r="AH3860">
        <v>160.14327793562001</v>
      </c>
      <c r="AI3860">
        <v>86.467633920705097</v>
      </c>
      <c r="AJ3860">
        <v>80.499323548411496</v>
      </c>
      <c r="AK3860">
        <v>162.679472879667</v>
      </c>
      <c r="AL3860">
        <v>88.636758992005795</v>
      </c>
      <c r="AM3860">
        <v>92.371596050806303</v>
      </c>
      <c r="AN3860">
        <v>1.0000000318586</v>
      </c>
    </row>
    <row r="3861" spans="1:40" x14ac:dyDescent="0.25">
      <c r="A3861" t="str">
        <f>"20190312160718493"</f>
        <v>20190312160718493</v>
      </c>
      <c r="B3861" t="str">
        <f>"1552378038488722"</f>
        <v>1552378038488722</v>
      </c>
      <c r="C3861" t="s">
        <v>40</v>
      </c>
      <c r="D3861">
        <v>5.8129569999999999</v>
      </c>
      <c r="E3861">
        <v>0.58354980000000001</v>
      </c>
      <c r="F3861" t="s">
        <v>84</v>
      </c>
      <c r="G3861">
        <v>-235.79929999999999</v>
      </c>
      <c r="H3861">
        <v>5.8266039999999997</v>
      </c>
      <c r="I3861">
        <v>199.6557</v>
      </c>
      <c r="J3861">
        <v>-329.48649999999998</v>
      </c>
      <c r="K3861">
        <v>1.1097669999999999</v>
      </c>
      <c r="L3861">
        <v>213.7603</v>
      </c>
      <c r="M3861">
        <v>0.99953099999999995</v>
      </c>
      <c r="N3861">
        <v>0</v>
      </c>
      <c r="O3861">
        <v>2.6821009999999999E-2</v>
      </c>
      <c r="P3861">
        <v>0.99761710000000003</v>
      </c>
      <c r="Q3861">
        <v>8.8158230000000004E-3</v>
      </c>
      <c r="R3861">
        <v>6.8430320000000003E-2</v>
      </c>
      <c r="S3861">
        <v>3.036835</v>
      </c>
      <c r="T3861">
        <v>0.1523359</v>
      </c>
      <c r="U3861">
        <v>-0.4552155</v>
      </c>
      <c r="V3861">
        <v>-4.164458E-2</v>
      </c>
      <c r="W3861">
        <v>2.3594400000000001E-2</v>
      </c>
      <c r="X3861">
        <v>0.99885389999999996</v>
      </c>
      <c r="Y3861">
        <v>0.17446829999999999</v>
      </c>
      <c r="Z3861">
        <v>5.6867119999999896E-3</v>
      </c>
      <c r="AA3861">
        <v>0.98464640000000003</v>
      </c>
      <c r="AB3861">
        <v>36</v>
      </c>
      <c r="AC3861">
        <v>93.687200000000004</v>
      </c>
      <c r="AD3861">
        <v>4.7168369999999999</v>
      </c>
      <c r="AE3861">
        <v>-14.1046</v>
      </c>
      <c r="AF3861">
        <v>16.571510310949598</v>
      </c>
      <c r="AG3861">
        <v>4.7168369999999999</v>
      </c>
      <c r="AH3861">
        <v>93.044527080624306</v>
      </c>
      <c r="AI3861">
        <v>87.142795059438697</v>
      </c>
      <c r="AJ3861">
        <v>79.901339504286398</v>
      </c>
      <c r="AK3861">
        <v>94.6263574535526</v>
      </c>
      <c r="AL3861">
        <v>88.648015053648606</v>
      </c>
      <c r="AM3861">
        <v>92.387413803979001</v>
      </c>
      <c r="AN3861">
        <v>1.00000004014997</v>
      </c>
    </row>
    <row r="3862" spans="1:40" x14ac:dyDescent="0.25">
      <c r="A3862" t="str">
        <f>"20190312160718516"</f>
        <v>20190312160718516</v>
      </c>
      <c r="B3862" t="str">
        <f>"1552378038509218"</f>
        <v>1552378038509218</v>
      </c>
      <c r="C3862" t="s">
        <v>40</v>
      </c>
      <c r="D3862">
        <v>5.9811800000000002</v>
      </c>
      <c r="E3862">
        <v>0.5835977</v>
      </c>
      <c r="F3862" t="s">
        <v>84</v>
      </c>
      <c r="G3862">
        <v>-236.4922</v>
      </c>
      <c r="H3862">
        <v>5.2359809999999998</v>
      </c>
      <c r="I3862">
        <v>199.79750000000001</v>
      </c>
      <c r="J3862">
        <v>-329.12920000000003</v>
      </c>
      <c r="K3862">
        <v>1.1097669999999999</v>
      </c>
      <c r="L3862">
        <v>213.76990000000001</v>
      </c>
      <c r="M3862">
        <v>0.99953080000000005</v>
      </c>
      <c r="N3862">
        <v>0</v>
      </c>
      <c r="O3862">
        <v>2.6821520000000001E-2</v>
      </c>
      <c r="P3862">
        <v>0.99758749999999996</v>
      </c>
      <c r="Q3862">
        <v>8.6967079999999992E-3</v>
      </c>
      <c r="R3862">
        <v>6.8874370000000004E-2</v>
      </c>
      <c r="S3862">
        <v>3.0372919999999999</v>
      </c>
      <c r="T3862">
        <v>0.13476939999999901</v>
      </c>
      <c r="U3862">
        <v>-0.45603939999999998</v>
      </c>
      <c r="V3862">
        <v>-4.2089090000000003E-2</v>
      </c>
      <c r="W3862">
        <v>2.3470930000000001E-2</v>
      </c>
      <c r="X3862">
        <v>0.99883809999999995</v>
      </c>
      <c r="Y3862">
        <v>0.1747619</v>
      </c>
      <c r="Z3862">
        <v>5.0372790000000004E-3</v>
      </c>
      <c r="AA3862">
        <v>0.98459790000000003</v>
      </c>
      <c r="AB3862">
        <v>36</v>
      </c>
      <c r="AC3862">
        <v>92.637</v>
      </c>
      <c r="AD3862">
        <v>4.126214</v>
      </c>
      <c r="AE3862">
        <v>-13.972399999999899</v>
      </c>
      <c r="AF3862">
        <v>16.420456155642398</v>
      </c>
      <c r="AG3862">
        <v>4.126214</v>
      </c>
      <c r="AH3862">
        <v>92.0503008779108</v>
      </c>
      <c r="AI3862">
        <v>87.473232870772904</v>
      </c>
      <c r="AJ3862">
        <v>79.885642017931204</v>
      </c>
      <c r="AK3862">
        <v>93.594417109393206</v>
      </c>
      <c r="AL3862">
        <v>88.655091219171496</v>
      </c>
      <c r="AM3862">
        <v>92.412904978676195</v>
      </c>
      <c r="AN3862">
        <v>0.99999996303185001</v>
      </c>
    </row>
    <row r="3863" spans="1:40" x14ac:dyDescent="0.25">
      <c r="A3863" t="str">
        <f>"20190312160718538"</f>
        <v>20190312160718538</v>
      </c>
      <c r="B3863" t="str">
        <f>"1552378038528756"</f>
        <v>1552378038528756</v>
      </c>
      <c r="C3863" t="s">
        <v>40</v>
      </c>
      <c r="D3863">
        <v>6.116301</v>
      </c>
      <c r="E3863">
        <v>0.58227640000000003</v>
      </c>
      <c r="F3863" t="s">
        <v>51</v>
      </c>
      <c r="G3863">
        <v>-169.7167</v>
      </c>
      <c r="H3863">
        <v>6.7569809999999997</v>
      </c>
      <c r="I3863">
        <v>189.8459</v>
      </c>
      <c r="J3863">
        <v>-328.7568</v>
      </c>
      <c r="K3863">
        <v>1.1097680000000001</v>
      </c>
      <c r="L3863">
        <v>213.7799</v>
      </c>
      <c r="M3863">
        <v>0.99953099999999995</v>
      </c>
      <c r="N3863">
        <v>0</v>
      </c>
      <c r="O3863">
        <v>2.6821370000000001E-2</v>
      </c>
      <c r="P3863">
        <v>0.99754580000000004</v>
      </c>
      <c r="Q3863">
        <v>8.6814749999999993E-3</v>
      </c>
      <c r="R3863">
        <v>6.9475590000000004E-2</v>
      </c>
      <c r="S3863">
        <v>3.037811</v>
      </c>
      <c r="T3863">
        <v>0.10761560000000001</v>
      </c>
      <c r="U3863">
        <v>-0.45590209999999998</v>
      </c>
      <c r="V3863">
        <v>-4.2691109999999997E-2</v>
      </c>
      <c r="W3863">
        <v>2.3451389999999999E-2</v>
      </c>
      <c r="X3863">
        <v>0.99881299999999995</v>
      </c>
      <c r="Y3863">
        <v>0.1747639</v>
      </c>
      <c r="Z3863">
        <v>4.0224190000000002E-3</v>
      </c>
      <c r="AA3863">
        <v>0.98460219999999998</v>
      </c>
      <c r="AB3863">
        <v>36</v>
      </c>
      <c r="AC3863">
        <v>159.0401</v>
      </c>
      <c r="AD3863">
        <v>5.6472129999999998</v>
      </c>
      <c r="AE3863">
        <v>-23.934000000000001</v>
      </c>
      <c r="AF3863">
        <v>28.156812282793702</v>
      </c>
      <c r="AG3863">
        <v>5.6472129999999998</v>
      </c>
      <c r="AH3863">
        <v>158.1458801828</v>
      </c>
      <c r="AI3863">
        <v>87.986537705408693</v>
      </c>
      <c r="AJ3863">
        <v>79.904656209439395</v>
      </c>
      <c r="AK3863">
        <v>160.73212656898599</v>
      </c>
      <c r="AL3863">
        <v>88.656211074537495</v>
      </c>
      <c r="AM3863">
        <v>92.447437648182898</v>
      </c>
      <c r="AN3863">
        <v>0.99999995376748096</v>
      </c>
    </row>
    <row r="3864" spans="1:40" x14ac:dyDescent="0.25">
      <c r="A3864" t="str">
        <f>"20190312160718559"</f>
        <v>20190312160718559</v>
      </c>
      <c r="B3864" t="str">
        <f>"1552378038549233"</f>
        <v>1552378038549233</v>
      </c>
      <c r="C3864" t="s">
        <v>40</v>
      </c>
      <c r="D3864">
        <v>6.0779930000000002</v>
      </c>
      <c r="E3864">
        <v>0.5812368</v>
      </c>
      <c r="F3864" t="s">
        <v>51</v>
      </c>
      <c r="G3864">
        <v>-168.4178</v>
      </c>
      <c r="H3864">
        <v>5.9907879999999896</v>
      </c>
      <c r="I3864">
        <v>190.33539999999999</v>
      </c>
      <c r="J3864">
        <v>-328.40260000000001</v>
      </c>
      <c r="K3864">
        <v>1.1097669999999999</v>
      </c>
      <c r="L3864">
        <v>213.7894</v>
      </c>
      <c r="M3864">
        <v>0.99953099999999995</v>
      </c>
      <c r="N3864">
        <v>0</v>
      </c>
      <c r="O3864">
        <v>2.6821399999999999E-2</v>
      </c>
      <c r="P3864">
        <v>0.99754710000000002</v>
      </c>
      <c r="Q3864">
        <v>8.4191309999999998E-3</v>
      </c>
      <c r="R3864">
        <v>6.9490239999999995E-2</v>
      </c>
      <c r="S3864">
        <v>3.037506</v>
      </c>
      <c r="T3864">
        <v>9.2468019999999998E-2</v>
      </c>
      <c r="U3864">
        <v>-0.44413760000000002</v>
      </c>
      <c r="V3864">
        <v>-4.2706149999999998E-2</v>
      </c>
      <c r="W3864">
        <v>2.318491E-2</v>
      </c>
      <c r="X3864">
        <v>0.9988186</v>
      </c>
      <c r="Y3864">
        <v>0.1710797</v>
      </c>
      <c r="Z3864">
        <v>3.4020579999999999E-3</v>
      </c>
      <c r="AA3864">
        <v>0.98525130000000005</v>
      </c>
      <c r="AB3864">
        <v>36</v>
      </c>
      <c r="AC3864">
        <v>159.98480000000001</v>
      </c>
      <c r="AD3864">
        <v>4.8810209999999996</v>
      </c>
      <c r="AE3864">
        <v>-23.454000000000001</v>
      </c>
      <c r="AF3864">
        <v>27.711793463973699</v>
      </c>
      <c r="AG3864">
        <v>4.8810209999999996</v>
      </c>
      <c r="AH3864">
        <v>159.153068357406</v>
      </c>
      <c r="AI3864">
        <v>88.269384592891896</v>
      </c>
      <c r="AJ3864">
        <v>80.122662456415995</v>
      </c>
      <c r="AK3864">
        <v>161.621369350001</v>
      </c>
      <c r="AL3864">
        <v>88.671483436118606</v>
      </c>
      <c r="AM3864">
        <v>92.448285116995095</v>
      </c>
      <c r="AN3864">
        <v>0.999999975502745</v>
      </c>
    </row>
    <row r="3865" spans="1:40" x14ac:dyDescent="0.25">
      <c r="A3865" t="str">
        <f>"20190312160718582"</f>
        <v>20190312160718582</v>
      </c>
      <c r="B3865" t="str">
        <f>"1552378038579490"</f>
        <v>1552378038579490</v>
      </c>
      <c r="C3865" t="s">
        <v>40</v>
      </c>
      <c r="D3865">
        <v>6.519787</v>
      </c>
      <c r="E3865">
        <v>0.58121499999999904</v>
      </c>
      <c r="F3865" t="s">
        <v>51</v>
      </c>
      <c r="G3865">
        <v>-168.41749999999999</v>
      </c>
      <c r="H3865">
        <v>5.5103549999999997</v>
      </c>
      <c r="I3865">
        <v>190.8141</v>
      </c>
      <c r="J3865">
        <v>-328.041</v>
      </c>
      <c r="K3865">
        <v>1.109761</v>
      </c>
      <c r="L3865">
        <v>213.79910000000001</v>
      </c>
      <c r="M3865">
        <v>0.99953119999999995</v>
      </c>
      <c r="N3865">
        <v>0</v>
      </c>
      <c r="O3865">
        <v>2.6821609999999999E-2</v>
      </c>
      <c r="P3865">
        <v>0.99753950000000002</v>
      </c>
      <c r="Q3865">
        <v>8.4487799999999995E-3</v>
      </c>
      <c r="R3865">
        <v>6.9599309999999998E-2</v>
      </c>
      <c r="S3865">
        <v>3.0370180000000002</v>
      </c>
      <c r="T3865">
        <v>8.353758E-2</v>
      </c>
      <c r="U3865">
        <v>-0.43614199999999997</v>
      </c>
      <c r="V3865">
        <v>-4.2815199999999998E-2</v>
      </c>
      <c r="W3865">
        <v>2.321113E-2</v>
      </c>
      <c r="X3865">
        <v>0.99881330000000002</v>
      </c>
      <c r="Y3865">
        <v>0.168578799999999</v>
      </c>
      <c r="Z3865">
        <v>3.0404719999999998E-3</v>
      </c>
      <c r="AA3865">
        <v>0.98568350000000005</v>
      </c>
      <c r="AB3865">
        <v>36</v>
      </c>
      <c r="AC3865">
        <v>159.62350000000001</v>
      </c>
      <c r="AD3865">
        <v>4.4005939999999999</v>
      </c>
      <c r="AE3865">
        <v>-22.984999999999999</v>
      </c>
      <c r="AF3865">
        <v>27.238273691988301</v>
      </c>
      <c r="AG3865">
        <v>4.4005939999999999</v>
      </c>
      <c r="AH3865">
        <v>158.831234909497</v>
      </c>
      <c r="AI3865">
        <v>88.435786518141001</v>
      </c>
      <c r="AJ3865">
        <v>80.268895409205598</v>
      </c>
      <c r="AK3865">
        <v>161.20995615702</v>
      </c>
      <c r="AL3865">
        <v>88.669980706525394</v>
      </c>
      <c r="AM3865">
        <v>92.454542176400693</v>
      </c>
      <c r="AN3865">
        <v>0.99999995308190204</v>
      </c>
    </row>
    <row r="3866" spans="1:40" x14ac:dyDescent="0.25">
      <c r="A3866" t="str">
        <f>"20190312160718605"</f>
        <v>20190312160718605</v>
      </c>
      <c r="B3866" t="str">
        <f>"1552378038599011"</f>
        <v>1552378038599011</v>
      </c>
      <c r="C3866" t="s">
        <v>40</v>
      </c>
      <c r="D3866">
        <v>6.1927510000000003</v>
      </c>
      <c r="E3866">
        <v>0.58034110000000005</v>
      </c>
      <c r="F3866" t="s">
        <v>51</v>
      </c>
      <c r="G3866">
        <v>-168.4177</v>
      </c>
      <c r="H3866">
        <v>6.0727699999999896</v>
      </c>
      <c r="I3866">
        <v>190.9135</v>
      </c>
      <c r="J3866">
        <v>-327.67309999999998</v>
      </c>
      <c r="K3866">
        <v>1.1097600000000001</v>
      </c>
      <c r="L3866">
        <v>213.809</v>
      </c>
      <c r="M3866">
        <v>0.99953110000000001</v>
      </c>
      <c r="N3866">
        <v>0</v>
      </c>
      <c r="O3866">
        <v>2.6821939999999999E-2</v>
      </c>
      <c r="P3866">
        <v>0.99754489999999996</v>
      </c>
      <c r="Q3866">
        <v>8.2282150000000005E-3</v>
      </c>
      <c r="R3866">
        <v>6.9543969999999997E-2</v>
      </c>
      <c r="S3866">
        <v>3.0370180000000002</v>
      </c>
      <c r="T3866">
        <v>9.4427590000000006E-2</v>
      </c>
      <c r="U3866">
        <v>-0.4354248</v>
      </c>
      <c r="V3866">
        <v>-4.2758730000000002E-2</v>
      </c>
      <c r="W3866">
        <v>2.2986599999999999E-2</v>
      </c>
      <c r="X3866">
        <v>0.99882099999999996</v>
      </c>
      <c r="Y3866">
        <v>0.16833100000000001</v>
      </c>
      <c r="Z3866">
        <v>3.4328869999999999E-3</v>
      </c>
      <c r="AA3866">
        <v>0.98572459999999995</v>
      </c>
      <c r="AB3866">
        <v>36</v>
      </c>
      <c r="AC3866">
        <v>159.25539999999901</v>
      </c>
      <c r="AD3866">
        <v>4.9630099999999899</v>
      </c>
      <c r="AE3866">
        <v>-22.895499999999998</v>
      </c>
      <c r="AF3866">
        <v>27.133447852560899</v>
      </c>
      <c r="AG3866">
        <v>4.9630099999999899</v>
      </c>
      <c r="AH3866">
        <v>158.433170905938</v>
      </c>
      <c r="AI3866">
        <v>88.2314948838372</v>
      </c>
      <c r="AJ3866">
        <v>80.281740111489995</v>
      </c>
      <c r="AK3866">
        <v>160.81643294122</v>
      </c>
      <c r="AL3866">
        <v>88.682848878269198</v>
      </c>
      <c r="AM3866">
        <v>92.451289898849694</v>
      </c>
      <c r="AN3866">
        <v>1.0000000414058801</v>
      </c>
    </row>
    <row r="3867" spans="1:40" x14ac:dyDescent="0.25">
      <c r="A3867" t="str">
        <f>"20190312160718639"</f>
        <v>20190312160718639</v>
      </c>
      <c r="B3867" t="str">
        <f>"1552378038629269"</f>
        <v>1552378038629269</v>
      </c>
      <c r="C3867" t="s">
        <v>40</v>
      </c>
      <c r="D3867">
        <v>6.3360219999999998</v>
      </c>
      <c r="E3867">
        <v>0.57966010000000001</v>
      </c>
      <c r="F3867" t="s">
        <v>51</v>
      </c>
      <c r="G3867">
        <v>-168.41730000000001</v>
      </c>
      <c r="H3867">
        <v>5.3372089999999996</v>
      </c>
      <c r="I3867">
        <v>191.30779999999999</v>
      </c>
      <c r="J3867">
        <v>-327.13909999999998</v>
      </c>
      <c r="K3867">
        <v>1.1097570000000001</v>
      </c>
      <c r="L3867">
        <v>213.82329999999999</v>
      </c>
      <c r="M3867">
        <v>0.99953119999999995</v>
      </c>
      <c r="N3867">
        <v>0</v>
      </c>
      <c r="O3867">
        <v>2.682234E-2</v>
      </c>
      <c r="P3867">
        <v>0.99754240000000005</v>
      </c>
      <c r="Q3867">
        <v>8.7622989999999994E-3</v>
      </c>
      <c r="R3867">
        <v>6.9515809999999997E-2</v>
      </c>
      <c r="S3867">
        <v>3.0366520000000001</v>
      </c>
      <c r="T3867">
        <v>8.0608609999999997E-2</v>
      </c>
      <c r="U3867">
        <v>-0.4290466</v>
      </c>
      <c r="V3867">
        <v>-4.2730589999999999E-2</v>
      </c>
      <c r="W3867">
        <v>2.3514790000000001E-2</v>
      </c>
      <c r="X3867">
        <v>0.99880990000000003</v>
      </c>
      <c r="Y3867">
        <v>0.1663443</v>
      </c>
      <c r="Z3867">
        <v>2.905244E-3</v>
      </c>
      <c r="AA3867">
        <v>0.98606349999999998</v>
      </c>
      <c r="AB3867">
        <v>36</v>
      </c>
      <c r="AC3867">
        <v>158.72179999999901</v>
      </c>
      <c r="AD3867">
        <v>4.2274520000000004</v>
      </c>
      <c r="AE3867">
        <v>-22.515499999999999</v>
      </c>
      <c r="AF3867">
        <v>26.746552181417702</v>
      </c>
      <c r="AG3867">
        <v>4.2274520000000004</v>
      </c>
      <c r="AH3867">
        <v>157.95085954020701</v>
      </c>
      <c r="AI3867">
        <v>88.488390483512902</v>
      </c>
      <c r="AJ3867">
        <v>80.389010197170705</v>
      </c>
      <c r="AK3867">
        <v>160.25518223600699</v>
      </c>
      <c r="AL3867">
        <v>88.652577626048995</v>
      </c>
      <c r="AM3867">
        <v>92.449705834020705</v>
      </c>
      <c r="AN3867">
        <v>1.00000003250425</v>
      </c>
    </row>
    <row r="3868" spans="1:40" x14ac:dyDescent="0.25">
      <c r="A3868" t="str">
        <f>"20190312160718661"</f>
        <v>20190312160718661</v>
      </c>
      <c r="B3868" t="str">
        <f>"1552378038648785"</f>
        <v>1552378038648785</v>
      </c>
      <c r="C3868" t="s">
        <v>40</v>
      </c>
      <c r="D3868">
        <v>6.3223349999999998</v>
      </c>
      <c r="E3868">
        <v>0.57985059999999999</v>
      </c>
      <c r="F3868" t="s">
        <v>51</v>
      </c>
      <c r="G3868">
        <v>-168.4171</v>
      </c>
      <c r="H3868">
        <v>5.0117820000000002</v>
      </c>
      <c r="I3868">
        <v>191.66120000000001</v>
      </c>
      <c r="J3868">
        <v>-326.77690000000001</v>
      </c>
      <c r="K3868">
        <v>1.1097629999999901</v>
      </c>
      <c r="L3868">
        <v>213.833</v>
      </c>
      <c r="M3868">
        <v>0.99953110000000001</v>
      </c>
      <c r="N3868">
        <v>0</v>
      </c>
      <c r="O3868">
        <v>2.6822189999999999E-2</v>
      </c>
      <c r="P3868">
        <v>0.99754949999999998</v>
      </c>
      <c r="Q3868">
        <v>8.9869219999999996E-3</v>
      </c>
      <c r="R3868">
        <v>6.9382479999999996E-2</v>
      </c>
      <c r="S3868">
        <v>3.0362849999999999</v>
      </c>
      <c r="T3868">
        <v>7.4644680000000005E-2</v>
      </c>
      <c r="U3868">
        <v>-0.4239502</v>
      </c>
      <c r="V3868">
        <v>-4.2597490000000002E-2</v>
      </c>
      <c r="W3868">
        <v>2.3735030000000001E-2</v>
      </c>
      <c r="X3868">
        <v>0.99881039999999999</v>
      </c>
      <c r="Y3868">
        <v>0.16474720000000001</v>
      </c>
      <c r="Z3868">
        <v>2.6714550000000001E-3</v>
      </c>
      <c r="AA3868">
        <v>0.98633219999999999</v>
      </c>
      <c r="AB3868">
        <v>36</v>
      </c>
      <c r="AC3868">
        <v>158.35980000000001</v>
      </c>
      <c r="AD3868">
        <v>3.9020190000000001</v>
      </c>
      <c r="AE3868">
        <v>-22.171799999999902</v>
      </c>
      <c r="AF3868">
        <v>26.396123288948999</v>
      </c>
      <c r="AG3868">
        <v>3.9020190000000001</v>
      </c>
      <c r="AH3868">
        <v>157.61419771003699</v>
      </c>
      <c r="AI3868">
        <v>88.601302287782104</v>
      </c>
      <c r="AJ3868">
        <v>80.492732548951906</v>
      </c>
      <c r="AK3868">
        <v>159.856862213483</v>
      </c>
      <c r="AL3868">
        <v>88.639955313575697</v>
      </c>
      <c r="AM3868">
        <v>92.442083363595302</v>
      </c>
      <c r="AN3868">
        <v>1.0000000564757701</v>
      </c>
    </row>
    <row r="3869" spans="1:40" x14ac:dyDescent="0.25">
      <c r="A3869" t="str">
        <f>"20190312160718683"</f>
        <v>20190312160718683</v>
      </c>
      <c r="B3869" t="str">
        <f>"1552378038679042"</f>
        <v>1552378038679042</v>
      </c>
      <c r="C3869" t="s">
        <v>40</v>
      </c>
      <c r="D3869">
        <v>6.0576150000000002</v>
      </c>
      <c r="E3869">
        <v>0.5328619</v>
      </c>
      <c r="F3869" t="s">
        <v>51</v>
      </c>
      <c r="G3869">
        <v>-168.417</v>
      </c>
      <c r="H3869">
        <v>4.7840099999999897</v>
      </c>
      <c r="I3869">
        <v>191.62090000000001</v>
      </c>
      <c r="J3869">
        <v>-326.4194</v>
      </c>
      <c r="K3869">
        <v>1.1097629999999901</v>
      </c>
      <c r="L3869">
        <v>213.8426</v>
      </c>
      <c r="M3869">
        <v>0.99953139999999996</v>
      </c>
      <c r="N3869">
        <v>0</v>
      </c>
      <c r="O3869">
        <v>2.6822220000000001E-2</v>
      </c>
      <c r="P3869">
        <v>0.99756060000000002</v>
      </c>
      <c r="Q3869">
        <v>8.2278349999999993E-3</v>
      </c>
      <c r="R3869">
        <v>6.9322780000000001E-2</v>
      </c>
      <c r="S3869">
        <v>3.036346</v>
      </c>
      <c r="T3869">
        <v>7.0449590000000006E-2</v>
      </c>
      <c r="U3869">
        <v>-0.42588809999999999</v>
      </c>
      <c r="V3869">
        <v>-4.2537749999999999E-2</v>
      </c>
      <c r="W3869">
        <v>2.297277E-2</v>
      </c>
      <c r="X3869">
        <v>0.99883069999999896</v>
      </c>
      <c r="Y3869">
        <v>0.16536789999999901</v>
      </c>
      <c r="Z3869">
        <v>2.528364E-3</v>
      </c>
      <c r="AA3869">
        <v>0.98622869999999996</v>
      </c>
      <c r="AB3869">
        <v>36</v>
      </c>
      <c r="AC3869">
        <v>158.00239999999999</v>
      </c>
      <c r="AD3869">
        <v>3.6742469999999998</v>
      </c>
      <c r="AE3869">
        <v>-22.221699999999998</v>
      </c>
      <c r="AF3869">
        <v>26.438119990579299</v>
      </c>
      <c r="AG3869">
        <v>3.6742469999999998</v>
      </c>
      <c r="AH3869">
        <v>157.266046708022</v>
      </c>
      <c r="AI3869">
        <v>88.680141270820997</v>
      </c>
      <c r="AJ3869">
        <v>80.457190570211395</v>
      </c>
      <c r="AK3869">
        <v>159.515152028963</v>
      </c>
      <c r="AL3869">
        <v>88.683641417592199</v>
      </c>
      <c r="AM3869">
        <v>92.438613147199305</v>
      </c>
      <c r="AN3869">
        <v>0.99999998779951205</v>
      </c>
    </row>
    <row r="3870" spans="1:40" x14ac:dyDescent="0.25">
      <c r="A3870" t="str">
        <f>"20190312160718705"</f>
        <v>20190312160718705</v>
      </c>
      <c r="B3870" t="str">
        <f>"1552378038699538"</f>
        <v>1552378038699538</v>
      </c>
      <c r="C3870" t="s">
        <v>40</v>
      </c>
      <c r="D3870">
        <v>5.9577299999999997</v>
      </c>
      <c r="E3870">
        <v>0.52816269999999998</v>
      </c>
      <c r="F3870" t="s">
        <v>66</v>
      </c>
      <c r="G3870">
        <v>-252.39959999999999</v>
      </c>
      <c r="H3870" s="1">
        <v>-1.6562139999999999E-7</v>
      </c>
      <c r="I3870">
        <v>212.46100000000001</v>
      </c>
      <c r="J3870">
        <v>-326.06760000000003</v>
      </c>
      <c r="K3870">
        <v>1.1097589999999999</v>
      </c>
      <c r="L3870">
        <v>213.852</v>
      </c>
      <c r="M3870">
        <v>0.99953130000000001</v>
      </c>
      <c r="N3870">
        <v>0</v>
      </c>
      <c r="O3870">
        <v>2.6822249999999999E-2</v>
      </c>
      <c r="P3870">
        <v>0.99756659999999997</v>
      </c>
      <c r="Q3870">
        <v>7.67550099999999E-3</v>
      </c>
      <c r="R3870">
        <v>6.9297239999999996E-2</v>
      </c>
      <c r="S3870">
        <v>3.0116269999999998</v>
      </c>
      <c r="T3870">
        <v>-4.5152659999999997E-2</v>
      </c>
      <c r="U3870">
        <v>-5.621338E-2</v>
      </c>
      <c r="V3870">
        <v>-4.251162E-2</v>
      </c>
      <c r="W3870">
        <v>2.2416450000000001E-2</v>
      </c>
      <c r="X3870">
        <v>0.99884439999999997</v>
      </c>
      <c r="Y3870">
        <v>4.5467859999999999E-2</v>
      </c>
      <c r="Z3870">
        <v>-7.4291119999999895E-4</v>
      </c>
      <c r="AA3870">
        <v>0.99896549999999995</v>
      </c>
      <c r="AB3870">
        <v>36</v>
      </c>
      <c r="AC3870">
        <v>73.668000000000006</v>
      </c>
      <c r="AD3870">
        <v>-1.1097591656214001</v>
      </c>
      <c r="AE3870">
        <v>-1.39100000000001</v>
      </c>
      <c r="AF3870">
        <v>3.3658925477717601</v>
      </c>
      <c r="AG3870">
        <v>-1.1097591656214001</v>
      </c>
      <c r="AH3870">
        <v>73.587482491560394</v>
      </c>
      <c r="AI3870">
        <v>90.863099262829195</v>
      </c>
      <c r="AJ3870">
        <v>87.381115537334594</v>
      </c>
      <c r="AK3870">
        <v>73.672779080841906</v>
      </c>
      <c r="AL3870">
        <v>88.715524350579898</v>
      </c>
      <c r="AM3870">
        <v>92.4370835809531</v>
      </c>
      <c r="AN3870">
        <v>0.99999993523849096</v>
      </c>
    </row>
    <row r="3871" spans="1:40" x14ac:dyDescent="0.25">
      <c r="A3871" t="str">
        <f>"20190312160718727"</f>
        <v>20190312160718727</v>
      </c>
      <c r="B3871" t="str">
        <f>"1552378038719065"</f>
        <v>1552378038719065</v>
      </c>
      <c r="C3871" t="s">
        <v>40</v>
      </c>
      <c r="D3871">
        <v>5.9220009999999998</v>
      </c>
      <c r="E3871">
        <v>0.52613129999999997</v>
      </c>
      <c r="F3871" t="s">
        <v>66</v>
      </c>
      <c r="G3871">
        <v>-277.09370000000001</v>
      </c>
      <c r="H3871" s="1">
        <v>2.2854690000000002E-6</v>
      </c>
      <c r="I3871">
        <v>213.53319999999999</v>
      </c>
      <c r="J3871">
        <v>-325.70949999999999</v>
      </c>
      <c r="K3871">
        <v>1.109761</v>
      </c>
      <c r="L3871">
        <v>213.86160000000001</v>
      </c>
      <c r="M3871">
        <v>0.99953139999999996</v>
      </c>
      <c r="N3871">
        <v>0</v>
      </c>
      <c r="O3871">
        <v>2.682228E-2</v>
      </c>
      <c r="P3871">
        <v>0.99756140000000004</v>
      </c>
      <c r="Q3871">
        <v>6.7802969999999898E-3</v>
      </c>
      <c r="R3871">
        <v>6.9466029999999998E-2</v>
      </c>
      <c r="S3871">
        <v>3.0092159999999999</v>
      </c>
      <c r="T3871">
        <v>-6.8189379999999994E-2</v>
      </c>
      <c r="U3871">
        <v>-1.9592289999999998E-2</v>
      </c>
      <c r="V3871">
        <v>-4.2680599999999999E-2</v>
      </c>
      <c r="W3871">
        <v>2.1517830000000002E-2</v>
      </c>
      <c r="X3871">
        <v>0.99885699999999999</v>
      </c>
      <c r="Y3871">
        <v>3.3317470000000002E-2</v>
      </c>
      <c r="Z3871">
        <v>-9.8517529999999991E-4</v>
      </c>
      <c r="AA3871">
        <v>0.99944429999999995</v>
      </c>
      <c r="AB3871">
        <v>36</v>
      </c>
      <c r="AC3871">
        <v>48.615799999999901</v>
      </c>
      <c r="AD3871">
        <v>-1.1097587145309999</v>
      </c>
      <c r="AE3871">
        <v>-0.32840000000001601</v>
      </c>
      <c r="AF3871">
        <v>1.6315601530041099</v>
      </c>
      <c r="AG3871">
        <v>-1.1097587145309999</v>
      </c>
      <c r="AH3871">
        <v>48.5641911561898</v>
      </c>
      <c r="AI3871">
        <v>91.308321841018596</v>
      </c>
      <c r="AJ3871">
        <v>88.075817554453394</v>
      </c>
      <c r="AK3871">
        <v>48.604261290470099</v>
      </c>
      <c r="AL3871">
        <v>88.767023969623395</v>
      </c>
      <c r="AM3871">
        <v>92.446728200048796</v>
      </c>
      <c r="AN3871">
        <v>0.99999997853663403</v>
      </c>
    </row>
    <row r="3872" spans="1:40" x14ac:dyDescent="0.25">
      <c r="A3872" t="str">
        <f>"20190312160718749"</f>
        <v>20190312160718749</v>
      </c>
      <c r="B3872" t="str">
        <f>"1552378038738578"</f>
        <v>1552378038738578</v>
      </c>
      <c r="C3872" t="s">
        <v>40</v>
      </c>
      <c r="D3872">
        <v>5.9506750000000004</v>
      </c>
      <c r="E3872">
        <v>0.52394410000000002</v>
      </c>
      <c r="F3872" t="s">
        <v>66</v>
      </c>
      <c r="G3872">
        <v>-276.15789999999998</v>
      </c>
      <c r="H3872" s="1">
        <v>1.7751259999999901E-6</v>
      </c>
      <c r="I3872">
        <v>213.81540000000001</v>
      </c>
      <c r="J3872">
        <v>-325.36349999999999</v>
      </c>
      <c r="K3872">
        <v>1.109753</v>
      </c>
      <c r="L3872">
        <v>213.87090000000001</v>
      </c>
      <c r="M3872">
        <v>0.99953139999999996</v>
      </c>
      <c r="N3872">
        <v>0</v>
      </c>
      <c r="O3872">
        <v>2.6822309999999999E-2</v>
      </c>
      <c r="P3872">
        <v>0.99755510000000003</v>
      </c>
      <c r="Q3872">
        <v>6.3418609999999999E-3</v>
      </c>
      <c r="R3872">
        <v>6.9597309999999996E-2</v>
      </c>
      <c r="S3872">
        <v>3.0079959999999999</v>
      </c>
      <c r="T3872">
        <v>-6.7367079999999996E-2</v>
      </c>
      <c r="U3872">
        <v>-2.8076170000000001E-3</v>
      </c>
      <c r="V3872">
        <v>-4.2811500000000002E-2</v>
      </c>
      <c r="W3872">
        <v>2.1075420000000001E-2</v>
      </c>
      <c r="X3872">
        <v>0.99886079999999999</v>
      </c>
      <c r="Y3872">
        <v>2.7744580000000001E-2</v>
      </c>
      <c r="Z3872">
        <v>-9.1129500000000001E-4</v>
      </c>
      <c r="AA3872">
        <v>0.99961469999999997</v>
      </c>
      <c r="AB3872">
        <v>36</v>
      </c>
      <c r="AC3872">
        <v>49.205599999999997</v>
      </c>
      <c r="AD3872">
        <v>-1.109751224874</v>
      </c>
      <c r="AE3872">
        <v>-5.5499999999994998E-2</v>
      </c>
      <c r="AF3872">
        <v>1.37473220455011</v>
      </c>
      <c r="AG3872">
        <v>-1.109751224874</v>
      </c>
      <c r="AH3872">
        <v>49.161397919825397</v>
      </c>
      <c r="AI3872">
        <v>91.292648994373394</v>
      </c>
      <c r="AJ3872">
        <v>88.398218208277697</v>
      </c>
      <c r="AK3872">
        <v>49.193134499102101</v>
      </c>
      <c r="AL3872">
        <v>88.792377909340303</v>
      </c>
      <c r="AM3872">
        <v>92.454213748459196</v>
      </c>
      <c r="AN3872">
        <v>0.99999994781853097</v>
      </c>
    </row>
    <row r="3873" spans="1:40" x14ac:dyDescent="0.25">
      <c r="A3873" t="str">
        <f>"20190312160718771"</f>
        <v>20190312160718771</v>
      </c>
      <c r="B3873" t="str">
        <f>"1552378038759074"</f>
        <v>1552378038759074</v>
      </c>
      <c r="C3873" t="s">
        <v>40</v>
      </c>
      <c r="D3873">
        <v>6.0072359999999998</v>
      </c>
      <c r="E3873">
        <v>0.52313350000000003</v>
      </c>
      <c r="F3873" t="s">
        <v>66</v>
      </c>
      <c r="G3873">
        <v>-268.6112</v>
      </c>
      <c r="H3873" s="1">
        <v>3.0656130000000001E-6</v>
      </c>
      <c r="I3873">
        <v>214.16040000000001</v>
      </c>
      <c r="J3873">
        <v>-325.00880000000001</v>
      </c>
      <c r="K3873">
        <v>1.109753</v>
      </c>
      <c r="L3873">
        <v>213.88050000000001</v>
      </c>
      <c r="M3873">
        <v>0.99953170000000002</v>
      </c>
      <c r="N3873">
        <v>0</v>
      </c>
      <c r="O3873">
        <v>2.6822160000000001E-2</v>
      </c>
      <c r="P3873">
        <v>0.99753700000000001</v>
      </c>
      <c r="Q3873">
        <v>6.2970769999999999E-3</v>
      </c>
      <c r="R3873">
        <v>6.9862339999999995E-2</v>
      </c>
      <c r="S3873">
        <v>3.006653</v>
      </c>
      <c r="T3873">
        <v>-5.8792949999999997E-2</v>
      </c>
      <c r="U3873">
        <v>1.5335079999999999E-2</v>
      </c>
      <c r="V3873">
        <v>-4.3077320000000002E-2</v>
      </c>
      <c r="W3873">
        <v>2.1026799999999998E-2</v>
      </c>
      <c r="X3873">
        <v>0.99885049999999997</v>
      </c>
      <c r="Y3873">
        <v>2.171696E-2</v>
      </c>
      <c r="Z3873">
        <v>-7.3674359999999998E-4</v>
      </c>
      <c r="AA3873">
        <v>0.99976390000000004</v>
      </c>
      <c r="AB3873">
        <v>36</v>
      </c>
      <c r="AC3873">
        <v>56.397599999999997</v>
      </c>
      <c r="AD3873">
        <v>-1.1097499343870001</v>
      </c>
      <c r="AE3873">
        <v>0.27989999999999698</v>
      </c>
      <c r="AF3873">
        <v>1.2325930527292901</v>
      </c>
      <c r="AG3873">
        <v>-1.1097499343870001</v>
      </c>
      <c r="AH3873">
        <v>56.3629903755198</v>
      </c>
      <c r="AI3873">
        <v>91.127700632142606</v>
      </c>
      <c r="AJ3873">
        <v>88.747207622475301</v>
      </c>
      <c r="AK3873">
        <v>56.387387903869502</v>
      </c>
      <c r="AL3873">
        <v>88.795164372774295</v>
      </c>
      <c r="AM3873">
        <v>92.469458783220006</v>
      </c>
      <c r="AN3873">
        <v>1.00000005158343</v>
      </c>
    </row>
    <row r="3874" spans="1:40" x14ac:dyDescent="0.25">
      <c r="A3874" t="str">
        <f>"20190312160718795"</f>
        <v>20190312160718795</v>
      </c>
      <c r="B3874" t="str">
        <f>"1552378038789330"</f>
        <v>1552378038789330</v>
      </c>
      <c r="C3874" t="s">
        <v>40</v>
      </c>
      <c r="D3874">
        <v>5.9001530000000004</v>
      </c>
      <c r="E3874">
        <v>0.52284679999999994</v>
      </c>
      <c r="F3874" t="s">
        <v>66</v>
      </c>
      <c r="G3874">
        <v>-258.15550000000002</v>
      </c>
      <c r="H3874" s="1">
        <v>2.813053E-6</v>
      </c>
      <c r="I3874">
        <v>214.38980000000001</v>
      </c>
      <c r="J3874">
        <v>-324.64030000000002</v>
      </c>
      <c r="K3874">
        <v>1.1097509999999999</v>
      </c>
      <c r="L3874">
        <v>213.8904</v>
      </c>
      <c r="M3874">
        <v>0.99953170000000002</v>
      </c>
      <c r="N3874">
        <v>0</v>
      </c>
      <c r="O3874">
        <v>2.6822189999999999E-2</v>
      </c>
      <c r="P3874">
        <v>0.99750539999999999</v>
      </c>
      <c r="Q3874">
        <v>6.0363919999999998E-3</v>
      </c>
      <c r="R3874">
        <v>7.0333939999999998E-2</v>
      </c>
      <c r="S3874">
        <v>3.0060730000000002</v>
      </c>
      <c r="T3874">
        <v>-4.9900170000000001E-2</v>
      </c>
      <c r="U3874">
        <v>2.2903440000000001E-2</v>
      </c>
      <c r="V3874">
        <v>-4.3549549999999999E-2</v>
      </c>
      <c r="W3874">
        <v>2.076221E-2</v>
      </c>
      <c r="X3874">
        <v>0.99883549999999999</v>
      </c>
      <c r="Y3874">
        <v>1.9201889999999999E-2</v>
      </c>
      <c r="Z3874">
        <v>-6.0456279999999995E-4</v>
      </c>
      <c r="AA3874">
        <v>0.99981549999999997</v>
      </c>
      <c r="AB3874">
        <v>36</v>
      </c>
      <c r="AC3874">
        <v>66.484800000000007</v>
      </c>
      <c r="AD3874">
        <v>-1.1097481869469901</v>
      </c>
      <c r="AE3874">
        <v>0.499400000000008</v>
      </c>
      <c r="AF3874">
        <v>1.28388343414809</v>
      </c>
      <c r="AG3874">
        <v>-1.1097481869469901</v>
      </c>
      <c r="AH3874">
        <v>66.455756873178203</v>
      </c>
      <c r="AI3874">
        <v>90.956517866572199</v>
      </c>
      <c r="AJ3874">
        <v>88.893219252361007</v>
      </c>
      <c r="AK3874">
        <v>66.477421124001793</v>
      </c>
      <c r="AL3874">
        <v>88.810327504595193</v>
      </c>
      <c r="AM3874">
        <v>92.496533310076998</v>
      </c>
      <c r="AN3874">
        <v>0.99999999436476805</v>
      </c>
    </row>
    <row r="3875" spans="1:40" x14ac:dyDescent="0.25">
      <c r="A3875" t="str">
        <f>"20190312160718816"</f>
        <v>20190312160718816</v>
      </c>
      <c r="B3875" t="str">
        <f>"1552378038808850"</f>
        <v>1552378038808850</v>
      </c>
      <c r="C3875" t="s">
        <v>40</v>
      </c>
      <c r="D3875">
        <v>5.7712409999999998</v>
      </c>
      <c r="E3875">
        <v>0.5234451</v>
      </c>
      <c r="F3875" t="s">
        <v>66</v>
      </c>
      <c r="G3875">
        <v>-267.96769999999998</v>
      </c>
      <c r="H3875" s="1">
        <v>2.713371E-6</v>
      </c>
      <c r="I3875">
        <v>214.3837</v>
      </c>
      <c r="J3875">
        <v>-324.28039999999999</v>
      </c>
      <c r="K3875">
        <v>1.1097589999999999</v>
      </c>
      <c r="L3875">
        <v>213.9</v>
      </c>
      <c r="M3875">
        <v>0.99953159999999996</v>
      </c>
      <c r="N3875">
        <v>0</v>
      </c>
      <c r="O3875">
        <v>2.6822220000000001E-2</v>
      </c>
      <c r="P3875">
        <v>0.99748380000000003</v>
      </c>
      <c r="Q3875">
        <v>5.8261249999999997E-3</v>
      </c>
      <c r="R3875">
        <v>7.0657250000000005E-2</v>
      </c>
      <c r="S3875">
        <v>3.0060120000000001</v>
      </c>
      <c r="T3875">
        <v>-5.8862919999999999E-2</v>
      </c>
      <c r="U3875">
        <v>2.6168819999999999E-2</v>
      </c>
      <c r="V3875">
        <v>-4.3873620000000002E-2</v>
      </c>
      <c r="W3875">
        <v>2.0547679999999999E-2</v>
      </c>
      <c r="X3875">
        <v>0.99882579999999999</v>
      </c>
      <c r="Y3875">
        <v>1.811347E-2</v>
      </c>
      <c r="Z3875">
        <v>-7.0248589999999996E-4</v>
      </c>
      <c r="AA3875">
        <v>0.99983569999999999</v>
      </c>
      <c r="AB3875">
        <v>36</v>
      </c>
      <c r="AC3875">
        <v>56.3127</v>
      </c>
      <c r="AD3875">
        <v>-1.1097562866289901</v>
      </c>
      <c r="AE3875">
        <v>0.48369999999999802</v>
      </c>
      <c r="AF3875">
        <v>1.0266710170522</v>
      </c>
      <c r="AG3875">
        <v>-1.1097562866289901</v>
      </c>
      <c r="AH3875">
        <v>56.283553633492502</v>
      </c>
      <c r="AI3875">
        <v>91.129380392601206</v>
      </c>
      <c r="AJ3875">
        <v>88.954980816676297</v>
      </c>
      <c r="AK3875">
        <v>56.303854415192603</v>
      </c>
      <c r="AL3875">
        <v>88.822621845073797</v>
      </c>
      <c r="AM3875">
        <v>92.515111660501105</v>
      </c>
      <c r="AN3875">
        <v>1.0000000402154601</v>
      </c>
    </row>
    <row r="3876" spans="1:40" x14ac:dyDescent="0.25">
      <c r="A3876" t="str">
        <f>"20190312160718839"</f>
        <v>20190312160718839</v>
      </c>
      <c r="B3876" t="str">
        <f>"1552378038829346"</f>
        <v>1552378038829346</v>
      </c>
      <c r="C3876" t="s">
        <v>40</v>
      </c>
      <c r="D3876">
        <v>5.6797360000000001</v>
      </c>
      <c r="E3876">
        <v>0.52287289999999997</v>
      </c>
      <c r="F3876" t="s">
        <v>66</v>
      </c>
      <c r="G3876">
        <v>-277.8621</v>
      </c>
      <c r="H3876" s="1">
        <v>2.663502E-6</v>
      </c>
      <c r="I3876">
        <v>214.2398</v>
      </c>
      <c r="J3876">
        <v>-323.92930000000001</v>
      </c>
      <c r="K3876">
        <v>1.1097589999999999</v>
      </c>
      <c r="L3876">
        <v>213.90950000000001</v>
      </c>
      <c r="M3876">
        <v>0.99953170000000002</v>
      </c>
      <c r="N3876">
        <v>0</v>
      </c>
      <c r="O3876">
        <v>2.6822240000000001E-2</v>
      </c>
      <c r="P3876">
        <v>0.99746009999999996</v>
      </c>
      <c r="Q3876">
        <v>5.5745339999999999E-3</v>
      </c>
      <c r="R3876">
        <v>7.1012350000000002E-2</v>
      </c>
      <c r="S3876">
        <v>3.0064090000000001</v>
      </c>
      <c r="T3876">
        <v>-7.1876529999999994E-2</v>
      </c>
      <c r="U3876">
        <v>2.2003169999999999E-2</v>
      </c>
      <c r="V3876">
        <v>-4.4229150000000002E-2</v>
      </c>
      <c r="W3876">
        <v>2.0292149999999998E-2</v>
      </c>
      <c r="X3876">
        <v>0.99881529999999996</v>
      </c>
      <c r="Y3876">
        <v>1.949528E-2</v>
      </c>
      <c r="Z3876">
        <v>-8.7416399999999997E-4</v>
      </c>
      <c r="AA3876">
        <v>0.99980959999999997</v>
      </c>
      <c r="AB3876">
        <v>36</v>
      </c>
      <c r="AC3876">
        <v>46.0672</v>
      </c>
      <c r="AD3876">
        <v>-1.1097563364980001</v>
      </c>
      <c r="AE3876">
        <v>0.33029999999999399</v>
      </c>
      <c r="AF3876">
        <v>0.90505321268630301</v>
      </c>
      <c r="AG3876">
        <v>-1.1097563364980001</v>
      </c>
      <c r="AH3876">
        <v>46.032770030782601</v>
      </c>
      <c r="AI3876">
        <v>91.380750311914795</v>
      </c>
      <c r="AJ3876">
        <v>88.873649161295404</v>
      </c>
      <c r="AK3876">
        <v>46.055038781344102</v>
      </c>
      <c r="AL3876">
        <v>88.837265637341801</v>
      </c>
      <c r="AM3876">
        <v>92.535493003210703</v>
      </c>
      <c r="AN3876">
        <v>0.99999999628771696</v>
      </c>
    </row>
    <row r="3877" spans="1:40" x14ac:dyDescent="0.25">
      <c r="A3877" t="str">
        <f>"20190312160718864"</f>
        <v>20190312160718864</v>
      </c>
      <c r="B3877" t="str">
        <f>"1552378038858627"</f>
        <v>1552378038858627</v>
      </c>
      <c r="C3877" t="s">
        <v>40</v>
      </c>
      <c r="D3877">
        <v>5.8501629999999896</v>
      </c>
      <c r="E3877">
        <v>0.52216430000000003</v>
      </c>
      <c r="F3877" t="s">
        <v>66</v>
      </c>
      <c r="G3877">
        <v>-275.13159999999999</v>
      </c>
      <c r="H3877" s="1">
        <v>1.2051899999999899E-6</v>
      </c>
      <c r="I3877">
        <v>214.3605</v>
      </c>
      <c r="J3877">
        <v>-323.53210000000001</v>
      </c>
      <c r="K3877">
        <v>1.1097589999999999</v>
      </c>
      <c r="L3877">
        <v>213.92009999999999</v>
      </c>
      <c r="M3877">
        <v>0.99953179999999997</v>
      </c>
      <c r="N3877">
        <v>0</v>
      </c>
      <c r="O3877">
        <v>2.6822459999999999E-2</v>
      </c>
      <c r="P3877">
        <v>0.99747169999999996</v>
      </c>
      <c r="Q3877">
        <v>5.4851029999999999E-3</v>
      </c>
      <c r="R3877">
        <v>7.0854120000000007E-2</v>
      </c>
      <c r="S3877">
        <v>3.0060120000000001</v>
      </c>
      <c r="T3877">
        <v>-6.8362829999999999E-2</v>
      </c>
      <c r="U3877">
        <v>2.7786249999999998E-2</v>
      </c>
      <c r="V3877">
        <v>-4.4070150000000002E-2</v>
      </c>
      <c r="W3877">
        <v>2.01987E-2</v>
      </c>
      <c r="X3877">
        <v>0.99882420000000005</v>
      </c>
      <c r="Y3877">
        <v>1.7572910000000001E-2</v>
      </c>
      <c r="Z3877">
        <v>-8.0968960000000003E-4</v>
      </c>
      <c r="AA3877">
        <v>0.99984530000000005</v>
      </c>
      <c r="AB3877">
        <v>36</v>
      </c>
      <c r="AC3877">
        <v>48.400500000000001</v>
      </c>
      <c r="AD3877">
        <v>-1.1097577948099999</v>
      </c>
      <c r="AE3877">
        <v>0.44040000000001001</v>
      </c>
      <c r="AF3877">
        <v>0.85766880982924798</v>
      </c>
      <c r="AG3877">
        <v>-1.1097577948099999</v>
      </c>
      <c r="AH3877">
        <v>48.369469428100302</v>
      </c>
      <c r="AI3877">
        <v>91.314120190273599</v>
      </c>
      <c r="AJ3877">
        <v>88.984159750917996</v>
      </c>
      <c r="AK3877">
        <v>48.389799864293998</v>
      </c>
      <c r="AL3877">
        <v>88.842620999861296</v>
      </c>
      <c r="AM3877">
        <v>92.526367472364598</v>
      </c>
      <c r="AN3877">
        <v>0.99999997405417596</v>
      </c>
    </row>
    <row r="3878" spans="1:40" x14ac:dyDescent="0.25">
      <c r="A3878" t="str">
        <f>"20190312160718884"</f>
        <v>20190312160718884</v>
      </c>
      <c r="B3878" t="str">
        <f>"1552378038879122"</f>
        <v>1552378038879122</v>
      </c>
      <c r="C3878" t="s">
        <v>40</v>
      </c>
      <c r="D3878">
        <v>5.7508879999999998</v>
      </c>
      <c r="E3878">
        <v>0.5217195</v>
      </c>
      <c r="F3878" t="s">
        <v>66</v>
      </c>
      <c r="G3878">
        <v>-271.63909999999998</v>
      </c>
      <c r="H3878" s="1">
        <v>-6.5912970000000002E-7</v>
      </c>
      <c r="I3878">
        <v>214.4923</v>
      </c>
      <c r="J3878">
        <v>-323.21350000000001</v>
      </c>
      <c r="K3878">
        <v>1.1097629999999901</v>
      </c>
      <c r="L3878">
        <v>213.92859999999999</v>
      </c>
      <c r="M3878">
        <v>0.99953190000000003</v>
      </c>
      <c r="N3878">
        <v>0</v>
      </c>
      <c r="O3878">
        <v>2.68223E-2</v>
      </c>
      <c r="P3878">
        <v>0.99747870000000005</v>
      </c>
      <c r="Q3878">
        <v>5.2388479999999999E-3</v>
      </c>
      <c r="R3878">
        <v>7.0773160000000002E-2</v>
      </c>
      <c r="S3878">
        <v>3.0056150000000001</v>
      </c>
      <c r="T3878">
        <v>-6.4276699999999895E-2</v>
      </c>
      <c r="U3878">
        <v>3.3142089999999999E-2</v>
      </c>
      <c r="V3878">
        <v>-4.398941E-2</v>
      </c>
      <c r="W3878">
        <v>1.994889E-2</v>
      </c>
      <c r="X3878">
        <v>0.99883279999999997</v>
      </c>
      <c r="Y3878">
        <v>1.579175E-2</v>
      </c>
      <c r="Z3878">
        <v>-7.4234899999999903E-4</v>
      </c>
      <c r="AA3878">
        <v>0.99987499999999996</v>
      </c>
      <c r="AB3878">
        <v>36</v>
      </c>
      <c r="AC3878">
        <v>51.574399999999997</v>
      </c>
      <c r="AD3878">
        <v>-1.10976365912969</v>
      </c>
      <c r="AE3878">
        <v>0.56370000000001097</v>
      </c>
      <c r="AF3878">
        <v>0.81961723740957404</v>
      </c>
      <c r="AG3878">
        <v>-1.10976365912969</v>
      </c>
      <c r="AH3878">
        <v>51.547097680862301</v>
      </c>
      <c r="AI3878">
        <v>91.233181363398003</v>
      </c>
      <c r="AJ3878">
        <v>89.089053434925304</v>
      </c>
      <c r="AK3878">
        <v>51.565556596582397</v>
      </c>
      <c r="AL3878">
        <v>88.856936966834397</v>
      </c>
      <c r="AM3878">
        <v>92.521723263518794</v>
      </c>
      <c r="AN3878">
        <v>0.99999999438011</v>
      </c>
    </row>
    <row r="3879" spans="1:40" x14ac:dyDescent="0.25">
      <c r="A3879" t="str">
        <f>"20190312160718906"</f>
        <v>20190312160718906</v>
      </c>
      <c r="B3879" t="str">
        <f>"1552378038899618"</f>
        <v>1552378038899618</v>
      </c>
      <c r="C3879" t="s">
        <v>40</v>
      </c>
      <c r="D3879">
        <v>5.8537330000000001</v>
      </c>
      <c r="E3879">
        <v>0.5213333</v>
      </c>
      <c r="F3879" t="s">
        <v>66</v>
      </c>
      <c r="G3879">
        <v>-270.27229999999997</v>
      </c>
      <c r="H3879" s="1">
        <v>-1.3899170000000001E-6</v>
      </c>
      <c r="I3879">
        <v>214.5711</v>
      </c>
      <c r="J3879">
        <v>-322.86219999999997</v>
      </c>
      <c r="K3879">
        <v>1.1097629999999901</v>
      </c>
      <c r="L3879">
        <v>213.93809999999999</v>
      </c>
      <c r="M3879">
        <v>0.99953190000000003</v>
      </c>
      <c r="N3879">
        <v>0</v>
      </c>
      <c r="O3879">
        <v>2.6822510000000001E-2</v>
      </c>
      <c r="P3879">
        <v>0.99748309999999996</v>
      </c>
      <c r="Q3879">
        <v>5.3602049999999998E-3</v>
      </c>
      <c r="R3879">
        <v>7.0702319999999999E-2</v>
      </c>
      <c r="S3879">
        <v>3.0053709999999998</v>
      </c>
      <c r="T3879">
        <v>-6.299913E-2</v>
      </c>
      <c r="U3879">
        <v>3.6468510000000003E-2</v>
      </c>
      <c r="V3879">
        <v>-4.391834E-2</v>
      </c>
      <c r="W3879">
        <v>2.0066170000000001E-2</v>
      </c>
      <c r="X3879">
        <v>0.99883359999999999</v>
      </c>
      <c r="Y3879">
        <v>1.4685149999999999E-2</v>
      </c>
      <c r="Z3879">
        <v>-7.1605710000000001E-4</v>
      </c>
      <c r="AA3879">
        <v>0.99989189999999994</v>
      </c>
      <c r="AB3879">
        <v>36</v>
      </c>
      <c r="AC3879">
        <v>52.5899</v>
      </c>
      <c r="AD3879">
        <v>-1.10976438991699</v>
      </c>
      <c r="AE3879">
        <v>0.633000000000009</v>
      </c>
      <c r="AF3879">
        <v>0.77762742865128698</v>
      </c>
      <c r="AG3879">
        <v>-1.10976438991699</v>
      </c>
      <c r="AH3879">
        <v>52.564551331245497</v>
      </c>
      <c r="AI3879">
        <v>91.209340053542803</v>
      </c>
      <c r="AJ3879">
        <v>89.152441737949005</v>
      </c>
      <c r="AK3879">
        <v>52.582015348159402</v>
      </c>
      <c r="AL3879">
        <v>88.850215997434205</v>
      </c>
      <c r="AM3879">
        <v>92.517652359431395</v>
      </c>
      <c r="AN3879">
        <v>1.0000000161278899</v>
      </c>
    </row>
    <row r="3880" spans="1:40" x14ac:dyDescent="0.25">
      <c r="A3880" t="str">
        <f>"20190312160718928"</f>
        <v>20190312160718928</v>
      </c>
      <c r="B3880" t="str">
        <f>"1552378038919138"</f>
        <v>1552378038919138</v>
      </c>
      <c r="C3880" t="s">
        <v>40</v>
      </c>
      <c r="D3880">
        <v>5.7471489999999896</v>
      </c>
      <c r="E3880">
        <v>0.52110859999999903</v>
      </c>
      <c r="F3880" t="s">
        <v>66</v>
      </c>
      <c r="G3880">
        <v>-268.07760000000002</v>
      </c>
      <c r="H3880" s="1">
        <v>2.7598810000000001E-6</v>
      </c>
      <c r="I3880">
        <v>214.65770000000001</v>
      </c>
      <c r="J3880">
        <v>-322.50709999999998</v>
      </c>
      <c r="K3880">
        <v>1.109761</v>
      </c>
      <c r="L3880">
        <v>213.94759999999999</v>
      </c>
      <c r="M3880">
        <v>0.99953190000000003</v>
      </c>
      <c r="N3880">
        <v>0</v>
      </c>
      <c r="O3880">
        <v>2.6822720000000001E-2</v>
      </c>
      <c r="P3880">
        <v>0.99747929999999996</v>
      </c>
      <c r="Q3880">
        <v>5.2074360000000002E-3</v>
      </c>
      <c r="R3880">
        <v>7.0765699999999904E-2</v>
      </c>
      <c r="S3880">
        <v>3.005096</v>
      </c>
      <c r="T3880">
        <v>-6.0873629999999998E-2</v>
      </c>
      <c r="U3880">
        <v>3.9474490000000001E-2</v>
      </c>
      <c r="V3880">
        <v>-4.3981819999999998E-2</v>
      </c>
      <c r="W3880">
        <v>1.9909799999999998E-2</v>
      </c>
      <c r="X3880">
        <v>0.99883390000000005</v>
      </c>
      <c r="Y3880">
        <v>1.3685020000000001E-2</v>
      </c>
      <c r="Z3880">
        <v>-6.818366E-4</v>
      </c>
      <c r="AA3880">
        <v>0.99990610000000002</v>
      </c>
      <c r="AB3880">
        <v>35</v>
      </c>
      <c r="AC3880">
        <v>54.429499999999898</v>
      </c>
      <c r="AD3880">
        <v>-1.109758240119</v>
      </c>
      <c r="AE3880">
        <v>0.71010000000001094</v>
      </c>
      <c r="AF3880">
        <v>0.74994915806941198</v>
      </c>
      <c r="AG3880">
        <v>-1.109758240119</v>
      </c>
      <c r="AH3880">
        <v>54.406347944117798</v>
      </c>
      <c r="AI3880">
        <v>91.168422663672501</v>
      </c>
      <c r="AJ3880">
        <v>89.210272291611801</v>
      </c>
      <c r="AK3880">
        <v>54.422832374910598</v>
      </c>
      <c r="AL3880">
        <v>88.859177087609794</v>
      </c>
      <c r="AM3880">
        <v>92.521285949987103</v>
      </c>
      <c r="AN3880">
        <v>0.99999998020788095</v>
      </c>
    </row>
    <row r="3881" spans="1:40" x14ac:dyDescent="0.25">
      <c r="A3881" t="str">
        <f>"20190312160718950"</f>
        <v>20190312160718950</v>
      </c>
      <c r="B3881" t="str">
        <f>"1552378038938658"</f>
        <v>1552378038938658</v>
      </c>
      <c r="C3881" t="s">
        <v>40</v>
      </c>
      <c r="D3881">
        <v>5.7785070000000003</v>
      </c>
      <c r="E3881">
        <v>0.52087810000000001</v>
      </c>
      <c r="F3881" t="s">
        <v>66</v>
      </c>
      <c r="G3881">
        <v>-266.47329999999999</v>
      </c>
      <c r="H3881" s="1">
        <v>1.9033620000000001E-6</v>
      </c>
      <c r="I3881">
        <v>214.72239999999999</v>
      </c>
      <c r="J3881">
        <v>-322.16460000000001</v>
      </c>
      <c r="K3881">
        <v>1.109761</v>
      </c>
      <c r="L3881">
        <v>213.95679999999999</v>
      </c>
      <c r="M3881">
        <v>0.99953199999999998</v>
      </c>
      <c r="N3881">
        <v>0</v>
      </c>
      <c r="O3881">
        <v>2.682257E-2</v>
      </c>
      <c r="P3881">
        <v>0.99749399999999999</v>
      </c>
      <c r="Q3881">
        <v>5.1777769999999997E-3</v>
      </c>
      <c r="R3881">
        <v>7.0561449999999998E-2</v>
      </c>
      <c r="S3881">
        <v>3.0049739999999998</v>
      </c>
      <c r="T3881">
        <v>-5.9514049999999999E-2</v>
      </c>
      <c r="U3881">
        <v>4.1549679999999999E-2</v>
      </c>
      <c r="V3881">
        <v>-4.377752E-2</v>
      </c>
      <c r="W3881">
        <v>1.987643E-2</v>
      </c>
      <c r="X3881">
        <v>0.99884360000000005</v>
      </c>
      <c r="Y3881">
        <v>1.2994439999999999E-2</v>
      </c>
      <c r="Z3881">
        <v>-6.5979329999999998E-4</v>
      </c>
      <c r="AA3881">
        <v>0.99991540000000001</v>
      </c>
      <c r="AB3881">
        <v>35</v>
      </c>
      <c r="AC3881">
        <v>55.691299999999998</v>
      </c>
      <c r="AD3881">
        <v>-1.109759096638</v>
      </c>
      <c r="AE3881">
        <v>0.76560000000000605</v>
      </c>
      <c r="AF3881">
        <v>0.72833175478613099</v>
      </c>
      <c r="AG3881">
        <v>-1.109759096638</v>
      </c>
      <c r="AH3881">
        <v>55.669694695159002</v>
      </c>
      <c r="AI3881">
        <v>91.141925661048703</v>
      </c>
      <c r="AJ3881">
        <v>89.250436792383297</v>
      </c>
      <c r="AK3881">
        <v>55.685518223770003</v>
      </c>
      <c r="AL3881">
        <v>88.861089494907702</v>
      </c>
      <c r="AM3881">
        <v>92.5095649900653</v>
      </c>
      <c r="AN3881">
        <v>1.00000004049392</v>
      </c>
    </row>
    <row r="3882" spans="1:40" x14ac:dyDescent="0.25">
      <c r="A3882" t="str">
        <f>"20190312160718972"</f>
        <v>20190312160718972</v>
      </c>
      <c r="B3882" t="str">
        <f>"1552378038959156"</f>
        <v>1552378038959156</v>
      </c>
      <c r="C3882" t="s">
        <v>40</v>
      </c>
      <c r="D3882">
        <v>6.0447220000000002</v>
      </c>
      <c r="E3882">
        <v>0.52061979999999997</v>
      </c>
      <c r="F3882" t="s">
        <v>66</v>
      </c>
      <c r="G3882">
        <v>-264.80619999999999</v>
      </c>
      <c r="H3882" s="1">
        <v>1.0139810000000001E-6</v>
      </c>
      <c r="I3882">
        <v>214.77350000000001</v>
      </c>
      <c r="J3882">
        <v>-321.81400000000002</v>
      </c>
      <c r="K3882">
        <v>1.1097619999999999</v>
      </c>
      <c r="L3882">
        <v>213.96619999999999</v>
      </c>
      <c r="M3882">
        <v>0.99953199999999998</v>
      </c>
      <c r="N3882">
        <v>0</v>
      </c>
      <c r="O3882">
        <v>2.6822599999999999E-2</v>
      </c>
      <c r="P3882">
        <v>0.99750910000000004</v>
      </c>
      <c r="Q3882">
        <v>4.8142219999999999E-3</v>
      </c>
      <c r="R3882">
        <v>7.0375370000000007E-2</v>
      </c>
      <c r="S3882">
        <v>3.0048520000000001</v>
      </c>
      <c r="T3882">
        <v>-5.8137420000000002E-2</v>
      </c>
      <c r="U3882">
        <v>4.278564E-2</v>
      </c>
      <c r="V3882">
        <v>-4.359114E-2</v>
      </c>
      <c r="W3882">
        <v>1.9509329999999998E-2</v>
      </c>
      <c r="X3882">
        <v>0.99885889999999999</v>
      </c>
      <c r="Y3882">
        <v>1.258313E-2</v>
      </c>
      <c r="Z3882">
        <v>-6.4057999999999997E-4</v>
      </c>
      <c r="AA3882">
        <v>0.99992060000000005</v>
      </c>
      <c r="AB3882">
        <v>35</v>
      </c>
      <c r="AC3882">
        <v>57.007800000000003</v>
      </c>
      <c r="AD3882">
        <v>-1.1097609860189901</v>
      </c>
      <c r="AE3882">
        <v>0.807300000000026</v>
      </c>
      <c r="AF3882">
        <v>0.72197981441106596</v>
      </c>
      <c r="AG3882">
        <v>-1.1097609860189901</v>
      </c>
      <c r="AH3882">
        <v>56.987349469287899</v>
      </c>
      <c r="AI3882">
        <v>91.1155367838236</v>
      </c>
      <c r="AJ3882">
        <v>89.274151479881198</v>
      </c>
      <c r="AK3882">
        <v>57.002726459646198</v>
      </c>
      <c r="AL3882">
        <v>88.882126755285398</v>
      </c>
      <c r="AM3882">
        <v>92.498856021596097</v>
      </c>
      <c r="AN3882">
        <v>0.99999995177637802</v>
      </c>
    </row>
    <row r="3883" spans="1:40" x14ac:dyDescent="0.25">
      <c r="A3883" t="str">
        <f>"20190312160718996"</f>
        <v>20190312160718996</v>
      </c>
      <c r="B3883" t="str">
        <f>"1552378038989411"</f>
        <v>1552378038989411</v>
      </c>
      <c r="C3883" t="s">
        <v>40</v>
      </c>
      <c r="D3883">
        <v>5.8141280000000002</v>
      </c>
      <c r="E3883">
        <v>0.52113640000000006</v>
      </c>
      <c r="F3883" t="s">
        <v>66</v>
      </c>
      <c r="G3883">
        <v>-263.49619999999999</v>
      </c>
      <c r="H3883" s="1">
        <v>3.1456679999999998E-7</v>
      </c>
      <c r="I3883">
        <v>214.8254</v>
      </c>
      <c r="J3883">
        <v>-321.44240000000002</v>
      </c>
      <c r="K3883">
        <v>1.1097619999999999</v>
      </c>
      <c r="L3883">
        <v>213.97620000000001</v>
      </c>
      <c r="M3883">
        <v>0.99953210000000003</v>
      </c>
      <c r="N3883">
        <v>0</v>
      </c>
      <c r="O3883">
        <v>2.682263E-2</v>
      </c>
      <c r="P3883">
        <v>0.99755470000000002</v>
      </c>
      <c r="Q3883">
        <v>4.8921420000000004E-3</v>
      </c>
      <c r="R3883">
        <v>6.9719749999999997E-2</v>
      </c>
      <c r="S3883">
        <v>3.0046080000000002</v>
      </c>
      <c r="T3883">
        <v>-5.7176350000000001E-2</v>
      </c>
      <c r="U3883">
        <v>4.426575E-2</v>
      </c>
      <c r="V3883">
        <v>-4.293425E-2</v>
      </c>
      <c r="W3883">
        <v>1.958323E-2</v>
      </c>
      <c r="X3883">
        <v>0.99888589999999999</v>
      </c>
      <c r="Y3883">
        <v>1.2089859999999999E-2</v>
      </c>
      <c r="Z3883">
        <v>-6.2534850000000003E-4</v>
      </c>
      <c r="AA3883">
        <v>0.99992669999999995</v>
      </c>
      <c r="AB3883">
        <v>35</v>
      </c>
      <c r="AC3883">
        <v>57.946199999999997</v>
      </c>
      <c r="AD3883">
        <v>-1.1097616854332</v>
      </c>
      <c r="AE3883">
        <v>0.84919999999999596</v>
      </c>
      <c r="AF3883">
        <v>0.70528443997229395</v>
      </c>
      <c r="AG3883">
        <v>-1.1097616854332</v>
      </c>
      <c r="AH3883">
        <v>57.9268851324465</v>
      </c>
      <c r="AI3883">
        <v>91.097455397773899</v>
      </c>
      <c r="AJ3883">
        <v>89.302434007028396</v>
      </c>
      <c r="AK3883">
        <v>57.941807171397201</v>
      </c>
      <c r="AL3883">
        <v>88.877891782502701</v>
      </c>
      <c r="AM3883">
        <v>92.461180108786195</v>
      </c>
      <c r="AN3883">
        <v>0.99999994696955097</v>
      </c>
    </row>
    <row r="3884" spans="1:40" x14ac:dyDescent="0.25">
      <c r="A3884" t="str">
        <f>"20190312160719018"</f>
        <v>20190312160719018</v>
      </c>
      <c r="B3884" t="str">
        <f>"1552378039008930"</f>
        <v>1552378039008930</v>
      </c>
      <c r="C3884" t="s">
        <v>40</v>
      </c>
      <c r="D3884">
        <v>5.9547879999999997</v>
      </c>
      <c r="E3884">
        <v>0.52129420000000004</v>
      </c>
      <c r="F3884" t="s">
        <v>66</v>
      </c>
      <c r="G3884">
        <v>-270.1848</v>
      </c>
      <c r="H3884" s="1">
        <v>-1.4388150000000001E-6</v>
      </c>
      <c r="I3884">
        <v>214.624</v>
      </c>
      <c r="J3884">
        <v>-321.0872</v>
      </c>
      <c r="K3884">
        <v>1.109766</v>
      </c>
      <c r="L3884">
        <v>213.98570000000001</v>
      </c>
      <c r="M3884">
        <v>0.99953210000000003</v>
      </c>
      <c r="N3884">
        <v>0</v>
      </c>
      <c r="O3884">
        <v>2.6822660000000002E-2</v>
      </c>
      <c r="P3884">
        <v>0.99755919999999998</v>
      </c>
      <c r="Q3884">
        <v>5.136369E-3</v>
      </c>
      <c r="R3884">
        <v>6.9638409999999998E-2</v>
      </c>
      <c r="S3884">
        <v>3.0050050000000001</v>
      </c>
      <c r="T3884">
        <v>-6.5060380000000001E-2</v>
      </c>
      <c r="U3884">
        <v>3.797913E-2</v>
      </c>
      <c r="V3884">
        <v>-4.2852609999999999E-2</v>
      </c>
      <c r="W3884">
        <v>1.982399E-2</v>
      </c>
      <c r="X3884">
        <v>0.99888469999999996</v>
      </c>
      <c r="Y3884">
        <v>1.4180750000000001E-2</v>
      </c>
      <c r="Z3884">
        <v>-7.3411069999999997E-4</v>
      </c>
      <c r="AA3884">
        <v>0.99989910000000004</v>
      </c>
      <c r="AB3884">
        <v>35</v>
      </c>
      <c r="AC3884">
        <v>50.9024</v>
      </c>
      <c r="AD3884">
        <v>-1.1097674388150001</v>
      </c>
      <c r="AE3884">
        <v>0.63830000000001497</v>
      </c>
      <c r="AF3884">
        <v>0.72706950242992996</v>
      </c>
      <c r="AG3884">
        <v>-1.1097674388150001</v>
      </c>
      <c r="AH3884">
        <v>50.877025363700902</v>
      </c>
      <c r="AI3884">
        <v>91.249452374344202</v>
      </c>
      <c r="AJ3884">
        <v>89.181257589543407</v>
      </c>
      <c r="AK3884">
        <v>50.894321133976099</v>
      </c>
      <c r="AL3884">
        <v>88.864094620599204</v>
      </c>
      <c r="AM3884">
        <v>92.456508830726506</v>
      </c>
      <c r="AN3884">
        <v>0.99999999032871101</v>
      </c>
    </row>
    <row r="3885" spans="1:40" x14ac:dyDescent="0.25">
      <c r="A3885" t="str">
        <f>"20190312160719040"</f>
        <v>20190312160719040</v>
      </c>
      <c r="B3885" t="str">
        <f>"1552378039029426"</f>
        <v>1552378039029426</v>
      </c>
      <c r="C3885" t="s">
        <v>40</v>
      </c>
      <c r="D3885">
        <v>5.8291269999999997</v>
      </c>
      <c r="E3885">
        <v>0.52139069999999998</v>
      </c>
      <c r="F3885" t="s">
        <v>66</v>
      </c>
      <c r="G3885">
        <v>-270.0736</v>
      </c>
      <c r="H3885" s="1">
        <v>-1.497075E-6</v>
      </c>
      <c r="I3885">
        <v>214.60400000000001</v>
      </c>
      <c r="J3885">
        <v>-320.75</v>
      </c>
      <c r="K3885">
        <v>1.1097699999999999</v>
      </c>
      <c r="L3885">
        <v>213.9948</v>
      </c>
      <c r="M3885">
        <v>0.99953219999999998</v>
      </c>
      <c r="N3885">
        <v>0</v>
      </c>
      <c r="O3885">
        <v>2.682269E-2</v>
      </c>
      <c r="P3885">
        <v>0.99756420000000001</v>
      </c>
      <c r="Q3885">
        <v>5.6072159999999999E-3</v>
      </c>
      <c r="R3885">
        <v>6.9531460000000003E-2</v>
      </c>
      <c r="S3885">
        <v>3.0050659999999998</v>
      </c>
      <c r="T3885">
        <v>-6.5373180000000003E-2</v>
      </c>
      <c r="U3885">
        <v>3.642273E-2</v>
      </c>
      <c r="V3885">
        <v>-4.2745520000000002E-2</v>
      </c>
      <c r="W3885">
        <v>2.0290720000000002E-2</v>
      </c>
      <c r="X3885">
        <v>0.99887990000000004</v>
      </c>
      <c r="Y3885">
        <v>1.4698599999999999E-2</v>
      </c>
      <c r="Z3885">
        <v>-7.432602E-4</v>
      </c>
      <c r="AA3885">
        <v>0.99989170000000005</v>
      </c>
      <c r="AB3885">
        <v>35</v>
      </c>
      <c r="AC3885">
        <v>50.676400000000001</v>
      </c>
      <c r="AD3885">
        <v>-1.1097714970749999</v>
      </c>
      <c r="AE3885">
        <v>0.60920000000001495</v>
      </c>
      <c r="AF3885">
        <v>0.75008370653204404</v>
      </c>
      <c r="AG3885">
        <v>-1.1097714970749999</v>
      </c>
      <c r="AH3885">
        <v>50.650218173402699</v>
      </c>
      <c r="AI3885">
        <v>91.255040653143396</v>
      </c>
      <c r="AJ3885">
        <v>89.151563588359195</v>
      </c>
      <c r="AK3885">
        <v>50.667926929723698</v>
      </c>
      <c r="AL3885">
        <v>88.837347560927299</v>
      </c>
      <c r="AM3885">
        <v>92.450389191794898</v>
      </c>
      <c r="AN3885">
        <v>0.99999997371109905</v>
      </c>
    </row>
    <row r="3886" spans="1:40" x14ac:dyDescent="0.25">
      <c r="A3886" t="str">
        <f>"20190312160719062"</f>
        <v>20190312160719062</v>
      </c>
      <c r="B3886" t="str">
        <f>"1552378039048946"</f>
        <v>1552378039048946</v>
      </c>
      <c r="C3886" t="s">
        <v>40</v>
      </c>
      <c r="D3886">
        <v>5.9015919999999999</v>
      </c>
      <c r="E3886">
        <v>0.52172569999999996</v>
      </c>
      <c r="F3886" t="s">
        <v>66</v>
      </c>
      <c r="G3886">
        <v>-268.59120000000001</v>
      </c>
      <c r="H3886" s="1">
        <v>3.0354889999999999E-6</v>
      </c>
      <c r="I3886">
        <v>214.60599999999999</v>
      </c>
      <c r="J3886">
        <v>-320.39569999999998</v>
      </c>
      <c r="K3886">
        <v>1.109774</v>
      </c>
      <c r="L3886">
        <v>214.0043</v>
      </c>
      <c r="M3886">
        <v>0.99953230000000004</v>
      </c>
      <c r="N3886">
        <v>0</v>
      </c>
      <c r="O3886">
        <v>2.6822720000000001E-2</v>
      </c>
      <c r="P3886">
        <v>0.99755190000000005</v>
      </c>
      <c r="Q3886">
        <v>5.8666739999999997E-3</v>
      </c>
      <c r="R3886">
        <v>6.9683309999999998E-2</v>
      </c>
      <c r="S3886">
        <v>3.0052189999999999</v>
      </c>
      <c r="T3886">
        <v>-6.3941120000000004E-2</v>
      </c>
      <c r="U3886">
        <v>3.5217289999999998E-2</v>
      </c>
      <c r="V3886">
        <v>-4.2897230000000001E-2</v>
      </c>
      <c r="W3886">
        <v>2.0546729999999999E-2</v>
      </c>
      <c r="X3886">
        <v>0.99886819999999998</v>
      </c>
      <c r="Y3886">
        <v>1.51006E-2</v>
      </c>
      <c r="Z3886">
        <v>-7.312242E-4</v>
      </c>
      <c r="AA3886">
        <v>0.99988569999999999</v>
      </c>
      <c r="AB3886">
        <v>35</v>
      </c>
      <c r="AC3886">
        <v>51.804499999999898</v>
      </c>
      <c r="AD3886">
        <v>-1.1097709645110001</v>
      </c>
      <c r="AE3886">
        <v>0.60169999999999302</v>
      </c>
      <c r="AF3886">
        <v>0.78784253120243097</v>
      </c>
      <c r="AG3886">
        <v>-1.1097709645110001</v>
      </c>
      <c r="AH3886">
        <v>51.778239429502698</v>
      </c>
      <c r="AI3886">
        <v>91.227699191629</v>
      </c>
      <c r="AJ3886">
        <v>89.128271463734805</v>
      </c>
      <c r="AK3886">
        <v>51.796123077567799</v>
      </c>
      <c r="AL3886">
        <v>88.822676252817402</v>
      </c>
      <c r="AM3886">
        <v>92.459104086889099</v>
      </c>
      <c r="AN3886">
        <v>1.0000000107133</v>
      </c>
    </row>
    <row r="3887" spans="1:40" x14ac:dyDescent="0.25">
      <c r="A3887" t="str">
        <f>"20190312160719086"</f>
        <v>20190312160719086</v>
      </c>
      <c r="B3887" t="str">
        <f>"1552378039079203"</f>
        <v>1552378039079203</v>
      </c>
      <c r="C3887" t="s">
        <v>40</v>
      </c>
      <c r="D3887">
        <v>5.7708879999999896</v>
      </c>
      <c r="E3887">
        <v>0.52173119999999995</v>
      </c>
      <c r="F3887" t="s">
        <v>66</v>
      </c>
      <c r="G3887">
        <v>-270.17250000000001</v>
      </c>
      <c r="H3887" s="1">
        <v>-1.442457E-6</v>
      </c>
      <c r="I3887">
        <v>214.55860000000001</v>
      </c>
      <c r="J3887">
        <v>-320.03829999999999</v>
      </c>
      <c r="K3887">
        <v>1.109774</v>
      </c>
      <c r="L3887">
        <v>214.01390000000001</v>
      </c>
      <c r="M3887">
        <v>0.99953239999999999</v>
      </c>
      <c r="N3887">
        <v>0</v>
      </c>
      <c r="O3887">
        <v>2.6822749999999999E-2</v>
      </c>
      <c r="P3887">
        <v>0.99753590000000003</v>
      </c>
      <c r="Q3887">
        <v>5.9143429999999999E-3</v>
      </c>
      <c r="R3887">
        <v>6.9909609999999997E-2</v>
      </c>
      <c r="S3887">
        <v>3.0054630000000002</v>
      </c>
      <c r="T3887">
        <v>-6.6411380000000006E-2</v>
      </c>
      <c r="U3887">
        <v>3.3172609999999998E-2</v>
      </c>
      <c r="V3887">
        <v>-4.3124389999999999E-2</v>
      </c>
      <c r="W3887">
        <v>2.0589630000000001E-2</v>
      </c>
      <c r="X3887">
        <v>0.99885749999999995</v>
      </c>
      <c r="Y3887">
        <v>1.5780820000000001E-2</v>
      </c>
      <c r="Z3887">
        <v>-7.6692459999999998E-4</v>
      </c>
      <c r="AA3887">
        <v>0.99987519999999996</v>
      </c>
      <c r="AB3887">
        <v>35</v>
      </c>
      <c r="AC3887">
        <v>49.865799999999901</v>
      </c>
      <c r="AD3887">
        <v>-1.1097754424570001</v>
      </c>
      <c r="AE3887">
        <v>0.54470000000000596</v>
      </c>
      <c r="AF3887">
        <v>0.79278545026089098</v>
      </c>
      <c r="AG3887">
        <v>-1.1097754424570001</v>
      </c>
      <c r="AH3887">
        <v>49.837785108186999</v>
      </c>
      <c r="AI3887">
        <v>91.275476086428299</v>
      </c>
      <c r="AJ3887">
        <v>89.088654732543006</v>
      </c>
      <c r="AK3887">
        <v>49.856443262557903</v>
      </c>
      <c r="AL3887">
        <v>88.820217702369106</v>
      </c>
      <c r="AM3887">
        <v>92.472136477869896</v>
      </c>
      <c r="AN3887">
        <v>0.99999997559132903</v>
      </c>
    </row>
    <row r="3888" spans="1:40" x14ac:dyDescent="0.25">
      <c r="A3888" t="str">
        <f>"20190312160719128"</f>
        <v>20190312160719128</v>
      </c>
      <c r="B3888" t="str">
        <f>"1552378039119218"</f>
        <v>1552378039119218</v>
      </c>
      <c r="C3888" t="s">
        <v>40</v>
      </c>
      <c r="D3888">
        <v>5.8398570000000003</v>
      </c>
      <c r="E3888">
        <v>0.52209019999999995</v>
      </c>
      <c r="F3888" t="s">
        <v>66</v>
      </c>
      <c r="G3888">
        <v>-271.12079999999997</v>
      </c>
      <c r="H3888" s="1">
        <v>-9.3803219999999998E-7</v>
      </c>
      <c r="I3888">
        <v>214.56370000000001</v>
      </c>
      <c r="J3888">
        <v>-319.35879999999997</v>
      </c>
      <c r="K3888">
        <v>1.1097680000000001</v>
      </c>
      <c r="L3888">
        <v>214.03210000000001</v>
      </c>
      <c r="M3888">
        <v>0.99953239999999999</v>
      </c>
      <c r="N3888">
        <v>0</v>
      </c>
      <c r="O3888">
        <v>2.6822990000000001E-2</v>
      </c>
      <c r="P3888">
        <v>0.99755020000000005</v>
      </c>
      <c r="Q3888">
        <v>6.571828E-3</v>
      </c>
      <c r="R3888">
        <v>6.9647399999999998E-2</v>
      </c>
      <c r="S3888">
        <v>3.0054630000000002</v>
      </c>
      <c r="T3888">
        <v>-6.8184019999999998E-2</v>
      </c>
      <c r="U3888">
        <v>3.3782960000000001E-2</v>
      </c>
      <c r="V3888">
        <v>-4.2861370000000003E-2</v>
      </c>
      <c r="W3888">
        <v>2.1239419999999998E-2</v>
      </c>
      <c r="X3888">
        <v>0.99885520000000005</v>
      </c>
      <c r="Y3888">
        <v>1.5577519999999999E-2</v>
      </c>
      <c r="Z3888">
        <v>-7.8508850000000004E-4</v>
      </c>
      <c r="AA3888">
        <v>0.9998783</v>
      </c>
      <c r="AB3888">
        <v>35</v>
      </c>
      <c r="AC3888">
        <v>48.238</v>
      </c>
      <c r="AD3888">
        <v>-1.10976893803219</v>
      </c>
      <c r="AE3888">
        <v>0.53159999999999696</v>
      </c>
      <c r="AF3888">
        <v>0.76221477054746001</v>
      </c>
      <c r="AG3888">
        <v>-1.10976893803219</v>
      </c>
      <c r="AH3888">
        <v>48.209387581296397</v>
      </c>
      <c r="AI3888">
        <v>91.318537947546901</v>
      </c>
      <c r="AJ3888">
        <v>89.094200252885798</v>
      </c>
      <c r="AK3888">
        <v>48.2281827297682</v>
      </c>
      <c r="AL3888">
        <v>88.782979312355593</v>
      </c>
      <c r="AM3888">
        <v>92.457082854844103</v>
      </c>
      <c r="AN3888">
        <v>0.99999996028362503</v>
      </c>
    </row>
    <row r="3889" spans="1:40" x14ac:dyDescent="0.25">
      <c r="A3889" t="str">
        <f>"20190312160719151"</f>
        <v>20190312160719151</v>
      </c>
      <c r="B3889" t="str">
        <f>"1552378039138738"</f>
        <v>1552378039138738</v>
      </c>
      <c r="C3889" t="s">
        <v>40</v>
      </c>
      <c r="D3889">
        <v>5.9106639999999997</v>
      </c>
      <c r="E3889">
        <v>0.5220532</v>
      </c>
      <c r="F3889" t="s">
        <v>66</v>
      </c>
      <c r="G3889">
        <v>-270.43990000000002</v>
      </c>
      <c r="H3889" s="1">
        <v>-1.2985539999999999E-6</v>
      </c>
      <c r="I3889">
        <v>214.5213</v>
      </c>
      <c r="J3889">
        <v>-319.01299999999998</v>
      </c>
      <c r="K3889">
        <v>1.1097699999999999</v>
      </c>
      <c r="L3889">
        <v>214.04140000000001</v>
      </c>
      <c r="M3889">
        <v>0.99953259999999999</v>
      </c>
      <c r="N3889">
        <v>0</v>
      </c>
      <c r="O3889">
        <v>2.6822840000000001E-2</v>
      </c>
      <c r="P3889">
        <v>0.99756619999999996</v>
      </c>
      <c r="Q3889">
        <v>6.5974839999999998E-3</v>
      </c>
      <c r="R3889">
        <v>6.9414649999999994E-2</v>
      </c>
      <c r="S3889">
        <v>3.0057070000000001</v>
      </c>
      <c r="T3889">
        <v>-6.8187120000000004E-2</v>
      </c>
      <c r="U3889">
        <v>3.0059809999999999E-2</v>
      </c>
      <c r="V3889">
        <v>-4.2628430000000002E-2</v>
      </c>
      <c r="W3889">
        <v>2.126134E-2</v>
      </c>
      <c r="X3889">
        <v>0.9988648</v>
      </c>
      <c r="Y3889">
        <v>1.6816350000000001E-2</v>
      </c>
      <c r="Z3889">
        <v>-7.9911429999999996E-4</v>
      </c>
      <c r="AA3889">
        <v>0.99985829999999998</v>
      </c>
      <c r="AB3889">
        <v>35</v>
      </c>
      <c r="AC3889">
        <v>48.573099999999897</v>
      </c>
      <c r="AD3889">
        <v>-1.109771298554</v>
      </c>
      <c r="AE3889">
        <v>0.479899999999986</v>
      </c>
      <c r="AF3889">
        <v>0.82285185892369805</v>
      </c>
      <c r="AG3889">
        <v>-1.109771298554</v>
      </c>
      <c r="AH3889">
        <v>48.543156108082002</v>
      </c>
      <c r="AI3889">
        <v>91.309453571482905</v>
      </c>
      <c r="AJ3889">
        <v>89.028876000405802</v>
      </c>
      <c r="AK3889">
        <v>48.5628117230711</v>
      </c>
      <c r="AL3889">
        <v>88.781723224396004</v>
      </c>
      <c r="AM3889">
        <v>92.443722046235294</v>
      </c>
      <c r="AN3889">
        <v>1.0000000581509401</v>
      </c>
    </row>
    <row r="3890" spans="1:40" x14ac:dyDescent="0.25">
      <c r="A3890" t="str">
        <f>"20190312160719173"</f>
        <v>20190312160719173</v>
      </c>
      <c r="B3890" t="str">
        <f>"1552378039168994"</f>
        <v>1552378039168994</v>
      </c>
      <c r="C3890" t="s">
        <v>40</v>
      </c>
      <c r="D3890">
        <v>5.9618229999999999</v>
      </c>
      <c r="E3890">
        <v>0.52116819999999997</v>
      </c>
      <c r="F3890" t="s">
        <v>66</v>
      </c>
      <c r="G3890">
        <v>-272.0908</v>
      </c>
      <c r="H3890" s="1">
        <v>-4.1916520000000002E-7</v>
      </c>
      <c r="I3890">
        <v>214.50129999999999</v>
      </c>
      <c r="J3890">
        <v>-318.66210000000001</v>
      </c>
      <c r="K3890">
        <v>1.109772</v>
      </c>
      <c r="L3890">
        <v>214.05080000000001</v>
      </c>
      <c r="M3890">
        <v>0.99953259999999999</v>
      </c>
      <c r="N3890">
        <v>0</v>
      </c>
      <c r="O3890">
        <v>2.6823050000000001E-2</v>
      </c>
      <c r="P3890">
        <v>0.99751780000000001</v>
      </c>
      <c r="Q3890">
        <v>7.0946510000000004E-3</v>
      </c>
      <c r="R3890">
        <v>7.0057350000000004E-2</v>
      </c>
      <c r="S3890">
        <v>3.0057369999999999</v>
      </c>
      <c r="T3890">
        <v>-7.1089509999999995E-2</v>
      </c>
      <c r="U3890">
        <v>2.946472E-2</v>
      </c>
      <c r="V3890">
        <v>-4.3271919999999998E-2</v>
      </c>
      <c r="W3890">
        <v>2.1753809999999998E-2</v>
      </c>
      <c r="X3890">
        <v>0.9988264</v>
      </c>
      <c r="Y3890">
        <v>1.7013569999999999E-2</v>
      </c>
      <c r="Z3890">
        <v>-8.3544909999999997E-4</v>
      </c>
      <c r="AA3890">
        <v>0.99985489999999999</v>
      </c>
      <c r="AB3890">
        <v>35</v>
      </c>
      <c r="AC3890">
        <v>46.571300000000001</v>
      </c>
      <c r="AD3890">
        <v>-1.1097724191652001</v>
      </c>
      <c r="AE3890">
        <v>0.45049999999997598</v>
      </c>
      <c r="AF3890">
        <v>0.79852741062421695</v>
      </c>
      <c r="AG3890">
        <v>-1.1097724191652001</v>
      </c>
      <c r="AH3890">
        <v>46.540199769207099</v>
      </c>
      <c r="AI3890">
        <v>91.3657843445976</v>
      </c>
      <c r="AJ3890">
        <v>89.017026961541703</v>
      </c>
      <c r="AK3890">
        <v>46.5602774412434</v>
      </c>
      <c r="AL3890">
        <v>88.753500087958002</v>
      </c>
      <c r="AM3890">
        <v>92.480660334596195</v>
      </c>
      <c r="AN3890">
        <v>0.99999993232347895</v>
      </c>
    </row>
    <row r="3891" spans="1:40" x14ac:dyDescent="0.25">
      <c r="A3891" t="str">
        <f>"20190312160719197"</f>
        <v>20190312160719197</v>
      </c>
      <c r="B3891" t="str">
        <f>"1552378039189490"</f>
        <v>1552378039189490</v>
      </c>
      <c r="C3891" t="s">
        <v>40</v>
      </c>
      <c r="D3891">
        <v>5.8923030000000001</v>
      </c>
      <c r="E3891">
        <v>0.52083840000000003</v>
      </c>
      <c r="F3891" t="s">
        <v>66</v>
      </c>
      <c r="G3891">
        <v>-269.90899999999999</v>
      </c>
      <c r="H3891" s="1">
        <v>3.7338120000000001E-6</v>
      </c>
      <c r="I3891">
        <v>214.67240000000001</v>
      </c>
      <c r="J3891">
        <v>-318.29939999999999</v>
      </c>
      <c r="K3891">
        <v>1.1097760000000001</v>
      </c>
      <c r="L3891">
        <v>214.06049999999999</v>
      </c>
      <c r="M3891">
        <v>0.99953259999999999</v>
      </c>
      <c r="N3891">
        <v>0</v>
      </c>
      <c r="O3891">
        <v>2.6823079999999999E-2</v>
      </c>
      <c r="P3891">
        <v>0.99749929999999998</v>
      </c>
      <c r="Q3891">
        <v>6.4487559999999999E-3</v>
      </c>
      <c r="R3891">
        <v>7.0382669999999994E-2</v>
      </c>
      <c r="S3891">
        <v>3.0052490000000001</v>
      </c>
      <c r="T3891">
        <v>-6.8408490000000002E-2</v>
      </c>
      <c r="U3891">
        <v>3.8314819999999999E-2</v>
      </c>
      <c r="V3891">
        <v>-4.359735E-2</v>
      </c>
      <c r="W3891">
        <v>2.1103549999999999E-2</v>
      </c>
      <c r="X3891">
        <v>0.99882629999999994</v>
      </c>
      <c r="Y3891">
        <v>1.406953E-2</v>
      </c>
      <c r="Z3891">
        <v>-7.7055989999999996E-4</v>
      </c>
      <c r="AA3891">
        <v>0.99990069999999998</v>
      </c>
      <c r="AB3891">
        <v>35</v>
      </c>
      <c r="AC3891">
        <v>48.3904</v>
      </c>
      <c r="AD3891">
        <v>-1.1097722661880001</v>
      </c>
      <c r="AE3891">
        <v>0.61190000000001898</v>
      </c>
      <c r="AF3891">
        <v>0.68607861497590406</v>
      </c>
      <c r="AG3891">
        <v>-1.1097722661880001</v>
      </c>
      <c r="AH3891">
        <v>48.363966778578003</v>
      </c>
      <c r="AI3891">
        <v>91.314361114191101</v>
      </c>
      <c r="AJ3891">
        <v>89.187271533404299</v>
      </c>
      <c r="AK3891">
        <v>48.381562406645401</v>
      </c>
      <c r="AL3891">
        <v>88.790765923650994</v>
      </c>
      <c r="AM3891">
        <v>92.499293024238995</v>
      </c>
      <c r="AN3891">
        <v>1.00000003316065</v>
      </c>
    </row>
    <row r="3892" spans="1:40" x14ac:dyDescent="0.25">
      <c r="A3892" t="str">
        <f>"20190312160719218"</f>
        <v>20190312160719218</v>
      </c>
      <c r="B3892" t="str">
        <f>"1552378039209010"</f>
        <v>1552378039209010</v>
      </c>
      <c r="C3892" t="s">
        <v>40</v>
      </c>
      <c r="D3892">
        <v>6.0574560000000002</v>
      </c>
      <c r="E3892">
        <v>0.52055549999999995</v>
      </c>
      <c r="F3892" t="s">
        <v>66</v>
      </c>
      <c r="G3892">
        <v>-270.00819999999999</v>
      </c>
      <c r="H3892" s="1">
        <v>-1.537848E-6</v>
      </c>
      <c r="I3892">
        <v>214.74</v>
      </c>
      <c r="J3892">
        <v>-317.96019999999999</v>
      </c>
      <c r="K3892">
        <v>1.109774</v>
      </c>
      <c r="L3892">
        <v>214.06960000000001</v>
      </c>
      <c r="M3892">
        <v>0.99953270000000005</v>
      </c>
      <c r="N3892">
        <v>0</v>
      </c>
      <c r="O3892">
        <v>2.6823110000000001E-2</v>
      </c>
      <c r="P3892">
        <v>0.99753979999999998</v>
      </c>
      <c r="Q3892">
        <v>5.706615E-3</v>
      </c>
      <c r="R3892">
        <v>6.9873099999999994E-2</v>
      </c>
      <c r="S3892">
        <v>3.0050050000000001</v>
      </c>
      <c r="T3892">
        <v>-6.9057820000000006E-2</v>
      </c>
      <c r="U3892">
        <v>4.2282100000000003E-2</v>
      </c>
      <c r="V3892">
        <v>-4.3087439999999998E-2</v>
      </c>
      <c r="W3892">
        <v>2.0357940000000001E-2</v>
      </c>
      <c r="X3892">
        <v>0.99886390000000003</v>
      </c>
      <c r="Y3892">
        <v>1.2748789999999999E-2</v>
      </c>
      <c r="Z3892">
        <v>-7.6275319999999998E-4</v>
      </c>
      <c r="AA3892">
        <v>0.99991850000000004</v>
      </c>
      <c r="AB3892">
        <v>35</v>
      </c>
      <c r="AC3892">
        <v>47.951999999999998</v>
      </c>
      <c r="AD3892">
        <v>-1.1097755378479901</v>
      </c>
      <c r="AE3892">
        <v>0.6704</v>
      </c>
      <c r="AF3892">
        <v>0.61587145511337305</v>
      </c>
      <c r="AG3892">
        <v>-1.1097755378479901</v>
      </c>
      <c r="AH3892">
        <v>47.927061418735398</v>
      </c>
      <c r="AI3892">
        <v>91.326366473384297</v>
      </c>
      <c r="AJ3892">
        <v>89.263779335166802</v>
      </c>
      <c r="AK3892">
        <v>47.943864212523202</v>
      </c>
      <c r="AL3892">
        <v>88.833495410772997</v>
      </c>
      <c r="AM3892">
        <v>92.470005110737603</v>
      </c>
      <c r="AN3892">
        <v>1.000000031965</v>
      </c>
    </row>
    <row r="3893" spans="1:40" x14ac:dyDescent="0.25">
      <c r="A3893" t="str">
        <f>"20190312160719241"</f>
        <v>20190312160719241</v>
      </c>
      <c r="B3893" t="str">
        <f>"1552378039229506"</f>
        <v>1552378039229506</v>
      </c>
      <c r="C3893" t="s">
        <v>40</v>
      </c>
      <c r="D3893">
        <v>5.7803849999999999</v>
      </c>
      <c r="E3893">
        <v>0.52030779999999999</v>
      </c>
      <c r="F3893" t="s">
        <v>66</v>
      </c>
      <c r="G3893">
        <v>-270.42380000000003</v>
      </c>
      <c r="H3893" s="1">
        <v>-1.317265E-6</v>
      </c>
      <c r="I3893">
        <v>214.75299999999999</v>
      </c>
      <c r="J3893">
        <v>-317.61540000000002</v>
      </c>
      <c r="K3893">
        <v>1.109775</v>
      </c>
      <c r="L3893">
        <v>214.0789</v>
      </c>
      <c r="M3893">
        <v>0.99953270000000005</v>
      </c>
      <c r="N3893">
        <v>0</v>
      </c>
      <c r="O3893">
        <v>2.6823320000000001E-2</v>
      </c>
      <c r="P3893">
        <v>0.99755110000000002</v>
      </c>
      <c r="Q3893">
        <v>6.1920319999999897E-3</v>
      </c>
      <c r="R3893">
        <v>6.9667030000000005E-2</v>
      </c>
      <c r="S3893">
        <v>3.004791</v>
      </c>
      <c r="T3893">
        <v>-7.0149180000000005E-2</v>
      </c>
      <c r="U3893">
        <v>4.3197630000000001E-2</v>
      </c>
      <c r="V3893">
        <v>-4.288078E-2</v>
      </c>
      <c r="W3893">
        <v>2.0839440000000001E-2</v>
      </c>
      <c r="X3893">
        <v>0.99886280000000005</v>
      </c>
      <c r="Y3893">
        <v>1.244315E-2</v>
      </c>
      <c r="Z3893">
        <v>-7.7129460000000005E-4</v>
      </c>
      <c r="AA3893">
        <v>0.99992230000000004</v>
      </c>
      <c r="AB3893">
        <v>35</v>
      </c>
      <c r="AC3893">
        <v>47.191600000000001</v>
      </c>
      <c r="AD3893">
        <v>-1.1097763172649999</v>
      </c>
      <c r="AE3893">
        <v>0.67409999999998105</v>
      </c>
      <c r="AF3893">
        <v>0.59178681480595097</v>
      </c>
      <c r="AG3893">
        <v>-1.1097763172649999</v>
      </c>
      <c r="AH3893">
        <v>47.166621080722301</v>
      </c>
      <c r="AI3893">
        <v>91.347749030288099</v>
      </c>
      <c r="AJ3893">
        <v>89.281163097142993</v>
      </c>
      <c r="AK3893">
        <v>47.183386475336597</v>
      </c>
      <c r="AL3893">
        <v>88.805901562901994</v>
      </c>
      <c r="AM3893">
        <v>92.458175512680199</v>
      </c>
      <c r="AN3893">
        <v>0.99999996838838001</v>
      </c>
    </row>
    <row r="3894" spans="1:40" x14ac:dyDescent="0.25">
      <c r="A3894" t="str">
        <f>"20190312160719264"</f>
        <v>20190312160719264</v>
      </c>
      <c r="B3894" t="str">
        <f>"1552378039258786"</f>
        <v>1552378039258786</v>
      </c>
      <c r="C3894" t="s">
        <v>40</v>
      </c>
      <c r="D3894">
        <v>6.1143769999999904</v>
      </c>
      <c r="E3894">
        <v>0.51994890000000005</v>
      </c>
      <c r="F3894" t="s">
        <v>66</v>
      </c>
      <c r="G3894">
        <v>-269.12020000000001</v>
      </c>
      <c r="H3894" s="1">
        <v>3.3087019999999998E-6</v>
      </c>
      <c r="I3894">
        <v>214.79580000000001</v>
      </c>
      <c r="J3894">
        <v>-317.24829999999997</v>
      </c>
      <c r="K3894">
        <v>1.1097709999999901</v>
      </c>
      <c r="L3894">
        <v>214.08879999999999</v>
      </c>
      <c r="M3894">
        <v>0.9995328</v>
      </c>
      <c r="N3894">
        <v>0</v>
      </c>
      <c r="O3894">
        <v>2.6822510000000001E-2</v>
      </c>
      <c r="P3894">
        <v>0.99754580000000004</v>
      </c>
      <c r="Q3894">
        <v>6.1369550000000004E-3</v>
      </c>
      <c r="R3894">
        <v>6.9749759999999994E-2</v>
      </c>
      <c r="S3894">
        <v>3.0047000000000001</v>
      </c>
      <c r="T3894">
        <v>-6.8760039999999994E-2</v>
      </c>
      <c r="U3894">
        <v>4.4418329999999999E-2</v>
      </c>
      <c r="V3894">
        <v>-4.2964179999999998E-2</v>
      </c>
      <c r="W3894">
        <v>2.0780320000000001E-2</v>
      </c>
      <c r="X3894">
        <v>0.99886050000000004</v>
      </c>
      <c r="Y3894">
        <v>1.203627E-2</v>
      </c>
      <c r="Z3894">
        <v>-7.5137160000000001E-4</v>
      </c>
      <c r="AA3894">
        <v>0.99992729999999996</v>
      </c>
      <c r="AB3894">
        <v>35</v>
      </c>
      <c r="AC3894">
        <v>48.128099999999897</v>
      </c>
      <c r="AD3894">
        <v>-1.1097676912979999</v>
      </c>
      <c r="AE3894">
        <v>0.70700000000002095</v>
      </c>
      <c r="AF3894">
        <v>0.58399904771174804</v>
      </c>
      <c r="AG3894">
        <v>-1.1097676912979999</v>
      </c>
      <c r="AH3894">
        <v>48.104174431647699</v>
      </c>
      <c r="AI3894">
        <v>91.321487083391105</v>
      </c>
      <c r="AJ3894">
        <v>89.304446291281806</v>
      </c>
      <c r="AK3894">
        <v>48.120517837683003</v>
      </c>
      <c r="AL3894">
        <v>88.809289685188205</v>
      </c>
      <c r="AM3894">
        <v>92.462956267833803</v>
      </c>
      <c r="AN3894">
        <v>1.00000002046131</v>
      </c>
    </row>
    <row r="3895" spans="1:40" x14ac:dyDescent="0.25">
      <c r="A3895" t="str">
        <f>"20190312160719287"</f>
        <v>20190312160719287</v>
      </c>
      <c r="B3895" t="str">
        <f>"1552378039279282"</f>
        <v>1552378039279282</v>
      </c>
      <c r="C3895" t="s">
        <v>40</v>
      </c>
      <c r="D3895">
        <v>6.0893090000000001</v>
      </c>
      <c r="E3895">
        <v>0.51968040000000004</v>
      </c>
      <c r="F3895" t="s">
        <v>66</v>
      </c>
      <c r="G3895">
        <v>-267.33499999999998</v>
      </c>
      <c r="H3895" s="1">
        <v>2.355227E-6</v>
      </c>
      <c r="I3895">
        <v>214.87479999999999</v>
      </c>
      <c r="J3895">
        <v>-316.89960000000002</v>
      </c>
      <c r="K3895">
        <v>1.109772</v>
      </c>
      <c r="L3895">
        <v>214.09809999999999</v>
      </c>
      <c r="M3895">
        <v>0.999533</v>
      </c>
      <c r="N3895">
        <v>0</v>
      </c>
      <c r="O3895">
        <v>2.681569E-2</v>
      </c>
      <c r="P3895">
        <v>0.99755579999999999</v>
      </c>
      <c r="Q3895">
        <v>5.9121719999999899E-3</v>
      </c>
      <c r="R3895">
        <v>6.9622980000000001E-2</v>
      </c>
      <c r="S3895">
        <v>3.004486</v>
      </c>
      <c r="T3895">
        <v>-6.6801550000000001E-2</v>
      </c>
      <c r="U3895">
        <v>4.7317499999999998E-2</v>
      </c>
      <c r="V3895">
        <v>-4.2843880000000001E-2</v>
      </c>
      <c r="W3895">
        <v>2.055245E-2</v>
      </c>
      <c r="X3895">
        <v>0.99887040000000005</v>
      </c>
      <c r="Y3895">
        <v>1.1064549999999999E-2</v>
      </c>
      <c r="Z3895">
        <v>-7.1906819999999997E-4</v>
      </c>
      <c r="AA3895">
        <v>0.99993849999999995</v>
      </c>
      <c r="AB3895">
        <v>35</v>
      </c>
      <c r="AC3895">
        <v>49.564599999999999</v>
      </c>
      <c r="AD3895">
        <v>-1.1097696447730001</v>
      </c>
      <c r="AE3895">
        <v>0.77670000000000505</v>
      </c>
      <c r="AF3895">
        <v>0.55255407411034996</v>
      </c>
      <c r="AG3895">
        <v>-1.1097696447730001</v>
      </c>
      <c r="AH3895">
        <v>49.542771352807698</v>
      </c>
      <c r="AI3895">
        <v>91.283144461669494</v>
      </c>
      <c r="AJ3895">
        <v>89.361002565382407</v>
      </c>
      <c r="AK3895">
        <v>49.558279812619197</v>
      </c>
      <c r="AL3895">
        <v>88.822348484617095</v>
      </c>
      <c r="AM3895">
        <v>92.456044117400694</v>
      </c>
      <c r="AN3895">
        <v>1.0000000386253001</v>
      </c>
    </row>
    <row r="3896" spans="1:40" x14ac:dyDescent="0.25">
      <c r="A3896" t="str">
        <f>"20190312160719308"</f>
        <v>20190312160719308</v>
      </c>
      <c r="B3896" t="str">
        <f>"1552378039298803"</f>
        <v>1552378039298803</v>
      </c>
      <c r="C3896" t="s">
        <v>40</v>
      </c>
      <c r="D3896">
        <v>6.13652</v>
      </c>
      <c r="E3896">
        <v>0.51942370000000004</v>
      </c>
      <c r="F3896" t="s">
        <v>66</v>
      </c>
      <c r="G3896">
        <v>-267.20440000000002</v>
      </c>
      <c r="H3896" s="1">
        <v>2.284051E-6</v>
      </c>
      <c r="I3896">
        <v>214.91309999999999</v>
      </c>
      <c r="J3896">
        <v>-316.5598</v>
      </c>
      <c r="K3896">
        <v>1.1097600000000001</v>
      </c>
      <c r="L3896">
        <v>214.10720000000001</v>
      </c>
      <c r="M3896">
        <v>0.99953380000000003</v>
      </c>
      <c r="N3896">
        <v>0</v>
      </c>
      <c r="O3896">
        <v>2.679057E-2</v>
      </c>
      <c r="P3896">
        <v>0.99757309999999999</v>
      </c>
      <c r="Q3896">
        <v>4.9420890000000002E-3</v>
      </c>
      <c r="R3896">
        <v>6.9451180000000001E-2</v>
      </c>
      <c r="S3896">
        <v>3.0043030000000002</v>
      </c>
      <c r="T3896">
        <v>-6.7090629999999998E-2</v>
      </c>
      <c r="U3896">
        <v>4.9270630000000003E-2</v>
      </c>
      <c r="V3896">
        <v>-4.2696579999999998E-2</v>
      </c>
      <c r="W3896">
        <v>1.9579409999999998E-2</v>
      </c>
      <c r="X3896">
        <v>0.99889620000000001</v>
      </c>
      <c r="Y3896">
        <v>1.0388639999999999E-2</v>
      </c>
      <c r="Z3896">
        <v>-7.1411139999999896E-4</v>
      </c>
      <c r="AA3896">
        <v>0.9999458</v>
      </c>
      <c r="AB3896">
        <v>35</v>
      </c>
      <c r="AC3896">
        <v>49.355399999999896</v>
      </c>
      <c r="AD3896">
        <v>-1.109757715949</v>
      </c>
      <c r="AE3896">
        <v>0.80589999999997897</v>
      </c>
      <c r="AF3896">
        <v>0.51652934890804003</v>
      </c>
      <c r="AG3896">
        <v>-1.109757715949</v>
      </c>
      <c r="AH3896">
        <v>49.334338175525097</v>
      </c>
      <c r="AI3896">
        <v>91.288559474646107</v>
      </c>
      <c r="AJ3896">
        <v>89.400136467841193</v>
      </c>
      <c r="AK3896">
        <v>49.349521659013703</v>
      </c>
      <c r="AL3896">
        <v>88.878110736819494</v>
      </c>
      <c r="AM3896">
        <v>92.447547226325199</v>
      </c>
      <c r="AN3896">
        <v>0.999999984807042</v>
      </c>
    </row>
    <row r="3897" spans="1:40" x14ac:dyDescent="0.25">
      <c r="A3897" t="str">
        <f>"20190312160719330"</f>
        <v>20190312160719330</v>
      </c>
      <c r="B3897" t="str">
        <f>"1552378039319302"</f>
        <v>1552378039319302</v>
      </c>
      <c r="C3897" t="s">
        <v>40</v>
      </c>
      <c r="D3897">
        <v>6.0871550000000001</v>
      </c>
      <c r="E3897">
        <v>0.51912079999999905</v>
      </c>
      <c r="F3897" t="s">
        <v>66</v>
      </c>
      <c r="G3897">
        <v>-268.79079999999999</v>
      </c>
      <c r="H3897" s="1">
        <v>3.1283499999999999E-6</v>
      </c>
      <c r="I3897">
        <v>214.9111</v>
      </c>
      <c r="J3897">
        <v>-316.2328</v>
      </c>
      <c r="K3897">
        <v>1.1097399999999999</v>
      </c>
      <c r="L3897">
        <v>214.11590000000001</v>
      </c>
      <c r="M3897">
        <v>0.99953519999999896</v>
      </c>
      <c r="N3897">
        <v>0</v>
      </c>
      <c r="O3897">
        <v>2.6737190000000001E-2</v>
      </c>
      <c r="P3897">
        <v>0.99756239999999996</v>
      </c>
      <c r="Q3897">
        <v>4.2440890000000004E-3</v>
      </c>
      <c r="R3897">
        <v>6.9650199999999995E-2</v>
      </c>
      <c r="S3897">
        <v>3.004089</v>
      </c>
      <c r="T3897">
        <v>-6.9790240000000003E-2</v>
      </c>
      <c r="U3897">
        <v>5.0552369999999999E-2</v>
      </c>
      <c r="V3897">
        <v>-4.2948180000000002E-2</v>
      </c>
      <c r="W3897">
        <v>1.8880029999999999E-2</v>
      </c>
      <c r="X3897">
        <v>0.99889890000000003</v>
      </c>
      <c r="Y3897">
        <v>9.9069420000000002E-3</v>
      </c>
      <c r="Z3897">
        <v>-7.3605429999999998E-4</v>
      </c>
      <c r="AA3897">
        <v>0.99995060000000002</v>
      </c>
      <c r="AB3897">
        <v>35</v>
      </c>
      <c r="AC3897">
        <v>47.442</v>
      </c>
      <c r="AD3897">
        <v>-1.10973687165</v>
      </c>
      <c r="AE3897">
        <v>0.79519999999999402</v>
      </c>
      <c r="AF3897">
        <v>0.47342721657081999</v>
      </c>
      <c r="AG3897">
        <v>-1.10973687165</v>
      </c>
      <c r="AH3897">
        <v>47.420360198217601</v>
      </c>
      <c r="AI3897">
        <v>91.340531125435206</v>
      </c>
      <c r="AJ3897">
        <v>89.427999278462593</v>
      </c>
      <c r="AK3897">
        <v>47.435706072350101</v>
      </c>
      <c r="AL3897">
        <v>88.918189695520397</v>
      </c>
      <c r="AM3897">
        <v>92.461945653701804</v>
      </c>
      <c r="AN3897">
        <v>1.00000000705966</v>
      </c>
    </row>
    <row r="3898" spans="1:40" x14ac:dyDescent="0.25">
      <c r="A3898" t="str">
        <f>"20190312160719352"</f>
        <v>20190312160719352</v>
      </c>
      <c r="B3898" t="str">
        <f>"1552378039338819"</f>
        <v>1552378039338819</v>
      </c>
      <c r="C3898" t="s">
        <v>40</v>
      </c>
      <c r="D3898">
        <v>6.0133080000000003</v>
      </c>
      <c r="E3898">
        <v>0.51885990000000004</v>
      </c>
      <c r="F3898" t="s">
        <v>66</v>
      </c>
      <c r="G3898">
        <v>-269.7559</v>
      </c>
      <c r="H3898" s="1">
        <v>3.6404849999999999E-6</v>
      </c>
      <c r="I3898">
        <v>214.9444</v>
      </c>
      <c r="J3898">
        <v>-315.88749999999999</v>
      </c>
      <c r="K3898">
        <v>1.109704</v>
      </c>
      <c r="L3898">
        <v>214.1251</v>
      </c>
      <c r="M3898">
        <v>0.99953780000000003</v>
      </c>
      <c r="N3898">
        <v>0</v>
      </c>
      <c r="O3898">
        <v>2.6640150000000001E-2</v>
      </c>
      <c r="P3898">
        <v>0.99756129999999998</v>
      </c>
      <c r="Q3898">
        <v>4.3406900000000003E-3</v>
      </c>
      <c r="R3898">
        <v>6.9662669999999996E-2</v>
      </c>
      <c r="S3898">
        <v>3.0039060000000002</v>
      </c>
      <c r="T3898">
        <v>-7.1724769999999993E-2</v>
      </c>
      <c r="U3898">
        <v>5.3543090000000002E-2</v>
      </c>
      <c r="V3898">
        <v>-4.3056700000000003E-2</v>
      </c>
      <c r="W3898">
        <v>1.8975860000000001E-2</v>
      </c>
      <c r="X3898">
        <v>0.99889240000000001</v>
      </c>
      <c r="Y3898">
        <v>8.8133499999999993E-3</v>
      </c>
      <c r="Z3898">
        <v>-7.4111999999999995E-4</v>
      </c>
      <c r="AA3898">
        <v>0.99996090000000004</v>
      </c>
      <c r="AB3898">
        <v>35</v>
      </c>
      <c r="AC3898">
        <v>46.131599999999899</v>
      </c>
      <c r="AD3898">
        <v>-1.1097003595149999</v>
      </c>
      <c r="AE3898">
        <v>0.81929999999999803</v>
      </c>
      <c r="AF3898">
        <v>0.409838327516162</v>
      </c>
      <c r="AG3898">
        <v>-1.1097003595149999</v>
      </c>
      <c r="AH3898">
        <v>46.110379191676202</v>
      </c>
      <c r="AI3898">
        <v>91.378569590083103</v>
      </c>
      <c r="AJ3898">
        <v>89.490756993764194</v>
      </c>
      <c r="AK3898">
        <v>46.125551178742299</v>
      </c>
      <c r="AL3898">
        <v>88.9126980437713</v>
      </c>
      <c r="AM3898">
        <v>92.4681747719182</v>
      </c>
      <c r="AN3898">
        <v>0.99999999472769396</v>
      </c>
    </row>
    <row r="3899" spans="1:40" x14ac:dyDescent="0.25">
      <c r="A3899" t="str">
        <f>"20190312160719375"</f>
        <v>20190312160719375</v>
      </c>
      <c r="B3899" t="str">
        <f>"1552378039369074"</f>
        <v>1552378039369074</v>
      </c>
      <c r="C3899" t="s">
        <v>40</v>
      </c>
      <c r="D3899">
        <v>6.1022930000000004</v>
      </c>
      <c r="E3899">
        <v>0.51861849999999998</v>
      </c>
      <c r="F3899" t="s">
        <v>66</v>
      </c>
      <c r="G3899">
        <v>-268.86470000000003</v>
      </c>
      <c r="H3899" s="1">
        <v>3.1639790000000002E-6</v>
      </c>
      <c r="I3899">
        <v>214.99549999999999</v>
      </c>
      <c r="J3899">
        <v>-315.5249</v>
      </c>
      <c r="K3899">
        <v>1.1096680000000001</v>
      </c>
      <c r="L3899">
        <v>214.13460000000001</v>
      </c>
      <c r="M3899">
        <v>0.99954219999999905</v>
      </c>
      <c r="N3899">
        <v>0</v>
      </c>
      <c r="O3899">
        <v>2.648344E-2</v>
      </c>
      <c r="P3899">
        <v>0.99762360000000005</v>
      </c>
      <c r="Q3899">
        <v>4.4988559999999999E-3</v>
      </c>
      <c r="R3899">
        <v>6.8755440000000001E-2</v>
      </c>
      <c r="S3899">
        <v>3.0037229999999999</v>
      </c>
      <c r="T3899">
        <v>-7.0885539999999997E-2</v>
      </c>
      <c r="U3899">
        <v>5.5603029999999998E-2</v>
      </c>
      <c r="V3899">
        <v>-4.2302560000000003E-2</v>
      </c>
      <c r="W3899">
        <v>1.913509E-2</v>
      </c>
      <c r="X3899">
        <v>0.99892159999999997</v>
      </c>
      <c r="Y3899">
        <v>7.9704459999999904E-3</v>
      </c>
      <c r="Z3899">
        <v>-7.1884899999999905E-4</v>
      </c>
      <c r="AA3899">
        <v>0.99996799999999997</v>
      </c>
      <c r="AB3899">
        <v>35</v>
      </c>
      <c r="AC3899">
        <v>46.660199999999897</v>
      </c>
      <c r="AD3899">
        <v>-1.109664836021</v>
      </c>
      <c r="AE3899">
        <v>0.86089999999998601</v>
      </c>
      <c r="AF3899">
        <v>0.37504484116242498</v>
      </c>
      <c r="AG3899">
        <v>-1.109664836021</v>
      </c>
      <c r="AH3899">
        <v>46.640262961415502</v>
      </c>
      <c r="AI3899">
        <v>91.362879645499802</v>
      </c>
      <c r="AJ3899">
        <v>89.539281684481395</v>
      </c>
      <c r="AK3899">
        <v>46.6549691221757</v>
      </c>
      <c r="AL3899">
        <v>88.9035731973255</v>
      </c>
      <c r="AM3899">
        <v>92.424925847330798</v>
      </c>
      <c r="AN3899">
        <v>1.00000001059921</v>
      </c>
    </row>
    <row r="3900" spans="1:40" x14ac:dyDescent="0.25">
      <c r="A3900" t="str">
        <f>"20190312160719397"</f>
        <v>20190312160719397</v>
      </c>
      <c r="B3900" t="str">
        <f>"1552378039389570"</f>
        <v>1552378039389570</v>
      </c>
      <c r="C3900" t="s">
        <v>40</v>
      </c>
      <c r="D3900">
        <v>6.1105710000000002</v>
      </c>
      <c r="E3900">
        <v>0.51846610000000004</v>
      </c>
      <c r="F3900" t="s">
        <v>66</v>
      </c>
      <c r="G3900">
        <v>-267.03879999999998</v>
      </c>
      <c r="H3900" s="1">
        <v>2.1912159999999999E-6</v>
      </c>
      <c r="I3900">
        <v>215.0213</v>
      </c>
      <c r="J3900">
        <v>-315.1859</v>
      </c>
      <c r="K3900">
        <v>1.109632</v>
      </c>
      <c r="L3900">
        <v>214.14340000000001</v>
      </c>
      <c r="M3900">
        <v>0.99954750000000003</v>
      </c>
      <c r="N3900">
        <v>0</v>
      </c>
      <c r="O3900">
        <v>2.6281889999999999E-2</v>
      </c>
      <c r="P3900">
        <v>0.9976756</v>
      </c>
      <c r="Q3900">
        <v>4.7680880000000002E-3</v>
      </c>
      <c r="R3900">
        <v>6.7978199999999905E-2</v>
      </c>
      <c r="S3900">
        <v>3.0036320000000001</v>
      </c>
      <c r="T3900">
        <v>-6.8741919999999998E-2</v>
      </c>
      <c r="U3900">
        <v>5.4931639999999997E-2</v>
      </c>
      <c r="V3900">
        <v>-4.1723610000000001E-2</v>
      </c>
      <c r="W3900">
        <v>1.94054E-2</v>
      </c>
      <c r="X3900">
        <v>0.99894070000000001</v>
      </c>
      <c r="Y3900">
        <v>7.9923029999999992E-3</v>
      </c>
      <c r="Z3900">
        <v>-6.9277899999999905E-4</v>
      </c>
      <c r="AA3900">
        <v>0.99996779999999996</v>
      </c>
      <c r="AB3900">
        <v>35</v>
      </c>
      <c r="AC3900">
        <v>48.147100000000002</v>
      </c>
      <c r="AD3900">
        <v>-1.109629808784</v>
      </c>
      <c r="AE3900">
        <v>0.87789999999998203</v>
      </c>
      <c r="AF3900">
        <v>0.38772968465392899</v>
      </c>
      <c r="AG3900">
        <v>-1.109629808784</v>
      </c>
      <c r="AH3900">
        <v>48.127985786045002</v>
      </c>
      <c r="AI3900">
        <v>91.320723903462294</v>
      </c>
      <c r="AJ3900">
        <v>89.538422529675699</v>
      </c>
      <c r="AK3900">
        <v>48.142337172624401</v>
      </c>
      <c r="AL3900">
        <v>88.888082660009204</v>
      </c>
      <c r="AM3900">
        <v>92.391731604682306</v>
      </c>
      <c r="AN3900">
        <v>0.99999997564854004</v>
      </c>
    </row>
    <row r="3901" spans="1:40" x14ac:dyDescent="0.25">
      <c r="A3901" t="str">
        <f>"20190312160719419"</f>
        <v>20190312160719419</v>
      </c>
      <c r="B3901" t="str">
        <f>"1552378039409094"</f>
        <v>1552378039409094</v>
      </c>
      <c r="C3901" t="s">
        <v>40</v>
      </c>
      <c r="D3901">
        <v>6.1106660000000002</v>
      </c>
      <c r="E3901">
        <v>0.51827250000000002</v>
      </c>
      <c r="F3901" t="s">
        <v>66</v>
      </c>
      <c r="G3901">
        <v>-265.43950000000001</v>
      </c>
      <c r="H3901" s="1">
        <v>1.3394390000000001E-6</v>
      </c>
      <c r="I3901">
        <v>215.0378</v>
      </c>
      <c r="J3901">
        <v>-314.84469999999999</v>
      </c>
      <c r="K3901">
        <v>1.1095999999999999</v>
      </c>
      <c r="L3901">
        <v>214.15209999999999</v>
      </c>
      <c r="M3901">
        <v>0.99955400000000005</v>
      </c>
      <c r="N3901">
        <v>0</v>
      </c>
      <c r="O3901">
        <v>2.603403E-2</v>
      </c>
      <c r="P3901">
        <v>0.99770709999999996</v>
      </c>
      <c r="Q3901">
        <v>5.3409130000000001E-3</v>
      </c>
      <c r="R3901">
        <v>6.7469929999999997E-2</v>
      </c>
      <c r="S3901">
        <v>3.0036320000000001</v>
      </c>
      <c r="T3901">
        <v>-6.6998240000000001E-2</v>
      </c>
      <c r="U3901">
        <v>5.4000850000000003E-2</v>
      </c>
      <c r="V3901">
        <v>-4.1460200000000003E-2</v>
      </c>
      <c r="W3901">
        <v>1.9978929999999999E-2</v>
      </c>
      <c r="X3901">
        <v>0.99894039999999995</v>
      </c>
      <c r="Y3901">
        <v>8.0546090000000008E-3</v>
      </c>
      <c r="Z3901">
        <v>-6.7038190000000004E-4</v>
      </c>
      <c r="AA3901">
        <v>0.9999673</v>
      </c>
      <c r="AB3901">
        <v>34</v>
      </c>
      <c r="AC3901">
        <v>49.405199999999901</v>
      </c>
      <c r="AD3901">
        <v>-1.109598660561</v>
      </c>
      <c r="AE3901">
        <v>0.88570000000001403</v>
      </c>
      <c r="AF3901">
        <v>0.400752311811782</v>
      </c>
      <c r="AG3901">
        <v>-1.109598660561</v>
      </c>
      <c r="AH3901">
        <v>49.386608427835398</v>
      </c>
      <c r="AI3901">
        <v>91.287039868751407</v>
      </c>
      <c r="AJ3901">
        <v>89.535078174623706</v>
      </c>
      <c r="AK3901">
        <v>49.4006974000093</v>
      </c>
      <c r="AL3901">
        <v>88.855215481309401</v>
      </c>
      <c r="AM3901">
        <v>92.376650177967207</v>
      </c>
      <c r="AN3901">
        <v>1.00000001429007</v>
      </c>
    </row>
    <row r="3902" spans="1:40" x14ac:dyDescent="0.25">
      <c r="A3902" t="str">
        <f>"20190312160719442"</f>
        <v>20190312160719442</v>
      </c>
      <c r="B3902" t="str">
        <f>"1552378039428611"</f>
        <v>1552378039428611</v>
      </c>
      <c r="C3902" t="s">
        <v>40</v>
      </c>
      <c r="D3902">
        <v>6.1107570000000004</v>
      </c>
      <c r="E3902">
        <v>0.51810769999999995</v>
      </c>
      <c r="F3902" t="s">
        <v>66</v>
      </c>
      <c r="G3902">
        <v>-262.95299999999997</v>
      </c>
      <c r="H3902" s="1">
        <v>1.4296590000000001E-8</v>
      </c>
      <c r="I3902">
        <v>215.08160000000001</v>
      </c>
      <c r="J3902">
        <v>-314.50779999999997</v>
      </c>
      <c r="K3902">
        <v>1.1095710000000001</v>
      </c>
      <c r="L3902">
        <v>214.16059999999999</v>
      </c>
      <c r="M3902">
        <v>0.99956140000000004</v>
      </c>
      <c r="N3902">
        <v>0</v>
      </c>
      <c r="O3902">
        <v>2.5749069999999999E-2</v>
      </c>
      <c r="P3902">
        <v>0.99770800000000004</v>
      </c>
      <c r="Q3902">
        <v>6.1753499999999996E-3</v>
      </c>
      <c r="R3902">
        <v>6.7385280000000006E-2</v>
      </c>
      <c r="S3902">
        <v>3.0036320000000001</v>
      </c>
      <c r="T3902">
        <v>-6.4226630000000007E-2</v>
      </c>
      <c r="U3902">
        <v>5.3802490000000001E-2</v>
      </c>
      <c r="V3902">
        <v>-4.1658109999999998E-2</v>
      </c>
      <c r="W3902">
        <v>2.081274E-2</v>
      </c>
      <c r="X3902">
        <v>0.99891509999999994</v>
      </c>
      <c r="Y3902">
        <v>7.8363570000000004E-3</v>
      </c>
      <c r="Z3902">
        <v>-6.3423280000000004E-4</v>
      </c>
      <c r="AA3902">
        <v>0.99996910000000006</v>
      </c>
      <c r="AB3902">
        <v>34</v>
      </c>
      <c r="AC3902">
        <v>51.5548</v>
      </c>
      <c r="AD3902">
        <v>-1.10957098570341</v>
      </c>
      <c r="AE3902">
        <v>0.92100000000002002</v>
      </c>
      <c r="AF3902">
        <v>0.40674730093598199</v>
      </c>
      <c r="AG3902">
        <v>-1.10957098570341</v>
      </c>
      <c r="AH3902">
        <v>51.537555378033097</v>
      </c>
      <c r="AI3902">
        <v>91.233312978567298</v>
      </c>
      <c r="AJ3902">
        <v>89.547816739654706</v>
      </c>
      <c r="AK3902">
        <v>51.551102854186901</v>
      </c>
      <c r="AL3902">
        <v>88.807431697200698</v>
      </c>
      <c r="AM3902">
        <v>92.388042411726403</v>
      </c>
      <c r="AN3902">
        <v>0.99999997264154405</v>
      </c>
    </row>
    <row r="3903" spans="1:40" x14ac:dyDescent="0.25">
      <c r="A3903" t="str">
        <f>"20190312160719464"</f>
        <v>20190312160719464</v>
      </c>
      <c r="B3903" t="str">
        <f>"1552378039458867"</f>
        <v>1552378039458867</v>
      </c>
      <c r="C3903" t="s">
        <v>40</v>
      </c>
      <c r="D3903">
        <v>6.1651020000000001</v>
      </c>
      <c r="E3903">
        <v>0.51788230000000002</v>
      </c>
      <c r="F3903" t="s">
        <v>66</v>
      </c>
      <c r="G3903">
        <v>-259.81209999999999</v>
      </c>
      <c r="H3903" s="1">
        <v>3.660955E-6</v>
      </c>
      <c r="I3903">
        <v>215.1601</v>
      </c>
      <c r="J3903">
        <v>-314.1551</v>
      </c>
      <c r="K3903">
        <v>1.1095539999999999</v>
      </c>
      <c r="L3903">
        <v>214.1694</v>
      </c>
      <c r="M3903">
        <v>0.99957010000000002</v>
      </c>
      <c r="N3903">
        <v>0</v>
      </c>
      <c r="O3903">
        <v>2.54173E-2</v>
      </c>
      <c r="P3903">
        <v>0.99772349999999999</v>
      </c>
      <c r="Q3903">
        <v>6.9314930000000004E-3</v>
      </c>
      <c r="R3903">
        <v>6.7080609999999999E-2</v>
      </c>
      <c r="S3903">
        <v>3.0035400000000001</v>
      </c>
      <c r="T3903">
        <v>-6.0930369999999998E-2</v>
      </c>
      <c r="U3903">
        <v>5.4885860000000002E-2</v>
      </c>
      <c r="V3903">
        <v>-4.1682700000000003E-2</v>
      </c>
      <c r="W3903">
        <v>2.1567880000000001E-2</v>
      </c>
      <c r="X3903">
        <v>0.99889810000000001</v>
      </c>
      <c r="Y3903">
        <v>7.1443110000000004E-3</v>
      </c>
      <c r="Z3903">
        <v>-5.8795949999999896E-4</v>
      </c>
      <c r="AA3903">
        <v>0.99997429999999998</v>
      </c>
      <c r="AB3903">
        <v>34</v>
      </c>
      <c r="AC3903">
        <v>54.343000000000004</v>
      </c>
      <c r="AD3903">
        <v>-1.1095503390449999</v>
      </c>
      <c r="AE3903">
        <v>0.99070000000000402</v>
      </c>
      <c r="AF3903">
        <v>0.39085710953309699</v>
      </c>
      <c r="AG3903">
        <v>-1.1095503390449999</v>
      </c>
      <c r="AH3903">
        <v>54.327982666247699</v>
      </c>
      <c r="AI3903">
        <v>91.169969274571599</v>
      </c>
      <c r="AJ3903">
        <v>89.587798491540397</v>
      </c>
      <c r="AK3903">
        <v>54.340717439311199</v>
      </c>
      <c r="AL3903">
        <v>88.764155698362401</v>
      </c>
      <c r="AM3903">
        <v>92.389491013287099</v>
      </c>
      <c r="AN3903">
        <v>1.0000000175552901</v>
      </c>
    </row>
    <row r="3904" spans="1:40" x14ac:dyDescent="0.25">
      <c r="A3904" t="str">
        <f>"20190312160719492"</f>
        <v>20190312160719492</v>
      </c>
      <c r="B3904" t="str">
        <f>"1552378039479362"</f>
        <v>1552378039479362</v>
      </c>
      <c r="C3904" t="s">
        <v>40</v>
      </c>
      <c r="D3904">
        <v>6.1372400000000003</v>
      </c>
      <c r="E3904">
        <v>0.5177079</v>
      </c>
      <c r="F3904" t="s">
        <v>66</v>
      </c>
      <c r="G3904">
        <v>-256.54840000000002</v>
      </c>
      <c r="H3904" s="1">
        <v>1.920413E-6</v>
      </c>
      <c r="I3904">
        <v>215.24639999999999</v>
      </c>
      <c r="J3904">
        <v>-313.74149999999997</v>
      </c>
      <c r="K3904">
        <v>1.109531</v>
      </c>
      <c r="L3904">
        <v>214.17949999999999</v>
      </c>
      <c r="M3904">
        <v>0.99958060000000004</v>
      </c>
      <c r="N3904">
        <v>0</v>
      </c>
      <c r="O3904">
        <v>2.5000910000000001E-2</v>
      </c>
      <c r="P3904">
        <v>0.99771770000000004</v>
      </c>
      <c r="Q3904">
        <v>7.6581710000000001E-3</v>
      </c>
      <c r="R3904">
        <v>6.7089770000000007E-2</v>
      </c>
      <c r="S3904">
        <v>3.003479</v>
      </c>
      <c r="T3904">
        <v>-5.7849530000000003E-2</v>
      </c>
      <c r="U3904">
        <v>5.6152340000000002E-2</v>
      </c>
      <c r="V3904">
        <v>-4.2106900000000003E-2</v>
      </c>
      <c r="W3904">
        <v>2.22925E-2</v>
      </c>
      <c r="X3904">
        <v>0.99886439999999999</v>
      </c>
      <c r="Y3904">
        <v>6.3067510000000002E-3</v>
      </c>
      <c r="Z3904">
        <v>-5.4216330000000001E-4</v>
      </c>
      <c r="AA3904">
        <v>0.99997999999999998</v>
      </c>
      <c r="AB3904">
        <v>34</v>
      </c>
      <c r="AC3904">
        <v>57.193099999999902</v>
      </c>
      <c r="AD3904">
        <v>-1.1095290795870001</v>
      </c>
      <c r="AE3904">
        <v>1.0669</v>
      </c>
      <c r="AF3904">
        <v>0.36332912913502502</v>
      </c>
      <c r="AG3904">
        <v>-1.1095290795870001</v>
      </c>
      <c r="AH3904">
        <v>57.180383300074602</v>
      </c>
      <c r="AI3904">
        <v>91.111606293921398</v>
      </c>
      <c r="AJ3904">
        <v>89.635942532773896</v>
      </c>
      <c r="AK3904">
        <v>57.192301030628101</v>
      </c>
      <c r="AL3904">
        <v>88.722628043892598</v>
      </c>
      <c r="AM3904">
        <v>92.413861308755699</v>
      </c>
      <c r="AN3904">
        <v>1.0000000180855999</v>
      </c>
    </row>
    <row r="3905" spans="1:40" x14ac:dyDescent="0.25">
      <c r="A3905" t="str">
        <f>"20190312160719531"</f>
        <v>20190312160719531</v>
      </c>
      <c r="B3905" t="str">
        <f>"1552378039519385"</f>
        <v>1552378039519385</v>
      </c>
      <c r="C3905" t="s">
        <v>40</v>
      </c>
      <c r="D3905">
        <v>6.082185</v>
      </c>
      <c r="E3905">
        <v>0.51745070000000004</v>
      </c>
      <c r="F3905" t="s">
        <v>66</v>
      </c>
      <c r="G3905">
        <v>-254.17760000000001</v>
      </c>
      <c r="H3905" s="1">
        <v>6.555319E-7</v>
      </c>
      <c r="I3905">
        <v>215.32060000000001</v>
      </c>
      <c r="J3905">
        <v>-313.13850000000002</v>
      </c>
      <c r="K3905">
        <v>1.109494</v>
      </c>
      <c r="L3905">
        <v>214.19380000000001</v>
      </c>
      <c r="M3905">
        <v>0.99959620000000005</v>
      </c>
      <c r="N3905">
        <v>0</v>
      </c>
      <c r="O3905">
        <v>2.4369109999999999E-2</v>
      </c>
      <c r="P3905">
        <v>0.99771620000000005</v>
      </c>
      <c r="Q3905">
        <v>6.5170360000000004E-3</v>
      </c>
      <c r="R3905">
        <v>6.7231799999999994E-2</v>
      </c>
      <c r="S3905">
        <v>3.0034480000000001</v>
      </c>
      <c r="T3905">
        <v>-5.5946950000000002E-2</v>
      </c>
      <c r="U3905">
        <v>5.7540889999999997E-2</v>
      </c>
      <c r="V3905">
        <v>-4.2879550000000002E-2</v>
      </c>
      <c r="W3905">
        <v>2.1147889999999999E-2</v>
      </c>
      <c r="X3905">
        <v>0.99885639999999998</v>
      </c>
      <c r="Y3905">
        <v>5.2130429999999997E-3</v>
      </c>
      <c r="Z3905">
        <v>-5.0238910000000004E-4</v>
      </c>
      <c r="AA3905">
        <v>0.99998629999999999</v>
      </c>
      <c r="AB3905">
        <v>34</v>
      </c>
      <c r="AC3905">
        <v>58.960900000000002</v>
      </c>
      <c r="AD3905">
        <v>-1.1094933444681001</v>
      </c>
      <c r="AE3905">
        <v>1.1268</v>
      </c>
      <c r="AF3905">
        <v>0.31040294924744899</v>
      </c>
      <c r="AG3905">
        <v>-1.1094933444681001</v>
      </c>
      <c r="AH3905">
        <v>58.9499822956139</v>
      </c>
      <c r="AI3905">
        <v>91.078217469087804</v>
      </c>
      <c r="AJ3905">
        <v>89.698310094683094</v>
      </c>
      <c r="AK3905">
        <v>58.961239285869098</v>
      </c>
      <c r="AL3905">
        <v>88.788224819695699</v>
      </c>
      <c r="AM3905">
        <v>92.458120818987098</v>
      </c>
      <c r="AN3905">
        <v>0.99999999844030696</v>
      </c>
    </row>
    <row r="3906" spans="1:40" x14ac:dyDescent="0.25">
      <c r="A3906" t="str">
        <f>"20190312160719554"</f>
        <v>20190312160719554</v>
      </c>
      <c r="B3906" t="str">
        <f>"1552378039548658"</f>
        <v>1552378039548658</v>
      </c>
      <c r="C3906" t="s">
        <v>40</v>
      </c>
      <c r="D3906">
        <v>6.0608769999999996</v>
      </c>
      <c r="E3906">
        <v>0.51715920000000004</v>
      </c>
      <c r="F3906" t="s">
        <v>66</v>
      </c>
      <c r="G3906">
        <v>-257.34930000000003</v>
      </c>
      <c r="H3906" s="1">
        <v>2.3439589999999998E-6</v>
      </c>
      <c r="I3906">
        <v>215.30719999999999</v>
      </c>
      <c r="J3906">
        <v>-312.78980000000001</v>
      </c>
      <c r="K3906">
        <v>1.1094820000000001</v>
      </c>
      <c r="L3906">
        <v>214.202</v>
      </c>
      <c r="M3906">
        <v>0.99960519999999997</v>
      </c>
      <c r="N3906">
        <v>0</v>
      </c>
      <c r="O3906">
        <v>2.4000460000000001E-2</v>
      </c>
      <c r="P3906">
        <v>0.99775700000000001</v>
      </c>
      <c r="Q3906">
        <v>6.1354209999999899E-3</v>
      </c>
      <c r="R3906">
        <v>6.6659930000000006E-2</v>
      </c>
      <c r="S3906">
        <v>3.0032350000000001</v>
      </c>
      <c r="T3906">
        <v>-5.9726000000000001E-2</v>
      </c>
      <c r="U3906">
        <v>5.993652E-2</v>
      </c>
      <c r="V3906">
        <v>-4.2675079999999997E-2</v>
      </c>
      <c r="W3906">
        <v>2.0763159999999999E-2</v>
      </c>
      <c r="X3906">
        <v>0.99887320000000002</v>
      </c>
      <c r="Y3906">
        <v>4.0451059999999997E-3</v>
      </c>
      <c r="Z3906">
        <v>-5.1741089999999895E-4</v>
      </c>
      <c r="AA3906">
        <v>0.99999170000000004</v>
      </c>
      <c r="AB3906">
        <v>34</v>
      </c>
      <c r="AC3906">
        <v>55.440499999999901</v>
      </c>
      <c r="AD3906">
        <v>-1.1094796560410001</v>
      </c>
      <c r="AE3906">
        <v>1.10519999999999</v>
      </c>
      <c r="AF3906">
        <v>0.22576755818910099</v>
      </c>
      <c r="AG3906">
        <v>-1.1094796560410001</v>
      </c>
      <c r="AH3906">
        <v>55.428865436954602</v>
      </c>
      <c r="AI3906">
        <v>91.146685695139894</v>
      </c>
      <c r="AJ3906">
        <v>89.766629596335704</v>
      </c>
      <c r="AK3906">
        <v>55.440427845801501</v>
      </c>
      <c r="AL3906">
        <v>88.810273033438506</v>
      </c>
      <c r="AM3906">
        <v>92.446372514037805</v>
      </c>
      <c r="AN3906">
        <v>0.99999997047221501</v>
      </c>
    </row>
    <row r="3907" spans="1:40" x14ac:dyDescent="0.25">
      <c r="A3907" t="str">
        <f>"20190312160719577"</f>
        <v>20190312160719577</v>
      </c>
      <c r="B3907" t="str">
        <f>"1552378039569154"</f>
        <v>1552378039569154</v>
      </c>
      <c r="C3907" t="s">
        <v>40</v>
      </c>
      <c r="D3907">
        <v>6.085585</v>
      </c>
      <c r="E3907">
        <v>0.51699300000000004</v>
      </c>
      <c r="F3907" t="s">
        <v>66</v>
      </c>
      <c r="G3907">
        <v>-258.21789999999999</v>
      </c>
      <c r="H3907" s="1">
        <v>2.8063990000000001E-6</v>
      </c>
      <c r="I3907">
        <v>215.30199999999999</v>
      </c>
      <c r="J3907">
        <v>-312.43880000000001</v>
      </c>
      <c r="K3907">
        <v>1.109475</v>
      </c>
      <c r="L3907">
        <v>214.21</v>
      </c>
      <c r="M3907">
        <v>0.99961409999999995</v>
      </c>
      <c r="N3907">
        <v>0</v>
      </c>
      <c r="O3907">
        <v>2.363026E-2</v>
      </c>
      <c r="P3907">
        <v>0.99784059999999997</v>
      </c>
      <c r="Q3907">
        <v>6.029464E-3</v>
      </c>
      <c r="R3907">
        <v>6.5404009999999999E-2</v>
      </c>
      <c r="S3907">
        <v>3.0030519999999998</v>
      </c>
      <c r="T3907">
        <v>-6.1053870000000003E-2</v>
      </c>
      <c r="U3907">
        <v>6.0531620000000001E-2</v>
      </c>
      <c r="V3907">
        <v>-4.1787339999999999E-2</v>
      </c>
      <c r="W3907">
        <v>2.0653990000000001E-2</v>
      </c>
      <c r="X3907">
        <v>0.99891300000000005</v>
      </c>
      <c r="Y3907">
        <v>3.4754069999999998E-3</v>
      </c>
      <c r="Z3907">
        <v>-5.156297E-4</v>
      </c>
      <c r="AA3907">
        <v>0.99999380000000004</v>
      </c>
      <c r="AB3907">
        <v>34</v>
      </c>
      <c r="AC3907">
        <v>54.2209</v>
      </c>
      <c r="AD3907">
        <v>-1.1094721936009999</v>
      </c>
      <c r="AE3907">
        <v>1.0920000000000101</v>
      </c>
      <c r="AF3907">
        <v>0.18961623625555901</v>
      </c>
      <c r="AG3907">
        <v>-1.1094721936009999</v>
      </c>
      <c r="AH3907">
        <v>54.208875602284699</v>
      </c>
      <c r="AI3907">
        <v>91.172479804085398</v>
      </c>
      <c r="AJ3907">
        <v>89.799586956273998</v>
      </c>
      <c r="AK3907">
        <v>54.220559540910301</v>
      </c>
      <c r="AL3907">
        <v>88.816529361263804</v>
      </c>
      <c r="AM3907">
        <v>92.395446908143896</v>
      </c>
      <c r="AN3907">
        <v>0.99999997532809703</v>
      </c>
    </row>
    <row r="3908" spans="1:40" x14ac:dyDescent="0.25">
      <c r="A3908" t="str">
        <f>"20190312160719599"</f>
        <v>20190312160719599</v>
      </c>
      <c r="B3908" t="str">
        <f>"1552378039588675"</f>
        <v>1552378039588675</v>
      </c>
      <c r="C3908" t="s">
        <v>40</v>
      </c>
      <c r="D3908">
        <v>6.1357179999999998</v>
      </c>
      <c r="E3908">
        <v>0.51683089999999998</v>
      </c>
      <c r="F3908" t="s">
        <v>66</v>
      </c>
      <c r="G3908">
        <v>-258.00959999999998</v>
      </c>
      <c r="H3908" s="1">
        <v>2.697178E-6</v>
      </c>
      <c r="I3908">
        <v>215.26480000000001</v>
      </c>
      <c r="J3908">
        <v>-312.0985</v>
      </c>
      <c r="K3908">
        <v>1.109478</v>
      </c>
      <c r="L3908">
        <v>214.21770000000001</v>
      </c>
      <c r="M3908">
        <v>0.99962260000000003</v>
      </c>
      <c r="N3908">
        <v>0</v>
      </c>
      <c r="O3908">
        <v>2.327243E-2</v>
      </c>
      <c r="P3908">
        <v>0.99789479999999997</v>
      </c>
      <c r="Q3908">
        <v>5.752854E-3</v>
      </c>
      <c r="R3908">
        <v>6.4598630000000004E-2</v>
      </c>
      <c r="S3908">
        <v>3.0030519999999998</v>
      </c>
      <c r="T3908">
        <v>-6.1213490000000002E-2</v>
      </c>
      <c r="U3908">
        <v>5.8197020000000002E-2</v>
      </c>
      <c r="V3908">
        <v>-4.1338399999999997E-2</v>
      </c>
      <c r="W3908">
        <v>2.037462E-2</v>
      </c>
      <c r="X3908">
        <v>0.99893739999999998</v>
      </c>
      <c r="Y3908">
        <v>3.8944930000000002E-3</v>
      </c>
      <c r="Z3908">
        <v>-5.1396199999999997E-4</v>
      </c>
      <c r="AA3908">
        <v>0.99999229999999995</v>
      </c>
      <c r="AB3908">
        <v>34</v>
      </c>
      <c r="AC3908">
        <v>54.088900000000002</v>
      </c>
      <c r="AD3908">
        <v>-1.1094753028219999</v>
      </c>
      <c r="AE3908">
        <v>1.0470999999999999</v>
      </c>
      <c r="AF3908">
        <v>0.212008741462967</v>
      </c>
      <c r="AG3908">
        <v>-1.1094753028219999</v>
      </c>
      <c r="AH3908">
        <v>54.075874984096799</v>
      </c>
      <c r="AI3908">
        <v>91.175364182618395</v>
      </c>
      <c r="AJ3908">
        <v>89.775368519291405</v>
      </c>
      <c r="AK3908">
        <v>54.0876708543611</v>
      </c>
      <c r="AL3908">
        <v>88.832539433491206</v>
      </c>
      <c r="AM3908">
        <v>92.3696832363227</v>
      </c>
      <c r="AN3908">
        <v>0.99999995878673098</v>
      </c>
    </row>
    <row r="3909" spans="1:40" x14ac:dyDescent="0.25">
      <c r="A3909" t="str">
        <f>"20190312160719619"</f>
        <v>20190312160719619</v>
      </c>
      <c r="B3909" t="str">
        <f>"1552378039609172"</f>
        <v>1552378039609172</v>
      </c>
      <c r="C3909" t="s">
        <v>40</v>
      </c>
      <c r="D3909">
        <v>6.1345109999999998</v>
      </c>
      <c r="E3909">
        <v>0.51671739999999999</v>
      </c>
      <c r="F3909" t="s">
        <v>66</v>
      </c>
      <c r="G3909">
        <v>-258.37270000000001</v>
      </c>
      <c r="H3909" s="1">
        <v>2.891538E-6</v>
      </c>
      <c r="I3909">
        <v>215.23929999999999</v>
      </c>
      <c r="J3909">
        <v>-311.78289999999998</v>
      </c>
      <c r="K3909">
        <v>1.10948</v>
      </c>
      <c r="L3909">
        <v>214.22470000000001</v>
      </c>
      <c r="M3909">
        <v>0.99963029999999997</v>
      </c>
      <c r="N3909">
        <v>0</v>
      </c>
      <c r="O3909">
        <v>2.2941509999999998E-2</v>
      </c>
      <c r="P3909">
        <v>0.99798949999999997</v>
      </c>
      <c r="Q3909">
        <v>5.5031569999999998E-3</v>
      </c>
      <c r="R3909">
        <v>6.3140299999999996E-2</v>
      </c>
      <c r="S3909">
        <v>3.0029599999999999</v>
      </c>
      <c r="T3909">
        <v>-6.2013270000000002E-2</v>
      </c>
      <c r="U3909">
        <v>5.7098389999999999E-2</v>
      </c>
      <c r="V3909">
        <v>-4.02092E-2</v>
      </c>
      <c r="W3909">
        <v>2.0121E-2</v>
      </c>
      <c r="X3909">
        <v>0.99898869999999895</v>
      </c>
      <c r="Y3909">
        <v>3.928483E-3</v>
      </c>
      <c r="Z3909">
        <v>-5.1421360000000001E-4</v>
      </c>
      <c r="AA3909">
        <v>0.99999210000000005</v>
      </c>
      <c r="AB3909">
        <v>34</v>
      </c>
      <c r="AC3909">
        <v>53.410199999999897</v>
      </c>
      <c r="AD3909">
        <v>-1.1094771084620001</v>
      </c>
      <c r="AE3909">
        <v>1.01459999999997</v>
      </c>
      <c r="AF3909">
        <v>0.21101719137199501</v>
      </c>
      <c r="AG3909">
        <v>-1.1094771084620001</v>
      </c>
      <c r="AH3909">
        <v>53.396386226266799</v>
      </c>
      <c r="AI3909">
        <v>91.190318640170304</v>
      </c>
      <c r="AJ3909">
        <v>89.773573974106796</v>
      </c>
      <c r="AK3909">
        <v>53.408328280652199</v>
      </c>
      <c r="AL3909">
        <v>88.847073849845401</v>
      </c>
      <c r="AM3909">
        <v>92.304905512920797</v>
      </c>
      <c r="AN3909">
        <v>1.0000000285666599</v>
      </c>
    </row>
    <row r="3910" spans="1:40" x14ac:dyDescent="0.25">
      <c r="A3910" t="str">
        <f>"20190312160719643"</f>
        <v>20190312160719643</v>
      </c>
      <c r="B3910" t="str">
        <f>"1552378039639427"</f>
        <v>1552378039639427</v>
      </c>
      <c r="C3910" t="s">
        <v>40</v>
      </c>
      <c r="D3910">
        <v>6.4250099999999897</v>
      </c>
      <c r="E3910">
        <v>0.51654420000000001</v>
      </c>
      <c r="F3910" t="s">
        <v>66</v>
      </c>
      <c r="G3910">
        <v>-258.85660000000001</v>
      </c>
      <c r="H3910" s="1">
        <v>3.1519249999999999E-6</v>
      </c>
      <c r="I3910">
        <v>215.17269999999999</v>
      </c>
      <c r="J3910">
        <v>-311.43439999999998</v>
      </c>
      <c r="K3910">
        <v>1.1094759999999999</v>
      </c>
      <c r="L3910">
        <v>214.23230000000001</v>
      </c>
      <c r="M3910">
        <v>0.99963860000000004</v>
      </c>
      <c r="N3910">
        <v>0</v>
      </c>
      <c r="O3910">
        <v>2.2576860000000001E-2</v>
      </c>
      <c r="P3910">
        <v>0.99807109999999999</v>
      </c>
      <c r="Q3910">
        <v>5.3422599999999997E-3</v>
      </c>
      <c r="R3910">
        <v>6.1851530000000002E-2</v>
      </c>
      <c r="S3910">
        <v>3.0030209999999999</v>
      </c>
      <c r="T3910">
        <v>-6.295133E-2</v>
      </c>
      <c r="U3910">
        <v>5.3787229999999998E-2</v>
      </c>
      <c r="V3910">
        <v>-3.9283760000000001E-2</v>
      </c>
      <c r="W3910">
        <v>1.9956519999999998E-2</v>
      </c>
      <c r="X3910">
        <v>0.99902880000000005</v>
      </c>
      <c r="Y3910">
        <v>4.6660649999999996E-3</v>
      </c>
      <c r="Z3910">
        <v>-5.2207499999999999E-4</v>
      </c>
      <c r="AA3910">
        <v>0.99998900000000002</v>
      </c>
      <c r="AB3910">
        <v>34</v>
      </c>
      <c r="AC3910">
        <v>52.577799999999897</v>
      </c>
      <c r="AD3910">
        <v>-1.109472848075</v>
      </c>
      <c r="AE3910">
        <v>0.94039999999998203</v>
      </c>
      <c r="AF3910">
        <v>0.24689789005728399</v>
      </c>
      <c r="AG3910">
        <v>-1.109472848075</v>
      </c>
      <c r="AH3910">
        <v>52.562231965905397</v>
      </c>
      <c r="AI3910">
        <v>91.209194704427503</v>
      </c>
      <c r="AJ3910">
        <v>89.730869437960905</v>
      </c>
      <c r="AK3910">
        <v>52.574519663106599</v>
      </c>
      <c r="AL3910">
        <v>88.856499730691397</v>
      </c>
      <c r="AM3910">
        <v>92.251821624776298</v>
      </c>
      <c r="AN3910">
        <v>1.0000000098598401</v>
      </c>
    </row>
    <row r="3911" spans="1:40" x14ac:dyDescent="0.25">
      <c r="A3911" t="str">
        <f>"20190312160719666"</f>
        <v>20190312160719666</v>
      </c>
      <c r="B3911" t="str">
        <f>"1552378039658947"</f>
        <v>1552378039658947</v>
      </c>
      <c r="C3911" t="s">
        <v>40</v>
      </c>
      <c r="D3911">
        <v>6.3718620000000001</v>
      </c>
      <c r="E3911">
        <v>0.52472549999999996</v>
      </c>
      <c r="F3911" t="s">
        <v>66</v>
      </c>
      <c r="G3911">
        <v>-258.36849999999998</v>
      </c>
      <c r="H3911" s="1">
        <v>2.893686E-6</v>
      </c>
      <c r="I3911">
        <v>215.1386</v>
      </c>
      <c r="J3911">
        <v>-311.08</v>
      </c>
      <c r="K3911">
        <v>1.109475</v>
      </c>
      <c r="L3911">
        <v>214.24</v>
      </c>
      <c r="M3911">
        <v>0.99964699999999995</v>
      </c>
      <c r="N3911">
        <v>0</v>
      </c>
      <c r="O3911">
        <v>2.2206219999999999E-2</v>
      </c>
      <c r="P3911">
        <v>0.99813779999999996</v>
      </c>
      <c r="Q3911">
        <v>5.4819459999999997E-3</v>
      </c>
      <c r="R3911">
        <v>6.0755919999999998E-2</v>
      </c>
      <c r="S3911">
        <v>3.0029910000000002</v>
      </c>
      <c r="T3911">
        <v>-6.2784909999999999E-2</v>
      </c>
      <c r="U3911">
        <v>5.1284789999999997E-2</v>
      </c>
      <c r="V3911">
        <v>-3.8557639999999997E-2</v>
      </c>
      <c r="W3911">
        <v>2.0091910000000001E-2</v>
      </c>
      <c r="X3911">
        <v>0.99905440000000001</v>
      </c>
      <c r="Y3911">
        <v>5.1281649999999996E-3</v>
      </c>
      <c r="Z3911">
        <v>-5.1778849999999999E-4</v>
      </c>
      <c r="AA3911">
        <v>0.99998670000000001</v>
      </c>
      <c r="AB3911">
        <v>34</v>
      </c>
      <c r="AC3911">
        <v>52.711500000000001</v>
      </c>
      <c r="AD3911">
        <v>-1.1094721063140001</v>
      </c>
      <c r="AE3911">
        <v>0.89859999999998696</v>
      </c>
      <c r="AF3911">
        <v>0.27214880479980902</v>
      </c>
      <c r="AG3911">
        <v>-1.1094721063140001</v>
      </c>
      <c r="AH3911">
        <v>52.695117677644603</v>
      </c>
      <c r="AI3911">
        <v>91.2061426936</v>
      </c>
      <c r="AJ3911">
        <v>89.704093282893396</v>
      </c>
      <c r="AK3911">
        <v>52.707498711165002</v>
      </c>
      <c r="AL3911">
        <v>88.848740928789098</v>
      </c>
      <c r="AM3911">
        <v>92.210184101128405</v>
      </c>
      <c r="AN3911">
        <v>1.0000000353045799</v>
      </c>
    </row>
    <row r="3912" spans="1:40" x14ac:dyDescent="0.25">
      <c r="A3912" t="str">
        <f>"20190312160719688"</f>
        <v>20190312160719688</v>
      </c>
      <c r="B3912" t="str">
        <f>"1552378039678974"</f>
        <v>1552378039678974</v>
      </c>
      <c r="C3912" t="s">
        <v>40</v>
      </c>
      <c r="D3912">
        <v>6.0983140000000002</v>
      </c>
      <c r="E3912">
        <v>0.52756380000000003</v>
      </c>
      <c r="F3912" t="s">
        <v>85</v>
      </c>
      <c r="G3912">
        <v>-109.68</v>
      </c>
      <c r="H3912">
        <v>8.2844369999999898</v>
      </c>
      <c r="I3912">
        <v>213.4742</v>
      </c>
      <c r="J3912">
        <v>-310.73930000000001</v>
      </c>
      <c r="K3912">
        <v>1.1094790000000001</v>
      </c>
      <c r="L3912">
        <v>214.24709999999999</v>
      </c>
      <c r="M3912">
        <v>0.99965490000000001</v>
      </c>
      <c r="N3912">
        <v>0</v>
      </c>
      <c r="O3912">
        <v>2.18503E-2</v>
      </c>
      <c r="P3912">
        <v>0.99816139999999998</v>
      </c>
      <c r="Q3912">
        <v>5.4368669999999997E-3</v>
      </c>
      <c r="R3912">
        <v>6.0370210000000001E-2</v>
      </c>
      <c r="S3912">
        <v>3.0057070000000001</v>
      </c>
      <c r="T3912">
        <v>0.1070803</v>
      </c>
      <c r="U3912">
        <v>-1.1428829999999999E-2</v>
      </c>
      <c r="V3912">
        <v>-3.852672E-2</v>
      </c>
      <c r="W3912">
        <v>2.0043289999999998E-2</v>
      </c>
      <c r="X3912">
        <v>0.99905650000000001</v>
      </c>
      <c r="Y3912">
        <v>2.562379E-2</v>
      </c>
      <c r="Z3912">
        <v>1.2345119999999999E-3</v>
      </c>
      <c r="AA3912">
        <v>0.99967090000000003</v>
      </c>
      <c r="AB3912">
        <v>34</v>
      </c>
      <c r="AC3912">
        <v>201.05930000000001</v>
      </c>
      <c r="AD3912">
        <v>7.1749579999999904</v>
      </c>
      <c r="AE3912">
        <v>-0.77289999999999204</v>
      </c>
      <c r="AF3912">
        <v>5.1598178268648196</v>
      </c>
      <c r="AG3912">
        <v>7.1749579999999904</v>
      </c>
      <c r="AH3912">
        <v>200.738765726818</v>
      </c>
      <c r="AI3912">
        <v>87.953637331913995</v>
      </c>
      <c r="AJ3912">
        <v>88.527585341475003</v>
      </c>
      <c r="AK3912">
        <v>200.933212306564</v>
      </c>
      <c r="AL3912">
        <v>88.851527130868803</v>
      </c>
      <c r="AM3912">
        <v>92.208408836624599</v>
      </c>
      <c r="AN3912">
        <v>0.99999996591011497</v>
      </c>
    </row>
    <row r="3913" spans="1:40" x14ac:dyDescent="0.25">
      <c r="A3913" t="str">
        <f>"20190312160719711"</f>
        <v>20190312160719711</v>
      </c>
      <c r="B3913" t="str">
        <f>"1552378039699470"</f>
        <v>1552378039699470</v>
      </c>
      <c r="C3913" t="s">
        <v>40</v>
      </c>
      <c r="D3913">
        <v>6.0008629999999998</v>
      </c>
      <c r="E3913">
        <v>0.54303999999999997</v>
      </c>
      <c r="F3913" t="s">
        <v>85</v>
      </c>
      <c r="G3913">
        <v>-109.68</v>
      </c>
      <c r="H3913">
        <v>8.2161390000000001</v>
      </c>
      <c r="I3913">
        <v>211.8802</v>
      </c>
      <c r="J3913">
        <v>-310.4033</v>
      </c>
      <c r="K3913">
        <v>1.109477</v>
      </c>
      <c r="L3913">
        <v>214.25409999999999</v>
      </c>
      <c r="M3913">
        <v>0.99966259999999996</v>
      </c>
      <c r="N3913">
        <v>0</v>
      </c>
      <c r="O3913">
        <v>2.1499210000000001E-2</v>
      </c>
      <c r="P3913">
        <v>0.99814340000000001</v>
      </c>
      <c r="Q3913">
        <v>5.4485159999999996E-3</v>
      </c>
      <c r="R3913">
        <v>6.0666640000000001E-2</v>
      </c>
      <c r="S3913">
        <v>3.0071110000000001</v>
      </c>
      <c r="T3913">
        <v>0.1062903</v>
      </c>
      <c r="U3913">
        <v>-3.5400389999999997E-2</v>
      </c>
      <c r="V3913">
        <v>-3.9174590000000002E-2</v>
      </c>
      <c r="W3913">
        <v>2.0051389999999999E-2</v>
      </c>
      <c r="X3913">
        <v>0.99903120000000001</v>
      </c>
      <c r="Y3913">
        <v>3.3234519999999997E-2</v>
      </c>
      <c r="Z3913">
        <v>1.3468709999999999E-3</v>
      </c>
      <c r="AA3913">
        <v>0.99944670000000002</v>
      </c>
      <c r="AB3913">
        <v>34</v>
      </c>
      <c r="AC3913">
        <v>200.72329999999999</v>
      </c>
      <c r="AD3913">
        <v>7.1066619999999903</v>
      </c>
      <c r="AE3913">
        <v>-2.3738999999999901</v>
      </c>
      <c r="AF3913">
        <v>6.6808286228966098</v>
      </c>
      <c r="AG3913">
        <v>7.1066619999999903</v>
      </c>
      <c r="AH3913">
        <v>200.37471244579299</v>
      </c>
      <c r="AI3913">
        <v>87.969877142213093</v>
      </c>
      <c r="AJ3913">
        <v>88.090370131789697</v>
      </c>
      <c r="AK3913">
        <v>200.61197248321201</v>
      </c>
      <c r="AL3913">
        <v>88.851063006960203</v>
      </c>
      <c r="AM3913">
        <v>92.245564813921604</v>
      </c>
      <c r="AN3913">
        <v>1.0000000226580199</v>
      </c>
    </row>
    <row r="3914" spans="1:40" x14ac:dyDescent="0.25">
      <c r="A3914" t="str">
        <f>"20190312160719732"</f>
        <v>20190312160719732</v>
      </c>
      <c r="B3914" t="str">
        <f>"1552378039728750"</f>
        <v>1552378039728750</v>
      </c>
      <c r="C3914" t="s">
        <v>40</v>
      </c>
      <c r="D3914">
        <v>6.0790249999999997</v>
      </c>
      <c r="E3914">
        <v>0.54429179999999999</v>
      </c>
      <c r="F3914" t="s">
        <v>51</v>
      </c>
      <c r="G3914">
        <v>-168.41120000000001</v>
      </c>
      <c r="H3914">
        <v>2.3039190000000001</v>
      </c>
      <c r="I3914">
        <v>206.69049999999999</v>
      </c>
      <c r="J3914">
        <v>-310.08179999999999</v>
      </c>
      <c r="K3914">
        <v>1.10948</v>
      </c>
      <c r="L3914">
        <v>214.26070000000001</v>
      </c>
      <c r="M3914">
        <v>0.9996699</v>
      </c>
      <c r="N3914">
        <v>0</v>
      </c>
      <c r="O3914">
        <v>2.1163209999999998E-2</v>
      </c>
      <c r="P3914">
        <v>0.99812869999999998</v>
      </c>
      <c r="Q3914">
        <v>5.3134100000000002E-3</v>
      </c>
      <c r="R3914">
        <v>6.0919109999999999E-2</v>
      </c>
      <c r="S3914">
        <v>3.0151979999999998</v>
      </c>
      <c r="T3914">
        <v>2.5364640000000001E-2</v>
      </c>
      <c r="U3914">
        <v>-0.16061400000000001</v>
      </c>
      <c r="V3914">
        <v>-3.97635E-2</v>
      </c>
      <c r="W3914">
        <v>1.9912659999999999E-2</v>
      </c>
      <c r="X3914">
        <v>0.99901070000000003</v>
      </c>
      <c r="Y3914">
        <v>7.4312959999999997E-2</v>
      </c>
      <c r="Z3914">
        <v>4.9027849999999998E-4</v>
      </c>
      <c r="AA3914">
        <v>0.99723479999999998</v>
      </c>
      <c r="AB3914">
        <v>34</v>
      </c>
      <c r="AC3914">
        <v>141.67059999999901</v>
      </c>
      <c r="AD3914">
        <v>1.194439</v>
      </c>
      <c r="AE3914">
        <v>-7.5702000000000202</v>
      </c>
      <c r="AF3914">
        <v>10.5662780582755</v>
      </c>
      <c r="AG3914">
        <v>1.194439</v>
      </c>
      <c r="AH3914">
        <v>141.46860971498799</v>
      </c>
      <c r="AI3914">
        <v>89.517598941188197</v>
      </c>
      <c r="AJ3914">
        <v>85.728514414729105</v>
      </c>
      <c r="AK3914">
        <v>141.867686423728</v>
      </c>
      <c r="AL3914">
        <v>88.859013228131204</v>
      </c>
      <c r="AM3914">
        <v>92.279333679316906</v>
      </c>
      <c r="AN3914">
        <v>1.0000000143375001</v>
      </c>
    </row>
    <row r="3915" spans="1:40" x14ac:dyDescent="0.25">
      <c r="A3915" t="str">
        <f>"20190312160719755"</f>
        <v>20190312160719755</v>
      </c>
      <c r="B3915" t="str">
        <f>"1552378039749246"</f>
        <v>1552378039749246</v>
      </c>
      <c r="C3915" t="s">
        <v>40</v>
      </c>
      <c r="D3915">
        <v>6.1031930000000001</v>
      </c>
      <c r="E3915">
        <v>0.54443069999999905</v>
      </c>
      <c r="F3915" t="s">
        <v>51</v>
      </c>
      <c r="G3915">
        <v>-168.41130000000001</v>
      </c>
      <c r="H3915">
        <v>2.2451379999999999</v>
      </c>
      <c r="I3915">
        <v>206.29640000000001</v>
      </c>
      <c r="J3915">
        <v>-309.74169999999998</v>
      </c>
      <c r="K3915">
        <v>1.1094809999999999</v>
      </c>
      <c r="L3915">
        <v>214.26759999999999</v>
      </c>
      <c r="M3915">
        <v>0.99967729999999999</v>
      </c>
      <c r="N3915">
        <v>0</v>
      </c>
      <c r="O3915">
        <v>2.0807610000000001E-2</v>
      </c>
      <c r="P3915">
        <v>0.99810189999999999</v>
      </c>
      <c r="Q3915">
        <v>4.9791770000000004E-3</v>
      </c>
      <c r="R3915">
        <v>6.1383239999999999E-2</v>
      </c>
      <c r="S3915">
        <v>3.0158390000000002</v>
      </c>
      <c r="T3915">
        <v>2.4176240000000002E-2</v>
      </c>
      <c r="U3915">
        <v>-0.16954040000000001</v>
      </c>
      <c r="V3915">
        <v>-4.0583109999999999E-2</v>
      </c>
      <c r="W3915">
        <v>1.9574649999999999E-2</v>
      </c>
      <c r="X3915">
        <v>0.99898439999999999</v>
      </c>
      <c r="Y3915">
        <v>7.6889780000000005E-2</v>
      </c>
      <c r="Z3915">
        <v>4.7464380000000002E-4</v>
      </c>
      <c r="AA3915">
        <v>0.99703949999999997</v>
      </c>
      <c r="AB3915">
        <v>34</v>
      </c>
      <c r="AC3915">
        <v>141.330399999999</v>
      </c>
      <c r="AD3915">
        <v>1.1356569999999999</v>
      </c>
      <c r="AE3915">
        <v>-7.9711999999999801</v>
      </c>
      <c r="AF3915">
        <v>10.909831765053299</v>
      </c>
      <c r="AG3915">
        <v>1.1356569999999999</v>
      </c>
      <c r="AH3915">
        <v>141.124832612223</v>
      </c>
      <c r="AI3915">
        <v>89.540311974427297</v>
      </c>
      <c r="AJ3915">
        <v>85.579470157577703</v>
      </c>
      <c r="AK3915">
        <v>141.550459292054</v>
      </c>
      <c r="AL3915">
        <v>88.878383526866202</v>
      </c>
      <c r="AM3915">
        <v>92.326325658497197</v>
      </c>
      <c r="AN3915">
        <v>0.99999999359162695</v>
      </c>
    </row>
    <row r="3916" spans="1:40" x14ac:dyDescent="0.25">
      <c r="A3916" t="str">
        <f>"20190312160719778"</f>
        <v>20190312160719778</v>
      </c>
      <c r="B3916" t="str">
        <f>"1552378039768766"</f>
        <v>1552378039768766</v>
      </c>
      <c r="C3916" t="s">
        <v>40</v>
      </c>
      <c r="D3916">
        <v>6.1047599999999997</v>
      </c>
      <c r="E3916">
        <v>0.54459029999999997</v>
      </c>
      <c r="F3916" t="s">
        <v>51</v>
      </c>
      <c r="G3916">
        <v>-168.41130000000001</v>
      </c>
      <c r="H3916">
        <v>2.387432</v>
      </c>
      <c r="I3916">
        <v>206.33430000000001</v>
      </c>
      <c r="J3916">
        <v>-309.39060000000001</v>
      </c>
      <c r="K3916">
        <v>1.109478</v>
      </c>
      <c r="L3916">
        <v>214.27449999999999</v>
      </c>
      <c r="M3916">
        <v>0.99968500000000005</v>
      </c>
      <c r="N3916">
        <v>0</v>
      </c>
      <c r="O3916">
        <v>2.044079E-2</v>
      </c>
      <c r="P3916">
        <v>0.99806539999999999</v>
      </c>
      <c r="Q3916">
        <v>5.4257239999999998E-3</v>
      </c>
      <c r="R3916">
        <v>6.1939769999999998E-2</v>
      </c>
      <c r="S3916">
        <v>3.0159910000000001</v>
      </c>
      <c r="T3916">
        <v>2.727222E-2</v>
      </c>
      <c r="U3916">
        <v>-0.16929629999999901</v>
      </c>
      <c r="V3916">
        <v>-4.1506840000000003E-2</v>
      </c>
      <c r="W3916">
        <v>2.0017549999999999E-2</v>
      </c>
      <c r="X3916">
        <v>0.99893770000000004</v>
      </c>
      <c r="Y3916">
        <v>7.6439820000000006E-2</v>
      </c>
      <c r="Z3916">
        <v>5.300503E-4</v>
      </c>
      <c r="AA3916">
        <v>0.99707409999999996</v>
      </c>
      <c r="AB3916">
        <v>34</v>
      </c>
      <c r="AC3916">
        <v>140.97929999999999</v>
      </c>
      <c r="AD3916">
        <v>1.277954</v>
      </c>
      <c r="AE3916">
        <v>-7.9401999999999697</v>
      </c>
      <c r="AF3916">
        <v>10.819688293827699</v>
      </c>
      <c r="AG3916">
        <v>1.277954</v>
      </c>
      <c r="AH3916">
        <v>140.77598594285499</v>
      </c>
      <c r="AI3916">
        <v>89.481416748937306</v>
      </c>
      <c r="AJ3916">
        <v>85.605030670743602</v>
      </c>
      <c r="AK3916">
        <v>141.196944157389</v>
      </c>
      <c r="AL3916">
        <v>88.8530022871863</v>
      </c>
      <c r="AM3916">
        <v>92.379327105897502</v>
      </c>
      <c r="AN3916">
        <v>1.00000002427803</v>
      </c>
    </row>
    <row r="3917" spans="1:40" x14ac:dyDescent="0.25">
      <c r="A3917" t="str">
        <f>"20190312160719799"</f>
        <v>20190312160719799</v>
      </c>
      <c r="B3917" t="str">
        <f>"1552378039789262"</f>
        <v>1552378039789262</v>
      </c>
      <c r="C3917" t="s">
        <v>40</v>
      </c>
      <c r="D3917">
        <v>6.1228829999999999</v>
      </c>
      <c r="E3917">
        <v>0.54483789999999999</v>
      </c>
      <c r="F3917" t="s">
        <v>51</v>
      </c>
      <c r="G3917">
        <v>-168.41130000000001</v>
      </c>
      <c r="H3917">
        <v>2.5199069999999999</v>
      </c>
      <c r="I3917">
        <v>206.3835</v>
      </c>
      <c r="J3917">
        <v>-309.06909999999999</v>
      </c>
      <c r="K3917">
        <v>1.1094790000000001</v>
      </c>
      <c r="L3917">
        <v>214.2807</v>
      </c>
      <c r="M3917">
        <v>0.99969169999999996</v>
      </c>
      <c r="N3917">
        <v>0</v>
      </c>
      <c r="O3917">
        <v>2.010414E-2</v>
      </c>
      <c r="P3917">
        <v>0.99807100000000004</v>
      </c>
      <c r="Q3917">
        <v>5.5876909999999997E-3</v>
      </c>
      <c r="R3917">
        <v>6.1829389999999998E-2</v>
      </c>
      <c r="S3917">
        <v>3.0161739999999999</v>
      </c>
      <c r="T3917">
        <v>3.0176040000000001E-2</v>
      </c>
      <c r="U3917">
        <v>-0.16882320000000001</v>
      </c>
      <c r="V3917">
        <v>-4.1732489999999997E-2</v>
      </c>
      <c r="W3917">
        <v>2.0175820000000001E-2</v>
      </c>
      <c r="X3917">
        <v>0.99892510000000001</v>
      </c>
      <c r="Y3917">
        <v>7.5943940000000001E-2</v>
      </c>
      <c r="Z3917">
        <v>5.8060709999999897E-4</v>
      </c>
      <c r="AA3917">
        <v>0.99711190000000005</v>
      </c>
      <c r="AB3917">
        <v>34</v>
      </c>
      <c r="AC3917">
        <v>140.65779999999901</v>
      </c>
      <c r="AD3917">
        <v>1.41042799999999</v>
      </c>
      <c r="AE3917">
        <v>-7.89719999999999</v>
      </c>
      <c r="AF3917">
        <v>10.7226331780689</v>
      </c>
      <c r="AG3917">
        <v>1.41042799999999</v>
      </c>
      <c r="AH3917">
        <v>140.45650426455899</v>
      </c>
      <c r="AI3917">
        <v>89.426338999304505</v>
      </c>
      <c r="AJ3917">
        <v>85.634432973864705</v>
      </c>
      <c r="AK3917">
        <v>140.872260433468</v>
      </c>
      <c r="AL3917">
        <v>88.843932236001905</v>
      </c>
      <c r="AM3917">
        <v>92.392277359243906</v>
      </c>
      <c r="AN3917">
        <v>1.00000000992214</v>
      </c>
    </row>
    <row r="3918" spans="1:40" x14ac:dyDescent="0.25">
      <c r="A3918" t="str">
        <f>"20190312160719821"</f>
        <v>20190312160719821</v>
      </c>
      <c r="B3918" t="str">
        <f>"1552378039808781"</f>
        <v>1552378039808781</v>
      </c>
      <c r="C3918" t="s">
        <v>40</v>
      </c>
      <c r="D3918">
        <v>6.0535430000000003</v>
      </c>
      <c r="E3918">
        <v>0.54523619999999995</v>
      </c>
      <c r="F3918" t="s">
        <v>51</v>
      </c>
      <c r="G3918">
        <v>-168.41139999999999</v>
      </c>
      <c r="H3918">
        <v>2.4985659999999998</v>
      </c>
      <c r="I3918">
        <v>206.29050000000001</v>
      </c>
      <c r="J3918">
        <v>-308.74200000000002</v>
      </c>
      <c r="K3918">
        <v>1.1094850000000001</v>
      </c>
      <c r="L3918">
        <v>214.2869</v>
      </c>
      <c r="M3918">
        <v>0.99969870000000005</v>
      </c>
      <c r="N3918">
        <v>0</v>
      </c>
      <c r="O3918">
        <v>1.9761709999999998E-2</v>
      </c>
      <c r="P3918">
        <v>0.9980755</v>
      </c>
      <c r="Q3918">
        <v>5.3658780000000001E-3</v>
      </c>
      <c r="R3918">
        <v>6.1778010000000001E-2</v>
      </c>
      <c r="S3918">
        <v>3.0162659999999999</v>
      </c>
      <c r="T3918">
        <v>2.978826E-2</v>
      </c>
      <c r="U3918">
        <v>-0.17134089999999999</v>
      </c>
      <c r="V3918">
        <v>-4.2023709999999999E-2</v>
      </c>
      <c r="W3918">
        <v>1.9950800000000001E-2</v>
      </c>
      <c r="X3918">
        <v>0.99891739999999996</v>
      </c>
      <c r="Y3918">
        <v>7.643047E-2</v>
      </c>
      <c r="Z3918">
        <v>5.7213629999999999E-4</v>
      </c>
      <c r="AA3918">
        <v>0.99707469999999998</v>
      </c>
      <c r="AB3918">
        <v>34</v>
      </c>
      <c r="AC3918">
        <v>140.3306</v>
      </c>
      <c r="AD3918">
        <v>1.38908099999999</v>
      </c>
      <c r="AE3918">
        <v>-7.9963999999999897</v>
      </c>
      <c r="AF3918">
        <v>10.7672531284821</v>
      </c>
      <c r="AG3918">
        <v>1.38908099999999</v>
      </c>
      <c r="AH3918">
        <v>140.13146485574299</v>
      </c>
      <c r="AI3918">
        <v>89.433731822657904</v>
      </c>
      <c r="AJ3918">
        <v>85.606208988219905</v>
      </c>
      <c r="AK3918">
        <v>140.551381098066</v>
      </c>
      <c r="AL3918">
        <v>88.856827515762205</v>
      </c>
      <c r="AM3918">
        <v>92.408970231937602</v>
      </c>
      <c r="AN3918">
        <v>0.99999999932278205</v>
      </c>
    </row>
    <row r="3919" spans="1:40" x14ac:dyDescent="0.25">
      <c r="A3919" t="str">
        <f>"20190312160719843"</f>
        <v>20190312160719843</v>
      </c>
      <c r="B3919" t="str">
        <f>"1552378039839040"</f>
        <v>1552378039839040</v>
      </c>
      <c r="C3919" t="s">
        <v>40</v>
      </c>
      <c r="D3919">
        <v>6.0592059999999996</v>
      </c>
      <c r="E3919">
        <v>0.54497799999999996</v>
      </c>
      <c r="F3919" t="s">
        <v>51</v>
      </c>
      <c r="G3919">
        <v>-168.41139999999999</v>
      </c>
      <c r="H3919">
        <v>2.564575</v>
      </c>
      <c r="I3919">
        <v>206.17089999999999</v>
      </c>
      <c r="J3919">
        <v>-308.39409999999998</v>
      </c>
      <c r="K3919">
        <v>1.1094790000000001</v>
      </c>
      <c r="L3919">
        <v>214.29339999999999</v>
      </c>
      <c r="M3919">
        <v>0.99970590000000004</v>
      </c>
      <c r="N3919">
        <v>0</v>
      </c>
      <c r="O3919">
        <v>1.939741E-2</v>
      </c>
      <c r="P3919">
        <v>0.99808839999999999</v>
      </c>
      <c r="Q3919">
        <v>5.4953210000000001E-3</v>
      </c>
      <c r="R3919">
        <v>6.1558979999999999E-2</v>
      </c>
      <c r="S3919">
        <v>3.0164179999999998</v>
      </c>
      <c r="T3919">
        <v>3.1278010000000002E-2</v>
      </c>
      <c r="U3919">
        <v>-0.17445369999999999</v>
      </c>
      <c r="V3919">
        <v>-4.2168890000000001E-2</v>
      </c>
      <c r="W3919">
        <v>2.0075699999999998E-2</v>
      </c>
      <c r="X3919">
        <v>0.99890880000000004</v>
      </c>
      <c r="Y3919">
        <v>7.7089309999999994E-2</v>
      </c>
      <c r="Z3919">
        <v>6.0033839999999998E-4</v>
      </c>
      <c r="AA3919">
        <v>0.99702400000000002</v>
      </c>
      <c r="AB3919">
        <v>34</v>
      </c>
      <c r="AC3919">
        <v>139.98269999999999</v>
      </c>
      <c r="AD3919">
        <v>1.4550959999999999</v>
      </c>
      <c r="AE3919">
        <v>-8.1225000000000005</v>
      </c>
      <c r="AF3919">
        <v>10.835394080686999</v>
      </c>
      <c r="AG3919">
        <v>1.4550959999999999</v>
      </c>
      <c r="AH3919">
        <v>139.783731585103</v>
      </c>
      <c r="AI3919">
        <v>89.405377687282794</v>
      </c>
      <c r="AJ3919">
        <v>85.567557295785207</v>
      </c>
      <c r="AK3919">
        <v>140.21060831873299</v>
      </c>
      <c r="AL3919">
        <v>88.849669862949796</v>
      </c>
      <c r="AM3919">
        <v>92.417303472457405</v>
      </c>
      <c r="AN3919">
        <v>1.0000000198658801</v>
      </c>
    </row>
    <row r="3920" spans="1:40" x14ac:dyDescent="0.25">
      <c r="A3920" t="str">
        <f>"20190312160719867"</f>
        <v>20190312160719867</v>
      </c>
      <c r="B3920" t="str">
        <f>"1552378039859533"</f>
        <v>1552378039859533</v>
      </c>
      <c r="C3920" t="s">
        <v>40</v>
      </c>
      <c r="D3920">
        <v>5.9863559999999998</v>
      </c>
      <c r="E3920">
        <v>0.54462250000000001</v>
      </c>
      <c r="F3920" t="s">
        <v>51</v>
      </c>
      <c r="G3920">
        <v>-168.41139999999999</v>
      </c>
      <c r="H3920">
        <v>2.4378549999999999</v>
      </c>
      <c r="I3920">
        <v>206.26509999999999</v>
      </c>
      <c r="J3920">
        <v>-308.0505</v>
      </c>
      <c r="K3920">
        <v>1.1094820000000001</v>
      </c>
      <c r="L3920">
        <v>214.2997</v>
      </c>
      <c r="M3920">
        <v>0.99971290000000002</v>
      </c>
      <c r="N3920">
        <v>0</v>
      </c>
      <c r="O3920">
        <v>1.903734E-2</v>
      </c>
      <c r="P3920">
        <v>0.99812690000000004</v>
      </c>
      <c r="Q3920">
        <v>5.3036119999999897E-3</v>
      </c>
      <c r="R3920">
        <v>6.0947090000000002E-2</v>
      </c>
      <c r="S3920">
        <v>3.0162659999999999</v>
      </c>
      <c r="T3920">
        <v>2.8623820000000001E-2</v>
      </c>
      <c r="U3920">
        <v>-0.1729889</v>
      </c>
      <c r="V3920">
        <v>-4.1916120000000001E-2</v>
      </c>
      <c r="W3920">
        <v>1.988024E-2</v>
      </c>
      <c r="X3920">
        <v>0.99892329999999996</v>
      </c>
      <c r="Y3920">
        <v>7.62513999999999E-2</v>
      </c>
      <c r="Z3920">
        <v>5.4204500000000001E-4</v>
      </c>
      <c r="AA3920">
        <v>0.99708850000000004</v>
      </c>
      <c r="AB3920">
        <v>34</v>
      </c>
      <c r="AC3920">
        <v>139.63910000000001</v>
      </c>
      <c r="AD3920">
        <v>1.32837299999999</v>
      </c>
      <c r="AE3920">
        <v>-8.03460000000001</v>
      </c>
      <c r="AF3920">
        <v>10.690817784402</v>
      </c>
      <c r="AG3920">
        <v>1.32837299999999</v>
      </c>
      <c r="AH3920">
        <v>139.448236951334</v>
      </c>
      <c r="AI3920">
        <v>89.455818179705602</v>
      </c>
      <c r="AJ3920">
        <v>85.615987034712404</v>
      </c>
      <c r="AK3920">
        <v>139.863751374549</v>
      </c>
      <c r="AL3920">
        <v>88.860871077014593</v>
      </c>
      <c r="AM3920">
        <v>92.4027957975985</v>
      </c>
      <c r="AN3920">
        <v>0.99999997217059999</v>
      </c>
    </row>
    <row r="3921" spans="1:40" x14ac:dyDescent="0.25">
      <c r="A3921" t="str">
        <f>"20190312160719911"</f>
        <v>20190312160719911</v>
      </c>
      <c r="B3921" t="str">
        <f>"1552378039899080"</f>
        <v>1552378039899080</v>
      </c>
      <c r="C3921" t="s">
        <v>40</v>
      </c>
      <c r="D3921">
        <v>6.0056089999999998</v>
      </c>
      <c r="E3921">
        <v>0.54446949999999905</v>
      </c>
      <c r="F3921" t="s">
        <v>51</v>
      </c>
      <c r="G3921">
        <v>-168.41130000000001</v>
      </c>
      <c r="H3921">
        <v>2.245428</v>
      </c>
      <c r="I3921">
        <v>206.31870000000001</v>
      </c>
      <c r="J3921">
        <v>-307.39179999999999</v>
      </c>
      <c r="K3921">
        <v>1.1094850000000001</v>
      </c>
      <c r="L3921">
        <v>214.31139999999999</v>
      </c>
      <c r="M3921">
        <v>0.99972589999999995</v>
      </c>
      <c r="N3921">
        <v>0</v>
      </c>
      <c r="O3921">
        <v>1.8346879999999999E-2</v>
      </c>
      <c r="P3921">
        <v>0.99816749999999999</v>
      </c>
      <c r="Q3921">
        <v>5.4754139999999996E-3</v>
      </c>
      <c r="R3921">
        <v>6.0264360000000003E-2</v>
      </c>
      <c r="S3921">
        <v>3.016022</v>
      </c>
      <c r="T3921">
        <v>2.4535660000000001E-2</v>
      </c>
      <c r="U3921">
        <v>-0.17237849999999999</v>
      </c>
      <c r="V3921">
        <v>-4.1922649999999999E-2</v>
      </c>
      <c r="W3921">
        <v>2.0044719999999999E-2</v>
      </c>
      <c r="X3921">
        <v>0.99891980000000002</v>
      </c>
      <c r="Y3921">
        <v>7.5367379999999998E-2</v>
      </c>
      <c r="Z3921">
        <v>4.554645E-4</v>
      </c>
      <c r="AA3921">
        <v>0.99715569999999998</v>
      </c>
      <c r="AB3921">
        <v>34</v>
      </c>
      <c r="AC3921">
        <v>138.98049999999901</v>
      </c>
      <c r="AD3921">
        <v>1.1359429999999999</v>
      </c>
      <c r="AE3921">
        <v>-7.9926999999999797</v>
      </c>
      <c r="AF3921">
        <v>10.540780816682499</v>
      </c>
      <c r="AG3921">
        <v>1.1359429999999999</v>
      </c>
      <c r="AH3921">
        <v>138.80120351800699</v>
      </c>
      <c r="AI3921">
        <v>89.532450515010495</v>
      </c>
      <c r="AJ3921">
        <v>85.657204430405898</v>
      </c>
      <c r="AK3921">
        <v>139.205504649679</v>
      </c>
      <c r="AL3921">
        <v>88.851445258627706</v>
      </c>
      <c r="AM3921">
        <v>92.403178094205302</v>
      </c>
      <c r="AN3921">
        <v>1.0000000331074601</v>
      </c>
    </row>
    <row r="3922" spans="1:40" x14ac:dyDescent="0.25">
      <c r="A3922" t="str">
        <f>"20190312160719933"</f>
        <v>20190312160719933</v>
      </c>
      <c r="B3922" t="str">
        <f>"1552378039929336"</f>
        <v>1552378039929336</v>
      </c>
      <c r="C3922" t="s">
        <v>40</v>
      </c>
      <c r="D3922">
        <v>5.9536860000000003</v>
      </c>
      <c r="E3922">
        <v>0.51445289999999999</v>
      </c>
      <c r="F3922" t="s">
        <v>51</v>
      </c>
      <c r="G3922">
        <v>-168.41120000000001</v>
      </c>
      <c r="H3922">
        <v>1.9002950000000001</v>
      </c>
      <c r="I3922">
        <v>206.31639999999999</v>
      </c>
      <c r="J3922">
        <v>-307.0684</v>
      </c>
      <c r="K3922">
        <v>1.1094809999999999</v>
      </c>
      <c r="L3922">
        <v>214.31700000000001</v>
      </c>
      <c r="M3922">
        <v>0.99973210000000001</v>
      </c>
      <c r="N3922">
        <v>0</v>
      </c>
      <c r="O3922">
        <v>1.800802E-2</v>
      </c>
      <c r="P3922">
        <v>0.99818839999999998</v>
      </c>
      <c r="Q3922">
        <v>5.4568150000000003E-3</v>
      </c>
      <c r="R3922">
        <v>5.9918220000000001E-2</v>
      </c>
      <c r="S3922">
        <v>3.0158999999999998</v>
      </c>
      <c r="T3922">
        <v>1.7161369999999999E-2</v>
      </c>
      <c r="U3922">
        <v>-0.17349239999999999</v>
      </c>
      <c r="V3922">
        <v>-4.1915059999999997E-2</v>
      </c>
      <c r="W3922">
        <v>2.0022310000000001E-2</v>
      </c>
      <c r="X3922">
        <v>0.99892060000000005</v>
      </c>
      <c r="Y3922">
        <v>7.540036E-2</v>
      </c>
      <c r="Z3922">
        <v>3.1675179999999999E-4</v>
      </c>
      <c r="AA3922">
        <v>0.99715330000000002</v>
      </c>
      <c r="AB3922">
        <v>34</v>
      </c>
      <c r="AC3922">
        <v>138.65719999999999</v>
      </c>
      <c r="AD3922">
        <v>0.79081400000000002</v>
      </c>
      <c r="AE3922">
        <v>-8.0006000000000199</v>
      </c>
      <c r="AF3922">
        <v>10.4961677250938</v>
      </c>
      <c r="AG3922">
        <v>0.79081400000000002</v>
      </c>
      <c r="AH3922">
        <v>138.486130939329</v>
      </c>
      <c r="AI3922">
        <v>89.673756263732301</v>
      </c>
      <c r="AJ3922">
        <v>85.665713852104304</v>
      </c>
      <c r="AK3922">
        <v>138.88557659541499</v>
      </c>
      <c r="AL3922">
        <v>88.852729551484401</v>
      </c>
      <c r="AM3922">
        <v>92.402741592254401</v>
      </c>
      <c r="AN3922">
        <v>1.00000006512844</v>
      </c>
    </row>
    <row r="3923" spans="1:40" x14ac:dyDescent="0.25">
      <c r="A3923" t="str">
        <f>"20190312160719956"</f>
        <v>20190312160719956</v>
      </c>
      <c r="B3923" t="str">
        <f>"1552378039948856"</f>
        <v>1552378039948856</v>
      </c>
      <c r="C3923" t="s">
        <v>40</v>
      </c>
      <c r="D3923">
        <v>6.1253820000000001</v>
      </c>
      <c r="E3923">
        <v>0.5104803</v>
      </c>
      <c r="F3923" t="s">
        <v>85</v>
      </c>
      <c r="G3923">
        <v>-107.39749999999999</v>
      </c>
      <c r="H3923">
        <v>4.3054079999999999</v>
      </c>
      <c r="I3923">
        <v>218.68520000000001</v>
      </c>
      <c r="J3923">
        <v>-306.7235</v>
      </c>
      <c r="K3923">
        <v>1.1094809999999999</v>
      </c>
      <c r="L3923">
        <v>214.3229</v>
      </c>
      <c r="M3923">
        <v>0.99973860000000003</v>
      </c>
      <c r="N3923">
        <v>0</v>
      </c>
      <c r="O3923">
        <v>1.7646410000000001E-2</v>
      </c>
      <c r="P3923">
        <v>0.99820509999999996</v>
      </c>
      <c r="Q3923">
        <v>5.0112610000000004E-3</v>
      </c>
      <c r="R3923">
        <v>5.9679259999999998E-2</v>
      </c>
      <c r="S3923">
        <v>3.0012819999999998</v>
      </c>
      <c r="T3923">
        <v>4.8039199999999997E-2</v>
      </c>
      <c r="U3923">
        <v>6.5658569999999999E-2</v>
      </c>
      <c r="V3923">
        <v>-4.2037850000000002E-2</v>
      </c>
      <c r="W3923">
        <v>1.9573690000000001E-2</v>
      </c>
      <c r="X3923">
        <v>0.99892429999999999</v>
      </c>
      <c r="Y3923">
        <v>-4.2258699999999996E-3</v>
      </c>
      <c r="Z3923">
        <v>2.4859189999999997E-4</v>
      </c>
      <c r="AA3923">
        <v>0.99999110000000002</v>
      </c>
      <c r="AB3923">
        <v>33</v>
      </c>
      <c r="AC3923">
        <v>199.32599999999999</v>
      </c>
      <c r="AD3923">
        <v>3.1959270000000002</v>
      </c>
      <c r="AE3923">
        <v>4.3623000000000003</v>
      </c>
      <c r="AF3923">
        <v>-0.84364376997310897</v>
      </c>
      <c r="AG3923">
        <v>3.1959270000000002</v>
      </c>
      <c r="AH3923">
        <v>199.320726906646</v>
      </c>
      <c r="AI3923">
        <v>89.081401107149404</v>
      </c>
      <c r="AJ3923">
        <v>90.242508340872305</v>
      </c>
      <c r="AK3923">
        <v>199.34813231829801</v>
      </c>
      <c r="AL3923">
        <v>88.878438586290798</v>
      </c>
      <c r="AM3923">
        <v>92.409763213185698</v>
      </c>
      <c r="AN3923">
        <v>1.0000000336516599</v>
      </c>
    </row>
    <row r="3924" spans="1:40" x14ac:dyDescent="0.25">
      <c r="A3924" t="str">
        <f>"20190312160719978"</f>
        <v>20190312160719978</v>
      </c>
      <c r="B3924" t="str">
        <f>"1552378039969355"</f>
        <v>1552378039969355</v>
      </c>
      <c r="C3924" t="s">
        <v>40</v>
      </c>
      <c r="D3924">
        <v>6.0782569999999998</v>
      </c>
      <c r="E3924">
        <v>0.50830220000000004</v>
      </c>
      <c r="F3924" t="s">
        <v>52</v>
      </c>
      <c r="G3924">
        <v>-157.8382</v>
      </c>
      <c r="H3924">
        <v>2.7146430000000001</v>
      </c>
      <c r="I3924">
        <v>219.09970000000001</v>
      </c>
      <c r="J3924">
        <v>-306.39069999999998</v>
      </c>
      <c r="K3924">
        <v>1.109486</v>
      </c>
      <c r="L3924">
        <v>214.32830000000001</v>
      </c>
      <c r="M3924">
        <v>0.99974479999999999</v>
      </c>
      <c r="N3924">
        <v>0</v>
      </c>
      <c r="O3924">
        <v>1.7297010000000002E-2</v>
      </c>
      <c r="P3924">
        <v>0.99820520000000001</v>
      </c>
      <c r="Q3924">
        <v>5.0824019999999998E-3</v>
      </c>
      <c r="R3924">
        <v>5.9670500000000001E-2</v>
      </c>
      <c r="S3924">
        <v>2.9995120000000002</v>
      </c>
      <c r="T3924">
        <v>3.2339449999999999E-2</v>
      </c>
      <c r="U3924">
        <v>9.6237180000000005E-2</v>
      </c>
      <c r="V3924">
        <v>-4.237788E-2</v>
      </c>
      <c r="W3924">
        <v>1.9640439999999999E-2</v>
      </c>
      <c r="X3924">
        <v>0.99890860000000004</v>
      </c>
      <c r="Y3924">
        <v>-1.477319E-2</v>
      </c>
      <c r="Z3924">
        <v>1.0681899999999999E-4</v>
      </c>
      <c r="AA3924">
        <v>0.99989090000000003</v>
      </c>
      <c r="AB3924">
        <v>33</v>
      </c>
      <c r="AC3924">
        <v>148.55249999999899</v>
      </c>
      <c r="AD3924">
        <v>1.6051569999999999</v>
      </c>
      <c r="AE3924">
        <v>4.7713999999999999</v>
      </c>
      <c r="AF3924">
        <v>-2.2006439600310501</v>
      </c>
      <c r="AG3924">
        <v>1.6051569999999999</v>
      </c>
      <c r="AH3924">
        <v>148.595479486351</v>
      </c>
      <c r="AI3924">
        <v>89.381171875228603</v>
      </c>
      <c r="AJ3924">
        <v>90.848467225983697</v>
      </c>
      <c r="AK3924">
        <v>148.62044235774599</v>
      </c>
      <c r="AL3924">
        <v>88.874613332713295</v>
      </c>
      <c r="AM3924">
        <v>92.429269853479795</v>
      </c>
      <c r="AN3924">
        <v>1.00000001137532</v>
      </c>
    </row>
    <row r="3925" spans="1:40" x14ac:dyDescent="0.25">
      <c r="A3925" t="str">
        <f>"20190312160720022"</f>
        <v>20190312160720022</v>
      </c>
      <c r="B3925" t="str">
        <f>"1552378040019127"</f>
        <v>1552378040019127</v>
      </c>
      <c r="C3925" t="s">
        <v>40</v>
      </c>
      <c r="D3925">
        <v>3.851667</v>
      </c>
      <c r="E3925">
        <v>0.50863130000000001</v>
      </c>
      <c r="F3925" t="s">
        <v>52</v>
      </c>
      <c r="G3925">
        <v>-157.8382</v>
      </c>
      <c r="H3925">
        <v>2.5486469999999999</v>
      </c>
      <c r="I3925">
        <v>219.9391</v>
      </c>
      <c r="J3925">
        <v>-305.73869999999999</v>
      </c>
      <c r="K3925">
        <v>1.109486</v>
      </c>
      <c r="L3925">
        <v>214.33879999999999</v>
      </c>
      <c r="M3925">
        <v>0.99975650000000005</v>
      </c>
      <c r="N3925">
        <v>0</v>
      </c>
      <c r="O3925">
        <v>1.661251E-2</v>
      </c>
      <c r="P3925">
        <v>0.99826190000000004</v>
      </c>
      <c r="Q3925">
        <v>3.7673939999999999E-3</v>
      </c>
      <c r="R3925">
        <v>5.881426E-2</v>
      </c>
      <c r="S3925">
        <v>2.9984440000000001</v>
      </c>
      <c r="T3925">
        <v>2.9049749999999999E-2</v>
      </c>
      <c r="U3925">
        <v>0.1132507</v>
      </c>
      <c r="V3925">
        <v>-4.2206510000000003E-2</v>
      </c>
      <c r="W3925">
        <v>1.8318890000000001E-2</v>
      </c>
      <c r="X3925">
        <v>0.99894090000000002</v>
      </c>
      <c r="Y3925">
        <v>-2.1135089999999999E-2</v>
      </c>
      <c r="Z3925" s="1">
        <v>5.854186E-5</v>
      </c>
      <c r="AA3925">
        <v>0.99977660000000002</v>
      </c>
      <c r="AB3925">
        <v>33</v>
      </c>
      <c r="AC3925">
        <v>147.90049999999999</v>
      </c>
      <c r="AD3925">
        <v>1.4391609999999999</v>
      </c>
      <c r="AE3925">
        <v>5.6002999999999998</v>
      </c>
      <c r="AF3925">
        <v>-3.1419721934056102</v>
      </c>
      <c r="AG3925">
        <v>1.4391609999999999</v>
      </c>
      <c r="AH3925">
        <v>147.95914128474601</v>
      </c>
      <c r="AI3925">
        <v>89.442841675682402</v>
      </c>
      <c r="AJ3925">
        <v>91.216516208279899</v>
      </c>
      <c r="AK3925">
        <v>147.99949548348999</v>
      </c>
      <c r="AL3925">
        <v>88.950346148403</v>
      </c>
      <c r="AM3925">
        <v>92.419379797719799</v>
      </c>
      <c r="AN3925">
        <v>0.999999946455009</v>
      </c>
    </row>
    <row r="3926" spans="1:40" x14ac:dyDescent="0.25">
      <c r="A3926" t="str">
        <f>"20190312160720379"</f>
        <v>20190312160720379</v>
      </c>
      <c r="B3926" t="str">
        <f>"1552378040369512"</f>
        <v>1552378040369512</v>
      </c>
      <c r="C3926" t="s">
        <v>40</v>
      </c>
      <c r="D3926">
        <v>7.6409279999999997</v>
      </c>
      <c r="E3926">
        <v>0.52228580000000002</v>
      </c>
      <c r="F3926" t="s">
        <v>52</v>
      </c>
      <c r="G3926">
        <v>-157.8382</v>
      </c>
      <c r="H3926">
        <v>2.230432</v>
      </c>
      <c r="I3926">
        <v>219.66239999999999</v>
      </c>
      <c r="J3926">
        <v>-300.47149999999999</v>
      </c>
      <c r="K3926">
        <v>1.109475</v>
      </c>
      <c r="L3926">
        <v>214.4067</v>
      </c>
      <c r="M3926">
        <v>0.99983759999999999</v>
      </c>
      <c r="N3926">
        <v>0</v>
      </c>
      <c r="O3926">
        <v>1.106967E-2</v>
      </c>
      <c r="P3926">
        <v>0.99867240000000002</v>
      </c>
      <c r="Q3926">
        <v>4.0344279999999996E-3</v>
      </c>
      <c r="R3926">
        <v>5.135443E-2</v>
      </c>
      <c r="S3926">
        <v>2.9988100000000002</v>
      </c>
      <c r="T3926">
        <v>2.2729280000000001E-2</v>
      </c>
      <c r="U3926">
        <v>0.1079407</v>
      </c>
      <c r="V3926">
        <v>-4.0280660000000003E-2</v>
      </c>
      <c r="W3926">
        <v>1.8274550000000001E-2</v>
      </c>
      <c r="X3926">
        <v>0.9990213</v>
      </c>
      <c r="Y3926">
        <v>-2.490498E-2</v>
      </c>
      <c r="Z3926" s="1">
        <v>-1.0474379999999999E-5</v>
      </c>
      <c r="AA3926">
        <v>0.99968979999999996</v>
      </c>
      <c r="AB3926">
        <v>33</v>
      </c>
      <c r="AC3926">
        <v>142.63329999999999</v>
      </c>
      <c r="AD3926">
        <v>1.120957</v>
      </c>
      <c r="AE3926">
        <v>5.2556999999999903</v>
      </c>
      <c r="AF3926">
        <v>-3.6760879303860898</v>
      </c>
      <c r="AG3926">
        <v>1.120957</v>
      </c>
      <c r="AH3926">
        <v>142.673943564371</v>
      </c>
      <c r="AI3926">
        <v>89.549998583585506</v>
      </c>
      <c r="AJ3926">
        <v>91.475936865785798</v>
      </c>
      <c r="AK3926">
        <v>142.725696142206</v>
      </c>
      <c r="AL3926">
        <v>88.952887150272701</v>
      </c>
      <c r="AM3926">
        <v>92.308922107804406</v>
      </c>
      <c r="AN3926">
        <v>1.0000000243007101</v>
      </c>
    </row>
    <row r="3927" spans="1:40" x14ac:dyDescent="0.25">
      <c r="A3927" t="str">
        <f>"20190312160720401"</f>
        <v>20190312160720401</v>
      </c>
      <c r="B3927" t="str">
        <f>"1552378040398792"</f>
        <v>1552378040398792</v>
      </c>
      <c r="C3927" t="s">
        <v>40</v>
      </c>
      <c r="D3927">
        <v>6.05274</v>
      </c>
      <c r="E3927">
        <v>0.51713819999999999</v>
      </c>
      <c r="F3927" t="s">
        <v>44</v>
      </c>
      <c r="G3927">
        <v>-299.55829999999997</v>
      </c>
      <c r="H3927">
        <v>0.97960590000000003</v>
      </c>
      <c r="I3927">
        <v>214.3947</v>
      </c>
      <c r="J3927">
        <v>-300.15089999999998</v>
      </c>
      <c r="K3927">
        <v>1.109472</v>
      </c>
      <c r="L3927">
        <v>214.40989999999999</v>
      </c>
      <c r="M3927">
        <v>0.99984189999999995</v>
      </c>
      <c r="N3927">
        <v>0</v>
      </c>
      <c r="O3927">
        <v>1.073114E-2</v>
      </c>
      <c r="P3927">
        <v>0.99870219999999998</v>
      </c>
      <c r="Q3927">
        <v>4.6243040000000001E-3</v>
      </c>
      <c r="R3927">
        <v>5.0722450000000002E-2</v>
      </c>
      <c r="S3927">
        <v>3.0076900000000002</v>
      </c>
      <c r="T3927">
        <v>-0.42776259999999999</v>
      </c>
      <c r="U3927">
        <v>-3.9215090000000001E-2</v>
      </c>
      <c r="V3927">
        <v>-3.9986800000000003E-2</v>
      </c>
      <c r="W3927">
        <v>1.882663E-2</v>
      </c>
      <c r="X3927">
        <v>0.99902279999999999</v>
      </c>
      <c r="Y3927">
        <v>2.3424049999999998E-2</v>
      </c>
      <c r="Z3927">
        <v>-3.1759779999999999E-3</v>
      </c>
      <c r="AA3927">
        <v>0.99972059999999996</v>
      </c>
      <c r="AB3927">
        <v>33</v>
      </c>
      <c r="AC3927">
        <v>0.59260000000000401</v>
      </c>
      <c r="AD3927">
        <v>-0.12986609999999901</v>
      </c>
      <c r="AE3927">
        <v>-1.51999999999929E-2</v>
      </c>
      <c r="AF3927">
        <v>2.05717276494406E-2</v>
      </c>
      <c r="AG3927">
        <v>-0.12986609999999901</v>
      </c>
      <c r="AH3927">
        <v>0.56527328247207598</v>
      </c>
      <c r="AI3927">
        <v>102.930364265571</v>
      </c>
      <c r="AJ3927">
        <v>87.9157811454957</v>
      </c>
      <c r="AK3927">
        <v>0.58036392357248401</v>
      </c>
      <c r="AL3927">
        <v>88.921249794639394</v>
      </c>
      <c r="AM3927">
        <v>92.292092393352902</v>
      </c>
      <c r="AN3927">
        <v>0.99999997054561796</v>
      </c>
    </row>
    <row r="3928" spans="1:40" x14ac:dyDescent="0.25">
      <c r="A3928" t="str">
        <f>"20190312160720425"</f>
        <v>20190312160720425</v>
      </c>
      <c r="B3928" t="str">
        <f>"1552378040419288"</f>
        <v>1552378040419288</v>
      </c>
      <c r="C3928" t="s">
        <v>40</v>
      </c>
      <c r="D3928">
        <v>6.0722269999999998</v>
      </c>
      <c r="E3928">
        <v>0.51513279999999995</v>
      </c>
      <c r="F3928" t="s">
        <v>66</v>
      </c>
      <c r="G3928">
        <v>-279.0369</v>
      </c>
      <c r="H3928" s="1">
        <v>3.2782569999999999E-6</v>
      </c>
      <c r="I3928">
        <v>214.47739999999999</v>
      </c>
      <c r="J3928">
        <v>-299.80869999999999</v>
      </c>
      <c r="K3928">
        <v>1.1094630000000001</v>
      </c>
      <c r="L3928">
        <v>214.41309999999999</v>
      </c>
      <c r="M3928">
        <v>0.99984640000000002</v>
      </c>
      <c r="N3928">
        <v>0</v>
      </c>
      <c r="O3928">
        <v>1.036983E-2</v>
      </c>
      <c r="P3928">
        <v>0.99873400000000001</v>
      </c>
      <c r="Q3928">
        <v>4.7114059999999996E-3</v>
      </c>
      <c r="R3928">
        <v>5.0081790000000001E-2</v>
      </c>
      <c r="S3928">
        <v>3.0041500000000001</v>
      </c>
      <c r="T3928">
        <v>-0.15785729999999901</v>
      </c>
      <c r="U3928">
        <v>9.6130369999999996E-3</v>
      </c>
      <c r="V3928">
        <v>-3.9706659999999998E-2</v>
      </c>
      <c r="W3928">
        <v>1.886763E-2</v>
      </c>
      <c r="X3928">
        <v>0.99903319999999995</v>
      </c>
      <c r="Y3928">
        <v>7.1469169999999896E-3</v>
      </c>
      <c r="Z3928">
        <v>-7.3220770000000004E-4</v>
      </c>
      <c r="AA3928">
        <v>0.99997420000000004</v>
      </c>
      <c r="AB3928">
        <v>33</v>
      </c>
      <c r="AC3928">
        <v>20.771799999999899</v>
      </c>
      <c r="AD3928">
        <v>-1.10945972174299</v>
      </c>
      <c r="AE3928">
        <v>6.4300000000002897E-2</v>
      </c>
      <c r="AF3928">
        <v>0.150695095250899</v>
      </c>
      <c r="AG3928">
        <v>-1.10945972174299</v>
      </c>
      <c r="AH3928">
        <v>20.712261913359502</v>
      </c>
      <c r="AI3928">
        <v>93.066057675949594</v>
      </c>
      <c r="AJ3928">
        <v>89.583143519441293</v>
      </c>
      <c r="AK3928">
        <v>20.7425023431</v>
      </c>
      <c r="AL3928">
        <v>88.918900250234401</v>
      </c>
      <c r="AM3928">
        <v>92.276027703810101</v>
      </c>
      <c r="AN3928">
        <v>0.99999997050620504</v>
      </c>
    </row>
    <row r="3929" spans="1:40" x14ac:dyDescent="0.25">
      <c r="A3929" t="str">
        <f>"20190312160720446"</f>
        <v>20190312160720446</v>
      </c>
      <c r="B3929" t="str">
        <f>"1552378040438810"</f>
        <v>1552378040438810</v>
      </c>
      <c r="C3929" t="s">
        <v>40</v>
      </c>
      <c r="D3929">
        <v>6.1210630000000004</v>
      </c>
      <c r="E3929">
        <v>0.51246700000000001</v>
      </c>
      <c r="F3929" t="s">
        <v>66</v>
      </c>
      <c r="G3929">
        <v>-246.00569999999999</v>
      </c>
      <c r="H3929" s="1">
        <v>1.6470390000000001E-6</v>
      </c>
      <c r="I3929">
        <v>214.89320000000001</v>
      </c>
      <c r="J3929">
        <v>-299.48899999999998</v>
      </c>
      <c r="K3929">
        <v>1.1094520000000001</v>
      </c>
      <c r="L3929">
        <v>214.4161</v>
      </c>
      <c r="M3929">
        <v>0.99985049999999998</v>
      </c>
      <c r="N3929">
        <v>0</v>
      </c>
      <c r="O3929">
        <v>1.0033250000000001E-2</v>
      </c>
      <c r="P3929">
        <v>0.99876149999999997</v>
      </c>
      <c r="Q3929">
        <v>5.1005299999999998E-3</v>
      </c>
      <c r="R3929">
        <v>4.9493269999999999E-2</v>
      </c>
      <c r="S3929">
        <v>3.0027469999999998</v>
      </c>
      <c r="T3929">
        <v>-6.1919090000000003E-2</v>
      </c>
      <c r="U3929">
        <v>2.6794430000000001E-2</v>
      </c>
      <c r="V3929">
        <v>-3.9453920000000003E-2</v>
      </c>
      <c r="W3929">
        <v>1.9210410000000001E-2</v>
      </c>
      <c r="X3929">
        <v>0.9990367</v>
      </c>
      <c r="Y3929">
        <v>1.108974E-3</v>
      </c>
      <c r="Z3929">
        <v>-2.1831589999999999E-4</v>
      </c>
      <c r="AA3929">
        <v>0.99999930000000004</v>
      </c>
      <c r="AB3929">
        <v>33</v>
      </c>
      <c r="AC3929">
        <v>53.4833</v>
      </c>
      <c r="AD3929">
        <v>-1.109450352961</v>
      </c>
      <c r="AE3929">
        <v>0.47710000000000702</v>
      </c>
      <c r="AF3929">
        <v>5.9562926656651999E-2</v>
      </c>
      <c r="AG3929">
        <v>-1.109450352961</v>
      </c>
      <c r="AH3929">
        <v>53.462391298195101</v>
      </c>
      <c r="AI3929">
        <v>91.188829367361393</v>
      </c>
      <c r="AJ3929">
        <v>89.936166287776999</v>
      </c>
      <c r="AK3929">
        <v>53.4739348762484</v>
      </c>
      <c r="AL3929">
        <v>88.899256862962602</v>
      </c>
      <c r="AM3929">
        <v>92.2615475560997</v>
      </c>
      <c r="AN3929">
        <v>0.99999998980131199</v>
      </c>
    </row>
    <row r="3930" spans="1:40" x14ac:dyDescent="0.25">
      <c r="A3930" t="str">
        <f>"20190312160720468"</f>
        <v>20190312160720468</v>
      </c>
      <c r="B3930" t="str">
        <f>"1552378040459308"</f>
        <v>1552378040459308</v>
      </c>
      <c r="C3930" t="s">
        <v>40</v>
      </c>
      <c r="D3930">
        <v>5.9881070000000003</v>
      </c>
      <c r="E3930">
        <v>0.51025690000000001</v>
      </c>
      <c r="F3930" t="s">
        <v>85</v>
      </c>
      <c r="G3930">
        <v>-107.39749999999999</v>
      </c>
      <c r="H3930">
        <v>0.76382519999999998</v>
      </c>
      <c r="I3930">
        <v>217.50800000000001</v>
      </c>
      <c r="J3930">
        <v>-299.17559999999997</v>
      </c>
      <c r="K3930">
        <v>1.1094469999999901</v>
      </c>
      <c r="L3930">
        <v>214.41890000000001</v>
      </c>
      <c r="M3930">
        <v>0.99985429999999997</v>
      </c>
      <c r="N3930">
        <v>0</v>
      </c>
      <c r="O3930">
        <v>9.7036499999999994E-3</v>
      </c>
      <c r="P3930">
        <v>0.99878670000000003</v>
      </c>
      <c r="Q3930">
        <v>4.5889420000000004E-3</v>
      </c>
      <c r="R3930">
        <v>4.9031789999999999E-2</v>
      </c>
      <c r="S3930">
        <v>3.0013429999999999</v>
      </c>
      <c r="T3930">
        <v>-5.3994660000000003E-3</v>
      </c>
      <c r="U3930">
        <v>4.8309329999999998E-2</v>
      </c>
      <c r="V3930">
        <v>-3.9322379999999997E-2</v>
      </c>
      <c r="W3930">
        <v>1.865166E-2</v>
      </c>
      <c r="X3930">
        <v>0.99905250000000001</v>
      </c>
      <c r="Y3930">
        <v>-6.389718E-3</v>
      </c>
      <c r="Z3930" s="1">
        <v>-1.170984E-5</v>
      </c>
      <c r="AA3930">
        <v>0.99997959999999997</v>
      </c>
      <c r="AB3930">
        <v>33</v>
      </c>
      <c r="AC3930">
        <v>191.77809999999999</v>
      </c>
      <c r="AD3930">
        <v>-0.34562179999999898</v>
      </c>
      <c r="AE3930">
        <v>3.08909999999997</v>
      </c>
      <c r="AF3930">
        <v>-1.22781945162978</v>
      </c>
      <c r="AG3930">
        <v>-0.34562179999999898</v>
      </c>
      <c r="AH3930">
        <v>191.79842473315699</v>
      </c>
      <c r="AI3930">
        <v>90.103245077696897</v>
      </c>
      <c r="AJ3930">
        <v>90.366780445266301</v>
      </c>
      <c r="AK3930">
        <v>191.80266610544001</v>
      </c>
      <c r="AL3930">
        <v>88.931276646575398</v>
      </c>
      <c r="AM3930">
        <v>92.253979700002603</v>
      </c>
      <c r="AN3930">
        <v>1.0000000158729301</v>
      </c>
    </row>
    <row r="3931" spans="1:40" x14ac:dyDescent="0.25">
      <c r="A3931" t="str">
        <f>"20190312160720491"</f>
        <v>20190312160720491</v>
      </c>
      <c r="B3931" t="str">
        <f>"1552378040478824"</f>
        <v>1552378040478824</v>
      </c>
      <c r="C3931" t="s">
        <v>40</v>
      </c>
      <c r="D3931">
        <v>5.653022</v>
      </c>
      <c r="E3931">
        <v>0.51032840000000002</v>
      </c>
      <c r="F3931" t="s">
        <v>85</v>
      </c>
      <c r="G3931">
        <v>-107.39749999999999</v>
      </c>
      <c r="H3931">
        <v>2.1133820000000001</v>
      </c>
      <c r="I3931">
        <v>218.59809999999999</v>
      </c>
      <c r="J3931">
        <v>-298.83999999999997</v>
      </c>
      <c r="K3931">
        <v>1.1094409999999999</v>
      </c>
      <c r="L3931">
        <v>214.42169999999999</v>
      </c>
      <c r="M3931">
        <v>0.99985849999999998</v>
      </c>
      <c r="N3931">
        <v>0</v>
      </c>
      <c r="O3931">
        <v>9.3501959999999999E-3</v>
      </c>
      <c r="P3931">
        <v>0.99880279999999999</v>
      </c>
      <c r="Q3931">
        <v>4.2788089999999997E-3</v>
      </c>
      <c r="R3931">
        <v>4.8735760000000003E-2</v>
      </c>
      <c r="S3931">
        <v>3.0003660000000001</v>
      </c>
      <c r="T3931">
        <v>1.5707369999999998E-2</v>
      </c>
      <c r="U3931">
        <v>6.5383910000000003E-2</v>
      </c>
      <c r="V3931">
        <v>-3.9379339999999999E-2</v>
      </c>
      <c r="W3931">
        <v>1.8288370000000002E-2</v>
      </c>
      <c r="X3931">
        <v>0.99905690000000003</v>
      </c>
      <c r="Y3931">
        <v>-1.2436920000000001E-2</v>
      </c>
      <c r="Z3931" s="1">
        <v>1.6396060000000001E-5</v>
      </c>
      <c r="AA3931">
        <v>0.99992259999999999</v>
      </c>
      <c r="AB3931">
        <v>33</v>
      </c>
      <c r="AC3931">
        <v>191.4425</v>
      </c>
      <c r="AD3931">
        <v>1.003941</v>
      </c>
      <c r="AE3931">
        <v>4.1764000000000001</v>
      </c>
      <c r="AF3931">
        <v>-2.3859518669633299</v>
      </c>
      <c r="AG3931">
        <v>1.003941</v>
      </c>
      <c r="AH3931">
        <v>191.46792066804699</v>
      </c>
      <c r="AI3931">
        <v>89.699601952414099</v>
      </c>
      <c r="AJ3931">
        <v>90.713946734126296</v>
      </c>
      <c r="AK3931">
        <v>191.48541800562401</v>
      </c>
      <c r="AL3931">
        <v>88.952095105236793</v>
      </c>
      <c r="AM3931">
        <v>92.257231371667402</v>
      </c>
      <c r="AN3931">
        <v>0.99999994316684904</v>
      </c>
    </row>
    <row r="3932" spans="1:40" x14ac:dyDescent="0.25">
      <c r="A3932" t="str">
        <f>"20190312160720514"</f>
        <v>20190312160720514</v>
      </c>
      <c r="B3932" t="str">
        <f>"1552378040509081"</f>
        <v>1552378040509081</v>
      </c>
      <c r="C3932" t="s">
        <v>40</v>
      </c>
      <c r="D3932">
        <v>6.065734</v>
      </c>
      <c r="E3932">
        <v>0.50944219999999996</v>
      </c>
      <c r="F3932" t="s">
        <v>85</v>
      </c>
      <c r="G3932">
        <v>-107.39749999999999</v>
      </c>
      <c r="H3932">
        <v>2.4015409999999999</v>
      </c>
      <c r="I3932">
        <v>218.50989999999999</v>
      </c>
      <c r="J3932">
        <v>-298.5068</v>
      </c>
      <c r="K3932">
        <v>1.10944</v>
      </c>
      <c r="L3932">
        <v>214.42449999999999</v>
      </c>
      <c r="M3932">
        <v>0.99986240000000004</v>
      </c>
      <c r="N3932">
        <v>0</v>
      </c>
      <c r="O3932">
        <v>8.9994310000000004E-3</v>
      </c>
      <c r="P3932">
        <v>0.9988302</v>
      </c>
      <c r="Q3932">
        <v>4.5820749999999997E-3</v>
      </c>
      <c r="R3932">
        <v>4.8137779999999998E-2</v>
      </c>
      <c r="S3932">
        <v>3.0003660000000001</v>
      </c>
      <c r="T3932">
        <v>2.0251149999999999E-2</v>
      </c>
      <c r="U3932">
        <v>6.4071660000000002E-2</v>
      </c>
      <c r="V3932">
        <v>-3.9131909999999999E-2</v>
      </c>
      <c r="W3932">
        <v>1.8537720000000001E-2</v>
      </c>
      <c r="X3932">
        <v>0.99906209999999995</v>
      </c>
      <c r="Y3932">
        <v>-1.235055E-2</v>
      </c>
      <c r="Z3932" s="1">
        <v>1.9063250000000001E-5</v>
      </c>
      <c r="AA3932">
        <v>0.99992369999999997</v>
      </c>
      <c r="AB3932">
        <v>33</v>
      </c>
      <c r="AC3932">
        <v>191.10929999999999</v>
      </c>
      <c r="AD3932">
        <v>1.2921009999999999</v>
      </c>
      <c r="AE3932">
        <v>4.0853999999999902</v>
      </c>
      <c r="AF3932">
        <v>-2.3650844880951301</v>
      </c>
      <c r="AG3932">
        <v>1.2921009999999999</v>
      </c>
      <c r="AH3932">
        <v>191.12959633154301</v>
      </c>
      <c r="AI3932">
        <v>89.612696617362801</v>
      </c>
      <c r="AJ3932">
        <v>90.708955839965796</v>
      </c>
      <c r="AK3932">
        <v>191.14859597571899</v>
      </c>
      <c r="AL3932">
        <v>88.937806057222105</v>
      </c>
      <c r="AM3932">
        <v>92.243051505897995</v>
      </c>
      <c r="AN3932">
        <v>1.00000001654972</v>
      </c>
    </row>
    <row r="3933" spans="1:40" x14ac:dyDescent="0.25">
      <c r="A3933" t="str">
        <f>"20190312160720537"</f>
        <v>20190312160720537</v>
      </c>
      <c r="B3933" t="str">
        <f>"1552378040529576"</f>
        <v>1552378040529576</v>
      </c>
      <c r="C3933" t="s">
        <v>40</v>
      </c>
      <c r="D3933">
        <v>6.1136470000000003</v>
      </c>
      <c r="E3933">
        <v>0.50933709999999999</v>
      </c>
      <c r="F3933" t="s">
        <v>85</v>
      </c>
      <c r="G3933">
        <v>-107.39749999999999</v>
      </c>
      <c r="H3933">
        <v>2.6185520000000002</v>
      </c>
      <c r="I3933">
        <v>218.85300000000001</v>
      </c>
      <c r="J3933">
        <v>-298.18360000000001</v>
      </c>
      <c r="K3933">
        <v>1.1094349999999999</v>
      </c>
      <c r="L3933">
        <v>214.42699999999999</v>
      </c>
      <c r="M3933">
        <v>0.99986620000000004</v>
      </c>
      <c r="N3933">
        <v>0</v>
      </c>
      <c r="O3933">
        <v>8.6586249999999997E-3</v>
      </c>
      <c r="P3933">
        <v>0.9988551</v>
      </c>
      <c r="Q3933">
        <v>4.9396099999999997E-3</v>
      </c>
      <c r="R3933">
        <v>4.758573E-2</v>
      </c>
      <c r="S3933">
        <v>3.0000309999999999</v>
      </c>
      <c r="T3933">
        <v>2.3690820000000001E-2</v>
      </c>
      <c r="U3933">
        <v>6.9519040000000004E-2</v>
      </c>
      <c r="V3933">
        <v>-3.8919700000000002E-2</v>
      </c>
      <c r="W3933">
        <v>1.884046E-2</v>
      </c>
      <c r="X3933">
        <v>0.99906470000000003</v>
      </c>
      <c r="Y3933">
        <v>-1.450837E-2</v>
      </c>
      <c r="Z3933" s="1">
        <v>1.1093229999999999E-5</v>
      </c>
      <c r="AA3933">
        <v>0.99989470000000003</v>
      </c>
      <c r="AB3933">
        <v>32</v>
      </c>
      <c r="AC3933">
        <v>190.7861</v>
      </c>
      <c r="AD3933">
        <v>1.509117</v>
      </c>
      <c r="AE3933">
        <v>4.4259999999999504</v>
      </c>
      <c r="AF3933">
        <v>-2.7735562008592698</v>
      </c>
      <c r="AG3933">
        <v>1.509117</v>
      </c>
      <c r="AH3933">
        <v>190.80534157666801</v>
      </c>
      <c r="AI3933">
        <v>89.546893717473594</v>
      </c>
      <c r="AJ3933">
        <v>90.832795728101104</v>
      </c>
      <c r="AK3933">
        <v>190.83146601729001</v>
      </c>
      <c r="AL3933">
        <v>88.920457274833296</v>
      </c>
      <c r="AM3933">
        <v>92.230894096113701</v>
      </c>
      <c r="AN3933">
        <v>0.99999999038359499</v>
      </c>
    </row>
    <row r="3934" spans="1:40" x14ac:dyDescent="0.25">
      <c r="A3934" t="str">
        <f>"20190312160720558"</f>
        <v>20190312160720558</v>
      </c>
      <c r="B3934" t="str">
        <f>"1552378040549097"</f>
        <v>1552378040549097</v>
      </c>
      <c r="C3934" t="s">
        <v>40</v>
      </c>
      <c r="D3934">
        <v>6.0874199999999998</v>
      </c>
      <c r="E3934">
        <v>0.50934570000000001</v>
      </c>
      <c r="F3934" t="s">
        <v>85</v>
      </c>
      <c r="G3934">
        <v>-107.39749999999999</v>
      </c>
      <c r="H3934">
        <v>2.5877849999999998</v>
      </c>
      <c r="I3934">
        <v>218.7841</v>
      </c>
      <c r="J3934">
        <v>-297.8578</v>
      </c>
      <c r="K3934">
        <v>1.1094280000000001</v>
      </c>
      <c r="L3934">
        <v>214.42949999999999</v>
      </c>
      <c r="M3934">
        <v>0.99986989999999998</v>
      </c>
      <c r="N3934">
        <v>0</v>
      </c>
      <c r="O3934">
        <v>8.3154390000000009E-3</v>
      </c>
      <c r="P3934">
        <v>0.99888220000000005</v>
      </c>
      <c r="Q3934">
        <v>4.9131069999999999E-3</v>
      </c>
      <c r="R3934">
        <v>4.7015229999999998E-2</v>
      </c>
      <c r="S3934">
        <v>3</v>
      </c>
      <c r="T3934">
        <v>2.3247E-2</v>
      </c>
      <c r="U3934">
        <v>6.8511959999999997E-2</v>
      </c>
      <c r="V3934">
        <v>-3.8692039999999997E-2</v>
      </c>
      <c r="W3934">
        <v>1.87575E-2</v>
      </c>
      <c r="X3934">
        <v>0.99907509999999999</v>
      </c>
      <c r="Y3934">
        <v>-1.4516329999999999E-2</v>
      </c>
      <c r="Z3934" s="1">
        <v>8.1957110000000002E-6</v>
      </c>
      <c r="AA3934">
        <v>0.99989459999999997</v>
      </c>
      <c r="AB3934">
        <v>32</v>
      </c>
      <c r="AC3934">
        <v>190.46029999999999</v>
      </c>
      <c r="AD3934">
        <v>1.4783569999999899</v>
      </c>
      <c r="AE3934">
        <v>4.3545999999999996</v>
      </c>
      <c r="AF3934">
        <v>-2.7703702847473202</v>
      </c>
      <c r="AG3934">
        <v>1.4783569999999899</v>
      </c>
      <c r="AH3934">
        <v>190.47845752653399</v>
      </c>
      <c r="AI3934">
        <v>89.555367257099803</v>
      </c>
      <c r="AJ3934">
        <v>90.833266586094993</v>
      </c>
      <c r="AK3934">
        <v>190.50433924879999</v>
      </c>
      <c r="AL3934">
        <v>88.925211368812001</v>
      </c>
      <c r="AM3934">
        <v>92.217834531936006</v>
      </c>
      <c r="AN3934">
        <v>0.99999998660280998</v>
      </c>
    </row>
    <row r="3935" spans="1:40" x14ac:dyDescent="0.25">
      <c r="A3935" t="str">
        <f>"20190312160720580"</f>
        <v>20190312160720580</v>
      </c>
      <c r="B3935" t="str">
        <f>"1552378040569592"</f>
        <v>1552378040569592</v>
      </c>
      <c r="C3935" t="s">
        <v>40</v>
      </c>
      <c r="D3935">
        <v>5.9768439999999998</v>
      </c>
      <c r="E3935">
        <v>0.5095132</v>
      </c>
      <c r="F3935" t="s">
        <v>85</v>
      </c>
      <c r="G3935">
        <v>-107.39749999999999</v>
      </c>
      <c r="H3935">
        <v>2.6132849999999999</v>
      </c>
      <c r="I3935">
        <v>218.67619999999999</v>
      </c>
      <c r="J3935">
        <v>-297.548</v>
      </c>
      <c r="K3935">
        <v>1.1094219999999999</v>
      </c>
      <c r="L3935">
        <v>214.43170000000001</v>
      </c>
      <c r="M3935">
        <v>0.99987340000000002</v>
      </c>
      <c r="N3935">
        <v>0</v>
      </c>
      <c r="O3935">
        <v>7.9893459999999996E-3</v>
      </c>
      <c r="P3935">
        <v>0.99891050000000003</v>
      </c>
      <c r="Q3935">
        <v>5.0103819999999999E-3</v>
      </c>
      <c r="R3935">
        <v>4.6399700000000002E-2</v>
      </c>
      <c r="S3935">
        <v>3.000092</v>
      </c>
      <c r="T3935">
        <v>2.3689269999999998E-2</v>
      </c>
      <c r="U3935">
        <v>6.6894529999999994E-2</v>
      </c>
      <c r="V3935">
        <v>-3.8401890000000001E-2</v>
      </c>
      <c r="W3935">
        <v>1.880041E-2</v>
      </c>
      <c r="X3935">
        <v>0.99908549999999996</v>
      </c>
      <c r="Y3935">
        <v>-1.430293E-2</v>
      </c>
      <c r="Z3935" s="1">
        <v>6.6191900000000002E-6</v>
      </c>
      <c r="AA3935">
        <v>0.9998977</v>
      </c>
      <c r="AB3935">
        <v>32</v>
      </c>
      <c r="AC3935">
        <v>190.15049999999999</v>
      </c>
      <c r="AD3935">
        <v>1.5038629999999999</v>
      </c>
      <c r="AE3935">
        <v>4.24449999999998</v>
      </c>
      <c r="AF3935">
        <v>-2.7248721675993699</v>
      </c>
      <c r="AG3935">
        <v>1.5038629999999999</v>
      </c>
      <c r="AH3935">
        <v>190.166455292363</v>
      </c>
      <c r="AI3935">
        <v>89.546952889561794</v>
      </c>
      <c r="AJ3935">
        <v>90.820928123498305</v>
      </c>
      <c r="AK3935">
        <v>190.19192214895699</v>
      </c>
      <c r="AL3935">
        <v>88.922752386014594</v>
      </c>
      <c r="AM3935">
        <v>92.201196613890403</v>
      </c>
      <c r="AN3935">
        <v>0.99999999844099496</v>
      </c>
    </row>
    <row r="3936" spans="1:40" x14ac:dyDescent="0.25">
      <c r="A3936" t="str">
        <f>"20190312160720603"</f>
        <v>20190312160720603</v>
      </c>
      <c r="B3936" t="str">
        <f>"1552378040598872"</f>
        <v>1552378040598872</v>
      </c>
      <c r="C3936" t="s">
        <v>40</v>
      </c>
      <c r="D3936">
        <v>5.9991750000000001</v>
      </c>
      <c r="E3936">
        <v>0.5080268</v>
      </c>
      <c r="F3936" t="s">
        <v>85</v>
      </c>
      <c r="G3936">
        <v>-107.39749999999999</v>
      </c>
      <c r="H3936">
        <v>2.6605919999999998</v>
      </c>
      <c r="I3936">
        <v>218.46629999999999</v>
      </c>
      <c r="J3936">
        <v>-297.21820000000002</v>
      </c>
      <c r="K3936">
        <v>1.109416</v>
      </c>
      <c r="L3936">
        <v>214.43389999999999</v>
      </c>
      <c r="M3936">
        <v>0.99987689999999996</v>
      </c>
      <c r="N3936">
        <v>0</v>
      </c>
      <c r="O3936">
        <v>7.6426580000000001E-3</v>
      </c>
      <c r="P3936">
        <v>0.99893699999999996</v>
      </c>
      <c r="Q3936">
        <v>4.816257E-3</v>
      </c>
      <c r="R3936">
        <v>4.5848449999999999E-2</v>
      </c>
      <c r="S3936">
        <v>3.0002439999999999</v>
      </c>
      <c r="T3936">
        <v>2.4475569999999999E-2</v>
      </c>
      <c r="U3936">
        <v>6.3659670000000002E-2</v>
      </c>
      <c r="V3936">
        <v>-3.8197689999999999E-2</v>
      </c>
      <c r="W3936">
        <v>1.8547250000000001E-2</v>
      </c>
      <c r="X3936">
        <v>0.99909809999999999</v>
      </c>
      <c r="Y3936">
        <v>-1.357092E-2</v>
      </c>
      <c r="Z3936" s="1">
        <v>6.9961639999999999E-6</v>
      </c>
      <c r="AA3936">
        <v>0.99990789999999996</v>
      </c>
      <c r="AB3936">
        <v>32</v>
      </c>
      <c r="AC3936">
        <v>189.82069999999999</v>
      </c>
      <c r="AD3936">
        <v>1.5511760000000001</v>
      </c>
      <c r="AE3936">
        <v>4.0323999999999902</v>
      </c>
      <c r="AF3936">
        <v>-2.58123900042323</v>
      </c>
      <c r="AG3936">
        <v>1.5511760000000001</v>
      </c>
      <c r="AH3936">
        <v>189.83330527407799</v>
      </c>
      <c r="AI3936">
        <v>89.531875370519003</v>
      </c>
      <c r="AJ3936">
        <v>90.779025507461597</v>
      </c>
      <c r="AK3936">
        <v>189.85719036434</v>
      </c>
      <c r="AL3936">
        <v>88.937259958116698</v>
      </c>
      <c r="AM3936">
        <v>92.189475704769904</v>
      </c>
      <c r="AN3936">
        <v>1.00000003871375</v>
      </c>
    </row>
    <row r="3937" spans="1:40" x14ac:dyDescent="0.25">
      <c r="A3937" t="str">
        <f>"20190312160720927"</f>
        <v>20190312160720927</v>
      </c>
      <c r="B3937" t="str">
        <f>"1552378040919203"</f>
        <v>1552378040919203</v>
      </c>
      <c r="C3937" t="s">
        <v>40</v>
      </c>
      <c r="D3937">
        <v>7.637753</v>
      </c>
      <c r="E3937">
        <v>0.5080268</v>
      </c>
      <c r="F3937" t="s">
        <v>85</v>
      </c>
      <c r="G3937">
        <v>-107.39749999999999</v>
      </c>
      <c r="H3937">
        <v>2.837469</v>
      </c>
      <c r="I3937">
        <v>219.11600000000001</v>
      </c>
      <c r="J3937">
        <v>-292.53149999999999</v>
      </c>
      <c r="K3937">
        <v>1.1093360000000001</v>
      </c>
      <c r="L3937">
        <v>214.45330000000001</v>
      </c>
      <c r="M3937">
        <v>0.99991209999999997</v>
      </c>
      <c r="N3937">
        <v>0</v>
      </c>
      <c r="O3937">
        <v>2.7403950000000001E-3</v>
      </c>
      <c r="P3937">
        <v>0.99920889999999996</v>
      </c>
      <c r="Q3937">
        <v>4.4317619999999997E-3</v>
      </c>
      <c r="R3937">
        <v>3.9526819999999997E-2</v>
      </c>
      <c r="S3937">
        <v>2.9996640000000001</v>
      </c>
      <c r="T3937">
        <v>2.7308579999999999E-2</v>
      </c>
      <c r="U3937">
        <v>7.3989869999999999E-2</v>
      </c>
      <c r="V3937">
        <v>-3.6774880000000003E-2</v>
      </c>
      <c r="W3937">
        <v>1.74282999999999E-2</v>
      </c>
      <c r="X3937">
        <v>0.99917160000000005</v>
      </c>
      <c r="Y3937">
        <v>-2.1917869999999999E-2</v>
      </c>
      <c r="Z3937" s="1">
        <v>-7.4805810000000002E-5</v>
      </c>
      <c r="AA3937">
        <v>0.99975979999999998</v>
      </c>
      <c r="AB3937">
        <v>32</v>
      </c>
      <c r="AC3937">
        <v>185.13399999999999</v>
      </c>
      <c r="AD3937">
        <v>1.7281329999999999</v>
      </c>
      <c r="AE3937">
        <v>4.6626999999999699</v>
      </c>
      <c r="AF3937">
        <v>-4.1549377054629701</v>
      </c>
      <c r="AG3937">
        <v>1.7281329999999999</v>
      </c>
      <c r="AH3937">
        <v>185.12996276315999</v>
      </c>
      <c r="AI3937">
        <v>89.465311154435099</v>
      </c>
      <c r="AJ3937">
        <v>91.285693749997193</v>
      </c>
      <c r="AK3937">
        <v>185.184645863772</v>
      </c>
      <c r="AL3937">
        <v>89.001381419048002</v>
      </c>
      <c r="AM3937">
        <v>92.107840898070293</v>
      </c>
      <c r="AN3937">
        <v>1.00000001184323</v>
      </c>
    </row>
    <row r="3938" spans="1:40" x14ac:dyDescent="0.25">
      <c r="A3938" t="str">
        <f>"20190312160720948"</f>
        <v>20190312160720948</v>
      </c>
      <c r="B3938" t="str">
        <f>"1552378040938725"</f>
        <v>1552378040938725</v>
      </c>
      <c r="C3938" t="s">
        <v>40</v>
      </c>
      <c r="D3938">
        <v>6.1683070000000004</v>
      </c>
      <c r="E3938">
        <v>0.54229550000000004</v>
      </c>
      <c r="F3938" t="s">
        <v>85</v>
      </c>
      <c r="G3938">
        <v>-107.39749999999999</v>
      </c>
      <c r="H3938">
        <v>2.733387</v>
      </c>
      <c r="I3938">
        <v>217.84119999999999</v>
      </c>
      <c r="J3938">
        <v>-292.23340000000002</v>
      </c>
      <c r="K3938">
        <v>1.109329</v>
      </c>
      <c r="L3938">
        <v>214.4538</v>
      </c>
      <c r="M3938">
        <v>0.99991350000000001</v>
      </c>
      <c r="N3938">
        <v>0</v>
      </c>
      <c r="O3938">
        <v>2.4221759999999998E-3</v>
      </c>
      <c r="P3938">
        <v>0.99920509999999996</v>
      </c>
      <c r="Q3938">
        <v>4.1291920000000003E-3</v>
      </c>
      <c r="R3938">
        <v>3.9656839999999999E-2</v>
      </c>
      <c r="S3938">
        <v>3.000092</v>
      </c>
      <c r="T3938">
        <v>2.631855E-2</v>
      </c>
      <c r="U3938">
        <v>5.4901119999999998E-2</v>
      </c>
      <c r="V3938">
        <v>-3.7223439999999997E-2</v>
      </c>
      <c r="W3938">
        <v>1.70855E-2</v>
      </c>
      <c r="X3938">
        <v>0.99916090000000002</v>
      </c>
      <c r="Y3938">
        <v>-1.587421E-2</v>
      </c>
      <c r="Z3938" s="1">
        <v>-4.8373530000000002E-5</v>
      </c>
      <c r="AA3938">
        <v>0.99987400000000004</v>
      </c>
      <c r="AB3938">
        <v>32</v>
      </c>
      <c r="AC3938">
        <v>184.83590000000001</v>
      </c>
      <c r="AD3938">
        <v>1.624058</v>
      </c>
      <c r="AE3938">
        <v>3.38739999999998</v>
      </c>
      <c r="AF3938">
        <v>-2.93942071045849</v>
      </c>
      <c r="AG3938">
        <v>1.624058</v>
      </c>
      <c r="AH3938">
        <v>184.829298801063</v>
      </c>
      <c r="AI3938">
        <v>89.496630074955405</v>
      </c>
      <c r="AJ3938">
        <v>90.911122887910906</v>
      </c>
      <c r="AK3938">
        <v>184.85980486247701</v>
      </c>
      <c r="AL3938">
        <v>89.021025327148493</v>
      </c>
      <c r="AM3938">
        <v>92.133550405525298</v>
      </c>
      <c r="AN3938">
        <v>1.0000000014422401</v>
      </c>
    </row>
    <row r="3939" spans="1:40" x14ac:dyDescent="0.25">
      <c r="A3939" t="str">
        <f>"20190312160720970"</f>
        <v>20190312160720970</v>
      </c>
      <c r="B3939" t="str">
        <f>"1552378040959219"</f>
        <v>1552378040959219</v>
      </c>
      <c r="C3939" t="s">
        <v>40</v>
      </c>
      <c r="D3939">
        <v>6.0447419999999896</v>
      </c>
      <c r="E3939">
        <v>0.54674699999999998</v>
      </c>
      <c r="F3939" t="s">
        <v>44</v>
      </c>
      <c r="G3939">
        <v>-291.43119999999999</v>
      </c>
      <c r="H3939">
        <v>1.0259849999999999</v>
      </c>
      <c r="I3939">
        <v>214.39250000000001</v>
      </c>
      <c r="J3939">
        <v>-291.91489999999999</v>
      </c>
      <c r="K3939">
        <v>1.1093309999999901</v>
      </c>
      <c r="L3939">
        <v>214.45410000000001</v>
      </c>
      <c r="M3939">
        <v>0.99991459999999999</v>
      </c>
      <c r="N3939">
        <v>0</v>
      </c>
      <c r="O3939">
        <v>2.0809470000000001E-3</v>
      </c>
      <c r="P3939">
        <v>0.99921749999999998</v>
      </c>
      <c r="Q3939">
        <v>4.6495390000000003E-3</v>
      </c>
      <c r="R3939">
        <v>3.9280200000000001E-2</v>
      </c>
      <c r="S3939">
        <v>3.012756</v>
      </c>
      <c r="T3939">
        <v>-0.31309799999999999</v>
      </c>
      <c r="U3939">
        <v>-0.22966</v>
      </c>
      <c r="V3939">
        <v>-3.7187390000000001E-2</v>
      </c>
      <c r="W3939">
        <v>1.7565130000000002E-2</v>
      </c>
      <c r="X3939">
        <v>0.99915390000000004</v>
      </c>
      <c r="Y3939">
        <v>7.7656660000000002E-2</v>
      </c>
      <c r="Z3939">
        <v>-4.2339719999999999E-3</v>
      </c>
      <c r="AA3939">
        <v>0.99697119999999995</v>
      </c>
      <c r="AB3939">
        <v>32</v>
      </c>
      <c r="AC3939">
        <v>0.48369999999999802</v>
      </c>
      <c r="AD3939">
        <v>-8.3345999999999698E-2</v>
      </c>
      <c r="AE3939">
        <v>-6.1599999999998503E-2</v>
      </c>
      <c r="AF3939">
        <v>6.08292773349942E-2</v>
      </c>
      <c r="AG3939">
        <v>-8.3345999999999698E-2</v>
      </c>
      <c r="AH3939">
        <v>0.46984350676374398</v>
      </c>
      <c r="AI3939">
        <v>99.9775345703532</v>
      </c>
      <c r="AJ3939">
        <v>82.623115277333596</v>
      </c>
      <c r="AK3939">
        <v>0.48104020366820699</v>
      </c>
      <c r="AL3939">
        <v>88.993540401078903</v>
      </c>
      <c r="AM3939">
        <v>92.131500939721704</v>
      </c>
      <c r="AN3939">
        <v>0.99999997582606903</v>
      </c>
    </row>
    <row r="3940" spans="1:40" x14ac:dyDescent="0.25">
      <c r="A3940" t="str">
        <f>"20190312160720994"</f>
        <v>20190312160720994</v>
      </c>
      <c r="B3940" t="str">
        <f>"1552378040989475"</f>
        <v>1552378040989475</v>
      </c>
      <c r="C3940" t="s">
        <v>40</v>
      </c>
      <c r="D3940">
        <v>5.9809029999999996</v>
      </c>
      <c r="E3940">
        <v>0.54293029999999998</v>
      </c>
      <c r="F3940" t="s">
        <v>51</v>
      </c>
      <c r="G3940">
        <v>-169.71199999999999</v>
      </c>
      <c r="H3940">
        <v>6.8924869999999903</v>
      </c>
      <c r="I3940">
        <v>204.28049999999999</v>
      </c>
      <c r="J3940">
        <v>-291.57729999999998</v>
      </c>
      <c r="K3940">
        <v>1.1093379999999999</v>
      </c>
      <c r="L3940">
        <v>214.45439999999999</v>
      </c>
      <c r="M3940">
        <v>0.99991600000000003</v>
      </c>
      <c r="N3940">
        <v>0</v>
      </c>
      <c r="O3940">
        <v>1.719787E-3</v>
      </c>
      <c r="P3940">
        <v>0.99923879999999998</v>
      </c>
      <c r="Q3940">
        <v>5.5137989999999998E-3</v>
      </c>
      <c r="R3940">
        <v>3.8621229999999999E-2</v>
      </c>
      <c r="S3940">
        <v>3.011536</v>
      </c>
      <c r="T3940">
        <v>0.14251939999999999</v>
      </c>
      <c r="U3940">
        <v>-0.25071719999999997</v>
      </c>
      <c r="V3940">
        <v>-3.6889070000000003E-2</v>
      </c>
      <c r="W3940">
        <v>1.8390879999999998E-2</v>
      </c>
      <c r="X3940">
        <v>0.99915010000000004</v>
      </c>
      <c r="Y3940">
        <v>8.4583210000000006E-2</v>
      </c>
      <c r="Z3940">
        <v>2.0780709999999999E-3</v>
      </c>
      <c r="AA3940">
        <v>0.99641420000000003</v>
      </c>
      <c r="AB3940">
        <v>32</v>
      </c>
      <c r="AC3940">
        <v>121.865299999999</v>
      </c>
      <c r="AD3940">
        <v>5.7831489999999901</v>
      </c>
      <c r="AE3940">
        <v>-10.1739</v>
      </c>
      <c r="AF3940">
        <v>10.3603146527495</v>
      </c>
      <c r="AG3940">
        <v>5.7831489999999901</v>
      </c>
      <c r="AH3940">
        <v>121.575727688551</v>
      </c>
      <c r="AI3940">
        <v>87.286411196581696</v>
      </c>
      <c r="AJ3940">
        <v>85.129195242504807</v>
      </c>
      <c r="AK3940">
        <v>122.153340089663</v>
      </c>
      <c r="AL3940">
        <v>88.946220760257503</v>
      </c>
      <c r="AM3940">
        <v>92.1144254983748</v>
      </c>
      <c r="AN3940">
        <v>0.99999997514132399</v>
      </c>
    </row>
    <row r="3941" spans="1:40" x14ac:dyDescent="0.25">
      <c r="A3941" t="str">
        <f>"20190312160721016"</f>
        <v>20190312160721016</v>
      </c>
      <c r="B3941" t="str">
        <f>"1552378041008995"</f>
        <v>1552378041008995</v>
      </c>
      <c r="C3941" t="s">
        <v>40</v>
      </c>
      <c r="D3941">
        <v>5.9836830000000001</v>
      </c>
      <c r="E3941">
        <v>0.54248379999999996</v>
      </c>
      <c r="F3941" t="s">
        <v>51</v>
      </c>
      <c r="G3941">
        <v>-168.41249999999999</v>
      </c>
      <c r="H3941">
        <v>4.9984909999999996</v>
      </c>
      <c r="I3941">
        <v>205.3023</v>
      </c>
      <c r="J3941">
        <v>-291.2509</v>
      </c>
      <c r="K3941">
        <v>1.1093299999999999</v>
      </c>
      <c r="L3941">
        <v>214.4546</v>
      </c>
      <c r="M3941">
        <v>0.99991699999999994</v>
      </c>
      <c r="N3941">
        <v>0</v>
      </c>
      <c r="O3941">
        <v>1.3707000000000001E-3</v>
      </c>
      <c r="P3941">
        <v>0.99924460000000004</v>
      </c>
      <c r="Q3941">
        <v>6.0905409999999997E-3</v>
      </c>
      <c r="R3941">
        <v>3.8384109999999999E-2</v>
      </c>
      <c r="S3941">
        <v>3.0103759999999999</v>
      </c>
      <c r="T3941">
        <v>9.5058920000000005E-2</v>
      </c>
      <c r="U3941">
        <v>-0.2236938</v>
      </c>
      <c r="V3941">
        <v>-3.6999709999999998E-2</v>
      </c>
      <c r="W3941">
        <v>1.8929129999999999E-2</v>
      </c>
      <c r="X3941">
        <v>0.99913600000000002</v>
      </c>
      <c r="Y3941">
        <v>7.543221E-2</v>
      </c>
      <c r="Z3941">
        <v>1.2322469999999999E-3</v>
      </c>
      <c r="AA3941">
        <v>0.99715019999999999</v>
      </c>
      <c r="AB3941">
        <v>32</v>
      </c>
      <c r="AC3941">
        <v>122.83839999999999</v>
      </c>
      <c r="AD3941">
        <v>3.8891610000000001</v>
      </c>
      <c r="AE3941">
        <v>-9.1522999999999897</v>
      </c>
      <c r="AF3941">
        <v>9.3113975438313599</v>
      </c>
      <c r="AG3941">
        <v>3.8891610000000001</v>
      </c>
      <c r="AH3941">
        <v>122.70341891645501</v>
      </c>
      <c r="AI3941">
        <v>88.189783673768403</v>
      </c>
      <c r="AJ3941">
        <v>85.660404314048193</v>
      </c>
      <c r="AK3941">
        <v>123.117653938378</v>
      </c>
      <c r="AL3941">
        <v>88.915375982341104</v>
      </c>
      <c r="AM3941">
        <v>92.120791334393104</v>
      </c>
      <c r="AN3941">
        <v>1.0000000184993201</v>
      </c>
    </row>
    <row r="3942" spans="1:40" x14ac:dyDescent="0.25">
      <c r="A3942" t="str">
        <f>"20190312160721038"</f>
        <v>20190312160721038</v>
      </c>
      <c r="B3942" t="str">
        <f>"1552378041029492"</f>
        <v>1552378041029492</v>
      </c>
      <c r="C3942" t="s">
        <v>40</v>
      </c>
      <c r="D3942">
        <v>6.0186479999999998</v>
      </c>
      <c r="E3942">
        <v>0.54396769999999905</v>
      </c>
      <c r="F3942" t="s">
        <v>51</v>
      </c>
      <c r="G3942">
        <v>-168.41229999999999</v>
      </c>
      <c r="H3942">
        <v>4.4925790000000001</v>
      </c>
      <c r="I3942">
        <v>205.42230000000001</v>
      </c>
      <c r="J3942">
        <v>-290.94529999999997</v>
      </c>
      <c r="K3942">
        <v>1.109321</v>
      </c>
      <c r="L3942">
        <v>214.4546</v>
      </c>
      <c r="M3942">
        <v>0.99991790000000003</v>
      </c>
      <c r="N3942">
        <v>0</v>
      </c>
      <c r="O3942">
        <v>1.041869E-3</v>
      </c>
      <c r="P3942">
        <v>0.99925640000000004</v>
      </c>
      <c r="Q3942">
        <v>5.0679710000000001E-3</v>
      </c>
      <c r="R3942">
        <v>3.8227499999999998E-2</v>
      </c>
      <c r="S3942">
        <v>3.010284</v>
      </c>
      <c r="T3942">
        <v>8.2910780000000003E-2</v>
      </c>
      <c r="U3942">
        <v>-0.22134400000000001</v>
      </c>
      <c r="V3942">
        <v>-3.717289E-2</v>
      </c>
      <c r="W3942">
        <v>1.7870730000000001E-2</v>
      </c>
      <c r="X3942">
        <v>0.99914899999999995</v>
      </c>
      <c r="Y3942">
        <v>7.4341980000000002E-2</v>
      </c>
      <c r="Z3942">
        <v>1.050863E-3</v>
      </c>
      <c r="AA3942">
        <v>0.99723229999999996</v>
      </c>
      <c r="AB3942">
        <v>32</v>
      </c>
      <c r="AC3942">
        <v>122.533</v>
      </c>
      <c r="AD3942">
        <v>3.3832580000000001</v>
      </c>
      <c r="AE3942">
        <v>-9.0322999999999904</v>
      </c>
      <c r="AF3942">
        <v>9.1530285875313098</v>
      </c>
      <c r="AG3942">
        <v>3.3832580000000001</v>
      </c>
      <c r="AH3942">
        <v>122.430689542905</v>
      </c>
      <c r="AI3942">
        <v>88.421490289229695</v>
      </c>
      <c r="AJ3942">
        <v>85.724469683403896</v>
      </c>
      <c r="AK3942">
        <v>122.81896477731</v>
      </c>
      <c r="AL3942">
        <v>88.976028040526501</v>
      </c>
      <c r="AM3942">
        <v>92.130681036720006</v>
      </c>
      <c r="AN3942">
        <v>0.99999995547134102</v>
      </c>
    </row>
    <row r="3943" spans="1:40" x14ac:dyDescent="0.25">
      <c r="A3943" t="str">
        <f>"20190312160721129"</f>
        <v>20190312160721129</v>
      </c>
      <c r="B3943" t="str">
        <f>"1552378041119283"</f>
        <v>1552378041119283</v>
      </c>
      <c r="C3943" t="s">
        <v>40</v>
      </c>
      <c r="D3943">
        <v>6.3732759999999997</v>
      </c>
      <c r="E3943">
        <v>0.57100949999999995</v>
      </c>
      <c r="F3943" t="s">
        <v>43</v>
      </c>
      <c r="G3943">
        <v>-177.59119999999999</v>
      </c>
      <c r="H3943">
        <v>4.1145670000000001</v>
      </c>
      <c r="I3943">
        <v>205.6592</v>
      </c>
      <c r="J3943">
        <v>-289.64170000000001</v>
      </c>
      <c r="K3943">
        <v>1.1093040000000001</v>
      </c>
      <c r="L3943">
        <v>214.45359999999999</v>
      </c>
      <c r="M3943">
        <v>0.99991980000000003</v>
      </c>
      <c r="N3943">
        <v>0</v>
      </c>
      <c r="O3943">
        <v>-3.629269E-4</v>
      </c>
      <c r="P3943">
        <v>0.99935549999999995</v>
      </c>
      <c r="Q3943">
        <v>5.1571209999999998E-3</v>
      </c>
      <c r="R3943">
        <v>3.5528700000000003E-2</v>
      </c>
      <c r="S3943">
        <v>3.0107729999999999</v>
      </c>
      <c r="T3943">
        <v>7.9821589999999998E-2</v>
      </c>
      <c r="U3943">
        <v>-0.23361209999999999</v>
      </c>
      <c r="V3943">
        <v>-3.5877939999999997E-2</v>
      </c>
      <c r="W3943">
        <v>1.78345E-2</v>
      </c>
      <c r="X3943">
        <v>0.999197</v>
      </c>
      <c r="Y3943">
        <v>7.6970910000000003E-2</v>
      </c>
      <c r="Z3943">
        <v>1.0090100000000001E-3</v>
      </c>
      <c r="AA3943">
        <v>0.99703280000000005</v>
      </c>
      <c r="AB3943">
        <v>32</v>
      </c>
      <c r="AC3943">
        <v>112.0505</v>
      </c>
      <c r="AD3943">
        <v>3.0052629999999998</v>
      </c>
      <c r="AE3943">
        <v>-8.7943999999999907</v>
      </c>
      <c r="AF3943">
        <v>8.7474760904421505</v>
      </c>
      <c r="AG3943">
        <v>3.0052629999999998</v>
      </c>
      <c r="AH3943">
        <v>111.97363004301199</v>
      </c>
      <c r="AI3943">
        <v>88.467273905344499</v>
      </c>
      <c r="AJ3943">
        <v>85.533076798730605</v>
      </c>
      <c r="AK3943">
        <v>112.35498995888599</v>
      </c>
      <c r="AL3943">
        <v>88.978104212835106</v>
      </c>
      <c r="AM3943">
        <v>92.056423080842293</v>
      </c>
      <c r="AN3943">
        <v>0.99999997038894595</v>
      </c>
    </row>
    <row r="3944" spans="1:40" x14ac:dyDescent="0.25">
      <c r="A3944" t="str">
        <f>"20190312160721149"</f>
        <v>20190312160721149</v>
      </c>
      <c r="B3944" t="str">
        <f>"1552378041138804"</f>
        <v>1552378041138804</v>
      </c>
      <c r="C3944" t="s">
        <v>40</v>
      </c>
      <c r="D3944">
        <v>6.4931190000000001</v>
      </c>
      <c r="E3944">
        <v>0.56508510000000001</v>
      </c>
      <c r="F3944" t="s">
        <v>44</v>
      </c>
      <c r="G3944">
        <v>-288.91930000000002</v>
      </c>
      <c r="H3944">
        <v>0.8581879</v>
      </c>
      <c r="I3944">
        <v>214.3348</v>
      </c>
      <c r="J3944">
        <v>-289.34320000000002</v>
      </c>
      <c r="K3944">
        <v>1.1093120000000001</v>
      </c>
      <c r="L3944">
        <v>214.45320000000001</v>
      </c>
      <c r="M3944">
        <v>0.99992000000000003</v>
      </c>
      <c r="N3944">
        <v>0</v>
      </c>
      <c r="O3944">
        <v>-6.7012750000000002E-4</v>
      </c>
      <c r="P3944">
        <v>0.99937779999999998</v>
      </c>
      <c r="Q3944">
        <v>5.3003869999999897E-3</v>
      </c>
      <c r="R3944">
        <v>3.4875259999999998E-2</v>
      </c>
      <c r="S3944">
        <v>3.024994</v>
      </c>
      <c r="T3944">
        <v>-1.05145</v>
      </c>
      <c r="U3944">
        <v>-0.49597170000000002</v>
      </c>
      <c r="V3944">
        <v>-3.5531489999999999E-2</v>
      </c>
      <c r="W3944">
        <v>1.7955120000000001E-2</v>
      </c>
      <c r="X3944">
        <v>0.99920730000000002</v>
      </c>
      <c r="Y3944">
        <v>0.1524556</v>
      </c>
      <c r="Z3944">
        <v>-2.5358769999999999E-2</v>
      </c>
      <c r="AA3944">
        <v>0.987985</v>
      </c>
      <c r="AB3944">
        <v>32</v>
      </c>
      <c r="AC3944">
        <v>0.423900000000003</v>
      </c>
      <c r="AD3944">
        <v>-0.25112410000000002</v>
      </c>
      <c r="AE3944">
        <v>-0.118400000000008</v>
      </c>
      <c r="AF3944">
        <v>8.9106694300055203E-2</v>
      </c>
      <c r="AG3944">
        <v>-0.25112410000000002</v>
      </c>
      <c r="AH3944">
        <v>0.31985020653262097</v>
      </c>
      <c r="AI3944">
        <v>127.101263876869</v>
      </c>
      <c r="AJ3944">
        <v>74.432757035829496</v>
      </c>
      <c r="AK3944">
        <v>0.41630213930372001</v>
      </c>
      <c r="AL3944">
        <v>88.9711921715773</v>
      </c>
      <c r="AM3944">
        <v>92.036561364183797</v>
      </c>
      <c r="AN3944">
        <v>1.0000000507445601</v>
      </c>
    </row>
    <row r="3945" spans="1:40" x14ac:dyDescent="0.25">
      <c r="A3945" t="str">
        <f>"20190312160721172"</f>
        <v>20190312160721172</v>
      </c>
      <c r="B3945" t="str">
        <f>"1552378041169059"</f>
        <v>1552378041169059</v>
      </c>
      <c r="C3945" t="s">
        <v>40</v>
      </c>
      <c r="D3945">
        <v>6.1325430000000001</v>
      </c>
      <c r="E3945">
        <v>0.53819719999999904</v>
      </c>
      <c r="F3945" t="s">
        <v>44</v>
      </c>
      <c r="G3945">
        <v>-288.62209999999999</v>
      </c>
      <c r="H3945">
        <v>0.88277700000000003</v>
      </c>
      <c r="I3945">
        <v>214.3466</v>
      </c>
      <c r="J3945">
        <v>-289.01280000000003</v>
      </c>
      <c r="K3945">
        <v>1.1093249999999999</v>
      </c>
      <c r="L3945">
        <v>214.45259999999999</v>
      </c>
      <c r="M3945">
        <v>0.99992000000000003</v>
      </c>
      <c r="N3945">
        <v>0</v>
      </c>
      <c r="O3945">
        <v>-9.9476569999999991E-4</v>
      </c>
      <c r="P3945">
        <v>0.99939549999999999</v>
      </c>
      <c r="Q3945">
        <v>5.7579010000000002E-3</v>
      </c>
      <c r="R3945">
        <v>3.428635E-2</v>
      </c>
      <c r="S3945">
        <v>3.0224299999999999</v>
      </c>
      <c r="T3945">
        <v>-0.94945809999999997</v>
      </c>
      <c r="U3945">
        <v>-0.44663999999999998</v>
      </c>
      <c r="V3945">
        <v>-3.526725E-2</v>
      </c>
      <c r="W3945">
        <v>1.8390879999999998E-2</v>
      </c>
      <c r="X3945">
        <v>0.99920869999999995</v>
      </c>
      <c r="Y3945">
        <v>0.1387071</v>
      </c>
      <c r="Z3945">
        <v>-2.0863300000000001E-2</v>
      </c>
      <c r="AA3945">
        <v>0.99011369999999999</v>
      </c>
      <c r="AB3945">
        <v>32</v>
      </c>
      <c r="AC3945">
        <v>0.39070000000003802</v>
      </c>
      <c r="AD3945">
        <v>-0.226547999999999</v>
      </c>
      <c r="AE3945">
        <v>-0.105999999999994</v>
      </c>
      <c r="AF3945">
        <v>8.0424325651060793E-2</v>
      </c>
      <c r="AG3945">
        <v>-0.226547999999999</v>
      </c>
      <c r="AH3945">
        <v>0.29760320075758201</v>
      </c>
      <c r="AI3945">
        <v>126.311443010898</v>
      </c>
      <c r="AJ3945">
        <v>74.877602417977201</v>
      </c>
      <c r="AK3945">
        <v>0.38256990676422198</v>
      </c>
      <c r="AL3945">
        <v>88.946220802024996</v>
      </c>
      <c r="AM3945">
        <v>92.0214256800447</v>
      </c>
      <c r="AN3945">
        <v>1.0000000147727099</v>
      </c>
    </row>
    <row r="3946" spans="1:40" x14ac:dyDescent="0.25">
      <c r="A3946" t="str">
        <f>"20190312160721195"</f>
        <v>20190312160721195</v>
      </c>
      <c r="B3946" t="str">
        <f>"1552378041189556"</f>
        <v>1552378041189556</v>
      </c>
      <c r="C3946" t="s">
        <v>40</v>
      </c>
      <c r="D3946">
        <v>6.0074829999999997</v>
      </c>
      <c r="E3946">
        <v>0.53684119999999902</v>
      </c>
      <c r="F3946" t="s">
        <v>66</v>
      </c>
      <c r="G3946">
        <v>-258.9676</v>
      </c>
      <c r="H3946" s="1">
        <v>3.3323869999999999E-6</v>
      </c>
      <c r="I3946">
        <v>212.39609999999999</v>
      </c>
      <c r="J3946">
        <v>-288.69139999999999</v>
      </c>
      <c r="K3946">
        <v>1.1093390000000001</v>
      </c>
      <c r="L3946">
        <v>214.45189999999999</v>
      </c>
      <c r="M3946">
        <v>0.99992000000000003</v>
      </c>
      <c r="N3946">
        <v>0</v>
      </c>
      <c r="O3946">
        <v>-1.290949E-3</v>
      </c>
      <c r="P3946">
        <v>0.99939449999999996</v>
      </c>
      <c r="Q3946">
        <v>6.1189010000000004E-3</v>
      </c>
      <c r="R3946">
        <v>3.4255639999999997E-2</v>
      </c>
      <c r="S3946">
        <v>3.0095209999999999</v>
      </c>
      <c r="T3946">
        <v>-0.11111699999999999</v>
      </c>
      <c r="U3946">
        <v>-0.2059937</v>
      </c>
      <c r="V3946">
        <v>-3.553336E-2</v>
      </c>
      <c r="W3946">
        <v>1.8727460000000001E-2</v>
      </c>
      <c r="X3946">
        <v>0.999193</v>
      </c>
      <c r="Y3946">
        <v>6.6954899999999998E-2</v>
      </c>
      <c r="Z3946">
        <v>-1.186589E-3</v>
      </c>
      <c r="AA3946">
        <v>0.99775530000000001</v>
      </c>
      <c r="AB3946">
        <v>32</v>
      </c>
      <c r="AC3946">
        <v>29.723799999999901</v>
      </c>
      <c r="AD3946">
        <v>-1.109335667613</v>
      </c>
      <c r="AE3946">
        <v>-2.0558000000000001</v>
      </c>
      <c r="AF3946">
        <v>2.0146305365938</v>
      </c>
      <c r="AG3946">
        <v>-1.109335667613</v>
      </c>
      <c r="AH3946">
        <v>29.685277851031099</v>
      </c>
      <c r="AI3946">
        <v>92.135234239206895</v>
      </c>
      <c r="AJ3946">
        <v>86.117499767451406</v>
      </c>
      <c r="AK3946">
        <v>29.774235219654798</v>
      </c>
      <c r="AL3946">
        <v>88.926932844740804</v>
      </c>
      <c r="AM3946">
        <v>92.036697580199998</v>
      </c>
      <c r="AN3946">
        <v>0.99999999433997</v>
      </c>
    </row>
    <row r="3947" spans="1:40" x14ac:dyDescent="0.25">
      <c r="A3947" t="str">
        <f>"20190312160721216"</f>
        <v>20190312160721216</v>
      </c>
      <c r="B3947" t="str">
        <f>"1552378041209075"</f>
        <v>1552378041209075</v>
      </c>
      <c r="C3947" t="s">
        <v>40</v>
      </c>
      <c r="D3947">
        <v>6.0371449999999998</v>
      </c>
      <c r="E3947">
        <v>0.53551919999999897</v>
      </c>
      <c r="F3947" t="s">
        <v>51</v>
      </c>
      <c r="G3947">
        <v>-168.41040000000001</v>
      </c>
      <c r="H3947">
        <v>6.6574099999999997E-2</v>
      </c>
      <c r="I3947">
        <v>206.74520000000001</v>
      </c>
      <c r="J3947">
        <v>-288.37110000000001</v>
      </c>
      <c r="K3947">
        <v>1.109356</v>
      </c>
      <c r="L3947">
        <v>214.4512</v>
      </c>
      <c r="M3947">
        <v>0.99991980000000003</v>
      </c>
      <c r="N3947">
        <v>0</v>
      </c>
      <c r="O3947">
        <v>-1.55339E-3</v>
      </c>
      <c r="P3947">
        <v>0.99938740000000004</v>
      </c>
      <c r="Q3947">
        <v>6.4901689999999996E-3</v>
      </c>
      <c r="R3947">
        <v>3.4393020000000003E-2</v>
      </c>
      <c r="S3947">
        <v>3.0085449999999998</v>
      </c>
      <c r="T3947">
        <v>-2.6081440000000001E-2</v>
      </c>
      <c r="U3947">
        <v>-0.1927643</v>
      </c>
      <c r="V3947">
        <v>-3.5933819999999998E-2</v>
      </c>
      <c r="W3947">
        <v>1.9072639999999998E-2</v>
      </c>
      <c r="X3947">
        <v>0.99917219999999995</v>
      </c>
      <c r="Y3947">
        <v>6.2388470000000001E-2</v>
      </c>
      <c r="Z3947">
        <v>-2.5669119999999999E-4</v>
      </c>
      <c r="AA3947">
        <v>0.99805189999999999</v>
      </c>
      <c r="AB3947">
        <v>32</v>
      </c>
      <c r="AC3947">
        <v>119.9607</v>
      </c>
      <c r="AD3947">
        <v>-1.0427819</v>
      </c>
      <c r="AE3947">
        <v>-7.70599999999998</v>
      </c>
      <c r="AF3947">
        <v>7.51906440022334</v>
      </c>
      <c r="AG3947">
        <v>-1.0427819</v>
      </c>
      <c r="AH3947">
        <v>119.96349906665699</v>
      </c>
      <c r="AI3947">
        <v>90.497055289875505</v>
      </c>
      <c r="AJ3947">
        <v>86.413510480449503</v>
      </c>
      <c r="AK3947">
        <v>120.203431031986</v>
      </c>
      <c r="AL3947">
        <v>88.907152009575498</v>
      </c>
      <c r="AM3947">
        <v>92.059674286623505</v>
      </c>
      <c r="AN3947">
        <v>1.0000000451345901</v>
      </c>
    </row>
    <row r="3948" spans="1:40" x14ac:dyDescent="0.25">
      <c r="A3948" t="str">
        <f>"20190312160721239"</f>
        <v>20190312160721239</v>
      </c>
      <c r="B3948" t="str">
        <f>"1552378041229575"</f>
        <v>1552378041229575</v>
      </c>
      <c r="C3948" t="s">
        <v>40</v>
      </c>
      <c r="D3948">
        <v>5.9994860000000001</v>
      </c>
      <c r="E3948">
        <v>0.53781489999999998</v>
      </c>
      <c r="F3948" t="s">
        <v>51</v>
      </c>
      <c r="G3948">
        <v>-168.4111</v>
      </c>
      <c r="H3948">
        <v>2.53714</v>
      </c>
      <c r="I3948">
        <v>207.2859</v>
      </c>
      <c r="J3948">
        <v>-288.05799999999999</v>
      </c>
      <c r="K3948">
        <v>1.1093759999999999</v>
      </c>
      <c r="L3948">
        <v>214.4504</v>
      </c>
      <c r="M3948">
        <v>0.99991969999999997</v>
      </c>
      <c r="N3948">
        <v>0</v>
      </c>
      <c r="O3948">
        <v>-1.790601E-3</v>
      </c>
      <c r="P3948">
        <v>0.99939180000000005</v>
      </c>
      <c r="Q3948">
        <v>6.8044409999999996E-3</v>
      </c>
      <c r="R3948">
        <v>3.4204749999999999E-2</v>
      </c>
      <c r="S3948">
        <v>3.0077820000000002</v>
      </c>
      <c r="T3948">
        <v>3.5799980000000002E-2</v>
      </c>
      <c r="U3948">
        <v>-0.17965699999999901</v>
      </c>
      <c r="V3948">
        <v>-3.5983649999999999E-2</v>
      </c>
      <c r="W3948">
        <v>1.9362020000000001E-2</v>
      </c>
      <c r="X3948">
        <v>0.99916479999999996</v>
      </c>
      <c r="Y3948">
        <v>5.7832849999999998E-2</v>
      </c>
      <c r="Z3948">
        <v>3.2256359999999998E-4</v>
      </c>
      <c r="AA3948">
        <v>0.99832619999999905</v>
      </c>
      <c r="AB3948">
        <v>32</v>
      </c>
      <c r="AC3948">
        <v>119.6469</v>
      </c>
      <c r="AD3948">
        <v>1.427764</v>
      </c>
      <c r="AE3948">
        <v>-7.1645000000000003</v>
      </c>
      <c r="AF3948">
        <v>6.9492457555708302</v>
      </c>
      <c r="AG3948">
        <v>1.427764</v>
      </c>
      <c r="AH3948">
        <v>119.64256170270301</v>
      </c>
      <c r="AI3948">
        <v>89.317439017878897</v>
      </c>
      <c r="AJ3948">
        <v>86.675801708919707</v>
      </c>
      <c r="AK3948">
        <v>119.852714184519</v>
      </c>
      <c r="AL3948">
        <v>88.890568649756105</v>
      </c>
      <c r="AM3948">
        <v>92.062543266894096</v>
      </c>
      <c r="AN3948">
        <v>1.00000000422242</v>
      </c>
    </row>
    <row r="3949" spans="1:40" x14ac:dyDescent="0.25">
      <c r="A3949" t="str">
        <f>"20190312160721261"</f>
        <v>20190312160721261</v>
      </c>
      <c r="B3949" t="str">
        <f>"1552378041249092"</f>
        <v>1552378041249092</v>
      </c>
      <c r="C3949" t="s">
        <v>40</v>
      </c>
      <c r="D3949">
        <v>5.9765100000000002</v>
      </c>
      <c r="E3949">
        <v>0.53914899999999999</v>
      </c>
      <c r="F3949" t="s">
        <v>51</v>
      </c>
      <c r="G3949">
        <v>-168.41159999999999</v>
      </c>
      <c r="H3949">
        <v>3.3591120000000001</v>
      </c>
      <c r="I3949">
        <v>206.58519999999999</v>
      </c>
      <c r="J3949">
        <v>-287.73899999999998</v>
      </c>
      <c r="K3949">
        <v>1.1093869999999999</v>
      </c>
      <c r="L3949">
        <v>214.4496</v>
      </c>
      <c r="M3949">
        <v>0.99991960000000002</v>
      </c>
      <c r="N3949">
        <v>0</v>
      </c>
      <c r="O3949">
        <v>-2.0117759999999998E-3</v>
      </c>
      <c r="P3949">
        <v>0.9993938</v>
      </c>
      <c r="Q3949">
        <v>6.7980699999999998E-3</v>
      </c>
      <c r="R3949">
        <v>3.4145519999999999E-2</v>
      </c>
      <c r="S3949">
        <v>3.0082399999999998</v>
      </c>
      <c r="T3949">
        <v>5.6565280000000003E-2</v>
      </c>
      <c r="U3949">
        <v>-0.19775390000000001</v>
      </c>
      <c r="V3949">
        <v>-3.6145660000000003E-2</v>
      </c>
      <c r="W3949">
        <v>1.933294E-2</v>
      </c>
      <c r="X3949">
        <v>0.99915949999999998</v>
      </c>
      <c r="Y3949">
        <v>6.3577289999999995E-2</v>
      </c>
      <c r="Z3949">
        <v>5.5925270000000001E-4</v>
      </c>
      <c r="AA3949">
        <v>0.9979768</v>
      </c>
      <c r="AB3949">
        <v>32</v>
      </c>
      <c r="AC3949">
        <v>119.3274</v>
      </c>
      <c r="AD3949">
        <v>2.2497250000000002</v>
      </c>
      <c r="AE3949">
        <v>-7.8644000000000096</v>
      </c>
      <c r="AF3949">
        <v>7.6216078828873899</v>
      </c>
      <c r="AG3949">
        <v>2.2497250000000002</v>
      </c>
      <c r="AH3949">
        <v>119.300759081614</v>
      </c>
      <c r="AI3949">
        <v>88.921865009628107</v>
      </c>
      <c r="AJ3949">
        <v>86.344588875215806</v>
      </c>
      <c r="AK3949">
        <v>119.565134076559</v>
      </c>
      <c r="AL3949">
        <v>88.892235105942206</v>
      </c>
      <c r="AM3949">
        <v>92.071832407732003</v>
      </c>
      <c r="AN3949">
        <v>0.99999998887306396</v>
      </c>
    </row>
    <row r="3950" spans="1:40" x14ac:dyDescent="0.25">
      <c r="A3950" t="str">
        <f>"20190312160721284"</f>
        <v>20190312160721284</v>
      </c>
      <c r="B3950" t="str">
        <f>"1552378041279347"</f>
        <v>1552378041279347</v>
      </c>
      <c r="C3950" t="s">
        <v>40</v>
      </c>
      <c r="D3950">
        <v>5.973624</v>
      </c>
      <c r="E3950">
        <v>0.54013909999999998</v>
      </c>
      <c r="F3950" t="s">
        <v>51</v>
      </c>
      <c r="G3950">
        <v>-168.41139999999999</v>
      </c>
      <c r="H3950">
        <v>2.438253</v>
      </c>
      <c r="I3950">
        <v>206.15389999999999</v>
      </c>
      <c r="J3950">
        <v>-287.41559999999998</v>
      </c>
      <c r="K3950">
        <v>1.1093980000000001</v>
      </c>
      <c r="L3950">
        <v>214.4487</v>
      </c>
      <c r="M3950">
        <v>0.99991940000000001</v>
      </c>
      <c r="N3950">
        <v>0</v>
      </c>
      <c r="O3950">
        <v>-2.2151340000000001E-3</v>
      </c>
      <c r="P3950">
        <v>0.99940899999999999</v>
      </c>
      <c r="Q3950">
        <v>6.1782729999999998E-3</v>
      </c>
      <c r="R3950">
        <v>3.3818620000000001E-2</v>
      </c>
      <c r="S3950">
        <v>3.0087280000000001</v>
      </c>
      <c r="T3950">
        <v>3.3506870000000001E-2</v>
      </c>
      <c r="U3950">
        <v>-0.20916750000000001</v>
      </c>
      <c r="V3950">
        <v>-3.6023180000000002E-2</v>
      </c>
      <c r="W3950">
        <v>1.869266E-2</v>
      </c>
      <c r="X3950">
        <v>0.99917610000000001</v>
      </c>
      <c r="Y3950">
        <v>6.7138690000000001E-2</v>
      </c>
      <c r="Z3950">
        <v>3.4874489999999999E-4</v>
      </c>
      <c r="AA3950">
        <v>0.99774359999999995</v>
      </c>
      <c r="AB3950">
        <v>32</v>
      </c>
      <c r="AC3950">
        <v>119.0042</v>
      </c>
      <c r="AD3950">
        <v>1.3288549999999999</v>
      </c>
      <c r="AE3950">
        <v>-8.2948000000000093</v>
      </c>
      <c r="AF3950">
        <v>8.03015235854933</v>
      </c>
      <c r="AG3950">
        <v>1.3288549999999999</v>
      </c>
      <c r="AH3950">
        <v>119.00751624921</v>
      </c>
      <c r="AI3950">
        <v>89.361705005153595</v>
      </c>
      <c r="AJ3950">
        <v>86.139760883023897</v>
      </c>
      <c r="AK3950">
        <v>119.28553192369399</v>
      </c>
      <c r="AL3950">
        <v>88.928927073667495</v>
      </c>
      <c r="AM3950">
        <v>92.064783791516106</v>
      </c>
      <c r="AN3950">
        <v>0.99999998192319794</v>
      </c>
    </row>
    <row r="3951" spans="1:40" x14ac:dyDescent="0.25">
      <c r="A3951" t="str">
        <f>"20190312160721307"</f>
        <v>20190312160721307</v>
      </c>
      <c r="B3951" t="str">
        <f>"1552378041298868"</f>
        <v>1552378041298868</v>
      </c>
      <c r="C3951" t="s">
        <v>40</v>
      </c>
      <c r="D3951">
        <v>5.9708310000000004</v>
      </c>
      <c r="E3951">
        <v>0.5409043</v>
      </c>
      <c r="F3951" t="s">
        <v>51</v>
      </c>
      <c r="G3951">
        <v>-168.4111</v>
      </c>
      <c r="H3951">
        <v>0.99859810000000004</v>
      </c>
      <c r="I3951">
        <v>205.77260000000001</v>
      </c>
      <c r="J3951">
        <v>-287.08019999999999</v>
      </c>
      <c r="K3951">
        <v>1.1094059999999999</v>
      </c>
      <c r="L3951">
        <v>214.4477</v>
      </c>
      <c r="M3951">
        <v>0.99991909999999895</v>
      </c>
      <c r="N3951">
        <v>0</v>
      </c>
      <c r="O3951">
        <v>-2.4122470000000002E-3</v>
      </c>
      <c r="P3951">
        <v>0.99941999999999998</v>
      </c>
      <c r="Q3951">
        <v>5.5318260000000001E-3</v>
      </c>
      <c r="R3951">
        <v>3.3600970000000001E-2</v>
      </c>
      <c r="S3951">
        <v>3.0092469999999998</v>
      </c>
      <c r="T3951">
        <v>-2.8009409999999999E-3</v>
      </c>
      <c r="U3951">
        <v>-0.2193909</v>
      </c>
      <c r="V3951">
        <v>-3.6003609999999998E-2</v>
      </c>
      <c r="W3951">
        <v>1.8027109999999999E-2</v>
      </c>
      <c r="X3951">
        <v>0.99918910000000005</v>
      </c>
      <c r="Y3951">
        <v>7.0306300000000002E-2</v>
      </c>
      <c r="Z3951" s="1">
        <v>-3.0434E-5</v>
      </c>
      <c r="AA3951">
        <v>0.99752549999999995</v>
      </c>
      <c r="AB3951">
        <v>32</v>
      </c>
      <c r="AC3951">
        <v>118.6691</v>
      </c>
      <c r="AD3951">
        <v>-0.110807899999999</v>
      </c>
      <c r="AE3951">
        <v>-8.6750999999999792</v>
      </c>
      <c r="AF3951">
        <v>8.38878597315931</v>
      </c>
      <c r="AG3951">
        <v>-0.110807899999999</v>
      </c>
      <c r="AH3951">
        <v>118.689579862627</v>
      </c>
      <c r="AI3951">
        <v>90.053357883539604</v>
      </c>
      <c r="AJ3951">
        <v>85.957150710526903</v>
      </c>
      <c r="AK3951">
        <v>118.985715010085</v>
      </c>
      <c r="AL3951">
        <v>88.967066777139095</v>
      </c>
      <c r="AM3951">
        <v>92.063636218317896</v>
      </c>
      <c r="AN3951">
        <v>1.0000000470933901</v>
      </c>
    </row>
    <row r="3952" spans="1:40" x14ac:dyDescent="0.25">
      <c r="A3952" t="str">
        <f>"20190312160721329"</f>
        <v>20190312160721329</v>
      </c>
      <c r="B3952" t="str">
        <f>"1552378041319363"</f>
        <v>1552378041319363</v>
      </c>
      <c r="C3952" t="s">
        <v>40</v>
      </c>
      <c r="D3952">
        <v>5.9554080000000003</v>
      </c>
      <c r="E3952">
        <v>0.54129859999999996</v>
      </c>
      <c r="F3952" t="s">
        <v>51</v>
      </c>
      <c r="G3952">
        <v>-168.4109</v>
      </c>
      <c r="H3952">
        <v>0.43170170000000002</v>
      </c>
      <c r="I3952">
        <v>205.51689999999999</v>
      </c>
      <c r="J3952">
        <v>-286.76310000000001</v>
      </c>
      <c r="K3952">
        <v>1.109407</v>
      </c>
      <c r="L3952">
        <v>214.44669999999999</v>
      </c>
      <c r="M3952">
        <v>0.99991890000000005</v>
      </c>
      <c r="N3952">
        <v>0</v>
      </c>
      <c r="O3952">
        <v>-2.5929960000000002E-3</v>
      </c>
      <c r="P3952">
        <v>0.99942609999999998</v>
      </c>
      <c r="Q3952">
        <v>5.3701349999999998E-3</v>
      </c>
      <c r="R3952">
        <v>3.3449859999999998E-2</v>
      </c>
      <c r="S3952">
        <v>3.0094599999999998</v>
      </c>
      <c r="T3952">
        <v>-1.7185809999999999E-2</v>
      </c>
      <c r="U3952">
        <v>-0.2264862</v>
      </c>
      <c r="V3952">
        <v>-3.6033259999999998E-2</v>
      </c>
      <c r="W3952">
        <v>1.7849750000000001E-2</v>
      </c>
      <c r="X3952">
        <v>0.99919119999999995</v>
      </c>
      <c r="Y3952">
        <v>7.2458599999999998E-2</v>
      </c>
      <c r="Z3952">
        <v>-1.918097E-4</v>
      </c>
      <c r="AA3952">
        <v>0.99737140000000002</v>
      </c>
      <c r="AB3952">
        <v>32</v>
      </c>
      <c r="AC3952">
        <v>118.3522</v>
      </c>
      <c r="AD3952">
        <v>-0.67770529999999995</v>
      </c>
      <c r="AE3952">
        <v>-8.9298000000000002</v>
      </c>
      <c r="AF3952">
        <v>8.6225782092625902</v>
      </c>
      <c r="AG3952">
        <v>-0.67770529999999995</v>
      </c>
      <c r="AH3952">
        <v>118.371099487496</v>
      </c>
      <c r="AI3952">
        <v>90.327162813374201</v>
      </c>
      <c r="AJ3952">
        <v>85.833727196738096</v>
      </c>
      <c r="AK3952">
        <v>118.686668726218</v>
      </c>
      <c r="AL3952">
        <v>88.977230375856294</v>
      </c>
      <c r="AM3952">
        <v>92.065329873488807</v>
      </c>
      <c r="AN3952">
        <v>1.00000003177936</v>
      </c>
    </row>
    <row r="3953" spans="1:40" x14ac:dyDescent="0.25">
      <c r="A3953" t="str">
        <f>"20190312160721350"</f>
        <v>20190312160721350</v>
      </c>
      <c r="B3953" t="str">
        <f>"1552378041338884"</f>
        <v>1552378041338884</v>
      </c>
      <c r="C3953" t="s">
        <v>40</v>
      </c>
      <c r="D3953">
        <v>5.9693579999999997</v>
      </c>
      <c r="E3953">
        <v>0.54139009999999999</v>
      </c>
      <c r="F3953" t="s">
        <v>61</v>
      </c>
      <c r="G3953">
        <v>-179.92850000000001</v>
      </c>
      <c r="H3953">
        <v>7.9313770000000006E-2</v>
      </c>
      <c r="I3953">
        <v>206.2627</v>
      </c>
      <c r="J3953">
        <v>-286.45769999999999</v>
      </c>
      <c r="K3953">
        <v>1.109405</v>
      </c>
      <c r="L3953">
        <v>214.44569999999999</v>
      </c>
      <c r="M3953">
        <v>0.99991870000000005</v>
      </c>
      <c r="N3953">
        <v>0</v>
      </c>
      <c r="O3953">
        <v>-2.7656920000000002E-3</v>
      </c>
      <c r="P3953">
        <v>0.99942699999999995</v>
      </c>
      <c r="Q3953">
        <v>5.2181880000000003E-3</v>
      </c>
      <c r="R3953">
        <v>3.3444929999999998E-2</v>
      </c>
      <c r="S3953">
        <v>3.0095519999999998</v>
      </c>
      <c r="T3953">
        <v>-2.9017930000000001E-2</v>
      </c>
      <c r="U3953">
        <v>-0.230545</v>
      </c>
      <c r="V3953">
        <v>-3.6201070000000002E-2</v>
      </c>
      <c r="W3953">
        <v>1.7684789999999999E-2</v>
      </c>
      <c r="X3953">
        <v>0.99918799999999997</v>
      </c>
      <c r="Y3953">
        <v>7.3619260000000006E-2</v>
      </c>
      <c r="Z3953">
        <v>-3.2776059999999898E-4</v>
      </c>
      <c r="AA3953">
        <v>0.99728640000000002</v>
      </c>
      <c r="AB3953">
        <v>32</v>
      </c>
      <c r="AC3953">
        <v>106.52919999999899</v>
      </c>
      <c r="AD3953">
        <v>-1.03009123</v>
      </c>
      <c r="AE3953">
        <v>-8.1829999999999892</v>
      </c>
      <c r="AF3953">
        <v>7.8875857473818396</v>
      </c>
      <c r="AG3953">
        <v>-1.03009123</v>
      </c>
      <c r="AH3953">
        <v>106.541522669275</v>
      </c>
      <c r="AI3953">
        <v>90.552432290819695</v>
      </c>
      <c r="AJ3953">
        <v>85.765947234489701</v>
      </c>
      <c r="AK3953">
        <v>106.838060397744</v>
      </c>
      <c r="AL3953">
        <v>88.986683311135593</v>
      </c>
      <c r="AM3953">
        <v>92.074946544265998</v>
      </c>
      <c r="AN3953">
        <v>0.99999996430524296</v>
      </c>
    </row>
    <row r="3954" spans="1:40" x14ac:dyDescent="0.25">
      <c r="A3954" t="str">
        <f>"20190312160721373"</f>
        <v>20190312160721373</v>
      </c>
      <c r="B3954" t="str">
        <f>"1552378041369139"</f>
        <v>1552378041369139</v>
      </c>
      <c r="C3954" t="s">
        <v>40</v>
      </c>
      <c r="D3954">
        <v>6.030786</v>
      </c>
      <c r="E3954">
        <v>0.49576110000000001</v>
      </c>
      <c r="F3954" t="s">
        <v>61</v>
      </c>
      <c r="G3954">
        <v>-207.26320000000001</v>
      </c>
      <c r="H3954">
        <v>8.0000879999999996E-2</v>
      </c>
      <c r="I3954">
        <v>208.35040000000001</v>
      </c>
      <c r="J3954">
        <v>-286.1336</v>
      </c>
      <c r="K3954">
        <v>1.1094079999999999</v>
      </c>
      <c r="L3954">
        <v>214.44460000000001</v>
      </c>
      <c r="M3954">
        <v>0.99991830000000004</v>
      </c>
      <c r="N3954">
        <v>0</v>
      </c>
      <c r="O3954">
        <v>-2.9489020000000002E-3</v>
      </c>
      <c r="P3954">
        <v>0.99943079999999995</v>
      </c>
      <c r="Q3954">
        <v>4.7775689999999997E-3</v>
      </c>
      <c r="R3954">
        <v>3.339632E-2</v>
      </c>
      <c r="S3954">
        <v>3.009674</v>
      </c>
      <c r="T3954">
        <v>-3.9121030000000001E-2</v>
      </c>
      <c r="U3954">
        <v>-0.23164370000000001</v>
      </c>
      <c r="V3954">
        <v>-3.6336199999999999E-2</v>
      </c>
      <c r="W3954">
        <v>1.7230909999999999E-2</v>
      </c>
      <c r="X3954">
        <v>0.99919100000000005</v>
      </c>
      <c r="Y3954">
        <v>7.3792700000000003E-2</v>
      </c>
      <c r="Z3954">
        <v>-4.4059159999999998E-4</v>
      </c>
      <c r="AA3954">
        <v>0.99727350000000003</v>
      </c>
      <c r="AB3954">
        <v>32</v>
      </c>
      <c r="AC3954">
        <v>78.870399999999904</v>
      </c>
      <c r="AD3954">
        <v>-1.0294071199999999</v>
      </c>
      <c r="AE3954">
        <v>-6.0941999999999998</v>
      </c>
      <c r="AF3954">
        <v>5.8605819916333299</v>
      </c>
      <c r="AG3954">
        <v>-1.0294071199999999</v>
      </c>
      <c r="AH3954">
        <v>78.874672922937407</v>
      </c>
      <c r="AI3954">
        <v>90.745679436040604</v>
      </c>
      <c r="AJ3954">
        <v>85.750591450762499</v>
      </c>
      <c r="AK3954">
        <v>79.098799794938301</v>
      </c>
      <c r="AL3954">
        <v>89.012692659616206</v>
      </c>
      <c r="AM3954">
        <v>92.082678771404801</v>
      </c>
      <c r="AN3954">
        <v>0.99999993908543205</v>
      </c>
    </row>
    <row r="3955" spans="1:40" x14ac:dyDescent="0.25">
      <c r="A3955" t="str">
        <f>"20190312160721397"</f>
        <v>20190312160721397</v>
      </c>
      <c r="B3955" t="str">
        <f>"1552378041389216"</f>
        <v>1552378041389216</v>
      </c>
      <c r="C3955" t="s">
        <v>40</v>
      </c>
      <c r="D3955">
        <v>6.0111049999999997</v>
      </c>
      <c r="E3955">
        <v>0.49573899999999999</v>
      </c>
      <c r="F3955" t="s">
        <v>66</v>
      </c>
      <c r="G3955">
        <v>-223.74510000000001</v>
      </c>
      <c r="H3955" s="1">
        <v>3.4383220000000002E-7</v>
      </c>
      <c r="I3955">
        <v>217.18690000000001</v>
      </c>
      <c r="J3955">
        <v>-285.7998</v>
      </c>
      <c r="K3955">
        <v>1.1094109999999999</v>
      </c>
      <c r="L3955">
        <v>214.4434</v>
      </c>
      <c r="M3955">
        <v>0.99991779999999997</v>
      </c>
      <c r="N3955">
        <v>0</v>
      </c>
      <c r="O3955">
        <v>-3.1392880000000001E-3</v>
      </c>
      <c r="P3955">
        <v>0.99943939999999998</v>
      </c>
      <c r="Q3955">
        <v>4.4883559999999998E-3</v>
      </c>
      <c r="R3955">
        <v>3.3178260000000001E-2</v>
      </c>
      <c r="S3955">
        <v>2.9975890000000001</v>
      </c>
      <c r="T3955">
        <v>-5.3303959999999997E-2</v>
      </c>
      <c r="U3955">
        <v>0.1317596</v>
      </c>
      <c r="V3955">
        <v>-3.6308750000000001E-2</v>
      </c>
      <c r="W3955">
        <v>1.6930549999999999E-2</v>
      </c>
      <c r="X3955">
        <v>0.99919720000000001</v>
      </c>
      <c r="Y3955">
        <v>-4.7041180000000002E-2</v>
      </c>
      <c r="Z3955">
        <v>4.7381229999999999E-4</v>
      </c>
      <c r="AA3955">
        <v>0.99889280000000003</v>
      </c>
      <c r="AB3955">
        <v>32</v>
      </c>
      <c r="AC3955">
        <v>62.054699999999997</v>
      </c>
      <c r="AD3955">
        <v>-1.1094106561677901</v>
      </c>
      <c r="AE3955">
        <v>2.7435000000000098</v>
      </c>
      <c r="AF3955">
        <v>-2.9373720941944601</v>
      </c>
      <c r="AG3955">
        <v>-1.1094106561677901</v>
      </c>
      <c r="AH3955">
        <v>62.025994735030899</v>
      </c>
      <c r="AI3955">
        <v>91.023548850323607</v>
      </c>
      <c r="AJ3955">
        <v>92.711337062370603</v>
      </c>
      <c r="AK3955">
        <v>62.105418199170401</v>
      </c>
      <c r="AL3955">
        <v>89.029904597609303</v>
      </c>
      <c r="AM3955">
        <v>92.081093904270702</v>
      </c>
      <c r="AN3955">
        <v>1.0000000066688499</v>
      </c>
    </row>
    <row r="3956" spans="1:40" x14ac:dyDescent="0.25">
      <c r="A3956" t="str">
        <f>"20190312160721418"</f>
        <v>20190312160721418</v>
      </c>
      <c r="B3956" t="str">
        <f>"1552378041408741"</f>
        <v>1552378041408741</v>
      </c>
      <c r="C3956" t="s">
        <v>40</v>
      </c>
      <c r="D3956">
        <v>5.9641500000000001</v>
      </c>
      <c r="E3956">
        <v>0.4948979</v>
      </c>
      <c r="F3956" t="s">
        <v>66</v>
      </c>
      <c r="G3956">
        <v>-238.37260000000001</v>
      </c>
      <c r="H3956" s="1">
        <v>2.8358009999999998E-6</v>
      </c>
      <c r="I3956">
        <v>216.51259999999999</v>
      </c>
      <c r="J3956">
        <v>-285.4896</v>
      </c>
      <c r="K3956">
        <v>1.1094090000000001</v>
      </c>
      <c r="L3956">
        <v>214.44220000000001</v>
      </c>
      <c r="M3956">
        <v>0.99991730000000001</v>
      </c>
      <c r="N3956">
        <v>0</v>
      </c>
      <c r="O3956">
        <v>-3.3169470000000002E-3</v>
      </c>
      <c r="P3956">
        <v>0.99945919999999999</v>
      </c>
      <c r="Q3956">
        <v>4.5423199999999999E-3</v>
      </c>
      <c r="R3956">
        <v>3.2571139999999998E-2</v>
      </c>
      <c r="S3956">
        <v>2.9976500000000001</v>
      </c>
      <c r="T3956">
        <v>-7.0120450000000001E-2</v>
      </c>
      <c r="U3956">
        <v>0.13078310000000001</v>
      </c>
      <c r="V3956">
        <v>-3.5878970000000003E-2</v>
      </c>
      <c r="W3956">
        <v>1.697537E-2</v>
      </c>
      <c r="X3956">
        <v>0.99921199999999999</v>
      </c>
      <c r="Y3956">
        <v>-4.6887169999999999E-2</v>
      </c>
      <c r="Z3956">
        <v>6.256015E-4</v>
      </c>
      <c r="AA3956">
        <v>0.99890000000000001</v>
      </c>
      <c r="AB3956">
        <v>32</v>
      </c>
      <c r="AC3956">
        <v>47.116999999999898</v>
      </c>
      <c r="AD3956">
        <v>-1.1094061641990001</v>
      </c>
      <c r="AE3956">
        <v>2.07039999999997</v>
      </c>
      <c r="AF3956">
        <v>-2.2254538449915202</v>
      </c>
      <c r="AG3956">
        <v>-1.1094061641990001</v>
      </c>
      <c r="AH3956">
        <v>47.0838197034549</v>
      </c>
      <c r="AI3956">
        <v>91.348269680744494</v>
      </c>
      <c r="AJ3956">
        <v>92.706116168707993</v>
      </c>
      <c r="AK3956">
        <v>47.1494380106571</v>
      </c>
      <c r="AL3956">
        <v>89.0273362663537</v>
      </c>
      <c r="AM3956">
        <v>92.056451221817994</v>
      </c>
      <c r="AN3956">
        <v>1.00000004230944</v>
      </c>
    </row>
    <row r="3957" spans="1:40" x14ac:dyDescent="0.25">
      <c r="A3957" t="str">
        <f>"20190312160721439"</f>
        <v>20190312160721439</v>
      </c>
      <c r="B3957" t="str">
        <f>"1552378041429233"</f>
        <v>1552378041429233</v>
      </c>
      <c r="C3957" t="s">
        <v>40</v>
      </c>
      <c r="D3957">
        <v>6.0690309999999998</v>
      </c>
      <c r="E3957">
        <v>0.49520120000000001</v>
      </c>
      <c r="F3957" t="s">
        <v>66</v>
      </c>
      <c r="G3957">
        <v>-237.62549999999999</v>
      </c>
      <c r="H3957" s="1">
        <v>2.434133E-6</v>
      </c>
      <c r="I3957">
        <v>216.60659999999999</v>
      </c>
      <c r="J3957">
        <v>-285.17110000000002</v>
      </c>
      <c r="K3957">
        <v>1.1094079999999999</v>
      </c>
      <c r="L3957">
        <v>214.4409</v>
      </c>
      <c r="M3957">
        <v>0.9999169</v>
      </c>
      <c r="N3957">
        <v>0</v>
      </c>
      <c r="O3957">
        <v>-3.4997470000000001E-3</v>
      </c>
      <c r="P3957">
        <v>0.99946480000000004</v>
      </c>
      <c r="Q3957">
        <v>4.9142910000000003E-3</v>
      </c>
      <c r="R3957">
        <v>3.2349269999999999E-2</v>
      </c>
      <c r="S3957">
        <v>2.997528</v>
      </c>
      <c r="T3957">
        <v>-6.9477559999999994E-2</v>
      </c>
      <c r="U3957">
        <v>0.13554379999999999</v>
      </c>
      <c r="V3957">
        <v>-3.5840150000000001E-2</v>
      </c>
      <c r="W3957">
        <v>1.7339139999999999E-2</v>
      </c>
      <c r="X3957">
        <v>0.99920710000000001</v>
      </c>
      <c r="Y3957">
        <v>-4.8654559999999999E-2</v>
      </c>
      <c r="Z3957">
        <v>6.4457480000000003E-4</v>
      </c>
      <c r="AA3957">
        <v>0.99881549999999997</v>
      </c>
      <c r="AB3957">
        <v>32</v>
      </c>
      <c r="AC3957">
        <v>47.5456</v>
      </c>
      <c r="AD3957">
        <v>-1.1094055658669999</v>
      </c>
      <c r="AE3957">
        <v>2.1656999999999802</v>
      </c>
      <c r="AF3957">
        <v>-2.3308307162451198</v>
      </c>
      <c r="AG3957">
        <v>-1.1094055658669999</v>
      </c>
      <c r="AH3957">
        <v>47.511914372011702</v>
      </c>
      <c r="AI3957">
        <v>91.336010121062202</v>
      </c>
      <c r="AJ3957">
        <v>92.8085541217512</v>
      </c>
      <c r="AK3957">
        <v>47.581987766703698</v>
      </c>
      <c r="AL3957">
        <v>89.006490666413598</v>
      </c>
      <c r="AM3957">
        <v>92.054238173892401</v>
      </c>
      <c r="AN3957">
        <v>0.99999999540918605</v>
      </c>
    </row>
    <row r="3958" spans="1:40" x14ac:dyDescent="0.25">
      <c r="A3958" t="str">
        <f>"20190312160721462"</f>
        <v>20190312160721462</v>
      </c>
      <c r="B3958" t="str">
        <f>"1552378041448752"</f>
        <v>1552378041448752</v>
      </c>
      <c r="C3958" t="s">
        <v>40</v>
      </c>
      <c r="D3958">
        <v>6.0688760000000004</v>
      </c>
      <c r="E3958">
        <v>0.49532670000000001</v>
      </c>
      <c r="F3958" t="s">
        <v>66</v>
      </c>
      <c r="G3958">
        <v>-237.36259999999999</v>
      </c>
      <c r="H3958" s="1">
        <v>2.296479E-6</v>
      </c>
      <c r="I3958">
        <v>216.55500000000001</v>
      </c>
      <c r="J3958">
        <v>-284.85320000000002</v>
      </c>
      <c r="K3958">
        <v>1.1094090000000001</v>
      </c>
      <c r="L3958">
        <v>214.43960000000001</v>
      </c>
      <c r="M3958">
        <v>0.99991629999999998</v>
      </c>
      <c r="N3958">
        <v>0</v>
      </c>
      <c r="O3958">
        <v>-3.6812390000000002E-3</v>
      </c>
      <c r="P3958">
        <v>0.99946429999999997</v>
      </c>
      <c r="Q3958">
        <v>5.3746879999999999E-3</v>
      </c>
      <c r="R3958">
        <v>3.2283920000000001E-2</v>
      </c>
      <c r="S3958">
        <v>2.997681</v>
      </c>
      <c r="T3958">
        <v>-6.9561719999999994E-2</v>
      </c>
      <c r="U3958">
        <v>0.13255310000000001</v>
      </c>
      <c r="V3958">
        <v>-3.5955639999999997E-2</v>
      </c>
      <c r="W3958">
        <v>1.7792059999999998E-2</v>
      </c>
      <c r="X3958">
        <v>0.99919500000000006</v>
      </c>
      <c r="Y3958">
        <v>-4.7839180000000002E-2</v>
      </c>
      <c r="Z3958">
        <v>6.4009150000000003E-4</v>
      </c>
      <c r="AA3958">
        <v>0.99885489999999999</v>
      </c>
      <c r="AB3958">
        <v>32</v>
      </c>
      <c r="AC3958">
        <v>47.490600000000001</v>
      </c>
      <c r="AD3958">
        <v>-1.109406703521</v>
      </c>
      <c r="AE3958">
        <v>2.11539999999999</v>
      </c>
      <c r="AF3958">
        <v>-2.2889767058650201</v>
      </c>
      <c r="AG3958">
        <v>-1.109406703521</v>
      </c>
      <c r="AH3958">
        <v>47.4566437310447</v>
      </c>
      <c r="AI3958">
        <v>91.337620440967598</v>
      </c>
      <c r="AJ3958">
        <v>92.761407752711406</v>
      </c>
      <c r="AK3958">
        <v>47.524764405614</v>
      </c>
      <c r="AL3958">
        <v>88.980536268734298</v>
      </c>
      <c r="AM3958">
        <v>92.060876912725107</v>
      </c>
      <c r="AN3958">
        <v>1.00000000673592</v>
      </c>
    </row>
    <row r="3959" spans="1:40" x14ac:dyDescent="0.25">
      <c r="A3959" t="str">
        <f>"20190312160721485"</f>
        <v>20190312160721485</v>
      </c>
      <c r="B3959" t="str">
        <f>"1552378041479008"</f>
        <v>1552378041479008</v>
      </c>
      <c r="C3959" t="s">
        <v>40</v>
      </c>
      <c r="D3959">
        <v>5.9406429999999997</v>
      </c>
      <c r="E3959">
        <v>0.49511670000000002</v>
      </c>
      <c r="F3959" t="s">
        <v>66</v>
      </c>
      <c r="G3959">
        <v>-237.45590000000001</v>
      </c>
      <c r="H3959" s="1">
        <v>2.3479380000000002E-6</v>
      </c>
      <c r="I3959">
        <v>216.51320000000001</v>
      </c>
      <c r="J3959">
        <v>-284.52030000000002</v>
      </c>
      <c r="K3959">
        <v>1.109416</v>
      </c>
      <c r="L3959">
        <v>214.43819999999999</v>
      </c>
      <c r="M3959">
        <v>0.99991569999999996</v>
      </c>
      <c r="N3959">
        <v>0</v>
      </c>
      <c r="O3959">
        <v>-3.8685619999999999E-3</v>
      </c>
      <c r="P3959">
        <v>0.9994729</v>
      </c>
      <c r="Q3959">
        <v>4.8193059999999998E-3</v>
      </c>
      <c r="R3959">
        <v>3.2105839999999997E-2</v>
      </c>
      <c r="S3959">
        <v>2.9977719999999999</v>
      </c>
      <c r="T3959">
        <v>-7.0167419999999994E-2</v>
      </c>
      <c r="U3959">
        <v>0.1311493</v>
      </c>
      <c r="V3959">
        <v>-3.5965039999999997E-2</v>
      </c>
      <c r="W3959">
        <v>1.723044E-2</v>
      </c>
      <c r="X3959">
        <v>0.99920450000000005</v>
      </c>
      <c r="Y3959">
        <v>-4.7557889999999998E-2</v>
      </c>
      <c r="Z3959">
        <v>6.4674299999999997E-4</v>
      </c>
      <c r="AA3959">
        <v>0.99886830000000004</v>
      </c>
      <c r="AB3959">
        <v>32</v>
      </c>
      <c r="AC3959">
        <v>47.064399999999999</v>
      </c>
      <c r="AD3959">
        <v>-1.1094136520619999</v>
      </c>
      <c r="AE3959">
        <v>2.0750000000000099</v>
      </c>
      <c r="AF3959">
        <v>-2.2558189911887299</v>
      </c>
      <c r="AG3959">
        <v>-1.1094136520619999</v>
      </c>
      <c r="AH3959">
        <v>47.029938357663802</v>
      </c>
      <c r="AI3959">
        <v>91.349778045334205</v>
      </c>
      <c r="AJ3959">
        <v>92.746121465158794</v>
      </c>
      <c r="AK3959">
        <v>47.0970765536253</v>
      </c>
      <c r="AL3959">
        <v>89.012719655239394</v>
      </c>
      <c r="AM3959">
        <v>92.061395647587403</v>
      </c>
      <c r="AN3959">
        <v>1.00000000249252</v>
      </c>
    </row>
    <row r="3960" spans="1:40" x14ac:dyDescent="0.25">
      <c r="A3960" t="str">
        <f>"20190312160721508"</f>
        <v>20190312160721508</v>
      </c>
      <c r="B3960" t="str">
        <f>"1552378041499508"</f>
        <v>1552378041499508</v>
      </c>
      <c r="C3960" t="s">
        <v>40</v>
      </c>
      <c r="D3960">
        <v>5.9893409999999996</v>
      </c>
      <c r="E3960">
        <v>0.49502679999999999</v>
      </c>
      <c r="F3960" t="s">
        <v>66</v>
      </c>
      <c r="G3960">
        <v>-240.0009</v>
      </c>
      <c r="H3960" s="1">
        <v>-1.6144439999999999E-6</v>
      </c>
      <c r="I3960">
        <v>216.40379999999999</v>
      </c>
      <c r="J3960">
        <v>-284.1925</v>
      </c>
      <c r="K3960">
        <v>1.109415</v>
      </c>
      <c r="L3960">
        <v>214.4367</v>
      </c>
      <c r="M3960">
        <v>0.999915</v>
      </c>
      <c r="N3960">
        <v>0</v>
      </c>
      <c r="O3960">
        <v>-4.0488360000000001E-3</v>
      </c>
      <c r="P3960">
        <v>0.9994748</v>
      </c>
      <c r="Q3960">
        <v>4.9499459999999898E-3</v>
      </c>
      <c r="R3960">
        <v>3.2028710000000002E-2</v>
      </c>
      <c r="S3960">
        <v>2.997681</v>
      </c>
      <c r="T3960">
        <v>-7.4701790000000004E-2</v>
      </c>
      <c r="U3960">
        <v>0.13235469999999999</v>
      </c>
      <c r="V3960">
        <v>-3.6068360000000001E-2</v>
      </c>
      <c r="W3960">
        <v>1.735488E-2</v>
      </c>
      <c r="X3960">
        <v>0.99919860000000005</v>
      </c>
      <c r="Y3960">
        <v>-4.8138090000000001E-2</v>
      </c>
      <c r="Z3960">
        <v>7.0025380000000002E-4</v>
      </c>
      <c r="AA3960">
        <v>0.99884050000000002</v>
      </c>
      <c r="AB3960">
        <v>32</v>
      </c>
      <c r="AC3960">
        <v>44.191600000000001</v>
      </c>
      <c r="AD3960">
        <v>-1.1094166144440001</v>
      </c>
      <c r="AE3960">
        <v>1.9670999999999801</v>
      </c>
      <c r="AF3960">
        <v>-2.14467315990214</v>
      </c>
      <c r="AG3960">
        <v>-1.1094166144440001</v>
      </c>
      <c r="AH3960">
        <v>44.1554988663842</v>
      </c>
      <c r="AI3960">
        <v>91.437572244937996</v>
      </c>
      <c r="AJ3960">
        <v>92.780723341284201</v>
      </c>
      <c r="AK3960">
        <v>44.2214711234991</v>
      </c>
      <c r="AL3960">
        <v>89.005588680140505</v>
      </c>
      <c r="AM3960">
        <v>92.067324669258099</v>
      </c>
      <c r="AN3960">
        <v>0.99999998034743098</v>
      </c>
    </row>
    <row r="3961" spans="1:40" x14ac:dyDescent="0.25">
      <c r="A3961" t="str">
        <f>"20190312160721530"</f>
        <v>20190312160721530</v>
      </c>
      <c r="B3961" t="str">
        <f>"1552378041519024"</f>
        <v>1552378041519024</v>
      </c>
      <c r="C3961" t="s">
        <v>40</v>
      </c>
      <c r="D3961">
        <v>6.0204899999999997</v>
      </c>
      <c r="E3961">
        <v>0.49466939999999998</v>
      </c>
      <c r="F3961" t="s">
        <v>66</v>
      </c>
      <c r="G3961">
        <v>-240.77279999999999</v>
      </c>
      <c r="H3961" s="1">
        <v>-1.201757E-6</v>
      </c>
      <c r="I3961">
        <v>216.35929999999999</v>
      </c>
      <c r="J3961">
        <v>-283.87849999999997</v>
      </c>
      <c r="K3961">
        <v>1.1094219999999999</v>
      </c>
      <c r="L3961">
        <v>214.43520000000001</v>
      </c>
      <c r="M3961">
        <v>0.99991450000000004</v>
      </c>
      <c r="N3961">
        <v>0</v>
      </c>
      <c r="O3961">
        <v>-4.2125080000000002E-3</v>
      </c>
      <c r="P3961">
        <v>0.99946710000000005</v>
      </c>
      <c r="Q3961">
        <v>5.0925140000000002E-3</v>
      </c>
      <c r="R3961">
        <v>3.2252099999999999E-2</v>
      </c>
      <c r="S3961">
        <v>2.9977109999999998</v>
      </c>
      <c r="T3961">
        <v>-7.6594469999999998E-2</v>
      </c>
      <c r="U3961">
        <v>0.1327362</v>
      </c>
      <c r="V3961">
        <v>-3.6455630000000003E-2</v>
      </c>
      <c r="W3961">
        <v>1.749218E-2</v>
      </c>
      <c r="X3961">
        <v>0.99918220000000002</v>
      </c>
      <c r="Y3961">
        <v>-4.8427020000000001E-2</v>
      </c>
      <c r="Z3961">
        <v>7.2584919999999897E-4</v>
      </c>
      <c r="AA3961">
        <v>0.9988264</v>
      </c>
      <c r="AB3961">
        <v>32</v>
      </c>
      <c r="AC3961">
        <v>43.105699999999899</v>
      </c>
      <c r="AD3961">
        <v>-1.1094232017569901</v>
      </c>
      <c r="AE3961">
        <v>1.9240999999999799</v>
      </c>
      <c r="AF3961">
        <v>-2.1042888223267</v>
      </c>
      <c r="AG3961">
        <v>-1.1094232017569901</v>
      </c>
      <c r="AH3961">
        <v>43.068739255630497</v>
      </c>
      <c r="AI3961">
        <v>91.4738190398093</v>
      </c>
      <c r="AJ3961">
        <v>92.797181183339305</v>
      </c>
      <c r="AK3961">
        <v>43.134384803284902</v>
      </c>
      <c r="AL3961">
        <v>88.997720823921895</v>
      </c>
      <c r="AM3961">
        <v>92.089536458732795</v>
      </c>
      <c r="AN3961">
        <v>1.00000002905834</v>
      </c>
    </row>
    <row r="3962" spans="1:40" x14ac:dyDescent="0.25">
      <c r="A3962" t="str">
        <f>"20190312160721920"</f>
        <v>20190312160721920</v>
      </c>
      <c r="B3962" t="str">
        <f>"1552378041908956"</f>
        <v>1552378041908956</v>
      </c>
      <c r="C3962" t="s">
        <v>40</v>
      </c>
      <c r="D3962">
        <v>5.847003</v>
      </c>
      <c r="E3962">
        <v>0.49926300000000001</v>
      </c>
      <c r="F3962" t="s">
        <v>66</v>
      </c>
      <c r="G3962">
        <v>-239.80340000000001</v>
      </c>
      <c r="H3962" s="1">
        <v>3.6004689999999999E-6</v>
      </c>
      <c r="I3962">
        <v>216.4376</v>
      </c>
      <c r="J3962">
        <v>-278.28809999999999</v>
      </c>
      <c r="K3962">
        <v>1.1095120000000001</v>
      </c>
      <c r="L3962">
        <v>214.4084</v>
      </c>
      <c r="M3962">
        <v>0.99991549999999996</v>
      </c>
      <c r="N3962">
        <v>0</v>
      </c>
      <c r="O3962">
        <v>-4.7290120000000003E-3</v>
      </c>
      <c r="P3962">
        <v>0.99953349999999996</v>
      </c>
      <c r="Q3962">
        <v>3.450308E-3</v>
      </c>
      <c r="R3962">
        <v>3.0345440000000001E-2</v>
      </c>
      <c r="S3962">
        <v>2.99762</v>
      </c>
      <c r="T3962">
        <v>-7.5453279999999998E-2</v>
      </c>
      <c r="U3962">
        <v>0.13618469999999999</v>
      </c>
      <c r="V3962">
        <v>-3.5071690000000003E-2</v>
      </c>
      <c r="W3962">
        <v>1.555029E-2</v>
      </c>
      <c r="X3962">
        <v>0.99926380000000004</v>
      </c>
      <c r="Y3962">
        <v>-5.0090790000000003E-2</v>
      </c>
      <c r="Z3962">
        <v>7.4896039999999896E-4</v>
      </c>
      <c r="AA3962">
        <v>0.99874439999999998</v>
      </c>
      <c r="AB3962">
        <v>32</v>
      </c>
      <c r="AC3962">
        <v>38.484699999999897</v>
      </c>
      <c r="AD3962">
        <v>-1.109508399531</v>
      </c>
      <c r="AE3962">
        <v>2.0291999999999999</v>
      </c>
      <c r="AF3962">
        <v>-2.2093540219724601</v>
      </c>
      <c r="AG3962">
        <v>-1.109508399531</v>
      </c>
      <c r="AH3962">
        <v>38.442809228350697</v>
      </c>
      <c r="AI3962">
        <v>91.650448295136002</v>
      </c>
      <c r="AJ3962">
        <v>93.289238474155894</v>
      </c>
      <c r="AK3962">
        <v>38.522225214159199</v>
      </c>
      <c r="AL3962">
        <v>89.108998090977707</v>
      </c>
      <c r="AM3962">
        <v>92.010115164810699</v>
      </c>
      <c r="AN3962">
        <v>0.99999998847449001</v>
      </c>
    </row>
    <row r="3963" spans="1:40" x14ac:dyDescent="0.25">
      <c r="A3963" t="str">
        <f>"20190312160721944"</f>
        <v>20190312160721944</v>
      </c>
      <c r="B3963" t="str">
        <f>"1552378041939213"</f>
        <v>1552378041939213</v>
      </c>
      <c r="C3963" t="s">
        <v>40</v>
      </c>
      <c r="D3963">
        <v>5.7471690000000004</v>
      </c>
      <c r="E3963">
        <v>0.5073029</v>
      </c>
      <c r="F3963" t="s">
        <v>66</v>
      </c>
      <c r="G3963">
        <v>-231.85839999999999</v>
      </c>
      <c r="H3963" s="1">
        <v>-6.0239850000000001E-7</v>
      </c>
      <c r="I3963">
        <v>215.8639</v>
      </c>
      <c r="J3963">
        <v>-277.95780000000002</v>
      </c>
      <c r="K3963">
        <v>1.1095109999999999</v>
      </c>
      <c r="L3963">
        <v>214.4068</v>
      </c>
      <c r="M3963">
        <v>0.99991609999999997</v>
      </c>
      <c r="N3963">
        <v>0</v>
      </c>
      <c r="O3963">
        <v>-4.7289790000000003E-3</v>
      </c>
      <c r="P3963">
        <v>0.99951769999999995</v>
      </c>
      <c r="Q3963">
        <v>3.4896689999999999E-3</v>
      </c>
      <c r="R3963">
        <v>3.0863370000000001E-2</v>
      </c>
      <c r="S3963">
        <v>2.9987789999999999</v>
      </c>
      <c r="T3963">
        <v>-7.1660520000000005E-2</v>
      </c>
      <c r="U3963">
        <v>9.4009400000000007E-2</v>
      </c>
      <c r="V3963">
        <v>-3.5590089999999998E-2</v>
      </c>
      <c r="W3963">
        <v>1.554409E-2</v>
      </c>
      <c r="X3963">
        <v>0.99924559999999996</v>
      </c>
      <c r="Y3963">
        <v>-3.604885E-2</v>
      </c>
      <c r="Z3963">
        <v>5.4352709999999995E-4</v>
      </c>
      <c r="AA3963">
        <v>0.99934990000000001</v>
      </c>
      <c r="AB3963">
        <v>32</v>
      </c>
      <c r="AC3963">
        <v>46.099400000000003</v>
      </c>
      <c r="AD3963">
        <v>-1.1095116023984899</v>
      </c>
      <c r="AE3963">
        <v>1.4570999999999901</v>
      </c>
      <c r="AF3963">
        <v>-1.6741338630652001</v>
      </c>
      <c r="AG3963">
        <v>-1.1095116023984899</v>
      </c>
      <c r="AH3963">
        <v>46.065336208879103</v>
      </c>
      <c r="AI3963">
        <v>91.378826974999697</v>
      </c>
      <c r="AJ3963">
        <v>92.081361296595603</v>
      </c>
      <c r="AK3963">
        <v>46.1090982369466</v>
      </c>
      <c r="AL3963">
        <v>89.109353396886505</v>
      </c>
      <c r="AM3963">
        <v>92.039839188161295</v>
      </c>
      <c r="AN3963">
        <v>1.00000002117974</v>
      </c>
    </row>
    <row r="3964" spans="1:40" x14ac:dyDescent="0.25">
      <c r="A3964" t="str">
        <f>"20190312160721965"</f>
        <v>20190312160721965</v>
      </c>
      <c r="B3964" t="str">
        <f>"1552378041959708"</f>
        <v>1552378041959708</v>
      </c>
      <c r="C3964" t="s">
        <v>40</v>
      </c>
      <c r="D3964">
        <v>5.8255809999999997</v>
      </c>
      <c r="E3964">
        <v>0.50940180000000002</v>
      </c>
      <c r="F3964" t="s">
        <v>61</v>
      </c>
      <c r="G3964">
        <v>-179.56489999999999</v>
      </c>
      <c r="H3964">
        <v>7.9980540000000003E-2</v>
      </c>
      <c r="I3964">
        <v>215.4785</v>
      </c>
      <c r="J3964">
        <v>-277.64109999999999</v>
      </c>
      <c r="K3964">
        <v>1.1094999999999999</v>
      </c>
      <c r="L3964">
        <v>214.40530000000001</v>
      </c>
      <c r="M3964">
        <v>0.9999169</v>
      </c>
      <c r="N3964">
        <v>0</v>
      </c>
      <c r="O3964">
        <v>-4.7286790000000004E-3</v>
      </c>
      <c r="P3964">
        <v>0.99948760000000003</v>
      </c>
      <c r="Q3964">
        <v>4.294918E-3</v>
      </c>
      <c r="R3964">
        <v>3.1718469999999999E-2</v>
      </c>
      <c r="S3964">
        <v>3.0005489999999999</v>
      </c>
      <c r="T3964">
        <v>-3.1396149999999998E-2</v>
      </c>
      <c r="U3964">
        <v>3.2684329999999998E-2</v>
      </c>
      <c r="V3964">
        <v>-3.6444450000000003E-2</v>
      </c>
      <c r="W3964">
        <v>1.629835E-2</v>
      </c>
      <c r="X3964">
        <v>0.99920279999999995</v>
      </c>
      <c r="Y3964">
        <v>-1.5619640000000001E-2</v>
      </c>
      <c r="Z3964">
        <v>1.311924E-4</v>
      </c>
      <c r="AA3964">
        <v>0.99987800000000004</v>
      </c>
      <c r="AB3964">
        <v>32</v>
      </c>
      <c r="AC3964">
        <v>98.0762</v>
      </c>
      <c r="AD3964">
        <v>-1.0295194599999999</v>
      </c>
      <c r="AE3964">
        <v>1.0731999999999799</v>
      </c>
      <c r="AF3964">
        <v>-1.5368229011424399</v>
      </c>
      <c r="AG3964">
        <v>-1.0295194599999999</v>
      </c>
      <c r="AH3964">
        <v>98.059224296821597</v>
      </c>
      <c r="AI3964">
        <v>90.601449899411193</v>
      </c>
      <c r="AJ3964">
        <v>90.897888581527894</v>
      </c>
      <c r="AK3964">
        <v>98.076670032390297</v>
      </c>
      <c r="AL3964">
        <v>89.066132016537395</v>
      </c>
      <c r="AM3964">
        <v>92.088853192208006</v>
      </c>
      <c r="AN3964">
        <v>1.0000000348381799</v>
      </c>
    </row>
    <row r="3965" spans="1:40" x14ac:dyDescent="0.25">
      <c r="A3965" t="str">
        <f>"20190312160722054"</f>
        <v>20190312160722054</v>
      </c>
      <c r="B3965" t="str">
        <f>"1552378042049500"</f>
        <v>1552378042049500</v>
      </c>
      <c r="C3965" t="s">
        <v>40</v>
      </c>
      <c r="D3965">
        <v>5.9745489999999997</v>
      </c>
      <c r="E3965">
        <v>0.55645710000000004</v>
      </c>
      <c r="F3965" t="s">
        <v>45</v>
      </c>
      <c r="G3965">
        <v>-117.77200000000001</v>
      </c>
      <c r="H3965">
        <v>-0.05</v>
      </c>
      <c r="I3965">
        <v>215.41079999999999</v>
      </c>
      <c r="J3965">
        <v>-276.36700000000002</v>
      </c>
      <c r="K3965">
        <v>1.109467</v>
      </c>
      <c r="L3965">
        <v>214.39930000000001</v>
      </c>
      <c r="M3965">
        <v>0.99991969999999997</v>
      </c>
      <c r="N3965">
        <v>0</v>
      </c>
      <c r="O3965">
        <v>-4.7280969999999997E-3</v>
      </c>
      <c r="P3965">
        <v>0.99949089999999996</v>
      </c>
      <c r="Q3965">
        <v>5.053994E-3</v>
      </c>
      <c r="R3965">
        <v>3.1505850000000002E-2</v>
      </c>
      <c r="S3965">
        <v>3.0010379999999999</v>
      </c>
      <c r="T3965">
        <v>-2.1765949999999999E-2</v>
      </c>
      <c r="U3965">
        <v>1.8875119999999999E-2</v>
      </c>
      <c r="V3965">
        <v>-3.6231159999999998E-2</v>
      </c>
      <c r="W3965">
        <v>1.6819939999999999E-2</v>
      </c>
      <c r="X3965">
        <v>0.99920189999999998</v>
      </c>
      <c r="Y3965">
        <v>-1.1017249999999999E-2</v>
      </c>
      <c r="Z3965" s="1">
        <v>7.4245679999999998E-5</v>
      </c>
      <c r="AA3965">
        <v>0.99993929999999998</v>
      </c>
      <c r="AB3965">
        <v>32</v>
      </c>
      <c r="AC3965">
        <v>158.595</v>
      </c>
      <c r="AD3965">
        <v>-1.159467</v>
      </c>
      <c r="AE3965">
        <v>1.0114999999999801</v>
      </c>
      <c r="AF3965">
        <v>-1.76129893532207</v>
      </c>
      <c r="AG3965">
        <v>-1.159467</v>
      </c>
      <c r="AH3965">
        <v>158.57996869529799</v>
      </c>
      <c r="AI3965">
        <v>90.418888245774696</v>
      </c>
      <c r="AJ3965">
        <v>90.636340434508199</v>
      </c>
      <c r="AK3965">
        <v>158.59398793480599</v>
      </c>
      <c r="AL3965">
        <v>89.036243001231796</v>
      </c>
      <c r="AM3965">
        <v>92.0766408480564</v>
      </c>
      <c r="AN3965">
        <v>1.00000002215007</v>
      </c>
    </row>
    <row r="3966" spans="1:40" x14ac:dyDescent="0.25">
      <c r="A3966" t="str">
        <f>"20190312160722076"</f>
        <v>20190312160722076</v>
      </c>
      <c r="B3966" t="str">
        <f>"1552378042069020"</f>
        <v>1552378042069020</v>
      </c>
      <c r="C3966" t="s">
        <v>40</v>
      </c>
      <c r="D3966">
        <v>6.1927979999999998</v>
      </c>
      <c r="E3966">
        <v>0.55572719999999998</v>
      </c>
      <c r="F3966" t="s">
        <v>44</v>
      </c>
      <c r="G3966">
        <v>-275.4128</v>
      </c>
      <c r="H3966">
        <v>0.91726019999999997</v>
      </c>
      <c r="I3966">
        <v>214.27959999999999</v>
      </c>
      <c r="J3966">
        <v>-276.04430000000002</v>
      </c>
      <c r="K3966">
        <v>1.1094550000000001</v>
      </c>
      <c r="L3966">
        <v>214.39779999999999</v>
      </c>
      <c r="M3966">
        <v>0.99992040000000004</v>
      </c>
      <c r="N3966">
        <v>0</v>
      </c>
      <c r="O3966">
        <v>-4.727635E-3</v>
      </c>
      <c r="P3966">
        <v>0.9994904</v>
      </c>
      <c r="Q3966">
        <v>5.5744150000000001E-3</v>
      </c>
      <c r="R3966">
        <v>3.1428070000000002E-2</v>
      </c>
      <c r="S3966">
        <v>3.0164789999999999</v>
      </c>
      <c r="T3966">
        <v>-0.6075566</v>
      </c>
      <c r="U3966">
        <v>-0.37782290000000002</v>
      </c>
      <c r="V3966">
        <v>-3.615227E-2</v>
      </c>
      <c r="W3966">
        <v>1.7261430000000001E-2</v>
      </c>
      <c r="X3966">
        <v>0.99919720000000001</v>
      </c>
      <c r="Y3966">
        <v>0.1173622</v>
      </c>
      <c r="Z3966">
        <v>-1.071823E-2</v>
      </c>
      <c r="AA3966">
        <v>0.99303129999999995</v>
      </c>
      <c r="AB3966">
        <v>32</v>
      </c>
      <c r="AC3966">
        <v>0.63150000000001605</v>
      </c>
      <c r="AD3966">
        <v>-0.1921948</v>
      </c>
      <c r="AE3966">
        <v>-0.118200000000001</v>
      </c>
      <c r="AF3966">
        <v>0.105749304764338</v>
      </c>
      <c r="AG3966">
        <v>-0.1921948</v>
      </c>
      <c r="AH3966">
        <v>0.58013464283117799</v>
      </c>
      <c r="AI3966">
        <v>108.051974531032</v>
      </c>
      <c r="AJ3966">
        <v>79.669316326597496</v>
      </c>
      <c r="AK3966">
        <v>0.62022412111916403</v>
      </c>
      <c r="AL3966">
        <v>89.010943786565804</v>
      </c>
      <c r="AM3966">
        <v>92.072132838959305</v>
      </c>
      <c r="AN3966">
        <v>0.99999999403981799</v>
      </c>
    </row>
    <row r="3967" spans="1:40" x14ac:dyDescent="0.25">
      <c r="A3967" t="str">
        <f>"20190312160722098"</f>
        <v>20190312160722098</v>
      </c>
      <c r="B3967" t="str">
        <f>"1552378042089516"</f>
        <v>1552378042089516</v>
      </c>
      <c r="C3967" t="s">
        <v>40</v>
      </c>
      <c r="D3967">
        <v>5.9112580000000001</v>
      </c>
      <c r="E3967">
        <v>0.54409469999999904</v>
      </c>
      <c r="F3967" t="s">
        <v>44</v>
      </c>
      <c r="G3967">
        <v>-275.10829999999999</v>
      </c>
      <c r="H3967">
        <v>0.95314549999999998</v>
      </c>
      <c r="I3967">
        <v>214.2833</v>
      </c>
      <c r="J3967">
        <v>-275.73230000000001</v>
      </c>
      <c r="K3967">
        <v>1.1094459999999999</v>
      </c>
      <c r="L3967">
        <v>214.3963</v>
      </c>
      <c r="M3967">
        <v>0.99992139999999996</v>
      </c>
      <c r="N3967">
        <v>0</v>
      </c>
      <c r="O3967">
        <v>-4.7272979999999996E-3</v>
      </c>
      <c r="P3967">
        <v>0.99949840000000001</v>
      </c>
      <c r="Q3967">
        <v>6.3819339999999997E-3</v>
      </c>
      <c r="R3967">
        <v>3.1021190000000001E-2</v>
      </c>
      <c r="S3967">
        <v>3.0158999999999998</v>
      </c>
      <c r="T3967">
        <v>-0.50372150000000004</v>
      </c>
      <c r="U3967">
        <v>-0.36820979999999998</v>
      </c>
      <c r="V3967">
        <v>-3.5745399999999997E-2</v>
      </c>
      <c r="W3967">
        <v>1.79904E-2</v>
      </c>
      <c r="X3967">
        <v>0.99919899999999995</v>
      </c>
      <c r="Y3967">
        <v>0.1149907</v>
      </c>
      <c r="Z3967">
        <v>-8.7210840000000005E-3</v>
      </c>
      <c r="AA3967">
        <v>0.99332830000000005</v>
      </c>
      <c r="AB3967">
        <v>32</v>
      </c>
      <c r="AC3967">
        <v>0.62400000000002298</v>
      </c>
      <c r="AD3967">
        <v>-0.15630049999999901</v>
      </c>
      <c r="AE3967">
        <v>-0.112999999999999</v>
      </c>
      <c r="AF3967">
        <v>0.103746239586996</v>
      </c>
      <c r="AG3967">
        <v>-0.15630049999999901</v>
      </c>
      <c r="AH3967">
        <v>0.58876071118802398</v>
      </c>
      <c r="AI3967">
        <v>104.65177955854899</v>
      </c>
      <c r="AJ3967">
        <v>80.006433071611198</v>
      </c>
      <c r="AK3967">
        <v>0.61792580749416803</v>
      </c>
      <c r="AL3967">
        <v>88.969170413026106</v>
      </c>
      <c r="AM3967">
        <v>92.0488286479858</v>
      </c>
      <c r="AN3967">
        <v>1.0000000148571599</v>
      </c>
    </row>
    <row r="3968" spans="1:40" x14ac:dyDescent="0.25">
      <c r="A3968" t="str">
        <f>"20190312160722121"</f>
        <v>20190312160722121</v>
      </c>
      <c r="B3968" t="str">
        <f>"1552378042109036"</f>
        <v>1552378042109036</v>
      </c>
      <c r="C3968" t="s">
        <v>40</v>
      </c>
      <c r="D3968">
        <v>5.8478149999999998</v>
      </c>
      <c r="E3968">
        <v>0.54244859999999995</v>
      </c>
      <c r="F3968" t="s">
        <v>51</v>
      </c>
      <c r="G3968">
        <v>-168.41200000000001</v>
      </c>
      <c r="H3968">
        <v>3.4326759999999998</v>
      </c>
      <c r="I3968">
        <v>205.22790000000001</v>
      </c>
      <c r="J3968">
        <v>-275.40190000000001</v>
      </c>
      <c r="K3968">
        <v>1.1094360000000001</v>
      </c>
      <c r="L3968">
        <v>214.3947</v>
      </c>
      <c r="M3968">
        <v>0.99992230000000004</v>
      </c>
      <c r="N3968">
        <v>0</v>
      </c>
      <c r="O3968">
        <v>-4.7268359999999999E-3</v>
      </c>
      <c r="P3968">
        <v>0.99949489999999996</v>
      </c>
      <c r="Q3968">
        <v>7.3384100000000001E-3</v>
      </c>
      <c r="R3968">
        <v>3.0918879999999999E-2</v>
      </c>
      <c r="S3968">
        <v>3.009064</v>
      </c>
      <c r="T3968">
        <v>6.5140009999999998E-2</v>
      </c>
      <c r="U3968">
        <v>-0.25706479999999998</v>
      </c>
      <c r="V3968">
        <v>-3.5642859999999998E-2</v>
      </c>
      <c r="W3968">
        <v>1.886668E-2</v>
      </c>
      <c r="X3968">
        <v>0.99918649999999998</v>
      </c>
      <c r="Y3968">
        <v>8.0391589999999999E-2</v>
      </c>
      <c r="Z3968">
        <v>7.6634299999999995E-4</v>
      </c>
      <c r="AA3968">
        <v>0.99676310000000001</v>
      </c>
      <c r="AB3968">
        <v>32</v>
      </c>
      <c r="AC3968">
        <v>106.98990000000001</v>
      </c>
      <c r="AD3968">
        <v>2.3232400000000002</v>
      </c>
      <c r="AE3968">
        <v>-9.1667999999999896</v>
      </c>
      <c r="AF3968">
        <v>8.6568880487166702</v>
      </c>
      <c r="AG3968">
        <v>2.3232400000000002</v>
      </c>
      <c r="AH3968">
        <v>106.98196062912299</v>
      </c>
      <c r="AI3968">
        <v>88.760001616871804</v>
      </c>
      <c r="AJ3968">
        <v>85.373754740590996</v>
      </c>
      <c r="AK3968">
        <v>107.356783925548</v>
      </c>
      <c r="AL3968">
        <v>88.918954737328093</v>
      </c>
      <c r="AM3968">
        <v>92.042981858871698</v>
      </c>
      <c r="AN3968">
        <v>1.00000001343272</v>
      </c>
    </row>
    <row r="3969" spans="1:40" x14ac:dyDescent="0.25">
      <c r="A3969" t="str">
        <f>"20190312160722144"</f>
        <v>20190312160722144</v>
      </c>
      <c r="B3969" t="str">
        <f>"1552378042139293"</f>
        <v>1552378042139293</v>
      </c>
      <c r="C3969" t="s">
        <v>40</v>
      </c>
      <c r="D3969">
        <v>5.9070919999999996</v>
      </c>
      <c r="E3969">
        <v>0.53829289999999996</v>
      </c>
      <c r="F3969" t="s">
        <v>51</v>
      </c>
      <c r="G3969">
        <v>-169.36709999999999</v>
      </c>
      <c r="H3969">
        <v>6.5958959999999998</v>
      </c>
      <c r="I3969">
        <v>205.88980000000001</v>
      </c>
      <c r="J3969">
        <v>-275.07330000000002</v>
      </c>
      <c r="K3969">
        <v>1.109429</v>
      </c>
      <c r="L3969">
        <v>214.39320000000001</v>
      </c>
      <c r="M3969">
        <v>0.99992329999999996</v>
      </c>
      <c r="N3969">
        <v>0</v>
      </c>
      <c r="O3969">
        <v>-4.7266249999999999E-3</v>
      </c>
      <c r="P3969">
        <v>0.99950870000000003</v>
      </c>
      <c r="Q3969">
        <v>7.5042260000000001E-3</v>
      </c>
      <c r="R3969">
        <v>3.043653E-2</v>
      </c>
      <c r="S3969">
        <v>3.0078429999999998</v>
      </c>
      <c r="T3969">
        <v>0.15563289999999999</v>
      </c>
      <c r="U3969">
        <v>-0.24125669999999999</v>
      </c>
      <c r="V3969">
        <v>-3.5160150000000001E-2</v>
      </c>
      <c r="W3969">
        <v>1.895488E-2</v>
      </c>
      <c r="X3969">
        <v>0.99920189999999998</v>
      </c>
      <c r="Y3969">
        <v>7.5146149999999995E-2</v>
      </c>
      <c r="Z3969">
        <v>1.6956950000000001E-3</v>
      </c>
      <c r="AA3969">
        <v>0.99717109999999998</v>
      </c>
      <c r="AB3969">
        <v>32</v>
      </c>
      <c r="AC3969">
        <v>105.7062</v>
      </c>
      <c r="AD3969">
        <v>5.4864670000000002</v>
      </c>
      <c r="AE3969">
        <v>-8.5033999999999992</v>
      </c>
      <c r="AF3969">
        <v>7.9822733468533498</v>
      </c>
      <c r="AG3969">
        <v>5.4864670000000002</v>
      </c>
      <c r="AH3969">
        <v>105.462932112055</v>
      </c>
      <c r="AI3969">
        <v>87.030481420560093</v>
      </c>
      <c r="AJ3969">
        <v>85.671652419336198</v>
      </c>
      <c r="AK3969">
        <v>105.906789478286</v>
      </c>
      <c r="AL3969">
        <v>88.913900309794201</v>
      </c>
      <c r="AM3969">
        <v>92.015305763894403</v>
      </c>
      <c r="AN3969">
        <v>0.99999998029372295</v>
      </c>
    </row>
    <row r="3970" spans="1:40" x14ac:dyDescent="0.25">
      <c r="A3970" t="str">
        <f>"20190312160722166"</f>
        <v>20190312160722166</v>
      </c>
      <c r="B3970" t="str">
        <f>"1552378042158812"</f>
        <v>1552378042158812</v>
      </c>
      <c r="C3970" t="s">
        <v>40</v>
      </c>
      <c r="D3970">
        <v>5.9204350000000003</v>
      </c>
      <c r="E3970">
        <v>0.53842219999999996</v>
      </c>
      <c r="F3970" t="s">
        <v>51</v>
      </c>
      <c r="G3970">
        <v>-168.41309999999999</v>
      </c>
      <c r="H3970">
        <v>8.6030730000000002</v>
      </c>
      <c r="I3970">
        <v>207.02610000000001</v>
      </c>
      <c r="J3970">
        <v>-274.74829999999997</v>
      </c>
      <c r="K3970">
        <v>1.1094170000000001</v>
      </c>
      <c r="L3970">
        <v>214.39160000000001</v>
      </c>
      <c r="M3970">
        <v>0.99992409999999998</v>
      </c>
      <c r="N3970">
        <v>0</v>
      </c>
      <c r="O3970">
        <v>-4.7259529999999998E-3</v>
      </c>
      <c r="P3970">
        <v>0.99951480000000004</v>
      </c>
      <c r="Q3970">
        <v>7.4381330000000004E-3</v>
      </c>
      <c r="R3970">
        <v>3.0249160000000001E-2</v>
      </c>
      <c r="S3970">
        <v>3.0062259999999998</v>
      </c>
      <c r="T3970">
        <v>0.21120990000000001</v>
      </c>
      <c r="U3970">
        <v>-0.20764160000000001</v>
      </c>
      <c r="V3970">
        <v>-3.4972049999999998E-2</v>
      </c>
      <c r="W3970">
        <v>1.8813280000000002E-2</v>
      </c>
      <c r="X3970">
        <v>0.99921119999999997</v>
      </c>
      <c r="Y3970">
        <v>6.4045060000000001E-2</v>
      </c>
      <c r="Z3970">
        <v>1.9131510000000001E-3</v>
      </c>
      <c r="AA3970">
        <v>0.99794519999999998</v>
      </c>
      <c r="AB3970">
        <v>32</v>
      </c>
      <c r="AC3970">
        <v>106.3352</v>
      </c>
      <c r="AD3970">
        <v>7.4936559999999997</v>
      </c>
      <c r="AE3970">
        <v>-7.3654999999999902</v>
      </c>
      <c r="AF3970">
        <v>6.8290966140143503</v>
      </c>
      <c r="AG3970">
        <v>7.4936559999999997</v>
      </c>
      <c r="AH3970">
        <v>105.84567174192399</v>
      </c>
      <c r="AI3970">
        <v>85.958708451264101</v>
      </c>
      <c r="AJ3970">
        <v>86.308428789806797</v>
      </c>
      <c r="AK3970">
        <v>106.330135273632</v>
      </c>
      <c r="AL3970">
        <v>88.922014863799106</v>
      </c>
      <c r="AM3970">
        <v>92.004514445473802</v>
      </c>
      <c r="AN3970">
        <v>1.0000000029955001</v>
      </c>
    </row>
    <row r="3971" spans="1:40" x14ac:dyDescent="0.25">
      <c r="A3971" t="str">
        <f>"20190312160722188"</f>
        <v>20190312160722188</v>
      </c>
      <c r="B3971" t="str">
        <f>"1552378042179308"</f>
        <v>1552378042179308</v>
      </c>
      <c r="C3971" t="s">
        <v>40</v>
      </c>
      <c r="D3971">
        <v>5.9160779999999997</v>
      </c>
      <c r="E3971">
        <v>0.53804949999999996</v>
      </c>
      <c r="F3971" t="s">
        <v>51</v>
      </c>
      <c r="G3971">
        <v>-169.71109999999999</v>
      </c>
      <c r="H3971">
        <v>6.8707010000000004</v>
      </c>
      <c r="I3971">
        <v>207.02090000000001</v>
      </c>
      <c r="J3971">
        <v>-274.4384</v>
      </c>
      <c r="K3971">
        <v>1.1094109999999999</v>
      </c>
      <c r="L3971">
        <v>214.39019999999999</v>
      </c>
      <c r="M3971">
        <v>0.99992499999999995</v>
      </c>
      <c r="N3971">
        <v>0</v>
      </c>
      <c r="O3971">
        <v>-4.725908E-3</v>
      </c>
      <c r="P3971">
        <v>0.9995193</v>
      </c>
      <c r="Q3971">
        <v>7.0717879999999999E-3</v>
      </c>
      <c r="R3971">
        <v>3.0188420000000001E-2</v>
      </c>
      <c r="S3971">
        <v>3.0066220000000001</v>
      </c>
      <c r="T3971">
        <v>0.16491400000000001</v>
      </c>
      <c r="U3971">
        <v>-0.21098330000000001</v>
      </c>
      <c r="V3971">
        <v>-3.4911339999999999E-2</v>
      </c>
      <c r="W3971">
        <v>1.8376099999999999E-2</v>
      </c>
      <c r="X3971">
        <v>0.99922140000000004</v>
      </c>
      <c r="Y3971">
        <v>6.5194879999999997E-2</v>
      </c>
      <c r="Z3971">
        <v>1.525736E-3</v>
      </c>
      <c r="AA3971">
        <v>0.99787139999999996</v>
      </c>
      <c r="AB3971">
        <v>32</v>
      </c>
      <c r="AC3971">
        <v>104.7273</v>
      </c>
      <c r="AD3971">
        <v>5.76128999999999</v>
      </c>
      <c r="AE3971">
        <v>-7.3692999999999804</v>
      </c>
      <c r="AF3971">
        <v>6.8536152475753198</v>
      </c>
      <c r="AG3971">
        <v>5.76128999999999</v>
      </c>
      <c r="AH3971">
        <v>104.44642479722199</v>
      </c>
      <c r="AI3971">
        <v>86.849512199648103</v>
      </c>
      <c r="AJ3971">
        <v>86.245720451101306</v>
      </c>
      <c r="AK3971">
        <v>104.829481336825</v>
      </c>
      <c r="AL3971">
        <v>88.947067702726699</v>
      </c>
      <c r="AM3971">
        <v>92.001017114624801</v>
      </c>
      <c r="AN3971">
        <v>0.99999994446488105</v>
      </c>
    </row>
    <row r="3972" spans="1:40" x14ac:dyDescent="0.25">
      <c r="A3972" t="str">
        <f>"20190312160722210"</f>
        <v>20190312160722210</v>
      </c>
      <c r="B3972" t="str">
        <f>"1552378042198828"</f>
        <v>1552378042198828</v>
      </c>
      <c r="C3972" t="s">
        <v>40</v>
      </c>
      <c r="D3972">
        <v>5.8814580000000003</v>
      </c>
      <c r="E3972">
        <v>0.53818669999999902</v>
      </c>
      <c r="F3972" t="s">
        <v>51</v>
      </c>
      <c r="G3972">
        <v>-168.41220000000001</v>
      </c>
      <c r="H3972">
        <v>5.6892050000000003</v>
      </c>
      <c r="I3972">
        <v>207.00819999999999</v>
      </c>
      <c r="J3972">
        <v>-274.11939999999998</v>
      </c>
      <c r="K3972">
        <v>1.1094040000000001</v>
      </c>
      <c r="L3972">
        <v>214.3887</v>
      </c>
      <c r="M3972">
        <v>0.99992570000000003</v>
      </c>
      <c r="N3972">
        <v>0</v>
      </c>
      <c r="O3972">
        <v>-4.7255250000000004E-3</v>
      </c>
      <c r="P3972">
        <v>0.99952929999999995</v>
      </c>
      <c r="Q3972">
        <v>7.3024099999999996E-3</v>
      </c>
      <c r="R3972">
        <v>2.9804500000000001E-2</v>
      </c>
      <c r="S3972">
        <v>3.006866</v>
      </c>
      <c r="T3972">
        <v>0.12988230000000001</v>
      </c>
      <c r="U3972">
        <v>-0.2093506</v>
      </c>
      <c r="V3972">
        <v>-3.4527200000000001E-2</v>
      </c>
      <c r="W3972">
        <v>1.853819E-2</v>
      </c>
      <c r="X3972">
        <v>0.9992318</v>
      </c>
      <c r="Y3972">
        <v>6.4685199999999998E-2</v>
      </c>
      <c r="Z3972">
        <v>1.190927E-3</v>
      </c>
      <c r="AA3972">
        <v>0.99790500000000004</v>
      </c>
      <c r="AB3972">
        <v>32</v>
      </c>
      <c r="AC3972">
        <v>105.70719999999901</v>
      </c>
      <c r="AD3972">
        <v>4.5798009999999998</v>
      </c>
      <c r="AE3972">
        <v>-7.3805000000000103</v>
      </c>
      <c r="AF3972">
        <v>6.8680346809786599</v>
      </c>
      <c r="AG3972">
        <v>4.5798009999999998</v>
      </c>
      <c r="AH3972">
        <v>105.54374498510499</v>
      </c>
      <c r="AI3972">
        <v>87.520592176653807</v>
      </c>
      <c r="AJ3972">
        <v>86.276848315113497</v>
      </c>
      <c r="AK3972">
        <v>105.86607852876899</v>
      </c>
      <c r="AL3972">
        <v>88.937779096520003</v>
      </c>
      <c r="AM3972">
        <v>91.978996343885996</v>
      </c>
      <c r="AN3972">
        <v>0.99999999107977799</v>
      </c>
    </row>
    <row r="3973" spans="1:40" x14ac:dyDescent="0.25">
      <c r="A3973" t="str">
        <f>"20190312160722232"</f>
        <v>20190312160722232</v>
      </c>
      <c r="B3973" t="str">
        <f>"1552378042229084"</f>
        <v>1552378042229084</v>
      </c>
      <c r="C3973" t="s">
        <v>40</v>
      </c>
      <c r="D3973">
        <v>5.8906839999999896</v>
      </c>
      <c r="E3973">
        <v>0.53881349999999995</v>
      </c>
      <c r="F3973" t="s">
        <v>51</v>
      </c>
      <c r="G3973">
        <v>-168.41200000000001</v>
      </c>
      <c r="H3973">
        <v>4.9754069999999997</v>
      </c>
      <c r="I3973">
        <v>206.923</v>
      </c>
      <c r="J3973">
        <v>-273.79399999999998</v>
      </c>
      <c r="K3973">
        <v>1.1094010000000001</v>
      </c>
      <c r="L3973">
        <v>214.3871</v>
      </c>
      <c r="M3973">
        <v>0.99992630000000005</v>
      </c>
      <c r="N3973">
        <v>0</v>
      </c>
      <c r="O3973">
        <v>-4.7251709999999898E-3</v>
      </c>
      <c r="P3973">
        <v>0.99952940000000001</v>
      </c>
      <c r="Q3973">
        <v>6.893199E-3</v>
      </c>
      <c r="R3973">
        <v>2.9891149999999998E-2</v>
      </c>
      <c r="S3973">
        <v>3.0069889999999999</v>
      </c>
      <c r="T3973">
        <v>0.1099745</v>
      </c>
      <c r="U3973">
        <v>-0.2123718</v>
      </c>
      <c r="V3973">
        <v>-3.4613270000000002E-2</v>
      </c>
      <c r="W3973">
        <v>1.8065729999999999E-2</v>
      </c>
      <c r="X3973">
        <v>0.9992375</v>
      </c>
      <c r="Y3973">
        <v>6.5695530000000002E-2</v>
      </c>
      <c r="Z3973">
        <v>1.0269019999999999E-3</v>
      </c>
      <c r="AA3973">
        <v>0.99783920000000004</v>
      </c>
      <c r="AB3973">
        <v>32</v>
      </c>
      <c r="AC3973">
        <v>105.38200000000001</v>
      </c>
      <c r="AD3973">
        <v>3.8660060000000001</v>
      </c>
      <c r="AE3973">
        <v>-7.4641000000000002</v>
      </c>
      <c r="AF3973">
        <v>6.9567216791408102</v>
      </c>
      <c r="AG3973">
        <v>3.8660060000000001</v>
      </c>
      <c r="AH3973">
        <v>105.275118940154</v>
      </c>
      <c r="AI3973">
        <v>87.901451602895506</v>
      </c>
      <c r="AJ3973">
        <v>86.219314407128294</v>
      </c>
      <c r="AK3973">
        <v>105.575530530405</v>
      </c>
      <c r="AL3973">
        <v>88.964853620848203</v>
      </c>
      <c r="AM3973">
        <v>91.983914374794196</v>
      </c>
      <c r="AN3973">
        <v>1.0000000152333799</v>
      </c>
    </row>
    <row r="3974" spans="1:40" x14ac:dyDescent="0.25">
      <c r="A3974" t="str">
        <f>"20190312160722256"</f>
        <v>20190312160722256</v>
      </c>
      <c r="B3974" t="str">
        <f>"1552378042249585"</f>
        <v>1552378042249585</v>
      </c>
      <c r="C3974" t="s">
        <v>40</v>
      </c>
      <c r="D3974">
        <v>5.9706289999999997</v>
      </c>
      <c r="E3974">
        <v>0.53911869999999995</v>
      </c>
      <c r="F3974" t="s">
        <v>51</v>
      </c>
      <c r="G3974">
        <v>-168.4119</v>
      </c>
      <c r="H3974">
        <v>4.4329679999999998</v>
      </c>
      <c r="I3974">
        <v>206.761</v>
      </c>
      <c r="J3974">
        <v>-273.46589999999998</v>
      </c>
      <c r="K3974">
        <v>1.1093919999999999</v>
      </c>
      <c r="L3974">
        <v>214.38560000000001</v>
      </c>
      <c r="M3974">
        <v>0.99992700000000001</v>
      </c>
      <c r="N3974">
        <v>0</v>
      </c>
      <c r="O3974">
        <v>-4.725094E-3</v>
      </c>
      <c r="P3974">
        <v>0.99952680000000005</v>
      </c>
      <c r="Q3974">
        <v>6.3298520000000004E-3</v>
      </c>
      <c r="R3974">
        <v>3.0107709999999999E-2</v>
      </c>
      <c r="S3974">
        <v>3.0072329999999998</v>
      </c>
      <c r="T3974">
        <v>9.4843750000000004E-2</v>
      </c>
      <c r="U3974">
        <v>-0.2176208</v>
      </c>
      <c r="V3974">
        <v>-3.4829970000000002E-2</v>
      </c>
      <c r="W3974">
        <v>1.744594E-2</v>
      </c>
      <c r="X3974">
        <v>0.99924100000000005</v>
      </c>
      <c r="Y3974">
        <v>6.7432190000000003E-2</v>
      </c>
      <c r="Z3974">
        <v>9.1291150000000004E-4</v>
      </c>
      <c r="AA3974">
        <v>0.99772349999999999</v>
      </c>
      <c r="AB3974">
        <v>32</v>
      </c>
      <c r="AC3974">
        <v>105.05399999999899</v>
      </c>
      <c r="AD3974">
        <v>3.3235760000000001</v>
      </c>
      <c r="AE3974">
        <v>-7.6246000000000098</v>
      </c>
      <c r="AF3974">
        <v>7.1210041619864004</v>
      </c>
      <c r="AG3974">
        <v>3.3235760000000001</v>
      </c>
      <c r="AH3974">
        <v>104.984329194536</v>
      </c>
      <c r="AI3974">
        <v>88.190899683184796</v>
      </c>
      <c r="AJ3974">
        <v>86.119616187183297</v>
      </c>
      <c r="AK3974">
        <v>105.27803300845601</v>
      </c>
      <c r="AL3974">
        <v>89.000370587829593</v>
      </c>
      <c r="AM3974">
        <v>91.996317872989707</v>
      </c>
      <c r="AN3974">
        <v>1.0000000318568401</v>
      </c>
    </row>
    <row r="3975" spans="1:40" x14ac:dyDescent="0.25">
      <c r="A3975" t="str">
        <f>"20190312160722277"</f>
        <v>20190312160722277</v>
      </c>
      <c r="B3975" t="str">
        <f>"1552378042269100"</f>
        <v>1552378042269100</v>
      </c>
      <c r="C3975" t="s">
        <v>40</v>
      </c>
      <c r="D3975">
        <v>5.8809079999999998</v>
      </c>
      <c r="E3975">
        <v>0.53957869999999997</v>
      </c>
      <c r="F3975" t="s">
        <v>51</v>
      </c>
      <c r="G3975">
        <v>-168.4118</v>
      </c>
      <c r="H3975">
        <v>4.156174</v>
      </c>
      <c r="I3975">
        <v>206.72049999999999</v>
      </c>
      <c r="J3975">
        <v>-273.13819999999998</v>
      </c>
      <c r="K3975">
        <v>1.1093820000000001</v>
      </c>
      <c r="L3975">
        <v>214.38399999999999</v>
      </c>
      <c r="M3975">
        <v>0.99992760000000003</v>
      </c>
      <c r="N3975">
        <v>0</v>
      </c>
      <c r="O3975">
        <v>-4.7245819999999997E-3</v>
      </c>
      <c r="P3975">
        <v>0.99953709999999996</v>
      </c>
      <c r="Q3975">
        <v>6.0567449999999997E-3</v>
      </c>
      <c r="R3975">
        <v>2.9814710000000001E-2</v>
      </c>
      <c r="S3975">
        <v>3.0075069999999999</v>
      </c>
      <c r="T3975">
        <v>8.7224720000000006E-2</v>
      </c>
      <c r="U3975">
        <v>-0.21943660000000001</v>
      </c>
      <c r="V3975">
        <v>-3.4536169999999998E-2</v>
      </c>
      <c r="W3975">
        <v>1.7123639999999999E-2</v>
      </c>
      <c r="X3975">
        <v>0.9992567</v>
      </c>
      <c r="Y3975">
        <v>6.8029889999999996E-2</v>
      </c>
      <c r="Z3975">
        <v>8.4818130000000004E-4</v>
      </c>
      <c r="AA3975">
        <v>0.99768290000000004</v>
      </c>
      <c r="AB3975">
        <v>32</v>
      </c>
      <c r="AC3975">
        <v>104.726399999999</v>
      </c>
      <c r="AD3975">
        <v>3.0467919999999999</v>
      </c>
      <c r="AE3975">
        <v>-7.6635000000000204</v>
      </c>
      <c r="AF3975">
        <v>7.1625656192591398</v>
      </c>
      <c r="AG3975">
        <v>3.0467919999999999</v>
      </c>
      <c r="AH3975">
        <v>104.673316940164</v>
      </c>
      <c r="AI3975">
        <v>88.336614058907102</v>
      </c>
      <c r="AJ3975">
        <v>86.085477539190094</v>
      </c>
      <c r="AK3975">
        <v>104.962319748553</v>
      </c>
      <c r="AL3975">
        <v>89.018839705021705</v>
      </c>
      <c r="AM3975">
        <v>91.979460781392007</v>
      </c>
      <c r="AN3975">
        <v>0.99999995929000296</v>
      </c>
    </row>
    <row r="3976" spans="1:40" x14ac:dyDescent="0.25">
      <c r="A3976" t="str">
        <f>"20190312160722299"</f>
        <v>20190312160722299</v>
      </c>
      <c r="B3976" t="str">
        <f>"1552378042289597"</f>
        <v>1552378042289597</v>
      </c>
      <c r="C3976" t="s">
        <v>40</v>
      </c>
      <c r="D3976">
        <v>5.9561539999999997</v>
      </c>
      <c r="E3976">
        <v>0.53997930000000005</v>
      </c>
      <c r="F3976" t="s">
        <v>51</v>
      </c>
      <c r="G3976">
        <v>-168.4117</v>
      </c>
      <c r="H3976">
        <v>3.7418269999999998</v>
      </c>
      <c r="I3976">
        <v>206.5711</v>
      </c>
      <c r="J3976">
        <v>-272.82859999999999</v>
      </c>
      <c r="K3976">
        <v>1.1093789999999999</v>
      </c>
      <c r="L3976">
        <v>214.3826</v>
      </c>
      <c r="M3976">
        <v>0.99992800000000004</v>
      </c>
      <c r="N3976">
        <v>0</v>
      </c>
      <c r="O3976">
        <v>-4.7242350000000002E-3</v>
      </c>
      <c r="P3976">
        <v>0.99953499999999995</v>
      </c>
      <c r="Q3976">
        <v>5.7969880000000003E-3</v>
      </c>
      <c r="R3976">
        <v>2.9932150000000001E-2</v>
      </c>
      <c r="S3976">
        <v>3.00766</v>
      </c>
      <c r="T3976">
        <v>7.5602649999999993E-2</v>
      </c>
      <c r="U3976">
        <v>-0.22438050000000001</v>
      </c>
      <c r="V3976">
        <v>-3.4653570000000002E-2</v>
      </c>
      <c r="W3976">
        <v>1.682233E-2</v>
      </c>
      <c r="X3976">
        <v>0.99925779999999997</v>
      </c>
      <c r="Y3976">
        <v>6.9663610000000001E-2</v>
      </c>
      <c r="Z3976">
        <v>7.5563439999999996E-4</v>
      </c>
      <c r="AA3976">
        <v>0.99757030000000002</v>
      </c>
      <c r="AB3976">
        <v>32</v>
      </c>
      <c r="AC3976">
        <v>104.4169</v>
      </c>
      <c r="AD3976">
        <v>2.6324480000000001</v>
      </c>
      <c r="AE3976">
        <v>-7.8114999999999899</v>
      </c>
      <c r="AF3976">
        <v>7.3134703233174596</v>
      </c>
      <c r="AG3976">
        <v>2.6324480000000001</v>
      </c>
      <c r="AH3976">
        <v>104.386662240299</v>
      </c>
      <c r="AI3976">
        <v>88.558938376917993</v>
      </c>
      <c r="AJ3976">
        <v>85.992329202942798</v>
      </c>
      <c r="AK3976">
        <v>104.675650866441</v>
      </c>
      <c r="AL3976">
        <v>89.0361060291646</v>
      </c>
      <c r="AM3976">
        <v>91.986182066112093</v>
      </c>
      <c r="AN3976">
        <v>1.0000000057806</v>
      </c>
    </row>
    <row r="3977" spans="1:40" x14ac:dyDescent="0.25">
      <c r="A3977" t="str">
        <f>"20190312160722322"</f>
        <v>20190312160722322</v>
      </c>
      <c r="B3977" t="str">
        <f>"1552378042318876"</f>
        <v>1552378042318876</v>
      </c>
      <c r="C3977" t="s">
        <v>40</v>
      </c>
      <c r="D3977">
        <v>5.9107219999999998</v>
      </c>
      <c r="E3977">
        <v>0.54027429999999999</v>
      </c>
      <c r="F3977" t="s">
        <v>51</v>
      </c>
      <c r="G3977">
        <v>-168.41159999999999</v>
      </c>
      <c r="H3977">
        <v>3.4809209999999999</v>
      </c>
      <c r="I3977">
        <v>206.48560000000001</v>
      </c>
      <c r="J3977">
        <v>-272.49180000000001</v>
      </c>
      <c r="K3977">
        <v>1.1093679999999999</v>
      </c>
      <c r="L3977">
        <v>214.3809</v>
      </c>
      <c r="M3977">
        <v>0.9999285</v>
      </c>
      <c r="N3977">
        <v>0</v>
      </c>
      <c r="O3977">
        <v>-4.7240090000000004E-3</v>
      </c>
      <c r="P3977">
        <v>0.99953000000000003</v>
      </c>
      <c r="Q3977">
        <v>5.5483449999999997E-3</v>
      </c>
      <c r="R3977">
        <v>3.0154199999999999E-2</v>
      </c>
      <c r="S3977">
        <v>3.0078130000000001</v>
      </c>
      <c r="T3977">
        <v>6.8315029999999999E-2</v>
      </c>
      <c r="U3977">
        <v>-0.22747800000000001</v>
      </c>
      <c r="V3977">
        <v>-3.4875299999999998E-2</v>
      </c>
      <c r="W3977">
        <v>1.6532930000000001E-2</v>
      </c>
      <c r="X3977">
        <v>0.99925489999999995</v>
      </c>
      <c r="Y3977">
        <v>7.0685100000000001E-2</v>
      </c>
      <c r="Z3977">
        <v>6.9434239999999995E-4</v>
      </c>
      <c r="AA3977">
        <v>0.99749849999999995</v>
      </c>
      <c r="AB3977">
        <v>32</v>
      </c>
      <c r="AC3977">
        <v>104.0802</v>
      </c>
      <c r="AD3977">
        <v>2.371553</v>
      </c>
      <c r="AE3977">
        <v>-7.89529999999999</v>
      </c>
      <c r="AF3977">
        <v>7.3996865309223798</v>
      </c>
      <c r="AG3977">
        <v>2.371553</v>
      </c>
      <c r="AH3977">
        <v>104.062618697804</v>
      </c>
      <c r="AI3977">
        <v>88.697760934975193</v>
      </c>
      <c r="AJ3977">
        <v>85.932656781845594</v>
      </c>
      <c r="AK3977">
        <v>104.35232740400301</v>
      </c>
      <c r="AL3977">
        <v>89.0526897190136</v>
      </c>
      <c r="AM3977">
        <v>91.998886122186605</v>
      </c>
      <c r="AN3977">
        <v>0.99999998974924198</v>
      </c>
    </row>
    <row r="3978" spans="1:40" x14ac:dyDescent="0.25">
      <c r="A3978" t="str">
        <f>"20190312160722345"</f>
        <v>20190312160722345</v>
      </c>
      <c r="B3978" t="str">
        <f>"1552378042339375"</f>
        <v>1552378042339375</v>
      </c>
      <c r="C3978" t="s">
        <v>40</v>
      </c>
      <c r="D3978">
        <v>5.9237039999999999</v>
      </c>
      <c r="E3978">
        <v>0.54043669999999899</v>
      </c>
      <c r="F3978" t="s">
        <v>51</v>
      </c>
      <c r="G3978">
        <v>-168.41149999999999</v>
      </c>
      <c r="H3978">
        <v>3.1063860000000001</v>
      </c>
      <c r="I3978">
        <v>206.44030000000001</v>
      </c>
      <c r="J3978">
        <v>-272.16230000000002</v>
      </c>
      <c r="K3978">
        <v>1.1093649999999999</v>
      </c>
      <c r="L3978">
        <v>214.3794</v>
      </c>
      <c r="M3978">
        <v>0.99992899999999996</v>
      </c>
      <c r="N3978">
        <v>0</v>
      </c>
      <c r="O3978">
        <v>-4.7237900000000003E-3</v>
      </c>
      <c r="P3978">
        <v>0.9995368</v>
      </c>
      <c r="Q3978">
        <v>5.0480769999999998E-3</v>
      </c>
      <c r="R3978">
        <v>3.0021809999999999E-2</v>
      </c>
      <c r="S3978">
        <v>3.0080260000000001</v>
      </c>
      <c r="T3978">
        <v>5.771685E-2</v>
      </c>
      <c r="U3978">
        <v>-0.22949220000000001</v>
      </c>
      <c r="V3978">
        <v>-3.4742670000000003E-2</v>
      </c>
      <c r="W3978">
        <v>1.5992739999999998E-2</v>
      </c>
      <c r="X3978">
        <v>0.9992683</v>
      </c>
      <c r="Y3978">
        <v>7.1348789999999995E-2</v>
      </c>
      <c r="Z3978">
        <v>5.9295120000000005E-4</v>
      </c>
      <c r="AA3978">
        <v>0.99745119999999998</v>
      </c>
      <c r="AB3978">
        <v>32</v>
      </c>
      <c r="AC3978">
        <v>103.7508</v>
      </c>
      <c r="AD3978">
        <v>1.9970209999999999</v>
      </c>
      <c r="AE3978">
        <v>-7.9390999999999901</v>
      </c>
      <c r="AF3978">
        <v>7.4461423910081903</v>
      </c>
      <c r="AG3978">
        <v>1.9970209999999999</v>
      </c>
      <c r="AH3978">
        <v>103.748932485745</v>
      </c>
      <c r="AI3978">
        <v>88.900101499833198</v>
      </c>
      <c r="AJ3978">
        <v>85.894875796833801</v>
      </c>
      <c r="AK3978">
        <v>104.03496585914399</v>
      </c>
      <c r="AL3978">
        <v>89.083644409901098</v>
      </c>
      <c r="AM3978">
        <v>91.991263852327705</v>
      </c>
      <c r="AN3978">
        <v>0.99999997811816299</v>
      </c>
    </row>
    <row r="3979" spans="1:40" x14ac:dyDescent="0.25">
      <c r="A3979" t="str">
        <f>"20190312160722367"</f>
        <v>20190312160722367</v>
      </c>
      <c r="B3979" t="str">
        <f>"1552378042358893"</f>
        <v>1552378042358893</v>
      </c>
      <c r="C3979" t="s">
        <v>40</v>
      </c>
      <c r="D3979">
        <v>5.878997</v>
      </c>
      <c r="E3979">
        <v>0.54040519999999903</v>
      </c>
      <c r="F3979" t="s">
        <v>51</v>
      </c>
      <c r="G3979">
        <v>-168.41149999999999</v>
      </c>
      <c r="H3979">
        <v>2.8780860000000001</v>
      </c>
      <c r="I3979">
        <v>206.40020000000001</v>
      </c>
      <c r="J3979">
        <v>-271.83679999999998</v>
      </c>
      <c r="K3979">
        <v>1.109361</v>
      </c>
      <c r="L3979">
        <v>214.37790000000001</v>
      </c>
      <c r="M3979">
        <v>0.99992950000000003</v>
      </c>
      <c r="N3979">
        <v>0</v>
      </c>
      <c r="O3979">
        <v>-4.7233459999999998E-3</v>
      </c>
      <c r="P3979">
        <v>0.99953769999999997</v>
      </c>
      <c r="Q3979">
        <v>4.8719159999999996E-3</v>
      </c>
      <c r="R3979">
        <v>3.0016600000000001E-2</v>
      </c>
      <c r="S3979">
        <v>3.0080260000000001</v>
      </c>
      <c r="T3979">
        <v>5.1281090000000001E-2</v>
      </c>
      <c r="U3979">
        <v>-0.2313385</v>
      </c>
      <c r="V3979">
        <v>-3.4737070000000002E-2</v>
      </c>
      <c r="W3979">
        <v>1.5778670000000002E-2</v>
      </c>
      <c r="X3979">
        <v>0.99927189999999999</v>
      </c>
      <c r="Y3979">
        <v>7.1960360000000001E-2</v>
      </c>
      <c r="Z3979">
        <v>5.3204420000000003E-4</v>
      </c>
      <c r="AA3979">
        <v>0.99740740000000006</v>
      </c>
      <c r="AB3979">
        <v>32</v>
      </c>
      <c r="AC3979">
        <v>103.42529999999999</v>
      </c>
      <c r="AD3979">
        <v>1.7687250000000001</v>
      </c>
      <c r="AE3979">
        <v>-7.9776999999999898</v>
      </c>
      <c r="AF3979">
        <v>7.48689185989012</v>
      </c>
      <c r="AG3979">
        <v>1.7687250000000001</v>
      </c>
      <c r="AH3979">
        <v>103.431759043846</v>
      </c>
      <c r="AI3979">
        <v>89.022870460931301</v>
      </c>
      <c r="AJ3979">
        <v>85.859874617754102</v>
      </c>
      <c r="AK3979">
        <v>103.71745618145199</v>
      </c>
      <c r="AL3979">
        <v>89.095911267583702</v>
      </c>
      <c r="AM3979">
        <v>91.990935981785597</v>
      </c>
      <c r="AN3979">
        <v>0.99999998029438097</v>
      </c>
    </row>
    <row r="3980" spans="1:40" x14ac:dyDescent="0.25">
      <c r="A3980" t="str">
        <f>"20190312160722389"</f>
        <v>20190312160722389</v>
      </c>
      <c r="B3980" t="str">
        <f>"1552378042379389"</f>
        <v>1552378042379389</v>
      </c>
      <c r="C3980" t="s">
        <v>40</v>
      </c>
      <c r="D3980">
        <v>6.0211940000000004</v>
      </c>
      <c r="E3980">
        <v>0.54042819999999903</v>
      </c>
      <c r="F3980" t="s">
        <v>51</v>
      </c>
      <c r="G3980">
        <v>-168.41139999999999</v>
      </c>
      <c r="H3980">
        <v>2.8173499999999998</v>
      </c>
      <c r="I3980">
        <v>206.43170000000001</v>
      </c>
      <c r="J3980">
        <v>-271.52859999999998</v>
      </c>
      <c r="K3980">
        <v>1.1093500000000001</v>
      </c>
      <c r="L3980">
        <v>214.37639999999999</v>
      </c>
      <c r="M3980">
        <v>0.99992959999999997</v>
      </c>
      <c r="N3980">
        <v>0</v>
      </c>
      <c r="O3980">
        <v>-4.722815E-3</v>
      </c>
      <c r="P3980">
        <v>0.99952779999999997</v>
      </c>
      <c r="Q3980">
        <v>4.5646819999999996E-3</v>
      </c>
      <c r="R3980">
        <v>3.0384580000000001E-2</v>
      </c>
      <c r="S3980">
        <v>3.0080870000000002</v>
      </c>
      <c r="T3980">
        <v>4.967713E-2</v>
      </c>
      <c r="U3980">
        <v>-0.2311096</v>
      </c>
      <c r="V3980">
        <v>-3.5104620000000003E-2</v>
      </c>
      <c r="W3980">
        <v>1.5439680000000001E-2</v>
      </c>
      <c r="X3980">
        <v>0.99926440000000005</v>
      </c>
      <c r="Y3980">
        <v>7.1884500000000004E-2</v>
      </c>
      <c r="Z3980">
        <v>5.1477969999999995E-4</v>
      </c>
      <c r="AA3980">
        <v>0.99741279999999999</v>
      </c>
      <c r="AB3980">
        <v>32</v>
      </c>
      <c r="AC3980">
        <v>103.1172</v>
      </c>
      <c r="AD3980">
        <v>1.70799999999999</v>
      </c>
      <c r="AE3980">
        <v>-7.9446999999999797</v>
      </c>
      <c r="AF3980">
        <v>7.4555456728224199</v>
      </c>
      <c r="AG3980">
        <v>1.70799999999999</v>
      </c>
      <c r="AH3980">
        <v>103.125447347952</v>
      </c>
      <c r="AI3980">
        <v>89.053603453004897</v>
      </c>
      <c r="AJ3980">
        <v>85.864945017681094</v>
      </c>
      <c r="AK3980">
        <v>103.408705223471</v>
      </c>
      <c r="AL3980">
        <v>89.115336374533399</v>
      </c>
      <c r="AM3980">
        <v>92.0119997725849</v>
      </c>
      <c r="AN3980">
        <v>1.0000000295856</v>
      </c>
    </row>
    <row r="3981" spans="1:40" x14ac:dyDescent="0.25">
      <c r="A3981" t="str">
        <f>"20190312160722411"</f>
        <v>20190312160722411</v>
      </c>
      <c r="B3981" t="str">
        <f>"1552378042398909"</f>
        <v>1552378042398909</v>
      </c>
      <c r="C3981" t="s">
        <v>40</v>
      </c>
      <c r="D3981">
        <v>6.0100610000000003</v>
      </c>
      <c r="E3981">
        <v>0.51573829999999998</v>
      </c>
      <c r="F3981" t="s">
        <v>51</v>
      </c>
      <c r="G3981">
        <v>-168.41130000000001</v>
      </c>
      <c r="H3981">
        <v>2.6268750000000001</v>
      </c>
      <c r="I3981">
        <v>206.48150000000001</v>
      </c>
      <c r="J3981">
        <v>-271.20429999999999</v>
      </c>
      <c r="K3981">
        <v>1.109345</v>
      </c>
      <c r="L3981">
        <v>214.3749</v>
      </c>
      <c r="M3981">
        <v>0.99992999999999999</v>
      </c>
      <c r="N3981">
        <v>0</v>
      </c>
      <c r="O3981">
        <v>-4.7225349999999999E-3</v>
      </c>
      <c r="P3981">
        <v>0.99952839999999998</v>
      </c>
      <c r="Q3981">
        <v>4.4044069999999999E-3</v>
      </c>
      <c r="R3981">
        <v>3.0393179999999999E-2</v>
      </c>
      <c r="S3981">
        <v>3.0082089999999999</v>
      </c>
      <c r="T3981">
        <v>4.4271230000000002E-2</v>
      </c>
      <c r="U3981">
        <v>-0.2303162</v>
      </c>
      <c r="V3981">
        <v>-3.5112820000000003E-2</v>
      </c>
      <c r="W3981">
        <v>1.524992E-2</v>
      </c>
      <c r="X3981">
        <v>0.99926700000000002</v>
      </c>
      <c r="Y3981">
        <v>7.1622039999999998E-2</v>
      </c>
      <c r="Z3981">
        <v>4.5682939999999999E-4</v>
      </c>
      <c r="AA3981">
        <v>0.99743179999999998</v>
      </c>
      <c r="AB3981">
        <v>33</v>
      </c>
      <c r="AC3981">
        <v>102.792999999999</v>
      </c>
      <c r="AD3981">
        <v>1.5175299999999901</v>
      </c>
      <c r="AE3981">
        <v>-7.8933999999999802</v>
      </c>
      <c r="AF3981">
        <v>7.4062351672837696</v>
      </c>
      <c r="AG3981">
        <v>1.5175299999999901</v>
      </c>
      <c r="AH3981">
        <v>102.806857723904</v>
      </c>
      <c r="AI3981">
        <v>89.156505181613696</v>
      </c>
      <c r="AJ3981">
        <v>85.8795141363845</v>
      </c>
      <c r="AK3981">
        <v>103.084456693126</v>
      </c>
      <c r="AL3981">
        <v>89.126210079016801</v>
      </c>
      <c r="AM3981">
        <v>92.012464132200407</v>
      </c>
      <c r="AN3981">
        <v>1.00000000373867</v>
      </c>
    </row>
    <row r="3982" spans="1:40" x14ac:dyDescent="0.25">
      <c r="A3982" t="str">
        <f>"20190312160722435"</f>
        <v>20190312160722435</v>
      </c>
      <c r="B3982" t="str">
        <f>"1552378042429164"</f>
        <v>1552378042429164</v>
      </c>
      <c r="C3982" t="s">
        <v>40</v>
      </c>
      <c r="D3982">
        <v>5.9488989999999999</v>
      </c>
      <c r="E3982">
        <v>0.51694149999999905</v>
      </c>
      <c r="F3982" t="s">
        <v>85</v>
      </c>
      <c r="G3982">
        <v>-107.39749999999999</v>
      </c>
      <c r="H3982">
        <v>7.0741120000000004</v>
      </c>
      <c r="I3982">
        <v>212.6704</v>
      </c>
      <c r="J3982">
        <v>-270.86869999999999</v>
      </c>
      <c r="K3982">
        <v>1.1093420000000001</v>
      </c>
      <c r="L3982">
        <v>214.3733</v>
      </c>
      <c r="M3982">
        <v>0.9999304</v>
      </c>
      <c r="N3982">
        <v>0</v>
      </c>
      <c r="O3982">
        <v>-4.7222710000000001E-3</v>
      </c>
      <c r="P3982">
        <v>0.99952370000000001</v>
      </c>
      <c r="Q3982">
        <v>4.3385589999999996E-3</v>
      </c>
      <c r="R3982">
        <v>3.0557879999999999E-2</v>
      </c>
      <c r="S3982">
        <v>3.0018919999999998</v>
      </c>
      <c r="T3982">
        <v>0.109310199999999</v>
      </c>
      <c r="U3982">
        <v>-3.123474E-2</v>
      </c>
      <c r="V3982">
        <v>-3.5277259999999998E-2</v>
      </c>
      <c r="W3982">
        <v>1.5156940000000001E-2</v>
      </c>
      <c r="X3982">
        <v>0.9992626</v>
      </c>
      <c r="Y3982">
        <v>5.6814129999999997E-3</v>
      </c>
      <c r="Z3982" s="1">
        <v>-6.8498809999999996E-5</v>
      </c>
      <c r="AA3982">
        <v>0.99998379999999998</v>
      </c>
      <c r="AB3982">
        <v>33</v>
      </c>
      <c r="AC3982">
        <v>163.47120000000001</v>
      </c>
      <c r="AD3982">
        <v>5.9647699999999997</v>
      </c>
      <c r="AE3982">
        <v>-1.7028999999999901</v>
      </c>
      <c r="AF3982">
        <v>0.92964299845498999</v>
      </c>
      <c r="AG3982">
        <v>5.9647699999999997</v>
      </c>
      <c r="AH3982">
        <v>163.26008005205699</v>
      </c>
      <c r="AI3982">
        <v>87.907641153903199</v>
      </c>
      <c r="AJ3982">
        <v>89.673747283672299</v>
      </c>
      <c r="AK3982">
        <v>163.37165132256399</v>
      </c>
      <c r="AL3982">
        <v>89.131538036483306</v>
      </c>
      <c r="AM3982">
        <v>92.021889974994394</v>
      </c>
      <c r="AN3982">
        <v>0.99999998083101505</v>
      </c>
    </row>
    <row r="3983" spans="1:40" x14ac:dyDescent="0.25">
      <c r="A3983" t="str">
        <f>"20190312160722456"</f>
        <v>20190312160722456</v>
      </c>
      <c r="B3983" t="str">
        <f>"1552378042448688"</f>
        <v>1552378042448688</v>
      </c>
      <c r="C3983" t="s">
        <v>40</v>
      </c>
      <c r="D3983">
        <v>6.1276519999999897</v>
      </c>
      <c r="E3983">
        <v>0.52111609999999997</v>
      </c>
      <c r="F3983" t="s">
        <v>85</v>
      </c>
      <c r="G3983">
        <v>-107.39749999999999</v>
      </c>
      <c r="H3983">
        <v>6.0033110000000001</v>
      </c>
      <c r="I3983">
        <v>212.14920000000001</v>
      </c>
      <c r="J3983">
        <v>-270.5385</v>
      </c>
      <c r="K3983">
        <v>1.109334</v>
      </c>
      <c r="L3983">
        <v>214.3717</v>
      </c>
      <c r="M3983">
        <v>0.9999306</v>
      </c>
      <c r="N3983">
        <v>0</v>
      </c>
      <c r="O3983">
        <v>-4.7221470000000003E-3</v>
      </c>
      <c r="P3983">
        <v>0.99952359999999896</v>
      </c>
      <c r="Q3983">
        <v>4.2570859999999898E-3</v>
      </c>
      <c r="R3983">
        <v>3.0567770000000001E-2</v>
      </c>
      <c r="S3983">
        <v>3.002319</v>
      </c>
      <c r="T3983">
        <v>8.98838E-2</v>
      </c>
      <c r="U3983">
        <v>-4.084778E-2</v>
      </c>
      <c r="V3983">
        <v>-3.5286850000000002E-2</v>
      </c>
      <c r="W3983">
        <v>1.505253E-2</v>
      </c>
      <c r="X3983">
        <v>0.99926389999999998</v>
      </c>
      <c r="Y3983">
        <v>8.8801490000000004E-3</v>
      </c>
      <c r="Z3983" s="1">
        <v>-8.4491330000000004E-6</v>
      </c>
      <c r="AA3983">
        <v>0.99996050000000003</v>
      </c>
      <c r="AB3983">
        <v>33</v>
      </c>
      <c r="AC3983">
        <v>163.14099999999999</v>
      </c>
      <c r="AD3983">
        <v>4.8939769999999996</v>
      </c>
      <c r="AE3983">
        <v>-2.2224999999999899</v>
      </c>
      <c r="AF3983">
        <v>1.4507492597856599</v>
      </c>
      <c r="AG3983">
        <v>4.8939769999999996</v>
      </c>
      <c r="AH3983">
        <v>163.00301611828601</v>
      </c>
      <c r="AI3983">
        <v>88.280345178744597</v>
      </c>
      <c r="AJ3983">
        <v>89.490073146862699</v>
      </c>
      <c r="AK3983">
        <v>163.082920466704</v>
      </c>
      <c r="AL3983">
        <v>89.137521023512505</v>
      </c>
      <c r="AM3983">
        <v>92.022436533422294</v>
      </c>
      <c r="AN3983">
        <v>1.0000000411427601</v>
      </c>
    </row>
    <row r="3984" spans="1:40" x14ac:dyDescent="0.25">
      <c r="A3984" t="str">
        <f>"20190312160722477"</f>
        <v>20190312160722477</v>
      </c>
      <c r="B3984" t="str">
        <f>"1552378042469184"</f>
        <v>1552378042469184</v>
      </c>
      <c r="C3984" t="s">
        <v>40</v>
      </c>
      <c r="D3984">
        <v>5.9911450000000004</v>
      </c>
      <c r="E3984">
        <v>0.52073530000000001</v>
      </c>
      <c r="F3984" t="s">
        <v>85</v>
      </c>
      <c r="G3984">
        <v>-107.39749999999999</v>
      </c>
      <c r="H3984">
        <v>4.8932520000000004</v>
      </c>
      <c r="I3984">
        <v>210.3022</v>
      </c>
      <c r="J3984">
        <v>-270.22949999999997</v>
      </c>
      <c r="K3984">
        <v>1.109329</v>
      </c>
      <c r="L3984">
        <v>214.37029999999999</v>
      </c>
      <c r="M3984">
        <v>0.99993069999999895</v>
      </c>
      <c r="N3984">
        <v>0</v>
      </c>
      <c r="O3984">
        <v>-4.7218090000000004E-3</v>
      </c>
      <c r="P3984">
        <v>0.99952240000000003</v>
      </c>
      <c r="Q3984">
        <v>4.2135180000000003E-3</v>
      </c>
      <c r="R3984">
        <v>3.0613709999999999E-2</v>
      </c>
      <c r="S3984">
        <v>3.0034179999999999</v>
      </c>
      <c r="T3984">
        <v>6.9662689999999999E-2</v>
      </c>
      <c r="U3984">
        <v>-7.4920650000000005E-2</v>
      </c>
      <c r="V3984">
        <v>-3.5332620000000002E-2</v>
      </c>
      <c r="W3984">
        <v>1.499055E-2</v>
      </c>
      <c r="X3984">
        <v>0.99926320000000002</v>
      </c>
      <c r="Y3984">
        <v>2.0212319999999999E-2</v>
      </c>
      <c r="Z3984">
        <v>1.248465E-4</v>
      </c>
      <c r="AA3984">
        <v>0.99979569999999995</v>
      </c>
      <c r="AB3984">
        <v>33</v>
      </c>
      <c r="AC3984">
        <v>162.83199999999999</v>
      </c>
      <c r="AD3984">
        <v>3.7839230000000001</v>
      </c>
      <c r="AE3984">
        <v>-4.0680999999999798</v>
      </c>
      <c r="AF3984">
        <v>3.29736881337592</v>
      </c>
      <c r="AG3984">
        <v>3.7839230000000001</v>
      </c>
      <c r="AH3984">
        <v>162.761555776303</v>
      </c>
      <c r="AI3984">
        <v>88.668485825600996</v>
      </c>
      <c r="AJ3984">
        <v>88.839409739279205</v>
      </c>
      <c r="AK3984">
        <v>162.83892272145499</v>
      </c>
      <c r="AL3984">
        <v>89.141072604142906</v>
      </c>
      <c r="AM3984">
        <v>92.025059037717497</v>
      </c>
      <c r="AN3984">
        <v>1.0000000267497999</v>
      </c>
    </row>
    <row r="3985" spans="1:40" x14ac:dyDescent="0.25">
      <c r="A3985" t="str">
        <f>"20190312160722500"</f>
        <v>20190312160722500</v>
      </c>
      <c r="B3985" t="str">
        <f>"1552378042488701"</f>
        <v>1552378042488701</v>
      </c>
      <c r="C3985" t="s">
        <v>40</v>
      </c>
      <c r="D3985">
        <v>5.9926170000000001</v>
      </c>
      <c r="E3985">
        <v>0.52060609999999996</v>
      </c>
      <c r="F3985" t="s">
        <v>85</v>
      </c>
      <c r="G3985">
        <v>-107.39749999999999</v>
      </c>
      <c r="H3985">
        <v>4.8092579999999998</v>
      </c>
      <c r="I3985">
        <v>210.4787</v>
      </c>
      <c r="J3985">
        <v>-269.90300000000002</v>
      </c>
      <c r="K3985">
        <v>1.1093230000000001</v>
      </c>
      <c r="L3985">
        <v>214.36869999999999</v>
      </c>
      <c r="M3985">
        <v>0.99993100000000001</v>
      </c>
      <c r="N3985">
        <v>0</v>
      </c>
      <c r="O3985">
        <v>-4.7215909999999998E-3</v>
      </c>
      <c r="P3985">
        <v>0.99951809999999996</v>
      </c>
      <c r="Q3985">
        <v>4.5631669999999999E-3</v>
      </c>
      <c r="R3985">
        <v>3.0703729999999999E-2</v>
      </c>
      <c r="S3985">
        <v>3.0033569999999998</v>
      </c>
      <c r="T3985">
        <v>6.8244340000000001E-2</v>
      </c>
      <c r="U3985">
        <v>-7.1777339999999995E-2</v>
      </c>
      <c r="V3985">
        <v>-3.5422500000000003E-2</v>
      </c>
      <c r="W3985">
        <v>1.5321909999999999E-2</v>
      </c>
      <c r="X3985">
        <v>0.99925489999999995</v>
      </c>
      <c r="Y3985">
        <v>1.9167710000000001E-2</v>
      </c>
      <c r="Z3985">
        <v>1.1044930000000001E-4</v>
      </c>
      <c r="AA3985">
        <v>0.99981629999999999</v>
      </c>
      <c r="AB3985">
        <v>33</v>
      </c>
      <c r="AC3985">
        <v>162.50550000000001</v>
      </c>
      <c r="AD3985">
        <v>3.699935</v>
      </c>
      <c r="AE3985">
        <v>-3.8899999999999801</v>
      </c>
      <c r="AF3985">
        <v>3.12101077855205</v>
      </c>
      <c r="AG3985">
        <v>3.699935</v>
      </c>
      <c r="AH3985">
        <v>162.43789935352899</v>
      </c>
      <c r="AI3985">
        <v>88.695409675920601</v>
      </c>
      <c r="AJ3985">
        <v>88.899279377152695</v>
      </c>
      <c r="AK3985">
        <v>162.510003918747</v>
      </c>
      <c r="AL3985">
        <v>89.122084813365703</v>
      </c>
      <c r="AM3985">
        <v>92.030222977213896</v>
      </c>
      <c r="AN3985">
        <v>0.99999993480315097</v>
      </c>
    </row>
    <row r="3986" spans="1:40" x14ac:dyDescent="0.25">
      <c r="A3986" t="str">
        <f>"20190312160722523"</f>
        <v>20190312160722523</v>
      </c>
      <c r="B3986" t="str">
        <f>"1552378042518957"</f>
        <v>1552378042518957</v>
      </c>
      <c r="C3986" t="s">
        <v>40</v>
      </c>
      <c r="D3986">
        <v>5.9440999999999997</v>
      </c>
      <c r="E3986">
        <v>0.52034009999999997</v>
      </c>
      <c r="F3986" t="s">
        <v>85</v>
      </c>
      <c r="G3986">
        <v>-107.39749999999999</v>
      </c>
      <c r="H3986">
        <v>4.8519449999999997</v>
      </c>
      <c r="I3986">
        <v>210.55670000000001</v>
      </c>
      <c r="J3986">
        <v>-269.56259999999997</v>
      </c>
      <c r="K3986">
        <v>1.109321</v>
      </c>
      <c r="L3986">
        <v>214.36709999999999</v>
      </c>
      <c r="M3986">
        <v>0.99993129999999997</v>
      </c>
      <c r="N3986">
        <v>0</v>
      </c>
      <c r="O3986">
        <v>-4.7214750000000002E-3</v>
      </c>
      <c r="P3986">
        <v>0.99951900000000005</v>
      </c>
      <c r="Q3986">
        <v>4.5042620000000002E-3</v>
      </c>
      <c r="R3986">
        <v>3.0691389999999999E-2</v>
      </c>
      <c r="S3986">
        <v>3.0032960000000002</v>
      </c>
      <c r="T3986">
        <v>6.9169040000000001E-2</v>
      </c>
      <c r="U3986">
        <v>-7.0449830000000005E-2</v>
      </c>
      <c r="V3986">
        <v>-3.5410160000000003E-2</v>
      </c>
      <c r="W3986">
        <v>1.5241340000000001E-2</v>
      </c>
      <c r="X3986">
        <v>0.99925660000000005</v>
      </c>
      <c r="Y3986">
        <v>1.8726639999999999E-2</v>
      </c>
      <c r="Z3986">
        <v>1.0687320000000001E-4</v>
      </c>
      <c r="AA3986">
        <v>0.99982459999999995</v>
      </c>
      <c r="AB3986">
        <v>33</v>
      </c>
      <c r="AC3986">
        <v>162.1651</v>
      </c>
      <c r="AD3986">
        <v>3.7426240000000002</v>
      </c>
      <c r="AE3986">
        <v>-3.81039999999998</v>
      </c>
      <c r="AF3986">
        <v>3.0430350273586799</v>
      </c>
      <c r="AG3986">
        <v>3.7426240000000002</v>
      </c>
      <c r="AH3986">
        <v>162.09499261112299</v>
      </c>
      <c r="AI3986">
        <v>88.6775611912838</v>
      </c>
      <c r="AJ3986">
        <v>88.924503570427007</v>
      </c>
      <c r="AK3986">
        <v>162.16674728865701</v>
      </c>
      <c r="AL3986">
        <v>89.126701700337904</v>
      </c>
      <c r="AM3986">
        <v>92.029512857946202</v>
      </c>
      <c r="AN3986">
        <v>0.99999996525988999</v>
      </c>
    </row>
    <row r="3987" spans="1:40" x14ac:dyDescent="0.25">
      <c r="A3987" t="str">
        <f>"20190312160722547"</f>
        <v>20190312160722547</v>
      </c>
      <c r="B3987" t="str">
        <f>"1552378042539452"</f>
        <v>1552378042539452</v>
      </c>
      <c r="C3987" t="s">
        <v>40</v>
      </c>
      <c r="D3987">
        <v>5.9033439999999997</v>
      </c>
      <c r="E3987">
        <v>0.52112479999999906</v>
      </c>
      <c r="F3987" t="s">
        <v>85</v>
      </c>
      <c r="G3987">
        <v>-107.39749999999999</v>
      </c>
      <c r="H3987">
        <v>4.8358739999999996</v>
      </c>
      <c r="I3987">
        <v>210.67349999999999</v>
      </c>
      <c r="J3987">
        <v>-269.22719999999998</v>
      </c>
      <c r="K3987">
        <v>1.109326</v>
      </c>
      <c r="L3987">
        <v>214.3656</v>
      </c>
      <c r="M3987">
        <v>0.99993149999999997</v>
      </c>
      <c r="N3987">
        <v>0</v>
      </c>
      <c r="O3987">
        <v>-4.7211199999999997E-3</v>
      </c>
      <c r="P3987">
        <v>0.99952510000000006</v>
      </c>
      <c r="Q3987">
        <v>4.3677129999999996E-3</v>
      </c>
      <c r="R3987">
        <v>3.050665E-2</v>
      </c>
      <c r="S3987">
        <v>3.0032350000000001</v>
      </c>
      <c r="T3987">
        <v>6.9015259999999995E-2</v>
      </c>
      <c r="U3987">
        <v>-6.8405149999999998E-2</v>
      </c>
      <c r="V3987">
        <v>-3.5224890000000002E-2</v>
      </c>
      <c r="W3987">
        <v>1.5083040000000001E-2</v>
      </c>
      <c r="X3987">
        <v>0.99926559999999998</v>
      </c>
      <c r="Y3987">
        <v>1.8047319999999999E-2</v>
      </c>
      <c r="Z3987" s="1">
        <v>9.8843309999999997E-5</v>
      </c>
      <c r="AA3987">
        <v>0.99983710000000003</v>
      </c>
      <c r="AB3987">
        <v>33</v>
      </c>
      <c r="AC3987">
        <v>161.8297</v>
      </c>
      <c r="AD3987">
        <v>3.72654799999999</v>
      </c>
      <c r="AE3987">
        <v>-3.6921000000000102</v>
      </c>
      <c r="AF3987">
        <v>2.9264465933881398</v>
      </c>
      <c r="AG3987">
        <v>3.72654799999999</v>
      </c>
      <c r="AH3987">
        <v>161.75959649920699</v>
      </c>
      <c r="AI3987">
        <v>88.680493758080999</v>
      </c>
      <c r="AJ3987">
        <v>88.963556085266603</v>
      </c>
      <c r="AK3987">
        <v>161.82897858309099</v>
      </c>
      <c r="AL3987">
        <v>89.135772708416496</v>
      </c>
      <c r="AM3987">
        <v>92.018884856904805</v>
      </c>
      <c r="AN3987">
        <v>1.0000000151572499</v>
      </c>
    </row>
    <row r="3988" spans="1:40" x14ac:dyDescent="0.25">
      <c r="A3988" t="str">
        <f>"20190312160722569"</f>
        <v>20190312160722569</v>
      </c>
      <c r="B3988" t="str">
        <f>"1552378042558974"</f>
        <v>1552378042558974</v>
      </c>
      <c r="C3988" t="s">
        <v>40</v>
      </c>
      <c r="D3988">
        <v>5.8272459999999997</v>
      </c>
      <c r="E3988">
        <v>0.52067629999999998</v>
      </c>
      <c r="F3988" t="s">
        <v>85</v>
      </c>
      <c r="G3988">
        <v>-107.39749999999999</v>
      </c>
      <c r="H3988">
        <v>3.9882719999999998</v>
      </c>
      <c r="I3988">
        <v>210.29259999999999</v>
      </c>
      <c r="J3988">
        <v>-268.89800000000002</v>
      </c>
      <c r="K3988">
        <v>1.1093200000000001</v>
      </c>
      <c r="L3988">
        <v>214.364</v>
      </c>
      <c r="M3988">
        <v>0.99993160000000003</v>
      </c>
      <c r="N3988">
        <v>0</v>
      </c>
      <c r="O3988">
        <v>-4.7208969999999999E-3</v>
      </c>
      <c r="P3988">
        <v>0.99953009999999998</v>
      </c>
      <c r="Q3988">
        <v>4.8786259999999996E-3</v>
      </c>
      <c r="R3988">
        <v>3.0262560000000001E-2</v>
      </c>
      <c r="S3988">
        <v>3.0035099999999999</v>
      </c>
      <c r="T3988">
        <v>5.3433300000000003E-2</v>
      </c>
      <c r="U3988">
        <v>-7.5592039999999999E-2</v>
      </c>
      <c r="V3988">
        <v>-3.4980669999999998E-2</v>
      </c>
      <c r="W3988">
        <v>1.5574609999999999E-2</v>
      </c>
      <c r="X3988">
        <v>0.9992666</v>
      </c>
      <c r="Y3988">
        <v>2.0437500000000001E-2</v>
      </c>
      <c r="Z3988" s="1">
        <v>9.7781859999999997E-5</v>
      </c>
      <c r="AA3988">
        <v>0.99979110000000004</v>
      </c>
      <c r="AB3988">
        <v>33</v>
      </c>
      <c r="AC3988">
        <v>161.50049999999999</v>
      </c>
      <c r="AD3988">
        <v>2.878952</v>
      </c>
      <c r="AE3988">
        <v>-4.0714000000000103</v>
      </c>
      <c r="AF3988">
        <v>3.3078332608628598</v>
      </c>
      <c r="AG3988">
        <v>2.878952</v>
      </c>
      <c r="AH3988">
        <v>161.466644237319</v>
      </c>
      <c r="AI3988">
        <v>88.978738108001494</v>
      </c>
      <c r="AJ3988">
        <v>88.826393034424996</v>
      </c>
      <c r="AK3988">
        <v>161.526181551973</v>
      </c>
      <c r="AL3988">
        <v>89.107604478427902</v>
      </c>
      <c r="AM3988">
        <v>92.004897051837304</v>
      </c>
      <c r="AN3988">
        <v>0.99999997681292996</v>
      </c>
    </row>
    <row r="3989" spans="1:40" x14ac:dyDescent="0.25">
      <c r="A3989" t="str">
        <f>"20190312160722591"</f>
        <v>20190312160722591</v>
      </c>
      <c r="B3989" t="str">
        <f>"1552378042579470"</f>
        <v>1552378042579470</v>
      </c>
      <c r="C3989" t="s">
        <v>40</v>
      </c>
      <c r="D3989">
        <v>5.7340920000000004</v>
      </c>
      <c r="E3989">
        <v>0.52019420000000005</v>
      </c>
      <c r="F3989" t="s">
        <v>85</v>
      </c>
      <c r="G3989">
        <v>-107.39749999999999</v>
      </c>
      <c r="H3989">
        <v>4.0801210000000001</v>
      </c>
      <c r="I3989">
        <v>210.44929999999999</v>
      </c>
      <c r="J3989">
        <v>-268.58150000000001</v>
      </c>
      <c r="K3989">
        <v>1.1093189999999999</v>
      </c>
      <c r="L3989">
        <v>214.36250000000001</v>
      </c>
      <c r="M3989">
        <v>0.99993189999999998</v>
      </c>
      <c r="N3989">
        <v>0</v>
      </c>
      <c r="O3989">
        <v>-4.7205709999999998E-3</v>
      </c>
      <c r="P3989">
        <v>0.99954730000000003</v>
      </c>
      <c r="Q3989">
        <v>5.1708869999999999E-3</v>
      </c>
      <c r="R3989">
        <v>2.96447E-2</v>
      </c>
      <c r="S3989">
        <v>3.0033569999999998</v>
      </c>
      <c r="T3989">
        <v>5.5247659999999997E-2</v>
      </c>
      <c r="U3989">
        <v>-7.2799680000000005E-2</v>
      </c>
      <c r="V3989">
        <v>-3.4362499999999997E-2</v>
      </c>
      <c r="W3989">
        <v>1.5850659999999999E-2</v>
      </c>
      <c r="X3989">
        <v>0.9992837</v>
      </c>
      <c r="Y3989">
        <v>1.9510099999999999E-2</v>
      </c>
      <c r="Z3989" s="1">
        <v>9.2585850000000001E-5</v>
      </c>
      <c r="AA3989">
        <v>0.99980970000000002</v>
      </c>
      <c r="AB3989">
        <v>33</v>
      </c>
      <c r="AC3989">
        <v>161.184</v>
      </c>
      <c r="AD3989">
        <v>2.9708019999999999</v>
      </c>
      <c r="AE3989">
        <v>-3.91320000000001</v>
      </c>
      <c r="AF3989">
        <v>3.1511626988765098</v>
      </c>
      <c r="AG3989">
        <v>2.9708019999999999</v>
      </c>
      <c r="AH3989">
        <v>161.14596743286401</v>
      </c>
      <c r="AI3989">
        <v>88.944046716596006</v>
      </c>
      <c r="AJ3989">
        <v>88.879740410095295</v>
      </c>
      <c r="AK3989">
        <v>161.20415103449301</v>
      </c>
      <c r="AL3989">
        <v>89.091786018136006</v>
      </c>
      <c r="AM3989">
        <v>91.969461469745198</v>
      </c>
      <c r="AN3989">
        <v>0.99999996895718701</v>
      </c>
    </row>
    <row r="3990" spans="1:40" x14ac:dyDescent="0.25">
      <c r="A3990" t="str">
        <f>"20190312160722613"</f>
        <v>20190312160722613</v>
      </c>
      <c r="B3990" t="str">
        <f>"1552378042608750"</f>
        <v>1552378042608750</v>
      </c>
      <c r="C3990" t="s">
        <v>40</v>
      </c>
      <c r="D3990">
        <v>5.8441650000000003</v>
      </c>
      <c r="E3990">
        <v>0.52001640000000005</v>
      </c>
      <c r="F3990" t="s">
        <v>85</v>
      </c>
      <c r="G3990">
        <v>-107.39749999999999</v>
      </c>
      <c r="H3990">
        <v>4.1013449999999896</v>
      </c>
      <c r="I3990">
        <v>210.55760000000001</v>
      </c>
      <c r="J3990">
        <v>-268.25439999999998</v>
      </c>
      <c r="K3990">
        <v>1.109316</v>
      </c>
      <c r="L3990">
        <v>214.36089999999999</v>
      </c>
      <c r="M3990">
        <v>0.99993220000000005</v>
      </c>
      <c r="N3990">
        <v>0</v>
      </c>
      <c r="O3990">
        <v>-4.7204689999999997E-3</v>
      </c>
      <c r="P3990">
        <v>0.99955430000000001</v>
      </c>
      <c r="Q3990">
        <v>5.4012790000000001E-3</v>
      </c>
      <c r="R3990">
        <v>2.9368539999999999E-2</v>
      </c>
      <c r="S3990">
        <v>3.003174</v>
      </c>
      <c r="T3990">
        <v>5.5748220000000001E-2</v>
      </c>
      <c r="U3990">
        <v>-7.0892330000000003E-2</v>
      </c>
      <c r="V3990">
        <v>-3.4086499999999999E-2</v>
      </c>
      <c r="W3990">
        <v>1.6061869999999999E-2</v>
      </c>
      <c r="X3990">
        <v>0.99928980000000001</v>
      </c>
      <c r="Y3990">
        <v>1.8877109999999999E-2</v>
      </c>
      <c r="Z3990" s="1">
        <v>8.75591E-5</v>
      </c>
      <c r="AA3990">
        <v>0.99982179999999998</v>
      </c>
      <c r="AB3990">
        <v>33</v>
      </c>
      <c r="AC3990">
        <v>160.8569</v>
      </c>
      <c r="AD3990">
        <v>2.992029</v>
      </c>
      <c r="AE3990">
        <v>-3.8032999999999699</v>
      </c>
      <c r="AF3990">
        <v>3.0428424096772</v>
      </c>
      <c r="AG3990">
        <v>2.992029</v>
      </c>
      <c r="AH3990">
        <v>160.81745330011901</v>
      </c>
      <c r="AI3990">
        <v>88.934318469258898</v>
      </c>
      <c r="AJ3990">
        <v>88.9160304219686</v>
      </c>
      <c r="AK3990">
        <v>160.874063830696</v>
      </c>
      <c r="AL3990">
        <v>89.079683053557503</v>
      </c>
      <c r="AM3990">
        <v>91.953643123631593</v>
      </c>
      <c r="AN3990">
        <v>0.99999998876709295</v>
      </c>
    </row>
    <row r="3991" spans="1:40" x14ac:dyDescent="0.25">
      <c r="A3991" t="str">
        <f>"20190312160722636"</f>
        <v>20190312160722636</v>
      </c>
      <c r="B3991" t="str">
        <f>"1552378042629245"</f>
        <v>1552378042629245</v>
      </c>
      <c r="C3991" t="s">
        <v>40</v>
      </c>
      <c r="D3991">
        <v>5.7517480000000001</v>
      </c>
      <c r="E3991">
        <v>0.51965340000000004</v>
      </c>
      <c r="F3991" t="s">
        <v>85</v>
      </c>
      <c r="G3991">
        <v>-107.39749999999999</v>
      </c>
      <c r="H3991">
        <v>3.882609</v>
      </c>
      <c r="I3991">
        <v>210.58330000000001</v>
      </c>
      <c r="J3991">
        <v>-267.92230000000001</v>
      </c>
      <c r="K3991">
        <v>1.1093120000000001</v>
      </c>
      <c r="L3991">
        <v>214.35939999999999</v>
      </c>
      <c r="M3991">
        <v>0.9999323</v>
      </c>
      <c r="N3991">
        <v>0</v>
      </c>
      <c r="O3991">
        <v>-4.720353E-3</v>
      </c>
      <c r="P3991">
        <v>0.99953899999999996</v>
      </c>
      <c r="Q3991">
        <v>5.8067369999999898E-3</v>
      </c>
      <c r="R3991">
        <v>2.980097E-2</v>
      </c>
      <c r="S3991">
        <v>3.0031430000000001</v>
      </c>
      <c r="T3991">
        <v>5.1777360000000001E-2</v>
      </c>
      <c r="U3991">
        <v>-7.0526119999999998E-2</v>
      </c>
      <c r="V3991">
        <v>-3.4518460000000001E-2</v>
      </c>
      <c r="W3991">
        <v>1.64452E-2</v>
      </c>
      <c r="X3991">
        <v>0.99926879999999996</v>
      </c>
      <c r="Y3991">
        <v>1.8755959999999999E-2</v>
      </c>
      <c r="Z3991" s="1">
        <v>8.0282209999999894E-5</v>
      </c>
      <c r="AA3991">
        <v>0.99982409999999999</v>
      </c>
      <c r="AB3991">
        <v>33</v>
      </c>
      <c r="AC3991">
        <v>160.5248</v>
      </c>
      <c r="AD3991">
        <v>2.7732969999999901</v>
      </c>
      <c r="AE3991">
        <v>-3.77609999999998</v>
      </c>
      <c r="AF3991">
        <v>3.0173812301897001</v>
      </c>
      <c r="AG3991">
        <v>2.7732969999999901</v>
      </c>
      <c r="AH3991">
        <v>160.49296023376101</v>
      </c>
      <c r="AI3991">
        <v>89.010209956172503</v>
      </c>
      <c r="AJ3991">
        <v>88.922925689336694</v>
      </c>
      <c r="AK3991">
        <v>160.545277259513</v>
      </c>
      <c r="AL3991">
        <v>89.057717019627404</v>
      </c>
      <c r="AM3991">
        <v>91.978422591586707</v>
      </c>
      <c r="AN3991">
        <v>1.00000005166862</v>
      </c>
    </row>
    <row r="3992" spans="1:40" x14ac:dyDescent="0.25">
      <c r="A3992" t="str">
        <f>"20190312160722657"</f>
        <v>20190312160722657</v>
      </c>
      <c r="B3992" t="str">
        <f>"1552378042648764"</f>
        <v>1552378042648764</v>
      </c>
      <c r="C3992" t="s">
        <v>40</v>
      </c>
      <c r="D3992">
        <v>5.7955350000000001</v>
      </c>
      <c r="E3992">
        <v>0.51990369999999997</v>
      </c>
      <c r="F3992" t="s">
        <v>85</v>
      </c>
      <c r="G3992">
        <v>-107.39749999999999</v>
      </c>
      <c r="H3992">
        <v>3.780141</v>
      </c>
      <c r="I3992">
        <v>210.81790000000001</v>
      </c>
      <c r="J3992">
        <v>-267.60129999999998</v>
      </c>
      <c r="K3992">
        <v>1.109313</v>
      </c>
      <c r="L3992">
        <v>214.3579</v>
      </c>
      <c r="M3992">
        <v>0.9999325</v>
      </c>
      <c r="N3992">
        <v>0</v>
      </c>
      <c r="O3992">
        <v>-4.7202449999999996E-3</v>
      </c>
      <c r="P3992">
        <v>0.99952759999999996</v>
      </c>
      <c r="Q3992">
        <v>5.976215E-3</v>
      </c>
      <c r="R3992">
        <v>3.014903E-2</v>
      </c>
      <c r="S3992">
        <v>3.0031129999999999</v>
      </c>
      <c r="T3992">
        <v>4.9967049999999999E-2</v>
      </c>
      <c r="U3992">
        <v>-6.6253660000000006E-2</v>
      </c>
      <c r="V3992">
        <v>-3.4866679999999997E-2</v>
      </c>
      <c r="W3992">
        <v>1.659443E-2</v>
      </c>
      <c r="X3992">
        <v>0.99925419999999998</v>
      </c>
      <c r="Y3992">
        <v>1.7334949999999998E-2</v>
      </c>
      <c r="Z3992" s="1">
        <v>6.5659889999999997E-5</v>
      </c>
      <c r="AA3992">
        <v>0.99984969999999995</v>
      </c>
      <c r="AB3992">
        <v>33</v>
      </c>
      <c r="AC3992">
        <v>160.2038</v>
      </c>
      <c r="AD3992">
        <v>2.67082799999999</v>
      </c>
      <c r="AE3992">
        <v>-3.5399999999999898</v>
      </c>
      <c r="AF3992">
        <v>2.7829436461775798</v>
      </c>
      <c r="AG3992">
        <v>2.67082799999999</v>
      </c>
      <c r="AH3992">
        <v>160.17422906768499</v>
      </c>
      <c r="AI3992">
        <v>89.044853175035698</v>
      </c>
      <c r="AJ3992">
        <v>89.004615881305597</v>
      </c>
      <c r="AK3992">
        <v>160.22066581739901</v>
      </c>
      <c r="AL3992">
        <v>89.049165562752805</v>
      </c>
      <c r="AM3992">
        <v>91.998393864254496</v>
      </c>
      <c r="AN3992">
        <v>1.00000000834944</v>
      </c>
    </row>
    <row r="3993" spans="1:40" x14ac:dyDescent="0.25">
      <c r="A3993" t="str">
        <f>"20190312160722679"</f>
        <v>20190312160722679</v>
      </c>
      <c r="B3993" t="str">
        <f>"1552378042669261"</f>
        <v>1552378042669261</v>
      </c>
      <c r="C3993" t="s">
        <v>40</v>
      </c>
      <c r="D3993">
        <v>5.7649990000000004</v>
      </c>
      <c r="E3993">
        <v>0.48946309999999899</v>
      </c>
      <c r="F3993" t="s">
        <v>85</v>
      </c>
      <c r="G3993">
        <v>-107.39749999999999</v>
      </c>
      <c r="H3993">
        <v>3.2428170000000001</v>
      </c>
      <c r="I3993">
        <v>210.75280000000001</v>
      </c>
      <c r="J3993">
        <v>-267.27690000000001</v>
      </c>
      <c r="K3993">
        <v>1.1093139999999999</v>
      </c>
      <c r="L3993">
        <v>214.3563</v>
      </c>
      <c r="M3993">
        <v>0.99993259999999995</v>
      </c>
      <c r="N3993">
        <v>0</v>
      </c>
      <c r="O3993">
        <v>-4.7199090000000004E-3</v>
      </c>
      <c r="P3993">
        <v>0.9995214</v>
      </c>
      <c r="Q3993">
        <v>5.635541E-3</v>
      </c>
      <c r="R3993">
        <v>3.0417960000000001E-2</v>
      </c>
      <c r="S3993">
        <v>3.0032040000000002</v>
      </c>
      <c r="T3993">
        <v>3.9995910000000003E-2</v>
      </c>
      <c r="U3993">
        <v>-6.7581180000000005E-2</v>
      </c>
      <c r="V3993">
        <v>-3.5135149999999997E-2</v>
      </c>
      <c r="W3993">
        <v>1.623494E-2</v>
      </c>
      <c r="X3993">
        <v>0.99925070000000005</v>
      </c>
      <c r="Y3993">
        <v>1.777695E-2</v>
      </c>
      <c r="Z3993" s="1">
        <v>5.5503859999999898E-5</v>
      </c>
      <c r="AA3993">
        <v>0.99984200000000001</v>
      </c>
      <c r="AB3993">
        <v>33</v>
      </c>
      <c r="AC3993">
        <v>159.8794</v>
      </c>
      <c r="AD3993">
        <v>2.1335030000000001</v>
      </c>
      <c r="AE3993">
        <v>-3.6034999999999902</v>
      </c>
      <c r="AF3993">
        <v>2.8482942294579399</v>
      </c>
      <c r="AG3993">
        <v>2.1335030000000001</v>
      </c>
      <c r="AH3993">
        <v>159.86617445968599</v>
      </c>
      <c r="AI3993">
        <v>89.235522663010002</v>
      </c>
      <c r="AJ3993">
        <v>88.979283929384394</v>
      </c>
      <c r="AK3993">
        <v>159.90577960612799</v>
      </c>
      <c r="AL3993">
        <v>89.069765596420794</v>
      </c>
      <c r="AM3993">
        <v>92.013775727102598</v>
      </c>
      <c r="AN3993">
        <v>1.0000000067464001</v>
      </c>
    </row>
    <row r="3994" spans="1:40" x14ac:dyDescent="0.25">
      <c r="A3994" t="str">
        <f>"20190312160722702"</f>
        <v>20190312160722702</v>
      </c>
      <c r="B3994" t="str">
        <f>"1552378042688780"</f>
        <v>1552378042688780</v>
      </c>
      <c r="C3994" t="s">
        <v>40</v>
      </c>
      <c r="D3994">
        <v>5.7420540000000004</v>
      </c>
      <c r="E3994">
        <v>0.48196450000000002</v>
      </c>
      <c r="F3994" t="s">
        <v>61</v>
      </c>
      <c r="G3994">
        <v>-209.38640000000001</v>
      </c>
      <c r="H3994" s="1">
        <v>6.1099230000000001E-6</v>
      </c>
      <c r="I3994">
        <v>217.69929999999999</v>
      </c>
      <c r="J3994">
        <v>-266.94709999999998</v>
      </c>
      <c r="K3994">
        <v>1.109313</v>
      </c>
      <c r="L3994">
        <v>214.35480000000001</v>
      </c>
      <c r="M3994">
        <v>0.99993279999999995</v>
      </c>
      <c r="N3994">
        <v>0</v>
      </c>
      <c r="O3994">
        <v>-4.7195819999999999E-3</v>
      </c>
      <c r="P3994">
        <v>0.9995098</v>
      </c>
      <c r="Q3994">
        <v>6.17396E-3</v>
      </c>
      <c r="R3994">
        <v>3.0693310000000001E-2</v>
      </c>
      <c r="S3994">
        <v>2.9964900000000001</v>
      </c>
      <c r="T3994">
        <v>-5.741918E-2</v>
      </c>
      <c r="U3994">
        <v>0.17303470000000001</v>
      </c>
      <c r="V3994">
        <v>-3.540977E-2</v>
      </c>
      <c r="W3994">
        <v>1.6757009999999999E-2</v>
      </c>
      <c r="X3994">
        <v>0.99923240000000002</v>
      </c>
      <c r="Y3994">
        <v>-6.2348830000000001E-2</v>
      </c>
      <c r="Z3994">
        <v>6.8717850000000005E-4</v>
      </c>
      <c r="AA3994">
        <v>0.9980542</v>
      </c>
      <c r="AB3994">
        <v>33</v>
      </c>
      <c r="AC3994">
        <v>57.560699999999898</v>
      </c>
      <c r="AD3994">
        <v>-1.109306890077</v>
      </c>
      <c r="AE3994">
        <v>3.34449999999998</v>
      </c>
      <c r="AF3994">
        <v>-3.6148023723175999</v>
      </c>
      <c r="AG3994">
        <v>-1.109306890077</v>
      </c>
      <c r="AH3994">
        <v>57.522980719277498</v>
      </c>
      <c r="AI3994">
        <v>91.102614043301998</v>
      </c>
      <c r="AJ3994">
        <v>93.595796534208404</v>
      </c>
      <c r="AK3994">
        <v>57.64712194722</v>
      </c>
      <c r="AL3994">
        <v>89.039849129962207</v>
      </c>
      <c r="AM3994">
        <v>92.029539634309401</v>
      </c>
      <c r="AN3994">
        <v>1.0000000192026699</v>
      </c>
    </row>
    <row r="3995" spans="1:40" x14ac:dyDescent="0.25">
      <c r="A3995" t="str">
        <f>"20190312160722725"</f>
        <v>20190312160722725</v>
      </c>
      <c r="B3995" t="str">
        <f>"1552378042709473"</f>
        <v>1552378042709473</v>
      </c>
      <c r="C3995" t="s">
        <v>40</v>
      </c>
      <c r="D3995">
        <v>5.7347799999999998</v>
      </c>
      <c r="E3995">
        <v>0.47874719999999998</v>
      </c>
      <c r="F3995" t="s">
        <v>66</v>
      </c>
      <c r="G3995">
        <v>-225.76490000000001</v>
      </c>
      <c r="H3995" s="1">
        <v>1.402404E-6</v>
      </c>
      <c r="I3995">
        <v>217.55840000000001</v>
      </c>
      <c r="J3995">
        <v>-266.61399999999998</v>
      </c>
      <c r="K3995">
        <v>1.109305</v>
      </c>
      <c r="L3995">
        <v>214.35319999999999</v>
      </c>
      <c r="M3995">
        <v>0.99993299999999996</v>
      </c>
      <c r="N3995">
        <v>0</v>
      </c>
      <c r="O3995">
        <v>-4.7178250000000001E-3</v>
      </c>
      <c r="P3995">
        <v>0.99950240000000001</v>
      </c>
      <c r="Q3995">
        <v>6.6737360000000004E-3</v>
      </c>
      <c r="R3995">
        <v>3.0825390000000001E-2</v>
      </c>
      <c r="S3995">
        <v>2.994812</v>
      </c>
      <c r="T3995">
        <v>-8.0670359999999997E-2</v>
      </c>
      <c r="U3995">
        <v>0.23297119999999999</v>
      </c>
      <c r="V3995">
        <v>-3.554003E-2</v>
      </c>
      <c r="W3995">
        <v>1.72414E-2</v>
      </c>
      <c r="X3995">
        <v>0.99921950000000004</v>
      </c>
      <c r="Y3995">
        <v>-8.222894E-2</v>
      </c>
      <c r="Z3995">
        <v>1.232499E-3</v>
      </c>
      <c r="AA3995">
        <v>0.99661270000000002</v>
      </c>
      <c r="AB3995">
        <v>33</v>
      </c>
      <c r="AC3995">
        <v>40.8491</v>
      </c>
      <c r="AD3995">
        <v>-1.1093035975959999</v>
      </c>
      <c r="AE3995">
        <v>3.2052000000000098</v>
      </c>
      <c r="AF3995">
        <v>-3.3954053595613298</v>
      </c>
      <c r="AG3995">
        <v>-1.1093035975959999</v>
      </c>
      <c r="AH3995">
        <v>40.803616193768001</v>
      </c>
      <c r="AI3995">
        <v>91.551921423139007</v>
      </c>
      <c r="AJ3995">
        <v>94.756814165806702</v>
      </c>
      <c r="AK3995">
        <v>40.959668291084903</v>
      </c>
      <c r="AL3995">
        <v>89.012091582318106</v>
      </c>
      <c r="AM3995">
        <v>92.037025589266904</v>
      </c>
      <c r="AN3995">
        <v>0.99999998439330495</v>
      </c>
    </row>
    <row r="3996" spans="1:40" x14ac:dyDescent="0.25">
      <c r="A3996" t="str">
        <f>"20190312160722748"</f>
        <v>20190312160722748</v>
      </c>
      <c r="B3996" t="str">
        <f>"1552378042739728"</f>
        <v>1552378042739728</v>
      </c>
      <c r="C3996" t="s">
        <v>40</v>
      </c>
      <c r="D3996">
        <v>5.6231359999999997</v>
      </c>
      <c r="E3996">
        <v>0.47811110000000001</v>
      </c>
      <c r="F3996" t="s">
        <v>66</v>
      </c>
      <c r="G3996">
        <v>-221.90639999999999</v>
      </c>
      <c r="H3996" s="1">
        <v>-6.7980359999999997E-7</v>
      </c>
      <c r="I3996">
        <v>218.22</v>
      </c>
      <c r="J3996">
        <v>-266.27100000000002</v>
      </c>
      <c r="K3996">
        <v>1.109305</v>
      </c>
      <c r="L3996">
        <v>214.35159999999999</v>
      </c>
      <c r="M3996">
        <v>0.99993319999999997</v>
      </c>
      <c r="N3996">
        <v>0</v>
      </c>
      <c r="O3996">
        <v>-4.7095870000000003E-3</v>
      </c>
      <c r="P3996">
        <v>0.99950729999999999</v>
      </c>
      <c r="Q3996">
        <v>6.2873629999999998E-3</v>
      </c>
      <c r="R3996">
        <v>3.075371E-2</v>
      </c>
      <c r="S3996">
        <v>2.9939879999999999</v>
      </c>
      <c r="T3996">
        <v>-7.4288370000000006E-2</v>
      </c>
      <c r="U3996">
        <v>0.25895689999999999</v>
      </c>
      <c r="V3996">
        <v>-3.5460230000000002E-2</v>
      </c>
      <c r="W3996">
        <v>1.6838530000000001E-2</v>
      </c>
      <c r="X3996">
        <v>0.99922920000000004</v>
      </c>
      <c r="Y3996">
        <v>-9.0832769999999993E-2</v>
      </c>
      <c r="Z3996">
        <v>1.241256E-3</v>
      </c>
      <c r="AA3996">
        <v>0.99586540000000001</v>
      </c>
      <c r="AB3996">
        <v>33</v>
      </c>
      <c r="AC3996">
        <v>44.364599999999903</v>
      </c>
      <c r="AD3996">
        <v>-1.1093056798036001</v>
      </c>
      <c r="AE3996">
        <v>3.8683999999999998</v>
      </c>
      <c r="AF3996">
        <v>-4.0747792886571803</v>
      </c>
      <c r="AG3996">
        <v>-1.1093056798036001</v>
      </c>
      <c r="AH3996">
        <v>44.318388915528899</v>
      </c>
      <c r="AI3996">
        <v>91.427815318310195</v>
      </c>
      <c r="AJ3996">
        <v>95.253193982955594</v>
      </c>
      <c r="AK3996">
        <v>44.519141741621603</v>
      </c>
      <c r="AL3996">
        <v>89.035177680277599</v>
      </c>
      <c r="AM3996">
        <v>92.032435869585399</v>
      </c>
      <c r="AN3996">
        <v>0.99999997906842597</v>
      </c>
    </row>
    <row r="3997" spans="1:40" x14ac:dyDescent="0.25">
      <c r="A3997" t="str">
        <f>"20190312160722769"</f>
        <v>20190312160722769</v>
      </c>
      <c r="B3997" t="str">
        <f>"1552378042759248"</f>
        <v>1552378042759248</v>
      </c>
      <c r="C3997" t="s">
        <v>40</v>
      </c>
      <c r="D3997">
        <v>5.5757810000000001</v>
      </c>
      <c r="E3997">
        <v>0.47774060000000002</v>
      </c>
      <c r="F3997" t="s">
        <v>66</v>
      </c>
      <c r="G3997">
        <v>-229.17599999999999</v>
      </c>
      <c r="H3997" s="1">
        <v>3.2151949999999998E-6</v>
      </c>
      <c r="I3997">
        <v>217.61359999999999</v>
      </c>
      <c r="J3997">
        <v>-265.94720000000001</v>
      </c>
      <c r="K3997">
        <v>1.109307</v>
      </c>
      <c r="L3997">
        <v>214.3501</v>
      </c>
      <c r="M3997">
        <v>0.99993339999999997</v>
      </c>
      <c r="N3997">
        <v>0</v>
      </c>
      <c r="O3997">
        <v>-4.6910440000000001E-3</v>
      </c>
      <c r="P3997">
        <v>0.99950340000000004</v>
      </c>
      <c r="Q3997">
        <v>6.3910310000000001E-3</v>
      </c>
      <c r="R3997">
        <v>3.0852770000000002E-2</v>
      </c>
      <c r="S3997">
        <v>2.9939269999999998</v>
      </c>
      <c r="T3997">
        <v>-8.953142E-2</v>
      </c>
      <c r="U3997">
        <v>0.26327509999999998</v>
      </c>
      <c r="V3997">
        <v>-3.5541169999999997E-2</v>
      </c>
      <c r="W3997">
        <v>1.6923400000000002E-2</v>
      </c>
      <c r="X3997">
        <v>0.99922489999999997</v>
      </c>
      <c r="Y3997">
        <v>-9.2227680000000006E-2</v>
      </c>
      <c r="Z3997">
        <v>1.5160389999999901E-3</v>
      </c>
      <c r="AA3997">
        <v>0.99573679999999998</v>
      </c>
      <c r="AB3997">
        <v>33</v>
      </c>
      <c r="AC3997">
        <v>36.7712</v>
      </c>
      <c r="AD3997">
        <v>-1.109303784805</v>
      </c>
      <c r="AE3997">
        <v>3.2634999999999899</v>
      </c>
      <c r="AF3997">
        <v>-3.4328691847579802</v>
      </c>
      <c r="AG3997">
        <v>-1.109303784805</v>
      </c>
      <c r="AH3997">
        <v>36.722325778267297</v>
      </c>
      <c r="AI3997">
        <v>91.7227516337352</v>
      </c>
      <c r="AJ3997">
        <v>95.340591927435497</v>
      </c>
      <c r="AK3997">
        <v>36.899110508138797</v>
      </c>
      <c r="AL3997">
        <v>89.030314303518097</v>
      </c>
      <c r="AM3997">
        <v>92.037079875333404</v>
      </c>
      <c r="AN3997">
        <v>0.99999998850626903</v>
      </c>
    </row>
    <row r="3998" spans="1:40" x14ac:dyDescent="0.25">
      <c r="A3998" t="str">
        <f>"20190312160722791"</f>
        <v>20190312160722791</v>
      </c>
      <c r="B3998" t="str">
        <f>"1552378042779745"</f>
        <v>1552378042779745</v>
      </c>
      <c r="C3998" t="s">
        <v>40</v>
      </c>
      <c r="D3998">
        <v>5.5738909999999997</v>
      </c>
      <c r="E3998">
        <v>0.47769889999999998</v>
      </c>
      <c r="F3998" t="s">
        <v>66</v>
      </c>
      <c r="G3998">
        <v>-227.173</v>
      </c>
      <c r="H3998" s="1">
        <v>2.1409589999999998E-6</v>
      </c>
      <c r="I3998">
        <v>217.80520000000001</v>
      </c>
      <c r="J3998">
        <v>-265.63249999999999</v>
      </c>
      <c r="K3998">
        <v>1.109308</v>
      </c>
      <c r="L3998">
        <v>214.34870000000001</v>
      </c>
      <c r="M3998">
        <v>0.99993379999999998</v>
      </c>
      <c r="N3998">
        <v>0</v>
      </c>
      <c r="O3998">
        <v>-4.6589910000000003E-3</v>
      </c>
      <c r="P3998">
        <v>0.99949549999999998</v>
      </c>
      <c r="Q3998">
        <v>6.2475880000000001E-3</v>
      </c>
      <c r="R3998">
        <v>3.1139790000000001E-2</v>
      </c>
      <c r="S3998">
        <v>2.9937740000000002</v>
      </c>
      <c r="T3998">
        <v>-8.5649970000000006E-2</v>
      </c>
      <c r="U3998">
        <v>0.26676939999999999</v>
      </c>
      <c r="V3998">
        <v>-3.5796660000000001E-2</v>
      </c>
      <c r="W3998">
        <v>1.676178E-2</v>
      </c>
      <c r="X3998">
        <v>0.99921850000000001</v>
      </c>
      <c r="Y3998">
        <v>-9.3356499999999995E-2</v>
      </c>
      <c r="Z3998">
        <v>1.465537E-3</v>
      </c>
      <c r="AA3998">
        <v>0.99563170000000001</v>
      </c>
      <c r="AB3998">
        <v>33</v>
      </c>
      <c r="AC3998">
        <v>38.459499999999899</v>
      </c>
      <c r="AD3998">
        <v>-1.1093058590410001</v>
      </c>
      <c r="AE3998">
        <v>3.4565000000000001</v>
      </c>
      <c r="AF3998">
        <v>-3.6326569034757199</v>
      </c>
      <c r="AG3998">
        <v>-1.1093058590410001</v>
      </c>
      <c r="AH3998">
        <v>38.411277779638603</v>
      </c>
      <c r="AI3998">
        <v>91.646880283009395</v>
      </c>
      <c r="AJ3998">
        <v>95.4025460246026</v>
      </c>
      <c r="AK3998">
        <v>38.598614176312502</v>
      </c>
      <c r="AL3998">
        <v>89.039575757318104</v>
      </c>
      <c r="AM3998">
        <v>92.051724215291401</v>
      </c>
      <c r="AN3998">
        <v>0.999999984439086</v>
      </c>
    </row>
    <row r="3999" spans="1:40" x14ac:dyDescent="0.25">
      <c r="A3999" t="str">
        <f>"20190312160722813"</f>
        <v>20190312160722813</v>
      </c>
      <c r="B3999" t="str">
        <f>"1552378042809025"</f>
        <v>1552378042809025</v>
      </c>
      <c r="C3999" t="s">
        <v>40</v>
      </c>
      <c r="D3999">
        <v>5.6053439999999997</v>
      </c>
      <c r="E3999">
        <v>0.47813220000000001</v>
      </c>
      <c r="F3999" t="s">
        <v>66</v>
      </c>
      <c r="G3999">
        <v>-225.04069999999999</v>
      </c>
      <c r="H3999" s="1">
        <v>9.9841759999999994E-7</v>
      </c>
      <c r="I3999">
        <v>217.98400000000001</v>
      </c>
      <c r="J3999">
        <v>-265.29450000000003</v>
      </c>
      <c r="K3999">
        <v>1.1093189999999999</v>
      </c>
      <c r="L3999">
        <v>214.34710000000001</v>
      </c>
      <c r="M3999">
        <v>0.99993430000000005</v>
      </c>
      <c r="N3999">
        <v>0</v>
      </c>
      <c r="O3999">
        <v>-4.6088989999999996E-3</v>
      </c>
      <c r="P3999">
        <v>0.99946500000000005</v>
      </c>
      <c r="Q3999">
        <v>6.1342530000000001E-3</v>
      </c>
      <c r="R3999">
        <v>3.2129579999999998E-2</v>
      </c>
      <c r="S3999">
        <v>2.9936829999999999</v>
      </c>
      <c r="T3999">
        <v>-8.1812380000000004E-2</v>
      </c>
      <c r="U3999">
        <v>0.26811220000000002</v>
      </c>
      <c r="V3999">
        <v>-3.6736789999999998E-2</v>
      </c>
      <c r="W3999">
        <v>1.6629709999999999E-2</v>
      </c>
      <c r="X3999">
        <v>0.99918660000000004</v>
      </c>
      <c r="Y3999">
        <v>-9.3755679999999994E-2</v>
      </c>
      <c r="Z3999">
        <v>1.4039899999999999E-3</v>
      </c>
      <c r="AA3999">
        <v>0.99559430000000004</v>
      </c>
      <c r="AB3999">
        <v>33</v>
      </c>
      <c r="AC3999">
        <v>40.253799999999998</v>
      </c>
      <c r="AD3999">
        <v>-1.1093180015824</v>
      </c>
      <c r="AE3999">
        <v>3.63689999999999</v>
      </c>
      <c r="AF3999">
        <v>-3.8195200436557002</v>
      </c>
      <c r="AG3999">
        <v>-1.1093180015824</v>
      </c>
      <c r="AH3999">
        <v>40.206321990927997</v>
      </c>
      <c r="AI3999">
        <v>91.573346162993801</v>
      </c>
      <c r="AJ3999">
        <v>95.426698744323502</v>
      </c>
      <c r="AK3999">
        <v>40.4025698171627</v>
      </c>
      <c r="AL3999">
        <v>89.047143881033506</v>
      </c>
      <c r="AM3999">
        <v>92.105628062024095</v>
      </c>
      <c r="AN3999">
        <v>1.0000000003068701</v>
      </c>
    </row>
    <row r="4000" spans="1:40" x14ac:dyDescent="0.25">
      <c r="A4000" t="str">
        <f>"20190312160722848"</f>
        <v>20190312160722848</v>
      </c>
      <c r="B4000" t="str">
        <f>"1552378042839282"</f>
        <v>1552378042839282</v>
      </c>
      <c r="C4000" t="s">
        <v>40</v>
      </c>
      <c r="D4000">
        <v>5.5165389999999999</v>
      </c>
      <c r="E4000">
        <v>0.477937</v>
      </c>
      <c r="F4000" t="s">
        <v>66</v>
      </c>
      <c r="G4000">
        <v>-227.54570000000001</v>
      </c>
      <c r="H4000" s="1">
        <v>2.3431660000000002E-6</v>
      </c>
      <c r="I4000">
        <v>217.71610000000001</v>
      </c>
      <c r="J4000">
        <v>-264.79570000000001</v>
      </c>
      <c r="K4000">
        <v>1.109335</v>
      </c>
      <c r="L4000">
        <v>214.3449</v>
      </c>
      <c r="M4000">
        <v>0.99993500000000002</v>
      </c>
      <c r="N4000">
        <v>0</v>
      </c>
      <c r="O4000">
        <v>-4.5065189999999996E-3</v>
      </c>
      <c r="P4000">
        <v>0.99945349999999999</v>
      </c>
      <c r="Q4000">
        <v>5.8717119999999899E-3</v>
      </c>
      <c r="R4000">
        <v>3.253524E-2</v>
      </c>
      <c r="S4000">
        <v>2.9935299999999998</v>
      </c>
      <c r="T4000">
        <v>-8.7970380000000001E-2</v>
      </c>
      <c r="U4000">
        <v>0.26716610000000002</v>
      </c>
      <c r="V4000">
        <v>-3.7040940000000001E-2</v>
      </c>
      <c r="W4000">
        <v>1.634364E-2</v>
      </c>
      <c r="X4000">
        <v>0.99918010000000002</v>
      </c>
      <c r="Y4000">
        <v>-9.3340640000000002E-2</v>
      </c>
      <c r="Z4000">
        <v>1.500634E-3</v>
      </c>
      <c r="AA4000">
        <v>0.99563310000000005</v>
      </c>
      <c r="AB4000">
        <v>33</v>
      </c>
      <c r="AC4000">
        <v>37.25</v>
      </c>
      <c r="AD4000">
        <v>-1.1093326568340001</v>
      </c>
      <c r="AE4000">
        <v>3.3712000000000102</v>
      </c>
      <c r="AF4000">
        <v>-3.5359322884486799</v>
      </c>
      <c r="AG4000">
        <v>-1.1093326568340001</v>
      </c>
      <c r="AH4000">
        <v>37.2017026260826</v>
      </c>
      <c r="AI4000">
        <v>91.700361177017001</v>
      </c>
      <c r="AJ4000">
        <v>95.429514972003503</v>
      </c>
      <c r="AK4000">
        <v>37.3858277208288</v>
      </c>
      <c r="AL4000">
        <v>89.063536720913206</v>
      </c>
      <c r="AM4000">
        <v>92.123058818573199</v>
      </c>
      <c r="AN4000">
        <v>1.0000000090202701</v>
      </c>
    </row>
    <row r="4001" spans="1:40" x14ac:dyDescent="0.25">
      <c r="A4001" t="str">
        <f>"20190312160722869"</f>
        <v>20190312160722869</v>
      </c>
      <c r="B4001" t="str">
        <f>"1552378042859776"</f>
        <v>1552378042859776</v>
      </c>
      <c r="C4001" t="s">
        <v>40</v>
      </c>
      <c r="D4001">
        <v>5.5440199999999997</v>
      </c>
      <c r="E4001">
        <v>0.47803909999999999</v>
      </c>
      <c r="F4001" t="s">
        <v>66</v>
      </c>
      <c r="G4001">
        <v>-229.37530000000001</v>
      </c>
      <c r="H4001" s="1">
        <v>3.3245530000000001E-6</v>
      </c>
      <c r="I4001">
        <v>217.53870000000001</v>
      </c>
      <c r="J4001">
        <v>-264.47370000000001</v>
      </c>
      <c r="K4001">
        <v>1.109345</v>
      </c>
      <c r="L4001">
        <v>214.34360000000001</v>
      </c>
      <c r="M4001">
        <v>0.99993540000000003</v>
      </c>
      <c r="N4001">
        <v>0</v>
      </c>
      <c r="O4001">
        <v>-4.4286330000000004E-3</v>
      </c>
      <c r="P4001">
        <v>0.99944920000000004</v>
      </c>
      <c r="Q4001">
        <v>5.8779779999999998E-3</v>
      </c>
      <c r="R4001">
        <v>3.2662919999999998E-2</v>
      </c>
      <c r="S4001">
        <v>2.993439</v>
      </c>
      <c r="T4001">
        <v>-9.3751669999999995E-2</v>
      </c>
      <c r="U4001">
        <v>0.26991270000000001</v>
      </c>
      <c r="V4001">
        <v>-3.7090970000000001E-2</v>
      </c>
      <c r="W4001">
        <v>1.633745E-2</v>
      </c>
      <c r="X4001">
        <v>0.99917829999999996</v>
      </c>
      <c r="Y4001">
        <v>-9.416592E-2</v>
      </c>
      <c r="Z4001">
        <v>1.60965E-3</v>
      </c>
      <c r="AA4001">
        <v>0.99555519999999997</v>
      </c>
      <c r="AB4001">
        <v>33</v>
      </c>
      <c r="AC4001">
        <v>35.098399999999998</v>
      </c>
      <c r="AD4001">
        <v>-1.109341675447</v>
      </c>
      <c r="AE4001">
        <v>3.1950999999999898</v>
      </c>
      <c r="AF4001">
        <v>-3.3471988171112201</v>
      </c>
      <c r="AG4001">
        <v>-1.109341675447</v>
      </c>
      <c r="AH4001">
        <v>35.049179473264999</v>
      </c>
      <c r="AI4001">
        <v>91.804658335565705</v>
      </c>
      <c r="AJ4001">
        <v>95.455206342144805</v>
      </c>
      <c r="AK4001">
        <v>35.2261175922538</v>
      </c>
      <c r="AL4001">
        <v>89.063891386771502</v>
      </c>
      <c r="AM4001">
        <v>92.125927562366002</v>
      </c>
      <c r="AN4001">
        <v>0.99999996375946598</v>
      </c>
    </row>
    <row r="4002" spans="1:40" x14ac:dyDescent="0.25">
      <c r="A4002" t="str">
        <f>"20190312160722891"</f>
        <v>20190312160722891</v>
      </c>
      <c r="B4002" t="str">
        <f>"1552378042879296"</f>
        <v>1552378042879296</v>
      </c>
      <c r="C4002" t="s">
        <v>40</v>
      </c>
      <c r="D4002">
        <v>5.5557930000000004</v>
      </c>
      <c r="E4002">
        <v>0.47798980000000002</v>
      </c>
      <c r="F4002" t="s">
        <v>66</v>
      </c>
      <c r="G4002">
        <v>-230.0043</v>
      </c>
      <c r="H4002" s="1">
        <v>-1.6582489999999999E-6</v>
      </c>
      <c r="I4002">
        <v>217.4468</v>
      </c>
      <c r="J4002">
        <v>-264.14179999999999</v>
      </c>
      <c r="K4002">
        <v>1.1093500000000001</v>
      </c>
      <c r="L4002">
        <v>214.34219999999999</v>
      </c>
      <c r="M4002">
        <v>0.99993589999999999</v>
      </c>
      <c r="N4002">
        <v>0</v>
      </c>
      <c r="O4002">
        <v>-4.3411120000000003E-3</v>
      </c>
      <c r="P4002">
        <v>0.99943700000000002</v>
      </c>
      <c r="Q4002">
        <v>6.2293319999999998E-3</v>
      </c>
      <c r="R4002">
        <v>3.2972719999999997E-2</v>
      </c>
      <c r="S4002">
        <v>2.9933779999999999</v>
      </c>
      <c r="T4002">
        <v>-9.6337199999999998E-2</v>
      </c>
      <c r="U4002">
        <v>0.26948549999999999</v>
      </c>
      <c r="V4002">
        <v>-3.7313739999999998E-2</v>
      </c>
      <c r="W4002">
        <v>1.6674049999999999E-2</v>
      </c>
      <c r="X4002">
        <v>0.99916450000000001</v>
      </c>
      <c r="Y4002">
        <v>-9.3937119999999999E-2</v>
      </c>
      <c r="Z4002">
        <v>1.6475800000000001E-3</v>
      </c>
      <c r="AA4002">
        <v>0.99557669999999998</v>
      </c>
      <c r="AB4002">
        <v>33</v>
      </c>
      <c r="AC4002">
        <v>34.137499999999903</v>
      </c>
      <c r="AD4002">
        <v>-1.109351658249</v>
      </c>
      <c r="AE4002">
        <v>3.1046</v>
      </c>
      <c r="AF4002">
        <v>-3.24937028221404</v>
      </c>
      <c r="AG4002">
        <v>-1.109351658249</v>
      </c>
      <c r="AH4002">
        <v>34.087997586175199</v>
      </c>
      <c r="AI4002">
        <v>91.855557069307096</v>
      </c>
      <c r="AJ4002">
        <v>95.445153096469895</v>
      </c>
      <c r="AK4002">
        <v>34.260482304948397</v>
      </c>
      <c r="AL4002">
        <v>89.044603051353704</v>
      </c>
      <c r="AM4002">
        <v>92.138713666460205</v>
      </c>
      <c r="AN4002">
        <v>1.0000000185982101</v>
      </c>
    </row>
    <row r="4003" spans="1:40" x14ac:dyDescent="0.25">
      <c r="A4003" t="str">
        <f>"20190312160722915"</f>
        <v>20190312160722915</v>
      </c>
      <c r="B4003" t="str">
        <f>"1552378042909553"</f>
        <v>1552378042909553</v>
      </c>
      <c r="C4003" t="s">
        <v>40</v>
      </c>
      <c r="D4003">
        <v>5.5982269999999996</v>
      </c>
      <c r="E4003">
        <v>0.47839660000000001</v>
      </c>
      <c r="F4003" t="s">
        <v>66</v>
      </c>
      <c r="G4003">
        <v>-229.3092</v>
      </c>
      <c r="H4003" s="1">
        <v>3.2915109999999998E-6</v>
      </c>
      <c r="I4003">
        <v>217.48910000000001</v>
      </c>
      <c r="J4003">
        <v>-263.7953</v>
      </c>
      <c r="K4003">
        <v>1.1093459999999999</v>
      </c>
      <c r="L4003">
        <v>214.3408</v>
      </c>
      <c r="M4003">
        <v>0.99993650000000001</v>
      </c>
      <c r="N4003">
        <v>0</v>
      </c>
      <c r="O4003">
        <v>-4.2451349999999997E-3</v>
      </c>
      <c r="P4003">
        <v>0.99944789999999994</v>
      </c>
      <c r="Q4003">
        <v>5.9626870000000004E-3</v>
      </c>
      <c r="R4003">
        <v>3.2691360000000003E-2</v>
      </c>
      <c r="S4003">
        <v>2.993347</v>
      </c>
      <c r="T4003">
        <v>-9.5331910000000006E-2</v>
      </c>
      <c r="U4003">
        <v>0.27043149999999999</v>
      </c>
      <c r="V4003">
        <v>-3.6936570000000002E-2</v>
      </c>
      <c r="W4003">
        <v>1.6389419999999998E-2</v>
      </c>
      <c r="X4003">
        <v>0.99918320000000005</v>
      </c>
      <c r="Y4003">
        <v>-9.4155569999999994E-2</v>
      </c>
      <c r="Z4003">
        <v>1.630809E-3</v>
      </c>
      <c r="AA4003">
        <v>0.9955562</v>
      </c>
      <c r="AB4003">
        <v>33</v>
      </c>
      <c r="AC4003">
        <v>34.486099999999901</v>
      </c>
      <c r="AD4003">
        <v>-1.109342708489</v>
      </c>
      <c r="AE4003">
        <v>3.1482999999999999</v>
      </c>
      <c r="AF4003">
        <v>-3.2913001713335799</v>
      </c>
      <c r="AG4003">
        <v>-1.109342708489</v>
      </c>
      <c r="AH4003">
        <v>34.437083650135001</v>
      </c>
      <c r="AI4003">
        <v>91.836701944344199</v>
      </c>
      <c r="AJ4003">
        <v>95.459421399136104</v>
      </c>
      <c r="AK4003">
        <v>34.611790308926402</v>
      </c>
      <c r="AL4003">
        <v>89.060913355822606</v>
      </c>
      <c r="AM4003">
        <v>92.117075579258596</v>
      </c>
      <c r="AN4003">
        <v>0.99999999522676997</v>
      </c>
    </row>
    <row r="4004" spans="1:40" x14ac:dyDescent="0.25">
      <c r="A4004" t="str">
        <f>"20190312160722937"</f>
        <v>20190312160722937</v>
      </c>
      <c r="B4004" t="str">
        <f>"1552378042929072"</f>
        <v>1552378042929072</v>
      </c>
      <c r="C4004" t="s">
        <v>40</v>
      </c>
      <c r="D4004">
        <v>5.6637430000000002</v>
      </c>
      <c r="E4004">
        <v>0.4784156</v>
      </c>
      <c r="F4004" t="s">
        <v>66</v>
      </c>
      <c r="G4004">
        <v>-230.0076</v>
      </c>
      <c r="H4004" s="1">
        <v>-1.6521170000000001E-6</v>
      </c>
      <c r="I4004">
        <v>217.3476</v>
      </c>
      <c r="J4004">
        <v>-263.45819999999998</v>
      </c>
      <c r="K4004">
        <v>1.1093470000000001</v>
      </c>
      <c r="L4004">
        <v>214.33940000000001</v>
      </c>
      <c r="M4004">
        <v>0.99993710000000002</v>
      </c>
      <c r="N4004">
        <v>0</v>
      </c>
      <c r="O4004">
        <v>-4.151198E-3</v>
      </c>
      <c r="P4004">
        <v>0.99944540000000004</v>
      </c>
      <c r="Q4004">
        <v>6.4816419999999897E-3</v>
      </c>
      <c r="R4004">
        <v>3.2664520000000002E-2</v>
      </c>
      <c r="S4004">
        <v>2.9935610000000001</v>
      </c>
      <c r="T4004">
        <v>-9.8287219999999995E-2</v>
      </c>
      <c r="U4004">
        <v>0.26640320000000001</v>
      </c>
      <c r="V4004">
        <v>-3.6815720000000003E-2</v>
      </c>
      <c r="W4004">
        <v>1.6891460000000001E-2</v>
      </c>
      <c r="X4004">
        <v>0.99917929999999999</v>
      </c>
      <c r="Y4004">
        <v>-9.2724290000000001E-2</v>
      </c>
      <c r="Z4004">
        <v>1.6547980000000001E-3</v>
      </c>
      <c r="AA4004">
        <v>0.99569050000000003</v>
      </c>
      <c r="AB4004">
        <v>33</v>
      </c>
      <c r="AC4004">
        <v>33.450599999999902</v>
      </c>
      <c r="AD4004">
        <v>-1.109348652117</v>
      </c>
      <c r="AE4004">
        <v>3.00819999999998</v>
      </c>
      <c r="AF4004">
        <v>-3.1436119565855201</v>
      </c>
      <c r="AG4004">
        <v>-1.109348652117</v>
      </c>
      <c r="AH4004">
        <v>33.401382078185698</v>
      </c>
      <c r="AI4004">
        <v>91.893882595978894</v>
      </c>
      <c r="AJ4004">
        <v>95.376624606992706</v>
      </c>
      <c r="AK4004">
        <v>33.567324518026197</v>
      </c>
      <c r="AL4004">
        <v>89.0321445997143</v>
      </c>
      <c r="AM4004">
        <v>92.110163379064204</v>
      </c>
      <c r="AN4004">
        <v>0.99999999610426904</v>
      </c>
    </row>
    <row r="4005" spans="1:40" x14ac:dyDescent="0.25">
      <c r="A4005" t="str">
        <f>"20190312160722960"</f>
        <v>20190312160722960</v>
      </c>
      <c r="B4005" t="str">
        <f>"1552378042949569"</f>
        <v>1552378042949569</v>
      </c>
      <c r="C4005" t="s">
        <v>40</v>
      </c>
      <c r="D4005">
        <v>5.6836659999999997</v>
      </c>
      <c r="E4005">
        <v>0.47841410000000001</v>
      </c>
      <c r="F4005" t="s">
        <v>66</v>
      </c>
      <c r="G4005">
        <v>-230.65969999999999</v>
      </c>
      <c r="H4005" s="1">
        <v>-1.301094E-6</v>
      </c>
      <c r="I4005">
        <v>217.2559</v>
      </c>
      <c r="J4005">
        <v>-263.12729999999999</v>
      </c>
      <c r="K4005">
        <v>1.1093500000000001</v>
      </c>
      <c r="L4005">
        <v>214.3381</v>
      </c>
      <c r="M4005">
        <v>0.99993779999999999</v>
      </c>
      <c r="N4005">
        <v>0</v>
      </c>
      <c r="O4005">
        <v>-4.0594230000000004E-3</v>
      </c>
      <c r="P4005">
        <v>0.99942989999999998</v>
      </c>
      <c r="Q4005">
        <v>6.8464240000000003E-3</v>
      </c>
      <c r="R4005">
        <v>3.306535E-2</v>
      </c>
      <c r="S4005">
        <v>2.9935909999999999</v>
      </c>
      <c r="T4005">
        <v>-0.1012528</v>
      </c>
      <c r="U4005">
        <v>0.26618960000000003</v>
      </c>
      <c r="V4005">
        <v>-3.7124709999999998E-2</v>
      </c>
      <c r="W4005">
        <v>1.7240930000000002E-2</v>
      </c>
      <c r="X4005">
        <v>0.99916190000000005</v>
      </c>
      <c r="Y4005">
        <v>-9.2558479999999999E-2</v>
      </c>
      <c r="Z4005">
        <v>1.698792E-3</v>
      </c>
      <c r="AA4005">
        <v>0.99570579999999997</v>
      </c>
      <c r="AB4005">
        <v>33</v>
      </c>
      <c r="AC4005">
        <v>32.467599999999997</v>
      </c>
      <c r="AD4005">
        <v>-1.1093513010939999</v>
      </c>
      <c r="AE4005">
        <v>2.9178000000000002</v>
      </c>
      <c r="AF4005">
        <v>-3.0460551674793002</v>
      </c>
      <c r="AG4005">
        <v>-1.1093513010939999</v>
      </c>
      <c r="AH4005">
        <v>32.4179441509268</v>
      </c>
      <c r="AI4005">
        <v>91.951324760767093</v>
      </c>
      <c r="AJ4005">
        <v>95.367866206817595</v>
      </c>
      <c r="AK4005">
        <v>32.579628840199803</v>
      </c>
      <c r="AL4005">
        <v>89.012118528866097</v>
      </c>
      <c r="AM4005">
        <v>92.127894540971397</v>
      </c>
      <c r="AN4005">
        <v>0.99999999808572904</v>
      </c>
    </row>
    <row r="4006" spans="1:40" x14ac:dyDescent="0.25">
      <c r="A4006" t="str">
        <f>"20190312160722982"</f>
        <v>20190312160722982</v>
      </c>
      <c r="B4006" t="str">
        <f>"1552378042969089"</f>
        <v>1552378042969089</v>
      </c>
      <c r="C4006" t="s">
        <v>40</v>
      </c>
      <c r="D4006">
        <v>5.6778060000000004</v>
      </c>
      <c r="E4006">
        <v>0.47841020000000001</v>
      </c>
      <c r="F4006" t="s">
        <v>66</v>
      </c>
      <c r="G4006">
        <v>-231.7527</v>
      </c>
      <c r="H4006" s="1">
        <v>-7.1429269999999902E-7</v>
      </c>
      <c r="I4006">
        <v>217.13800000000001</v>
      </c>
      <c r="J4006">
        <v>-262.79070000000002</v>
      </c>
      <c r="K4006">
        <v>1.1093470000000001</v>
      </c>
      <c r="L4006">
        <v>214.33690000000001</v>
      </c>
      <c r="M4006">
        <v>0.9999382</v>
      </c>
      <c r="N4006">
        <v>0</v>
      </c>
      <c r="O4006">
        <v>-3.9671819999999997E-3</v>
      </c>
      <c r="P4006">
        <v>0.99942830000000005</v>
      </c>
      <c r="Q4006">
        <v>6.462158E-3</v>
      </c>
      <c r="R4006">
        <v>3.3193750000000001E-2</v>
      </c>
      <c r="S4006">
        <v>2.9936219999999998</v>
      </c>
      <c r="T4006">
        <v>-0.1058495</v>
      </c>
      <c r="U4006">
        <v>0.26715090000000002</v>
      </c>
      <c r="V4006">
        <v>-3.716117E-2</v>
      </c>
      <c r="W4006">
        <v>1.6843779999999999E-2</v>
      </c>
      <c r="X4006">
        <v>0.99916729999999998</v>
      </c>
      <c r="Y4006">
        <v>-9.2777799999999994E-2</v>
      </c>
      <c r="Z4006">
        <v>1.7764390000000001E-3</v>
      </c>
      <c r="AA4006">
        <v>0.9956853</v>
      </c>
      <c r="AB4006">
        <v>33</v>
      </c>
      <c r="AC4006">
        <v>31.038</v>
      </c>
      <c r="AD4006">
        <v>-1.1093477142927</v>
      </c>
      <c r="AE4006">
        <v>2.8010999999999902</v>
      </c>
      <c r="AF4006">
        <v>-2.9205172823016201</v>
      </c>
      <c r="AG4006">
        <v>-1.1093477142927</v>
      </c>
      <c r="AH4006">
        <v>30.987377263197398</v>
      </c>
      <c r="AI4006">
        <v>92.041274192997705</v>
      </c>
      <c r="AJ4006">
        <v>95.384143163887401</v>
      </c>
      <c r="AK4006">
        <v>31.144463764835599</v>
      </c>
      <c r="AL4006">
        <v>89.034876835115995</v>
      </c>
      <c r="AM4006">
        <v>92.129970911210293</v>
      </c>
      <c r="AN4006">
        <v>0.99999997943487295</v>
      </c>
    </row>
    <row r="4007" spans="1:40" x14ac:dyDescent="0.25">
      <c r="A4007" t="str">
        <f>"20190312160723004"</f>
        <v>20190312160723004</v>
      </c>
      <c r="B4007" t="str">
        <f>"1552378042999345"</f>
        <v>1552378042999345</v>
      </c>
      <c r="C4007" t="s">
        <v>40</v>
      </c>
      <c r="D4007">
        <v>5.6685470000000002</v>
      </c>
      <c r="E4007">
        <v>0.47830590000000001</v>
      </c>
      <c r="F4007" t="s">
        <v>66</v>
      </c>
      <c r="G4007">
        <v>-231.73330000000001</v>
      </c>
      <c r="H4007" s="1">
        <v>-7.2354460000000004E-7</v>
      </c>
      <c r="I4007">
        <v>217.1129</v>
      </c>
      <c r="J4007">
        <v>-262.46800000000002</v>
      </c>
      <c r="K4007">
        <v>1.1093459999999999</v>
      </c>
      <c r="L4007">
        <v>214.3356</v>
      </c>
      <c r="M4007">
        <v>0.99993849999999995</v>
      </c>
      <c r="N4007">
        <v>0</v>
      </c>
      <c r="O4007">
        <v>-3.8796049999999999E-3</v>
      </c>
      <c r="P4007">
        <v>0.99943040000000005</v>
      </c>
      <c r="Q4007">
        <v>5.7279499999999999E-3</v>
      </c>
      <c r="R4007">
        <v>3.3254939999999997E-2</v>
      </c>
      <c r="S4007">
        <v>2.9935299999999998</v>
      </c>
      <c r="T4007">
        <v>-0.1069266</v>
      </c>
      <c r="U4007">
        <v>0.26757809999999999</v>
      </c>
      <c r="V4007">
        <v>-3.7134470000000003E-2</v>
      </c>
      <c r="W4007">
        <v>1.6098109999999999E-2</v>
      </c>
      <c r="X4007">
        <v>0.99918059999999997</v>
      </c>
      <c r="Y4007">
        <v>-9.2833070000000004E-2</v>
      </c>
      <c r="Z4007">
        <v>1.7924099999999999E-3</v>
      </c>
      <c r="AA4007">
        <v>0.99568009999999996</v>
      </c>
      <c r="AB4007">
        <v>33</v>
      </c>
      <c r="AC4007">
        <v>30.7347</v>
      </c>
      <c r="AD4007">
        <v>-1.1093467235446</v>
      </c>
      <c r="AE4007">
        <v>2.7772999999999901</v>
      </c>
      <c r="AF4007">
        <v>-2.8927858411674201</v>
      </c>
      <c r="AG4007">
        <v>-1.1093467235446</v>
      </c>
      <c r="AH4007">
        <v>30.6840419737646</v>
      </c>
      <c r="AI4007">
        <v>92.061429211689401</v>
      </c>
      <c r="AJ4007">
        <v>95.385730235891003</v>
      </c>
      <c r="AK4007">
        <v>30.840059856032202</v>
      </c>
      <c r="AL4007">
        <v>89.077606391473296</v>
      </c>
      <c r="AM4007">
        <v>92.128413646959004</v>
      </c>
      <c r="AN4007">
        <v>0.99999999471205603</v>
      </c>
    </row>
    <row r="4008" spans="1:40" x14ac:dyDescent="0.25">
      <c r="A4008" t="str">
        <f>"20190312160723025"</f>
        <v>20190312160723025</v>
      </c>
      <c r="B4008" t="str">
        <f>"1552378043019840"</f>
        <v>1552378043019840</v>
      </c>
      <c r="C4008" t="s">
        <v>40</v>
      </c>
      <c r="D4008">
        <v>5.6602829999999997</v>
      </c>
      <c r="E4008">
        <v>0.4782091</v>
      </c>
      <c r="F4008" t="s">
        <v>66</v>
      </c>
      <c r="G4008">
        <v>-232.0213</v>
      </c>
      <c r="H4008" s="1">
        <v>-5.6833190000000002E-7</v>
      </c>
      <c r="I4008">
        <v>217.0677</v>
      </c>
      <c r="J4008">
        <v>-262.13869999999997</v>
      </c>
      <c r="K4008">
        <v>1.1093440000000001</v>
      </c>
      <c r="L4008">
        <v>214.33449999999999</v>
      </c>
      <c r="M4008">
        <v>0.99993909999999997</v>
      </c>
      <c r="N4008">
        <v>0</v>
      </c>
      <c r="O4008">
        <v>-3.7908479999999999E-3</v>
      </c>
      <c r="P4008">
        <v>0.99942980000000003</v>
      </c>
      <c r="Q4008">
        <v>5.9044989999999997E-3</v>
      </c>
      <c r="R4008">
        <v>3.324249E-2</v>
      </c>
      <c r="S4008">
        <v>2.9934080000000001</v>
      </c>
      <c r="T4008">
        <v>-0.1090666</v>
      </c>
      <c r="U4008">
        <v>0.26860050000000002</v>
      </c>
      <c r="V4008">
        <v>-3.7033360000000001E-2</v>
      </c>
      <c r="W4008">
        <v>1.6264500000000001E-2</v>
      </c>
      <c r="X4008">
        <v>0.99918169999999995</v>
      </c>
      <c r="Y4008">
        <v>-9.3083059999999995E-2</v>
      </c>
      <c r="Z4008">
        <v>1.8296230000000001E-3</v>
      </c>
      <c r="AA4008">
        <v>0.99565669999999995</v>
      </c>
      <c r="AB4008">
        <v>33</v>
      </c>
      <c r="AC4008">
        <v>30.1173999999999</v>
      </c>
      <c r="AD4008">
        <v>-1.1093445683318901</v>
      </c>
      <c r="AE4008">
        <v>2.7332000000000098</v>
      </c>
      <c r="AF4008">
        <v>-2.8435305478577999</v>
      </c>
      <c r="AG4008">
        <v>-1.1093445683318901</v>
      </c>
      <c r="AH4008">
        <v>30.066362724452699</v>
      </c>
      <c r="AI4008">
        <v>92.1036784431965</v>
      </c>
      <c r="AJ4008">
        <v>95.402686736269104</v>
      </c>
      <c r="AK4008">
        <v>30.220894739008799</v>
      </c>
      <c r="AL4008">
        <v>89.068071737420198</v>
      </c>
      <c r="AM4008">
        <v>92.122621360718497</v>
      </c>
      <c r="AN4008">
        <v>1.0000000366640101</v>
      </c>
    </row>
    <row r="4009" spans="1:40" x14ac:dyDescent="0.25">
      <c r="A4009" t="str">
        <f>"20190312160723049"</f>
        <v>20190312160723049</v>
      </c>
      <c r="B4009" t="str">
        <f>"1552378043039361"</f>
        <v>1552378043039361</v>
      </c>
      <c r="C4009" t="s">
        <v>40</v>
      </c>
      <c r="D4009">
        <v>5.7325879999999998</v>
      </c>
      <c r="E4009">
        <v>0.47822389999999998</v>
      </c>
      <c r="F4009" t="s">
        <v>66</v>
      </c>
      <c r="G4009">
        <v>-230.8852</v>
      </c>
      <c r="H4009" s="1">
        <v>-1.1763770000000001E-6</v>
      </c>
      <c r="I4009">
        <v>217.14779999999999</v>
      </c>
      <c r="J4009">
        <v>-261.80059999999997</v>
      </c>
      <c r="K4009">
        <v>1.1093379999999999</v>
      </c>
      <c r="L4009">
        <v>214.33330000000001</v>
      </c>
      <c r="M4009">
        <v>0.99993960000000004</v>
      </c>
      <c r="N4009">
        <v>0</v>
      </c>
      <c r="O4009">
        <v>-3.699955E-3</v>
      </c>
      <c r="P4009">
        <v>0.99942330000000001</v>
      </c>
      <c r="Q4009">
        <v>6.0026580000000001E-3</v>
      </c>
      <c r="R4009">
        <v>3.3429220000000003E-2</v>
      </c>
      <c r="S4009">
        <v>2.9933779999999999</v>
      </c>
      <c r="T4009">
        <v>-0.10625</v>
      </c>
      <c r="U4009">
        <v>0.269455</v>
      </c>
      <c r="V4009">
        <v>-3.7129549999999997E-2</v>
      </c>
      <c r="W4009">
        <v>1.6353659999999999E-2</v>
      </c>
      <c r="X4009">
        <v>0.99917659999999997</v>
      </c>
      <c r="Y4009">
        <v>-9.3278589999999995E-2</v>
      </c>
      <c r="Z4009">
        <v>1.782643E-3</v>
      </c>
      <c r="AA4009">
        <v>0.99563840000000003</v>
      </c>
      <c r="AB4009">
        <v>33</v>
      </c>
      <c r="AC4009">
        <v>30.915399999999899</v>
      </c>
      <c r="AD4009">
        <v>-1.109339176377</v>
      </c>
      <c r="AE4009">
        <v>2.8144999999999798</v>
      </c>
      <c r="AF4009">
        <v>-2.92513701855458</v>
      </c>
      <c r="AG4009">
        <v>-1.109339176377</v>
      </c>
      <c r="AH4009">
        <v>30.8653589092281</v>
      </c>
      <c r="AI4009">
        <v>92.0492210570673</v>
      </c>
      <c r="AJ4009">
        <v>95.413801645671299</v>
      </c>
      <c r="AK4009">
        <v>31.0234982002519</v>
      </c>
      <c r="AL4009">
        <v>89.062962496249398</v>
      </c>
      <c r="AM4009">
        <v>92.128140421351404</v>
      </c>
      <c r="AN4009">
        <v>0.99999996183307804</v>
      </c>
    </row>
    <row r="4010" spans="1:40" x14ac:dyDescent="0.25">
      <c r="A4010" t="str">
        <f>"20190312160723070"</f>
        <v>20190312160723070</v>
      </c>
      <c r="B4010" t="str">
        <f>"1552378043058882"</f>
        <v>1552378043058882</v>
      </c>
      <c r="C4010" t="s">
        <v>40</v>
      </c>
      <c r="D4010">
        <v>6.4077979999999997</v>
      </c>
      <c r="E4010">
        <v>0.47829680000000002</v>
      </c>
      <c r="F4010" t="s">
        <v>66</v>
      </c>
      <c r="G4010">
        <v>-230.38720000000001</v>
      </c>
      <c r="H4010" s="1">
        <v>-1.442147E-6</v>
      </c>
      <c r="I4010">
        <v>217.16499999999999</v>
      </c>
      <c r="J4010">
        <v>-261.47179999999997</v>
      </c>
      <c r="K4010">
        <v>1.1093360000000001</v>
      </c>
      <c r="L4010">
        <v>214.3321</v>
      </c>
      <c r="M4010">
        <v>0.99994000000000005</v>
      </c>
      <c r="N4010">
        <v>0</v>
      </c>
      <c r="O4010">
        <v>-3.6115790000000002E-3</v>
      </c>
      <c r="P4010">
        <v>0.99943630000000006</v>
      </c>
      <c r="Q4010">
        <v>5.717845E-3</v>
      </c>
      <c r="R4010">
        <v>3.3090130000000002E-2</v>
      </c>
      <c r="S4010">
        <v>2.993347</v>
      </c>
      <c r="T4010">
        <v>-0.1057076</v>
      </c>
      <c r="U4010">
        <v>0.26983639999999998</v>
      </c>
      <c r="V4010">
        <v>-3.6702360000000003E-2</v>
      </c>
      <c r="W4010">
        <v>1.606235E-2</v>
      </c>
      <c r="X4010">
        <v>0.99919709999999995</v>
      </c>
      <c r="Y4010">
        <v>-9.3317999999999998E-2</v>
      </c>
      <c r="Z4010">
        <v>1.771136E-3</v>
      </c>
      <c r="AA4010">
        <v>0.99563480000000004</v>
      </c>
      <c r="AB4010">
        <v>33</v>
      </c>
      <c r="AC4010">
        <v>31.084599999999899</v>
      </c>
      <c r="AD4010">
        <v>-1.1093374421469999</v>
      </c>
      <c r="AE4010">
        <v>2.8328999999999902</v>
      </c>
      <c r="AF4010">
        <v>-2.94143662781909</v>
      </c>
      <c r="AG4010">
        <v>-1.1093374421469999</v>
      </c>
      <c r="AH4010">
        <v>31.034964579813199</v>
      </c>
      <c r="AI4010">
        <v>92.038026985160201</v>
      </c>
      <c r="AJ4010">
        <v>95.414215040585603</v>
      </c>
      <c r="AK4010">
        <v>31.193776710528098</v>
      </c>
      <c r="AL4010">
        <v>89.079655515558102</v>
      </c>
      <c r="AM4010">
        <v>92.1036343389015</v>
      </c>
      <c r="AN4010">
        <v>0.99999995348274995</v>
      </c>
    </row>
    <row r="4011" spans="1:40" x14ac:dyDescent="0.25">
      <c r="A4011" t="str">
        <f>"20190312160723093"</f>
        <v>20190312160723093</v>
      </c>
      <c r="B4011" t="str">
        <f>"1552378043089136"</f>
        <v>1552378043089136</v>
      </c>
      <c r="C4011" t="s">
        <v>40</v>
      </c>
      <c r="D4011">
        <v>5.9237310000000001</v>
      </c>
      <c r="E4011">
        <v>0.51974679999999995</v>
      </c>
      <c r="F4011" t="s">
        <v>66</v>
      </c>
      <c r="G4011">
        <v>-229.70859999999999</v>
      </c>
      <c r="H4011" s="1">
        <v>3.5176329999999999E-6</v>
      </c>
      <c r="I4011">
        <v>217.179</v>
      </c>
      <c r="J4011">
        <v>-261.13749999999999</v>
      </c>
      <c r="K4011">
        <v>1.109332</v>
      </c>
      <c r="L4011">
        <v>214.33099999999999</v>
      </c>
      <c r="M4011">
        <v>0.9999403</v>
      </c>
      <c r="N4011">
        <v>0</v>
      </c>
      <c r="O4011">
        <v>-3.5211859999999999E-3</v>
      </c>
      <c r="P4011">
        <v>0.99946089999999999</v>
      </c>
      <c r="Q4011">
        <v>4.7336499999999998E-3</v>
      </c>
      <c r="R4011">
        <v>3.2491359999999997E-2</v>
      </c>
      <c r="S4011">
        <v>2.9934080000000001</v>
      </c>
      <c r="T4011">
        <v>-0.1045452</v>
      </c>
      <c r="U4011">
        <v>0.26829530000000001</v>
      </c>
      <c r="V4011">
        <v>-3.6013469999999999E-2</v>
      </c>
      <c r="W4011">
        <v>1.5072550000000001E-2</v>
      </c>
      <c r="X4011">
        <v>0.99923770000000001</v>
      </c>
      <c r="Y4011">
        <v>-9.2719410000000002E-2</v>
      </c>
      <c r="Z4011">
        <v>1.738098E-3</v>
      </c>
      <c r="AA4011">
        <v>0.99569079999999999</v>
      </c>
      <c r="AB4011">
        <v>33</v>
      </c>
      <c r="AC4011">
        <v>31.428899999999999</v>
      </c>
      <c r="AD4011">
        <v>-1.109328482367</v>
      </c>
      <c r="AE4011">
        <v>2.8480000000000101</v>
      </c>
      <c r="AF4011">
        <v>-2.9550037906353301</v>
      </c>
      <c r="AG4011">
        <v>-1.109328482367</v>
      </c>
      <c r="AH4011">
        <v>31.379900364782301</v>
      </c>
      <c r="AI4011">
        <v>92.015741732996702</v>
      </c>
      <c r="AJ4011">
        <v>95.379603703387403</v>
      </c>
      <c r="AK4011">
        <v>31.538243514630299</v>
      </c>
      <c r="AL4011">
        <v>89.136373853760702</v>
      </c>
      <c r="AM4011">
        <v>92.064100569994494</v>
      </c>
      <c r="AN4011">
        <v>1.0000000664431099</v>
      </c>
    </row>
    <row r="4012" spans="1:40" x14ac:dyDescent="0.25">
      <c r="A4012" t="str">
        <f>"20190312160723116"</f>
        <v>20190312160723116</v>
      </c>
      <c r="B4012" t="str">
        <f>"1552378043109637"</f>
        <v>1552378043109637</v>
      </c>
      <c r="C4012" t="s">
        <v>40</v>
      </c>
      <c r="D4012">
        <v>6.0277719999999997</v>
      </c>
      <c r="E4012">
        <v>0.51962680000000006</v>
      </c>
      <c r="F4012" t="s">
        <v>66</v>
      </c>
      <c r="G4012">
        <v>-227.10220000000001</v>
      </c>
      <c r="H4012" s="1">
        <v>2.2866100000000001E-6</v>
      </c>
      <c r="I4012">
        <v>213.61070000000001</v>
      </c>
      <c r="J4012">
        <v>-260.78919999999999</v>
      </c>
      <c r="K4012">
        <v>1.1093280000000001</v>
      </c>
      <c r="L4012">
        <v>214.32990000000001</v>
      </c>
      <c r="M4012">
        <v>0.99994070000000002</v>
      </c>
      <c r="N4012">
        <v>0</v>
      </c>
      <c r="O4012">
        <v>-3.427224E-3</v>
      </c>
      <c r="P4012">
        <v>0.99948119999999996</v>
      </c>
      <c r="Q4012">
        <v>4.5747940000000001E-3</v>
      </c>
      <c r="R4012">
        <v>3.188535E-2</v>
      </c>
      <c r="S4012">
        <v>3.004181</v>
      </c>
      <c r="T4012">
        <v>-9.7916959999999997E-2</v>
      </c>
      <c r="U4012">
        <v>-6.358337E-2</v>
      </c>
      <c r="V4012">
        <v>-3.5313610000000002E-2</v>
      </c>
      <c r="W4012">
        <v>1.490997E-2</v>
      </c>
      <c r="X4012">
        <v>0.99926510000000002</v>
      </c>
      <c r="Y4012">
        <v>1.7725870000000001E-2</v>
      </c>
      <c r="Z4012">
        <v>-1.7709759999999999E-4</v>
      </c>
      <c r="AA4012">
        <v>0.99984289999999998</v>
      </c>
      <c r="AB4012">
        <v>34</v>
      </c>
      <c r="AC4012">
        <v>33.686999999999898</v>
      </c>
      <c r="AD4012">
        <v>-1.1093257133900001</v>
      </c>
      <c r="AE4012">
        <v>-0.71919999999999995</v>
      </c>
      <c r="AF4012">
        <v>0.60308302096968502</v>
      </c>
      <c r="AG4012">
        <v>-1.1093257133900001</v>
      </c>
      <c r="AH4012">
        <v>33.652790334083903</v>
      </c>
      <c r="AI4012">
        <v>91.887703264362997</v>
      </c>
      <c r="AJ4012">
        <v>88.973326933236507</v>
      </c>
      <c r="AK4012">
        <v>33.676469677482203</v>
      </c>
      <c r="AL4012">
        <v>89.145690033134798</v>
      </c>
      <c r="AM4012">
        <v>92.023966556987602</v>
      </c>
      <c r="AN4012">
        <v>1.00000004916732</v>
      </c>
    </row>
    <row r="4013" spans="1:40" x14ac:dyDescent="0.25">
      <c r="A4013" t="str">
        <f>"20190312160723137"</f>
        <v>20190312160723137</v>
      </c>
      <c r="B4013" t="str">
        <f>"1552378043129153"</f>
        <v>1552378043129153</v>
      </c>
      <c r="C4013" t="s">
        <v>40</v>
      </c>
      <c r="D4013">
        <v>5.965916</v>
      </c>
      <c r="E4013">
        <v>0.50999510000000003</v>
      </c>
      <c r="F4013" t="s">
        <v>66</v>
      </c>
      <c r="G4013">
        <v>-225.9941</v>
      </c>
      <c r="H4013" s="1">
        <v>1.6980830000000001E-6</v>
      </c>
      <c r="I4013">
        <v>213.58420000000001</v>
      </c>
      <c r="J4013">
        <v>-260.46519999999998</v>
      </c>
      <c r="K4013">
        <v>1.109326</v>
      </c>
      <c r="L4013">
        <v>214.3288</v>
      </c>
      <c r="M4013">
        <v>0.99994099999999997</v>
      </c>
      <c r="N4013">
        <v>0</v>
      </c>
      <c r="O4013">
        <v>-3.3397069999999999E-3</v>
      </c>
      <c r="P4013">
        <v>0.9994864</v>
      </c>
      <c r="Q4013">
        <v>5.13087E-3</v>
      </c>
      <c r="R4013">
        <v>3.1635450000000002E-2</v>
      </c>
      <c r="S4013">
        <v>3.0040589999999998</v>
      </c>
      <c r="T4013">
        <v>-9.5774289999999998E-2</v>
      </c>
      <c r="U4013">
        <v>-6.4376829999999996E-2</v>
      </c>
      <c r="V4013">
        <v>-3.4976439999999998E-2</v>
      </c>
      <c r="W4013">
        <v>1.5463040000000001E-2</v>
      </c>
      <c r="X4013">
        <v>0.9992685</v>
      </c>
      <c r="Y4013">
        <v>1.807831E-2</v>
      </c>
      <c r="Z4013">
        <v>-1.8163620000000001E-4</v>
      </c>
      <c r="AA4013">
        <v>0.99983659999999996</v>
      </c>
      <c r="AB4013">
        <v>34</v>
      </c>
      <c r="AC4013">
        <v>34.4710999999999</v>
      </c>
      <c r="AD4013">
        <v>-1.109324301917</v>
      </c>
      <c r="AE4013">
        <v>-0.74459999999999105</v>
      </c>
      <c r="AF4013">
        <v>0.62881540292412896</v>
      </c>
      <c r="AG4013">
        <v>-1.109324301917</v>
      </c>
      <c r="AH4013">
        <v>34.437746312056298</v>
      </c>
      <c r="AI4013">
        <v>91.844692380215804</v>
      </c>
      <c r="AJ4013">
        <v>88.9539250017489</v>
      </c>
      <c r="AK4013">
        <v>34.461346176133702</v>
      </c>
      <c r="AL4013">
        <v>89.113997755627906</v>
      </c>
      <c r="AM4013">
        <v>92.004651001107803</v>
      </c>
      <c r="AN4013">
        <v>0.99999999602668199</v>
      </c>
    </row>
    <row r="4014" spans="1:40" x14ac:dyDescent="0.25">
      <c r="A4014" t="str">
        <f>"20190312160723160"</f>
        <v>20190312160723160</v>
      </c>
      <c r="B4014" t="str">
        <f>"1552378043149649"</f>
        <v>1552378043149649</v>
      </c>
      <c r="C4014" t="s">
        <v>40</v>
      </c>
      <c r="D4014">
        <v>5.9634839999999896</v>
      </c>
      <c r="E4014">
        <v>0.5099591</v>
      </c>
      <c r="F4014" t="s">
        <v>85</v>
      </c>
      <c r="G4014">
        <v>-107.39749999999999</v>
      </c>
      <c r="H4014">
        <v>2.3491870000000001</v>
      </c>
      <c r="I4014">
        <v>215.1079</v>
      </c>
      <c r="J4014">
        <v>-260.12189999999998</v>
      </c>
      <c r="K4014">
        <v>1.109324</v>
      </c>
      <c r="L4014">
        <v>214.3278</v>
      </c>
      <c r="M4014">
        <v>0.99994130000000003</v>
      </c>
      <c r="N4014">
        <v>0</v>
      </c>
      <c r="O4014">
        <v>-3.2470670000000002E-3</v>
      </c>
      <c r="P4014">
        <v>0.99949719999999997</v>
      </c>
      <c r="Q4014">
        <v>4.6648760000000001E-3</v>
      </c>
      <c r="R4014">
        <v>3.1366770000000002E-2</v>
      </c>
      <c r="S4014">
        <v>3.0009459999999999</v>
      </c>
      <c r="T4014">
        <v>2.4308920000000001E-2</v>
      </c>
      <c r="U4014">
        <v>1.5274050000000001E-2</v>
      </c>
      <c r="V4014">
        <v>-3.4614550000000001E-2</v>
      </c>
      <c r="W4014">
        <v>1.499436E-2</v>
      </c>
      <c r="X4014">
        <v>0.99928830000000002</v>
      </c>
      <c r="Y4014">
        <v>-8.3364719999999993E-3</v>
      </c>
      <c r="Z4014" s="1">
        <v>-6.0067120000000001E-5</v>
      </c>
      <c r="AA4014">
        <v>0.99996529999999995</v>
      </c>
      <c r="AB4014">
        <v>34</v>
      </c>
      <c r="AC4014">
        <v>152.7244</v>
      </c>
      <c r="AD4014">
        <v>1.2398629999999899</v>
      </c>
      <c r="AE4014">
        <v>0.78010000000000401</v>
      </c>
      <c r="AF4014">
        <v>-1.2759446518092401</v>
      </c>
      <c r="AG4014">
        <v>1.2398629999999899</v>
      </c>
      <c r="AH4014">
        <v>152.710997180986</v>
      </c>
      <c r="AI4014">
        <v>89.534841117063607</v>
      </c>
      <c r="AJ4014">
        <v>90.478711708116904</v>
      </c>
      <c r="AK4014">
        <v>152.72136050672299</v>
      </c>
      <c r="AL4014">
        <v>89.140854304566801</v>
      </c>
      <c r="AM4014">
        <v>91.983886903632296</v>
      </c>
      <c r="AN4014">
        <v>1.0000000522101899</v>
      </c>
    </row>
    <row r="4015" spans="1:40" x14ac:dyDescent="0.25">
      <c r="A4015" t="str">
        <f>"20190312160723182"</f>
        <v>20190312160723182</v>
      </c>
      <c r="B4015" t="str">
        <f>"1552378043169169"</f>
        <v>1552378043169169</v>
      </c>
      <c r="C4015" t="s">
        <v>40</v>
      </c>
      <c r="D4015">
        <v>6.0106339999999996</v>
      </c>
      <c r="E4015">
        <v>0.50972890000000004</v>
      </c>
      <c r="F4015" t="s">
        <v>85</v>
      </c>
      <c r="G4015">
        <v>-107.39749999999999</v>
      </c>
      <c r="H4015">
        <v>2.2036229999999999</v>
      </c>
      <c r="I4015">
        <v>215.0849</v>
      </c>
      <c r="J4015">
        <v>-259.78500000000003</v>
      </c>
      <c r="K4015">
        <v>1.109326</v>
      </c>
      <c r="L4015">
        <v>214.32679999999999</v>
      </c>
      <c r="M4015">
        <v>0.99994170000000004</v>
      </c>
      <c r="N4015">
        <v>0</v>
      </c>
      <c r="O4015">
        <v>-3.1564570000000001E-3</v>
      </c>
      <c r="P4015">
        <v>0.99949750000000004</v>
      </c>
      <c r="Q4015">
        <v>4.4238319999999999E-3</v>
      </c>
      <c r="R4015">
        <v>3.1388010000000001E-2</v>
      </c>
      <c r="S4015">
        <v>3.0009459999999999</v>
      </c>
      <c r="T4015">
        <v>2.1503330000000001E-2</v>
      </c>
      <c r="U4015">
        <v>1.4877319999999999E-2</v>
      </c>
      <c r="V4015">
        <v>-3.4545579999999999E-2</v>
      </c>
      <c r="W4015">
        <v>1.4751200000000001E-2</v>
      </c>
      <c r="X4015">
        <v>0.99929429999999997</v>
      </c>
      <c r="Y4015">
        <v>-8.1137569999999992E-3</v>
      </c>
      <c r="Z4015" s="1">
        <v>-5.1687529999999998E-5</v>
      </c>
      <c r="AA4015">
        <v>0.9999671</v>
      </c>
      <c r="AB4015">
        <v>34</v>
      </c>
      <c r="AC4015">
        <v>152.38749999999999</v>
      </c>
      <c r="AD4015">
        <v>1.0942970000000001</v>
      </c>
      <c r="AE4015">
        <v>0.75810000000001299</v>
      </c>
      <c r="AF4015">
        <v>-1.2390625686025001</v>
      </c>
      <c r="AG4015">
        <v>1.0942970000000001</v>
      </c>
      <c r="AH4015">
        <v>152.376490342826</v>
      </c>
      <c r="AI4015">
        <v>89.588549067155896</v>
      </c>
      <c r="AJ4015">
        <v>90.465895302386897</v>
      </c>
      <c r="AK4015">
        <v>152.385457216791</v>
      </c>
      <c r="AL4015">
        <v>89.154787881934695</v>
      </c>
      <c r="AM4015">
        <v>91.979925250544596</v>
      </c>
      <c r="AN4015">
        <v>1.0000000465057299</v>
      </c>
    </row>
    <row r="4016" spans="1:40" x14ac:dyDescent="0.25">
      <c r="A4016" t="str">
        <f>"20190312160723205"</f>
        <v>20190312160723205</v>
      </c>
      <c r="B4016" t="str">
        <f>"1552378043199445"</f>
        <v>1552378043199445</v>
      </c>
      <c r="C4016" t="s">
        <v>40</v>
      </c>
      <c r="D4016">
        <v>6.0644669999999996</v>
      </c>
      <c r="E4016">
        <v>0.50993199999999905</v>
      </c>
      <c r="F4016" t="s">
        <v>85</v>
      </c>
      <c r="G4016">
        <v>-107.39749999999999</v>
      </c>
      <c r="H4016">
        <v>2.2713329999999998</v>
      </c>
      <c r="I4016">
        <v>215.18219999999999</v>
      </c>
      <c r="J4016">
        <v>-259.44970000000001</v>
      </c>
      <c r="K4016">
        <v>1.109326</v>
      </c>
      <c r="L4016">
        <v>214.32579999999999</v>
      </c>
      <c r="M4016">
        <v>0.99994190000000005</v>
      </c>
      <c r="N4016">
        <v>0</v>
      </c>
      <c r="O4016">
        <v>-3.0662089999999999E-3</v>
      </c>
      <c r="P4016">
        <v>0.99948789999999998</v>
      </c>
      <c r="Q4016">
        <v>4.266728E-3</v>
      </c>
      <c r="R4016">
        <v>3.1716580000000001E-2</v>
      </c>
      <c r="S4016">
        <v>3.0008849999999998</v>
      </c>
      <c r="T4016">
        <v>2.2883770000000001E-2</v>
      </c>
      <c r="U4016">
        <v>1.6845699999999901E-2</v>
      </c>
      <c r="V4016">
        <v>-3.4783429999999997E-2</v>
      </c>
      <c r="W4016">
        <v>1.4592910000000001E-2</v>
      </c>
      <c r="X4016">
        <v>0.99928830000000002</v>
      </c>
      <c r="Y4016">
        <v>-8.6794460000000004E-3</v>
      </c>
      <c r="Z4016" s="1">
        <v>-5.647523E-5</v>
      </c>
      <c r="AA4016">
        <v>0.99996229999999997</v>
      </c>
      <c r="AB4016">
        <v>34</v>
      </c>
      <c r="AC4016">
        <v>152.0522</v>
      </c>
      <c r="AD4016">
        <v>1.162007</v>
      </c>
      <c r="AE4016">
        <v>0.85640000000000704</v>
      </c>
      <c r="AF4016">
        <v>-1.3225674561584599</v>
      </c>
      <c r="AG4016">
        <v>1.162007</v>
      </c>
      <c r="AH4016">
        <v>152.039979864304</v>
      </c>
      <c r="AI4016">
        <v>89.562126475028094</v>
      </c>
      <c r="AJ4016">
        <v>90.498392739645396</v>
      </c>
      <c r="AK4016">
        <v>152.050172384256</v>
      </c>
      <c r="AL4016">
        <v>89.163858145555594</v>
      </c>
      <c r="AM4016">
        <v>91.993558245166398</v>
      </c>
      <c r="AN4016">
        <v>0.99999997327086099</v>
      </c>
    </row>
    <row r="4017" spans="1:40" x14ac:dyDescent="0.25">
      <c r="A4017" t="str">
        <f>"20190312160723227"</f>
        <v>20190312160723227</v>
      </c>
      <c r="B4017" t="str">
        <f>"1552378043218945"</f>
        <v>1552378043218945</v>
      </c>
      <c r="C4017" t="s">
        <v>40</v>
      </c>
      <c r="D4017">
        <v>6.0946669999999896</v>
      </c>
      <c r="E4017">
        <v>0.50941930000000002</v>
      </c>
      <c r="F4017" t="s">
        <v>85</v>
      </c>
      <c r="G4017">
        <v>-107.39749999999999</v>
      </c>
      <c r="H4017">
        <v>2.2574380000000001</v>
      </c>
      <c r="I4017">
        <v>215.14529999999999</v>
      </c>
      <c r="J4017">
        <v>-259.10700000000003</v>
      </c>
      <c r="K4017">
        <v>1.1093249999999999</v>
      </c>
      <c r="L4017">
        <v>214.32490000000001</v>
      </c>
      <c r="M4017">
        <v>0.9999422</v>
      </c>
      <c r="N4017">
        <v>0</v>
      </c>
      <c r="O4017">
        <v>-2.9741749999999999E-3</v>
      </c>
      <c r="P4017">
        <v>0.9994613</v>
      </c>
      <c r="Q4017">
        <v>4.5247229999999996E-3</v>
      </c>
      <c r="R4017">
        <v>3.2511169999999999E-2</v>
      </c>
      <c r="S4017">
        <v>3.0009160000000001</v>
      </c>
      <c r="T4017">
        <v>2.2660260000000002E-2</v>
      </c>
      <c r="U4017">
        <v>1.6174319999999999E-2</v>
      </c>
      <c r="V4017">
        <v>-3.5486610000000002E-2</v>
      </c>
      <c r="W4017">
        <v>1.4849899999999999E-2</v>
      </c>
      <c r="X4017">
        <v>0.99925980000000003</v>
      </c>
      <c r="Y4017">
        <v>-8.3636590000000007E-3</v>
      </c>
      <c r="Z4017" s="1">
        <v>-5.4035869999999898E-5</v>
      </c>
      <c r="AA4017">
        <v>0.99996499999999999</v>
      </c>
      <c r="AB4017">
        <v>34</v>
      </c>
      <c r="AC4017">
        <v>151.70949999999999</v>
      </c>
      <c r="AD4017">
        <v>1.1481129999999999</v>
      </c>
      <c r="AE4017">
        <v>0.82039999999997804</v>
      </c>
      <c r="AF4017">
        <v>-1.2715582359781299</v>
      </c>
      <c r="AG4017">
        <v>1.1481129999999999</v>
      </c>
      <c r="AH4017">
        <v>151.69770098982801</v>
      </c>
      <c r="AI4017">
        <v>89.566384578055406</v>
      </c>
      <c r="AJ4017">
        <v>90.480252592069306</v>
      </c>
      <c r="AK4017">
        <v>151.707374604557</v>
      </c>
      <c r="AL4017">
        <v>89.149132115614293</v>
      </c>
      <c r="AM4017">
        <v>92.033884361650493</v>
      </c>
      <c r="AN4017">
        <v>0.99999998345767105</v>
      </c>
    </row>
    <row r="4018" spans="1:40" x14ac:dyDescent="0.25">
      <c r="A4018" t="str">
        <f>"20190312160723249"</f>
        <v>20190312160723249</v>
      </c>
      <c r="B4018" t="str">
        <f>"1552378043239441"</f>
        <v>1552378043239441</v>
      </c>
      <c r="C4018" t="s">
        <v>40</v>
      </c>
      <c r="D4018">
        <v>6.1082929999999998</v>
      </c>
      <c r="E4018">
        <v>0.50921549999999904</v>
      </c>
      <c r="F4018" t="s">
        <v>85</v>
      </c>
      <c r="G4018">
        <v>-107.39749999999999</v>
      </c>
      <c r="H4018">
        <v>2.2921770000000001</v>
      </c>
      <c r="I4018">
        <v>215.47040000000001</v>
      </c>
      <c r="J4018">
        <v>-258.78190000000001</v>
      </c>
      <c r="K4018">
        <v>1.1093189999999999</v>
      </c>
      <c r="L4018">
        <v>214.32400000000001</v>
      </c>
      <c r="M4018">
        <v>0.99994240000000001</v>
      </c>
      <c r="N4018">
        <v>0</v>
      </c>
      <c r="O4018">
        <v>-2.8865570000000001E-3</v>
      </c>
      <c r="P4018">
        <v>0.99943610000000005</v>
      </c>
      <c r="Q4018">
        <v>4.38807E-3</v>
      </c>
      <c r="R4018">
        <v>3.3291420000000002E-2</v>
      </c>
      <c r="S4018">
        <v>3.0008240000000002</v>
      </c>
      <c r="T4018">
        <v>2.3397919999999999E-2</v>
      </c>
      <c r="U4018">
        <v>2.26593E-2</v>
      </c>
      <c r="V4018">
        <v>-3.6179000000000003E-2</v>
      </c>
      <c r="W4018">
        <v>1.471306E-2</v>
      </c>
      <c r="X4018">
        <v>0.99923700000000004</v>
      </c>
      <c r="Y4018">
        <v>-1.0437E-2</v>
      </c>
      <c r="Z4018" s="1">
        <v>-6.3195880000000001E-5</v>
      </c>
      <c r="AA4018">
        <v>0.99994550000000004</v>
      </c>
      <c r="AB4018">
        <v>34</v>
      </c>
      <c r="AC4018">
        <v>151.3844</v>
      </c>
      <c r="AD4018">
        <v>1.182858</v>
      </c>
      <c r="AE4018">
        <v>1.1464000000000001</v>
      </c>
      <c r="AF4018">
        <v>-1.5833016147680601</v>
      </c>
      <c r="AG4018">
        <v>1.182858</v>
      </c>
      <c r="AH4018">
        <v>151.37121887085999</v>
      </c>
      <c r="AI4018">
        <v>89.552307992175201</v>
      </c>
      <c r="AJ4018">
        <v>90.599276353918995</v>
      </c>
      <c r="AK4018">
        <v>151.38412036769699</v>
      </c>
      <c r="AL4018">
        <v>89.156973330861902</v>
      </c>
      <c r="AM4018">
        <v>92.073581057550797</v>
      </c>
      <c r="AN4018">
        <v>0.99999998817228097</v>
      </c>
    </row>
    <row r="4019" spans="1:40" x14ac:dyDescent="0.25">
      <c r="A4019" t="str">
        <f>"20190312160723271"</f>
        <v>20190312160723271</v>
      </c>
      <c r="B4019" t="str">
        <f>"1552378043258961"</f>
        <v>1552378043258961</v>
      </c>
      <c r="C4019" t="s">
        <v>40</v>
      </c>
      <c r="D4019">
        <v>6.0142939999999996</v>
      </c>
      <c r="E4019">
        <v>0.50899170000000005</v>
      </c>
      <c r="F4019" t="s">
        <v>85</v>
      </c>
      <c r="G4019">
        <v>-107.39749999999999</v>
      </c>
      <c r="H4019">
        <v>2.360026</v>
      </c>
      <c r="I4019">
        <v>215.66419999999999</v>
      </c>
      <c r="J4019">
        <v>-258.4452</v>
      </c>
      <c r="K4019">
        <v>1.1093170000000001</v>
      </c>
      <c r="L4019">
        <v>214.32310000000001</v>
      </c>
      <c r="M4019">
        <v>0.99994269999999996</v>
      </c>
      <c r="N4019">
        <v>0</v>
      </c>
      <c r="O4019">
        <v>-2.7960799999999998E-3</v>
      </c>
      <c r="P4019">
        <v>0.99941789999999997</v>
      </c>
      <c r="Q4019">
        <v>4.2182720000000003E-3</v>
      </c>
      <c r="R4019">
        <v>3.385908E-2</v>
      </c>
      <c r="S4019">
        <v>3.000702</v>
      </c>
      <c r="T4019">
        <v>2.4792189999999999E-2</v>
      </c>
      <c r="U4019">
        <v>2.656555E-2</v>
      </c>
      <c r="V4019">
        <v>-3.6656040000000001E-2</v>
      </c>
      <c r="W4019">
        <v>1.4543800000000001E-2</v>
      </c>
      <c r="X4019">
        <v>0.9992221</v>
      </c>
      <c r="Y4019">
        <v>-1.164836E-2</v>
      </c>
      <c r="Z4019" s="1">
        <v>-7.1220410000000001E-5</v>
      </c>
      <c r="AA4019">
        <v>0.99993220000000005</v>
      </c>
      <c r="AB4019">
        <v>34</v>
      </c>
      <c r="AC4019">
        <v>151.04769999999999</v>
      </c>
      <c r="AD4019">
        <v>1.2507089999999901</v>
      </c>
      <c r="AE4019">
        <v>1.34109999999998</v>
      </c>
      <c r="AF4019">
        <v>-1.7633378717002599</v>
      </c>
      <c r="AG4019">
        <v>1.2507089999999901</v>
      </c>
      <c r="AH4019">
        <v>151.03300513377701</v>
      </c>
      <c r="AI4019">
        <v>89.525575049752405</v>
      </c>
      <c r="AJ4019">
        <v>90.668908280311697</v>
      </c>
      <c r="AK4019">
        <v>151.04847656693599</v>
      </c>
      <c r="AL4019">
        <v>89.166672259163207</v>
      </c>
      <c r="AM4019">
        <v>92.100929321815997</v>
      </c>
      <c r="AN4019">
        <v>0.999999996257665</v>
      </c>
    </row>
    <row r="4020" spans="1:40" x14ac:dyDescent="0.25">
      <c r="A4020" t="str">
        <f>"20190312160723295"</f>
        <v>20190312160723295</v>
      </c>
      <c r="B4020" t="str">
        <f>"1552378043289217"</f>
        <v>1552378043289217</v>
      </c>
      <c r="C4020" t="s">
        <v>40</v>
      </c>
      <c r="D4020">
        <v>6.0116779999999999</v>
      </c>
      <c r="E4020">
        <v>0.5084805</v>
      </c>
      <c r="F4020" t="s">
        <v>85</v>
      </c>
      <c r="G4020">
        <v>-107.39749999999999</v>
      </c>
      <c r="H4020">
        <v>2.3478279999999998</v>
      </c>
      <c r="I4020">
        <v>215.84700000000001</v>
      </c>
      <c r="J4020">
        <v>-258.09539999999998</v>
      </c>
      <c r="K4020">
        <v>1.109318</v>
      </c>
      <c r="L4020">
        <v>214.32220000000001</v>
      </c>
      <c r="M4020">
        <v>0.99994300000000003</v>
      </c>
      <c r="N4020">
        <v>0</v>
      </c>
      <c r="O4020">
        <v>-2.7017920000000002E-3</v>
      </c>
      <c r="P4020">
        <v>0.9994151</v>
      </c>
      <c r="Q4020">
        <v>3.8002230000000001E-3</v>
      </c>
      <c r="R4020">
        <v>3.3984830000000001E-2</v>
      </c>
      <c r="S4020">
        <v>3.000626</v>
      </c>
      <c r="T4020">
        <v>2.4604560000000001E-2</v>
      </c>
      <c r="U4020">
        <v>3.0273439999999999E-2</v>
      </c>
      <c r="V4020">
        <v>-3.6687690000000002E-2</v>
      </c>
      <c r="W4020">
        <v>1.412709E-2</v>
      </c>
      <c r="X4020">
        <v>0.99922690000000003</v>
      </c>
      <c r="Y4020">
        <v>-1.2789770000000001E-2</v>
      </c>
      <c r="Z4020" s="1">
        <v>-7.4589119999999995E-5</v>
      </c>
      <c r="AA4020">
        <v>0.99991819999999998</v>
      </c>
      <c r="AB4020">
        <v>34</v>
      </c>
      <c r="AC4020">
        <v>150.6979</v>
      </c>
      <c r="AD4020">
        <v>1.23850999999999</v>
      </c>
      <c r="AE4020">
        <v>1.5247999999999899</v>
      </c>
      <c r="AF4020">
        <v>-1.9318400673804701</v>
      </c>
      <c r="AG4020">
        <v>1.23850999999999</v>
      </c>
      <c r="AH4020">
        <v>150.68305336075801</v>
      </c>
      <c r="AI4020">
        <v>89.529117802834307</v>
      </c>
      <c r="AJ4020">
        <v>90.734523334306203</v>
      </c>
      <c r="AK4020">
        <v>150.70052582253001</v>
      </c>
      <c r="AL4020">
        <v>89.190550423790299</v>
      </c>
      <c r="AM4020">
        <v>92.102731611952095</v>
      </c>
      <c r="AN4020">
        <v>0.99999997947650698</v>
      </c>
    </row>
    <row r="4021" spans="1:40" x14ac:dyDescent="0.25">
      <c r="A4021" t="str">
        <f>"20190312160723317"</f>
        <v>20190312160723317</v>
      </c>
      <c r="B4021" t="str">
        <f>"1552378043309713"</f>
        <v>1552378043309713</v>
      </c>
      <c r="C4021" t="s">
        <v>40</v>
      </c>
      <c r="D4021">
        <v>6.0223149999999999</v>
      </c>
      <c r="E4021">
        <v>0.50839330000000005</v>
      </c>
      <c r="F4021" t="s">
        <v>85</v>
      </c>
      <c r="G4021">
        <v>-107.39749999999999</v>
      </c>
      <c r="H4021">
        <v>2.3369049999999998</v>
      </c>
      <c r="I4021">
        <v>216.05950000000001</v>
      </c>
      <c r="J4021">
        <v>-257.75490000000002</v>
      </c>
      <c r="K4021">
        <v>1.109318</v>
      </c>
      <c r="L4021">
        <v>214.32140000000001</v>
      </c>
      <c r="M4021">
        <v>0.99994329999999998</v>
      </c>
      <c r="N4021">
        <v>0</v>
      </c>
      <c r="O4021">
        <v>-2.6100110000000002E-3</v>
      </c>
      <c r="P4021">
        <v>0.99941389999999997</v>
      </c>
      <c r="Q4021">
        <v>3.875524E-3</v>
      </c>
      <c r="R4021">
        <v>3.4014549999999998E-2</v>
      </c>
      <c r="S4021">
        <v>3.0005190000000002</v>
      </c>
      <c r="T4021">
        <v>2.444327E-2</v>
      </c>
      <c r="U4021">
        <v>3.4591669999999998E-2</v>
      </c>
      <c r="V4021">
        <v>-3.662572E-2</v>
      </c>
      <c r="W4021">
        <v>1.4203850000000001E-2</v>
      </c>
      <c r="X4021">
        <v>0.99922809999999995</v>
      </c>
      <c r="Y4021">
        <v>-1.4137179999999999E-2</v>
      </c>
      <c r="Z4021" s="1">
        <v>-7.884255E-5</v>
      </c>
      <c r="AA4021">
        <v>0.99990000000000001</v>
      </c>
      <c r="AB4021">
        <v>34</v>
      </c>
      <c r="AC4021">
        <v>150.35740000000001</v>
      </c>
      <c r="AD4021">
        <v>1.22758699999999</v>
      </c>
      <c r="AE4021">
        <v>1.7381</v>
      </c>
      <c r="AF4021">
        <v>-2.1304074719980401</v>
      </c>
      <c r="AG4021">
        <v>1.22758699999999</v>
      </c>
      <c r="AH4021">
        <v>150.34233087183901</v>
      </c>
      <c r="AI4021">
        <v>89.532221361295896</v>
      </c>
      <c r="AJ4021">
        <v>90.8118484459755</v>
      </c>
      <c r="AK4021">
        <v>150.36243566069601</v>
      </c>
      <c r="AL4021">
        <v>89.186151970386703</v>
      </c>
      <c r="AM4021">
        <v>92.099180502351501</v>
      </c>
      <c r="AN4021">
        <v>0.99999999427497499</v>
      </c>
    </row>
    <row r="4022" spans="1:40" x14ac:dyDescent="0.25">
      <c r="A4022" t="str">
        <f>"20190312160723338"</f>
        <v>20190312160723338</v>
      </c>
      <c r="B4022" t="str">
        <f>"1552378043329233"</f>
        <v>1552378043329233</v>
      </c>
      <c r="C4022" t="s">
        <v>40</v>
      </c>
      <c r="D4022">
        <v>6.1595599999999999</v>
      </c>
      <c r="E4022">
        <v>0.50831400000000004</v>
      </c>
      <c r="F4022" t="s">
        <v>85</v>
      </c>
      <c r="G4022">
        <v>-107.39749999999999</v>
      </c>
      <c r="H4022">
        <v>2.352811</v>
      </c>
      <c r="I4022">
        <v>216.09299999999999</v>
      </c>
      <c r="J4022">
        <v>-257.43459999999999</v>
      </c>
      <c r="K4022">
        <v>1.1093189999999999</v>
      </c>
      <c r="L4022">
        <v>214.32060000000001</v>
      </c>
      <c r="M4022">
        <v>0.99994340000000004</v>
      </c>
      <c r="N4022">
        <v>0</v>
      </c>
      <c r="O4022">
        <v>-2.523712E-3</v>
      </c>
      <c r="P4022">
        <v>0.99942830000000005</v>
      </c>
      <c r="Q4022">
        <v>3.8386359999999999E-3</v>
      </c>
      <c r="R4022">
        <v>3.3597210000000002E-2</v>
      </c>
      <c r="S4022">
        <v>3.0004580000000001</v>
      </c>
      <c r="T4022">
        <v>2.481556E-2</v>
      </c>
      <c r="U4022">
        <v>3.5354610000000002E-2</v>
      </c>
      <c r="V4022">
        <v>-3.6122109999999999E-2</v>
      </c>
      <c r="W4022">
        <v>1.416857E-2</v>
      </c>
      <c r="X4022">
        <v>0.999247</v>
      </c>
      <c r="Y4022">
        <v>-1.430532E-2</v>
      </c>
      <c r="Z4022" s="1">
        <v>-8.0026359999999994E-5</v>
      </c>
      <c r="AA4022">
        <v>0.9998977</v>
      </c>
      <c r="AB4022">
        <v>34</v>
      </c>
      <c r="AC4022">
        <v>150.03710000000001</v>
      </c>
      <c r="AD4022">
        <v>1.243492</v>
      </c>
      <c r="AE4022">
        <v>1.77239999999997</v>
      </c>
      <c r="AF4022">
        <v>-2.1509172873354401</v>
      </c>
      <c r="AG4022">
        <v>1.243492</v>
      </c>
      <c r="AH4022">
        <v>150.02184543208301</v>
      </c>
      <c r="AI4022">
        <v>89.525149883498599</v>
      </c>
      <c r="AJ4022">
        <v>90.821413968315298</v>
      </c>
      <c r="AK4022">
        <v>150.042416750661</v>
      </c>
      <c r="AL4022">
        <v>89.188173623192</v>
      </c>
      <c r="AM4022">
        <v>92.070302574887407</v>
      </c>
      <c r="AN4022">
        <v>1.0000000611078399</v>
      </c>
    </row>
    <row r="4023" spans="1:40" x14ac:dyDescent="0.25">
      <c r="A4023" t="str">
        <f>"20190312160723361"</f>
        <v>20190312160723361</v>
      </c>
      <c r="B4023" t="str">
        <f>"1552378043349729"</f>
        <v>1552378043349729</v>
      </c>
      <c r="C4023" t="s">
        <v>40</v>
      </c>
      <c r="D4023">
        <v>6.0239409999999998</v>
      </c>
      <c r="E4023">
        <v>0.50796770000000002</v>
      </c>
      <c r="F4023" t="s">
        <v>85</v>
      </c>
      <c r="G4023">
        <v>-107.39749999999999</v>
      </c>
      <c r="H4023">
        <v>2.363559</v>
      </c>
      <c r="I4023">
        <v>216.06639999999999</v>
      </c>
      <c r="J4023">
        <v>-257.08359999999999</v>
      </c>
      <c r="K4023">
        <v>1.1093120000000001</v>
      </c>
      <c r="L4023">
        <v>214.31979999999999</v>
      </c>
      <c r="M4023">
        <v>0.99994360000000004</v>
      </c>
      <c r="N4023">
        <v>0</v>
      </c>
      <c r="O4023">
        <v>-2.429428E-3</v>
      </c>
      <c r="P4023">
        <v>0.9994459</v>
      </c>
      <c r="Q4023">
        <v>3.7963739999999999E-3</v>
      </c>
      <c r="R4023">
        <v>3.3070969999999998E-2</v>
      </c>
      <c r="S4023">
        <v>3.0004119999999999</v>
      </c>
      <c r="T4023">
        <v>2.5083069999999999E-2</v>
      </c>
      <c r="U4023">
        <v>3.4912110000000003E-2</v>
      </c>
      <c r="V4023">
        <v>-3.5501739999999997E-2</v>
      </c>
      <c r="W4023">
        <v>1.412947E-2</v>
      </c>
      <c r="X4023">
        <v>0.99926970000000004</v>
      </c>
      <c r="Y4023">
        <v>-1.406377E-2</v>
      </c>
      <c r="Z4023" s="1">
        <v>-7.9092480000000001E-5</v>
      </c>
      <c r="AA4023">
        <v>0.99990109999999999</v>
      </c>
      <c r="AB4023">
        <v>34</v>
      </c>
      <c r="AC4023">
        <v>149.68610000000001</v>
      </c>
      <c r="AD4023">
        <v>1.2542469999999999</v>
      </c>
      <c r="AE4023">
        <v>1.7465999999999999</v>
      </c>
      <c r="AF4023">
        <v>-2.11011775280372</v>
      </c>
      <c r="AG4023">
        <v>1.2542469999999999</v>
      </c>
      <c r="AH4023">
        <v>149.67090768763899</v>
      </c>
      <c r="AI4023">
        <v>89.519918478400399</v>
      </c>
      <c r="AJ4023">
        <v>90.807724320465397</v>
      </c>
      <c r="AK4023">
        <v>149.691036273083</v>
      </c>
      <c r="AL4023">
        <v>89.190414042111897</v>
      </c>
      <c r="AM4023">
        <v>92.034730653945104</v>
      </c>
      <c r="AN4023">
        <v>0.999999974401799</v>
      </c>
    </row>
    <row r="4024" spans="1:40" x14ac:dyDescent="0.25">
      <c r="A4024" t="str">
        <f>"20190312160723384"</f>
        <v>20190312160723384</v>
      </c>
      <c r="B4024" t="str">
        <f>"1552378043379009"</f>
        <v>1552378043379009</v>
      </c>
      <c r="C4024" t="s">
        <v>40</v>
      </c>
      <c r="D4024">
        <v>6.0688040000000001</v>
      </c>
      <c r="E4024">
        <v>0.50767879999999999</v>
      </c>
      <c r="F4024" t="s">
        <v>85</v>
      </c>
      <c r="G4024">
        <v>-107.39749999999999</v>
      </c>
      <c r="H4024">
        <v>2.3404449999999999</v>
      </c>
      <c r="I4024">
        <v>216.11709999999999</v>
      </c>
      <c r="J4024">
        <v>-256.72829999999999</v>
      </c>
      <c r="K4024">
        <v>1.109316</v>
      </c>
      <c r="L4024">
        <v>214.31909999999999</v>
      </c>
      <c r="M4024">
        <v>0.99994369999999999</v>
      </c>
      <c r="N4024">
        <v>0</v>
      </c>
      <c r="O4024">
        <v>-2.333716E-3</v>
      </c>
      <c r="P4024">
        <v>0.99946760000000001</v>
      </c>
      <c r="Q4024">
        <v>3.727242E-3</v>
      </c>
      <c r="R4024">
        <v>3.2413989999999997E-2</v>
      </c>
      <c r="S4024">
        <v>3.000381</v>
      </c>
      <c r="T4024">
        <v>2.4678470000000001E-2</v>
      </c>
      <c r="U4024">
        <v>3.6026000000000002E-2</v>
      </c>
      <c r="V4024">
        <v>-3.4749389999999998E-2</v>
      </c>
      <c r="W4024">
        <v>1.4062720000000001E-2</v>
      </c>
      <c r="X4024">
        <v>0.99929710000000005</v>
      </c>
      <c r="Y4024">
        <v>-1.4339350000000001E-2</v>
      </c>
      <c r="Z4024" s="1">
        <v>-7.8163390000000004E-5</v>
      </c>
      <c r="AA4024">
        <v>0.99989720000000004</v>
      </c>
      <c r="AB4024">
        <v>34</v>
      </c>
      <c r="AC4024">
        <v>149.33080000000001</v>
      </c>
      <c r="AD4024">
        <v>1.2311289999999999</v>
      </c>
      <c r="AE4024">
        <v>1.798</v>
      </c>
      <c r="AF4024">
        <v>-2.1463635886341499</v>
      </c>
      <c r="AG4024">
        <v>1.2311289999999999</v>
      </c>
      <c r="AH4024">
        <v>149.31604973256799</v>
      </c>
      <c r="AI4024">
        <v>89.527648826676</v>
      </c>
      <c r="AJ4024">
        <v>90.823549149000897</v>
      </c>
      <c r="AK4024">
        <v>149.336550325123</v>
      </c>
      <c r="AL4024">
        <v>89.194238925772495</v>
      </c>
      <c r="AM4024">
        <v>91.991591342995207</v>
      </c>
      <c r="AN4024">
        <v>0.99999998713379001</v>
      </c>
    </row>
    <row r="4025" spans="1:40" x14ac:dyDescent="0.25">
      <c r="A4025" t="str">
        <f>"20190312160723408"</f>
        <v>20190312160723408</v>
      </c>
      <c r="B4025" t="str">
        <f>"1552378043399038"</f>
        <v>1552378043399038</v>
      </c>
      <c r="C4025" t="s">
        <v>40</v>
      </c>
      <c r="D4025">
        <v>6.0309599999999897</v>
      </c>
      <c r="E4025">
        <v>0.4844735</v>
      </c>
      <c r="F4025" t="s">
        <v>85</v>
      </c>
      <c r="G4025">
        <v>-107.39749999999999</v>
      </c>
      <c r="H4025">
        <v>2.3232170000000001</v>
      </c>
      <c r="I4025">
        <v>216.13030000000001</v>
      </c>
      <c r="J4025">
        <v>-256.36419999999998</v>
      </c>
      <c r="K4025">
        <v>1.109318</v>
      </c>
      <c r="L4025">
        <v>214.31829999999999</v>
      </c>
      <c r="M4025">
        <v>0.99994400000000006</v>
      </c>
      <c r="N4025">
        <v>0</v>
      </c>
      <c r="O4025">
        <v>-2.2359789999999999E-3</v>
      </c>
      <c r="P4025">
        <v>0.99946520000000005</v>
      </c>
      <c r="Q4025">
        <v>4.105694E-3</v>
      </c>
      <c r="R4025">
        <v>3.2444510000000003E-2</v>
      </c>
      <c r="S4025">
        <v>3.000381</v>
      </c>
      <c r="T4025">
        <v>2.439094E-2</v>
      </c>
      <c r="U4025">
        <v>3.6392210000000001E-2</v>
      </c>
      <c r="V4025">
        <v>-3.4682020000000001E-2</v>
      </c>
      <c r="W4025">
        <v>1.4444149999999999E-2</v>
      </c>
      <c r="X4025">
        <v>0.99929400000000002</v>
      </c>
      <c r="Y4025">
        <v>-1.436366E-2</v>
      </c>
      <c r="Z4025" s="1">
        <v>-7.6556930000000001E-5</v>
      </c>
      <c r="AA4025">
        <v>0.99989680000000003</v>
      </c>
      <c r="AB4025">
        <v>34</v>
      </c>
      <c r="AC4025">
        <v>148.9667</v>
      </c>
      <c r="AD4025">
        <v>1.2138989999999901</v>
      </c>
      <c r="AE4025">
        <v>1.81200000000001</v>
      </c>
      <c r="AF4025">
        <v>-2.14495729366207</v>
      </c>
      <c r="AG4025">
        <v>1.2138989999999901</v>
      </c>
      <c r="AH4025">
        <v>148.95238636224801</v>
      </c>
      <c r="AI4025">
        <v>89.533122350806906</v>
      </c>
      <c r="AJ4025">
        <v>90.825018713966003</v>
      </c>
      <c r="AK4025">
        <v>148.972775350338</v>
      </c>
      <c r="AL4025">
        <v>89.172382375935001</v>
      </c>
      <c r="AM4025">
        <v>91.987739428816198</v>
      </c>
      <c r="AN4025">
        <v>0.99999998720825101</v>
      </c>
    </row>
    <row r="4026" spans="1:40" x14ac:dyDescent="0.25">
      <c r="A4026" t="str">
        <f>"20190312160723429"</f>
        <v>20190312160723429</v>
      </c>
      <c r="B4026" t="str">
        <f>"1552378043419537"</f>
        <v>1552378043419537</v>
      </c>
      <c r="C4026" t="s">
        <v>40</v>
      </c>
      <c r="D4026">
        <v>6.114439</v>
      </c>
      <c r="E4026">
        <v>0.47289059999999999</v>
      </c>
      <c r="F4026" t="s">
        <v>66</v>
      </c>
      <c r="G4026">
        <v>-217.1951</v>
      </c>
      <c r="H4026" s="1">
        <v>2.1805000000000001E-6</v>
      </c>
      <c r="I4026">
        <v>217.1687</v>
      </c>
      <c r="J4026">
        <v>-256.05849999999998</v>
      </c>
      <c r="K4026">
        <v>1.109316</v>
      </c>
      <c r="L4026">
        <v>214.3177</v>
      </c>
      <c r="M4026">
        <v>0.99994419999999995</v>
      </c>
      <c r="N4026">
        <v>0</v>
      </c>
      <c r="O4026">
        <v>-2.1539760000000002E-3</v>
      </c>
      <c r="P4026">
        <v>0.99945620000000002</v>
      </c>
      <c r="Q4026">
        <v>3.9646899999999999E-3</v>
      </c>
      <c r="R4026">
        <v>3.2736950000000001E-2</v>
      </c>
      <c r="S4026">
        <v>2.9948730000000001</v>
      </c>
      <c r="T4026">
        <v>-8.4818359999999995E-2</v>
      </c>
      <c r="U4026">
        <v>0.2179413</v>
      </c>
      <c r="V4026">
        <v>-3.4892220000000002E-2</v>
      </c>
      <c r="W4026">
        <v>1.4305409999999999E-2</v>
      </c>
      <c r="X4026">
        <v>0.99928870000000003</v>
      </c>
      <c r="Y4026">
        <v>-7.4697139999999995E-2</v>
      </c>
      <c r="Z4026">
        <v>1.117063E-3</v>
      </c>
      <c r="AA4026">
        <v>0.99720560000000003</v>
      </c>
      <c r="AB4026">
        <v>34</v>
      </c>
      <c r="AC4026">
        <v>38.863399999999899</v>
      </c>
      <c r="AD4026">
        <v>-1.1093138195000001</v>
      </c>
      <c r="AE4026">
        <v>2.8509999999999902</v>
      </c>
      <c r="AF4026">
        <v>-2.9323323483845498</v>
      </c>
      <c r="AG4026">
        <v>-1.1093138195000001</v>
      </c>
      <c r="AH4026">
        <v>38.825704395241601</v>
      </c>
      <c r="AI4026">
        <v>91.631943559505302</v>
      </c>
      <c r="AJ4026">
        <v>94.319095033454701</v>
      </c>
      <c r="AK4026">
        <v>38.952079173494703</v>
      </c>
      <c r="AL4026">
        <v>89.180332431658698</v>
      </c>
      <c r="AM4026">
        <v>91.999787520457403</v>
      </c>
      <c r="AN4026">
        <v>1.0000000088597401</v>
      </c>
    </row>
    <row r="4027" spans="1:40" x14ac:dyDescent="0.25">
      <c r="A4027" t="str">
        <f>"20190312160723449"</f>
        <v>20190312160723449</v>
      </c>
      <c r="B4027" t="str">
        <f>"1552378043439054"</f>
        <v>1552378043439054</v>
      </c>
      <c r="C4027" t="s">
        <v>40</v>
      </c>
      <c r="D4027">
        <v>6.1065579999999997</v>
      </c>
      <c r="E4027">
        <v>0.4696053</v>
      </c>
      <c r="F4027" t="s">
        <v>66</v>
      </c>
      <c r="G4027">
        <v>-224.5719</v>
      </c>
      <c r="H4027" s="1">
        <v>7.6632649999999996E-7</v>
      </c>
      <c r="I4027">
        <v>217.58609999999999</v>
      </c>
      <c r="J4027">
        <v>-255.74080000000001</v>
      </c>
      <c r="K4027">
        <v>1.109313</v>
      </c>
      <c r="L4027">
        <v>214.31710000000001</v>
      </c>
      <c r="M4027">
        <v>0.99994430000000001</v>
      </c>
      <c r="N4027">
        <v>0</v>
      </c>
      <c r="O4027">
        <v>-2.0685199999999999E-3</v>
      </c>
      <c r="P4027">
        <v>0.99945470000000003</v>
      </c>
      <c r="Q4027">
        <v>3.2743339999999998E-3</v>
      </c>
      <c r="R4027">
        <v>3.2861660000000001E-2</v>
      </c>
      <c r="S4027">
        <v>2.9918819999999999</v>
      </c>
      <c r="T4027">
        <v>-0.1054078</v>
      </c>
      <c r="U4027">
        <v>0.31056209999999901</v>
      </c>
      <c r="V4027">
        <v>-3.4931629999999998E-2</v>
      </c>
      <c r="W4027">
        <v>1.361835E-2</v>
      </c>
      <c r="X4027">
        <v>0.99929690000000004</v>
      </c>
      <c r="Y4027">
        <v>-0.10523830000000001</v>
      </c>
      <c r="Z4027">
        <v>1.9209699999999999E-3</v>
      </c>
      <c r="AA4027">
        <v>0.99444509999999997</v>
      </c>
      <c r="AB4027">
        <v>34</v>
      </c>
      <c r="AC4027">
        <v>31.168900000000001</v>
      </c>
      <c r="AD4027">
        <v>-1.1093122336735</v>
      </c>
      <c r="AE4027">
        <v>3.2689999999999699</v>
      </c>
      <c r="AF4027">
        <v>-3.3292987010425299</v>
      </c>
      <c r="AG4027">
        <v>-1.1093122336735</v>
      </c>
      <c r="AH4027">
        <v>31.1230771087601</v>
      </c>
      <c r="AI4027">
        <v>92.029744932848104</v>
      </c>
      <c r="AJ4027">
        <v>96.105826732700194</v>
      </c>
      <c r="AK4027">
        <v>31.3202926581213</v>
      </c>
      <c r="AL4027">
        <v>89.219701890158703</v>
      </c>
      <c r="AM4027">
        <v>92.002027984761597</v>
      </c>
      <c r="AN4027">
        <v>0.99999998629039399</v>
      </c>
    </row>
    <row r="4028" spans="1:40" x14ac:dyDescent="0.25">
      <c r="A4028" t="str">
        <f>"20190312160723473"</f>
        <v>20190312160723473</v>
      </c>
      <c r="B4028" t="str">
        <f>"1552378043459550"</f>
        <v>1552378043459550</v>
      </c>
      <c r="C4028" t="s">
        <v>40</v>
      </c>
      <c r="D4028">
        <v>6.1242190000000001</v>
      </c>
      <c r="E4028">
        <v>0.46853800000000001</v>
      </c>
      <c r="F4028" t="s">
        <v>66</v>
      </c>
      <c r="G4028">
        <v>-228.51050000000001</v>
      </c>
      <c r="H4028" s="1">
        <v>2.8710920000000001E-6</v>
      </c>
      <c r="I4028">
        <v>217.38399999999999</v>
      </c>
      <c r="J4028">
        <v>-255.3896</v>
      </c>
      <c r="K4028">
        <v>1.109318</v>
      </c>
      <c r="L4028">
        <v>214.31649999999999</v>
      </c>
      <c r="M4028">
        <v>0.99994439999999996</v>
      </c>
      <c r="N4028">
        <v>0</v>
      </c>
      <c r="O4028">
        <v>-1.9740040000000001E-3</v>
      </c>
      <c r="P4028">
        <v>0.9994577</v>
      </c>
      <c r="Q4028">
        <v>3.2370839999999999E-3</v>
      </c>
      <c r="R4028">
        <v>3.2771420000000002E-2</v>
      </c>
      <c r="S4028">
        <v>2.9909669999999999</v>
      </c>
      <c r="T4028">
        <v>-0.1218463</v>
      </c>
      <c r="U4028">
        <v>0.33686830000000001</v>
      </c>
      <c r="V4028">
        <v>-3.474675E-2</v>
      </c>
      <c r="W4028">
        <v>1.3584499999999999E-2</v>
      </c>
      <c r="X4028">
        <v>0.99930379999999996</v>
      </c>
      <c r="Y4028">
        <v>-0.1137876</v>
      </c>
      <c r="Z4028">
        <v>2.3896299999999998E-3</v>
      </c>
      <c r="AA4028">
        <v>0.9935022</v>
      </c>
      <c r="AB4028">
        <v>34</v>
      </c>
      <c r="AC4028">
        <v>26.879099999999902</v>
      </c>
      <c r="AD4028">
        <v>-1.1093151289080001</v>
      </c>
      <c r="AE4028">
        <v>3.0675000000000199</v>
      </c>
      <c r="AF4028">
        <v>-3.1153183484468698</v>
      </c>
      <c r="AG4028">
        <v>-1.1093151289080001</v>
      </c>
      <c r="AH4028">
        <v>26.8278847059571</v>
      </c>
      <c r="AI4028">
        <v>92.352006717816195</v>
      </c>
      <c r="AJ4028">
        <v>96.623657668118497</v>
      </c>
      <c r="AK4028">
        <v>27.0309301775489</v>
      </c>
      <c r="AL4028">
        <v>89.221641526837701</v>
      </c>
      <c r="AM4028">
        <v>91.991426817348398</v>
      </c>
      <c r="AN4028">
        <v>0.99999997998512602</v>
      </c>
    </row>
    <row r="4029" spans="1:40" x14ac:dyDescent="0.25">
      <c r="A4029" t="str">
        <f>"20190312160723496"</f>
        <v>20190312160723496</v>
      </c>
      <c r="B4029" t="str">
        <f>"1552378043488830"</f>
        <v>1552378043488830</v>
      </c>
      <c r="C4029" t="s">
        <v>40</v>
      </c>
      <c r="D4029">
        <v>5.9650819999999998</v>
      </c>
      <c r="E4029">
        <v>0.46826079999999998</v>
      </c>
      <c r="F4029" t="s">
        <v>66</v>
      </c>
      <c r="G4029">
        <v>-230.2235</v>
      </c>
      <c r="H4029" s="1">
        <v>-1.531651E-6</v>
      </c>
      <c r="I4029">
        <v>217.2193</v>
      </c>
      <c r="J4029">
        <v>-255.04140000000001</v>
      </c>
      <c r="K4029">
        <v>1.1093200000000001</v>
      </c>
      <c r="L4029">
        <v>214.3159</v>
      </c>
      <c r="M4029">
        <v>0.99994470000000002</v>
      </c>
      <c r="N4029">
        <v>0</v>
      </c>
      <c r="O4029">
        <v>-1.8805619999999999E-3</v>
      </c>
      <c r="P4029">
        <v>0.99946270000000004</v>
      </c>
      <c r="Q4029">
        <v>3.4159759999999998E-3</v>
      </c>
      <c r="R4029">
        <v>3.26006E-2</v>
      </c>
      <c r="S4029">
        <v>2.9907379999999999</v>
      </c>
      <c r="T4029">
        <v>-0.13183120000000001</v>
      </c>
      <c r="U4029">
        <v>0.34497070000000002</v>
      </c>
      <c r="V4029">
        <v>-3.4482690000000003E-2</v>
      </c>
      <c r="W4029">
        <v>1.376663E-2</v>
      </c>
      <c r="X4029">
        <v>0.99931049999999999</v>
      </c>
      <c r="Y4029">
        <v>-0.1163414</v>
      </c>
      <c r="Z4029">
        <v>2.6370410000000001E-3</v>
      </c>
      <c r="AA4029">
        <v>0.99320580000000003</v>
      </c>
      <c r="AB4029">
        <v>34</v>
      </c>
      <c r="AC4029">
        <v>24.817900000000002</v>
      </c>
      <c r="AD4029">
        <v>-1.1093215316509999</v>
      </c>
      <c r="AE4029">
        <v>2.9034</v>
      </c>
      <c r="AF4029">
        <v>-2.9442658870434002</v>
      </c>
      <c r="AG4029">
        <v>-1.1093215316509999</v>
      </c>
      <c r="AH4029">
        <v>24.763587364805499</v>
      </c>
      <c r="AI4029">
        <v>92.547019120036097</v>
      </c>
      <c r="AJ4029">
        <v>96.780350290110405</v>
      </c>
      <c r="AK4029">
        <v>24.962663220268499</v>
      </c>
      <c r="AL4029">
        <v>89.211205306416502</v>
      </c>
      <c r="AM4029">
        <v>91.976291657532997</v>
      </c>
      <c r="AN4029">
        <v>1.00000002571072</v>
      </c>
    </row>
    <row r="4030" spans="1:40" x14ac:dyDescent="0.25">
      <c r="A4030" t="str">
        <f>"20190312160723517"</f>
        <v>20190312160723517</v>
      </c>
      <c r="B4030" t="str">
        <f>"1552378043508832"</f>
        <v>1552378043508832</v>
      </c>
      <c r="C4030" t="s">
        <v>40</v>
      </c>
      <c r="D4030">
        <v>6.0607839999999999</v>
      </c>
      <c r="E4030">
        <v>0.46658860000000002</v>
      </c>
      <c r="F4030" t="s">
        <v>66</v>
      </c>
      <c r="G4030">
        <v>-231.1199</v>
      </c>
      <c r="H4030" s="1">
        <v>-1.0487579999999999E-6</v>
      </c>
      <c r="I4030">
        <v>217.08580000000001</v>
      </c>
      <c r="J4030">
        <v>-254.7062</v>
      </c>
      <c r="K4030">
        <v>1.109318</v>
      </c>
      <c r="L4030">
        <v>214.31530000000001</v>
      </c>
      <c r="M4030">
        <v>0.99994470000000002</v>
      </c>
      <c r="N4030">
        <v>0</v>
      </c>
      <c r="O4030">
        <v>-1.7904559999999999E-3</v>
      </c>
      <c r="P4030">
        <v>0.99946369999999896</v>
      </c>
      <c r="Q4030">
        <v>3.6554600000000001E-3</v>
      </c>
      <c r="R4030">
        <v>3.2542399999999999E-2</v>
      </c>
      <c r="S4030">
        <v>2.9908290000000002</v>
      </c>
      <c r="T4030">
        <v>-0.13869500000000001</v>
      </c>
      <c r="U4030">
        <v>0.3463135</v>
      </c>
      <c r="V4030">
        <v>-3.4334379999999998E-2</v>
      </c>
      <c r="W4030">
        <v>1.400932E-2</v>
      </c>
      <c r="X4030">
        <v>0.99931219999999998</v>
      </c>
      <c r="Y4030">
        <v>-0.1166761</v>
      </c>
      <c r="Z4030">
        <v>2.7776089999999999E-3</v>
      </c>
      <c r="AA4030">
        <v>0.99316610000000005</v>
      </c>
      <c r="AB4030">
        <v>34</v>
      </c>
      <c r="AC4030">
        <v>23.586299999999898</v>
      </c>
      <c r="AD4030">
        <v>-1.109319048758</v>
      </c>
      <c r="AE4030">
        <v>2.77049999999999</v>
      </c>
      <c r="AF4030">
        <v>-2.8066042262329498</v>
      </c>
      <c r="AG4030">
        <v>-1.109319048758</v>
      </c>
      <c r="AH4030">
        <v>23.529960581835301</v>
      </c>
      <c r="AI4030">
        <v>92.680237790318301</v>
      </c>
      <c r="AJ4030">
        <v>96.801983828937693</v>
      </c>
      <c r="AK4030">
        <v>23.722703493012101</v>
      </c>
      <c r="AL4030">
        <v>89.197298825680207</v>
      </c>
      <c r="AM4030">
        <v>91.967794982003497</v>
      </c>
      <c r="AN4030">
        <v>0.99999999188284305</v>
      </c>
    </row>
    <row r="4031" spans="1:40" x14ac:dyDescent="0.25">
      <c r="A4031" t="str">
        <f>"20190312160723540"</f>
        <v>20190312160723540</v>
      </c>
      <c r="B4031" t="str">
        <f>"1552378043529328"</f>
        <v>1552378043529328</v>
      </c>
      <c r="C4031" t="s">
        <v>40</v>
      </c>
      <c r="D4031">
        <v>6.1860780000000002</v>
      </c>
      <c r="E4031">
        <v>0.46548929999999999</v>
      </c>
      <c r="F4031" t="s">
        <v>66</v>
      </c>
      <c r="G4031">
        <v>-227.87809999999999</v>
      </c>
      <c r="H4031" s="1">
        <v>2.5275649999999998E-6</v>
      </c>
      <c r="I4031">
        <v>217.54409999999999</v>
      </c>
      <c r="J4031">
        <v>-254.36619999999999</v>
      </c>
      <c r="K4031">
        <v>1.109313</v>
      </c>
      <c r="L4031">
        <v>214.31479999999999</v>
      </c>
      <c r="M4031">
        <v>0.99994490000000003</v>
      </c>
      <c r="N4031">
        <v>0</v>
      </c>
      <c r="O4031">
        <v>-1.6990410000000001E-3</v>
      </c>
      <c r="P4031">
        <v>0.99946060000000003</v>
      </c>
      <c r="Q4031">
        <v>3.2125270000000002E-3</v>
      </c>
      <c r="R4031">
        <v>3.2684730000000002E-2</v>
      </c>
      <c r="S4031">
        <v>2.9903409999999999</v>
      </c>
      <c r="T4031">
        <v>-0.1236476</v>
      </c>
      <c r="U4031">
        <v>0.35989379999999999</v>
      </c>
      <c r="V4031">
        <v>-3.4385579999999999E-2</v>
      </c>
      <c r="W4031">
        <v>1.3570189999999999E-2</v>
      </c>
      <c r="X4031">
        <v>0.99931650000000005</v>
      </c>
      <c r="Y4031">
        <v>-0.12107320000000001</v>
      </c>
      <c r="Z4031">
        <v>2.5630509999999998E-3</v>
      </c>
      <c r="AA4031">
        <v>0.99264030000000003</v>
      </c>
      <c r="AB4031">
        <v>34</v>
      </c>
      <c r="AC4031">
        <v>26.488099999999999</v>
      </c>
      <c r="AD4031">
        <v>-1.109310472435</v>
      </c>
      <c r="AE4031">
        <v>3.2292999999999901</v>
      </c>
      <c r="AF4031">
        <v>-3.2686531949378401</v>
      </c>
      <c r="AG4031">
        <v>-1.109310472435</v>
      </c>
      <c r="AH4031">
        <v>26.4368862071492</v>
      </c>
      <c r="AI4031">
        <v>92.384625636349</v>
      </c>
      <c r="AJ4031">
        <v>97.048272802869207</v>
      </c>
      <c r="AK4031">
        <v>26.661275583939801</v>
      </c>
      <c r="AL4031">
        <v>89.222461514905504</v>
      </c>
      <c r="AM4031">
        <v>91.970718605334099</v>
      </c>
      <c r="AN4031">
        <v>0.99999999267041095</v>
      </c>
    </row>
    <row r="4032" spans="1:40" x14ac:dyDescent="0.25">
      <c r="A4032" t="str">
        <f>"20190312160723563"</f>
        <v>20190312160723563</v>
      </c>
      <c r="B4032" t="str">
        <f>"1552378043548849"</f>
        <v>1552378043548849</v>
      </c>
      <c r="C4032" t="s">
        <v>40</v>
      </c>
      <c r="D4032">
        <v>6.1867150000000004</v>
      </c>
      <c r="E4032">
        <v>0.46462829999999999</v>
      </c>
      <c r="F4032" t="s">
        <v>66</v>
      </c>
      <c r="G4032">
        <v>-225.6498</v>
      </c>
      <c r="H4032" s="1">
        <v>1.327859E-6</v>
      </c>
      <c r="I4032">
        <v>217.8622</v>
      </c>
      <c r="J4032">
        <v>-254.0164</v>
      </c>
      <c r="K4032">
        <v>1.109308</v>
      </c>
      <c r="L4032">
        <v>214.3143</v>
      </c>
      <c r="M4032">
        <v>0.99994499999999997</v>
      </c>
      <c r="N4032">
        <v>0</v>
      </c>
      <c r="O4032">
        <v>-1.6050039999999999E-3</v>
      </c>
      <c r="P4032">
        <v>0.99944909999999998</v>
      </c>
      <c r="Q4032">
        <v>3.066362E-3</v>
      </c>
      <c r="R4032">
        <v>3.3046859999999997E-2</v>
      </c>
      <c r="S4032">
        <v>2.9899140000000002</v>
      </c>
      <c r="T4032">
        <v>-0.11550009999999999</v>
      </c>
      <c r="U4032">
        <v>0.36935420000000002</v>
      </c>
      <c r="V4032">
        <v>-3.4652959999999997E-2</v>
      </c>
      <c r="W4032">
        <v>1.342716E-2</v>
      </c>
      <c r="X4032">
        <v>0.99930920000000001</v>
      </c>
      <c r="Y4032">
        <v>-0.1241019</v>
      </c>
      <c r="Z4032">
        <v>2.448815E-3</v>
      </c>
      <c r="AA4032">
        <v>0.99226650000000005</v>
      </c>
      <c r="AB4032">
        <v>34</v>
      </c>
      <c r="AC4032">
        <v>28.366599999999998</v>
      </c>
      <c r="AD4032">
        <v>-1.1093066721410001</v>
      </c>
      <c r="AE4032">
        <v>3.5478999999999901</v>
      </c>
      <c r="AF4032">
        <v>-3.5880237820777499</v>
      </c>
      <c r="AG4032">
        <v>-1.1093066721410001</v>
      </c>
      <c r="AH4032">
        <v>28.3182291160409</v>
      </c>
      <c r="AI4032">
        <v>92.225519062397098</v>
      </c>
      <c r="AJ4032">
        <v>97.2211079192342</v>
      </c>
      <c r="AK4032">
        <v>28.566178887317101</v>
      </c>
      <c r="AL4032">
        <v>89.2306572801687</v>
      </c>
      <c r="AM4032">
        <v>91.9860450550199</v>
      </c>
      <c r="AN4032">
        <v>0.99999999673353301</v>
      </c>
    </row>
    <row r="4033" spans="1:40" x14ac:dyDescent="0.25">
      <c r="A4033" t="str">
        <f>"20190312160723586"</f>
        <v>20190312160723586</v>
      </c>
      <c r="B4033" t="str">
        <f>"1552378043579104"</f>
        <v>1552378043579104</v>
      </c>
      <c r="C4033" t="s">
        <v>40</v>
      </c>
      <c r="D4033">
        <v>6.2156520000000004</v>
      </c>
      <c r="E4033">
        <v>0.4639643</v>
      </c>
      <c r="F4033" t="s">
        <v>66</v>
      </c>
      <c r="G4033">
        <v>-223.2593</v>
      </c>
      <c r="H4033" s="1">
        <v>4.1008260000000002E-8</v>
      </c>
      <c r="I4033">
        <v>218.1995</v>
      </c>
      <c r="J4033">
        <v>-253.64699999999999</v>
      </c>
      <c r="K4033">
        <v>1.109305</v>
      </c>
      <c r="L4033">
        <v>214.31379999999999</v>
      </c>
      <c r="M4033">
        <v>0.99994499999999997</v>
      </c>
      <c r="N4033">
        <v>0</v>
      </c>
      <c r="O4033">
        <v>-1.5058420000000001E-3</v>
      </c>
      <c r="P4033">
        <v>0.99943510000000002</v>
      </c>
      <c r="Q4033">
        <v>3.4759460000000002E-3</v>
      </c>
      <c r="R4033">
        <v>3.3425629999999998E-2</v>
      </c>
      <c r="S4033">
        <v>2.989487</v>
      </c>
      <c r="T4033">
        <v>-0.107821</v>
      </c>
      <c r="U4033">
        <v>0.37762449999999997</v>
      </c>
      <c r="V4033">
        <v>-3.4932949999999997E-2</v>
      </c>
      <c r="W4033">
        <v>1.384053E-2</v>
      </c>
      <c r="X4033">
        <v>0.99929380000000001</v>
      </c>
      <c r="Y4033">
        <v>-0.1267335</v>
      </c>
      <c r="Z4033">
        <v>2.3297370000000001E-3</v>
      </c>
      <c r="AA4033">
        <v>0.99193410000000004</v>
      </c>
      <c r="AB4033">
        <v>34</v>
      </c>
      <c r="AC4033">
        <v>30.387699999999999</v>
      </c>
      <c r="AD4033">
        <v>-1.1093049589917401</v>
      </c>
      <c r="AE4033">
        <v>3.8857000000000101</v>
      </c>
      <c r="AF4033">
        <v>-3.9263090332507802</v>
      </c>
      <c r="AG4033">
        <v>-1.1093049589917401</v>
      </c>
      <c r="AH4033">
        <v>30.342030093134099</v>
      </c>
      <c r="AI4033">
        <v>92.076503998872298</v>
      </c>
      <c r="AJ4033">
        <v>97.373196886853805</v>
      </c>
      <c r="AK4033">
        <v>30.615114735850401</v>
      </c>
      <c r="AL4033">
        <v>89.206970712682093</v>
      </c>
      <c r="AM4033">
        <v>92.002109781885096</v>
      </c>
      <c r="AN4033">
        <v>0.99999998499241105</v>
      </c>
    </row>
    <row r="4034" spans="1:40" x14ac:dyDescent="0.25">
      <c r="A4034" t="str">
        <f>"20190312160723608"</f>
        <v>20190312160723608</v>
      </c>
      <c r="B4034" t="str">
        <f>"1552378043599130"</f>
        <v>1552378043599130</v>
      </c>
      <c r="C4034" t="s">
        <v>40</v>
      </c>
      <c r="D4034">
        <v>6.1537569999999997</v>
      </c>
      <c r="E4034">
        <v>0.4635628</v>
      </c>
      <c r="F4034" t="s">
        <v>66</v>
      </c>
      <c r="G4034">
        <v>-219.98240000000001</v>
      </c>
      <c r="H4034" s="1">
        <v>-1.722117E-6</v>
      </c>
      <c r="I4034">
        <v>218.6414</v>
      </c>
      <c r="J4034">
        <v>-253.32050000000001</v>
      </c>
      <c r="K4034">
        <v>1.109308</v>
      </c>
      <c r="L4034">
        <v>214.3134</v>
      </c>
      <c r="M4034">
        <v>0.99994519999999998</v>
      </c>
      <c r="N4034">
        <v>0</v>
      </c>
      <c r="O4034">
        <v>-1.4183589999999999E-3</v>
      </c>
      <c r="P4034">
        <v>0.99942520000000001</v>
      </c>
      <c r="Q4034">
        <v>3.545814E-3</v>
      </c>
      <c r="R4034">
        <v>3.3721590000000003E-2</v>
      </c>
      <c r="S4034">
        <v>2.989182</v>
      </c>
      <c r="T4034">
        <v>-9.8498459999999996E-2</v>
      </c>
      <c r="U4034">
        <v>0.3842621</v>
      </c>
      <c r="V4034">
        <v>-3.5141619999999998E-2</v>
      </c>
      <c r="W4034">
        <v>1.3913480000000001E-2</v>
      </c>
      <c r="X4034">
        <v>0.99928550000000005</v>
      </c>
      <c r="Y4034">
        <v>-0.12883889999999901</v>
      </c>
      <c r="Z4034">
        <v>2.1599990000000001E-3</v>
      </c>
      <c r="AA4034">
        <v>0.99166319999999997</v>
      </c>
      <c r="AB4034">
        <v>34</v>
      </c>
      <c r="AC4034">
        <v>33.338099999999997</v>
      </c>
      <c r="AD4034">
        <v>-1.1093097221170001</v>
      </c>
      <c r="AE4034">
        <v>4.3280000000000003</v>
      </c>
      <c r="AF4034">
        <v>-4.3705247660447997</v>
      </c>
      <c r="AG4034">
        <v>-1.1093097221170001</v>
      </c>
      <c r="AH4034">
        <v>33.295673692252997</v>
      </c>
      <c r="AI4034">
        <v>91.891995576924003</v>
      </c>
      <c r="AJ4034">
        <v>97.478121322568498</v>
      </c>
      <c r="AK4034">
        <v>33.599612221142998</v>
      </c>
      <c r="AL4034">
        <v>89.202790606479397</v>
      </c>
      <c r="AM4034">
        <v>92.014076165961598</v>
      </c>
      <c r="AN4034">
        <v>1.0000000144460901</v>
      </c>
    </row>
    <row r="4035" spans="1:40" x14ac:dyDescent="0.25">
      <c r="A4035" t="str">
        <f>"20190312160723630"</f>
        <v>20190312160723630</v>
      </c>
      <c r="B4035" t="str">
        <f>"1552378043619626"</f>
        <v>1552378043619626</v>
      </c>
      <c r="C4035" t="s">
        <v>40</v>
      </c>
      <c r="D4035">
        <v>6.1129949999999997</v>
      </c>
      <c r="E4035">
        <v>0.4633834</v>
      </c>
      <c r="F4035" t="s">
        <v>66</v>
      </c>
      <c r="G4035">
        <v>-218.1275</v>
      </c>
      <c r="H4035" s="1">
        <v>2.6015349999999999E-6</v>
      </c>
      <c r="I4035">
        <v>218.88759999999999</v>
      </c>
      <c r="J4035">
        <v>-252.97880000000001</v>
      </c>
      <c r="K4035">
        <v>1.1093040000000001</v>
      </c>
      <c r="L4035">
        <v>214.31299999999999</v>
      </c>
      <c r="M4035">
        <v>0.99994530000000004</v>
      </c>
      <c r="N4035">
        <v>0</v>
      </c>
      <c r="O4035">
        <v>-1.3265880000000001E-3</v>
      </c>
      <c r="P4035">
        <v>0.99942240000000004</v>
      </c>
      <c r="Q4035">
        <v>3.487118E-3</v>
      </c>
      <c r="R4035">
        <v>3.3808749999999999E-2</v>
      </c>
      <c r="S4035">
        <v>2.988937</v>
      </c>
      <c r="T4035">
        <v>-9.4213130000000006E-2</v>
      </c>
      <c r="U4035">
        <v>0.38848880000000002</v>
      </c>
      <c r="V4035">
        <v>-3.5136880000000002E-2</v>
      </c>
      <c r="W4035">
        <v>1.385865E-2</v>
      </c>
      <c r="X4035">
        <v>0.99928640000000002</v>
      </c>
      <c r="Y4035">
        <v>-0.1301427</v>
      </c>
      <c r="Z4035">
        <v>2.0836309999999999E-3</v>
      </c>
      <c r="AA4035">
        <v>0.99149310000000002</v>
      </c>
      <c r="AB4035">
        <v>34</v>
      </c>
      <c r="AC4035">
        <v>34.851300000000002</v>
      </c>
      <c r="AD4035">
        <v>-1.109301398465</v>
      </c>
      <c r="AE4035">
        <v>4.5746000000000002</v>
      </c>
      <c r="AF4035">
        <v>-4.6162341903642101</v>
      </c>
      <c r="AG4035">
        <v>-1.109301398465</v>
      </c>
      <c r="AH4035">
        <v>34.810530467457497</v>
      </c>
      <c r="AI4035">
        <v>91.809387952989795</v>
      </c>
      <c r="AJ4035">
        <v>97.553935243562705</v>
      </c>
      <c r="AK4035">
        <v>35.1327937847065</v>
      </c>
      <c r="AL4035">
        <v>89.205932414255599</v>
      </c>
      <c r="AM4035">
        <v>92.013802913202696</v>
      </c>
      <c r="AN4035">
        <v>0.99999998587045802</v>
      </c>
    </row>
    <row r="4036" spans="1:40" x14ac:dyDescent="0.25">
      <c r="A4036" t="str">
        <f>"20190312160723650"</f>
        <v>20190312160723650</v>
      </c>
      <c r="B4036" t="str">
        <f>"1552378043639146"</f>
        <v>1552378043639146</v>
      </c>
      <c r="C4036" t="s">
        <v>40</v>
      </c>
      <c r="D4036">
        <v>6.1545620000000003</v>
      </c>
      <c r="E4036">
        <v>0.46338780000000002</v>
      </c>
      <c r="F4036" t="s">
        <v>66</v>
      </c>
      <c r="G4036">
        <v>-218.66839999999999</v>
      </c>
      <c r="H4036" s="1">
        <v>2.8936149999999999E-6</v>
      </c>
      <c r="I4036">
        <v>218.79169999999999</v>
      </c>
      <c r="J4036">
        <v>-252.65870000000001</v>
      </c>
      <c r="K4036">
        <v>1.1093090000000001</v>
      </c>
      <c r="L4036">
        <v>214.31270000000001</v>
      </c>
      <c r="M4036">
        <v>0.99994530000000004</v>
      </c>
      <c r="N4036">
        <v>0</v>
      </c>
      <c r="O4036">
        <v>-1.240419E-3</v>
      </c>
      <c r="P4036">
        <v>0.99941610000000003</v>
      </c>
      <c r="Q4036">
        <v>4.0819410000000004E-3</v>
      </c>
      <c r="R4036">
        <v>3.3927690000000003E-2</v>
      </c>
      <c r="S4036">
        <v>2.9888759999999999</v>
      </c>
      <c r="T4036">
        <v>-9.6634629999999999E-2</v>
      </c>
      <c r="U4036">
        <v>0.390152</v>
      </c>
      <c r="V4036">
        <v>-3.5169939999999997E-2</v>
      </c>
      <c r="W4036">
        <v>1.445655E-2</v>
      </c>
      <c r="X4036">
        <v>0.99927679999999997</v>
      </c>
      <c r="Y4036">
        <v>-0.13059879999999999</v>
      </c>
      <c r="Z4036">
        <v>2.1416899999999999E-3</v>
      </c>
      <c r="AA4036">
        <v>0.99143300000000001</v>
      </c>
      <c r="AB4036">
        <v>34</v>
      </c>
      <c r="AC4036">
        <v>33.990299999999998</v>
      </c>
      <c r="AD4036">
        <v>-1.109306106385</v>
      </c>
      <c r="AE4036">
        <v>4.4789999999999797</v>
      </c>
      <c r="AF4036">
        <v>-4.5164326663742598</v>
      </c>
      <c r="AG4036">
        <v>-1.109306106385</v>
      </c>
      <c r="AH4036">
        <v>33.949175402598698</v>
      </c>
      <c r="AI4036">
        <v>91.855168943818995</v>
      </c>
      <c r="AJ4036">
        <v>97.577854870549402</v>
      </c>
      <c r="AK4036">
        <v>34.2662404500986</v>
      </c>
      <c r="AL4036">
        <v>89.171671861042995</v>
      </c>
      <c r="AM4036">
        <v>92.015715470153694</v>
      </c>
      <c r="AN4036">
        <v>1.00000001976787</v>
      </c>
    </row>
    <row r="4037" spans="1:40" x14ac:dyDescent="0.25">
      <c r="A4037" t="str">
        <f>"20190312160723674"</f>
        <v>20190312160723674</v>
      </c>
      <c r="B4037" t="str">
        <f>"1552378043669404"</f>
        <v>1552378043669404</v>
      </c>
      <c r="C4037" t="s">
        <v>40</v>
      </c>
      <c r="D4037">
        <v>6.2248419999999998</v>
      </c>
      <c r="E4037">
        <v>0.4633388</v>
      </c>
      <c r="F4037" t="s">
        <v>66</v>
      </c>
      <c r="G4037">
        <v>-219.05420000000001</v>
      </c>
      <c r="H4037" s="1">
        <v>3.1029660000000001E-6</v>
      </c>
      <c r="I4037">
        <v>218.69909999999999</v>
      </c>
      <c r="J4037">
        <v>-252.31</v>
      </c>
      <c r="K4037">
        <v>1.10931</v>
      </c>
      <c r="L4037">
        <v>214.31229999999999</v>
      </c>
      <c r="M4037">
        <v>0.99994539999999998</v>
      </c>
      <c r="N4037">
        <v>0</v>
      </c>
      <c r="O4037">
        <v>-1.146977E-3</v>
      </c>
      <c r="P4037">
        <v>0.99939829999999996</v>
      </c>
      <c r="Q4037">
        <v>4.8910300000000002E-3</v>
      </c>
      <c r="R4037">
        <v>3.4338540000000001E-2</v>
      </c>
      <c r="S4037">
        <v>2.9889220000000001</v>
      </c>
      <c r="T4037">
        <v>-9.8666309999999993E-2</v>
      </c>
      <c r="U4037">
        <v>0.390152</v>
      </c>
      <c r="V4037">
        <v>-3.5487339999999999E-2</v>
      </c>
      <c r="W4037">
        <v>1.526947E-2</v>
      </c>
      <c r="X4037">
        <v>0.99925350000000002</v>
      </c>
      <c r="Y4037">
        <v>-0.13050139999999999</v>
      </c>
      <c r="Z4037">
        <v>2.18199E-3</v>
      </c>
      <c r="AA4037">
        <v>0.99144569999999999</v>
      </c>
      <c r="AB4037">
        <v>34</v>
      </c>
      <c r="AC4037">
        <v>33.255799999999901</v>
      </c>
      <c r="AD4037">
        <v>-1.1093068970340001</v>
      </c>
      <c r="AE4037">
        <v>4.3867999999999903</v>
      </c>
      <c r="AF4037">
        <v>-4.42010877606522</v>
      </c>
      <c r="AG4037">
        <v>-1.1093068970340001</v>
      </c>
      <c r="AH4037">
        <v>33.214421479548903</v>
      </c>
      <c r="AI4037">
        <v>91.896169218163394</v>
      </c>
      <c r="AJ4037">
        <v>97.580268893734498</v>
      </c>
      <c r="AK4037">
        <v>33.525597945527799</v>
      </c>
      <c r="AL4037">
        <v>89.125089841379193</v>
      </c>
      <c r="AM4037">
        <v>92.033938978366095</v>
      </c>
      <c r="AN4037">
        <v>1.0000000326383001</v>
      </c>
    </row>
    <row r="4038" spans="1:40" x14ac:dyDescent="0.25">
      <c r="A4038" t="str">
        <f>"20190312160723697"</f>
        <v>20190312160723697</v>
      </c>
      <c r="B4038" t="str">
        <f>"1552378043688922"</f>
        <v>1552378043688922</v>
      </c>
      <c r="C4038" t="s">
        <v>40</v>
      </c>
      <c r="D4038">
        <v>6.2301419999999998</v>
      </c>
      <c r="E4038">
        <v>0.4636072</v>
      </c>
      <c r="F4038" t="s">
        <v>66</v>
      </c>
      <c r="G4038">
        <v>-219.97280000000001</v>
      </c>
      <c r="H4038" s="1">
        <v>-1.723134E-6</v>
      </c>
      <c r="I4038">
        <v>218.548</v>
      </c>
      <c r="J4038">
        <v>-251.94970000000001</v>
      </c>
      <c r="K4038">
        <v>1.1093120000000001</v>
      </c>
      <c r="L4038">
        <v>214.31200000000001</v>
      </c>
      <c r="M4038">
        <v>0.99994550000000004</v>
      </c>
      <c r="N4038">
        <v>0</v>
      </c>
      <c r="O4038">
        <v>-1.050439E-3</v>
      </c>
      <c r="P4038">
        <v>0.9993765</v>
      </c>
      <c r="Q4038">
        <v>5.0769589999999998E-3</v>
      </c>
      <c r="R4038">
        <v>3.4945700000000003E-2</v>
      </c>
      <c r="S4038">
        <v>2.9888309999999998</v>
      </c>
      <c r="T4038">
        <v>-0.1025305</v>
      </c>
      <c r="U4038">
        <v>0.39149479999999998</v>
      </c>
      <c r="V4038">
        <v>-3.5998479999999999E-2</v>
      </c>
      <c r="W4038">
        <v>1.5459219999999999E-2</v>
      </c>
      <c r="X4038">
        <v>0.99923229999999996</v>
      </c>
      <c r="Y4038">
        <v>-0.13084170000000001</v>
      </c>
      <c r="Z4038">
        <v>2.269914E-3</v>
      </c>
      <c r="AA4038">
        <v>0.99140070000000002</v>
      </c>
      <c r="AB4038">
        <v>34</v>
      </c>
      <c r="AC4038">
        <v>31.976900000000001</v>
      </c>
      <c r="AD4038">
        <v>-1.109313723134</v>
      </c>
      <c r="AE4038">
        <v>4.23599999999999</v>
      </c>
      <c r="AF4038">
        <v>-4.2645455060213902</v>
      </c>
      <c r="AG4038">
        <v>-1.109313723134</v>
      </c>
      <c r="AH4038">
        <v>31.934662778288999</v>
      </c>
      <c r="AI4038">
        <v>91.971990952813101</v>
      </c>
      <c r="AJ4038">
        <v>97.606260847760296</v>
      </c>
      <c r="AK4038">
        <v>32.237239523139998</v>
      </c>
      <c r="AL4038">
        <v>89.114216685048106</v>
      </c>
      <c r="AM4038">
        <v>92.063253306039101</v>
      </c>
      <c r="AN4038">
        <v>1.0000000337043</v>
      </c>
    </row>
    <row r="4039" spans="1:40" x14ac:dyDescent="0.25">
      <c r="A4039" t="str">
        <f>"20190312160723718"</f>
        <v>20190312160723718</v>
      </c>
      <c r="B4039" t="str">
        <f>"1552378043709430"</f>
        <v>1552378043709430</v>
      </c>
      <c r="C4039" t="s">
        <v>40</v>
      </c>
      <c r="D4039">
        <v>6.2140680000000001</v>
      </c>
      <c r="E4039">
        <v>0.50327349999999904</v>
      </c>
      <c r="F4039" t="s">
        <v>66</v>
      </c>
      <c r="G4039">
        <v>-219.08420000000001</v>
      </c>
      <c r="H4039" s="1">
        <v>3.1225550000000002E-6</v>
      </c>
      <c r="I4039">
        <v>218.61539999999999</v>
      </c>
      <c r="J4039">
        <v>-251.62119999999999</v>
      </c>
      <c r="K4039">
        <v>1.1093139999999999</v>
      </c>
      <c r="L4039">
        <v>214.3117</v>
      </c>
      <c r="M4039">
        <v>0.99994550000000004</v>
      </c>
      <c r="N4039">
        <v>0</v>
      </c>
      <c r="O4039">
        <v>-9.6248320000000005E-4</v>
      </c>
      <c r="P4039">
        <v>0.99938850000000001</v>
      </c>
      <c r="Q4039">
        <v>4.9001770000000004E-3</v>
      </c>
      <c r="R4039">
        <v>3.4620199999999997E-2</v>
      </c>
      <c r="S4039">
        <v>2.988693</v>
      </c>
      <c r="T4039">
        <v>-0.1008773</v>
      </c>
      <c r="U4039">
        <v>0.39134219999999997</v>
      </c>
      <c r="V4039">
        <v>-3.5584520000000001E-2</v>
      </c>
      <c r="W4039">
        <v>1.5286630000000001E-2</v>
      </c>
      <c r="X4039">
        <v>0.99924979999999997</v>
      </c>
      <c r="Y4039">
        <v>-0.1307132</v>
      </c>
      <c r="Z4039">
        <v>2.2283289999999998E-3</v>
      </c>
      <c r="AA4039">
        <v>0.99141769999999996</v>
      </c>
      <c r="AB4039">
        <v>34</v>
      </c>
      <c r="AC4039">
        <v>32.5369999999999</v>
      </c>
      <c r="AD4039">
        <v>-1.109310877445</v>
      </c>
      <c r="AE4039">
        <v>4.3036999999999903</v>
      </c>
      <c r="AF4039">
        <v>-4.3300693343410401</v>
      </c>
      <c r="AG4039">
        <v>-1.109310877445</v>
      </c>
      <c r="AH4039">
        <v>32.495719287448701</v>
      </c>
      <c r="AI4039">
        <v>91.938038078617097</v>
      </c>
      <c r="AJ4039">
        <v>97.589977603689405</v>
      </c>
      <c r="AK4039">
        <v>32.801704880564998</v>
      </c>
      <c r="AL4039">
        <v>89.124106547115801</v>
      </c>
      <c r="AM4039">
        <v>92.039511649130603</v>
      </c>
      <c r="AN4039">
        <v>1.0000000509602101</v>
      </c>
    </row>
    <row r="4040" spans="1:40" x14ac:dyDescent="0.25">
      <c r="A4040" t="str">
        <f>"20190312160723740"</f>
        <v>20190312160723740</v>
      </c>
      <c r="B4040" t="str">
        <f>"1552378043728938"</f>
        <v>1552378043728938</v>
      </c>
      <c r="C4040" t="s">
        <v>40</v>
      </c>
      <c r="D4040">
        <v>6.3296640000000002</v>
      </c>
      <c r="E4040">
        <v>0.51575109999999902</v>
      </c>
      <c r="F4040" t="s">
        <v>85</v>
      </c>
      <c r="G4040">
        <v>-107.39749999999999</v>
      </c>
      <c r="H4040">
        <v>2.1876129999999998</v>
      </c>
      <c r="I4040">
        <v>218.05779999999999</v>
      </c>
      <c r="J4040">
        <v>-251.2843</v>
      </c>
      <c r="K4040">
        <v>1.109308</v>
      </c>
      <c r="L4040">
        <v>214.3115</v>
      </c>
      <c r="M4040">
        <v>0.99994559999999999</v>
      </c>
      <c r="N4040">
        <v>0</v>
      </c>
      <c r="O4040">
        <v>-8.7237990000000004E-4</v>
      </c>
      <c r="P4040">
        <v>0.99939169999999999</v>
      </c>
      <c r="Q4040">
        <v>5.1870620000000001E-3</v>
      </c>
      <c r="R4040">
        <v>3.4488190000000002E-2</v>
      </c>
      <c r="S4040">
        <v>2.9990230000000002</v>
      </c>
      <c r="T4040">
        <v>2.2423510000000001E-2</v>
      </c>
      <c r="U4040">
        <v>7.7896119999999999E-2</v>
      </c>
      <c r="V4040">
        <v>-3.53628E-2</v>
      </c>
      <c r="W4040">
        <v>1.5576990000000001E-2</v>
      </c>
      <c r="X4040">
        <v>0.99925319999999995</v>
      </c>
      <c r="Y4040">
        <v>-2.683642E-2</v>
      </c>
      <c r="Z4040">
        <v>-1.068307E-4</v>
      </c>
      <c r="AA4040">
        <v>0.99963979999999997</v>
      </c>
      <c r="AB4040">
        <v>34</v>
      </c>
      <c r="AC4040">
        <v>143.88679999999999</v>
      </c>
      <c r="AD4040">
        <v>1.0783050000000001</v>
      </c>
      <c r="AE4040">
        <v>3.74629999999999</v>
      </c>
      <c r="AF4040">
        <v>-3.8716120180324598</v>
      </c>
      <c r="AG4040">
        <v>1.0783050000000001</v>
      </c>
      <c r="AH4040">
        <v>143.87540203496701</v>
      </c>
      <c r="AI4040">
        <v>89.570747936104894</v>
      </c>
      <c r="AJ4040">
        <v>91.541427551397803</v>
      </c>
      <c r="AK4040">
        <v>143.93152341309599</v>
      </c>
      <c r="AL4040">
        <v>89.107468175727107</v>
      </c>
      <c r="AM4040">
        <v>92.026807602824206</v>
      </c>
      <c r="AN4040">
        <v>1.00000006397576</v>
      </c>
    </row>
    <row r="4041" spans="1:40" x14ac:dyDescent="0.25">
      <c r="A4041" t="str">
        <f>"20190312160723764"</f>
        <v>20190312160723764</v>
      </c>
      <c r="B4041" t="str">
        <f>"1552378043759195"</f>
        <v>1552378043759195</v>
      </c>
      <c r="C4041" t="s">
        <v>40</v>
      </c>
      <c r="D4041">
        <v>6.3210959999999998</v>
      </c>
      <c r="E4041">
        <v>0.52140889999999995</v>
      </c>
      <c r="F4041" t="s">
        <v>85</v>
      </c>
      <c r="G4041">
        <v>-107.39749999999999</v>
      </c>
      <c r="H4041">
        <v>4.8751989999999896</v>
      </c>
      <c r="I4041">
        <v>213.35339999999999</v>
      </c>
      <c r="J4041">
        <v>-250.91720000000001</v>
      </c>
      <c r="K4041">
        <v>1.109308</v>
      </c>
      <c r="L4041">
        <v>214.31129999999999</v>
      </c>
      <c r="M4041">
        <v>0.99994559999999999</v>
      </c>
      <c r="N4041">
        <v>0</v>
      </c>
      <c r="O4041">
        <v>-7.7381699999999999E-4</v>
      </c>
      <c r="P4041">
        <v>0.99939270000000002</v>
      </c>
      <c r="Q4041">
        <v>5.4773349999999998E-3</v>
      </c>
      <c r="R4041">
        <v>3.4418360000000002E-2</v>
      </c>
      <c r="S4041">
        <v>3.0021059999999999</v>
      </c>
      <c r="T4041">
        <v>7.8573939999999995E-2</v>
      </c>
      <c r="U4041">
        <v>-1.9989010000000001E-2</v>
      </c>
      <c r="V4041">
        <v>-3.5194919999999998E-2</v>
      </c>
      <c r="W4041">
        <v>1.5871159999999999E-2</v>
      </c>
      <c r="X4041">
        <v>0.99925439999999999</v>
      </c>
      <c r="Y4041">
        <v>5.8825910000000004E-3</v>
      </c>
      <c r="Z4041" s="1">
        <v>5.671788E-5</v>
      </c>
      <c r="AA4041">
        <v>0.9999827</v>
      </c>
      <c r="AB4041">
        <v>34</v>
      </c>
      <c r="AC4041">
        <v>143.5197</v>
      </c>
      <c r="AD4041">
        <v>3.7658909999999999</v>
      </c>
      <c r="AE4041">
        <v>-0.95789999999999498</v>
      </c>
      <c r="AF4041">
        <v>0.84625309013858396</v>
      </c>
      <c r="AG4041">
        <v>3.7658909999999999</v>
      </c>
      <c r="AH4041">
        <v>143.421654959595</v>
      </c>
      <c r="AI4041">
        <v>88.495929085679407</v>
      </c>
      <c r="AJ4041">
        <v>89.661932726995104</v>
      </c>
      <c r="AK4041">
        <v>143.473583598744</v>
      </c>
      <c r="AL4041">
        <v>89.090611304175596</v>
      </c>
      <c r="AM4041">
        <v>92.017191161727297</v>
      </c>
      <c r="AN4041">
        <v>0.99999996601645502</v>
      </c>
    </row>
    <row r="4042" spans="1:40" x14ac:dyDescent="0.25">
      <c r="A4042" t="str">
        <f>"20190312160723808"</f>
        <v>20190312160723808</v>
      </c>
      <c r="B4042" t="str">
        <f>"1552378043799213"</f>
        <v>1552378043799213</v>
      </c>
      <c r="C4042" t="s">
        <v>40</v>
      </c>
      <c r="D4042">
        <v>6.5210929999999996</v>
      </c>
      <c r="E4042">
        <v>0.52296399999999998</v>
      </c>
      <c r="F4042" t="s">
        <v>85</v>
      </c>
      <c r="G4042">
        <v>-107.39749999999999</v>
      </c>
      <c r="H4042">
        <v>5.9883920000000002</v>
      </c>
      <c r="I4042">
        <v>211.21979999999999</v>
      </c>
      <c r="J4042">
        <v>-250.2225</v>
      </c>
      <c r="K4042">
        <v>1.10931</v>
      </c>
      <c r="L4042">
        <v>214.31100000000001</v>
      </c>
      <c r="M4042">
        <v>0.99994559999999999</v>
      </c>
      <c r="N4042">
        <v>0</v>
      </c>
      <c r="O4042">
        <v>-5.8782059999999995E-4</v>
      </c>
      <c r="P4042">
        <v>0.99939849999999997</v>
      </c>
      <c r="Q4042">
        <v>5.3559310000000004E-3</v>
      </c>
      <c r="R4042">
        <v>3.4264879999999998E-2</v>
      </c>
      <c r="S4042">
        <v>3.0034939999999999</v>
      </c>
      <c r="T4042">
        <v>0.10210760000000001</v>
      </c>
      <c r="U4042">
        <v>-6.4697270000000001E-2</v>
      </c>
      <c r="V4042">
        <v>-3.4855240000000003E-2</v>
      </c>
      <c r="W4042">
        <v>1.5767219999999998E-2</v>
      </c>
      <c r="X4042">
        <v>0.99926800000000005</v>
      </c>
      <c r="Y4042">
        <v>2.0936199999999999E-2</v>
      </c>
      <c r="Z4042">
        <v>3.3575579999999997E-4</v>
      </c>
      <c r="AA4042">
        <v>0.99978080000000003</v>
      </c>
      <c r="AB4042">
        <v>35</v>
      </c>
      <c r="AC4042">
        <v>142.82499999999999</v>
      </c>
      <c r="AD4042">
        <v>4.8790820000000004</v>
      </c>
      <c r="AE4042">
        <v>-3.0911999999999802</v>
      </c>
      <c r="AF4042">
        <v>3.0037357423180402</v>
      </c>
      <c r="AG4042">
        <v>4.8790820000000004</v>
      </c>
      <c r="AH4042">
        <v>142.660386952967</v>
      </c>
      <c r="AI4042">
        <v>88.041642665361294</v>
      </c>
      <c r="AJ4042">
        <v>88.793807031579703</v>
      </c>
      <c r="AK4042">
        <v>142.77539660299601</v>
      </c>
      <c r="AL4042">
        <v>89.096567416710997</v>
      </c>
      <c r="AM4042">
        <v>91.997711142082906</v>
      </c>
      <c r="AN4042">
        <v>1.0000000144029899</v>
      </c>
    </row>
    <row r="4043" spans="1:40" x14ac:dyDescent="0.25">
      <c r="A4043" t="str">
        <f>"20190312160723829"</f>
        <v>20190312160723829</v>
      </c>
      <c r="B4043" t="str">
        <f>"1552378043819706"</f>
        <v>1552378043819706</v>
      </c>
      <c r="C4043" t="s">
        <v>40</v>
      </c>
      <c r="D4043">
        <v>6.3564559999999997</v>
      </c>
      <c r="E4043">
        <v>0.52414450000000001</v>
      </c>
      <c r="F4043" t="s">
        <v>85</v>
      </c>
      <c r="G4043">
        <v>-107.39749999999999</v>
      </c>
      <c r="H4043">
        <v>6.144571</v>
      </c>
      <c r="I4043">
        <v>210.62110000000001</v>
      </c>
      <c r="J4043">
        <v>-249.90209999999999</v>
      </c>
      <c r="K4043">
        <v>1.1093040000000001</v>
      </c>
      <c r="L4043">
        <v>214.3109</v>
      </c>
      <c r="M4043">
        <v>0.99994550000000004</v>
      </c>
      <c r="N4043">
        <v>0</v>
      </c>
      <c r="O4043">
        <v>-5.0228869999999995E-4</v>
      </c>
      <c r="P4043">
        <v>0.99938850000000001</v>
      </c>
      <c r="Q4043">
        <v>4.849842E-3</v>
      </c>
      <c r="R4043">
        <v>3.4633259999999999E-2</v>
      </c>
      <c r="S4043">
        <v>3.0039060000000002</v>
      </c>
      <c r="T4043">
        <v>0.105903</v>
      </c>
      <c r="U4043">
        <v>-7.76062E-2</v>
      </c>
      <c r="V4043">
        <v>-3.513807E-2</v>
      </c>
      <c r="W4043">
        <v>1.527328E-2</v>
      </c>
      <c r="X4043">
        <v>0.99926570000000003</v>
      </c>
      <c r="Y4043">
        <v>2.5308919999999999E-2</v>
      </c>
      <c r="Z4043">
        <v>4.2822079999999999E-4</v>
      </c>
      <c r="AA4043">
        <v>0.9996796</v>
      </c>
      <c r="AB4043">
        <v>35</v>
      </c>
      <c r="AC4043">
        <v>142.50459999999899</v>
      </c>
      <c r="AD4043">
        <v>5.0352670000000002</v>
      </c>
      <c r="AE4043">
        <v>-3.6897999999999902</v>
      </c>
      <c r="AF4043">
        <v>3.6137085131981199</v>
      </c>
      <c r="AG4043">
        <v>5.0352670000000002</v>
      </c>
      <c r="AH4043">
        <v>142.32885747455401</v>
      </c>
      <c r="AI4043">
        <v>87.974504578528993</v>
      </c>
      <c r="AJ4043">
        <v>88.545581157609206</v>
      </c>
      <c r="AK4043">
        <v>142.46373739654399</v>
      </c>
      <c r="AL4043">
        <v>89.124871445037499</v>
      </c>
      <c r="AM4043">
        <v>92.013912743025202</v>
      </c>
      <c r="AN4043">
        <v>0.999999948120885</v>
      </c>
    </row>
    <row r="4044" spans="1:40" x14ac:dyDescent="0.25">
      <c r="A4044" t="str">
        <f>"20190312160723852"</f>
        <v>20190312160723852</v>
      </c>
      <c r="B4044" t="str">
        <f>"1552378043839227"</f>
        <v>1552378043839227</v>
      </c>
      <c r="C4044" t="s">
        <v>40</v>
      </c>
      <c r="D4044">
        <v>6.3620469999999996</v>
      </c>
      <c r="E4044">
        <v>0.52494919999999901</v>
      </c>
      <c r="F4044" t="s">
        <v>85</v>
      </c>
      <c r="G4044">
        <v>-107.39749999999999</v>
      </c>
      <c r="H4044">
        <v>6.2607929999999996</v>
      </c>
      <c r="I4044">
        <v>210.24680000000001</v>
      </c>
      <c r="J4044">
        <v>-249.5478</v>
      </c>
      <c r="K4044">
        <v>1.1093059999999999</v>
      </c>
      <c r="L4044">
        <v>214.3108</v>
      </c>
      <c r="M4044">
        <v>0.99994539999999998</v>
      </c>
      <c r="N4044">
        <v>0</v>
      </c>
      <c r="O4044">
        <v>-4.0734659999999999E-4</v>
      </c>
      <c r="P4044">
        <v>0.99937860000000001</v>
      </c>
      <c r="Q4044">
        <v>4.5770460000000004E-3</v>
      </c>
      <c r="R4044">
        <v>3.4949620000000001E-2</v>
      </c>
      <c r="S4044">
        <v>3.0042879999999998</v>
      </c>
      <c r="T4044">
        <v>0.1086049</v>
      </c>
      <c r="U4044">
        <v>-8.5678099999999993E-2</v>
      </c>
      <c r="V4044">
        <v>-3.5359290000000002E-2</v>
      </c>
      <c r="W4044">
        <v>1.5013429999999999E-2</v>
      </c>
      <c r="X4044">
        <v>0.99926190000000004</v>
      </c>
      <c r="Y4044">
        <v>2.8081749999999999E-2</v>
      </c>
      <c r="Z4044">
        <v>4.9259E-4</v>
      </c>
      <c r="AA4044">
        <v>0.99960550000000004</v>
      </c>
      <c r="AB4044">
        <v>35</v>
      </c>
      <c r="AC4044">
        <v>142.15029999999999</v>
      </c>
      <c r="AD4044">
        <v>5.1514870000000004</v>
      </c>
      <c r="AE4044">
        <v>-4.0639999999999903</v>
      </c>
      <c r="AF4044">
        <v>4.0008419807718001</v>
      </c>
      <c r="AG4044">
        <v>5.1514870000000004</v>
      </c>
      <c r="AH4044">
        <v>141.965650080415</v>
      </c>
      <c r="AI4044">
        <v>87.9226521948883</v>
      </c>
      <c r="AJ4044">
        <v>88.385731318117493</v>
      </c>
      <c r="AK4044">
        <v>142.115412104462</v>
      </c>
      <c r="AL4044">
        <v>89.139761517912802</v>
      </c>
      <c r="AM4044">
        <v>92.026588966265805</v>
      </c>
      <c r="AN4044">
        <v>1.00000001363063</v>
      </c>
    </row>
    <row r="4045" spans="1:40" x14ac:dyDescent="0.25">
      <c r="A4045" t="str">
        <f>"20190312160723875"</f>
        <v>20190312160723875</v>
      </c>
      <c r="B4045" t="str">
        <f>"1552378043869486"</f>
        <v>1552378043869486</v>
      </c>
      <c r="C4045" t="s">
        <v>40</v>
      </c>
      <c r="D4045">
        <v>6.2529729999999999</v>
      </c>
      <c r="E4045">
        <v>0.54243129999999995</v>
      </c>
      <c r="F4045" t="s">
        <v>85</v>
      </c>
      <c r="G4045">
        <v>-107.39749999999999</v>
      </c>
      <c r="H4045">
        <v>6.2637460000000003</v>
      </c>
      <c r="I4045">
        <v>210.00380000000001</v>
      </c>
      <c r="J4045">
        <v>-249.2047</v>
      </c>
      <c r="K4045">
        <v>1.10931</v>
      </c>
      <c r="L4045">
        <v>214.3107</v>
      </c>
      <c r="M4045">
        <v>0.99994519999999998</v>
      </c>
      <c r="N4045">
        <v>0</v>
      </c>
      <c r="O4045">
        <v>-3.154996E-4</v>
      </c>
      <c r="P4045">
        <v>0.99939129999999998</v>
      </c>
      <c r="Q4045">
        <v>4.3287610000000004E-3</v>
      </c>
      <c r="R4045">
        <v>3.4617000000000002E-2</v>
      </c>
      <c r="S4045">
        <v>3.0045169999999999</v>
      </c>
      <c r="T4045">
        <v>0.1089463</v>
      </c>
      <c r="U4045">
        <v>-9.1033939999999994E-2</v>
      </c>
      <c r="V4045">
        <v>-3.4935349999999997E-2</v>
      </c>
      <c r="W4045">
        <v>1.4777429999999999E-2</v>
      </c>
      <c r="X4045">
        <v>0.99928030000000001</v>
      </c>
      <c r="Y4045">
        <v>2.9950299999999999E-2</v>
      </c>
      <c r="Z4045">
        <v>5.3127449999999896E-4</v>
      </c>
      <c r="AA4045">
        <v>0.99955119999999997</v>
      </c>
      <c r="AB4045">
        <v>35</v>
      </c>
      <c r="AC4045">
        <v>141.80719999999999</v>
      </c>
      <c r="AD4045">
        <v>5.1544359999999996</v>
      </c>
      <c r="AE4045">
        <v>-4.3068999999999802</v>
      </c>
      <c r="AF4045">
        <v>4.2565387014232998</v>
      </c>
      <c r="AG4045">
        <v>5.1544359999999996</v>
      </c>
      <c r="AH4045">
        <v>141.62161501672901</v>
      </c>
      <c r="AI4045">
        <v>87.916532693199002</v>
      </c>
      <c r="AJ4045">
        <v>88.278452719519294</v>
      </c>
      <c r="AK4045">
        <v>141.779293876579</v>
      </c>
      <c r="AL4045">
        <v>89.153284797410805</v>
      </c>
      <c r="AM4045">
        <v>92.002274248754802</v>
      </c>
      <c r="AN4045">
        <v>0.99999998454255801</v>
      </c>
    </row>
    <row r="4046" spans="1:40" x14ac:dyDescent="0.25">
      <c r="A4046" t="str">
        <f>"20190312160723919"</f>
        <v>20190312160723919</v>
      </c>
      <c r="B4046" t="str">
        <f>"1552378043909499"</f>
        <v>1552378043909499</v>
      </c>
      <c r="C4046" t="s">
        <v>40</v>
      </c>
      <c r="D4046">
        <v>6.3581539999999999</v>
      </c>
      <c r="E4046">
        <v>0.539740199999999</v>
      </c>
      <c r="F4046" t="s">
        <v>51</v>
      </c>
      <c r="G4046">
        <v>-168.41030000000001</v>
      </c>
      <c r="H4046">
        <v>0.88436700000000001</v>
      </c>
      <c r="I4046">
        <v>207.9967</v>
      </c>
      <c r="J4046">
        <v>-248.51769999999999</v>
      </c>
      <c r="K4046">
        <v>1.1093139999999999</v>
      </c>
      <c r="L4046">
        <v>214.3107</v>
      </c>
      <c r="M4046">
        <v>0.99994499999999997</v>
      </c>
      <c r="N4046">
        <v>0</v>
      </c>
      <c r="O4046">
        <v>-1.3203459999999999E-4</v>
      </c>
      <c r="P4046">
        <v>0.99940289999999998</v>
      </c>
      <c r="Q4046">
        <v>4.3912589999999998E-3</v>
      </c>
      <c r="R4046">
        <v>3.4268939999999998E-2</v>
      </c>
      <c r="S4046">
        <v>3.009995</v>
      </c>
      <c r="T4046">
        <v>-8.3789829999999996E-3</v>
      </c>
      <c r="U4046">
        <v>-0.23522950000000001</v>
      </c>
      <c r="V4046">
        <v>-3.440352E-2</v>
      </c>
      <c r="W4046">
        <v>1.486324E-2</v>
      </c>
      <c r="X4046">
        <v>0.99929749999999995</v>
      </c>
      <c r="Y4046">
        <v>7.7779989999999993E-2</v>
      </c>
      <c r="Z4046">
        <v>-1.077269E-4</v>
      </c>
      <c r="AA4046">
        <v>0.99697049999999998</v>
      </c>
      <c r="AB4046">
        <v>35</v>
      </c>
      <c r="AC4046">
        <v>80.107399999999899</v>
      </c>
      <c r="AD4046">
        <v>-0.22494699999999901</v>
      </c>
      <c r="AE4046">
        <v>-6.3139999999999903</v>
      </c>
      <c r="AF4046">
        <v>6.30337301801063</v>
      </c>
      <c r="AG4046">
        <v>-0.22494699999999901</v>
      </c>
      <c r="AH4046">
        <v>80.107605245942693</v>
      </c>
      <c r="AI4046">
        <v>90.160393817567396</v>
      </c>
      <c r="AJ4046">
        <v>85.500875920278801</v>
      </c>
      <c r="AK4046">
        <v>80.355532048495505</v>
      </c>
      <c r="AL4046">
        <v>89.148367724566896</v>
      </c>
      <c r="AM4046">
        <v>91.971783437547401</v>
      </c>
      <c r="AN4046">
        <v>1.00000000579896</v>
      </c>
    </row>
    <row r="4047" spans="1:40" x14ac:dyDescent="0.25">
      <c r="A4047" t="str">
        <f>"20190312160723941"</f>
        <v>20190312160723941</v>
      </c>
      <c r="B4047" t="str">
        <f>"1552378043929018"</f>
        <v>1552378043929018</v>
      </c>
      <c r="C4047" t="s">
        <v>40</v>
      </c>
      <c r="D4047">
        <v>6.3606920000000002</v>
      </c>
      <c r="E4047">
        <v>0.53794909999999996</v>
      </c>
      <c r="F4047" t="s">
        <v>51</v>
      </c>
      <c r="G4047">
        <v>-169.393</v>
      </c>
      <c r="H4047">
        <v>1.8419760000000001</v>
      </c>
      <c r="I4047">
        <v>208.69290000000001</v>
      </c>
      <c r="J4047">
        <v>-248.17160000000001</v>
      </c>
      <c r="K4047">
        <v>1.109316</v>
      </c>
      <c r="L4047">
        <v>214.3108</v>
      </c>
      <c r="M4047">
        <v>0.99994490000000003</v>
      </c>
      <c r="N4047">
        <v>0</v>
      </c>
      <c r="O4047" s="1">
        <v>-3.9347220000000003E-5</v>
      </c>
      <c r="P4047">
        <v>0.99939679999999997</v>
      </c>
      <c r="Q4047">
        <v>4.6965829999999998E-3</v>
      </c>
      <c r="R4047">
        <v>3.4412860000000003E-2</v>
      </c>
      <c r="S4047">
        <v>3.0090180000000002</v>
      </c>
      <c r="T4047">
        <v>2.7863619999999999E-2</v>
      </c>
      <c r="U4047">
        <v>-0.2136383</v>
      </c>
      <c r="V4047">
        <v>-3.4455300000000001E-2</v>
      </c>
      <c r="W4047">
        <v>1.517888E-2</v>
      </c>
      <c r="X4047">
        <v>0.99929089999999998</v>
      </c>
      <c r="Y4047">
        <v>7.0778800000000003E-2</v>
      </c>
      <c r="Z4047">
        <v>3.269244E-4</v>
      </c>
      <c r="AA4047">
        <v>0.99749200000000005</v>
      </c>
      <c r="AB4047">
        <v>35</v>
      </c>
      <c r="AC4047">
        <v>78.778599999999997</v>
      </c>
      <c r="AD4047">
        <v>0.73265999999999898</v>
      </c>
      <c r="AE4047">
        <v>-5.6178999999999899</v>
      </c>
      <c r="AF4047">
        <v>5.6143169555068599</v>
      </c>
      <c r="AG4047">
        <v>0.73265999999999898</v>
      </c>
      <c r="AH4047">
        <v>78.772042126058594</v>
      </c>
      <c r="AI4047">
        <v>89.468454715343299</v>
      </c>
      <c r="AJ4047">
        <v>85.923253686091599</v>
      </c>
      <c r="AK4047">
        <v>78.975261735951506</v>
      </c>
      <c r="AL4047">
        <v>89.130280782094204</v>
      </c>
      <c r="AM4047">
        <v>91.974761810886307</v>
      </c>
      <c r="AN4047">
        <v>0.99999993445947499</v>
      </c>
    </row>
    <row r="4048" spans="1:40" x14ac:dyDescent="0.25">
      <c r="A4048" t="str">
        <f>"20190312160723964"</f>
        <v>20190312160723964</v>
      </c>
      <c r="B4048" t="str">
        <f>"1552378043959275"</f>
        <v>1552378043959275</v>
      </c>
      <c r="C4048" t="s">
        <v>40</v>
      </c>
      <c r="D4048">
        <v>6.3787890000000003</v>
      </c>
      <c r="E4048">
        <v>0.53708259999999997</v>
      </c>
      <c r="F4048" t="s">
        <v>51</v>
      </c>
      <c r="G4048">
        <v>-169.393</v>
      </c>
      <c r="H4048">
        <v>2.3457620000000001</v>
      </c>
      <c r="I4048">
        <v>209.11920000000001</v>
      </c>
      <c r="J4048">
        <v>-247.8115</v>
      </c>
      <c r="K4048">
        <v>1.1093170000000001</v>
      </c>
      <c r="L4048">
        <v>214.3108</v>
      </c>
      <c r="M4048">
        <v>0.99994479999999997</v>
      </c>
      <c r="N4048">
        <v>0</v>
      </c>
      <c r="O4048" s="1">
        <v>5.6860539999999998E-5</v>
      </c>
      <c r="P4048">
        <v>0.99938970000000005</v>
      </c>
      <c r="Q4048">
        <v>4.6869260000000001E-3</v>
      </c>
      <c r="R4048">
        <v>3.4614599999999898E-2</v>
      </c>
      <c r="S4048">
        <v>3.0084379999999999</v>
      </c>
      <c r="T4048">
        <v>4.7219400000000002E-2</v>
      </c>
      <c r="U4048">
        <v>-0.1982574</v>
      </c>
      <c r="V4048">
        <v>-3.4560609999999999E-2</v>
      </c>
      <c r="W4048">
        <v>1.5179349999999999E-2</v>
      </c>
      <c r="X4048">
        <v>0.99928729999999999</v>
      </c>
      <c r="Y4048">
        <v>6.5806489999999995E-2</v>
      </c>
      <c r="Z4048">
        <v>5.1673819999999897E-4</v>
      </c>
      <c r="AA4048">
        <v>0.99783230000000001</v>
      </c>
      <c r="AB4048">
        <v>35</v>
      </c>
      <c r="AC4048">
        <v>78.418499999999995</v>
      </c>
      <c r="AD4048">
        <v>1.23644499999999</v>
      </c>
      <c r="AE4048">
        <v>-5.1915999999999896</v>
      </c>
      <c r="AF4048">
        <v>5.1947733370576401</v>
      </c>
      <c r="AG4048">
        <v>1.23644499999999</v>
      </c>
      <c r="AH4048">
        <v>78.398799258448904</v>
      </c>
      <c r="AI4048">
        <v>89.098427038516903</v>
      </c>
      <c r="AJ4048">
        <v>86.209072843247995</v>
      </c>
      <c r="AK4048">
        <v>78.580444077569297</v>
      </c>
      <c r="AL4048">
        <v>89.130253888006806</v>
      </c>
      <c r="AM4048">
        <v>91.980799849497998</v>
      </c>
      <c r="AN4048">
        <v>0.99999997818564201</v>
      </c>
    </row>
    <row r="4049" spans="1:40" x14ac:dyDescent="0.25">
      <c r="A4049" t="str">
        <f>"20190312160723990"</f>
        <v>20190312160723990</v>
      </c>
      <c r="B4049" t="str">
        <f>"1552378043979771"</f>
        <v>1552378043979771</v>
      </c>
      <c r="C4049" t="s">
        <v>40</v>
      </c>
      <c r="D4049">
        <v>6.1608130000000001</v>
      </c>
      <c r="E4049">
        <v>0.53709510000000005</v>
      </c>
      <c r="F4049" t="s">
        <v>51</v>
      </c>
      <c r="G4049">
        <v>-169.393</v>
      </c>
      <c r="H4049">
        <v>2.5258409999999998</v>
      </c>
      <c r="I4049">
        <v>209.3434</v>
      </c>
      <c r="J4049">
        <v>-247.41720000000001</v>
      </c>
      <c r="K4049">
        <v>1.1093170000000001</v>
      </c>
      <c r="L4049">
        <v>214.31100000000001</v>
      </c>
      <c r="M4049">
        <v>0.99994470000000002</v>
      </c>
      <c r="N4049">
        <v>0</v>
      </c>
      <c r="O4049">
        <v>1.6230530000000001E-4</v>
      </c>
      <c r="P4049">
        <v>0.9993746</v>
      </c>
      <c r="Q4049">
        <v>4.2289950000000001E-3</v>
      </c>
      <c r="R4049">
        <v>3.5110460000000003E-2</v>
      </c>
      <c r="S4049">
        <v>3.0081630000000001</v>
      </c>
      <c r="T4049">
        <v>5.4339770000000003E-2</v>
      </c>
      <c r="U4049">
        <v>-0.19055179999999999</v>
      </c>
      <c r="V4049">
        <v>-3.4951080000000002E-2</v>
      </c>
      <c r="W4049">
        <v>1.4731650000000001E-2</v>
      </c>
      <c r="X4049">
        <v>0.99928050000000002</v>
      </c>
      <c r="Y4049">
        <v>6.3369830000000002E-2</v>
      </c>
      <c r="Z4049">
        <v>5.7466880000000002E-4</v>
      </c>
      <c r="AA4049">
        <v>0.99799000000000004</v>
      </c>
      <c r="AB4049">
        <v>35</v>
      </c>
      <c r="AC4049">
        <v>78.024199999999993</v>
      </c>
      <c r="AD4049">
        <v>1.4165239999999899</v>
      </c>
      <c r="AE4049">
        <v>-4.9675999999999698</v>
      </c>
      <c r="AF4049">
        <v>4.9786300366870204</v>
      </c>
      <c r="AG4049">
        <v>1.4165239999999899</v>
      </c>
      <c r="AH4049">
        <v>77.997788257579799</v>
      </c>
      <c r="AI4049">
        <v>88.961673817577704</v>
      </c>
      <c r="AJ4049">
        <v>86.347742243676606</v>
      </c>
      <c r="AK4049">
        <v>78.169356338395303</v>
      </c>
      <c r="AL4049">
        <v>89.155908146302806</v>
      </c>
      <c r="AM4049">
        <v>92.003174658375798</v>
      </c>
      <c r="AN4049">
        <v>1.0000000585925599</v>
      </c>
    </row>
    <row r="4050" spans="1:40" x14ac:dyDescent="0.25">
      <c r="A4050" t="str">
        <f>"20190312160724010"</f>
        <v>20190312160724010</v>
      </c>
      <c r="B4050" t="str">
        <f>"1552378043999291"</f>
        <v>1552378043999291</v>
      </c>
      <c r="C4050" t="s">
        <v>40</v>
      </c>
      <c r="D4050">
        <v>6.4583779999999997</v>
      </c>
      <c r="E4050">
        <v>0.53663439999999996</v>
      </c>
      <c r="F4050" t="s">
        <v>51</v>
      </c>
      <c r="G4050">
        <v>-169.393</v>
      </c>
      <c r="H4050">
        <v>2.5233759999999998</v>
      </c>
      <c r="I4050">
        <v>209.4075</v>
      </c>
      <c r="J4050">
        <v>-247.1046</v>
      </c>
      <c r="K4050">
        <v>1.1093109999999999</v>
      </c>
      <c r="L4050">
        <v>214.31110000000001</v>
      </c>
      <c r="M4050">
        <v>0.99994459999999996</v>
      </c>
      <c r="N4050">
        <v>0</v>
      </c>
      <c r="O4050">
        <v>2.4606900000000002E-4</v>
      </c>
      <c r="P4050">
        <v>0.99936139999999996</v>
      </c>
      <c r="Q4050">
        <v>3.9652530000000002E-3</v>
      </c>
      <c r="R4050">
        <v>3.5513830000000003E-2</v>
      </c>
      <c r="S4050">
        <v>3.00827</v>
      </c>
      <c r="T4050">
        <v>5.4521319999999998E-2</v>
      </c>
      <c r="U4050">
        <v>-0.18905640000000001</v>
      </c>
      <c r="V4050">
        <v>-3.5270469999999998E-2</v>
      </c>
      <c r="W4050">
        <v>1.447467E-2</v>
      </c>
      <c r="X4050">
        <v>0.99927299999999997</v>
      </c>
      <c r="Y4050">
        <v>6.2957070000000004E-2</v>
      </c>
      <c r="Z4050">
        <v>5.7435730000000005E-4</v>
      </c>
      <c r="AA4050">
        <v>0.99801609999999996</v>
      </c>
      <c r="AB4050">
        <v>35</v>
      </c>
      <c r="AC4050">
        <v>77.711600000000004</v>
      </c>
      <c r="AD4050">
        <v>1.4140649999999899</v>
      </c>
      <c r="AE4050">
        <v>-4.9036000000000097</v>
      </c>
      <c r="AF4050">
        <v>4.9211003821733099</v>
      </c>
      <c r="AG4050">
        <v>1.4140649999999899</v>
      </c>
      <c r="AH4050">
        <v>77.684771071119002</v>
      </c>
      <c r="AI4050">
        <v>88.959268467910604</v>
      </c>
      <c r="AJ4050">
        <v>86.375325148287601</v>
      </c>
      <c r="AK4050">
        <v>77.853326615937405</v>
      </c>
      <c r="AL4050">
        <v>89.170633557509106</v>
      </c>
      <c r="AM4050">
        <v>92.021480112638798</v>
      </c>
      <c r="AN4050">
        <v>1.00000002532731</v>
      </c>
    </row>
    <row r="4051" spans="1:40" x14ac:dyDescent="0.25">
      <c r="A4051" t="str">
        <f>"20190312160724031"</f>
        <v>20190312160724031</v>
      </c>
      <c r="B4051" t="str">
        <f>"1552378044019787"</f>
        <v>1552378044019787</v>
      </c>
      <c r="C4051" t="s">
        <v>40</v>
      </c>
      <c r="D4051">
        <v>6.3319640000000001</v>
      </c>
      <c r="E4051">
        <v>0.53739099999999995</v>
      </c>
      <c r="F4051" t="s">
        <v>51</v>
      </c>
      <c r="G4051">
        <v>-169.393</v>
      </c>
      <c r="H4051">
        <v>2.6863649999999999</v>
      </c>
      <c r="I4051">
        <v>209.55889999999999</v>
      </c>
      <c r="J4051">
        <v>-246.77440000000001</v>
      </c>
      <c r="K4051">
        <v>1.10931</v>
      </c>
      <c r="L4051">
        <v>214.31129999999999</v>
      </c>
      <c r="M4051">
        <v>0.99994459999999996</v>
      </c>
      <c r="N4051">
        <v>0</v>
      </c>
      <c r="O4051">
        <v>3.3436339999999998E-4</v>
      </c>
      <c r="P4051">
        <v>0.99934210000000001</v>
      </c>
      <c r="Q4051">
        <v>4.4387150000000002E-3</v>
      </c>
      <c r="R4051">
        <v>3.5994030000000003E-2</v>
      </c>
      <c r="S4051">
        <v>3.0082239999999998</v>
      </c>
      <c r="T4051">
        <v>6.1049220000000001E-2</v>
      </c>
      <c r="U4051">
        <v>-0.18396000000000001</v>
      </c>
      <c r="V4051">
        <v>-3.5662359999999997E-2</v>
      </c>
      <c r="W4051">
        <v>1.495574E-2</v>
      </c>
      <c r="X4051">
        <v>0.99925200000000003</v>
      </c>
      <c r="Y4051">
        <v>6.1359419999999998E-2</v>
      </c>
      <c r="Z4051">
        <v>6.2875129999999998E-4</v>
      </c>
      <c r="AA4051">
        <v>0.99811550000000004</v>
      </c>
      <c r="AB4051">
        <v>35</v>
      </c>
      <c r="AC4051">
        <v>77.381399999999999</v>
      </c>
      <c r="AD4051">
        <v>1.5770550000000001</v>
      </c>
      <c r="AE4051">
        <v>-4.75239999999999</v>
      </c>
      <c r="AF4051">
        <v>4.7762982647751899</v>
      </c>
      <c r="AG4051">
        <v>1.5770550000000001</v>
      </c>
      <c r="AH4051">
        <v>77.347800404477695</v>
      </c>
      <c r="AI4051">
        <v>88.834170296511303</v>
      </c>
      <c r="AJ4051">
        <v>86.466419415776897</v>
      </c>
      <c r="AK4051">
        <v>77.511175678079098</v>
      </c>
      <c r="AL4051">
        <v>89.143067286966897</v>
      </c>
      <c r="AM4051">
        <v>92.043964739350002</v>
      </c>
      <c r="AN4051">
        <v>1.0000000187918501</v>
      </c>
    </row>
    <row r="4052" spans="1:40" x14ac:dyDescent="0.25">
      <c r="A4052" t="str">
        <f>"20190312160724052"</f>
        <v>20190312160724052</v>
      </c>
      <c r="B4052" t="str">
        <f>"1552378044049066"</f>
        <v>1552378044049066</v>
      </c>
      <c r="C4052" t="s">
        <v>40</v>
      </c>
      <c r="D4052">
        <v>6.3575819999999998</v>
      </c>
      <c r="E4052">
        <v>0.53815419999999903</v>
      </c>
      <c r="F4052" t="s">
        <v>51</v>
      </c>
      <c r="G4052">
        <v>-169.3929</v>
      </c>
      <c r="H4052">
        <v>2.3210600000000001</v>
      </c>
      <c r="I4052">
        <v>209.44669999999999</v>
      </c>
      <c r="J4052">
        <v>-246.42769999999999</v>
      </c>
      <c r="K4052">
        <v>1.109307</v>
      </c>
      <c r="L4052">
        <v>214.3115</v>
      </c>
      <c r="M4052">
        <v>0.99994450000000001</v>
      </c>
      <c r="N4052">
        <v>0</v>
      </c>
      <c r="O4052">
        <v>4.268311E-4</v>
      </c>
      <c r="P4052">
        <v>0.9993185</v>
      </c>
      <c r="Q4052">
        <v>4.4935649999999997E-3</v>
      </c>
      <c r="R4052">
        <v>3.664311E-2</v>
      </c>
      <c r="S4052">
        <v>3.008575</v>
      </c>
      <c r="T4052">
        <v>4.7113780000000001E-2</v>
      </c>
      <c r="U4052">
        <v>-0.18913269999999999</v>
      </c>
      <c r="V4052">
        <v>-3.6219340000000003E-2</v>
      </c>
      <c r="W4052">
        <v>1.501772E-2</v>
      </c>
      <c r="X4052">
        <v>0.99923099999999998</v>
      </c>
      <c r="Y4052">
        <v>6.3158930000000002E-2</v>
      </c>
      <c r="Z4052">
        <v>5.0068870000000002E-4</v>
      </c>
      <c r="AA4052">
        <v>0.99800339999999998</v>
      </c>
      <c r="AB4052">
        <v>35</v>
      </c>
      <c r="AC4052">
        <v>77.034799999999905</v>
      </c>
      <c r="AD4052">
        <v>1.2117529999999901</v>
      </c>
      <c r="AE4052">
        <v>-4.8647999999999998</v>
      </c>
      <c r="AF4052">
        <v>4.8964754993343496</v>
      </c>
      <c r="AG4052">
        <v>1.2117529999999901</v>
      </c>
      <c r="AH4052">
        <v>77.013736517294404</v>
      </c>
      <c r="AI4052">
        <v>89.100384683535694</v>
      </c>
      <c r="AJ4052">
        <v>86.362074006032699</v>
      </c>
      <c r="AK4052">
        <v>77.1787498603329</v>
      </c>
      <c r="AL4052">
        <v>89.139515664029801</v>
      </c>
      <c r="AM4052">
        <v>92.075903556538904</v>
      </c>
      <c r="AN4052">
        <v>0.99999998193251605</v>
      </c>
    </row>
    <row r="4053" spans="1:40" x14ac:dyDescent="0.25">
      <c r="A4053" t="str">
        <f>"20190312160724076"</f>
        <v>20190312160724076</v>
      </c>
      <c r="B4053" t="str">
        <f>"1552378044069566"</f>
        <v>1552378044069566</v>
      </c>
      <c r="C4053" t="s">
        <v>40</v>
      </c>
      <c r="D4053">
        <v>6.5579210000000003</v>
      </c>
      <c r="E4053">
        <v>0.53807959999999999</v>
      </c>
      <c r="F4053" t="s">
        <v>51</v>
      </c>
      <c r="G4053">
        <v>-169.3929</v>
      </c>
      <c r="H4053">
        <v>2.1588039999999999</v>
      </c>
      <c r="I4053">
        <v>209.3603</v>
      </c>
      <c r="J4053">
        <v>-246.0702</v>
      </c>
      <c r="K4053">
        <v>1.1093029999999999</v>
      </c>
      <c r="L4053">
        <v>214.3117</v>
      </c>
      <c r="M4053">
        <v>0.99994439999999996</v>
      </c>
      <c r="N4053">
        <v>0</v>
      </c>
      <c r="O4053">
        <v>5.2251680000000005E-4</v>
      </c>
      <c r="P4053">
        <v>0.99931099999999995</v>
      </c>
      <c r="Q4053">
        <v>4.0947309999999999E-3</v>
      </c>
      <c r="R4053">
        <v>3.6894490000000002E-2</v>
      </c>
      <c r="S4053">
        <v>3.0089419999999998</v>
      </c>
      <c r="T4053">
        <v>4.0994170000000003E-2</v>
      </c>
      <c r="U4053">
        <v>-0.1933899</v>
      </c>
      <c r="V4053">
        <v>-3.6374869999999997E-2</v>
      </c>
      <c r="W4053">
        <v>1.462628E-2</v>
      </c>
      <c r="X4053">
        <v>0.99923119999999999</v>
      </c>
      <c r="Y4053">
        <v>6.4654840000000005E-2</v>
      </c>
      <c r="Z4053">
        <v>4.4706979999999997E-4</v>
      </c>
      <c r="AA4053">
        <v>0.99790760000000001</v>
      </c>
      <c r="AB4053">
        <v>35</v>
      </c>
      <c r="AC4053">
        <v>76.677300000000002</v>
      </c>
      <c r="AD4053">
        <v>1.04950099999999</v>
      </c>
      <c r="AE4053">
        <v>-4.9513999999999996</v>
      </c>
      <c r="AF4053">
        <v>4.9905356757125796</v>
      </c>
      <c r="AG4053">
        <v>1.04950099999999</v>
      </c>
      <c r="AH4053">
        <v>76.660400224222798</v>
      </c>
      <c r="AI4053">
        <v>89.217311262915004</v>
      </c>
      <c r="AJ4053">
        <v>86.275342551064497</v>
      </c>
      <c r="AK4053">
        <v>76.829837050572905</v>
      </c>
      <c r="AL4053">
        <v>89.161946024740203</v>
      </c>
      <c r="AM4053">
        <v>92.084809458227696</v>
      </c>
      <c r="AN4053">
        <v>1.0000000251437899</v>
      </c>
    </row>
    <row r="4054" spans="1:40" x14ac:dyDescent="0.25">
      <c r="A4054" t="str">
        <f>"20190312160724097"</f>
        <v>20190312160724097</v>
      </c>
      <c r="B4054" t="str">
        <f>"1552378044089083"</f>
        <v>1552378044089083</v>
      </c>
      <c r="C4054" t="s">
        <v>40</v>
      </c>
      <c r="D4054">
        <v>6.5292589999999997</v>
      </c>
      <c r="E4054">
        <v>0.53788829999999999</v>
      </c>
      <c r="F4054" t="s">
        <v>51</v>
      </c>
      <c r="G4054">
        <v>-169.3929</v>
      </c>
      <c r="H4054">
        <v>2.27136</v>
      </c>
      <c r="I4054">
        <v>209.41900000000001</v>
      </c>
      <c r="J4054">
        <v>-245.72540000000001</v>
      </c>
      <c r="K4054">
        <v>1.109302</v>
      </c>
      <c r="L4054">
        <v>214.31200000000001</v>
      </c>
      <c r="M4054">
        <v>0.99994419999999995</v>
      </c>
      <c r="N4054">
        <v>0</v>
      </c>
      <c r="O4054">
        <v>6.1469119999999996E-4</v>
      </c>
      <c r="P4054">
        <v>0.99932030000000005</v>
      </c>
      <c r="Q4054">
        <v>3.7450460000000001E-3</v>
      </c>
      <c r="R4054">
        <v>3.6680079999999997E-2</v>
      </c>
      <c r="S4054">
        <v>3.008972</v>
      </c>
      <c r="T4054">
        <v>4.5602799999999999E-2</v>
      </c>
      <c r="U4054">
        <v>-0.19200130000000001</v>
      </c>
      <c r="V4054">
        <v>-3.606869E-2</v>
      </c>
      <c r="W4054">
        <v>1.4283000000000001E-2</v>
      </c>
      <c r="X4054">
        <v>0.99924729999999995</v>
      </c>
      <c r="Y4054">
        <v>6.4286140000000006E-2</v>
      </c>
      <c r="Z4054">
        <v>4.9593160000000001E-4</v>
      </c>
      <c r="AA4054">
        <v>0.99793140000000002</v>
      </c>
      <c r="AB4054">
        <v>35</v>
      </c>
      <c r="AC4054">
        <v>76.332499999999996</v>
      </c>
      <c r="AD4054">
        <v>1.162058</v>
      </c>
      <c r="AE4054">
        <v>-4.8929999999999998</v>
      </c>
      <c r="AF4054">
        <v>4.93878267747509</v>
      </c>
      <c r="AG4054">
        <v>1.162058</v>
      </c>
      <c r="AH4054">
        <v>76.311864137115506</v>
      </c>
      <c r="AI4054">
        <v>89.129402664870696</v>
      </c>
      <c r="AJ4054">
        <v>86.2970722343848</v>
      </c>
      <c r="AK4054">
        <v>76.480341011349296</v>
      </c>
      <c r="AL4054">
        <v>89.181616603544995</v>
      </c>
      <c r="AM4054">
        <v>92.067242899355193</v>
      </c>
      <c r="AN4054">
        <v>1.0000000605223001</v>
      </c>
    </row>
    <row r="4055" spans="1:40" x14ac:dyDescent="0.25">
      <c r="A4055" t="str">
        <f>"20190312160724120"</f>
        <v>20190312160724120</v>
      </c>
      <c r="B4055" t="str">
        <f>"1552378044109579"</f>
        <v>1552378044109579</v>
      </c>
      <c r="C4055" t="s">
        <v>40</v>
      </c>
      <c r="D4055">
        <v>6.3211760000000004</v>
      </c>
      <c r="E4055">
        <v>0.53764730000000005</v>
      </c>
      <c r="F4055" t="s">
        <v>51</v>
      </c>
      <c r="G4055">
        <v>-169.3929</v>
      </c>
      <c r="H4055">
        <v>2.3750969999999998</v>
      </c>
      <c r="I4055">
        <v>209.47239999999999</v>
      </c>
      <c r="J4055">
        <v>-245.3811</v>
      </c>
      <c r="K4055">
        <v>1.1093059999999999</v>
      </c>
      <c r="L4055">
        <v>214.31229999999999</v>
      </c>
      <c r="M4055">
        <v>0.99994400000000006</v>
      </c>
      <c r="N4055">
        <v>0</v>
      </c>
      <c r="O4055">
        <v>7.0651079999999998E-4</v>
      </c>
      <c r="P4055">
        <v>0.99934970000000001</v>
      </c>
      <c r="Q4055">
        <v>3.7933900000000002E-3</v>
      </c>
      <c r="R4055">
        <v>3.5860709999999997E-2</v>
      </c>
      <c r="S4055">
        <v>3.0088349999999999</v>
      </c>
      <c r="T4055">
        <v>4.9895759999999997E-2</v>
      </c>
      <c r="U4055">
        <v>-0.1907654</v>
      </c>
      <c r="V4055">
        <v>-3.5157140000000003E-2</v>
      </c>
      <c r="W4055">
        <v>1.4337829999999999E-2</v>
      </c>
      <c r="X4055">
        <v>0.99927900000000003</v>
      </c>
      <c r="Y4055">
        <v>6.3970959999999993E-2</v>
      </c>
      <c r="Z4055">
        <v>5.4155390000000005E-4</v>
      </c>
      <c r="AA4055">
        <v>0.99795160000000005</v>
      </c>
      <c r="AB4055">
        <v>35</v>
      </c>
      <c r="AC4055">
        <v>75.988200000000006</v>
      </c>
      <c r="AD4055">
        <v>1.2657910000000001</v>
      </c>
      <c r="AE4055">
        <v>-4.8399000000000001</v>
      </c>
      <c r="AF4055">
        <v>4.8922362561804897</v>
      </c>
      <c r="AG4055">
        <v>1.2657910000000001</v>
      </c>
      <c r="AH4055">
        <v>75.963768138711401</v>
      </c>
      <c r="AI4055">
        <v>89.0473369425806</v>
      </c>
      <c r="AJ4055">
        <v>86.315112802567199</v>
      </c>
      <c r="AK4055">
        <v>76.131664058221304</v>
      </c>
      <c r="AL4055">
        <v>89.178474753048505</v>
      </c>
      <c r="AM4055">
        <v>92.014978028563704</v>
      </c>
      <c r="AN4055">
        <v>1.0000000588515401</v>
      </c>
    </row>
    <row r="4056" spans="1:40" x14ac:dyDescent="0.25">
      <c r="A4056" t="str">
        <f>"20190312160724142"</f>
        <v>20190312160724142</v>
      </c>
      <c r="B4056" t="str">
        <f>"1552378044139834"</f>
        <v>1552378044139834</v>
      </c>
      <c r="C4056" t="s">
        <v>40</v>
      </c>
      <c r="D4056">
        <v>6.3845340000000004</v>
      </c>
      <c r="E4056">
        <v>0.5375972</v>
      </c>
      <c r="F4056" t="s">
        <v>51</v>
      </c>
      <c r="G4056">
        <v>-169.393</v>
      </c>
      <c r="H4056">
        <v>2.4979990000000001</v>
      </c>
      <c r="I4056">
        <v>209.483</v>
      </c>
      <c r="J4056">
        <v>-245.02799999999999</v>
      </c>
      <c r="K4056">
        <v>1.1093059999999999</v>
      </c>
      <c r="L4056">
        <v>214.3126</v>
      </c>
      <c r="M4056">
        <v>0.9999439</v>
      </c>
      <c r="N4056">
        <v>0</v>
      </c>
      <c r="O4056">
        <v>8.0083249999999997E-4</v>
      </c>
      <c r="P4056">
        <v>0.99939009999999995</v>
      </c>
      <c r="Q4056">
        <v>3.8252529999999998E-3</v>
      </c>
      <c r="R4056">
        <v>3.4714769999999999E-2</v>
      </c>
      <c r="S4056">
        <v>3.0086059999999999</v>
      </c>
      <c r="T4056">
        <v>5.498397E-2</v>
      </c>
      <c r="U4056">
        <v>-0.19120789999999999</v>
      </c>
      <c r="V4056">
        <v>-3.3917250000000003E-2</v>
      </c>
      <c r="W4056">
        <v>1.4376450000000001E-2</v>
      </c>
      <c r="X4056">
        <v>0.99932120000000002</v>
      </c>
      <c r="Y4056">
        <v>6.421412E-2</v>
      </c>
      <c r="Z4056">
        <v>6.0075530000000001E-4</v>
      </c>
      <c r="AA4056">
        <v>0.99793600000000005</v>
      </c>
      <c r="AB4056">
        <v>35</v>
      </c>
      <c r="AC4056">
        <v>75.634999999999906</v>
      </c>
      <c r="AD4056">
        <v>1.388693</v>
      </c>
      <c r="AE4056">
        <v>-4.8295999999999903</v>
      </c>
      <c r="AF4056">
        <v>4.8885315332700596</v>
      </c>
      <c r="AG4056">
        <v>1.388693</v>
      </c>
      <c r="AH4056">
        <v>75.6057241590823</v>
      </c>
      <c r="AI4056">
        <v>88.949926639646606</v>
      </c>
      <c r="AJ4056">
        <v>86.3005066303771</v>
      </c>
      <c r="AK4056">
        <v>75.776327005333698</v>
      </c>
      <c r="AL4056">
        <v>89.176261681857</v>
      </c>
      <c r="AM4056">
        <v>91.9438891086686</v>
      </c>
      <c r="AN4056">
        <v>0.99999996146580095</v>
      </c>
    </row>
    <row r="4057" spans="1:40" x14ac:dyDescent="0.25">
      <c r="A4057" t="str">
        <f>"20190312160724166"</f>
        <v>20190312160724166</v>
      </c>
      <c r="B4057" t="str">
        <f>"1552378044159355"</f>
        <v>1552378044159355</v>
      </c>
      <c r="C4057" t="s">
        <v>40</v>
      </c>
      <c r="D4057">
        <v>6.2967510000000004</v>
      </c>
      <c r="E4057">
        <v>0.53756789999999999</v>
      </c>
      <c r="F4057" t="s">
        <v>51</v>
      </c>
      <c r="G4057">
        <v>-169.393</v>
      </c>
      <c r="H4057">
        <v>2.5497589999999999</v>
      </c>
      <c r="I4057">
        <v>209.429</v>
      </c>
      <c r="J4057">
        <v>-244.6617</v>
      </c>
      <c r="K4057">
        <v>1.109307</v>
      </c>
      <c r="L4057">
        <v>214.31299999999999</v>
      </c>
      <c r="M4057">
        <v>0.99994380000000005</v>
      </c>
      <c r="N4057">
        <v>0</v>
      </c>
      <c r="O4057">
        <v>8.9873039999999996E-4</v>
      </c>
      <c r="P4057">
        <v>0.99939160000000005</v>
      </c>
      <c r="Q4057">
        <v>4.4749840000000004E-3</v>
      </c>
      <c r="R4057">
        <v>3.458808E-2</v>
      </c>
      <c r="S4057">
        <v>3.008362</v>
      </c>
      <c r="T4057">
        <v>5.7295079999999998E-2</v>
      </c>
      <c r="U4057">
        <v>-0.19424440000000001</v>
      </c>
      <c r="V4057">
        <v>-3.3692489999999999E-2</v>
      </c>
      <c r="W4057">
        <v>1.503203E-2</v>
      </c>
      <c r="X4057">
        <v>0.99931919999999996</v>
      </c>
      <c r="Y4057">
        <v>6.5318899999999999E-2</v>
      </c>
      <c r="Z4057">
        <v>6.3840360000000005E-4</v>
      </c>
      <c r="AA4057">
        <v>0.99786419999999998</v>
      </c>
      <c r="AB4057">
        <v>35</v>
      </c>
      <c r="AC4057">
        <v>75.268699999999995</v>
      </c>
      <c r="AD4057">
        <v>1.4404519999999901</v>
      </c>
      <c r="AE4057">
        <v>-4.8839999999999799</v>
      </c>
      <c r="AF4057">
        <v>4.9498428287199996</v>
      </c>
      <c r="AG4057">
        <v>1.4404519999999901</v>
      </c>
      <c r="AH4057">
        <v>75.236840555823605</v>
      </c>
      <c r="AI4057">
        <v>88.905539260907901</v>
      </c>
      <c r="AJ4057">
        <v>86.235926701409497</v>
      </c>
      <c r="AK4057">
        <v>75.413248324254994</v>
      </c>
      <c r="AL4057">
        <v>89.138695688415993</v>
      </c>
      <c r="AM4057">
        <v>91.931021153177795</v>
      </c>
      <c r="AN4057">
        <v>1.00000000464848</v>
      </c>
    </row>
    <row r="4058" spans="1:40" x14ac:dyDescent="0.25">
      <c r="A4058" t="str">
        <f>"20190312160724188"</f>
        <v>20190312160724188</v>
      </c>
      <c r="B4058" t="str">
        <f>"1552378044179851"</f>
        <v>1552378044179851</v>
      </c>
      <c r="C4058" t="s">
        <v>40</v>
      </c>
      <c r="D4058">
        <v>6.3843059999999996</v>
      </c>
      <c r="E4058">
        <v>0.53764820000000002</v>
      </c>
      <c r="F4058" t="s">
        <v>51</v>
      </c>
      <c r="G4058">
        <v>-169.393</v>
      </c>
      <c r="H4058">
        <v>2.6771370000000001</v>
      </c>
      <c r="I4058">
        <v>209.45330000000001</v>
      </c>
      <c r="J4058">
        <v>-244.316</v>
      </c>
      <c r="K4058">
        <v>1.109313</v>
      </c>
      <c r="L4058">
        <v>214.3134</v>
      </c>
      <c r="M4058">
        <v>0.99994369999999999</v>
      </c>
      <c r="N4058">
        <v>0</v>
      </c>
      <c r="O4058">
        <v>9.9067319999999993E-4</v>
      </c>
      <c r="P4058">
        <v>0.99937399999999998</v>
      </c>
      <c r="Q4058">
        <v>4.6864230000000003E-3</v>
      </c>
      <c r="R4058">
        <v>3.5065590000000001E-2</v>
      </c>
      <c r="S4058">
        <v>3.00827</v>
      </c>
      <c r="T4058">
        <v>6.2662960000000004E-2</v>
      </c>
      <c r="U4058">
        <v>-0.19422909999999999</v>
      </c>
      <c r="V4058">
        <v>-3.407835E-2</v>
      </c>
      <c r="W4058">
        <v>1.524849E-2</v>
      </c>
      <c r="X4058">
        <v>0.99930280000000005</v>
      </c>
      <c r="Y4058">
        <v>6.5405190000000002E-2</v>
      </c>
      <c r="Z4058">
        <v>7.0103419999999997E-4</v>
      </c>
      <c r="AA4058">
        <v>0.99785849999999998</v>
      </c>
      <c r="AB4058">
        <v>35</v>
      </c>
      <c r="AC4058">
        <v>74.922999999999902</v>
      </c>
      <c r="AD4058">
        <v>1.5678239999999899</v>
      </c>
      <c r="AE4058">
        <v>-4.8600999999999797</v>
      </c>
      <c r="AF4058">
        <v>4.9321752687929301</v>
      </c>
      <c r="AG4058">
        <v>1.5678239999999899</v>
      </c>
      <c r="AH4058">
        <v>74.885494040094201</v>
      </c>
      <c r="AI4058">
        <v>88.803206718170699</v>
      </c>
      <c r="AJ4058">
        <v>86.231776676623198</v>
      </c>
      <c r="AK4058">
        <v>75.064116877547093</v>
      </c>
      <c r="AL4058">
        <v>89.126291990488596</v>
      </c>
      <c r="AM4058">
        <v>91.953150984782098</v>
      </c>
      <c r="AN4058">
        <v>0.99999996823691994</v>
      </c>
    </row>
    <row r="4059" spans="1:40" x14ac:dyDescent="0.25">
      <c r="A4059" t="str">
        <f>"20190312160724210"</f>
        <v>20190312160724210</v>
      </c>
      <c r="B4059" t="str">
        <f>"1552378044199371"</f>
        <v>1552378044199371</v>
      </c>
      <c r="C4059" t="s">
        <v>40</v>
      </c>
      <c r="D4059">
        <v>6.3088160000000002</v>
      </c>
      <c r="E4059">
        <v>0.53797430000000002</v>
      </c>
      <c r="F4059" t="s">
        <v>51</v>
      </c>
      <c r="G4059">
        <v>-169.393</v>
      </c>
      <c r="H4059">
        <v>2.6999050000000002</v>
      </c>
      <c r="I4059">
        <v>209.49629999999999</v>
      </c>
      <c r="J4059">
        <v>-243.97219999999999</v>
      </c>
      <c r="K4059">
        <v>1.1093109999999999</v>
      </c>
      <c r="L4059">
        <v>214.31389999999999</v>
      </c>
      <c r="M4059">
        <v>0.99994340000000004</v>
      </c>
      <c r="N4059">
        <v>0</v>
      </c>
      <c r="O4059">
        <v>1.0824980000000001E-3</v>
      </c>
      <c r="P4059">
        <v>0.99935680000000005</v>
      </c>
      <c r="Q4059">
        <v>3.8112490000000001E-3</v>
      </c>
      <c r="R4059">
        <v>3.5653949999999997E-2</v>
      </c>
      <c r="S4059">
        <v>3.008362</v>
      </c>
      <c r="T4059">
        <v>6.3867930000000003E-2</v>
      </c>
      <c r="U4059">
        <v>-0.19342039999999999</v>
      </c>
      <c r="V4059">
        <v>-3.4574840000000003E-2</v>
      </c>
      <c r="W4059">
        <v>1.4377879999999999E-2</v>
      </c>
      <c r="X4059">
        <v>0.99929869999999998</v>
      </c>
      <c r="Y4059">
        <v>6.5227199999999999E-2</v>
      </c>
      <c r="Z4059">
        <v>7.1455610000000001E-4</v>
      </c>
      <c r="AA4059">
        <v>0.99787020000000004</v>
      </c>
      <c r="AB4059">
        <v>35</v>
      </c>
      <c r="AC4059">
        <v>74.579199999999901</v>
      </c>
      <c r="AD4059">
        <v>1.5905939999999901</v>
      </c>
      <c r="AE4059">
        <v>-4.8175999999999899</v>
      </c>
      <c r="AF4059">
        <v>4.8961157133942201</v>
      </c>
      <c r="AG4059">
        <v>1.5905939999999901</v>
      </c>
      <c r="AH4059">
        <v>74.540176084915103</v>
      </c>
      <c r="AI4059">
        <v>88.7801930959982</v>
      </c>
      <c r="AJ4059">
        <v>86.241967950786005</v>
      </c>
      <c r="AK4059">
        <v>74.717734100559696</v>
      </c>
      <c r="AL4059">
        <v>89.176179786509493</v>
      </c>
      <c r="AM4059">
        <v>91.981592186526896</v>
      </c>
      <c r="AN4059">
        <v>1.0000000174079999</v>
      </c>
    </row>
    <row r="4060" spans="1:40" x14ac:dyDescent="0.25">
      <c r="A4060" t="str">
        <f>"20190312160724231"</f>
        <v>20190312160724231</v>
      </c>
      <c r="B4060" t="str">
        <f>"1552378044219867"</f>
        <v>1552378044219867</v>
      </c>
      <c r="C4060" t="s">
        <v>40</v>
      </c>
      <c r="D4060">
        <v>6.3317610000000002</v>
      </c>
      <c r="E4060">
        <v>0.53794759999999997</v>
      </c>
      <c r="F4060" t="s">
        <v>51</v>
      </c>
      <c r="G4060">
        <v>-169.393</v>
      </c>
      <c r="H4060">
        <v>2.5223770000000001</v>
      </c>
      <c r="I4060">
        <v>209.4932</v>
      </c>
      <c r="J4060">
        <v>-243.63800000000001</v>
      </c>
      <c r="K4060">
        <v>1.109313</v>
      </c>
      <c r="L4060">
        <v>214.3143</v>
      </c>
      <c r="M4060">
        <v>0.99994340000000004</v>
      </c>
      <c r="N4060">
        <v>0</v>
      </c>
      <c r="O4060">
        <v>1.17158E-3</v>
      </c>
      <c r="P4060">
        <v>0.99935229999999997</v>
      </c>
      <c r="Q4060">
        <v>3.2390409999999998E-3</v>
      </c>
      <c r="R4060">
        <v>3.5843699999999902E-2</v>
      </c>
      <c r="S4060">
        <v>3.0086520000000001</v>
      </c>
      <c r="T4060">
        <v>5.7006840000000003E-2</v>
      </c>
      <c r="U4060">
        <v>-0.19447329999999999</v>
      </c>
      <c r="V4060">
        <v>-3.467518E-2</v>
      </c>
      <c r="W4060">
        <v>1.381098E-2</v>
      </c>
      <c r="X4060">
        <v>0.99930319999999995</v>
      </c>
      <c r="Y4060">
        <v>6.5660620000000003E-2</v>
      </c>
      <c r="Z4060">
        <v>6.4352769999999999E-4</v>
      </c>
      <c r="AA4060">
        <v>0.9978418</v>
      </c>
      <c r="AB4060">
        <v>35</v>
      </c>
      <c r="AC4060">
        <v>74.245000000000005</v>
      </c>
      <c r="AD4060">
        <v>1.4130639999999901</v>
      </c>
      <c r="AE4060">
        <v>-4.8211000000000004</v>
      </c>
      <c r="AF4060">
        <v>4.9063157397183801</v>
      </c>
      <c r="AG4060">
        <v>1.4130639999999901</v>
      </c>
      <c r="AH4060">
        <v>74.212530990786803</v>
      </c>
      <c r="AI4060">
        <v>88.911551352882995</v>
      </c>
      <c r="AJ4060">
        <v>86.217583530393796</v>
      </c>
      <c r="AK4060">
        <v>74.387958972298705</v>
      </c>
      <c r="AL4060">
        <v>89.208663975447095</v>
      </c>
      <c r="AM4060">
        <v>91.987329438864805</v>
      </c>
      <c r="AN4060">
        <v>0.99999999840341602</v>
      </c>
    </row>
    <row r="4061" spans="1:40" x14ac:dyDescent="0.25">
      <c r="A4061" t="str">
        <f>"20190312160724255"</f>
        <v>20190312160724255</v>
      </c>
      <c r="B4061" t="str">
        <f>"1552378044249147"</f>
        <v>1552378044249147</v>
      </c>
      <c r="C4061" t="s">
        <v>40</v>
      </c>
      <c r="D4061">
        <v>6.2427700000000002</v>
      </c>
      <c r="E4061">
        <v>0.53875859999999998</v>
      </c>
      <c r="F4061" t="s">
        <v>51</v>
      </c>
      <c r="G4061">
        <v>-169.3929</v>
      </c>
      <c r="H4061">
        <v>2.461309</v>
      </c>
      <c r="I4061">
        <v>209.5326</v>
      </c>
      <c r="J4061">
        <v>-243.26830000000001</v>
      </c>
      <c r="K4061">
        <v>1.1093150000000001</v>
      </c>
      <c r="L4061">
        <v>214.31479999999999</v>
      </c>
      <c r="M4061">
        <v>0.99994329999999998</v>
      </c>
      <c r="N4061">
        <v>0</v>
      </c>
      <c r="O4061">
        <v>1.2701399999999999E-3</v>
      </c>
      <c r="P4061">
        <v>0.99933830000000001</v>
      </c>
      <c r="Q4061">
        <v>3.7842090000000002E-3</v>
      </c>
      <c r="R4061">
        <v>3.617944E-2</v>
      </c>
      <c r="S4061">
        <v>3.0087130000000002</v>
      </c>
      <c r="T4061">
        <v>5.4789780000000003E-2</v>
      </c>
      <c r="U4061">
        <v>-0.19377140000000001</v>
      </c>
      <c r="V4061">
        <v>-3.4913159999999999E-2</v>
      </c>
      <c r="W4061">
        <v>1.436071E-2</v>
      </c>
      <c r="X4061">
        <v>0.99928720000000004</v>
      </c>
      <c r="Y4061">
        <v>6.5526749999999995E-2</v>
      </c>
      <c r="Z4061">
        <v>6.1907189999999999E-4</v>
      </c>
      <c r="AA4061">
        <v>0.99785060000000003</v>
      </c>
      <c r="AB4061">
        <v>35</v>
      </c>
      <c r="AC4061">
        <v>73.875399999999999</v>
      </c>
      <c r="AD4061">
        <v>1.3519939999999999</v>
      </c>
      <c r="AE4061">
        <v>-4.78219999999998</v>
      </c>
      <c r="AF4061">
        <v>4.8744077305770599</v>
      </c>
      <c r="AG4061">
        <v>1.3519939999999999</v>
      </c>
      <c r="AH4061">
        <v>73.844636662878003</v>
      </c>
      <c r="AI4061">
        <v>88.953387215885698</v>
      </c>
      <c r="AJ4061">
        <v>86.223443823184496</v>
      </c>
      <c r="AK4061">
        <v>74.017687766995294</v>
      </c>
      <c r="AL4061">
        <v>89.177163669771502</v>
      </c>
      <c r="AM4061">
        <v>92.000989686365997</v>
      </c>
      <c r="AN4061">
        <v>1.0000000334083601</v>
      </c>
    </row>
    <row r="4062" spans="1:40" x14ac:dyDescent="0.25">
      <c r="A4062" t="str">
        <f>"20190312160724277"</f>
        <v>20190312160724277</v>
      </c>
      <c r="B4062" t="str">
        <f>"1552378044269647"</f>
        <v>1552378044269647</v>
      </c>
      <c r="C4062" t="s">
        <v>40</v>
      </c>
      <c r="D4062">
        <v>6.4358370000000003</v>
      </c>
      <c r="E4062">
        <v>0.53911900000000001</v>
      </c>
      <c r="F4062" t="s">
        <v>51</v>
      </c>
      <c r="G4062">
        <v>-169.3929</v>
      </c>
      <c r="H4062">
        <v>2.283401</v>
      </c>
      <c r="I4062">
        <v>209.4203</v>
      </c>
      <c r="J4062">
        <v>-242.91220000000001</v>
      </c>
      <c r="K4062">
        <v>1.109316</v>
      </c>
      <c r="L4062">
        <v>214.31540000000001</v>
      </c>
      <c r="M4062">
        <v>0.99994300000000003</v>
      </c>
      <c r="N4062">
        <v>0</v>
      </c>
      <c r="O4062">
        <v>1.3651259999999999E-3</v>
      </c>
      <c r="P4062">
        <v>0.99933989999999995</v>
      </c>
      <c r="Q4062">
        <v>3.9398910000000001E-3</v>
      </c>
      <c r="R4062">
        <v>3.6115609999999999E-2</v>
      </c>
      <c r="S4062">
        <v>3.0090180000000002</v>
      </c>
      <c r="T4062">
        <v>4.7823070000000002E-2</v>
      </c>
      <c r="U4062">
        <v>-0.19935610000000001</v>
      </c>
      <c r="V4062">
        <v>-3.4753930000000002E-2</v>
      </c>
      <c r="W4062">
        <v>1.452139E-2</v>
      </c>
      <c r="X4062">
        <v>0.99929040000000002</v>
      </c>
      <c r="Y4062">
        <v>6.7461460000000001E-2</v>
      </c>
      <c r="Z4062">
        <v>5.5714290000000004E-4</v>
      </c>
      <c r="AA4062">
        <v>0.99772169999999905</v>
      </c>
      <c r="AB4062">
        <v>35</v>
      </c>
      <c r="AC4062">
        <v>73.519300000000001</v>
      </c>
      <c r="AD4062">
        <v>1.174085</v>
      </c>
      <c r="AE4062">
        <v>-4.89510000000001</v>
      </c>
      <c r="AF4062">
        <v>4.9941961106107504</v>
      </c>
      <c r="AG4062">
        <v>1.174085</v>
      </c>
      <c r="AH4062">
        <v>73.493888046518606</v>
      </c>
      <c r="AI4062">
        <v>89.086867590504099</v>
      </c>
      <c r="AJ4062">
        <v>86.112504943910906</v>
      </c>
      <c r="AK4062">
        <v>73.672736141483597</v>
      </c>
      <c r="AL4062">
        <v>89.167956400450095</v>
      </c>
      <c r="AM4062">
        <v>91.991864678498303</v>
      </c>
      <c r="AN4062">
        <v>1.0000000049750599</v>
      </c>
    </row>
    <row r="4063" spans="1:40" x14ac:dyDescent="0.25">
      <c r="A4063" t="str">
        <f>"20190312160724299"</f>
        <v>20190312160724299</v>
      </c>
      <c r="B4063" t="str">
        <f>"1552378044289163"</f>
        <v>1552378044289163</v>
      </c>
      <c r="C4063" t="s">
        <v>40</v>
      </c>
      <c r="D4063">
        <v>6.2505160000000002</v>
      </c>
      <c r="E4063">
        <v>0.53928069999999995</v>
      </c>
      <c r="F4063" t="s">
        <v>51</v>
      </c>
      <c r="G4063">
        <v>-169.3929</v>
      </c>
      <c r="H4063">
        <v>2.2386460000000001</v>
      </c>
      <c r="I4063">
        <v>209.37010000000001</v>
      </c>
      <c r="J4063">
        <v>-242.5624</v>
      </c>
      <c r="K4063">
        <v>1.109316</v>
      </c>
      <c r="L4063">
        <v>214.3159</v>
      </c>
      <c r="M4063">
        <v>0.99994289999999997</v>
      </c>
      <c r="N4063">
        <v>0</v>
      </c>
      <c r="O4063">
        <v>1.4582639999999999E-3</v>
      </c>
      <c r="P4063">
        <v>0.99931820000000005</v>
      </c>
      <c r="Q4063">
        <v>3.6013949999999999E-3</v>
      </c>
      <c r="R4063">
        <v>3.6748759999999998E-2</v>
      </c>
      <c r="S4063">
        <v>3.009125</v>
      </c>
      <c r="T4063">
        <v>4.6224590000000003E-2</v>
      </c>
      <c r="U4063">
        <v>-0.2024078</v>
      </c>
      <c r="V4063">
        <v>-3.5293959999999999E-2</v>
      </c>
      <c r="W4063">
        <v>1.418669E-2</v>
      </c>
      <c r="X4063">
        <v>0.99927630000000001</v>
      </c>
      <c r="Y4063">
        <v>6.8559800000000004E-2</v>
      </c>
      <c r="Z4063">
        <v>5.4834049999999998E-4</v>
      </c>
      <c r="AA4063">
        <v>0.9976469</v>
      </c>
      <c r="AB4063">
        <v>35</v>
      </c>
      <c r="AC4063">
        <v>73.169499999999999</v>
      </c>
      <c r="AD4063">
        <v>1.12932999999999</v>
      </c>
      <c r="AE4063">
        <v>-4.9457999999999904</v>
      </c>
      <c r="AF4063">
        <v>5.0513033101162303</v>
      </c>
      <c r="AG4063">
        <v>1.12932999999999</v>
      </c>
      <c r="AH4063">
        <v>73.144864052807094</v>
      </c>
      <c r="AI4063">
        <v>89.117545795939606</v>
      </c>
      <c r="AJ4063">
        <v>86.049489117238096</v>
      </c>
      <c r="AK4063">
        <v>73.327772287744594</v>
      </c>
      <c r="AL4063">
        <v>89.187135289828305</v>
      </c>
      <c r="AM4063">
        <v>92.022818618091904</v>
      </c>
      <c r="AN4063">
        <v>1.00000002476366</v>
      </c>
    </row>
    <row r="4064" spans="1:40" x14ac:dyDescent="0.25">
      <c r="A4064" t="str">
        <f>"20190312160724321"</f>
        <v>20190312160724321</v>
      </c>
      <c r="B4064" t="str">
        <f>"1552378044309659"</f>
        <v>1552378044309659</v>
      </c>
      <c r="C4064" t="s">
        <v>40</v>
      </c>
      <c r="D4064">
        <v>6.3068269999999904</v>
      </c>
      <c r="E4064">
        <v>0.53947349999999905</v>
      </c>
      <c r="F4064" t="s">
        <v>51</v>
      </c>
      <c r="G4064">
        <v>-169.3929</v>
      </c>
      <c r="H4064">
        <v>2.2242160000000002</v>
      </c>
      <c r="I4064">
        <v>209.40940000000001</v>
      </c>
      <c r="J4064">
        <v>-242.21369999999999</v>
      </c>
      <c r="K4064">
        <v>1.109308</v>
      </c>
      <c r="L4064">
        <v>214.31649999999999</v>
      </c>
      <c r="M4064">
        <v>0.99994269999999996</v>
      </c>
      <c r="N4064">
        <v>0</v>
      </c>
      <c r="O4064">
        <v>1.5514019999999999E-3</v>
      </c>
      <c r="P4064">
        <v>0.99930759999999996</v>
      </c>
      <c r="Q4064">
        <v>3.0579140000000001E-3</v>
      </c>
      <c r="R4064">
        <v>3.7078270000000003E-2</v>
      </c>
      <c r="S4064">
        <v>3.0093079999999999</v>
      </c>
      <c r="T4064">
        <v>4.5854810000000003E-2</v>
      </c>
      <c r="U4064">
        <v>-0.20179749999999999</v>
      </c>
      <c r="V4064">
        <v>-3.553009E-2</v>
      </c>
      <c r="W4064">
        <v>1.364744E-2</v>
      </c>
      <c r="X4064">
        <v>0.99927540000000004</v>
      </c>
      <c r="Y4064">
        <v>6.8447369999999993E-2</v>
      </c>
      <c r="Z4064">
        <v>5.4448729999999996E-4</v>
      </c>
      <c r="AA4064">
        <v>0.99765459999999995</v>
      </c>
      <c r="AB4064">
        <v>35</v>
      </c>
      <c r="AC4064">
        <v>72.820799999999906</v>
      </c>
      <c r="AD4064">
        <v>1.114908</v>
      </c>
      <c r="AE4064">
        <v>-4.9070999999999803</v>
      </c>
      <c r="AF4064">
        <v>5.0189036276624401</v>
      </c>
      <c r="AG4064">
        <v>1.114908</v>
      </c>
      <c r="AH4064">
        <v>72.796112393576195</v>
      </c>
      <c r="AI4064">
        <v>89.124633444882605</v>
      </c>
      <c r="AJ4064">
        <v>86.056002826936705</v>
      </c>
      <c r="AK4064">
        <v>72.977437561827301</v>
      </c>
      <c r="AL4064">
        <v>89.218034998021807</v>
      </c>
      <c r="AM4064">
        <v>92.036342519747805</v>
      </c>
      <c r="AN4064">
        <v>0.99999998247956001</v>
      </c>
    </row>
    <row r="4065" spans="1:40" x14ac:dyDescent="0.25">
      <c r="A4065" t="str">
        <f>"20190312160724344"</f>
        <v>20190312160724344</v>
      </c>
      <c r="B4065" t="str">
        <f>"1552378044339915"</f>
        <v>1552378044339915</v>
      </c>
      <c r="C4065" t="s">
        <v>40</v>
      </c>
      <c r="D4065">
        <v>6.3660750000000004</v>
      </c>
      <c r="E4065">
        <v>0.53928169999999898</v>
      </c>
      <c r="F4065" t="s">
        <v>51</v>
      </c>
      <c r="G4065">
        <v>-169.3929</v>
      </c>
      <c r="H4065">
        <v>2.0489809999999999</v>
      </c>
      <c r="I4065">
        <v>209.4177</v>
      </c>
      <c r="J4065">
        <v>-241.85640000000001</v>
      </c>
      <c r="K4065">
        <v>1.109305</v>
      </c>
      <c r="L4065">
        <v>214.31720000000001</v>
      </c>
      <c r="M4065">
        <v>0.99994240000000001</v>
      </c>
      <c r="N4065">
        <v>0</v>
      </c>
      <c r="O4065">
        <v>1.6463809999999999E-3</v>
      </c>
      <c r="P4065">
        <v>0.99929900000000005</v>
      </c>
      <c r="Q4065">
        <v>2.6077679999999999E-3</v>
      </c>
      <c r="R4065">
        <v>3.7341230000000003E-2</v>
      </c>
      <c r="S4065">
        <v>3.0094759999999998</v>
      </c>
      <c r="T4065">
        <v>3.8835290000000001E-2</v>
      </c>
      <c r="U4065">
        <v>-0.20245360000000001</v>
      </c>
      <c r="V4065">
        <v>-3.569804E-2</v>
      </c>
      <c r="W4065">
        <v>1.320354E-2</v>
      </c>
      <c r="X4065">
        <v>0.99927540000000004</v>
      </c>
      <c r="Y4065">
        <v>6.8757189999999996E-2</v>
      </c>
      <c r="Z4065">
        <v>4.6433580000000002E-4</v>
      </c>
      <c r="AA4065">
        <v>0.99763329999999995</v>
      </c>
      <c r="AB4065">
        <v>35</v>
      </c>
      <c r="AC4065">
        <v>72.463499999999996</v>
      </c>
      <c r="AD4065">
        <v>0.93967599999999996</v>
      </c>
      <c r="AE4065">
        <v>-4.8995000000000104</v>
      </c>
      <c r="AF4065">
        <v>5.0179626283102001</v>
      </c>
      <c r="AG4065">
        <v>0.93967599999999996</v>
      </c>
      <c r="AH4065">
        <v>72.443208411216702</v>
      </c>
      <c r="AI4065">
        <v>89.258622378494593</v>
      </c>
      <c r="AJ4065">
        <v>86.037591578285699</v>
      </c>
      <c r="AK4065">
        <v>72.622870948724398</v>
      </c>
      <c r="AL4065">
        <v>89.243470904134895</v>
      </c>
      <c r="AM4065">
        <v>92.045960107373901</v>
      </c>
      <c r="AN4065">
        <v>1.0000000042867601</v>
      </c>
    </row>
    <row r="4066" spans="1:40" x14ac:dyDescent="0.25">
      <c r="A4066" t="str">
        <f>"20190312160724367"</f>
        <v>20190312160724367</v>
      </c>
      <c r="B4066" t="str">
        <f>"1552378044359435"</f>
        <v>1552378044359435</v>
      </c>
      <c r="C4066" t="s">
        <v>40</v>
      </c>
      <c r="D4066">
        <v>6.3516349999999999</v>
      </c>
      <c r="E4066">
        <v>0.53882810000000003</v>
      </c>
      <c r="F4066" t="s">
        <v>51</v>
      </c>
      <c r="G4066">
        <v>-169.39279999999999</v>
      </c>
      <c r="H4066">
        <v>2.0630299999999999</v>
      </c>
      <c r="I4066">
        <v>209.4982</v>
      </c>
      <c r="J4066">
        <v>-241.49539999999999</v>
      </c>
      <c r="K4066">
        <v>1.109308</v>
      </c>
      <c r="L4066">
        <v>214.31790000000001</v>
      </c>
      <c r="M4066">
        <v>0.99994209999999994</v>
      </c>
      <c r="N4066">
        <v>0</v>
      </c>
      <c r="O4066">
        <v>1.74251299999999E-3</v>
      </c>
      <c r="P4066">
        <v>0.99928410000000001</v>
      </c>
      <c r="Q4066">
        <v>3.0413200000000001E-3</v>
      </c>
      <c r="R4066">
        <v>3.7714900000000003E-2</v>
      </c>
      <c r="S4066">
        <v>3.0094759999999998</v>
      </c>
      <c r="T4066">
        <v>3.9610390000000002E-2</v>
      </c>
      <c r="U4066">
        <v>-0.20013429999999999</v>
      </c>
      <c r="V4066">
        <v>-3.5976090000000002E-2</v>
      </c>
      <c r="W4066">
        <v>1.3650300000000001E-2</v>
      </c>
      <c r="X4066">
        <v>0.99925940000000002</v>
      </c>
      <c r="Y4066">
        <v>6.8087480000000006E-2</v>
      </c>
      <c r="Z4066">
        <v>4.7047639999999997E-4</v>
      </c>
      <c r="AA4066">
        <v>0.99767919999999999</v>
      </c>
      <c r="AB4066">
        <v>35</v>
      </c>
      <c r="AC4066">
        <v>72.102599999999995</v>
      </c>
      <c r="AD4066">
        <v>0.95372199999999996</v>
      </c>
      <c r="AE4066">
        <v>-4.8197000000000099</v>
      </c>
      <c r="AF4066">
        <v>4.9444782404440701</v>
      </c>
      <c r="AG4066">
        <v>0.95372199999999996</v>
      </c>
      <c r="AH4066">
        <v>72.081536288189994</v>
      </c>
      <c r="AI4066">
        <v>89.243731839008902</v>
      </c>
      <c r="AJ4066">
        <v>86.075907082315993</v>
      </c>
      <c r="AK4066">
        <v>72.257216417387397</v>
      </c>
      <c r="AL4066">
        <v>89.217871114192405</v>
      </c>
      <c r="AM4066">
        <v>92.061915258447897</v>
      </c>
      <c r="AN4066">
        <v>0.99999997911506799</v>
      </c>
    </row>
    <row r="4067" spans="1:40" x14ac:dyDescent="0.25">
      <c r="A4067" t="str">
        <f>"20190312160724389"</f>
        <v>20190312160724389</v>
      </c>
      <c r="B4067" t="str">
        <f>"1552378044378954"</f>
        <v>1552378044378954</v>
      </c>
      <c r="C4067" t="s">
        <v>40</v>
      </c>
      <c r="D4067">
        <v>6.3138030000000001</v>
      </c>
      <c r="E4067">
        <v>0.53851380000000004</v>
      </c>
      <c r="F4067" t="s">
        <v>51</v>
      </c>
      <c r="G4067">
        <v>-169.39279999999999</v>
      </c>
      <c r="H4067">
        <v>2.125956</v>
      </c>
      <c r="I4067">
        <v>209.63499999999999</v>
      </c>
      <c r="J4067">
        <v>-241.1422</v>
      </c>
      <c r="K4067">
        <v>1.1093029999999999</v>
      </c>
      <c r="L4067">
        <v>214.3186</v>
      </c>
      <c r="M4067">
        <v>0.99994159999999999</v>
      </c>
      <c r="N4067">
        <v>0</v>
      </c>
      <c r="O4067">
        <v>1.8366859999999999E-3</v>
      </c>
      <c r="P4067">
        <v>0.99926199999999998</v>
      </c>
      <c r="Q4067">
        <v>3.5072340000000001E-3</v>
      </c>
      <c r="R4067">
        <v>3.8251479999999997E-2</v>
      </c>
      <c r="S4067">
        <v>3.0093839999999998</v>
      </c>
      <c r="T4067">
        <v>4.2433859999999997E-2</v>
      </c>
      <c r="U4067">
        <v>-0.19544980000000001</v>
      </c>
      <c r="V4067">
        <v>-3.6418970000000002E-2</v>
      </c>
      <c r="W4067">
        <v>1.413853E-2</v>
      </c>
      <c r="X4067">
        <v>0.99923660000000003</v>
      </c>
      <c r="Y4067">
        <v>6.6636280000000006E-2</v>
      </c>
      <c r="Z4067">
        <v>4.9515669999999998E-4</v>
      </c>
      <c r="AA4067">
        <v>0.99777720000000003</v>
      </c>
      <c r="AB4067">
        <v>35</v>
      </c>
      <c r="AC4067">
        <v>71.749399999999994</v>
      </c>
      <c r="AD4067">
        <v>1.01665299999999</v>
      </c>
      <c r="AE4067">
        <v>-4.68360000000001</v>
      </c>
      <c r="AF4067">
        <v>4.81441817996848</v>
      </c>
      <c r="AG4067">
        <v>1.01665299999999</v>
      </c>
      <c r="AH4067">
        <v>71.726336446307798</v>
      </c>
      <c r="AI4067">
        <v>89.189763790381505</v>
      </c>
      <c r="AJ4067">
        <v>86.159950305185902</v>
      </c>
      <c r="AK4067">
        <v>71.894920166469106</v>
      </c>
      <c r="AL4067">
        <v>89.189894920203898</v>
      </c>
      <c r="AM4067">
        <v>92.087323525363402</v>
      </c>
      <c r="AN4067">
        <v>1.0000000110929901</v>
      </c>
    </row>
    <row r="4068" spans="1:40" x14ac:dyDescent="0.25">
      <c r="A4068" t="str">
        <f>"20190312160724411"</f>
        <v>20190312160724411</v>
      </c>
      <c r="B4068" t="str">
        <f>"1552378044399451"</f>
        <v>1552378044399451</v>
      </c>
      <c r="C4068" t="s">
        <v>40</v>
      </c>
      <c r="D4068">
        <v>6.4149859999999999</v>
      </c>
      <c r="E4068">
        <v>0.53817019999999904</v>
      </c>
      <c r="F4068" t="s">
        <v>51</v>
      </c>
      <c r="G4068">
        <v>-169.39279999999999</v>
      </c>
      <c r="H4068">
        <v>2.184078</v>
      </c>
      <c r="I4068">
        <v>209.75899999999999</v>
      </c>
      <c r="J4068">
        <v>-240.79339999999999</v>
      </c>
      <c r="K4068">
        <v>1.109313</v>
      </c>
      <c r="L4068">
        <v>214.3193</v>
      </c>
      <c r="M4068">
        <v>0.99994119999999997</v>
      </c>
      <c r="N4068">
        <v>0</v>
      </c>
      <c r="O4068">
        <v>1.9294799999999999E-3</v>
      </c>
      <c r="P4068">
        <v>0.99925260000000005</v>
      </c>
      <c r="Q4068">
        <v>2.9059229999999999E-3</v>
      </c>
      <c r="R4068">
        <v>3.8551960000000003E-2</v>
      </c>
      <c r="S4068">
        <v>3.009369</v>
      </c>
      <c r="T4068">
        <v>4.5080540000000002E-2</v>
      </c>
      <c r="U4068">
        <v>-0.1912384</v>
      </c>
      <c r="V4068">
        <v>-3.6626520000000003E-2</v>
      </c>
      <c r="W4068">
        <v>1.357306E-2</v>
      </c>
      <c r="X4068">
        <v>0.99923680000000004</v>
      </c>
      <c r="Y4068">
        <v>6.533783E-2</v>
      </c>
      <c r="Z4068">
        <v>5.1773710000000003E-4</v>
      </c>
      <c r="AA4068">
        <v>0.9978631</v>
      </c>
      <c r="AB4068">
        <v>35</v>
      </c>
      <c r="AC4068">
        <v>71.400599999999997</v>
      </c>
      <c r="AD4068">
        <v>1.074765</v>
      </c>
      <c r="AE4068">
        <v>-4.5602999999999803</v>
      </c>
      <c r="AF4068">
        <v>4.6970054565797099</v>
      </c>
      <c r="AG4068">
        <v>1.074765</v>
      </c>
      <c r="AH4068">
        <v>71.375560931872798</v>
      </c>
      <c r="AI4068">
        <v>89.139173561024407</v>
      </c>
      <c r="AJ4068">
        <v>86.234970140874196</v>
      </c>
      <c r="AK4068">
        <v>71.538015616900196</v>
      </c>
      <c r="AL4068">
        <v>89.222297032506006</v>
      </c>
      <c r="AM4068">
        <v>92.0992080519691</v>
      </c>
      <c r="AN4068">
        <v>0.99999995619965598</v>
      </c>
    </row>
    <row r="4069" spans="1:40" x14ac:dyDescent="0.25">
      <c r="A4069" t="str">
        <f>"20190312160724433"</f>
        <v>20190312160724433</v>
      </c>
      <c r="B4069" t="str">
        <f>"1552378044428881"</f>
        <v>1552378044428881</v>
      </c>
      <c r="C4069" t="s">
        <v>40</v>
      </c>
      <c r="D4069">
        <v>6.3590159999999996</v>
      </c>
      <c r="E4069">
        <v>0.53790749999999998</v>
      </c>
      <c r="F4069" t="s">
        <v>51</v>
      </c>
      <c r="G4069">
        <v>-169.39269999999999</v>
      </c>
      <c r="H4069">
        <v>2.149527</v>
      </c>
      <c r="I4069">
        <v>209.86949999999999</v>
      </c>
      <c r="J4069">
        <v>-240.45</v>
      </c>
      <c r="K4069">
        <v>1.109327</v>
      </c>
      <c r="L4069">
        <v>214.3201</v>
      </c>
      <c r="M4069">
        <v>0.9999403</v>
      </c>
      <c r="N4069">
        <v>0</v>
      </c>
      <c r="O4069">
        <v>2.0208000000000001E-3</v>
      </c>
      <c r="P4069">
        <v>0.99924449999999998</v>
      </c>
      <c r="Q4069">
        <v>2.460889E-3</v>
      </c>
      <c r="R4069">
        <v>3.8786479999999998E-2</v>
      </c>
      <c r="S4069">
        <v>3.0093380000000001</v>
      </c>
      <c r="T4069">
        <v>4.3843510000000002E-2</v>
      </c>
      <c r="U4069">
        <v>-0.18754580000000001</v>
      </c>
      <c r="V4069">
        <v>-3.6769650000000001E-2</v>
      </c>
      <c r="W4069">
        <v>1.318399E-2</v>
      </c>
      <c r="X4069">
        <v>0.99923680000000004</v>
      </c>
      <c r="Y4069">
        <v>6.4210470000000006E-2</v>
      </c>
      <c r="Z4069">
        <v>4.966813E-4</v>
      </c>
      <c r="AA4069">
        <v>0.99793620000000005</v>
      </c>
      <c r="AB4069">
        <v>35</v>
      </c>
      <c r="AC4069">
        <v>71.057299999999998</v>
      </c>
      <c r="AD4069">
        <v>1.0402</v>
      </c>
      <c r="AE4069">
        <v>-4.4505999999999997</v>
      </c>
      <c r="AF4069">
        <v>4.5932113177318001</v>
      </c>
      <c r="AG4069">
        <v>1.0402</v>
      </c>
      <c r="AH4069">
        <v>71.032997923950404</v>
      </c>
      <c r="AI4069">
        <v>89.162774671834399</v>
      </c>
      <c r="AJ4069">
        <v>86.300230214049606</v>
      </c>
      <c r="AK4069">
        <v>71.188948582720897</v>
      </c>
      <c r="AL4069">
        <v>89.244591133617703</v>
      </c>
      <c r="AM4069">
        <v>92.107404005702094</v>
      </c>
      <c r="AN4069">
        <v>1.0000000036138399</v>
      </c>
    </row>
    <row r="4070" spans="1:40" x14ac:dyDescent="0.25">
      <c r="A4070" t="str">
        <f>"20190312160724457"</f>
        <v>20190312160724457</v>
      </c>
      <c r="B4070" t="str">
        <f>"1552378044449381"</f>
        <v>1552378044449381</v>
      </c>
      <c r="C4070" t="s">
        <v>40</v>
      </c>
      <c r="D4070">
        <v>6.2693430000000001</v>
      </c>
      <c r="E4070">
        <v>0.53784259999999995</v>
      </c>
      <c r="F4070" t="s">
        <v>51</v>
      </c>
      <c r="G4070">
        <v>-169.39269999999999</v>
      </c>
      <c r="H4070">
        <v>2.1225130000000001</v>
      </c>
      <c r="I4070">
        <v>209.95760000000001</v>
      </c>
      <c r="J4070">
        <v>-240.07820000000001</v>
      </c>
      <c r="K4070">
        <v>1.1093519999999999</v>
      </c>
      <c r="L4070">
        <v>214.32089999999999</v>
      </c>
      <c r="M4070">
        <v>0.99993909999999997</v>
      </c>
      <c r="N4070">
        <v>0</v>
      </c>
      <c r="O4070">
        <v>2.1198570000000002E-3</v>
      </c>
      <c r="P4070">
        <v>0.99921389999999999</v>
      </c>
      <c r="Q4070">
        <v>3.1674709999999998E-3</v>
      </c>
      <c r="R4070">
        <v>3.9515269999999998E-2</v>
      </c>
      <c r="S4070">
        <v>3.0093380000000001</v>
      </c>
      <c r="T4070">
        <v>4.2910700000000003E-2</v>
      </c>
      <c r="U4070">
        <v>-0.18475340000000001</v>
      </c>
      <c r="V4070">
        <v>-3.7399599999999998E-2</v>
      </c>
      <c r="W4070">
        <v>1.3982140000000001E-2</v>
      </c>
      <c r="X4070">
        <v>0.99920249999999999</v>
      </c>
      <c r="Y4070">
        <v>6.3387219999999994E-2</v>
      </c>
      <c r="Z4070">
        <v>4.8167659999999999E-4</v>
      </c>
      <c r="AA4070">
        <v>0.99798889999999996</v>
      </c>
      <c r="AB4070">
        <v>35</v>
      </c>
      <c r="AC4070">
        <v>70.685500000000005</v>
      </c>
      <c r="AD4070">
        <v>1.013161</v>
      </c>
      <c r="AE4070">
        <v>-4.3632999999999802</v>
      </c>
      <c r="AF4070">
        <v>4.5122186408495804</v>
      </c>
      <c r="AG4070">
        <v>1.013161</v>
      </c>
      <c r="AH4070">
        <v>70.6616290482023</v>
      </c>
      <c r="AI4070">
        <v>89.180207092302695</v>
      </c>
      <c r="AJ4070">
        <v>86.346241335330902</v>
      </c>
      <c r="AK4070">
        <v>70.812798504369894</v>
      </c>
      <c r="AL4070">
        <v>89.198856230478398</v>
      </c>
      <c r="AM4070">
        <v>92.143548876001702</v>
      </c>
      <c r="AN4070">
        <v>0.99999993316269198</v>
      </c>
    </row>
    <row r="4071" spans="1:40" x14ac:dyDescent="0.25">
      <c r="A4071" t="str">
        <f>"20190312160724478"</f>
        <v>20190312160724478</v>
      </c>
      <c r="B4071" t="str">
        <f>"1552378044468897"</f>
        <v>1552378044468897</v>
      </c>
      <c r="C4071" t="s">
        <v>40</v>
      </c>
      <c r="D4071">
        <v>6.3296609999999998</v>
      </c>
      <c r="E4071">
        <v>0.53766910000000001</v>
      </c>
      <c r="F4071" t="s">
        <v>51</v>
      </c>
      <c r="G4071">
        <v>-169.39269999999999</v>
      </c>
      <c r="H4071">
        <v>2.1435550000000001</v>
      </c>
      <c r="I4071">
        <v>210.047</v>
      </c>
      <c r="J4071">
        <v>-239.72659999999999</v>
      </c>
      <c r="K4071">
        <v>1.1093789999999999</v>
      </c>
      <c r="L4071">
        <v>214.32169999999999</v>
      </c>
      <c r="M4071">
        <v>0.99993770000000004</v>
      </c>
      <c r="N4071">
        <v>0</v>
      </c>
      <c r="O4071">
        <v>2.2150199999999998E-3</v>
      </c>
      <c r="P4071">
        <v>0.99918779999999996</v>
      </c>
      <c r="Q4071">
        <v>3.362954E-3</v>
      </c>
      <c r="R4071">
        <v>4.015527E-2</v>
      </c>
      <c r="S4071">
        <v>3.00943</v>
      </c>
      <c r="T4071">
        <v>4.403257E-2</v>
      </c>
      <c r="U4071">
        <v>-0.18196109999999999</v>
      </c>
      <c r="V4071">
        <v>-3.7944499999999999E-2</v>
      </c>
      <c r="W4071">
        <v>1.429587E-2</v>
      </c>
      <c r="X4071">
        <v>0.9991776</v>
      </c>
      <c r="Y4071">
        <v>6.2557470000000004E-2</v>
      </c>
      <c r="Z4071">
        <v>4.8959419999999995E-4</v>
      </c>
      <c r="AA4071">
        <v>0.99804130000000002</v>
      </c>
      <c r="AB4071">
        <v>35</v>
      </c>
      <c r="AC4071">
        <v>70.3339</v>
      </c>
      <c r="AD4071">
        <v>1.034176</v>
      </c>
      <c r="AE4071">
        <v>-4.2746999999999904</v>
      </c>
      <c r="AF4071">
        <v>4.4295356820007701</v>
      </c>
      <c r="AG4071">
        <v>1.034176</v>
      </c>
      <c r="AH4071">
        <v>70.309113306094602</v>
      </c>
      <c r="AI4071">
        <v>89.1589649462951</v>
      </c>
      <c r="AJ4071">
        <v>86.395080141783396</v>
      </c>
      <c r="AK4071">
        <v>70.456097821596302</v>
      </c>
      <c r="AL4071">
        <v>89.180879095681505</v>
      </c>
      <c r="AM4071">
        <v>92.174804056786698</v>
      </c>
      <c r="AN4071">
        <v>1.0000000166605301</v>
      </c>
    </row>
    <row r="4072" spans="1:40" x14ac:dyDescent="0.25">
      <c r="A4072" t="str">
        <f>"20190312160724500"</f>
        <v>20190312160724500</v>
      </c>
      <c r="B4072" t="str">
        <f>"1552378044489394"</f>
        <v>1552378044489394</v>
      </c>
      <c r="C4072" t="s">
        <v>40</v>
      </c>
      <c r="D4072">
        <v>6.2999739999999997</v>
      </c>
      <c r="E4072">
        <v>0.53756230000000005</v>
      </c>
      <c r="F4072" t="s">
        <v>51</v>
      </c>
      <c r="G4072">
        <v>-169.39259999999999</v>
      </c>
      <c r="H4072">
        <v>2.1476380000000002</v>
      </c>
      <c r="I4072">
        <v>210.14689999999999</v>
      </c>
      <c r="J4072">
        <v>-239.3896</v>
      </c>
      <c r="K4072">
        <v>1.1094090000000001</v>
      </c>
      <c r="L4072">
        <v>214.32259999999999</v>
      </c>
      <c r="M4072">
        <v>0.99993589999999999</v>
      </c>
      <c r="N4072">
        <v>0</v>
      </c>
      <c r="O4072">
        <v>2.3061230000000002E-3</v>
      </c>
      <c r="P4072">
        <v>0.99918320000000005</v>
      </c>
      <c r="Q4072">
        <v>3.2352359999999998E-3</v>
      </c>
      <c r="R4072">
        <v>4.0280969999999999E-2</v>
      </c>
      <c r="S4072">
        <v>3.0094449999999999</v>
      </c>
      <c r="T4072">
        <v>4.4426439999999998E-2</v>
      </c>
      <c r="U4072">
        <v>-0.1786346</v>
      </c>
      <c r="V4072">
        <v>-3.7979760000000001E-2</v>
      </c>
      <c r="W4072">
        <v>1.4300159999999999E-2</v>
      </c>
      <c r="X4072">
        <v>0.99917619999999896</v>
      </c>
      <c r="Y4072">
        <v>6.1548819999999997E-2</v>
      </c>
      <c r="Z4072">
        <v>4.8789269999999999E-4</v>
      </c>
      <c r="AA4072">
        <v>0.99810399999999999</v>
      </c>
      <c r="AB4072">
        <v>35</v>
      </c>
      <c r="AC4072">
        <v>69.997</v>
      </c>
      <c r="AD4072">
        <v>1.0382290000000001</v>
      </c>
      <c r="AE4072">
        <v>-4.1757</v>
      </c>
      <c r="AF4072">
        <v>4.3361699201551298</v>
      </c>
      <c r="AG4072">
        <v>1.0382290000000001</v>
      </c>
      <c r="AH4072">
        <v>69.971844192541596</v>
      </c>
      <c r="AI4072">
        <v>89.151545795778205</v>
      </c>
      <c r="AJ4072">
        <v>86.453903204942094</v>
      </c>
      <c r="AK4072">
        <v>70.113759482274304</v>
      </c>
      <c r="AL4072">
        <v>89.1806332725114</v>
      </c>
      <c r="AM4072">
        <v>92.176826101507103</v>
      </c>
      <c r="AN4072">
        <v>1.00000001769606</v>
      </c>
    </row>
    <row r="4073" spans="1:40" x14ac:dyDescent="0.25">
      <c r="A4073" t="str">
        <f>"20190312160724522"</f>
        <v>20190312160724522</v>
      </c>
      <c r="B4073" t="str">
        <f>"1552378044508914"</f>
        <v>1552378044508914</v>
      </c>
      <c r="C4073" t="s">
        <v>40</v>
      </c>
      <c r="D4073">
        <v>6.323035</v>
      </c>
      <c r="E4073">
        <v>0.53752759999999999</v>
      </c>
      <c r="F4073" t="s">
        <v>51</v>
      </c>
      <c r="G4073">
        <v>-169.39259999999999</v>
      </c>
      <c r="H4073">
        <v>2.109467</v>
      </c>
      <c r="I4073">
        <v>210.19120000000001</v>
      </c>
      <c r="J4073">
        <v>-239.04060000000001</v>
      </c>
      <c r="K4073">
        <v>1.1094459999999999</v>
      </c>
      <c r="L4073">
        <v>214.3235</v>
      </c>
      <c r="M4073">
        <v>0.99993379999999998</v>
      </c>
      <c r="N4073">
        <v>0</v>
      </c>
      <c r="O4073">
        <v>2.3927319999999998E-3</v>
      </c>
      <c r="P4073">
        <v>0.99918220000000002</v>
      </c>
      <c r="Q4073">
        <v>2.9073879999999999E-3</v>
      </c>
      <c r="R4073">
        <v>4.0336240000000002E-2</v>
      </c>
      <c r="S4073">
        <v>3.0094599999999998</v>
      </c>
      <c r="T4073">
        <v>4.2997960000000002E-2</v>
      </c>
      <c r="U4073">
        <v>-0.1776276</v>
      </c>
      <c r="V4073">
        <v>-3.7948389999999999E-2</v>
      </c>
      <c r="W4073">
        <v>1.41514E-2</v>
      </c>
      <c r="X4073">
        <v>0.9991795</v>
      </c>
      <c r="Y4073">
        <v>6.1302599999999999E-2</v>
      </c>
      <c r="Z4073">
        <v>4.71688E-4</v>
      </c>
      <c r="AA4073">
        <v>0.99811910000000004</v>
      </c>
      <c r="AB4073">
        <v>35</v>
      </c>
      <c r="AC4073">
        <v>69.647999999999996</v>
      </c>
      <c r="AD4073">
        <v>1.0000209999999901</v>
      </c>
      <c r="AE4073">
        <v>-4.1322999999999803</v>
      </c>
      <c r="AF4073">
        <v>4.2980647498006403</v>
      </c>
      <c r="AG4073">
        <v>1.0000209999999901</v>
      </c>
      <c r="AH4073">
        <v>69.623609349546797</v>
      </c>
      <c r="AI4073">
        <v>89.178666558904695</v>
      </c>
      <c r="AJ4073">
        <v>86.467450383857994</v>
      </c>
      <c r="AK4073">
        <v>69.763316875362307</v>
      </c>
      <c r="AL4073">
        <v>89.189157447097699</v>
      </c>
      <c r="AM4073">
        <v>92.175022667581899</v>
      </c>
      <c r="AN4073">
        <v>1.0000000078229001</v>
      </c>
    </row>
    <row r="4074" spans="1:40" x14ac:dyDescent="0.25">
      <c r="A4074" t="str">
        <f>"20190312160724545"</f>
        <v>20190312160724545</v>
      </c>
      <c r="B4074" t="str">
        <f>"1552378044539169"</f>
        <v>1552378044539169</v>
      </c>
      <c r="C4074" t="s">
        <v>40</v>
      </c>
      <c r="D4074">
        <v>6.3479650000000003</v>
      </c>
      <c r="E4074">
        <v>0.53733759999999997</v>
      </c>
      <c r="F4074" t="s">
        <v>51</v>
      </c>
      <c r="G4074">
        <v>-169.39259999999999</v>
      </c>
      <c r="H4074">
        <v>2.0927449999999999</v>
      </c>
      <c r="I4074">
        <v>210.22640000000001</v>
      </c>
      <c r="J4074">
        <v>-238.67590000000001</v>
      </c>
      <c r="K4074">
        <v>1.109488</v>
      </c>
      <c r="L4074">
        <v>214.3245</v>
      </c>
      <c r="M4074">
        <v>0.99993069999999895</v>
      </c>
      <c r="N4074">
        <v>0</v>
      </c>
      <c r="O4074">
        <v>2.478156E-3</v>
      </c>
      <c r="P4074">
        <v>0.99919060000000004</v>
      </c>
      <c r="Q4074">
        <v>2.3776439999999999E-3</v>
      </c>
      <c r="R4074">
        <v>4.0158909999999999E-2</v>
      </c>
      <c r="S4074">
        <v>3.0094759999999998</v>
      </c>
      <c r="T4074">
        <v>4.2489529999999998E-2</v>
      </c>
      <c r="U4074">
        <v>-0.17703250000000001</v>
      </c>
      <c r="V4074">
        <v>-3.7685530000000002E-2</v>
      </c>
      <c r="W4074">
        <v>1.3884870000000001E-2</v>
      </c>
      <c r="X4074">
        <v>0.9991932</v>
      </c>
      <c r="Y4074">
        <v>6.1191049999999997E-2</v>
      </c>
      <c r="Z4074">
        <v>4.6652999999999999E-4</v>
      </c>
      <c r="AA4074">
        <v>0.99812599999999996</v>
      </c>
      <c r="AB4074">
        <v>35</v>
      </c>
      <c r="AC4074">
        <v>69.283299999999997</v>
      </c>
      <c r="AD4074">
        <v>0.98325699999999905</v>
      </c>
      <c r="AE4074">
        <v>-4.0980999999999801</v>
      </c>
      <c r="AF4074">
        <v>4.2689368113075696</v>
      </c>
      <c r="AG4074">
        <v>0.98325699999999905</v>
      </c>
      <c r="AH4074">
        <v>69.259030128303195</v>
      </c>
      <c r="AI4074">
        <v>89.188178035614897</v>
      </c>
      <c r="AJ4074">
        <v>86.472907308328701</v>
      </c>
      <c r="AK4074">
        <v>69.397434175480797</v>
      </c>
      <c r="AL4074">
        <v>89.204430001374305</v>
      </c>
      <c r="AM4074">
        <v>92.159941505072894</v>
      </c>
      <c r="AN4074">
        <v>1.00000001985626</v>
      </c>
    </row>
    <row r="4075" spans="1:40" x14ac:dyDescent="0.25">
      <c r="A4075" t="str">
        <f>"20190312160724569"</f>
        <v>20190312160724569</v>
      </c>
      <c r="B4075" t="str">
        <f>"1552378044559666"</f>
        <v>1552378044559666</v>
      </c>
      <c r="C4075" t="s">
        <v>40</v>
      </c>
      <c r="D4075">
        <v>6.7942210000000003</v>
      </c>
      <c r="E4075">
        <v>0.53733889999999995</v>
      </c>
      <c r="F4075" t="s">
        <v>51</v>
      </c>
      <c r="G4075">
        <v>-168.8066</v>
      </c>
      <c r="H4075">
        <v>2.0736940000000001</v>
      </c>
      <c r="I4075">
        <v>210.2363</v>
      </c>
      <c r="J4075">
        <v>-238.2936</v>
      </c>
      <c r="K4075">
        <v>1.1095410000000001</v>
      </c>
      <c r="L4075">
        <v>214.32550000000001</v>
      </c>
      <c r="M4075">
        <v>0.99992650000000005</v>
      </c>
      <c r="N4075">
        <v>0</v>
      </c>
      <c r="O4075">
        <v>2.5766550000000002E-3</v>
      </c>
      <c r="P4075">
        <v>0.99921119999999997</v>
      </c>
      <c r="Q4075">
        <v>1.7797519999999999E-3</v>
      </c>
      <c r="R4075">
        <v>3.9676900000000001E-2</v>
      </c>
      <c r="S4075">
        <v>3.0094150000000002</v>
      </c>
      <c r="T4075">
        <v>4.1531800000000001E-2</v>
      </c>
      <c r="U4075">
        <v>-0.1760864</v>
      </c>
      <c r="V4075">
        <v>-3.7104400000000003E-2</v>
      </c>
      <c r="W4075">
        <v>1.36174E-2</v>
      </c>
      <c r="X4075">
        <v>0.99921859999999996</v>
      </c>
      <c r="Y4075">
        <v>6.0978160000000003E-2</v>
      </c>
      <c r="Z4075">
        <v>4.5591929999999999E-4</v>
      </c>
      <c r="AA4075">
        <v>0.998139</v>
      </c>
      <c r="AB4075">
        <v>35</v>
      </c>
      <c r="AC4075">
        <v>69.486999999999995</v>
      </c>
      <c r="AD4075">
        <v>0.96415299999999904</v>
      </c>
      <c r="AE4075">
        <v>-4.0891999999999999</v>
      </c>
      <c r="AF4075">
        <v>4.26742426987634</v>
      </c>
      <c r="AG4075">
        <v>0.96415299999999904</v>
      </c>
      <c r="AH4075">
        <v>69.462904982745101</v>
      </c>
      <c r="AI4075">
        <v>89.206275385428597</v>
      </c>
      <c r="AJ4075">
        <v>86.484476280896004</v>
      </c>
      <c r="AK4075">
        <v>69.600543600954794</v>
      </c>
      <c r="AL4075">
        <v>89.219756329352904</v>
      </c>
      <c r="AM4075">
        <v>92.126610923202506</v>
      </c>
      <c r="AN4075">
        <v>0.99999999033403997</v>
      </c>
    </row>
    <row r="4076" spans="1:40" x14ac:dyDescent="0.25">
      <c r="A4076" t="str">
        <f>"20190312160724591"</f>
        <v>20190312160724591</v>
      </c>
      <c r="B4076" t="str">
        <f>"1552378044579186"</f>
        <v>1552378044579186</v>
      </c>
      <c r="C4076" t="s">
        <v>40</v>
      </c>
      <c r="D4076">
        <v>6.3961119999999996</v>
      </c>
      <c r="E4076">
        <v>0.53735059999999901</v>
      </c>
      <c r="F4076" t="s">
        <v>51</v>
      </c>
      <c r="G4076">
        <v>-169.01490000000001</v>
      </c>
      <c r="H4076">
        <v>1.9985010000000001</v>
      </c>
      <c r="I4076">
        <v>210.2364</v>
      </c>
      <c r="J4076">
        <v>-237.95079999999999</v>
      </c>
      <c r="K4076">
        <v>1.109586</v>
      </c>
      <c r="L4076">
        <v>214.32650000000001</v>
      </c>
      <c r="M4076">
        <v>0.9999228</v>
      </c>
      <c r="N4076">
        <v>0</v>
      </c>
      <c r="O4076">
        <v>2.6714719999999998E-3</v>
      </c>
      <c r="P4076">
        <v>0.99921729999999997</v>
      </c>
      <c r="Q4076">
        <v>1.833096E-3</v>
      </c>
      <c r="R4076">
        <v>3.951934E-2</v>
      </c>
      <c r="S4076">
        <v>3.0093839999999998</v>
      </c>
      <c r="T4076">
        <v>3.8616900000000003E-2</v>
      </c>
      <c r="U4076">
        <v>-0.1776276</v>
      </c>
      <c r="V4076">
        <v>-3.6852160000000002E-2</v>
      </c>
      <c r="W4076">
        <v>1.3970700000000001E-2</v>
      </c>
      <c r="X4076">
        <v>0.99922310000000003</v>
      </c>
      <c r="Y4076">
        <v>6.1583550000000001E-2</v>
      </c>
      <c r="Z4076">
        <v>4.290179E-4</v>
      </c>
      <c r="AA4076">
        <v>0.99810180000000004</v>
      </c>
      <c r="AB4076">
        <v>35</v>
      </c>
      <c r="AC4076">
        <v>68.935899999999904</v>
      </c>
      <c r="AD4076">
        <v>0.88891499999999901</v>
      </c>
      <c r="AE4076">
        <v>-4.0900999999999996</v>
      </c>
      <c r="AF4076">
        <v>4.2735511941000599</v>
      </c>
      <c r="AG4076">
        <v>0.88891499999999901</v>
      </c>
      <c r="AH4076">
        <v>68.913308148327701</v>
      </c>
      <c r="AI4076">
        <v>89.262397633038503</v>
      </c>
      <c r="AJ4076">
        <v>86.451435912207401</v>
      </c>
      <c r="AK4076">
        <v>69.051411641125696</v>
      </c>
      <c r="AL4076">
        <v>89.199511838083694</v>
      </c>
      <c r="AM4076">
        <v>92.1121576117459</v>
      </c>
      <c r="AN4076">
        <v>1.0000000328643801</v>
      </c>
    </row>
    <row r="4077" spans="1:40" x14ac:dyDescent="0.25">
      <c r="A4077" t="str">
        <f>"20190312160724615"</f>
        <v>20190312160724615</v>
      </c>
      <c r="B4077" t="str">
        <f>"1552378044609442"</f>
        <v>1552378044609442</v>
      </c>
      <c r="C4077" t="s">
        <v>40</v>
      </c>
      <c r="D4077">
        <v>6.2566449999999998</v>
      </c>
      <c r="E4077">
        <v>0.5558128</v>
      </c>
      <c r="F4077" t="s">
        <v>51</v>
      </c>
      <c r="G4077">
        <v>-168.86959999999999</v>
      </c>
      <c r="H4077">
        <v>2.0059110000000002</v>
      </c>
      <c r="I4077">
        <v>210.2363</v>
      </c>
      <c r="J4077">
        <v>-237.58179999999999</v>
      </c>
      <c r="K4077">
        <v>1.109621</v>
      </c>
      <c r="L4077">
        <v>214.32759999999999</v>
      </c>
      <c r="M4077">
        <v>0.99991870000000005</v>
      </c>
      <c r="N4077">
        <v>0</v>
      </c>
      <c r="O4077">
        <v>2.774126E-3</v>
      </c>
      <c r="P4077">
        <v>0.99920869999999995</v>
      </c>
      <c r="Q4077">
        <v>1.6413199999999999E-3</v>
      </c>
      <c r="R4077">
        <v>3.9742279999999998E-2</v>
      </c>
      <c r="S4077">
        <v>3.0093230000000002</v>
      </c>
      <c r="T4077">
        <v>3.9047239999999997E-2</v>
      </c>
      <c r="U4077">
        <v>-0.1781769</v>
      </c>
      <c r="V4077">
        <v>-3.6972169999999999E-2</v>
      </c>
      <c r="W4077">
        <v>1.408036E-2</v>
      </c>
      <c r="X4077">
        <v>0.99921709999999997</v>
      </c>
      <c r="Y4077">
        <v>6.1868630000000001E-2</v>
      </c>
      <c r="Z4077">
        <v>4.3698389999999998E-4</v>
      </c>
      <c r="AA4077">
        <v>0.99808419999999998</v>
      </c>
      <c r="AB4077">
        <v>35</v>
      </c>
      <c r="AC4077">
        <v>68.712199999999996</v>
      </c>
      <c r="AD4077">
        <v>0.89629000000000003</v>
      </c>
      <c r="AE4077">
        <v>-4.0912999999999897</v>
      </c>
      <c r="AF4077">
        <v>4.28118945325983</v>
      </c>
      <c r="AG4077">
        <v>0.89629000000000003</v>
      </c>
      <c r="AH4077">
        <v>68.688938835786402</v>
      </c>
      <c r="AI4077">
        <v>89.253864142161703</v>
      </c>
      <c r="AJ4077">
        <v>86.433527730870793</v>
      </c>
      <c r="AK4077">
        <v>68.828062861635203</v>
      </c>
      <c r="AL4077">
        <v>89.193228142878297</v>
      </c>
      <c r="AM4077">
        <v>92.119042359178806</v>
      </c>
      <c r="AN4077">
        <v>1.0000000054123199</v>
      </c>
    </row>
    <row r="4078" spans="1:40" x14ac:dyDescent="0.25">
      <c r="A4078" t="str">
        <f>"20190312160724637"</f>
        <v>20190312160724637</v>
      </c>
      <c r="B4078" t="str">
        <f>"1552378044628961"</f>
        <v>1552378044628961</v>
      </c>
      <c r="C4078" t="s">
        <v>40</v>
      </c>
      <c r="D4078">
        <v>6.0365760000000002</v>
      </c>
      <c r="E4078">
        <v>0.57223780000000002</v>
      </c>
      <c r="F4078" t="s">
        <v>44</v>
      </c>
      <c r="G4078">
        <v>-236.5652</v>
      </c>
      <c r="H4078">
        <v>1.0018180000000001</v>
      </c>
      <c r="I4078">
        <v>214.2141</v>
      </c>
      <c r="J4078">
        <v>-237.22659999999999</v>
      </c>
      <c r="K4078">
        <v>1.10965</v>
      </c>
      <c r="L4078">
        <v>214.3287</v>
      </c>
      <c r="M4078">
        <v>0.99991509999999995</v>
      </c>
      <c r="N4078">
        <v>0</v>
      </c>
      <c r="O4078">
        <v>2.8682619999999999E-3</v>
      </c>
      <c r="P4078">
        <v>0.99921020000000005</v>
      </c>
      <c r="Q4078">
        <v>1.1685210000000001E-3</v>
      </c>
      <c r="R4078">
        <v>3.9721369999999999E-2</v>
      </c>
      <c r="S4078">
        <v>3.016327</v>
      </c>
      <c r="T4078">
        <v>-0.31989260000000003</v>
      </c>
      <c r="U4078">
        <v>-0.33663939999999998</v>
      </c>
      <c r="V4078">
        <v>-3.6857460000000002E-2</v>
      </c>
      <c r="W4078">
        <v>1.387248E-2</v>
      </c>
      <c r="X4078">
        <v>0.99922420000000001</v>
      </c>
      <c r="Y4078">
        <v>0.1131249</v>
      </c>
      <c r="Z4078">
        <v>-6.2659680000000002E-3</v>
      </c>
      <c r="AA4078">
        <v>0.99356100000000003</v>
      </c>
      <c r="AB4078">
        <v>35</v>
      </c>
      <c r="AC4078">
        <v>0.661399999999986</v>
      </c>
      <c r="AD4078">
        <v>-0.107831999999999</v>
      </c>
      <c r="AE4078">
        <v>-0.114599999999995</v>
      </c>
      <c r="AF4078">
        <v>0.113566066326984</v>
      </c>
      <c r="AG4078">
        <v>-0.107831999999999</v>
      </c>
      <c r="AH4078">
        <v>0.64443818874325098</v>
      </c>
      <c r="AI4078">
        <v>99.3575566624814</v>
      </c>
      <c r="AJ4078">
        <v>80.005671585016799</v>
      </c>
      <c r="AK4078">
        <v>0.66319346404776003</v>
      </c>
      <c r="AL4078">
        <v>89.205139916836998</v>
      </c>
      <c r="AM4078">
        <v>92.112458779209703</v>
      </c>
      <c r="AN4078">
        <v>0.99999995996232005</v>
      </c>
    </row>
    <row r="4079" spans="1:40" x14ac:dyDescent="0.25">
      <c r="A4079" t="str">
        <f>"20190312160724657"</f>
        <v>20190312160724657</v>
      </c>
      <c r="B4079" t="str">
        <f>"1552378044649458"</f>
        <v>1552378044649458</v>
      </c>
      <c r="C4079" t="s">
        <v>40</v>
      </c>
      <c r="D4079">
        <v>6.1653339999999996</v>
      </c>
      <c r="E4079">
        <v>0.56370290000000001</v>
      </c>
      <c r="F4079" t="s">
        <v>44</v>
      </c>
      <c r="G4079">
        <v>-236.298</v>
      </c>
      <c r="H4079">
        <v>0.89824009999999999</v>
      </c>
      <c r="I4079">
        <v>214.18109999999999</v>
      </c>
      <c r="J4079">
        <v>-236.923</v>
      </c>
      <c r="K4079">
        <v>1.1096729999999999</v>
      </c>
      <c r="L4079">
        <v>214.3296</v>
      </c>
      <c r="M4079">
        <v>0.99991220000000003</v>
      </c>
      <c r="N4079">
        <v>0</v>
      </c>
      <c r="O4079">
        <v>2.9458750000000001E-3</v>
      </c>
      <c r="P4079">
        <v>0.99922809999999995</v>
      </c>
      <c r="Q4079">
        <v>5.5868740000000001E-4</v>
      </c>
      <c r="R4079">
        <v>3.9279769999999999E-2</v>
      </c>
      <c r="S4079">
        <v>3.0222169999999999</v>
      </c>
      <c r="T4079">
        <v>-0.68817439999999996</v>
      </c>
      <c r="U4079">
        <v>-0.47950739999999997</v>
      </c>
      <c r="V4079">
        <v>-3.6337830000000002E-2</v>
      </c>
      <c r="W4079">
        <v>1.347102E-2</v>
      </c>
      <c r="X4079">
        <v>0.99924869999999999</v>
      </c>
      <c r="Y4079">
        <v>0.15564819999999999</v>
      </c>
      <c r="Z4079">
        <v>-1.8050710000000001E-2</v>
      </c>
      <c r="AA4079">
        <v>0.98764759999999996</v>
      </c>
      <c r="AB4079">
        <v>35</v>
      </c>
      <c r="AC4079">
        <v>0.625</v>
      </c>
      <c r="AD4079">
        <v>-0.21143289999999901</v>
      </c>
      <c r="AE4079">
        <v>-0.14850000000001201</v>
      </c>
      <c r="AF4079">
        <v>0.13564656685420401</v>
      </c>
      <c r="AG4079">
        <v>-0.21143289999999901</v>
      </c>
      <c r="AH4079">
        <v>0.56351607903437595</v>
      </c>
      <c r="AI4079">
        <v>110.041127667494</v>
      </c>
      <c r="AJ4079">
        <v>76.465557490173794</v>
      </c>
      <c r="AK4079">
        <v>0.61697182563875597</v>
      </c>
      <c r="AL4079">
        <v>89.228144012593305</v>
      </c>
      <c r="AM4079">
        <v>92.082651955294594</v>
      </c>
      <c r="AN4079">
        <v>0.99999993536031695</v>
      </c>
    </row>
    <row r="4080" spans="1:40" x14ac:dyDescent="0.25">
      <c r="A4080" t="str">
        <f>"20190312160724678"</f>
        <v>20190312160724678</v>
      </c>
      <c r="B4080" t="str">
        <f>"1552378044668977"</f>
        <v>1552378044668977</v>
      </c>
      <c r="C4080" t="s">
        <v>40</v>
      </c>
      <c r="D4080">
        <v>6.0161439999999997</v>
      </c>
      <c r="E4080">
        <v>0.56308319999999901</v>
      </c>
      <c r="F4080" t="s">
        <v>44</v>
      </c>
      <c r="G4080">
        <v>-235.97989999999999</v>
      </c>
      <c r="H4080">
        <v>0.91131899999999999</v>
      </c>
      <c r="I4080">
        <v>214.2012</v>
      </c>
      <c r="J4080">
        <v>-236.57929999999999</v>
      </c>
      <c r="K4080">
        <v>1.109693</v>
      </c>
      <c r="L4080">
        <v>214.33070000000001</v>
      </c>
      <c r="M4080">
        <v>0.99990919999999905</v>
      </c>
      <c r="N4080">
        <v>0</v>
      </c>
      <c r="O4080">
        <v>3.0322610000000001E-3</v>
      </c>
      <c r="P4080">
        <v>0.99923169999999994</v>
      </c>
      <c r="Q4080">
        <v>5.7121370000000002E-4</v>
      </c>
      <c r="R4080">
        <v>3.919007E-2</v>
      </c>
      <c r="S4080">
        <v>3.0188139999999999</v>
      </c>
      <c r="T4080">
        <v>-0.63494499999999998</v>
      </c>
      <c r="U4080">
        <v>-0.41075129999999999</v>
      </c>
      <c r="V4080">
        <v>-3.6161899999999997E-2</v>
      </c>
      <c r="W4080">
        <v>1.3697020000000001E-2</v>
      </c>
      <c r="X4080">
        <v>0.99925209999999998</v>
      </c>
      <c r="Y4080">
        <v>0.1348626</v>
      </c>
      <c r="Z4080">
        <v>-1.4595149999999999E-2</v>
      </c>
      <c r="AA4080">
        <v>0.99075679999999999</v>
      </c>
      <c r="AB4080">
        <v>35</v>
      </c>
      <c r="AC4080">
        <v>0.59940000000000204</v>
      </c>
      <c r="AD4080">
        <v>-0.198373999999999</v>
      </c>
      <c r="AE4080">
        <v>-0.129500000000007</v>
      </c>
      <c r="AF4080">
        <v>0.118877072040562</v>
      </c>
      <c r="AG4080">
        <v>-0.198373999999999</v>
      </c>
      <c r="AH4080">
        <v>0.54225920125691596</v>
      </c>
      <c r="AI4080">
        <v>109.663972683493</v>
      </c>
      <c r="AJ4080">
        <v>77.634912527694993</v>
      </c>
      <c r="AK4080">
        <v>0.58951593997170704</v>
      </c>
      <c r="AL4080">
        <v>89.2151940413342</v>
      </c>
      <c r="AM4080">
        <v>92.072570542273596</v>
      </c>
      <c r="AN4080">
        <v>1.0000000253614401</v>
      </c>
    </row>
    <row r="4081" spans="1:40" x14ac:dyDescent="0.25">
      <c r="A4081" t="str">
        <f>"20190312160724701"</f>
        <v>20190312160724701</v>
      </c>
      <c r="B4081" t="str">
        <f>"1552378044689474"</f>
        <v>1552378044689474</v>
      </c>
      <c r="C4081" t="s">
        <v>40</v>
      </c>
      <c r="D4081">
        <v>6.2504980000000003</v>
      </c>
      <c r="E4081">
        <v>0.5624846</v>
      </c>
      <c r="F4081" t="s">
        <v>44</v>
      </c>
      <c r="G4081">
        <v>-235.6601</v>
      </c>
      <c r="H4081">
        <v>0.92685430000000002</v>
      </c>
      <c r="I4081">
        <v>214.2071</v>
      </c>
      <c r="J4081">
        <v>-236.22669999999999</v>
      </c>
      <c r="K4081">
        <v>1.109702</v>
      </c>
      <c r="L4081">
        <v>214.33179999999999</v>
      </c>
      <c r="M4081">
        <v>0.99990630000000003</v>
      </c>
      <c r="N4081">
        <v>0</v>
      </c>
      <c r="O4081">
        <v>3.1217089999999999E-3</v>
      </c>
      <c r="P4081">
        <v>0.99922549999999999</v>
      </c>
      <c r="Q4081">
        <v>7.5352939999999999E-4</v>
      </c>
      <c r="R4081">
        <v>3.9346260000000001E-2</v>
      </c>
      <c r="S4081">
        <v>3.0185240000000002</v>
      </c>
      <c r="T4081">
        <v>-0.60045519999999997</v>
      </c>
      <c r="U4081">
        <v>-0.40487669999999998</v>
      </c>
      <c r="V4081">
        <v>-3.6229360000000002E-2</v>
      </c>
      <c r="W4081">
        <v>1.407416E-2</v>
      </c>
      <c r="X4081">
        <v>0.99924440000000003</v>
      </c>
      <c r="Y4081">
        <v>0.13340529999999901</v>
      </c>
      <c r="Z4081">
        <v>-1.369546E-2</v>
      </c>
      <c r="AA4081">
        <v>0.99096689999999998</v>
      </c>
      <c r="AB4081">
        <v>35</v>
      </c>
      <c r="AC4081">
        <v>0.566599999999994</v>
      </c>
      <c r="AD4081">
        <v>-0.182847699999999</v>
      </c>
      <c r="AE4081">
        <v>-0.12469999999999</v>
      </c>
      <c r="AF4081">
        <v>0.11504119012306201</v>
      </c>
      <c r="AG4081">
        <v>-0.182847699999999</v>
      </c>
      <c r="AH4081">
        <v>0.51504787183839496</v>
      </c>
      <c r="AI4081">
        <v>109.109846661736</v>
      </c>
      <c r="AJ4081">
        <v>77.409074845401193</v>
      </c>
      <c r="AK4081">
        <v>0.55851774108391505</v>
      </c>
      <c r="AL4081">
        <v>89.193583415385703</v>
      </c>
      <c r="AM4081">
        <v>92.076449526523504</v>
      </c>
      <c r="AN4081">
        <v>1.00000000971853</v>
      </c>
    </row>
    <row r="4082" spans="1:40" x14ac:dyDescent="0.25">
      <c r="A4082" t="str">
        <f>"20190312160724723"</f>
        <v>20190312160724723</v>
      </c>
      <c r="B4082" t="str">
        <f>"1552378044719730"</f>
        <v>1552378044719730</v>
      </c>
      <c r="C4082" t="s">
        <v>40</v>
      </c>
      <c r="D4082">
        <v>6.3345289999999999</v>
      </c>
      <c r="E4082">
        <v>0.56111</v>
      </c>
      <c r="F4082" t="s">
        <v>44</v>
      </c>
      <c r="G4082">
        <v>-235.3416</v>
      </c>
      <c r="H4082">
        <v>0.93950180000000005</v>
      </c>
      <c r="I4082">
        <v>214.2148</v>
      </c>
      <c r="J4082">
        <v>-235.87950000000001</v>
      </c>
      <c r="K4082">
        <v>1.109715</v>
      </c>
      <c r="L4082">
        <v>214.333</v>
      </c>
      <c r="M4082">
        <v>0.99990369999999995</v>
      </c>
      <c r="N4082">
        <v>0</v>
      </c>
      <c r="O4082">
        <v>3.2114729999999998E-3</v>
      </c>
      <c r="P4082">
        <v>0.99923090000000003</v>
      </c>
      <c r="Q4082">
        <v>4.0025260000000002E-4</v>
      </c>
      <c r="R4082">
        <v>3.9216359999999999E-2</v>
      </c>
      <c r="S4082">
        <v>3.0184479999999998</v>
      </c>
      <c r="T4082">
        <v>-0.58036359999999998</v>
      </c>
      <c r="U4082">
        <v>-0.39884950000000002</v>
      </c>
      <c r="V4082">
        <v>-3.600979E-2</v>
      </c>
      <c r="W4082">
        <v>1.3891550000000001E-2</v>
      </c>
      <c r="X4082">
        <v>0.99925489999999995</v>
      </c>
      <c r="Y4082">
        <v>0.131751799999999</v>
      </c>
      <c r="Z4082">
        <v>-1.310767E-2</v>
      </c>
      <c r="AA4082">
        <v>0.99119610000000002</v>
      </c>
      <c r="AB4082">
        <v>35</v>
      </c>
      <c r="AC4082">
        <v>0.53790000000000704</v>
      </c>
      <c r="AD4082">
        <v>-0.17021319999999901</v>
      </c>
      <c r="AE4082">
        <v>-0.118200000000001</v>
      </c>
      <c r="AF4082">
        <v>0.10947019440965799</v>
      </c>
      <c r="AG4082">
        <v>-0.17021319999999901</v>
      </c>
      <c r="AH4082">
        <v>0.49064977893655898</v>
      </c>
      <c r="AI4082">
        <v>108.705526407614</v>
      </c>
      <c r="AJ4082">
        <v>77.422582101622197</v>
      </c>
      <c r="AK4082">
        <v>0.53074802165323498</v>
      </c>
      <c r="AL4082">
        <v>89.204047226906198</v>
      </c>
      <c r="AM4082">
        <v>92.063854339727499</v>
      </c>
      <c r="AN4082">
        <v>1.0000000176556201</v>
      </c>
    </row>
    <row r="4083" spans="1:40" x14ac:dyDescent="0.25">
      <c r="A4083" t="str">
        <f>"20190312160724746"</f>
        <v>20190312160724746</v>
      </c>
      <c r="B4083" t="str">
        <f>"1552378044739250"</f>
        <v>1552378044739250</v>
      </c>
      <c r="C4083" t="s">
        <v>40</v>
      </c>
      <c r="D4083">
        <v>6.0186070000000003</v>
      </c>
      <c r="E4083">
        <v>0.56048669999999901</v>
      </c>
      <c r="F4083" t="s">
        <v>44</v>
      </c>
      <c r="G4083">
        <v>-235.02539999999999</v>
      </c>
      <c r="H4083">
        <v>0.94780730000000002</v>
      </c>
      <c r="I4083">
        <v>214.22300000000001</v>
      </c>
      <c r="J4083">
        <v>-235.5224</v>
      </c>
      <c r="K4083">
        <v>1.109721</v>
      </c>
      <c r="L4083">
        <v>214.33430000000001</v>
      </c>
      <c r="M4083">
        <v>0.99990120000000005</v>
      </c>
      <c r="N4083">
        <v>0</v>
      </c>
      <c r="O4083">
        <v>3.3051399999999998E-3</v>
      </c>
      <c r="P4083">
        <v>0.99924210000000002</v>
      </c>
      <c r="Q4083">
        <v>4.0180240000000001E-4</v>
      </c>
      <c r="R4083">
        <v>3.8925290000000001E-2</v>
      </c>
      <c r="S4083">
        <v>3.017792</v>
      </c>
      <c r="T4083">
        <v>-0.57216639999999996</v>
      </c>
      <c r="U4083">
        <v>-0.38815309999999997</v>
      </c>
      <c r="V4083">
        <v>-3.5624719999999999E-2</v>
      </c>
      <c r="W4083">
        <v>1.404794E-2</v>
      </c>
      <c r="X4083">
        <v>0.99926649999999995</v>
      </c>
      <c r="Y4083">
        <v>0.12853729999999999</v>
      </c>
      <c r="Z4083">
        <v>-1.2648070000000001E-2</v>
      </c>
      <c r="AA4083">
        <v>0.99162399999999995</v>
      </c>
      <c r="AB4083">
        <v>35</v>
      </c>
      <c r="AC4083">
        <v>0.49700000000001399</v>
      </c>
      <c r="AD4083">
        <v>-0.16191369999999899</v>
      </c>
      <c r="AE4083">
        <v>-0.111300000000028</v>
      </c>
      <c r="AF4083">
        <v>0.102575372498308</v>
      </c>
      <c r="AG4083">
        <v>-0.16191369999999899</v>
      </c>
      <c r="AH4083">
        <v>0.45104437994128899</v>
      </c>
      <c r="AI4083">
        <v>109.29195820016101</v>
      </c>
      <c r="AJ4083">
        <v>77.187848268437605</v>
      </c>
      <c r="AK4083">
        <v>0.490080387250376</v>
      </c>
      <c r="AL4083">
        <v>89.195085852755099</v>
      </c>
      <c r="AM4083">
        <v>92.041779651528898</v>
      </c>
      <c r="AN4083">
        <v>1.0000000016577799</v>
      </c>
    </row>
    <row r="4084" spans="1:40" x14ac:dyDescent="0.25">
      <c r="A4084" t="str">
        <f>"20190312160724767"</f>
        <v>20190312160724767</v>
      </c>
      <c r="B4084" t="str">
        <f>"1552378044759760"</f>
        <v>1552378044759760</v>
      </c>
      <c r="C4084" t="s">
        <v>40</v>
      </c>
      <c r="D4084">
        <v>5.9943419999999996</v>
      </c>
      <c r="E4084">
        <v>0.56007030000000002</v>
      </c>
      <c r="F4084" t="s">
        <v>44</v>
      </c>
      <c r="G4084">
        <v>-234.70849999999999</v>
      </c>
      <c r="H4084">
        <v>0.95823760000000002</v>
      </c>
      <c r="I4084">
        <v>214.23079999999999</v>
      </c>
      <c r="J4084">
        <v>-235.18389999999999</v>
      </c>
      <c r="K4084">
        <v>1.109726</v>
      </c>
      <c r="L4084">
        <v>214.3355</v>
      </c>
      <c r="M4084">
        <v>0.99989930000000005</v>
      </c>
      <c r="N4084">
        <v>0</v>
      </c>
      <c r="O4084">
        <v>3.3943240000000002E-3</v>
      </c>
      <c r="P4084">
        <v>0.99923059999999997</v>
      </c>
      <c r="Q4084">
        <v>1.2380440000000001E-4</v>
      </c>
      <c r="R4084">
        <v>3.9223250000000001E-2</v>
      </c>
      <c r="S4084">
        <v>3.0174560000000001</v>
      </c>
      <c r="T4084">
        <v>-0.56162209999999901</v>
      </c>
      <c r="U4084">
        <v>-0.38363649999999999</v>
      </c>
      <c r="V4084">
        <v>-3.5833490000000003E-2</v>
      </c>
      <c r="W4084">
        <v>1.389727E-2</v>
      </c>
      <c r="X4084">
        <v>0.99926110000000001</v>
      </c>
      <c r="Y4084">
        <v>0.12728159999999999</v>
      </c>
      <c r="Z4084">
        <v>-1.2322380000000001E-2</v>
      </c>
      <c r="AA4084">
        <v>0.99179010000000001</v>
      </c>
      <c r="AB4084">
        <v>35</v>
      </c>
      <c r="AC4084">
        <v>0.47540000000000698</v>
      </c>
      <c r="AD4084">
        <v>-0.151488399999999</v>
      </c>
      <c r="AE4084">
        <v>-0.104700000000008</v>
      </c>
      <c r="AF4084">
        <v>9.6926510134733898E-2</v>
      </c>
      <c r="AG4084">
        <v>-0.151488399999999</v>
      </c>
      <c r="AH4084">
        <v>0.43309902096767</v>
      </c>
      <c r="AI4084">
        <v>108.84653101247601</v>
      </c>
      <c r="AJ4084">
        <v>77.385207616492494</v>
      </c>
      <c r="AK4084">
        <v>0.46895441746998501</v>
      </c>
      <c r="AL4084">
        <v>89.203719417138998</v>
      </c>
      <c r="AM4084">
        <v>92.053745876573402</v>
      </c>
      <c r="AN4084">
        <v>0.99999995954611998</v>
      </c>
    </row>
    <row r="4085" spans="1:40" x14ac:dyDescent="0.25">
      <c r="A4085" t="str">
        <f>"20190312160724791"</f>
        <v>20190312160724791</v>
      </c>
      <c r="B4085" t="str">
        <f>"1552378044779265"</f>
        <v>1552378044779265</v>
      </c>
      <c r="C4085" t="s">
        <v>40</v>
      </c>
      <c r="D4085">
        <v>6.2305320000000002</v>
      </c>
      <c r="E4085">
        <v>0.55990899999999999</v>
      </c>
      <c r="F4085" t="s">
        <v>44</v>
      </c>
      <c r="G4085">
        <v>-234.3938</v>
      </c>
      <c r="H4085">
        <v>0.96453359999999999</v>
      </c>
      <c r="I4085">
        <v>214.23609999999999</v>
      </c>
      <c r="J4085">
        <v>-234.82</v>
      </c>
      <c r="K4085">
        <v>1.1097300000000001</v>
      </c>
      <c r="L4085">
        <v>214.33680000000001</v>
      </c>
      <c r="M4085">
        <v>0.99989720000000004</v>
      </c>
      <c r="N4085">
        <v>0</v>
      </c>
      <c r="O4085">
        <v>3.4901149999999998E-3</v>
      </c>
      <c r="P4085">
        <v>0.99922010000000006</v>
      </c>
      <c r="Q4085">
        <v>-2.4065929999999999E-4</v>
      </c>
      <c r="R4085">
        <v>3.948803E-2</v>
      </c>
      <c r="S4085">
        <v>3.0172729999999999</v>
      </c>
      <c r="T4085">
        <v>-0.55463769999999901</v>
      </c>
      <c r="U4085">
        <v>-0.37916559999999999</v>
      </c>
      <c r="V4085">
        <v>-3.6002289999999999E-2</v>
      </c>
      <c r="W4085">
        <v>1.365268E-2</v>
      </c>
      <c r="X4085">
        <v>0.99925850000000005</v>
      </c>
      <c r="Y4085">
        <v>0.12601029999999999</v>
      </c>
      <c r="Z4085">
        <v>-1.207544E-2</v>
      </c>
      <c r="AA4085">
        <v>0.99195549999999999</v>
      </c>
      <c r="AB4085">
        <v>35</v>
      </c>
      <c r="AC4085">
        <v>0.42619999999999397</v>
      </c>
      <c r="AD4085">
        <v>-0.1451964</v>
      </c>
      <c r="AE4085">
        <v>-0.100700000000017</v>
      </c>
      <c r="AF4085">
        <v>9.2066676252300403E-2</v>
      </c>
      <c r="AG4085">
        <v>-0.1451964</v>
      </c>
      <c r="AH4085">
        <v>0.38367122343837101</v>
      </c>
      <c r="AI4085">
        <v>110.20326390723601</v>
      </c>
      <c r="AJ4085">
        <v>76.506302503680004</v>
      </c>
      <c r="AK4085">
        <v>0.42043058302626202</v>
      </c>
      <c r="AL4085">
        <v>89.217734797039896</v>
      </c>
      <c r="AM4085">
        <v>92.063417431168503</v>
      </c>
      <c r="AN4085">
        <v>1.00000005518933</v>
      </c>
    </row>
    <row r="4086" spans="1:40" x14ac:dyDescent="0.25">
      <c r="A4086" t="str">
        <f>"20190312160724813"</f>
        <v>20190312160724813</v>
      </c>
      <c r="B4086" t="str">
        <f>"1552378044809521"</f>
        <v>1552378044809521</v>
      </c>
      <c r="C4086" t="s">
        <v>40</v>
      </c>
      <c r="D4086">
        <v>6.1798159999999998</v>
      </c>
      <c r="E4086">
        <v>0.5586084</v>
      </c>
      <c r="F4086" t="s">
        <v>44</v>
      </c>
      <c r="G4086">
        <v>-234.0787</v>
      </c>
      <c r="H4086">
        <v>0.97251180000000004</v>
      </c>
      <c r="I4086">
        <v>214.244</v>
      </c>
      <c r="J4086">
        <v>-234.4794</v>
      </c>
      <c r="K4086">
        <v>1.1097300000000001</v>
      </c>
      <c r="L4086">
        <v>214.3381</v>
      </c>
      <c r="M4086">
        <v>0.99989550000000005</v>
      </c>
      <c r="N4086">
        <v>0</v>
      </c>
      <c r="O4086">
        <v>3.579264E-3</v>
      </c>
      <c r="P4086">
        <v>0.99921660000000001</v>
      </c>
      <c r="Q4086">
        <v>-6.7558789999999896E-4</v>
      </c>
      <c r="R4086">
        <v>3.9574440000000002E-2</v>
      </c>
      <c r="S4086">
        <v>3.0171199999999998</v>
      </c>
      <c r="T4086">
        <v>-0.55857880000000004</v>
      </c>
      <c r="U4086">
        <v>-0.37747190000000003</v>
      </c>
      <c r="V4086">
        <v>-3.59996E-2</v>
      </c>
      <c r="W4086">
        <v>1.331511E-2</v>
      </c>
      <c r="X4086">
        <v>0.99926309999999996</v>
      </c>
      <c r="Y4086">
        <v>0.12553259999999999</v>
      </c>
      <c r="Z4086">
        <v>-1.213347E-2</v>
      </c>
      <c r="AA4086">
        <v>0.99201530000000004</v>
      </c>
      <c r="AB4086">
        <v>35</v>
      </c>
      <c r="AC4086">
        <v>0.4007</v>
      </c>
      <c r="AD4086">
        <v>-0.13721819999999901</v>
      </c>
      <c r="AE4086">
        <v>-9.4099999999969E-2</v>
      </c>
      <c r="AF4086">
        <v>8.5978130372845504E-2</v>
      </c>
      <c r="AG4086">
        <v>-0.13721819999999901</v>
      </c>
      <c r="AH4086">
        <v>0.36031512930534698</v>
      </c>
      <c r="AI4086">
        <v>110.32605846292201</v>
      </c>
      <c r="AJ4086">
        <v>76.579091974165905</v>
      </c>
      <c r="AK4086">
        <v>0.3950291960349</v>
      </c>
      <c r="AL4086">
        <v>89.237077851195394</v>
      </c>
      <c r="AM4086">
        <v>92.063253901293805</v>
      </c>
      <c r="AN4086">
        <v>1.0000000031880401</v>
      </c>
    </row>
    <row r="4087" spans="1:40" x14ac:dyDescent="0.25">
      <c r="A4087" t="str">
        <f>"20190312160724835"</f>
        <v>20190312160724835</v>
      </c>
      <c r="B4087" t="str">
        <f>"1552378044829042"</f>
        <v>1552378044829042</v>
      </c>
      <c r="C4087" t="s">
        <v>40</v>
      </c>
      <c r="D4087">
        <v>6.2509050000000004</v>
      </c>
      <c r="E4087">
        <v>0.55876289999999995</v>
      </c>
      <c r="F4087" t="s">
        <v>44</v>
      </c>
      <c r="G4087">
        <v>-233.76589999999999</v>
      </c>
      <c r="H4087">
        <v>0.97652669999999997</v>
      </c>
      <c r="I4087">
        <v>214.25110000000001</v>
      </c>
      <c r="J4087">
        <v>-234.1309</v>
      </c>
      <c r="K4087">
        <v>1.1097349999999999</v>
      </c>
      <c r="L4087">
        <v>214.33940000000001</v>
      </c>
      <c r="M4087">
        <v>0.99989410000000001</v>
      </c>
      <c r="N4087">
        <v>0</v>
      </c>
      <c r="O4087">
        <v>3.6700370000000001E-3</v>
      </c>
      <c r="P4087">
        <v>0.99920759999999997</v>
      </c>
      <c r="Q4087">
        <v>-6.1772390000000002E-4</v>
      </c>
      <c r="R4087">
        <v>3.9800210000000003E-2</v>
      </c>
      <c r="S4087">
        <v>3.0164949999999999</v>
      </c>
      <c r="T4087">
        <v>-0.56328549999999999</v>
      </c>
      <c r="U4087">
        <v>-0.3665466</v>
      </c>
      <c r="V4087">
        <v>-3.6134850000000003E-2</v>
      </c>
      <c r="W4087">
        <v>1.345815E-2</v>
      </c>
      <c r="X4087">
        <v>0.99925629999999999</v>
      </c>
      <c r="Y4087">
        <v>0.1221262</v>
      </c>
      <c r="Z4087">
        <v>-1.194167E-2</v>
      </c>
      <c r="AA4087">
        <v>0.99244270000000001</v>
      </c>
      <c r="AB4087">
        <v>35</v>
      </c>
      <c r="AC4087">
        <v>0.36500000000000898</v>
      </c>
      <c r="AD4087">
        <v>-0.1332083</v>
      </c>
      <c r="AE4087">
        <v>-8.8300000000003806E-2</v>
      </c>
      <c r="AF4087">
        <v>7.9620626304594905E-2</v>
      </c>
      <c r="AG4087">
        <v>-0.1332083</v>
      </c>
      <c r="AH4087">
        <v>0.32391587573276398</v>
      </c>
      <c r="AI4087">
        <v>111.76958031553799</v>
      </c>
      <c r="AJ4087">
        <v>76.190115269690097</v>
      </c>
      <c r="AK4087">
        <v>0.35917320316770501</v>
      </c>
      <c r="AL4087">
        <v>89.228881526900906</v>
      </c>
      <c r="AM4087">
        <v>92.071012861348507</v>
      </c>
      <c r="AN4087">
        <v>1.0000000011378101</v>
      </c>
    </row>
    <row r="4088" spans="1:40" x14ac:dyDescent="0.25">
      <c r="A4088" t="str">
        <f>"20190312160724857"</f>
        <v>20190312160724857</v>
      </c>
      <c r="B4088" t="str">
        <f>"1552378044849541"</f>
        <v>1552378044849541</v>
      </c>
      <c r="C4088" t="s">
        <v>40</v>
      </c>
      <c r="D4088">
        <v>6.1749850000000004</v>
      </c>
      <c r="E4088">
        <v>0.55884699999999998</v>
      </c>
      <c r="F4088" t="s">
        <v>44</v>
      </c>
      <c r="G4088">
        <v>-233.16579999999999</v>
      </c>
      <c r="H4088">
        <v>0.93151519999999999</v>
      </c>
      <c r="I4088">
        <v>214.2218</v>
      </c>
      <c r="J4088">
        <v>-233.78970000000001</v>
      </c>
      <c r="K4088">
        <v>1.1097459999999999</v>
      </c>
      <c r="L4088">
        <v>214.3408</v>
      </c>
      <c r="M4088">
        <v>0.99989269999999997</v>
      </c>
      <c r="N4088">
        <v>0</v>
      </c>
      <c r="O4088">
        <v>3.7592329999999998E-3</v>
      </c>
      <c r="P4088">
        <v>0.99920220000000004</v>
      </c>
      <c r="Q4088">
        <v>-6.5260570000000003E-4</v>
      </c>
      <c r="R4088">
        <v>3.9932420000000003E-2</v>
      </c>
      <c r="S4088">
        <v>3.0166469999999999</v>
      </c>
      <c r="T4088">
        <v>-0.55718909999999999</v>
      </c>
      <c r="U4088">
        <v>-0.36688229999999999</v>
      </c>
      <c r="V4088">
        <v>-3.6178200000000001E-2</v>
      </c>
      <c r="W4088">
        <v>1.3494859999999999E-2</v>
      </c>
      <c r="X4088">
        <v>0.99925419999999998</v>
      </c>
      <c r="Y4088">
        <v>0.1223582</v>
      </c>
      <c r="Z4088">
        <v>-1.185136E-2</v>
      </c>
      <c r="AA4088">
        <v>0.99241520000000005</v>
      </c>
      <c r="AB4088">
        <v>35</v>
      </c>
      <c r="AC4088">
        <v>0.62390000000001999</v>
      </c>
      <c r="AD4088">
        <v>-0.178230799999999</v>
      </c>
      <c r="AE4088">
        <v>-0.118999999999999</v>
      </c>
      <c r="AF4088">
        <v>0.11248711456706401</v>
      </c>
      <c r="AG4088">
        <v>-0.178230799999999</v>
      </c>
      <c r="AH4088">
        <v>0.57793906773064196</v>
      </c>
      <c r="AI4088">
        <v>106.84158103737001</v>
      </c>
      <c r="AJ4088">
        <v>78.985944589752506</v>
      </c>
      <c r="AK4088">
        <v>0.61516919219156896</v>
      </c>
      <c r="AL4088">
        <v>89.226777979720595</v>
      </c>
      <c r="AM4088">
        <v>92.073499585711005</v>
      </c>
      <c r="AN4088">
        <v>0.99999996480964903</v>
      </c>
    </row>
    <row r="4089" spans="1:40" x14ac:dyDescent="0.25">
      <c r="A4089" t="str">
        <f>"20190312160724879"</f>
        <v>20190312160724879</v>
      </c>
      <c r="B4089" t="str">
        <f>"1552378044869058"</f>
        <v>1552378044869058</v>
      </c>
      <c r="C4089" t="s">
        <v>40</v>
      </c>
      <c r="D4089">
        <v>6.1534420000000001</v>
      </c>
      <c r="E4089">
        <v>0.57808539999999997</v>
      </c>
      <c r="F4089" t="s">
        <v>44</v>
      </c>
      <c r="G4089">
        <v>-232.85290000000001</v>
      </c>
      <c r="H4089">
        <v>0.93828460000000002</v>
      </c>
      <c r="I4089">
        <v>214.22669999999999</v>
      </c>
      <c r="J4089">
        <v>-233.45</v>
      </c>
      <c r="K4089">
        <v>1.1097509999999999</v>
      </c>
      <c r="L4089">
        <v>214.34219999999999</v>
      </c>
      <c r="M4089">
        <v>0.99989150000000004</v>
      </c>
      <c r="N4089">
        <v>0</v>
      </c>
      <c r="O4089">
        <v>3.8479590000000002E-3</v>
      </c>
      <c r="P4089">
        <v>0.99917659999999997</v>
      </c>
      <c r="Q4089">
        <v>-7.0995839999999895E-4</v>
      </c>
      <c r="R4089">
        <v>4.0568229999999997E-2</v>
      </c>
      <c r="S4089">
        <v>3.0167079999999999</v>
      </c>
      <c r="T4089">
        <v>-0.55216399999999999</v>
      </c>
      <c r="U4089">
        <v>-0.36712650000000002</v>
      </c>
      <c r="V4089">
        <v>-3.6725180000000003E-2</v>
      </c>
      <c r="W4089">
        <v>1.349915E-2</v>
      </c>
      <c r="X4089">
        <v>0.99923419999999996</v>
      </c>
      <c r="Y4089">
        <v>0.1225559</v>
      </c>
      <c r="Z4089">
        <v>-1.177985E-2</v>
      </c>
      <c r="AA4089">
        <v>0.99239169999999999</v>
      </c>
      <c r="AB4089">
        <v>35</v>
      </c>
      <c r="AC4089">
        <v>0.59709999999998298</v>
      </c>
      <c r="AD4089">
        <v>-0.17146639999999999</v>
      </c>
      <c r="AE4089">
        <v>-0.11549999999999699</v>
      </c>
      <c r="AF4089">
        <v>0.109122856836966</v>
      </c>
      <c r="AG4089">
        <v>-0.17146639999999999</v>
      </c>
      <c r="AH4089">
        <v>0.55271590635539403</v>
      </c>
      <c r="AI4089">
        <v>106.92764305095599</v>
      </c>
      <c r="AJ4089">
        <v>78.831708425086902</v>
      </c>
      <c r="AK4089">
        <v>0.58890015906899396</v>
      </c>
      <c r="AL4089">
        <v>89.226532167216106</v>
      </c>
      <c r="AM4089">
        <v>92.104863032114295</v>
      </c>
      <c r="AN4089">
        <v>0.99999997617319702</v>
      </c>
    </row>
    <row r="4090" spans="1:40" x14ac:dyDescent="0.25">
      <c r="A4090" t="str">
        <f>"20190312160724901"</f>
        <v>20190312160724901</v>
      </c>
      <c r="B4090" t="str">
        <f>"1552378044889555"</f>
        <v>1552378044889555</v>
      </c>
      <c r="C4090" t="s">
        <v>40</v>
      </c>
      <c r="D4090">
        <v>6.2536209999999999</v>
      </c>
      <c r="E4090">
        <v>0.57778750000000001</v>
      </c>
      <c r="F4090" t="s">
        <v>44</v>
      </c>
      <c r="G4090">
        <v>-232.5812</v>
      </c>
      <c r="H4090">
        <v>0.84775999999999996</v>
      </c>
      <c r="I4090">
        <v>214.18950000000001</v>
      </c>
      <c r="J4090">
        <v>-233.1114</v>
      </c>
      <c r="K4090">
        <v>1.1097549999999901</v>
      </c>
      <c r="L4090">
        <v>214.34350000000001</v>
      </c>
      <c r="M4090">
        <v>0.99989030000000001</v>
      </c>
      <c r="N4090">
        <v>0</v>
      </c>
      <c r="O4090">
        <v>3.9370990000000003E-3</v>
      </c>
      <c r="P4090">
        <v>0.99917610000000001</v>
      </c>
      <c r="Q4090">
        <v>-2.020914E-4</v>
      </c>
      <c r="R4090">
        <v>4.0585660000000003E-2</v>
      </c>
      <c r="S4090">
        <v>3.0233759999999998</v>
      </c>
      <c r="T4090">
        <v>-0.91182039999999998</v>
      </c>
      <c r="U4090">
        <v>-0.53051759999999903</v>
      </c>
      <c r="V4090">
        <v>-3.6653440000000002E-2</v>
      </c>
      <c r="W4090">
        <v>1.405986E-2</v>
      </c>
      <c r="X4090">
        <v>0.99922909999999998</v>
      </c>
      <c r="Y4090">
        <v>0.1692283</v>
      </c>
      <c r="Z4090">
        <v>-2.5939549999999999E-2</v>
      </c>
      <c r="AA4090">
        <v>0.98523550000000004</v>
      </c>
      <c r="AB4090">
        <v>35</v>
      </c>
      <c r="AC4090">
        <v>0.530200000000007</v>
      </c>
      <c r="AD4090">
        <v>-0.26199499999999898</v>
      </c>
      <c r="AE4090">
        <v>-0.153999999999996</v>
      </c>
      <c r="AF4090">
        <v>0.12739873692435</v>
      </c>
      <c r="AG4090">
        <v>-0.26199499999999898</v>
      </c>
      <c r="AH4090">
        <v>0.43225422258163898</v>
      </c>
      <c r="AI4090">
        <v>120.17318335005599</v>
      </c>
      <c r="AJ4090">
        <v>73.578118324101396</v>
      </c>
      <c r="AK4090">
        <v>0.52126339899764396</v>
      </c>
      <c r="AL4090">
        <v>89.194402797572195</v>
      </c>
      <c r="AM4090">
        <v>92.100765733542403</v>
      </c>
      <c r="AN4090">
        <v>0.99999997430693099</v>
      </c>
    </row>
    <row r="4091" spans="1:40" x14ac:dyDescent="0.25">
      <c r="A4091" t="str">
        <f>"20190312160724924"</f>
        <v>20190312160724924</v>
      </c>
      <c r="B4091" t="str">
        <f>"1552378044918835"</f>
        <v>1552378044918835</v>
      </c>
      <c r="C4091" t="s">
        <v>40</v>
      </c>
      <c r="D4091">
        <v>6.0752040000000003</v>
      </c>
      <c r="E4091">
        <v>0.56640409999999997</v>
      </c>
      <c r="F4091" t="s">
        <v>44</v>
      </c>
      <c r="G4091">
        <v>-232.26849999999999</v>
      </c>
      <c r="H4091">
        <v>0.85656399999999999</v>
      </c>
      <c r="I4091">
        <v>214.19630000000001</v>
      </c>
      <c r="J4091">
        <v>-232.75290000000001</v>
      </c>
      <c r="K4091">
        <v>1.1097669999999999</v>
      </c>
      <c r="L4091">
        <v>214.345</v>
      </c>
      <c r="M4091">
        <v>0.99988929999999998</v>
      </c>
      <c r="N4091">
        <v>0</v>
      </c>
      <c r="O4091">
        <v>4.0311619999999996E-3</v>
      </c>
      <c r="P4091">
        <v>0.99917880000000003</v>
      </c>
      <c r="Q4091">
        <v>2.296213E-4</v>
      </c>
      <c r="R4091">
        <v>4.0519470000000002E-2</v>
      </c>
      <c r="S4091">
        <v>3.0237430000000001</v>
      </c>
      <c r="T4091">
        <v>-0.90831660000000003</v>
      </c>
      <c r="U4091">
        <v>-0.52780150000000003</v>
      </c>
      <c r="V4091">
        <v>-3.6493560000000001E-2</v>
      </c>
      <c r="W4091">
        <v>1.454046E-2</v>
      </c>
      <c r="X4091">
        <v>0.99922809999999995</v>
      </c>
      <c r="Y4091">
        <v>0.16852449999999999</v>
      </c>
      <c r="Z4091">
        <v>-2.5767680000000001E-2</v>
      </c>
      <c r="AA4091">
        <v>0.98536060000000003</v>
      </c>
      <c r="AB4091">
        <v>35</v>
      </c>
      <c r="AC4091">
        <v>0.48440000000002198</v>
      </c>
      <c r="AD4091">
        <v>-0.25320300000000001</v>
      </c>
      <c r="AE4091">
        <v>-0.14869999999999001</v>
      </c>
      <c r="AF4091">
        <v>0.120550272725364</v>
      </c>
      <c r="AG4091">
        <v>-0.25320300000000001</v>
      </c>
      <c r="AH4091">
        <v>0.38713013768351301</v>
      </c>
      <c r="AI4091">
        <v>121.983752934134</v>
      </c>
      <c r="AJ4091">
        <v>72.703688323807498</v>
      </c>
      <c r="AK4091">
        <v>0.47803124475918501</v>
      </c>
      <c r="AL4091">
        <v>89.166863650726697</v>
      </c>
      <c r="AM4091">
        <v>92.091612573620495</v>
      </c>
      <c r="AN4091">
        <v>1.0000000003640399</v>
      </c>
    </row>
    <row r="4092" spans="1:40" x14ac:dyDescent="0.25">
      <c r="A4092" t="str">
        <f>"20190312160724947"</f>
        <v>20190312160724947</v>
      </c>
      <c r="B4092" t="str">
        <f>"1552378044939335"</f>
        <v>1552378044939335</v>
      </c>
      <c r="C4092" t="s">
        <v>40</v>
      </c>
      <c r="D4092">
        <v>6.0161259999999999</v>
      </c>
      <c r="E4092">
        <v>0.56566729999999998</v>
      </c>
      <c r="F4092" t="s">
        <v>44</v>
      </c>
      <c r="G4092">
        <v>-231.93199999999999</v>
      </c>
      <c r="H4092">
        <v>0.92397839999999998</v>
      </c>
      <c r="I4092">
        <v>214.22800000000001</v>
      </c>
      <c r="J4092">
        <v>-232.40389999999999</v>
      </c>
      <c r="K4092">
        <v>1.1097779999999999</v>
      </c>
      <c r="L4092">
        <v>214.34649999999999</v>
      </c>
      <c r="M4092">
        <v>0.99988840000000001</v>
      </c>
      <c r="N4092">
        <v>0</v>
      </c>
      <c r="O4092">
        <v>4.1228979999999998E-3</v>
      </c>
      <c r="P4092">
        <v>0.99917400000000001</v>
      </c>
      <c r="Q4092">
        <v>4.2235109999999999E-4</v>
      </c>
      <c r="R4092">
        <v>4.0639960000000003E-2</v>
      </c>
      <c r="S4092">
        <v>3.0200499999999999</v>
      </c>
      <c r="T4092">
        <v>-0.68360299999999996</v>
      </c>
      <c r="U4092">
        <v>-0.42962650000000002</v>
      </c>
      <c r="V4092">
        <v>-3.6522029999999997E-2</v>
      </c>
      <c r="W4092">
        <v>1.477266E-2</v>
      </c>
      <c r="X4092">
        <v>0.99922359999999999</v>
      </c>
      <c r="Y4092">
        <v>0.14131340000000001</v>
      </c>
      <c r="Z4092">
        <v>-1.6634779999999998E-2</v>
      </c>
      <c r="AA4092">
        <v>0.98982510000000001</v>
      </c>
      <c r="AB4092">
        <v>35</v>
      </c>
      <c r="AC4092">
        <v>0.47189999999997601</v>
      </c>
      <c r="AD4092">
        <v>-0.18579960000000001</v>
      </c>
      <c r="AE4092">
        <v>-0.118500000000011</v>
      </c>
      <c r="AF4092">
        <v>0.105116190236963</v>
      </c>
      <c r="AG4092">
        <v>-0.18579960000000001</v>
      </c>
      <c r="AH4092">
        <v>0.41141296154346102</v>
      </c>
      <c r="AI4092">
        <v>113.632127852735</v>
      </c>
      <c r="AJ4092">
        <v>75.667529235811898</v>
      </c>
      <c r="AK4092">
        <v>0.46349922301558899</v>
      </c>
      <c r="AL4092">
        <v>89.153558095897296</v>
      </c>
      <c r="AM4092">
        <v>92.093252286847104</v>
      </c>
      <c r="AN4092">
        <v>0.99999994647787604</v>
      </c>
    </row>
    <row r="4093" spans="1:40" x14ac:dyDescent="0.25">
      <c r="A4093" t="str">
        <f>"20190312160724968"</f>
        <v>20190312160724968</v>
      </c>
      <c r="B4093" t="str">
        <f>"1552378044959827"</f>
        <v>1552378044959827</v>
      </c>
      <c r="C4093" t="s">
        <v>40</v>
      </c>
      <c r="D4093">
        <v>5.7791449999999998</v>
      </c>
      <c r="E4093">
        <v>0.56484730000000005</v>
      </c>
      <c r="F4093" t="s">
        <v>44</v>
      </c>
      <c r="G4093">
        <v>-231.62209999999999</v>
      </c>
      <c r="H4093">
        <v>0.9276837</v>
      </c>
      <c r="I4093">
        <v>214.23660000000001</v>
      </c>
      <c r="J4093">
        <v>-232.07320000000001</v>
      </c>
      <c r="K4093">
        <v>1.109785</v>
      </c>
      <c r="L4093">
        <v>214.34800000000001</v>
      </c>
      <c r="M4093">
        <v>0.99988750000000004</v>
      </c>
      <c r="N4093">
        <v>0</v>
      </c>
      <c r="O4093">
        <v>4.2096240000000004E-3</v>
      </c>
      <c r="P4093">
        <v>0.99919999999999998</v>
      </c>
      <c r="Q4093">
        <v>6.535286E-4</v>
      </c>
      <c r="R4093">
        <v>3.9988360000000001E-2</v>
      </c>
      <c r="S4093">
        <v>3.020035</v>
      </c>
      <c r="T4093">
        <v>-0.70343769999999906</v>
      </c>
      <c r="U4093">
        <v>-0.42424010000000001</v>
      </c>
      <c r="V4093">
        <v>-3.5783820000000001E-2</v>
      </c>
      <c r="W4093">
        <v>1.5036799999999999E-2</v>
      </c>
      <c r="X4093">
        <v>0.99924639999999998</v>
      </c>
      <c r="Y4093">
        <v>0.13950319999999999</v>
      </c>
      <c r="Z4093">
        <v>-1.6920109999999999E-2</v>
      </c>
      <c r="AA4093">
        <v>0.99007699999999998</v>
      </c>
      <c r="AB4093">
        <v>35</v>
      </c>
      <c r="AC4093">
        <v>0.45110000000002498</v>
      </c>
      <c r="AD4093">
        <v>-0.18210129999999999</v>
      </c>
      <c r="AE4093">
        <v>-0.11139999999997401</v>
      </c>
      <c r="AF4093">
        <v>9.8213305987072702E-2</v>
      </c>
      <c r="AG4093">
        <v>-0.18210129999999999</v>
      </c>
      <c r="AH4093">
        <v>0.39062914442486102</v>
      </c>
      <c r="AI4093">
        <v>114.327904571443</v>
      </c>
      <c r="AJ4093">
        <v>75.887025032831204</v>
      </c>
      <c r="AK4093">
        <v>0.44203830762582003</v>
      </c>
      <c r="AL4093">
        <v>89.138422333281596</v>
      </c>
      <c r="AM4093">
        <v>92.050931688622597</v>
      </c>
      <c r="AN4093">
        <v>0.99999997752049496</v>
      </c>
    </row>
    <row r="4094" spans="1:40" x14ac:dyDescent="0.25">
      <c r="A4094" t="str">
        <f>"20190312160724992"</f>
        <v>20190312160724992</v>
      </c>
      <c r="B4094" t="str">
        <f>"1552378044979346"</f>
        <v>1552378044979346</v>
      </c>
      <c r="C4094" t="s">
        <v>40</v>
      </c>
      <c r="D4094">
        <v>6.0587429999999998</v>
      </c>
      <c r="E4094">
        <v>0.52903290000000003</v>
      </c>
      <c r="F4094" t="s">
        <v>44</v>
      </c>
      <c r="G4094">
        <v>-231.31319999999999</v>
      </c>
      <c r="H4094">
        <v>0.92971939999999997</v>
      </c>
      <c r="I4094">
        <v>214.2423</v>
      </c>
      <c r="J4094">
        <v>-231.71420000000001</v>
      </c>
      <c r="K4094">
        <v>1.1097939999999999</v>
      </c>
      <c r="L4094">
        <v>214.34960000000001</v>
      </c>
      <c r="M4094">
        <v>0.99988679999999996</v>
      </c>
      <c r="N4094">
        <v>0</v>
      </c>
      <c r="O4094">
        <v>4.3035779999999997E-3</v>
      </c>
      <c r="P4094">
        <v>0.99922350000000004</v>
      </c>
      <c r="Q4094">
        <v>4.1346619999999999E-4</v>
      </c>
      <c r="R4094">
        <v>3.9397300000000003E-2</v>
      </c>
      <c r="S4094">
        <v>3.0196529999999999</v>
      </c>
      <c r="T4094">
        <v>-0.71550559999999996</v>
      </c>
      <c r="U4094">
        <v>-0.41960140000000001</v>
      </c>
      <c r="V4094">
        <v>-3.5098280000000003E-2</v>
      </c>
      <c r="W4094">
        <v>1.482701E-2</v>
      </c>
      <c r="X4094">
        <v>0.99927390000000005</v>
      </c>
      <c r="Y4094">
        <v>0.13802819999999999</v>
      </c>
      <c r="Z4094">
        <v>-1.7056869999999998E-2</v>
      </c>
      <c r="AA4094">
        <v>0.99028139999999998</v>
      </c>
      <c r="AB4094">
        <v>34</v>
      </c>
      <c r="AC4094">
        <v>0.40100000000001002</v>
      </c>
      <c r="AD4094">
        <v>-0.180074599999999</v>
      </c>
      <c r="AE4094">
        <v>-0.107300000000009</v>
      </c>
      <c r="AF4094">
        <v>9.1757575811815803E-2</v>
      </c>
      <c r="AG4094">
        <v>-0.180074599999999</v>
      </c>
      <c r="AH4094">
        <v>0.33709789768796</v>
      </c>
      <c r="AI4094">
        <v>117.26825709468601</v>
      </c>
      <c r="AJ4094">
        <v>74.773078745536296</v>
      </c>
      <c r="AK4094">
        <v>0.39304110078929799</v>
      </c>
      <c r="AL4094">
        <v>89.150443798579602</v>
      </c>
      <c r="AM4094">
        <v>92.011617589220293</v>
      </c>
      <c r="AN4094">
        <v>1.0000000283528501</v>
      </c>
    </row>
    <row r="4095" spans="1:40" x14ac:dyDescent="0.25">
      <c r="A4095" t="str">
        <f>"20190312160725016"</f>
        <v>20190312160725016</v>
      </c>
      <c r="B4095" t="str">
        <f>"1552378045009602"</f>
        <v>1552378045009602</v>
      </c>
      <c r="C4095" t="s">
        <v>40</v>
      </c>
      <c r="D4095">
        <v>6.0630119999999996</v>
      </c>
      <c r="E4095">
        <v>0.50747640000000005</v>
      </c>
      <c r="F4095" t="s">
        <v>44</v>
      </c>
      <c r="G4095">
        <v>-230.93860000000001</v>
      </c>
      <c r="H4095">
        <v>1.050189</v>
      </c>
      <c r="I4095">
        <v>214.31829999999999</v>
      </c>
      <c r="J4095">
        <v>-231.35480000000001</v>
      </c>
      <c r="K4095">
        <v>1.1097969999999999</v>
      </c>
      <c r="L4095">
        <v>214.35130000000001</v>
      </c>
      <c r="M4095">
        <v>0.99988589999999999</v>
      </c>
      <c r="N4095">
        <v>0</v>
      </c>
      <c r="O4095">
        <v>4.3979240000000001E-3</v>
      </c>
      <c r="P4095">
        <v>0.99923189999999995</v>
      </c>
      <c r="Q4095">
        <v>3.8820880000000002E-4</v>
      </c>
      <c r="R4095">
        <v>3.9185360000000002E-2</v>
      </c>
      <c r="S4095">
        <v>3.0071870000000001</v>
      </c>
      <c r="T4095">
        <v>-0.23122229999999999</v>
      </c>
      <c r="U4095">
        <v>-0.1207428</v>
      </c>
      <c r="V4095">
        <v>-3.4792360000000001E-2</v>
      </c>
      <c r="W4095">
        <v>1.482701E-2</v>
      </c>
      <c r="X4095">
        <v>0.99928459999999997</v>
      </c>
      <c r="Y4095">
        <v>4.4369819999999997E-2</v>
      </c>
      <c r="Z4095">
        <v>-2.0401629999999998E-3</v>
      </c>
      <c r="AA4095">
        <v>0.99901309999999999</v>
      </c>
      <c r="AB4095">
        <v>34</v>
      </c>
      <c r="AC4095">
        <v>0.41620000000000301</v>
      </c>
      <c r="AD4095">
        <v>-5.96079999999998E-2</v>
      </c>
      <c r="AE4095">
        <v>-3.3000000000015399E-2</v>
      </c>
      <c r="AF4095">
        <v>3.4134500210449198E-2</v>
      </c>
      <c r="AG4095">
        <v>-5.96079999999998E-2</v>
      </c>
      <c r="AH4095">
        <v>0.40773958248811798</v>
      </c>
      <c r="AI4095">
        <v>98.288640026954795</v>
      </c>
      <c r="AJ4095">
        <v>85.214560837154906</v>
      </c>
      <c r="AK4095">
        <v>0.41348499960240598</v>
      </c>
      <c r="AL4095">
        <v>89.150443800122304</v>
      </c>
      <c r="AM4095">
        <v>91.994077018485996</v>
      </c>
      <c r="AN4095">
        <v>1.0000000301685299</v>
      </c>
    </row>
    <row r="4096" spans="1:40" x14ac:dyDescent="0.25">
      <c r="A4096" t="str">
        <f>"20190312160725037"</f>
        <v>20190312160725037</v>
      </c>
      <c r="B4096" t="str">
        <f>"1552378045029122"</f>
        <v>1552378045029122</v>
      </c>
      <c r="C4096" t="s">
        <v>40</v>
      </c>
      <c r="D4096">
        <v>6.2444379999999997</v>
      </c>
      <c r="E4096">
        <v>0.5072316</v>
      </c>
      <c r="F4096" t="s">
        <v>85</v>
      </c>
      <c r="G4096">
        <v>-107.39749999999999</v>
      </c>
      <c r="H4096">
        <v>7.3340670000000001</v>
      </c>
      <c r="I4096">
        <v>216.94139999999999</v>
      </c>
      <c r="J4096">
        <v>-231.0198</v>
      </c>
      <c r="K4096">
        <v>1.109799</v>
      </c>
      <c r="L4096">
        <v>214.3528</v>
      </c>
      <c r="M4096">
        <v>0.99988509999999997</v>
      </c>
      <c r="N4096">
        <v>0</v>
      </c>
      <c r="O4096">
        <v>4.4857539999999998E-3</v>
      </c>
      <c r="P4096">
        <v>0.99922999999999995</v>
      </c>
      <c r="Q4096">
        <v>1.38537999999999E-4</v>
      </c>
      <c r="R4096">
        <v>3.923368E-2</v>
      </c>
      <c r="S4096">
        <v>2.9997859999999998</v>
      </c>
      <c r="T4096">
        <v>0.1506296</v>
      </c>
      <c r="U4096">
        <v>6.268311E-2</v>
      </c>
      <c r="V4096">
        <v>-3.4753409999999998E-2</v>
      </c>
      <c r="W4096">
        <v>1.4596720000000001E-2</v>
      </c>
      <c r="X4096">
        <v>0.99928930000000005</v>
      </c>
      <c r="Y4096">
        <v>-1.6390849999999998E-2</v>
      </c>
      <c r="Z4096">
        <v>-1.861175E-4</v>
      </c>
      <c r="AA4096">
        <v>0.99986569999999997</v>
      </c>
      <c r="AB4096">
        <v>34</v>
      </c>
      <c r="AC4096">
        <v>123.6223</v>
      </c>
      <c r="AD4096">
        <v>6.2242680000000004</v>
      </c>
      <c r="AE4096">
        <v>2.58859999999998</v>
      </c>
      <c r="AF4096">
        <v>-2.0288356778465899</v>
      </c>
      <c r="AG4096">
        <v>6.2242680000000004</v>
      </c>
      <c r="AH4096">
        <v>123.320185778137</v>
      </c>
      <c r="AI4096">
        <v>87.110985620763003</v>
      </c>
      <c r="AJ4096">
        <v>90.942532117470407</v>
      </c>
      <c r="AK4096">
        <v>123.493829427619</v>
      </c>
      <c r="AL4096">
        <v>89.163639834700206</v>
      </c>
      <c r="AM4096">
        <v>91.991837090365493</v>
      </c>
      <c r="AN4096">
        <v>0.99999998441793803</v>
      </c>
    </row>
    <row r="4097" spans="1:40" x14ac:dyDescent="0.25">
      <c r="A4097" t="str">
        <f>"20190312160725058"</f>
        <v>20190312160725058</v>
      </c>
      <c r="B4097" t="str">
        <f>"1552378045049619"</f>
        <v>1552378045049619</v>
      </c>
      <c r="C4097" t="s">
        <v>40</v>
      </c>
      <c r="D4097">
        <v>6.4132009999999999</v>
      </c>
      <c r="E4097">
        <v>0.51071639999999996</v>
      </c>
      <c r="F4097" t="s">
        <v>85</v>
      </c>
      <c r="G4097">
        <v>-107.39749999999999</v>
      </c>
      <c r="H4097">
        <v>9.9129660000000008</v>
      </c>
      <c r="I4097">
        <v>217.12039999999999</v>
      </c>
      <c r="J4097">
        <v>-230.69329999999999</v>
      </c>
      <c r="K4097">
        <v>1.1097919999999999</v>
      </c>
      <c r="L4097">
        <v>214.3544</v>
      </c>
      <c r="M4097">
        <v>0.99988469999999996</v>
      </c>
      <c r="N4097">
        <v>0</v>
      </c>
      <c r="O4097">
        <v>4.5711049999999998E-3</v>
      </c>
      <c r="P4097">
        <v>0.99920399999999998</v>
      </c>
      <c r="Q4097">
        <v>-2.6568030000000001E-4</v>
      </c>
      <c r="R4097">
        <v>3.9892230000000001E-2</v>
      </c>
      <c r="S4097">
        <v>2.9996339999999999</v>
      </c>
      <c r="T4097">
        <v>0.21360560000000001</v>
      </c>
      <c r="U4097">
        <v>6.7153930000000001E-2</v>
      </c>
      <c r="V4097">
        <v>-3.5326839999999998E-2</v>
      </c>
      <c r="W4097">
        <v>1.4208139999999999E-2</v>
      </c>
      <c r="X4097">
        <v>0.99927480000000002</v>
      </c>
      <c r="Y4097">
        <v>-1.7777669999999999E-2</v>
      </c>
      <c r="Z4097">
        <v>-3.0701200000000001E-4</v>
      </c>
      <c r="AA4097">
        <v>0.99984189999999995</v>
      </c>
      <c r="AB4097">
        <v>34</v>
      </c>
      <c r="AC4097">
        <v>123.2958</v>
      </c>
      <c r="AD4097">
        <v>8.8031740000000003</v>
      </c>
      <c r="AE4097">
        <v>2.7659999999999898</v>
      </c>
      <c r="AF4097">
        <v>-2.1911495448087699</v>
      </c>
      <c r="AG4097">
        <v>8.8031740000000003</v>
      </c>
      <c r="AH4097">
        <v>122.682063696292</v>
      </c>
      <c r="AI4097">
        <v>85.896370912163206</v>
      </c>
      <c r="AJ4097">
        <v>91.023216196160604</v>
      </c>
      <c r="AK4097">
        <v>123.01701411424</v>
      </c>
      <c r="AL4097">
        <v>89.185906144336897</v>
      </c>
      <c r="AM4097">
        <v>92.024704553358703</v>
      </c>
      <c r="AN4097">
        <v>0.99999999139084195</v>
      </c>
    </row>
    <row r="4098" spans="1:40" x14ac:dyDescent="0.25">
      <c r="A4098" t="str">
        <f>"20190312160725080"</f>
        <v>20190312160725080</v>
      </c>
      <c r="B4098" t="str">
        <f>"1552378045069138"</f>
        <v>1552378045069138</v>
      </c>
      <c r="C4098" t="s">
        <v>40</v>
      </c>
      <c r="D4098">
        <v>6.1761540000000004</v>
      </c>
      <c r="E4098">
        <v>0.51258309999999996</v>
      </c>
      <c r="F4098" t="s">
        <v>85</v>
      </c>
      <c r="G4098">
        <v>-107.39749999999999</v>
      </c>
      <c r="H4098">
        <v>6.9997059999999998</v>
      </c>
      <c r="I4098">
        <v>215.95429999999999</v>
      </c>
      <c r="J4098">
        <v>-230.35560000000001</v>
      </c>
      <c r="K4098">
        <v>1.1097980000000001</v>
      </c>
      <c r="L4098">
        <v>214.35599999999999</v>
      </c>
      <c r="M4098">
        <v>0.99988390000000005</v>
      </c>
      <c r="N4098">
        <v>0</v>
      </c>
      <c r="O4098">
        <v>4.6601059999999998E-3</v>
      </c>
      <c r="P4098">
        <v>0.99918770000000001</v>
      </c>
      <c r="Q4098">
        <v>-1.2875650000000001E-3</v>
      </c>
      <c r="R4098">
        <v>4.0276699999999999E-2</v>
      </c>
      <c r="S4098">
        <v>3.0008699999999999</v>
      </c>
      <c r="T4098">
        <v>0.1433547</v>
      </c>
      <c r="U4098">
        <v>3.8940429999999998E-2</v>
      </c>
      <c r="V4098">
        <v>-3.5621319999999998E-2</v>
      </c>
      <c r="W4098">
        <v>1.319972E-2</v>
      </c>
      <c r="X4098">
        <v>0.99927820000000001</v>
      </c>
      <c r="Y4098">
        <v>-8.3107830000000004E-3</v>
      </c>
      <c r="Z4098" s="1">
        <v>2.4117110000000001E-5</v>
      </c>
      <c r="AA4098">
        <v>0.99996549999999995</v>
      </c>
      <c r="AB4098">
        <v>34</v>
      </c>
      <c r="AC4098">
        <v>122.9581</v>
      </c>
      <c r="AD4098">
        <v>5.8899080000000001</v>
      </c>
      <c r="AE4098">
        <v>1.5982999999999901</v>
      </c>
      <c r="AF4098">
        <v>-1.0228778768861899</v>
      </c>
      <c r="AG4098">
        <v>5.8899080000000001</v>
      </c>
      <c r="AH4098">
        <v>122.68275609032401</v>
      </c>
      <c r="AI4098">
        <v>87.251478020829197</v>
      </c>
      <c r="AJ4098">
        <v>90.477697348907498</v>
      </c>
      <c r="AK4098">
        <v>122.82831895502601</v>
      </c>
      <c r="AL4098">
        <v>89.243689801962006</v>
      </c>
      <c r="AM4098">
        <v>92.041561066752394</v>
      </c>
      <c r="AN4098">
        <v>1.0000000160209299</v>
      </c>
    </row>
    <row r="4099" spans="1:40" x14ac:dyDescent="0.25">
      <c r="A4099" t="str">
        <f>"20190312160725103"</f>
        <v>20190312160725103</v>
      </c>
      <c r="B4099" t="str">
        <f>"1552378045099394"</f>
        <v>1552378045099394</v>
      </c>
      <c r="C4099" t="s">
        <v>40</v>
      </c>
      <c r="D4099">
        <v>6.0750690000000001</v>
      </c>
      <c r="E4099">
        <v>0.51242370000000004</v>
      </c>
      <c r="F4099" t="s">
        <v>85</v>
      </c>
      <c r="G4099">
        <v>-107.39749999999999</v>
      </c>
      <c r="H4099">
        <v>5.3470719999999998</v>
      </c>
      <c r="I4099">
        <v>215.32980000000001</v>
      </c>
      <c r="J4099">
        <v>-230.00659999999999</v>
      </c>
      <c r="K4099">
        <v>1.1098059999999901</v>
      </c>
      <c r="L4099">
        <v>214.35769999999999</v>
      </c>
      <c r="M4099">
        <v>0.99988339999999998</v>
      </c>
      <c r="N4099">
        <v>0</v>
      </c>
      <c r="O4099">
        <v>4.7516859999999998E-3</v>
      </c>
      <c r="P4099">
        <v>0.9991873</v>
      </c>
      <c r="Q4099">
        <v>-9.3476099999999999E-4</v>
      </c>
      <c r="R4099">
        <v>4.0298439999999998E-2</v>
      </c>
      <c r="S4099">
        <v>3.0016020000000001</v>
      </c>
      <c r="T4099">
        <v>0.1034398</v>
      </c>
      <c r="U4099">
        <v>2.377319E-2</v>
      </c>
      <c r="V4099">
        <v>-3.5552050000000002E-2</v>
      </c>
      <c r="W4099">
        <v>1.3563999999999901E-2</v>
      </c>
      <c r="X4099">
        <v>0.99927569999999999</v>
      </c>
      <c r="Y4099">
        <v>-3.1687320000000001E-3</v>
      </c>
      <c r="Z4099">
        <v>1.091326E-4</v>
      </c>
      <c r="AA4099">
        <v>0.99999499999999997</v>
      </c>
      <c r="AB4099">
        <v>34</v>
      </c>
      <c r="AC4099">
        <v>122.6091</v>
      </c>
      <c r="AD4099">
        <v>4.237266</v>
      </c>
      <c r="AE4099">
        <v>0.97210000000001096</v>
      </c>
      <c r="AF4099">
        <v>-0.38896319659143802</v>
      </c>
      <c r="AG4099">
        <v>4.237266</v>
      </c>
      <c r="AH4099">
        <v>122.466078842233</v>
      </c>
      <c r="AI4099">
        <v>88.018394735436999</v>
      </c>
      <c r="AJ4099">
        <v>90.181975897529497</v>
      </c>
      <c r="AK4099">
        <v>122.539977895033</v>
      </c>
      <c r="AL4099">
        <v>89.222816157762495</v>
      </c>
      <c r="AM4099">
        <v>92.037599445437806</v>
      </c>
      <c r="AN4099">
        <v>0.99999992748284305</v>
      </c>
    </row>
    <row r="4100" spans="1:40" x14ac:dyDescent="0.25">
      <c r="A4100" t="str">
        <f>"20190312160725126"</f>
        <v>20190312160725126</v>
      </c>
      <c r="B4100" t="str">
        <f>"1552378045119421"</f>
        <v>1552378045119421</v>
      </c>
      <c r="C4100" t="s">
        <v>40</v>
      </c>
      <c r="D4100">
        <v>6.1159589999999904</v>
      </c>
      <c r="E4100">
        <v>0.51338859999999997</v>
      </c>
      <c r="F4100" t="s">
        <v>85</v>
      </c>
      <c r="G4100">
        <v>-107.39749999999999</v>
      </c>
      <c r="H4100">
        <v>4.0220979999999997</v>
      </c>
      <c r="I4100">
        <v>215.34059999999999</v>
      </c>
      <c r="J4100">
        <v>-229.65780000000001</v>
      </c>
      <c r="K4100">
        <v>1.1098059999999901</v>
      </c>
      <c r="L4100">
        <v>214.3595</v>
      </c>
      <c r="M4100">
        <v>0.99988290000000002</v>
      </c>
      <c r="N4100">
        <v>0</v>
      </c>
      <c r="O4100">
        <v>4.843282E-3</v>
      </c>
      <c r="P4100">
        <v>0.99918600000000002</v>
      </c>
      <c r="Q4100">
        <v>-3.4819359999999999E-4</v>
      </c>
      <c r="R4100">
        <v>4.0342990000000002E-2</v>
      </c>
      <c r="S4100">
        <v>3.0015559999999999</v>
      </c>
      <c r="T4100">
        <v>7.1296219999999993E-2</v>
      </c>
      <c r="U4100">
        <v>2.4063109999999999E-2</v>
      </c>
      <c r="V4100">
        <v>-3.5505540000000002E-2</v>
      </c>
      <c r="W4100">
        <v>1.4159990000000001E-2</v>
      </c>
      <c r="X4100">
        <v>0.99926919999999997</v>
      </c>
      <c r="Y4100">
        <v>-3.173361E-3</v>
      </c>
      <c r="Z4100" s="1">
        <v>7.7353400000000004E-5</v>
      </c>
      <c r="AA4100">
        <v>0.99999490000000002</v>
      </c>
      <c r="AB4100">
        <v>34</v>
      </c>
      <c r="AC4100">
        <v>122.2603</v>
      </c>
      <c r="AD4100">
        <v>2.9122919999999999</v>
      </c>
      <c r="AE4100">
        <v>0.98109999999999797</v>
      </c>
      <c r="AF4100">
        <v>-0.38866446081392397</v>
      </c>
      <c r="AG4100">
        <v>2.9122919999999999</v>
      </c>
      <c r="AH4100">
        <v>122.19428787566601</v>
      </c>
      <c r="AI4100">
        <v>88.634718394646001</v>
      </c>
      <c r="AJ4100">
        <v>90.182240582122901</v>
      </c>
      <c r="AK4100">
        <v>122.229605637085</v>
      </c>
      <c r="AL4100">
        <v>89.188665254262901</v>
      </c>
      <c r="AM4100">
        <v>92.034949279691105</v>
      </c>
      <c r="AN4100">
        <v>1.0000000413780601</v>
      </c>
    </row>
    <row r="4101" spans="1:40" x14ac:dyDescent="0.25">
      <c r="A4101" t="str">
        <f>"20190312160725147"</f>
        <v>20190312160725147</v>
      </c>
      <c r="B4101" t="str">
        <f>"1552378045139918"</f>
        <v>1552378045139918</v>
      </c>
      <c r="C4101" t="s">
        <v>40</v>
      </c>
      <c r="D4101">
        <v>6.1120080000000003</v>
      </c>
      <c r="E4101">
        <v>0.51391409999999904</v>
      </c>
      <c r="F4101" t="s">
        <v>85</v>
      </c>
      <c r="G4101">
        <v>-107.39749999999999</v>
      </c>
      <c r="H4101">
        <v>3.6352929999999999</v>
      </c>
      <c r="I4101">
        <v>215.02440000000001</v>
      </c>
      <c r="J4101">
        <v>-229.32679999999999</v>
      </c>
      <c r="K4101">
        <v>1.1098129999999999</v>
      </c>
      <c r="L4101">
        <v>214.36109999999999</v>
      </c>
      <c r="M4101">
        <v>0.99988220000000005</v>
      </c>
      <c r="N4101">
        <v>0</v>
      </c>
      <c r="O4101">
        <v>4.9303639999999996E-3</v>
      </c>
      <c r="P4101">
        <v>0.99920949999999997</v>
      </c>
      <c r="Q4101">
        <v>-7.865503E-4</v>
      </c>
      <c r="R4101">
        <v>3.9748720000000001E-2</v>
      </c>
      <c r="S4101">
        <v>3.0018009999999999</v>
      </c>
      <c r="T4101">
        <v>6.2008380000000002E-2</v>
      </c>
      <c r="U4101">
        <v>1.6326899999999998E-2</v>
      </c>
      <c r="V4101">
        <v>-3.4823890000000003E-2</v>
      </c>
      <c r="W4101">
        <v>1.372992E-2</v>
      </c>
      <c r="X4101">
        <v>0.99929920000000005</v>
      </c>
      <c r="Y4101">
        <v>-5.0902199999999895E-4</v>
      </c>
      <c r="Z4101" s="1">
        <v>9.6588479999999997E-5</v>
      </c>
      <c r="AA4101">
        <v>0.99999990000000005</v>
      </c>
      <c r="AB4101">
        <v>34</v>
      </c>
      <c r="AC4101">
        <v>121.9293</v>
      </c>
      <c r="AD4101">
        <v>2.5254799999999999</v>
      </c>
      <c r="AE4101">
        <v>0.66330000000001998</v>
      </c>
      <c r="AF4101">
        <v>-6.2045971798532697E-2</v>
      </c>
      <c r="AG4101">
        <v>2.5254799999999999</v>
      </c>
      <c r="AH4101">
        <v>121.87880218111199</v>
      </c>
      <c r="AI4101">
        <v>88.812930391477295</v>
      </c>
      <c r="AJ4101">
        <v>90.029168091162006</v>
      </c>
      <c r="AK4101">
        <v>121.90498070232999</v>
      </c>
      <c r="AL4101">
        <v>89.213308854367696</v>
      </c>
      <c r="AM4101">
        <v>91.995853520141196</v>
      </c>
      <c r="AN4101">
        <v>1.00000005256928</v>
      </c>
    </row>
    <row r="4102" spans="1:40" x14ac:dyDescent="0.25">
      <c r="A4102" t="str">
        <f>"20190312160725170"</f>
        <v>20190312160725170</v>
      </c>
      <c r="B4102" t="str">
        <f>"1552378045159438"</f>
        <v>1552378045159438</v>
      </c>
      <c r="C4102" t="s">
        <v>40</v>
      </c>
      <c r="D4102">
        <v>5.9851900000000002</v>
      </c>
      <c r="E4102">
        <v>0.51428669999999999</v>
      </c>
      <c r="F4102" t="s">
        <v>85</v>
      </c>
      <c r="G4102">
        <v>-107.39749999999999</v>
      </c>
      <c r="H4102">
        <v>3.3261820000000002</v>
      </c>
      <c r="I4102">
        <v>214.7764</v>
      </c>
      <c r="J4102">
        <v>-228.99469999999999</v>
      </c>
      <c r="K4102">
        <v>1.1098129999999999</v>
      </c>
      <c r="L4102">
        <v>214.3629</v>
      </c>
      <c r="M4102">
        <v>0.99988189999999999</v>
      </c>
      <c r="N4102">
        <v>0</v>
      </c>
      <c r="O4102">
        <v>5.0175749999999998E-3</v>
      </c>
      <c r="P4102">
        <v>0.99921159999999998</v>
      </c>
      <c r="Q4102">
        <v>-4.9085920000000003E-4</v>
      </c>
      <c r="R4102">
        <v>3.9699249999999998E-2</v>
      </c>
      <c r="S4102">
        <v>3.0019990000000001</v>
      </c>
      <c r="T4102">
        <v>5.457008E-2</v>
      </c>
      <c r="U4102">
        <v>1.0223390000000001E-2</v>
      </c>
      <c r="V4102">
        <v>-3.4686979999999999E-2</v>
      </c>
      <c r="W4102">
        <v>1.403125E-2</v>
      </c>
      <c r="X4102">
        <v>0.99929970000000001</v>
      </c>
      <c r="Y4102">
        <v>1.611517E-3</v>
      </c>
      <c r="Z4102">
        <v>1.058562E-4</v>
      </c>
      <c r="AA4102">
        <v>0.99999870000000002</v>
      </c>
      <c r="AB4102">
        <v>34</v>
      </c>
      <c r="AC4102">
        <v>121.5972</v>
      </c>
      <c r="AD4102">
        <v>2.2163689999999998</v>
      </c>
      <c r="AE4102">
        <v>0.41349999999999898</v>
      </c>
      <c r="AF4102">
        <v>0.19662733382935499</v>
      </c>
      <c r="AG4102">
        <v>2.2163689999999998</v>
      </c>
      <c r="AH4102">
        <v>121.557359622853</v>
      </c>
      <c r="AI4102">
        <v>88.9554367225021</v>
      </c>
      <c r="AJ4102">
        <v>89.907320243097999</v>
      </c>
      <c r="AK4102">
        <v>121.577722598888</v>
      </c>
      <c r="AL4102">
        <v>89.196042193336595</v>
      </c>
      <c r="AM4102">
        <v>91.988012143890501</v>
      </c>
      <c r="AN4102">
        <v>0.99999997648908601</v>
      </c>
    </row>
    <row r="4103" spans="1:40" x14ac:dyDescent="0.25">
      <c r="A4103" t="str">
        <f>"20190312160725193"</f>
        <v>20190312160725193</v>
      </c>
      <c r="B4103" t="str">
        <f>"1552378045189693"</f>
        <v>1552378045189693</v>
      </c>
      <c r="C4103" t="s">
        <v>40</v>
      </c>
      <c r="D4103">
        <v>5.7006459999999999</v>
      </c>
      <c r="E4103">
        <v>0.51483880000000004</v>
      </c>
      <c r="F4103" t="s">
        <v>85</v>
      </c>
      <c r="G4103">
        <v>-107.39749999999999</v>
      </c>
      <c r="H4103">
        <v>3.1686700000000001</v>
      </c>
      <c r="I4103">
        <v>214.6354</v>
      </c>
      <c r="J4103">
        <v>-228.64279999999999</v>
      </c>
      <c r="K4103">
        <v>1.109823</v>
      </c>
      <c r="L4103">
        <v>214.3647</v>
      </c>
      <c r="M4103">
        <v>0.99988120000000003</v>
      </c>
      <c r="N4103">
        <v>0</v>
      </c>
      <c r="O4103">
        <v>5.1101580000000001E-3</v>
      </c>
      <c r="P4103">
        <v>0.99921130000000002</v>
      </c>
      <c r="Q4103">
        <v>-5.6361589999999896E-4</v>
      </c>
      <c r="R4103">
        <v>3.9709540000000002E-2</v>
      </c>
      <c r="S4103">
        <v>3.0021360000000001</v>
      </c>
      <c r="T4103">
        <v>5.0832750000000003E-2</v>
      </c>
      <c r="U4103">
        <v>6.7291259999999898E-3</v>
      </c>
      <c r="V4103">
        <v>-3.460506E-2</v>
      </c>
      <c r="W4103">
        <v>1.396355E-2</v>
      </c>
      <c r="X4103">
        <v>0.99930350000000001</v>
      </c>
      <c r="Y4103">
        <v>2.8681309999999999E-3</v>
      </c>
      <c r="Z4103">
        <v>1.108087E-4</v>
      </c>
      <c r="AA4103">
        <v>0.99999590000000005</v>
      </c>
      <c r="AB4103">
        <v>34</v>
      </c>
      <c r="AC4103">
        <v>121.2453</v>
      </c>
      <c r="AD4103">
        <v>2.0588470000000001</v>
      </c>
      <c r="AE4103">
        <v>0.27070000000000499</v>
      </c>
      <c r="AF4103">
        <v>0.34885110731775598</v>
      </c>
      <c r="AG4103">
        <v>2.0588470000000001</v>
      </c>
      <c r="AH4103">
        <v>121.210149397329</v>
      </c>
      <c r="AI4103">
        <v>89.0268850164139</v>
      </c>
      <c r="AJ4103">
        <v>89.835099279725696</v>
      </c>
      <c r="AK4103">
        <v>121.228135616231</v>
      </c>
      <c r="AL4103">
        <v>89.199921506968394</v>
      </c>
      <c r="AM4103">
        <v>91.983313287612106</v>
      </c>
      <c r="AN4103">
        <v>0.99999998800922796</v>
      </c>
    </row>
    <row r="4104" spans="1:40" x14ac:dyDescent="0.25">
      <c r="A4104" t="str">
        <f>"20190312160725216"</f>
        <v>20190312160725216</v>
      </c>
      <c r="B4104" t="str">
        <f>"1552378045209721"</f>
        <v>1552378045209721</v>
      </c>
      <c r="C4104" t="s">
        <v>40</v>
      </c>
      <c r="D4104">
        <v>6.0984319999999999</v>
      </c>
      <c r="E4104">
        <v>0.51555529999999905</v>
      </c>
      <c r="F4104" t="s">
        <v>85</v>
      </c>
      <c r="G4104">
        <v>-107.39749999999999</v>
      </c>
      <c r="H4104">
        <v>2.9199440000000001</v>
      </c>
      <c r="I4104">
        <v>214.4547</v>
      </c>
      <c r="J4104">
        <v>-228.29150000000001</v>
      </c>
      <c r="K4104">
        <v>1.10982</v>
      </c>
      <c r="L4104">
        <v>214.36660000000001</v>
      </c>
      <c r="M4104">
        <v>0.99988069999999896</v>
      </c>
      <c r="N4104">
        <v>0</v>
      </c>
      <c r="O4104">
        <v>5.202272E-3</v>
      </c>
      <c r="P4104">
        <v>0.99920589999999998</v>
      </c>
      <c r="Q4104">
        <v>-1.306492E-3</v>
      </c>
      <c r="R4104">
        <v>3.9826790000000001E-2</v>
      </c>
      <c r="S4104">
        <v>3.0023040000000001</v>
      </c>
      <c r="T4104">
        <v>4.4823880000000003E-2</v>
      </c>
      <c r="U4104">
        <v>2.2277830000000001E-3</v>
      </c>
      <c r="V4104">
        <v>-3.4629710000000001E-2</v>
      </c>
      <c r="W4104">
        <v>1.322452E-2</v>
      </c>
      <c r="X4104">
        <v>0.99931270000000005</v>
      </c>
      <c r="Y4104">
        <v>4.4597300000000003E-3</v>
      </c>
      <c r="Z4104">
        <v>1.109622E-4</v>
      </c>
      <c r="AA4104">
        <v>0.99999000000000005</v>
      </c>
      <c r="AB4104">
        <v>34</v>
      </c>
      <c r="AC4104">
        <v>120.89400000000001</v>
      </c>
      <c r="AD4104">
        <v>1.8101240000000001</v>
      </c>
      <c r="AE4104">
        <v>8.8099999999997097E-2</v>
      </c>
      <c r="AF4104">
        <v>0.54076995713449605</v>
      </c>
      <c r="AG4104">
        <v>1.8101240000000001</v>
      </c>
      <c r="AH4104">
        <v>120.865725789718</v>
      </c>
      <c r="AI4104">
        <v>89.141992700917697</v>
      </c>
      <c r="AJ4104">
        <v>89.743652476436793</v>
      </c>
      <c r="AK4104">
        <v>120.880489127556</v>
      </c>
      <c r="AL4104">
        <v>89.242268721810007</v>
      </c>
      <c r="AM4104">
        <v>91.984706661537402</v>
      </c>
      <c r="AN4104">
        <v>0.99999998856260197</v>
      </c>
    </row>
    <row r="4105" spans="1:40" x14ac:dyDescent="0.25">
      <c r="A4105" t="str">
        <f>"20190312160725239"</f>
        <v>20190312160725239</v>
      </c>
      <c r="B4105" t="str">
        <f>"1552378045229241"</f>
        <v>1552378045229241</v>
      </c>
      <c r="C4105" t="s">
        <v>40</v>
      </c>
      <c r="D4105">
        <v>6.0337610000000002</v>
      </c>
      <c r="E4105">
        <v>0.51581250000000001</v>
      </c>
      <c r="F4105" t="s">
        <v>85</v>
      </c>
      <c r="G4105">
        <v>-107.39749999999999</v>
      </c>
      <c r="H4105">
        <v>2.602573</v>
      </c>
      <c r="I4105">
        <v>214.2413</v>
      </c>
      <c r="J4105">
        <v>-227.95740000000001</v>
      </c>
      <c r="K4105">
        <v>1.1098250000000001</v>
      </c>
      <c r="L4105">
        <v>214.36850000000001</v>
      </c>
      <c r="M4105">
        <v>0.99988030000000006</v>
      </c>
      <c r="N4105">
        <v>0</v>
      </c>
      <c r="O4105">
        <v>5.2903400000000001E-3</v>
      </c>
      <c r="P4105">
        <v>0.99919409999999997</v>
      </c>
      <c r="Q4105">
        <v>-1.251039E-3</v>
      </c>
      <c r="R4105">
        <v>4.012392E-2</v>
      </c>
      <c r="S4105">
        <v>3.0025629999999999</v>
      </c>
      <c r="T4105">
        <v>3.7075759999999999E-2</v>
      </c>
      <c r="U4105">
        <v>-3.112793E-3</v>
      </c>
      <c r="V4105">
        <v>-3.4838859999999999E-2</v>
      </c>
      <c r="W4105">
        <v>1.328173E-2</v>
      </c>
      <c r="X4105">
        <v>0.99930469999999905</v>
      </c>
      <c r="Y4105">
        <v>6.3267089999999998E-3</v>
      </c>
      <c r="Z4105">
        <v>1.0438920000000001E-4</v>
      </c>
      <c r="AA4105">
        <v>0.99997999999999998</v>
      </c>
      <c r="AB4105">
        <v>34</v>
      </c>
      <c r="AC4105">
        <v>120.5599</v>
      </c>
      <c r="AD4105">
        <v>1.492748</v>
      </c>
      <c r="AE4105">
        <v>-0.12720000000001599</v>
      </c>
      <c r="AF4105">
        <v>0.76495123310010904</v>
      </c>
      <c r="AG4105">
        <v>1.492748</v>
      </c>
      <c r="AH4105">
        <v>120.53905984750401</v>
      </c>
      <c r="AI4105">
        <v>89.290503288969106</v>
      </c>
      <c r="AJ4105">
        <v>89.636400940123806</v>
      </c>
      <c r="AK4105">
        <v>120.55072955358099</v>
      </c>
      <c r="AL4105">
        <v>89.238990563942195</v>
      </c>
      <c r="AM4105">
        <v>91.996699817285702</v>
      </c>
      <c r="AN4105">
        <v>1.0000000169799901</v>
      </c>
    </row>
    <row r="4106" spans="1:40" x14ac:dyDescent="0.25">
      <c r="A4106" t="str">
        <f>"20190312160725259"</f>
        <v>20190312160725259</v>
      </c>
      <c r="B4106" t="str">
        <f>"1552378045249737"</f>
        <v>1552378045249737</v>
      </c>
      <c r="C4106" t="s">
        <v>40</v>
      </c>
      <c r="D4106">
        <v>6.3038629999999998</v>
      </c>
      <c r="E4106">
        <v>0.51566140000000005</v>
      </c>
      <c r="F4106" t="s">
        <v>85</v>
      </c>
      <c r="G4106">
        <v>-107.39749999999999</v>
      </c>
      <c r="H4106">
        <v>2.546252</v>
      </c>
      <c r="I4106">
        <v>214.19200000000001</v>
      </c>
      <c r="J4106">
        <v>-227.63130000000001</v>
      </c>
      <c r="K4106">
        <v>1.1098349999999999</v>
      </c>
      <c r="L4106">
        <v>214.37029999999999</v>
      </c>
      <c r="M4106">
        <v>0.99987979999999999</v>
      </c>
      <c r="N4106">
        <v>0</v>
      </c>
      <c r="O4106">
        <v>5.3760930000000002E-3</v>
      </c>
      <c r="P4106">
        <v>0.99918960000000001</v>
      </c>
      <c r="Q4106">
        <v>-7.5674800000000001E-4</v>
      </c>
      <c r="R4106">
        <v>4.025099E-2</v>
      </c>
      <c r="S4106">
        <v>3.00264</v>
      </c>
      <c r="T4106">
        <v>3.5776620000000002E-2</v>
      </c>
      <c r="U4106">
        <v>-4.3945310000000001E-3</v>
      </c>
      <c r="V4106">
        <v>-3.488057E-2</v>
      </c>
      <c r="W4106">
        <v>1.3777599999999999E-2</v>
      </c>
      <c r="X4106">
        <v>0.99929650000000003</v>
      </c>
      <c r="Y4106">
        <v>6.8393229999999996E-3</v>
      </c>
      <c r="Z4106">
        <v>1.048047E-4</v>
      </c>
      <c r="AA4106">
        <v>0.99997659999999999</v>
      </c>
      <c r="AB4106">
        <v>34</v>
      </c>
      <c r="AC4106">
        <v>120.2338</v>
      </c>
      <c r="AD4106">
        <v>1.4364169999999901</v>
      </c>
      <c r="AE4106">
        <v>-0.178299999999978</v>
      </c>
      <c r="AF4106">
        <v>0.82463617620566598</v>
      </c>
      <c r="AG4106">
        <v>1.4364169999999901</v>
      </c>
      <c r="AH4106">
        <v>120.21394563114499</v>
      </c>
      <c r="AI4106">
        <v>89.315430678341897</v>
      </c>
      <c r="AJ4106">
        <v>89.606972126238503</v>
      </c>
      <c r="AK4106">
        <v>120.225355241017</v>
      </c>
      <c r="AL4106">
        <v>89.210576680503394</v>
      </c>
      <c r="AM4106">
        <v>91.999104771170906</v>
      </c>
      <c r="AN4106">
        <v>0.99999998566876702</v>
      </c>
    </row>
    <row r="4107" spans="1:40" x14ac:dyDescent="0.25">
      <c r="A4107" t="str">
        <f>"20190312160725281"</f>
        <v>20190312160725281</v>
      </c>
      <c r="B4107" t="str">
        <f>"1552378045269257"</f>
        <v>1552378045269257</v>
      </c>
      <c r="C4107" t="s">
        <v>40</v>
      </c>
      <c r="D4107">
        <v>6.0328520000000001</v>
      </c>
      <c r="E4107">
        <v>0.5158452</v>
      </c>
      <c r="F4107" t="s">
        <v>85</v>
      </c>
      <c r="G4107">
        <v>-107.39749999999999</v>
      </c>
      <c r="H4107">
        <v>2.5058210000000001</v>
      </c>
      <c r="I4107">
        <v>214.25049999999999</v>
      </c>
      <c r="J4107">
        <v>-227.297</v>
      </c>
      <c r="K4107">
        <v>1.1098429999999999</v>
      </c>
      <c r="L4107">
        <v>214.37219999999999</v>
      </c>
      <c r="M4107">
        <v>0.99987930000000003</v>
      </c>
      <c r="N4107">
        <v>0</v>
      </c>
      <c r="O4107">
        <v>5.4641730000000001E-3</v>
      </c>
      <c r="P4107">
        <v>0.99919100000000005</v>
      </c>
      <c r="Q4107">
        <v>-3.174804E-4</v>
      </c>
      <c r="R4107">
        <v>4.0216929999999998E-2</v>
      </c>
      <c r="S4107">
        <v>3.0025789999999999</v>
      </c>
      <c r="T4107">
        <v>3.4862999999999998E-2</v>
      </c>
      <c r="U4107">
        <v>-2.9907229999999998E-3</v>
      </c>
      <c r="V4107">
        <v>-3.4758369999999997E-2</v>
      </c>
      <c r="W4107">
        <v>1.4218160000000001E-2</v>
      </c>
      <c r="X4107">
        <v>0.99929460000000003</v>
      </c>
      <c r="Y4107">
        <v>6.4599810000000001E-3</v>
      </c>
      <c r="Z4107">
        <v>1.009512E-4</v>
      </c>
      <c r="AA4107">
        <v>0.99997910000000001</v>
      </c>
      <c r="AB4107">
        <v>34</v>
      </c>
      <c r="AC4107">
        <v>119.8995</v>
      </c>
      <c r="AD4107">
        <v>1.3959779999999999</v>
      </c>
      <c r="AE4107">
        <v>-0.121700000000004</v>
      </c>
      <c r="AF4107">
        <v>0.77681379338644996</v>
      </c>
      <c r="AG4107">
        <v>1.3959779999999999</v>
      </c>
      <c r="AH4107">
        <v>119.88079393579299</v>
      </c>
      <c r="AI4107">
        <v>89.332850983192799</v>
      </c>
      <c r="AJ4107">
        <v>89.628735117332596</v>
      </c>
      <c r="AK4107">
        <v>119.89143818022301</v>
      </c>
      <c r="AL4107">
        <v>89.185331988802304</v>
      </c>
      <c r="AM4107">
        <v>91.992110578757902</v>
      </c>
      <c r="AN4107">
        <v>0.99999999897400105</v>
      </c>
    </row>
    <row r="4108" spans="1:40" x14ac:dyDescent="0.25">
      <c r="A4108" t="str">
        <f>"20190312160725303"</f>
        <v>20190312160725303</v>
      </c>
      <c r="B4108" t="str">
        <f>"1552378045299513"</f>
        <v>1552378045299513</v>
      </c>
      <c r="C4108" t="s">
        <v>40</v>
      </c>
      <c r="D4108">
        <v>6.1725560000000002</v>
      </c>
      <c r="E4108">
        <v>0.51658990000000005</v>
      </c>
      <c r="F4108" t="s">
        <v>85</v>
      </c>
      <c r="G4108">
        <v>-107.39749999999999</v>
      </c>
      <c r="H4108">
        <v>2.2899729999999998</v>
      </c>
      <c r="I4108">
        <v>214.1857</v>
      </c>
      <c r="J4108">
        <v>-226.95760000000001</v>
      </c>
      <c r="K4108">
        <v>1.109847</v>
      </c>
      <c r="L4108">
        <v>214.3741</v>
      </c>
      <c r="M4108">
        <v>0.99987870000000001</v>
      </c>
      <c r="N4108">
        <v>0</v>
      </c>
      <c r="O4108">
        <v>5.553629E-3</v>
      </c>
      <c r="P4108">
        <v>0.99920690000000001</v>
      </c>
      <c r="Q4108">
        <v>-1.4379249999999999E-4</v>
      </c>
      <c r="R4108">
        <v>3.9817819999999997E-2</v>
      </c>
      <c r="S4108">
        <v>3.0026250000000001</v>
      </c>
      <c r="T4108">
        <v>2.9555080000000001E-2</v>
      </c>
      <c r="U4108">
        <v>-4.6691889999999998E-3</v>
      </c>
      <c r="V4108">
        <v>-3.4269870000000001E-2</v>
      </c>
      <c r="W4108">
        <v>1.439266E-2</v>
      </c>
      <c r="X4108">
        <v>0.999309</v>
      </c>
      <c r="Y4108">
        <v>7.1086079999999998E-3</v>
      </c>
      <c r="Z4108" s="1">
        <v>8.9653550000000002E-5</v>
      </c>
      <c r="AA4108">
        <v>0.99997469999999999</v>
      </c>
      <c r="AB4108">
        <v>34</v>
      </c>
      <c r="AC4108">
        <v>119.56010000000001</v>
      </c>
      <c r="AD4108">
        <v>1.18012599999999</v>
      </c>
      <c r="AE4108">
        <v>-0.18840000000000101</v>
      </c>
      <c r="AF4108">
        <v>0.85237679620351803</v>
      </c>
      <c r="AG4108">
        <v>1.18012599999999</v>
      </c>
      <c r="AH4108">
        <v>119.545562329286</v>
      </c>
      <c r="AI4108">
        <v>89.434422132213697</v>
      </c>
      <c r="AJ4108">
        <v>89.591479897419902</v>
      </c>
      <c r="AK4108">
        <v>119.554425749128</v>
      </c>
      <c r="AL4108">
        <v>89.175332873585504</v>
      </c>
      <c r="AM4108">
        <v>91.964106924728597</v>
      </c>
      <c r="AN4108">
        <v>1.0000000250663399</v>
      </c>
    </row>
    <row r="4109" spans="1:40" x14ac:dyDescent="0.25">
      <c r="A4109" t="str">
        <f>"20190312160725326"</f>
        <v>20190312160725326</v>
      </c>
      <c r="B4109" t="str">
        <f>"1552378045319544"</f>
        <v>1552378045319544</v>
      </c>
      <c r="C4109" t="s">
        <v>40</v>
      </c>
      <c r="D4109">
        <v>6.4484810000000001</v>
      </c>
      <c r="E4109">
        <v>0.51689589999999996</v>
      </c>
      <c r="F4109" t="s">
        <v>85</v>
      </c>
      <c r="G4109">
        <v>-107.39749999999999</v>
      </c>
      <c r="H4109">
        <v>1.995603</v>
      </c>
      <c r="I4109">
        <v>213.88810000000001</v>
      </c>
      <c r="J4109">
        <v>-226.61760000000001</v>
      </c>
      <c r="K4109">
        <v>1.1098479999999999</v>
      </c>
      <c r="L4109">
        <v>214.37610000000001</v>
      </c>
      <c r="M4109">
        <v>0.9998783</v>
      </c>
      <c r="N4109">
        <v>0</v>
      </c>
      <c r="O4109">
        <v>5.6433849999999999E-3</v>
      </c>
      <c r="P4109">
        <v>0.99921380000000004</v>
      </c>
      <c r="Q4109" s="1">
        <v>-8.8052819999999898E-5</v>
      </c>
      <c r="R4109">
        <v>3.9650640000000001E-2</v>
      </c>
      <c r="S4109">
        <v>3.002869</v>
      </c>
      <c r="T4109">
        <v>2.2247909999999999E-2</v>
      </c>
      <c r="U4109">
        <v>-1.2207030000000001E-2</v>
      </c>
      <c r="V4109">
        <v>-3.4013000000000002E-2</v>
      </c>
      <c r="W4109">
        <v>1.444844E-2</v>
      </c>
      <c r="X4109">
        <v>0.99931689999999995</v>
      </c>
      <c r="Y4109">
        <v>9.7085399999999999E-3</v>
      </c>
      <c r="Z4109" s="1">
        <v>7.7778909999999996E-5</v>
      </c>
      <c r="AA4109">
        <v>0.99995290000000003</v>
      </c>
      <c r="AB4109">
        <v>34</v>
      </c>
      <c r="AC4109">
        <v>119.2201</v>
      </c>
      <c r="AD4109">
        <v>0.88575499999999896</v>
      </c>
      <c r="AE4109">
        <v>-0.48799999999999899</v>
      </c>
      <c r="AF4109">
        <v>1.16080425073778</v>
      </c>
      <c r="AG4109">
        <v>0.88575499999999896</v>
      </c>
      <c r="AH4109">
        <v>119.20886681606299</v>
      </c>
      <c r="AI4109">
        <v>89.574304455230106</v>
      </c>
      <c r="AJ4109">
        <v>89.4420961781953</v>
      </c>
      <c r="AK4109">
        <v>119.21780888775901</v>
      </c>
      <c r="AL4109">
        <v>89.172136523979603</v>
      </c>
      <c r="AM4109">
        <v>91.949380953105006</v>
      </c>
      <c r="AN4109">
        <v>0.99999995410651998</v>
      </c>
    </row>
    <row r="4110" spans="1:40" x14ac:dyDescent="0.25">
      <c r="A4110" t="str">
        <f>"20190312160725347"</f>
        <v>20190312160725347</v>
      </c>
      <c r="B4110" t="str">
        <f>"1552378045339060"</f>
        <v>1552378045339060</v>
      </c>
      <c r="C4110" t="s">
        <v>40</v>
      </c>
      <c r="D4110">
        <v>6.1640499999999996</v>
      </c>
      <c r="E4110">
        <v>0.55118509999999998</v>
      </c>
      <c r="F4110" t="s">
        <v>85</v>
      </c>
      <c r="G4110">
        <v>-107.39749999999999</v>
      </c>
      <c r="H4110">
        <v>2.032581</v>
      </c>
      <c r="I4110">
        <v>213.7764</v>
      </c>
      <c r="J4110">
        <v>-226.2894</v>
      </c>
      <c r="K4110">
        <v>1.10985</v>
      </c>
      <c r="L4110">
        <v>214.37799999999999</v>
      </c>
      <c r="M4110">
        <v>0.99987789999999999</v>
      </c>
      <c r="N4110">
        <v>0</v>
      </c>
      <c r="O4110">
        <v>5.7297479999999998E-3</v>
      </c>
      <c r="P4110">
        <v>0.9992297</v>
      </c>
      <c r="Q4110" s="1">
        <v>6.6984439999999998E-5</v>
      </c>
      <c r="R4110">
        <v>3.9249220000000001E-2</v>
      </c>
      <c r="S4110">
        <v>3.0029599999999999</v>
      </c>
      <c r="T4110">
        <v>2.3243429999999999E-2</v>
      </c>
      <c r="U4110">
        <v>-1.51062E-2</v>
      </c>
      <c r="V4110">
        <v>-3.3525439999999997E-2</v>
      </c>
      <c r="W4110">
        <v>1.4603400000000001E-2</v>
      </c>
      <c r="X4110">
        <v>0.99933119999999998</v>
      </c>
      <c r="Y4110">
        <v>1.076008E-2</v>
      </c>
      <c r="Z4110" s="1">
        <v>8.5994509999999904E-5</v>
      </c>
      <c r="AA4110">
        <v>0.99994209999999994</v>
      </c>
      <c r="AB4110">
        <v>34</v>
      </c>
      <c r="AC4110">
        <v>118.89190000000001</v>
      </c>
      <c r="AD4110">
        <v>0.92273099999999997</v>
      </c>
      <c r="AE4110">
        <v>-0.60159999999999003</v>
      </c>
      <c r="AF4110">
        <v>1.28280548270242</v>
      </c>
      <c r="AG4110">
        <v>0.92273099999999997</v>
      </c>
      <c r="AH4110">
        <v>118.87934011890999</v>
      </c>
      <c r="AI4110">
        <v>89.555310009464904</v>
      </c>
      <c r="AJ4110">
        <v>89.381755589971903</v>
      </c>
      <c r="AK4110">
        <v>118.889841994647</v>
      </c>
      <c r="AL4110">
        <v>89.163257096947802</v>
      </c>
      <c r="AM4110">
        <v>91.921431138300704</v>
      </c>
      <c r="AN4110">
        <v>1.0000000308560899</v>
      </c>
    </row>
    <row r="4111" spans="1:40" x14ac:dyDescent="0.25">
      <c r="A4111" t="str">
        <f>"20190312160725371"</f>
        <v>20190312160725371</v>
      </c>
      <c r="B4111" t="str">
        <f>"1552378045359557"</f>
        <v>1552378045359557</v>
      </c>
      <c r="C4111" t="s">
        <v>40</v>
      </c>
      <c r="D4111">
        <v>6.2263409999999997</v>
      </c>
      <c r="E4111">
        <v>0.55802269999999998</v>
      </c>
      <c r="F4111" t="s">
        <v>51</v>
      </c>
      <c r="G4111">
        <v>-169.39320000000001</v>
      </c>
      <c r="H4111">
        <v>2.818892</v>
      </c>
      <c r="I4111">
        <v>208.94890000000001</v>
      </c>
      <c r="J4111">
        <v>-225.95339999999999</v>
      </c>
      <c r="K4111">
        <v>1.1098539999999999</v>
      </c>
      <c r="L4111">
        <v>214.38</v>
      </c>
      <c r="M4111">
        <v>0.99987740000000003</v>
      </c>
      <c r="N4111">
        <v>0</v>
      </c>
      <c r="O4111">
        <v>5.8184990000000004E-3</v>
      </c>
      <c r="P4111">
        <v>0.99924610000000003</v>
      </c>
      <c r="Q4111">
        <v>1.114901E-3</v>
      </c>
      <c r="R4111">
        <v>3.8810619999999997E-2</v>
      </c>
      <c r="S4111">
        <v>3.0136259999999999</v>
      </c>
      <c r="T4111">
        <v>9.0524670000000002E-2</v>
      </c>
      <c r="U4111">
        <v>-0.28756710000000002</v>
      </c>
      <c r="V4111">
        <v>-3.2997899999999997E-2</v>
      </c>
      <c r="W4111">
        <v>1.565041E-2</v>
      </c>
      <c r="X4111">
        <v>0.99933289999999997</v>
      </c>
      <c r="Y4111">
        <v>0.1007344</v>
      </c>
      <c r="Z4111">
        <v>1.68356E-3</v>
      </c>
      <c r="AA4111">
        <v>0.99491189999999996</v>
      </c>
      <c r="AB4111">
        <v>34</v>
      </c>
      <c r="AC4111">
        <v>56.560199999999902</v>
      </c>
      <c r="AD4111">
        <v>1.7090379999999901</v>
      </c>
      <c r="AE4111">
        <v>-5.4310999999999803</v>
      </c>
      <c r="AF4111">
        <v>5.7549319135335102</v>
      </c>
      <c r="AG4111">
        <v>1.7090379999999901</v>
      </c>
      <c r="AH4111">
        <v>56.476544917385198</v>
      </c>
      <c r="AI4111">
        <v>88.275624055965594</v>
      </c>
      <c r="AJ4111">
        <v>84.181671250144007</v>
      </c>
      <c r="AK4111">
        <v>56.794719631496399</v>
      </c>
      <c r="AL4111">
        <v>89.103260968355599</v>
      </c>
      <c r="AM4111">
        <v>91.891215350132597</v>
      </c>
      <c r="AN4111">
        <v>1.00000002087999</v>
      </c>
    </row>
    <row r="4112" spans="1:40" x14ac:dyDescent="0.25">
      <c r="A4112" t="str">
        <f>"20190312160725393"</f>
        <v>20190312160725393</v>
      </c>
      <c r="B4112" t="str">
        <f>"1552378045389812"</f>
        <v>1552378045389812</v>
      </c>
      <c r="C4112" t="s">
        <v>40</v>
      </c>
      <c r="D4112">
        <v>6.1332069999999996</v>
      </c>
      <c r="E4112">
        <v>0.56160940000000004</v>
      </c>
      <c r="F4112" t="s">
        <v>51</v>
      </c>
      <c r="G4112">
        <v>-168.4109</v>
      </c>
      <c r="H4112">
        <v>2.7060490000000001</v>
      </c>
      <c r="I4112">
        <v>207.8237</v>
      </c>
      <c r="J4112">
        <v>-225.6071</v>
      </c>
      <c r="K4112">
        <v>1.1098589999999999</v>
      </c>
      <c r="L4112">
        <v>214.38210000000001</v>
      </c>
      <c r="M4112">
        <v>0.99987669999999995</v>
      </c>
      <c r="N4112">
        <v>0</v>
      </c>
      <c r="O4112">
        <v>5.9099340000000004E-3</v>
      </c>
      <c r="P4112">
        <v>0.9992586</v>
      </c>
      <c r="Q4112">
        <v>1.227917E-3</v>
      </c>
      <c r="R4112">
        <v>3.8479279999999998E-2</v>
      </c>
      <c r="S4112">
        <v>3.0155180000000001</v>
      </c>
      <c r="T4112">
        <v>8.3650470000000005E-2</v>
      </c>
      <c r="U4112">
        <v>-0.3435822</v>
      </c>
      <c r="V4112">
        <v>-3.2575159999999999E-2</v>
      </c>
      <c r="W4112">
        <v>1.5761979999999998E-2</v>
      </c>
      <c r="X4112">
        <v>0.99934500000000004</v>
      </c>
      <c r="Y4112">
        <v>0.1190287</v>
      </c>
      <c r="Z4112">
        <v>1.808703E-3</v>
      </c>
      <c r="AA4112">
        <v>0.99288920000000003</v>
      </c>
      <c r="AB4112">
        <v>34</v>
      </c>
      <c r="AC4112">
        <v>57.196199999999997</v>
      </c>
      <c r="AD4112">
        <v>1.59619</v>
      </c>
      <c r="AE4112">
        <v>-6.5583999999999998</v>
      </c>
      <c r="AF4112">
        <v>6.8910497754170299</v>
      </c>
      <c r="AG4112">
        <v>1.59619</v>
      </c>
      <c r="AH4112">
        <v>57.112534198244099</v>
      </c>
      <c r="AI4112">
        <v>88.410626796448199</v>
      </c>
      <c r="AJ4112">
        <v>83.1200980360194</v>
      </c>
      <c r="AK4112">
        <v>57.5489005287588</v>
      </c>
      <c r="AL4112">
        <v>89.096867675451904</v>
      </c>
      <c r="AM4112">
        <v>91.866981435224503</v>
      </c>
      <c r="AN4112">
        <v>1.0000000050437701</v>
      </c>
    </row>
    <row r="4113" spans="1:40" x14ac:dyDescent="0.25">
      <c r="A4113" t="str">
        <f>"20190312160725417"</f>
        <v>20190312160725417</v>
      </c>
      <c r="B4113" t="str">
        <f>"1552378045409841"</f>
        <v>1552378045409841</v>
      </c>
      <c r="C4113" t="s">
        <v>40</v>
      </c>
      <c r="D4113">
        <v>6.1452049999999998</v>
      </c>
      <c r="E4113">
        <v>0.56255180000000005</v>
      </c>
      <c r="F4113" t="s">
        <v>51</v>
      </c>
      <c r="G4113">
        <v>-168.4111</v>
      </c>
      <c r="H4113">
        <v>2.7216870000000002</v>
      </c>
      <c r="I4113">
        <v>207.3058</v>
      </c>
      <c r="J4113">
        <v>-225.26179999999999</v>
      </c>
      <c r="K4113">
        <v>1.109856</v>
      </c>
      <c r="L4113">
        <v>214.38419999999999</v>
      </c>
      <c r="M4113">
        <v>0.99987630000000005</v>
      </c>
      <c r="N4113">
        <v>0</v>
      </c>
      <c r="O4113">
        <v>6.0007159999999997E-3</v>
      </c>
      <c r="P4113">
        <v>0.99929190000000001</v>
      </c>
      <c r="Q4113">
        <v>4.5330730000000001E-4</v>
      </c>
      <c r="R4113">
        <v>3.7628170000000002E-2</v>
      </c>
      <c r="S4113">
        <v>3.0164789999999999</v>
      </c>
      <c r="T4113">
        <v>8.5008379999999995E-2</v>
      </c>
      <c r="U4113">
        <v>-0.37319950000000002</v>
      </c>
      <c r="V4113">
        <v>-3.1632960000000002E-2</v>
      </c>
      <c r="W4113">
        <v>1.498673E-2</v>
      </c>
      <c r="X4113">
        <v>0.99938720000000003</v>
      </c>
      <c r="Y4113">
        <v>0.1286851</v>
      </c>
      <c r="Z4113">
        <v>1.9744839999999999E-3</v>
      </c>
      <c r="AA4113">
        <v>0.99168350000000005</v>
      </c>
      <c r="AB4113">
        <v>34</v>
      </c>
      <c r="AC4113">
        <v>56.850699999999897</v>
      </c>
      <c r="AD4113">
        <v>1.61183099999999</v>
      </c>
      <c r="AE4113">
        <v>-7.0783999999999798</v>
      </c>
      <c r="AF4113">
        <v>7.41358516362709</v>
      </c>
      <c r="AG4113">
        <v>1.61183099999999</v>
      </c>
      <c r="AH4113">
        <v>56.762265253203402</v>
      </c>
      <c r="AI4113">
        <v>88.387147137760607</v>
      </c>
      <c r="AJ4113">
        <v>82.558854265681603</v>
      </c>
      <c r="AK4113">
        <v>57.267041139087397</v>
      </c>
      <c r="AL4113">
        <v>89.141291484975199</v>
      </c>
      <c r="AM4113">
        <v>91.812941159636097</v>
      </c>
      <c r="AN4113">
        <v>1.00000001087914</v>
      </c>
    </row>
    <row r="4114" spans="1:40" x14ac:dyDescent="0.25">
      <c r="A4114" t="str">
        <f>"20190312160725439"</f>
        <v>20190312160725439</v>
      </c>
      <c r="B4114" t="str">
        <f>"1552378045429360"</f>
        <v>1552378045429360</v>
      </c>
      <c r="C4114" t="s">
        <v>40</v>
      </c>
      <c r="D4114">
        <v>6.3465059999999998</v>
      </c>
      <c r="E4114">
        <v>0.56453430000000004</v>
      </c>
      <c r="F4114" t="s">
        <v>51</v>
      </c>
      <c r="G4114">
        <v>-168.4111</v>
      </c>
      <c r="H4114">
        <v>2.7039759999999999</v>
      </c>
      <c r="I4114">
        <v>207.161</v>
      </c>
      <c r="J4114">
        <v>-224.9315</v>
      </c>
      <c r="K4114">
        <v>1.1098570000000001</v>
      </c>
      <c r="L4114">
        <v>214.38630000000001</v>
      </c>
      <c r="M4114">
        <v>0.99987579999999998</v>
      </c>
      <c r="N4114">
        <v>0</v>
      </c>
      <c r="O4114">
        <v>6.087805E-3</v>
      </c>
      <c r="P4114">
        <v>0.9993377</v>
      </c>
      <c r="Q4114">
        <v>2.7993320000000002E-4</v>
      </c>
      <c r="R4114">
        <v>3.639117E-2</v>
      </c>
      <c r="S4114">
        <v>3.0165410000000001</v>
      </c>
      <c r="T4114">
        <v>8.4586980000000006E-2</v>
      </c>
      <c r="U4114">
        <v>-0.38327030000000001</v>
      </c>
      <c r="V4114">
        <v>-3.0308209999999999E-2</v>
      </c>
      <c r="W4114">
        <v>1.481271E-2</v>
      </c>
      <c r="X4114">
        <v>0.99943079999999995</v>
      </c>
      <c r="Y4114">
        <v>0.13202700000000001</v>
      </c>
      <c r="Z4114">
        <v>2.0133450000000002E-3</v>
      </c>
      <c r="AA4114">
        <v>0.99124409999999996</v>
      </c>
      <c r="AB4114">
        <v>34</v>
      </c>
      <c r="AC4114">
        <v>56.520400000000002</v>
      </c>
      <c r="AD4114">
        <v>1.5941190000000001</v>
      </c>
      <c r="AE4114">
        <v>-7.22530000000003</v>
      </c>
      <c r="AF4114">
        <v>7.5633678249616301</v>
      </c>
      <c r="AG4114">
        <v>1.5941190000000001</v>
      </c>
      <c r="AH4114">
        <v>56.431193265535697</v>
      </c>
      <c r="AI4114">
        <v>88.396220789904604</v>
      </c>
      <c r="AJ4114">
        <v>82.366246116396795</v>
      </c>
      <c r="AK4114">
        <v>56.958101457247203</v>
      </c>
      <c r="AL4114">
        <v>89.1512631635525</v>
      </c>
      <c r="AM4114">
        <v>91.736989180469806</v>
      </c>
      <c r="AN4114">
        <v>0.99999996397979296</v>
      </c>
    </row>
    <row r="4115" spans="1:40" x14ac:dyDescent="0.25">
      <c r="A4115" t="str">
        <f>"20190312160725460"</f>
        <v>20190312160725460</v>
      </c>
      <c r="B4115" t="str">
        <f>"1552378045449857"</f>
        <v>1552378045449857</v>
      </c>
      <c r="C4115" t="s">
        <v>40</v>
      </c>
      <c r="D4115">
        <v>6.2900559999999999</v>
      </c>
      <c r="E4115">
        <v>0.565666</v>
      </c>
      <c r="F4115" t="s">
        <v>51</v>
      </c>
      <c r="G4115">
        <v>-168.41120000000001</v>
      </c>
      <c r="H4115">
        <v>2.5389119999999998</v>
      </c>
      <c r="I4115">
        <v>206.83340000000001</v>
      </c>
      <c r="J4115">
        <v>-224.6086</v>
      </c>
      <c r="K4115">
        <v>1.1098600000000001</v>
      </c>
      <c r="L4115">
        <v>214.38839999999999</v>
      </c>
      <c r="M4115">
        <v>0.99987530000000002</v>
      </c>
      <c r="N4115">
        <v>0</v>
      </c>
      <c r="O4115">
        <v>6.1729849999999998E-3</v>
      </c>
      <c r="P4115">
        <v>0.99935940000000001</v>
      </c>
      <c r="Q4115">
        <v>6.8201030000000003E-4</v>
      </c>
      <c r="R4115">
        <v>3.5787050000000001E-2</v>
      </c>
      <c r="S4115">
        <v>3.0166469999999999</v>
      </c>
      <c r="T4115">
        <v>7.6274510000000004E-2</v>
      </c>
      <c r="U4115">
        <v>-0.40312189999999998</v>
      </c>
      <c r="V4115">
        <v>-2.9619389999999999E-2</v>
      </c>
      <c r="W4115">
        <v>1.5212730000000001E-2</v>
      </c>
      <c r="X4115">
        <v>0.99944549999999999</v>
      </c>
      <c r="Y4115">
        <v>0.13852629999999999</v>
      </c>
      <c r="Z4115">
        <v>1.898659E-3</v>
      </c>
      <c r="AA4115">
        <v>0.99035689999999998</v>
      </c>
      <c r="AB4115">
        <v>34</v>
      </c>
      <c r="AC4115">
        <v>56.197399999999902</v>
      </c>
      <c r="AD4115">
        <v>1.42905199999999</v>
      </c>
      <c r="AE4115">
        <v>-7.5549999999999704</v>
      </c>
      <c r="AF4115">
        <v>7.8967826465247803</v>
      </c>
      <c r="AG4115">
        <v>1.42905199999999</v>
      </c>
      <c r="AH4115">
        <v>56.114045696489001</v>
      </c>
      <c r="AI4115">
        <v>88.555396558303698</v>
      </c>
      <c r="AJ4115">
        <v>81.989519019358895</v>
      </c>
      <c r="AK4115">
        <v>56.6849846980028</v>
      </c>
      <c r="AL4115">
        <v>89.128341171695496</v>
      </c>
      <c r="AM4115">
        <v>91.697510735917405</v>
      </c>
      <c r="AN4115">
        <v>1.00000002144413</v>
      </c>
    </row>
    <row r="4116" spans="1:40" x14ac:dyDescent="0.25">
      <c r="A4116" t="str">
        <f>"20190312160725483"</f>
        <v>20190312160725483</v>
      </c>
      <c r="B4116" t="str">
        <f>"1552378045469377"</f>
        <v>1552378045469377</v>
      </c>
      <c r="C4116" t="s">
        <v>40</v>
      </c>
      <c r="D4116">
        <v>6.2979969999999996</v>
      </c>
      <c r="E4116">
        <v>0.5661562</v>
      </c>
      <c r="F4116" t="s">
        <v>51</v>
      </c>
      <c r="G4116">
        <v>-168.41120000000001</v>
      </c>
      <c r="H4116">
        <v>2.4404560000000002</v>
      </c>
      <c r="I4116">
        <v>206.6746</v>
      </c>
      <c r="J4116">
        <v>-224.2722</v>
      </c>
      <c r="K4116">
        <v>1.1098629999999901</v>
      </c>
      <c r="L4116">
        <v>214.39060000000001</v>
      </c>
      <c r="M4116">
        <v>0.99987479999999995</v>
      </c>
      <c r="N4116">
        <v>0</v>
      </c>
      <c r="O4116">
        <v>6.2619240000000003E-3</v>
      </c>
      <c r="P4116">
        <v>0.99937039999999999</v>
      </c>
      <c r="Q4116">
        <v>6.3261199999999995E-4</v>
      </c>
      <c r="R4116">
        <v>3.5477950000000001E-2</v>
      </c>
      <c r="S4116">
        <v>3.0166930000000001</v>
      </c>
      <c r="T4116">
        <v>7.1428539999999999E-2</v>
      </c>
      <c r="U4116">
        <v>-0.4140778</v>
      </c>
      <c r="V4116">
        <v>-2.9221469999999999E-2</v>
      </c>
      <c r="W4116">
        <v>1.5161239999999999E-2</v>
      </c>
      <c r="X4116">
        <v>0.99945799999999996</v>
      </c>
      <c r="Y4116">
        <v>0.142148</v>
      </c>
      <c r="Z4116">
        <v>1.822375E-3</v>
      </c>
      <c r="AA4116">
        <v>0.98984369999999999</v>
      </c>
      <c r="AB4116">
        <v>34</v>
      </c>
      <c r="AC4116">
        <v>55.860999999999898</v>
      </c>
      <c r="AD4116">
        <v>1.3305929999999999</v>
      </c>
      <c r="AE4116">
        <v>-7.7160000000000002</v>
      </c>
      <c r="AF4116">
        <v>8.0611948446093002</v>
      </c>
      <c r="AG4116">
        <v>1.3305929999999999</v>
      </c>
      <c r="AH4116">
        <v>55.780526298997103</v>
      </c>
      <c r="AI4116">
        <v>88.647565665915494</v>
      </c>
      <c r="AJ4116">
        <v>81.776758345598793</v>
      </c>
      <c r="AK4116">
        <v>56.375708015487596</v>
      </c>
      <c r="AL4116">
        <v>89.131291675238998</v>
      </c>
      <c r="AM4116">
        <v>91.674697766899499</v>
      </c>
      <c r="AN4116">
        <v>1.0000000256356401</v>
      </c>
    </row>
    <row r="4117" spans="1:40" x14ac:dyDescent="0.25">
      <c r="A4117" t="str">
        <f>"20190312160725506"</f>
        <v>20190312160725506</v>
      </c>
      <c r="B4117" t="str">
        <f>"1552378045499636"</f>
        <v>1552378045499636</v>
      </c>
      <c r="C4117" t="s">
        <v>40</v>
      </c>
      <c r="D4117">
        <v>6.2036049999999996</v>
      </c>
      <c r="E4117">
        <v>0.56669349999999996</v>
      </c>
      <c r="F4117" t="s">
        <v>51</v>
      </c>
      <c r="G4117">
        <v>-168.41120000000001</v>
      </c>
      <c r="H4117">
        <v>2.3657590000000002</v>
      </c>
      <c r="I4117">
        <v>206.62950000000001</v>
      </c>
      <c r="J4117">
        <v>-223.928</v>
      </c>
      <c r="K4117">
        <v>1.1098629999999901</v>
      </c>
      <c r="L4117">
        <v>214.39279999999999</v>
      </c>
      <c r="M4117">
        <v>0.99987429999999999</v>
      </c>
      <c r="N4117">
        <v>0</v>
      </c>
      <c r="O4117">
        <v>6.3530100000000001E-3</v>
      </c>
      <c r="P4117">
        <v>0.99939610000000001</v>
      </c>
      <c r="Q4117">
        <v>4.1247160000000002E-4</v>
      </c>
      <c r="R4117">
        <v>3.4751650000000002E-2</v>
      </c>
      <c r="S4117">
        <v>3.016724</v>
      </c>
      <c r="T4117">
        <v>6.7825319999999995E-2</v>
      </c>
      <c r="U4117">
        <v>-0.41912840000000001</v>
      </c>
      <c r="V4117">
        <v>-2.8403749999999998E-2</v>
      </c>
      <c r="W4117">
        <v>1.4939529999999999E-2</v>
      </c>
      <c r="X4117">
        <v>0.99948490000000001</v>
      </c>
      <c r="Y4117">
        <v>0.14386640000000001</v>
      </c>
      <c r="Z4117">
        <v>1.7515160000000001E-3</v>
      </c>
      <c r="AA4117">
        <v>0.98959560000000002</v>
      </c>
      <c r="AB4117">
        <v>33</v>
      </c>
      <c r="AC4117">
        <v>55.516799999999897</v>
      </c>
      <c r="AD4117">
        <v>1.2558959999999999</v>
      </c>
      <c r="AE4117">
        <v>-7.7632999999999797</v>
      </c>
      <c r="AF4117">
        <v>8.1118076982961593</v>
      </c>
      <c r="AG4117">
        <v>1.2558959999999999</v>
      </c>
      <c r="AH4117">
        <v>55.438527297840402</v>
      </c>
      <c r="AI4117">
        <v>88.715920531555099</v>
      </c>
      <c r="AJ4117">
        <v>81.675510766329097</v>
      </c>
      <c r="AK4117">
        <v>56.042921121675498</v>
      </c>
      <c r="AL4117">
        <v>89.143996151164998</v>
      </c>
      <c r="AM4117">
        <v>91.627815594605394</v>
      </c>
      <c r="AN4117">
        <v>1.0000000139493399</v>
      </c>
    </row>
    <row r="4118" spans="1:40" x14ac:dyDescent="0.25">
      <c r="A4118" t="str">
        <f>"20190312160725527"</f>
        <v>20190312160725527</v>
      </c>
      <c r="B4118" t="str">
        <f>"1552378045519152"</f>
        <v>1552378045519152</v>
      </c>
      <c r="C4118" t="s">
        <v>40</v>
      </c>
      <c r="D4118">
        <v>6.2185309999999996</v>
      </c>
      <c r="E4118">
        <v>0.56674669999999905</v>
      </c>
      <c r="F4118" t="s">
        <v>51</v>
      </c>
      <c r="G4118">
        <v>-168.41120000000001</v>
      </c>
      <c r="H4118">
        <v>2.3233679999999999</v>
      </c>
      <c r="I4118">
        <v>206.5582</v>
      </c>
      <c r="J4118">
        <v>-223.6036</v>
      </c>
      <c r="K4118">
        <v>1.1098650000000001</v>
      </c>
      <c r="L4118">
        <v>214.39500000000001</v>
      </c>
      <c r="M4118">
        <v>0.99987380000000003</v>
      </c>
      <c r="N4118">
        <v>0</v>
      </c>
      <c r="O4118">
        <v>6.4385569999999897E-3</v>
      </c>
      <c r="P4118">
        <v>0.99940929999999994</v>
      </c>
      <c r="Q4118">
        <v>1.064427E-4</v>
      </c>
      <c r="R4118">
        <v>3.437519E-2</v>
      </c>
      <c r="S4118">
        <v>3.0165860000000002</v>
      </c>
      <c r="T4118">
        <v>6.593955E-2</v>
      </c>
      <c r="U4118">
        <v>-0.425705</v>
      </c>
      <c r="V4118">
        <v>-2.7941580000000001E-2</v>
      </c>
      <c r="W4118">
        <v>1.463105E-2</v>
      </c>
      <c r="X4118">
        <v>0.99950249999999996</v>
      </c>
      <c r="Y4118">
        <v>0.14607429999999999</v>
      </c>
      <c r="Z4118">
        <v>1.7285219999999999E-3</v>
      </c>
      <c r="AA4118">
        <v>0.98927209999999999</v>
      </c>
      <c r="AB4118">
        <v>33</v>
      </c>
      <c r="AC4118">
        <v>55.1923999999999</v>
      </c>
      <c r="AD4118">
        <v>1.213503</v>
      </c>
      <c r="AE4118">
        <v>-7.83680000000001</v>
      </c>
      <c r="AF4118">
        <v>8.1881543470614098</v>
      </c>
      <c r="AG4118">
        <v>1.213503</v>
      </c>
      <c r="AH4118">
        <v>55.114675844361898</v>
      </c>
      <c r="AI4118">
        <v>88.752366926510504</v>
      </c>
      <c r="AJ4118">
        <v>81.549618223469395</v>
      </c>
      <c r="AK4118">
        <v>55.732808601140803</v>
      </c>
      <c r="AL4118">
        <v>89.161672693262801</v>
      </c>
      <c r="AM4118">
        <v>91.601314407863597</v>
      </c>
      <c r="AN4118">
        <v>1.00000002351162</v>
      </c>
    </row>
    <row r="4119" spans="1:40" x14ac:dyDescent="0.25">
      <c r="A4119" t="str">
        <f>"20190312160725549"</f>
        <v>20190312160725549</v>
      </c>
      <c r="B4119" t="str">
        <f>"1552378045539649"</f>
        <v>1552378045539649</v>
      </c>
      <c r="C4119" t="s">
        <v>40</v>
      </c>
      <c r="D4119">
        <v>6.1466419999999999</v>
      </c>
      <c r="E4119">
        <v>0.56694299999999997</v>
      </c>
      <c r="F4119" t="s">
        <v>51</v>
      </c>
      <c r="G4119">
        <v>-168.41120000000001</v>
      </c>
      <c r="H4119">
        <v>2.2570969999999999</v>
      </c>
      <c r="I4119">
        <v>206.5762</v>
      </c>
      <c r="J4119">
        <v>-223.2765</v>
      </c>
      <c r="K4119">
        <v>1.1098629999999901</v>
      </c>
      <c r="L4119">
        <v>214.39709999999999</v>
      </c>
      <c r="M4119">
        <v>0.99987309999999996</v>
      </c>
      <c r="N4119">
        <v>0</v>
      </c>
      <c r="O4119">
        <v>6.5251160000000001E-3</v>
      </c>
      <c r="P4119">
        <v>0.99942109999999995</v>
      </c>
      <c r="Q4119">
        <v>3.5414099999999998E-4</v>
      </c>
      <c r="R4119">
        <v>3.402144E-2</v>
      </c>
      <c r="S4119">
        <v>3.016464</v>
      </c>
      <c r="T4119">
        <v>6.2702179999999996E-2</v>
      </c>
      <c r="U4119">
        <v>-0.42732239999999999</v>
      </c>
      <c r="V4119">
        <v>-2.7501100000000001E-2</v>
      </c>
      <c r="W4119">
        <v>1.487612E-2</v>
      </c>
      <c r="X4119">
        <v>0.99951109999999999</v>
      </c>
      <c r="Y4119">
        <v>0.14668870000000001</v>
      </c>
      <c r="Z4119">
        <v>1.651825E-3</v>
      </c>
      <c r="AA4119">
        <v>0.98918130000000004</v>
      </c>
      <c r="AB4119">
        <v>33</v>
      </c>
      <c r="AC4119">
        <v>54.865299999999898</v>
      </c>
      <c r="AD4119">
        <v>1.1472340000000001</v>
      </c>
      <c r="AE4119">
        <v>-7.8208999999999902</v>
      </c>
      <c r="AF4119">
        <v>8.1752704504768801</v>
      </c>
      <c r="AG4119">
        <v>1.1472340000000001</v>
      </c>
      <c r="AH4119">
        <v>54.789615560639298</v>
      </c>
      <c r="AI4119">
        <v>88.813595653243596</v>
      </c>
      <c r="AJ4119">
        <v>81.513392673050603</v>
      </c>
      <c r="AK4119">
        <v>55.4080604792466</v>
      </c>
      <c r="AL4119">
        <v>89.147629689048003</v>
      </c>
      <c r="AM4119">
        <v>91.576070055709494</v>
      </c>
      <c r="AN4119">
        <v>1.00000002423533</v>
      </c>
    </row>
    <row r="4120" spans="1:40" x14ac:dyDescent="0.25">
      <c r="A4120" t="str">
        <f>"20190312160725572"</f>
        <v>20190312160725572</v>
      </c>
      <c r="B4120" t="str">
        <f>"1552378045569904"</f>
        <v>1552378045569904</v>
      </c>
      <c r="C4120" t="s">
        <v>40</v>
      </c>
      <c r="D4120">
        <v>6.277533</v>
      </c>
      <c r="E4120">
        <v>0.56791530000000001</v>
      </c>
      <c r="F4120" t="s">
        <v>51</v>
      </c>
      <c r="G4120">
        <v>-168.41120000000001</v>
      </c>
      <c r="H4120">
        <v>2.2661289999999998</v>
      </c>
      <c r="I4120">
        <v>206.577</v>
      </c>
      <c r="J4120">
        <v>-222.9391</v>
      </c>
      <c r="K4120">
        <v>1.109861</v>
      </c>
      <c r="L4120">
        <v>214.39940000000001</v>
      </c>
      <c r="M4120">
        <v>0.9998726</v>
      </c>
      <c r="N4120">
        <v>0</v>
      </c>
      <c r="O4120">
        <v>6.6143579999999999E-3</v>
      </c>
      <c r="P4120">
        <v>0.99943939999999998</v>
      </c>
      <c r="Q4120">
        <v>4.4178220000000001E-4</v>
      </c>
      <c r="R4120">
        <v>3.3477079999999999E-2</v>
      </c>
      <c r="S4120">
        <v>3.0163570000000002</v>
      </c>
      <c r="T4120">
        <v>6.3570500000000002E-2</v>
      </c>
      <c r="U4120">
        <v>-0.42993160000000002</v>
      </c>
      <c r="V4120">
        <v>-2.6867169999999999E-2</v>
      </c>
      <c r="W4120">
        <v>1.496099E-2</v>
      </c>
      <c r="X4120">
        <v>0.99952700000000005</v>
      </c>
      <c r="Y4120">
        <v>0.14761939999999901</v>
      </c>
      <c r="Z4120">
        <v>1.686281E-3</v>
      </c>
      <c r="AA4120">
        <v>0.9890428</v>
      </c>
      <c r="AB4120">
        <v>33</v>
      </c>
      <c r="AC4120">
        <v>54.527899999999903</v>
      </c>
      <c r="AD4120">
        <v>1.1562680000000001</v>
      </c>
      <c r="AE4120">
        <v>-7.8224000000000098</v>
      </c>
      <c r="AF4120">
        <v>8.1793302490131907</v>
      </c>
      <c r="AG4120">
        <v>1.1562680000000001</v>
      </c>
      <c r="AH4120">
        <v>54.450970896518498</v>
      </c>
      <c r="AI4120">
        <v>88.796998008975606</v>
      </c>
      <c r="AJ4120">
        <v>81.457210239647495</v>
      </c>
      <c r="AK4120">
        <v>55.074010482111703</v>
      </c>
      <c r="AL4120">
        <v>89.142766391400002</v>
      </c>
      <c r="AM4120">
        <v>91.539733155508202</v>
      </c>
      <c r="AN4120">
        <v>0.99999994988729302</v>
      </c>
    </row>
    <row r="4121" spans="1:40" x14ac:dyDescent="0.25">
      <c r="A4121" t="str">
        <f>"20190312160725595"</f>
        <v>20190312160725595</v>
      </c>
      <c r="B4121" t="str">
        <f>"1552378045589427"</f>
        <v>1552378045589427</v>
      </c>
      <c r="C4121" t="s">
        <v>40</v>
      </c>
      <c r="D4121">
        <v>6.1667699999999996</v>
      </c>
      <c r="E4121">
        <v>0.56799290000000002</v>
      </c>
      <c r="F4121" t="s">
        <v>51</v>
      </c>
      <c r="G4121">
        <v>-168.41120000000001</v>
      </c>
      <c r="H4121">
        <v>2.2783929999999999</v>
      </c>
      <c r="I4121">
        <v>206.4599</v>
      </c>
      <c r="J4121">
        <v>-222.6026</v>
      </c>
      <c r="K4121">
        <v>1.109858</v>
      </c>
      <c r="L4121">
        <v>214.40170000000001</v>
      </c>
      <c r="M4121">
        <v>0.99987199999999998</v>
      </c>
      <c r="N4121">
        <v>0</v>
      </c>
      <c r="O4121">
        <v>6.7032419999999999E-3</v>
      </c>
      <c r="P4121">
        <v>0.99945740000000005</v>
      </c>
      <c r="Q4121">
        <v>3.9266140000000001E-4</v>
      </c>
      <c r="R4121">
        <v>3.2938910000000002E-2</v>
      </c>
      <c r="S4121">
        <v>3.0163570000000002</v>
      </c>
      <c r="T4121">
        <v>6.4642430000000001E-2</v>
      </c>
      <c r="U4121">
        <v>-0.43919370000000002</v>
      </c>
      <c r="V4121">
        <v>-2.6239970000000001E-2</v>
      </c>
      <c r="W4121">
        <v>1.4909489999999999E-2</v>
      </c>
      <c r="X4121">
        <v>0.99954449999999995</v>
      </c>
      <c r="Y4121">
        <v>0.15068010000000001</v>
      </c>
      <c r="Z4121">
        <v>1.7488510000000001E-3</v>
      </c>
      <c r="AA4121">
        <v>0.98858109999999999</v>
      </c>
      <c r="AB4121">
        <v>33</v>
      </c>
      <c r="AC4121">
        <v>54.191399999999902</v>
      </c>
      <c r="AD4121">
        <v>1.1685350000000001</v>
      </c>
      <c r="AE4121">
        <v>-7.9417999999999997</v>
      </c>
      <c r="AF4121">
        <v>8.3011393343287008</v>
      </c>
      <c r="AG4121">
        <v>1.1685350000000001</v>
      </c>
      <c r="AH4121">
        <v>54.112309342557602</v>
      </c>
      <c r="AI4121">
        <v>88.777211480437302</v>
      </c>
      <c r="AJ4121">
        <v>81.278489287566899</v>
      </c>
      <c r="AK4121">
        <v>54.757797715748303</v>
      </c>
      <c r="AL4121">
        <v>89.145717511707304</v>
      </c>
      <c r="AM4121">
        <v>91.503779277761595</v>
      </c>
      <c r="AN4121">
        <v>1.0000000181989499</v>
      </c>
    </row>
    <row r="4122" spans="1:40" x14ac:dyDescent="0.25">
      <c r="A4122" t="str">
        <f>"20190312160725617"</f>
        <v>20190312160725617</v>
      </c>
      <c r="B4122" t="str">
        <f>"1552378045609451"</f>
        <v>1552378045609451</v>
      </c>
      <c r="C4122" t="s">
        <v>40</v>
      </c>
      <c r="D4122">
        <v>6.1465959999999997</v>
      </c>
      <c r="E4122">
        <v>0.56801639999999998</v>
      </c>
      <c r="F4122" t="s">
        <v>51</v>
      </c>
      <c r="G4122">
        <v>-168.41120000000001</v>
      </c>
      <c r="H4122">
        <v>2.2709030000000001</v>
      </c>
      <c r="I4122">
        <v>206.46690000000001</v>
      </c>
      <c r="J4122">
        <v>-222.27070000000001</v>
      </c>
      <c r="K4122">
        <v>1.109864</v>
      </c>
      <c r="L4122">
        <v>214.4041</v>
      </c>
      <c r="M4122">
        <v>0.99987159999999997</v>
      </c>
      <c r="N4122">
        <v>0</v>
      </c>
      <c r="O4122">
        <v>6.7909959999999997E-3</v>
      </c>
      <c r="P4122">
        <v>0.99947410000000003</v>
      </c>
      <c r="Q4122">
        <v>2.9345420000000003E-4</v>
      </c>
      <c r="R4122">
        <v>3.2429279999999998E-2</v>
      </c>
      <c r="S4122">
        <v>3.016159</v>
      </c>
      <c r="T4122">
        <v>6.4622760000000001E-2</v>
      </c>
      <c r="U4122">
        <v>-0.4416351</v>
      </c>
      <c r="V4122">
        <v>-2.56428E-2</v>
      </c>
      <c r="W4122">
        <v>1.4806980000000001E-2</v>
      </c>
      <c r="X4122">
        <v>0.99956149999999999</v>
      </c>
      <c r="Y4122">
        <v>0.15155929999999901</v>
      </c>
      <c r="Z4122">
        <v>1.75957E-3</v>
      </c>
      <c r="AA4122">
        <v>0.98844659999999995</v>
      </c>
      <c r="AB4122">
        <v>33</v>
      </c>
      <c r="AC4122">
        <v>53.859499999999997</v>
      </c>
      <c r="AD4122">
        <v>1.1610389999999899</v>
      </c>
      <c r="AE4122">
        <v>-7.93719999999999</v>
      </c>
      <c r="AF4122">
        <v>8.2990405612118394</v>
      </c>
      <c r="AG4122">
        <v>1.1610389999999899</v>
      </c>
      <c r="AH4122">
        <v>53.779890525376103</v>
      </c>
      <c r="AI4122">
        <v>88.777712706732203</v>
      </c>
      <c r="AJ4122">
        <v>81.227601166956603</v>
      </c>
      <c r="AK4122">
        <v>54.428840798951398</v>
      </c>
      <c r="AL4122">
        <v>89.151591531614301</v>
      </c>
      <c r="AM4122">
        <v>91.469546424588899</v>
      </c>
      <c r="AN4122">
        <v>0.99999999606540502</v>
      </c>
    </row>
    <row r="4123" spans="1:40" x14ac:dyDescent="0.25">
      <c r="A4123" t="str">
        <f>"20190312160725640"</f>
        <v>20190312160725640</v>
      </c>
      <c r="B4123" t="str">
        <f>"1552378045628971"</f>
        <v>1552378045628971</v>
      </c>
      <c r="C4123" t="s">
        <v>40</v>
      </c>
      <c r="D4123">
        <v>6.1351570000000004</v>
      </c>
      <c r="E4123">
        <v>0.56815479999999996</v>
      </c>
      <c r="F4123" t="s">
        <v>51</v>
      </c>
      <c r="G4123">
        <v>-168.41120000000001</v>
      </c>
      <c r="H4123">
        <v>2.2803610000000001</v>
      </c>
      <c r="I4123">
        <v>206.49080000000001</v>
      </c>
      <c r="J4123">
        <v>-221.9383</v>
      </c>
      <c r="K4123">
        <v>1.109869</v>
      </c>
      <c r="L4123">
        <v>214.40639999999999</v>
      </c>
      <c r="M4123">
        <v>0.99987110000000001</v>
      </c>
      <c r="N4123">
        <v>0</v>
      </c>
      <c r="O4123">
        <v>6.8788699999999996E-3</v>
      </c>
      <c r="P4123">
        <v>0.99949410000000005</v>
      </c>
      <c r="Q4123">
        <v>6.517386E-4</v>
      </c>
      <c r="R4123">
        <v>3.1802669999999998E-2</v>
      </c>
      <c r="S4123">
        <v>3.01593</v>
      </c>
      <c r="T4123">
        <v>6.5545320000000004E-2</v>
      </c>
      <c r="U4123">
        <v>-0.44311519999999999</v>
      </c>
      <c r="V4123">
        <v>-2.4928189999999999E-2</v>
      </c>
      <c r="W4123">
        <v>1.516314E-2</v>
      </c>
      <c r="X4123">
        <v>0.99957419999999997</v>
      </c>
      <c r="Y4123">
        <v>0.1521306</v>
      </c>
      <c r="Z4123">
        <v>1.7928289999999999E-3</v>
      </c>
      <c r="AA4123">
        <v>0.98835879999999998</v>
      </c>
      <c r="AB4123">
        <v>33</v>
      </c>
      <c r="AC4123">
        <v>53.527099999999898</v>
      </c>
      <c r="AD4123">
        <v>1.1704920000000001</v>
      </c>
      <c r="AE4123">
        <v>-7.91559999999998</v>
      </c>
      <c r="AF4123">
        <v>8.2797829158199505</v>
      </c>
      <c r="AG4123">
        <v>1.1704920000000001</v>
      </c>
      <c r="AH4123">
        <v>53.446367245286602</v>
      </c>
      <c r="AI4123">
        <v>88.760189715172203</v>
      </c>
      <c r="AJ4123">
        <v>81.193877506490495</v>
      </c>
      <c r="AK4123">
        <v>54.096571318090199</v>
      </c>
      <c r="AL4123">
        <v>89.131182742315403</v>
      </c>
      <c r="AM4123">
        <v>91.428592379482694</v>
      </c>
      <c r="AN4123">
        <v>0.99999995838848599</v>
      </c>
    </row>
    <row r="4124" spans="1:40" x14ac:dyDescent="0.25">
      <c r="A4124" t="str">
        <f>"20190312160725661"</f>
        <v>20190312160725661</v>
      </c>
      <c r="B4124" t="str">
        <f>"1552378045649467"</f>
        <v>1552378045649467</v>
      </c>
      <c r="C4124" t="s">
        <v>40</v>
      </c>
      <c r="D4124">
        <v>6.1249440000000002</v>
      </c>
      <c r="E4124">
        <v>0.56806690000000004</v>
      </c>
      <c r="F4124" t="s">
        <v>51</v>
      </c>
      <c r="G4124">
        <v>-168.41120000000001</v>
      </c>
      <c r="H4124">
        <v>2.2594889999999999</v>
      </c>
      <c r="I4124">
        <v>206.4847</v>
      </c>
      <c r="J4124">
        <v>-221.61930000000001</v>
      </c>
      <c r="K4124">
        <v>1.1098699999999999</v>
      </c>
      <c r="L4124">
        <v>214.40870000000001</v>
      </c>
      <c r="M4124">
        <v>0.9998705</v>
      </c>
      <c r="N4124">
        <v>0</v>
      </c>
      <c r="O4124">
        <v>6.9635209999999899E-3</v>
      </c>
      <c r="P4124">
        <v>0.99952220000000003</v>
      </c>
      <c r="Q4124">
        <v>3.309548E-4</v>
      </c>
      <c r="R4124">
        <v>3.091416E-2</v>
      </c>
      <c r="S4124">
        <v>3.0156860000000001</v>
      </c>
      <c r="T4124">
        <v>6.4770820000000007E-2</v>
      </c>
      <c r="U4124">
        <v>-0.44630429999999999</v>
      </c>
      <c r="V4124">
        <v>-2.3955009999999999E-2</v>
      </c>
      <c r="W4124">
        <v>1.483988E-2</v>
      </c>
      <c r="X4124">
        <v>0.99960289999999996</v>
      </c>
      <c r="Y4124">
        <v>0.1532492</v>
      </c>
      <c r="Z4124">
        <v>1.785411E-3</v>
      </c>
      <c r="AA4124">
        <v>0.98818589999999995</v>
      </c>
      <c r="AB4124">
        <v>33</v>
      </c>
      <c r="AC4124">
        <v>53.208100000000002</v>
      </c>
      <c r="AD4124">
        <v>1.14961899999999</v>
      </c>
      <c r="AE4124">
        <v>-7.9240000000000004</v>
      </c>
      <c r="AF4124">
        <v>8.2905763016861194</v>
      </c>
      <c r="AG4124">
        <v>1.14961899999999</v>
      </c>
      <c r="AH4124">
        <v>53.127361953496802</v>
      </c>
      <c r="AI4124">
        <v>88.775193271441594</v>
      </c>
      <c r="AJ4124">
        <v>81.130473061776897</v>
      </c>
      <c r="AK4124">
        <v>53.7826353705088</v>
      </c>
      <c r="AL4124">
        <v>89.1497063061218</v>
      </c>
      <c r="AM4124">
        <v>91.372803456357602</v>
      </c>
      <c r="AN4124">
        <v>1.0000000111154601</v>
      </c>
    </row>
    <row r="4125" spans="1:40" x14ac:dyDescent="0.25">
      <c r="A4125" t="str">
        <f>"20190312160725683"</f>
        <v>20190312160725683</v>
      </c>
      <c r="B4125" t="str">
        <f>"1552378045679723"</f>
        <v>1552378045679723</v>
      </c>
      <c r="C4125" t="s">
        <v>40</v>
      </c>
      <c r="D4125">
        <v>6.24674</v>
      </c>
      <c r="E4125">
        <v>0.56808409999999998</v>
      </c>
      <c r="F4125" t="s">
        <v>51</v>
      </c>
      <c r="G4125">
        <v>-168.41120000000001</v>
      </c>
      <c r="H4125">
        <v>2.229517</v>
      </c>
      <c r="I4125">
        <v>206.4975</v>
      </c>
      <c r="J4125">
        <v>-221.28550000000001</v>
      </c>
      <c r="K4125">
        <v>1.1098680000000001</v>
      </c>
      <c r="L4125">
        <v>214.4111</v>
      </c>
      <c r="M4125">
        <v>0.99986989999999998</v>
      </c>
      <c r="N4125">
        <v>0</v>
      </c>
      <c r="O4125">
        <v>7.0521100000000003E-3</v>
      </c>
      <c r="P4125">
        <v>0.99955150000000004</v>
      </c>
      <c r="Q4125">
        <v>-1.464197E-4</v>
      </c>
      <c r="R4125">
        <v>2.9954399999999999E-2</v>
      </c>
      <c r="S4125">
        <v>3.0152589999999999</v>
      </c>
      <c r="T4125">
        <v>6.345141E-2</v>
      </c>
      <c r="U4125">
        <v>-0.44831850000000001</v>
      </c>
      <c r="V4125">
        <v>-2.2906530000000001E-2</v>
      </c>
      <c r="W4125">
        <v>1.435928E-2</v>
      </c>
      <c r="X4125">
        <v>0.99963449999999998</v>
      </c>
      <c r="Y4125">
        <v>0.15400420000000001</v>
      </c>
      <c r="Z4125">
        <v>1.7589630000000001E-3</v>
      </c>
      <c r="AA4125">
        <v>0.98806859999999996</v>
      </c>
      <c r="AB4125">
        <v>33</v>
      </c>
      <c r="AC4125">
        <v>52.874299999999998</v>
      </c>
      <c r="AD4125">
        <v>1.1196489999999999</v>
      </c>
      <c r="AE4125">
        <v>-7.9135999999999997</v>
      </c>
      <c r="AF4125">
        <v>8.2826851387117895</v>
      </c>
      <c r="AG4125">
        <v>1.1196489999999999</v>
      </c>
      <c r="AH4125">
        <v>52.794016830129799</v>
      </c>
      <c r="AI4125">
        <v>88.799737448767502</v>
      </c>
      <c r="AJ4125">
        <v>81.083727076790097</v>
      </c>
      <c r="AK4125">
        <v>53.451517284828</v>
      </c>
      <c r="AL4125">
        <v>89.177245596706001</v>
      </c>
      <c r="AM4125">
        <v>91.3126976366745</v>
      </c>
      <c r="AN4125">
        <v>1.0000000158144999</v>
      </c>
    </row>
    <row r="4126" spans="1:40" x14ac:dyDescent="0.25">
      <c r="A4126" t="str">
        <f>"20190312160725706"</f>
        <v>20190312160725706</v>
      </c>
      <c r="B4126" t="str">
        <f>"1552378045699243"</f>
        <v>1552378045699243</v>
      </c>
      <c r="C4126" t="s">
        <v>40</v>
      </c>
      <c r="D4126">
        <v>6.2541089999999997</v>
      </c>
      <c r="E4126">
        <v>0.56826540000000003</v>
      </c>
      <c r="F4126" t="s">
        <v>51</v>
      </c>
      <c r="G4126">
        <v>-168.41120000000001</v>
      </c>
      <c r="H4126">
        <v>2.2534770000000002</v>
      </c>
      <c r="I4126">
        <v>206.49440000000001</v>
      </c>
      <c r="J4126">
        <v>-220.95500000000001</v>
      </c>
      <c r="K4126">
        <v>1.109869</v>
      </c>
      <c r="L4126">
        <v>214.4135</v>
      </c>
      <c r="M4126">
        <v>0.99986929999999996</v>
      </c>
      <c r="N4126">
        <v>0</v>
      </c>
      <c r="O4126">
        <v>7.1398030000000001E-3</v>
      </c>
      <c r="P4126">
        <v>0.99957359999999995</v>
      </c>
      <c r="Q4126">
        <v>-6.7950319999999999E-4</v>
      </c>
      <c r="R4126">
        <v>2.9191450000000001E-2</v>
      </c>
      <c r="S4126">
        <v>3.014923</v>
      </c>
      <c r="T4126">
        <v>6.5211179999999994E-2</v>
      </c>
      <c r="U4126">
        <v>-0.45141599999999998</v>
      </c>
      <c r="V4126">
        <v>-2.2055849999999998E-2</v>
      </c>
      <c r="W4126">
        <v>1.382385E-2</v>
      </c>
      <c r="X4126">
        <v>0.99966109999999997</v>
      </c>
      <c r="Y4126">
        <v>0.1550975</v>
      </c>
      <c r="Z4126">
        <v>1.8214419999999999E-3</v>
      </c>
      <c r="AA4126">
        <v>0.98789749999999998</v>
      </c>
      <c r="AB4126">
        <v>33</v>
      </c>
      <c r="AC4126">
        <v>52.543799999999997</v>
      </c>
      <c r="AD4126">
        <v>1.143608</v>
      </c>
      <c r="AE4126">
        <v>-7.9190999999999798</v>
      </c>
      <c r="AF4126">
        <v>8.2902500234949805</v>
      </c>
      <c r="AG4126">
        <v>1.143608</v>
      </c>
      <c r="AH4126">
        <v>52.4616141143741</v>
      </c>
      <c r="AI4126">
        <v>88.766511563529903</v>
      </c>
      <c r="AJ4126">
        <v>81.020087868023296</v>
      </c>
      <c r="AK4126">
        <v>53.124919201775903</v>
      </c>
      <c r="AL4126">
        <v>89.207926459801797</v>
      </c>
      <c r="AM4126">
        <v>91.263930470978195</v>
      </c>
      <c r="AN4126">
        <v>0.99999993710062496</v>
      </c>
    </row>
    <row r="4127" spans="1:40" x14ac:dyDescent="0.25">
      <c r="A4127" t="str">
        <f>"20190312160725728"</f>
        <v>20190312160725728</v>
      </c>
      <c r="B4127" t="str">
        <f>"1552378045719270"</f>
        <v>1552378045719270</v>
      </c>
      <c r="C4127" t="s">
        <v>40</v>
      </c>
      <c r="D4127">
        <v>6.1292410000000004</v>
      </c>
      <c r="E4127">
        <v>0.56853489999999995</v>
      </c>
      <c r="F4127" t="s">
        <v>51</v>
      </c>
      <c r="G4127">
        <v>-168.41120000000001</v>
      </c>
      <c r="H4127">
        <v>2.2674639999999999</v>
      </c>
      <c r="I4127">
        <v>206.48560000000001</v>
      </c>
      <c r="J4127">
        <v>-220.62549999999999</v>
      </c>
      <c r="K4127">
        <v>1.109861</v>
      </c>
      <c r="L4127">
        <v>214.416</v>
      </c>
      <c r="M4127">
        <v>0.9998686</v>
      </c>
      <c r="N4127">
        <v>0</v>
      </c>
      <c r="O4127">
        <v>7.2273160000000001E-3</v>
      </c>
      <c r="P4127">
        <v>0.99958029999999998</v>
      </c>
      <c r="Q4127">
        <v>-7.9127679999999902E-4</v>
      </c>
      <c r="R4127">
        <v>2.896087E-2</v>
      </c>
      <c r="S4127">
        <v>3.0146030000000001</v>
      </c>
      <c r="T4127">
        <v>6.6416740000000002E-2</v>
      </c>
      <c r="U4127">
        <v>-0.45484920000000001</v>
      </c>
      <c r="V4127">
        <v>-2.173746E-2</v>
      </c>
      <c r="W4127">
        <v>1.3708939999999999E-2</v>
      </c>
      <c r="X4127">
        <v>0.99966969999999999</v>
      </c>
      <c r="Y4127">
        <v>0.15629779999999999</v>
      </c>
      <c r="Z4127">
        <v>1.87021E-3</v>
      </c>
      <c r="AA4127">
        <v>0.98770820000000004</v>
      </c>
      <c r="AB4127">
        <v>33</v>
      </c>
      <c r="AC4127">
        <v>52.214299999999902</v>
      </c>
      <c r="AD4127">
        <v>1.1576029999999999</v>
      </c>
      <c r="AE4127">
        <v>-7.9303999999999899</v>
      </c>
      <c r="AF4127">
        <v>8.3036124573660093</v>
      </c>
      <c r="AG4127">
        <v>1.1576029999999999</v>
      </c>
      <c r="AH4127">
        <v>52.130569050976497</v>
      </c>
      <c r="AI4127">
        <v>88.743739951144505</v>
      </c>
      <c r="AJ4127">
        <v>80.949677056941297</v>
      </c>
      <c r="AK4127">
        <v>52.800438010743399</v>
      </c>
      <c r="AL4127">
        <v>89.214510976407794</v>
      </c>
      <c r="AM4127">
        <v>91.245679921610403</v>
      </c>
      <c r="AN4127">
        <v>0.999999980650632</v>
      </c>
    </row>
    <row r="4128" spans="1:40" x14ac:dyDescent="0.25">
      <c r="A4128" t="str">
        <f>"20190312160725750"</f>
        <v>20190312160725750</v>
      </c>
      <c r="B4128" t="str">
        <f>"1552378045739767"</f>
        <v>1552378045739767</v>
      </c>
      <c r="C4128" t="s">
        <v>40</v>
      </c>
      <c r="D4128">
        <v>6.2630949999999999</v>
      </c>
      <c r="E4128">
        <v>0.56911210000000001</v>
      </c>
      <c r="F4128" t="s">
        <v>51</v>
      </c>
      <c r="G4128">
        <v>-168.41120000000001</v>
      </c>
      <c r="H4128">
        <v>2.2976549999999998</v>
      </c>
      <c r="I4128">
        <v>206.48650000000001</v>
      </c>
      <c r="J4128">
        <v>-220.304</v>
      </c>
      <c r="K4128">
        <v>1.109861</v>
      </c>
      <c r="L4128">
        <v>214.41839999999999</v>
      </c>
      <c r="M4128">
        <v>0.99986810000000004</v>
      </c>
      <c r="N4128">
        <v>0</v>
      </c>
      <c r="O4128">
        <v>7.3111299999999999E-3</v>
      </c>
      <c r="P4128">
        <v>0.99959209999999998</v>
      </c>
      <c r="Q4128">
        <v>-6.2753349999999995E-4</v>
      </c>
      <c r="R4128">
        <v>2.855852E-2</v>
      </c>
      <c r="S4128">
        <v>3.0146030000000001</v>
      </c>
      <c r="T4128">
        <v>6.8579550000000003E-2</v>
      </c>
      <c r="U4128">
        <v>-0.45780939999999998</v>
      </c>
      <c r="V4128">
        <v>-2.1251200000000001E-2</v>
      </c>
      <c r="W4128">
        <v>1.38701E-2</v>
      </c>
      <c r="X4128">
        <v>0.99967799999999996</v>
      </c>
      <c r="Y4128">
        <v>0.15732579999999999</v>
      </c>
      <c r="Z4128">
        <v>1.944477E-3</v>
      </c>
      <c r="AA4128">
        <v>0.9875448</v>
      </c>
      <c r="AB4128">
        <v>33</v>
      </c>
      <c r="AC4128">
        <v>51.892800000000001</v>
      </c>
      <c r="AD4128">
        <v>1.18779399999999</v>
      </c>
      <c r="AE4128">
        <v>-7.9318999999999802</v>
      </c>
      <c r="AF4128">
        <v>8.3068700692182702</v>
      </c>
      <c r="AG4128">
        <v>1.18779399999999</v>
      </c>
      <c r="AH4128">
        <v>51.806892353870602</v>
      </c>
      <c r="AI4128">
        <v>88.703149904112806</v>
      </c>
      <c r="AJ4128">
        <v>80.890564862470399</v>
      </c>
      <c r="AK4128">
        <v>52.4820830407754</v>
      </c>
      <c r="AL4128">
        <v>89.205276364230301</v>
      </c>
      <c r="AM4128">
        <v>91.217812841460102</v>
      </c>
      <c r="AN4128">
        <v>1.00000004842972</v>
      </c>
    </row>
    <row r="4129" spans="1:40" x14ac:dyDescent="0.25">
      <c r="A4129" t="str">
        <f>"20190312160725772"</f>
        <v>20190312160725772</v>
      </c>
      <c r="B4129" t="str">
        <f>"1552378045769046"</f>
        <v>1552378045769046</v>
      </c>
      <c r="C4129" t="s">
        <v>40</v>
      </c>
      <c r="D4129">
        <v>6.3019800000000004</v>
      </c>
      <c r="E4129">
        <v>0.56984939999999995</v>
      </c>
      <c r="F4129" t="s">
        <v>51</v>
      </c>
      <c r="G4129">
        <v>-168.41130000000001</v>
      </c>
      <c r="H4129">
        <v>2.2838919999999998</v>
      </c>
      <c r="I4129">
        <v>206.43770000000001</v>
      </c>
      <c r="J4129">
        <v>-219.9736</v>
      </c>
      <c r="K4129">
        <v>1.109858</v>
      </c>
      <c r="L4129">
        <v>214.42089999999999</v>
      </c>
      <c r="M4129">
        <v>0.99986759999999997</v>
      </c>
      <c r="N4129">
        <v>0</v>
      </c>
      <c r="O4129">
        <v>7.3948069999999998E-3</v>
      </c>
      <c r="P4129">
        <v>0.99960629999999995</v>
      </c>
      <c r="Q4129">
        <v>-8.0709529999999996E-4</v>
      </c>
      <c r="R4129">
        <v>2.8051220000000002E-2</v>
      </c>
      <c r="S4129">
        <v>3.014526</v>
      </c>
      <c r="T4129">
        <v>6.8203089999999994E-2</v>
      </c>
      <c r="U4129">
        <v>-0.46360780000000001</v>
      </c>
      <c r="V4129">
        <v>-2.066016E-2</v>
      </c>
      <c r="W4129">
        <v>1.3686530000000001E-2</v>
      </c>
      <c r="X4129">
        <v>0.9996929</v>
      </c>
      <c r="Y4129">
        <v>0.15926799999999999</v>
      </c>
      <c r="Z4129">
        <v>1.9572970000000002E-3</v>
      </c>
      <c r="AA4129">
        <v>0.98723349999999999</v>
      </c>
      <c r="AB4129">
        <v>33</v>
      </c>
      <c r="AC4129">
        <v>51.562299999999901</v>
      </c>
      <c r="AD4129">
        <v>1.17403399999999</v>
      </c>
      <c r="AE4129">
        <v>-7.9831999999999796</v>
      </c>
      <c r="AF4129">
        <v>8.3600822752042099</v>
      </c>
      <c r="AG4129">
        <v>1.17403399999999</v>
      </c>
      <c r="AH4129">
        <v>51.475787205181902</v>
      </c>
      <c r="AI4129">
        <v>88.710344740756895</v>
      </c>
      <c r="AJ4129">
        <v>80.775246582205298</v>
      </c>
      <c r="AK4129">
        <v>52.163454638995198</v>
      </c>
      <c r="AL4129">
        <v>89.215795133096705</v>
      </c>
      <c r="AM4129">
        <v>91.183935074811401</v>
      </c>
      <c r="AN4129">
        <v>1.0000000288125299</v>
      </c>
    </row>
    <row r="4130" spans="1:40" x14ac:dyDescent="0.25">
      <c r="A4130" t="str">
        <f>"20190312160725796"</f>
        <v>20190312160725796</v>
      </c>
      <c r="B4130" t="str">
        <f>"1552378045789542"</f>
        <v>1552378045789542</v>
      </c>
      <c r="C4130" t="s">
        <v>40</v>
      </c>
      <c r="D4130">
        <v>6.2224570000000003</v>
      </c>
      <c r="E4130">
        <v>0.57033219999999996</v>
      </c>
      <c r="F4130" t="s">
        <v>51</v>
      </c>
      <c r="G4130">
        <v>-168.41130000000001</v>
      </c>
      <c r="H4130">
        <v>2.2593079999999999</v>
      </c>
      <c r="I4130">
        <v>206.364</v>
      </c>
      <c r="J4130">
        <v>-219.6387</v>
      </c>
      <c r="K4130">
        <v>1.1098589999999999</v>
      </c>
      <c r="L4130">
        <v>214.42339999999999</v>
      </c>
      <c r="M4130">
        <v>0.99986710000000001</v>
      </c>
      <c r="N4130">
        <v>0</v>
      </c>
      <c r="O4130">
        <v>7.4757119999999998E-3</v>
      </c>
      <c r="P4130">
        <v>0.99961169999999999</v>
      </c>
      <c r="Q4130">
        <v>-7.7120490000000003E-4</v>
      </c>
      <c r="R4130">
        <v>2.7863860000000001E-2</v>
      </c>
      <c r="S4130">
        <v>3.0144500000000001</v>
      </c>
      <c r="T4130">
        <v>6.7201259999999999E-2</v>
      </c>
      <c r="U4130">
        <v>-0.47102359999999999</v>
      </c>
      <c r="V4130">
        <v>-2.039177E-2</v>
      </c>
      <c r="W4130">
        <v>1.3718950000000001E-2</v>
      </c>
      <c r="X4130">
        <v>0.99969790000000003</v>
      </c>
      <c r="Y4130">
        <v>0.16172339999999999</v>
      </c>
      <c r="Z4130">
        <v>1.9572359999999998E-3</v>
      </c>
      <c r="AA4130">
        <v>0.98683419999999999</v>
      </c>
      <c r="AB4130">
        <v>33</v>
      </c>
      <c r="AC4130">
        <v>51.227399999999903</v>
      </c>
      <c r="AD4130">
        <v>1.1494489999999999</v>
      </c>
      <c r="AE4130">
        <v>-8.0593999999999806</v>
      </c>
      <c r="AF4130">
        <v>8.4380305360849697</v>
      </c>
      <c r="AG4130">
        <v>1.1494489999999999</v>
      </c>
      <c r="AH4130">
        <v>51.140586229703899</v>
      </c>
      <c r="AI4130">
        <v>88.729592952441706</v>
      </c>
      <c r="AJ4130">
        <v>80.630796163193097</v>
      </c>
      <c r="AK4130">
        <v>51.844779411714001</v>
      </c>
      <c r="AL4130">
        <v>89.213937377489103</v>
      </c>
      <c r="AM4130">
        <v>91.168553375846002</v>
      </c>
      <c r="AN4130">
        <v>0.999999962568622</v>
      </c>
    </row>
    <row r="4131" spans="1:40" x14ac:dyDescent="0.25">
      <c r="A4131" t="str">
        <f>"20190312160725818"</f>
        <v>20190312160725818</v>
      </c>
      <c r="B4131" t="str">
        <f>"1552378045809569"</f>
        <v>1552378045809569</v>
      </c>
      <c r="C4131" t="s">
        <v>40</v>
      </c>
      <c r="D4131">
        <v>6.2602370000000001</v>
      </c>
      <c r="E4131">
        <v>0.57074230000000004</v>
      </c>
      <c r="F4131" t="s">
        <v>51</v>
      </c>
      <c r="G4131">
        <v>-168.41130000000001</v>
      </c>
      <c r="H4131">
        <v>2.2265489999999999</v>
      </c>
      <c r="I4131">
        <v>206.3432</v>
      </c>
      <c r="J4131">
        <v>-219.30170000000001</v>
      </c>
      <c r="K4131">
        <v>1.109858</v>
      </c>
      <c r="L4131">
        <v>214.42599999999999</v>
      </c>
      <c r="M4131">
        <v>0.99986640000000004</v>
      </c>
      <c r="N4131">
        <v>0</v>
      </c>
      <c r="O4131">
        <v>7.5496669999999899E-3</v>
      </c>
      <c r="P4131">
        <v>0.99963040000000003</v>
      </c>
      <c r="Q4131">
        <v>-1.854859E-4</v>
      </c>
      <c r="R4131">
        <v>2.7183229999999999E-2</v>
      </c>
      <c r="S4131">
        <v>3.014465</v>
      </c>
      <c r="T4131">
        <v>6.571341E-2</v>
      </c>
      <c r="U4131">
        <v>-0.47547909999999999</v>
      </c>
      <c r="V4131">
        <v>-1.9636520000000001E-2</v>
      </c>
      <c r="W4131">
        <v>1.4301589999999999E-2</v>
      </c>
      <c r="X4131">
        <v>0.99970490000000001</v>
      </c>
      <c r="Y4131">
        <v>0.16322039999999999</v>
      </c>
      <c r="Z4131">
        <v>1.9315020000000001E-3</v>
      </c>
      <c r="AA4131">
        <v>0.98658780000000001</v>
      </c>
      <c r="AB4131">
        <v>33</v>
      </c>
      <c r="AC4131">
        <v>50.8904</v>
      </c>
      <c r="AD4131">
        <v>1.1166910000000001</v>
      </c>
      <c r="AE4131">
        <v>-8.08279999999999</v>
      </c>
      <c r="AF4131">
        <v>8.4628409798262396</v>
      </c>
      <c r="AG4131">
        <v>1.1166910000000001</v>
      </c>
      <c r="AH4131">
        <v>50.804060357728403</v>
      </c>
      <c r="AI4131">
        <v>88.757930737756396</v>
      </c>
      <c r="AJ4131">
        <v>80.542618356415005</v>
      </c>
      <c r="AK4131">
        <v>51.516203519582298</v>
      </c>
      <c r="AL4131">
        <v>89.180551323008899</v>
      </c>
      <c r="AM4131">
        <v>91.125277128829396</v>
      </c>
      <c r="AN4131">
        <v>1.00000000773912</v>
      </c>
    </row>
    <row r="4132" spans="1:40" x14ac:dyDescent="0.25">
      <c r="A4132" t="str">
        <f>"20190312160725840"</f>
        <v>20190312160725840</v>
      </c>
      <c r="B4132" t="str">
        <f>"1552378045829089"</f>
        <v>1552378045829089</v>
      </c>
      <c r="C4132" t="s">
        <v>40</v>
      </c>
      <c r="D4132">
        <v>6.2079409999999999</v>
      </c>
      <c r="E4132">
        <v>0.57117059999999997</v>
      </c>
      <c r="F4132" t="s">
        <v>51</v>
      </c>
      <c r="G4132">
        <v>-168.41130000000001</v>
      </c>
      <c r="H4132">
        <v>2.2267950000000001</v>
      </c>
      <c r="I4132">
        <v>206.3065</v>
      </c>
      <c r="J4132">
        <v>-218.9804</v>
      </c>
      <c r="K4132">
        <v>1.1098589999999999</v>
      </c>
      <c r="L4132">
        <v>214.42850000000001</v>
      </c>
      <c r="M4132">
        <v>0.99986609999999998</v>
      </c>
      <c r="N4132">
        <v>0</v>
      </c>
      <c r="O4132">
        <v>7.6125849999999998E-3</v>
      </c>
      <c r="P4132">
        <v>0.99964600000000003</v>
      </c>
      <c r="Q4132">
        <v>1.4431310000000001E-4</v>
      </c>
      <c r="R4132">
        <v>2.6606500000000002E-2</v>
      </c>
      <c r="S4132">
        <v>3.0141749999999998</v>
      </c>
      <c r="T4132">
        <v>6.6156859999999998E-2</v>
      </c>
      <c r="U4132">
        <v>-0.48091129999999999</v>
      </c>
      <c r="V4132">
        <v>-1.8996699999999998E-2</v>
      </c>
      <c r="W4132">
        <v>1.462867E-2</v>
      </c>
      <c r="X4132">
        <v>0.9997125</v>
      </c>
      <c r="Y4132">
        <v>0.16503019999999999</v>
      </c>
      <c r="Z4132">
        <v>1.9655520000000002E-3</v>
      </c>
      <c r="AA4132">
        <v>0.98628660000000001</v>
      </c>
      <c r="AB4132">
        <v>33</v>
      </c>
      <c r="AC4132">
        <v>50.569099999999899</v>
      </c>
      <c r="AD4132">
        <v>1.1169359999999999</v>
      </c>
      <c r="AE4132">
        <v>-8.1220000000000105</v>
      </c>
      <c r="AF4132">
        <v>8.5027228346244605</v>
      </c>
      <c r="AG4132">
        <v>1.1169359999999999</v>
      </c>
      <c r="AH4132">
        <v>50.481790280785297</v>
      </c>
      <c r="AI4132">
        <v>88.750107243280198</v>
      </c>
      <c r="AJ4132">
        <v>80.439322351629798</v>
      </c>
      <c r="AK4132">
        <v>51.205028967707101</v>
      </c>
      <c r="AL4132">
        <v>89.161809033347097</v>
      </c>
      <c r="AM4132">
        <v>91.088612734889495</v>
      </c>
      <c r="AN4132">
        <v>0.99999997762655402</v>
      </c>
    </row>
    <row r="4133" spans="1:40" x14ac:dyDescent="0.25">
      <c r="A4133" t="str">
        <f>"20190312160725862"</f>
        <v>20190312160725862</v>
      </c>
      <c r="B4133" t="str">
        <f>"1552378045859346"</f>
        <v>1552378045859346</v>
      </c>
      <c r="C4133" t="s">
        <v>40</v>
      </c>
      <c r="D4133">
        <v>6.2147860000000001</v>
      </c>
      <c r="E4133">
        <v>0.57180059999999999</v>
      </c>
      <c r="F4133" t="s">
        <v>51</v>
      </c>
      <c r="G4133">
        <v>-168.41130000000001</v>
      </c>
      <c r="H4133">
        <v>2.2323149999999998</v>
      </c>
      <c r="I4133">
        <v>206.27340000000001</v>
      </c>
      <c r="J4133">
        <v>-218.65809999999999</v>
      </c>
      <c r="K4133">
        <v>1.1098490000000001</v>
      </c>
      <c r="L4133">
        <v>214.43100000000001</v>
      </c>
      <c r="M4133">
        <v>0.99986569999999997</v>
      </c>
      <c r="N4133">
        <v>0</v>
      </c>
      <c r="O4133">
        <v>7.664194E-3</v>
      </c>
      <c r="P4133">
        <v>0.99967019999999995</v>
      </c>
      <c r="Q4133">
        <v>6.4808689999999996E-4</v>
      </c>
      <c r="R4133">
        <v>2.5674240000000001E-2</v>
      </c>
      <c r="S4133">
        <v>3.0139770000000001</v>
      </c>
      <c r="T4133">
        <v>6.6901559999999999E-2</v>
      </c>
      <c r="U4133">
        <v>-0.48605350000000003</v>
      </c>
      <c r="V4133">
        <v>-1.8012170000000001E-2</v>
      </c>
      <c r="W4133">
        <v>1.512929E-2</v>
      </c>
      <c r="X4133">
        <v>0.99972329999999998</v>
      </c>
      <c r="Y4133">
        <v>0.1667302</v>
      </c>
      <c r="Z4133">
        <v>2.007418E-3</v>
      </c>
      <c r="AA4133">
        <v>0.98600049999999995</v>
      </c>
      <c r="AB4133">
        <v>33</v>
      </c>
      <c r="AC4133">
        <v>50.246799999999901</v>
      </c>
      <c r="AD4133">
        <v>1.122466</v>
      </c>
      <c r="AE4133">
        <v>-8.1575999999999702</v>
      </c>
      <c r="AF4133">
        <v>8.5383504950531304</v>
      </c>
      <c r="AG4133">
        <v>1.122466</v>
      </c>
      <c r="AH4133">
        <v>50.1584080248915</v>
      </c>
      <c r="AI4133">
        <v>88.736198956720798</v>
      </c>
      <c r="AJ4133">
        <v>80.339275290363105</v>
      </c>
      <c r="AK4133">
        <v>50.892330018275203</v>
      </c>
      <c r="AL4133">
        <v>89.133122467551502</v>
      </c>
      <c r="AM4133">
        <v>91.032195280191203</v>
      </c>
      <c r="AN4133">
        <v>1.0000000051234501</v>
      </c>
    </row>
    <row r="4134" spans="1:40" x14ac:dyDescent="0.25">
      <c r="A4134" t="str">
        <f>"20190312160725885"</f>
        <v>20190312160725885</v>
      </c>
      <c r="B4134" t="str">
        <f>"1552378045879841"</f>
        <v>1552378045879841</v>
      </c>
      <c r="C4134" t="s">
        <v>40</v>
      </c>
      <c r="D4134">
        <v>6.2072890000000003</v>
      </c>
      <c r="E4134">
        <v>0.57217959999999901</v>
      </c>
      <c r="F4134" t="s">
        <v>51</v>
      </c>
      <c r="G4134">
        <v>-168.41130000000001</v>
      </c>
      <c r="H4134">
        <v>2.2460369999999998</v>
      </c>
      <c r="I4134">
        <v>206.1952</v>
      </c>
      <c r="J4134">
        <v>-218.3227</v>
      </c>
      <c r="K4134">
        <v>1.1098440000000001</v>
      </c>
      <c r="L4134">
        <v>214.43369999999999</v>
      </c>
      <c r="M4134">
        <v>0.99986549999999996</v>
      </c>
      <c r="N4134">
        <v>0</v>
      </c>
      <c r="O4134">
        <v>7.7017939999999997E-3</v>
      </c>
      <c r="P4134">
        <v>0.99968610000000002</v>
      </c>
      <c r="Q4134">
        <v>2.1756380000000001E-3</v>
      </c>
      <c r="R4134">
        <v>2.4968750000000001E-2</v>
      </c>
      <c r="S4134">
        <v>3.0136409999999998</v>
      </c>
      <c r="T4134">
        <v>6.8147059999999995E-2</v>
      </c>
      <c r="U4134">
        <v>-0.49395749999999999</v>
      </c>
      <c r="V4134">
        <v>-1.7269039999999999E-2</v>
      </c>
      <c r="W4134">
        <v>1.665403E-2</v>
      </c>
      <c r="X4134">
        <v>0.99971220000000005</v>
      </c>
      <c r="Y4134">
        <v>0.16930110000000001</v>
      </c>
      <c r="Z4134">
        <v>2.074294E-3</v>
      </c>
      <c r="AA4134">
        <v>0.98556220000000005</v>
      </c>
      <c r="AB4134">
        <v>33</v>
      </c>
      <c r="AC4134">
        <v>49.911399999999901</v>
      </c>
      <c r="AD4134">
        <v>1.13619299999999</v>
      </c>
      <c r="AE4134">
        <v>-8.2384999999999806</v>
      </c>
      <c r="AF4134">
        <v>8.6183555741354692</v>
      </c>
      <c r="AG4134">
        <v>1.13619299999999</v>
      </c>
      <c r="AH4134">
        <v>49.821328391754598</v>
      </c>
      <c r="AI4134">
        <v>88.7126880999825</v>
      </c>
      <c r="AJ4134">
        <v>80.1857984549885</v>
      </c>
      <c r="AK4134">
        <v>50.574022482441897</v>
      </c>
      <c r="AL4134">
        <v>89.045750282675996</v>
      </c>
      <c r="AM4134">
        <v>90.989629527441096</v>
      </c>
      <c r="AN4134">
        <v>1.0000000296433</v>
      </c>
    </row>
    <row r="4135" spans="1:40" x14ac:dyDescent="0.25">
      <c r="A4135" t="str">
        <f>"20190312160725908"</f>
        <v>20190312160725908</v>
      </c>
      <c r="B4135" t="str">
        <f>"1552378045899365"</f>
        <v>1552378045899365</v>
      </c>
      <c r="C4135" t="s">
        <v>40</v>
      </c>
      <c r="D4135">
        <v>6.2315160000000001</v>
      </c>
      <c r="E4135">
        <v>0.57253390000000004</v>
      </c>
      <c r="F4135" t="s">
        <v>51</v>
      </c>
      <c r="G4135">
        <v>-168.41130000000001</v>
      </c>
      <c r="H4135">
        <v>2.3081610000000001</v>
      </c>
      <c r="I4135">
        <v>206.16759999999999</v>
      </c>
      <c r="J4135">
        <v>-217.99600000000001</v>
      </c>
      <c r="K4135">
        <v>1.1098330000000001</v>
      </c>
      <c r="L4135">
        <v>214.43620000000001</v>
      </c>
      <c r="M4135">
        <v>0.99986549999999996</v>
      </c>
      <c r="N4135">
        <v>0</v>
      </c>
      <c r="O4135">
        <v>7.7249040000000003E-3</v>
      </c>
      <c r="P4135">
        <v>0.99970349999999997</v>
      </c>
      <c r="Q4135">
        <v>3.0225619999999999E-3</v>
      </c>
      <c r="R4135">
        <v>2.416592E-2</v>
      </c>
      <c r="S4135">
        <v>3.0132599999999998</v>
      </c>
      <c r="T4135">
        <v>7.2347159999999994E-2</v>
      </c>
      <c r="U4135">
        <v>-0.4990387</v>
      </c>
      <c r="V4135">
        <v>-1.6442200000000001E-2</v>
      </c>
      <c r="W4135">
        <v>1.7498380000000001E-2</v>
      </c>
      <c r="X4135">
        <v>0.99971169999999998</v>
      </c>
      <c r="Y4135">
        <v>0.17095560000000001</v>
      </c>
      <c r="Z4135">
        <v>2.2223550000000001E-3</v>
      </c>
      <c r="AA4135">
        <v>0.98527620000000005</v>
      </c>
      <c r="AB4135">
        <v>33</v>
      </c>
      <c r="AC4135">
        <v>49.584699999999899</v>
      </c>
      <c r="AD4135">
        <v>1.1983280000000001</v>
      </c>
      <c r="AE4135">
        <v>-8.2686000000000099</v>
      </c>
      <c r="AF4135">
        <v>8.6465169382349494</v>
      </c>
      <c r="AG4135">
        <v>1.1983280000000001</v>
      </c>
      <c r="AH4135">
        <v>49.491215696042197</v>
      </c>
      <c r="AI4135">
        <v>88.633659152031299</v>
      </c>
      <c r="AJ4135">
        <v>80.089982202176202</v>
      </c>
      <c r="AK4135">
        <v>50.255135819445798</v>
      </c>
      <c r="AL4135">
        <v>88.997365517793796</v>
      </c>
      <c r="AM4135">
        <v>90.942255388137397</v>
      </c>
      <c r="AN4135">
        <v>1.0000000111801699</v>
      </c>
    </row>
    <row r="4136" spans="1:40" x14ac:dyDescent="0.25">
      <c r="A4136" t="str">
        <f>"20190312160725928"</f>
        <v>20190312160725928</v>
      </c>
      <c r="B4136" t="str">
        <f>"1552378045919857"</f>
        <v>1552378045919857</v>
      </c>
      <c r="C4136" t="s">
        <v>40</v>
      </c>
      <c r="D4136">
        <v>6.2623309999999996</v>
      </c>
      <c r="E4136">
        <v>0.57265980000000005</v>
      </c>
      <c r="F4136" t="s">
        <v>51</v>
      </c>
      <c r="G4136">
        <v>-168.41139999999999</v>
      </c>
      <c r="H4136">
        <v>2.3389890000000002</v>
      </c>
      <c r="I4136">
        <v>206.13849999999999</v>
      </c>
      <c r="J4136">
        <v>-217.68520000000001</v>
      </c>
      <c r="K4136">
        <v>1.109823</v>
      </c>
      <c r="L4136">
        <v>214.43870000000001</v>
      </c>
      <c r="M4136">
        <v>0.99986540000000002</v>
      </c>
      <c r="N4136">
        <v>0</v>
      </c>
      <c r="O4136">
        <v>7.7314419999999998E-3</v>
      </c>
      <c r="P4136">
        <v>0.99971330000000003</v>
      </c>
      <c r="Q4136">
        <v>2.7099210000000001E-3</v>
      </c>
      <c r="R4136">
        <v>2.3787409999999998E-2</v>
      </c>
      <c r="S4136">
        <v>3.012848</v>
      </c>
      <c r="T4136">
        <v>7.4687600000000007E-2</v>
      </c>
      <c r="U4136">
        <v>-0.50418090000000004</v>
      </c>
      <c r="V4136">
        <v>-1.6057120000000001E-2</v>
      </c>
      <c r="W4136">
        <v>1.7182759999999998E-2</v>
      </c>
      <c r="X4136">
        <v>0.99972340000000004</v>
      </c>
      <c r="Y4136">
        <v>0.17261589999999999</v>
      </c>
      <c r="Z4136">
        <v>2.3148130000000002E-3</v>
      </c>
      <c r="AA4136">
        <v>0.98498649999999999</v>
      </c>
      <c r="AB4136">
        <v>33</v>
      </c>
      <c r="AC4136">
        <v>49.273800000000001</v>
      </c>
      <c r="AD4136">
        <v>1.22916599999999</v>
      </c>
      <c r="AE4136">
        <v>-8.3002000000000091</v>
      </c>
      <c r="AF4136">
        <v>8.6756995046585494</v>
      </c>
      <c r="AG4136">
        <v>1.22916599999999</v>
      </c>
      <c r="AH4136">
        <v>49.178389227081396</v>
      </c>
      <c r="AI4136">
        <v>88.590009230579199</v>
      </c>
      <c r="AJ4136">
        <v>79.995228812586802</v>
      </c>
      <c r="AK4136">
        <v>49.952903598499702</v>
      </c>
      <c r="AL4136">
        <v>89.015451897815296</v>
      </c>
      <c r="AM4136">
        <v>90.920180628928904</v>
      </c>
      <c r="AN4136">
        <v>0.99999997742573499</v>
      </c>
    </row>
    <row r="4137" spans="1:40" x14ac:dyDescent="0.25">
      <c r="A4137" t="str">
        <f>"20190312160725952"</f>
        <v>20190312160725952</v>
      </c>
      <c r="B4137" t="str">
        <f>"1552378045949137"</f>
        <v>1552378045949137</v>
      </c>
      <c r="C4137" t="s">
        <v>40</v>
      </c>
      <c r="D4137">
        <v>6.0831160000000004</v>
      </c>
      <c r="E4137">
        <v>0.57286709999999996</v>
      </c>
      <c r="F4137" t="s">
        <v>51</v>
      </c>
      <c r="G4137">
        <v>-168.41139999999999</v>
      </c>
      <c r="H4137">
        <v>2.3454229999999998</v>
      </c>
      <c r="I4137">
        <v>206.15690000000001</v>
      </c>
      <c r="J4137">
        <v>-217.3552</v>
      </c>
      <c r="K4137">
        <v>1.1097980000000001</v>
      </c>
      <c r="L4137">
        <v>214.44120000000001</v>
      </c>
      <c r="M4137">
        <v>0.99986569999999997</v>
      </c>
      <c r="N4137">
        <v>0</v>
      </c>
      <c r="O4137">
        <v>7.7057829999999999E-3</v>
      </c>
      <c r="P4137">
        <v>0.99974430000000003</v>
      </c>
      <c r="Q4137">
        <v>2.4299759999999999E-3</v>
      </c>
      <c r="R4137">
        <v>2.24887E-2</v>
      </c>
      <c r="S4137">
        <v>3.0126949999999999</v>
      </c>
      <c r="T4137">
        <v>7.5548889999999994E-2</v>
      </c>
      <c r="U4137">
        <v>-0.50636289999999995</v>
      </c>
      <c r="V4137">
        <v>-1.478294E-2</v>
      </c>
      <c r="W4137">
        <v>1.6900040000000002E-2</v>
      </c>
      <c r="X4137">
        <v>0.99974790000000002</v>
      </c>
      <c r="Y4137">
        <v>0.17329120000000001</v>
      </c>
      <c r="Z4137">
        <v>2.3492449999999998E-3</v>
      </c>
      <c r="AA4137">
        <v>0.98486779999999996</v>
      </c>
      <c r="AB4137">
        <v>33</v>
      </c>
      <c r="AC4137">
        <v>48.943800000000003</v>
      </c>
      <c r="AD4137">
        <v>1.23562499999999</v>
      </c>
      <c r="AE4137">
        <v>-8.2843</v>
      </c>
      <c r="AF4137">
        <v>8.6558805727435395</v>
      </c>
      <c r="AG4137">
        <v>1.23562499999999</v>
      </c>
      <c r="AH4137">
        <v>48.8482365471842</v>
      </c>
      <c r="AI4137">
        <v>88.573219526197093</v>
      </c>
      <c r="AJ4137">
        <v>79.9515258702544</v>
      </c>
      <c r="AK4137">
        <v>49.624603287078202</v>
      </c>
      <c r="AL4137">
        <v>89.031652940463999</v>
      </c>
      <c r="AM4137">
        <v>90.847151914959994</v>
      </c>
      <c r="AN4137">
        <v>1.0000000051107201</v>
      </c>
    </row>
    <row r="4138" spans="1:40" x14ac:dyDescent="0.25">
      <c r="A4138" t="str">
        <f>"20190312160725975"</f>
        <v>20190312160725975</v>
      </c>
      <c r="B4138" t="str">
        <f>"1552378045969633"</f>
        <v>1552378045969633</v>
      </c>
      <c r="C4138" t="s">
        <v>40</v>
      </c>
      <c r="D4138">
        <v>6.269952</v>
      </c>
      <c r="E4138">
        <v>0.57297379999999998</v>
      </c>
      <c r="F4138" t="s">
        <v>51</v>
      </c>
      <c r="G4138">
        <v>-168.41139999999999</v>
      </c>
      <c r="H4138">
        <v>2.383095</v>
      </c>
      <c r="I4138">
        <v>206.1242</v>
      </c>
      <c r="J4138">
        <v>-217.02330000000001</v>
      </c>
      <c r="K4138">
        <v>1.109764</v>
      </c>
      <c r="L4138">
        <v>214.44370000000001</v>
      </c>
      <c r="M4138">
        <v>0.99986640000000004</v>
      </c>
      <c r="N4138">
        <v>0</v>
      </c>
      <c r="O4138">
        <v>7.6224980000000001E-3</v>
      </c>
      <c r="P4138">
        <v>0.99975999999999998</v>
      </c>
      <c r="Q4138">
        <v>3.1632460000000002E-3</v>
      </c>
      <c r="R4138">
        <v>2.1690310000000001E-2</v>
      </c>
      <c r="S4138">
        <v>3.01207</v>
      </c>
      <c r="T4138">
        <v>7.8362580000000001E-2</v>
      </c>
      <c r="U4138">
        <v>-0.51184079999999998</v>
      </c>
      <c r="V4138">
        <v>-1.406578E-2</v>
      </c>
      <c r="W4138">
        <v>1.7631399999999998E-2</v>
      </c>
      <c r="X4138">
        <v>0.99974560000000001</v>
      </c>
      <c r="Y4138">
        <v>0.174979</v>
      </c>
      <c r="Z4138">
        <v>2.4564859999999999E-3</v>
      </c>
      <c r="AA4138">
        <v>0.98456909999999997</v>
      </c>
      <c r="AB4138">
        <v>33</v>
      </c>
      <c r="AC4138">
        <v>48.611899999999999</v>
      </c>
      <c r="AD4138">
        <v>1.273331</v>
      </c>
      <c r="AE4138">
        <v>-8.3194999999999997</v>
      </c>
      <c r="AF4138">
        <v>8.6840523892746493</v>
      </c>
      <c r="AG4138">
        <v>1.273331</v>
      </c>
      <c r="AH4138">
        <v>48.514725927179398</v>
      </c>
      <c r="AI4138">
        <v>88.520055541156694</v>
      </c>
      <c r="AJ4138">
        <v>79.8516292050532</v>
      </c>
      <c r="AK4138">
        <v>49.302259274038903</v>
      </c>
      <c r="AL4138">
        <v>88.989742834461595</v>
      </c>
      <c r="AM4138">
        <v>90.806061722200297</v>
      </c>
      <c r="AN4138">
        <v>0.99999998857616401</v>
      </c>
    </row>
    <row r="4139" spans="1:40" x14ac:dyDescent="0.25">
      <c r="A4139" t="str">
        <f>"20190312160725996"</f>
        <v>20190312160725996</v>
      </c>
      <c r="B4139" t="str">
        <f>"1552378045989153"</f>
        <v>1552378045989153</v>
      </c>
      <c r="C4139" t="s">
        <v>40</v>
      </c>
      <c r="D4139">
        <v>6.2153780000000003</v>
      </c>
      <c r="E4139">
        <v>0.57305629999999996</v>
      </c>
      <c r="F4139" t="s">
        <v>51</v>
      </c>
      <c r="G4139">
        <v>-168.41139999999999</v>
      </c>
      <c r="H4139">
        <v>2.4587539999999999</v>
      </c>
      <c r="I4139">
        <v>206.13159999999999</v>
      </c>
      <c r="J4139">
        <v>-216.6961</v>
      </c>
      <c r="K4139">
        <v>1.1097189999999999</v>
      </c>
      <c r="L4139">
        <v>214.446</v>
      </c>
      <c r="M4139">
        <v>0.99986739999999996</v>
      </c>
      <c r="N4139">
        <v>0</v>
      </c>
      <c r="O4139">
        <v>7.4563449999999996E-3</v>
      </c>
      <c r="P4139">
        <v>0.99976310000000002</v>
      </c>
      <c r="Q4139">
        <v>4.2033230000000001E-3</v>
      </c>
      <c r="R4139">
        <v>2.1358220000000001E-2</v>
      </c>
      <c r="S4139">
        <v>3.0116269999999998</v>
      </c>
      <c r="T4139">
        <v>8.3575250000000004E-2</v>
      </c>
      <c r="U4139">
        <v>-0.51495360000000001</v>
      </c>
      <c r="V4139">
        <v>-1.389723E-2</v>
      </c>
      <c r="W4139">
        <v>1.8686459999999998E-2</v>
      </c>
      <c r="X4139">
        <v>0.99972879999999997</v>
      </c>
      <c r="Y4139">
        <v>0.17581959999999999</v>
      </c>
      <c r="Z4139">
        <v>2.6269850000000001E-3</v>
      </c>
      <c r="AA4139">
        <v>0.98441889999999999</v>
      </c>
      <c r="AB4139">
        <v>33</v>
      </c>
      <c r="AC4139">
        <v>48.284700000000001</v>
      </c>
      <c r="AD4139">
        <v>1.34903499999999</v>
      </c>
      <c r="AE4139">
        <v>-8.3143999999999991</v>
      </c>
      <c r="AF4139">
        <v>8.6676628183615598</v>
      </c>
      <c r="AG4139">
        <v>1.34903499999999</v>
      </c>
      <c r="AH4139">
        <v>48.1848261049591</v>
      </c>
      <c r="AI4139">
        <v>88.421623946869502</v>
      </c>
      <c r="AJ4139">
        <v>79.802483073093498</v>
      </c>
      <c r="AK4139">
        <v>48.976787776753802</v>
      </c>
      <c r="AL4139">
        <v>88.929282383749097</v>
      </c>
      <c r="AM4139">
        <v>90.796417331546806</v>
      </c>
      <c r="AN4139">
        <v>0.999999995169222</v>
      </c>
    </row>
    <row r="4140" spans="1:40" x14ac:dyDescent="0.25">
      <c r="A4140" t="str">
        <f>"20190312160726019"</f>
        <v>20190312160726019</v>
      </c>
      <c r="B4140" t="str">
        <f>"1552378046009650"</f>
        <v>1552378046009650</v>
      </c>
      <c r="C4140" t="s">
        <v>40</v>
      </c>
      <c r="D4140">
        <v>6.2073049999999999</v>
      </c>
      <c r="E4140">
        <v>0.57308959999999998</v>
      </c>
      <c r="F4140" t="s">
        <v>51</v>
      </c>
      <c r="G4140">
        <v>-168.41139999999999</v>
      </c>
      <c r="H4140">
        <v>2.5636199999999998</v>
      </c>
      <c r="I4140">
        <v>206.1652</v>
      </c>
      <c r="J4140">
        <v>-216.37280000000001</v>
      </c>
      <c r="K4140">
        <v>1.109675</v>
      </c>
      <c r="L4140">
        <v>214.44820000000001</v>
      </c>
      <c r="M4140">
        <v>0.99986839999999999</v>
      </c>
      <c r="N4140">
        <v>0</v>
      </c>
      <c r="O4140">
        <v>7.2221940000000004E-3</v>
      </c>
      <c r="P4140">
        <v>0.99977470000000002</v>
      </c>
      <c r="Q4140">
        <v>4.6490339999999998E-3</v>
      </c>
      <c r="R4140">
        <v>2.0715029999999999E-2</v>
      </c>
      <c r="S4140">
        <v>3.0113829999999999</v>
      </c>
      <c r="T4140">
        <v>9.0677980000000005E-2</v>
      </c>
      <c r="U4140">
        <v>-0.51644899999999905</v>
      </c>
      <c r="V4140">
        <v>-1.3485230000000001E-2</v>
      </c>
      <c r="W4140">
        <v>1.9183240000000001E-2</v>
      </c>
      <c r="X4140">
        <v>0.99972499999999997</v>
      </c>
      <c r="Y4140">
        <v>0.1760651</v>
      </c>
      <c r="Z4140">
        <v>2.846922E-3</v>
      </c>
      <c r="AA4140">
        <v>0.98437439999999998</v>
      </c>
      <c r="AB4140">
        <v>32</v>
      </c>
      <c r="AC4140">
        <v>47.961399999999998</v>
      </c>
      <c r="AD4140">
        <v>1.453945</v>
      </c>
      <c r="AE4140">
        <v>-8.2830000000000101</v>
      </c>
      <c r="AF4140">
        <v>8.6215133768187702</v>
      </c>
      <c r="AG4140">
        <v>1.453945</v>
      </c>
      <c r="AH4140">
        <v>47.857614091595799</v>
      </c>
      <c r="AI4140">
        <v>88.287404106602594</v>
      </c>
      <c r="AJ4140">
        <v>79.7877433627621</v>
      </c>
      <c r="AK4140">
        <v>48.649724310727599</v>
      </c>
      <c r="AL4140">
        <v>88.900813845528205</v>
      </c>
      <c r="AM4140">
        <v>90.772812431887701</v>
      </c>
      <c r="AN4140">
        <v>0.99999996187502405</v>
      </c>
    </row>
    <row r="4141" spans="1:40" x14ac:dyDescent="0.25">
      <c r="A4141" t="str">
        <f>"20190312160726042"</f>
        <v>20190312160726042</v>
      </c>
      <c r="B4141" t="str">
        <f>"1552378046029170"</f>
        <v>1552378046029170</v>
      </c>
      <c r="C4141" t="s">
        <v>40</v>
      </c>
      <c r="D4141">
        <v>6.2819159999999998</v>
      </c>
      <c r="E4141">
        <v>0.57322649999999997</v>
      </c>
      <c r="F4141" t="s">
        <v>51</v>
      </c>
      <c r="G4141">
        <v>-168.41149999999999</v>
      </c>
      <c r="H4141">
        <v>2.6186180000000001</v>
      </c>
      <c r="I4141">
        <v>206.18799999999999</v>
      </c>
      <c r="J4141">
        <v>-216.04589999999999</v>
      </c>
      <c r="K4141">
        <v>1.109629</v>
      </c>
      <c r="L4141">
        <v>214.4502</v>
      </c>
      <c r="M4141">
        <v>0.99986949999999997</v>
      </c>
      <c r="N4141">
        <v>0</v>
      </c>
      <c r="O4141">
        <v>6.8963799999999997E-3</v>
      </c>
      <c r="P4141">
        <v>0.99982190000000004</v>
      </c>
      <c r="Q4141">
        <v>3.7806459999999999E-3</v>
      </c>
      <c r="R4141">
        <v>1.8485959999999999E-2</v>
      </c>
      <c r="S4141">
        <v>3.011002</v>
      </c>
      <c r="T4141">
        <v>9.4732999999999998E-2</v>
      </c>
      <c r="U4141">
        <v>-0.51856990000000003</v>
      </c>
      <c r="V4141">
        <v>-1.1579030000000001E-2</v>
      </c>
      <c r="W4141">
        <v>1.8396599999999999E-2</v>
      </c>
      <c r="X4141">
        <v>0.99976370000000003</v>
      </c>
      <c r="Y4141">
        <v>0.17643120000000001</v>
      </c>
      <c r="Z4141">
        <v>2.9699079999999998E-3</v>
      </c>
      <c r="AA4141">
        <v>0.98430850000000003</v>
      </c>
      <c r="AB4141">
        <v>32</v>
      </c>
      <c r="AC4141">
        <v>47.634399999999999</v>
      </c>
      <c r="AD4141">
        <v>1.5089889999999999</v>
      </c>
      <c r="AE4141">
        <v>-8.2622</v>
      </c>
      <c r="AF4141">
        <v>8.5821825184131999</v>
      </c>
      <c r="AG4141">
        <v>1.5089889999999999</v>
      </c>
      <c r="AH4141">
        <v>47.529976922240103</v>
      </c>
      <c r="AI4141">
        <v>88.210494158011898</v>
      </c>
      <c r="AJ4141">
        <v>79.764752303252394</v>
      </c>
      <c r="AK4141">
        <v>48.322144104025</v>
      </c>
      <c r="AL4141">
        <v>88.945892980516902</v>
      </c>
      <c r="AM4141">
        <v>90.663556687133394</v>
      </c>
      <c r="AN4141">
        <v>0.99999998233249499</v>
      </c>
    </row>
    <row r="4142" spans="1:40" x14ac:dyDescent="0.25">
      <c r="A4142" t="str">
        <f>"20190312160726075"</f>
        <v>20190312160726075</v>
      </c>
      <c r="B4142" t="str">
        <f>"1552378046069185"</f>
        <v>1552378046069185</v>
      </c>
      <c r="C4142" t="s">
        <v>40</v>
      </c>
      <c r="D4142">
        <v>6.2879759999999996</v>
      </c>
      <c r="E4142">
        <v>0.5735228</v>
      </c>
      <c r="F4142" t="s">
        <v>51</v>
      </c>
      <c r="G4142">
        <v>-168.41149999999999</v>
      </c>
      <c r="H4142">
        <v>2.5804580000000001</v>
      </c>
      <c r="I4142">
        <v>206.11770000000001</v>
      </c>
      <c r="J4142">
        <v>-215.57749999999999</v>
      </c>
      <c r="K4142">
        <v>1.109561</v>
      </c>
      <c r="L4142">
        <v>214.4528</v>
      </c>
      <c r="M4142">
        <v>0.99987110000000001</v>
      </c>
      <c r="N4142">
        <v>0</v>
      </c>
      <c r="O4142">
        <v>6.2361419999999897E-3</v>
      </c>
      <c r="P4142">
        <v>0.99987389999999998</v>
      </c>
      <c r="Q4142">
        <v>4.9710079999999999E-3</v>
      </c>
      <c r="R4142">
        <v>1.508786E-2</v>
      </c>
      <c r="S4142">
        <v>3.0099330000000002</v>
      </c>
      <c r="T4142">
        <v>9.2940809999999999E-2</v>
      </c>
      <c r="U4142">
        <v>-0.52651979999999998</v>
      </c>
      <c r="V4142">
        <v>-8.8342509999999996E-3</v>
      </c>
      <c r="W4142">
        <v>1.9776789999999999E-2</v>
      </c>
      <c r="X4142">
        <v>0.99976540000000003</v>
      </c>
      <c r="Y4142">
        <v>0.17836569999999999</v>
      </c>
      <c r="Z4142">
        <v>2.9235149999999998E-3</v>
      </c>
      <c r="AA4142">
        <v>0.9839599</v>
      </c>
      <c r="AB4142">
        <v>32</v>
      </c>
      <c r="AC4142">
        <v>47.165999999999997</v>
      </c>
      <c r="AD4142">
        <v>1.4708969999999999</v>
      </c>
      <c r="AE4142">
        <v>-8.3350999999999793</v>
      </c>
      <c r="AF4142">
        <v>8.6209736433100694</v>
      </c>
      <c r="AG4142">
        <v>1.4708969999999999</v>
      </c>
      <c r="AH4142">
        <v>47.068708278421497</v>
      </c>
      <c r="AI4142">
        <v>88.239358789092904</v>
      </c>
      <c r="AJ4142">
        <v>79.620905048386106</v>
      </c>
      <c r="AK4142">
        <v>47.874293974349101</v>
      </c>
      <c r="AL4142">
        <v>88.866799534254</v>
      </c>
      <c r="AM4142">
        <v>90.506270895328001</v>
      </c>
      <c r="AN4142">
        <v>1.0000000102252899</v>
      </c>
    </row>
    <row r="4143" spans="1:40" x14ac:dyDescent="0.25">
      <c r="A4143" t="str">
        <f>"20190312160726097"</f>
        <v>20190312160726097</v>
      </c>
      <c r="B4143" t="str">
        <f>"1552378046089681"</f>
        <v>1552378046089681</v>
      </c>
      <c r="C4143" t="s">
        <v>40</v>
      </c>
      <c r="D4143">
        <v>6.2734500000000004</v>
      </c>
      <c r="E4143">
        <v>0.57361229999999996</v>
      </c>
      <c r="F4143" t="s">
        <v>51</v>
      </c>
      <c r="G4143">
        <v>-168.41149999999999</v>
      </c>
      <c r="H4143">
        <v>2.6782210000000002</v>
      </c>
      <c r="I4143">
        <v>205.999</v>
      </c>
      <c r="J4143">
        <v>-215.24459999999999</v>
      </c>
      <c r="K4143">
        <v>1.109494</v>
      </c>
      <c r="L4143">
        <v>214.45419999999999</v>
      </c>
      <c r="M4143">
        <v>0.99987199999999998</v>
      </c>
      <c r="N4143">
        <v>0</v>
      </c>
      <c r="O4143">
        <v>5.5745789999999996E-3</v>
      </c>
      <c r="P4143">
        <v>0.99988869999999996</v>
      </c>
      <c r="Q4143">
        <v>6.0384009999999997E-3</v>
      </c>
      <c r="R4143">
        <v>1.366294E-2</v>
      </c>
      <c r="S4143">
        <v>3.0080110000000002</v>
      </c>
      <c r="T4143">
        <v>0.1000434</v>
      </c>
      <c r="U4143">
        <v>-0.53913880000000003</v>
      </c>
      <c r="V4143">
        <v>-8.0636519999999993E-3</v>
      </c>
      <c r="W4143">
        <v>2.105015E-2</v>
      </c>
      <c r="X4143">
        <v>0.99974589999999997</v>
      </c>
      <c r="Y4143">
        <v>0.18180760000000001</v>
      </c>
      <c r="Z4143">
        <v>3.1825930000000001E-3</v>
      </c>
      <c r="AA4143">
        <v>0.98332900000000001</v>
      </c>
      <c r="AB4143">
        <v>32</v>
      </c>
      <c r="AC4143">
        <v>46.833100000000002</v>
      </c>
      <c r="AD4143">
        <v>1.56872699999999</v>
      </c>
      <c r="AE4143">
        <v>-8.4551999999999605</v>
      </c>
      <c r="AF4143">
        <v>8.7067122876096494</v>
      </c>
      <c r="AG4143">
        <v>1.56872699999999</v>
      </c>
      <c r="AH4143">
        <v>46.734452230082603</v>
      </c>
      <c r="AI4143">
        <v>88.109980421093596</v>
      </c>
      <c r="AJ4143">
        <v>79.446679660847906</v>
      </c>
      <c r="AK4143">
        <v>47.564448577752003</v>
      </c>
      <c r="AL4143">
        <v>88.793826155492397</v>
      </c>
      <c r="AM4143">
        <v>90.4621206334661</v>
      </c>
      <c r="AN4143">
        <v>0.999999997932704</v>
      </c>
    </row>
    <row r="4144" spans="1:40" x14ac:dyDescent="0.25">
      <c r="A4144" t="str">
        <f>"20190312160726118"</f>
        <v>20190312160726118</v>
      </c>
      <c r="B4144" t="str">
        <f>"1552378046109201"</f>
        <v>1552378046109201</v>
      </c>
      <c r="C4144" t="s">
        <v>40</v>
      </c>
      <c r="D4144">
        <v>6.2798780000000001</v>
      </c>
      <c r="E4144">
        <v>0.57380129999999996</v>
      </c>
      <c r="F4144" t="s">
        <v>51</v>
      </c>
      <c r="G4144">
        <v>-168.41159999999999</v>
      </c>
      <c r="H4144">
        <v>2.7544309999999999</v>
      </c>
      <c r="I4144">
        <v>205.98349999999999</v>
      </c>
      <c r="J4144">
        <v>-214.93719999999999</v>
      </c>
      <c r="K4144">
        <v>1.10944</v>
      </c>
      <c r="L4144">
        <v>214.45519999999999</v>
      </c>
      <c r="M4144">
        <v>0.99987210000000004</v>
      </c>
      <c r="N4144">
        <v>0</v>
      </c>
      <c r="O4144">
        <v>4.8478870000000004E-3</v>
      </c>
      <c r="P4144">
        <v>0.99990950000000001</v>
      </c>
      <c r="Q4144">
        <v>6.1559980000000002E-3</v>
      </c>
      <c r="R4144">
        <v>1.1970980000000001E-2</v>
      </c>
      <c r="S4144">
        <v>3.0071409999999998</v>
      </c>
      <c r="T4144">
        <v>0.1056231</v>
      </c>
      <c r="U4144">
        <v>-0.54389949999999998</v>
      </c>
      <c r="V4144">
        <v>-7.0925240000000002E-3</v>
      </c>
      <c r="W4144">
        <v>2.1405799999999999E-2</v>
      </c>
      <c r="X4144">
        <v>0.99974569999999996</v>
      </c>
      <c r="Y4144">
        <v>0.18263850000000001</v>
      </c>
      <c r="Z4144">
        <v>3.349632E-3</v>
      </c>
      <c r="AA4144">
        <v>0.9831744</v>
      </c>
      <c r="AB4144">
        <v>32</v>
      </c>
      <c r="AC4144">
        <v>46.525599999999997</v>
      </c>
      <c r="AD4144">
        <v>1.6449910000000001</v>
      </c>
      <c r="AE4144">
        <v>-8.4716999999999896</v>
      </c>
      <c r="AF4144">
        <v>8.6866668043476292</v>
      </c>
      <c r="AG4144">
        <v>1.6449910000000001</v>
      </c>
      <c r="AH4144">
        <v>46.427801930082197</v>
      </c>
      <c r="AI4144">
        <v>88.005376279884999</v>
      </c>
      <c r="AJ4144">
        <v>79.402456397025801</v>
      </c>
      <c r="AK4144">
        <v>47.262088058175998</v>
      </c>
      <c r="AL4144">
        <v>88.773444306868797</v>
      </c>
      <c r="AM4144">
        <v>90.406468238880805</v>
      </c>
      <c r="AN4144">
        <v>0.99999998841940996</v>
      </c>
    </row>
    <row r="4145" spans="1:40" x14ac:dyDescent="0.25">
      <c r="A4145" t="str">
        <f>"20190312160726141"</f>
        <v>20190312160726141</v>
      </c>
      <c r="B4145" t="str">
        <f>"1552378046129697"</f>
        <v>1552378046129697</v>
      </c>
      <c r="C4145" t="s">
        <v>40</v>
      </c>
      <c r="D4145">
        <v>6.1974220000000004</v>
      </c>
      <c r="E4145">
        <v>0.573858599999999</v>
      </c>
      <c r="F4145" t="s">
        <v>51</v>
      </c>
      <c r="G4145">
        <v>-168.41159999999999</v>
      </c>
      <c r="H4145">
        <v>2.786848</v>
      </c>
      <c r="I4145">
        <v>205.93639999999999</v>
      </c>
      <c r="J4145">
        <v>-214.62049999999999</v>
      </c>
      <c r="K4145">
        <v>1.1093679999999999</v>
      </c>
      <c r="L4145">
        <v>214.45580000000001</v>
      </c>
      <c r="M4145">
        <v>0.99987199999999998</v>
      </c>
      <c r="N4145">
        <v>0</v>
      </c>
      <c r="O4145">
        <v>3.9369440000000004E-3</v>
      </c>
      <c r="P4145">
        <v>0.99993659999999995</v>
      </c>
      <c r="Q4145">
        <v>6.1002449999999998E-3</v>
      </c>
      <c r="R4145">
        <v>9.4805989999999993E-3</v>
      </c>
      <c r="S4145">
        <v>3.006195</v>
      </c>
      <c r="T4145">
        <v>0.1083858</v>
      </c>
      <c r="U4145">
        <v>-0.55043030000000004</v>
      </c>
      <c r="V4145">
        <v>-5.5064559999999999E-3</v>
      </c>
      <c r="W4145">
        <v>2.162414E-2</v>
      </c>
      <c r="X4145">
        <v>0.99975099999999995</v>
      </c>
      <c r="Y4145">
        <v>0.1838581</v>
      </c>
      <c r="Z4145">
        <v>3.426817E-3</v>
      </c>
      <c r="AA4145">
        <v>0.98294680000000001</v>
      </c>
      <c r="AB4145">
        <v>32</v>
      </c>
      <c r="AC4145">
        <v>46.2089</v>
      </c>
      <c r="AD4145">
        <v>1.6774800000000001</v>
      </c>
      <c r="AE4145">
        <v>-8.5194000000000099</v>
      </c>
      <c r="AF4145">
        <v>8.6902018563092795</v>
      </c>
      <c r="AG4145">
        <v>1.6774800000000001</v>
      </c>
      <c r="AH4145">
        <v>46.116221332353199</v>
      </c>
      <c r="AI4145">
        <v>87.952781403117797</v>
      </c>
      <c r="AJ4145">
        <v>79.328251384389802</v>
      </c>
      <c r="AK4145">
        <v>46.957847240140701</v>
      </c>
      <c r="AL4145">
        <v>88.760931455781801</v>
      </c>
      <c r="AM4145">
        <v>90.315572076059794</v>
      </c>
      <c r="AN4145">
        <v>0.99999999324470901</v>
      </c>
    </row>
    <row r="4146" spans="1:40" x14ac:dyDescent="0.25">
      <c r="A4146" t="str">
        <f>"20190312160726164"</f>
        <v>20190312160726164</v>
      </c>
      <c r="B4146" t="str">
        <f>"1552378046158977"</f>
        <v>1552378046158977</v>
      </c>
      <c r="C4146" t="s">
        <v>40</v>
      </c>
      <c r="D4146">
        <v>6.2700699999999996</v>
      </c>
      <c r="E4146">
        <v>0.57400549999999995</v>
      </c>
      <c r="F4146" t="s">
        <v>51</v>
      </c>
      <c r="G4146">
        <v>-168.41159999999999</v>
      </c>
      <c r="H4146">
        <v>2.804754</v>
      </c>
      <c r="I4146">
        <v>205.86940000000001</v>
      </c>
      <c r="J4146">
        <v>-214.29300000000001</v>
      </c>
      <c r="K4146">
        <v>1.10927</v>
      </c>
      <c r="L4146">
        <v>214.45590000000001</v>
      </c>
      <c r="M4146">
        <v>0.99987090000000001</v>
      </c>
      <c r="N4146">
        <v>0</v>
      </c>
      <c r="O4146">
        <v>2.7858129999999998E-3</v>
      </c>
      <c r="P4146">
        <v>0.99995400000000001</v>
      </c>
      <c r="Q4146">
        <v>6.1025309999999996E-3</v>
      </c>
      <c r="R4146">
        <v>7.4231710000000001E-3</v>
      </c>
      <c r="S4146">
        <v>3.0047760000000001</v>
      </c>
      <c r="T4146">
        <v>0.1102462</v>
      </c>
      <c r="U4146">
        <v>-0.55833440000000001</v>
      </c>
      <c r="V4146">
        <v>-4.591599E-3</v>
      </c>
      <c r="W4146">
        <v>2.194163E-2</v>
      </c>
      <c r="X4146">
        <v>0.99974870000000005</v>
      </c>
      <c r="Y4146">
        <v>0.18530469999999999</v>
      </c>
      <c r="Z4146">
        <v>3.4708230000000001E-3</v>
      </c>
      <c r="AA4146">
        <v>0.98267499999999997</v>
      </c>
      <c r="AB4146">
        <v>32</v>
      </c>
      <c r="AC4146">
        <v>45.881399999999999</v>
      </c>
      <c r="AD4146">
        <v>1.695484</v>
      </c>
      <c r="AE4146">
        <v>-8.5864999999999991</v>
      </c>
      <c r="AF4146">
        <v>8.7028175162458705</v>
      </c>
      <c r="AG4146">
        <v>1.695484</v>
      </c>
      <c r="AH4146">
        <v>45.796875894434002</v>
      </c>
      <c r="AI4146">
        <v>87.917016678769599</v>
      </c>
      <c r="AJ4146">
        <v>79.240329030430303</v>
      </c>
      <c r="AK4146">
        <v>46.647267234056997</v>
      </c>
      <c r="AL4146">
        <v>88.742736297872398</v>
      </c>
      <c r="AM4146">
        <v>90.263143522163404</v>
      </c>
      <c r="AN4146">
        <v>0.99999999053006094</v>
      </c>
    </row>
    <row r="4147" spans="1:40" x14ac:dyDescent="0.25">
      <c r="A4147" t="str">
        <f>"20190312160726187"</f>
        <v>20190312160726187</v>
      </c>
      <c r="B4147" t="str">
        <f>"1552378046179477"</f>
        <v>1552378046179477</v>
      </c>
      <c r="C4147" t="s">
        <v>40</v>
      </c>
      <c r="D4147">
        <v>6.0554430000000004</v>
      </c>
      <c r="E4147">
        <v>0.58633389999999996</v>
      </c>
      <c r="F4147" t="s">
        <v>51</v>
      </c>
      <c r="G4147">
        <v>-168.41159999999999</v>
      </c>
      <c r="H4147">
        <v>2.8133319999999999</v>
      </c>
      <c r="I4147">
        <v>205.81559999999999</v>
      </c>
      <c r="J4147">
        <v>-213.97219999999999</v>
      </c>
      <c r="K4147">
        <v>1.1091439999999999</v>
      </c>
      <c r="L4147">
        <v>214.4554</v>
      </c>
      <c r="M4147">
        <v>0.99986830000000004</v>
      </c>
      <c r="N4147">
        <v>0</v>
      </c>
      <c r="O4147">
        <v>1.42751799999999E-3</v>
      </c>
      <c r="P4147">
        <v>0.99997340000000001</v>
      </c>
      <c r="Q4147">
        <v>4.9453309999999999E-3</v>
      </c>
      <c r="R4147">
        <v>5.3654230000000002E-3</v>
      </c>
      <c r="S4147">
        <v>3.0036619999999998</v>
      </c>
      <c r="T4147">
        <v>0.1115601</v>
      </c>
      <c r="U4147">
        <v>-0.56564329999999996</v>
      </c>
      <c r="V4147">
        <v>-3.8851720000000001E-3</v>
      </c>
      <c r="W4147">
        <v>2.1122620000000002E-2</v>
      </c>
      <c r="X4147">
        <v>0.99976929999999997</v>
      </c>
      <c r="Y4147">
        <v>0.1863428</v>
      </c>
      <c r="Z4147">
        <v>3.4817609999999999E-3</v>
      </c>
      <c r="AA4147">
        <v>0.98247859999999998</v>
      </c>
      <c r="AB4147">
        <v>32</v>
      </c>
      <c r="AC4147">
        <v>45.560600000000001</v>
      </c>
      <c r="AD4147">
        <v>1.70418799999999</v>
      </c>
      <c r="AE4147">
        <v>-8.6397999999999993</v>
      </c>
      <c r="AF4147">
        <v>8.6930977495929902</v>
      </c>
      <c r="AG4147">
        <v>1.70418799999999</v>
      </c>
      <c r="AH4147">
        <v>45.486785997411502</v>
      </c>
      <c r="AI4147">
        <v>87.892491810719505</v>
      </c>
      <c r="AJ4147">
        <v>79.180519525398296</v>
      </c>
      <c r="AK4147">
        <v>46.341362793919103</v>
      </c>
      <c r="AL4147">
        <v>88.789672956680505</v>
      </c>
      <c r="AM4147">
        <v>90.222654204064</v>
      </c>
      <c r="AN4147">
        <v>0.99999995642981099</v>
      </c>
    </row>
    <row r="4148" spans="1:40" x14ac:dyDescent="0.25">
      <c r="A4148" t="str">
        <f>"20190312160726208"</f>
        <v>20190312160726208</v>
      </c>
      <c r="B4148" t="str">
        <f>"1552378046198993"</f>
        <v>1552378046198993</v>
      </c>
      <c r="C4148" t="s">
        <v>40</v>
      </c>
      <c r="D4148">
        <v>6.05436</v>
      </c>
      <c r="E4148">
        <v>0.5773218</v>
      </c>
      <c r="F4148" t="s">
        <v>51</v>
      </c>
      <c r="G4148">
        <v>-168.4117</v>
      </c>
      <c r="H4148">
        <v>1.5260199999999999</v>
      </c>
      <c r="I4148">
        <v>204.25640000000001</v>
      </c>
      <c r="J4148">
        <v>-213.6653</v>
      </c>
      <c r="K4148">
        <v>1.109</v>
      </c>
      <c r="L4148">
        <v>214.45429999999999</v>
      </c>
      <c r="M4148">
        <v>0.99986370000000002</v>
      </c>
      <c r="N4148">
        <v>0</v>
      </c>
      <c r="O4148">
        <v>-1.132312E-4</v>
      </c>
      <c r="P4148">
        <v>0.99999079999999996</v>
      </c>
      <c r="Q4148">
        <v>3.6399129999999998E-3</v>
      </c>
      <c r="R4148">
        <v>2.37798E-3</v>
      </c>
      <c r="S4148">
        <v>3.003555</v>
      </c>
      <c r="T4148">
        <v>2.7484539999999998E-2</v>
      </c>
      <c r="U4148">
        <v>-0.6723633</v>
      </c>
      <c r="V4148">
        <v>-2.4316749999999999E-3</v>
      </c>
      <c r="W4148">
        <v>2.0161999999999999E-2</v>
      </c>
      <c r="X4148">
        <v>0.99979379999999995</v>
      </c>
      <c r="Y4148">
        <v>0.2183301</v>
      </c>
      <c r="Z4148">
        <v>9.8567909999999997E-4</v>
      </c>
      <c r="AA4148">
        <v>0.97587449999999998</v>
      </c>
      <c r="AB4148">
        <v>32</v>
      </c>
      <c r="AC4148">
        <v>45.253599999999999</v>
      </c>
      <c r="AD4148">
        <v>0.41702</v>
      </c>
      <c r="AE4148">
        <v>-10.197899999999899</v>
      </c>
      <c r="AF4148">
        <v>10.191951449138999</v>
      </c>
      <c r="AG4148">
        <v>0.41702</v>
      </c>
      <c r="AH4148">
        <v>45.251097598023698</v>
      </c>
      <c r="AI4148">
        <v>89.4848978831658</v>
      </c>
      <c r="AJ4148">
        <v>77.307017767882201</v>
      </c>
      <c r="AK4148">
        <v>46.386545612363399</v>
      </c>
      <c r="AL4148">
        <v>88.844724249009701</v>
      </c>
      <c r="AM4148">
        <v>90.139353174548702</v>
      </c>
      <c r="AN4148">
        <v>1.00000003090287</v>
      </c>
    </row>
    <row r="4149" spans="1:40" x14ac:dyDescent="0.25">
      <c r="A4149" t="str">
        <f>"20190312160726231"</f>
        <v>20190312160726231</v>
      </c>
      <c r="B4149" t="str">
        <f>"1552378046219490"</f>
        <v>1552378046219490</v>
      </c>
      <c r="C4149" t="s">
        <v>40</v>
      </c>
      <c r="D4149">
        <v>6.229635</v>
      </c>
      <c r="E4149">
        <v>0.57730349999999997</v>
      </c>
      <c r="F4149" t="s">
        <v>51</v>
      </c>
      <c r="G4149">
        <v>-168.4117</v>
      </c>
      <c r="H4149">
        <v>2.467606</v>
      </c>
      <c r="I4149">
        <v>205.29320000000001</v>
      </c>
      <c r="J4149">
        <v>-213.3475</v>
      </c>
      <c r="K4149">
        <v>1.1088309999999999</v>
      </c>
      <c r="L4149">
        <v>214.45230000000001</v>
      </c>
      <c r="M4149">
        <v>0.99985559999999996</v>
      </c>
      <c r="N4149">
        <v>0</v>
      </c>
      <c r="O4149">
        <v>-1.9821349999999999E-3</v>
      </c>
      <c r="P4149">
        <v>0.99999349999999998</v>
      </c>
      <c r="Q4149">
        <v>3.3171810000000002E-3</v>
      </c>
      <c r="R4149">
        <v>-1.573484E-3</v>
      </c>
      <c r="S4149">
        <v>3.0011290000000002</v>
      </c>
      <c r="T4149">
        <v>9.0102199999999993E-2</v>
      </c>
      <c r="U4149">
        <v>-0.60754390000000003</v>
      </c>
      <c r="V4149">
        <v>-3.3831060000000002E-4</v>
      </c>
      <c r="W4149">
        <v>2.0200139999999998E-2</v>
      </c>
      <c r="X4149">
        <v>0.99979589999999996</v>
      </c>
      <c r="Y4149">
        <v>0.19638610000000001</v>
      </c>
      <c r="Z4149">
        <v>2.8588849999999998E-3</v>
      </c>
      <c r="AA4149">
        <v>0.98052249999999996</v>
      </c>
      <c r="AB4149">
        <v>32</v>
      </c>
      <c r="AC4149">
        <v>44.9358</v>
      </c>
      <c r="AD4149">
        <v>1.3587750000000001</v>
      </c>
      <c r="AE4149">
        <v>-9.1590999999999898</v>
      </c>
      <c r="AF4149">
        <v>9.0620451612728896</v>
      </c>
      <c r="AG4149">
        <v>1.3587750000000001</v>
      </c>
      <c r="AH4149">
        <v>44.914439656226499</v>
      </c>
      <c r="AI4149">
        <v>88.301394703502098</v>
      </c>
      <c r="AJ4149">
        <v>78.593006179295202</v>
      </c>
      <c r="AK4149">
        <v>45.839653376071503</v>
      </c>
      <c r="AL4149">
        <v>88.842538508157702</v>
      </c>
      <c r="AM4149">
        <v>90.019387725839493</v>
      </c>
      <c r="AN4149">
        <v>1.00000000088344</v>
      </c>
    </row>
    <row r="4150" spans="1:40" x14ac:dyDescent="0.25">
      <c r="A4150" t="str">
        <f>"20190312160726253"</f>
        <v>20190312160726253</v>
      </c>
      <c r="B4150" t="str">
        <f>"1552378046249746"</f>
        <v>1552378046249746</v>
      </c>
      <c r="C4150" t="s">
        <v>40</v>
      </c>
      <c r="D4150">
        <v>6.1818519999999904</v>
      </c>
      <c r="E4150">
        <v>0.58121979999999995</v>
      </c>
      <c r="F4150" t="s">
        <v>51</v>
      </c>
      <c r="G4150">
        <v>-168.4119</v>
      </c>
      <c r="H4150">
        <v>2.869577</v>
      </c>
      <c r="I4150">
        <v>205.1771</v>
      </c>
      <c r="J4150">
        <v>-213.03229999999999</v>
      </c>
      <c r="K4150">
        <v>1.108652</v>
      </c>
      <c r="L4150">
        <v>214.4495</v>
      </c>
      <c r="M4150">
        <v>0.99984300000000004</v>
      </c>
      <c r="N4150">
        <v>0</v>
      </c>
      <c r="O4150">
        <v>-4.1277029999999999E-3</v>
      </c>
      <c r="P4150">
        <v>0.999977</v>
      </c>
      <c r="Q4150">
        <v>4.4433320000000004E-3</v>
      </c>
      <c r="R4150">
        <v>-5.1337229999999998E-3</v>
      </c>
      <c r="S4150">
        <v>2.9986419999999998</v>
      </c>
      <c r="T4150">
        <v>0.1175003</v>
      </c>
      <c r="U4150">
        <v>-0.61895749999999905</v>
      </c>
      <c r="V4150">
        <v>1.0936710000000001E-3</v>
      </c>
      <c r="W4150">
        <v>2.1678010000000001E-2</v>
      </c>
      <c r="X4150">
        <v>0.9997644</v>
      </c>
      <c r="Y4150">
        <v>0.19796359999999999</v>
      </c>
      <c r="Z4150">
        <v>3.676669E-3</v>
      </c>
      <c r="AA4150">
        <v>0.98020249999999998</v>
      </c>
      <c r="AB4150">
        <v>31</v>
      </c>
      <c r="AC4150">
        <v>44.620399999999897</v>
      </c>
      <c r="AD4150">
        <v>1.7609250000000001</v>
      </c>
      <c r="AE4150">
        <v>-9.2723999999999993</v>
      </c>
      <c r="AF4150">
        <v>9.0745657261234403</v>
      </c>
      <c r="AG4150">
        <v>1.7609250000000001</v>
      </c>
      <c r="AH4150">
        <v>44.591724591576501</v>
      </c>
      <c r="AI4150">
        <v>87.783942829845998</v>
      </c>
      <c r="AJ4150">
        <v>78.497190825893398</v>
      </c>
      <c r="AK4150">
        <v>45.539768357166302</v>
      </c>
      <c r="AL4150">
        <v>88.757844209208002</v>
      </c>
      <c r="AM4150">
        <v>89.937322525706904</v>
      </c>
      <c r="AN4150">
        <v>0.99999999387058802</v>
      </c>
    </row>
    <row r="4151" spans="1:40" x14ac:dyDescent="0.25">
      <c r="A4151" t="str">
        <f>"20190312160726276"</f>
        <v>20190312160726276</v>
      </c>
      <c r="B4151" t="str">
        <f>"1552378046269265"</f>
        <v>1552378046269265</v>
      </c>
      <c r="C4151" t="s">
        <v>40</v>
      </c>
      <c r="D4151">
        <v>6.1718630000000001</v>
      </c>
      <c r="E4151">
        <v>0.5822406</v>
      </c>
      <c r="F4151" t="s">
        <v>51</v>
      </c>
      <c r="G4151">
        <v>-168.4119</v>
      </c>
      <c r="H4151">
        <v>2.4612120000000002</v>
      </c>
      <c r="I4151">
        <v>204.59800000000001</v>
      </c>
      <c r="J4151">
        <v>-212.72219999999999</v>
      </c>
      <c r="K4151">
        <v>1.10846</v>
      </c>
      <c r="L4151">
        <v>214.44560000000001</v>
      </c>
      <c r="M4151">
        <v>0.99982389999999999</v>
      </c>
      <c r="N4151">
        <v>0</v>
      </c>
      <c r="O4151">
        <v>-6.5541189999999997E-3</v>
      </c>
      <c r="P4151">
        <v>0.9999498</v>
      </c>
      <c r="Q4151">
        <v>4.3443830000000003E-3</v>
      </c>
      <c r="R4151">
        <v>-9.0427890000000007E-3</v>
      </c>
      <c r="S4151">
        <v>2.9962770000000001</v>
      </c>
      <c r="T4151">
        <v>9.0827229999999995E-2</v>
      </c>
      <c r="U4151">
        <v>-0.66152949999999999</v>
      </c>
      <c r="V4151">
        <v>2.5891759999999999E-3</v>
      </c>
      <c r="W4151">
        <v>2.1915420000000001E-2</v>
      </c>
      <c r="X4151">
        <v>0.99975650000000005</v>
      </c>
      <c r="Y4151">
        <v>0.20909749999999999</v>
      </c>
      <c r="Z4151">
        <v>2.9345579999999999E-3</v>
      </c>
      <c r="AA4151">
        <v>0.97789040000000005</v>
      </c>
      <c r="AB4151">
        <v>31</v>
      </c>
      <c r="AC4151">
        <v>44.310299999999899</v>
      </c>
      <c r="AD4151">
        <v>1.35275199999999</v>
      </c>
      <c r="AE4151">
        <v>-9.8476000000000194</v>
      </c>
      <c r="AF4151">
        <v>9.5484480178083793</v>
      </c>
      <c r="AG4151">
        <v>1.35275199999999</v>
      </c>
      <c r="AH4151">
        <v>44.334524316838802</v>
      </c>
      <c r="AI4151">
        <v>88.291463850959801</v>
      </c>
      <c r="AJ4151">
        <v>77.845708500325301</v>
      </c>
      <c r="AK4151">
        <v>45.371277741790202</v>
      </c>
      <c r="AL4151">
        <v>88.744238423970501</v>
      </c>
      <c r="AM4151">
        <v>89.8516153427815</v>
      </c>
      <c r="AN4151">
        <v>1.00000002437919</v>
      </c>
    </row>
    <row r="4152" spans="1:40" x14ac:dyDescent="0.25">
      <c r="A4152" t="str">
        <f>"20190312160726297"</f>
        <v>20190312160726297</v>
      </c>
      <c r="B4152" t="str">
        <f>"1552378046289762"</f>
        <v>1552378046289762</v>
      </c>
      <c r="C4152" t="s">
        <v>40</v>
      </c>
      <c r="D4152">
        <v>6.1552009999999999</v>
      </c>
      <c r="E4152">
        <v>0.58314719999999998</v>
      </c>
      <c r="F4152" t="s">
        <v>51</v>
      </c>
      <c r="G4152">
        <v>-168.4119</v>
      </c>
      <c r="H4152">
        <v>2.2537799999999999</v>
      </c>
      <c r="I4152">
        <v>204.3561</v>
      </c>
      <c r="J4152">
        <v>-212.41800000000001</v>
      </c>
      <c r="K4152">
        <v>1.108284</v>
      </c>
      <c r="L4152">
        <v>214.4408</v>
      </c>
      <c r="M4152">
        <v>0.99979700000000005</v>
      </c>
      <c r="N4152">
        <v>0</v>
      </c>
      <c r="O4152">
        <v>-9.2134859999999999E-3</v>
      </c>
      <c r="P4152">
        <v>0.99989240000000001</v>
      </c>
      <c r="Q4152">
        <v>2.9961390000000001E-3</v>
      </c>
      <c r="R4152">
        <v>-1.4363620000000001E-2</v>
      </c>
      <c r="S4152">
        <v>2.993652</v>
      </c>
      <c r="T4152">
        <v>7.7381370000000005E-2</v>
      </c>
      <c r="U4152">
        <v>-0.68165589999999998</v>
      </c>
      <c r="V4152">
        <v>5.2568830000000004E-3</v>
      </c>
      <c r="W4152">
        <v>2.0883769999999999E-2</v>
      </c>
      <c r="X4152">
        <v>0.99976810000000005</v>
      </c>
      <c r="Y4152">
        <v>0.2129586</v>
      </c>
      <c r="Z4152">
        <v>2.4820300000000001E-3</v>
      </c>
      <c r="AA4152">
        <v>0.97705810000000004</v>
      </c>
      <c r="AB4152">
        <v>31</v>
      </c>
      <c r="AC4152">
        <v>44.006100000000004</v>
      </c>
      <c r="AD4152">
        <v>1.1454959999999901</v>
      </c>
      <c r="AE4152">
        <v>-10.0846999999999</v>
      </c>
      <c r="AF4152">
        <v>9.6725302192918701</v>
      </c>
      <c r="AG4152">
        <v>1.1454959999999901</v>
      </c>
      <c r="AH4152">
        <v>44.068791455065401</v>
      </c>
      <c r="AI4152">
        <v>88.545629796380197</v>
      </c>
      <c r="AJ4152">
        <v>77.620616086884496</v>
      </c>
      <c r="AK4152">
        <v>45.132342973074003</v>
      </c>
      <c r="AL4152">
        <v>88.803361138107903</v>
      </c>
      <c r="AM4152">
        <v>89.698735703266806</v>
      </c>
      <c r="AN4152">
        <v>1.0000000102229401</v>
      </c>
    </row>
    <row r="4153" spans="1:40" x14ac:dyDescent="0.25">
      <c r="A4153" t="str">
        <f>"20190312160726320"</f>
        <v>20190312160726320</v>
      </c>
      <c r="B4153" t="str">
        <f>"1552378046309282"</f>
        <v>1552378046309282</v>
      </c>
      <c r="C4153" t="s">
        <v>40</v>
      </c>
      <c r="D4153">
        <v>6.1430150000000001</v>
      </c>
      <c r="E4153">
        <v>0.58406630000000004</v>
      </c>
      <c r="F4153" t="s">
        <v>51</v>
      </c>
      <c r="G4153">
        <v>-168.41200000000001</v>
      </c>
      <c r="H4153">
        <v>2.1089250000000002</v>
      </c>
      <c r="I4153">
        <v>204.0643</v>
      </c>
      <c r="J4153">
        <v>-212.11019999999999</v>
      </c>
      <c r="K4153">
        <v>1.1081350000000001</v>
      </c>
      <c r="L4153">
        <v>214.4348</v>
      </c>
      <c r="M4153">
        <v>0.99975999999999998</v>
      </c>
      <c r="N4153">
        <v>0</v>
      </c>
      <c r="O4153">
        <v>-1.213331E-2</v>
      </c>
      <c r="P4153">
        <v>0.99979289999999998</v>
      </c>
      <c r="Q4153">
        <v>2.6935919999999999E-3</v>
      </c>
      <c r="R4153">
        <v>-2.0174250000000001E-2</v>
      </c>
      <c r="S4153">
        <v>2.9899900000000001</v>
      </c>
      <c r="T4153">
        <v>6.7990780000000001E-2</v>
      </c>
      <c r="U4153">
        <v>-0.70503229999999995</v>
      </c>
      <c r="V4153">
        <v>8.1576770000000003E-3</v>
      </c>
      <c r="W4153">
        <v>2.0886640000000001E-2</v>
      </c>
      <c r="X4153">
        <v>0.99974859999999999</v>
      </c>
      <c r="Y4153">
        <v>0.21762500000000001</v>
      </c>
      <c r="Z4153">
        <v>2.1684830000000001E-3</v>
      </c>
      <c r="AA4153">
        <v>0.97603010000000001</v>
      </c>
      <c r="AB4153">
        <v>31</v>
      </c>
      <c r="AC4153">
        <v>43.6981999999999</v>
      </c>
      <c r="AD4153">
        <v>1.0007900000000001</v>
      </c>
      <c r="AE4153">
        <v>-10.3704999999999</v>
      </c>
      <c r="AF4153">
        <v>9.8345609754535293</v>
      </c>
      <c r="AG4153">
        <v>1.0007900000000001</v>
      </c>
      <c r="AH4153">
        <v>43.799083251577699</v>
      </c>
      <c r="AI4153">
        <v>88.722832997287</v>
      </c>
      <c r="AJ4153">
        <v>77.344811131349104</v>
      </c>
      <c r="AK4153">
        <v>44.900777987498699</v>
      </c>
      <c r="AL4153">
        <v>88.803196688591797</v>
      </c>
      <c r="AM4153">
        <v>89.5324923787947</v>
      </c>
      <c r="AN4153">
        <v>1.00000003131324</v>
      </c>
    </row>
    <row r="4154" spans="1:40" x14ac:dyDescent="0.25">
      <c r="A4154" t="str">
        <f>"20190312160726342"</f>
        <v>20190312160726342</v>
      </c>
      <c r="B4154" t="str">
        <f>"1552378046329777"</f>
        <v>1552378046329777</v>
      </c>
      <c r="C4154" t="s">
        <v>40</v>
      </c>
      <c r="D4154">
        <v>6.1497570000000001</v>
      </c>
      <c r="E4154">
        <v>0.5841594</v>
      </c>
      <c r="F4154" t="s">
        <v>51</v>
      </c>
      <c r="G4154">
        <v>-168.41210000000001</v>
      </c>
      <c r="H4154">
        <v>2.0430600000000001</v>
      </c>
      <c r="I4154">
        <v>203.75380000000001</v>
      </c>
      <c r="J4154">
        <v>-211.8049</v>
      </c>
      <c r="K4154">
        <v>1.108006</v>
      </c>
      <c r="L4154">
        <v>214.42769999999999</v>
      </c>
      <c r="M4154">
        <v>0.99971189999999999</v>
      </c>
      <c r="N4154">
        <v>0</v>
      </c>
      <c r="O4154">
        <v>-1.5246549999999999E-2</v>
      </c>
      <c r="P4154">
        <v>0.99966180000000004</v>
      </c>
      <c r="Q4154">
        <v>3.6098409999999999E-3</v>
      </c>
      <c r="R4154">
        <v>-2.575997E-2</v>
      </c>
      <c r="S4154">
        <v>2.9857179999999999</v>
      </c>
      <c r="T4154">
        <v>6.3881869999999993E-2</v>
      </c>
      <c r="U4154">
        <v>-0.72978209999999999</v>
      </c>
      <c r="V4154">
        <v>1.064637E-2</v>
      </c>
      <c r="W4154">
        <v>2.2086080000000001E-2</v>
      </c>
      <c r="X4154">
        <v>0.99969940000000002</v>
      </c>
      <c r="Y4154">
        <v>0.2225492</v>
      </c>
      <c r="Z4154">
        <v>2.0246750000000001E-3</v>
      </c>
      <c r="AA4154">
        <v>0.97491939999999999</v>
      </c>
      <c r="AB4154">
        <v>31</v>
      </c>
      <c r="AC4154">
        <v>43.392800000000001</v>
      </c>
      <c r="AD4154">
        <v>0.93505399999999905</v>
      </c>
      <c r="AE4154">
        <v>-10.6738999999999</v>
      </c>
      <c r="AF4154">
        <v>10.0065733168582</v>
      </c>
      <c r="AG4154">
        <v>0.93505399999999905</v>
      </c>
      <c r="AH4154">
        <v>43.531462407507298</v>
      </c>
      <c r="AI4154">
        <v>88.8007453402127</v>
      </c>
      <c r="AJ4154">
        <v>77.054314846305999</v>
      </c>
      <c r="AK4154">
        <v>44.676549272127097</v>
      </c>
      <c r="AL4154">
        <v>88.734457947579898</v>
      </c>
      <c r="AM4154">
        <v>89.389847578896706</v>
      </c>
      <c r="AN4154">
        <v>1.00000001524215</v>
      </c>
    </row>
    <row r="4155" spans="1:40" x14ac:dyDescent="0.25">
      <c r="A4155" t="str">
        <f>"20190312160726365"</f>
        <v>20190312160726365</v>
      </c>
      <c r="B4155" t="str">
        <f>"1552378046359057"</f>
        <v>1552378046359057</v>
      </c>
      <c r="C4155" t="s">
        <v>40</v>
      </c>
      <c r="D4155">
        <v>6.1261910000000004</v>
      </c>
      <c r="E4155">
        <v>0.58438780000000001</v>
      </c>
      <c r="F4155" t="s">
        <v>51</v>
      </c>
      <c r="G4155">
        <v>-168.41210000000001</v>
      </c>
      <c r="H4155">
        <v>1.99637</v>
      </c>
      <c r="I4155">
        <v>203.5513</v>
      </c>
      <c r="J4155">
        <v>-211.49090000000001</v>
      </c>
      <c r="K4155">
        <v>1.1078790000000001</v>
      </c>
      <c r="L4155">
        <v>214.41919999999999</v>
      </c>
      <c r="M4155">
        <v>0.99964869999999995</v>
      </c>
      <c r="N4155">
        <v>0</v>
      </c>
      <c r="O4155">
        <v>-1.8663920000000001E-2</v>
      </c>
      <c r="P4155">
        <v>0.99951159999999994</v>
      </c>
      <c r="Q4155">
        <v>5.0245890000000003E-3</v>
      </c>
      <c r="R4155">
        <v>-3.084054E-2</v>
      </c>
      <c r="S4155">
        <v>2.981522</v>
      </c>
      <c r="T4155">
        <v>6.1041709999999999E-2</v>
      </c>
      <c r="U4155">
        <v>-0.74731449999999999</v>
      </c>
      <c r="V4155">
        <v>1.233011E-2</v>
      </c>
      <c r="W4155">
        <v>2.3767440000000001E-2</v>
      </c>
      <c r="X4155">
        <v>0.99964149999999996</v>
      </c>
      <c r="Y4155">
        <v>0.22493769999999999</v>
      </c>
      <c r="Z4155">
        <v>1.8912250000000001E-3</v>
      </c>
      <c r="AA4155">
        <v>0.97437130000000005</v>
      </c>
      <c r="AB4155">
        <v>31</v>
      </c>
      <c r="AC4155">
        <v>43.078800000000001</v>
      </c>
      <c r="AD4155">
        <v>0.88849099999999903</v>
      </c>
      <c r="AE4155">
        <v>-10.867899999999899</v>
      </c>
      <c r="AF4155">
        <v>10.057822203499001</v>
      </c>
      <c r="AG4155">
        <v>0.88849099999999903</v>
      </c>
      <c r="AH4155">
        <v>43.256867506601097</v>
      </c>
      <c r="AI4155">
        <v>88.853881709223003</v>
      </c>
      <c r="AJ4155">
        <v>76.910512602313105</v>
      </c>
      <c r="AK4155">
        <v>44.419655449113101</v>
      </c>
      <c r="AL4155">
        <v>88.638097791507704</v>
      </c>
      <c r="AM4155">
        <v>89.293319215002995</v>
      </c>
      <c r="AN4155">
        <v>1.0000000256695001</v>
      </c>
    </row>
    <row r="4156" spans="1:40" x14ac:dyDescent="0.25">
      <c r="A4156" t="str">
        <f>"20190312160726387"</f>
        <v>20190312160726387</v>
      </c>
      <c r="B4156" t="str">
        <f>"1552378046379557"</f>
        <v>1552378046379557</v>
      </c>
      <c r="C4156" t="s">
        <v>40</v>
      </c>
      <c r="D4156">
        <v>6.1175420000000003</v>
      </c>
      <c r="E4156">
        <v>0.58466479999999998</v>
      </c>
      <c r="F4156" t="s">
        <v>43</v>
      </c>
      <c r="G4156">
        <v>-177.60509999999999</v>
      </c>
      <c r="H4156">
        <v>1.792624</v>
      </c>
      <c r="I4156">
        <v>205.72049999999999</v>
      </c>
      <c r="J4156">
        <v>-211.19460000000001</v>
      </c>
      <c r="K4156">
        <v>1.1077570000000001</v>
      </c>
      <c r="L4156">
        <v>214.40989999999999</v>
      </c>
      <c r="M4156">
        <v>0.99957450000000003</v>
      </c>
      <c r="N4156">
        <v>0</v>
      </c>
      <c r="O4156">
        <v>-2.207725E-2</v>
      </c>
      <c r="P4156">
        <v>0.99934679999999998</v>
      </c>
      <c r="Q4156">
        <v>6.3546540000000004E-3</v>
      </c>
      <c r="R4156">
        <v>-3.5576110000000001E-2</v>
      </c>
      <c r="S4156">
        <v>2.9775849999999999</v>
      </c>
      <c r="T4156">
        <v>6.0169460000000001E-2</v>
      </c>
      <c r="U4156">
        <v>-0.76435850000000005</v>
      </c>
      <c r="V4156">
        <v>1.3672299999999899E-2</v>
      </c>
      <c r="W4156">
        <v>2.5323370000000001E-2</v>
      </c>
      <c r="X4156">
        <v>0.99958579999999997</v>
      </c>
      <c r="Y4156">
        <v>0.22715489999999999</v>
      </c>
      <c r="Z4156">
        <v>1.8195659999999999E-3</v>
      </c>
      <c r="AA4156">
        <v>0.97385690000000003</v>
      </c>
      <c r="AB4156">
        <v>30</v>
      </c>
      <c r="AC4156">
        <v>33.589500000000001</v>
      </c>
      <c r="AD4156">
        <v>0.684867</v>
      </c>
      <c r="AE4156">
        <v>-8.6893999999999991</v>
      </c>
      <c r="AF4156">
        <v>7.9424879955991701</v>
      </c>
      <c r="AG4156">
        <v>0.684867</v>
      </c>
      <c r="AH4156">
        <v>33.760028575736101</v>
      </c>
      <c r="AI4156">
        <v>88.868716030344103</v>
      </c>
      <c r="AJ4156">
        <v>76.761165628746397</v>
      </c>
      <c r="AK4156">
        <v>34.688495035132902</v>
      </c>
      <c r="AL4156">
        <v>88.5489226411798</v>
      </c>
      <c r="AM4156">
        <v>89.216359176657306</v>
      </c>
      <c r="AN4156">
        <v>0.99999998820854297</v>
      </c>
    </row>
    <row r="4157" spans="1:40" x14ac:dyDescent="0.25">
      <c r="A4157" t="str">
        <f>"20190312160726408"</f>
        <v>20190312160726408</v>
      </c>
      <c r="B4157" t="str">
        <f>"1552378046399074"</f>
        <v>1552378046399074</v>
      </c>
      <c r="C4157" t="s">
        <v>40</v>
      </c>
      <c r="D4157">
        <v>5.9707980000000003</v>
      </c>
      <c r="E4157">
        <v>0.58450469999999999</v>
      </c>
      <c r="F4157" t="s">
        <v>51</v>
      </c>
      <c r="G4157">
        <v>-168.41220000000001</v>
      </c>
      <c r="H4157">
        <v>1.99614</v>
      </c>
      <c r="I4157">
        <v>203.17679999999999</v>
      </c>
      <c r="J4157">
        <v>-210.90199999999999</v>
      </c>
      <c r="K4157">
        <v>1.1076269999999999</v>
      </c>
      <c r="L4157">
        <v>214.39959999999999</v>
      </c>
      <c r="M4157">
        <v>0.99948570000000003</v>
      </c>
      <c r="N4157">
        <v>0</v>
      </c>
      <c r="O4157">
        <v>-2.5625169999999999E-2</v>
      </c>
      <c r="P4157">
        <v>0.99916990000000006</v>
      </c>
      <c r="Q4157">
        <v>6.7429580000000003E-3</v>
      </c>
      <c r="R4157">
        <v>-4.0177320000000002E-2</v>
      </c>
      <c r="S4157">
        <v>2.97377</v>
      </c>
      <c r="T4157">
        <v>6.175303E-2</v>
      </c>
      <c r="U4157">
        <v>-0.78080749999999999</v>
      </c>
      <c r="V4157">
        <v>1.4739820000000001E-2</v>
      </c>
      <c r="W4157">
        <v>2.5918750000000001E-2</v>
      </c>
      <c r="X4157">
        <v>0.99955539999999998</v>
      </c>
      <c r="Y4157">
        <v>0.22904269999999999</v>
      </c>
      <c r="Z4157">
        <v>1.815437E-3</v>
      </c>
      <c r="AA4157">
        <v>0.97341469999999997</v>
      </c>
      <c r="AB4157">
        <v>30</v>
      </c>
      <c r="AC4157">
        <v>42.489800000000002</v>
      </c>
      <c r="AD4157">
        <v>0.888513</v>
      </c>
      <c r="AE4157">
        <v>-11.222799999999999</v>
      </c>
      <c r="AF4157">
        <v>10.125963444909001</v>
      </c>
      <c r="AG4157">
        <v>0.888513</v>
      </c>
      <c r="AH4157">
        <v>42.7460087617523</v>
      </c>
      <c r="AI4157">
        <v>88.841286780945595</v>
      </c>
      <c r="AJ4157">
        <v>76.673046223401002</v>
      </c>
      <c r="AK4157">
        <v>43.937977378329698</v>
      </c>
      <c r="AL4157">
        <v>88.514798725470698</v>
      </c>
      <c r="AM4157">
        <v>89.155156113531206</v>
      </c>
      <c r="AN4157">
        <v>1.00000002078217</v>
      </c>
    </row>
    <row r="4158" spans="1:40" x14ac:dyDescent="0.25">
      <c r="A4158" t="str">
        <f>"20190312160726432"</f>
        <v>20190312160726432</v>
      </c>
      <c r="B4158" t="str">
        <f>"1552378046419571"</f>
        <v>1552378046419571</v>
      </c>
      <c r="C4158" t="s">
        <v>40</v>
      </c>
      <c r="D4158">
        <v>5.9695589999999896</v>
      </c>
      <c r="E4158">
        <v>0.58438679999999998</v>
      </c>
      <c r="F4158" t="s">
        <v>51</v>
      </c>
      <c r="G4158">
        <v>-168.41229999999999</v>
      </c>
      <c r="H4158">
        <v>1.9554229999999999</v>
      </c>
      <c r="I4158">
        <v>203.05019999999999</v>
      </c>
      <c r="J4158">
        <v>-210.58850000000001</v>
      </c>
      <c r="K4158">
        <v>1.107494</v>
      </c>
      <c r="L4158">
        <v>214.38720000000001</v>
      </c>
      <c r="M4158">
        <v>0.99937089999999995</v>
      </c>
      <c r="N4158">
        <v>0</v>
      </c>
      <c r="O4158">
        <v>-2.9621660000000001E-2</v>
      </c>
      <c r="P4158">
        <v>0.99897990000000003</v>
      </c>
      <c r="Q4158">
        <v>6.9207499999999998E-3</v>
      </c>
      <c r="R4158">
        <v>-4.4621540000000001E-2</v>
      </c>
      <c r="S4158">
        <v>2.9702000000000002</v>
      </c>
      <c r="T4158">
        <v>5.9266569999999998E-2</v>
      </c>
      <c r="U4158">
        <v>-0.79336549999999995</v>
      </c>
      <c r="V4158">
        <v>1.520152E-2</v>
      </c>
      <c r="W4158">
        <v>2.6306280000000001E-2</v>
      </c>
      <c r="X4158">
        <v>0.99953840000000005</v>
      </c>
      <c r="Y4158">
        <v>0.22928699999999999</v>
      </c>
      <c r="Z4158">
        <v>1.6676359999999999E-3</v>
      </c>
      <c r="AA4158">
        <v>0.97335740000000004</v>
      </c>
      <c r="AB4158">
        <v>30</v>
      </c>
      <c r="AC4158">
        <v>42.176200000000001</v>
      </c>
      <c r="AD4158">
        <v>0.84792899999999904</v>
      </c>
      <c r="AE4158">
        <v>-11.337</v>
      </c>
      <c r="AF4158">
        <v>10.0786573348422</v>
      </c>
      <c r="AG4158">
        <v>0.84792899999999904</v>
      </c>
      <c r="AH4158">
        <v>42.477557924719797</v>
      </c>
      <c r="AI4158">
        <v>88.887308095602506</v>
      </c>
      <c r="AJ4158">
        <v>76.652247444777601</v>
      </c>
      <c r="AK4158">
        <v>43.665103280653497</v>
      </c>
      <c r="AL4158">
        <v>88.492587377362895</v>
      </c>
      <c r="AM4158">
        <v>89.128682004808297</v>
      </c>
      <c r="AN4158">
        <v>1.00000005982615</v>
      </c>
    </row>
    <row r="4159" spans="1:40" x14ac:dyDescent="0.25">
      <c r="A4159" t="str">
        <f>"20190312160726455"</f>
        <v>20190312160726455</v>
      </c>
      <c r="B4159" t="str">
        <f>"1552378046449825"</f>
        <v>1552378046449825</v>
      </c>
      <c r="C4159" t="s">
        <v>40</v>
      </c>
      <c r="D4159">
        <v>5.9555049999999996</v>
      </c>
      <c r="E4159">
        <v>0.58373649999999999</v>
      </c>
      <c r="F4159" t="s">
        <v>51</v>
      </c>
      <c r="G4159">
        <v>-168.41229999999999</v>
      </c>
      <c r="H4159">
        <v>1.916193</v>
      </c>
      <c r="I4159">
        <v>202.93440000000001</v>
      </c>
      <c r="J4159">
        <v>-210.28790000000001</v>
      </c>
      <c r="K4159">
        <v>1.1073649999999999</v>
      </c>
      <c r="L4159">
        <v>214.37389999999999</v>
      </c>
      <c r="M4159">
        <v>0.9992394</v>
      </c>
      <c r="N4159">
        <v>0</v>
      </c>
      <c r="O4159">
        <v>-3.3659010000000003E-2</v>
      </c>
      <c r="P4159">
        <v>0.9987587</v>
      </c>
      <c r="Q4159">
        <v>6.0801429999999997E-3</v>
      </c>
      <c r="R4159">
        <v>-4.9438910000000003E-2</v>
      </c>
      <c r="S4159">
        <v>2.966675</v>
      </c>
      <c r="T4159">
        <v>5.6886079999999999E-2</v>
      </c>
      <c r="U4159">
        <v>-0.80558779999999997</v>
      </c>
      <c r="V4159">
        <v>1.598724E-2</v>
      </c>
      <c r="W4159">
        <v>2.564466E-2</v>
      </c>
      <c r="X4159">
        <v>0.99954319999999997</v>
      </c>
      <c r="Y4159">
        <v>0.22938500000000001</v>
      </c>
      <c r="Z4159">
        <v>1.52673E-3</v>
      </c>
      <c r="AA4159">
        <v>0.97333460000000005</v>
      </c>
      <c r="AB4159">
        <v>30</v>
      </c>
      <c r="AC4159">
        <v>41.875599999999999</v>
      </c>
      <c r="AD4159">
        <v>0.80882799999999999</v>
      </c>
      <c r="AE4159">
        <v>-11.439499999999899</v>
      </c>
      <c r="AF4159">
        <v>10.0197725460825</v>
      </c>
      <c r="AG4159">
        <v>0.80882799999999999</v>
      </c>
      <c r="AH4159">
        <v>42.222321931607603</v>
      </c>
      <c r="AI4159">
        <v>88.932201044813993</v>
      </c>
      <c r="AJ4159">
        <v>76.650095501260495</v>
      </c>
      <c r="AK4159">
        <v>43.402471287993798</v>
      </c>
      <c r="AL4159">
        <v>88.530508005818703</v>
      </c>
      <c r="AM4159">
        <v>89.083658137160299</v>
      </c>
      <c r="AN4159">
        <v>0.99999992454778297</v>
      </c>
    </row>
    <row r="4160" spans="1:40" x14ac:dyDescent="0.25">
      <c r="A4160" t="str">
        <f>"20190312160726477"</f>
        <v>20190312160726477</v>
      </c>
      <c r="B4160" t="str">
        <f>"1552378046469346"</f>
        <v>1552378046469346</v>
      </c>
      <c r="C4160" t="s">
        <v>40</v>
      </c>
      <c r="D4160">
        <v>6.0274349999999997</v>
      </c>
      <c r="E4160">
        <v>0.5833275</v>
      </c>
      <c r="F4160" t="s">
        <v>51</v>
      </c>
      <c r="G4160">
        <v>-168.41229999999999</v>
      </c>
      <c r="H4160">
        <v>1.7289369999999999</v>
      </c>
      <c r="I4160">
        <v>202.85579999999999</v>
      </c>
      <c r="J4160">
        <v>-209.9905</v>
      </c>
      <c r="K4160">
        <v>1.1072439999999999</v>
      </c>
      <c r="L4160">
        <v>214.35910000000001</v>
      </c>
      <c r="M4160">
        <v>0.99908580000000002</v>
      </c>
      <c r="N4160">
        <v>0</v>
      </c>
      <c r="O4160">
        <v>-3.78584E-2</v>
      </c>
      <c r="P4160">
        <v>0.99850519999999998</v>
      </c>
      <c r="Q4160">
        <v>5.2487080000000004E-3</v>
      </c>
      <c r="R4160">
        <v>-5.4406210000000003E-2</v>
      </c>
      <c r="S4160">
        <v>2.96312</v>
      </c>
      <c r="T4160">
        <v>4.398465E-2</v>
      </c>
      <c r="U4160">
        <v>-0.81501769999999996</v>
      </c>
      <c r="V4160">
        <v>1.676074E-2</v>
      </c>
      <c r="W4160">
        <v>2.4968239999999999E-2</v>
      </c>
      <c r="X4160">
        <v>0.99954770000000004</v>
      </c>
      <c r="Y4160">
        <v>0.2284852</v>
      </c>
      <c r="Z4160">
        <v>1.113815E-3</v>
      </c>
      <c r="AA4160">
        <v>0.97354669999999999</v>
      </c>
      <c r="AB4160">
        <v>30</v>
      </c>
      <c r="AC4160">
        <v>41.578200000000002</v>
      </c>
      <c r="AD4160">
        <v>0.62169299999999905</v>
      </c>
      <c r="AE4160">
        <v>-11.503299999999999</v>
      </c>
      <c r="AF4160">
        <v>9.9185957697561005</v>
      </c>
      <c r="AG4160">
        <v>0.62169299999999905</v>
      </c>
      <c r="AH4160">
        <v>41.975246520419503</v>
      </c>
      <c r="AI4160">
        <v>89.174195854414606</v>
      </c>
      <c r="AJ4160">
        <v>76.705083255246905</v>
      </c>
      <c r="AK4160">
        <v>43.135673921709603</v>
      </c>
      <c r="AL4160">
        <v>88.569276501657001</v>
      </c>
      <c r="AM4160">
        <v>89.039335819398104</v>
      </c>
      <c r="AN4160">
        <v>0.999999969994667</v>
      </c>
    </row>
    <row r="4161" spans="1:40" x14ac:dyDescent="0.25">
      <c r="A4161" t="str">
        <f>"20190312160726498"</f>
        <v>20190312160726498</v>
      </c>
      <c r="B4161" t="str">
        <f>"1552378046489842"</f>
        <v>1552378046489842</v>
      </c>
      <c r="C4161" t="s">
        <v>40</v>
      </c>
      <c r="D4161">
        <v>5.9562780000000002</v>
      </c>
      <c r="E4161">
        <v>0.58312519999999901</v>
      </c>
      <c r="F4161" t="s">
        <v>51</v>
      </c>
      <c r="G4161">
        <v>-168.41220000000001</v>
      </c>
      <c r="H4161">
        <v>1.584009</v>
      </c>
      <c r="I4161">
        <v>202.74440000000001</v>
      </c>
      <c r="J4161">
        <v>-209.70480000000001</v>
      </c>
      <c r="K4161">
        <v>1.107145</v>
      </c>
      <c r="L4161">
        <v>214.34360000000001</v>
      </c>
      <c r="M4161">
        <v>0.99891589999999997</v>
      </c>
      <c r="N4161">
        <v>0</v>
      </c>
      <c r="O4161">
        <v>-4.2038970000000002E-2</v>
      </c>
      <c r="P4161">
        <v>0.99819029999999997</v>
      </c>
      <c r="Q4161">
        <v>4.7309530000000004E-3</v>
      </c>
      <c r="R4161">
        <v>-5.9951099999999903E-2</v>
      </c>
      <c r="S4161">
        <v>2.9592740000000002</v>
      </c>
      <c r="T4161">
        <v>3.3935430000000003E-2</v>
      </c>
      <c r="U4161">
        <v>-0.82666019999999896</v>
      </c>
      <c r="V4161">
        <v>1.8132840000000001E-2</v>
      </c>
      <c r="W4161">
        <v>2.4576400000000002E-2</v>
      </c>
      <c r="X4161">
        <v>0.99953349999999996</v>
      </c>
      <c r="Y4161">
        <v>0.2282991</v>
      </c>
      <c r="Z4161">
        <v>8.1205969999999998E-4</v>
      </c>
      <c r="AA4161">
        <v>0.97359070000000003</v>
      </c>
      <c r="AB4161">
        <v>30</v>
      </c>
      <c r="AC4161">
        <v>41.292599999999901</v>
      </c>
      <c r="AD4161">
        <v>0.47686400000000001</v>
      </c>
      <c r="AE4161">
        <v>-11.5991999999999</v>
      </c>
      <c r="AF4161">
        <v>9.8514786761602497</v>
      </c>
      <c r="AG4161">
        <v>0.47686400000000001</v>
      </c>
      <c r="AH4161">
        <v>41.7386380834132</v>
      </c>
      <c r="AI4161">
        <v>89.362927496581406</v>
      </c>
      <c r="AJ4161">
        <v>76.719655237288293</v>
      </c>
      <c r="AK4161">
        <v>42.888144520828703</v>
      </c>
      <c r="AL4161">
        <v>88.591734226750503</v>
      </c>
      <c r="AM4161">
        <v>88.960693912194998</v>
      </c>
      <c r="AN4161">
        <v>1.00000000847283</v>
      </c>
    </row>
    <row r="4162" spans="1:40" x14ac:dyDescent="0.25">
      <c r="A4162" t="str">
        <f>"20190312160726522"</f>
        <v>20190312160726522</v>
      </c>
      <c r="B4162" t="str">
        <f>"1552378046509362"</f>
        <v>1552378046509362</v>
      </c>
      <c r="C4162" t="s">
        <v>40</v>
      </c>
      <c r="D4162">
        <v>6.0432620000000004</v>
      </c>
      <c r="E4162">
        <v>0.58286470000000001</v>
      </c>
      <c r="F4162" t="s">
        <v>51</v>
      </c>
      <c r="G4162">
        <v>-168.41229999999999</v>
      </c>
      <c r="H4162">
        <v>1.485365</v>
      </c>
      <c r="I4162">
        <v>202.58330000000001</v>
      </c>
      <c r="J4162">
        <v>-209.40520000000001</v>
      </c>
      <c r="K4162">
        <v>1.107059</v>
      </c>
      <c r="L4162">
        <v>214.32589999999999</v>
      </c>
      <c r="M4162">
        <v>0.99871180000000004</v>
      </c>
      <c r="N4162">
        <v>0</v>
      </c>
      <c r="O4162">
        <v>-4.6576569999999998E-2</v>
      </c>
      <c r="P4162">
        <v>0.99779879999999999</v>
      </c>
      <c r="Q4162">
        <v>4.8316369999999997E-3</v>
      </c>
      <c r="R4162">
        <v>-6.6137479999999998E-2</v>
      </c>
      <c r="S4162">
        <v>2.954758</v>
      </c>
      <c r="T4162">
        <v>2.7066590000000001E-2</v>
      </c>
      <c r="U4162">
        <v>-0.8415222</v>
      </c>
      <c r="V4162">
        <v>1.9795739999999999E-2</v>
      </c>
      <c r="W4162">
        <v>2.4788999999999999E-2</v>
      </c>
      <c r="X4162">
        <v>0.99949670000000002</v>
      </c>
      <c r="Y4162">
        <v>0.22880149999999999</v>
      </c>
      <c r="Z4162">
        <v>6.0987550000000002E-4</v>
      </c>
      <c r="AA4162">
        <v>0.97347289999999997</v>
      </c>
      <c r="AB4162">
        <v>29</v>
      </c>
      <c r="AC4162">
        <v>40.992899999999999</v>
      </c>
      <c r="AD4162">
        <v>0.37830599999999998</v>
      </c>
      <c r="AE4162">
        <v>-11.7425999999999</v>
      </c>
      <c r="AF4162">
        <v>9.8193822103075892</v>
      </c>
      <c r="AG4162">
        <v>0.37830599999999998</v>
      </c>
      <c r="AH4162">
        <v>41.4921684310196</v>
      </c>
      <c r="AI4162">
        <v>89.491659044293201</v>
      </c>
      <c r="AJ4162">
        <v>76.685550674272903</v>
      </c>
      <c r="AK4162">
        <v>42.639927574162698</v>
      </c>
      <c r="AL4162">
        <v>88.579549433403699</v>
      </c>
      <c r="AM4162">
        <v>88.865364853241104</v>
      </c>
      <c r="AN4162">
        <v>1.0000000095770101</v>
      </c>
    </row>
    <row r="4163" spans="1:40" x14ac:dyDescent="0.25">
      <c r="A4163" t="str">
        <f>"20190312160726544"</f>
        <v>20190312160726544</v>
      </c>
      <c r="B4163" t="str">
        <f>"1552378046539618"</f>
        <v>1552378046539618</v>
      </c>
      <c r="C4163" t="s">
        <v>40</v>
      </c>
      <c r="D4163">
        <v>6.101261</v>
      </c>
      <c r="E4163">
        <v>0.58235769999999998</v>
      </c>
      <c r="F4163" t="s">
        <v>51</v>
      </c>
      <c r="G4163">
        <v>-168.41229999999999</v>
      </c>
      <c r="H4163">
        <v>1.3942509999999999</v>
      </c>
      <c r="I4163">
        <v>202.405</v>
      </c>
      <c r="J4163">
        <v>-209.1071</v>
      </c>
      <c r="K4163">
        <v>1.106995</v>
      </c>
      <c r="L4163">
        <v>214.30670000000001</v>
      </c>
      <c r="M4163">
        <v>0.99848099999999995</v>
      </c>
      <c r="N4163">
        <v>0</v>
      </c>
      <c r="O4163">
        <v>-5.1244459999999999E-2</v>
      </c>
      <c r="P4163">
        <v>0.99728519999999998</v>
      </c>
      <c r="Q4163">
        <v>5.4502830000000002E-3</v>
      </c>
      <c r="R4163">
        <v>-7.3437210000000003E-2</v>
      </c>
      <c r="S4163">
        <v>2.9496310000000001</v>
      </c>
      <c r="T4163">
        <v>2.0667080000000001E-2</v>
      </c>
      <c r="U4163">
        <v>-0.85775759999999901</v>
      </c>
      <c r="V4163">
        <v>2.2449429999999999E-2</v>
      </c>
      <c r="W4163">
        <v>2.549212E-2</v>
      </c>
      <c r="X4163">
        <v>0.9994229</v>
      </c>
      <c r="Y4163">
        <v>0.2296472</v>
      </c>
      <c r="Z4163">
        <v>4.3711649999999999E-4</v>
      </c>
      <c r="AA4163">
        <v>0.97327390000000003</v>
      </c>
      <c r="AB4163">
        <v>29</v>
      </c>
      <c r="AC4163">
        <v>40.694800000000001</v>
      </c>
      <c r="AD4163">
        <v>0.28725600000000001</v>
      </c>
      <c r="AE4163">
        <v>-11.9017</v>
      </c>
      <c r="AF4163">
        <v>9.7997962280047002</v>
      </c>
      <c r="AG4163">
        <v>0.28725600000000001</v>
      </c>
      <c r="AH4163">
        <v>41.249438579965897</v>
      </c>
      <c r="AI4163">
        <v>89.611810001638901</v>
      </c>
      <c r="AJ4163">
        <v>76.6357653508487</v>
      </c>
      <c r="AK4163">
        <v>42.398522442207003</v>
      </c>
      <c r="AL4163">
        <v>88.539250842573495</v>
      </c>
      <c r="AM4163">
        <v>88.713216071044201</v>
      </c>
      <c r="AN4163">
        <v>0.99999997906691396</v>
      </c>
    </row>
    <row r="4164" spans="1:40" x14ac:dyDescent="0.25">
      <c r="A4164" t="str">
        <f>"20190312160726565"</f>
        <v>20190312160726565</v>
      </c>
      <c r="B4164" t="str">
        <f>"1552378046559138"</f>
        <v>1552378046559138</v>
      </c>
      <c r="C4164" t="s">
        <v>40</v>
      </c>
      <c r="D4164">
        <v>6.0356870000000002</v>
      </c>
      <c r="E4164">
        <v>0.58225740000000004</v>
      </c>
      <c r="F4164" t="s">
        <v>51</v>
      </c>
      <c r="G4164">
        <v>-168.41229999999999</v>
      </c>
      <c r="H4164">
        <v>1.2783359999999999</v>
      </c>
      <c r="I4164">
        <v>202.20400000000001</v>
      </c>
      <c r="J4164">
        <v>-208.82079999999999</v>
      </c>
      <c r="K4164">
        <v>1.106935</v>
      </c>
      <c r="L4164">
        <v>214.2868</v>
      </c>
      <c r="M4164">
        <v>0.99823090000000003</v>
      </c>
      <c r="N4164">
        <v>0</v>
      </c>
      <c r="O4164">
        <v>-5.5866890000000002E-2</v>
      </c>
      <c r="P4164">
        <v>0.99672620000000001</v>
      </c>
      <c r="Q4164">
        <v>5.8201329999999999E-3</v>
      </c>
      <c r="R4164">
        <v>-8.0640180000000006E-2</v>
      </c>
      <c r="S4164">
        <v>2.9436490000000002</v>
      </c>
      <c r="T4164">
        <v>1.239634E-2</v>
      </c>
      <c r="U4164">
        <v>-0.87544249999999901</v>
      </c>
      <c r="V4164">
        <v>2.5052350000000001E-2</v>
      </c>
      <c r="W4164">
        <v>2.5933049999999999E-2</v>
      </c>
      <c r="X4164">
        <v>0.99934970000000001</v>
      </c>
      <c r="Y4164">
        <v>0.23105429999999999</v>
      </c>
      <c r="Z4164">
        <v>2.4642730000000001E-4</v>
      </c>
      <c r="AA4164">
        <v>0.97294080000000005</v>
      </c>
      <c r="AB4164">
        <v>29</v>
      </c>
      <c r="AC4164">
        <v>40.408499999999997</v>
      </c>
      <c r="AD4164">
        <v>0.171401</v>
      </c>
      <c r="AE4164">
        <v>-12.082799999999899</v>
      </c>
      <c r="AF4164">
        <v>9.8057949985531092</v>
      </c>
      <c r="AG4164">
        <v>0.171401</v>
      </c>
      <c r="AH4164">
        <v>41.019855648043098</v>
      </c>
      <c r="AI4164">
        <v>89.767152162591501</v>
      </c>
      <c r="AJ4164">
        <v>76.555746296200198</v>
      </c>
      <c r="AK4164">
        <v>42.175959399197403</v>
      </c>
      <c r="AL4164">
        <v>88.513979064345193</v>
      </c>
      <c r="AM4164">
        <v>88.563972801338593</v>
      </c>
      <c r="AN4164">
        <v>0.99999998310645699</v>
      </c>
    </row>
    <row r="4165" spans="1:40" x14ac:dyDescent="0.25">
      <c r="A4165" t="str">
        <f>"20190312160726588"</f>
        <v>20190312160726588</v>
      </c>
      <c r="B4165" t="str">
        <f>"1552378046579634"</f>
        <v>1552378046579634</v>
      </c>
      <c r="C4165" t="s">
        <v>40</v>
      </c>
      <c r="D4165">
        <v>6.0725959999999999</v>
      </c>
      <c r="E4165">
        <v>0.58215069999999902</v>
      </c>
      <c r="F4165" t="s">
        <v>51</v>
      </c>
      <c r="G4165">
        <v>-168.41239999999999</v>
      </c>
      <c r="H4165">
        <v>1.25098</v>
      </c>
      <c r="I4165">
        <v>201.95959999999999</v>
      </c>
      <c r="J4165">
        <v>-208.5361</v>
      </c>
      <c r="K4165">
        <v>1.106884</v>
      </c>
      <c r="L4165">
        <v>214.26560000000001</v>
      </c>
      <c r="M4165">
        <v>0.99795319999999998</v>
      </c>
      <c r="N4165">
        <v>0</v>
      </c>
      <c r="O4165">
        <v>-6.059527E-2</v>
      </c>
      <c r="P4165">
        <v>0.99615969999999998</v>
      </c>
      <c r="Q4165">
        <v>5.6972539999999997E-3</v>
      </c>
      <c r="R4165">
        <v>-8.7371820000000003E-2</v>
      </c>
      <c r="S4165">
        <v>2.9373170000000002</v>
      </c>
      <c r="T4165">
        <v>1.0473130000000001E-2</v>
      </c>
      <c r="U4165">
        <v>-0.89607239999999999</v>
      </c>
      <c r="V4165">
        <v>2.7073690000000001E-2</v>
      </c>
      <c r="W4165">
        <v>2.5882039999999999E-2</v>
      </c>
      <c r="X4165">
        <v>0.99929829999999997</v>
      </c>
      <c r="Y4165">
        <v>0.2332815</v>
      </c>
      <c r="Z4165">
        <v>1.9591549999999999E-4</v>
      </c>
      <c r="AA4165">
        <v>0.97240919999999997</v>
      </c>
      <c r="AB4165">
        <v>29</v>
      </c>
      <c r="AC4165">
        <v>40.123699999999999</v>
      </c>
      <c r="AD4165">
        <v>0.144096</v>
      </c>
      <c r="AE4165">
        <v>-12.305999999999999</v>
      </c>
      <c r="AF4165">
        <v>9.8514468492638603</v>
      </c>
      <c r="AG4165">
        <v>0.144096</v>
      </c>
      <c r="AH4165">
        <v>40.795298823344801</v>
      </c>
      <c r="AI4165">
        <v>89.803276940598394</v>
      </c>
      <c r="AJ4165">
        <v>76.423851390883001</v>
      </c>
      <c r="AK4165">
        <v>41.9681805034134</v>
      </c>
      <c r="AL4165">
        <v>88.516902696663905</v>
      </c>
      <c r="AM4165">
        <v>88.4480822157836</v>
      </c>
      <c r="AN4165">
        <v>0.99999997853383304</v>
      </c>
    </row>
    <row r="4166" spans="1:40" x14ac:dyDescent="0.25">
      <c r="A4166" t="str">
        <f>"20190312160726610"</f>
        <v>20190312160726610</v>
      </c>
      <c r="B4166" t="str">
        <f>"1552378046599154"</f>
        <v>1552378046599154</v>
      </c>
      <c r="C4166" t="s">
        <v>40</v>
      </c>
      <c r="D4166">
        <v>6.058128</v>
      </c>
      <c r="E4166">
        <v>0.58183560000000001</v>
      </c>
      <c r="F4166" t="s">
        <v>51</v>
      </c>
      <c r="G4166">
        <v>-168.41239999999999</v>
      </c>
      <c r="H4166">
        <v>1.16527</v>
      </c>
      <c r="I4166">
        <v>201.73910000000001</v>
      </c>
      <c r="J4166">
        <v>-208.24629999999999</v>
      </c>
      <c r="K4166">
        <v>1.1068249999999999</v>
      </c>
      <c r="L4166">
        <v>214.2424</v>
      </c>
      <c r="M4166">
        <v>0.99763840000000004</v>
      </c>
      <c r="N4166">
        <v>0</v>
      </c>
      <c r="O4166">
        <v>-6.5545099999999995E-2</v>
      </c>
      <c r="P4166">
        <v>0.99549730000000003</v>
      </c>
      <c r="Q4166">
        <v>6.2739839999999998E-3</v>
      </c>
      <c r="R4166">
        <v>-9.4583379999999995E-2</v>
      </c>
      <c r="S4166">
        <v>2.9312589999999998</v>
      </c>
      <c r="T4166">
        <v>4.2676930000000004E-3</v>
      </c>
      <c r="U4166">
        <v>-0.91513060000000002</v>
      </c>
      <c r="V4166">
        <v>2.936501E-2</v>
      </c>
      <c r="W4166">
        <v>2.6522690000000002E-2</v>
      </c>
      <c r="X4166">
        <v>0.99921680000000002</v>
      </c>
      <c r="Y4166">
        <v>0.2347902</v>
      </c>
      <c r="Z4166" s="1">
        <v>7.3997109999999997E-5</v>
      </c>
      <c r="AA4166">
        <v>0.97204610000000002</v>
      </c>
      <c r="AB4166">
        <v>29</v>
      </c>
      <c r="AC4166">
        <v>39.8339</v>
      </c>
      <c r="AD4166">
        <v>5.8444999999999997E-2</v>
      </c>
      <c r="AE4166">
        <v>-12.5032999999999</v>
      </c>
      <c r="AF4166">
        <v>9.8649149860794996</v>
      </c>
      <c r="AG4166">
        <v>5.8444999999999997E-2</v>
      </c>
      <c r="AH4166">
        <v>40.567828642921597</v>
      </c>
      <c r="AI4166">
        <v>89.919792886540506</v>
      </c>
      <c r="AJ4166">
        <v>76.332606903969406</v>
      </c>
      <c r="AK4166">
        <v>41.750074063431903</v>
      </c>
      <c r="AL4166">
        <v>88.480183556971994</v>
      </c>
      <c r="AM4166">
        <v>88.316674594929196</v>
      </c>
      <c r="AN4166">
        <v>0.99999998514968802</v>
      </c>
    </row>
    <row r="4167" spans="1:40" x14ac:dyDescent="0.25">
      <c r="A4167" t="str">
        <f>"20190312160726633"</f>
        <v>20190312160726633</v>
      </c>
      <c r="B4167" t="str">
        <f>"1552378046619650"</f>
        <v>1552378046619650</v>
      </c>
      <c r="C4167" t="s">
        <v>40</v>
      </c>
      <c r="D4167">
        <v>6.0763870000000004</v>
      </c>
      <c r="E4167">
        <v>0.58166669999999998</v>
      </c>
      <c r="F4167" t="s">
        <v>51</v>
      </c>
      <c r="G4167">
        <v>-168.41249999999999</v>
      </c>
      <c r="H4167">
        <v>1.1067560000000001</v>
      </c>
      <c r="I4167">
        <v>201.5231</v>
      </c>
      <c r="J4167">
        <v>-207.95820000000001</v>
      </c>
      <c r="K4167">
        <v>1.1067610000000001</v>
      </c>
      <c r="L4167">
        <v>214.21780000000001</v>
      </c>
      <c r="M4167">
        <v>0.99729109999999999</v>
      </c>
      <c r="N4167">
        <v>0</v>
      </c>
      <c r="O4167">
        <v>-7.0607870000000003E-2</v>
      </c>
      <c r="P4167">
        <v>0.99483969999999999</v>
      </c>
      <c r="Q4167">
        <v>7.1250890000000002E-3</v>
      </c>
      <c r="R4167">
        <v>-0.1012093</v>
      </c>
      <c r="S4167">
        <v>2.9248349999999999</v>
      </c>
      <c r="T4167" s="1">
        <v>-2.6226040000000002E-6</v>
      </c>
      <c r="U4167">
        <v>-0.93392940000000002</v>
      </c>
      <c r="V4167">
        <v>3.096084E-2</v>
      </c>
      <c r="W4167">
        <v>2.7433119999999998E-2</v>
      </c>
      <c r="X4167">
        <v>0.99914409999999998</v>
      </c>
      <c r="Y4167">
        <v>0.23614360000000001</v>
      </c>
      <c r="Z4167" s="1">
        <v>-4.17210599999999E-8</v>
      </c>
      <c r="AA4167">
        <v>0.97171810000000003</v>
      </c>
      <c r="AB4167">
        <v>29</v>
      </c>
      <c r="AC4167">
        <v>39.545699999999997</v>
      </c>
      <c r="AD4167" s="1">
        <v>-5.0000000002547998E-6</v>
      </c>
      <c r="AE4167">
        <v>-12.694699999999999</v>
      </c>
      <c r="AF4167">
        <v>9.8701712701805899</v>
      </c>
      <c r="AG4167" s="1">
        <v>-5.0000000002547998E-6</v>
      </c>
      <c r="AH4167">
        <v>40.343494093561702</v>
      </c>
      <c r="AI4167">
        <v>90.000006897565697</v>
      </c>
      <c r="AJ4167">
        <v>76.25243732685</v>
      </c>
      <c r="AK4167">
        <v>41.533333559684003</v>
      </c>
      <c r="AL4167">
        <v>88.428000852897597</v>
      </c>
      <c r="AM4167">
        <v>88.225122877828497</v>
      </c>
      <c r="AN4167">
        <v>1.00000004112562</v>
      </c>
    </row>
    <row r="4168" spans="1:40" x14ac:dyDescent="0.25">
      <c r="A4168" t="str">
        <f>"20190312160726657"</f>
        <v>20190312160726657</v>
      </c>
      <c r="B4168" t="str">
        <f>"1552378046649907"</f>
        <v>1552378046649907</v>
      </c>
      <c r="C4168" t="s">
        <v>40</v>
      </c>
      <c r="D4168">
        <v>5.8460199999999896</v>
      </c>
      <c r="E4168">
        <v>0.58104460000000002</v>
      </c>
      <c r="F4168" t="s">
        <v>51</v>
      </c>
      <c r="G4168">
        <v>-168.4126</v>
      </c>
      <c r="H4168">
        <v>1.0783750000000001</v>
      </c>
      <c r="I4168">
        <v>201.31659999999999</v>
      </c>
      <c r="J4168">
        <v>-207.6627</v>
      </c>
      <c r="K4168">
        <v>1.106689</v>
      </c>
      <c r="L4168">
        <v>214.19069999999999</v>
      </c>
      <c r="M4168">
        <v>0.99689539999999999</v>
      </c>
      <c r="N4168">
        <v>0</v>
      </c>
      <c r="O4168">
        <v>-7.5970319999999994E-2</v>
      </c>
      <c r="P4168">
        <v>0.99415189999999998</v>
      </c>
      <c r="Q4168">
        <v>7.9585219999999905E-3</v>
      </c>
      <c r="R4168">
        <v>-0.1076976</v>
      </c>
      <c r="S4168">
        <v>2.9186860000000001</v>
      </c>
      <c r="T4168">
        <v>-2.0927189999999998E-3</v>
      </c>
      <c r="U4168">
        <v>-0.952179</v>
      </c>
      <c r="V4168">
        <v>3.2120929999999999E-2</v>
      </c>
      <c r="W4168">
        <v>2.8322079999999999E-2</v>
      </c>
      <c r="X4168">
        <v>0.99908260000000004</v>
      </c>
      <c r="Y4168">
        <v>0.237012</v>
      </c>
      <c r="Z4168" s="1">
        <v>-2.9913909999999999E-5</v>
      </c>
      <c r="AA4168">
        <v>0.97150669999999995</v>
      </c>
      <c r="AB4168">
        <v>29</v>
      </c>
      <c r="AC4168">
        <v>39.250100000000003</v>
      </c>
      <c r="AD4168">
        <v>-2.8313999999999898E-2</v>
      </c>
      <c r="AE4168">
        <v>-12.8741</v>
      </c>
      <c r="AF4168">
        <v>9.8543932035448698</v>
      </c>
      <c r="AG4168">
        <v>-2.8313999999999898E-2</v>
      </c>
      <c r="AH4168">
        <v>40.114861735345201</v>
      </c>
      <c r="AI4168">
        <v>90.039273053728195</v>
      </c>
      <c r="AJ4168">
        <v>76.198332236718699</v>
      </c>
      <c r="AK4168">
        <v>41.307529569541302</v>
      </c>
      <c r="AL4168">
        <v>88.377047275071902</v>
      </c>
      <c r="AM4168">
        <v>88.158550645894096</v>
      </c>
      <c r="AN4168">
        <v>0.99999996799117497</v>
      </c>
    </row>
    <row r="4169" spans="1:40" x14ac:dyDescent="0.25">
      <c r="A4169" t="str">
        <f>"20190312160726681"</f>
        <v>20190312160726681</v>
      </c>
      <c r="B4169" t="str">
        <f>"1552378046669426"</f>
        <v>1552378046669426</v>
      </c>
      <c r="C4169" t="s">
        <v>40</v>
      </c>
      <c r="D4169">
        <v>6.1572190000000004</v>
      </c>
      <c r="E4169">
        <v>0.58098050000000001</v>
      </c>
      <c r="F4169" t="s">
        <v>51</v>
      </c>
      <c r="G4169">
        <v>-168.4126</v>
      </c>
      <c r="H4169">
        <v>1.0287299999999999</v>
      </c>
      <c r="I4169">
        <v>201.1721</v>
      </c>
      <c r="J4169">
        <v>-207.3603</v>
      </c>
      <c r="K4169">
        <v>1.1066180000000001</v>
      </c>
      <c r="L4169">
        <v>214.1611</v>
      </c>
      <c r="M4169">
        <v>0.99644639999999995</v>
      </c>
      <c r="N4169">
        <v>0</v>
      </c>
      <c r="O4169">
        <v>-8.1632700000000002E-2</v>
      </c>
      <c r="P4169">
        <v>0.99341140000000006</v>
      </c>
      <c r="Q4169">
        <v>8.1829569999999994E-3</v>
      </c>
      <c r="R4169">
        <v>-0.11430990000000001</v>
      </c>
      <c r="S4169">
        <v>2.9130250000000002</v>
      </c>
      <c r="T4169">
        <v>-5.7834389999999996E-3</v>
      </c>
      <c r="U4169">
        <v>-0.9662018</v>
      </c>
      <c r="V4169">
        <v>3.310134E-2</v>
      </c>
      <c r="W4169">
        <v>2.85971E-2</v>
      </c>
      <c r="X4169">
        <v>0.99904280000000001</v>
      </c>
      <c r="Y4169">
        <v>0.2362679</v>
      </c>
      <c r="Z4169" s="1">
        <v>-7.1193049999999998E-5</v>
      </c>
      <c r="AA4169">
        <v>0.971688</v>
      </c>
      <c r="AB4169">
        <v>28</v>
      </c>
      <c r="AC4169">
        <v>38.947699999999998</v>
      </c>
      <c r="AD4169">
        <v>-7.7888000000000096E-2</v>
      </c>
      <c r="AE4169">
        <v>-12.989000000000001</v>
      </c>
      <c r="AF4169">
        <v>9.7655043436610196</v>
      </c>
      <c r="AG4169">
        <v>-7.7888000000000096E-2</v>
      </c>
      <c r="AH4169">
        <v>39.878067257432903</v>
      </c>
      <c r="AI4169">
        <v>90.108695644019505</v>
      </c>
      <c r="AJ4169">
        <v>76.2399643946097</v>
      </c>
      <c r="AK4169">
        <v>41.056441514273402</v>
      </c>
      <c r="AL4169">
        <v>88.361283463883694</v>
      </c>
      <c r="AM4169">
        <v>88.102310012830102</v>
      </c>
      <c r="AN4169">
        <v>1.0000000045350199</v>
      </c>
    </row>
    <row r="4170" spans="1:40" x14ac:dyDescent="0.25">
      <c r="A4170" t="str">
        <f>"20190312160726699"</f>
        <v>20190312160726699</v>
      </c>
      <c r="B4170" t="str">
        <f>"1552378046689923"</f>
        <v>1552378046689923</v>
      </c>
      <c r="C4170" t="s">
        <v>40</v>
      </c>
      <c r="D4170">
        <v>6.1159840000000001</v>
      </c>
      <c r="E4170">
        <v>0.60557919999999998</v>
      </c>
      <c r="F4170" t="s">
        <v>51</v>
      </c>
      <c r="G4170">
        <v>-168.4127</v>
      </c>
      <c r="H4170">
        <v>1.0163759999999999</v>
      </c>
      <c r="I4170">
        <v>200.9615</v>
      </c>
      <c r="J4170">
        <v>-207.12190000000001</v>
      </c>
      <c r="K4170">
        <v>1.1065700000000001</v>
      </c>
      <c r="L4170">
        <v>214.13640000000001</v>
      </c>
      <c r="M4170">
        <v>0.99606070000000002</v>
      </c>
      <c r="N4170">
        <v>0</v>
      </c>
      <c r="O4170">
        <v>-8.6198750000000005E-2</v>
      </c>
      <c r="P4170">
        <v>0.99273469999999997</v>
      </c>
      <c r="Q4170">
        <v>7.6945829999999996E-3</v>
      </c>
      <c r="R4170">
        <v>-0.12007619999999999</v>
      </c>
      <c r="S4170">
        <v>2.9066010000000002</v>
      </c>
      <c r="T4170">
        <v>-6.7322249999999997E-3</v>
      </c>
      <c r="U4170">
        <v>-0.98506159999999998</v>
      </c>
      <c r="V4170">
        <v>3.4322659999999998E-2</v>
      </c>
      <c r="W4170">
        <v>2.813856E-2</v>
      </c>
      <c r="X4170">
        <v>0.99901459999999997</v>
      </c>
      <c r="Y4170">
        <v>0.238122</v>
      </c>
      <c r="Z4170" s="1">
        <v>-7.4871039999999998E-5</v>
      </c>
      <c r="AA4170">
        <v>0.97123530000000002</v>
      </c>
      <c r="AB4170">
        <v>28</v>
      </c>
      <c r="AC4170">
        <v>38.709200000000003</v>
      </c>
      <c r="AD4170">
        <v>-9.0194000000000094E-2</v>
      </c>
      <c r="AE4170">
        <v>-13.174899999999999</v>
      </c>
      <c r="AF4170">
        <v>9.7883865653536706</v>
      </c>
      <c r="AG4170">
        <v>-9.0194000000000094E-2</v>
      </c>
      <c r="AH4170">
        <v>39.700772955959799</v>
      </c>
      <c r="AI4170">
        <v>90.126382263631299</v>
      </c>
      <c r="AJ4170">
        <v>76.149730759378897</v>
      </c>
      <c r="AK4170">
        <v>40.889754460146897</v>
      </c>
      <c r="AL4170">
        <v>88.387566436564299</v>
      </c>
      <c r="AM4170">
        <v>88.032290661780905</v>
      </c>
      <c r="AN4170">
        <v>0.99999999728075395</v>
      </c>
    </row>
    <row r="4171" spans="1:40" x14ac:dyDescent="0.25">
      <c r="A4171" t="str">
        <f>"20190312160726725"</f>
        <v>20190312160726725</v>
      </c>
      <c r="B4171" t="str">
        <f>"1552378046719203"</f>
        <v>1552378046719203</v>
      </c>
      <c r="C4171" t="s">
        <v>40</v>
      </c>
      <c r="D4171">
        <v>6.2156960000000003</v>
      </c>
      <c r="E4171">
        <v>0.59002239999999995</v>
      </c>
      <c r="F4171" t="s">
        <v>61</v>
      </c>
      <c r="G4171">
        <v>-197.1446</v>
      </c>
      <c r="H4171" s="1">
        <v>3.1035200000000001E-6</v>
      </c>
      <c r="I4171">
        <v>209.9693</v>
      </c>
      <c r="J4171">
        <v>-206.8434</v>
      </c>
      <c r="K4171">
        <v>1.1065179999999999</v>
      </c>
      <c r="L4171">
        <v>214.10599999999999</v>
      </c>
      <c r="M4171">
        <v>0.99557200000000001</v>
      </c>
      <c r="N4171">
        <v>0</v>
      </c>
      <c r="O4171">
        <v>-9.16627E-2</v>
      </c>
      <c r="P4171">
        <v>0.99191600000000002</v>
      </c>
      <c r="Q4171">
        <v>6.5177869999999997E-3</v>
      </c>
      <c r="R4171">
        <v>-0.12672990000000001</v>
      </c>
      <c r="S4171">
        <v>2.8789829999999998</v>
      </c>
      <c r="T4171">
        <v>-0.31930180000000002</v>
      </c>
      <c r="U4171">
        <v>-1.202423</v>
      </c>
      <c r="V4171">
        <v>3.553166E-2</v>
      </c>
      <c r="W4171">
        <v>2.6992209999999999E-2</v>
      </c>
      <c r="X4171">
        <v>0.99900389999999994</v>
      </c>
      <c r="Y4171">
        <v>0.29810029999999998</v>
      </c>
      <c r="Z4171">
        <v>-6.1448359999999999E-3</v>
      </c>
      <c r="AA4171">
        <v>0.9545148</v>
      </c>
      <c r="AB4171">
        <v>28</v>
      </c>
      <c r="AC4171">
        <v>9.6988000000000003</v>
      </c>
      <c r="AD4171">
        <v>-1.10651489647999</v>
      </c>
      <c r="AE4171">
        <v>-4.1366999999999896</v>
      </c>
      <c r="AF4171">
        <v>3.1948819426033599</v>
      </c>
      <c r="AG4171">
        <v>-1.10651489647999</v>
      </c>
      <c r="AH4171">
        <v>9.9278825646130304</v>
      </c>
      <c r="AI4171">
        <v>96.056244934264697</v>
      </c>
      <c r="AJ4171">
        <v>72.161357518041001</v>
      </c>
      <c r="AK4171">
        <v>10.487826183726099</v>
      </c>
      <c r="AL4171">
        <v>88.453272329316803</v>
      </c>
      <c r="AM4171">
        <v>87.963014597796899</v>
      </c>
      <c r="AN4171">
        <v>0.99999993523912201</v>
      </c>
    </row>
    <row r="4172" spans="1:40" x14ac:dyDescent="0.25">
      <c r="A4172" t="str">
        <f>"20190312160726746"</f>
        <v>20190312160726746</v>
      </c>
      <c r="B4172" t="str">
        <f>"1552378046739698"</f>
        <v>1552378046739698</v>
      </c>
      <c r="C4172" t="s">
        <v>40</v>
      </c>
      <c r="D4172">
        <v>6.0596069999999997</v>
      </c>
      <c r="E4172">
        <v>0.60673509999999997</v>
      </c>
      <c r="F4172" t="s">
        <v>51</v>
      </c>
      <c r="G4172">
        <v>-168.41309999999999</v>
      </c>
      <c r="H4172">
        <v>0.80595969999999995</v>
      </c>
      <c r="I4172">
        <v>199.5445</v>
      </c>
      <c r="J4172">
        <v>-206.5478</v>
      </c>
      <c r="K4172">
        <v>1.1064719999999999</v>
      </c>
      <c r="L4172">
        <v>214.0719</v>
      </c>
      <c r="M4172">
        <v>0.99500420000000001</v>
      </c>
      <c r="N4172">
        <v>0</v>
      </c>
      <c r="O4172">
        <v>-9.7621689999999997E-2</v>
      </c>
      <c r="P4172">
        <v>0.99093799999999999</v>
      </c>
      <c r="Q4172">
        <v>6.0475249999999998E-3</v>
      </c>
      <c r="R4172">
        <v>-0.13418350000000001</v>
      </c>
      <c r="S4172">
        <v>2.8849330000000002</v>
      </c>
      <c r="T4172">
        <v>-2.2560119999999999E-2</v>
      </c>
      <c r="U4172">
        <v>-1.093124</v>
      </c>
      <c r="V4172">
        <v>3.7060509999999998E-2</v>
      </c>
      <c r="W4172">
        <v>2.6543669999999998E-2</v>
      </c>
      <c r="X4172">
        <v>0.99896039999999997</v>
      </c>
      <c r="Y4172">
        <v>0.26131969999999999</v>
      </c>
      <c r="Z4172">
        <v>-2.5368400000000001E-4</v>
      </c>
      <c r="AA4172">
        <v>0.96525229999999995</v>
      </c>
      <c r="AB4172">
        <v>28</v>
      </c>
      <c r="AC4172">
        <v>38.134700000000002</v>
      </c>
      <c r="AD4172">
        <v>-0.30051229999999901</v>
      </c>
      <c r="AE4172">
        <v>-14.5274</v>
      </c>
      <c r="AF4172">
        <v>10.7338118989206</v>
      </c>
      <c r="AG4172">
        <v>-0.30051229999999901</v>
      </c>
      <c r="AH4172">
        <v>39.368837630472498</v>
      </c>
      <c r="AI4172">
        <v>90.421943453170599</v>
      </c>
      <c r="AJ4172">
        <v>74.7491400094532</v>
      </c>
      <c r="AK4172">
        <v>40.806989620632002</v>
      </c>
      <c r="AL4172">
        <v>88.478981036413202</v>
      </c>
      <c r="AM4172">
        <v>87.875353784045302</v>
      </c>
      <c r="AN4172">
        <v>0.99999996429334304</v>
      </c>
    </row>
    <row r="4173" spans="1:40" x14ac:dyDescent="0.25">
      <c r="A4173" t="str">
        <f>"20190312160726767"</f>
        <v>20190312160726767</v>
      </c>
      <c r="B4173" t="str">
        <f>"1552378046759218"</f>
        <v>1552378046759218</v>
      </c>
      <c r="C4173" t="s">
        <v>40</v>
      </c>
      <c r="D4173">
        <v>6.2072320000000003</v>
      </c>
      <c r="E4173">
        <v>0.59735950000000004</v>
      </c>
      <c r="F4173" t="s">
        <v>61</v>
      </c>
      <c r="G4173">
        <v>-189.93299999999999</v>
      </c>
      <c r="H4173" s="1">
        <v>5.3967420000000002E-6</v>
      </c>
      <c r="I4173">
        <v>206.81030000000001</v>
      </c>
      <c r="J4173">
        <v>-206.28270000000001</v>
      </c>
      <c r="K4173">
        <v>1.10642</v>
      </c>
      <c r="L4173">
        <v>214.03970000000001</v>
      </c>
      <c r="M4173">
        <v>0.99444969999999999</v>
      </c>
      <c r="N4173">
        <v>0</v>
      </c>
      <c r="O4173">
        <v>-0.1031108</v>
      </c>
      <c r="P4173">
        <v>0.99000129999999997</v>
      </c>
      <c r="Q4173">
        <v>7.2535689999999996E-3</v>
      </c>
      <c r="R4173">
        <v>-0.1408721</v>
      </c>
      <c r="S4173">
        <v>2.8593600000000001</v>
      </c>
      <c r="T4173">
        <v>-0.19041959999999999</v>
      </c>
      <c r="U4173">
        <v>-1.2497100000000001</v>
      </c>
      <c r="V4173">
        <v>3.8311989999999997E-2</v>
      </c>
      <c r="W4173">
        <v>2.7765339999999999E-2</v>
      </c>
      <c r="X4173">
        <v>0.99887999999999999</v>
      </c>
      <c r="Y4173">
        <v>0.30347370000000001</v>
      </c>
      <c r="Z4173">
        <v>-3.1361129999999998E-3</v>
      </c>
      <c r="AA4173">
        <v>0.95283470000000003</v>
      </c>
      <c r="AB4173">
        <v>28</v>
      </c>
      <c r="AC4173">
        <v>16.349699999999999</v>
      </c>
      <c r="AD4173">
        <v>-1.106414603258</v>
      </c>
      <c r="AE4173">
        <v>-7.2293999999999903</v>
      </c>
      <c r="AF4173">
        <v>5.4836442088714197</v>
      </c>
      <c r="AG4173">
        <v>-1.106414603258</v>
      </c>
      <c r="AH4173">
        <v>16.9432066062822</v>
      </c>
      <c r="AI4173">
        <v>93.555129179340796</v>
      </c>
      <c r="AJ4173">
        <v>72.065901260308905</v>
      </c>
      <c r="AK4173">
        <v>17.8428348977105</v>
      </c>
      <c r="AL4173">
        <v>88.408958712322899</v>
      </c>
      <c r="AM4173">
        <v>87.803500052052399</v>
      </c>
      <c r="AN4173">
        <v>0.99999998854153704</v>
      </c>
    </row>
    <row r="4174" spans="1:40" x14ac:dyDescent="0.25">
      <c r="A4174" t="str">
        <f>"20190312160726789"</f>
        <v>20190312160726789</v>
      </c>
      <c r="B4174" t="str">
        <f>"1552378046779716"</f>
        <v>1552378046779716</v>
      </c>
      <c r="C4174" t="s">
        <v>40</v>
      </c>
      <c r="D4174">
        <v>5.9872430000000003</v>
      </c>
      <c r="E4174">
        <v>0.59246719999999997</v>
      </c>
      <c r="F4174" t="s">
        <v>61</v>
      </c>
      <c r="G4174">
        <v>-179.95779999999999</v>
      </c>
      <c r="H4174">
        <v>4.9696959999999998E-2</v>
      </c>
      <c r="I4174">
        <v>203.0582</v>
      </c>
      <c r="J4174">
        <v>-206.0196</v>
      </c>
      <c r="K4174">
        <v>1.1063559999999999</v>
      </c>
      <c r="L4174">
        <v>214.006</v>
      </c>
      <c r="M4174">
        <v>0.99385290000000004</v>
      </c>
      <c r="N4174">
        <v>0</v>
      </c>
      <c r="O4174">
        <v>-0.10870680000000001</v>
      </c>
      <c r="P4174">
        <v>0.98903039999999998</v>
      </c>
      <c r="Q4174">
        <v>7.7498150000000002E-3</v>
      </c>
      <c r="R4174">
        <v>-0.1475098</v>
      </c>
      <c r="S4174">
        <v>2.8612820000000001</v>
      </c>
      <c r="T4174">
        <v>-0.11485620000000001</v>
      </c>
      <c r="U4174">
        <v>-1.1935880000000001</v>
      </c>
      <c r="V4174">
        <v>3.9400890000000001E-2</v>
      </c>
      <c r="W4174">
        <v>2.8273929999999999E-2</v>
      </c>
      <c r="X4174">
        <v>0.99882340000000003</v>
      </c>
      <c r="Y4174">
        <v>0.28224660000000001</v>
      </c>
      <c r="Z4174">
        <v>-1.2764880000000001E-3</v>
      </c>
      <c r="AA4174">
        <v>0.959341</v>
      </c>
      <c r="AB4174">
        <v>28</v>
      </c>
      <c r="AC4174">
        <v>26.061800000000002</v>
      </c>
      <c r="AD4174">
        <v>-1.05665904</v>
      </c>
      <c r="AE4174">
        <v>-10.9477999999999</v>
      </c>
      <c r="AF4174">
        <v>8.0379445989368108</v>
      </c>
      <c r="AG4174">
        <v>-1.05665904</v>
      </c>
      <c r="AH4174">
        <v>27.059837502471801</v>
      </c>
      <c r="AI4174">
        <v>92.143721218822407</v>
      </c>
      <c r="AJ4174">
        <v>73.456298430444903</v>
      </c>
      <c r="AK4174">
        <v>28.248183788742399</v>
      </c>
      <c r="AL4174">
        <v>88.379807248086905</v>
      </c>
      <c r="AM4174">
        <v>87.7410072309833</v>
      </c>
      <c r="AN4174">
        <v>1.00000001481899</v>
      </c>
    </row>
    <row r="4175" spans="1:40" x14ac:dyDescent="0.25">
      <c r="A4175" t="str">
        <f>"20190312160726811"</f>
        <v>20190312160726811</v>
      </c>
      <c r="B4175" t="str">
        <f>"1552378046799234"</f>
        <v>1552378046799234</v>
      </c>
      <c r="C4175" t="s">
        <v>40</v>
      </c>
      <c r="D4175">
        <v>4.9447000000000001</v>
      </c>
      <c r="E4175">
        <v>0.58979359999999903</v>
      </c>
      <c r="F4175" t="s">
        <v>61</v>
      </c>
      <c r="G4175">
        <v>-178.83690000000001</v>
      </c>
      <c r="H4175">
        <v>8.0001500000000003E-2</v>
      </c>
      <c r="I4175">
        <v>202.84289999999999</v>
      </c>
      <c r="J4175">
        <v>-205.74860000000001</v>
      </c>
      <c r="K4175">
        <v>1.1062809999999901</v>
      </c>
      <c r="L4175">
        <v>213.96950000000001</v>
      </c>
      <c r="M4175">
        <v>0.99318530000000005</v>
      </c>
      <c r="N4175">
        <v>0</v>
      </c>
      <c r="O4175">
        <v>-0.1146412</v>
      </c>
      <c r="P4175">
        <v>0.98799269999999995</v>
      </c>
      <c r="Q4175">
        <v>8.1762599999999994E-3</v>
      </c>
      <c r="R4175">
        <v>-0.1542839</v>
      </c>
      <c r="S4175">
        <v>2.8590089999999999</v>
      </c>
      <c r="T4175">
        <v>-0.1079493</v>
      </c>
      <c r="U4175">
        <v>-1.1741029999999999</v>
      </c>
      <c r="V4175">
        <v>4.0291159999999999E-2</v>
      </c>
      <c r="W4175">
        <v>2.871054E-2</v>
      </c>
      <c r="X4175">
        <v>0.99877539999999998</v>
      </c>
      <c r="Y4175">
        <v>0.27121139999999999</v>
      </c>
      <c r="Z4175">
        <v>-7.8973029999999998E-4</v>
      </c>
      <c r="AA4175">
        <v>0.96251949999999997</v>
      </c>
      <c r="AB4175">
        <v>27</v>
      </c>
      <c r="AC4175">
        <v>26.9117</v>
      </c>
      <c r="AD4175">
        <v>-1.02627949999999</v>
      </c>
      <c r="AE4175">
        <v>-11.1266</v>
      </c>
      <c r="AF4175">
        <v>7.9574573979885699</v>
      </c>
      <c r="AG4175">
        <v>-1.02627949999999</v>
      </c>
      <c r="AH4175">
        <v>27.975294723037202</v>
      </c>
      <c r="AI4175">
        <v>92.020872025835203</v>
      </c>
      <c r="AJ4175">
        <v>74.121815892534599</v>
      </c>
      <c r="AK4175">
        <v>29.103118264091801</v>
      </c>
      <c r="AL4175">
        <v>88.354781130569606</v>
      </c>
      <c r="AM4175">
        <v>87.689908682642994</v>
      </c>
      <c r="AN4175">
        <v>0.99999998616319796</v>
      </c>
    </row>
    <row r="4176" spans="1:40" x14ac:dyDescent="0.25">
      <c r="A4176" t="str">
        <f>"20190312160726835"</f>
        <v>20190312160726835</v>
      </c>
      <c r="B4176" t="str">
        <f>"1552378046829490"</f>
        <v>1552378046829490</v>
      </c>
      <c r="C4176" t="s">
        <v>40</v>
      </c>
      <c r="D4176">
        <v>6.3874360000000001</v>
      </c>
      <c r="E4176">
        <v>0.58851149999999997</v>
      </c>
      <c r="F4176" t="s">
        <v>61</v>
      </c>
      <c r="G4176">
        <v>-178.40880000000001</v>
      </c>
      <c r="H4176">
        <v>8.0001420000000004E-2</v>
      </c>
      <c r="I4176">
        <v>202.73670000000001</v>
      </c>
      <c r="J4176">
        <v>-205.46639999999999</v>
      </c>
      <c r="K4176">
        <v>1.1061890000000001</v>
      </c>
      <c r="L4176">
        <v>213.92959999999999</v>
      </c>
      <c r="M4176">
        <v>0.99242699999999995</v>
      </c>
      <c r="N4176">
        <v>0</v>
      </c>
      <c r="O4176">
        <v>-0.1210249</v>
      </c>
      <c r="P4176">
        <v>0.98690800000000001</v>
      </c>
      <c r="Q4176">
        <v>7.8493580000000007E-3</v>
      </c>
      <c r="R4176">
        <v>-0.16109289999999901</v>
      </c>
      <c r="S4176">
        <v>2.8542019999999999</v>
      </c>
      <c r="T4176">
        <v>-0.107140899999999</v>
      </c>
      <c r="U4176">
        <v>-1.1726840000000001</v>
      </c>
      <c r="V4176">
        <v>4.0759219999999999E-2</v>
      </c>
      <c r="W4176">
        <v>2.839595E-2</v>
      </c>
      <c r="X4176">
        <v>0.99876540000000003</v>
      </c>
      <c r="Y4176">
        <v>0.26518570000000002</v>
      </c>
      <c r="Z4176">
        <v>-4.5003969999999997E-4</v>
      </c>
      <c r="AA4176">
        <v>0.96419719999999998</v>
      </c>
      <c r="AB4176">
        <v>27</v>
      </c>
      <c r="AC4176">
        <v>27.057599999999901</v>
      </c>
      <c r="AD4176">
        <v>-1.02618757999999</v>
      </c>
      <c r="AE4176">
        <v>-11.1928999999999</v>
      </c>
      <c r="AF4176">
        <v>7.8256116374491702</v>
      </c>
      <c r="AG4176">
        <v>-1.02618757999999</v>
      </c>
      <c r="AH4176">
        <v>28.178933311381499</v>
      </c>
      <c r="AI4176">
        <v>92.009619869456202</v>
      </c>
      <c r="AJ4176">
        <v>74.479418632284904</v>
      </c>
      <c r="AK4176">
        <v>29.2633822552488</v>
      </c>
      <c r="AL4176">
        <v>88.372813158982495</v>
      </c>
      <c r="AM4176">
        <v>87.663078699504396</v>
      </c>
      <c r="AN4176">
        <v>0.99999998411428503</v>
      </c>
    </row>
    <row r="4177" spans="1:40" x14ac:dyDescent="0.25">
      <c r="A4177" t="str">
        <f>"20190312160726857"</f>
        <v>20190312160726857</v>
      </c>
      <c r="B4177" t="str">
        <f>"1552378046849010"</f>
        <v>1552378046849010</v>
      </c>
      <c r="C4177" t="s">
        <v>40</v>
      </c>
      <c r="D4177">
        <v>6.0735519999999896</v>
      </c>
      <c r="E4177">
        <v>0.58800189999999997</v>
      </c>
      <c r="F4177" t="s">
        <v>45</v>
      </c>
      <c r="G4177">
        <v>-169.5401</v>
      </c>
      <c r="H4177">
        <v>-0.05</v>
      </c>
      <c r="I4177">
        <v>199.01689999999999</v>
      </c>
      <c r="J4177">
        <v>-205.18979999999999</v>
      </c>
      <c r="K4177">
        <v>1.106088</v>
      </c>
      <c r="L4177">
        <v>213.88820000000001</v>
      </c>
      <c r="M4177">
        <v>0.99161319999999997</v>
      </c>
      <c r="N4177">
        <v>0</v>
      </c>
      <c r="O4177">
        <v>-0.12751689999999999</v>
      </c>
      <c r="P4177">
        <v>0.98573239999999995</v>
      </c>
      <c r="Q4177">
        <v>7.8871359999999995E-3</v>
      </c>
      <c r="R4177">
        <v>-0.1681356</v>
      </c>
      <c r="S4177">
        <v>2.8475799999999998</v>
      </c>
      <c r="T4177">
        <v>-9.164166E-2</v>
      </c>
      <c r="U4177">
        <v>-1.182007</v>
      </c>
      <c r="V4177">
        <v>4.1362690000000001E-2</v>
      </c>
      <c r="W4177">
        <v>2.844124E-2</v>
      </c>
      <c r="X4177">
        <v>0.9987393</v>
      </c>
      <c r="Y4177">
        <v>0.262385799999999</v>
      </c>
      <c r="Z4177">
        <v>-1.455087E-4</v>
      </c>
      <c r="AA4177">
        <v>0.96496300000000002</v>
      </c>
      <c r="AB4177">
        <v>27</v>
      </c>
      <c r="AC4177">
        <v>35.649700000000003</v>
      </c>
      <c r="AD4177">
        <v>-1.156088</v>
      </c>
      <c r="AE4177">
        <v>-14.8713</v>
      </c>
      <c r="AF4177">
        <v>10.1937655532387</v>
      </c>
      <c r="AG4177">
        <v>-1.156088</v>
      </c>
      <c r="AH4177">
        <v>37.221960266872202</v>
      </c>
      <c r="AI4177">
        <v>91.715852144439197</v>
      </c>
      <c r="AJ4177">
        <v>74.684262892715196</v>
      </c>
      <c r="AK4177">
        <v>38.609891501100599</v>
      </c>
      <c r="AL4177">
        <v>88.370217182473993</v>
      </c>
      <c r="AM4177">
        <v>87.628456186192693</v>
      </c>
      <c r="AN4177">
        <v>0.99999998281063096</v>
      </c>
    </row>
    <row r="4178" spans="1:40" x14ac:dyDescent="0.25">
      <c r="A4178" t="str">
        <f>"20190312160726880"</f>
        <v>20190312160726880</v>
      </c>
      <c r="B4178" t="str">
        <f>"1552378046869506"</f>
        <v>1552378046869506</v>
      </c>
      <c r="C4178" t="s">
        <v>40</v>
      </c>
      <c r="D4178">
        <v>6.0587059999999999</v>
      </c>
      <c r="E4178">
        <v>0.60907749999999905</v>
      </c>
      <c r="F4178" t="s">
        <v>51</v>
      </c>
      <c r="G4178">
        <v>-168.41319999999999</v>
      </c>
      <c r="H4178">
        <v>-2.2845270000000001E-2</v>
      </c>
      <c r="I4178">
        <v>198.36859999999999</v>
      </c>
      <c r="J4178">
        <v>-204.935</v>
      </c>
      <c r="K4178">
        <v>1.106012</v>
      </c>
      <c r="L4178">
        <v>213.84829999999999</v>
      </c>
      <c r="M4178">
        <v>0.99080219999999997</v>
      </c>
      <c r="N4178">
        <v>0</v>
      </c>
      <c r="O4178">
        <v>-0.13366910000000001</v>
      </c>
      <c r="P4178">
        <v>0.98453400000000002</v>
      </c>
      <c r="Q4178">
        <v>7.6373109999999999E-3</v>
      </c>
      <c r="R4178">
        <v>-0.1750273</v>
      </c>
      <c r="S4178">
        <v>2.8397060000000001</v>
      </c>
      <c r="T4178">
        <v>-8.716786E-2</v>
      </c>
      <c r="U4178">
        <v>-1.1983490000000001</v>
      </c>
      <c r="V4178">
        <v>4.2153490000000002E-2</v>
      </c>
      <c r="W4178">
        <v>2.819433E-2</v>
      </c>
      <c r="X4178">
        <v>0.99871330000000003</v>
      </c>
      <c r="Y4178">
        <v>0.262075</v>
      </c>
      <c r="Z4178" s="1">
        <v>4.320242E-5</v>
      </c>
      <c r="AA4178">
        <v>0.96504749999999995</v>
      </c>
      <c r="AB4178">
        <v>27</v>
      </c>
      <c r="AC4178">
        <v>36.521799999999999</v>
      </c>
      <c r="AD4178">
        <v>-1.1288572699999999</v>
      </c>
      <c r="AE4178">
        <v>-15.479699999999999</v>
      </c>
      <c r="AF4178">
        <v>10.4493416021656</v>
      </c>
      <c r="AG4178">
        <v>-1.1288572699999999</v>
      </c>
      <c r="AH4178">
        <v>38.232560766199597</v>
      </c>
      <c r="AI4178">
        <v>91.631426808543395</v>
      </c>
      <c r="AJ4178">
        <v>74.713808962391894</v>
      </c>
      <c r="AK4178">
        <v>39.650873400165203</v>
      </c>
      <c r="AL4178">
        <v>88.384369861835495</v>
      </c>
      <c r="AM4178">
        <v>87.583105817419906</v>
      </c>
      <c r="AN4178">
        <v>1.0000000462801</v>
      </c>
    </row>
    <row r="4179" spans="1:40" x14ac:dyDescent="0.25">
      <c r="A4179" t="str">
        <f>"20190312160726901"</f>
        <v>20190312160726901</v>
      </c>
      <c r="B4179" t="str">
        <f>"1552378046889026"</f>
        <v>1552378046889026</v>
      </c>
      <c r="C4179" t="s">
        <v>40</v>
      </c>
      <c r="D4179">
        <v>6.0787360000000001</v>
      </c>
      <c r="E4179">
        <v>0.58167119999999894</v>
      </c>
      <c r="F4179" t="s">
        <v>61</v>
      </c>
      <c r="G4179">
        <v>-189.2456</v>
      </c>
      <c r="H4179" s="1">
        <v>5.5292530000000003E-6</v>
      </c>
      <c r="I4179">
        <v>206.09049999999999</v>
      </c>
      <c r="J4179">
        <v>-204.6832</v>
      </c>
      <c r="K4179">
        <v>1.1059399999999999</v>
      </c>
      <c r="L4179">
        <v>213.80699999999999</v>
      </c>
      <c r="M4179">
        <v>0.98993819999999999</v>
      </c>
      <c r="N4179">
        <v>0</v>
      </c>
      <c r="O4179">
        <v>-0.13992109999999999</v>
      </c>
      <c r="P4179">
        <v>0.98321349999999996</v>
      </c>
      <c r="Q4179">
        <v>7.235081E-3</v>
      </c>
      <c r="R4179">
        <v>-0.18231410000000001</v>
      </c>
      <c r="S4179">
        <v>2.8023069999999999</v>
      </c>
      <c r="T4179">
        <v>-0.19754620000000001</v>
      </c>
      <c r="U4179">
        <v>-1.385635</v>
      </c>
      <c r="V4179">
        <v>4.3246439999999997E-2</v>
      </c>
      <c r="W4179">
        <v>2.778918E-2</v>
      </c>
      <c r="X4179">
        <v>0.99867779999999995</v>
      </c>
      <c r="Y4179">
        <v>0.313081099999999</v>
      </c>
      <c r="Z4179">
        <v>-1.202282E-3</v>
      </c>
      <c r="AA4179">
        <v>0.94972559999999995</v>
      </c>
      <c r="AB4179">
        <v>27</v>
      </c>
      <c r="AC4179">
        <v>15.4376</v>
      </c>
      <c r="AD4179">
        <v>-1.105934470747</v>
      </c>
      <c r="AE4179">
        <v>-7.7165000000000203</v>
      </c>
      <c r="AF4179">
        <v>5.4576199470197997</v>
      </c>
      <c r="AG4179">
        <v>-1.105934470747</v>
      </c>
      <c r="AH4179">
        <v>16.298682558653301</v>
      </c>
      <c r="AI4179">
        <v>93.681497539953199</v>
      </c>
      <c r="AJ4179">
        <v>71.486858798072305</v>
      </c>
      <c r="AK4179">
        <v>17.223697619484799</v>
      </c>
      <c r="AL4179">
        <v>88.407592145528</v>
      </c>
      <c r="AM4179">
        <v>87.520430104016</v>
      </c>
      <c r="AN4179">
        <v>0.99999992065528898</v>
      </c>
    </row>
    <row r="4180" spans="1:40" x14ac:dyDescent="0.25">
      <c r="A4180" t="str">
        <f>"20190312160726923"</f>
        <v>20190312160726923</v>
      </c>
      <c r="B4180" t="str">
        <f>"1552378046909522"</f>
        <v>1552378046909522</v>
      </c>
      <c r="C4180" t="s">
        <v>40</v>
      </c>
      <c r="D4180">
        <v>6.0847439999999997</v>
      </c>
      <c r="E4180">
        <v>0.58076819999999996</v>
      </c>
      <c r="F4180" t="s">
        <v>51</v>
      </c>
      <c r="G4180">
        <v>-168.41319999999999</v>
      </c>
      <c r="H4180">
        <v>0.32265379999999999</v>
      </c>
      <c r="I4180">
        <v>198.57650000000001</v>
      </c>
      <c r="J4180">
        <v>-204.41569999999999</v>
      </c>
      <c r="K4180">
        <v>1.1058589999999999</v>
      </c>
      <c r="L4180">
        <v>213.7612</v>
      </c>
      <c r="M4180">
        <v>0.98894579999999999</v>
      </c>
      <c r="N4180">
        <v>0</v>
      </c>
      <c r="O4180">
        <v>-0.1467685</v>
      </c>
      <c r="P4180">
        <v>0.98179329999999998</v>
      </c>
      <c r="Q4180">
        <v>7.5491339999999999E-3</v>
      </c>
      <c r="R4180">
        <v>-0.18980340000000001</v>
      </c>
      <c r="S4180">
        <v>2.831223</v>
      </c>
      <c r="T4180">
        <v>-6.1140420000000001E-2</v>
      </c>
      <c r="U4180">
        <v>-1.1888890000000001</v>
      </c>
      <c r="V4180">
        <v>4.3957620000000003E-2</v>
      </c>
      <c r="W4180">
        <v>2.8102809999999999E-2</v>
      </c>
      <c r="X4180">
        <v>0.99863800000000003</v>
      </c>
      <c r="Y4180">
        <v>0.24760389999999999</v>
      </c>
      <c r="Z4180">
        <v>4.4603200000000001E-4</v>
      </c>
      <c r="AA4180">
        <v>0.96886119999999998</v>
      </c>
      <c r="AB4180">
        <v>26</v>
      </c>
      <c r="AC4180">
        <v>36.002499999999998</v>
      </c>
      <c r="AD4180">
        <v>-0.78320519999999905</v>
      </c>
      <c r="AE4180">
        <v>-15.1846999999999</v>
      </c>
      <c r="AF4180">
        <v>9.7310699843850799</v>
      </c>
      <c r="AG4180">
        <v>-0.78320519999999905</v>
      </c>
      <c r="AH4180">
        <v>37.826383854254303</v>
      </c>
      <c r="AI4180">
        <v>91.148761192749703</v>
      </c>
      <c r="AJ4180">
        <v>75.573138279997295</v>
      </c>
      <c r="AK4180">
        <v>39.065873200476297</v>
      </c>
      <c r="AL4180">
        <v>88.389615491126307</v>
      </c>
      <c r="AM4180">
        <v>87.479605857365897</v>
      </c>
      <c r="AN4180">
        <v>0.99999994766497802</v>
      </c>
    </row>
    <row r="4181" spans="1:40" x14ac:dyDescent="0.25">
      <c r="A4181" t="str">
        <f>"20190312160726946"</f>
        <v>20190312160726946</v>
      </c>
      <c r="B4181" t="str">
        <f>"1552378046939778"</f>
        <v>1552378046939778</v>
      </c>
      <c r="C4181" t="s">
        <v>40</v>
      </c>
      <c r="D4181">
        <v>5.985938</v>
      </c>
      <c r="E4181">
        <v>0.58028869999999999</v>
      </c>
      <c r="F4181" t="s">
        <v>51</v>
      </c>
      <c r="G4181">
        <v>-168.41329999999999</v>
      </c>
      <c r="H4181">
        <v>0.34902860000000002</v>
      </c>
      <c r="I4181">
        <v>198.41579999999999</v>
      </c>
      <c r="J4181">
        <v>-204.14779999999999</v>
      </c>
      <c r="K4181">
        <v>1.1057760000000001</v>
      </c>
      <c r="L4181">
        <v>213.7131</v>
      </c>
      <c r="M4181">
        <v>0.98786909999999994</v>
      </c>
      <c r="N4181">
        <v>0</v>
      </c>
      <c r="O4181">
        <v>-0.1538466</v>
      </c>
      <c r="P4181">
        <v>0.98021709999999995</v>
      </c>
      <c r="Q4181">
        <v>7.1288599999999999E-3</v>
      </c>
      <c r="R4181">
        <v>-0.1977971</v>
      </c>
      <c r="S4181">
        <v>2.8234560000000002</v>
      </c>
      <c r="T4181">
        <v>-5.9351090000000002E-2</v>
      </c>
      <c r="U4181">
        <v>-1.2034450000000001</v>
      </c>
      <c r="V4181">
        <v>4.4945020000000002E-2</v>
      </c>
      <c r="W4181">
        <v>2.767669E-2</v>
      </c>
      <c r="X4181">
        <v>0.99860599999999999</v>
      </c>
      <c r="Y4181">
        <v>0.24585419999999999</v>
      </c>
      <c r="Z4181">
        <v>5.9021680000000002E-4</v>
      </c>
      <c r="AA4181">
        <v>0.96930660000000002</v>
      </c>
      <c r="AB4181">
        <v>26</v>
      </c>
      <c r="AC4181">
        <v>35.734499999999997</v>
      </c>
      <c r="AD4181">
        <v>-0.75674739999999996</v>
      </c>
      <c r="AE4181">
        <v>-15.2973</v>
      </c>
      <c r="AF4181">
        <v>9.6125994154372094</v>
      </c>
      <c r="AG4181">
        <v>-0.75674739999999996</v>
      </c>
      <c r="AH4181">
        <v>37.648574044315602</v>
      </c>
      <c r="AI4181">
        <v>91.115723258988595</v>
      </c>
      <c r="AJ4181">
        <v>75.676997804046295</v>
      </c>
      <c r="AK4181">
        <v>38.863734531300302</v>
      </c>
      <c r="AL4181">
        <v>88.414039951935607</v>
      </c>
      <c r="AM4181">
        <v>87.422984406356704</v>
      </c>
      <c r="AN4181">
        <v>0.99999999861407796</v>
      </c>
    </row>
    <row r="4182" spans="1:40" x14ac:dyDescent="0.25">
      <c r="A4182" t="str">
        <f>"20190312160726968"</f>
        <v>20190312160726968</v>
      </c>
      <c r="B4182" t="str">
        <f>"1552378046959298"</f>
        <v>1552378046959298</v>
      </c>
      <c r="C4182" t="s">
        <v>40</v>
      </c>
      <c r="D4182">
        <v>6.0969629999999997</v>
      </c>
      <c r="E4182">
        <v>0.59250150000000001</v>
      </c>
      <c r="F4182" t="s">
        <v>51</v>
      </c>
      <c r="G4182">
        <v>-168.41329999999999</v>
      </c>
      <c r="H4182">
        <v>0.28065869999999998</v>
      </c>
      <c r="I4182">
        <v>198.18799999999999</v>
      </c>
      <c r="J4182">
        <v>-203.9024</v>
      </c>
      <c r="K4182">
        <v>1.1056839999999999</v>
      </c>
      <c r="L4182">
        <v>213.667</v>
      </c>
      <c r="M4182">
        <v>0.98680389999999996</v>
      </c>
      <c r="N4182">
        <v>0</v>
      </c>
      <c r="O4182">
        <v>-0.16053499999999901</v>
      </c>
      <c r="P4182">
        <v>0.9785085</v>
      </c>
      <c r="Q4182">
        <v>6.3682859999999999E-3</v>
      </c>
      <c r="R4182">
        <v>-0.2061077</v>
      </c>
      <c r="S4182">
        <v>2.8142849999999999</v>
      </c>
      <c r="T4182">
        <v>-6.4979789999999996E-2</v>
      </c>
      <c r="U4182">
        <v>-1.2226870000000001</v>
      </c>
      <c r="V4182">
        <v>4.6650740000000003E-2</v>
      </c>
      <c r="W4182">
        <v>2.689973E-2</v>
      </c>
      <c r="X4182">
        <v>0.99854900000000002</v>
      </c>
      <c r="Y4182">
        <v>0.24601329999999999</v>
      </c>
      <c r="Z4182">
        <v>7.8908190000000005E-4</v>
      </c>
      <c r="AA4182">
        <v>0.96926610000000002</v>
      </c>
      <c r="AB4182">
        <v>26</v>
      </c>
      <c r="AC4182">
        <v>35.489100000000001</v>
      </c>
      <c r="AD4182">
        <v>-0.82502529999999996</v>
      </c>
      <c r="AE4182">
        <v>-15.478999999999999</v>
      </c>
      <c r="AF4182">
        <v>9.5752864273727791</v>
      </c>
      <c r="AG4182">
        <v>-0.82502529999999996</v>
      </c>
      <c r="AH4182">
        <v>37.497055121399498</v>
      </c>
      <c r="AI4182">
        <v>91.221263828809697</v>
      </c>
      <c r="AJ4182">
        <v>75.675027561678206</v>
      </c>
      <c r="AK4182">
        <v>38.709119334972499</v>
      </c>
      <c r="AL4182">
        <v>88.458573062061902</v>
      </c>
      <c r="AM4182">
        <v>87.325170401990803</v>
      </c>
      <c r="AN4182">
        <v>0.99999999620880997</v>
      </c>
    </row>
    <row r="4183" spans="1:40" x14ac:dyDescent="0.25">
      <c r="A4183" t="str">
        <f>"20190312160726991"</f>
        <v>20190312160726991</v>
      </c>
      <c r="B4183" t="str">
        <f>"1552378046979794"</f>
        <v>1552378046979794</v>
      </c>
      <c r="C4183" t="s">
        <v>40</v>
      </c>
      <c r="D4183">
        <v>6.0652100000000004</v>
      </c>
      <c r="E4183">
        <v>0.5865224</v>
      </c>
      <c r="F4183" t="s">
        <v>51</v>
      </c>
      <c r="G4183">
        <v>-168.41380000000001</v>
      </c>
      <c r="H4183">
        <v>2.2905350000000001E-2</v>
      </c>
      <c r="I4183">
        <v>196.5599</v>
      </c>
      <c r="J4183">
        <v>-203.64</v>
      </c>
      <c r="K4183">
        <v>1.1055740000000001</v>
      </c>
      <c r="L4183">
        <v>213.6157</v>
      </c>
      <c r="M4183">
        <v>0.98557539999999999</v>
      </c>
      <c r="N4183">
        <v>0</v>
      </c>
      <c r="O4183">
        <v>-0.16791039999999999</v>
      </c>
      <c r="P4183">
        <v>0.97655619999999999</v>
      </c>
      <c r="Q4183">
        <v>5.8091089999999998E-3</v>
      </c>
      <c r="R4183">
        <v>-0.2151853</v>
      </c>
      <c r="S4183">
        <v>2.783798</v>
      </c>
      <c r="T4183">
        <v>-8.4932679999999997E-2</v>
      </c>
      <c r="U4183">
        <v>-1.3419190000000001</v>
      </c>
      <c r="V4183">
        <v>4.8455650000000003E-2</v>
      </c>
      <c r="W4183">
        <v>2.632058E-2</v>
      </c>
      <c r="X4183">
        <v>0.99847850000000005</v>
      </c>
      <c r="Y4183">
        <v>0.27673179999999997</v>
      </c>
      <c r="Z4183">
        <v>7.9221909999999997E-4</v>
      </c>
      <c r="AA4183">
        <v>0.96094690000000005</v>
      </c>
      <c r="AB4183">
        <v>26</v>
      </c>
      <c r="AC4183">
        <v>35.226199999999899</v>
      </c>
      <c r="AD4183">
        <v>-1.08266865</v>
      </c>
      <c r="AE4183">
        <v>-17.055800000000001</v>
      </c>
      <c r="AF4183">
        <v>10.8890360144024</v>
      </c>
      <c r="AG4183">
        <v>-1.08266865</v>
      </c>
      <c r="AH4183">
        <v>37.561585698053399</v>
      </c>
      <c r="AI4183">
        <v>91.5857711670008</v>
      </c>
      <c r="AJ4183">
        <v>73.833221460038402</v>
      </c>
      <c r="AK4183">
        <v>39.123087772833699</v>
      </c>
      <c r="AL4183">
        <v>88.491767702310099</v>
      </c>
      <c r="AM4183">
        <v>87.221644921280898</v>
      </c>
      <c r="AN4183">
        <v>1.00000001895535</v>
      </c>
    </row>
    <row r="4184" spans="1:40" x14ac:dyDescent="0.25">
      <c r="A4184" t="str">
        <f>"20190312160727013"</f>
        <v>20190312160727013</v>
      </c>
      <c r="B4184" t="str">
        <f>"1552378046999315"</f>
        <v>1552378046999315</v>
      </c>
      <c r="C4184" t="s">
        <v>40</v>
      </c>
      <c r="D4184">
        <v>6.1051859999999998</v>
      </c>
      <c r="E4184">
        <v>0.58478189999999997</v>
      </c>
      <c r="F4184" t="s">
        <v>51</v>
      </c>
      <c r="G4184">
        <v>-168.41370000000001</v>
      </c>
      <c r="H4184">
        <v>4.142761E-3</v>
      </c>
      <c r="I4184">
        <v>196.8845</v>
      </c>
      <c r="J4184">
        <v>-203.38399999999999</v>
      </c>
      <c r="K4184">
        <v>1.105456</v>
      </c>
      <c r="L4184">
        <v>213.5634</v>
      </c>
      <c r="M4184">
        <v>0.98427929999999997</v>
      </c>
      <c r="N4184">
        <v>0</v>
      </c>
      <c r="O4184">
        <v>-0.17534629999999901</v>
      </c>
      <c r="P4184">
        <v>0.97456520000000002</v>
      </c>
      <c r="Q4184">
        <v>5.9560159999999997E-3</v>
      </c>
      <c r="R4184">
        <v>-0.22402530000000001</v>
      </c>
      <c r="S4184">
        <v>2.7814179999999999</v>
      </c>
      <c r="T4184">
        <v>-8.6964730000000004E-2</v>
      </c>
      <c r="U4184">
        <v>-1.321075</v>
      </c>
      <c r="V4184">
        <v>4.9975100000000001E-2</v>
      </c>
      <c r="W4184">
        <v>2.645024E-2</v>
      </c>
      <c r="X4184">
        <v>0.99840019999999996</v>
      </c>
      <c r="Y4184">
        <v>0.26392159999999998</v>
      </c>
      <c r="Z4184">
        <v>1.217732E-3</v>
      </c>
      <c r="AA4184">
        <v>0.96454329999999999</v>
      </c>
      <c r="AB4184">
        <v>26</v>
      </c>
      <c r="AC4184">
        <v>34.970300000000002</v>
      </c>
      <c r="AD4184">
        <v>-1.101313239</v>
      </c>
      <c r="AE4184">
        <v>-16.678899999999999</v>
      </c>
      <c r="AF4184">
        <v>10.278782303350599</v>
      </c>
      <c r="AG4184">
        <v>-1.101313239</v>
      </c>
      <c r="AH4184">
        <v>37.323335553415703</v>
      </c>
      <c r="AI4184">
        <v>91.629525765501199</v>
      </c>
      <c r="AJ4184">
        <v>74.602535719843601</v>
      </c>
      <c r="AK4184">
        <v>38.728511891408097</v>
      </c>
      <c r="AL4184">
        <v>88.484336180163595</v>
      </c>
      <c r="AM4184">
        <v>87.134441184333099</v>
      </c>
      <c r="AN4184">
        <v>1.00000004258805</v>
      </c>
    </row>
    <row r="4185" spans="1:40" x14ac:dyDescent="0.25">
      <c r="A4185" t="str">
        <f>"20190312160727036"</f>
        <v>20190312160727036</v>
      </c>
      <c r="B4185" t="str">
        <f>"1552378047029573"</f>
        <v>1552378047029573</v>
      </c>
      <c r="C4185" t="s">
        <v>40</v>
      </c>
      <c r="D4185">
        <v>6.0969920000000002</v>
      </c>
      <c r="E4185">
        <v>0.58404029999999996</v>
      </c>
      <c r="F4185" t="s">
        <v>51</v>
      </c>
      <c r="G4185">
        <v>-168.41380000000001</v>
      </c>
      <c r="H4185">
        <v>0.1852598</v>
      </c>
      <c r="I4185">
        <v>196.75489999999999</v>
      </c>
      <c r="J4185">
        <v>-203.13409999999999</v>
      </c>
      <c r="K4185">
        <v>1.105342</v>
      </c>
      <c r="L4185">
        <v>213.50989999999999</v>
      </c>
      <c r="M4185">
        <v>0.98290880000000003</v>
      </c>
      <c r="N4185">
        <v>0</v>
      </c>
      <c r="O4185">
        <v>-0.1828698</v>
      </c>
      <c r="P4185">
        <v>0.97242960000000001</v>
      </c>
      <c r="Q4185">
        <v>6.1999109999999998E-3</v>
      </c>
      <c r="R4185">
        <v>-0.23311419999999999</v>
      </c>
      <c r="S4185">
        <v>2.7724299999999999</v>
      </c>
      <c r="T4185">
        <v>-7.2950119999999993E-2</v>
      </c>
      <c r="U4185">
        <v>-1.332565</v>
      </c>
      <c r="V4185">
        <v>5.1671290000000002E-2</v>
      </c>
      <c r="W4185">
        <v>2.667332E-2</v>
      </c>
      <c r="X4185">
        <v>0.99830790000000003</v>
      </c>
      <c r="Y4185">
        <v>0.26101929999999901</v>
      </c>
      <c r="Z4185">
        <v>1.241088E-3</v>
      </c>
      <c r="AA4185">
        <v>0.96533270000000004</v>
      </c>
      <c r="AB4185">
        <v>26</v>
      </c>
      <c r="AC4185">
        <v>34.720299999999902</v>
      </c>
      <c r="AD4185">
        <v>-0.92008219999999996</v>
      </c>
      <c r="AE4185">
        <v>-16.7549999999999</v>
      </c>
      <c r="AF4185">
        <v>10.1158528596153</v>
      </c>
      <c r="AG4185">
        <v>-0.92008219999999996</v>
      </c>
      <c r="AH4185">
        <v>37.178046223323904</v>
      </c>
      <c r="AI4185">
        <v>91.367952852166297</v>
      </c>
      <c r="AJ4185">
        <v>74.778759705309795</v>
      </c>
      <c r="AK4185">
        <v>38.540681770250998</v>
      </c>
      <c r="AL4185">
        <v>88.471550101122801</v>
      </c>
      <c r="AM4185">
        <v>87.037079110475801</v>
      </c>
      <c r="AN4185">
        <v>1.00000002570624</v>
      </c>
    </row>
    <row r="4186" spans="1:40" x14ac:dyDescent="0.25">
      <c r="A4186" t="str">
        <f>"20190312160727058"</f>
        <v>20190312160727058</v>
      </c>
      <c r="B4186" t="str">
        <f>"1552378047049090"</f>
        <v>1552378047049090</v>
      </c>
      <c r="C4186" t="s">
        <v>40</v>
      </c>
      <c r="D4186">
        <v>5.1200599999999996</v>
      </c>
      <c r="E4186">
        <v>0.58442320000000003</v>
      </c>
      <c r="F4186" t="s">
        <v>51</v>
      </c>
      <c r="G4186">
        <v>-168.41390000000001</v>
      </c>
      <c r="H4186">
        <v>0.45907589999999998</v>
      </c>
      <c r="I4186">
        <v>196.5044</v>
      </c>
      <c r="J4186">
        <v>-202.87909999999999</v>
      </c>
      <c r="K4186">
        <v>1.1052310000000001</v>
      </c>
      <c r="L4186">
        <v>213.4528</v>
      </c>
      <c r="M4186">
        <v>0.98139699999999996</v>
      </c>
      <c r="N4186">
        <v>0</v>
      </c>
      <c r="O4186">
        <v>-0.19081529999999999</v>
      </c>
      <c r="P4186">
        <v>0.97008810000000001</v>
      </c>
      <c r="Q4186">
        <v>6.1916460000000003E-3</v>
      </c>
      <c r="R4186">
        <v>-0.24267449999999999</v>
      </c>
      <c r="S4186">
        <v>2.7611690000000002</v>
      </c>
      <c r="T4186">
        <v>-5.1392559999999997E-2</v>
      </c>
      <c r="U4186">
        <v>-1.3523860000000001</v>
      </c>
      <c r="V4186">
        <v>5.3429730000000002E-2</v>
      </c>
      <c r="W4186">
        <v>2.664329E-2</v>
      </c>
      <c r="X4186">
        <v>0.99821610000000005</v>
      </c>
      <c r="Y4186">
        <v>0.26036279999999901</v>
      </c>
      <c r="Z4186">
        <v>1.016681E-3</v>
      </c>
      <c r="AA4186">
        <v>0.96551030000000004</v>
      </c>
      <c r="AB4186">
        <v>25</v>
      </c>
      <c r="AC4186">
        <v>34.465199999999903</v>
      </c>
      <c r="AD4186">
        <v>-0.64615509999999898</v>
      </c>
      <c r="AE4186">
        <v>-16.9483999999999</v>
      </c>
      <c r="AF4186">
        <v>10.0560358802209</v>
      </c>
      <c r="AG4186">
        <v>-0.64615509999999898</v>
      </c>
      <c r="AH4186">
        <v>37.055900171779498</v>
      </c>
      <c r="AI4186">
        <v>90.964119452245498</v>
      </c>
      <c r="AJ4186">
        <v>74.817034578501904</v>
      </c>
      <c r="AK4186">
        <v>38.401576941298003</v>
      </c>
      <c r="AL4186">
        <v>88.473271253000107</v>
      </c>
      <c r="AM4186">
        <v>86.936154849048606</v>
      </c>
      <c r="AN4186">
        <v>0.999999991624553</v>
      </c>
    </row>
    <row r="4187" spans="1:40" x14ac:dyDescent="0.25">
      <c r="A4187" t="str">
        <f>"20190312160727083"</f>
        <v>20190312160727083</v>
      </c>
      <c r="B4187" t="str">
        <f>"1552378047069587"</f>
        <v>1552378047069587</v>
      </c>
      <c r="C4187" t="s">
        <v>40</v>
      </c>
      <c r="D4187">
        <v>5.958018</v>
      </c>
      <c r="E4187">
        <v>0.58491000000000004</v>
      </c>
      <c r="F4187" t="s">
        <v>51</v>
      </c>
      <c r="G4187">
        <v>-168.41409999999999</v>
      </c>
      <c r="H4187">
        <v>0.57287119999999903</v>
      </c>
      <c r="I4187">
        <v>196.11099999999999</v>
      </c>
      <c r="J4187">
        <v>-202.60839999999999</v>
      </c>
      <c r="K4187">
        <v>1.1051280000000001</v>
      </c>
      <c r="L4187">
        <v>213.3896</v>
      </c>
      <c r="M4187">
        <v>0.97966679999999995</v>
      </c>
      <c r="N4187">
        <v>0</v>
      </c>
      <c r="O4187">
        <v>-0.1995055</v>
      </c>
      <c r="P4187">
        <v>0.96747660000000002</v>
      </c>
      <c r="Q4187">
        <v>6.5102980000000003E-3</v>
      </c>
      <c r="R4187">
        <v>-0.25287700000000002</v>
      </c>
      <c r="S4187">
        <v>2.7470089999999998</v>
      </c>
      <c r="T4187">
        <v>-4.2428609999999999E-2</v>
      </c>
      <c r="U4187">
        <v>-1.382217</v>
      </c>
      <c r="V4187">
        <v>5.5107389999999999E-2</v>
      </c>
      <c r="W4187">
        <v>2.6943109999999999E-2</v>
      </c>
      <c r="X4187">
        <v>0.99811689999999997</v>
      </c>
      <c r="Y4187">
        <v>0.26217600000000002</v>
      </c>
      <c r="Z4187">
        <v>9.4937319999999995E-4</v>
      </c>
      <c r="AA4187">
        <v>0.96501959999999998</v>
      </c>
      <c r="AB4187">
        <v>25</v>
      </c>
      <c r="AC4187">
        <v>34.194299999999998</v>
      </c>
      <c r="AD4187">
        <v>-0.53225679999999997</v>
      </c>
      <c r="AE4187">
        <v>-17.278600000000001</v>
      </c>
      <c r="AF4187">
        <v>10.105646456176601</v>
      </c>
      <c r="AG4187">
        <v>-0.53225679999999997</v>
      </c>
      <c r="AH4187">
        <v>36.947390294096202</v>
      </c>
      <c r="AI4187">
        <v>90.796097479910898</v>
      </c>
      <c r="AJ4187">
        <v>74.7029082915532</v>
      </c>
      <c r="AK4187">
        <v>38.308184988885301</v>
      </c>
      <c r="AL4187">
        <v>88.456086754313503</v>
      </c>
      <c r="AM4187">
        <v>86.839830612120295</v>
      </c>
      <c r="AN4187">
        <v>1.0000000508373399</v>
      </c>
    </row>
    <row r="4188" spans="1:40" x14ac:dyDescent="0.25">
      <c r="A4188" t="str">
        <f>"20190312160727102"</f>
        <v>20190312160727102</v>
      </c>
      <c r="B4188" t="str">
        <f>"1552378047089107"</f>
        <v>1552378047089107</v>
      </c>
      <c r="C4188" t="s">
        <v>40</v>
      </c>
      <c r="D4188">
        <v>5.7330730000000001</v>
      </c>
      <c r="E4188">
        <v>0.58476269999999997</v>
      </c>
      <c r="F4188" t="s">
        <v>51</v>
      </c>
      <c r="G4188">
        <v>-168.4143</v>
      </c>
      <c r="H4188">
        <v>0.84067250000000004</v>
      </c>
      <c r="I4188">
        <v>195.67910000000001</v>
      </c>
      <c r="J4188">
        <v>-202.38890000000001</v>
      </c>
      <c r="K4188">
        <v>1.105057</v>
      </c>
      <c r="L4188">
        <v>213.33629999999999</v>
      </c>
      <c r="M4188">
        <v>0.97816590000000003</v>
      </c>
      <c r="N4188">
        <v>0</v>
      </c>
      <c r="O4188">
        <v>-0.20673720000000001</v>
      </c>
      <c r="P4188">
        <v>0.96516360000000001</v>
      </c>
      <c r="Q4188">
        <v>6.1615630000000001E-3</v>
      </c>
      <c r="R4188">
        <v>-0.26157530000000001</v>
      </c>
      <c r="S4188">
        <v>2.7312159999999999</v>
      </c>
      <c r="T4188">
        <v>-2.1120429999999999E-2</v>
      </c>
      <c r="U4188">
        <v>-1.414612</v>
      </c>
      <c r="V4188">
        <v>5.6718030000000003E-2</v>
      </c>
      <c r="W4188">
        <v>2.6575120000000001E-2</v>
      </c>
      <c r="X4188">
        <v>0.99803649999999999</v>
      </c>
      <c r="Y4188">
        <v>0.26635540000000002</v>
      </c>
      <c r="Z4188">
        <v>5.0872510000000005E-4</v>
      </c>
      <c r="AA4188">
        <v>0.96387480000000003</v>
      </c>
      <c r="AB4188">
        <v>25</v>
      </c>
      <c r="AC4188">
        <v>33.974600000000002</v>
      </c>
      <c r="AD4188">
        <v>-0.26438449999999902</v>
      </c>
      <c r="AE4188">
        <v>-17.6571999999999</v>
      </c>
      <c r="AF4188">
        <v>10.2496812748842</v>
      </c>
      <c r="AG4188">
        <v>-0.26438449999999902</v>
      </c>
      <c r="AH4188">
        <v>36.889760129784598</v>
      </c>
      <c r="AI4188">
        <v>90.3956380126384</v>
      </c>
      <c r="AJ4188">
        <v>74.4722472744117</v>
      </c>
      <c r="AK4188">
        <v>38.288121759020697</v>
      </c>
      <c r="AL4188">
        <v>88.477178523347106</v>
      </c>
      <c r="AM4188">
        <v>86.747401437880697</v>
      </c>
      <c r="AN4188">
        <v>1.00000001363117</v>
      </c>
    </row>
    <row r="4189" spans="1:40" x14ac:dyDescent="0.25">
      <c r="A4189" t="str">
        <f>"20190312160727125"</f>
        <v>20190312160727125</v>
      </c>
      <c r="B4189" t="str">
        <f>"1552378047119366"</f>
        <v>1552378047119366</v>
      </c>
      <c r="C4189" t="s">
        <v>40</v>
      </c>
      <c r="D4189">
        <v>5.7858280000000004</v>
      </c>
      <c r="E4189">
        <v>0.58539830000000004</v>
      </c>
      <c r="F4189" t="s">
        <v>51</v>
      </c>
      <c r="G4189">
        <v>-168.4145</v>
      </c>
      <c r="H4189">
        <v>0.96062179999999997</v>
      </c>
      <c r="I4189">
        <v>195.3717</v>
      </c>
      <c r="J4189">
        <v>-202.15049999999999</v>
      </c>
      <c r="K4189">
        <v>1.104978</v>
      </c>
      <c r="L4189">
        <v>213.27610000000001</v>
      </c>
      <c r="M4189">
        <v>0.97642649999999998</v>
      </c>
      <c r="N4189">
        <v>0</v>
      </c>
      <c r="O4189">
        <v>-0.2148014</v>
      </c>
      <c r="P4189">
        <v>0.96263620000000005</v>
      </c>
      <c r="Q4189">
        <v>5.9600089999999996E-3</v>
      </c>
      <c r="R4189">
        <v>-0.2707329</v>
      </c>
      <c r="S4189">
        <v>2.7187350000000001</v>
      </c>
      <c r="T4189">
        <v>-1.155543E-2</v>
      </c>
      <c r="U4189">
        <v>-1.437576</v>
      </c>
      <c r="V4189">
        <v>5.7966879999999998E-2</v>
      </c>
      <c r="W4189">
        <v>2.635871E-2</v>
      </c>
      <c r="X4189">
        <v>0.99797049999999998</v>
      </c>
      <c r="Y4189">
        <v>0.26659329999999998</v>
      </c>
      <c r="Z4189">
        <v>3.091058E-4</v>
      </c>
      <c r="AA4189">
        <v>0.96380909999999997</v>
      </c>
      <c r="AB4189">
        <v>25</v>
      </c>
      <c r="AC4189">
        <v>33.735999999999898</v>
      </c>
      <c r="AD4189">
        <v>-0.14435619999999899</v>
      </c>
      <c r="AE4189">
        <v>-17.904399999999999</v>
      </c>
      <c r="AF4189">
        <v>10.237956611019399</v>
      </c>
      <c r="AG4189">
        <v>-0.14435619999999899</v>
      </c>
      <c r="AH4189">
        <v>36.794399074573903</v>
      </c>
      <c r="AI4189">
        <v>90.216561582455697</v>
      </c>
      <c r="AJ4189">
        <v>74.450896606819597</v>
      </c>
      <c r="AK4189">
        <v>38.192465193289102</v>
      </c>
      <c r="AL4189">
        <v>88.489582272454896</v>
      </c>
      <c r="AM4189">
        <v>86.675723392435003</v>
      </c>
      <c r="AN4189">
        <v>1.00000002982002</v>
      </c>
    </row>
    <row r="4190" spans="1:40" x14ac:dyDescent="0.25">
      <c r="A4190" t="str">
        <f>"20190312160727147"</f>
        <v>20190312160727147</v>
      </c>
      <c r="B4190" t="str">
        <f>"1552378047139858"</f>
        <v>1552378047139858</v>
      </c>
      <c r="C4190" t="s">
        <v>40</v>
      </c>
      <c r="D4190">
        <v>5.9712199999999998</v>
      </c>
      <c r="E4190">
        <v>0.58521789999999996</v>
      </c>
      <c r="F4190" t="s">
        <v>51</v>
      </c>
      <c r="G4190">
        <v>-168.41460000000001</v>
      </c>
      <c r="H4190">
        <v>0.93138980000000005</v>
      </c>
      <c r="I4190">
        <v>194.9547</v>
      </c>
      <c r="J4190">
        <v>-201.9014</v>
      </c>
      <c r="K4190">
        <v>1.1049070000000001</v>
      </c>
      <c r="L4190">
        <v>213.21080000000001</v>
      </c>
      <c r="M4190">
        <v>0.97448210000000002</v>
      </c>
      <c r="N4190">
        <v>0</v>
      </c>
      <c r="O4190">
        <v>-0.2234555</v>
      </c>
      <c r="P4190">
        <v>0.95971090000000003</v>
      </c>
      <c r="Q4190">
        <v>6.1906869999999899E-3</v>
      </c>
      <c r="R4190">
        <v>-0.2809217</v>
      </c>
      <c r="S4190">
        <v>2.7035830000000001</v>
      </c>
      <c r="T4190">
        <v>-1.390862E-2</v>
      </c>
      <c r="U4190">
        <v>-1.4682770000000001</v>
      </c>
      <c r="V4190">
        <v>5.9701049999999999E-2</v>
      </c>
      <c r="W4190">
        <v>2.656654E-2</v>
      </c>
      <c r="X4190">
        <v>0.99786269999999999</v>
      </c>
      <c r="Y4190">
        <v>0.26876309999999998</v>
      </c>
      <c r="Z4190">
        <v>4.0718660000000002E-4</v>
      </c>
      <c r="AA4190">
        <v>0.96320620000000001</v>
      </c>
      <c r="AB4190">
        <v>25</v>
      </c>
      <c r="AC4190">
        <v>33.486799999999903</v>
      </c>
      <c r="AD4190">
        <v>-0.17351719999999901</v>
      </c>
      <c r="AE4190">
        <v>-18.2561</v>
      </c>
      <c r="AF4190">
        <v>10.309551337147999</v>
      </c>
      <c r="AG4190">
        <v>-0.17351719999999901</v>
      </c>
      <c r="AH4190">
        <v>36.719257864352201</v>
      </c>
      <c r="AI4190">
        <v>90.260670422991694</v>
      </c>
      <c r="AJ4190">
        <v>74.317017238035902</v>
      </c>
      <c r="AK4190">
        <v>38.139492066633203</v>
      </c>
      <c r="AL4190">
        <v>88.477670246950197</v>
      </c>
      <c r="AM4190">
        <v>86.576136603615694</v>
      </c>
      <c r="AN4190">
        <v>0.99999998223498099</v>
      </c>
    </row>
    <row r="4191" spans="1:40" x14ac:dyDescent="0.25">
      <c r="A4191" t="str">
        <f>"20190312160727169"</f>
        <v>20190312160727169</v>
      </c>
      <c r="B4191" t="str">
        <f>"1552378047159378"</f>
        <v>1552378047159378</v>
      </c>
      <c r="C4191" t="s">
        <v>40</v>
      </c>
      <c r="D4191">
        <v>5.9953450000000004</v>
      </c>
      <c r="E4191">
        <v>0.58570219999999995</v>
      </c>
      <c r="F4191" t="s">
        <v>51</v>
      </c>
      <c r="G4191">
        <v>-168.41470000000001</v>
      </c>
      <c r="H4191">
        <v>0.93768119999999999</v>
      </c>
      <c r="I4191">
        <v>194.5805</v>
      </c>
      <c r="J4191">
        <v>-201.67230000000001</v>
      </c>
      <c r="K4191">
        <v>1.1048279999999999</v>
      </c>
      <c r="L4191">
        <v>213.14830000000001</v>
      </c>
      <c r="M4191">
        <v>0.97257059999999995</v>
      </c>
      <c r="N4191">
        <v>0</v>
      </c>
      <c r="O4191">
        <v>-0.23163239999999999</v>
      </c>
      <c r="P4191">
        <v>0.95696369999999997</v>
      </c>
      <c r="Q4191">
        <v>6.2236449999999999E-3</v>
      </c>
      <c r="R4191">
        <v>-0.29014139999999999</v>
      </c>
      <c r="S4191">
        <v>2.6882480000000002</v>
      </c>
      <c r="T4191">
        <v>-1.3421890000000001E-2</v>
      </c>
      <c r="U4191">
        <v>-1.4956050000000001</v>
      </c>
      <c r="V4191">
        <v>6.0926080000000001E-2</v>
      </c>
      <c r="W4191">
        <v>2.658466E-2</v>
      </c>
      <c r="X4191">
        <v>0.99778820000000001</v>
      </c>
      <c r="Y4191">
        <v>0.27048359999999999</v>
      </c>
      <c r="Z4191">
        <v>4.259353E-4</v>
      </c>
      <c r="AA4191">
        <v>0.96272449999999998</v>
      </c>
      <c r="AB4191">
        <v>25</v>
      </c>
      <c r="AC4191">
        <v>33.257599999999996</v>
      </c>
      <c r="AD4191">
        <v>-0.16714680000000001</v>
      </c>
      <c r="AE4191">
        <v>-18.567799999999998</v>
      </c>
      <c r="AF4191">
        <v>10.357104704229201</v>
      </c>
      <c r="AG4191">
        <v>-0.16714680000000001</v>
      </c>
      <c r="AH4191">
        <v>36.653862855830901</v>
      </c>
      <c r="AI4191">
        <v>90.251430429738704</v>
      </c>
      <c r="AJ4191">
        <v>74.221556519558007</v>
      </c>
      <c r="AK4191">
        <v>38.089410840300197</v>
      </c>
      <c r="AL4191">
        <v>88.476631725511993</v>
      </c>
      <c r="AM4191">
        <v>86.505793034720696</v>
      </c>
      <c r="AN4191">
        <v>1.00000001171536</v>
      </c>
    </row>
    <row r="4192" spans="1:40" x14ac:dyDescent="0.25">
      <c r="A4192" t="str">
        <f>"20190312160727191"</f>
        <v>20190312160727191</v>
      </c>
      <c r="B4192" t="str">
        <f>"1552378047179874"</f>
        <v>1552378047179874</v>
      </c>
      <c r="C4192" t="s">
        <v>40</v>
      </c>
      <c r="D4192">
        <v>5.9296439999999997</v>
      </c>
      <c r="E4192">
        <v>0.5860824</v>
      </c>
      <c r="F4192" t="s">
        <v>51</v>
      </c>
      <c r="G4192">
        <v>-168.41489999999999</v>
      </c>
      <c r="H4192">
        <v>0.91909030000000003</v>
      </c>
      <c r="I4192">
        <v>194.1703</v>
      </c>
      <c r="J4192">
        <v>-201.43530000000001</v>
      </c>
      <c r="K4192">
        <v>1.1047469999999999</v>
      </c>
      <c r="L4192">
        <v>213.0813</v>
      </c>
      <c r="M4192">
        <v>0.97046299999999996</v>
      </c>
      <c r="N4192">
        <v>0</v>
      </c>
      <c r="O4192">
        <v>-0.2403082</v>
      </c>
      <c r="P4192">
        <v>0.95404149999999999</v>
      </c>
      <c r="Q4192">
        <v>5.7503540000000001E-3</v>
      </c>
      <c r="R4192">
        <v>-0.29962040000000001</v>
      </c>
      <c r="S4192">
        <v>2.6726070000000002</v>
      </c>
      <c r="T4192">
        <v>-1.492345E-2</v>
      </c>
      <c r="U4192">
        <v>-1.525101</v>
      </c>
      <c r="V4192">
        <v>6.1912479999999999E-2</v>
      </c>
      <c r="W4192">
        <v>2.610036E-2</v>
      </c>
      <c r="X4192">
        <v>0.99774030000000002</v>
      </c>
      <c r="Y4192">
        <v>0.27232909999999999</v>
      </c>
      <c r="Z4192">
        <v>5.1234860000000002E-4</v>
      </c>
      <c r="AA4192">
        <v>0.96220399999999995</v>
      </c>
      <c r="AB4192">
        <v>25</v>
      </c>
      <c r="AC4192">
        <v>33.020400000000002</v>
      </c>
      <c r="AD4192">
        <v>-0.18565669999999901</v>
      </c>
      <c r="AE4192">
        <v>-18.910999999999898</v>
      </c>
      <c r="AF4192">
        <v>10.419467993530599</v>
      </c>
      <c r="AG4192">
        <v>-0.18565669999999901</v>
      </c>
      <c r="AH4192">
        <v>36.5969737756105</v>
      </c>
      <c r="AI4192">
        <v>90.279550297354305</v>
      </c>
      <c r="AJ4192">
        <v>74.107898483980804</v>
      </c>
      <c r="AK4192">
        <v>38.0517840739588</v>
      </c>
      <c r="AL4192">
        <v>88.504389754118904</v>
      </c>
      <c r="AM4192">
        <v>86.449194987196407</v>
      </c>
      <c r="AN4192">
        <v>1.00000004510798</v>
      </c>
    </row>
    <row r="4193" spans="1:40" x14ac:dyDescent="0.25">
      <c r="A4193" t="str">
        <f>"20190312160727214"</f>
        <v>20190312160727214</v>
      </c>
      <c r="B4193" t="str">
        <f>"1552378047209154"</f>
        <v>1552378047209154</v>
      </c>
      <c r="C4193" t="s">
        <v>40</v>
      </c>
      <c r="D4193">
        <v>5.164752</v>
      </c>
      <c r="E4193">
        <v>0.58596859999999995</v>
      </c>
      <c r="F4193" t="s">
        <v>51</v>
      </c>
      <c r="G4193">
        <v>-168.41499999999999</v>
      </c>
      <c r="H4193">
        <v>0.86556429999999995</v>
      </c>
      <c r="I4193">
        <v>193.75720000000001</v>
      </c>
      <c r="J4193">
        <v>-201.19839999999999</v>
      </c>
      <c r="K4193">
        <v>1.104652</v>
      </c>
      <c r="L4193">
        <v>213.01169999999999</v>
      </c>
      <c r="M4193">
        <v>0.96821199999999996</v>
      </c>
      <c r="N4193">
        <v>0</v>
      </c>
      <c r="O4193">
        <v>-0.2492209</v>
      </c>
      <c r="P4193">
        <v>0.95086420000000005</v>
      </c>
      <c r="Q4193">
        <v>5.7207639999999997E-3</v>
      </c>
      <c r="R4193">
        <v>-0.309556099999999</v>
      </c>
      <c r="S4193">
        <v>2.6564179999999999</v>
      </c>
      <c r="T4193">
        <v>-1.9238950000000001E-2</v>
      </c>
      <c r="U4193">
        <v>-1.554581</v>
      </c>
      <c r="V4193">
        <v>6.3152780000000006E-2</v>
      </c>
      <c r="W4193">
        <v>2.6054600000000001E-2</v>
      </c>
      <c r="X4193">
        <v>0.99766370000000004</v>
      </c>
      <c r="Y4193">
        <v>0.27399440000000003</v>
      </c>
      <c r="Z4193">
        <v>7.1268229999999996E-4</v>
      </c>
      <c r="AA4193">
        <v>0.961731</v>
      </c>
      <c r="AB4193">
        <v>24</v>
      </c>
      <c r="AC4193">
        <v>32.7834</v>
      </c>
      <c r="AD4193">
        <v>-0.23908769999999999</v>
      </c>
      <c r="AE4193">
        <v>-19.254499999999901</v>
      </c>
      <c r="AF4193">
        <v>10.474095719663801</v>
      </c>
      <c r="AG4193">
        <v>-0.23908769999999999</v>
      </c>
      <c r="AH4193">
        <v>36.546765733646403</v>
      </c>
      <c r="AI4193">
        <v>90.360316547554504</v>
      </c>
      <c r="AJ4193">
        <v>74.0079977894938</v>
      </c>
      <c r="AK4193">
        <v>38.018810208408802</v>
      </c>
      <c r="AL4193">
        <v>88.507012414103599</v>
      </c>
      <c r="AM4193">
        <v>86.377971439502701</v>
      </c>
      <c r="AN4193">
        <v>0.99999998705028903</v>
      </c>
    </row>
    <row r="4194" spans="1:40" x14ac:dyDescent="0.25">
      <c r="A4194" t="str">
        <f>"20190312160727237"</f>
        <v>20190312160727237</v>
      </c>
      <c r="B4194" t="str">
        <f>"1552378047229653"</f>
        <v>1552378047229653</v>
      </c>
      <c r="C4194" t="s">
        <v>40</v>
      </c>
      <c r="D4194">
        <v>5.9910809999999897</v>
      </c>
      <c r="E4194">
        <v>0.58532340000000005</v>
      </c>
      <c r="F4194" t="s">
        <v>51</v>
      </c>
      <c r="G4194">
        <v>-168.4151</v>
      </c>
      <c r="H4194">
        <v>0.859128</v>
      </c>
      <c r="I4194">
        <v>193.37809999999999</v>
      </c>
      <c r="J4194">
        <v>-200.964</v>
      </c>
      <c r="K4194">
        <v>1.104562</v>
      </c>
      <c r="L4194">
        <v>212.94</v>
      </c>
      <c r="M4194">
        <v>0.96582579999999996</v>
      </c>
      <c r="N4194">
        <v>0</v>
      </c>
      <c r="O4194">
        <v>-0.2583125</v>
      </c>
      <c r="P4194">
        <v>0.94762360000000001</v>
      </c>
      <c r="Q4194">
        <v>5.4926419999999998E-3</v>
      </c>
      <c r="R4194">
        <v>-0.31934279999999998</v>
      </c>
      <c r="S4194">
        <v>2.6403810000000001</v>
      </c>
      <c r="T4194">
        <v>-1.977193E-2</v>
      </c>
      <c r="U4194">
        <v>-1.581299</v>
      </c>
      <c r="V4194">
        <v>6.4061519999999997E-2</v>
      </c>
      <c r="W4194">
        <v>2.5816740000000001E-2</v>
      </c>
      <c r="X4194">
        <v>0.9976119</v>
      </c>
      <c r="Y4194">
        <v>0.27468959999999998</v>
      </c>
      <c r="Z4194">
        <v>7.9074509999999996E-4</v>
      </c>
      <c r="AA4194">
        <v>0.96153259999999996</v>
      </c>
      <c r="AB4194">
        <v>24</v>
      </c>
      <c r="AC4194">
        <v>32.548900000000003</v>
      </c>
      <c r="AD4194">
        <v>-0.24543400000000001</v>
      </c>
      <c r="AE4194">
        <v>-19.561900000000001</v>
      </c>
      <c r="AF4194">
        <v>10.4875491246035</v>
      </c>
      <c r="AG4194">
        <v>-0.24543400000000001</v>
      </c>
      <c r="AH4194">
        <v>36.496433634404198</v>
      </c>
      <c r="AI4194">
        <v>90.370315542184997</v>
      </c>
      <c r="AJ4194">
        <v>73.967561752462004</v>
      </c>
      <c r="AK4194">
        <v>37.9741832370336</v>
      </c>
      <c r="AL4194">
        <v>88.520645308763505</v>
      </c>
      <c r="AM4194">
        <v>86.325803581612405</v>
      </c>
      <c r="AN4194">
        <v>0.99999994271527204</v>
      </c>
    </row>
    <row r="4195" spans="1:40" x14ac:dyDescent="0.25">
      <c r="A4195" t="str">
        <f>"20190312160727258"</f>
        <v>20190312160727258</v>
      </c>
      <c r="B4195" t="str">
        <f>"1552378047249171"</f>
        <v>1552378047249171</v>
      </c>
      <c r="C4195" t="s">
        <v>40</v>
      </c>
      <c r="D4195">
        <v>5.9468990000000002</v>
      </c>
      <c r="E4195">
        <v>0.58527209999999996</v>
      </c>
      <c r="F4195" t="s">
        <v>51</v>
      </c>
      <c r="G4195">
        <v>-168.4152</v>
      </c>
      <c r="H4195">
        <v>0.87466999999999995</v>
      </c>
      <c r="I4195">
        <v>193.0633</v>
      </c>
      <c r="J4195">
        <v>-200.72900000000001</v>
      </c>
      <c r="K4195">
        <v>1.104474</v>
      </c>
      <c r="L4195">
        <v>212.86529999999999</v>
      </c>
      <c r="M4195">
        <v>0.96327010000000002</v>
      </c>
      <c r="N4195">
        <v>0</v>
      </c>
      <c r="O4195">
        <v>-0.26768380000000003</v>
      </c>
      <c r="P4195">
        <v>0.94431259999999995</v>
      </c>
      <c r="Q4195">
        <v>5.6953400000000001E-3</v>
      </c>
      <c r="R4195">
        <v>-0.32900159999999901</v>
      </c>
      <c r="S4195">
        <v>2.62561</v>
      </c>
      <c r="T4195">
        <v>-1.8542050000000001E-2</v>
      </c>
      <c r="U4195">
        <v>-1.603394</v>
      </c>
      <c r="V4195">
        <v>6.4564479999999994E-2</v>
      </c>
      <c r="W4195">
        <v>2.6017419999999999E-2</v>
      </c>
      <c r="X4195">
        <v>0.99757430000000002</v>
      </c>
      <c r="Y4195">
        <v>0.2736441</v>
      </c>
      <c r="Z4195">
        <v>8.0371939999999997E-4</v>
      </c>
      <c r="AA4195">
        <v>0.96183070000000004</v>
      </c>
      <c r="AB4195">
        <v>24</v>
      </c>
      <c r="AC4195">
        <v>32.313800000000001</v>
      </c>
      <c r="AD4195">
        <v>-0.22980399999999901</v>
      </c>
      <c r="AE4195">
        <v>-19.8019999999999</v>
      </c>
      <c r="AF4195">
        <v>10.426788547407799</v>
      </c>
      <c r="AG4195">
        <v>-0.22980399999999901</v>
      </c>
      <c r="AH4195">
        <v>36.434562452370102</v>
      </c>
      <c r="AI4195">
        <v>90.347430665800601</v>
      </c>
      <c r="AJ4195">
        <v>74.030016786589599</v>
      </c>
      <c r="AK4195">
        <v>37.897863665204603</v>
      </c>
      <c r="AL4195">
        <v>88.5091433847617</v>
      </c>
      <c r="AM4195">
        <v>86.296897486488305</v>
      </c>
      <c r="AN4195">
        <v>0.99999998112080801</v>
      </c>
    </row>
    <row r="4196" spans="1:40" x14ac:dyDescent="0.25">
      <c r="A4196" t="str">
        <f>"20190312160727281"</f>
        <v>20190312160727281</v>
      </c>
      <c r="B4196" t="str">
        <f>"1552378047269666"</f>
        <v>1552378047269666</v>
      </c>
      <c r="C4196" t="s">
        <v>40</v>
      </c>
      <c r="D4196">
        <v>5.967174</v>
      </c>
      <c r="E4196">
        <v>0.58497010000000005</v>
      </c>
      <c r="F4196" t="s">
        <v>51</v>
      </c>
      <c r="G4196">
        <v>-168.4153</v>
      </c>
      <c r="H4196">
        <v>0.81131030000000004</v>
      </c>
      <c r="I4196">
        <v>192.67959999999999</v>
      </c>
      <c r="J4196">
        <v>-200.5026</v>
      </c>
      <c r="K4196">
        <v>1.104406</v>
      </c>
      <c r="L4196">
        <v>212.79069999999999</v>
      </c>
      <c r="M4196">
        <v>0.96065219999999996</v>
      </c>
      <c r="N4196">
        <v>0</v>
      </c>
      <c r="O4196">
        <v>-0.27692990000000001</v>
      </c>
      <c r="P4196">
        <v>0.94085359999999996</v>
      </c>
      <c r="Q4196">
        <v>5.813833E-3</v>
      </c>
      <c r="R4196">
        <v>-0.3387638</v>
      </c>
      <c r="S4196">
        <v>2.6092070000000001</v>
      </c>
      <c r="T4196">
        <v>-2.3669119999999998E-2</v>
      </c>
      <c r="U4196">
        <v>-1.6299129999999999</v>
      </c>
      <c r="V4196">
        <v>6.5314839999999999E-2</v>
      </c>
      <c r="W4196">
        <v>2.6132300000000001E-2</v>
      </c>
      <c r="X4196">
        <v>0.99752249999999998</v>
      </c>
      <c r="Y4196">
        <v>0.27414830000000001</v>
      </c>
      <c r="Z4196">
        <v>1.0979430000000001E-3</v>
      </c>
      <c r="AA4196">
        <v>0.96168679999999995</v>
      </c>
      <c r="AB4196">
        <v>24</v>
      </c>
      <c r="AC4196">
        <v>32.087299999999999</v>
      </c>
      <c r="AD4196">
        <v>-0.29309570000000001</v>
      </c>
      <c r="AE4196">
        <v>-20.1111</v>
      </c>
      <c r="AF4196">
        <v>10.435600442590699</v>
      </c>
      <c r="AG4196">
        <v>-0.29309570000000001</v>
      </c>
      <c r="AH4196">
        <v>36.400241938217498</v>
      </c>
      <c r="AI4196">
        <v>90.443472912858894</v>
      </c>
      <c r="AJ4196">
        <v>74.002910377614995</v>
      </c>
      <c r="AK4196">
        <v>37.867733954483299</v>
      </c>
      <c r="AL4196">
        <v>88.502559082530794</v>
      </c>
      <c r="AM4196">
        <v>86.253788376420104</v>
      </c>
      <c r="AN4196">
        <v>1.00000003171688</v>
      </c>
    </row>
    <row r="4197" spans="1:40" x14ac:dyDescent="0.25">
      <c r="A4197" t="str">
        <f>"20190312160727303"</f>
        <v>20190312160727303</v>
      </c>
      <c r="B4197" t="str">
        <f>"1552378047299923"</f>
        <v>1552378047299923</v>
      </c>
      <c r="C4197" t="s">
        <v>40</v>
      </c>
      <c r="D4197">
        <v>5.9477529999999996</v>
      </c>
      <c r="E4197">
        <v>0.58462389999999997</v>
      </c>
      <c r="F4197" t="s">
        <v>51</v>
      </c>
      <c r="G4197">
        <v>-168.41540000000001</v>
      </c>
      <c r="H4197">
        <v>0.72975349999999894</v>
      </c>
      <c r="I4197">
        <v>192.31450000000001</v>
      </c>
      <c r="J4197">
        <v>-200.27269999999999</v>
      </c>
      <c r="K4197">
        <v>1.1043540000000001</v>
      </c>
      <c r="L4197">
        <v>212.7122</v>
      </c>
      <c r="M4197">
        <v>0.95783099999999999</v>
      </c>
      <c r="N4197">
        <v>0</v>
      </c>
      <c r="O4197">
        <v>-0.28653410000000001</v>
      </c>
      <c r="P4197">
        <v>0.9372123</v>
      </c>
      <c r="Q4197">
        <v>5.8824180000000004E-3</v>
      </c>
      <c r="R4197">
        <v>-0.34870970000000001</v>
      </c>
      <c r="S4197">
        <v>2.5929869999999999</v>
      </c>
      <c r="T4197">
        <v>-3.02732E-2</v>
      </c>
      <c r="U4197">
        <v>-1.6546940000000001</v>
      </c>
      <c r="V4197">
        <v>6.5897940000000002E-2</v>
      </c>
      <c r="W4197">
        <v>2.6200459999999998E-2</v>
      </c>
      <c r="X4197">
        <v>0.99748230000000004</v>
      </c>
      <c r="Y4197">
        <v>0.27377750000000001</v>
      </c>
      <c r="Z4197">
        <v>1.504771E-3</v>
      </c>
      <c r="AA4197">
        <v>0.96179190000000003</v>
      </c>
      <c r="AB4197">
        <v>24</v>
      </c>
      <c r="AC4197">
        <v>31.857299999999899</v>
      </c>
      <c r="AD4197">
        <v>-0.3746005</v>
      </c>
      <c r="AE4197">
        <v>-20.397699999999901</v>
      </c>
      <c r="AF4197">
        <v>10.4107101665888</v>
      </c>
      <c r="AG4197">
        <v>-0.3746005</v>
      </c>
      <c r="AH4197">
        <v>36.363308878806301</v>
      </c>
      <c r="AI4197">
        <v>90.567422532937002</v>
      </c>
      <c r="AJ4197">
        <v>74.023735846940696</v>
      </c>
      <c r="AK4197">
        <v>37.826094753791203</v>
      </c>
      <c r="AL4197">
        <v>88.498652373084695</v>
      </c>
      <c r="AM4197">
        <v>86.220288601089905</v>
      </c>
      <c r="AN4197">
        <v>0.99999997070687197</v>
      </c>
    </row>
    <row r="4198" spans="1:40" x14ac:dyDescent="0.25">
      <c r="A4198" t="str">
        <f>"20190312160727326"</f>
        <v>20190312160727326</v>
      </c>
      <c r="B4198" t="str">
        <f>"1552378047318974"</f>
        <v>1552378047318974</v>
      </c>
      <c r="C4198" t="s">
        <v>40</v>
      </c>
      <c r="D4198">
        <v>5.9593660000000002</v>
      </c>
      <c r="E4198">
        <v>0.584142099999999</v>
      </c>
      <c r="F4198" t="s">
        <v>51</v>
      </c>
      <c r="G4198">
        <v>-168.41550000000001</v>
      </c>
      <c r="H4198">
        <v>0.59132150000000006</v>
      </c>
      <c r="I4198">
        <v>191.94290000000001</v>
      </c>
      <c r="J4198">
        <v>-200.0489</v>
      </c>
      <c r="K4198">
        <v>1.1043050000000001</v>
      </c>
      <c r="L4198">
        <v>212.63300000000001</v>
      </c>
      <c r="M4198">
        <v>0.95491669999999995</v>
      </c>
      <c r="N4198">
        <v>0</v>
      </c>
      <c r="O4198">
        <v>-0.296101</v>
      </c>
      <c r="P4198">
        <v>0.93350750000000005</v>
      </c>
      <c r="Q4198">
        <v>5.9036059999999996E-3</v>
      </c>
      <c r="R4198">
        <v>-0.35850959999999898</v>
      </c>
      <c r="S4198">
        <v>2.5762939999999999</v>
      </c>
      <c r="T4198">
        <v>-4.1486259999999997E-2</v>
      </c>
      <c r="U4198">
        <v>-1.679611</v>
      </c>
      <c r="V4198">
        <v>6.6374509999999998E-2</v>
      </c>
      <c r="W4198">
        <v>2.6221910000000001E-2</v>
      </c>
      <c r="X4198">
        <v>0.99745019999999995</v>
      </c>
      <c r="Y4198">
        <v>0.27353490000000003</v>
      </c>
      <c r="Z4198">
        <v>2.1986549999999999E-3</v>
      </c>
      <c r="AA4198">
        <v>0.96185960000000004</v>
      </c>
      <c r="AB4198">
        <v>24</v>
      </c>
      <c r="AC4198">
        <v>31.633399999999899</v>
      </c>
      <c r="AD4198">
        <v>-0.51298349999999904</v>
      </c>
      <c r="AE4198">
        <v>-20.690099999999902</v>
      </c>
      <c r="AF4198">
        <v>10.3911085763838</v>
      </c>
      <c r="AG4198">
        <v>-0.51298349999999904</v>
      </c>
      <c r="AH4198">
        <v>36.335257496680498</v>
      </c>
      <c r="AI4198">
        <v>90.777679908481204</v>
      </c>
      <c r="AJ4198">
        <v>74.040600280106503</v>
      </c>
      <c r="AK4198">
        <v>37.795359858950199</v>
      </c>
      <c r="AL4198">
        <v>88.497423049522197</v>
      </c>
      <c r="AM4198">
        <v>86.1929118897813</v>
      </c>
      <c r="AN4198">
        <v>1.00000003281091</v>
      </c>
    </row>
    <row r="4199" spans="1:40" x14ac:dyDescent="0.25">
      <c r="A4199" t="str">
        <f>"20190312160727348"</f>
        <v>20190312160727348</v>
      </c>
      <c r="B4199" t="str">
        <f>"1552378047339470"</f>
        <v>1552378047339470</v>
      </c>
      <c r="C4199" t="s">
        <v>40</v>
      </c>
      <c r="D4199">
        <v>5.9268299999999998</v>
      </c>
      <c r="E4199">
        <v>0.58373350000000002</v>
      </c>
      <c r="F4199" t="s">
        <v>51</v>
      </c>
      <c r="G4199">
        <v>-168.41560000000001</v>
      </c>
      <c r="H4199">
        <v>0.52872989999999997</v>
      </c>
      <c r="I4199">
        <v>191.5864</v>
      </c>
      <c r="J4199">
        <v>-199.8348</v>
      </c>
      <c r="K4199">
        <v>1.104249</v>
      </c>
      <c r="L4199">
        <v>212.55459999999999</v>
      </c>
      <c r="M4199">
        <v>0.95196179999999997</v>
      </c>
      <c r="N4199">
        <v>0</v>
      </c>
      <c r="O4199">
        <v>-0.3054655</v>
      </c>
      <c r="P4199">
        <v>0.92956139999999998</v>
      </c>
      <c r="Q4199">
        <v>5.4123030000000003E-3</v>
      </c>
      <c r="R4199">
        <v>-0.36862810000000001</v>
      </c>
      <c r="S4199">
        <v>2.5599059999999998</v>
      </c>
      <c r="T4199">
        <v>-4.6575310000000002E-2</v>
      </c>
      <c r="U4199">
        <v>-1.7031860000000001</v>
      </c>
      <c r="V4199">
        <v>6.7406599999999997E-2</v>
      </c>
      <c r="W4199">
        <v>2.5721879999999999E-2</v>
      </c>
      <c r="X4199">
        <v>0.997394</v>
      </c>
      <c r="Y4199">
        <v>0.2730667</v>
      </c>
      <c r="Z4199">
        <v>2.6205999999999998E-3</v>
      </c>
      <c r="AA4199">
        <v>0.9619915</v>
      </c>
      <c r="AB4199">
        <v>23</v>
      </c>
      <c r="AC4199">
        <v>31.419199999999901</v>
      </c>
      <c r="AD4199">
        <v>-0.57551909999999995</v>
      </c>
      <c r="AE4199">
        <v>-20.9682</v>
      </c>
      <c r="AF4199">
        <v>10.363420161900301</v>
      </c>
      <c r="AG4199">
        <v>-0.57551909999999995</v>
      </c>
      <c r="AH4199">
        <v>36.314857132524899</v>
      </c>
      <c r="AI4199">
        <v>90.873098436160703</v>
      </c>
      <c r="AJ4199">
        <v>74.072479279179902</v>
      </c>
      <c r="AK4199">
        <v>37.769042193868799</v>
      </c>
      <c r="AL4199">
        <v>88.526082318004896</v>
      </c>
      <c r="AM4199">
        <v>86.133674573614201</v>
      </c>
      <c r="AN4199">
        <v>1.00000002803514</v>
      </c>
    </row>
    <row r="4200" spans="1:40" x14ac:dyDescent="0.25">
      <c r="A4200" t="str">
        <f>"20190312160727369"</f>
        <v>20190312160727369</v>
      </c>
      <c r="B4200" t="str">
        <f>"1552378047358990"</f>
        <v>1552378047358990</v>
      </c>
      <c r="C4200" t="s">
        <v>40</v>
      </c>
      <c r="D4200">
        <v>5.8783159999999999</v>
      </c>
      <c r="E4200">
        <v>0.58331040000000001</v>
      </c>
      <c r="F4200" t="s">
        <v>51</v>
      </c>
      <c r="G4200">
        <v>-168.41569999999999</v>
      </c>
      <c r="H4200">
        <v>0.43013859999999898</v>
      </c>
      <c r="I4200">
        <v>191.2011</v>
      </c>
      <c r="J4200">
        <v>-199.61959999999999</v>
      </c>
      <c r="K4200">
        <v>1.104195</v>
      </c>
      <c r="L4200">
        <v>212.47319999999999</v>
      </c>
      <c r="M4200">
        <v>0.94882080000000002</v>
      </c>
      <c r="N4200">
        <v>0</v>
      </c>
      <c r="O4200">
        <v>-0.31508609999999998</v>
      </c>
      <c r="P4200">
        <v>0.92560690000000001</v>
      </c>
      <c r="Q4200">
        <v>4.7757889999999999E-3</v>
      </c>
      <c r="R4200">
        <v>-0.37845669999999998</v>
      </c>
      <c r="S4200">
        <v>2.5424039999999999</v>
      </c>
      <c r="T4200">
        <v>-5.4545639999999999E-2</v>
      </c>
      <c r="U4200">
        <v>-1.727905</v>
      </c>
      <c r="V4200">
        <v>6.7871119999999993E-2</v>
      </c>
      <c r="W4200">
        <v>2.5086460000000001E-2</v>
      </c>
      <c r="X4200">
        <v>0.9973786</v>
      </c>
      <c r="Y4200">
        <v>0.27280569999999998</v>
      </c>
      <c r="Z4200">
        <v>3.2505350000000001E-3</v>
      </c>
      <c r="AA4200">
        <v>0.96206369999999997</v>
      </c>
      <c r="AB4200">
        <v>23</v>
      </c>
      <c r="AC4200">
        <v>31.203900000000001</v>
      </c>
      <c r="AD4200">
        <v>-0.6740564</v>
      </c>
      <c r="AE4200">
        <v>-21.272099999999899</v>
      </c>
      <c r="AF4200">
        <v>10.350579144474899</v>
      </c>
      <c r="AG4200">
        <v>-0.6740564</v>
      </c>
      <c r="AH4200">
        <v>36.306237136188301</v>
      </c>
      <c r="AI4200">
        <v>91.022876111741198</v>
      </c>
      <c r="AJ4200">
        <v>74.087629321820998</v>
      </c>
      <c r="AK4200">
        <v>37.758862478172702</v>
      </c>
      <c r="AL4200">
        <v>88.562500836928294</v>
      </c>
      <c r="AM4200">
        <v>86.1070522346876</v>
      </c>
      <c r="AN4200">
        <v>0.99999994557167105</v>
      </c>
    </row>
    <row r="4201" spans="1:40" x14ac:dyDescent="0.25">
      <c r="A4201" t="str">
        <f>"20190312160727394"</f>
        <v>20190312160727394</v>
      </c>
      <c r="B4201" t="str">
        <f>"1552378047379486"</f>
        <v>1552378047379486</v>
      </c>
      <c r="C4201" t="s">
        <v>40</v>
      </c>
      <c r="D4201">
        <v>5.8711229999999999</v>
      </c>
      <c r="E4201">
        <v>0.5830864</v>
      </c>
      <c r="F4201" t="s">
        <v>51</v>
      </c>
      <c r="G4201">
        <v>-168.41579999999999</v>
      </c>
      <c r="H4201">
        <v>0.32754280000000002</v>
      </c>
      <c r="I4201">
        <v>190.8272</v>
      </c>
      <c r="J4201">
        <v>-199.40119999999999</v>
      </c>
      <c r="K4201">
        <v>1.104131</v>
      </c>
      <c r="L4201">
        <v>212.3877</v>
      </c>
      <c r="M4201">
        <v>0.9454496</v>
      </c>
      <c r="N4201">
        <v>0</v>
      </c>
      <c r="O4201">
        <v>-0.32506040000000003</v>
      </c>
      <c r="P4201">
        <v>0.92132899999999995</v>
      </c>
      <c r="Q4201">
        <v>4.0885510000000002E-3</v>
      </c>
      <c r="R4201">
        <v>-0.38876300000000003</v>
      </c>
      <c r="S4201">
        <v>2.5252080000000001</v>
      </c>
      <c r="T4201">
        <v>-6.2848929999999997E-2</v>
      </c>
      <c r="U4201">
        <v>-1.7517240000000001</v>
      </c>
      <c r="V4201">
        <v>6.8490499999999996E-2</v>
      </c>
      <c r="W4201">
        <v>2.4398590000000001E-2</v>
      </c>
      <c r="X4201">
        <v>0.99735339999999995</v>
      </c>
      <c r="Y4201">
        <v>0.27187050000000001</v>
      </c>
      <c r="Z4201">
        <v>3.9692529999999998E-3</v>
      </c>
      <c r="AA4201">
        <v>0.96232569999999995</v>
      </c>
      <c r="AB4201">
        <v>23</v>
      </c>
      <c r="AC4201">
        <v>30.985399999999998</v>
      </c>
      <c r="AD4201">
        <v>-0.77658819999999995</v>
      </c>
      <c r="AE4201">
        <v>-21.560499999999902</v>
      </c>
      <c r="AF4201">
        <v>10.3102526305782</v>
      </c>
      <c r="AG4201">
        <v>-0.77658819999999995</v>
      </c>
      <c r="AH4201">
        <v>36.296603848748397</v>
      </c>
      <c r="AI4201">
        <v>91.179060364010994</v>
      </c>
      <c r="AJ4201">
        <v>74.142507122618298</v>
      </c>
      <c r="AK4201">
        <v>37.7405332433407</v>
      </c>
      <c r="AL4201">
        <v>88.601925064197602</v>
      </c>
      <c r="AM4201">
        <v>86.071537657299501</v>
      </c>
      <c r="AN4201">
        <v>1.00000002213789</v>
      </c>
    </row>
    <row r="4202" spans="1:40" x14ac:dyDescent="0.25">
      <c r="A4202" t="str">
        <f>"20190312160727416"</f>
        <v>20190312160727416</v>
      </c>
      <c r="B4202" t="str">
        <f>"1552378047409743"</f>
        <v>1552378047409743</v>
      </c>
      <c r="C4202" t="s">
        <v>40</v>
      </c>
      <c r="D4202">
        <v>5.6579990000000002</v>
      </c>
      <c r="E4202">
        <v>0.57319509999999996</v>
      </c>
      <c r="F4202" t="s">
        <v>51</v>
      </c>
      <c r="G4202">
        <v>-168.41589999999999</v>
      </c>
      <c r="H4202">
        <v>0.26504559999999999</v>
      </c>
      <c r="I4202">
        <v>190.40260000000001</v>
      </c>
      <c r="J4202">
        <v>-199.1772</v>
      </c>
      <c r="K4202">
        <v>1.1040669999999999</v>
      </c>
      <c r="L4202">
        <v>212.29679999999999</v>
      </c>
      <c r="M4202">
        <v>0.94178280000000003</v>
      </c>
      <c r="N4202">
        <v>0</v>
      </c>
      <c r="O4202">
        <v>-0.33553450000000001</v>
      </c>
      <c r="P4202">
        <v>0.91684410000000005</v>
      </c>
      <c r="Q4202">
        <v>3.1711729999999998E-3</v>
      </c>
      <c r="R4202">
        <v>-0.39923340000000002</v>
      </c>
      <c r="S4202">
        <v>2.5061490000000002</v>
      </c>
      <c r="T4202">
        <v>-6.7864060000000004E-2</v>
      </c>
      <c r="U4202">
        <v>-1.7781979999999999</v>
      </c>
      <c r="V4202">
        <v>6.8769590000000005E-2</v>
      </c>
      <c r="W4202">
        <v>2.3486659999999999E-2</v>
      </c>
      <c r="X4202">
        <v>0.99735609999999997</v>
      </c>
      <c r="Y4202">
        <v>0.27140649999999999</v>
      </c>
      <c r="Z4202">
        <v>4.5341230000000001E-3</v>
      </c>
      <c r="AA4202">
        <v>0.96245409999999998</v>
      </c>
      <c r="AB4202">
        <v>23</v>
      </c>
      <c r="AC4202">
        <v>30.761299999999999</v>
      </c>
      <c r="AD4202">
        <v>-0.83902139999999903</v>
      </c>
      <c r="AE4202">
        <v>-21.894199999999898</v>
      </c>
      <c r="AF4202">
        <v>10.2953982113204</v>
      </c>
      <c r="AG4202">
        <v>-0.83902139999999903</v>
      </c>
      <c r="AH4202">
        <v>36.307182145138</v>
      </c>
      <c r="AI4202">
        <v>91.273613398442393</v>
      </c>
      <c r="AJ4202">
        <v>74.168589616324397</v>
      </c>
      <c r="AK4202">
        <v>37.747988775026698</v>
      </c>
      <c r="AL4202">
        <v>88.6541898048267</v>
      </c>
      <c r="AM4202">
        <v>86.055590750343697</v>
      </c>
      <c r="AN4202">
        <v>1.00000003495696</v>
      </c>
    </row>
    <row r="4203" spans="1:40" x14ac:dyDescent="0.25">
      <c r="A4203" t="str">
        <f>"20190312160727437"</f>
        <v>20190312160727437</v>
      </c>
      <c r="B4203" t="str">
        <f>"1552378047429768"</f>
        <v>1552378047429768</v>
      </c>
      <c r="C4203" t="s">
        <v>40</v>
      </c>
      <c r="D4203">
        <v>5.8486989999999999</v>
      </c>
      <c r="E4203">
        <v>0.57235729999999996</v>
      </c>
      <c r="F4203" t="s">
        <v>61</v>
      </c>
      <c r="G4203">
        <v>-187.05969999999999</v>
      </c>
      <c r="H4203" s="1">
        <v>5.7760839999999899E-6</v>
      </c>
      <c r="I4203">
        <v>203.93180000000001</v>
      </c>
      <c r="J4203">
        <v>-198.96979999999999</v>
      </c>
      <c r="K4203">
        <v>1.104017</v>
      </c>
      <c r="L4203">
        <v>212.20959999999999</v>
      </c>
      <c r="M4203">
        <v>0.93818820000000003</v>
      </c>
      <c r="N4203">
        <v>0</v>
      </c>
      <c r="O4203">
        <v>-0.3454566</v>
      </c>
      <c r="P4203">
        <v>0.91254380000000002</v>
      </c>
      <c r="Q4203">
        <v>3.3386660000000001E-3</v>
      </c>
      <c r="R4203">
        <v>-0.40896589999999999</v>
      </c>
      <c r="S4203">
        <v>2.516464</v>
      </c>
      <c r="T4203">
        <v>-0.2292825</v>
      </c>
      <c r="U4203">
        <v>-1.7371669999999999</v>
      </c>
      <c r="V4203">
        <v>6.8859920000000005E-2</v>
      </c>
      <c r="W4203">
        <v>2.3662570000000001E-2</v>
      </c>
      <c r="X4203">
        <v>0.9973457</v>
      </c>
      <c r="Y4203">
        <v>0.248976</v>
      </c>
      <c r="Z4203">
        <v>1.6982810000000001E-2</v>
      </c>
      <c r="AA4203">
        <v>0.96836069999999996</v>
      </c>
      <c r="AB4203">
        <v>23</v>
      </c>
      <c r="AC4203">
        <v>11.9101</v>
      </c>
      <c r="AD4203">
        <v>-1.104011223916</v>
      </c>
      <c r="AE4203">
        <v>-8.2777999999999796</v>
      </c>
      <c r="AF4203">
        <v>3.6315166159235099</v>
      </c>
      <c r="AG4203">
        <v>-1.104011223916</v>
      </c>
      <c r="AH4203">
        <v>13.9559264390951</v>
      </c>
      <c r="AI4203">
        <v>94.377884293697903</v>
      </c>
      <c r="AJ4203">
        <v>75.414341113396006</v>
      </c>
      <c r="AK4203">
        <v>14.462870962837799</v>
      </c>
      <c r="AL4203">
        <v>88.644108089936395</v>
      </c>
      <c r="AM4203">
        <v>86.050385035128897</v>
      </c>
      <c r="AN4203">
        <v>1.0000000255549499</v>
      </c>
    </row>
    <row r="4204" spans="1:40" x14ac:dyDescent="0.25">
      <c r="A4204" t="str">
        <f>"20190312160727461"</f>
        <v>20190312160727461</v>
      </c>
      <c r="B4204" t="str">
        <f>"1552378047449289"</f>
        <v>1552378047449289</v>
      </c>
      <c r="C4204" t="s">
        <v>40</v>
      </c>
      <c r="D4204">
        <v>5.8846679999999996</v>
      </c>
      <c r="E4204">
        <v>0.57205399999999995</v>
      </c>
      <c r="F4204" t="s">
        <v>61</v>
      </c>
      <c r="G4204">
        <v>-187.1429</v>
      </c>
      <c r="H4204" s="1">
        <v>5.807228E-6</v>
      </c>
      <c r="I4204">
        <v>203.89590000000001</v>
      </c>
      <c r="J4204">
        <v>-198.76089999999999</v>
      </c>
      <c r="K4204">
        <v>1.103996</v>
      </c>
      <c r="L4204">
        <v>212.1189</v>
      </c>
      <c r="M4204">
        <v>0.93437499999999996</v>
      </c>
      <c r="N4204">
        <v>0</v>
      </c>
      <c r="O4204">
        <v>-0.35564030000000002</v>
      </c>
      <c r="P4204">
        <v>0.90795999999999999</v>
      </c>
      <c r="Q4204">
        <v>3.9692470000000004E-3</v>
      </c>
      <c r="R4204">
        <v>-0.41903829999999997</v>
      </c>
      <c r="S4204">
        <v>2.50061</v>
      </c>
      <c r="T4204">
        <v>-0.23342550000000001</v>
      </c>
      <c r="U4204">
        <v>-1.7577970000000001</v>
      </c>
      <c r="V4204">
        <v>6.9061899999999996E-2</v>
      </c>
      <c r="W4204">
        <v>2.4302770000000001E-2</v>
      </c>
      <c r="X4204">
        <v>0.99731630000000004</v>
      </c>
      <c r="Y4204">
        <v>0.2467133</v>
      </c>
      <c r="Z4204">
        <v>1.8193250000000001E-2</v>
      </c>
      <c r="AA4204">
        <v>0.96891769999999999</v>
      </c>
      <c r="AB4204">
        <v>22</v>
      </c>
      <c r="AC4204">
        <v>11.617999999999901</v>
      </c>
      <c r="AD4204">
        <v>-1.1039901927719999</v>
      </c>
      <c r="AE4204">
        <v>-8.2229999999999794</v>
      </c>
      <c r="AF4204">
        <v>3.5311168525298302</v>
      </c>
      <c r="AG4204">
        <v>-1.1039901927719999</v>
      </c>
      <c r="AH4204">
        <v>13.7007700287801</v>
      </c>
      <c r="AI4204">
        <v>94.461681310444902</v>
      </c>
      <c r="AJ4204">
        <v>75.547608781342106</v>
      </c>
      <c r="AK4204">
        <v>14.1915002714116</v>
      </c>
      <c r="AL4204">
        <v>88.607416724379206</v>
      </c>
      <c r="AM4204">
        <v>86.038720446244398</v>
      </c>
      <c r="AN4204">
        <v>0.99999998645348598</v>
      </c>
    </row>
    <row r="4205" spans="1:40" x14ac:dyDescent="0.25">
      <c r="A4205" t="str">
        <f>"20190312160727482"</f>
        <v>20190312160727482</v>
      </c>
      <c r="B4205" t="str">
        <f>"1552378047469785"</f>
        <v>1552378047469785</v>
      </c>
      <c r="C4205" t="s">
        <v>40</v>
      </c>
      <c r="D4205">
        <v>5.8742570000000001</v>
      </c>
      <c r="E4205">
        <v>0.57132380000000005</v>
      </c>
      <c r="F4205" t="s">
        <v>61</v>
      </c>
      <c r="G4205">
        <v>-187.26900000000001</v>
      </c>
      <c r="H4205" s="1">
        <v>5.8472999999999999E-6</v>
      </c>
      <c r="I4205">
        <v>203.86170000000001</v>
      </c>
      <c r="J4205">
        <v>-198.55500000000001</v>
      </c>
      <c r="K4205">
        <v>1.1039810000000001</v>
      </c>
      <c r="L4205">
        <v>212.0266</v>
      </c>
      <c r="M4205">
        <v>0.93042029999999998</v>
      </c>
      <c r="N4205">
        <v>0</v>
      </c>
      <c r="O4205">
        <v>-0.36586030000000003</v>
      </c>
      <c r="P4205">
        <v>0.90334919999999996</v>
      </c>
      <c r="Q4205">
        <v>4.9272400000000003E-3</v>
      </c>
      <c r="R4205">
        <v>-0.42887789999999998</v>
      </c>
      <c r="S4205">
        <v>2.482056</v>
      </c>
      <c r="T4205">
        <v>-0.2384442</v>
      </c>
      <c r="U4205">
        <v>-1.7834319999999999</v>
      </c>
      <c r="V4205">
        <v>6.8984519999999994E-2</v>
      </c>
      <c r="W4205">
        <v>2.5275220000000001E-2</v>
      </c>
      <c r="X4205">
        <v>0.99729749999999995</v>
      </c>
      <c r="Y4205">
        <v>0.2461622</v>
      </c>
      <c r="Z4205">
        <v>1.944017E-2</v>
      </c>
      <c r="AA4205">
        <v>0.9690337</v>
      </c>
      <c r="AB4205">
        <v>22</v>
      </c>
      <c r="AC4205">
        <v>11.286</v>
      </c>
      <c r="AD4205">
        <v>-1.1039751526999999</v>
      </c>
      <c r="AE4205">
        <v>-8.1648999999999798</v>
      </c>
      <c r="AF4205">
        <v>3.4468450478488699</v>
      </c>
      <c r="AG4205">
        <v>-1.1039751526999999</v>
      </c>
      <c r="AH4205">
        <v>13.406860155733501</v>
      </c>
      <c r="AI4205">
        <v>94.559718766385004</v>
      </c>
      <c r="AJ4205">
        <v>75.581765434358701</v>
      </c>
      <c r="AK4205">
        <v>13.8868067300245</v>
      </c>
      <c r="AL4205">
        <v>88.551682336469696</v>
      </c>
      <c r="AM4205">
        <v>86.043070378682501</v>
      </c>
      <c r="AN4205">
        <v>1.0000000021259601</v>
      </c>
    </row>
    <row r="4206" spans="1:40" x14ac:dyDescent="0.25">
      <c r="A4206" t="str">
        <f>"20190312160727504"</f>
        <v>20190312160727504</v>
      </c>
      <c r="B4206" t="str">
        <f>"1552378047500041"</f>
        <v>1552378047500041</v>
      </c>
      <c r="C4206" t="s">
        <v>40</v>
      </c>
      <c r="D4206">
        <v>5.9465510000000004</v>
      </c>
      <c r="E4206">
        <v>0.57071159999999999</v>
      </c>
      <c r="F4206" t="s">
        <v>61</v>
      </c>
      <c r="G4206">
        <v>-187.1292</v>
      </c>
      <c r="H4206" s="1">
        <v>5.8878300000000002E-6</v>
      </c>
      <c r="I4206">
        <v>203.6593</v>
      </c>
      <c r="J4206">
        <v>-198.35400000000001</v>
      </c>
      <c r="K4206">
        <v>1.1039749999999999</v>
      </c>
      <c r="L4206">
        <v>211.93360000000001</v>
      </c>
      <c r="M4206">
        <v>0.92635809999999996</v>
      </c>
      <c r="N4206">
        <v>0</v>
      </c>
      <c r="O4206">
        <v>-0.37602659999999999</v>
      </c>
      <c r="P4206">
        <v>0.89855189999999996</v>
      </c>
      <c r="Q4206">
        <v>4.6649450000000002E-3</v>
      </c>
      <c r="R4206">
        <v>-0.43884319999999999</v>
      </c>
      <c r="S4206">
        <v>2.465179</v>
      </c>
      <c r="T4206">
        <v>-0.23818710000000001</v>
      </c>
      <c r="U4206">
        <v>-1.805283</v>
      </c>
      <c r="V4206">
        <v>6.909042E-2</v>
      </c>
      <c r="W4206">
        <v>2.502306E-2</v>
      </c>
      <c r="X4206">
        <v>0.99729650000000003</v>
      </c>
      <c r="Y4206">
        <v>0.24433009999999999</v>
      </c>
      <c r="Z4206">
        <v>2.032428E-2</v>
      </c>
      <c r="AA4206">
        <v>0.96947910000000004</v>
      </c>
      <c r="AB4206">
        <v>22</v>
      </c>
      <c r="AC4206">
        <v>11.2248</v>
      </c>
      <c r="AD4206">
        <v>-1.1039691121699999</v>
      </c>
      <c r="AE4206">
        <v>-8.2743000000000002</v>
      </c>
      <c r="AF4206">
        <v>3.4234857698178698</v>
      </c>
      <c r="AG4206">
        <v>-1.1039691121699999</v>
      </c>
      <c r="AH4206">
        <v>13.428520023824101</v>
      </c>
      <c r="AI4206">
        <v>94.554717158223497</v>
      </c>
      <c r="AJ4206">
        <v>75.697600435909607</v>
      </c>
      <c r="AK4206">
        <v>13.901947800470801</v>
      </c>
      <c r="AL4206">
        <v>88.566134571422694</v>
      </c>
      <c r="AM4206">
        <v>86.037011368412706</v>
      </c>
      <c r="AN4206">
        <v>0.99999997428989396</v>
      </c>
    </row>
    <row r="4207" spans="1:40" x14ac:dyDescent="0.25">
      <c r="A4207" t="str">
        <f>"20190312160727526"</f>
        <v>20190312160727526</v>
      </c>
      <c r="B4207" t="str">
        <f>"1552378047519093"</f>
        <v>1552378047519093</v>
      </c>
      <c r="C4207" t="s">
        <v>40</v>
      </c>
      <c r="D4207">
        <v>5.9243319999999997</v>
      </c>
      <c r="E4207">
        <v>0.5702062</v>
      </c>
      <c r="F4207" t="s">
        <v>61</v>
      </c>
      <c r="G4207">
        <v>-187.28809999999999</v>
      </c>
      <c r="H4207" s="1">
        <v>5.9211949999999998E-6</v>
      </c>
      <c r="I4207">
        <v>203.66460000000001</v>
      </c>
      <c r="J4207">
        <v>-198.15280000000001</v>
      </c>
      <c r="K4207">
        <v>1.103963</v>
      </c>
      <c r="L4207">
        <v>211.83760000000001</v>
      </c>
      <c r="M4207">
        <v>0.92208619999999997</v>
      </c>
      <c r="N4207">
        <v>0</v>
      </c>
      <c r="O4207">
        <v>-0.38638309999999998</v>
      </c>
      <c r="P4207">
        <v>0.8936402</v>
      </c>
      <c r="Q4207">
        <v>3.9022979999999998E-3</v>
      </c>
      <c r="R4207">
        <v>-0.44876719999999998</v>
      </c>
      <c r="S4207">
        <v>2.4469449999999999</v>
      </c>
      <c r="T4207">
        <v>-0.2441161</v>
      </c>
      <c r="U4207">
        <v>-1.8284910000000001</v>
      </c>
      <c r="V4207">
        <v>6.8946950000000007E-2</v>
      </c>
      <c r="W4207">
        <v>2.4276079999999998E-2</v>
      </c>
      <c r="X4207">
        <v>0.99732489999999996</v>
      </c>
      <c r="Y4207">
        <v>0.2428749</v>
      </c>
      <c r="Z4207">
        <v>2.1758530000000002E-2</v>
      </c>
      <c r="AA4207">
        <v>0.96981360000000005</v>
      </c>
      <c r="AB4207">
        <v>22</v>
      </c>
      <c r="AC4207">
        <v>10.864699999999999</v>
      </c>
      <c r="AD4207">
        <v>-1.1039570788049999</v>
      </c>
      <c r="AE4207">
        <v>-8.173</v>
      </c>
      <c r="AF4207">
        <v>3.3171792171016601</v>
      </c>
      <c r="AG4207">
        <v>-1.1039570788049999</v>
      </c>
      <c r="AH4207">
        <v>13.092838157441101</v>
      </c>
      <c r="AI4207">
        <v>94.672690492554196</v>
      </c>
      <c r="AJ4207">
        <v>75.782802321116193</v>
      </c>
      <c r="AK4207">
        <v>13.551561172321099</v>
      </c>
      <c r="AL4207">
        <v>88.608946395346507</v>
      </c>
      <c r="AM4207">
        <v>86.045326848502498</v>
      </c>
      <c r="AN4207">
        <v>0.99999998306723903</v>
      </c>
    </row>
    <row r="4208" spans="1:40" x14ac:dyDescent="0.25">
      <c r="A4208" t="str">
        <f>"20190312160727549"</f>
        <v>20190312160727549</v>
      </c>
      <c r="B4208" t="str">
        <f>"1552378047539589"</f>
        <v>1552378047539589</v>
      </c>
      <c r="C4208" t="s">
        <v>40</v>
      </c>
      <c r="D4208">
        <v>6.1071160000000004</v>
      </c>
      <c r="E4208">
        <v>0.57068059999999998</v>
      </c>
      <c r="F4208" t="s">
        <v>61</v>
      </c>
      <c r="G4208">
        <v>-187.36369999999999</v>
      </c>
      <c r="H4208" s="1">
        <v>5.9580670000000003E-6</v>
      </c>
      <c r="I4208">
        <v>203.60769999999999</v>
      </c>
      <c r="J4208">
        <v>-197.95519999999999</v>
      </c>
      <c r="K4208">
        <v>1.103947</v>
      </c>
      <c r="L4208">
        <v>211.74039999999999</v>
      </c>
      <c r="M4208">
        <v>0.91767699999999996</v>
      </c>
      <c r="N4208">
        <v>0</v>
      </c>
      <c r="O4208">
        <v>-0.39673979999999998</v>
      </c>
      <c r="P4208">
        <v>0.88831879999999996</v>
      </c>
      <c r="Q4208">
        <v>3.325728E-3</v>
      </c>
      <c r="R4208">
        <v>-0.45921509999999999</v>
      </c>
      <c r="S4208">
        <v>2.42807</v>
      </c>
      <c r="T4208">
        <v>-0.24844240000000001</v>
      </c>
      <c r="U4208">
        <v>-1.8521270000000001</v>
      </c>
      <c r="V4208">
        <v>6.9403599999999996E-2</v>
      </c>
      <c r="W4208">
        <v>2.370357E-2</v>
      </c>
      <c r="X4208">
        <v>0.99730700000000005</v>
      </c>
      <c r="Y4208">
        <v>0.24160010000000001</v>
      </c>
      <c r="Z4208">
        <v>2.3083280000000001E-2</v>
      </c>
      <c r="AA4208">
        <v>0.97010130000000006</v>
      </c>
      <c r="AB4208">
        <v>22</v>
      </c>
      <c r="AC4208">
        <v>10.5914999999999</v>
      </c>
      <c r="AD4208">
        <v>-1.103941041933</v>
      </c>
      <c r="AE4208">
        <v>-8.1326999999999998</v>
      </c>
      <c r="AF4208">
        <v>3.2397418314335402</v>
      </c>
      <c r="AG4208">
        <v>-1.103941041933</v>
      </c>
      <c r="AH4208">
        <v>12.8612652319616</v>
      </c>
      <c r="AI4208">
        <v>94.758013845134698</v>
      </c>
      <c r="AJ4208">
        <v>75.861389669911304</v>
      </c>
      <c r="AK4208">
        <v>13.3088976374931</v>
      </c>
      <c r="AL4208">
        <v>88.641758249663496</v>
      </c>
      <c r="AM4208">
        <v>86.019146940087197</v>
      </c>
      <c r="AN4208">
        <v>0.99999998558635195</v>
      </c>
    </row>
    <row r="4209" spans="1:40" x14ac:dyDescent="0.25">
      <c r="A4209" t="str">
        <f>"20190312160727571"</f>
        <v>20190312160727571</v>
      </c>
      <c r="B4209" t="str">
        <f>"1552378047560085"</f>
        <v>1552378047560085</v>
      </c>
      <c r="C4209" t="s">
        <v>40</v>
      </c>
      <c r="D4209">
        <v>6.0632169999999999</v>
      </c>
      <c r="E4209">
        <v>0.62715240000000005</v>
      </c>
      <c r="F4209" t="s">
        <v>61</v>
      </c>
      <c r="G4209">
        <v>-186.45760000000001</v>
      </c>
      <c r="H4209" s="1">
        <v>6.0663660000000004E-6</v>
      </c>
      <c r="I4209">
        <v>202.733</v>
      </c>
      <c r="J4209">
        <v>-197.76439999999999</v>
      </c>
      <c r="K4209">
        <v>1.103931</v>
      </c>
      <c r="L4209">
        <v>211.64349999999999</v>
      </c>
      <c r="M4209">
        <v>0.91321030000000003</v>
      </c>
      <c r="N4209">
        <v>0</v>
      </c>
      <c r="O4209">
        <v>-0.40691519999999998</v>
      </c>
      <c r="P4209">
        <v>0.88266529999999999</v>
      </c>
      <c r="Q4209">
        <v>3.6292350000000002E-3</v>
      </c>
      <c r="R4209">
        <v>-0.46998800000000002</v>
      </c>
      <c r="S4209">
        <v>2.4042970000000001</v>
      </c>
      <c r="T4209">
        <v>-0.2308481</v>
      </c>
      <c r="U4209">
        <v>-1.8835599999999999</v>
      </c>
      <c r="V4209">
        <v>7.0458480000000004E-2</v>
      </c>
      <c r="W4209">
        <v>2.3999599999999999E-2</v>
      </c>
      <c r="X4209">
        <v>0.9972259</v>
      </c>
      <c r="Y4209">
        <v>0.24329480000000001</v>
      </c>
      <c r="Z4209">
        <v>2.2199190000000001E-2</v>
      </c>
      <c r="AA4209">
        <v>0.96969830000000001</v>
      </c>
      <c r="AB4209">
        <v>22</v>
      </c>
      <c r="AC4209">
        <v>11.3067999999999</v>
      </c>
      <c r="AD4209">
        <v>-1.103924933634</v>
      </c>
      <c r="AE4209">
        <v>-8.9104999999999794</v>
      </c>
      <c r="AF4209">
        <v>3.5163998431569699</v>
      </c>
      <c r="AG4209">
        <v>-1.103924933634</v>
      </c>
      <c r="AH4209">
        <v>13.872984505754999</v>
      </c>
      <c r="AI4209">
        <v>94.410743903391705</v>
      </c>
      <c r="AJ4209">
        <v>75.776732458079707</v>
      </c>
      <c r="AK4209">
        <v>14.3542125250036</v>
      </c>
      <c r="AL4209">
        <v>88.624792086128096</v>
      </c>
      <c r="AM4209">
        <v>85.958512524577102</v>
      </c>
      <c r="AN4209">
        <v>0.99999993691743805</v>
      </c>
    </row>
    <row r="4210" spans="1:40" x14ac:dyDescent="0.25">
      <c r="A4210" t="str">
        <f>"20190312160727598"</f>
        <v>20190312160727598</v>
      </c>
      <c r="B4210" t="str">
        <f>"1552378047589365"</f>
        <v>1552378047589365</v>
      </c>
      <c r="C4210" t="s">
        <v>40</v>
      </c>
      <c r="D4210">
        <v>5.7898110000000003</v>
      </c>
      <c r="E4210">
        <v>0.64961619999999998</v>
      </c>
      <c r="F4210" t="s">
        <v>61</v>
      </c>
      <c r="G4210">
        <v>-190.322</v>
      </c>
      <c r="H4210" s="1">
        <v>6.4007749999999997E-6</v>
      </c>
      <c r="I4210">
        <v>203.70830000000001</v>
      </c>
      <c r="J4210">
        <v>-197.53200000000001</v>
      </c>
      <c r="K4210">
        <v>1.1039110000000001</v>
      </c>
      <c r="L4210">
        <v>211.5215</v>
      </c>
      <c r="M4210">
        <v>0.90747290000000003</v>
      </c>
      <c r="N4210">
        <v>0</v>
      </c>
      <c r="O4210">
        <v>-0.41955379999999998</v>
      </c>
      <c r="P4210">
        <v>0.87590299999999999</v>
      </c>
      <c r="Q4210">
        <v>4.3206599999999996E-3</v>
      </c>
      <c r="R4210">
        <v>-0.48246820000000001</v>
      </c>
      <c r="S4210">
        <v>2.168793</v>
      </c>
      <c r="T4210">
        <v>-0.32169589999999998</v>
      </c>
      <c r="U4210">
        <v>-2.312424</v>
      </c>
      <c r="V4210">
        <v>7.0782620000000004E-2</v>
      </c>
      <c r="W4210">
        <v>2.4699390000000002E-2</v>
      </c>
      <c r="X4210">
        <v>0.99718589999999996</v>
      </c>
      <c r="Y4210">
        <v>0.37508570000000002</v>
      </c>
      <c r="Z4210">
        <v>2.4581390000000002E-2</v>
      </c>
      <c r="AA4210">
        <v>0.92666420000000005</v>
      </c>
      <c r="AB4210">
        <v>22</v>
      </c>
      <c r="AC4210">
        <v>7.21</v>
      </c>
      <c r="AD4210">
        <v>-1.1039045992250001</v>
      </c>
      <c r="AE4210">
        <v>-7.8131999999999904</v>
      </c>
      <c r="AF4210">
        <v>4.0228636009305196</v>
      </c>
      <c r="AG4210">
        <v>-1.1039045992250001</v>
      </c>
      <c r="AH4210">
        <v>9.7184570349682993</v>
      </c>
      <c r="AI4210">
        <v>95.991383116405004</v>
      </c>
      <c r="AJ4210">
        <v>67.513352202008903</v>
      </c>
      <c r="AK4210">
        <v>10.575937029710699</v>
      </c>
      <c r="AL4210">
        <v>88.5846852376161</v>
      </c>
      <c r="AM4210">
        <v>85.939819624671898</v>
      </c>
      <c r="AN4210">
        <v>0.99999997915962302</v>
      </c>
    </row>
    <row r="4211" spans="1:40" x14ac:dyDescent="0.25">
      <c r="A4211" t="str">
        <f>"20190312160727617"</f>
        <v>20190312160727617</v>
      </c>
      <c r="B4211" t="str">
        <f>"1552378047609861"</f>
        <v>1552378047609861</v>
      </c>
      <c r="C4211" t="s">
        <v>40</v>
      </c>
      <c r="D4211">
        <v>5.9260320000000002</v>
      </c>
      <c r="E4211">
        <v>0.6469722</v>
      </c>
      <c r="F4211" t="s">
        <v>86</v>
      </c>
      <c r="G4211">
        <v>-170.8552</v>
      </c>
      <c r="H4211">
        <v>4.92</v>
      </c>
      <c r="I4211">
        <v>179.2253</v>
      </c>
      <c r="J4211">
        <v>-197.3674</v>
      </c>
      <c r="K4211">
        <v>1.103904</v>
      </c>
      <c r="L4211">
        <v>211.4323</v>
      </c>
      <c r="M4211">
        <v>0.90320310000000004</v>
      </c>
      <c r="N4211">
        <v>0</v>
      </c>
      <c r="O4211">
        <v>-0.4286681</v>
      </c>
      <c r="P4211">
        <v>0.87097559999999996</v>
      </c>
      <c r="Q4211">
        <v>4.2293160000000003E-3</v>
      </c>
      <c r="R4211">
        <v>-0.49130849999999998</v>
      </c>
      <c r="S4211">
        <v>2.053909</v>
      </c>
      <c r="T4211">
        <v>0.29381040000000003</v>
      </c>
      <c r="U4211">
        <v>-2.4865569999999999</v>
      </c>
      <c r="V4211">
        <v>7.0835579999999995E-2</v>
      </c>
      <c r="W4211">
        <v>2.4617389999999999E-2</v>
      </c>
      <c r="X4211">
        <v>0.99718419999999997</v>
      </c>
      <c r="Y4211">
        <v>0.42339700000000002</v>
      </c>
      <c r="Z4211">
        <v>-2.0728480000000001E-2</v>
      </c>
      <c r="AA4211">
        <v>0.90570709999999999</v>
      </c>
      <c r="AB4211">
        <v>21</v>
      </c>
      <c r="AC4211">
        <v>26.5122</v>
      </c>
      <c r="AD4211">
        <v>3.8160959999999999</v>
      </c>
      <c r="AE4211">
        <v>-32.206999999999901</v>
      </c>
      <c r="AF4211">
        <v>17.581545806045298</v>
      </c>
      <c r="AG4211">
        <v>3.8160959999999999</v>
      </c>
      <c r="AH4211">
        <v>37.4474729091962</v>
      </c>
      <c r="AI4211">
        <v>84.729694079036605</v>
      </c>
      <c r="AJ4211">
        <v>64.849998121767101</v>
      </c>
      <c r="AK4211">
        <v>41.544994510726198</v>
      </c>
      <c r="AL4211">
        <v>88.589384966985804</v>
      </c>
      <c r="AM4211">
        <v>85.936785039652193</v>
      </c>
      <c r="AN4211">
        <v>1.0000000120069901</v>
      </c>
    </row>
    <row r="4212" spans="1:40" x14ac:dyDescent="0.25">
      <c r="A4212" t="str">
        <f>"20190312160727638"</f>
        <v>20190312160727638</v>
      </c>
      <c r="B4212" t="str">
        <f>"1552378047629889"</f>
        <v>1552378047629889</v>
      </c>
      <c r="C4212" t="s">
        <v>40</v>
      </c>
      <c r="D4212">
        <v>5.7494290000000001</v>
      </c>
      <c r="E4212">
        <v>0.64673400000000003</v>
      </c>
      <c r="F4212" t="s">
        <v>44</v>
      </c>
      <c r="G4212">
        <v>-196.8673</v>
      </c>
      <c r="H4212">
        <v>1.176383</v>
      </c>
      <c r="I4212">
        <v>210.822</v>
      </c>
      <c r="J4212">
        <v>-197.19049999999999</v>
      </c>
      <c r="K4212">
        <v>1.103907</v>
      </c>
      <c r="L4212">
        <v>211.3338</v>
      </c>
      <c r="M4212">
        <v>0.89841890000000002</v>
      </c>
      <c r="N4212">
        <v>0</v>
      </c>
      <c r="O4212">
        <v>-0.43860519999999997</v>
      </c>
      <c r="P4212">
        <v>0.86521119999999996</v>
      </c>
      <c r="Q4212">
        <v>3.6678650000000002E-3</v>
      </c>
      <c r="R4212">
        <v>-0.50139449999999997</v>
      </c>
      <c r="S4212">
        <v>2.0391689999999998</v>
      </c>
      <c r="T4212">
        <v>0.29552420000000001</v>
      </c>
      <c r="U4212">
        <v>-2.4886629999999998</v>
      </c>
      <c r="V4212">
        <v>7.1410089999999996E-2</v>
      </c>
      <c r="W4212">
        <v>2.4058710000000001E-2</v>
      </c>
      <c r="X4212">
        <v>0.99715690000000001</v>
      </c>
      <c r="Y4212">
        <v>0.4170237</v>
      </c>
      <c r="Z4212">
        <v>-2.2209420000000001E-2</v>
      </c>
      <c r="AA4212">
        <v>0.90862419999999999</v>
      </c>
      <c r="AB4212">
        <v>21</v>
      </c>
      <c r="AC4212">
        <v>0.323199999999985</v>
      </c>
      <c r="AD4212">
        <v>7.2475999999999902E-2</v>
      </c>
      <c r="AE4212">
        <v>-0.51179999999999304</v>
      </c>
      <c r="AF4212">
        <v>0.31363188645477003</v>
      </c>
      <c r="AG4212">
        <v>7.2475999999999902E-2</v>
      </c>
      <c r="AH4212">
        <v>0.507689522885867</v>
      </c>
      <c r="AI4212">
        <v>83.075303106840494</v>
      </c>
      <c r="AJ4212">
        <v>58.293755200341998</v>
      </c>
      <c r="AK4212">
        <v>0.60113757362625198</v>
      </c>
      <c r="AL4212">
        <v>88.6214045140607</v>
      </c>
      <c r="AM4212">
        <v>85.903830407197603</v>
      </c>
      <c r="AN4212">
        <v>1.00000005284913</v>
      </c>
    </row>
    <row r="4213" spans="1:40" x14ac:dyDescent="0.25">
      <c r="A4213" t="str">
        <f>"20190312160727661"</f>
        <v>20190312160727661</v>
      </c>
      <c r="B4213" t="str">
        <f>"1552378047649408"</f>
        <v>1552378047649408</v>
      </c>
      <c r="C4213" t="s">
        <v>40</v>
      </c>
      <c r="D4213">
        <v>5.8486500000000001</v>
      </c>
      <c r="E4213">
        <v>0.64472229999999997</v>
      </c>
      <c r="F4213" t="s">
        <v>44</v>
      </c>
      <c r="G4213">
        <v>-196.7039</v>
      </c>
      <c r="H4213">
        <v>1.1762950000000001</v>
      </c>
      <c r="I4213">
        <v>210.726</v>
      </c>
      <c r="J4213">
        <v>-197.0017</v>
      </c>
      <c r="K4213">
        <v>1.1039270000000001</v>
      </c>
      <c r="L4213">
        <v>211.22550000000001</v>
      </c>
      <c r="M4213">
        <v>0.89308489999999996</v>
      </c>
      <c r="N4213">
        <v>0</v>
      </c>
      <c r="O4213">
        <v>-0.44936680000000001</v>
      </c>
      <c r="P4213">
        <v>0.85898479999999999</v>
      </c>
      <c r="Q4213">
        <v>3.3988249999999998E-3</v>
      </c>
      <c r="R4213">
        <v>-0.51199019999999995</v>
      </c>
      <c r="S4213">
        <v>2.0112299999999999</v>
      </c>
      <c r="T4213">
        <v>0.29905029999999999</v>
      </c>
      <c r="U4213">
        <v>-2.5105590000000002</v>
      </c>
      <c r="V4213">
        <v>7.1680170000000001E-2</v>
      </c>
      <c r="W4213">
        <v>2.3798429999999999E-2</v>
      </c>
      <c r="X4213">
        <v>0.99714369999999997</v>
      </c>
      <c r="Y4213">
        <v>0.41616730000000002</v>
      </c>
      <c r="Z4213">
        <v>-2.362355E-2</v>
      </c>
      <c r="AA4213">
        <v>0.90898109999999999</v>
      </c>
      <c r="AB4213">
        <v>21</v>
      </c>
      <c r="AC4213">
        <v>0.29779999999999501</v>
      </c>
      <c r="AD4213">
        <v>7.2367999999999905E-2</v>
      </c>
      <c r="AE4213">
        <v>-0.49950000000001099</v>
      </c>
      <c r="AF4213">
        <v>0.30758445706823401</v>
      </c>
      <c r="AG4213">
        <v>7.2367999999999905E-2</v>
      </c>
      <c r="AH4213">
        <v>0.48305384250843703</v>
      </c>
      <c r="AI4213">
        <v>82.797720805619406</v>
      </c>
      <c r="AJ4213">
        <v>57.5130606379727</v>
      </c>
      <c r="AK4213">
        <v>0.57722295555194802</v>
      </c>
      <c r="AL4213">
        <v>88.636321637834101</v>
      </c>
      <c r="AM4213">
        <v>85.888337079725602</v>
      </c>
      <c r="AN4213">
        <v>0.999999985245691</v>
      </c>
    </row>
    <row r="4214" spans="1:40" x14ac:dyDescent="0.25">
      <c r="A4214" t="str">
        <f>"20190312160727684"</f>
        <v>20190312160727684</v>
      </c>
      <c r="B4214" t="str">
        <f>"1552378047679666"</f>
        <v>1552378047679666</v>
      </c>
      <c r="C4214" t="s">
        <v>40</v>
      </c>
      <c r="D4214">
        <v>5.8491660000000003</v>
      </c>
      <c r="E4214">
        <v>0.64523790000000003</v>
      </c>
      <c r="F4214" t="s">
        <v>86</v>
      </c>
      <c r="G4214">
        <v>-171.15209999999999</v>
      </c>
      <c r="H4214">
        <v>4.92</v>
      </c>
      <c r="I4214">
        <v>178.4487</v>
      </c>
      <c r="J4214">
        <v>-196.8143</v>
      </c>
      <c r="K4214">
        <v>1.1039570000000001</v>
      </c>
      <c r="L4214">
        <v>211.1147</v>
      </c>
      <c r="M4214">
        <v>0.88754719999999998</v>
      </c>
      <c r="N4214">
        <v>0</v>
      </c>
      <c r="O4214">
        <v>-0.46020680000000003</v>
      </c>
      <c r="P4214">
        <v>0.85267890000000002</v>
      </c>
      <c r="Q4214">
        <v>3.5731069999999998E-3</v>
      </c>
      <c r="R4214">
        <v>-0.52242330000000003</v>
      </c>
      <c r="S4214">
        <v>1.9884949999999999</v>
      </c>
      <c r="T4214">
        <v>0.29355379999999998</v>
      </c>
      <c r="U4214">
        <v>-2.5213619999999999</v>
      </c>
      <c r="V4214">
        <v>7.1696940000000001E-2</v>
      </c>
      <c r="W4214">
        <v>2.398577E-2</v>
      </c>
      <c r="X4214">
        <v>0.99713799999999997</v>
      </c>
      <c r="Y4214">
        <v>0.41207490000000002</v>
      </c>
      <c r="Z4214">
        <v>-2.4521049999999999E-2</v>
      </c>
      <c r="AA4214">
        <v>0.91081990000000002</v>
      </c>
      <c r="AB4214">
        <v>21</v>
      </c>
      <c r="AC4214">
        <v>25.662199999999999</v>
      </c>
      <c r="AD4214">
        <v>3.8160430000000001</v>
      </c>
      <c r="AE4214">
        <v>-32.665999999999997</v>
      </c>
      <c r="AF4214">
        <v>17.0429121311298</v>
      </c>
      <c r="AG4214">
        <v>3.8160430000000001</v>
      </c>
      <c r="AH4214">
        <v>37.501938633276701</v>
      </c>
      <c r="AI4214">
        <v>84.707320333005299</v>
      </c>
      <c r="AJ4214">
        <v>65.560380336456603</v>
      </c>
      <c r="AK4214">
        <v>41.369293435364703</v>
      </c>
      <c r="AL4214">
        <v>88.625584773800099</v>
      </c>
      <c r="AM4214">
        <v>85.887355003599694</v>
      </c>
      <c r="AN4214">
        <v>0.99999997970592802</v>
      </c>
    </row>
    <row r="4215" spans="1:40" x14ac:dyDescent="0.25">
      <c r="A4215" t="str">
        <f>"20190312160727706"</f>
        <v>20190312160727706</v>
      </c>
      <c r="B4215" t="str">
        <f>"1552378047699187"</f>
        <v>1552378047699187</v>
      </c>
      <c r="C4215" t="s">
        <v>40</v>
      </c>
      <c r="D4215">
        <v>5.8608349999999998</v>
      </c>
      <c r="E4215">
        <v>0.64389629999999998</v>
      </c>
      <c r="F4215" t="s">
        <v>86</v>
      </c>
      <c r="G4215">
        <v>-170.71629999999999</v>
      </c>
      <c r="H4215">
        <v>4.92</v>
      </c>
      <c r="I4215">
        <v>177.08349999999999</v>
      </c>
      <c r="J4215">
        <v>-196.6397</v>
      </c>
      <c r="K4215">
        <v>1.10399</v>
      </c>
      <c r="L4215">
        <v>211.0086</v>
      </c>
      <c r="M4215">
        <v>0.88216430000000001</v>
      </c>
      <c r="N4215">
        <v>0</v>
      </c>
      <c r="O4215">
        <v>-0.47044279999999999</v>
      </c>
      <c r="P4215">
        <v>0.84703399999999995</v>
      </c>
      <c r="Q4215">
        <v>4.3975009999999998E-3</v>
      </c>
      <c r="R4215">
        <v>-0.53152100000000002</v>
      </c>
      <c r="S4215">
        <v>1.9551240000000001</v>
      </c>
      <c r="T4215">
        <v>0.28587849999999998</v>
      </c>
      <c r="U4215">
        <v>-2.5494379999999999</v>
      </c>
      <c r="V4215">
        <v>7.0849999999999996E-2</v>
      </c>
      <c r="W4215">
        <v>2.4837620000000001E-2</v>
      </c>
      <c r="X4215">
        <v>0.99717769999999994</v>
      </c>
      <c r="Y4215">
        <v>0.41391339999999999</v>
      </c>
      <c r="Z4215">
        <v>-2.4799169999999999E-2</v>
      </c>
      <c r="AA4215">
        <v>0.90997839999999997</v>
      </c>
      <c r="AB4215">
        <v>21</v>
      </c>
      <c r="AC4215">
        <v>25.923400000000001</v>
      </c>
      <c r="AD4215">
        <v>3.8160099999999999</v>
      </c>
      <c r="AE4215">
        <v>-33.9251</v>
      </c>
      <c r="AF4215">
        <v>17.5956440632051</v>
      </c>
      <c r="AG4215">
        <v>3.8160099999999999</v>
      </c>
      <c r="AH4215">
        <v>38.5298561225719</v>
      </c>
      <c r="AI4215">
        <v>84.852087810045404</v>
      </c>
      <c r="AJ4215">
        <v>65.454978124723894</v>
      </c>
      <c r="AK4215">
        <v>42.529030498533601</v>
      </c>
      <c r="AL4215">
        <v>88.576762837631406</v>
      </c>
      <c r="AM4215">
        <v>85.935934259960504</v>
      </c>
      <c r="AN4215">
        <v>0.99999999762227698</v>
      </c>
    </row>
    <row r="4216" spans="1:40" x14ac:dyDescent="0.25">
      <c r="A4216" t="str">
        <f>"20190312160727728"</f>
        <v>20190312160727728</v>
      </c>
      <c r="B4216" t="str">
        <f>"1552378047719680"</f>
        <v>1552378047719680</v>
      </c>
      <c r="C4216" t="s">
        <v>40</v>
      </c>
      <c r="D4216">
        <v>5.693378</v>
      </c>
      <c r="E4216">
        <v>0.64239799999999903</v>
      </c>
      <c r="F4216" t="s">
        <v>86</v>
      </c>
      <c r="G4216">
        <v>-171.04499999999999</v>
      </c>
      <c r="H4216">
        <v>4.92</v>
      </c>
      <c r="I4216">
        <v>177.1096</v>
      </c>
      <c r="J4216">
        <v>-196.4622</v>
      </c>
      <c r="K4216">
        <v>1.1040239999999999</v>
      </c>
      <c r="L4216">
        <v>210.89760000000001</v>
      </c>
      <c r="M4216">
        <v>0.87646309999999905</v>
      </c>
      <c r="N4216">
        <v>0</v>
      </c>
      <c r="O4216">
        <v>-0.48098079999999999</v>
      </c>
      <c r="P4216">
        <v>0.84085049999999995</v>
      </c>
      <c r="Q4216">
        <v>3.9135039999999999E-3</v>
      </c>
      <c r="R4216">
        <v>-0.54125349999999905</v>
      </c>
      <c r="S4216">
        <v>1.933395</v>
      </c>
      <c r="T4216">
        <v>0.28825770000000001</v>
      </c>
      <c r="U4216">
        <v>-2.5606840000000002</v>
      </c>
      <c r="V4216">
        <v>7.0388210000000007E-2</v>
      </c>
      <c r="W4216">
        <v>2.4374280000000002E-2</v>
      </c>
      <c r="X4216">
        <v>0.99722180000000005</v>
      </c>
      <c r="Y4216">
        <v>0.40987689999999999</v>
      </c>
      <c r="Z4216">
        <v>-2.6273939999999999E-2</v>
      </c>
      <c r="AA4216">
        <v>0.91176239999999997</v>
      </c>
      <c r="AB4216">
        <v>21</v>
      </c>
      <c r="AC4216">
        <v>25.417200000000001</v>
      </c>
      <c r="AD4216">
        <v>3.815976</v>
      </c>
      <c r="AE4216">
        <v>-33.787999999999997</v>
      </c>
      <c r="AF4216">
        <v>17.252305794898</v>
      </c>
      <c r="AG4216">
        <v>3.815976</v>
      </c>
      <c r="AH4216">
        <v>38.226294823209599</v>
      </c>
      <c r="AI4216">
        <v>84.801063577739697</v>
      </c>
      <c r="AJ4216">
        <v>65.709373482091195</v>
      </c>
      <c r="AK4216">
        <v>42.112389435701601</v>
      </c>
      <c r="AL4216">
        <v>88.603318254926506</v>
      </c>
      <c r="AM4216">
        <v>85.962513319446998</v>
      </c>
      <c r="AN4216">
        <v>0.99999996201387997</v>
      </c>
    </row>
    <row r="4217" spans="1:40" x14ac:dyDescent="0.25">
      <c r="A4217" t="str">
        <f>"20190312160727749"</f>
        <v>20190312160727749</v>
      </c>
      <c r="B4217" t="str">
        <f>"1552378047739201"</f>
        <v>1552378047739201</v>
      </c>
      <c r="C4217" t="s">
        <v>40</v>
      </c>
      <c r="D4217">
        <v>5.9617610000000001</v>
      </c>
      <c r="E4217">
        <v>0.64216649999999997</v>
      </c>
      <c r="F4217" t="s">
        <v>86</v>
      </c>
      <c r="G4217">
        <v>-170.6396</v>
      </c>
      <c r="H4217">
        <v>4.92</v>
      </c>
      <c r="I4217">
        <v>176.11199999999999</v>
      </c>
      <c r="J4217">
        <v>-196.2929</v>
      </c>
      <c r="K4217">
        <v>1.10405</v>
      </c>
      <c r="L4217">
        <v>210.78880000000001</v>
      </c>
      <c r="M4217">
        <v>0.87080079999999904</v>
      </c>
      <c r="N4217">
        <v>0</v>
      </c>
      <c r="O4217">
        <v>-0.49115760000000003</v>
      </c>
      <c r="P4217">
        <v>0.83438889999999999</v>
      </c>
      <c r="Q4217">
        <v>2.992813E-3</v>
      </c>
      <c r="R4217">
        <v>-0.55116869999999996</v>
      </c>
      <c r="S4217">
        <v>1.9101410000000001</v>
      </c>
      <c r="T4217">
        <v>0.28227540000000001</v>
      </c>
      <c r="U4217">
        <v>-2.5731510000000002</v>
      </c>
      <c r="V4217">
        <v>7.0557300000000003E-2</v>
      </c>
      <c r="W4217">
        <v>2.346092E-2</v>
      </c>
      <c r="X4217">
        <v>0.9972318</v>
      </c>
      <c r="Y4217">
        <v>0.40670040000000002</v>
      </c>
      <c r="Z4217">
        <v>-2.6902599999999999E-2</v>
      </c>
      <c r="AA4217">
        <v>0.91316540000000002</v>
      </c>
      <c r="AB4217">
        <v>20</v>
      </c>
      <c r="AC4217">
        <v>25.653300000000002</v>
      </c>
      <c r="AD4217">
        <v>3.81595</v>
      </c>
      <c r="AE4217">
        <v>-34.6768</v>
      </c>
      <c r="AF4217">
        <v>17.464229167868201</v>
      </c>
      <c r="AG4217">
        <v>3.81595</v>
      </c>
      <c r="AH4217">
        <v>39.074139351301802</v>
      </c>
      <c r="AI4217">
        <v>84.905038518852095</v>
      </c>
      <c r="AJ4217">
        <v>65.917692395697898</v>
      </c>
      <c r="AK4217">
        <v>42.969165000908198</v>
      </c>
      <c r="AL4217">
        <v>88.655664964537095</v>
      </c>
      <c r="AM4217">
        <v>85.952886911989495</v>
      </c>
      <c r="AN4217">
        <v>1.0000000051408799</v>
      </c>
    </row>
    <row r="4218" spans="1:40" x14ac:dyDescent="0.25">
      <c r="A4218" t="str">
        <f>"20190312160727772"</f>
        <v>20190312160727772</v>
      </c>
      <c r="B4218" t="str">
        <f>"1552378047769457"</f>
        <v>1552378047769457</v>
      </c>
      <c r="C4218" t="s">
        <v>40</v>
      </c>
      <c r="D4218">
        <v>5.9510180000000004</v>
      </c>
      <c r="E4218">
        <v>0.64058309999999996</v>
      </c>
      <c r="F4218" t="s">
        <v>86</v>
      </c>
      <c r="G4218">
        <v>-170.2431</v>
      </c>
      <c r="H4218">
        <v>4.92</v>
      </c>
      <c r="I4218">
        <v>174.8655</v>
      </c>
      <c r="J4218">
        <v>-196.12430000000001</v>
      </c>
      <c r="K4218">
        <v>1.104082</v>
      </c>
      <c r="L4218">
        <v>210.6773</v>
      </c>
      <c r="M4218">
        <v>0.86493519999999902</v>
      </c>
      <c r="N4218">
        <v>0</v>
      </c>
      <c r="O4218">
        <v>-0.50141480000000005</v>
      </c>
      <c r="P4218">
        <v>0.82770630000000001</v>
      </c>
      <c r="Q4218">
        <v>2.8908950000000001E-3</v>
      </c>
      <c r="R4218">
        <v>-0.5611545</v>
      </c>
      <c r="S4218">
        <v>1.880997</v>
      </c>
      <c r="T4218">
        <v>0.27554190000000001</v>
      </c>
      <c r="U4218">
        <v>-2.5939329999999998</v>
      </c>
      <c r="V4218">
        <v>7.0750519999999997E-2</v>
      </c>
      <c r="W4218">
        <v>2.3364630000000001E-2</v>
      </c>
      <c r="X4218">
        <v>0.99722029999999995</v>
      </c>
      <c r="Y4218">
        <v>0.40612500000000001</v>
      </c>
      <c r="Z4218">
        <v>-2.7278770000000001E-2</v>
      </c>
      <c r="AA4218">
        <v>0.91341030000000001</v>
      </c>
      <c r="AB4218">
        <v>20</v>
      </c>
      <c r="AC4218">
        <v>25.8812</v>
      </c>
      <c r="AD4218">
        <v>3.8159179999999999</v>
      </c>
      <c r="AE4218">
        <v>-35.811799999999998</v>
      </c>
      <c r="AF4218">
        <v>17.868631577754702</v>
      </c>
      <c r="AG4218">
        <v>3.8159179999999999</v>
      </c>
      <c r="AH4218">
        <v>40.052886025481399</v>
      </c>
      <c r="AI4218">
        <v>85.027430983000798</v>
      </c>
      <c r="AJ4218">
        <v>65.957110038358806</v>
      </c>
      <c r="AK4218">
        <v>44.023662996330202</v>
      </c>
      <c r="AL4218">
        <v>88.661183393077394</v>
      </c>
      <c r="AM4218">
        <v>85.941794295776603</v>
      </c>
      <c r="AN4218">
        <v>0.99999993437369605</v>
      </c>
    </row>
    <row r="4219" spans="1:40" x14ac:dyDescent="0.25">
      <c r="A4219" t="str">
        <f>"20190312160727795"</f>
        <v>20190312160727795</v>
      </c>
      <c r="B4219" t="str">
        <f>"1552378047789953"</f>
        <v>1552378047789953</v>
      </c>
      <c r="C4219" t="s">
        <v>40</v>
      </c>
      <c r="D4219">
        <v>5.7094370000000003</v>
      </c>
      <c r="E4219">
        <v>0.63941049999999999</v>
      </c>
      <c r="F4219" t="s">
        <v>86</v>
      </c>
      <c r="G4219">
        <v>-169.75299999999999</v>
      </c>
      <c r="H4219">
        <v>4.9200010000000001</v>
      </c>
      <c r="I4219">
        <v>173.65469999999999</v>
      </c>
      <c r="J4219">
        <v>-195.95009999999999</v>
      </c>
      <c r="K4219">
        <v>1.1041179999999999</v>
      </c>
      <c r="L4219">
        <v>210.559</v>
      </c>
      <c r="M4219">
        <v>0.85862739999999904</v>
      </c>
      <c r="N4219">
        <v>0</v>
      </c>
      <c r="O4219">
        <v>-0.51214090000000001</v>
      </c>
      <c r="P4219">
        <v>0.82023679999999999</v>
      </c>
      <c r="Q4219">
        <v>2.7318680000000001E-3</v>
      </c>
      <c r="R4219">
        <v>-0.57201759999999902</v>
      </c>
      <c r="S4219">
        <v>1.856522</v>
      </c>
      <c r="T4219">
        <v>0.26863930000000003</v>
      </c>
      <c r="U4219">
        <v>-2.6063689999999999</v>
      </c>
      <c r="V4219">
        <v>7.14814E-2</v>
      </c>
      <c r="W4219">
        <v>2.3201590000000001E-2</v>
      </c>
      <c r="X4219">
        <v>0.99717210000000001</v>
      </c>
      <c r="Y4219">
        <v>0.40251629999999999</v>
      </c>
      <c r="Z4219">
        <v>-2.779146E-2</v>
      </c>
      <c r="AA4219">
        <v>0.91499079999999999</v>
      </c>
      <c r="AB4219">
        <v>20</v>
      </c>
      <c r="AC4219">
        <v>26.197099999999999</v>
      </c>
      <c r="AD4219">
        <v>3.8158829999999999</v>
      </c>
      <c r="AE4219">
        <v>-36.904299999999999</v>
      </c>
      <c r="AF4219">
        <v>18.145738305860501</v>
      </c>
      <c r="AG4219">
        <v>3.8158829999999999</v>
      </c>
      <c r="AH4219">
        <v>41.111230708289199</v>
      </c>
      <c r="AI4219">
        <v>85.146379651803699</v>
      </c>
      <c r="AJ4219">
        <v>66.184221943051995</v>
      </c>
      <c r="AK4219">
        <v>45.099468645258398</v>
      </c>
      <c r="AL4219">
        <v>88.670527585295105</v>
      </c>
      <c r="AM4219">
        <v>85.899816210352498</v>
      </c>
      <c r="AN4219">
        <v>1.0000000506714399</v>
      </c>
    </row>
    <row r="4220" spans="1:40" x14ac:dyDescent="0.25">
      <c r="A4220" t="str">
        <f>"20190312160727817"</f>
        <v>20190312160727817</v>
      </c>
      <c r="B4220" t="str">
        <f>"1552378047809473"</f>
        <v>1552378047809473</v>
      </c>
      <c r="C4220" t="s">
        <v>40</v>
      </c>
      <c r="D4220">
        <v>6.076022</v>
      </c>
      <c r="E4220">
        <v>0.63826649999999996</v>
      </c>
      <c r="F4220" t="s">
        <v>87</v>
      </c>
      <c r="G4220">
        <v>-168.40599999999901</v>
      </c>
      <c r="H4220">
        <v>5.0062280000000001</v>
      </c>
      <c r="I4220">
        <v>171.03280000000001</v>
      </c>
      <c r="J4220">
        <v>-195.78229999999999</v>
      </c>
      <c r="K4220">
        <v>1.10415</v>
      </c>
      <c r="L4220">
        <v>210.44149999999999</v>
      </c>
      <c r="M4220">
        <v>0.85229159999999904</v>
      </c>
      <c r="N4220">
        <v>0</v>
      </c>
      <c r="O4220">
        <v>-0.52261650000000004</v>
      </c>
      <c r="P4220">
        <v>0.81297430000000004</v>
      </c>
      <c r="Q4220">
        <v>2.48526E-3</v>
      </c>
      <c r="R4220">
        <v>-0.58229439999999999</v>
      </c>
      <c r="S4220">
        <v>1.827637</v>
      </c>
      <c r="T4220">
        <v>0.2589166</v>
      </c>
      <c r="U4220">
        <v>-2.622681</v>
      </c>
      <c r="V4220">
        <v>7.1812819999999999E-2</v>
      </c>
      <c r="W4220">
        <v>2.2957040000000001E-2</v>
      </c>
      <c r="X4220">
        <v>0.99715390000000004</v>
      </c>
      <c r="Y4220">
        <v>0.40076390000000001</v>
      </c>
      <c r="Z4220">
        <v>-2.7840150000000001E-2</v>
      </c>
      <c r="AA4220">
        <v>0.91575830000000003</v>
      </c>
      <c r="AB4220">
        <v>20</v>
      </c>
      <c r="AC4220">
        <v>27.376300000000001</v>
      </c>
      <c r="AD4220">
        <v>3.9020779999999999</v>
      </c>
      <c r="AE4220">
        <v>-39.408699999999897</v>
      </c>
      <c r="AF4220">
        <v>19.158248980720501</v>
      </c>
      <c r="AG4220">
        <v>3.9020779999999999</v>
      </c>
      <c r="AH4220">
        <v>43.649924786812797</v>
      </c>
      <c r="AI4220">
        <v>85.320350442693396</v>
      </c>
      <c r="AJ4220">
        <v>66.303002787622702</v>
      </c>
      <c r="AK4220">
        <v>47.828659301926599</v>
      </c>
      <c r="AL4220">
        <v>88.684542938680295</v>
      </c>
      <c r="AM4220">
        <v>85.880796271740707</v>
      </c>
      <c r="AN4220">
        <v>1.0000000035435599</v>
      </c>
    </row>
    <row r="4221" spans="1:40" x14ac:dyDescent="0.25">
      <c r="A4221" t="str">
        <f>"20190312160727839"</f>
        <v>20190312160727839</v>
      </c>
      <c r="B4221" t="str">
        <f>"1552378047829969"</f>
        <v>1552378047829969</v>
      </c>
      <c r="C4221" t="s">
        <v>40</v>
      </c>
      <c r="D4221">
        <v>6.0851660000000001</v>
      </c>
      <c r="E4221">
        <v>0.63710690000000003</v>
      </c>
      <c r="F4221" t="s">
        <v>87</v>
      </c>
      <c r="G4221">
        <v>-168.13480000000001</v>
      </c>
      <c r="H4221">
        <v>5.0067690000000002</v>
      </c>
      <c r="I4221">
        <v>169.9188</v>
      </c>
      <c r="J4221">
        <v>-195.62430000000001</v>
      </c>
      <c r="K4221">
        <v>1.104201</v>
      </c>
      <c r="L4221">
        <v>210.3279</v>
      </c>
      <c r="M4221">
        <v>0.84609780000000001</v>
      </c>
      <c r="N4221">
        <v>0</v>
      </c>
      <c r="O4221">
        <v>-0.532586</v>
      </c>
      <c r="P4221">
        <v>0.8058767</v>
      </c>
      <c r="Q4221">
        <v>2.6364800000000001E-3</v>
      </c>
      <c r="R4221">
        <v>-0.59207790000000005</v>
      </c>
      <c r="S4221">
        <v>1.799866</v>
      </c>
      <c r="T4221">
        <v>0.25406220000000002</v>
      </c>
      <c r="U4221">
        <v>-2.6380460000000001</v>
      </c>
      <c r="V4221">
        <v>7.2158650000000005E-2</v>
      </c>
      <c r="W4221">
        <v>2.3111019999999999E-2</v>
      </c>
      <c r="X4221">
        <v>0.99712540000000005</v>
      </c>
      <c r="Y4221">
        <v>0.39907860000000001</v>
      </c>
      <c r="Z4221">
        <v>-2.830527E-2</v>
      </c>
      <c r="AA4221">
        <v>0.91647970000000001</v>
      </c>
      <c r="AB4221">
        <v>20</v>
      </c>
      <c r="AC4221">
        <v>27.4894999999999</v>
      </c>
      <c r="AD4221">
        <v>3.902568</v>
      </c>
      <c r="AE4221">
        <v>-40.409100000000002</v>
      </c>
      <c r="AF4221">
        <v>19.430238538409601</v>
      </c>
      <c r="AG4221">
        <v>3.902568</v>
      </c>
      <c r="AH4221">
        <v>44.506882641458397</v>
      </c>
      <c r="AI4221">
        <v>85.405561736122294</v>
      </c>
      <c r="AJ4221">
        <v>66.415503940957194</v>
      </c>
      <c r="AK4221">
        <v>48.7198810457772</v>
      </c>
      <c r="AL4221">
        <v>88.675718223837094</v>
      </c>
      <c r="AM4221">
        <v>85.860910250581796</v>
      </c>
      <c r="AN4221">
        <v>1.00000002667021</v>
      </c>
    </row>
    <row r="4222" spans="1:40" x14ac:dyDescent="0.25">
      <c r="A4222" t="str">
        <f>"20190312160727863"</f>
        <v>20190312160727863</v>
      </c>
      <c r="B4222" t="str">
        <f>"1552378047849489"</f>
        <v>1552378047849489</v>
      </c>
      <c r="C4222" t="s">
        <v>40</v>
      </c>
      <c r="D4222">
        <v>5.9775790000000004</v>
      </c>
      <c r="E4222">
        <v>0.63590500000000005</v>
      </c>
      <c r="F4222" t="s">
        <v>87</v>
      </c>
      <c r="G4222">
        <v>-167.7722</v>
      </c>
      <c r="H4222">
        <v>5.0073930000000004</v>
      </c>
      <c r="I4222">
        <v>168.67240000000001</v>
      </c>
      <c r="J4222">
        <v>-195.46039999999999</v>
      </c>
      <c r="K4222">
        <v>1.1042639999999999</v>
      </c>
      <c r="L4222">
        <v>210.20679999999999</v>
      </c>
      <c r="M4222">
        <v>0.83943579999999995</v>
      </c>
      <c r="N4222">
        <v>0</v>
      </c>
      <c r="O4222">
        <v>-0.54302569999999994</v>
      </c>
      <c r="P4222">
        <v>0.798153</v>
      </c>
      <c r="Q4222">
        <v>2.048547E-3</v>
      </c>
      <c r="R4222">
        <v>-0.60245170000000003</v>
      </c>
      <c r="S4222">
        <v>1.773315</v>
      </c>
      <c r="T4222">
        <v>0.2485125</v>
      </c>
      <c r="U4222">
        <v>-2.652161</v>
      </c>
      <c r="V4222">
        <v>7.2690400000000002E-2</v>
      </c>
      <c r="W4222">
        <v>2.2522279999999999E-2</v>
      </c>
      <c r="X4222">
        <v>0.99710019999999999</v>
      </c>
      <c r="Y4222">
        <v>0.39632260000000002</v>
      </c>
      <c r="Z4222">
        <v>-2.8738030000000001E-2</v>
      </c>
      <c r="AA4222">
        <v>0.91766139999999996</v>
      </c>
      <c r="AB4222">
        <v>20</v>
      </c>
      <c r="AC4222">
        <v>27.688199999999899</v>
      </c>
      <c r="AD4222">
        <v>3.9031289999999998</v>
      </c>
      <c r="AE4222">
        <v>-41.534399999999899</v>
      </c>
      <c r="AF4222">
        <v>19.714194234764001</v>
      </c>
      <c r="AG4222">
        <v>3.9031289999999998</v>
      </c>
      <c r="AH4222">
        <v>45.529130054577898</v>
      </c>
      <c r="AI4222">
        <v>85.501812464620798</v>
      </c>
      <c r="AJ4222">
        <v>66.587302654884695</v>
      </c>
      <c r="AK4222">
        <v>49.767314111204698</v>
      </c>
      <c r="AL4222">
        <v>88.709459261899696</v>
      </c>
      <c r="AM4222">
        <v>85.830410731847905</v>
      </c>
      <c r="AN4222">
        <v>0.99999997809429897</v>
      </c>
    </row>
    <row r="4223" spans="1:40" x14ac:dyDescent="0.25">
      <c r="A4223" t="str">
        <f>"20190312160727886"</f>
        <v>20190312160727886</v>
      </c>
      <c r="B4223" t="str">
        <f>"1552378047879745"</f>
        <v>1552378047879745</v>
      </c>
      <c r="C4223" t="s">
        <v>40</v>
      </c>
      <c r="D4223">
        <v>5.8558029999999999</v>
      </c>
      <c r="E4223">
        <v>0.63583339999999999</v>
      </c>
      <c r="F4223" t="s">
        <v>87</v>
      </c>
      <c r="G4223">
        <v>-166.90039999999999</v>
      </c>
      <c r="H4223">
        <v>5.0085499999999996</v>
      </c>
      <c r="I4223">
        <v>166.52860000000001</v>
      </c>
      <c r="J4223">
        <v>-195.2945</v>
      </c>
      <c r="K4223">
        <v>1.104339</v>
      </c>
      <c r="L4223">
        <v>210.08090000000001</v>
      </c>
      <c r="M4223">
        <v>0.83244089999999904</v>
      </c>
      <c r="N4223">
        <v>0</v>
      </c>
      <c r="O4223">
        <v>-0.55368919999999999</v>
      </c>
      <c r="P4223">
        <v>0.79005890000000001</v>
      </c>
      <c r="Q4223">
        <v>1.6597300000000001E-3</v>
      </c>
      <c r="R4223">
        <v>-0.61302860000000003</v>
      </c>
      <c r="S4223">
        <v>1.7444</v>
      </c>
      <c r="T4223">
        <v>0.23846809999999999</v>
      </c>
      <c r="U4223">
        <v>-2.6678009999999999</v>
      </c>
      <c r="V4223">
        <v>7.3241550000000002E-2</v>
      </c>
      <c r="W4223">
        <v>2.213089E-2</v>
      </c>
      <c r="X4223">
        <v>0.99706859999999997</v>
      </c>
      <c r="Y4223">
        <v>0.39403939999999998</v>
      </c>
      <c r="Z4223">
        <v>-2.8590239999999999E-2</v>
      </c>
      <c r="AA4223">
        <v>0.91864880000000004</v>
      </c>
      <c r="AB4223">
        <v>19</v>
      </c>
      <c r="AC4223">
        <v>28.394100000000002</v>
      </c>
      <c r="AD4223">
        <v>3.9042110000000001</v>
      </c>
      <c r="AE4223">
        <v>-43.552300000000002</v>
      </c>
      <c r="AF4223">
        <v>20.422872314067401</v>
      </c>
      <c r="AG4223">
        <v>3.9042110000000001</v>
      </c>
      <c r="AH4223">
        <v>47.494254978386699</v>
      </c>
      <c r="AI4223">
        <v>85.681337240227293</v>
      </c>
      <c r="AJ4223">
        <v>66.731946307543396</v>
      </c>
      <c r="AK4223">
        <v>51.846319377958103</v>
      </c>
      <c r="AL4223">
        <v>88.731889809525001</v>
      </c>
      <c r="AM4223">
        <v>85.798776350964104</v>
      </c>
      <c r="AN4223">
        <v>0.99999994702227502</v>
      </c>
    </row>
    <row r="4224" spans="1:40" x14ac:dyDescent="0.25">
      <c r="A4224" t="str">
        <f>"20190312160727908"</f>
        <v>20190312160727908</v>
      </c>
      <c r="B4224" t="str">
        <f>"1552378047899266"</f>
        <v>1552378047899266</v>
      </c>
      <c r="C4224" t="s">
        <v>40</v>
      </c>
      <c r="D4224">
        <v>5.3972020000000001</v>
      </c>
      <c r="E4224">
        <v>0.66291529999999999</v>
      </c>
      <c r="F4224" t="s">
        <v>87</v>
      </c>
      <c r="G4224">
        <v>-167.0153</v>
      </c>
      <c r="H4224">
        <v>5.0089030000000001</v>
      </c>
      <c r="I4224">
        <v>165.56129999999999</v>
      </c>
      <c r="J4224">
        <v>-195.14009999999999</v>
      </c>
      <c r="K4224">
        <v>1.1044099999999999</v>
      </c>
      <c r="L4224">
        <v>209.9606</v>
      </c>
      <c r="M4224">
        <v>0.82568899999999901</v>
      </c>
      <c r="N4224">
        <v>0</v>
      </c>
      <c r="O4224">
        <v>-0.56370869999999995</v>
      </c>
      <c r="P4224">
        <v>0.78247119999999903</v>
      </c>
      <c r="Q4224">
        <v>1.808762E-3</v>
      </c>
      <c r="R4224">
        <v>-0.62268409999999996</v>
      </c>
      <c r="S4224">
        <v>1.7090299999999901</v>
      </c>
      <c r="T4224">
        <v>0.2359686</v>
      </c>
      <c r="U4224">
        <v>-2.6905060000000001</v>
      </c>
      <c r="V4224">
        <v>7.3434559999999996E-2</v>
      </c>
      <c r="W4224">
        <v>2.2282489999999999E-2</v>
      </c>
      <c r="X4224">
        <v>0.99705109999999997</v>
      </c>
      <c r="Y4224">
        <v>0.39505679999999999</v>
      </c>
      <c r="Z4224">
        <v>-2.9099630000000001E-2</v>
      </c>
      <c r="AA4224">
        <v>0.91819569999999995</v>
      </c>
      <c r="AB4224">
        <v>19</v>
      </c>
      <c r="AC4224">
        <v>28.1248</v>
      </c>
      <c r="AD4224">
        <v>3.904493</v>
      </c>
      <c r="AE4224">
        <v>-44.399299999999997</v>
      </c>
      <c r="AF4224">
        <v>20.6964887847436</v>
      </c>
      <c r="AG4224">
        <v>3.904493</v>
      </c>
      <c r="AH4224">
        <v>47.997062440202697</v>
      </c>
      <c r="AI4224">
        <v>85.727952189315005</v>
      </c>
      <c r="AJ4224">
        <v>66.674138045586503</v>
      </c>
      <c r="AK4224">
        <v>52.414766206602401</v>
      </c>
      <c r="AL4224">
        <v>88.723201719562098</v>
      </c>
      <c r="AM4224">
        <v>85.787671195493104</v>
      </c>
      <c r="AN4224">
        <v>1.0000000199871</v>
      </c>
    </row>
    <row r="4225" spans="1:40" x14ac:dyDescent="0.25">
      <c r="A4225" t="str">
        <f>"20190312160727929"</f>
        <v>20190312160727929</v>
      </c>
      <c r="B4225" t="str">
        <f>"1552378047919761"</f>
        <v>1552378047919761</v>
      </c>
      <c r="C4225" t="s">
        <v>40</v>
      </c>
      <c r="D4225">
        <v>5.8936520000000003</v>
      </c>
      <c r="E4225">
        <v>0.66364140000000005</v>
      </c>
      <c r="F4225" t="s">
        <v>44</v>
      </c>
      <c r="G4225">
        <v>-194.8509</v>
      </c>
      <c r="H4225">
        <v>1.181897</v>
      </c>
      <c r="I4225">
        <v>209.42189999999999</v>
      </c>
      <c r="J4225">
        <v>-194.99889999999999</v>
      </c>
      <c r="K4225">
        <v>1.1044799999999999</v>
      </c>
      <c r="L4225">
        <v>209.8477</v>
      </c>
      <c r="M4225">
        <v>0.81930609999999904</v>
      </c>
      <c r="N4225">
        <v>0</v>
      </c>
      <c r="O4225">
        <v>-0.57294650000000003</v>
      </c>
      <c r="P4225">
        <v>0.77527400000000002</v>
      </c>
      <c r="Q4225">
        <v>8.5403859999999999E-4</v>
      </c>
      <c r="R4225">
        <v>-0.63162450000000003</v>
      </c>
      <c r="S4225">
        <v>1.5439149999999999</v>
      </c>
      <c r="T4225">
        <v>0.41378470000000001</v>
      </c>
      <c r="U4225">
        <v>-2.8765559999999999</v>
      </c>
      <c r="V4225">
        <v>7.3661820000000003E-2</v>
      </c>
      <c r="W4225">
        <v>2.1328090000000001E-2</v>
      </c>
      <c r="X4225">
        <v>0.99705520000000003</v>
      </c>
      <c r="Y4225">
        <v>0.45140950000000002</v>
      </c>
      <c r="Z4225">
        <v>-4.7603260000000001E-2</v>
      </c>
      <c r="AA4225">
        <v>0.89104619999999901</v>
      </c>
      <c r="AB4225">
        <v>19</v>
      </c>
      <c r="AC4225">
        <v>0.147999999999996</v>
      </c>
      <c r="AD4225">
        <v>7.7417E-2</v>
      </c>
      <c r="AE4225">
        <v>-0.425800000000009</v>
      </c>
      <c r="AF4225">
        <v>0.256559631659735</v>
      </c>
      <c r="AG4225">
        <v>7.7417E-2</v>
      </c>
      <c r="AH4225">
        <v>0.35483827437998899</v>
      </c>
      <c r="AI4225">
        <v>79.973590868708001</v>
      </c>
      <c r="AJ4225">
        <v>54.131845037034701</v>
      </c>
      <c r="AK4225">
        <v>0.44466440992207601</v>
      </c>
      <c r="AL4225">
        <v>88.777897806880205</v>
      </c>
      <c r="AM4225">
        <v>85.774699634837205</v>
      </c>
      <c r="AN4225">
        <v>1.0000000114979</v>
      </c>
    </row>
    <row r="4226" spans="1:40" x14ac:dyDescent="0.25">
      <c r="A4226" t="str">
        <f>"20190312160727950"</f>
        <v>20190312160727950</v>
      </c>
      <c r="B4226" t="str">
        <f>"1552378047939281"</f>
        <v>1552378047939281</v>
      </c>
      <c r="C4226" t="s">
        <v>40</v>
      </c>
      <c r="D4226">
        <v>5.7787600000000001</v>
      </c>
      <c r="E4226">
        <v>0.65999319999999995</v>
      </c>
      <c r="F4226" t="s">
        <v>44</v>
      </c>
      <c r="G4226">
        <v>-194.7183</v>
      </c>
      <c r="H4226">
        <v>1.1864749999999999</v>
      </c>
      <c r="I4226">
        <v>209.30850000000001</v>
      </c>
      <c r="J4226">
        <v>-194.85130000000001</v>
      </c>
      <c r="K4226">
        <v>1.104552</v>
      </c>
      <c r="L4226">
        <v>209.7268</v>
      </c>
      <c r="M4226">
        <v>0.81241949999999996</v>
      </c>
      <c r="N4226">
        <v>0</v>
      </c>
      <c r="O4226">
        <v>-0.58267069999999999</v>
      </c>
      <c r="P4226">
        <v>0.76752629999999999</v>
      </c>
      <c r="Q4226">
        <v>1.76607599999999E-4</v>
      </c>
      <c r="R4226">
        <v>-0.64101790000000003</v>
      </c>
      <c r="S4226">
        <v>1.5081180000000001</v>
      </c>
      <c r="T4226">
        <v>0.44073099999999998</v>
      </c>
      <c r="U4226">
        <v>-2.8979949999999999</v>
      </c>
      <c r="V4226">
        <v>7.3904709999999998E-2</v>
      </c>
      <c r="W4226">
        <v>2.0650169999999999E-2</v>
      </c>
      <c r="X4226">
        <v>0.99705149999999998</v>
      </c>
      <c r="Y4226">
        <v>0.45223750000000001</v>
      </c>
      <c r="Z4226">
        <v>-5.2100870000000001E-2</v>
      </c>
      <c r="AA4226">
        <v>0.89037449999999996</v>
      </c>
      <c r="AB4226">
        <v>19</v>
      </c>
      <c r="AC4226">
        <v>0.133000000000009</v>
      </c>
      <c r="AD4226">
        <v>8.1922999999999899E-2</v>
      </c>
      <c r="AE4226">
        <v>-0.41829999999998702</v>
      </c>
      <c r="AF4226">
        <v>0.25356849979638502</v>
      </c>
      <c r="AG4226">
        <v>8.1922999999999899E-2</v>
      </c>
      <c r="AH4226">
        <v>0.34002103046050203</v>
      </c>
      <c r="AI4226">
        <v>79.068384522128099</v>
      </c>
      <c r="AJ4226">
        <v>53.286501519303698</v>
      </c>
      <c r="AK4226">
        <v>0.43199845274423299</v>
      </c>
      <c r="AL4226">
        <v>88.816748324391</v>
      </c>
      <c r="AM4226">
        <v>85.760802304829795</v>
      </c>
      <c r="AN4226">
        <v>1.0000000146667301</v>
      </c>
    </row>
    <row r="4227" spans="1:40" x14ac:dyDescent="0.25">
      <c r="A4227" t="str">
        <f>"20190312160727973"</f>
        <v>20190312160727973</v>
      </c>
      <c r="B4227" t="str">
        <f>"1552378047969537"</f>
        <v>1552378047969537</v>
      </c>
      <c r="C4227" t="s">
        <v>40</v>
      </c>
      <c r="D4227">
        <v>5.4859739999999997</v>
      </c>
      <c r="E4227">
        <v>0.65833779999999997</v>
      </c>
      <c r="F4227" t="s">
        <v>44</v>
      </c>
      <c r="G4227">
        <v>-194.57050000000001</v>
      </c>
      <c r="H4227">
        <v>1.187011</v>
      </c>
      <c r="I4227">
        <v>209.18180000000001</v>
      </c>
      <c r="J4227">
        <v>-194.7046</v>
      </c>
      <c r="K4227">
        <v>1.104627</v>
      </c>
      <c r="L4227">
        <v>209.6036</v>
      </c>
      <c r="M4227">
        <v>0.80535219999999996</v>
      </c>
      <c r="N4227">
        <v>0</v>
      </c>
      <c r="O4227">
        <v>-0.59240119999999996</v>
      </c>
      <c r="P4227">
        <v>0.75964469999999995</v>
      </c>
      <c r="Q4227">
        <v>3.6110539999999999E-4</v>
      </c>
      <c r="R4227">
        <v>-0.65033859999999999</v>
      </c>
      <c r="S4227">
        <v>1.4913639999999999</v>
      </c>
      <c r="T4227">
        <v>0.4378649</v>
      </c>
      <c r="U4227">
        <v>-2.8942260000000002</v>
      </c>
      <c r="V4227">
        <v>7.4080419999999994E-2</v>
      </c>
      <c r="W4227">
        <v>2.0834189999999999E-2</v>
      </c>
      <c r="X4227">
        <v>0.99703459999999999</v>
      </c>
      <c r="Y4227">
        <v>0.44517489999999998</v>
      </c>
      <c r="Z4227">
        <v>-5.3912090000000003E-2</v>
      </c>
      <c r="AA4227">
        <v>0.89381919999999904</v>
      </c>
      <c r="AB4227">
        <v>19</v>
      </c>
      <c r="AC4227">
        <v>0.13409999999998901</v>
      </c>
      <c r="AD4227">
        <v>8.2383999999999999E-2</v>
      </c>
      <c r="AE4227">
        <v>-0.42179999999999002</v>
      </c>
      <c r="AF4227">
        <v>0.25160055952170701</v>
      </c>
      <c r="AG4227">
        <v>8.2383999999999999E-2</v>
      </c>
      <c r="AH4227">
        <v>0.34596990137892902</v>
      </c>
      <c r="AI4227">
        <v>79.099219721626994</v>
      </c>
      <c r="AJ4227">
        <v>53.974133793670802</v>
      </c>
      <c r="AK4227">
        <v>0.43564336063778403</v>
      </c>
      <c r="AL4227">
        <v>88.806202448340699</v>
      </c>
      <c r="AM4227">
        <v>85.750688633980701</v>
      </c>
      <c r="AN4227">
        <v>0.99999998284874603</v>
      </c>
    </row>
    <row r="4228" spans="1:40" x14ac:dyDescent="0.25">
      <c r="A4228" t="str">
        <f>"20190312160727996"</f>
        <v>20190312160727996</v>
      </c>
      <c r="B4228" t="str">
        <f>"1552378047990033"</f>
        <v>1552378047990033</v>
      </c>
      <c r="C4228" t="s">
        <v>40</v>
      </c>
      <c r="D4228">
        <v>5.8778550000000003</v>
      </c>
      <c r="E4228">
        <v>0.65706149999999997</v>
      </c>
      <c r="F4228" t="s">
        <v>44</v>
      </c>
      <c r="G4228">
        <v>-194.4288</v>
      </c>
      <c r="H4228">
        <v>1.185913</v>
      </c>
      <c r="I4228">
        <v>209.0566</v>
      </c>
      <c r="J4228">
        <v>-194.55619999999999</v>
      </c>
      <c r="K4228">
        <v>1.104708</v>
      </c>
      <c r="L4228">
        <v>209.47540000000001</v>
      </c>
      <c r="M4228">
        <v>0.79794880000000001</v>
      </c>
      <c r="N4228">
        <v>0</v>
      </c>
      <c r="O4228">
        <v>-0.60233680000000001</v>
      </c>
      <c r="P4228">
        <v>0.75190009999999996</v>
      </c>
      <c r="Q4228">
        <v>6.3901949999999996E-4</v>
      </c>
      <c r="R4228">
        <v>-0.65927709999999995</v>
      </c>
      <c r="S4228">
        <v>1.4640959999999901</v>
      </c>
      <c r="T4228">
        <v>0.43130469999999999</v>
      </c>
      <c r="U4228">
        <v>-2.9025569999999998</v>
      </c>
      <c r="V4228">
        <v>7.3515449999999996E-2</v>
      </c>
      <c r="W4228">
        <v>2.1121190000000001E-2</v>
      </c>
      <c r="X4228">
        <v>0.99707040000000002</v>
      </c>
      <c r="Y4228">
        <v>0.44184489999999998</v>
      </c>
      <c r="Z4228">
        <v>-5.4936609999999997E-2</v>
      </c>
      <c r="AA4228">
        <v>0.89540769999999903</v>
      </c>
      <c r="AB4228">
        <v>19</v>
      </c>
      <c r="AC4228">
        <v>0.12739999999999399</v>
      </c>
      <c r="AD4228">
        <v>8.1204999999999902E-2</v>
      </c>
      <c r="AE4228">
        <v>-0.418800000000004</v>
      </c>
      <c r="AF4228">
        <v>0.24893699980166001</v>
      </c>
      <c r="AG4228">
        <v>8.1204999999999902E-2</v>
      </c>
      <c r="AH4228">
        <v>0.34222345449054697</v>
      </c>
      <c r="AI4228">
        <v>79.1375782477201</v>
      </c>
      <c r="AJ4228">
        <v>53.967456795177497</v>
      </c>
      <c r="AK4228">
        <v>0.43090692115432</v>
      </c>
      <c r="AL4228">
        <v>88.789754965881897</v>
      </c>
      <c r="AM4228">
        <v>85.783129271051394</v>
      </c>
      <c r="AN4228">
        <v>1.0000000043059301</v>
      </c>
    </row>
    <row r="4229" spans="1:40" x14ac:dyDescent="0.25">
      <c r="A4229" t="str">
        <f>"20190312160728018"</f>
        <v>20190312160728018</v>
      </c>
      <c r="B4229" t="str">
        <f>"1552378048009557"</f>
        <v>1552378048009557</v>
      </c>
      <c r="C4229" t="s">
        <v>40</v>
      </c>
      <c r="D4229">
        <v>5.889805</v>
      </c>
      <c r="E4229">
        <v>0.65484370000000003</v>
      </c>
      <c r="F4229" t="s">
        <v>44</v>
      </c>
      <c r="G4229">
        <v>-194.25899999999999</v>
      </c>
      <c r="H4229">
        <v>1.1925969999999999</v>
      </c>
      <c r="I4229">
        <v>208.87280000000001</v>
      </c>
      <c r="J4229">
        <v>-194.42070000000001</v>
      </c>
      <c r="K4229">
        <v>1.1047880000000001</v>
      </c>
      <c r="L4229">
        <v>209.35550000000001</v>
      </c>
      <c r="M4229">
        <v>0.79097320000000004</v>
      </c>
      <c r="N4229">
        <v>0</v>
      </c>
      <c r="O4229">
        <v>-0.61146889999999998</v>
      </c>
      <c r="P4229">
        <v>0.74468080000000003</v>
      </c>
      <c r="Q4229">
        <v>9.9753400000000001E-4</v>
      </c>
      <c r="R4229">
        <v>-0.66742049999999997</v>
      </c>
      <c r="S4229">
        <v>1.4364779999999999</v>
      </c>
      <c r="T4229">
        <v>0.42466320000000002</v>
      </c>
      <c r="U4229">
        <v>-2.911743</v>
      </c>
      <c r="V4229">
        <v>7.2906460000000006E-2</v>
      </c>
      <c r="W4229">
        <v>2.1478259999999999E-2</v>
      </c>
      <c r="X4229">
        <v>0.99710750000000004</v>
      </c>
      <c r="Y4229">
        <v>0.43951610000000002</v>
      </c>
      <c r="Z4229">
        <v>-5.5704499999999997E-2</v>
      </c>
      <c r="AA4229">
        <v>0.89650580000000002</v>
      </c>
      <c r="AB4229">
        <v>18</v>
      </c>
      <c r="AC4229">
        <v>0.16169999999999601</v>
      </c>
      <c r="AD4229">
        <v>8.7808999999999998E-2</v>
      </c>
      <c r="AE4229">
        <v>-0.48269999999999402</v>
      </c>
      <c r="AF4229">
        <v>0.27481765840561401</v>
      </c>
      <c r="AG4229">
        <v>8.7808999999999998E-2</v>
      </c>
      <c r="AH4229">
        <v>0.41092882569273198</v>
      </c>
      <c r="AI4229">
        <v>79.927985888244606</v>
      </c>
      <c r="AJ4229">
        <v>56.226506094568897</v>
      </c>
      <c r="AK4229">
        <v>0.50209328380068297</v>
      </c>
      <c r="AL4229">
        <v>88.769291735176694</v>
      </c>
      <c r="AM4229">
        <v>85.818091740671207</v>
      </c>
      <c r="AN4229">
        <v>1.0000000170593</v>
      </c>
    </row>
    <row r="4230" spans="1:40" x14ac:dyDescent="0.25">
      <c r="A4230" t="str">
        <f>"20190312160728040"</f>
        <v>20190312160728040</v>
      </c>
      <c r="B4230" t="str">
        <f>"1552378048030050"</f>
        <v>1552378048030050</v>
      </c>
      <c r="C4230" t="s">
        <v>40</v>
      </c>
      <c r="D4230">
        <v>5.9430430000000003</v>
      </c>
      <c r="E4230">
        <v>0.653644</v>
      </c>
      <c r="F4230" t="s">
        <v>44</v>
      </c>
      <c r="G4230">
        <v>-194.13399999999999</v>
      </c>
      <c r="H4230">
        <v>1.189546</v>
      </c>
      <c r="I4230">
        <v>208.76570000000001</v>
      </c>
      <c r="J4230">
        <v>-194.28399999999999</v>
      </c>
      <c r="K4230">
        <v>1.104873</v>
      </c>
      <c r="L4230">
        <v>209.23159999999999</v>
      </c>
      <c r="M4230">
        <v>0.78373000000000004</v>
      </c>
      <c r="N4230">
        <v>0</v>
      </c>
      <c r="O4230">
        <v>-0.62072649999999996</v>
      </c>
      <c r="P4230">
        <v>0.73756489999999997</v>
      </c>
      <c r="Q4230">
        <v>1.8324239999999999E-4</v>
      </c>
      <c r="R4230">
        <v>-0.67527630000000005</v>
      </c>
      <c r="S4230">
        <v>1.4163059999999901</v>
      </c>
      <c r="T4230">
        <v>0.4187324</v>
      </c>
      <c r="U4230">
        <v>-2.9140630000000001</v>
      </c>
      <c r="V4230">
        <v>7.1735170000000001E-2</v>
      </c>
      <c r="W4230">
        <v>2.0663049999999999E-2</v>
      </c>
      <c r="X4230">
        <v>0.99720969999999998</v>
      </c>
      <c r="Y4230">
        <v>0.43429440000000002</v>
      </c>
      <c r="Z4230">
        <v>-5.6758959999999997E-2</v>
      </c>
      <c r="AA4230">
        <v>0.89898099999999903</v>
      </c>
      <c r="AB4230">
        <v>18</v>
      </c>
      <c r="AC4230">
        <v>0.15000000000000499</v>
      </c>
      <c r="AD4230">
        <v>8.4672999999999998E-2</v>
      </c>
      <c r="AE4230">
        <v>-0.465899999999976</v>
      </c>
      <c r="AF4230">
        <v>0.26418774390393801</v>
      </c>
      <c r="AG4230">
        <v>8.4672999999999998E-2</v>
      </c>
      <c r="AH4230">
        <v>0.39502854482081801</v>
      </c>
      <c r="AI4230">
        <v>79.897452435997593</v>
      </c>
      <c r="AJ4230">
        <v>56.226130595341701</v>
      </c>
      <c r="AK4230">
        <v>0.48271340584378403</v>
      </c>
      <c r="AL4230">
        <v>88.816010228464194</v>
      </c>
      <c r="AM4230">
        <v>85.885464446254304</v>
      </c>
      <c r="AN4230">
        <v>1.0000000410121599</v>
      </c>
    </row>
    <row r="4231" spans="1:40" x14ac:dyDescent="0.25">
      <c r="A4231" t="str">
        <f>"20190312160728064"</f>
        <v>20190312160728064</v>
      </c>
      <c r="B4231" t="str">
        <f>"1552378048059329"</f>
        <v>1552378048059329</v>
      </c>
      <c r="C4231" t="s">
        <v>40</v>
      </c>
      <c r="D4231">
        <v>5.3480359999999996</v>
      </c>
      <c r="E4231">
        <v>0.65225419999999901</v>
      </c>
      <c r="F4231" t="s">
        <v>44</v>
      </c>
      <c r="G4231">
        <v>-194.0025</v>
      </c>
      <c r="H4231">
        <v>1.187252</v>
      </c>
      <c r="I4231">
        <v>208.6404</v>
      </c>
      <c r="J4231">
        <v>-194.14410000000001</v>
      </c>
      <c r="K4231">
        <v>1.1049629999999999</v>
      </c>
      <c r="L4231">
        <v>209.10159999999999</v>
      </c>
      <c r="M4231">
        <v>0.77609220000000001</v>
      </c>
      <c r="N4231">
        <v>0</v>
      </c>
      <c r="O4231">
        <v>-0.63025159999999902</v>
      </c>
      <c r="P4231">
        <v>0.72970930000000001</v>
      </c>
      <c r="Q4231">
        <v>-2.754489E-4</v>
      </c>
      <c r="R4231">
        <v>-0.68375799999999998</v>
      </c>
      <c r="S4231">
        <v>1.3918459999999999</v>
      </c>
      <c r="T4231">
        <v>0.40715279999999998</v>
      </c>
      <c r="U4231">
        <v>-2.9223180000000002</v>
      </c>
      <c r="V4231">
        <v>7.1073170000000005E-2</v>
      </c>
      <c r="W4231">
        <v>2.01906E-2</v>
      </c>
      <c r="X4231">
        <v>0.99726669999999995</v>
      </c>
      <c r="Y4231">
        <v>0.43042970000000003</v>
      </c>
      <c r="Z4231">
        <v>-5.6885829999999998E-2</v>
      </c>
      <c r="AA4231">
        <v>0.90082980000000001</v>
      </c>
      <c r="AB4231">
        <v>18</v>
      </c>
      <c r="AC4231">
        <v>0.14160000000001099</v>
      </c>
      <c r="AD4231">
        <v>8.2289000000000001E-2</v>
      </c>
      <c r="AE4231">
        <v>-0.46119999999999101</v>
      </c>
      <c r="AF4231">
        <v>0.26115475593795801</v>
      </c>
      <c r="AG4231">
        <v>8.2289000000000001E-2</v>
      </c>
      <c r="AH4231">
        <v>0.38933291025009698</v>
      </c>
      <c r="AI4231">
        <v>80.044417440051703</v>
      </c>
      <c r="AJ4231">
        <v>56.147281642755097</v>
      </c>
      <c r="AK4231">
        <v>0.47597626104021701</v>
      </c>
      <c r="AL4231">
        <v>88.843085177995107</v>
      </c>
      <c r="AM4231">
        <v>85.923538585127702</v>
      </c>
      <c r="AN4231">
        <v>0.99999996337554797</v>
      </c>
    </row>
    <row r="4232" spans="1:40" x14ac:dyDescent="0.25">
      <c r="A4232" t="str">
        <f>"20190312160728086"</f>
        <v>20190312160728086</v>
      </c>
      <c r="B4232" t="str">
        <f>"1552378048079826"</f>
        <v>1552378048079826</v>
      </c>
      <c r="C4232" t="s">
        <v>40</v>
      </c>
      <c r="D4232">
        <v>5.9535410000000004</v>
      </c>
      <c r="E4232">
        <v>0.65088590000000002</v>
      </c>
      <c r="F4232" t="s">
        <v>44</v>
      </c>
      <c r="G4232">
        <v>-193.8681</v>
      </c>
      <c r="H4232">
        <v>1.183899</v>
      </c>
      <c r="I4232">
        <v>208.50899999999999</v>
      </c>
      <c r="J4232">
        <v>-194.00649999999999</v>
      </c>
      <c r="K4232">
        <v>1.1050719999999901</v>
      </c>
      <c r="L4232">
        <v>208.97059999999999</v>
      </c>
      <c r="M4232">
        <v>0.76835710000000002</v>
      </c>
      <c r="N4232">
        <v>0</v>
      </c>
      <c r="O4232">
        <v>-0.63965989999999995</v>
      </c>
      <c r="P4232">
        <v>0.72145609999999905</v>
      </c>
      <c r="Q4232">
        <v>2.1092689999999999E-4</v>
      </c>
      <c r="R4232">
        <v>-0.69246019999999997</v>
      </c>
      <c r="S4232">
        <v>1.365143</v>
      </c>
      <c r="T4232">
        <v>0.39036310000000002</v>
      </c>
      <c r="U4232">
        <v>-2.9308169999999998</v>
      </c>
      <c r="V4232">
        <v>7.0885799999999999E-2</v>
      </c>
      <c r="W4232">
        <v>2.0658280000000001E-2</v>
      </c>
      <c r="X4232">
        <v>0.99727049999999995</v>
      </c>
      <c r="Y4232">
        <v>0.42716709999999902</v>
      </c>
      <c r="Z4232">
        <v>-5.6138899999999999E-2</v>
      </c>
      <c r="AA4232">
        <v>0.90242820000000001</v>
      </c>
      <c r="AB4232">
        <v>18</v>
      </c>
      <c r="AC4232">
        <v>0.13839999999999</v>
      </c>
      <c r="AD4232">
        <v>7.8827000000000202E-2</v>
      </c>
      <c r="AE4232">
        <v>-0.46159999999997497</v>
      </c>
      <c r="AF4232">
        <v>0.259269087555073</v>
      </c>
      <c r="AG4232">
        <v>7.8827000000000202E-2</v>
      </c>
      <c r="AH4232">
        <v>0.391232444648975</v>
      </c>
      <c r="AI4232">
        <v>80.466059528210593</v>
      </c>
      <c r="AJ4232">
        <v>56.467630190036402</v>
      </c>
      <c r="AK4232">
        <v>0.47591699006933302</v>
      </c>
      <c r="AL4232">
        <v>88.816283545832604</v>
      </c>
      <c r="AM4232">
        <v>85.934264701761407</v>
      </c>
      <c r="AN4232">
        <v>1.00000000567222</v>
      </c>
    </row>
    <row r="4233" spans="1:40" x14ac:dyDescent="0.25">
      <c r="A4233" t="str">
        <f>"20190312160728109"</f>
        <v>20190312160728109</v>
      </c>
      <c r="B4233" t="str">
        <f>"1552378048099344"</f>
        <v>1552378048099344</v>
      </c>
      <c r="C4233" t="s">
        <v>40</v>
      </c>
      <c r="D4233">
        <v>5.3777889999999999</v>
      </c>
      <c r="E4233">
        <v>0.64959639999999996</v>
      </c>
      <c r="F4233" t="s">
        <v>44</v>
      </c>
      <c r="G4233">
        <v>-193.73689999999999</v>
      </c>
      <c r="H4233">
        <v>1.181816</v>
      </c>
      <c r="I4233">
        <v>208.3775</v>
      </c>
      <c r="J4233">
        <v>-193.88059999999999</v>
      </c>
      <c r="K4233">
        <v>1.105175</v>
      </c>
      <c r="L4233">
        <v>208.8477</v>
      </c>
      <c r="M4233">
        <v>0.76107950000000002</v>
      </c>
      <c r="N4233">
        <v>0</v>
      </c>
      <c r="O4233">
        <v>-0.64830369999999904</v>
      </c>
      <c r="P4233">
        <v>0.71383640000000004</v>
      </c>
      <c r="Q4233">
        <v>-4.4988560000000001E-4</v>
      </c>
      <c r="R4233">
        <v>-0.70031259999999995</v>
      </c>
      <c r="S4233">
        <v>1.336929</v>
      </c>
      <c r="T4233">
        <v>0.38034950000000001</v>
      </c>
      <c r="U4233">
        <v>-2.9393310000000001</v>
      </c>
      <c r="V4233">
        <v>7.0511649999999995E-2</v>
      </c>
      <c r="W4233">
        <v>1.9982739999999999E-2</v>
      </c>
      <c r="X4233">
        <v>0.99731080000000005</v>
      </c>
      <c r="Y4233">
        <v>0.42510959999999998</v>
      </c>
      <c r="Z4233">
        <v>-5.6089939999999998E-2</v>
      </c>
      <c r="AA4233">
        <v>0.90340229999999999</v>
      </c>
      <c r="AB4233">
        <v>18</v>
      </c>
      <c r="AC4233">
        <v>0.143699999999995</v>
      </c>
      <c r="AD4233">
        <v>7.6640999999999904E-2</v>
      </c>
      <c r="AE4233">
        <v>-0.470200000000005</v>
      </c>
      <c r="AF4233">
        <v>0.25847866062654501</v>
      </c>
      <c r="AG4233">
        <v>7.6640999999999904E-2</v>
      </c>
      <c r="AH4233">
        <v>0.404466981118076</v>
      </c>
      <c r="AI4233">
        <v>80.928321610130993</v>
      </c>
      <c r="AJ4233">
        <v>57.418982099825598</v>
      </c>
      <c r="AK4233">
        <v>0.48608497168197201</v>
      </c>
      <c r="AL4233">
        <v>88.854997144181993</v>
      </c>
      <c r="AM4233">
        <v>85.955815983006701</v>
      </c>
      <c r="AN4233">
        <v>1.00000001724013</v>
      </c>
    </row>
    <row r="4234" spans="1:40" x14ac:dyDescent="0.25">
      <c r="A4234" t="str">
        <f>"20190312160728130"</f>
        <v>20190312160728130</v>
      </c>
      <c r="B4234" t="str">
        <f>"1552378048119842"</f>
        <v>1552378048119842</v>
      </c>
      <c r="C4234" t="s">
        <v>40</v>
      </c>
      <c r="D4234">
        <v>6.0090560000000002</v>
      </c>
      <c r="E4234">
        <v>0.64823520000000001</v>
      </c>
      <c r="F4234" t="s">
        <v>44</v>
      </c>
      <c r="G4234">
        <v>-193.6148</v>
      </c>
      <c r="H4234">
        <v>1.180164</v>
      </c>
      <c r="I4234">
        <v>208.25110000000001</v>
      </c>
      <c r="J4234">
        <v>-193.7576</v>
      </c>
      <c r="K4234">
        <v>1.105275</v>
      </c>
      <c r="L4234">
        <v>208.72499999999999</v>
      </c>
      <c r="M4234">
        <v>0.75378769999999995</v>
      </c>
      <c r="N4234">
        <v>0</v>
      </c>
      <c r="O4234">
        <v>-0.65676880000000004</v>
      </c>
      <c r="P4234">
        <v>0.70601340000000001</v>
      </c>
      <c r="Q4234">
        <v>1.6302990000000001E-4</v>
      </c>
      <c r="R4234">
        <v>-0.70819869999999996</v>
      </c>
      <c r="S4234">
        <v>1.3123929999999999</v>
      </c>
      <c r="T4234">
        <v>0.37031019999999998</v>
      </c>
      <c r="U4234">
        <v>-2.9462890000000002</v>
      </c>
      <c r="V4234">
        <v>7.0447430000000005E-2</v>
      </c>
      <c r="W4234">
        <v>2.0575329999999999E-2</v>
      </c>
      <c r="X4234">
        <v>0.99730319999999995</v>
      </c>
      <c r="Y4234">
        <v>0.4220641</v>
      </c>
      <c r="Z4234">
        <v>-5.5989070000000002E-2</v>
      </c>
      <c r="AA4234">
        <v>0.90483539999999996</v>
      </c>
      <c r="AB4234">
        <v>18</v>
      </c>
      <c r="AC4234">
        <v>0.14279999999999399</v>
      </c>
      <c r="AD4234">
        <v>7.48889999999999E-2</v>
      </c>
      <c r="AE4234">
        <v>-0.473899999999986</v>
      </c>
      <c r="AF4234">
        <v>0.25759650390516797</v>
      </c>
      <c r="AG4234">
        <v>7.48889999999999E-2</v>
      </c>
      <c r="AH4234">
        <v>0.40960240004371601</v>
      </c>
      <c r="AI4234">
        <v>81.202083722413605</v>
      </c>
      <c r="AJ4234">
        <v>57.834457804794297</v>
      </c>
      <c r="AK4234">
        <v>0.48963092964674598</v>
      </c>
      <c r="AL4234">
        <v>88.821037150308001</v>
      </c>
      <c r="AM4234">
        <v>85.959456416418405</v>
      </c>
      <c r="AN4234">
        <v>0.99999992866422405</v>
      </c>
    </row>
    <row r="4235" spans="1:40" x14ac:dyDescent="0.25">
      <c r="A4235" t="str">
        <f>"20190312160728152"</f>
        <v>20190312160728152</v>
      </c>
      <c r="B4235" t="str">
        <f>"1552378048150097"</f>
        <v>1552378048150097</v>
      </c>
      <c r="C4235" t="s">
        <v>40</v>
      </c>
      <c r="D4235">
        <v>6.1206839999999998</v>
      </c>
      <c r="E4235">
        <v>0.64661429999999998</v>
      </c>
      <c r="F4235" t="s">
        <v>53</v>
      </c>
      <c r="G4235">
        <v>-154.17689999999999</v>
      </c>
      <c r="H4235">
        <v>12.34173</v>
      </c>
      <c r="I4235">
        <v>117.9042</v>
      </c>
      <c r="J4235">
        <v>-193.63380000000001</v>
      </c>
      <c r="K4235">
        <v>1.10538</v>
      </c>
      <c r="L4235">
        <v>208.59880000000001</v>
      </c>
      <c r="M4235">
        <v>0.74627100000000002</v>
      </c>
      <c r="N4235">
        <v>0</v>
      </c>
      <c r="O4235">
        <v>-0.66529879999999997</v>
      </c>
      <c r="P4235">
        <v>0.69744659999999903</v>
      </c>
      <c r="Q4235">
        <v>5.00571E-4</v>
      </c>
      <c r="R4235">
        <v>-0.71663699999999997</v>
      </c>
      <c r="S4235">
        <v>1.2869569999999999</v>
      </c>
      <c r="T4235">
        <v>0.36535079999999998</v>
      </c>
      <c r="U4235">
        <v>-2.9530180000000001</v>
      </c>
      <c r="V4235">
        <v>7.10977E-2</v>
      </c>
      <c r="W4235">
        <v>2.0879959999999999E-2</v>
      </c>
      <c r="X4235">
        <v>0.99725079999999999</v>
      </c>
      <c r="Y4235">
        <v>0.41907230000000001</v>
      </c>
      <c r="Z4235">
        <v>-5.6610130000000002E-2</v>
      </c>
      <c r="AA4235">
        <v>0.9061863</v>
      </c>
      <c r="AB4235">
        <v>18</v>
      </c>
      <c r="AC4235">
        <v>39.456899999999997</v>
      </c>
      <c r="AD4235">
        <v>11.23635</v>
      </c>
      <c r="AE4235">
        <v>-90.694599999999994</v>
      </c>
      <c r="AF4235">
        <v>40.9135453458317</v>
      </c>
      <c r="AG4235">
        <v>11.23635</v>
      </c>
      <c r="AH4235">
        <v>88.660779707430194</v>
      </c>
      <c r="AI4235">
        <v>83.435684645284994</v>
      </c>
      <c r="AJ4235">
        <v>65.228489976346196</v>
      </c>
      <c r="AK4235">
        <v>98.289916127837898</v>
      </c>
      <c r="AL4235">
        <v>88.803579478644806</v>
      </c>
      <c r="AM4235">
        <v>85.922071594506605</v>
      </c>
      <c r="AN4235">
        <v>1.0000000068877599</v>
      </c>
    </row>
    <row r="4236" spans="1:40" x14ac:dyDescent="0.25">
      <c r="A4236" t="str">
        <f>"20190312160728175"</f>
        <v>20190312160728175</v>
      </c>
      <c r="B4236" t="str">
        <f>"1552378048169621"</f>
        <v>1552378048169621</v>
      </c>
      <c r="C4236" t="s">
        <v>40</v>
      </c>
      <c r="D4236">
        <v>5.7011469999999997</v>
      </c>
      <c r="E4236">
        <v>0.62917939999999895</v>
      </c>
      <c r="F4236" t="s">
        <v>53</v>
      </c>
      <c r="G4236">
        <v>-155.43620000000001</v>
      </c>
      <c r="H4236">
        <v>11.831770000000001</v>
      </c>
      <c r="I4236">
        <v>118.8867</v>
      </c>
      <c r="J4236">
        <v>-193.50960000000001</v>
      </c>
      <c r="K4236">
        <v>1.105483</v>
      </c>
      <c r="L4236">
        <v>208.4691</v>
      </c>
      <c r="M4236">
        <v>0.73853519999999995</v>
      </c>
      <c r="N4236">
        <v>0</v>
      </c>
      <c r="O4236">
        <v>-0.67387710000000001</v>
      </c>
      <c r="P4236">
        <v>0.68878850000000003</v>
      </c>
      <c r="Q4236">
        <v>9.2741850000000001E-4</v>
      </c>
      <c r="R4236">
        <v>-0.72496190000000005</v>
      </c>
      <c r="S4236">
        <v>1.260132</v>
      </c>
      <c r="T4236">
        <v>0.35386109999999998</v>
      </c>
      <c r="U4236">
        <v>-2.9595790000000002</v>
      </c>
      <c r="V4236">
        <v>7.1553549999999994E-2</v>
      </c>
      <c r="W4236">
        <v>2.12766E-2</v>
      </c>
      <c r="X4236">
        <v>0.99720980000000004</v>
      </c>
      <c r="Y4236">
        <v>0.41624420000000001</v>
      </c>
      <c r="Z4236">
        <v>-5.6178760000000001E-2</v>
      </c>
      <c r="AA4236">
        <v>0.90751570000000004</v>
      </c>
      <c r="AB4236">
        <v>17</v>
      </c>
      <c r="AC4236">
        <v>38.0733999999999</v>
      </c>
      <c r="AD4236">
        <v>10.726286999999999</v>
      </c>
      <c r="AE4236">
        <v>-89.582399999999893</v>
      </c>
      <c r="AF4236">
        <v>40.026137981456699</v>
      </c>
      <c r="AG4236">
        <v>10.726286999999999</v>
      </c>
      <c r="AH4236">
        <v>87.444362515675607</v>
      </c>
      <c r="AI4236">
        <v>83.635817795353304</v>
      </c>
      <c r="AJ4236">
        <v>65.4048845144616</v>
      </c>
      <c r="AK4236">
        <v>96.766014128359501</v>
      </c>
      <c r="AL4236">
        <v>88.780848615680796</v>
      </c>
      <c r="AM4236">
        <v>85.895846446691706</v>
      </c>
      <c r="AN4236">
        <v>0.99999999472060097</v>
      </c>
    </row>
    <row r="4237" spans="1:40" x14ac:dyDescent="0.25">
      <c r="A4237" t="str">
        <f>"20190312160728189"</f>
        <v>20190312160728189</v>
      </c>
      <c r="B4237" t="str">
        <f>"1552378048179377"</f>
        <v>1552378048179377</v>
      </c>
      <c r="C4237" t="s">
        <v>40</v>
      </c>
      <c r="D4237">
        <v>5.7692740000000002</v>
      </c>
      <c r="E4237">
        <v>0.6279479</v>
      </c>
      <c r="F4237" t="s">
        <v>53</v>
      </c>
      <c r="G4237">
        <v>-151.905</v>
      </c>
      <c r="H4237">
        <v>8.6951780000000003</v>
      </c>
      <c r="I4237">
        <v>117.90300000000001</v>
      </c>
      <c r="J4237">
        <v>-193.4314</v>
      </c>
      <c r="K4237">
        <v>1.105551</v>
      </c>
      <c r="L4237">
        <v>208.38560000000001</v>
      </c>
      <c r="M4237">
        <v>0.73355579999999998</v>
      </c>
      <c r="N4237">
        <v>0</v>
      </c>
      <c r="O4237">
        <v>-0.67929499999999998</v>
      </c>
      <c r="P4237">
        <v>0.68338140000000003</v>
      </c>
      <c r="Q4237">
        <v>9.7891129999999995E-4</v>
      </c>
      <c r="R4237">
        <v>-0.73006110000000002</v>
      </c>
      <c r="S4237">
        <v>1.323288</v>
      </c>
      <c r="T4237">
        <v>0.24140010000000001</v>
      </c>
      <c r="U4237">
        <v>-2.8805689999999999</v>
      </c>
      <c r="V4237">
        <v>7.1622259999999993E-2</v>
      </c>
      <c r="W4237">
        <v>2.1312830000000001E-2</v>
      </c>
      <c r="X4237">
        <v>0.99720410000000004</v>
      </c>
      <c r="Y4237">
        <v>0.383494</v>
      </c>
      <c r="Z4237">
        <v>-4.0513489999999999E-2</v>
      </c>
      <c r="AA4237">
        <v>0.92265430000000004</v>
      </c>
      <c r="AB4237">
        <v>17</v>
      </c>
      <c r="AC4237">
        <v>41.526400000000002</v>
      </c>
      <c r="AD4237">
        <v>7.5896270000000001</v>
      </c>
      <c r="AE4237">
        <v>-90.482600000000005</v>
      </c>
      <c r="AF4237">
        <v>37.953457989341899</v>
      </c>
      <c r="AG4237">
        <v>7.5896270000000001</v>
      </c>
      <c r="AH4237">
        <v>91.415915027620301</v>
      </c>
      <c r="AI4237">
        <v>85.615297544209199</v>
      </c>
      <c r="AJ4237">
        <v>67.453074142321</v>
      </c>
      <c r="AK4237">
        <v>99.272034993169001</v>
      </c>
      <c r="AL4237">
        <v>88.778772326373598</v>
      </c>
      <c r="AM4237">
        <v>85.891895478090504</v>
      </c>
      <c r="AN4237">
        <v>1.00000000095346</v>
      </c>
    </row>
    <row r="4238" spans="1:40" x14ac:dyDescent="0.25">
      <c r="A4238" t="str">
        <f>"20190312160728208"</f>
        <v>20190312160728208</v>
      </c>
      <c r="B4238" t="str">
        <f>"1552378048199882"</f>
        <v>1552378048199882</v>
      </c>
      <c r="C4238" t="s">
        <v>40</v>
      </c>
      <c r="D4238">
        <v>6.0182379999999904</v>
      </c>
      <c r="E4238">
        <v>0.62555179999999999</v>
      </c>
      <c r="F4238" t="s">
        <v>53</v>
      </c>
      <c r="G4238">
        <v>-152.35939999999999</v>
      </c>
      <c r="H4238">
        <v>8.6147200000000002</v>
      </c>
      <c r="I4238">
        <v>117.9029</v>
      </c>
      <c r="J4238">
        <v>-193.3304</v>
      </c>
      <c r="K4238">
        <v>1.1056429999999999</v>
      </c>
      <c r="L4238">
        <v>208.27610000000001</v>
      </c>
      <c r="M4238">
        <v>0.7270143</v>
      </c>
      <c r="N4238">
        <v>0</v>
      </c>
      <c r="O4238">
        <v>-0.68629249999999997</v>
      </c>
      <c r="P4238">
        <v>0.67634930000000004</v>
      </c>
      <c r="Q4238">
        <v>1.067382E-3</v>
      </c>
      <c r="R4238">
        <v>-0.73658020000000002</v>
      </c>
      <c r="S4238">
        <v>1.3089599999999999</v>
      </c>
      <c r="T4238">
        <v>0.23931620000000001</v>
      </c>
      <c r="U4238">
        <v>-2.883667</v>
      </c>
      <c r="V4238">
        <v>7.1626270000000006E-2</v>
      </c>
      <c r="W4238">
        <v>2.1382439999999999E-2</v>
      </c>
      <c r="X4238">
        <v>0.99720229999999999</v>
      </c>
      <c r="Y4238">
        <v>0.37882159999999998</v>
      </c>
      <c r="Z4238">
        <v>-4.0974320000000002E-2</v>
      </c>
      <c r="AA4238">
        <v>0.9245622</v>
      </c>
      <c r="AB4238">
        <v>17</v>
      </c>
      <c r="AC4238">
        <v>40.970999999999997</v>
      </c>
      <c r="AD4238">
        <v>7.5090769999999996</v>
      </c>
      <c r="AE4238">
        <v>-90.373199999999997</v>
      </c>
      <c r="AF4238">
        <v>37.378967132304197</v>
      </c>
      <c r="AG4238">
        <v>7.5090769999999996</v>
      </c>
      <c r="AH4238">
        <v>91.306844557441906</v>
      </c>
      <c r="AI4238">
        <v>85.647645987869595</v>
      </c>
      <c r="AJ4238">
        <v>67.736911724446202</v>
      </c>
      <c r="AK4238">
        <v>98.947022614663197</v>
      </c>
      <c r="AL4238">
        <v>88.774783031418707</v>
      </c>
      <c r="AM4238">
        <v>85.891658869981498</v>
      </c>
      <c r="AN4238">
        <v>0.99999997920987804</v>
      </c>
    </row>
    <row r="4239" spans="1:40" x14ac:dyDescent="0.25">
      <c r="A4239" t="str">
        <f>"20190312160728231"</f>
        <v>20190312160728231</v>
      </c>
      <c r="B4239" t="str">
        <f>"1552378048219393"</f>
        <v>1552378048219393</v>
      </c>
      <c r="C4239" t="s">
        <v>40</v>
      </c>
      <c r="D4239">
        <v>5.9115489999999999</v>
      </c>
      <c r="E4239">
        <v>0.62490990000000002</v>
      </c>
      <c r="F4239" t="s">
        <v>53</v>
      </c>
      <c r="G4239">
        <v>-152.7227</v>
      </c>
      <c r="H4239">
        <v>8.525347</v>
      </c>
      <c r="I4239">
        <v>117.9029</v>
      </c>
      <c r="J4239">
        <v>-193.21709999999999</v>
      </c>
      <c r="K4239">
        <v>1.105742</v>
      </c>
      <c r="L4239">
        <v>208.1508</v>
      </c>
      <c r="M4239">
        <v>0.71950729999999996</v>
      </c>
      <c r="N4239">
        <v>0</v>
      </c>
      <c r="O4239">
        <v>-0.69416</v>
      </c>
      <c r="P4239">
        <v>0.66836509999999905</v>
      </c>
      <c r="Q4239">
        <v>1.274255E-3</v>
      </c>
      <c r="R4239">
        <v>-0.74383269999999901</v>
      </c>
      <c r="S4239">
        <v>1.2954559999999999</v>
      </c>
      <c r="T4239">
        <v>0.2367013</v>
      </c>
      <c r="U4239">
        <v>-2.883057</v>
      </c>
      <c r="V4239">
        <v>7.1533150000000004E-2</v>
      </c>
      <c r="W4239">
        <v>2.1569789999999998E-2</v>
      </c>
      <c r="X4239">
        <v>0.99720500000000001</v>
      </c>
      <c r="Y4239">
        <v>0.3722821</v>
      </c>
      <c r="Z4239">
        <v>-4.150123E-2</v>
      </c>
      <c r="AA4239">
        <v>0.92719130000000005</v>
      </c>
      <c r="AB4239">
        <v>17</v>
      </c>
      <c r="AC4239">
        <v>40.494399999999899</v>
      </c>
      <c r="AD4239">
        <v>7.4196049999999998</v>
      </c>
      <c r="AE4239">
        <v>-90.247900000000001</v>
      </c>
      <c r="AF4239">
        <v>36.626666388257199</v>
      </c>
      <c r="AG4239">
        <v>7.4196049999999998</v>
      </c>
      <c r="AH4239">
        <v>91.289585336961693</v>
      </c>
      <c r="AI4239">
        <v>85.686304214823494</v>
      </c>
      <c r="AJ4239">
        <v>68.138649009567004</v>
      </c>
      <c r="AK4239">
        <v>98.642544675546205</v>
      </c>
      <c r="AL4239">
        <v>88.764046252982794</v>
      </c>
      <c r="AM4239">
        <v>85.896992866824604</v>
      </c>
      <c r="AN4239">
        <v>1.00000002970728</v>
      </c>
    </row>
    <row r="4240" spans="1:40" x14ac:dyDescent="0.25">
      <c r="A4240" t="str">
        <f>"20190312160728245"</f>
        <v>20190312160728245</v>
      </c>
      <c r="B4240" t="str">
        <f>"1552378048239890"</f>
        <v>1552378048239890</v>
      </c>
      <c r="C4240" t="s">
        <v>40</v>
      </c>
      <c r="D4240">
        <v>6.1384089999999896</v>
      </c>
      <c r="E4240">
        <v>0.62436999999999998</v>
      </c>
      <c r="F4240" t="s">
        <v>53</v>
      </c>
      <c r="G4240">
        <v>-153.67439999999999</v>
      </c>
      <c r="H4240">
        <v>8.5754179999999902</v>
      </c>
      <c r="I4240">
        <v>117.9029</v>
      </c>
      <c r="J4240">
        <v>-193.14009999999999</v>
      </c>
      <c r="K4240">
        <v>1.105809</v>
      </c>
      <c r="L4240">
        <v>208.06389999999999</v>
      </c>
      <c r="M4240">
        <v>0.71430019999999905</v>
      </c>
      <c r="N4240">
        <v>0</v>
      </c>
      <c r="O4240">
        <v>-0.69951750000000001</v>
      </c>
      <c r="P4240">
        <v>0.66271530000000001</v>
      </c>
      <c r="Q4240">
        <v>1.4384109999999999E-3</v>
      </c>
      <c r="R4240">
        <v>-0.74887029999999999</v>
      </c>
      <c r="S4240">
        <v>1.267838</v>
      </c>
      <c r="T4240">
        <v>0.2394966</v>
      </c>
      <c r="U4240">
        <v>-2.89357</v>
      </c>
      <c r="V4240">
        <v>7.1627819999999995E-2</v>
      </c>
      <c r="W4240">
        <v>2.171853E-2</v>
      </c>
      <c r="X4240">
        <v>0.9971949</v>
      </c>
      <c r="Y4240">
        <v>0.37401960000000001</v>
      </c>
      <c r="Z4240">
        <v>-4.2438679999999999E-2</v>
      </c>
      <c r="AA4240">
        <v>0.92644930000000003</v>
      </c>
      <c r="AB4240">
        <v>17</v>
      </c>
      <c r="AC4240">
        <v>39.465699999999998</v>
      </c>
      <c r="AD4240">
        <v>7.4696089999999904</v>
      </c>
      <c r="AE4240">
        <v>-90.161000000000001</v>
      </c>
      <c r="AF4240">
        <v>36.592587899548001</v>
      </c>
      <c r="AG4240">
        <v>7.4696089999999904</v>
      </c>
      <c r="AH4240">
        <v>90.7573500458128</v>
      </c>
      <c r="AI4240">
        <v>85.634952077904799</v>
      </c>
      <c r="AJ4240">
        <v>68.041129000628104</v>
      </c>
      <c r="AK4240">
        <v>98.141271314046193</v>
      </c>
      <c r="AL4240">
        <v>88.755521987692504</v>
      </c>
      <c r="AM4240">
        <v>85.891539885978403</v>
      </c>
      <c r="AN4240">
        <v>0.99999995386466001</v>
      </c>
    </row>
    <row r="4241" spans="1:40" x14ac:dyDescent="0.25">
      <c r="A4241" t="str">
        <f>"20190312160728264"</f>
        <v>20190312160728264</v>
      </c>
      <c r="B4241" t="str">
        <f>"1552378048259456"</f>
        <v>1552378048259456</v>
      </c>
      <c r="C4241" t="s">
        <v>40</v>
      </c>
      <c r="D4241">
        <v>5.797682</v>
      </c>
      <c r="E4241">
        <v>0.63930120000000001</v>
      </c>
      <c r="F4241" t="s">
        <v>53</v>
      </c>
      <c r="G4241">
        <v>-154.31780000000001</v>
      </c>
      <c r="H4241">
        <v>8.2423649999999995</v>
      </c>
      <c r="I4241">
        <v>117.9028</v>
      </c>
      <c r="J4241">
        <v>-193.0463</v>
      </c>
      <c r="K4241">
        <v>1.105891</v>
      </c>
      <c r="L4241">
        <v>207.9564</v>
      </c>
      <c r="M4241">
        <v>0.70784630000000004</v>
      </c>
      <c r="N4241">
        <v>0</v>
      </c>
      <c r="O4241">
        <v>-0.70604869999999897</v>
      </c>
      <c r="P4241">
        <v>0.65624989999999905</v>
      </c>
      <c r="Q4241">
        <v>1.5842930000000001E-3</v>
      </c>
      <c r="R4241">
        <v>-0.75454200000000005</v>
      </c>
      <c r="S4241">
        <v>1.2488859999999999</v>
      </c>
      <c r="T4241">
        <v>0.22957839999999999</v>
      </c>
      <c r="U4241">
        <v>-2.9004210000000001</v>
      </c>
      <c r="V4241">
        <v>7.1043029999999993E-2</v>
      </c>
      <c r="W4241">
        <v>2.1855349999999999E-2</v>
      </c>
      <c r="X4241">
        <v>0.99723379999999995</v>
      </c>
      <c r="Y4241">
        <v>0.37137880000000001</v>
      </c>
      <c r="Z4241">
        <v>-4.1344760000000001E-2</v>
      </c>
      <c r="AA4241">
        <v>0.92756039999999995</v>
      </c>
      <c r="AB4241">
        <v>17</v>
      </c>
      <c r="AC4241">
        <v>38.728499999999997</v>
      </c>
      <c r="AD4241">
        <v>7.1364739999999998</v>
      </c>
      <c r="AE4241">
        <v>-90.053600000000003</v>
      </c>
      <c r="AF4241">
        <v>36.2161318161358</v>
      </c>
      <c r="AG4241">
        <v>7.1364739999999998</v>
      </c>
      <c r="AH4241">
        <v>90.536649643495593</v>
      </c>
      <c r="AI4241">
        <v>85.814215377917904</v>
      </c>
      <c r="AJ4241">
        <v>68.197787480588005</v>
      </c>
      <c r="AK4241">
        <v>97.772298702369994</v>
      </c>
      <c r="AL4241">
        <v>88.747680988084298</v>
      </c>
      <c r="AM4241">
        <v>85.925127488045902</v>
      </c>
      <c r="AN4241">
        <v>1.00000001014882</v>
      </c>
    </row>
    <row r="4242" spans="1:40" x14ac:dyDescent="0.25">
      <c r="A4242" t="str">
        <f>"20190312160728287"</f>
        <v>20190312160728287</v>
      </c>
      <c r="B4242" t="str">
        <f>"1552378048279952"</f>
        <v>1552378048279952</v>
      </c>
      <c r="C4242" t="s">
        <v>40</v>
      </c>
      <c r="D4242">
        <v>5.7238360000000004</v>
      </c>
      <c r="E4242">
        <v>0.65661380000000003</v>
      </c>
      <c r="F4242" t="s">
        <v>53</v>
      </c>
      <c r="G4242">
        <v>-158.73740000000001</v>
      </c>
      <c r="H4242">
        <v>13.7866</v>
      </c>
      <c r="I4242">
        <v>117.84569999999999</v>
      </c>
      <c r="J4242">
        <v>-192.93129999999999</v>
      </c>
      <c r="K4242">
        <v>1.105988</v>
      </c>
      <c r="L4242">
        <v>207.8219</v>
      </c>
      <c r="M4242">
        <v>0.69974789999999998</v>
      </c>
      <c r="N4242">
        <v>0</v>
      </c>
      <c r="O4242">
        <v>-0.71407690000000001</v>
      </c>
      <c r="P4242">
        <v>0.64766259999999998</v>
      </c>
      <c r="Q4242">
        <v>1.2573809999999999E-3</v>
      </c>
      <c r="R4242">
        <v>-0.76192660000000001</v>
      </c>
      <c r="S4242">
        <v>1.1369629999999999</v>
      </c>
      <c r="T4242">
        <v>0.42022569999999998</v>
      </c>
      <c r="U4242">
        <v>-2.9861759999999999</v>
      </c>
      <c r="V4242">
        <v>7.0953310000000006E-2</v>
      </c>
      <c r="W4242">
        <v>2.150782E-2</v>
      </c>
      <c r="X4242">
        <v>0.99724780000000002</v>
      </c>
      <c r="Y4242">
        <v>0.40099370000000001</v>
      </c>
      <c r="Z4242">
        <v>-7.4170200000000006E-2</v>
      </c>
      <c r="AA4242">
        <v>0.91307329999999998</v>
      </c>
      <c r="AB4242">
        <v>17</v>
      </c>
      <c r="AC4242">
        <v>34.1938999999999</v>
      </c>
      <c r="AD4242">
        <v>12.680612</v>
      </c>
      <c r="AE4242">
        <v>-89.976200000000006</v>
      </c>
      <c r="AF4242">
        <v>37.8945219132926</v>
      </c>
      <c r="AG4242">
        <v>12.680612</v>
      </c>
      <c r="AH4242">
        <v>86.692164055669807</v>
      </c>
      <c r="AI4242">
        <v>82.366321065236804</v>
      </c>
      <c r="AJ4242">
        <v>66.389097360218798</v>
      </c>
      <c r="AK4242">
        <v>95.458493704786306</v>
      </c>
      <c r="AL4242">
        <v>88.767597741650803</v>
      </c>
      <c r="AM4242">
        <v>85.930313269595601</v>
      </c>
      <c r="AN4242">
        <v>1.00000006656297</v>
      </c>
    </row>
    <row r="4243" spans="1:40" x14ac:dyDescent="0.25">
      <c r="A4243" t="str">
        <f>"20190312160728310"</f>
        <v>20190312160728310</v>
      </c>
      <c r="B4243" t="str">
        <f>"1552378048299472"</f>
        <v>1552378048299472</v>
      </c>
      <c r="C4243" t="s">
        <v>40</v>
      </c>
      <c r="D4243">
        <v>5.7297089999999997</v>
      </c>
      <c r="E4243">
        <v>0.66222599999999998</v>
      </c>
      <c r="F4243" t="s">
        <v>44</v>
      </c>
      <c r="G4243">
        <v>-192.73679999999999</v>
      </c>
      <c r="H4243">
        <v>1.2075670000000001</v>
      </c>
      <c r="I4243">
        <v>207.22040000000001</v>
      </c>
      <c r="J4243">
        <v>-192.82380000000001</v>
      </c>
      <c r="K4243">
        <v>1.106082</v>
      </c>
      <c r="L4243">
        <v>207.69319999999999</v>
      </c>
      <c r="M4243">
        <v>0.69198579999999998</v>
      </c>
      <c r="N4243">
        <v>0</v>
      </c>
      <c r="O4243">
        <v>-0.72160259999999998</v>
      </c>
      <c r="P4243">
        <v>0.63915509999999998</v>
      </c>
      <c r="Q4243">
        <v>1.238853E-3</v>
      </c>
      <c r="R4243">
        <v>-0.76907729999999996</v>
      </c>
      <c r="S4243">
        <v>0.9993744</v>
      </c>
      <c r="T4243">
        <v>0.5212871</v>
      </c>
      <c r="U4243">
        <v>-3.0869900000000001</v>
      </c>
      <c r="V4243">
        <v>7.1246749999999998E-2</v>
      </c>
      <c r="W4243">
        <v>2.146491E-2</v>
      </c>
      <c r="X4243">
        <v>0.99722770000000005</v>
      </c>
      <c r="Y4243">
        <v>0.43732339999999997</v>
      </c>
      <c r="Z4243">
        <v>-8.9450370000000001E-2</v>
      </c>
      <c r="AA4243">
        <v>0.89484459999999999</v>
      </c>
      <c r="AB4243">
        <v>17</v>
      </c>
      <c r="AC4243">
        <v>8.7000000000017494E-2</v>
      </c>
      <c r="AD4243">
        <v>0.10148500000000001</v>
      </c>
      <c r="AE4243">
        <v>-0.47279999999997802</v>
      </c>
      <c r="AF4243">
        <v>0.25316809132664703</v>
      </c>
      <c r="AG4243">
        <v>0.10148500000000001</v>
      </c>
      <c r="AH4243">
        <v>0.38433811659520201</v>
      </c>
      <c r="AI4243">
        <v>77.564699578659599</v>
      </c>
      <c r="AJ4243">
        <v>56.626628187498397</v>
      </c>
      <c r="AK4243">
        <v>0.47128449535172001</v>
      </c>
      <c r="AL4243">
        <v>88.770056744558701</v>
      </c>
      <c r="AM4243">
        <v>85.913457173817903</v>
      </c>
      <c r="AN4243">
        <v>0.999999963697079</v>
      </c>
    </row>
    <row r="4244" spans="1:40" x14ac:dyDescent="0.25">
      <c r="A4244" t="str">
        <f>"20190312160728331"</f>
        <v>20190312160728331</v>
      </c>
      <c r="B4244" t="str">
        <f>"1552378048319969"</f>
        <v>1552378048319969</v>
      </c>
      <c r="C4244" t="s">
        <v>40</v>
      </c>
      <c r="D4244">
        <v>5.7232960000000004</v>
      </c>
      <c r="E4244">
        <v>0.66445959999999904</v>
      </c>
      <c r="F4244" t="s">
        <v>44</v>
      </c>
      <c r="G4244">
        <v>-192.6489</v>
      </c>
      <c r="H4244">
        <v>1.2109379999999901</v>
      </c>
      <c r="I4244">
        <v>207.1062</v>
      </c>
      <c r="J4244">
        <v>-192.72200000000001</v>
      </c>
      <c r="K4244">
        <v>1.106174</v>
      </c>
      <c r="L4244">
        <v>207.56880000000001</v>
      </c>
      <c r="M4244">
        <v>0.68447019999999903</v>
      </c>
      <c r="N4244">
        <v>0</v>
      </c>
      <c r="O4244">
        <v>-0.7287363</v>
      </c>
      <c r="P4244">
        <v>0.63115429999999995</v>
      </c>
      <c r="Q4244">
        <v>1.32789E-3</v>
      </c>
      <c r="R4244">
        <v>-0.77565649999999997</v>
      </c>
      <c r="S4244">
        <v>0.93104549999999997</v>
      </c>
      <c r="T4244">
        <v>0.55844579999999999</v>
      </c>
      <c r="U4244">
        <v>-3.1261290000000002</v>
      </c>
      <c r="V4244">
        <v>7.1236679999999997E-2</v>
      </c>
      <c r="W4244">
        <v>2.153499E-2</v>
      </c>
      <c r="X4244">
        <v>0.99722699999999997</v>
      </c>
      <c r="Y4244">
        <v>0.449214</v>
      </c>
      <c r="Z4244">
        <v>-9.5878069999999996E-2</v>
      </c>
      <c r="AA4244">
        <v>0.88826469999999902</v>
      </c>
      <c r="AB4244">
        <v>16</v>
      </c>
      <c r="AC4244">
        <v>7.3100000000010795E-2</v>
      </c>
      <c r="AD4244">
        <v>0.104763999999999</v>
      </c>
      <c r="AE4244">
        <v>-0.462600000000008</v>
      </c>
      <c r="AF4244">
        <v>0.25087065684517701</v>
      </c>
      <c r="AG4244">
        <v>0.104763999999999</v>
      </c>
      <c r="AH4244">
        <v>0.36878101458019902</v>
      </c>
      <c r="AI4244">
        <v>76.781674982938696</v>
      </c>
      <c r="AJ4244">
        <v>55.773721208752498</v>
      </c>
      <c r="AK4244">
        <v>0.458160472844102</v>
      </c>
      <c r="AL4244">
        <v>88.766040640452999</v>
      </c>
      <c r="AM4244">
        <v>85.914029950045801</v>
      </c>
      <c r="AN4244">
        <v>1.00000005495035</v>
      </c>
    </row>
    <row r="4245" spans="1:40" x14ac:dyDescent="0.25">
      <c r="A4245" t="str">
        <f>"20190312160728347"</f>
        <v>20190312160728347</v>
      </c>
      <c r="B4245" t="str">
        <f>"1552378048339489"</f>
        <v>1552378048339489</v>
      </c>
      <c r="C4245" t="s">
        <v>40</v>
      </c>
      <c r="D4245">
        <v>5.9131410000000004</v>
      </c>
      <c r="E4245">
        <v>0.6648849</v>
      </c>
      <c r="F4245" t="s">
        <v>44</v>
      </c>
      <c r="G4245">
        <v>-192.55869999999999</v>
      </c>
      <c r="H4245">
        <v>1.2124200000000001</v>
      </c>
      <c r="I4245">
        <v>206.98759999999999</v>
      </c>
      <c r="J4245">
        <v>-192.65090000000001</v>
      </c>
      <c r="K4245">
        <v>1.1062430000000001</v>
      </c>
      <c r="L4245">
        <v>207.48</v>
      </c>
      <c r="M4245">
        <v>0.67910219999999999</v>
      </c>
      <c r="N4245">
        <v>0</v>
      </c>
      <c r="O4245">
        <v>-0.73374159999999999</v>
      </c>
      <c r="P4245">
        <v>0.62563590000000002</v>
      </c>
      <c r="Q4245">
        <v>1.629971E-3</v>
      </c>
      <c r="R4245">
        <v>-0.78011359999999996</v>
      </c>
      <c r="S4245">
        <v>0.88494869999999903</v>
      </c>
      <c r="T4245">
        <v>0.57519330000000002</v>
      </c>
      <c r="U4245">
        <v>-3.1465610000000002</v>
      </c>
      <c r="V4245">
        <v>7.0989659999999996E-2</v>
      </c>
      <c r="W4245">
        <v>2.1826740000000001E-2</v>
      </c>
      <c r="X4245">
        <v>0.99723819999999996</v>
      </c>
      <c r="Y4245">
        <v>0.45627699999999999</v>
      </c>
      <c r="Z4245">
        <v>-9.9075730000000001E-2</v>
      </c>
      <c r="AA4245">
        <v>0.88430489999999995</v>
      </c>
      <c r="AB4245">
        <v>16</v>
      </c>
      <c r="AC4245">
        <v>9.22000000000196E-2</v>
      </c>
      <c r="AD4245">
        <v>0.10617699999999899</v>
      </c>
      <c r="AE4245">
        <v>-0.492400000000003</v>
      </c>
      <c r="AF4245">
        <v>0.25532826310248802</v>
      </c>
      <c r="AG4245">
        <v>0.10617699999999899</v>
      </c>
      <c r="AH4245">
        <v>0.40577346777406598</v>
      </c>
      <c r="AI4245">
        <v>77.512315334707793</v>
      </c>
      <c r="AJ4245">
        <v>57.820319515052503</v>
      </c>
      <c r="AK4245">
        <v>0.49103786454541798</v>
      </c>
      <c r="AL4245">
        <v>88.749320577447804</v>
      </c>
      <c r="AM4245">
        <v>85.928196279084503</v>
      </c>
      <c r="AN4245">
        <v>0.99999998297259096</v>
      </c>
    </row>
    <row r="4246" spans="1:40" x14ac:dyDescent="0.25">
      <c r="A4246" t="str">
        <f>"20190312160728365"</f>
        <v>20190312160728365</v>
      </c>
      <c r="B4246" t="str">
        <f>"1552378048359984"</f>
        <v>1552378048359984</v>
      </c>
      <c r="C4246" t="s">
        <v>40</v>
      </c>
      <c r="D4246">
        <v>5.8254429999999999</v>
      </c>
      <c r="E4246">
        <v>0.66449559999999996</v>
      </c>
      <c r="F4246" t="s">
        <v>44</v>
      </c>
      <c r="G4246">
        <v>-192.49039999999999</v>
      </c>
      <c r="H4246">
        <v>1.2142010000000001</v>
      </c>
      <c r="I4246">
        <v>206.89089999999999</v>
      </c>
      <c r="J4246">
        <v>-192.56880000000001</v>
      </c>
      <c r="K4246">
        <v>1.106314</v>
      </c>
      <c r="L4246">
        <v>207.376</v>
      </c>
      <c r="M4246">
        <v>0.67280299999999904</v>
      </c>
      <c r="N4246">
        <v>0</v>
      </c>
      <c r="O4246">
        <v>-0.73952280000000004</v>
      </c>
      <c r="P4246">
        <v>0.61897389999999997</v>
      </c>
      <c r="Q4246">
        <v>1.1918339999999999E-3</v>
      </c>
      <c r="R4246">
        <v>-0.78541070000000002</v>
      </c>
      <c r="S4246">
        <v>0.86010739999999997</v>
      </c>
      <c r="T4246">
        <v>0.57811459999999903</v>
      </c>
      <c r="U4246">
        <v>-3.1546020000000001</v>
      </c>
      <c r="V4246">
        <v>7.0940080000000003E-2</v>
      </c>
      <c r="W4246">
        <v>2.1373380000000001E-2</v>
      </c>
      <c r="X4246">
        <v>0.99725160000000002</v>
      </c>
      <c r="Y4246">
        <v>0.45577230000000002</v>
      </c>
      <c r="Z4246">
        <v>-0.1008367</v>
      </c>
      <c r="AA4246">
        <v>0.88436619999999999</v>
      </c>
      <c r="AB4246">
        <v>16</v>
      </c>
      <c r="AC4246">
        <v>7.8400000000016207E-2</v>
      </c>
      <c r="AD4246">
        <v>0.107887</v>
      </c>
      <c r="AE4246">
        <v>-0.48509999999998799</v>
      </c>
      <c r="AF4246">
        <v>0.25611203432346502</v>
      </c>
      <c r="AG4246">
        <v>0.107887</v>
      </c>
      <c r="AH4246">
        <v>0.39265400997766098</v>
      </c>
      <c r="AI4246">
        <v>77.039840362339703</v>
      </c>
      <c r="AJ4246">
        <v>56.885245768244303</v>
      </c>
      <c r="AK4246">
        <v>0.481051089226333</v>
      </c>
      <c r="AL4246">
        <v>88.775302318202904</v>
      </c>
      <c r="AM4246">
        <v>85.931085009456496</v>
      </c>
      <c r="AN4246">
        <v>1.00000003501279</v>
      </c>
    </row>
    <row r="4247" spans="1:40" x14ac:dyDescent="0.25">
      <c r="A4247" t="str">
        <f>"20190312160728379"</f>
        <v>20190312160728379</v>
      </c>
      <c r="B4247" t="str">
        <f>"1552378048369744"</f>
        <v>1552378048369744</v>
      </c>
      <c r="C4247" t="s">
        <v>40</v>
      </c>
      <c r="D4247">
        <v>5.8926819999999998</v>
      </c>
      <c r="E4247">
        <v>0.66424689999999997</v>
      </c>
      <c r="F4247" t="s">
        <v>44</v>
      </c>
      <c r="G4247">
        <v>-192.4119</v>
      </c>
      <c r="H4247">
        <v>1.214286</v>
      </c>
      <c r="I4247">
        <v>206.78190000000001</v>
      </c>
      <c r="J4247">
        <v>-192.5052</v>
      </c>
      <c r="K4247">
        <v>1.1063730000000001</v>
      </c>
      <c r="L4247">
        <v>207.29419999999999</v>
      </c>
      <c r="M4247">
        <v>0.6678404</v>
      </c>
      <c r="N4247">
        <v>0</v>
      </c>
      <c r="O4247">
        <v>-0.74400840000000001</v>
      </c>
      <c r="P4247">
        <v>0.6138536</v>
      </c>
      <c r="Q4247">
        <v>9.155818E-4</v>
      </c>
      <c r="R4247">
        <v>-0.78941949999999905</v>
      </c>
      <c r="S4247">
        <v>0.83555599999999997</v>
      </c>
      <c r="T4247">
        <v>0.57433559999999995</v>
      </c>
      <c r="U4247">
        <v>-3.1602480000000002</v>
      </c>
      <c r="V4247">
        <v>7.074648E-2</v>
      </c>
      <c r="W4247">
        <v>2.1085909999999999E-2</v>
      </c>
      <c r="X4247">
        <v>0.99727140000000003</v>
      </c>
      <c r="Y4247">
        <v>0.45663559999999997</v>
      </c>
      <c r="Z4247">
        <v>-0.1011417</v>
      </c>
      <c r="AA4247">
        <v>0.8838859</v>
      </c>
      <c r="AB4247">
        <v>16</v>
      </c>
      <c r="AC4247">
        <v>9.3299999999999203E-2</v>
      </c>
      <c r="AD4247">
        <v>0.107912999999999</v>
      </c>
      <c r="AE4247">
        <v>-0.51229999999998199</v>
      </c>
      <c r="AF4247">
        <v>0.26154626368101502</v>
      </c>
      <c r="AG4247">
        <v>0.107912999999999</v>
      </c>
      <c r="AH4247">
        <v>0.42529770431283198</v>
      </c>
      <c r="AI4247">
        <v>77.803950892487705</v>
      </c>
      <c r="AJ4247">
        <v>58.409640135959499</v>
      </c>
      <c r="AK4247">
        <v>0.51081288248072299</v>
      </c>
      <c r="AL4247">
        <v>88.791776760906401</v>
      </c>
      <c r="AM4247">
        <v>85.942232488746896</v>
      </c>
      <c r="AN4247">
        <v>0.999999962645438</v>
      </c>
    </row>
    <row r="4248" spans="1:40" x14ac:dyDescent="0.25">
      <c r="A4248" t="str">
        <f>"20190312160728392"</f>
        <v>20190312160728392</v>
      </c>
      <c r="B4248" t="str">
        <f>"1552378048379504"</f>
        <v>1552378048379504</v>
      </c>
      <c r="C4248" t="s">
        <v>40</v>
      </c>
      <c r="D4248">
        <v>5.8947949999999896</v>
      </c>
      <c r="E4248">
        <v>0.66414340000000005</v>
      </c>
      <c r="F4248" t="s">
        <v>44</v>
      </c>
      <c r="G4248">
        <v>-192.3468</v>
      </c>
      <c r="H4248">
        <v>1.2170719999999999</v>
      </c>
      <c r="I4248">
        <v>206.68039999999999</v>
      </c>
      <c r="J4248">
        <v>-192.44810000000001</v>
      </c>
      <c r="K4248">
        <v>1.106422</v>
      </c>
      <c r="L4248">
        <v>207.22</v>
      </c>
      <c r="M4248">
        <v>0.66333019999999998</v>
      </c>
      <c r="N4248">
        <v>0</v>
      </c>
      <c r="O4248">
        <v>-0.74803299999999995</v>
      </c>
      <c r="P4248">
        <v>0.60911179999999998</v>
      </c>
      <c r="Q4248">
        <v>3.2885E-4</v>
      </c>
      <c r="R4248">
        <v>-0.79308459999999903</v>
      </c>
      <c r="S4248">
        <v>0.81658940000000002</v>
      </c>
      <c r="T4248">
        <v>0.57070549999999998</v>
      </c>
      <c r="U4248">
        <v>-3.1645810000000001</v>
      </c>
      <c r="V4248">
        <v>7.0684250000000004E-2</v>
      </c>
      <c r="W4248">
        <v>2.0484269999999999E-2</v>
      </c>
      <c r="X4248">
        <v>0.99728839999999996</v>
      </c>
      <c r="Y4248">
        <v>0.45652730000000002</v>
      </c>
      <c r="Z4248">
        <v>-0.10142039999999999</v>
      </c>
      <c r="AA4248">
        <v>0.88390990000000003</v>
      </c>
      <c r="AB4248">
        <v>16</v>
      </c>
      <c r="AC4248">
        <v>0.10130000000000899</v>
      </c>
      <c r="AD4248">
        <v>0.110649999999999</v>
      </c>
      <c r="AE4248">
        <v>-0.53960000000000696</v>
      </c>
      <c r="AF4248">
        <v>0.27120358486680901</v>
      </c>
      <c r="AG4248">
        <v>0.110649999999999</v>
      </c>
      <c r="AH4248">
        <v>0.45255567398992302</v>
      </c>
      <c r="AI4248">
        <v>78.155329935024298</v>
      </c>
      <c r="AJ4248">
        <v>59.066956853540603</v>
      </c>
      <c r="AK4248">
        <v>0.53907461914384602</v>
      </c>
      <c r="AL4248">
        <v>88.826255700436306</v>
      </c>
      <c r="AM4248">
        <v>85.945858752354297</v>
      </c>
      <c r="AN4248">
        <v>1.00000001064502</v>
      </c>
    </row>
    <row r="4249" spans="1:40" x14ac:dyDescent="0.25">
      <c r="A4249" t="str">
        <f>"20190312160728409"</f>
        <v>20190312160728409</v>
      </c>
      <c r="B4249" t="str">
        <f>"1552378048399999"</f>
        <v>1552378048399999</v>
      </c>
      <c r="C4249" t="s">
        <v>40</v>
      </c>
      <c r="D4249">
        <v>5.8284940000000001</v>
      </c>
      <c r="E4249">
        <v>0.66298679999999999</v>
      </c>
      <c r="F4249" t="s">
        <v>44</v>
      </c>
      <c r="G4249">
        <v>-192.3005</v>
      </c>
      <c r="H4249">
        <v>1.210923</v>
      </c>
      <c r="I4249">
        <v>206.63399999999999</v>
      </c>
      <c r="J4249">
        <v>-192.3733</v>
      </c>
      <c r="K4249">
        <v>1.106482</v>
      </c>
      <c r="L4249">
        <v>207.12090000000001</v>
      </c>
      <c r="M4249">
        <v>0.65730959999999905</v>
      </c>
      <c r="N4249">
        <v>0</v>
      </c>
      <c r="O4249">
        <v>-0.7533299</v>
      </c>
      <c r="P4249">
        <v>0.60306029999999999</v>
      </c>
      <c r="Q4249" s="1">
        <v>5.8590900000000002E-5</v>
      </c>
      <c r="R4249">
        <v>-0.79769559999999995</v>
      </c>
      <c r="S4249">
        <v>0.79841609999999996</v>
      </c>
      <c r="T4249">
        <v>0.56519069999999905</v>
      </c>
      <c r="U4249">
        <v>-3.1692499999999999</v>
      </c>
      <c r="V4249">
        <v>7.0266079999999995E-2</v>
      </c>
      <c r="W4249">
        <v>2.01906E-2</v>
      </c>
      <c r="X4249">
        <v>0.99732390000000004</v>
      </c>
      <c r="Y4249">
        <v>0.45448680000000002</v>
      </c>
      <c r="Z4249">
        <v>-0.1017458</v>
      </c>
      <c r="AA4249">
        <v>0.88492349999999997</v>
      </c>
      <c r="AB4249">
        <v>16</v>
      </c>
      <c r="AC4249">
        <v>7.2800000000000795E-2</v>
      </c>
      <c r="AD4249">
        <v>0.10444100000000001</v>
      </c>
      <c r="AE4249">
        <v>-0.48689999999999101</v>
      </c>
      <c r="AF4249">
        <v>0.25383586749492298</v>
      </c>
      <c r="AG4249">
        <v>0.10444100000000001</v>
      </c>
      <c r="AH4249">
        <v>0.39687785613863602</v>
      </c>
      <c r="AI4249">
        <v>77.500183603655003</v>
      </c>
      <c r="AJ4249">
        <v>57.397757240520299</v>
      </c>
      <c r="AK4249">
        <v>0.48254803160006798</v>
      </c>
      <c r="AL4249">
        <v>88.843085187880604</v>
      </c>
      <c r="AM4249">
        <v>85.969906880226205</v>
      </c>
      <c r="AN4249">
        <v>0.99999997191906698</v>
      </c>
    </row>
    <row r="4250" spans="1:40" x14ac:dyDescent="0.25">
      <c r="A4250" t="str">
        <f>"20190312160728432"</f>
        <v>20190312160728432</v>
      </c>
      <c r="B4250" t="str">
        <f>"1552378048419520"</f>
        <v>1552378048419520</v>
      </c>
      <c r="C4250" t="s">
        <v>40</v>
      </c>
      <c r="D4250">
        <v>5.8984430000000003</v>
      </c>
      <c r="E4250">
        <v>0.66153809999999902</v>
      </c>
      <c r="F4250" t="s">
        <v>44</v>
      </c>
      <c r="G4250">
        <v>-192.227</v>
      </c>
      <c r="H4250">
        <v>1.21129</v>
      </c>
      <c r="I4250">
        <v>206.52680000000001</v>
      </c>
      <c r="J4250">
        <v>-192.28030000000001</v>
      </c>
      <c r="K4250">
        <v>1.106562</v>
      </c>
      <c r="L4250">
        <v>206.9956</v>
      </c>
      <c r="M4250">
        <v>0.64968099999999995</v>
      </c>
      <c r="N4250">
        <v>0</v>
      </c>
      <c r="O4250">
        <v>-0.75992009999999999</v>
      </c>
      <c r="P4250">
        <v>0.59539089999999995</v>
      </c>
      <c r="Q4250" s="1">
        <v>-1.3346779999999999E-5</v>
      </c>
      <c r="R4250">
        <v>-0.80343640000000005</v>
      </c>
      <c r="S4250">
        <v>0.78167719999999996</v>
      </c>
      <c r="T4250">
        <v>0.55910070000000001</v>
      </c>
      <c r="U4250">
        <v>-3.1698149999999998</v>
      </c>
      <c r="V4250">
        <v>6.9758909999999993E-2</v>
      </c>
      <c r="W4250">
        <v>2.0087150000000002E-2</v>
      </c>
      <c r="X4250">
        <v>0.99736159999999996</v>
      </c>
      <c r="Y4250">
        <v>0.44997740000000003</v>
      </c>
      <c r="Z4250">
        <v>-0.1024921</v>
      </c>
      <c r="AA4250">
        <v>0.88713909999999996</v>
      </c>
      <c r="AB4250">
        <v>16</v>
      </c>
      <c r="AC4250">
        <v>5.3300000000007203E-2</v>
      </c>
      <c r="AD4250">
        <v>0.104727999999999</v>
      </c>
      <c r="AE4250">
        <v>-0.468799999999987</v>
      </c>
      <c r="AF4250">
        <v>0.25172223487172701</v>
      </c>
      <c r="AG4250">
        <v>0.104727999999999</v>
      </c>
      <c r="AH4250">
        <v>0.372605918973206</v>
      </c>
      <c r="AI4250">
        <v>76.889422799328401</v>
      </c>
      <c r="AJ4250">
        <v>55.958129620376099</v>
      </c>
      <c r="AK4250">
        <v>0.46170034477644101</v>
      </c>
      <c r="AL4250">
        <v>88.849013648235996</v>
      </c>
      <c r="AM4250">
        <v>85.999051418048694</v>
      </c>
      <c r="AN4250">
        <v>0.99999998013703495</v>
      </c>
    </row>
    <row r="4251" spans="1:40" x14ac:dyDescent="0.25">
      <c r="A4251" t="str">
        <f>"20190312160728454"</f>
        <v>20190312160728454</v>
      </c>
      <c r="B4251" t="str">
        <f>"1552378048449776"</f>
        <v>1552378048449776</v>
      </c>
      <c r="C4251" t="s">
        <v>40</v>
      </c>
      <c r="D4251">
        <v>5.9037870000000003</v>
      </c>
      <c r="E4251">
        <v>0.65986199999999995</v>
      </c>
      <c r="F4251" t="s">
        <v>44</v>
      </c>
      <c r="G4251">
        <v>-192.13730000000001</v>
      </c>
      <c r="H4251">
        <v>1.2104360000000001</v>
      </c>
      <c r="I4251">
        <v>206.3991</v>
      </c>
      <c r="J4251">
        <v>-192.18549999999999</v>
      </c>
      <c r="K4251">
        <v>1.1066370000000001</v>
      </c>
      <c r="L4251">
        <v>206.86510000000001</v>
      </c>
      <c r="M4251">
        <v>0.64172659999999904</v>
      </c>
      <c r="N4251">
        <v>0</v>
      </c>
      <c r="O4251">
        <v>-0.76665039999999995</v>
      </c>
      <c r="P4251">
        <v>0.58745400000000003</v>
      </c>
      <c r="Q4251">
        <v>-1.325388E-4</v>
      </c>
      <c r="R4251">
        <v>-0.80925760000000002</v>
      </c>
      <c r="S4251">
        <v>0.76057430000000004</v>
      </c>
      <c r="T4251">
        <v>0.55202629999999997</v>
      </c>
      <c r="U4251">
        <v>-3.1703950000000001</v>
      </c>
      <c r="V4251">
        <v>6.9175120000000007E-2</v>
      </c>
      <c r="W4251">
        <v>1.9936969999999998E-2</v>
      </c>
      <c r="X4251">
        <v>0.99740530000000005</v>
      </c>
      <c r="Y4251">
        <v>0.44631029999999999</v>
      </c>
      <c r="Z4251">
        <v>-0.1030267</v>
      </c>
      <c r="AA4251">
        <v>0.88892780000000005</v>
      </c>
      <c r="AB4251">
        <v>16</v>
      </c>
      <c r="AC4251">
        <v>4.8199999999980002E-2</v>
      </c>
      <c r="AD4251">
        <v>0.103798999999999</v>
      </c>
      <c r="AE4251">
        <v>-0.46600000000000802</v>
      </c>
      <c r="AF4251">
        <v>0.249882241270386</v>
      </c>
      <c r="AG4251">
        <v>0.103798999999999</v>
      </c>
      <c r="AH4251">
        <v>0.37010609705407499</v>
      </c>
      <c r="AI4251">
        <v>76.914577585387505</v>
      </c>
      <c r="AJ4251">
        <v>55.974202811027602</v>
      </c>
      <c r="AK4251">
        <v>0.45846907199931303</v>
      </c>
      <c r="AL4251">
        <v>88.857620081928701</v>
      </c>
      <c r="AM4251">
        <v>86.032599972427803</v>
      </c>
      <c r="AN4251">
        <v>1.00000000623394</v>
      </c>
    </row>
    <row r="4252" spans="1:40" x14ac:dyDescent="0.25">
      <c r="A4252" t="str">
        <f>"20190312160728468"</f>
        <v>20190312160728468</v>
      </c>
      <c r="B4252" t="str">
        <f>"1552378048459536"</f>
        <v>1552378048459536</v>
      </c>
      <c r="C4252" t="s">
        <v>40</v>
      </c>
      <c r="D4252">
        <v>5.9661589999999904</v>
      </c>
      <c r="E4252">
        <v>0.65950189999999997</v>
      </c>
      <c r="F4252" t="s">
        <v>44</v>
      </c>
      <c r="G4252">
        <v>-192.03460000000001</v>
      </c>
      <c r="H4252">
        <v>1.216753</v>
      </c>
      <c r="I4252">
        <v>206.2182</v>
      </c>
      <c r="J4252">
        <v>-192.1276</v>
      </c>
      <c r="K4252">
        <v>1.1066940000000001</v>
      </c>
      <c r="L4252">
        <v>206.78360000000001</v>
      </c>
      <c r="M4252">
        <v>0.63675979999999999</v>
      </c>
      <c r="N4252">
        <v>0</v>
      </c>
      <c r="O4252">
        <v>-0.77078190000000002</v>
      </c>
      <c r="P4252">
        <v>0.58225859999999996</v>
      </c>
      <c r="Q4252">
        <v>-2.8470479999999999E-4</v>
      </c>
      <c r="R4252">
        <v>-0.81300380000000005</v>
      </c>
      <c r="S4252">
        <v>0.73982239999999999</v>
      </c>
      <c r="T4252">
        <v>0.53956740000000003</v>
      </c>
      <c r="U4252">
        <v>-3.1701199999999998</v>
      </c>
      <c r="V4252">
        <v>6.91137E-2</v>
      </c>
      <c r="W4252">
        <v>1.9761529999999999E-2</v>
      </c>
      <c r="X4252">
        <v>0.99741299999999999</v>
      </c>
      <c r="Y4252">
        <v>0.44600119999999999</v>
      </c>
      <c r="Z4252">
        <v>-0.10178909999999999</v>
      </c>
      <c r="AA4252">
        <v>0.889225499999999</v>
      </c>
      <c r="AB4252">
        <v>15</v>
      </c>
      <c r="AC4252">
        <v>9.29999999999893E-2</v>
      </c>
      <c r="AD4252">
        <v>0.110058999999999</v>
      </c>
      <c r="AE4252">
        <v>-0.565400000000011</v>
      </c>
      <c r="AF4252">
        <v>0.278142072965188</v>
      </c>
      <c r="AG4252">
        <v>0.110058999999999</v>
      </c>
      <c r="AH4252">
        <v>0.47750895532814103</v>
      </c>
      <c r="AI4252">
        <v>78.736233494440896</v>
      </c>
      <c r="AJ4252">
        <v>59.779817672305001</v>
      </c>
      <c r="AK4252">
        <v>0.56346321854487103</v>
      </c>
      <c r="AL4252">
        <v>88.867673978560902</v>
      </c>
      <c r="AM4252">
        <v>86.036141862324101</v>
      </c>
      <c r="AN4252">
        <v>0.99999995708231404</v>
      </c>
    </row>
    <row r="4253" spans="1:40" x14ac:dyDescent="0.25">
      <c r="A4253" t="str">
        <f>"20190312160728489"</f>
        <v>20190312160728489</v>
      </c>
      <c r="B4253" t="str">
        <f>"1552378048480032"</f>
        <v>1552378048480032</v>
      </c>
      <c r="C4253" t="s">
        <v>40</v>
      </c>
      <c r="D4253">
        <v>5.9137320000000004</v>
      </c>
      <c r="E4253">
        <v>0.65795979999999998</v>
      </c>
      <c r="F4253" t="s">
        <v>44</v>
      </c>
      <c r="G4253">
        <v>-191.98920000000001</v>
      </c>
      <c r="H4253">
        <v>1.209114</v>
      </c>
      <c r="I4253">
        <v>206.1748</v>
      </c>
      <c r="J4253">
        <v>-192.0478</v>
      </c>
      <c r="K4253">
        <v>1.1068199999999999</v>
      </c>
      <c r="L4253">
        <v>206.66990000000001</v>
      </c>
      <c r="M4253">
        <v>0.62983919999999904</v>
      </c>
      <c r="N4253">
        <v>0</v>
      </c>
      <c r="O4253">
        <v>-0.77644619999999998</v>
      </c>
      <c r="P4253">
        <v>0.5752891</v>
      </c>
      <c r="Q4253">
        <v>-9.842389E-4</v>
      </c>
      <c r="R4253">
        <v>-0.81794979999999995</v>
      </c>
      <c r="S4253">
        <v>0.7214661</v>
      </c>
      <c r="T4253">
        <v>0.53386519999999904</v>
      </c>
      <c r="U4253">
        <v>-3.1735229999999999</v>
      </c>
      <c r="V4253">
        <v>6.8703600000000004E-2</v>
      </c>
      <c r="W4253">
        <v>1.910982E-2</v>
      </c>
      <c r="X4253">
        <v>0.99745399999999995</v>
      </c>
      <c r="Y4253">
        <v>0.44310870000000002</v>
      </c>
      <c r="Z4253">
        <v>-0.10211240000000001</v>
      </c>
      <c r="AA4253">
        <v>0.89063329999999996</v>
      </c>
      <c r="AB4253">
        <v>15</v>
      </c>
      <c r="AC4253">
        <v>5.8599999999984199E-2</v>
      </c>
      <c r="AD4253">
        <v>0.102293999999999</v>
      </c>
      <c r="AE4253">
        <v>-0.49510000000000698</v>
      </c>
      <c r="AF4253">
        <v>0.25562966366532103</v>
      </c>
      <c r="AG4253">
        <v>0.102293999999999</v>
      </c>
      <c r="AH4253">
        <v>0.40439391079666098</v>
      </c>
      <c r="AI4253">
        <v>77.930838202977995</v>
      </c>
      <c r="AJ4253">
        <v>57.701777044736801</v>
      </c>
      <c r="AK4253">
        <v>0.489229008206855</v>
      </c>
      <c r="AL4253">
        <v>88.905021233798706</v>
      </c>
      <c r="AM4253">
        <v>86.059749355181395</v>
      </c>
      <c r="AN4253">
        <v>0.99999992599469301</v>
      </c>
    </row>
    <row r="4254" spans="1:40" x14ac:dyDescent="0.25">
      <c r="A4254" t="str">
        <f>"20190312160728511"</f>
        <v>20190312160728511</v>
      </c>
      <c r="B4254" t="str">
        <f>"1552378048499552"</f>
        <v>1552378048499552</v>
      </c>
      <c r="C4254" t="s">
        <v>40</v>
      </c>
      <c r="D4254">
        <v>5.9114909999999998</v>
      </c>
      <c r="E4254">
        <v>0.65718279999999996</v>
      </c>
      <c r="F4254" t="s">
        <v>44</v>
      </c>
      <c r="G4254">
        <v>-191.9117</v>
      </c>
      <c r="H4254">
        <v>1.2082200000000001</v>
      </c>
      <c r="I4254">
        <v>206.0558</v>
      </c>
      <c r="J4254">
        <v>-191.96180000000001</v>
      </c>
      <c r="K4254">
        <v>1.1069580000000001</v>
      </c>
      <c r="L4254">
        <v>206.54490000000001</v>
      </c>
      <c r="M4254">
        <v>0.62222250000000001</v>
      </c>
      <c r="N4254">
        <v>0</v>
      </c>
      <c r="O4254">
        <v>-0.7825626</v>
      </c>
      <c r="P4254">
        <v>0.56751569999999996</v>
      </c>
      <c r="Q4254">
        <v>-1.08541E-3</v>
      </c>
      <c r="R4254">
        <v>-0.82336180000000003</v>
      </c>
      <c r="S4254">
        <v>0.70434569999999996</v>
      </c>
      <c r="T4254">
        <v>0.52387359999999905</v>
      </c>
      <c r="U4254">
        <v>-3.1729129999999999</v>
      </c>
      <c r="V4254">
        <v>6.839953E-2</v>
      </c>
      <c r="W4254">
        <v>1.9061669999999999E-2</v>
      </c>
      <c r="X4254">
        <v>0.99747589999999997</v>
      </c>
      <c r="Y4254">
        <v>0.43889539999999999</v>
      </c>
      <c r="Z4254">
        <v>-0.10187160000000001</v>
      </c>
      <c r="AA4254">
        <v>0.89274469999999995</v>
      </c>
      <c r="AB4254">
        <v>15</v>
      </c>
      <c r="AC4254">
        <v>5.0100000000014598E-2</v>
      </c>
      <c r="AD4254">
        <v>0.101262</v>
      </c>
      <c r="AE4254">
        <v>-0.48910000000000697</v>
      </c>
      <c r="AF4254">
        <v>0.25438927173328102</v>
      </c>
      <c r="AG4254">
        <v>0.101262</v>
      </c>
      <c r="AH4254">
        <v>0.397167165271476</v>
      </c>
      <c r="AI4254">
        <v>77.8827470464812</v>
      </c>
      <c r="AJ4254">
        <v>57.360059389912998</v>
      </c>
      <c r="AK4254">
        <v>0.48239988742408402</v>
      </c>
      <c r="AL4254">
        <v>88.907780616903295</v>
      </c>
      <c r="AM4254">
        <v>86.077219499591095</v>
      </c>
      <c r="AN4254">
        <v>1.0000000070241</v>
      </c>
    </row>
    <row r="4255" spans="1:40" x14ac:dyDescent="0.25">
      <c r="A4255" t="str">
        <f>"20190312160728532"</f>
        <v>20190312160728532</v>
      </c>
      <c r="B4255" t="str">
        <f>"1552378048529808"</f>
        <v>1552378048529808</v>
      </c>
      <c r="C4255" t="s">
        <v>40</v>
      </c>
      <c r="D4255">
        <v>6.0270640000000002</v>
      </c>
      <c r="E4255">
        <v>0.63604530000000004</v>
      </c>
      <c r="F4255" t="s">
        <v>44</v>
      </c>
      <c r="G4255">
        <v>-191.8306</v>
      </c>
      <c r="H4255">
        <v>1.207352</v>
      </c>
      <c r="I4255">
        <v>205.9306</v>
      </c>
      <c r="J4255">
        <v>-191.87989999999999</v>
      </c>
      <c r="K4255">
        <v>1.106989</v>
      </c>
      <c r="L4255">
        <v>206.42330000000001</v>
      </c>
      <c r="M4255">
        <v>0.61476960000000003</v>
      </c>
      <c r="N4255">
        <v>0</v>
      </c>
      <c r="O4255">
        <v>-0.78843379999999996</v>
      </c>
      <c r="P4255">
        <v>0.5600271</v>
      </c>
      <c r="Q4255">
        <v>-1.3916219999999999E-3</v>
      </c>
      <c r="R4255">
        <v>-0.82847329999999997</v>
      </c>
      <c r="S4255">
        <v>0.67933650000000001</v>
      </c>
      <c r="T4255">
        <v>0.51897850000000001</v>
      </c>
      <c r="U4255">
        <v>-3.1760410000000001</v>
      </c>
      <c r="V4255">
        <v>6.7970950000000002E-2</v>
      </c>
      <c r="W4255">
        <v>1.867073E-2</v>
      </c>
      <c r="X4255">
        <v>0.99751259999999997</v>
      </c>
      <c r="Y4255">
        <v>0.43728080000000003</v>
      </c>
      <c r="Z4255">
        <v>-0.10229489999999999</v>
      </c>
      <c r="AA4255">
        <v>0.89348819999999995</v>
      </c>
      <c r="AB4255">
        <v>15</v>
      </c>
      <c r="AC4255">
        <v>4.9299999999988103E-2</v>
      </c>
      <c r="AD4255">
        <v>0.10036299999999899</v>
      </c>
      <c r="AE4255">
        <v>-0.49270000000001302</v>
      </c>
      <c r="AF4255">
        <v>0.25366296652185</v>
      </c>
      <c r="AG4255">
        <v>0.10036299999999899</v>
      </c>
      <c r="AH4255">
        <v>0.40233093021820998</v>
      </c>
      <c r="AI4255">
        <v>78.084545844307399</v>
      </c>
      <c r="AJ4255">
        <v>57.769249921972197</v>
      </c>
      <c r="AK4255">
        <v>0.48609444531275497</v>
      </c>
      <c r="AL4255">
        <v>88.930183826643102</v>
      </c>
      <c r="AM4255">
        <v>86.101865944490996</v>
      </c>
      <c r="AN4255">
        <v>1.0000000166806899</v>
      </c>
    </row>
    <row r="4256" spans="1:40" x14ac:dyDescent="0.25">
      <c r="A4256" t="str">
        <f>"20190312160728547"</f>
        <v>20190312160728547</v>
      </c>
      <c r="B4256" t="str">
        <f>"1552378048539569"</f>
        <v>1552378048539569</v>
      </c>
      <c r="C4256" t="s">
        <v>40</v>
      </c>
      <c r="D4256">
        <v>6.0316020000000004</v>
      </c>
      <c r="E4256">
        <v>0.63552259999999905</v>
      </c>
      <c r="F4256" t="s">
        <v>53</v>
      </c>
      <c r="G4256">
        <v>-167.10230000000001</v>
      </c>
      <c r="H4256">
        <v>13.605980000000001</v>
      </c>
      <c r="I4256">
        <v>109.32640000000001</v>
      </c>
      <c r="J4256">
        <v>-191.82499999999999</v>
      </c>
      <c r="K4256">
        <v>1.106978</v>
      </c>
      <c r="L4256">
        <v>206.34020000000001</v>
      </c>
      <c r="M4256">
        <v>0.60967389999999999</v>
      </c>
      <c r="N4256">
        <v>0</v>
      </c>
      <c r="O4256">
        <v>-0.79238419999999998</v>
      </c>
      <c r="P4256">
        <v>0.55496089999999998</v>
      </c>
      <c r="Q4256">
        <v>-1.9664119999999998E-3</v>
      </c>
      <c r="R4256">
        <v>-0.83187440000000001</v>
      </c>
      <c r="S4256">
        <v>0.7882538</v>
      </c>
      <c r="T4256">
        <v>0.39763310000000002</v>
      </c>
      <c r="U4256">
        <v>-3.088959</v>
      </c>
      <c r="V4256">
        <v>6.7617170000000004E-2</v>
      </c>
      <c r="W4256">
        <v>1.79699E-2</v>
      </c>
      <c r="X4256">
        <v>0.99754949999999998</v>
      </c>
      <c r="Y4256">
        <v>0.39573809999999998</v>
      </c>
      <c r="Z4256">
        <v>-8.2623489999999994E-2</v>
      </c>
      <c r="AA4256">
        <v>0.91463910000000004</v>
      </c>
      <c r="AB4256">
        <v>15</v>
      </c>
      <c r="AC4256">
        <v>24.7226999999999</v>
      </c>
      <c r="AD4256">
        <v>12.499002000000001</v>
      </c>
      <c r="AE4256">
        <v>-97.013800000000003</v>
      </c>
      <c r="AF4256">
        <v>38.9580808587463</v>
      </c>
      <c r="AG4256">
        <v>12.499002000000001</v>
      </c>
      <c r="AH4256">
        <v>90.553096927418594</v>
      </c>
      <c r="AI4256">
        <v>82.773844474298798</v>
      </c>
      <c r="AJ4256">
        <v>66.721483095808196</v>
      </c>
      <c r="AK4256">
        <v>99.367099576968002</v>
      </c>
      <c r="AL4256">
        <v>88.970345153121301</v>
      </c>
      <c r="AM4256">
        <v>86.122236170161401</v>
      </c>
      <c r="AN4256">
        <v>1.0000000019675299</v>
      </c>
    </row>
    <row r="4257" spans="1:40" x14ac:dyDescent="0.25">
      <c r="A4257" t="str">
        <f>"20190312160728567"</f>
        <v>20190312160728567</v>
      </c>
      <c r="B4257" t="str">
        <f>"1552378048560065"</f>
        <v>1552378048560065</v>
      </c>
      <c r="C4257" t="s">
        <v>40</v>
      </c>
      <c r="D4257">
        <v>6.0446400000000002</v>
      </c>
      <c r="E4257">
        <v>0.63480990000000004</v>
      </c>
      <c r="F4257" t="s">
        <v>53</v>
      </c>
      <c r="G4257">
        <v>-167.47069999999999</v>
      </c>
      <c r="H4257">
        <v>13.43309</v>
      </c>
      <c r="I4257">
        <v>108.9511</v>
      </c>
      <c r="J4257">
        <v>-191.74879999999999</v>
      </c>
      <c r="K4257">
        <v>1.106975</v>
      </c>
      <c r="L4257">
        <v>206.22290000000001</v>
      </c>
      <c r="M4257">
        <v>0.60247139999999999</v>
      </c>
      <c r="N4257">
        <v>0</v>
      </c>
      <c r="O4257">
        <v>-0.79787869999999905</v>
      </c>
      <c r="P4257">
        <v>0.5478073</v>
      </c>
      <c r="Q4257">
        <v>-2.6717809999999998E-3</v>
      </c>
      <c r="R4257">
        <v>-0.83660029999999996</v>
      </c>
      <c r="S4257">
        <v>0.77310179999999995</v>
      </c>
      <c r="T4257">
        <v>0.39127889999999999</v>
      </c>
      <c r="U4257">
        <v>-3.091507</v>
      </c>
      <c r="V4257">
        <v>6.7121059999999996E-2</v>
      </c>
      <c r="W4257">
        <v>1.7094080000000001E-2</v>
      </c>
      <c r="X4257">
        <v>0.9975984</v>
      </c>
      <c r="Y4257">
        <v>0.39180589999999998</v>
      </c>
      <c r="Z4257">
        <v>-8.2363809999999996E-2</v>
      </c>
      <c r="AA4257">
        <v>0.9163538</v>
      </c>
      <c r="AB4257">
        <v>15</v>
      </c>
      <c r="AC4257">
        <v>24.278099999999899</v>
      </c>
      <c r="AD4257">
        <v>12.326115</v>
      </c>
      <c r="AE4257">
        <v>-97.271799999999999</v>
      </c>
      <c r="AF4257">
        <v>38.6563719120822</v>
      </c>
      <c r="AG4257">
        <v>12.326115</v>
      </c>
      <c r="AH4257">
        <v>90.883449675990406</v>
      </c>
      <c r="AI4257">
        <v>82.885980470346198</v>
      </c>
      <c r="AJ4257">
        <v>66.958006900138798</v>
      </c>
      <c r="AK4257">
        <v>99.529139579354904</v>
      </c>
      <c r="AL4257">
        <v>89.020533661996694</v>
      </c>
      <c r="AM4257">
        <v>86.150789754145606</v>
      </c>
      <c r="AN4257">
        <v>1.00000000597456</v>
      </c>
    </row>
    <row r="4258" spans="1:40" x14ac:dyDescent="0.25">
      <c r="A4258" t="str">
        <f>"20190312160728590"</f>
        <v>20190312160728590</v>
      </c>
      <c r="B4258" t="str">
        <f>"1552378048579584"</f>
        <v>1552378048579584</v>
      </c>
      <c r="C4258" t="s">
        <v>40</v>
      </c>
      <c r="D4258">
        <v>6.0401860000000003</v>
      </c>
      <c r="E4258">
        <v>0.6331386</v>
      </c>
      <c r="F4258" t="s">
        <v>53</v>
      </c>
      <c r="G4258">
        <v>-167.66749999999999</v>
      </c>
      <c r="H4258">
        <v>13.11664</v>
      </c>
      <c r="I4258">
        <v>106.9516</v>
      </c>
      <c r="J4258">
        <v>-191.67009999999999</v>
      </c>
      <c r="K4258">
        <v>1.1070359999999999</v>
      </c>
      <c r="L4258">
        <v>206.09950000000001</v>
      </c>
      <c r="M4258">
        <v>0.59486510000000004</v>
      </c>
      <c r="N4258">
        <v>0</v>
      </c>
      <c r="O4258">
        <v>-0.80356949999999905</v>
      </c>
      <c r="P4258">
        <v>0.54057829999999996</v>
      </c>
      <c r="Q4258">
        <v>-3.398112E-3</v>
      </c>
      <c r="R4258">
        <v>-0.84128709999999995</v>
      </c>
      <c r="S4258">
        <v>0.75090029999999997</v>
      </c>
      <c r="T4258">
        <v>0.37448300000000001</v>
      </c>
      <c r="U4258">
        <v>-3.095459</v>
      </c>
      <c r="V4258">
        <v>6.6225599999999996E-2</v>
      </c>
      <c r="W4258">
        <v>1.6250669999999998E-2</v>
      </c>
      <c r="X4258">
        <v>0.99767229999999996</v>
      </c>
      <c r="Y4258">
        <v>0.38948759999999999</v>
      </c>
      <c r="Z4258">
        <v>-7.9841319999999993E-2</v>
      </c>
      <c r="AA4258">
        <v>0.91756459999999995</v>
      </c>
      <c r="AB4258">
        <v>15</v>
      </c>
      <c r="AC4258">
        <v>24.002600000000001</v>
      </c>
      <c r="AD4258">
        <v>12.009604</v>
      </c>
      <c r="AE4258">
        <v>-99.147900000000007</v>
      </c>
      <c r="AF4258">
        <v>39.157327719577097</v>
      </c>
      <c r="AG4258">
        <v>12.009604</v>
      </c>
      <c r="AH4258">
        <v>92.685281779519002</v>
      </c>
      <c r="AI4258">
        <v>83.193426832893195</v>
      </c>
      <c r="AJ4258">
        <v>67.097098208004795</v>
      </c>
      <c r="AK4258">
        <v>101.33157632704599</v>
      </c>
      <c r="AL4258">
        <v>89.068864177218202</v>
      </c>
      <c r="AM4258">
        <v>86.202271145067698</v>
      </c>
      <c r="AN4258">
        <v>0.99999996627904797</v>
      </c>
    </row>
    <row r="4259" spans="1:40" x14ac:dyDescent="0.25">
      <c r="A4259" t="str">
        <f>"20190312160728611"</f>
        <v>20190312160728611</v>
      </c>
      <c r="B4259" t="str">
        <f>"1552378048599105"</f>
        <v>1552378048599105</v>
      </c>
      <c r="C4259" t="s">
        <v>40</v>
      </c>
      <c r="D4259">
        <v>5.9470830000000001</v>
      </c>
      <c r="E4259">
        <v>0.63207199999999997</v>
      </c>
      <c r="F4259" t="s">
        <v>53</v>
      </c>
      <c r="G4259">
        <v>-168.0307</v>
      </c>
      <c r="H4259">
        <v>12.91723</v>
      </c>
      <c r="I4259">
        <v>106.58759999999999</v>
      </c>
      <c r="J4259">
        <v>-191.5941</v>
      </c>
      <c r="K4259">
        <v>1.1071299999999999</v>
      </c>
      <c r="L4259">
        <v>205.9776</v>
      </c>
      <c r="M4259">
        <v>0.58731739999999999</v>
      </c>
      <c r="N4259">
        <v>0</v>
      </c>
      <c r="O4259">
        <v>-0.80910459999999995</v>
      </c>
      <c r="P4259">
        <v>0.53364080000000003</v>
      </c>
      <c r="Q4259">
        <v>-3.6472789999999998E-3</v>
      </c>
      <c r="R4259">
        <v>-0.8457036</v>
      </c>
      <c r="S4259">
        <v>0.73522949999999998</v>
      </c>
      <c r="T4259">
        <v>0.3673187</v>
      </c>
      <c r="U4259">
        <v>-3.0950009999999999</v>
      </c>
      <c r="V4259">
        <v>6.5083100000000005E-2</v>
      </c>
      <c r="W4259">
        <v>1.5925519999999999E-2</v>
      </c>
      <c r="X4259">
        <v>0.9977528</v>
      </c>
      <c r="Y4259">
        <v>0.38521729999999998</v>
      </c>
      <c r="Z4259">
        <v>-7.9402529999999999E-2</v>
      </c>
      <c r="AA4259">
        <v>0.91940359999999999</v>
      </c>
      <c r="AB4259">
        <v>15</v>
      </c>
      <c r="AC4259">
        <v>23.563400000000001</v>
      </c>
      <c r="AD4259">
        <v>11.8101</v>
      </c>
      <c r="AE4259">
        <v>-99.39</v>
      </c>
      <c r="AF4259">
        <v>38.797589063540698</v>
      </c>
      <c r="AG4259">
        <v>11.8101</v>
      </c>
      <c r="AH4259">
        <v>93.031670625291198</v>
      </c>
      <c r="AI4259">
        <v>83.317320177352201</v>
      </c>
      <c r="AJ4259">
        <v>67.362089080574904</v>
      </c>
      <c r="AK4259">
        <v>101.48705887198599</v>
      </c>
      <c r="AL4259">
        <v>89.087496380230604</v>
      </c>
      <c r="AM4259">
        <v>86.267901656478401</v>
      </c>
      <c r="AN4259">
        <v>1.00000004100035</v>
      </c>
    </row>
    <row r="4260" spans="1:40" x14ac:dyDescent="0.25">
      <c r="A4260" t="str">
        <f>"20190312160728645"</f>
        <v>20190312160728645</v>
      </c>
      <c r="B4260" t="str">
        <f>"1552378048639121"</f>
        <v>1552378048639121</v>
      </c>
      <c r="C4260" t="s">
        <v>40</v>
      </c>
      <c r="D4260">
        <v>5.9439120000000001</v>
      </c>
      <c r="E4260">
        <v>0.63002969999999903</v>
      </c>
      <c r="F4260" t="s">
        <v>53</v>
      </c>
      <c r="G4260">
        <v>-168.5153</v>
      </c>
      <c r="H4260">
        <v>12.779529999999999</v>
      </c>
      <c r="I4260">
        <v>106.30540000000001</v>
      </c>
      <c r="J4260">
        <v>-191.4787</v>
      </c>
      <c r="K4260">
        <v>1.1072390000000001</v>
      </c>
      <c r="L4260">
        <v>205.7877</v>
      </c>
      <c r="M4260">
        <v>0.57550769999999996</v>
      </c>
      <c r="N4260">
        <v>0</v>
      </c>
      <c r="O4260">
        <v>-0.81755180000000005</v>
      </c>
      <c r="P4260">
        <v>0.52183999999999997</v>
      </c>
      <c r="Q4260">
        <v>-4.66776E-3</v>
      </c>
      <c r="R4260">
        <v>-0.85303090000000004</v>
      </c>
      <c r="S4260">
        <v>0.71697999999999995</v>
      </c>
      <c r="T4260">
        <v>0.36262070000000002</v>
      </c>
      <c r="U4260">
        <v>-3.0964659999999999</v>
      </c>
      <c r="V4260">
        <v>6.4436610000000005E-2</v>
      </c>
      <c r="W4260">
        <v>1.474643E-2</v>
      </c>
      <c r="X4260">
        <v>0.9978129</v>
      </c>
      <c r="Y4260">
        <v>0.37704969999999999</v>
      </c>
      <c r="Z4260">
        <v>-7.9988169999999997E-2</v>
      </c>
      <c r="AA4260">
        <v>0.92273260000000001</v>
      </c>
      <c r="AB4260">
        <v>14</v>
      </c>
      <c r="AC4260">
        <v>22.9634</v>
      </c>
      <c r="AD4260">
        <v>11.672291</v>
      </c>
      <c r="AE4260">
        <v>-99.482299999999995</v>
      </c>
      <c r="AF4260">
        <v>37.990225053179998</v>
      </c>
      <c r="AG4260">
        <v>11.672291</v>
      </c>
      <c r="AH4260">
        <v>93.3464207633032</v>
      </c>
      <c r="AI4260">
        <v>83.393531344015003</v>
      </c>
      <c r="AJ4260">
        <v>67.854607934985594</v>
      </c>
      <c r="AK4260">
        <v>101.454688635368</v>
      </c>
      <c r="AL4260">
        <v>89.155061222787495</v>
      </c>
      <c r="AM4260">
        <v>86.305092437038198</v>
      </c>
      <c r="AN4260">
        <v>1.0000000586562201</v>
      </c>
    </row>
    <row r="4261" spans="1:40" x14ac:dyDescent="0.25">
      <c r="A4261" t="str">
        <f>"20190312160728666"</f>
        <v>20190312160728666</v>
      </c>
      <c r="B4261" t="str">
        <f>"1552378048659620"</f>
        <v>1552378048659620</v>
      </c>
      <c r="C4261" t="s">
        <v>40</v>
      </c>
      <c r="D4261">
        <v>5.920763</v>
      </c>
      <c r="E4261">
        <v>0.6317855</v>
      </c>
      <c r="F4261" t="s">
        <v>53</v>
      </c>
      <c r="G4261">
        <v>-169.41990000000001</v>
      </c>
      <c r="H4261">
        <v>10.835610000000001</v>
      </c>
      <c r="I4261">
        <v>106.3048</v>
      </c>
      <c r="J4261">
        <v>-191.40700000000001</v>
      </c>
      <c r="K4261">
        <v>1.107283</v>
      </c>
      <c r="L4261">
        <v>205.66669999999999</v>
      </c>
      <c r="M4261">
        <v>0.56800620000000002</v>
      </c>
      <c r="N4261">
        <v>0</v>
      </c>
      <c r="O4261">
        <v>-0.82278430000000002</v>
      </c>
      <c r="P4261">
        <v>0.51428980000000002</v>
      </c>
      <c r="Q4261">
        <v>-5.5805849999999999E-3</v>
      </c>
      <c r="R4261">
        <v>-0.85759850000000004</v>
      </c>
      <c r="S4261">
        <v>0.68699650000000001</v>
      </c>
      <c r="T4261">
        <v>0.3029792</v>
      </c>
      <c r="U4261">
        <v>-3.0982820000000002</v>
      </c>
      <c r="V4261">
        <v>6.4102530000000005E-2</v>
      </c>
      <c r="W4261">
        <v>1.371991E-2</v>
      </c>
      <c r="X4261">
        <v>0.99784899999999999</v>
      </c>
      <c r="Y4261">
        <v>0.37699090000000002</v>
      </c>
      <c r="Z4261">
        <v>-6.7684099999999997E-2</v>
      </c>
      <c r="AA4261">
        <v>0.92374060000000002</v>
      </c>
      <c r="AB4261">
        <v>14</v>
      </c>
      <c r="AC4261">
        <v>21.987100000000002</v>
      </c>
      <c r="AD4261">
        <v>9.7283270000000002</v>
      </c>
      <c r="AE4261">
        <v>-99.361900000000006</v>
      </c>
      <c r="AF4261">
        <v>38.007775358138701</v>
      </c>
      <c r="AG4261">
        <v>9.7283270000000002</v>
      </c>
      <c r="AH4261">
        <v>93.407234269673296</v>
      </c>
      <c r="AI4261">
        <v>84.489777705321401</v>
      </c>
      <c r="AJ4261">
        <v>67.8583967425526</v>
      </c>
      <c r="AK4261">
        <v>101.312105633055</v>
      </c>
      <c r="AL4261">
        <v>89.213882396642504</v>
      </c>
      <c r="AM4261">
        <v>86.324329127561896</v>
      </c>
      <c r="AN4261">
        <v>0.99999999854190402</v>
      </c>
    </row>
    <row r="4262" spans="1:40" x14ac:dyDescent="0.25">
      <c r="A4262" t="str">
        <f>"20190312160728689"</f>
        <v>20190312160728689</v>
      </c>
      <c r="B4262" t="str">
        <f>"1552378048679138"</f>
        <v>1552378048679138</v>
      </c>
      <c r="C4262" t="s">
        <v>40</v>
      </c>
      <c r="D4262">
        <v>5.9100469999999996</v>
      </c>
      <c r="E4262">
        <v>0.6332989</v>
      </c>
      <c r="F4262" t="s">
        <v>53</v>
      </c>
      <c r="G4262">
        <v>-168.8622</v>
      </c>
      <c r="H4262">
        <v>12.093859999999999</v>
      </c>
      <c r="I4262">
        <v>97.398970000000006</v>
      </c>
      <c r="J4262">
        <v>-191.33430000000001</v>
      </c>
      <c r="K4262">
        <v>1.107329</v>
      </c>
      <c r="L4262">
        <v>205.5411</v>
      </c>
      <c r="M4262">
        <v>0.56025950000000002</v>
      </c>
      <c r="N4262">
        <v>0</v>
      </c>
      <c r="O4262">
        <v>-0.82808150000000003</v>
      </c>
      <c r="P4262">
        <v>0.50646040000000003</v>
      </c>
      <c r="Q4262">
        <v>-6.6593669999999898E-3</v>
      </c>
      <c r="R4262">
        <v>-0.86223799999999995</v>
      </c>
      <c r="S4262">
        <v>0.647949199999999</v>
      </c>
      <c r="T4262">
        <v>0.31575950000000003</v>
      </c>
      <c r="U4262">
        <v>-3.1116640000000002</v>
      </c>
      <c r="V4262">
        <v>6.3805219999999996E-2</v>
      </c>
      <c r="W4262">
        <v>1.253698E-2</v>
      </c>
      <c r="X4262">
        <v>0.99788359999999998</v>
      </c>
      <c r="Y4262">
        <v>0.38025750000000003</v>
      </c>
      <c r="Z4262">
        <v>-7.0978699999999895E-2</v>
      </c>
      <c r="AA4262">
        <v>0.92215309999999995</v>
      </c>
      <c r="AB4262">
        <v>14</v>
      </c>
      <c r="AC4262">
        <v>22.472100000000001</v>
      </c>
      <c r="AD4262">
        <v>10.986530999999999</v>
      </c>
      <c r="AE4262">
        <v>-108.14212999999999</v>
      </c>
      <c r="AF4262">
        <v>41.575770201640204</v>
      </c>
      <c r="AG4262">
        <v>10.986530999999999</v>
      </c>
      <c r="AH4262">
        <v>101.159770696972</v>
      </c>
      <c r="AI4262">
        <v>84.263728255750905</v>
      </c>
      <c r="AJ4262">
        <v>67.657771590052604</v>
      </c>
      <c r="AK4262">
        <v>109.920642914502</v>
      </c>
      <c r="AL4262">
        <v>89.2816651258711</v>
      </c>
      <c r="AM4262">
        <v>86.341457132082297</v>
      </c>
      <c r="AN4262">
        <v>0.99999998055786399</v>
      </c>
    </row>
    <row r="4263" spans="1:40" x14ac:dyDescent="0.25">
      <c r="A4263" t="str">
        <f>"20190312160728712"</f>
        <v>20190312160728712</v>
      </c>
      <c r="B4263" t="str">
        <f>"1552378048709392"</f>
        <v>1552378048709392</v>
      </c>
      <c r="C4263" t="s">
        <v>40</v>
      </c>
      <c r="D4263">
        <v>5.983498</v>
      </c>
      <c r="E4263">
        <v>0.63585319999999901</v>
      </c>
      <c r="F4263" t="s">
        <v>53</v>
      </c>
      <c r="G4263">
        <v>-169.55529999999999</v>
      </c>
      <c r="H4263">
        <v>12.9978</v>
      </c>
      <c r="I4263">
        <v>93.994</v>
      </c>
      <c r="J4263">
        <v>-191.26310000000001</v>
      </c>
      <c r="K4263">
        <v>1.1073930000000001</v>
      </c>
      <c r="L4263">
        <v>205.41579999999999</v>
      </c>
      <c r="M4263">
        <v>0.55253549999999996</v>
      </c>
      <c r="N4263">
        <v>0</v>
      </c>
      <c r="O4263">
        <v>-0.83325740000000004</v>
      </c>
      <c r="P4263">
        <v>0.49813410000000002</v>
      </c>
      <c r="Q4263">
        <v>-6.8916480000000002E-3</v>
      </c>
      <c r="R4263">
        <v>-0.86707279999999998</v>
      </c>
      <c r="S4263">
        <v>0.60987849999999999</v>
      </c>
      <c r="T4263">
        <v>0.33296930000000002</v>
      </c>
      <c r="U4263">
        <v>-3.1236570000000001</v>
      </c>
      <c r="V4263">
        <v>6.4128599999999994E-2</v>
      </c>
      <c r="W4263">
        <v>1.221418E-2</v>
      </c>
      <c r="X4263">
        <v>0.9978669</v>
      </c>
      <c r="Y4263">
        <v>0.38321690000000003</v>
      </c>
      <c r="Z4263">
        <v>-7.5313119999999997E-2</v>
      </c>
      <c r="AA4263">
        <v>0.92058280000000003</v>
      </c>
      <c r="AB4263">
        <v>14</v>
      </c>
      <c r="AC4263">
        <v>21.707799999999999</v>
      </c>
      <c r="AD4263">
        <v>11.890407</v>
      </c>
      <c r="AE4263">
        <v>-111.4218</v>
      </c>
      <c r="AF4263">
        <v>43.012798628912002</v>
      </c>
      <c r="AG4263">
        <v>11.890407</v>
      </c>
      <c r="AH4263">
        <v>103.71966125567801</v>
      </c>
      <c r="AI4263">
        <v>83.955185414808994</v>
      </c>
      <c r="AJ4263">
        <v>67.476094612494805</v>
      </c>
      <c r="AK4263">
        <v>112.912580147252</v>
      </c>
      <c r="AL4263">
        <v>89.300161638789803</v>
      </c>
      <c r="AM4263">
        <v>86.322904142336398</v>
      </c>
      <c r="AN4263">
        <v>1.0000000068233199</v>
      </c>
    </row>
    <row r="4264" spans="1:40" x14ac:dyDescent="0.25">
      <c r="A4264" t="str">
        <f>"20190312160728734"</f>
        <v>20190312160728734</v>
      </c>
      <c r="B4264" t="str">
        <f>"1552378048729889"</f>
        <v>1552378048729889</v>
      </c>
      <c r="C4264" t="s">
        <v>40</v>
      </c>
      <c r="D4264">
        <v>5.945792</v>
      </c>
      <c r="E4264">
        <v>0.63667649999999998</v>
      </c>
      <c r="F4264" t="s">
        <v>53</v>
      </c>
      <c r="G4264">
        <v>-168.86330000000001</v>
      </c>
      <c r="H4264">
        <v>15.169650000000001</v>
      </c>
      <c r="I4264">
        <v>80.368209999999905</v>
      </c>
      <c r="J4264">
        <v>-191.1953</v>
      </c>
      <c r="K4264">
        <v>1.1074600000000001</v>
      </c>
      <c r="L4264">
        <v>205.2937</v>
      </c>
      <c r="M4264">
        <v>0.54500689999999996</v>
      </c>
      <c r="N4264">
        <v>0</v>
      </c>
      <c r="O4264">
        <v>-0.83820309999999898</v>
      </c>
      <c r="P4264">
        <v>0.4894059</v>
      </c>
      <c r="Q4264">
        <v>-7.4232119999999898E-3</v>
      </c>
      <c r="R4264">
        <v>-0.87202500000000005</v>
      </c>
      <c r="S4264">
        <v>0.56240840000000003</v>
      </c>
      <c r="T4264">
        <v>0.3530703</v>
      </c>
      <c r="U4264">
        <v>-3.1396480000000002</v>
      </c>
      <c r="V4264">
        <v>6.5145129999999996E-2</v>
      </c>
      <c r="W4264">
        <v>1.159815E-2</v>
      </c>
      <c r="X4264">
        <v>0.99780840000000004</v>
      </c>
      <c r="Y4264">
        <v>0.38927420000000001</v>
      </c>
      <c r="Z4264">
        <v>-8.0141859999999995E-2</v>
      </c>
      <c r="AA4264">
        <v>0.91762889999999997</v>
      </c>
      <c r="AB4264">
        <v>14</v>
      </c>
      <c r="AC4264">
        <v>22.331999999999901</v>
      </c>
      <c r="AD4264">
        <v>14.062189999999999</v>
      </c>
      <c r="AE4264">
        <v>-124.92549</v>
      </c>
      <c r="AF4264">
        <v>48.777054530650901</v>
      </c>
      <c r="AG4264">
        <v>14.062189999999999</v>
      </c>
      <c r="AH4264">
        <v>115.48840376759701</v>
      </c>
      <c r="AI4264">
        <v>83.599964770373404</v>
      </c>
      <c r="AJ4264">
        <v>67.103013222671294</v>
      </c>
      <c r="AK4264">
        <v>126.152755186202</v>
      </c>
      <c r="AL4264">
        <v>89.335460058320294</v>
      </c>
      <c r="AM4264">
        <v>86.264562269696</v>
      </c>
      <c r="AN4264">
        <v>1.0000000040783401</v>
      </c>
    </row>
    <row r="4265" spans="1:40" x14ac:dyDescent="0.25">
      <c r="A4265" t="str">
        <f>"20190312160728757"</f>
        <v>20190312160728757</v>
      </c>
      <c r="B4265" t="str">
        <f>"1552378048749408"</f>
        <v>1552378048749408</v>
      </c>
      <c r="C4265" t="s">
        <v>40</v>
      </c>
      <c r="D4265">
        <v>5.3254060000000001</v>
      </c>
      <c r="E4265">
        <v>0.63742049999999995</v>
      </c>
      <c r="F4265" t="s">
        <v>44</v>
      </c>
      <c r="G4265">
        <v>-191.07509999999999</v>
      </c>
      <c r="H4265">
        <v>1.18943</v>
      </c>
      <c r="I4265">
        <v>204.57390000000001</v>
      </c>
      <c r="J4265">
        <v>-191.12809999999999</v>
      </c>
      <c r="K4265">
        <v>1.1075299999999999</v>
      </c>
      <c r="L4265">
        <v>205.16980000000001</v>
      </c>
      <c r="M4265">
        <v>0.53737380000000001</v>
      </c>
      <c r="N4265">
        <v>0</v>
      </c>
      <c r="O4265">
        <v>-0.84311879999999995</v>
      </c>
      <c r="P4265">
        <v>0.48124470000000003</v>
      </c>
      <c r="Q4265">
        <v>-7.5940219999999998E-3</v>
      </c>
      <c r="R4265">
        <v>-0.87655339999999904</v>
      </c>
      <c r="S4265">
        <v>0.52537539999999905</v>
      </c>
      <c r="T4265">
        <v>0.35854649999999999</v>
      </c>
      <c r="U4265">
        <v>-3.1484679999999998</v>
      </c>
      <c r="V4265">
        <v>6.5393190000000004E-2</v>
      </c>
      <c r="W4265">
        <v>1.1356410000000001E-2</v>
      </c>
      <c r="X4265">
        <v>0.99779490000000004</v>
      </c>
      <c r="Y4265">
        <v>0.39185350000000002</v>
      </c>
      <c r="Z4265">
        <v>-8.1943370000000001E-2</v>
      </c>
      <c r="AA4265">
        <v>0.91637120000000005</v>
      </c>
      <c r="AB4265">
        <v>14</v>
      </c>
      <c r="AC4265">
        <v>5.2999999999997202E-2</v>
      </c>
      <c r="AD4265">
        <v>8.1900000000000001E-2</v>
      </c>
      <c r="AE4265">
        <v>-0.59589999999999999</v>
      </c>
      <c r="AF4265">
        <v>0.270518273449048</v>
      </c>
      <c r="AG4265">
        <v>8.1900000000000001E-2</v>
      </c>
      <c r="AH4265">
        <v>0.52122775565493495</v>
      </c>
      <c r="AI4265">
        <v>82.060488337616306</v>
      </c>
      <c r="AJ4265">
        <v>62.570594904727599</v>
      </c>
      <c r="AK4265">
        <v>0.59293011353357195</v>
      </c>
      <c r="AL4265">
        <v>89.349311617137403</v>
      </c>
      <c r="AM4265">
        <v>86.250328362066298</v>
      </c>
      <c r="AN4265">
        <v>0.99999994990623597</v>
      </c>
    </row>
    <row r="4266" spans="1:40" x14ac:dyDescent="0.25">
      <c r="A4266" t="str">
        <f>"20190312160728778"</f>
        <v>20190312160728778</v>
      </c>
      <c r="B4266" t="str">
        <f>"1552378048769904"</f>
        <v>1552378048769904</v>
      </c>
      <c r="C4266" t="s">
        <v>40</v>
      </c>
      <c r="D4266">
        <v>6.0018469999999997</v>
      </c>
      <c r="E4266">
        <v>0.63765349999999998</v>
      </c>
      <c r="F4266" t="s">
        <v>44</v>
      </c>
      <c r="G4266">
        <v>-191.01730000000001</v>
      </c>
      <c r="H4266">
        <v>1.189918</v>
      </c>
      <c r="I4266">
        <v>204.4572</v>
      </c>
      <c r="J4266">
        <v>-191.06549999999999</v>
      </c>
      <c r="K4266">
        <v>1.107704</v>
      </c>
      <c r="L4266">
        <v>205.05240000000001</v>
      </c>
      <c r="M4266">
        <v>0.53022809999999998</v>
      </c>
      <c r="N4266">
        <v>0</v>
      </c>
      <c r="O4266">
        <v>-0.8476283</v>
      </c>
      <c r="P4266">
        <v>0.47352539999999999</v>
      </c>
      <c r="Q4266">
        <v>-7.63789999999999E-3</v>
      </c>
      <c r="R4266">
        <v>-0.8807469</v>
      </c>
      <c r="S4266">
        <v>0.4912415</v>
      </c>
      <c r="T4266">
        <v>0.36481619999999998</v>
      </c>
      <c r="U4266">
        <v>-3.1559599999999999</v>
      </c>
      <c r="V4266">
        <v>6.5723290000000004E-2</v>
      </c>
      <c r="W4266">
        <v>1.1437950000000001E-2</v>
      </c>
      <c r="X4266">
        <v>0.99777229999999995</v>
      </c>
      <c r="Y4266">
        <v>0.39411040000000003</v>
      </c>
      <c r="Z4266">
        <v>-8.3908189999999994E-2</v>
      </c>
      <c r="AA4266">
        <v>0.91522479999999995</v>
      </c>
      <c r="AB4266">
        <v>14</v>
      </c>
      <c r="AC4266">
        <v>4.8199999999980002E-2</v>
      </c>
      <c r="AD4266">
        <v>8.2213999999999995E-2</v>
      </c>
      <c r="AE4266">
        <v>-0.59520000000000495</v>
      </c>
      <c r="AF4266">
        <v>0.26967713718958702</v>
      </c>
      <c r="AG4266">
        <v>8.2213999999999995E-2</v>
      </c>
      <c r="AH4266">
        <v>0.520304824447125</v>
      </c>
      <c r="AI4266">
        <v>82.014242507766397</v>
      </c>
      <c r="AJ4266">
        <v>62.602019569319303</v>
      </c>
      <c r="AK4266">
        <v>0.59177868368311903</v>
      </c>
      <c r="AL4266">
        <v>89.344639428814702</v>
      </c>
      <c r="AM4266">
        <v>86.231369589855007</v>
      </c>
      <c r="AN4266">
        <v>0.99999997009795705</v>
      </c>
    </row>
    <row r="4267" spans="1:40" x14ac:dyDescent="0.25">
      <c r="A4267" t="str">
        <f>"20190312160728801"</f>
        <v>20190312160728801</v>
      </c>
      <c r="B4267" t="str">
        <f>"1552378048789425"</f>
        <v>1552378048789425</v>
      </c>
      <c r="C4267" t="s">
        <v>40</v>
      </c>
      <c r="D4267">
        <v>6.0552609999999998</v>
      </c>
      <c r="E4267">
        <v>0.63758619999999899</v>
      </c>
      <c r="F4267" t="s">
        <v>88</v>
      </c>
      <c r="G4267">
        <v>-168.76849999999999</v>
      </c>
      <c r="H4267">
        <v>18.857399999999998</v>
      </c>
      <c r="I4267">
        <v>52.638829999999999</v>
      </c>
      <c r="J4267">
        <v>-191.00479999999999</v>
      </c>
      <c r="K4267">
        <v>1.108439</v>
      </c>
      <c r="L4267">
        <v>204.9365</v>
      </c>
      <c r="M4267">
        <v>0.52365169999999905</v>
      </c>
      <c r="N4267">
        <v>0</v>
      </c>
      <c r="O4267">
        <v>-0.85168359999999999</v>
      </c>
      <c r="P4267">
        <v>0.46640759999999998</v>
      </c>
      <c r="Q4267">
        <v>-9.3461880000000001E-3</v>
      </c>
      <c r="R4267">
        <v>-0.884520999999999</v>
      </c>
      <c r="S4267">
        <v>0.46240229999999999</v>
      </c>
      <c r="T4267">
        <v>0.3680985</v>
      </c>
      <c r="U4267">
        <v>-3.1607970000000001</v>
      </c>
      <c r="V4267">
        <v>6.6032930000000004E-2</v>
      </c>
      <c r="W4267">
        <v>1.079044E-2</v>
      </c>
      <c r="X4267">
        <v>0.99775910000000001</v>
      </c>
      <c r="Y4267">
        <v>0.39539790000000002</v>
      </c>
      <c r="Z4267">
        <v>-8.5217020000000004E-2</v>
      </c>
      <c r="AA4267">
        <v>0.91454829999999998</v>
      </c>
      <c r="AB4267">
        <v>13</v>
      </c>
      <c r="AC4267">
        <v>22.2363</v>
      </c>
      <c r="AD4267">
        <v>17.748960999999898</v>
      </c>
      <c r="AE4267">
        <v>-152.29766999999899</v>
      </c>
      <c r="AF4267">
        <v>60.027271317797997</v>
      </c>
      <c r="AG4267">
        <v>17.748960999999898</v>
      </c>
      <c r="AH4267">
        <v>139.527981338134</v>
      </c>
      <c r="AI4267">
        <v>83.335091937851104</v>
      </c>
      <c r="AJ4267">
        <v>66.7218162390826</v>
      </c>
      <c r="AK4267">
        <v>152.92598371347799</v>
      </c>
      <c r="AL4267">
        <v>89.381741331784895</v>
      </c>
      <c r="AM4267">
        <v>86.213616144002103</v>
      </c>
      <c r="AN4267">
        <v>1.00000000153629</v>
      </c>
    </row>
    <row r="4268" spans="1:40" x14ac:dyDescent="0.25">
      <c r="A4268" t="str">
        <f>"20190312160728823"</f>
        <v>20190312160728823</v>
      </c>
      <c r="B4268" t="str">
        <f>"1552378048819680"</f>
        <v>1552378048819680</v>
      </c>
      <c r="C4268" t="s">
        <v>40</v>
      </c>
      <c r="D4268">
        <v>6.0188040000000003</v>
      </c>
      <c r="E4268">
        <v>0.63689039999999997</v>
      </c>
      <c r="F4268" t="s">
        <v>88</v>
      </c>
      <c r="G4268">
        <v>-169.08840000000001</v>
      </c>
      <c r="H4268">
        <v>19.234380000000002</v>
      </c>
      <c r="I4268">
        <v>46.3185</v>
      </c>
      <c r="J4268">
        <v>-190.9452</v>
      </c>
      <c r="K4268">
        <v>1.1093459999999999</v>
      </c>
      <c r="L4268">
        <v>204.82169999999999</v>
      </c>
      <c r="M4268">
        <v>0.51753459999999996</v>
      </c>
      <c r="N4268">
        <v>0</v>
      </c>
      <c r="O4268">
        <v>-0.85537839999999998</v>
      </c>
      <c r="P4268">
        <v>0.46034409999999998</v>
      </c>
      <c r="Q4268">
        <v>-1.1691129999999999E-2</v>
      </c>
      <c r="R4268">
        <v>-0.88766399999999901</v>
      </c>
      <c r="S4268">
        <v>0.43730160000000001</v>
      </c>
      <c r="T4268">
        <v>0.36166989999999999</v>
      </c>
      <c r="U4268">
        <v>-3.1649319999999999</v>
      </c>
      <c r="V4268">
        <v>6.5695009999999998E-2</v>
      </c>
      <c r="W4268">
        <v>9.9817710000000004E-3</v>
      </c>
      <c r="X4268">
        <v>0.99778979999999995</v>
      </c>
      <c r="Y4268">
        <v>0.39610279999999998</v>
      </c>
      <c r="Z4268">
        <v>-8.4266709999999995E-2</v>
      </c>
      <c r="AA4268">
        <v>0.91433129999999996</v>
      </c>
      <c r="AB4268">
        <v>13</v>
      </c>
      <c r="AC4268">
        <v>21.8568</v>
      </c>
      <c r="AD4268">
        <v>18.125033999999999</v>
      </c>
      <c r="AE4268">
        <v>-158.50319999999999</v>
      </c>
      <c r="AF4268">
        <v>62.547817213241601</v>
      </c>
      <c r="AG4268">
        <v>18.125033999999999</v>
      </c>
      <c r="AH4268">
        <v>145.06603592427601</v>
      </c>
      <c r="AI4268">
        <v>83.454907601715803</v>
      </c>
      <c r="AJ4268">
        <v>66.675845673607597</v>
      </c>
      <c r="AK4268">
        <v>159.01226705643001</v>
      </c>
      <c r="AL4268">
        <v>89.428077139191402</v>
      </c>
      <c r="AM4268">
        <v>86.233052398077902</v>
      </c>
      <c r="AN4268">
        <v>0.99999997753761805</v>
      </c>
    </row>
    <row r="4269" spans="1:40" x14ac:dyDescent="0.25">
      <c r="A4269" t="str">
        <f>"20190312160728846"</f>
        <v>20190312160728846</v>
      </c>
      <c r="B4269" t="str">
        <f>"1552378048839204"</f>
        <v>1552378048839204</v>
      </c>
      <c r="C4269" t="s">
        <v>40</v>
      </c>
      <c r="D4269">
        <v>6.0626870000000004</v>
      </c>
      <c r="E4269">
        <v>0.63619720000000002</v>
      </c>
      <c r="F4269" t="s">
        <v>88</v>
      </c>
      <c r="G4269">
        <v>-169.0874</v>
      </c>
      <c r="H4269">
        <v>19.34431</v>
      </c>
      <c r="I4269">
        <v>40.068309999999997</v>
      </c>
      <c r="J4269">
        <v>-190.88839999999999</v>
      </c>
      <c r="K4269">
        <v>1.110101</v>
      </c>
      <c r="L4269">
        <v>204.7114</v>
      </c>
      <c r="M4269">
        <v>0.51195939999999995</v>
      </c>
      <c r="N4269">
        <v>0</v>
      </c>
      <c r="O4269">
        <v>-0.8586859</v>
      </c>
      <c r="P4269">
        <v>0.45464110000000002</v>
      </c>
      <c r="Q4269">
        <v>-1.256901E-2</v>
      </c>
      <c r="R4269">
        <v>-0.89058649999999995</v>
      </c>
      <c r="S4269">
        <v>0.42008970000000001</v>
      </c>
      <c r="T4269">
        <v>0.35046290000000002</v>
      </c>
      <c r="U4269">
        <v>-3.1664430000000001</v>
      </c>
      <c r="V4269">
        <v>6.5610890000000005E-2</v>
      </c>
      <c r="W4269">
        <v>1.0718439999999999E-2</v>
      </c>
      <c r="X4269">
        <v>0.99778770000000006</v>
      </c>
      <c r="Y4269">
        <v>0.3950707</v>
      </c>
      <c r="Z4269">
        <v>-8.222546E-2</v>
      </c>
      <c r="AA4269">
        <v>0.91496350000000004</v>
      </c>
      <c r="AB4269">
        <v>13</v>
      </c>
      <c r="AC4269">
        <v>21.800999999999899</v>
      </c>
      <c r="AD4269">
        <v>18.234209</v>
      </c>
      <c r="AE4269">
        <v>-164.64309</v>
      </c>
      <c r="AF4269">
        <v>64.807404623576602</v>
      </c>
      <c r="AG4269">
        <v>18.234209</v>
      </c>
      <c r="AH4269">
        <v>150.76303070102199</v>
      </c>
      <c r="AI4269">
        <v>83.6595857740447</v>
      </c>
      <c r="AJ4269">
        <v>66.738934274770997</v>
      </c>
      <c r="AK4269">
        <v>165.11201500211001</v>
      </c>
      <c r="AL4269">
        <v>89.3858668557518</v>
      </c>
      <c r="AM4269">
        <v>86.237854077224895</v>
      </c>
      <c r="AN4269">
        <v>0.999999984056957</v>
      </c>
    </row>
    <row r="4270" spans="1:40" x14ac:dyDescent="0.25">
      <c r="A4270" t="str">
        <f>"20190312160728867"</f>
        <v>20190312160728867</v>
      </c>
      <c r="B4270" t="str">
        <f>"1552378048859697"</f>
        <v>1552378048859697</v>
      </c>
      <c r="C4270" t="s">
        <v>40</v>
      </c>
      <c r="D4270">
        <v>6.2191850000000004</v>
      </c>
      <c r="E4270">
        <v>0.63584289999999999</v>
      </c>
      <c r="F4270" t="s">
        <v>88</v>
      </c>
      <c r="G4270">
        <v>-169.04349999999999</v>
      </c>
      <c r="H4270">
        <v>19.678570000000001</v>
      </c>
      <c r="I4270">
        <v>33.605820000000001</v>
      </c>
      <c r="J4270">
        <v>-190.8356</v>
      </c>
      <c r="K4270">
        <v>1.1105149999999999</v>
      </c>
      <c r="L4270">
        <v>204.6078</v>
      </c>
      <c r="M4270">
        <v>0.50662569999999996</v>
      </c>
      <c r="N4270">
        <v>0</v>
      </c>
      <c r="O4270">
        <v>-0.86180619999999997</v>
      </c>
      <c r="P4270">
        <v>0.44964549999999998</v>
      </c>
      <c r="Q4270">
        <v>-1.350642E-2</v>
      </c>
      <c r="R4270">
        <v>-0.89310499999999904</v>
      </c>
      <c r="S4270">
        <v>0.4043274</v>
      </c>
      <c r="T4270">
        <v>0.34368359999999998</v>
      </c>
      <c r="U4270">
        <v>-3.166992</v>
      </c>
      <c r="V4270">
        <v>6.5021029999999994E-2</v>
      </c>
      <c r="W4270">
        <v>1.1136129999999999E-2</v>
      </c>
      <c r="X4270">
        <v>0.99782170000000003</v>
      </c>
      <c r="Y4270">
        <v>0.39388269999999997</v>
      </c>
      <c r="Z4270">
        <v>-8.117858E-2</v>
      </c>
      <c r="AA4270">
        <v>0.91556890000000002</v>
      </c>
      <c r="AB4270">
        <v>12</v>
      </c>
      <c r="AC4270">
        <v>21.792100000000001</v>
      </c>
      <c r="AD4270">
        <v>18.568054999999902</v>
      </c>
      <c r="AE4270">
        <v>-171.00198</v>
      </c>
      <c r="AF4270">
        <v>67.096040865834098</v>
      </c>
      <c r="AG4270">
        <v>18.568054999999902</v>
      </c>
      <c r="AH4270">
        <v>156.64279736091601</v>
      </c>
      <c r="AI4270">
        <v>83.781446238411803</v>
      </c>
      <c r="AJ4270">
        <v>66.812716261663496</v>
      </c>
      <c r="AK4270">
        <v>171.41650250604701</v>
      </c>
      <c r="AL4270">
        <v>89.361933528071205</v>
      </c>
      <c r="AM4270">
        <v>86.2717076595858</v>
      </c>
      <c r="AN4270">
        <v>0.99999994636226197</v>
      </c>
    </row>
    <row r="4271" spans="1:40" x14ac:dyDescent="0.25">
      <c r="A4271" t="str">
        <f>"20190312160728891"</f>
        <v>20190312160728891</v>
      </c>
      <c r="B4271" t="str">
        <f>"1552378048879216"</f>
        <v>1552378048879216</v>
      </c>
      <c r="C4271" t="s">
        <v>40</v>
      </c>
      <c r="D4271">
        <v>6.2236209999999996</v>
      </c>
      <c r="E4271">
        <v>0.63509910000000003</v>
      </c>
      <c r="F4271" t="s">
        <v>88</v>
      </c>
      <c r="G4271">
        <v>-169.05260000000001</v>
      </c>
      <c r="H4271">
        <v>19.956800000000001</v>
      </c>
      <c r="I4271">
        <v>27.192039999999999</v>
      </c>
      <c r="J4271">
        <v>-190.78100000000001</v>
      </c>
      <c r="K4271">
        <v>1.110285</v>
      </c>
      <c r="L4271">
        <v>204.49850000000001</v>
      </c>
      <c r="M4271">
        <v>0.50034149999999999</v>
      </c>
      <c r="N4271">
        <v>0</v>
      </c>
      <c r="O4271">
        <v>-0.86545099999999997</v>
      </c>
      <c r="P4271">
        <v>0.4437062</v>
      </c>
      <c r="Q4271">
        <v>-1.391907E-2</v>
      </c>
      <c r="R4271">
        <v>-0.89606430000000004</v>
      </c>
      <c r="S4271">
        <v>0.38900760000000001</v>
      </c>
      <c r="T4271">
        <v>0.33656180000000002</v>
      </c>
      <c r="U4271">
        <v>-3.1683349999999999</v>
      </c>
      <c r="V4271">
        <v>6.4398369999999996E-2</v>
      </c>
      <c r="W4271">
        <v>1.1334E-2</v>
      </c>
      <c r="X4271">
        <v>0.99785990000000002</v>
      </c>
      <c r="Y4271">
        <v>0.39160270000000003</v>
      </c>
      <c r="Z4271">
        <v>-8.0113009999999998E-2</v>
      </c>
      <c r="AA4271">
        <v>0.91664020000000002</v>
      </c>
      <c r="AB4271">
        <v>12</v>
      </c>
      <c r="AC4271">
        <v>21.728399999999901</v>
      </c>
      <c r="AD4271">
        <v>18.846515</v>
      </c>
      <c r="AE4271">
        <v>-177.30645999999999</v>
      </c>
      <c r="AF4271">
        <v>69.1618991166538</v>
      </c>
      <c r="AG4271">
        <v>18.846515</v>
      </c>
      <c r="AH4271">
        <v>162.56580513400999</v>
      </c>
      <c r="AI4271">
        <v>83.910798029202795</v>
      </c>
      <c r="AJ4271">
        <v>66.9531871097319</v>
      </c>
      <c r="AK4271">
        <v>177.66879415343701</v>
      </c>
      <c r="AL4271">
        <v>89.350595727432093</v>
      </c>
      <c r="AM4271">
        <v>86.307452565264597</v>
      </c>
      <c r="AN4271">
        <v>0.99999999482133295</v>
      </c>
    </row>
    <row r="4272" spans="1:40" x14ac:dyDescent="0.25">
      <c r="A4272" t="str">
        <f>"20190312160728913"</f>
        <v>20190312160728913</v>
      </c>
      <c r="B4272" t="str">
        <f>"1552378048909472"</f>
        <v>1552378048909472</v>
      </c>
      <c r="C4272" t="s">
        <v>40</v>
      </c>
      <c r="D4272">
        <v>6.2067230000000002</v>
      </c>
      <c r="E4272">
        <v>0.63400639999999997</v>
      </c>
      <c r="F4272" t="s">
        <v>41</v>
      </c>
      <c r="G4272">
        <v>0</v>
      </c>
      <c r="H4272">
        <v>0</v>
      </c>
      <c r="I4272">
        <v>0</v>
      </c>
      <c r="J4272">
        <v>-190.73060000000001</v>
      </c>
      <c r="K4272">
        <v>1.10941</v>
      </c>
      <c r="L4272">
        <v>204.39449999999999</v>
      </c>
      <c r="M4272">
        <v>0.4938592</v>
      </c>
      <c r="N4272">
        <v>0</v>
      </c>
      <c r="O4272">
        <v>-0.86917949999999999</v>
      </c>
      <c r="P4272">
        <v>0.43780829999999998</v>
      </c>
      <c r="Q4272">
        <v>-1.3693520000000001E-2</v>
      </c>
      <c r="R4272">
        <v>-0.89896419999999999</v>
      </c>
      <c r="S4272">
        <v>0.37377929999999998</v>
      </c>
      <c r="T4272">
        <v>0.33331539999999998</v>
      </c>
      <c r="U4272">
        <v>-3.1680600000000001</v>
      </c>
      <c r="V4272">
        <v>6.3507930000000004E-2</v>
      </c>
      <c r="W4272">
        <v>1.1025979999999999E-2</v>
      </c>
      <c r="X4272">
        <v>0.99792040000000004</v>
      </c>
      <c r="Y4272">
        <v>0.38905299999999998</v>
      </c>
      <c r="Z4272">
        <v>-7.999655E-2</v>
      </c>
      <c r="AA4272">
        <v>0.91773539999999998</v>
      </c>
      <c r="AB4272">
        <v>11</v>
      </c>
      <c r="AC4272">
        <v>0.37377929999999998</v>
      </c>
      <c r="AD4272">
        <v>0.33331539999999998</v>
      </c>
      <c r="AE4272">
        <v>-3.1680600000000001</v>
      </c>
      <c r="AF4272">
        <v>1.2266926892965899</v>
      </c>
      <c r="AG4272">
        <v>0.33331539999999998</v>
      </c>
      <c r="AH4272">
        <v>2.9073920201485799</v>
      </c>
      <c r="AI4272">
        <v>83.970365043142607</v>
      </c>
      <c r="AJ4272">
        <v>67.124048253294305</v>
      </c>
      <c r="AK4272">
        <v>3.1731376378396301</v>
      </c>
      <c r="AL4272">
        <v>89.368245065434905</v>
      </c>
      <c r="AM4272">
        <v>86.358591466148994</v>
      </c>
      <c r="AN4272">
        <v>0.99999997707200206</v>
      </c>
    </row>
    <row r="4273" spans="1:40" x14ac:dyDescent="0.25">
      <c r="A4273" t="str">
        <f>"20190312160728936"</f>
        <v>20190312160728936</v>
      </c>
      <c r="B4273" t="str">
        <f>"1552378048929969"</f>
        <v>1552378048929969</v>
      </c>
      <c r="C4273" t="s">
        <v>40</v>
      </c>
      <c r="D4273">
        <v>6.1709110000000003</v>
      </c>
      <c r="E4273">
        <v>0.63330959999999903</v>
      </c>
      <c r="F4273" t="s">
        <v>41</v>
      </c>
      <c r="G4273">
        <v>0</v>
      </c>
      <c r="H4273">
        <v>0</v>
      </c>
      <c r="I4273">
        <v>0</v>
      </c>
      <c r="J4273">
        <v>-190.68109999999999</v>
      </c>
      <c r="K4273">
        <v>1.1085259999999999</v>
      </c>
      <c r="L4273">
        <v>204.28800000000001</v>
      </c>
      <c r="M4273">
        <v>0.48716379999999998</v>
      </c>
      <c r="N4273">
        <v>0</v>
      </c>
      <c r="O4273">
        <v>-0.87297369999999996</v>
      </c>
      <c r="P4273">
        <v>0.43169669999999999</v>
      </c>
      <c r="Q4273">
        <v>-1.289036E-2</v>
      </c>
      <c r="R4273">
        <v>-0.90192709999999998</v>
      </c>
      <c r="S4273">
        <v>0.36117549999999998</v>
      </c>
      <c r="T4273">
        <v>0.3272274</v>
      </c>
      <c r="U4273">
        <v>-3.1663060000000001</v>
      </c>
      <c r="V4273">
        <v>6.2619649999999999E-2</v>
      </c>
      <c r="W4273">
        <v>1.0906310000000001E-2</v>
      </c>
      <c r="X4273">
        <v>0.99797789999999997</v>
      </c>
      <c r="Y4273">
        <v>0.38550119999999999</v>
      </c>
      <c r="Z4273">
        <v>-7.9250799999999996E-2</v>
      </c>
      <c r="AA4273">
        <v>0.91929760000000005</v>
      </c>
      <c r="AB4273">
        <v>11</v>
      </c>
      <c r="AC4273">
        <v>0.36117549999999998</v>
      </c>
      <c r="AD4273">
        <v>0.3272274</v>
      </c>
      <c r="AE4273">
        <v>-3.1663060000000001</v>
      </c>
      <c r="AF4273">
        <v>1.2147664032902901</v>
      </c>
      <c r="AG4273">
        <v>0.3272274</v>
      </c>
      <c r="AH4273">
        <v>2.91023510339389</v>
      </c>
      <c r="AI4273">
        <v>84.075990911527001</v>
      </c>
      <c r="AJ4273">
        <v>67.343768382030603</v>
      </c>
      <c r="AK4273">
        <v>3.1705210207313899</v>
      </c>
      <c r="AL4273">
        <v>89.375102095996596</v>
      </c>
      <c r="AM4273">
        <v>86.409595688121001</v>
      </c>
      <c r="AN4273">
        <v>1.0000000285261701</v>
      </c>
    </row>
    <row r="4274" spans="1:40" x14ac:dyDescent="0.25">
      <c r="A4274" t="str">
        <f>"20190312160728958"</f>
        <v>20190312160728958</v>
      </c>
      <c r="B4274" t="str">
        <f>"1552378048949489"</f>
        <v>1552378048949489</v>
      </c>
      <c r="C4274" t="s">
        <v>40</v>
      </c>
      <c r="D4274">
        <v>6.8864850000000004</v>
      </c>
      <c r="E4274">
        <v>0.63291960000000003</v>
      </c>
      <c r="F4274" t="s">
        <v>41</v>
      </c>
      <c r="G4274">
        <v>0</v>
      </c>
      <c r="H4274">
        <v>0</v>
      </c>
      <c r="I4274">
        <v>0</v>
      </c>
      <c r="J4274">
        <v>-190.63399999999999</v>
      </c>
      <c r="K4274">
        <v>1.1081669999999999</v>
      </c>
      <c r="L4274">
        <v>204.1832</v>
      </c>
      <c r="M4274">
        <v>0.48057680000000003</v>
      </c>
      <c r="N4274">
        <v>0</v>
      </c>
      <c r="O4274">
        <v>-0.87663469999999999</v>
      </c>
      <c r="P4274">
        <v>0.42536800000000002</v>
      </c>
      <c r="Q4274">
        <v>-1.2369700000000001E-2</v>
      </c>
      <c r="R4274">
        <v>-0.90493619999999997</v>
      </c>
      <c r="S4274">
        <v>0.34492489999999998</v>
      </c>
      <c r="T4274">
        <v>0.32589849999999998</v>
      </c>
      <c r="U4274">
        <v>-3.165756</v>
      </c>
      <c r="V4274">
        <v>6.2094509999999999E-2</v>
      </c>
      <c r="W4274">
        <v>1.0763740000000001E-2</v>
      </c>
      <c r="X4274">
        <v>0.99801220000000002</v>
      </c>
      <c r="Y4274">
        <v>0.38319160000000002</v>
      </c>
      <c r="Z4274">
        <v>-7.9558420000000005E-2</v>
      </c>
      <c r="AA4274">
        <v>0.92023619999999995</v>
      </c>
      <c r="AB4274">
        <v>11</v>
      </c>
      <c r="AC4274">
        <v>0.34492489999999998</v>
      </c>
      <c r="AD4274">
        <v>0.32589849999999998</v>
      </c>
      <c r="AE4274">
        <v>-3.165756</v>
      </c>
      <c r="AF4274">
        <v>1.20671737598872</v>
      </c>
      <c r="AG4274">
        <v>0.32589849999999998</v>
      </c>
      <c r="AH4274">
        <v>2.91130363587328</v>
      </c>
      <c r="AI4274">
        <v>84.095966313435298</v>
      </c>
      <c r="AJ4274">
        <v>67.486295176052806</v>
      </c>
      <c r="AK4274">
        <v>3.1682906303027698</v>
      </c>
      <c r="AL4274">
        <v>89.383271197758901</v>
      </c>
      <c r="AM4274">
        <v>86.439749756826302</v>
      </c>
      <c r="AN4274">
        <v>0.99999996880988296</v>
      </c>
    </row>
    <row r="4275" spans="1:40" x14ac:dyDescent="0.25">
      <c r="A4275" t="str">
        <f>"20190312160728978"</f>
        <v>20190312160728978</v>
      </c>
      <c r="B4275" t="str">
        <f>"1552378048969984"</f>
        <v>1552378048969984</v>
      </c>
      <c r="C4275" t="s">
        <v>40</v>
      </c>
      <c r="D4275">
        <v>6.265568</v>
      </c>
      <c r="E4275">
        <v>0.63210080000000002</v>
      </c>
      <c r="F4275" t="s">
        <v>41</v>
      </c>
      <c r="G4275">
        <v>0</v>
      </c>
      <c r="H4275">
        <v>0</v>
      </c>
      <c r="I4275">
        <v>0</v>
      </c>
      <c r="J4275">
        <v>-190.59030000000001</v>
      </c>
      <c r="K4275">
        <v>1.1082559999999999</v>
      </c>
      <c r="L4275">
        <v>204.08359999999999</v>
      </c>
      <c r="M4275">
        <v>0.4742151</v>
      </c>
      <c r="N4275">
        <v>0</v>
      </c>
      <c r="O4275">
        <v>-0.88010390000000005</v>
      </c>
      <c r="P4275">
        <v>0.41883130000000002</v>
      </c>
      <c r="Q4275">
        <v>-1.1354349999999999E-2</v>
      </c>
      <c r="R4275">
        <v>-0.90799319999999895</v>
      </c>
      <c r="S4275">
        <v>0.3258972</v>
      </c>
      <c r="T4275">
        <v>0.32638349999999999</v>
      </c>
      <c r="U4275">
        <v>-3.1664279999999998</v>
      </c>
      <c r="V4275">
        <v>6.2062760000000002E-2</v>
      </c>
      <c r="W4275">
        <v>1.136261E-2</v>
      </c>
      <c r="X4275">
        <v>0.99800759999999999</v>
      </c>
      <c r="Y4275">
        <v>0.38199149999999998</v>
      </c>
      <c r="Z4275">
        <v>-8.0222929999999998E-2</v>
      </c>
      <c r="AA4275">
        <v>0.92067730000000003</v>
      </c>
      <c r="AB4275">
        <v>11</v>
      </c>
      <c r="AC4275">
        <v>0.3258972</v>
      </c>
      <c r="AD4275">
        <v>0.32638349999999999</v>
      </c>
      <c r="AE4275">
        <v>-3.1664279999999998</v>
      </c>
      <c r="AF4275">
        <v>1.2024294110814699</v>
      </c>
      <c r="AG4275">
        <v>0.32638349999999999</v>
      </c>
      <c r="AH4275">
        <v>2.9115115919755299</v>
      </c>
      <c r="AI4275">
        <v>84.084545006951004</v>
      </c>
      <c r="AJ4275">
        <v>67.559792941752207</v>
      </c>
      <c r="AK4275">
        <v>3.1669010764332199</v>
      </c>
      <c r="AL4275">
        <v>89.348956414055706</v>
      </c>
      <c r="AM4275">
        <v>86.441549136464403</v>
      </c>
      <c r="AN4275">
        <v>1.0000000323712901</v>
      </c>
    </row>
    <row r="4276" spans="1:40" x14ac:dyDescent="0.25">
      <c r="A4276" t="str">
        <f>"20190312160729001"</f>
        <v>20190312160729001</v>
      </c>
      <c r="B4276" t="str">
        <f>"1552378048989505"</f>
        <v>1552378048989505</v>
      </c>
      <c r="C4276" t="s">
        <v>40</v>
      </c>
      <c r="D4276">
        <v>6.333704</v>
      </c>
      <c r="E4276">
        <v>0.63125339999999996</v>
      </c>
      <c r="F4276" t="s">
        <v>41</v>
      </c>
      <c r="G4276">
        <v>0</v>
      </c>
      <c r="H4276">
        <v>0</v>
      </c>
      <c r="I4276">
        <v>0</v>
      </c>
      <c r="J4276">
        <v>-190.5453</v>
      </c>
      <c r="K4276">
        <v>1.1085769999999999</v>
      </c>
      <c r="L4276">
        <v>203.9802</v>
      </c>
      <c r="M4276">
        <v>0.46736709999999898</v>
      </c>
      <c r="N4276">
        <v>0</v>
      </c>
      <c r="O4276">
        <v>-0.883771999999999</v>
      </c>
      <c r="P4276">
        <v>0.41151330000000003</v>
      </c>
      <c r="Q4276">
        <v>-1.0317939999999999E-2</v>
      </c>
      <c r="R4276">
        <v>-0.91134550000000003</v>
      </c>
      <c r="S4276">
        <v>0.30842589999999998</v>
      </c>
      <c r="T4276">
        <v>0.32193290000000002</v>
      </c>
      <c r="U4276">
        <v>-3.165756</v>
      </c>
      <c r="V4276">
        <v>6.2334269999999997E-2</v>
      </c>
      <c r="W4276">
        <v>1.198627E-2</v>
      </c>
      <c r="X4276">
        <v>0.99798330000000002</v>
      </c>
      <c r="Y4276">
        <v>0.37981890000000001</v>
      </c>
      <c r="Z4276">
        <v>-7.9760689999999995E-2</v>
      </c>
      <c r="AA4276">
        <v>0.92161590000000004</v>
      </c>
      <c r="AB4276">
        <v>11</v>
      </c>
      <c r="AC4276">
        <v>0.30842589999999998</v>
      </c>
      <c r="AD4276">
        <v>0.32193290000000002</v>
      </c>
      <c r="AE4276">
        <v>-3.165756</v>
      </c>
      <c r="AF4276">
        <v>1.195060674629</v>
      </c>
      <c r="AG4276">
        <v>0.32193290000000002</v>
      </c>
      <c r="AH4276">
        <v>2.9128728340076102</v>
      </c>
      <c r="AI4276">
        <v>84.161802633528794</v>
      </c>
      <c r="AJ4276">
        <v>67.693190155751793</v>
      </c>
      <c r="AK4276">
        <v>3.1649074165363298</v>
      </c>
      <c r="AL4276">
        <v>89.313220836526995</v>
      </c>
      <c r="AM4276">
        <v>86.425935214636695</v>
      </c>
      <c r="AN4276">
        <v>0.99999994948191595</v>
      </c>
    </row>
    <row r="4277" spans="1:40" x14ac:dyDescent="0.25">
      <c r="A4277" t="str">
        <f>"20190312160729024"</f>
        <v>20190312160729024</v>
      </c>
      <c r="B4277" t="str">
        <f>"1552378049019761"</f>
        <v>1552378049019761</v>
      </c>
      <c r="C4277" t="s">
        <v>40</v>
      </c>
      <c r="D4277">
        <v>4.4602890000000004</v>
      </c>
      <c r="E4277">
        <v>0.62998409999999905</v>
      </c>
      <c r="F4277" t="s">
        <v>41</v>
      </c>
      <c r="G4277">
        <v>0</v>
      </c>
      <c r="H4277">
        <v>0</v>
      </c>
      <c r="I4277">
        <v>0</v>
      </c>
      <c r="J4277">
        <v>-190.49979999999999</v>
      </c>
      <c r="K4277">
        <v>1.1088709999999999</v>
      </c>
      <c r="L4277">
        <v>203.87459999999999</v>
      </c>
      <c r="M4277">
        <v>0.46031050000000001</v>
      </c>
      <c r="N4277">
        <v>0</v>
      </c>
      <c r="O4277">
        <v>-0.88748249999999995</v>
      </c>
      <c r="P4277">
        <v>0.4038911</v>
      </c>
      <c r="Q4277">
        <v>-9.2237680000000002E-3</v>
      </c>
      <c r="R4277">
        <v>-0.91476089999999999</v>
      </c>
      <c r="S4277">
        <v>0.28833009999999998</v>
      </c>
      <c r="T4277">
        <v>0.31560860000000002</v>
      </c>
      <c r="U4277">
        <v>-3.165222</v>
      </c>
      <c r="V4277">
        <v>6.2703599999999998E-2</v>
      </c>
      <c r="W4277">
        <v>1.2556049999999999E-2</v>
      </c>
      <c r="X4277">
        <v>0.99795319999999998</v>
      </c>
      <c r="Y4277">
        <v>0.3782219</v>
      </c>
      <c r="Z4277">
        <v>-7.8810140000000001E-2</v>
      </c>
      <c r="AA4277">
        <v>0.92235409999999995</v>
      </c>
      <c r="AB4277">
        <v>11</v>
      </c>
      <c r="AC4277">
        <v>0.28833009999999998</v>
      </c>
      <c r="AD4277">
        <v>0.31560860000000002</v>
      </c>
      <c r="AE4277">
        <v>-3.165222</v>
      </c>
      <c r="AF4277">
        <v>1.1896601293197999</v>
      </c>
      <c r="AG4277">
        <v>0.31560860000000002</v>
      </c>
      <c r="AH4277">
        <v>2.9137886119588901</v>
      </c>
      <c r="AI4277">
        <v>84.273558921738498</v>
      </c>
      <c r="AJ4277">
        <v>67.7904763902215</v>
      </c>
      <c r="AK4277">
        <v>3.1630782612620401</v>
      </c>
      <c r="AL4277">
        <v>89.280572418002606</v>
      </c>
      <c r="AM4277">
        <v>86.404706137870704</v>
      </c>
      <c r="AN4277">
        <v>0.99999999261740102</v>
      </c>
    </row>
    <row r="4278" spans="1:40" x14ac:dyDescent="0.25">
      <c r="A4278" t="str">
        <f>"20190312160729048"</f>
        <v>20190312160729048</v>
      </c>
      <c r="B4278" t="str">
        <f>"1552378049039284"</f>
        <v>1552378049039284</v>
      </c>
      <c r="C4278" t="s">
        <v>40</v>
      </c>
      <c r="D4278">
        <v>6.1703939999999999</v>
      </c>
      <c r="E4278">
        <v>0.62956250000000002</v>
      </c>
      <c r="F4278" t="s">
        <v>41</v>
      </c>
      <c r="G4278">
        <v>0</v>
      </c>
      <c r="H4278">
        <v>0</v>
      </c>
      <c r="I4278">
        <v>0</v>
      </c>
      <c r="J4278">
        <v>-190.45480000000001</v>
      </c>
      <c r="K4278">
        <v>1.108994</v>
      </c>
      <c r="L4278">
        <v>203.7689</v>
      </c>
      <c r="M4278">
        <v>0.45347890000000002</v>
      </c>
      <c r="N4278">
        <v>0</v>
      </c>
      <c r="O4278">
        <v>-0.89100800000000002</v>
      </c>
      <c r="P4278">
        <v>0.3963255</v>
      </c>
      <c r="Q4278">
        <v>-7.9645810000000001E-3</v>
      </c>
      <c r="R4278">
        <v>-0.9180758</v>
      </c>
      <c r="S4278">
        <v>0.27067570000000002</v>
      </c>
      <c r="T4278">
        <v>0.30844179999999999</v>
      </c>
      <c r="U4278">
        <v>-3.1631469999999999</v>
      </c>
      <c r="V4278">
        <v>6.3270469999999995E-2</v>
      </c>
      <c r="W4278">
        <v>1.321927E-2</v>
      </c>
      <c r="X4278">
        <v>0.99790889999999999</v>
      </c>
      <c r="Y4278">
        <v>0.37615159999999997</v>
      </c>
      <c r="Z4278">
        <v>-7.7643019999999993E-2</v>
      </c>
      <c r="AA4278">
        <v>0.92329930000000004</v>
      </c>
      <c r="AB4278">
        <v>11</v>
      </c>
      <c r="AC4278">
        <v>0.27067570000000002</v>
      </c>
      <c r="AD4278">
        <v>0.30844179999999999</v>
      </c>
      <c r="AE4278">
        <v>-3.1631469999999999</v>
      </c>
      <c r="AF4278">
        <v>1.1823610782095899</v>
      </c>
      <c r="AG4278">
        <v>0.30844179999999999</v>
      </c>
      <c r="AH4278">
        <v>2.9143051345933202</v>
      </c>
      <c r="AI4278">
        <v>84.398739200395397</v>
      </c>
      <c r="AJ4278">
        <v>67.917141454413795</v>
      </c>
      <c r="AK4278">
        <v>3.1601089349529099</v>
      </c>
      <c r="AL4278">
        <v>89.242569587707806</v>
      </c>
      <c r="AM4278">
        <v>86.372128788215903</v>
      </c>
      <c r="AN4278">
        <v>1.00000003708628</v>
      </c>
    </row>
    <row r="4279" spans="1:40" x14ac:dyDescent="0.25">
      <c r="A4279" t="str">
        <f>"20190312160729068"</f>
        <v>20190312160729068</v>
      </c>
      <c r="B4279" t="str">
        <f>"1552378049059777"</f>
        <v>1552378049059777</v>
      </c>
      <c r="C4279" t="s">
        <v>40</v>
      </c>
      <c r="D4279">
        <v>4.7579390000000004</v>
      </c>
      <c r="E4279">
        <v>0.61053210000000002</v>
      </c>
      <c r="F4279" t="s">
        <v>41</v>
      </c>
      <c r="G4279">
        <v>0</v>
      </c>
      <c r="H4279">
        <v>0</v>
      </c>
      <c r="I4279">
        <v>0</v>
      </c>
      <c r="J4279">
        <v>-190.41409999999999</v>
      </c>
      <c r="K4279">
        <v>1.108981</v>
      </c>
      <c r="L4279">
        <v>203.67179999999999</v>
      </c>
      <c r="M4279">
        <v>0.44748959999999999</v>
      </c>
      <c r="N4279">
        <v>0</v>
      </c>
      <c r="O4279">
        <v>-0.8940437</v>
      </c>
      <c r="P4279">
        <v>0.38962730000000001</v>
      </c>
      <c r="Q4279">
        <v>-7.1722840000000001E-3</v>
      </c>
      <c r="R4279">
        <v>-0.92094500000000001</v>
      </c>
      <c r="S4279">
        <v>0.24751280000000001</v>
      </c>
      <c r="T4279">
        <v>0.30944090000000002</v>
      </c>
      <c r="U4279">
        <v>-3.1635439999999999</v>
      </c>
      <c r="V4279">
        <v>6.3840160000000007E-2</v>
      </c>
      <c r="W4279">
        <v>1.3475310000000001E-2</v>
      </c>
      <c r="X4279">
        <v>0.99786909999999895</v>
      </c>
      <c r="Y4279">
        <v>0.37665710000000002</v>
      </c>
      <c r="Z4279">
        <v>-7.8322920000000004E-2</v>
      </c>
      <c r="AA4279">
        <v>0.92303570000000001</v>
      </c>
      <c r="AB4279">
        <v>11</v>
      </c>
      <c r="AC4279">
        <v>0.24751280000000001</v>
      </c>
      <c r="AD4279">
        <v>0.30944090000000002</v>
      </c>
      <c r="AE4279">
        <v>-3.1635439999999999</v>
      </c>
      <c r="AF4279">
        <v>1.1833746898517901</v>
      </c>
      <c r="AG4279">
        <v>0.30944090000000002</v>
      </c>
      <c r="AH4279">
        <v>2.91205901475863</v>
      </c>
      <c r="AI4279">
        <v>84.377692403912505</v>
      </c>
      <c r="AJ4279">
        <v>67.8846289771014</v>
      </c>
      <c r="AK4279">
        <v>3.1585150043353698</v>
      </c>
      <c r="AL4279">
        <v>89.227898199101006</v>
      </c>
      <c r="AM4279">
        <v>86.339406098179197</v>
      </c>
      <c r="AN4279">
        <v>0.99999994537161396</v>
      </c>
    </row>
    <row r="4280" spans="1:40" x14ac:dyDescent="0.25">
      <c r="A4280" t="str">
        <f>"20190312160729103"</f>
        <v>20190312160729103</v>
      </c>
      <c r="B4280" t="str">
        <f>"1552378049099792"</f>
        <v>1552378049099792</v>
      </c>
      <c r="C4280" t="s">
        <v>40</v>
      </c>
      <c r="D4280">
        <v>6.344265</v>
      </c>
      <c r="E4280">
        <v>0.60712739999999998</v>
      </c>
      <c r="F4280" t="s">
        <v>47</v>
      </c>
      <c r="G4280">
        <v>-175.83189999999999</v>
      </c>
      <c r="H4280">
        <v>7.9986139999999997E-2</v>
      </c>
      <c r="I4280">
        <v>76.698130000000006</v>
      </c>
      <c r="J4280">
        <v>-190.35050000000001</v>
      </c>
      <c r="K4280">
        <v>1.1088629999999999</v>
      </c>
      <c r="L4280">
        <v>203.51609999999999</v>
      </c>
      <c r="M4280">
        <v>0.43824209999999902</v>
      </c>
      <c r="N4280">
        <v>0</v>
      </c>
      <c r="O4280">
        <v>-0.89863169999999903</v>
      </c>
      <c r="P4280">
        <v>0.37900919999999999</v>
      </c>
      <c r="Q4280">
        <v>-5.148372E-3</v>
      </c>
      <c r="R4280">
        <v>-0.9253787</v>
      </c>
      <c r="S4280">
        <v>0.35675050000000003</v>
      </c>
      <c r="T4280">
        <v>-2.5174140000000001E-2</v>
      </c>
      <c r="U4280">
        <v>-3.1063839999999998</v>
      </c>
      <c r="V4280">
        <v>6.502724E-2</v>
      </c>
      <c r="W4280">
        <v>1.465966E-2</v>
      </c>
      <c r="X4280">
        <v>0.99777579999999999</v>
      </c>
      <c r="Y4280">
        <v>0.33292129999999998</v>
      </c>
      <c r="Z4280">
        <v>6.6315289999999997E-3</v>
      </c>
      <c r="AA4280">
        <v>0.94293130000000003</v>
      </c>
      <c r="AB4280">
        <v>11</v>
      </c>
      <c r="AC4280">
        <v>14.518599999999999</v>
      </c>
      <c r="AD4280">
        <v>-1.02887686</v>
      </c>
      <c r="AE4280">
        <v>-126.81797</v>
      </c>
      <c r="AF4280">
        <v>42.535949210774703</v>
      </c>
      <c r="AG4280">
        <v>-1.02887686</v>
      </c>
      <c r="AH4280">
        <v>120.34186020144099</v>
      </c>
      <c r="AI4280">
        <v>90.461845254483706</v>
      </c>
      <c r="AJ4280">
        <v>70.533571695067195</v>
      </c>
      <c r="AK4280">
        <v>127.642190828886</v>
      </c>
      <c r="AL4280">
        <v>89.160033263222502</v>
      </c>
      <c r="AM4280">
        <v>86.271181541398605</v>
      </c>
      <c r="AN4280">
        <v>0.99999999731948597</v>
      </c>
    </row>
    <row r="4281" spans="1:40" x14ac:dyDescent="0.25">
      <c r="A4281" t="str">
        <f>"20190312160729126"</f>
        <v>20190312160729126</v>
      </c>
      <c r="B4281" t="str">
        <f>"1552378049119313"</f>
        <v>1552378049119313</v>
      </c>
      <c r="C4281" t="s">
        <v>40</v>
      </c>
      <c r="D4281">
        <v>6.1416269999999997</v>
      </c>
      <c r="E4281">
        <v>0.60731769999999996</v>
      </c>
      <c r="F4281" t="s">
        <v>50</v>
      </c>
      <c r="G4281">
        <v>-168.45050000000001</v>
      </c>
      <c r="H4281">
        <v>5.2603179999999998</v>
      </c>
      <c r="I4281">
        <v>8.4767169999999901</v>
      </c>
      <c r="J4281">
        <v>-190.3099</v>
      </c>
      <c r="K4281">
        <v>1.108762</v>
      </c>
      <c r="L4281">
        <v>203.41399999999999</v>
      </c>
      <c r="M4281">
        <v>0.43219800000000003</v>
      </c>
      <c r="N4281">
        <v>0</v>
      </c>
      <c r="O4281">
        <v>-0.90156749999999997</v>
      </c>
      <c r="P4281">
        <v>0.37249520000000003</v>
      </c>
      <c r="Q4281">
        <v>-4.2204749999999996E-3</v>
      </c>
      <c r="R4281">
        <v>-0.92802490000000004</v>
      </c>
      <c r="S4281">
        <v>0.348053</v>
      </c>
      <c r="T4281">
        <v>6.5978410000000001E-2</v>
      </c>
      <c r="U4281">
        <v>-3.0997309999999998</v>
      </c>
      <c r="V4281">
        <v>6.5340410000000002E-2</v>
      </c>
      <c r="W4281">
        <v>1.4981970000000001E-2</v>
      </c>
      <c r="X4281">
        <v>0.99775060000000004</v>
      </c>
      <c r="Y4281">
        <v>0.32897749999999998</v>
      </c>
      <c r="Z4281">
        <v>-1.7523090000000002E-2</v>
      </c>
      <c r="AA4281">
        <v>0.94417519999999999</v>
      </c>
      <c r="AB4281">
        <v>11</v>
      </c>
      <c r="AC4281">
        <v>21.859399999999901</v>
      </c>
      <c r="AD4281">
        <v>4.1515559999999896</v>
      </c>
      <c r="AE4281">
        <v>-194.93728300000001</v>
      </c>
      <c r="AF4281">
        <v>64.527172811962501</v>
      </c>
      <c r="AG4281">
        <v>4.1515559999999896</v>
      </c>
      <c r="AH4281">
        <v>185.149058741651</v>
      </c>
      <c r="AI4281">
        <v>88.787016886720593</v>
      </c>
      <c r="AJ4281">
        <v>70.785801902849201</v>
      </c>
      <c r="AK4281">
        <v>196.11518401502099</v>
      </c>
      <c r="AL4281">
        <v>89.141564272113598</v>
      </c>
      <c r="AM4281">
        <v>86.253180287732107</v>
      </c>
      <c r="AN4281">
        <v>1.0000000442021999</v>
      </c>
    </row>
    <row r="4282" spans="1:40" x14ac:dyDescent="0.25">
      <c r="A4282" t="str">
        <f>"20190312160729147"</f>
        <v>20190312160729147</v>
      </c>
      <c r="B4282" t="str">
        <f>"1552378049139341"</f>
        <v>1552378049139341</v>
      </c>
      <c r="C4282" t="s">
        <v>40</v>
      </c>
      <c r="D4282">
        <v>6.2516749999999996</v>
      </c>
      <c r="E4282">
        <v>0.60842980000000002</v>
      </c>
      <c r="F4282" t="s">
        <v>50</v>
      </c>
      <c r="G4282">
        <v>-169.2439</v>
      </c>
      <c r="H4282">
        <v>7.187983</v>
      </c>
      <c r="I4282">
        <v>2.5687030000000002</v>
      </c>
      <c r="J4282">
        <v>-190.27189999999999</v>
      </c>
      <c r="K4282">
        <v>1.1086780000000001</v>
      </c>
      <c r="L4282">
        <v>203.3167</v>
      </c>
      <c r="M4282">
        <v>0.42638300000000001</v>
      </c>
      <c r="N4282">
        <v>0</v>
      </c>
      <c r="O4282">
        <v>-0.90434479999999995</v>
      </c>
      <c r="P4282">
        <v>0.36678260000000001</v>
      </c>
      <c r="Q4282">
        <v>-3.8101110000000001E-3</v>
      </c>
      <c r="R4282">
        <v>-0.93029930000000005</v>
      </c>
      <c r="S4282">
        <v>0.3254089</v>
      </c>
      <c r="T4282">
        <v>9.3906279999999995E-2</v>
      </c>
      <c r="U4282">
        <v>-3.1024780000000001</v>
      </c>
      <c r="V4282">
        <v>6.5044359999999996E-2</v>
      </c>
      <c r="W4282">
        <v>1.478696E-2</v>
      </c>
      <c r="X4282">
        <v>0.99777280000000002</v>
      </c>
      <c r="Y4282">
        <v>0.32980989999999999</v>
      </c>
      <c r="Z4282">
        <v>-2.5039829999999999E-2</v>
      </c>
      <c r="AA4282">
        <v>0.94371519999999998</v>
      </c>
      <c r="AB4282">
        <v>11</v>
      </c>
      <c r="AC4282">
        <v>21.027999999999899</v>
      </c>
      <c r="AD4282">
        <v>6.0793049999999997</v>
      </c>
      <c r="AE4282">
        <v>-200.747997</v>
      </c>
      <c r="AF4282">
        <v>66.530540865436805</v>
      </c>
      <c r="AG4282">
        <v>6.0793049999999997</v>
      </c>
      <c r="AH4282">
        <v>190.37280995933901</v>
      </c>
      <c r="AI4282">
        <v>88.273295532591206</v>
      </c>
      <c r="AJ4282">
        <v>70.736754914117995</v>
      </c>
      <c r="AK4282">
        <v>201.754993962839</v>
      </c>
      <c r="AL4282">
        <v>89.152738715010003</v>
      </c>
      <c r="AM4282">
        <v>86.270191427372495</v>
      </c>
      <c r="AN4282">
        <v>0.99999999168684495</v>
      </c>
    </row>
    <row r="4283" spans="1:40" x14ac:dyDescent="0.25">
      <c r="A4283" t="str">
        <f>"20190312160729169"</f>
        <v>20190312160729169</v>
      </c>
      <c r="B4283" t="str">
        <f>"1552378049159837"</f>
        <v>1552378049159837</v>
      </c>
      <c r="C4283" t="s">
        <v>40</v>
      </c>
      <c r="D4283">
        <v>4.6088959999999997</v>
      </c>
      <c r="E4283">
        <v>0.60812180000000005</v>
      </c>
      <c r="F4283" t="s">
        <v>52</v>
      </c>
      <c r="G4283">
        <v>-167.10210000000001</v>
      </c>
      <c r="H4283">
        <v>10.620290000000001</v>
      </c>
      <c r="I4283">
        <v>-37.89</v>
      </c>
      <c r="J4283">
        <v>-190.23410000000001</v>
      </c>
      <c r="K4283">
        <v>1.108622</v>
      </c>
      <c r="L4283">
        <v>203.2182</v>
      </c>
      <c r="M4283">
        <v>0.42047410000000002</v>
      </c>
      <c r="N4283">
        <v>0</v>
      </c>
      <c r="O4283">
        <v>-0.90711949999999997</v>
      </c>
      <c r="P4283">
        <v>0.36115019999999998</v>
      </c>
      <c r="Q4283">
        <v>-3.4522099999999998E-3</v>
      </c>
      <c r="R4283">
        <v>-0.93250160000000004</v>
      </c>
      <c r="S4283">
        <v>0.29850769999999999</v>
      </c>
      <c r="T4283">
        <v>0.122542</v>
      </c>
      <c r="U4283">
        <v>-3.1075740000000001</v>
      </c>
      <c r="V4283">
        <v>6.4562889999999998E-2</v>
      </c>
      <c r="W4283">
        <v>1.455476E-2</v>
      </c>
      <c r="X4283">
        <v>0.99780749999999996</v>
      </c>
      <c r="Y4283">
        <v>0.33191310000000002</v>
      </c>
      <c r="Z4283">
        <v>-3.2769689999999997E-2</v>
      </c>
      <c r="AA4283">
        <v>0.94274060000000004</v>
      </c>
      <c r="AB4283">
        <v>11</v>
      </c>
      <c r="AC4283">
        <v>23.132000000000001</v>
      </c>
      <c r="AD4283">
        <v>9.5116679999999896</v>
      </c>
      <c r="AE4283">
        <v>-241.10820000000001</v>
      </c>
      <c r="AF4283">
        <v>80.285956493868397</v>
      </c>
      <c r="AG4283">
        <v>9.5116679999999896</v>
      </c>
      <c r="AH4283">
        <v>228.12692246524199</v>
      </c>
      <c r="AI4283">
        <v>87.747715947672006</v>
      </c>
      <c r="AJ4283">
        <v>70.6112210640553</v>
      </c>
      <c r="AK4283">
        <v>242.02933580816199</v>
      </c>
      <c r="AL4283">
        <v>89.166044240260803</v>
      </c>
      <c r="AM4283">
        <v>86.297851460032703</v>
      </c>
      <c r="AN4283">
        <v>1.0000000074300199</v>
      </c>
    </row>
    <row r="4284" spans="1:40" x14ac:dyDescent="0.25">
      <c r="A4284" t="str">
        <f>"20190312160729182"</f>
        <v>20190312160729182</v>
      </c>
      <c r="B4284" t="str">
        <f>"1552378049179358"</f>
        <v>1552378049179358</v>
      </c>
      <c r="C4284" t="s">
        <v>40</v>
      </c>
      <c r="D4284">
        <v>6.2669079999999999</v>
      </c>
      <c r="E4284">
        <v>0.60822830000000006</v>
      </c>
      <c r="F4284" t="s">
        <v>52</v>
      </c>
      <c r="G4284">
        <v>-167.99870000000001</v>
      </c>
      <c r="H4284">
        <v>11.26731</v>
      </c>
      <c r="I4284">
        <v>-41.879179999999998</v>
      </c>
      <c r="J4284">
        <v>-190.2116</v>
      </c>
      <c r="K4284">
        <v>1.108603</v>
      </c>
      <c r="L4284">
        <v>203.1585</v>
      </c>
      <c r="M4284">
        <v>0.41688819999999999</v>
      </c>
      <c r="N4284">
        <v>0</v>
      </c>
      <c r="O4284">
        <v>-0.90877969999999997</v>
      </c>
      <c r="P4284">
        <v>0.35800279999999901</v>
      </c>
      <c r="Q4284">
        <v>-3.4319540000000001E-3</v>
      </c>
      <c r="R4284">
        <v>-0.93371459999999995</v>
      </c>
      <c r="S4284">
        <v>0.28199770000000002</v>
      </c>
      <c r="T4284">
        <v>0.12883519999999901</v>
      </c>
      <c r="U4284">
        <v>-3.1083980000000002</v>
      </c>
      <c r="V4284">
        <v>6.3983369999999998E-2</v>
      </c>
      <c r="W4284">
        <v>1.424485E-2</v>
      </c>
      <c r="X4284">
        <v>0.99784930000000005</v>
      </c>
      <c r="Y4284">
        <v>0.333177099999999</v>
      </c>
      <c r="Z4284">
        <v>-3.4539479999999997E-2</v>
      </c>
      <c r="AA4284">
        <v>0.94223140000000005</v>
      </c>
      <c r="AB4284">
        <v>11</v>
      </c>
      <c r="AC4284">
        <v>22.212899999999902</v>
      </c>
      <c r="AD4284">
        <v>10.158707</v>
      </c>
      <c r="AE4284">
        <v>-245.03767999999999</v>
      </c>
      <c r="AF4284">
        <v>81.840437437078407</v>
      </c>
      <c r="AG4284">
        <v>10.158707</v>
      </c>
      <c r="AH4284">
        <v>231.58831636305899</v>
      </c>
      <c r="AI4284">
        <v>87.631663867722594</v>
      </c>
      <c r="AJ4284">
        <v>70.537223862383399</v>
      </c>
      <c r="AK4284">
        <v>245.83369338575301</v>
      </c>
      <c r="AL4284">
        <v>89.183802615662302</v>
      </c>
      <c r="AM4284">
        <v>86.331144241681599</v>
      </c>
      <c r="AN4284">
        <v>1.00000000644928</v>
      </c>
    </row>
    <row r="4285" spans="1:40" x14ac:dyDescent="0.25">
      <c r="A4285" t="str">
        <f>"20190312160729195"</f>
        <v>20190312160729195</v>
      </c>
      <c r="B4285" t="str">
        <f>"1552378049189117"</f>
        <v>1552378049189117</v>
      </c>
      <c r="C4285" t="s">
        <v>40</v>
      </c>
      <c r="D4285">
        <v>6.28348</v>
      </c>
      <c r="E4285">
        <v>0.60812010000000005</v>
      </c>
      <c r="F4285" t="s">
        <v>52</v>
      </c>
      <c r="G4285">
        <v>-167.99870000000001</v>
      </c>
      <c r="H4285">
        <v>12.521409999999999</v>
      </c>
      <c r="I4285">
        <v>-51.697119999999998</v>
      </c>
      <c r="J4285">
        <v>-190.18940000000001</v>
      </c>
      <c r="K4285">
        <v>1.1085879999999999</v>
      </c>
      <c r="L4285">
        <v>203.09889999999999</v>
      </c>
      <c r="M4285">
        <v>0.41331380000000001</v>
      </c>
      <c r="N4285">
        <v>0</v>
      </c>
      <c r="O4285">
        <v>-0.91041709999999998</v>
      </c>
      <c r="P4285">
        <v>0.35489850000000001</v>
      </c>
      <c r="Q4285">
        <v>-3.3288829999999999E-3</v>
      </c>
      <c r="R4285">
        <v>-0.93489920000000004</v>
      </c>
      <c r="S4285">
        <v>0.27102659999999901</v>
      </c>
      <c r="T4285">
        <v>0.13925029999999999</v>
      </c>
      <c r="U4285">
        <v>-3.1095579999999998</v>
      </c>
      <c r="V4285">
        <v>6.3373659999999998E-2</v>
      </c>
      <c r="W4285">
        <v>1.403459E-2</v>
      </c>
      <c r="X4285">
        <v>0.99789119999999998</v>
      </c>
      <c r="Y4285">
        <v>0.33280759999999998</v>
      </c>
      <c r="Z4285">
        <v>-3.7428210000000003E-2</v>
      </c>
      <c r="AA4285">
        <v>0.94225170000000003</v>
      </c>
      <c r="AB4285">
        <v>11</v>
      </c>
      <c r="AC4285">
        <v>22.1907</v>
      </c>
      <c r="AD4285">
        <v>11.412822</v>
      </c>
      <c r="AE4285">
        <v>-254.79602</v>
      </c>
      <c r="AF4285">
        <v>84.952057588586996</v>
      </c>
      <c r="AG4285">
        <v>11.412822</v>
      </c>
      <c r="AH4285">
        <v>240.700764222034</v>
      </c>
      <c r="AI4285">
        <v>87.439899916117696</v>
      </c>
      <c r="AJ4285">
        <v>70.560209294207098</v>
      </c>
      <c r="AK4285">
        <v>255.50726504663101</v>
      </c>
      <c r="AL4285">
        <v>89.195850840584001</v>
      </c>
      <c r="AM4285">
        <v>86.366163526851295</v>
      </c>
      <c r="AN4285">
        <v>1.0000000187678499</v>
      </c>
    </row>
    <row r="4286" spans="1:40" x14ac:dyDescent="0.25">
      <c r="A4286" t="str">
        <f>"20190312160729207"</f>
        <v>20190312160729207</v>
      </c>
      <c r="B4286" t="str">
        <f>"1552378049199853"</f>
        <v>1552378049199853</v>
      </c>
      <c r="C4286" t="s">
        <v>40</v>
      </c>
      <c r="D4286">
        <v>6.0185959999999996</v>
      </c>
      <c r="E4286">
        <v>0.60791989999999996</v>
      </c>
      <c r="F4286" t="s">
        <v>52</v>
      </c>
      <c r="G4286">
        <v>-169.12599999999901</v>
      </c>
      <c r="H4286">
        <v>12.64978</v>
      </c>
      <c r="I4286">
        <v>-47.369790000000002</v>
      </c>
      <c r="J4286">
        <v>-190.1678</v>
      </c>
      <c r="K4286">
        <v>1.108582</v>
      </c>
      <c r="L4286">
        <v>203.04040000000001</v>
      </c>
      <c r="M4286">
        <v>0.4098</v>
      </c>
      <c r="N4286">
        <v>0</v>
      </c>
      <c r="O4286">
        <v>-0.91200959999999998</v>
      </c>
      <c r="P4286">
        <v>0.35166540000000002</v>
      </c>
      <c r="Q4286">
        <v>-3.1858139999999999E-3</v>
      </c>
      <c r="R4286">
        <v>-0.93612030000000002</v>
      </c>
      <c r="S4286">
        <v>0.26155089999999998</v>
      </c>
      <c r="T4286">
        <v>0.14331050000000001</v>
      </c>
      <c r="U4286">
        <v>-3.1101529999999999</v>
      </c>
      <c r="V4286">
        <v>6.2971139999999995E-2</v>
      </c>
      <c r="W4286">
        <v>1.3894409999999999E-2</v>
      </c>
      <c r="X4286">
        <v>0.99791859999999999</v>
      </c>
      <c r="Y4286">
        <v>0.33203779999999999</v>
      </c>
      <c r="Z4286">
        <v>-3.86284E-2</v>
      </c>
      <c r="AA4286">
        <v>0.94247479999999995</v>
      </c>
      <c r="AB4286">
        <v>11</v>
      </c>
      <c r="AC4286">
        <v>21.041799999999999</v>
      </c>
      <c r="AD4286">
        <v>11.541198</v>
      </c>
      <c r="AE4286">
        <v>-250.41019</v>
      </c>
      <c r="AF4286">
        <v>83.2647596183172</v>
      </c>
      <c r="AG4286">
        <v>11.541198</v>
      </c>
      <c r="AH4286">
        <v>236.53634481963499</v>
      </c>
      <c r="AI4286">
        <v>87.364867907958697</v>
      </c>
      <c r="AJ4286">
        <v>70.6070766736145</v>
      </c>
      <c r="AK4286">
        <v>251.02920520569799</v>
      </c>
      <c r="AL4286">
        <v>89.203883311730706</v>
      </c>
      <c r="AM4286">
        <v>86.389281589049702</v>
      </c>
      <c r="AN4286">
        <v>0.99999997566405296</v>
      </c>
    </row>
    <row r="4287" spans="1:40" x14ac:dyDescent="0.25">
      <c r="A4287" t="str">
        <f>"20190312160729221"</f>
        <v>20190312160729221</v>
      </c>
      <c r="B4287" t="str">
        <f>"1552378049209614"</f>
        <v>1552378049209614</v>
      </c>
      <c r="C4287" t="s">
        <v>40</v>
      </c>
      <c r="D4287">
        <v>5.8161509999999996</v>
      </c>
      <c r="E4287">
        <v>0.60780179999999995</v>
      </c>
      <c r="F4287" t="s">
        <v>52</v>
      </c>
      <c r="G4287">
        <v>-169.244</v>
      </c>
      <c r="H4287">
        <v>13.235609999999999</v>
      </c>
      <c r="I4287">
        <v>-54.833599999999997</v>
      </c>
      <c r="J4287">
        <v>-190.14760000000001</v>
      </c>
      <c r="K4287">
        <v>1.1085750000000001</v>
      </c>
      <c r="L4287">
        <v>202.98490000000001</v>
      </c>
      <c r="M4287">
        <v>0.4064624</v>
      </c>
      <c r="N4287">
        <v>0</v>
      </c>
      <c r="O4287">
        <v>-0.91350710000000002</v>
      </c>
      <c r="P4287">
        <v>0.34865459999999998</v>
      </c>
      <c r="Q4287">
        <v>-3.2811020000000002E-3</v>
      </c>
      <c r="R4287">
        <v>-0.93724569999999996</v>
      </c>
      <c r="S4287">
        <v>0.2523804</v>
      </c>
      <c r="T4287">
        <v>0.1462736</v>
      </c>
      <c r="U4287">
        <v>-3.1104280000000002</v>
      </c>
      <c r="V4287">
        <v>6.2525689999999995E-2</v>
      </c>
      <c r="W4287">
        <v>1.3543970000000001E-2</v>
      </c>
      <c r="X4287">
        <v>0.99795140000000004</v>
      </c>
      <c r="Y4287">
        <v>0.33135609999999999</v>
      </c>
      <c r="Z4287">
        <v>-3.9535189999999998E-2</v>
      </c>
      <c r="AA4287">
        <v>0.94267710000000005</v>
      </c>
      <c r="AB4287">
        <v>11</v>
      </c>
      <c r="AC4287">
        <v>20.903599999999901</v>
      </c>
      <c r="AD4287">
        <v>12.127034999999999</v>
      </c>
      <c r="AE4287">
        <v>-257.81849999999997</v>
      </c>
      <c r="AF4287">
        <v>85.522518987545894</v>
      </c>
      <c r="AG4287">
        <v>12.127034999999999</v>
      </c>
      <c r="AH4287">
        <v>243.51606755006</v>
      </c>
      <c r="AI4287">
        <v>87.3098615110721</v>
      </c>
      <c r="AJ4287">
        <v>70.648792949780997</v>
      </c>
      <c r="AK4287">
        <v>258.38196799875902</v>
      </c>
      <c r="AL4287">
        <v>89.223963914359899</v>
      </c>
      <c r="AM4287">
        <v>86.4148740339418</v>
      </c>
      <c r="AN4287">
        <v>0.99999994889764698</v>
      </c>
    </row>
    <row r="4288" spans="1:40" x14ac:dyDescent="0.25">
      <c r="A4288" t="str">
        <f>"20190312160729237"</f>
        <v>20190312160729237</v>
      </c>
      <c r="B4288" t="str">
        <f>"1552378049229133"</f>
        <v>1552378049229133</v>
      </c>
      <c r="C4288" t="s">
        <v>40</v>
      </c>
      <c r="D4288">
        <v>6.3338489999999998</v>
      </c>
      <c r="E4288">
        <v>0.60752669999999998</v>
      </c>
      <c r="F4288" t="s">
        <v>52</v>
      </c>
      <c r="G4288">
        <v>-169.244</v>
      </c>
      <c r="H4288">
        <v>13.77421</v>
      </c>
      <c r="I4288">
        <v>-64.310119999999998</v>
      </c>
      <c r="J4288">
        <v>-190.12039999999999</v>
      </c>
      <c r="K4288">
        <v>1.1085700000000001</v>
      </c>
      <c r="L4288">
        <v>202.90940000000001</v>
      </c>
      <c r="M4288">
        <v>0.40191729999999998</v>
      </c>
      <c r="N4288">
        <v>0</v>
      </c>
      <c r="O4288">
        <v>-0.91552219999999995</v>
      </c>
      <c r="P4288">
        <v>0.34398440000000002</v>
      </c>
      <c r="Q4288">
        <v>-3.5871660000000001E-3</v>
      </c>
      <c r="R4288">
        <v>-0.93896849999999998</v>
      </c>
      <c r="S4288">
        <v>0.24328610000000001</v>
      </c>
      <c r="T4288">
        <v>0.14740819999999999</v>
      </c>
      <c r="U4288">
        <v>-3.1109010000000001</v>
      </c>
      <c r="V4288">
        <v>6.2527979999999997E-2</v>
      </c>
      <c r="W4288">
        <v>1.290793E-2</v>
      </c>
      <c r="X4288">
        <v>0.99795970000000001</v>
      </c>
      <c r="Y4288">
        <v>0.32941520000000002</v>
      </c>
      <c r="Z4288">
        <v>-3.9995860000000001E-2</v>
      </c>
      <c r="AA4288">
        <v>0.94333769999999995</v>
      </c>
      <c r="AB4288">
        <v>10</v>
      </c>
      <c r="AC4288">
        <v>20.876399999999901</v>
      </c>
      <c r="AD4288">
        <v>12.66564</v>
      </c>
      <c r="AE4288">
        <v>-267.21951999999999</v>
      </c>
      <c r="AF4288">
        <v>88.103045149845101</v>
      </c>
      <c r="AG4288">
        <v>12.66564</v>
      </c>
      <c r="AH4288">
        <v>252.50778983525501</v>
      </c>
      <c r="AI4288">
        <v>87.288531498532706</v>
      </c>
      <c r="AJ4288">
        <v>70.765497861008498</v>
      </c>
      <c r="AK4288">
        <v>267.73634218904698</v>
      </c>
      <c r="AL4288">
        <v>89.260409522558206</v>
      </c>
      <c r="AM4288">
        <v>86.414772812075199</v>
      </c>
      <c r="AN4288">
        <v>0.99999996288192605</v>
      </c>
    </row>
    <row r="4289" spans="1:40" x14ac:dyDescent="0.25">
      <c r="A4289" t="str">
        <f>"20190312160729258"</f>
        <v>20190312160729258</v>
      </c>
      <c r="B4289" t="str">
        <f>"1552378049249633"</f>
        <v>1552378049249633</v>
      </c>
      <c r="C4289" t="s">
        <v>40</v>
      </c>
      <c r="D4289">
        <v>6.2424689999999998</v>
      </c>
      <c r="E4289">
        <v>0.60705319999999996</v>
      </c>
      <c r="F4289" t="s">
        <v>43</v>
      </c>
      <c r="G4289">
        <v>-177.542</v>
      </c>
      <c r="H4289">
        <v>9.2295069999999999</v>
      </c>
      <c r="I4289">
        <v>32.707210000000003</v>
      </c>
      <c r="J4289">
        <v>-190.0864</v>
      </c>
      <c r="K4289">
        <v>1.1085510000000001</v>
      </c>
      <c r="L4289">
        <v>202.8134</v>
      </c>
      <c r="M4289">
        <v>0.39611740000000001</v>
      </c>
      <c r="N4289">
        <v>0</v>
      </c>
      <c r="O4289">
        <v>-0.91805320000000001</v>
      </c>
      <c r="P4289">
        <v>0.33761390000000002</v>
      </c>
      <c r="Q4289">
        <v>-3.3477749999999999E-3</v>
      </c>
      <c r="R4289">
        <v>-0.94127879999999997</v>
      </c>
      <c r="S4289">
        <v>0.22993469999999999</v>
      </c>
      <c r="T4289">
        <v>0.14845229999999901</v>
      </c>
      <c r="U4289">
        <v>-3.1113279999999999</v>
      </c>
      <c r="V4289">
        <v>6.2974020000000006E-2</v>
      </c>
      <c r="W4289">
        <v>1.276298E-2</v>
      </c>
      <c r="X4289">
        <v>0.99793359999999998</v>
      </c>
      <c r="Y4289">
        <v>0.32747510000000002</v>
      </c>
      <c r="Z4289">
        <v>-4.0472689999999999E-2</v>
      </c>
      <c r="AA4289">
        <v>0.94399259999999996</v>
      </c>
      <c r="AB4289">
        <v>10</v>
      </c>
      <c r="AC4289">
        <v>12.5443999999999</v>
      </c>
      <c r="AD4289">
        <v>8.1209559999999996</v>
      </c>
      <c r="AE4289">
        <v>-170.10619</v>
      </c>
      <c r="AF4289">
        <v>55.746751404035003</v>
      </c>
      <c r="AG4289">
        <v>8.1209559999999996</v>
      </c>
      <c r="AH4289">
        <v>160.792800966605</v>
      </c>
      <c r="AI4289">
        <v>87.267966595473496</v>
      </c>
      <c r="AJ4289">
        <v>70.878604573502301</v>
      </c>
      <c r="AK4289">
        <v>170.37598146788</v>
      </c>
      <c r="AL4289">
        <v>89.268715290690807</v>
      </c>
      <c r="AM4289">
        <v>86.389171020692601</v>
      </c>
      <c r="AN4289">
        <v>1.0000000454311899</v>
      </c>
    </row>
    <row r="4290" spans="1:40" x14ac:dyDescent="0.25">
      <c r="A4290" t="str">
        <f>"20190312160729281"</f>
        <v>20190312160729281</v>
      </c>
      <c r="B4290" t="str">
        <f>"1552378049269152"</f>
        <v>1552378049269152</v>
      </c>
      <c r="C4290" t="s">
        <v>40</v>
      </c>
      <c r="D4290">
        <v>6.4421670000000004</v>
      </c>
      <c r="E4290">
        <v>0.60616459999999905</v>
      </c>
      <c r="F4290" t="s">
        <v>41</v>
      </c>
      <c r="G4290">
        <v>0</v>
      </c>
      <c r="H4290">
        <v>0</v>
      </c>
      <c r="I4290">
        <v>0</v>
      </c>
      <c r="J4290">
        <v>-190.05109999999999</v>
      </c>
      <c r="K4290">
        <v>1.108528</v>
      </c>
      <c r="L4290">
        <v>202.7114</v>
      </c>
      <c r="M4290">
        <v>0.38994960000000001</v>
      </c>
      <c r="N4290">
        <v>0</v>
      </c>
      <c r="O4290">
        <v>-0.92069639999999997</v>
      </c>
      <c r="P4290">
        <v>0.33087490000000003</v>
      </c>
      <c r="Q4290">
        <v>-3.2298180000000002E-3</v>
      </c>
      <c r="R4290">
        <v>-0.94366950000000005</v>
      </c>
      <c r="S4290">
        <v>0.21234130000000001</v>
      </c>
      <c r="T4290">
        <v>0.14965419999999999</v>
      </c>
      <c r="U4290">
        <v>-3.111542</v>
      </c>
      <c r="V4290">
        <v>6.3411490000000001E-2</v>
      </c>
      <c r="W4290">
        <v>1.2515999999999999E-2</v>
      </c>
      <c r="X4290">
        <v>0.99790900000000005</v>
      </c>
      <c r="Y4290">
        <v>0.32645059999999998</v>
      </c>
      <c r="Z4290">
        <v>-4.0999710000000002E-2</v>
      </c>
      <c r="AA4290">
        <v>0.94432459999999996</v>
      </c>
      <c r="AB4290">
        <v>10</v>
      </c>
      <c r="AC4290">
        <v>0.21234130000000001</v>
      </c>
      <c r="AD4290">
        <v>0.14965419999999999</v>
      </c>
      <c r="AE4290">
        <v>-3.111542</v>
      </c>
      <c r="AF4290">
        <v>1.0156351857759001</v>
      </c>
      <c r="AG4290">
        <v>0.14965419999999999</v>
      </c>
      <c r="AH4290">
        <v>2.9411951802462699</v>
      </c>
      <c r="AI4290">
        <v>87.2464609135058</v>
      </c>
      <c r="AJ4290">
        <v>70.949501876913303</v>
      </c>
      <c r="AK4290">
        <v>3.1152111161954301</v>
      </c>
      <c r="AL4290">
        <v>89.282867313813298</v>
      </c>
      <c r="AM4290">
        <v>86.364064859919594</v>
      </c>
      <c r="AN4290">
        <v>1.0000000198005099</v>
      </c>
    </row>
    <row r="4291" spans="1:40" x14ac:dyDescent="0.25">
      <c r="A4291" t="str">
        <f>"20190312160729297"</f>
        <v>20190312160729297</v>
      </c>
      <c r="B4291" t="str">
        <f>"1552378049289645"</f>
        <v>1552378049289645</v>
      </c>
      <c r="C4291" t="s">
        <v>40</v>
      </c>
      <c r="D4291">
        <v>6.3082739999999999</v>
      </c>
      <c r="E4291">
        <v>0.60613919999999999</v>
      </c>
      <c r="F4291" t="s">
        <v>43</v>
      </c>
      <c r="G4291">
        <v>-179.2901</v>
      </c>
      <c r="H4291">
        <v>8.9674639999999997</v>
      </c>
      <c r="I4291">
        <v>32.61909</v>
      </c>
      <c r="J4291">
        <v>-190.02699999999999</v>
      </c>
      <c r="K4291">
        <v>1.108514</v>
      </c>
      <c r="L4291">
        <v>202.64070000000001</v>
      </c>
      <c r="M4291">
        <v>0.3856656</v>
      </c>
      <c r="N4291">
        <v>0</v>
      </c>
      <c r="O4291">
        <v>-0.92250290000000001</v>
      </c>
      <c r="P4291">
        <v>0.32621159999999999</v>
      </c>
      <c r="Q4291">
        <v>-2.9137049999999999E-3</v>
      </c>
      <c r="R4291">
        <v>-0.94529220000000003</v>
      </c>
      <c r="S4291">
        <v>0.19679260000000001</v>
      </c>
      <c r="T4291">
        <v>0.14372109999999999</v>
      </c>
      <c r="U4291">
        <v>-3.1105800000000001</v>
      </c>
      <c r="V4291">
        <v>6.3699359999999997E-2</v>
      </c>
      <c r="W4291">
        <v>1.260325E-2</v>
      </c>
      <c r="X4291">
        <v>0.99788949999999998</v>
      </c>
      <c r="Y4291">
        <v>0.32673249999999998</v>
      </c>
      <c r="Z4291">
        <v>-3.9516000000000003E-2</v>
      </c>
      <c r="AA4291">
        <v>0.94429039999999997</v>
      </c>
      <c r="AB4291">
        <v>10</v>
      </c>
      <c r="AC4291">
        <v>10.7369</v>
      </c>
      <c r="AD4291">
        <v>7.8589500000000001</v>
      </c>
      <c r="AE4291">
        <v>-170.02161000000001</v>
      </c>
      <c r="AF4291">
        <v>55.5554093199531</v>
      </c>
      <c r="AG4291">
        <v>7.8589500000000001</v>
      </c>
      <c r="AH4291">
        <v>160.66453370977001</v>
      </c>
      <c r="AI4291">
        <v>87.353128097371496</v>
      </c>
      <c r="AJ4291">
        <v>70.925374689286699</v>
      </c>
      <c r="AK4291">
        <v>170.180078128986</v>
      </c>
      <c r="AL4291">
        <v>89.277867814063299</v>
      </c>
      <c r="AM4291">
        <v>86.347532156003496</v>
      </c>
      <c r="AN4291">
        <v>0.99999995229260896</v>
      </c>
    </row>
    <row r="4292" spans="1:40" x14ac:dyDescent="0.25">
      <c r="A4292" t="str">
        <f>"20190312160729315"</f>
        <v>20190312160729315</v>
      </c>
      <c r="B4292" t="str">
        <f>"1552378049309165"</f>
        <v>1552378049309165</v>
      </c>
      <c r="C4292" t="s">
        <v>40</v>
      </c>
      <c r="D4292">
        <v>6.4340330000000003</v>
      </c>
      <c r="E4292">
        <v>0.60606850000000001</v>
      </c>
      <c r="F4292" t="s">
        <v>41</v>
      </c>
      <c r="G4292">
        <v>0</v>
      </c>
      <c r="H4292">
        <v>0</v>
      </c>
      <c r="I4292">
        <v>0</v>
      </c>
      <c r="J4292">
        <v>-189.99870000000001</v>
      </c>
      <c r="K4292">
        <v>1.108501</v>
      </c>
      <c r="L4292">
        <v>202.55619999999999</v>
      </c>
      <c r="M4292">
        <v>0.38055040000000001</v>
      </c>
      <c r="N4292">
        <v>0</v>
      </c>
      <c r="O4292">
        <v>-0.92462900000000003</v>
      </c>
      <c r="P4292">
        <v>0.32102039999999998</v>
      </c>
      <c r="Q4292">
        <v>-2.4177019999999999E-3</v>
      </c>
      <c r="R4292">
        <v>-0.94706939999999995</v>
      </c>
      <c r="S4292">
        <v>0.18154909999999999</v>
      </c>
      <c r="T4292">
        <v>0.14827009999999999</v>
      </c>
      <c r="U4292">
        <v>-3.111389</v>
      </c>
      <c r="V4292">
        <v>6.3647809999999999E-2</v>
      </c>
      <c r="W4292">
        <v>1.285596E-2</v>
      </c>
      <c r="X4292">
        <v>0.99788960000000004</v>
      </c>
      <c r="Y4292">
        <v>0.32612390000000002</v>
      </c>
      <c r="Z4292">
        <v>-4.0913280000000003E-2</v>
      </c>
      <c r="AA4292">
        <v>0.94444130000000004</v>
      </c>
      <c r="AB4292">
        <v>10</v>
      </c>
      <c r="AC4292">
        <v>0.18154909999999999</v>
      </c>
      <c r="AD4292">
        <v>0.14827009999999999</v>
      </c>
      <c r="AE4292">
        <v>-3.111389</v>
      </c>
      <c r="AF4292">
        <v>1.0140031637521401</v>
      </c>
      <c r="AG4292">
        <v>0.14827009999999999</v>
      </c>
      <c r="AH4292">
        <v>2.9396734405743401</v>
      </c>
      <c r="AI4292">
        <v>87.270162311140496</v>
      </c>
      <c r="AJ4292">
        <v>70.968773529385899</v>
      </c>
      <c r="AK4292">
        <v>3.1131762519766699</v>
      </c>
      <c r="AL4292">
        <v>89.263387448901398</v>
      </c>
      <c r="AM4292">
        <v>86.350480362804802</v>
      </c>
      <c r="AN4292">
        <v>0.99999998660673795</v>
      </c>
    </row>
    <row r="4293" spans="1:40" x14ac:dyDescent="0.25">
      <c r="A4293" t="str">
        <f>"20190312160729338"</f>
        <v>20190312160729338</v>
      </c>
      <c r="B4293" t="str">
        <f>"1552378049329661"</f>
        <v>1552378049329661</v>
      </c>
      <c r="C4293" t="s">
        <v>40</v>
      </c>
      <c r="D4293">
        <v>6.3285589999999896</v>
      </c>
      <c r="E4293">
        <v>0.60552950000000005</v>
      </c>
      <c r="F4293" t="s">
        <v>54</v>
      </c>
      <c r="G4293">
        <v>-174.94540000000001</v>
      </c>
      <c r="H4293">
        <v>14.841100000000001</v>
      </c>
      <c r="I4293">
        <v>-80.953550000000007</v>
      </c>
      <c r="J4293">
        <v>-189.965</v>
      </c>
      <c r="K4293">
        <v>1.1084889999999901</v>
      </c>
      <c r="L4293">
        <v>202.45320000000001</v>
      </c>
      <c r="M4293">
        <v>0.3743107</v>
      </c>
      <c r="N4293">
        <v>0</v>
      </c>
      <c r="O4293">
        <v>-0.92717700000000003</v>
      </c>
      <c r="P4293">
        <v>0.31490430000000003</v>
      </c>
      <c r="Q4293">
        <v>-1.5385329999999999E-3</v>
      </c>
      <c r="R4293">
        <v>-0.94912260000000004</v>
      </c>
      <c r="S4293">
        <v>0.16523740000000001</v>
      </c>
      <c r="T4293">
        <v>0.15073989999999901</v>
      </c>
      <c r="U4293">
        <v>-3.1120299999999999</v>
      </c>
      <c r="V4293">
        <v>6.3362390000000005E-2</v>
      </c>
      <c r="W4293">
        <v>1.347627E-2</v>
      </c>
      <c r="X4293">
        <v>0.9978996</v>
      </c>
      <c r="Y4293">
        <v>0.32469930000000002</v>
      </c>
      <c r="Z4293">
        <v>-4.178424E-2</v>
      </c>
      <c r="AA4293">
        <v>0.94489389999999995</v>
      </c>
      <c r="AB4293">
        <v>10</v>
      </c>
      <c r="AC4293">
        <v>15.019599999999899</v>
      </c>
      <c r="AD4293">
        <v>13.732610999999901</v>
      </c>
      <c r="AE4293">
        <v>-283.40674999999999</v>
      </c>
      <c r="AF4293">
        <v>91.951857607620099</v>
      </c>
      <c r="AG4293">
        <v>13.732610999999901</v>
      </c>
      <c r="AH4293">
        <v>267.79466296289002</v>
      </c>
      <c r="AI4293">
        <v>87.223280639755302</v>
      </c>
      <c r="AJ4293">
        <v>71.049218333600294</v>
      </c>
      <c r="AK4293">
        <v>283.47435551347002</v>
      </c>
      <c r="AL4293">
        <v>89.227843237744295</v>
      </c>
      <c r="AM4293">
        <v>86.366838517099595</v>
      </c>
      <c r="AN4293">
        <v>1.00000000699989</v>
      </c>
    </row>
    <row r="4294" spans="1:40" x14ac:dyDescent="0.25">
      <c r="A4294" t="str">
        <f>"20190312160729359"</f>
        <v>20190312160729359</v>
      </c>
      <c r="B4294" t="str">
        <f>"1552378049349181"</f>
        <v>1552378049349181</v>
      </c>
      <c r="C4294" t="s">
        <v>40</v>
      </c>
      <c r="D4294">
        <v>6.5920110000000003</v>
      </c>
      <c r="E4294">
        <v>0.604290199999999</v>
      </c>
      <c r="F4294" t="s">
        <v>54</v>
      </c>
      <c r="G4294">
        <v>-176.3741</v>
      </c>
      <c r="H4294">
        <v>15.20365</v>
      </c>
      <c r="I4294">
        <v>-80.953669999999903</v>
      </c>
      <c r="J4294">
        <v>-189.93459999999999</v>
      </c>
      <c r="K4294">
        <v>1.108492</v>
      </c>
      <c r="L4294">
        <v>202.35820000000001</v>
      </c>
      <c r="M4294">
        <v>0.36855510000000002</v>
      </c>
      <c r="N4294">
        <v>0</v>
      </c>
      <c r="O4294">
        <v>-0.92948299999999995</v>
      </c>
      <c r="P4294">
        <v>0.30977389999999999</v>
      </c>
      <c r="Q4294">
        <v>-1.114985E-3</v>
      </c>
      <c r="R4294">
        <v>-0.95080980000000004</v>
      </c>
      <c r="S4294">
        <v>0.14921570000000001</v>
      </c>
      <c r="T4294">
        <v>0.15475239999999901</v>
      </c>
      <c r="U4294">
        <v>-3.1115569999999999</v>
      </c>
      <c r="V4294">
        <v>6.2564579999999995E-2</v>
      </c>
      <c r="W4294">
        <v>1.3693210000000001E-2</v>
      </c>
      <c r="X4294">
        <v>0.99794700000000003</v>
      </c>
      <c r="Y4294">
        <v>0.32368160000000001</v>
      </c>
      <c r="Z4294">
        <v>-4.308348E-2</v>
      </c>
      <c r="AA4294">
        <v>0.94518460000000004</v>
      </c>
      <c r="AB4294">
        <v>10</v>
      </c>
      <c r="AC4294">
        <v>13.5604999999999</v>
      </c>
      <c r="AD4294">
        <v>14.0951579999999</v>
      </c>
      <c r="AE4294">
        <v>-283.31187</v>
      </c>
      <c r="AF4294">
        <v>91.596070832799398</v>
      </c>
      <c r="AG4294">
        <v>14.0951579999999</v>
      </c>
      <c r="AH4294">
        <v>267.70092035573498</v>
      </c>
      <c r="AI4294">
        <v>87.148041509789905</v>
      </c>
      <c r="AJ4294">
        <v>71.111196292892998</v>
      </c>
      <c r="AK4294">
        <v>283.28836268078499</v>
      </c>
      <c r="AL4294">
        <v>89.215412356665894</v>
      </c>
      <c r="AM4294">
        <v>86.412634187526606</v>
      </c>
      <c r="AN4294">
        <v>1.00000002273984</v>
      </c>
    </row>
    <row r="4295" spans="1:40" x14ac:dyDescent="0.25">
      <c r="A4295" t="str">
        <f>"20190312160729382"</f>
        <v>20190312160729382</v>
      </c>
      <c r="B4295" t="str">
        <f>"1552378049379438"</f>
        <v>1552378049379438</v>
      </c>
      <c r="C4295" t="s">
        <v>40</v>
      </c>
      <c r="D4295">
        <v>6.533379</v>
      </c>
      <c r="E4295">
        <v>0.60238930000000002</v>
      </c>
      <c r="F4295" t="s">
        <v>54</v>
      </c>
      <c r="G4295">
        <v>-177.03620000000001</v>
      </c>
      <c r="H4295">
        <v>14.69422</v>
      </c>
      <c r="I4295">
        <v>-80.953509999999994</v>
      </c>
      <c r="J4295">
        <v>-189.90360000000001</v>
      </c>
      <c r="K4295">
        <v>1.10849</v>
      </c>
      <c r="L4295">
        <v>202.25919999999999</v>
      </c>
      <c r="M4295">
        <v>0.3625546</v>
      </c>
      <c r="N4295">
        <v>0</v>
      </c>
      <c r="O4295">
        <v>-0.93184310000000004</v>
      </c>
      <c r="P4295">
        <v>0.30452430000000003</v>
      </c>
      <c r="Q4295">
        <v>-7.1774000000000002E-4</v>
      </c>
      <c r="R4295">
        <v>-0.95250420000000002</v>
      </c>
      <c r="S4295">
        <v>0.14155580000000001</v>
      </c>
      <c r="T4295">
        <v>0.14909829999999999</v>
      </c>
      <c r="U4295">
        <v>-3.1092379999999999</v>
      </c>
      <c r="V4295">
        <v>6.163474E-2</v>
      </c>
      <c r="W4295">
        <v>1.390299E-2</v>
      </c>
      <c r="X4295">
        <v>0.9980019</v>
      </c>
      <c r="Y4295">
        <v>0.31986560000000003</v>
      </c>
      <c r="Z4295">
        <v>-4.174489E-2</v>
      </c>
      <c r="AA4295">
        <v>0.94654289999999996</v>
      </c>
      <c r="AB4295">
        <v>10</v>
      </c>
      <c r="AC4295">
        <v>12.8674</v>
      </c>
      <c r="AD4295">
        <v>13.58573</v>
      </c>
      <c r="AE4295">
        <v>-283.21271000000002</v>
      </c>
      <c r="AF4295">
        <v>90.491963790242906</v>
      </c>
      <c r="AG4295">
        <v>13.58573</v>
      </c>
      <c r="AH4295">
        <v>267.98943472171601</v>
      </c>
      <c r="AI4295">
        <v>87.250158718002595</v>
      </c>
      <c r="AJ4295">
        <v>71.341722934387604</v>
      </c>
      <c r="AK4295">
        <v>283.181398917217</v>
      </c>
      <c r="AL4295">
        <v>89.203391656635404</v>
      </c>
      <c r="AM4295">
        <v>86.466007689691494</v>
      </c>
      <c r="AN4295">
        <v>0.99999996335470798</v>
      </c>
    </row>
    <row r="4296" spans="1:40" x14ac:dyDescent="0.25">
      <c r="A4296" t="str">
        <f>"20190312160729396"</f>
        <v>20190312160729396</v>
      </c>
      <c r="B4296" t="str">
        <f>"1552378049389198"</f>
        <v>1552378049389198</v>
      </c>
      <c r="C4296" t="s">
        <v>40</v>
      </c>
      <c r="D4296">
        <v>6.5061119999999999</v>
      </c>
      <c r="E4296">
        <v>0.60238930000000002</v>
      </c>
      <c r="F4296" t="s">
        <v>43</v>
      </c>
      <c r="G4296">
        <v>-182.32919999999999</v>
      </c>
      <c r="H4296">
        <v>8.6864329999999992</v>
      </c>
      <c r="I4296">
        <v>32.677880000000002</v>
      </c>
      <c r="J4296">
        <v>-189.8835</v>
      </c>
      <c r="K4296">
        <v>1.1084909999999999</v>
      </c>
      <c r="L4296">
        <v>202.1935</v>
      </c>
      <c r="M4296">
        <v>0.3585738</v>
      </c>
      <c r="N4296">
        <v>0</v>
      </c>
      <c r="O4296">
        <v>-0.93338410000000005</v>
      </c>
      <c r="P4296">
        <v>0.30108099999999999</v>
      </c>
      <c r="Q4296">
        <v>-4.2373040000000001E-4</v>
      </c>
      <c r="R4296">
        <v>-0.95359830000000001</v>
      </c>
      <c r="S4296">
        <v>0.138702399999999</v>
      </c>
      <c r="T4296">
        <v>0.1387668</v>
      </c>
      <c r="U4296">
        <v>-3.105362</v>
      </c>
      <c r="V4296">
        <v>6.098042E-2</v>
      </c>
      <c r="W4296">
        <v>1.408513E-2</v>
      </c>
      <c r="X4296">
        <v>0.99803960000000003</v>
      </c>
      <c r="Y4296">
        <v>0.31662960000000001</v>
      </c>
      <c r="Z4296">
        <v>-3.9033680000000001E-2</v>
      </c>
      <c r="AA4296">
        <v>0.94774579999999997</v>
      </c>
      <c r="AB4296">
        <v>10</v>
      </c>
      <c r="AC4296">
        <v>7.5543000000000102</v>
      </c>
      <c r="AD4296">
        <v>7.5779420000000002</v>
      </c>
      <c r="AE4296">
        <v>-169.51561999999899</v>
      </c>
      <c r="AF4296">
        <v>53.631714569097397</v>
      </c>
      <c r="AG4296">
        <v>7.5779420000000002</v>
      </c>
      <c r="AH4296">
        <v>160.62921383510499</v>
      </c>
      <c r="AI4296">
        <v>87.437823424935303</v>
      </c>
      <c r="AJ4296">
        <v>71.536599062513901</v>
      </c>
      <c r="AK4296">
        <v>169.515575537649</v>
      </c>
      <c r="AL4296">
        <v>89.192954828971807</v>
      </c>
      <c r="AM4296">
        <v>86.503563048123198</v>
      </c>
      <c r="AN4296">
        <v>1.00000002283932</v>
      </c>
    </row>
    <row r="4297" spans="1:40" x14ac:dyDescent="0.25">
      <c r="A4297" t="str">
        <f>"20190312160729415"</f>
        <v>20190312160729415</v>
      </c>
      <c r="B4297" t="str">
        <f>"1552378049409694"</f>
        <v>1552378049409694</v>
      </c>
      <c r="C4297" t="s">
        <v>40</v>
      </c>
      <c r="D4297">
        <v>6.7536839999999998</v>
      </c>
      <c r="E4297">
        <v>0.58135369999999997</v>
      </c>
      <c r="F4297" t="s">
        <v>43</v>
      </c>
      <c r="G4297">
        <v>-182.93530000000001</v>
      </c>
      <c r="H4297">
        <v>8.7291819999999998</v>
      </c>
      <c r="I4297">
        <v>32.801769999999998</v>
      </c>
      <c r="J4297">
        <v>-189.85720000000001</v>
      </c>
      <c r="K4297">
        <v>1.1084889999999901</v>
      </c>
      <c r="L4297">
        <v>202.10659999999999</v>
      </c>
      <c r="M4297">
        <v>0.35329929999999998</v>
      </c>
      <c r="N4297">
        <v>0</v>
      </c>
      <c r="O4297">
        <v>-0.93539539999999999</v>
      </c>
      <c r="P4297">
        <v>0.2965778</v>
      </c>
      <c r="Q4297">
        <v>-7.4963880000000001E-4</v>
      </c>
      <c r="R4297">
        <v>-0.95500870000000004</v>
      </c>
      <c r="S4297">
        <v>0.1273956</v>
      </c>
      <c r="T4297">
        <v>0.13972570000000001</v>
      </c>
      <c r="U4297">
        <v>-3.105804</v>
      </c>
      <c r="V4297">
        <v>6.0052889999999998E-2</v>
      </c>
      <c r="W4297">
        <v>1.362789E-2</v>
      </c>
      <c r="X4297">
        <v>0.99810220000000005</v>
      </c>
      <c r="Y4297">
        <v>0.31472460000000002</v>
      </c>
      <c r="Z4297">
        <v>-3.9448459999999998E-2</v>
      </c>
      <c r="AA4297">
        <v>0.94836290000000001</v>
      </c>
      <c r="AB4297">
        <v>10</v>
      </c>
      <c r="AC4297">
        <v>6.9218999999999902</v>
      </c>
      <c r="AD4297">
        <v>7.6206930000000002</v>
      </c>
      <c r="AE4297">
        <v>-169.30482999999899</v>
      </c>
      <c r="AF4297">
        <v>53.238616760700303</v>
      </c>
      <c r="AG4297">
        <v>7.6206930000000002</v>
      </c>
      <c r="AH4297">
        <v>160.50510700320001</v>
      </c>
      <c r="AI4297">
        <v>87.419707762790495</v>
      </c>
      <c r="AJ4297">
        <v>71.649615390712498</v>
      </c>
      <c r="AK4297">
        <v>169.27585371369901</v>
      </c>
      <c r="AL4297">
        <v>89.219155275968006</v>
      </c>
      <c r="AM4297">
        <v>86.556831374338003</v>
      </c>
      <c r="AN4297">
        <v>1.0000000353140199</v>
      </c>
    </row>
    <row r="4298" spans="1:40" x14ac:dyDescent="0.25">
      <c r="A4298" t="str">
        <f>"20190312160729429"</f>
        <v>20190312160729429</v>
      </c>
      <c r="B4298" t="str">
        <f>"1552378049419453"</f>
        <v>1552378049419453</v>
      </c>
      <c r="C4298" t="s">
        <v>40</v>
      </c>
      <c r="D4298">
        <v>6.5188439999999996</v>
      </c>
      <c r="E4298">
        <v>0.58081959999999999</v>
      </c>
      <c r="F4298" t="s">
        <v>52</v>
      </c>
      <c r="G4298">
        <v>-168.45060000000001</v>
      </c>
      <c r="H4298">
        <v>2.6709079999999998</v>
      </c>
      <c r="I4298">
        <v>-39.965299999999999</v>
      </c>
      <c r="J4298">
        <v>-189.83799999999999</v>
      </c>
      <c r="K4298">
        <v>1.108493</v>
      </c>
      <c r="L4298">
        <v>202.04179999999999</v>
      </c>
      <c r="M4298">
        <v>0.34937010000000002</v>
      </c>
      <c r="N4298">
        <v>0</v>
      </c>
      <c r="O4298">
        <v>-0.93687140000000002</v>
      </c>
      <c r="P4298">
        <v>0.29298829999999998</v>
      </c>
      <c r="Q4298">
        <v>-8.6812629999999998E-4</v>
      </c>
      <c r="R4298">
        <v>-0.95611579999999996</v>
      </c>
      <c r="S4298">
        <v>0.27037050000000001</v>
      </c>
      <c r="T4298">
        <v>1.973343E-2</v>
      </c>
      <c r="U4298">
        <v>-3.0574189999999999</v>
      </c>
      <c r="V4298">
        <v>5.9611129999999998E-2</v>
      </c>
      <c r="W4298">
        <v>1.3422389999999999E-2</v>
      </c>
      <c r="X4298">
        <v>0.99813149999999995</v>
      </c>
      <c r="Y4298">
        <v>0.26551520000000001</v>
      </c>
      <c r="Z4298">
        <v>-5.7201719999999999E-3</v>
      </c>
      <c r="AA4298">
        <v>0.96408970000000005</v>
      </c>
      <c r="AB4298">
        <v>10</v>
      </c>
      <c r="AC4298">
        <v>21.3873999999999</v>
      </c>
      <c r="AD4298">
        <v>1.5624150000000001</v>
      </c>
      <c r="AE4298">
        <v>-242.00710000000001</v>
      </c>
      <c r="AF4298">
        <v>64.516989064087298</v>
      </c>
      <c r="AG4298">
        <v>1.5624150000000001</v>
      </c>
      <c r="AH4298">
        <v>234.216851385365</v>
      </c>
      <c r="AI4298">
        <v>89.631520329114394</v>
      </c>
      <c r="AJ4298">
        <v>74.599336114061103</v>
      </c>
      <c r="AK4298">
        <v>242.94529526500801</v>
      </c>
      <c r="AL4298">
        <v>89.230930661506093</v>
      </c>
      <c r="AM4298">
        <v>86.582199776550297</v>
      </c>
      <c r="AN4298">
        <v>1.00000006933271</v>
      </c>
    </row>
    <row r="4299" spans="1:40" x14ac:dyDescent="0.25">
      <c r="A4299" t="str">
        <f>"20190312160729448"</f>
        <v>20190312160729448</v>
      </c>
      <c r="B4299" t="str">
        <f>"1552378049439949"</f>
        <v>1552378049439949</v>
      </c>
      <c r="C4299" t="s">
        <v>40</v>
      </c>
      <c r="D4299">
        <v>6.5355339999999904</v>
      </c>
      <c r="E4299">
        <v>0.58069249999999994</v>
      </c>
      <c r="F4299" t="s">
        <v>52</v>
      </c>
      <c r="G4299">
        <v>-166.83539999999999</v>
      </c>
      <c r="H4299">
        <v>3.0271460000000001</v>
      </c>
      <c r="I4299">
        <v>-65.389949999999999</v>
      </c>
      <c r="J4299">
        <v>-189.81360000000001</v>
      </c>
      <c r="K4299">
        <v>1.1084940000000001</v>
      </c>
      <c r="L4299">
        <v>201.95779999999999</v>
      </c>
      <c r="M4299">
        <v>0.34427790000000003</v>
      </c>
      <c r="N4299">
        <v>0</v>
      </c>
      <c r="O4299">
        <v>-0.93875649999999999</v>
      </c>
      <c r="P4299">
        <v>0.28802509999999998</v>
      </c>
      <c r="Q4299">
        <v>-9.4123579999999996E-4</v>
      </c>
      <c r="R4299">
        <v>-0.95762290000000005</v>
      </c>
      <c r="S4299">
        <v>0.26295469999999999</v>
      </c>
      <c r="T4299">
        <v>2.1932839999999999E-2</v>
      </c>
      <c r="U4299">
        <v>-3.0571440000000001</v>
      </c>
      <c r="V4299">
        <v>5.9366929999999998E-2</v>
      </c>
      <c r="W4299">
        <v>1.324502E-2</v>
      </c>
      <c r="X4299">
        <v>0.99814840000000005</v>
      </c>
      <c r="Y4299">
        <v>0.26259209999999999</v>
      </c>
      <c r="Z4299">
        <v>-6.3817739999999998E-3</v>
      </c>
      <c r="AA4299">
        <v>0.96488580000000002</v>
      </c>
      <c r="AB4299">
        <v>10</v>
      </c>
      <c r="AC4299">
        <v>22.978200000000001</v>
      </c>
      <c r="AD4299">
        <v>1.918652</v>
      </c>
      <c r="AE4299">
        <v>-267.34775000000002</v>
      </c>
      <c r="AF4299">
        <v>70.474748238126793</v>
      </c>
      <c r="AG4299">
        <v>1.918652</v>
      </c>
      <c r="AH4299">
        <v>258.89914074724697</v>
      </c>
      <c r="AI4299">
        <v>89.590306663647198</v>
      </c>
      <c r="AJ4299">
        <v>74.7725091329458</v>
      </c>
      <c r="AK4299">
        <v>268.32654815427298</v>
      </c>
      <c r="AL4299">
        <v>89.241094098782597</v>
      </c>
      <c r="AM4299">
        <v>86.5962254761601</v>
      </c>
      <c r="AN4299">
        <v>1.00000004567749</v>
      </c>
    </row>
    <row r="4300" spans="1:40" x14ac:dyDescent="0.25">
      <c r="A4300" t="str">
        <f>"20190312160729462"</f>
        <v>20190312160729462</v>
      </c>
      <c r="B4300" t="str">
        <f>"1552378049459469"</f>
        <v>1552378049459469</v>
      </c>
      <c r="C4300" t="s">
        <v>40</v>
      </c>
      <c r="D4300">
        <v>6.7389789999999996</v>
      </c>
      <c r="E4300">
        <v>0.57999529999999999</v>
      </c>
      <c r="F4300" t="s">
        <v>52</v>
      </c>
      <c r="G4300">
        <v>-168.13329999999999</v>
      </c>
      <c r="H4300">
        <v>2.3141630000000002</v>
      </c>
      <c r="I4300">
        <v>-65.389949999999999</v>
      </c>
      <c r="J4300">
        <v>-189.79589999999999</v>
      </c>
      <c r="K4300">
        <v>1.108493</v>
      </c>
      <c r="L4300">
        <v>201.89599999999999</v>
      </c>
      <c r="M4300">
        <v>0.34053080000000002</v>
      </c>
      <c r="N4300">
        <v>0</v>
      </c>
      <c r="O4300">
        <v>-0.9401233</v>
      </c>
      <c r="P4300">
        <v>0.28444209999999998</v>
      </c>
      <c r="Q4300">
        <v>-6.8925550000000001E-4</v>
      </c>
      <c r="R4300">
        <v>-0.95869320000000002</v>
      </c>
      <c r="S4300">
        <v>0.2480011</v>
      </c>
      <c r="T4300">
        <v>1.379144E-2</v>
      </c>
      <c r="U4300">
        <v>-3.0581969999999998</v>
      </c>
      <c r="V4300">
        <v>5.911843E-2</v>
      </c>
      <c r="W4300">
        <v>1.3428590000000001E-2</v>
      </c>
      <c r="X4300">
        <v>0.99816070000000001</v>
      </c>
      <c r="Y4300">
        <v>0.26345560000000001</v>
      </c>
      <c r="Z4300">
        <v>-4.0208900000000001E-3</v>
      </c>
      <c r="AA4300">
        <v>0.9646631</v>
      </c>
      <c r="AB4300">
        <v>10</v>
      </c>
      <c r="AC4300">
        <v>21.662600000000001</v>
      </c>
      <c r="AD4300">
        <v>1.20567</v>
      </c>
      <c r="AE4300">
        <v>-267.28595000000001</v>
      </c>
      <c r="AF4300">
        <v>70.659467236374795</v>
      </c>
      <c r="AG4300">
        <v>1.20567</v>
      </c>
      <c r="AH4300">
        <v>258.68007229759201</v>
      </c>
      <c r="AI4300">
        <v>89.742392126433998</v>
      </c>
      <c r="AJ4300">
        <v>74.722132785956305</v>
      </c>
      <c r="AK4300">
        <v>268.159642291983</v>
      </c>
      <c r="AL4300">
        <v>89.230575380348995</v>
      </c>
      <c r="AM4300">
        <v>86.610481487056305</v>
      </c>
      <c r="AN4300">
        <v>1.0000000494097701</v>
      </c>
    </row>
    <row r="4301" spans="1:40" x14ac:dyDescent="0.25">
      <c r="A4301" t="str">
        <f>"20190312160729481"</f>
        <v>20190312160729481</v>
      </c>
      <c r="B4301" t="str">
        <f>"1552378049479964"</f>
        <v>1552378049479964</v>
      </c>
      <c r="C4301" t="s">
        <v>40</v>
      </c>
      <c r="D4301">
        <v>6.246397</v>
      </c>
      <c r="E4301">
        <v>0.57997540000000003</v>
      </c>
      <c r="F4301" t="s">
        <v>52</v>
      </c>
      <c r="G4301">
        <v>-168.45060000000001</v>
      </c>
      <c r="H4301">
        <v>2.2790339999999998</v>
      </c>
      <c r="I4301">
        <v>-67.849969999999999</v>
      </c>
      <c r="J4301">
        <v>-189.7715</v>
      </c>
      <c r="K4301">
        <v>1.108487</v>
      </c>
      <c r="L4301">
        <v>201.809</v>
      </c>
      <c r="M4301">
        <v>0.33525729999999998</v>
      </c>
      <c r="N4301">
        <v>0</v>
      </c>
      <c r="O4301">
        <v>-0.94201800000000002</v>
      </c>
      <c r="P4301">
        <v>0.27938089999999999</v>
      </c>
      <c r="Q4301">
        <v>-9.6164920000000004E-4</v>
      </c>
      <c r="R4301">
        <v>-0.96018000000000003</v>
      </c>
      <c r="S4301">
        <v>0.2419434</v>
      </c>
      <c r="T4301">
        <v>1.326752E-2</v>
      </c>
      <c r="U4301">
        <v>-3.0574949999999999</v>
      </c>
      <c r="V4301">
        <v>5.878808E-2</v>
      </c>
      <c r="W4301">
        <v>1.3068130000000001E-2</v>
      </c>
      <c r="X4301">
        <v>0.99818490000000004</v>
      </c>
      <c r="Y4301">
        <v>0.25992900000000002</v>
      </c>
      <c r="Z4301">
        <v>-3.8835850000000002E-3</v>
      </c>
      <c r="AA4301">
        <v>0.96561989999999998</v>
      </c>
      <c r="AB4301">
        <v>10</v>
      </c>
      <c r="AC4301">
        <v>21.320899999999899</v>
      </c>
      <c r="AD4301">
        <v>1.170547</v>
      </c>
      <c r="AE4301">
        <v>-269.65897000000001</v>
      </c>
      <c r="AF4301">
        <v>70.326345666029994</v>
      </c>
      <c r="AG4301">
        <v>1.170547</v>
      </c>
      <c r="AH4301">
        <v>261.19342583599899</v>
      </c>
      <c r="AI4301">
        <v>89.752058755062606</v>
      </c>
      <c r="AJ4301">
        <v>74.930481249482199</v>
      </c>
      <c r="AK4301">
        <v>270.498005121966</v>
      </c>
      <c r="AL4301">
        <v>89.251229957760501</v>
      </c>
      <c r="AM4301">
        <v>86.629459637212605</v>
      </c>
      <c r="AN4301">
        <v>0.99999995447989498</v>
      </c>
    </row>
    <row r="4302" spans="1:40" x14ac:dyDescent="0.25">
      <c r="A4302" t="str">
        <f>"20190312160729506"</f>
        <v>20190312160729506</v>
      </c>
      <c r="B4302" t="str">
        <f>"1552378049499485"</f>
        <v>1552378049499485</v>
      </c>
      <c r="C4302" t="s">
        <v>40</v>
      </c>
      <c r="D4302">
        <v>6.7718819999999997</v>
      </c>
      <c r="E4302">
        <v>0.59152479999999996</v>
      </c>
      <c r="F4302" t="s">
        <v>41</v>
      </c>
      <c r="G4302">
        <v>0</v>
      </c>
      <c r="H4302">
        <v>0</v>
      </c>
      <c r="I4302">
        <v>0</v>
      </c>
      <c r="J4302">
        <v>-189.7415</v>
      </c>
      <c r="K4302">
        <v>1.108484</v>
      </c>
      <c r="L4302">
        <v>201.69970000000001</v>
      </c>
      <c r="M4302">
        <v>0.3286287</v>
      </c>
      <c r="N4302">
        <v>0</v>
      </c>
      <c r="O4302">
        <v>-0.94435250000000004</v>
      </c>
      <c r="P4302">
        <v>0.27277069999999998</v>
      </c>
      <c r="Q4302">
        <v>-1.1593339999999999E-3</v>
      </c>
      <c r="R4302">
        <v>-0.96207860000000001</v>
      </c>
      <c r="S4302">
        <v>0.22586059999999999</v>
      </c>
      <c r="T4302">
        <v>8.1541540000000003E-3</v>
      </c>
      <c r="U4302">
        <v>-3.0586850000000001</v>
      </c>
      <c r="V4302">
        <v>5.8635819999999998E-2</v>
      </c>
      <c r="W4302">
        <v>1.277347E-2</v>
      </c>
      <c r="X4302">
        <v>0.99819769999999997</v>
      </c>
      <c r="Y4302">
        <v>0.25821870000000002</v>
      </c>
      <c r="Z4302">
        <v>-2.396198E-3</v>
      </c>
      <c r="AA4302">
        <v>0.96608349999999998</v>
      </c>
      <c r="AB4302">
        <v>10</v>
      </c>
      <c r="AC4302">
        <v>0.22586059999999999</v>
      </c>
      <c r="AD4302">
        <v>8.1541540000000003E-3</v>
      </c>
      <c r="AE4302">
        <v>-3.0586850000000001</v>
      </c>
      <c r="AF4302">
        <v>0.79195386219476804</v>
      </c>
      <c r="AG4302">
        <v>8.1541540000000003E-3</v>
      </c>
      <c r="AH4302">
        <v>2.9629787446026601</v>
      </c>
      <c r="AI4302">
        <v>89.847669098229503</v>
      </c>
      <c r="AJ4302">
        <v>75.035618776282305</v>
      </c>
      <c r="AK4302">
        <v>3.0670018668138801</v>
      </c>
      <c r="AL4302">
        <v>89.268114164471697</v>
      </c>
      <c r="AM4302">
        <v>86.638212234262596</v>
      </c>
      <c r="AN4302">
        <v>0.999999984604101</v>
      </c>
    </row>
    <row r="4303" spans="1:40" x14ac:dyDescent="0.25">
      <c r="A4303" t="str">
        <f>"20190312160729528"</f>
        <v>20190312160729528</v>
      </c>
      <c r="B4303" t="str">
        <f>"1552378049519981"</f>
        <v>1552378049519981</v>
      </c>
      <c r="C4303" t="s">
        <v>40</v>
      </c>
      <c r="D4303">
        <v>6.6585429999999901</v>
      </c>
      <c r="E4303">
        <v>0.59041409999999905</v>
      </c>
      <c r="F4303" t="s">
        <v>47</v>
      </c>
      <c r="G4303">
        <v>-189.2227</v>
      </c>
      <c r="H4303" s="1">
        <v>-3.4129080000000002E-6</v>
      </c>
      <c r="I4303">
        <v>187.26689999999999</v>
      </c>
      <c r="J4303">
        <v>-189.71459999999999</v>
      </c>
      <c r="K4303">
        <v>1.1084799999999999</v>
      </c>
      <c r="L4303">
        <v>201.59889999999999</v>
      </c>
      <c r="M4303">
        <v>0.32251279999999999</v>
      </c>
      <c r="N4303">
        <v>0</v>
      </c>
      <c r="O4303">
        <v>-0.94645970000000001</v>
      </c>
      <c r="P4303">
        <v>0.26719019999999999</v>
      </c>
      <c r="Q4303">
        <v>-1.60876799999999E-3</v>
      </c>
      <c r="R4303">
        <v>-0.96364249999999996</v>
      </c>
      <c r="S4303">
        <v>0.110946699999999</v>
      </c>
      <c r="T4303">
        <v>-0.2370555</v>
      </c>
      <c r="U4303">
        <v>-3.0865170000000002</v>
      </c>
      <c r="V4303">
        <v>5.7960520000000001E-2</v>
      </c>
      <c r="W4303">
        <v>1.224899E-2</v>
      </c>
      <c r="X4303">
        <v>0.99824369999999996</v>
      </c>
      <c r="Y4303">
        <v>0.28840359999999998</v>
      </c>
      <c r="Z4303">
        <v>6.8808380000000002E-2</v>
      </c>
      <c r="AA4303">
        <v>0.95503340000000003</v>
      </c>
      <c r="AB4303">
        <v>10</v>
      </c>
      <c r="AC4303">
        <v>0.49189999999998602</v>
      </c>
      <c r="AD4303">
        <v>-1.1084834129079999</v>
      </c>
      <c r="AE4303">
        <v>-14.331999999999899</v>
      </c>
      <c r="AF4303">
        <v>4.1324137557531699</v>
      </c>
      <c r="AG4303">
        <v>-1.1084834129079999</v>
      </c>
      <c r="AH4303">
        <v>13.6431567427126</v>
      </c>
      <c r="AI4303">
        <v>94.446348555565805</v>
      </c>
      <c r="AJ4303">
        <v>73.148817982729994</v>
      </c>
      <c r="AK4303">
        <v>14.2982972703625</v>
      </c>
      <c r="AL4303">
        <v>89.298166999141401</v>
      </c>
      <c r="AM4303">
        <v>86.676994958776902</v>
      </c>
      <c r="AN4303">
        <v>0.99999997211218905</v>
      </c>
    </row>
    <row r="4304" spans="1:40" x14ac:dyDescent="0.25">
      <c r="A4304" t="str">
        <f>"20190312160729551"</f>
        <v>20190312160729551</v>
      </c>
      <c r="B4304" t="str">
        <f>"1552378049539502"</f>
        <v>1552378049539502</v>
      </c>
      <c r="C4304" t="s">
        <v>40</v>
      </c>
      <c r="D4304">
        <v>6.3008199999999999</v>
      </c>
      <c r="E4304">
        <v>0.58970069999999997</v>
      </c>
      <c r="F4304" t="s">
        <v>47</v>
      </c>
      <c r="G4304">
        <v>-189.13460000000001</v>
      </c>
      <c r="H4304" s="1">
        <v>-2.0862550000000001E-6</v>
      </c>
      <c r="I4304">
        <v>184.13810000000001</v>
      </c>
      <c r="J4304">
        <v>-189.6892</v>
      </c>
      <c r="K4304">
        <v>1.108487</v>
      </c>
      <c r="L4304">
        <v>201.50139999999999</v>
      </c>
      <c r="M4304">
        <v>0.3165905</v>
      </c>
      <c r="N4304">
        <v>0</v>
      </c>
      <c r="O4304">
        <v>-0.94845800000000002</v>
      </c>
      <c r="P4304">
        <v>0.261575</v>
      </c>
      <c r="Q4304">
        <v>-2.0233989999999999E-3</v>
      </c>
      <c r="R4304">
        <v>-0.96518099999999996</v>
      </c>
      <c r="S4304">
        <v>0.1024475</v>
      </c>
      <c r="T4304">
        <v>-0.19581409999999999</v>
      </c>
      <c r="U4304">
        <v>-3.084473</v>
      </c>
      <c r="V4304">
        <v>5.7530100000000001E-2</v>
      </c>
      <c r="W4304">
        <v>1.177076E-2</v>
      </c>
      <c r="X4304">
        <v>0.99827440000000001</v>
      </c>
      <c r="Y4304">
        <v>0.28500320000000001</v>
      </c>
      <c r="Z4304">
        <v>5.7149690000000003E-2</v>
      </c>
      <c r="AA4304">
        <v>0.95682129999999999</v>
      </c>
      <c r="AB4304">
        <v>10</v>
      </c>
      <c r="AC4304">
        <v>0.55459999999999299</v>
      </c>
      <c r="AD4304">
        <v>-1.1084890862549901</v>
      </c>
      <c r="AE4304">
        <v>-17.363299999999899</v>
      </c>
      <c r="AF4304">
        <v>4.95137335981864</v>
      </c>
      <c r="AG4304">
        <v>-1.1084890862549901</v>
      </c>
      <c r="AH4304">
        <v>16.578091003099502</v>
      </c>
      <c r="AI4304">
        <v>93.665825914641701</v>
      </c>
      <c r="AJ4304">
        <v>73.370708815460901</v>
      </c>
      <c r="AK4304">
        <v>17.337183955582798</v>
      </c>
      <c r="AL4304">
        <v>89.325569569705394</v>
      </c>
      <c r="AM4304">
        <v>86.701718415467795</v>
      </c>
      <c r="AN4304">
        <v>1.0000000204461701</v>
      </c>
    </row>
    <row r="4305" spans="1:40" x14ac:dyDescent="0.25">
      <c r="A4305" t="str">
        <f>"20190312160729572"</f>
        <v>20190312160729572</v>
      </c>
      <c r="B4305" t="str">
        <f>"1552378049569758"</f>
        <v>1552378049569758</v>
      </c>
      <c r="C4305" t="s">
        <v>40</v>
      </c>
      <c r="D4305">
        <v>6.8072979999999896</v>
      </c>
      <c r="E4305">
        <v>0.58967769999999897</v>
      </c>
      <c r="F4305" t="s">
        <v>47</v>
      </c>
      <c r="G4305">
        <v>-189.18190000000001</v>
      </c>
      <c r="H4305" s="1">
        <v>-2.0503999999999999E-6</v>
      </c>
      <c r="I4305">
        <v>184.07400000000001</v>
      </c>
      <c r="J4305">
        <v>-189.66470000000001</v>
      </c>
      <c r="K4305">
        <v>1.1084849999999999</v>
      </c>
      <c r="L4305">
        <v>201.405</v>
      </c>
      <c r="M4305">
        <v>0.31073420000000002</v>
      </c>
      <c r="N4305">
        <v>0</v>
      </c>
      <c r="O4305">
        <v>-0.95039390000000001</v>
      </c>
      <c r="P4305">
        <v>0.2561677</v>
      </c>
      <c r="Q4305">
        <v>-1.7656639999999999E-3</v>
      </c>
      <c r="R4305">
        <v>-0.96663100000000002</v>
      </c>
      <c r="S4305">
        <v>8.9752199999999893E-2</v>
      </c>
      <c r="T4305">
        <v>-0.19612979999999999</v>
      </c>
      <c r="U4305">
        <v>-3.0834959999999998</v>
      </c>
      <c r="V4305">
        <v>5.6961320000000003E-2</v>
      </c>
      <c r="W4305">
        <v>1.1974830000000001E-2</v>
      </c>
      <c r="X4305">
        <v>0.99830450000000004</v>
      </c>
      <c r="Y4305">
        <v>0.28301609999999899</v>
      </c>
      <c r="Z4305">
        <v>5.7464389999999997E-2</v>
      </c>
      <c r="AA4305">
        <v>0.95739220000000003</v>
      </c>
      <c r="AB4305">
        <v>10</v>
      </c>
      <c r="AC4305">
        <v>0.48279999999999701</v>
      </c>
      <c r="AD4305">
        <v>-1.1084870504</v>
      </c>
      <c r="AE4305">
        <v>-17.3309999999999</v>
      </c>
      <c r="AF4305">
        <v>4.90690847091631</v>
      </c>
      <c r="AG4305">
        <v>-1.1084870504</v>
      </c>
      <c r="AH4305">
        <v>16.555253107317299</v>
      </c>
      <c r="AI4305">
        <v>93.673138337430899</v>
      </c>
      <c r="AJ4305">
        <v>73.490394611408504</v>
      </c>
      <c r="AK4305">
        <v>17.3026847549793</v>
      </c>
      <c r="AL4305">
        <v>89.313876335070702</v>
      </c>
      <c r="AM4305">
        <v>86.734354694655707</v>
      </c>
      <c r="AN4305">
        <v>0.99999993162495804</v>
      </c>
    </row>
    <row r="4306" spans="1:40" x14ac:dyDescent="0.25">
      <c r="A4306" t="str">
        <f>"20190312160729596"</f>
        <v>20190312160729596</v>
      </c>
      <c r="B4306" t="str">
        <f>"1552378049589278"</f>
        <v>1552378049589278</v>
      </c>
      <c r="C4306" t="s">
        <v>40</v>
      </c>
      <c r="D4306">
        <v>7.0008970000000001</v>
      </c>
      <c r="E4306">
        <v>0.59053440000000001</v>
      </c>
      <c r="F4306" t="s">
        <v>47</v>
      </c>
      <c r="G4306">
        <v>-189.26669999999999</v>
      </c>
      <c r="H4306" s="1">
        <v>-2.2039979999999999E-6</v>
      </c>
      <c r="I4306">
        <v>184.46709999999999</v>
      </c>
      <c r="J4306">
        <v>-189.63910000000001</v>
      </c>
      <c r="K4306">
        <v>1.1084830000000001</v>
      </c>
      <c r="L4306">
        <v>201.30099999999999</v>
      </c>
      <c r="M4306">
        <v>0.30441750000000001</v>
      </c>
      <c r="N4306">
        <v>0</v>
      </c>
      <c r="O4306">
        <v>-0.95243690000000003</v>
      </c>
      <c r="P4306">
        <v>0.25066690000000003</v>
      </c>
      <c r="Q4306">
        <v>-1.7170989999999999E-3</v>
      </c>
      <c r="R4306">
        <v>-0.96807220000000005</v>
      </c>
      <c r="S4306">
        <v>7.2479249999999995E-2</v>
      </c>
      <c r="T4306">
        <v>-0.20183029999999999</v>
      </c>
      <c r="U4306">
        <v>-3.0840000000000001</v>
      </c>
      <c r="V4306">
        <v>5.60096E-2</v>
      </c>
      <c r="W4306">
        <v>1.1974830000000001E-2</v>
      </c>
      <c r="X4306">
        <v>0.99835839999999998</v>
      </c>
      <c r="Y4306">
        <v>0.28201300000000001</v>
      </c>
      <c r="Z4306">
        <v>5.9330149999999998E-2</v>
      </c>
      <c r="AA4306">
        <v>0.95757440000000005</v>
      </c>
      <c r="AB4306">
        <v>10</v>
      </c>
      <c r="AC4306">
        <v>0.37240000000002699</v>
      </c>
      <c r="AD4306">
        <v>-1.108485203998</v>
      </c>
      <c r="AE4306">
        <v>-16.8339</v>
      </c>
      <c r="AF4306">
        <v>4.7497240652397901</v>
      </c>
      <c r="AG4306">
        <v>-1.108485203998</v>
      </c>
      <c r="AH4306">
        <v>16.0784762096348</v>
      </c>
      <c r="AI4306">
        <v>93.782753275209899</v>
      </c>
      <c r="AJ4306">
        <v>73.542393508739806</v>
      </c>
      <c r="AK4306">
        <v>16.8019646281973</v>
      </c>
      <c r="AL4306">
        <v>89.313876370560905</v>
      </c>
      <c r="AM4306">
        <v>86.788975534826804</v>
      </c>
      <c r="AN4306">
        <v>0.99999998334812401</v>
      </c>
    </row>
    <row r="4307" spans="1:40" x14ac:dyDescent="0.25">
      <c r="A4307" t="str">
        <f>"20190312160729618"</f>
        <v>20190312160729618</v>
      </c>
      <c r="B4307" t="str">
        <f>"1552378049609773"</f>
        <v>1552378049609773</v>
      </c>
      <c r="C4307" t="s">
        <v>40</v>
      </c>
      <c r="D4307">
        <v>6.2479630000000004</v>
      </c>
      <c r="E4307">
        <v>0.58890549999999997</v>
      </c>
      <c r="F4307" t="s">
        <v>47</v>
      </c>
      <c r="G4307">
        <v>-189.40260000000001</v>
      </c>
      <c r="H4307" s="1">
        <v>-2.8459850000000002E-6</v>
      </c>
      <c r="I4307">
        <v>186.0198</v>
      </c>
      <c r="J4307">
        <v>-189.61449999999999</v>
      </c>
      <c r="K4307">
        <v>1.1084780000000001</v>
      </c>
      <c r="L4307">
        <v>201.1985</v>
      </c>
      <c r="M4307">
        <v>0.29818529999999999</v>
      </c>
      <c r="N4307">
        <v>0</v>
      </c>
      <c r="O4307">
        <v>-0.95440670000000005</v>
      </c>
      <c r="P4307">
        <v>0.2447087</v>
      </c>
      <c r="Q4307">
        <v>-1.727646E-3</v>
      </c>
      <c r="R4307">
        <v>-0.9695954</v>
      </c>
      <c r="S4307">
        <v>4.7760009999999999E-2</v>
      </c>
      <c r="T4307">
        <v>-0.2238665</v>
      </c>
      <c r="U4307">
        <v>-3.0861510000000001</v>
      </c>
      <c r="V4307">
        <v>5.562276E-2</v>
      </c>
      <c r="W4307">
        <v>1.1920470000000001E-2</v>
      </c>
      <c r="X4307">
        <v>0.99838070000000001</v>
      </c>
      <c r="Y4307">
        <v>0.2834276</v>
      </c>
      <c r="Z4307">
        <v>6.5932009999999999E-2</v>
      </c>
      <c r="AA4307">
        <v>0.95672449999999998</v>
      </c>
      <c r="AB4307">
        <v>10</v>
      </c>
      <c r="AC4307">
        <v>0.21189999999998499</v>
      </c>
      <c r="AD4307">
        <v>-1.108480845985</v>
      </c>
      <c r="AE4307">
        <v>-15.1786999999999</v>
      </c>
      <c r="AF4307">
        <v>4.3013093209389801</v>
      </c>
      <c r="AG4307">
        <v>-1.108480845985</v>
      </c>
      <c r="AH4307">
        <v>14.4740675127786</v>
      </c>
      <c r="AI4307">
        <v>94.198606352859002</v>
      </c>
      <c r="AJ4307">
        <v>73.449445824704497</v>
      </c>
      <c r="AK4307">
        <v>15.1402979503306</v>
      </c>
      <c r="AL4307">
        <v>89.316991206697907</v>
      </c>
      <c r="AM4307">
        <v>86.811178182659702</v>
      </c>
      <c r="AN4307">
        <v>1.0000000055837599</v>
      </c>
    </row>
    <row r="4308" spans="1:40" x14ac:dyDescent="0.25">
      <c r="A4308" t="str">
        <f>"20190312160729630"</f>
        <v>20190312160729630</v>
      </c>
      <c r="B4308" t="str">
        <f>"1552378049619534"</f>
        <v>1552378049619534</v>
      </c>
      <c r="C4308" t="s">
        <v>40</v>
      </c>
      <c r="D4308">
        <v>6.7140119999999897</v>
      </c>
      <c r="E4308">
        <v>0.58778699999999995</v>
      </c>
      <c r="F4308" t="s">
        <v>47</v>
      </c>
      <c r="G4308">
        <v>-189.4051</v>
      </c>
      <c r="H4308" s="1">
        <v>-2.7144030000000001E-6</v>
      </c>
      <c r="I4308">
        <v>185.7141</v>
      </c>
      <c r="J4308">
        <v>-189.60130000000001</v>
      </c>
      <c r="K4308">
        <v>1.1084799999999999</v>
      </c>
      <c r="L4308">
        <v>201.1422</v>
      </c>
      <c r="M4308">
        <v>0.29475829999999997</v>
      </c>
      <c r="N4308">
        <v>0</v>
      </c>
      <c r="O4308">
        <v>-0.95547119999999996</v>
      </c>
      <c r="P4308">
        <v>0.24161669999999999</v>
      </c>
      <c r="Q4308">
        <v>-2.0691189999999999E-3</v>
      </c>
      <c r="R4308">
        <v>-0.97036979999999995</v>
      </c>
      <c r="S4308">
        <v>4.170227E-2</v>
      </c>
      <c r="T4308">
        <v>-0.22071170000000001</v>
      </c>
      <c r="U4308">
        <v>-3.0831300000000001</v>
      </c>
      <c r="V4308">
        <v>5.5220369999999998E-2</v>
      </c>
      <c r="W4308">
        <v>1.155905E-2</v>
      </c>
      <c r="X4308">
        <v>0.9984073</v>
      </c>
      <c r="Y4308">
        <v>0.2818505</v>
      </c>
      <c r="Z4308">
        <v>6.520165E-2</v>
      </c>
      <c r="AA4308">
        <v>0.95724030000000004</v>
      </c>
      <c r="AB4308">
        <v>10</v>
      </c>
      <c r="AC4308">
        <v>0.19620000000000401</v>
      </c>
      <c r="AD4308">
        <v>-1.1084827144029901</v>
      </c>
      <c r="AE4308">
        <v>-15.428100000000001</v>
      </c>
      <c r="AF4308">
        <v>4.3381258731618102</v>
      </c>
      <c r="AG4308">
        <v>-1.1084827144029901</v>
      </c>
      <c r="AH4308">
        <v>14.7243626606648</v>
      </c>
      <c r="AI4308">
        <v>94.130347217116906</v>
      </c>
      <c r="AJ4308">
        <v>73.583849925143298</v>
      </c>
      <c r="AK4308">
        <v>15.3900918055191</v>
      </c>
      <c r="AL4308">
        <v>89.337700483223003</v>
      </c>
      <c r="AM4308">
        <v>86.834284056182099</v>
      </c>
      <c r="AN4308">
        <v>1.0000000187965601</v>
      </c>
    </row>
    <row r="4309" spans="1:40" x14ac:dyDescent="0.25">
      <c r="A4309" t="str">
        <f>"20190312160729644"</f>
        <v>20190312160729644</v>
      </c>
      <c r="B4309" t="str">
        <f>"1552378049640030"</f>
        <v>1552378049640030</v>
      </c>
      <c r="C4309" t="s">
        <v>40</v>
      </c>
      <c r="D4309">
        <v>6.6733070000000003</v>
      </c>
      <c r="E4309">
        <v>0.58628760000000002</v>
      </c>
      <c r="F4309" t="s">
        <v>47</v>
      </c>
      <c r="G4309">
        <v>-189.38480000000001</v>
      </c>
      <c r="H4309" s="1">
        <v>-2.3001790000000001E-6</v>
      </c>
      <c r="I4309">
        <v>184.74019999999999</v>
      </c>
      <c r="J4309">
        <v>-189.58760000000001</v>
      </c>
      <c r="K4309">
        <v>1.1084799999999999</v>
      </c>
      <c r="L4309">
        <v>201.08269999999999</v>
      </c>
      <c r="M4309">
        <v>0.29114129999999999</v>
      </c>
      <c r="N4309">
        <v>0</v>
      </c>
      <c r="O4309">
        <v>-0.95657969999999903</v>
      </c>
      <c r="P4309">
        <v>0.23795540000000001</v>
      </c>
      <c r="Q4309">
        <v>-2.117912E-3</v>
      </c>
      <c r="R4309">
        <v>-0.97127430000000003</v>
      </c>
      <c r="S4309">
        <v>4.066467E-2</v>
      </c>
      <c r="T4309">
        <v>-0.20822579999999999</v>
      </c>
      <c r="U4309">
        <v>-3.08107</v>
      </c>
      <c r="V4309">
        <v>5.520771E-2</v>
      </c>
      <c r="W4309">
        <v>1.1488490000000001E-2</v>
      </c>
      <c r="X4309">
        <v>0.99840879999999999</v>
      </c>
      <c r="Y4309">
        <v>0.27853149999999999</v>
      </c>
      <c r="Z4309">
        <v>6.1715550000000001E-2</v>
      </c>
      <c r="AA4309">
        <v>0.95844220000000002</v>
      </c>
      <c r="AB4309">
        <v>10</v>
      </c>
      <c r="AC4309">
        <v>0.20279999999999601</v>
      </c>
      <c r="AD4309">
        <v>-1.1084823001789901</v>
      </c>
      <c r="AE4309">
        <v>-16.342500000000001</v>
      </c>
      <c r="AF4309">
        <v>4.5435205911618599</v>
      </c>
      <c r="AG4309">
        <v>-1.1084823001789901</v>
      </c>
      <c r="AH4309">
        <v>15.6215953621157</v>
      </c>
      <c r="AI4309">
        <v>93.897821222160502</v>
      </c>
      <c r="AJ4309">
        <v>73.782996900743797</v>
      </c>
      <c r="AK4309">
        <v>16.306641408634601</v>
      </c>
      <c r="AL4309">
        <v>89.341743532257894</v>
      </c>
      <c r="AM4309">
        <v>86.835013108103993</v>
      </c>
      <c r="AN4309">
        <v>1.0000000042816799</v>
      </c>
    </row>
    <row r="4310" spans="1:40" x14ac:dyDescent="0.25">
      <c r="A4310" t="str">
        <f>"20190312160729661"</f>
        <v>20190312160729661</v>
      </c>
      <c r="B4310" t="str">
        <f>"1552378049649790"</f>
        <v>1552378049649790</v>
      </c>
      <c r="C4310" t="s">
        <v>40</v>
      </c>
      <c r="D4310">
        <v>6.6459369999999902</v>
      </c>
      <c r="E4310">
        <v>0.5857772</v>
      </c>
      <c r="F4310" t="s">
        <v>47</v>
      </c>
      <c r="G4310">
        <v>-189.35740000000001</v>
      </c>
      <c r="H4310" s="1">
        <v>-1.892626E-6</v>
      </c>
      <c r="I4310">
        <v>183.77879999999999</v>
      </c>
      <c r="J4310">
        <v>-189.5702</v>
      </c>
      <c r="K4310">
        <v>1.108484</v>
      </c>
      <c r="L4310">
        <v>201.00540000000001</v>
      </c>
      <c r="M4310">
        <v>0.28644619999999998</v>
      </c>
      <c r="N4310">
        <v>0</v>
      </c>
      <c r="O4310">
        <v>-0.95799639999999997</v>
      </c>
      <c r="P4310">
        <v>0.23411670000000001</v>
      </c>
      <c r="Q4310">
        <v>-2.1203009999999998E-3</v>
      </c>
      <c r="R4310">
        <v>-0.97220620000000002</v>
      </c>
      <c r="S4310">
        <v>4.0954589999999999E-2</v>
      </c>
      <c r="T4310">
        <v>-0.19719329999999999</v>
      </c>
      <c r="U4310">
        <v>-3.0782620000000001</v>
      </c>
      <c r="V4310">
        <v>5.4254339999999998E-2</v>
      </c>
      <c r="W4310">
        <v>1.146465E-2</v>
      </c>
      <c r="X4310">
        <v>0.9984613</v>
      </c>
      <c r="Y4310">
        <v>0.27371509999999999</v>
      </c>
      <c r="Z4310">
        <v>5.8691939999999998E-2</v>
      </c>
      <c r="AA4310">
        <v>0.96001840000000005</v>
      </c>
      <c r="AB4310">
        <v>10</v>
      </c>
      <c r="AC4310">
        <v>0.212799999999987</v>
      </c>
      <c r="AD4310">
        <v>-1.1084858926259999</v>
      </c>
      <c r="AE4310">
        <v>-17.226600000000001</v>
      </c>
      <c r="AF4310">
        <v>4.7115797348095798</v>
      </c>
      <c r="AG4310">
        <v>-1.1084858926259999</v>
      </c>
      <c r="AH4310">
        <v>16.4972647072935</v>
      </c>
      <c r="AI4310">
        <v>93.696673923139301</v>
      </c>
      <c r="AJ4310">
        <v>74.060783620058402</v>
      </c>
      <c r="AK4310">
        <v>17.192657368601601</v>
      </c>
      <c r="AL4310">
        <v>89.343109530817998</v>
      </c>
      <c r="AM4310">
        <v>86.889723549700093</v>
      </c>
      <c r="AN4310">
        <v>0.99999996960307302</v>
      </c>
    </row>
    <row r="4311" spans="1:40" x14ac:dyDescent="0.25">
      <c r="A4311" t="str">
        <f>"20190312160729676"</f>
        <v>20190312160729676</v>
      </c>
      <c r="B4311" t="str">
        <f>"1552378049669309"</f>
        <v>1552378049669309</v>
      </c>
      <c r="C4311" t="s">
        <v>40</v>
      </c>
      <c r="D4311">
        <v>6.3065110000000004</v>
      </c>
      <c r="E4311">
        <v>0.58696789999999999</v>
      </c>
      <c r="F4311" t="s">
        <v>47</v>
      </c>
      <c r="G4311">
        <v>-189.38550000000001</v>
      </c>
      <c r="H4311" s="1">
        <v>-1.822027E-6</v>
      </c>
      <c r="I4311">
        <v>183.6259</v>
      </c>
      <c r="J4311">
        <v>-189.5558</v>
      </c>
      <c r="K4311">
        <v>1.1084879999999999</v>
      </c>
      <c r="L4311">
        <v>200.94040000000001</v>
      </c>
      <c r="M4311">
        <v>0.28249940000000001</v>
      </c>
      <c r="N4311">
        <v>0</v>
      </c>
      <c r="O4311">
        <v>-0.95916809999999997</v>
      </c>
      <c r="P4311">
        <v>0.23090840000000001</v>
      </c>
      <c r="Q4311">
        <v>-2.1520160000000001E-3</v>
      </c>
      <c r="R4311">
        <v>-0.97297290000000003</v>
      </c>
      <c r="S4311">
        <v>3.2699579999999999E-2</v>
      </c>
      <c r="T4311">
        <v>-0.19628519999999999</v>
      </c>
      <c r="U4311">
        <v>-3.0774840000000001</v>
      </c>
      <c r="V4311">
        <v>5.3436409999999997E-2</v>
      </c>
      <c r="W4311">
        <v>1.1417439999999999E-2</v>
      </c>
      <c r="X4311">
        <v>0.998506</v>
      </c>
      <c r="Y4311">
        <v>0.27232640000000002</v>
      </c>
      <c r="Z4311">
        <v>5.8562070000000001E-2</v>
      </c>
      <c r="AA4311">
        <v>0.96042110000000003</v>
      </c>
      <c r="AB4311">
        <v>10</v>
      </c>
      <c r="AC4311">
        <v>0.17029999999999701</v>
      </c>
      <c r="AD4311">
        <v>-1.1084898220270001</v>
      </c>
      <c r="AE4311">
        <v>-17.314499999999999</v>
      </c>
      <c r="AF4311">
        <v>4.7091409096615502</v>
      </c>
      <c r="AG4311">
        <v>-1.1084898220270001</v>
      </c>
      <c r="AH4311">
        <v>16.589226323347699</v>
      </c>
      <c r="AI4311">
        <v>93.677921986089501</v>
      </c>
      <c r="AJ4311">
        <v>74.152483023369896</v>
      </c>
      <c r="AK4311">
        <v>17.280254274744799</v>
      </c>
      <c r="AL4311">
        <v>89.345814674636301</v>
      </c>
      <c r="AM4311">
        <v>86.936660478738801</v>
      </c>
      <c r="AN4311">
        <v>1.00000001994292</v>
      </c>
    </row>
    <row r="4312" spans="1:40" x14ac:dyDescent="0.25">
      <c r="A4312" t="str">
        <f>"20190312160729696"</f>
        <v>20190312160729696</v>
      </c>
      <c r="B4312" t="str">
        <f>"1552378049689805"</f>
        <v>1552378049689805</v>
      </c>
      <c r="C4312" t="s">
        <v>40</v>
      </c>
      <c r="D4312">
        <v>6.2965249999999999</v>
      </c>
      <c r="E4312">
        <v>0.58729390000000004</v>
      </c>
      <c r="F4312" t="s">
        <v>47</v>
      </c>
      <c r="G4312">
        <v>-189.4581</v>
      </c>
      <c r="H4312" s="1">
        <v>-1.4266739999999901E-7</v>
      </c>
      <c r="I4312">
        <v>179.64359999999999</v>
      </c>
      <c r="J4312">
        <v>-189.5367</v>
      </c>
      <c r="K4312">
        <v>1.1085020000000001</v>
      </c>
      <c r="L4312">
        <v>200.85230000000001</v>
      </c>
      <c r="M4312">
        <v>0.27715380000000001</v>
      </c>
      <c r="N4312">
        <v>0</v>
      </c>
      <c r="O4312">
        <v>-0.96072670000000004</v>
      </c>
      <c r="P4312">
        <v>0.2266833</v>
      </c>
      <c r="Q4312">
        <v>-1.607406E-3</v>
      </c>
      <c r="R4312">
        <v>-0.97396709999999997</v>
      </c>
      <c r="S4312">
        <v>1.4114379999999999E-2</v>
      </c>
      <c r="T4312">
        <v>-0.16029360000000001</v>
      </c>
      <c r="U4312">
        <v>-3.0796359999999998</v>
      </c>
      <c r="V4312">
        <v>5.2211550000000002E-2</v>
      </c>
      <c r="W4312">
        <v>1.1942879999999999E-2</v>
      </c>
      <c r="X4312">
        <v>0.99856460000000002</v>
      </c>
      <c r="Y4312">
        <v>0.27277190000000001</v>
      </c>
      <c r="Z4312">
        <v>4.7940410000000003E-2</v>
      </c>
      <c r="AA4312">
        <v>0.96088359999999995</v>
      </c>
      <c r="AB4312">
        <v>10</v>
      </c>
      <c r="AC4312">
        <v>7.8599999999994397E-2</v>
      </c>
      <c r="AD4312">
        <v>-1.1085021426674</v>
      </c>
      <c r="AE4312">
        <v>-21.2087</v>
      </c>
      <c r="AF4312">
        <v>5.78730055265064</v>
      </c>
      <c r="AG4312">
        <v>-1.1085021426674</v>
      </c>
      <c r="AH4312">
        <v>20.343912246634801</v>
      </c>
      <c r="AI4312">
        <v>93.000058673232203</v>
      </c>
      <c r="AJ4312">
        <v>74.120360761345907</v>
      </c>
      <c r="AK4312">
        <v>21.180094196811002</v>
      </c>
      <c r="AL4312">
        <v>89.315707092085802</v>
      </c>
      <c r="AM4312">
        <v>87.006923962826903</v>
      </c>
      <c r="AN4312">
        <v>0.99999996935462798</v>
      </c>
    </row>
    <row r="4313" spans="1:40" x14ac:dyDescent="0.25">
      <c r="A4313" t="str">
        <f>"20190312160729719"</f>
        <v>20190312160729719</v>
      </c>
      <c r="B4313" t="str">
        <f>"1552378049709325"</f>
        <v>1552378049709325</v>
      </c>
      <c r="C4313" t="s">
        <v>40</v>
      </c>
      <c r="D4313">
        <v>6.3763389999999998</v>
      </c>
      <c r="E4313">
        <v>0.58748719999999999</v>
      </c>
      <c r="F4313" t="s">
        <v>47</v>
      </c>
      <c r="G4313">
        <v>-189.54939999999999</v>
      </c>
      <c r="H4313" s="1">
        <v>-2.5928119999999999E-6</v>
      </c>
      <c r="I4313">
        <v>175.49039999999999</v>
      </c>
      <c r="J4313">
        <v>-189.51609999999999</v>
      </c>
      <c r="K4313">
        <v>1.1085100000000001</v>
      </c>
      <c r="L4313">
        <v>200.7542</v>
      </c>
      <c r="M4313">
        <v>0.27121489999999998</v>
      </c>
      <c r="N4313">
        <v>0</v>
      </c>
      <c r="O4313">
        <v>-0.96242079999999997</v>
      </c>
      <c r="P4313">
        <v>0.2212732</v>
      </c>
      <c r="Q4313">
        <v>-1.792178E-3</v>
      </c>
      <c r="R4313">
        <v>-0.97521020000000003</v>
      </c>
      <c r="S4313">
        <v>-1.5411379999999901E-3</v>
      </c>
      <c r="T4313">
        <v>-0.134632</v>
      </c>
      <c r="U4313">
        <v>-3.0803069999999999</v>
      </c>
      <c r="V4313">
        <v>5.1585739999999998E-2</v>
      </c>
      <c r="W4313">
        <v>1.17369E-2</v>
      </c>
      <c r="X4313">
        <v>0.99859960000000003</v>
      </c>
      <c r="Y4313">
        <v>0.27171669999999998</v>
      </c>
      <c r="Z4313">
        <v>4.0389510000000003E-2</v>
      </c>
      <c r="AA4313">
        <v>0.96152939999999998</v>
      </c>
      <c r="AB4313">
        <v>10</v>
      </c>
      <c r="AC4313">
        <v>-3.3299999999996999E-2</v>
      </c>
      <c r="AD4313">
        <v>-1.1085125928120001</v>
      </c>
      <c r="AE4313">
        <v>-25.2638</v>
      </c>
      <c r="AF4313">
        <v>6.8713881157582799</v>
      </c>
      <c r="AG4313">
        <v>-1.1085125928120001</v>
      </c>
      <c r="AH4313">
        <v>24.260960478902302</v>
      </c>
      <c r="AI4313">
        <v>92.517213078673194</v>
      </c>
      <c r="AJ4313">
        <v>74.186382380026103</v>
      </c>
      <c r="AK4313">
        <v>25.239631101992501</v>
      </c>
      <c r="AL4313">
        <v>89.327509726551497</v>
      </c>
      <c r="AM4313">
        <v>87.042838507422999</v>
      </c>
      <c r="AN4313">
        <v>1.0000000022565501</v>
      </c>
    </row>
    <row r="4314" spans="1:40" x14ac:dyDescent="0.25">
      <c r="A4314" t="str">
        <f>"20190312160729740"</f>
        <v>20190312160729740</v>
      </c>
      <c r="B4314" t="str">
        <f>"1552378049729822"</f>
        <v>1552378049729822</v>
      </c>
      <c r="C4314" t="s">
        <v>40</v>
      </c>
      <c r="D4314">
        <v>6.4416370000000001</v>
      </c>
      <c r="E4314">
        <v>0.58743440000000002</v>
      </c>
      <c r="F4314" t="s">
        <v>47</v>
      </c>
      <c r="G4314">
        <v>-189.70099999999999</v>
      </c>
      <c r="H4314" s="1">
        <v>-1.06389E-6</v>
      </c>
      <c r="I4314">
        <v>171.98910000000001</v>
      </c>
      <c r="J4314">
        <v>-189.4965</v>
      </c>
      <c r="K4314">
        <v>1.1085259999999999</v>
      </c>
      <c r="L4314">
        <v>200.65860000000001</v>
      </c>
      <c r="M4314">
        <v>0.26543610000000001</v>
      </c>
      <c r="N4314">
        <v>0</v>
      </c>
      <c r="O4314">
        <v>-0.96403099999999997</v>
      </c>
      <c r="P4314">
        <v>0.2160579</v>
      </c>
      <c r="Q4314">
        <v>-2.8381700000000001E-3</v>
      </c>
      <c r="R4314">
        <v>-0.97637689999999999</v>
      </c>
      <c r="S4314">
        <v>-1.9805909999999999E-2</v>
      </c>
      <c r="T4314">
        <v>-0.118714</v>
      </c>
      <c r="U4314">
        <v>-3.0805509999999998</v>
      </c>
      <c r="V4314">
        <v>5.092634E-2</v>
      </c>
      <c r="W4314">
        <v>1.067267E-2</v>
      </c>
      <c r="X4314">
        <v>0.99864540000000002</v>
      </c>
      <c r="Y4314">
        <v>0.271646</v>
      </c>
      <c r="Z4314">
        <v>3.5711119999999999E-2</v>
      </c>
      <c r="AA4314">
        <v>0.96173450000000005</v>
      </c>
      <c r="AB4314">
        <v>10</v>
      </c>
      <c r="AC4314">
        <v>-0.20449999999999499</v>
      </c>
      <c r="AD4314">
        <v>-1.10852706389</v>
      </c>
      <c r="AE4314">
        <v>-28.669499999999999</v>
      </c>
      <c r="AF4314">
        <v>7.79614327523546</v>
      </c>
      <c r="AG4314">
        <v>-1.10852706389</v>
      </c>
      <c r="AH4314">
        <v>27.545417699472399</v>
      </c>
      <c r="AI4314">
        <v>92.217530543881793</v>
      </c>
      <c r="AJ4314">
        <v>74.196965425989205</v>
      </c>
      <c r="AK4314">
        <v>28.648886862455601</v>
      </c>
      <c r="AL4314">
        <v>89.388489453450305</v>
      </c>
      <c r="AM4314">
        <v>87.080706571701498</v>
      </c>
      <c r="AN4314">
        <v>1.0000000164659399</v>
      </c>
    </row>
    <row r="4315" spans="1:40" x14ac:dyDescent="0.25">
      <c r="A4315" t="str">
        <f>"20190312160729762"</f>
        <v>20190312160729762</v>
      </c>
      <c r="B4315" t="str">
        <f>"1552378049749342"</f>
        <v>1552378049749342</v>
      </c>
      <c r="C4315" t="s">
        <v>40</v>
      </c>
      <c r="D4315">
        <v>5.8309309999999996</v>
      </c>
      <c r="E4315">
        <v>0.58798499999999998</v>
      </c>
      <c r="F4315" t="s">
        <v>47</v>
      </c>
      <c r="G4315">
        <v>-189.81739999999999</v>
      </c>
      <c r="H4315" s="1">
        <v>-1.446722E-6</v>
      </c>
      <c r="I4315">
        <v>172.92959999999999</v>
      </c>
      <c r="J4315">
        <v>-189.47739999999999</v>
      </c>
      <c r="K4315">
        <v>1.10854599999999</v>
      </c>
      <c r="L4315">
        <v>200.56209999999999</v>
      </c>
      <c r="M4315">
        <v>0.25962030000000003</v>
      </c>
      <c r="N4315">
        <v>0</v>
      </c>
      <c r="O4315">
        <v>-0.96561350000000001</v>
      </c>
      <c r="P4315">
        <v>0.21050849999999999</v>
      </c>
      <c r="Q4315">
        <v>-2.42896E-3</v>
      </c>
      <c r="R4315">
        <v>-0.97758909999999999</v>
      </c>
      <c r="S4315">
        <v>-3.5644530000000001E-2</v>
      </c>
      <c r="T4315">
        <v>-0.12313350000000001</v>
      </c>
      <c r="U4315">
        <v>-3.0800930000000002</v>
      </c>
      <c r="V4315">
        <v>5.0580239999999999E-2</v>
      </c>
      <c r="W4315">
        <v>1.106365E-2</v>
      </c>
      <c r="X4315">
        <v>0.99865870000000001</v>
      </c>
      <c r="Y4315">
        <v>0.27078999999999998</v>
      </c>
      <c r="Z4315">
        <v>3.7142389999999997E-2</v>
      </c>
      <c r="AA4315">
        <v>0.96192160000000004</v>
      </c>
      <c r="AB4315">
        <v>10</v>
      </c>
      <c r="AC4315">
        <v>-0.34000000000000302</v>
      </c>
      <c r="AD4315">
        <v>-1.10854744672199</v>
      </c>
      <c r="AE4315">
        <v>-27.6325</v>
      </c>
      <c r="AF4315">
        <v>7.4909171744230996</v>
      </c>
      <c r="AG4315">
        <v>-1.10854744672199</v>
      </c>
      <c r="AH4315">
        <v>26.5538129272494</v>
      </c>
      <c r="AI4315">
        <v>92.300851666609205</v>
      </c>
      <c r="AJ4315">
        <v>74.246067751764897</v>
      </c>
      <c r="AK4315">
        <v>27.612455496225898</v>
      </c>
      <c r="AL4315">
        <v>89.366086604874496</v>
      </c>
      <c r="AM4315">
        <v>87.100550931913801</v>
      </c>
      <c r="AN4315">
        <v>0.99999998205773399</v>
      </c>
    </row>
    <row r="4316" spans="1:40" x14ac:dyDescent="0.25">
      <c r="A4316" t="str">
        <f>"20190312160729784"</f>
        <v>20190312160729784</v>
      </c>
      <c r="B4316" t="str">
        <f>"1552378049779597"</f>
        <v>1552378049779597</v>
      </c>
      <c r="C4316" t="s">
        <v>40</v>
      </c>
      <c r="D4316">
        <v>6.0972140000000001</v>
      </c>
      <c r="E4316">
        <v>0.61512979999999995</v>
      </c>
      <c r="F4316" t="s">
        <v>47</v>
      </c>
      <c r="G4316">
        <v>-189.9906</v>
      </c>
      <c r="H4316" s="1">
        <v>-1.5092830000000001E-6</v>
      </c>
      <c r="I4316">
        <v>173.1131</v>
      </c>
      <c r="J4316">
        <v>-189.45869999999999</v>
      </c>
      <c r="K4316">
        <v>1.1085529999999999</v>
      </c>
      <c r="L4316">
        <v>200.4649</v>
      </c>
      <c r="M4316">
        <v>0.2537836</v>
      </c>
      <c r="N4316">
        <v>0</v>
      </c>
      <c r="O4316">
        <v>-0.96716429999999998</v>
      </c>
      <c r="P4316">
        <v>0.2054356</v>
      </c>
      <c r="Q4316">
        <v>-2.1466660000000002E-3</v>
      </c>
      <c r="R4316">
        <v>-0.9786686</v>
      </c>
      <c r="S4316">
        <v>-5.7601930000000003E-2</v>
      </c>
      <c r="T4316">
        <v>-0.1244233</v>
      </c>
      <c r="U4316">
        <v>-3.0808719999999998</v>
      </c>
      <c r="V4316">
        <v>4.9728429999999997E-2</v>
      </c>
      <c r="W4316">
        <v>1.1331620000000001E-2</v>
      </c>
      <c r="X4316">
        <v>0.99869850000000004</v>
      </c>
      <c r="Y4316">
        <v>0.27182659999999997</v>
      </c>
      <c r="Z4316">
        <v>3.7606699999999903E-2</v>
      </c>
      <c r="AA4316">
        <v>0.9616112</v>
      </c>
      <c r="AB4316">
        <v>10</v>
      </c>
      <c r="AC4316">
        <v>-0.53190000000000703</v>
      </c>
      <c r="AD4316">
        <v>-1.108554509283</v>
      </c>
      <c r="AE4316">
        <v>-27.351800000000001</v>
      </c>
      <c r="AF4316">
        <v>7.4443468048525503</v>
      </c>
      <c r="AG4316">
        <v>-1.108554509283</v>
      </c>
      <c r="AH4316">
        <v>26.2780104967757</v>
      </c>
      <c r="AI4316">
        <v>92.324266308405697</v>
      </c>
      <c r="AJ4316">
        <v>74.183005064951999</v>
      </c>
      <c r="AK4316">
        <v>27.3346122730802</v>
      </c>
      <c r="AL4316">
        <v>89.350732108788307</v>
      </c>
      <c r="AM4316">
        <v>87.149412063150905</v>
      </c>
      <c r="AN4316">
        <v>1.0000000081321601</v>
      </c>
    </row>
    <row r="4317" spans="1:40" x14ac:dyDescent="0.25">
      <c r="A4317" t="str">
        <f>"20190312160729806"</f>
        <v>20190312160729806</v>
      </c>
      <c r="B4317" t="str">
        <f>"1552378049800097"</f>
        <v>1552378049800097</v>
      </c>
      <c r="C4317" t="s">
        <v>40</v>
      </c>
      <c r="D4317">
        <v>6.3113609999999998</v>
      </c>
      <c r="E4317">
        <v>0.61180939999999995</v>
      </c>
      <c r="F4317" t="s">
        <v>54</v>
      </c>
      <c r="G4317">
        <v>-214.23089999999999</v>
      </c>
      <c r="H4317">
        <v>27.87049</v>
      </c>
      <c r="I4317">
        <v>-81.824399999999997</v>
      </c>
      <c r="J4317">
        <v>-189.43940000000001</v>
      </c>
      <c r="K4317">
        <v>1.1085659999999999</v>
      </c>
      <c r="L4317">
        <v>200.36109999999999</v>
      </c>
      <c r="M4317">
        <v>0.24757950000000001</v>
      </c>
      <c r="N4317">
        <v>0</v>
      </c>
      <c r="O4317">
        <v>-0.9687713</v>
      </c>
      <c r="P4317">
        <v>0.1992572</v>
      </c>
      <c r="Q4317">
        <v>-2.9551349999999998E-3</v>
      </c>
      <c r="R4317">
        <v>-0.97994289999999995</v>
      </c>
      <c r="S4317">
        <v>-0.27410889999999999</v>
      </c>
      <c r="T4317">
        <v>0.29612569999999999</v>
      </c>
      <c r="U4317">
        <v>-3.1235810000000002</v>
      </c>
      <c r="V4317">
        <v>4.9623779999999999E-2</v>
      </c>
      <c r="W4317">
        <v>1.050531E-2</v>
      </c>
      <c r="X4317">
        <v>0.99871270000000001</v>
      </c>
      <c r="Y4317">
        <v>0.33097710000000002</v>
      </c>
      <c r="Z4317">
        <v>-8.7134290000000003E-2</v>
      </c>
      <c r="AA4317">
        <v>0.93960730000000003</v>
      </c>
      <c r="AB4317">
        <v>10</v>
      </c>
      <c r="AC4317">
        <v>-24.7914999999999</v>
      </c>
      <c r="AD4317">
        <v>26.761924</v>
      </c>
      <c r="AE4317">
        <v>-282.18549999999999</v>
      </c>
      <c r="AF4317">
        <v>93.0588131259627</v>
      </c>
      <c r="AG4317">
        <v>26.761924</v>
      </c>
      <c r="AH4317">
        <v>264.89598409338703</v>
      </c>
      <c r="AI4317">
        <v>84.555166711465006</v>
      </c>
      <c r="AJ4317">
        <v>70.6434603750441</v>
      </c>
      <c r="AK4317">
        <v>282.03904989451098</v>
      </c>
      <c r="AL4317">
        <v>89.398078984095605</v>
      </c>
      <c r="AM4317">
        <v>87.155441441690002</v>
      </c>
      <c r="AN4317">
        <v>0.99999996911048605</v>
      </c>
    </row>
    <row r="4318" spans="1:40" x14ac:dyDescent="0.25">
      <c r="A4318" t="str">
        <f>"20190312160729829"</f>
        <v>20190312160729829</v>
      </c>
      <c r="B4318" t="str">
        <f>"1552378049819614"</f>
        <v>1552378049819614</v>
      </c>
      <c r="C4318" t="s">
        <v>40</v>
      </c>
      <c r="D4318">
        <v>6.5175580000000002</v>
      </c>
      <c r="E4318">
        <v>0.60849399999999998</v>
      </c>
      <c r="F4318" t="s">
        <v>54</v>
      </c>
      <c r="G4318">
        <v>-213.82040000000001</v>
      </c>
      <c r="H4318">
        <v>22.970490000000002</v>
      </c>
      <c r="I4318">
        <v>-81.822779999999995</v>
      </c>
      <c r="J4318">
        <v>-189.4221</v>
      </c>
      <c r="K4318">
        <v>1.108587</v>
      </c>
      <c r="L4318">
        <v>200.26480000000001</v>
      </c>
      <c r="M4318">
        <v>0.24185010000000001</v>
      </c>
      <c r="N4318">
        <v>0</v>
      </c>
      <c r="O4318">
        <v>-0.97021769999999996</v>
      </c>
      <c r="P4318">
        <v>0.19408449999999999</v>
      </c>
      <c r="Q4318">
        <v>-3.48468E-3</v>
      </c>
      <c r="R4318">
        <v>-0.98097880000000004</v>
      </c>
      <c r="S4318">
        <v>-0.2693024</v>
      </c>
      <c r="T4318">
        <v>0.24147759999999999</v>
      </c>
      <c r="U4318">
        <v>-3.1168819999999999</v>
      </c>
      <c r="V4318">
        <v>4.8987500000000003E-2</v>
      </c>
      <c r="W4318">
        <v>9.9631719999999993E-3</v>
      </c>
      <c r="X4318">
        <v>0.99874969999999996</v>
      </c>
      <c r="Y4318">
        <v>0.3242524</v>
      </c>
      <c r="Z4318">
        <v>-7.1573250000000005E-2</v>
      </c>
      <c r="AA4318">
        <v>0.94325910000000002</v>
      </c>
      <c r="AB4318">
        <v>10</v>
      </c>
      <c r="AC4318">
        <v>-24.398299999999999</v>
      </c>
      <c r="AD4318">
        <v>21.861903000000002</v>
      </c>
      <c r="AE4318">
        <v>-282.08758</v>
      </c>
      <c r="AF4318">
        <v>91.358472778716404</v>
      </c>
      <c r="AG4318">
        <v>21.861903000000002</v>
      </c>
      <c r="AH4318">
        <v>266.22341052137699</v>
      </c>
      <c r="AI4318">
        <v>85.558613286345604</v>
      </c>
      <c r="AJ4318">
        <v>71.059589684541507</v>
      </c>
      <c r="AK4318">
        <v>282.31049867278199</v>
      </c>
      <c r="AL4318">
        <v>89.429142850149105</v>
      </c>
      <c r="AM4318">
        <v>87.191959701029305</v>
      </c>
      <c r="AN4318">
        <v>1.00000000160132</v>
      </c>
    </row>
    <row r="4319" spans="1:40" x14ac:dyDescent="0.25">
      <c r="A4319" t="str">
        <f>"20190312160729850"</f>
        <v>20190312160729850</v>
      </c>
      <c r="B4319" t="str">
        <f>"1552378049840110"</f>
        <v>1552378049840110</v>
      </c>
      <c r="C4319" t="s">
        <v>40</v>
      </c>
      <c r="D4319">
        <v>6.2007890000000003</v>
      </c>
      <c r="E4319">
        <v>0.60858639999999997</v>
      </c>
      <c r="F4319" t="s">
        <v>54</v>
      </c>
      <c r="G4319">
        <v>-213.11369999999999</v>
      </c>
      <c r="H4319">
        <v>18.714289999999998</v>
      </c>
      <c r="I4319">
        <v>-81.821370000000002</v>
      </c>
      <c r="J4319">
        <v>-189.40539999999999</v>
      </c>
      <c r="K4319">
        <v>1.1085969999999901</v>
      </c>
      <c r="L4319">
        <v>200.16909999999999</v>
      </c>
      <c r="M4319">
        <v>0.23618649999999999</v>
      </c>
      <c r="N4319">
        <v>0</v>
      </c>
      <c r="O4319">
        <v>-0.97161220000000004</v>
      </c>
      <c r="P4319">
        <v>0.18917629999999999</v>
      </c>
      <c r="Q4319">
        <v>-3.487319E-3</v>
      </c>
      <c r="R4319">
        <v>-0.98193710000000001</v>
      </c>
      <c r="S4319">
        <v>-0.26124570000000003</v>
      </c>
      <c r="T4319">
        <v>0.19413630000000001</v>
      </c>
      <c r="U4319">
        <v>-3.110535</v>
      </c>
      <c r="V4319">
        <v>4.8155429999999999E-2</v>
      </c>
      <c r="W4319">
        <v>9.949823E-3</v>
      </c>
      <c r="X4319">
        <v>0.99879030000000002</v>
      </c>
      <c r="Y4319">
        <v>0.31654769999999999</v>
      </c>
      <c r="Z4319">
        <v>-5.7936290000000001E-2</v>
      </c>
      <c r="AA4319">
        <v>0.94680569999999997</v>
      </c>
      <c r="AB4319">
        <v>10</v>
      </c>
      <c r="AC4319">
        <v>-23.708300000000001</v>
      </c>
      <c r="AD4319">
        <v>17.605692999999999</v>
      </c>
      <c r="AE4319">
        <v>-281.99047000000002</v>
      </c>
      <c r="AF4319">
        <v>89.300292580658905</v>
      </c>
      <c r="AG4319">
        <v>17.605692999999999</v>
      </c>
      <c r="AH4319">
        <v>267.37581466222201</v>
      </c>
      <c r="AI4319">
        <v>86.426236424776107</v>
      </c>
      <c r="AJ4319">
        <v>71.531303186371701</v>
      </c>
      <c r="AK4319">
        <v>282.44349691095499</v>
      </c>
      <c r="AL4319">
        <v>89.429907730729198</v>
      </c>
      <c r="AM4319">
        <v>87.239692885647898</v>
      </c>
      <c r="AN4319">
        <v>1.00000000389515</v>
      </c>
    </row>
    <row r="4320" spans="1:40" x14ac:dyDescent="0.25">
      <c r="A4320" t="str">
        <f>"20190312160729873"</f>
        <v>20190312160729873</v>
      </c>
      <c r="B4320" t="str">
        <f>"1552378049869390"</f>
        <v>1552378049869390</v>
      </c>
      <c r="C4320" t="s">
        <v>40</v>
      </c>
      <c r="D4320">
        <v>8.7920869999999898</v>
      </c>
      <c r="E4320">
        <v>0.60820249999999998</v>
      </c>
      <c r="F4320" t="s">
        <v>43</v>
      </c>
      <c r="G4320">
        <v>-200.45509999999999</v>
      </c>
      <c r="H4320">
        <v>8.9935449999999992</v>
      </c>
      <c r="I4320">
        <v>76.309100000000001</v>
      </c>
      <c r="J4320">
        <v>-189.38900000000001</v>
      </c>
      <c r="K4320">
        <v>1.108619</v>
      </c>
      <c r="L4320">
        <v>200.07230000000001</v>
      </c>
      <c r="M4320">
        <v>0.23048969999999999</v>
      </c>
      <c r="N4320">
        <v>0</v>
      </c>
      <c r="O4320">
        <v>-0.9729797</v>
      </c>
      <c r="P4320">
        <v>0.1847982</v>
      </c>
      <c r="Q4320">
        <v>-3.229329E-3</v>
      </c>
      <c r="R4320">
        <v>-0.98277130000000001</v>
      </c>
      <c r="S4320">
        <v>-0.27738950000000001</v>
      </c>
      <c r="T4320">
        <v>0.19794139999999999</v>
      </c>
      <c r="U4320">
        <v>-3.1093440000000001</v>
      </c>
      <c r="V4320">
        <v>4.6755049999999999E-2</v>
      </c>
      <c r="W4320">
        <v>1.020015E-2</v>
      </c>
      <c r="X4320">
        <v>0.99885429999999997</v>
      </c>
      <c r="Y4320">
        <v>0.31589279999999997</v>
      </c>
      <c r="Z4320">
        <v>-5.9213660000000001E-2</v>
      </c>
      <c r="AA4320">
        <v>0.94694540000000005</v>
      </c>
      <c r="AB4320">
        <v>10</v>
      </c>
      <c r="AC4320">
        <v>-11.066099999999899</v>
      </c>
      <c r="AD4320">
        <v>7.8849259999999903</v>
      </c>
      <c r="AE4320">
        <v>-123.7632</v>
      </c>
      <c r="AF4320">
        <v>39.139264898875098</v>
      </c>
      <c r="AG4320">
        <v>7.8849259999999903</v>
      </c>
      <c r="AH4320">
        <v>117.406597391555</v>
      </c>
      <c r="AI4320">
        <v>86.354490273145004</v>
      </c>
      <c r="AJ4320">
        <v>71.563411868339301</v>
      </c>
      <c r="AK4320">
        <v>124.009528770625</v>
      </c>
      <c r="AL4320">
        <v>89.4155643170795</v>
      </c>
      <c r="AM4320">
        <v>87.320016451535295</v>
      </c>
      <c r="AN4320">
        <v>0.999999995194507</v>
      </c>
    </row>
    <row r="4321" spans="1:40" x14ac:dyDescent="0.25">
      <c r="A4321" t="str">
        <f>"20190312160729896"</f>
        <v>20190312160729896</v>
      </c>
      <c r="B4321" t="str">
        <f>"1552378049889885"</f>
        <v>1552378049889885</v>
      </c>
      <c r="C4321" t="s">
        <v>40</v>
      </c>
      <c r="D4321">
        <v>5.9028330000000002</v>
      </c>
      <c r="E4321">
        <v>0.60760619999999999</v>
      </c>
      <c r="F4321" t="s">
        <v>60</v>
      </c>
      <c r="G4321">
        <v>-210.73390000000001</v>
      </c>
      <c r="H4321">
        <v>14.62459</v>
      </c>
      <c r="I4321">
        <v>-29.849540000000001</v>
      </c>
      <c r="J4321">
        <v>-189.3725</v>
      </c>
      <c r="K4321">
        <v>1.1086450000000001</v>
      </c>
      <c r="L4321">
        <v>199.97130000000001</v>
      </c>
      <c r="M4321">
        <v>0.22458230000000001</v>
      </c>
      <c r="N4321">
        <v>0</v>
      </c>
      <c r="O4321">
        <v>-0.97436029999999996</v>
      </c>
      <c r="P4321">
        <v>0.1797125</v>
      </c>
      <c r="Q4321">
        <v>-3.013941E-3</v>
      </c>
      <c r="R4321">
        <v>-0.98371450000000005</v>
      </c>
      <c r="S4321">
        <v>-0.28848269999999998</v>
      </c>
      <c r="T4321">
        <v>0.1826718</v>
      </c>
      <c r="U4321">
        <v>-3.1074519999999999</v>
      </c>
      <c r="V4321">
        <v>4.5861359999999997E-2</v>
      </c>
      <c r="W4321">
        <v>1.040518E-2</v>
      </c>
      <c r="X4321">
        <v>0.99889360000000005</v>
      </c>
      <c r="Y4321">
        <v>0.3135655</v>
      </c>
      <c r="Z4321">
        <v>-5.4830280000000002E-2</v>
      </c>
      <c r="AA4321">
        <v>0.94798230000000006</v>
      </c>
      <c r="AB4321">
        <v>10</v>
      </c>
      <c r="AC4321">
        <v>-21.3614</v>
      </c>
      <c r="AD4321">
        <v>13.515945</v>
      </c>
      <c r="AE4321">
        <v>-229.82084</v>
      </c>
      <c r="AF4321">
        <v>72.186552287432306</v>
      </c>
      <c r="AG4321">
        <v>13.515945</v>
      </c>
      <c r="AH4321">
        <v>218.40224075334299</v>
      </c>
      <c r="AI4321">
        <v>86.637213472666602</v>
      </c>
      <c r="AJ4321">
        <v>71.710188695171695</v>
      </c>
      <c r="AK4321">
        <v>230.41943899434901</v>
      </c>
      <c r="AL4321">
        <v>89.4038163296363</v>
      </c>
      <c r="AM4321">
        <v>87.371273180401602</v>
      </c>
      <c r="AN4321">
        <v>0.99999997811642005</v>
      </c>
    </row>
    <row r="4322" spans="1:40" x14ac:dyDescent="0.25">
      <c r="A4322" t="str">
        <f>"20190312160729920"</f>
        <v>20190312160729920</v>
      </c>
      <c r="B4322" t="str">
        <f>"1552378049909406"</f>
        <v>1552378049909406</v>
      </c>
      <c r="C4322" t="s">
        <v>40</v>
      </c>
      <c r="D4322">
        <v>6.3757769999999896</v>
      </c>
      <c r="E4322">
        <v>0.60705019999999998</v>
      </c>
      <c r="F4322" t="s">
        <v>60</v>
      </c>
      <c r="G4322">
        <v>-210.7131</v>
      </c>
      <c r="H4322">
        <v>13.973319999999999</v>
      </c>
      <c r="I4322">
        <v>-20.981549999999999</v>
      </c>
      <c r="J4322">
        <v>-189.35669999999999</v>
      </c>
      <c r="K4322">
        <v>1.1086670000000001</v>
      </c>
      <c r="L4322">
        <v>199.87090000000001</v>
      </c>
      <c r="M4322">
        <v>0.21875539999999999</v>
      </c>
      <c r="N4322">
        <v>0</v>
      </c>
      <c r="O4322">
        <v>-0.97568540000000004</v>
      </c>
      <c r="P4322">
        <v>0.17415410000000001</v>
      </c>
      <c r="Q4322">
        <v>-3.7115270000000001E-3</v>
      </c>
      <c r="R4322">
        <v>-0.98471149999999996</v>
      </c>
      <c r="S4322">
        <v>-0.2998962</v>
      </c>
      <c r="T4322">
        <v>0.1807851</v>
      </c>
      <c r="U4322">
        <v>-3.1050110000000002</v>
      </c>
      <c r="V4322">
        <v>4.5529409999999999E-2</v>
      </c>
      <c r="W4322">
        <v>9.6966340000000008E-3</v>
      </c>
      <c r="X4322">
        <v>0.99891589999999997</v>
      </c>
      <c r="Y4322">
        <v>0.31141530000000001</v>
      </c>
      <c r="Z4322">
        <v>-5.4434839999999998E-2</v>
      </c>
      <c r="AA4322">
        <v>0.94871349999999999</v>
      </c>
      <c r="AB4322">
        <v>10</v>
      </c>
      <c r="AC4322">
        <v>-21.356400000000001</v>
      </c>
      <c r="AD4322">
        <v>12.864653000000001</v>
      </c>
      <c r="AE4322">
        <v>-220.85245</v>
      </c>
      <c r="AF4322">
        <v>68.924460634017194</v>
      </c>
      <c r="AG4322">
        <v>12.864653000000001</v>
      </c>
      <c r="AH4322">
        <v>210.123730729919</v>
      </c>
      <c r="AI4322">
        <v>86.670602184059405</v>
      </c>
      <c r="AJ4322">
        <v>71.839555069990794</v>
      </c>
      <c r="AK4322">
        <v>221.51312102527899</v>
      </c>
      <c r="AL4322">
        <v>89.444415069397806</v>
      </c>
      <c r="AM4322">
        <v>87.390331997481496</v>
      </c>
      <c r="AN4322">
        <v>0.99999996357934295</v>
      </c>
    </row>
    <row r="4323" spans="1:40" x14ac:dyDescent="0.25">
      <c r="A4323" t="str">
        <f>"20190312160729941"</f>
        <v>20190312160729941</v>
      </c>
      <c r="B4323" t="str">
        <f>"1552378049929901"</f>
        <v>1552378049929901</v>
      </c>
      <c r="C4323" t="s">
        <v>40</v>
      </c>
      <c r="D4323">
        <v>6.0192180000000004</v>
      </c>
      <c r="E4323">
        <v>0.60678859999999901</v>
      </c>
      <c r="F4323" t="s">
        <v>60</v>
      </c>
      <c r="G4323">
        <v>-211.5993</v>
      </c>
      <c r="H4323">
        <v>13.5627</v>
      </c>
      <c r="I4323">
        <v>-20.636050000000001</v>
      </c>
      <c r="J4323">
        <v>-189.34219999999999</v>
      </c>
      <c r="K4323">
        <v>1.1086860000000001</v>
      </c>
      <c r="L4323">
        <v>199.77549999999999</v>
      </c>
      <c r="M4323">
        <v>0.21324889999999999</v>
      </c>
      <c r="N4323">
        <v>0</v>
      </c>
      <c r="O4323">
        <v>-0.97690390000000005</v>
      </c>
      <c r="P4323">
        <v>0.1689822</v>
      </c>
      <c r="Q4323">
        <v>-3.5125629999999998E-3</v>
      </c>
      <c r="R4323">
        <v>-0.98561299999999996</v>
      </c>
      <c r="S4323">
        <v>-0.31295780000000001</v>
      </c>
      <c r="T4323">
        <v>0.1752312</v>
      </c>
      <c r="U4323">
        <v>-3.1025849999999999</v>
      </c>
      <c r="V4323">
        <v>4.5139609999999997E-2</v>
      </c>
      <c r="W4323">
        <v>9.8849760000000002E-3</v>
      </c>
      <c r="X4323">
        <v>0.99893180000000004</v>
      </c>
      <c r="Y4323">
        <v>0.31009130000000001</v>
      </c>
      <c r="Z4323">
        <v>-5.2913139999999997E-2</v>
      </c>
      <c r="AA4323">
        <v>0.9492332</v>
      </c>
      <c r="AB4323">
        <v>10</v>
      </c>
      <c r="AC4323">
        <v>-22.257100000000001</v>
      </c>
      <c r="AD4323">
        <v>12.454014000000001</v>
      </c>
      <c r="AE4323">
        <v>-220.41155000000001</v>
      </c>
      <c r="AF4323">
        <v>68.535282868119197</v>
      </c>
      <c r="AG4323">
        <v>12.454014000000001</v>
      </c>
      <c r="AH4323">
        <v>209.930475010527</v>
      </c>
      <c r="AI4323">
        <v>86.772210368757499</v>
      </c>
      <c r="AJ4323">
        <v>71.919870305027203</v>
      </c>
      <c r="AK4323">
        <v>221.185424023986</v>
      </c>
      <c r="AL4323">
        <v>89.433623381469502</v>
      </c>
      <c r="AM4323">
        <v>87.412685301521705</v>
      </c>
      <c r="AN4323">
        <v>1.0000000190963501</v>
      </c>
    </row>
    <row r="4324" spans="1:40" x14ac:dyDescent="0.25">
      <c r="A4324" t="str">
        <f>"20190312160729963"</f>
        <v>20190312160729963</v>
      </c>
      <c r="B4324" t="str">
        <f>"1552378049960157"</f>
        <v>1552378049960157</v>
      </c>
      <c r="C4324" t="s">
        <v>40</v>
      </c>
      <c r="D4324">
        <v>6.3454829999999998</v>
      </c>
      <c r="E4324">
        <v>0.60642680000000004</v>
      </c>
      <c r="F4324" t="s">
        <v>43</v>
      </c>
      <c r="G4324">
        <v>-202.3759</v>
      </c>
      <c r="H4324">
        <v>8.1185349999999996</v>
      </c>
      <c r="I4324">
        <v>76.283690000000007</v>
      </c>
      <c r="J4324">
        <v>-189.32859999999999</v>
      </c>
      <c r="K4324">
        <v>1.1087039999999999</v>
      </c>
      <c r="L4324">
        <v>199.6825</v>
      </c>
      <c r="M4324">
        <v>0.20790549999999999</v>
      </c>
      <c r="N4324">
        <v>0</v>
      </c>
      <c r="O4324">
        <v>-0.97805520000000001</v>
      </c>
      <c r="P4324">
        <v>0.16504969999999999</v>
      </c>
      <c r="Q4324">
        <v>-2.9303329999999998E-3</v>
      </c>
      <c r="R4324">
        <v>-0.98628090000000002</v>
      </c>
      <c r="S4324">
        <v>-0.32723999999999998</v>
      </c>
      <c r="T4324">
        <v>0.17599879999999901</v>
      </c>
      <c r="U4324">
        <v>-3.1005549999999999</v>
      </c>
      <c r="V4324">
        <v>4.3664950000000001E-2</v>
      </c>
      <c r="W4324">
        <v>1.046192E-2</v>
      </c>
      <c r="X4324">
        <v>0.99899139999999997</v>
      </c>
      <c r="Y4324">
        <v>0.30928119999999998</v>
      </c>
      <c r="Z4324">
        <v>-5.3271390000000002E-2</v>
      </c>
      <c r="AA4324">
        <v>0.94947740000000003</v>
      </c>
      <c r="AB4324">
        <v>10</v>
      </c>
      <c r="AC4324">
        <v>-13.0473</v>
      </c>
      <c r="AD4324">
        <v>7.0098310000000001</v>
      </c>
      <c r="AE4324">
        <v>-123.39881</v>
      </c>
      <c r="AF4324">
        <v>38.297574503682299</v>
      </c>
      <c r="AG4324">
        <v>7.0098310000000001</v>
      </c>
      <c r="AH4324">
        <v>117.61371992910701</v>
      </c>
      <c r="AI4324">
        <v>86.756420455308103</v>
      </c>
      <c r="AJ4324">
        <v>71.963628669700398</v>
      </c>
      <c r="AK4324">
        <v>123.89039131053001</v>
      </c>
      <c r="AL4324">
        <v>89.400565172289504</v>
      </c>
      <c r="AM4324">
        <v>87.497249778453096</v>
      </c>
      <c r="AN4324">
        <v>0.99999994845127305</v>
      </c>
    </row>
    <row r="4325" spans="1:40" x14ac:dyDescent="0.25">
      <c r="A4325" t="str">
        <f>"20190312160729987"</f>
        <v>20190312160729987</v>
      </c>
      <c r="B4325" t="str">
        <f>"1552378049979677"</f>
        <v>1552378049979677</v>
      </c>
      <c r="C4325" t="s">
        <v>40</v>
      </c>
      <c r="D4325">
        <v>5.9224050000000004</v>
      </c>
      <c r="E4325">
        <v>0.60601559999999999</v>
      </c>
      <c r="F4325" t="s">
        <v>55</v>
      </c>
      <c r="G4325">
        <v>-211.07</v>
      </c>
      <c r="H4325">
        <v>12.570970000000001</v>
      </c>
      <c r="I4325">
        <v>-0.57939719999999995</v>
      </c>
      <c r="J4325">
        <v>-189.31370000000001</v>
      </c>
      <c r="K4325">
        <v>1.108727</v>
      </c>
      <c r="L4325">
        <v>199.5772</v>
      </c>
      <c r="M4325">
        <v>0.2019019</v>
      </c>
      <c r="N4325">
        <v>0</v>
      </c>
      <c r="O4325">
        <v>-0.97931239999999997</v>
      </c>
      <c r="P4325">
        <v>0.16057779999999999</v>
      </c>
      <c r="Q4325">
        <v>-2.3873869999999999E-3</v>
      </c>
      <c r="R4325">
        <v>-0.98702069999999997</v>
      </c>
      <c r="S4325">
        <v>-0.33639530000000001</v>
      </c>
      <c r="T4325">
        <v>0.17735020000000001</v>
      </c>
      <c r="U4325">
        <v>-3.098557</v>
      </c>
      <c r="V4325">
        <v>4.206609E-2</v>
      </c>
      <c r="W4325">
        <v>1.099928E-2</v>
      </c>
      <c r="X4325">
        <v>0.99905429999999995</v>
      </c>
      <c r="Y4325">
        <v>0.30628100000000003</v>
      </c>
      <c r="Z4325">
        <v>-5.384046E-2</v>
      </c>
      <c r="AA4325">
        <v>0.95041739999999997</v>
      </c>
      <c r="AB4325">
        <v>10</v>
      </c>
      <c r="AC4325">
        <v>-21.7562999999999</v>
      </c>
      <c r="AD4325">
        <v>11.462243000000001</v>
      </c>
      <c r="AE4325">
        <v>-200.15659719999999</v>
      </c>
      <c r="AF4325">
        <v>61.524445288881203</v>
      </c>
      <c r="AG4325">
        <v>11.462243000000001</v>
      </c>
      <c r="AH4325">
        <v>191.02159194831</v>
      </c>
      <c r="AI4325">
        <v>86.731070540619697</v>
      </c>
      <c r="AJ4325">
        <v>72.147231162820503</v>
      </c>
      <c r="AK4325">
        <v>201.012161256881</v>
      </c>
      <c r="AL4325">
        <v>89.369774980859205</v>
      </c>
      <c r="AM4325">
        <v>87.588933282896704</v>
      </c>
      <c r="AN4325">
        <v>1.00000001721844</v>
      </c>
    </row>
    <row r="4326" spans="1:40" x14ac:dyDescent="0.25">
      <c r="A4326" t="str">
        <f>"20190312160730007"</f>
        <v>20190312160730007</v>
      </c>
      <c r="B4326" t="str">
        <f>"1552378050000173"</f>
        <v>1552378050000173</v>
      </c>
      <c r="C4326" t="s">
        <v>40</v>
      </c>
      <c r="D4326">
        <v>6.4006589999999903</v>
      </c>
      <c r="E4326">
        <v>0.60582069999999999</v>
      </c>
      <c r="F4326" t="s">
        <v>43</v>
      </c>
      <c r="G4326">
        <v>-203.1397</v>
      </c>
      <c r="H4326">
        <v>8.1668479999999999</v>
      </c>
      <c r="I4326">
        <v>76.304779999999994</v>
      </c>
      <c r="J4326">
        <v>-189.30109999999999</v>
      </c>
      <c r="K4326">
        <v>1.1087450000000001</v>
      </c>
      <c r="L4326">
        <v>199.48480000000001</v>
      </c>
      <c r="M4326">
        <v>0.19666819999999999</v>
      </c>
      <c r="N4326">
        <v>0</v>
      </c>
      <c r="O4326">
        <v>-0.98037700000000005</v>
      </c>
      <c r="P4326">
        <v>0.1564016</v>
      </c>
      <c r="Q4326">
        <v>-3.3311780000000002E-3</v>
      </c>
      <c r="R4326">
        <v>-0.98768820000000002</v>
      </c>
      <c r="S4326">
        <v>-0.34728999999999999</v>
      </c>
      <c r="T4326">
        <v>0.17729029999999901</v>
      </c>
      <c r="U4326">
        <v>-3.0964360000000002</v>
      </c>
      <c r="V4326">
        <v>4.0951109999999999E-2</v>
      </c>
      <c r="W4326">
        <v>1.004948E-2</v>
      </c>
      <c r="X4326">
        <v>0.99911059999999996</v>
      </c>
      <c r="Y4326">
        <v>0.30456939999999999</v>
      </c>
      <c r="Z4326">
        <v>-5.3955450000000002E-2</v>
      </c>
      <c r="AA4326">
        <v>0.95096080000000005</v>
      </c>
      <c r="AB4326">
        <v>10</v>
      </c>
      <c r="AC4326">
        <v>-13.8386</v>
      </c>
      <c r="AD4326">
        <v>7.058103</v>
      </c>
      <c r="AE4326">
        <v>-123.18002</v>
      </c>
      <c r="AF4326">
        <v>37.673939227902899</v>
      </c>
      <c r="AG4326">
        <v>7.058103</v>
      </c>
      <c r="AH4326">
        <v>117.670503168135</v>
      </c>
      <c r="AI4326">
        <v>86.730503334759604</v>
      </c>
      <c r="AJ4326">
        <v>72.246769655234502</v>
      </c>
      <c r="AK4326">
        <v>123.75576685855199</v>
      </c>
      <c r="AL4326">
        <v>89.424197510740896</v>
      </c>
      <c r="AM4326">
        <v>87.652899323571901</v>
      </c>
      <c r="AN4326">
        <v>0.99999998824543102</v>
      </c>
    </row>
    <row r="4327" spans="1:40" x14ac:dyDescent="0.25">
      <c r="A4327" t="str">
        <f>"20190312160730029"</f>
        <v>20190312160730029</v>
      </c>
      <c r="B4327" t="str">
        <f>"1552378050019695"</f>
        <v>1552378050019695</v>
      </c>
      <c r="C4327" t="s">
        <v>40</v>
      </c>
      <c r="D4327">
        <v>6.3380729999999996</v>
      </c>
      <c r="E4327">
        <v>0.60551259999999996</v>
      </c>
      <c r="F4327" t="s">
        <v>55</v>
      </c>
      <c r="G4327">
        <v>-210.785</v>
      </c>
      <c r="H4327">
        <v>11.413180000000001</v>
      </c>
      <c r="I4327">
        <v>14.21311</v>
      </c>
      <c r="J4327">
        <v>-189.28919999999999</v>
      </c>
      <c r="K4327">
        <v>1.108768</v>
      </c>
      <c r="L4327">
        <v>199.39410000000001</v>
      </c>
      <c r="M4327">
        <v>0.19157859999999999</v>
      </c>
      <c r="N4327">
        <v>0</v>
      </c>
      <c r="O4327">
        <v>-0.98138449999999999</v>
      </c>
      <c r="P4327">
        <v>0.15202959999999999</v>
      </c>
      <c r="Q4327">
        <v>-3.6942329999999999E-3</v>
      </c>
      <c r="R4327">
        <v>-0.98836919999999995</v>
      </c>
      <c r="S4327">
        <v>-0.35887150000000001</v>
      </c>
      <c r="T4327">
        <v>0.17212749999999999</v>
      </c>
      <c r="U4327">
        <v>-3.0948180000000001</v>
      </c>
      <c r="V4327">
        <v>4.0185850000000002E-2</v>
      </c>
      <c r="W4327">
        <v>9.6799450000000006E-3</v>
      </c>
      <c r="X4327">
        <v>0.99914530000000001</v>
      </c>
      <c r="Y4327">
        <v>0.30320510000000001</v>
      </c>
      <c r="Z4327">
        <v>-5.2501069999999997E-2</v>
      </c>
      <c r="AA4327">
        <v>0.95147789999999999</v>
      </c>
      <c r="AB4327">
        <v>10</v>
      </c>
      <c r="AC4327">
        <v>-21.495799999999999</v>
      </c>
      <c r="AD4327">
        <v>10.304411999999999</v>
      </c>
      <c r="AE4327">
        <v>-185.18098999999901</v>
      </c>
      <c r="AF4327">
        <v>56.405181892154701</v>
      </c>
      <c r="AG4327">
        <v>10.304411999999999</v>
      </c>
      <c r="AH4327">
        <v>177.09074335561601</v>
      </c>
      <c r="AI4327">
        <v>86.826609945335704</v>
      </c>
      <c r="AJ4327">
        <v>72.332799902178394</v>
      </c>
      <c r="AK4327">
        <v>186.14203403099799</v>
      </c>
      <c r="AL4327">
        <v>89.445371325581107</v>
      </c>
      <c r="AM4327">
        <v>87.696792191598703</v>
      </c>
      <c r="AN4327">
        <v>0.99999996719375694</v>
      </c>
    </row>
    <row r="4328" spans="1:40" x14ac:dyDescent="0.25">
      <c r="A4328" t="str">
        <f>"20190312160730051"</f>
        <v>20190312160730051</v>
      </c>
      <c r="B4328" t="str">
        <f>"1552378050049950"</f>
        <v>1552378050049950</v>
      </c>
      <c r="C4328" t="s">
        <v>40</v>
      </c>
      <c r="D4328">
        <v>6.5643989999999999</v>
      </c>
      <c r="E4328">
        <v>0.60500229999999999</v>
      </c>
      <c r="F4328" t="s">
        <v>55</v>
      </c>
      <c r="G4328">
        <v>-211.07</v>
      </c>
      <c r="H4328">
        <v>10.985340000000001</v>
      </c>
      <c r="I4328">
        <v>17.426210000000001</v>
      </c>
      <c r="J4328">
        <v>-189.27699999999999</v>
      </c>
      <c r="K4328">
        <v>1.108798</v>
      </c>
      <c r="L4328">
        <v>199.2978</v>
      </c>
      <c r="M4328">
        <v>0.18622530000000001</v>
      </c>
      <c r="N4328">
        <v>0</v>
      </c>
      <c r="O4328">
        <v>-0.98241449999999997</v>
      </c>
      <c r="P4328">
        <v>0.14707039999999999</v>
      </c>
      <c r="Q4328">
        <v>-3.7765950000000002E-3</v>
      </c>
      <c r="R4328">
        <v>-0.98911899999999997</v>
      </c>
      <c r="S4328">
        <v>-0.3702087</v>
      </c>
      <c r="T4328">
        <v>0.1678721</v>
      </c>
      <c r="U4328">
        <v>-3.092911</v>
      </c>
      <c r="V4328">
        <v>3.9748600000000002E-2</v>
      </c>
      <c r="W4328">
        <v>9.5888750000000002E-3</v>
      </c>
      <c r="X4328">
        <v>0.99916369999999999</v>
      </c>
      <c r="Y4328">
        <v>0.30152469999999998</v>
      </c>
      <c r="Z4328">
        <v>-5.132536E-2</v>
      </c>
      <c r="AA4328">
        <v>0.95207600000000003</v>
      </c>
      <c r="AB4328">
        <v>9</v>
      </c>
      <c r="AC4328">
        <v>-21.7929999999999</v>
      </c>
      <c r="AD4328">
        <v>9.8765420000000006</v>
      </c>
      <c r="AE4328">
        <v>-181.87159</v>
      </c>
      <c r="AF4328">
        <v>55.123618098576202</v>
      </c>
      <c r="AG4328">
        <v>9.8765420000000006</v>
      </c>
      <c r="AH4328">
        <v>174.12453061237801</v>
      </c>
      <c r="AI4328">
        <v>86.904684081489194</v>
      </c>
      <c r="AJ4328">
        <v>72.4334714781494</v>
      </c>
      <c r="AK4328">
        <v>182.90847852173599</v>
      </c>
      <c r="AL4328">
        <v>89.450589511814499</v>
      </c>
      <c r="AM4328">
        <v>87.721868053674896</v>
      </c>
      <c r="AN4328">
        <v>0.99999999856170696</v>
      </c>
    </row>
    <row r="4329" spans="1:40" x14ac:dyDescent="0.25">
      <c r="A4329" t="str">
        <f>"20190312160730075"</f>
        <v>20190312160730075</v>
      </c>
      <c r="B4329" t="str">
        <f>"1552378050069470"</f>
        <v>1552378050069470</v>
      </c>
      <c r="C4329" t="s">
        <v>40</v>
      </c>
      <c r="D4329">
        <v>6.5834619999999999</v>
      </c>
      <c r="E4329">
        <v>0.604577699999999</v>
      </c>
      <c r="F4329" t="s">
        <v>55</v>
      </c>
      <c r="G4329">
        <v>-211.07</v>
      </c>
      <c r="H4329">
        <v>10.53129</v>
      </c>
      <c r="I4329">
        <v>22.91507</v>
      </c>
      <c r="J4329">
        <v>-189.26519999999999</v>
      </c>
      <c r="K4329">
        <v>1.10883</v>
      </c>
      <c r="L4329">
        <v>199.20060000000001</v>
      </c>
      <c r="M4329">
        <v>0.18088499999999999</v>
      </c>
      <c r="N4329">
        <v>0</v>
      </c>
      <c r="O4329">
        <v>-0.98341199999999995</v>
      </c>
      <c r="P4329">
        <v>0.14217769999999999</v>
      </c>
      <c r="Q4329">
        <v>-3.6263419999999998E-3</v>
      </c>
      <c r="R4329">
        <v>-0.98983469999999996</v>
      </c>
      <c r="S4329">
        <v>-0.38183590000000001</v>
      </c>
      <c r="T4329">
        <v>0.16509179999999901</v>
      </c>
      <c r="U4329">
        <v>-3.090408</v>
      </c>
      <c r="V4329">
        <v>3.926023E-2</v>
      </c>
      <c r="W4329">
        <v>9.7300119999999997E-3</v>
      </c>
      <c r="X4329">
        <v>0.9991816</v>
      </c>
      <c r="Y4329">
        <v>0.29997030000000002</v>
      </c>
      <c r="Z4329">
        <v>-5.0599570000000003E-2</v>
      </c>
      <c r="AA4329">
        <v>0.9526057</v>
      </c>
      <c r="AB4329">
        <v>9</v>
      </c>
      <c r="AC4329">
        <v>-21.8048</v>
      </c>
      <c r="AD4329">
        <v>9.4224599999999992</v>
      </c>
      <c r="AE4329">
        <v>-176.28552999999999</v>
      </c>
      <c r="AF4329">
        <v>53.185692625994598</v>
      </c>
      <c r="AG4329">
        <v>9.4224599999999992</v>
      </c>
      <c r="AH4329">
        <v>168.95709706285899</v>
      </c>
      <c r="AI4329">
        <v>86.955020212803404</v>
      </c>
      <c r="AJ4329">
        <v>72.526615584320894</v>
      </c>
      <c r="AK4329">
        <v>177.380949654879</v>
      </c>
      <c r="AL4329">
        <v>89.442502555394796</v>
      </c>
      <c r="AM4329">
        <v>87.749869573749606</v>
      </c>
      <c r="AN4329">
        <v>0.99999995428586497</v>
      </c>
    </row>
    <row r="4330" spans="1:40" x14ac:dyDescent="0.25">
      <c r="A4330" t="str">
        <f>"20190312160730097"</f>
        <v>20190312160730097</v>
      </c>
      <c r="B4330" t="str">
        <f>"1552378050089966"</f>
        <v>1552378050089966</v>
      </c>
      <c r="C4330" t="s">
        <v>40</v>
      </c>
      <c r="D4330">
        <v>6.3969670000000001</v>
      </c>
      <c r="E4330">
        <v>0.60419579999999995</v>
      </c>
      <c r="F4330" t="s">
        <v>55</v>
      </c>
      <c r="G4330">
        <v>-210.9933</v>
      </c>
      <c r="H4330">
        <v>10.05946</v>
      </c>
      <c r="I4330">
        <v>28.79354</v>
      </c>
      <c r="J4330">
        <v>-189.25370000000001</v>
      </c>
      <c r="K4330">
        <v>1.1088690000000001</v>
      </c>
      <c r="L4330">
        <v>199.10210000000001</v>
      </c>
      <c r="M4330">
        <v>0.17555319999999999</v>
      </c>
      <c r="N4330">
        <v>0</v>
      </c>
      <c r="O4330">
        <v>-0.98437779999999997</v>
      </c>
      <c r="P4330">
        <v>0.13730439999999999</v>
      </c>
      <c r="Q4330">
        <v>-3.861757E-3</v>
      </c>
      <c r="R4330">
        <v>-0.99052150000000005</v>
      </c>
      <c r="S4330">
        <v>-0.39373780000000003</v>
      </c>
      <c r="T4330">
        <v>0.1621948</v>
      </c>
      <c r="U4330">
        <v>-3.0879669999999999</v>
      </c>
      <c r="V4330">
        <v>3.8761259999999999E-2</v>
      </c>
      <c r="W4330">
        <v>9.485406E-3</v>
      </c>
      <c r="X4330">
        <v>0.99920350000000002</v>
      </c>
      <c r="Y4330">
        <v>0.29851250000000001</v>
      </c>
      <c r="Z4330">
        <v>-4.9829020000000002E-2</v>
      </c>
      <c r="AA4330">
        <v>0.95310399999999995</v>
      </c>
      <c r="AB4330">
        <v>9</v>
      </c>
      <c r="AC4330">
        <v>-21.739599999999999</v>
      </c>
      <c r="AD4330">
        <v>8.9505909999999993</v>
      </c>
      <c r="AE4330">
        <v>-170.30856</v>
      </c>
      <c r="AF4330">
        <v>51.163795323897098</v>
      </c>
      <c r="AG4330">
        <v>8.9505909999999993</v>
      </c>
      <c r="AH4330">
        <v>163.402284354876</v>
      </c>
      <c r="AI4330">
        <v>87.007654303300896</v>
      </c>
      <c r="AJ4330">
        <v>72.613850598983106</v>
      </c>
      <c r="AK4330">
        <v>171.458897592358</v>
      </c>
      <c r="AL4330">
        <v>89.456518130829096</v>
      </c>
      <c r="AM4330">
        <v>87.778486958505894</v>
      </c>
      <c r="AN4330">
        <v>1.00000002130801</v>
      </c>
    </row>
    <row r="4331" spans="1:40" x14ac:dyDescent="0.25">
      <c r="A4331" t="str">
        <f>"20190312160730120"</f>
        <v>20190312160730120</v>
      </c>
      <c r="B4331" t="str">
        <f>"1552378050109486"</f>
        <v>1552378050109486</v>
      </c>
      <c r="C4331" t="s">
        <v>40</v>
      </c>
      <c r="D4331">
        <v>6.414307</v>
      </c>
      <c r="E4331">
        <v>0.60383589999999998</v>
      </c>
      <c r="F4331" t="s">
        <v>55</v>
      </c>
      <c r="G4331">
        <v>-211.65719999999999</v>
      </c>
      <c r="H4331">
        <v>9.9173969999999994</v>
      </c>
      <c r="I4331">
        <v>28.79354</v>
      </c>
      <c r="J4331">
        <v>-189.24289999999999</v>
      </c>
      <c r="K4331">
        <v>1.108895</v>
      </c>
      <c r="L4331">
        <v>199.0061</v>
      </c>
      <c r="M4331">
        <v>0.1704193</v>
      </c>
      <c r="N4331">
        <v>0</v>
      </c>
      <c r="O4331">
        <v>-0.98527989999999999</v>
      </c>
      <c r="P4331">
        <v>0.13241069999999999</v>
      </c>
      <c r="Q4331">
        <v>-4.5394099999999998E-3</v>
      </c>
      <c r="R4331">
        <v>-0.99118459999999997</v>
      </c>
      <c r="S4331">
        <v>-0.40589900000000001</v>
      </c>
      <c r="T4331">
        <v>0.1595895</v>
      </c>
      <c r="U4331">
        <v>-3.0855869999999999</v>
      </c>
      <c r="V4331">
        <v>3.8483910000000003E-2</v>
      </c>
      <c r="W4331">
        <v>8.7978359999999999E-3</v>
      </c>
      <c r="X4331">
        <v>0.99922049999999996</v>
      </c>
      <c r="Y4331">
        <v>0.29732900000000001</v>
      </c>
      <c r="Z4331">
        <v>-4.9135140000000001E-2</v>
      </c>
      <c r="AA4331">
        <v>0.95350990000000002</v>
      </c>
      <c r="AB4331">
        <v>9</v>
      </c>
      <c r="AC4331">
        <v>-22.414300000000001</v>
      </c>
      <c r="AD4331">
        <v>8.8085019999999901</v>
      </c>
      <c r="AE4331">
        <v>-170.21256</v>
      </c>
      <c r="AF4331">
        <v>50.962329392330197</v>
      </c>
      <c r="AG4331">
        <v>8.8085019999999901</v>
      </c>
      <c r="AH4331">
        <v>163.471675209111</v>
      </c>
      <c r="AI4331">
        <v>87.055178590391506</v>
      </c>
      <c r="AJ4331">
        <v>72.685121368728105</v>
      </c>
      <c r="AK4331">
        <v>171.45768375972401</v>
      </c>
      <c r="AL4331">
        <v>89.495914630606194</v>
      </c>
      <c r="AM4331">
        <v>87.794404372134096</v>
      </c>
      <c r="AN4331">
        <v>1.0000000104337099</v>
      </c>
    </row>
    <row r="4332" spans="1:40" x14ac:dyDescent="0.25">
      <c r="A4332" t="str">
        <f>"20190312160730142"</f>
        <v>20190312160730142</v>
      </c>
      <c r="B4332" t="str">
        <f>"1552378050129982"</f>
        <v>1552378050129982</v>
      </c>
      <c r="C4332" t="s">
        <v>40</v>
      </c>
      <c r="D4332">
        <v>6.6167299999999996</v>
      </c>
      <c r="E4332">
        <v>0.56835340000000001</v>
      </c>
      <c r="F4332" t="s">
        <v>55</v>
      </c>
      <c r="G4332">
        <v>-212.30500000000001</v>
      </c>
      <c r="H4332">
        <v>9.6498349999999995</v>
      </c>
      <c r="I4332">
        <v>29.031079999999999</v>
      </c>
      <c r="J4332">
        <v>-189.23259999999999</v>
      </c>
      <c r="K4332">
        <v>1.1089199999999999</v>
      </c>
      <c r="L4332">
        <v>198.91149999999999</v>
      </c>
      <c r="M4332">
        <v>0.1654273</v>
      </c>
      <c r="N4332">
        <v>0</v>
      </c>
      <c r="O4332">
        <v>-0.98613039999999996</v>
      </c>
      <c r="P4332">
        <v>0.12773599999999999</v>
      </c>
      <c r="Q4332">
        <v>-5.4122880000000003E-3</v>
      </c>
      <c r="R4332">
        <v>-0.9917937</v>
      </c>
      <c r="S4332">
        <v>-0.41833500000000001</v>
      </c>
      <c r="T4332">
        <v>0.1549277</v>
      </c>
      <c r="U4332">
        <v>-3.0832519999999999</v>
      </c>
      <c r="V4332">
        <v>3.8130820000000003E-2</v>
      </c>
      <c r="W4332">
        <v>7.9152389999999993E-3</v>
      </c>
      <c r="X4332">
        <v>0.99924139999999995</v>
      </c>
      <c r="Y4332">
        <v>0.2963749</v>
      </c>
      <c r="Z4332">
        <v>-4.7797869999999999E-2</v>
      </c>
      <c r="AA4332">
        <v>0.95387489999999997</v>
      </c>
      <c r="AB4332">
        <v>9</v>
      </c>
      <c r="AC4332">
        <v>-23.072399999999998</v>
      </c>
      <c r="AD4332">
        <v>8.540915</v>
      </c>
      <c r="AE4332">
        <v>-169.88041999999999</v>
      </c>
      <c r="AF4332">
        <v>50.733931657538498</v>
      </c>
      <c r="AG4332">
        <v>8.540915</v>
      </c>
      <c r="AH4332">
        <v>163.31689383804101</v>
      </c>
      <c r="AI4332">
        <v>87.140891841104093</v>
      </c>
      <c r="AJ4332">
        <v>72.742740625803805</v>
      </c>
      <c r="AK4332">
        <v>171.22875594763599</v>
      </c>
      <c r="AL4332">
        <v>89.546485472661203</v>
      </c>
      <c r="AM4332">
        <v>87.814666672228498</v>
      </c>
      <c r="AN4332">
        <v>0.99999999295812902</v>
      </c>
    </row>
    <row r="4333" spans="1:40" x14ac:dyDescent="0.25">
      <c r="A4333" t="str">
        <f>"20190312160730165"</f>
        <v>20190312160730165</v>
      </c>
      <c r="B4333" t="str">
        <f>"1552378050159263"</f>
        <v>1552378050159263</v>
      </c>
      <c r="C4333" t="s">
        <v>40</v>
      </c>
      <c r="D4333">
        <v>6.4153399999999996</v>
      </c>
      <c r="E4333">
        <v>0.55924560000000001</v>
      </c>
      <c r="F4333" t="s">
        <v>54</v>
      </c>
      <c r="G4333">
        <v>-203.2167</v>
      </c>
      <c r="H4333">
        <v>14.140280000000001</v>
      </c>
      <c r="I4333">
        <v>-80.953319999999906</v>
      </c>
      <c r="J4333">
        <v>-189.2226</v>
      </c>
      <c r="K4333">
        <v>1.1089500000000001</v>
      </c>
      <c r="L4333">
        <v>198.8152</v>
      </c>
      <c r="M4333">
        <v>0.16042089999999901</v>
      </c>
      <c r="N4333">
        <v>0</v>
      </c>
      <c r="O4333">
        <v>-0.98695759999999999</v>
      </c>
      <c r="P4333">
        <v>0.1224427</v>
      </c>
      <c r="Q4333">
        <v>-6.2687439999999997E-3</v>
      </c>
      <c r="R4333">
        <v>-0.99245609999999995</v>
      </c>
      <c r="S4333">
        <v>-0.15216060000000001</v>
      </c>
      <c r="T4333">
        <v>0.14179430000000001</v>
      </c>
      <c r="U4333">
        <v>-3.0452119999999998</v>
      </c>
      <c r="V4333">
        <v>3.8387499999999998E-2</v>
      </c>
      <c r="W4333">
        <v>7.046943E-3</v>
      </c>
      <c r="X4333">
        <v>0.99923810000000002</v>
      </c>
      <c r="Y4333">
        <v>0.2094406</v>
      </c>
      <c r="Z4333">
        <v>-4.5064050000000001E-2</v>
      </c>
      <c r="AA4333">
        <v>0.97678240000000005</v>
      </c>
      <c r="AB4333">
        <v>9</v>
      </c>
      <c r="AC4333">
        <v>-13.9941</v>
      </c>
      <c r="AD4333">
        <v>13.031330000000001</v>
      </c>
      <c r="AE4333">
        <v>-279.76852000000002</v>
      </c>
      <c r="AF4333">
        <v>58.570821032572603</v>
      </c>
      <c r="AG4333">
        <v>13.031330000000001</v>
      </c>
      <c r="AH4333">
        <v>273.30786081380103</v>
      </c>
      <c r="AI4333">
        <v>87.330718241274397</v>
      </c>
      <c r="AJ4333">
        <v>77.904270646644804</v>
      </c>
      <c r="AK4333">
        <v>279.81698200898097</v>
      </c>
      <c r="AL4333">
        <v>89.596236573894501</v>
      </c>
      <c r="AM4333">
        <v>87.799963112753105</v>
      </c>
      <c r="AN4333">
        <v>1.00000002002675</v>
      </c>
    </row>
    <row r="4334" spans="1:40" x14ac:dyDescent="0.25">
      <c r="A4334" t="str">
        <f>"20190312160730187"</f>
        <v>20190312160730187</v>
      </c>
      <c r="B4334" t="str">
        <f>"1552378050179768"</f>
        <v>1552378050179768</v>
      </c>
      <c r="C4334" t="s">
        <v>40</v>
      </c>
      <c r="D4334">
        <v>6.4041880000000004</v>
      </c>
      <c r="E4334">
        <v>0.55950339999999998</v>
      </c>
      <c r="F4334" t="s">
        <v>54</v>
      </c>
      <c r="G4334">
        <v>-198.28909999999999</v>
      </c>
      <c r="H4334">
        <v>9.8510960000000001</v>
      </c>
      <c r="I4334">
        <v>-81.818430000000006</v>
      </c>
      <c r="J4334">
        <v>-189.2132</v>
      </c>
      <c r="K4334">
        <v>1.1089770000000001</v>
      </c>
      <c r="L4334">
        <v>198.72049999999999</v>
      </c>
      <c r="M4334">
        <v>0.15558559999999999</v>
      </c>
      <c r="N4334">
        <v>0</v>
      </c>
      <c r="O4334">
        <v>-0.98773140000000004</v>
      </c>
      <c r="P4334">
        <v>0.1175641</v>
      </c>
      <c r="Q4334">
        <v>-6.5692869999999896E-3</v>
      </c>
      <c r="R4334">
        <v>-0.99304369999999997</v>
      </c>
      <c r="S4334">
        <v>-9.8068240000000001E-2</v>
      </c>
      <c r="T4334">
        <v>9.4560500000000006E-2</v>
      </c>
      <c r="U4334">
        <v>-3.035507</v>
      </c>
      <c r="V4334">
        <v>3.8402579999999999E-2</v>
      </c>
      <c r="W4334">
        <v>6.7350989999999996E-3</v>
      </c>
      <c r="X4334">
        <v>0.99923960000000001</v>
      </c>
      <c r="Y4334">
        <v>0.1873997</v>
      </c>
      <c r="Z4334">
        <v>-3.0283399999999999E-2</v>
      </c>
      <c r="AA4334">
        <v>0.98181680000000005</v>
      </c>
      <c r="AB4334">
        <v>9</v>
      </c>
      <c r="AC4334">
        <v>-9.0758999999999901</v>
      </c>
      <c r="AD4334">
        <v>8.7421190000000006</v>
      </c>
      <c r="AE4334">
        <v>-280.53892999999999</v>
      </c>
      <c r="AF4334">
        <v>52.566108113286298</v>
      </c>
      <c r="AG4334">
        <v>8.7421190000000006</v>
      </c>
      <c r="AH4334">
        <v>275.442626174986</v>
      </c>
      <c r="AI4334">
        <v>88.214337015790605</v>
      </c>
      <c r="AJ4334">
        <v>79.195460606984497</v>
      </c>
      <c r="AK4334">
        <v>280.549925469534</v>
      </c>
      <c r="AL4334">
        <v>89.614104315491304</v>
      </c>
      <c r="AM4334">
        <v>87.799103008967094</v>
      </c>
      <c r="AN4334">
        <v>0.99999994895867605</v>
      </c>
    </row>
    <row r="4335" spans="1:40" x14ac:dyDescent="0.25">
      <c r="A4335" t="str">
        <f>"20190312160730200"</f>
        <v>20190312160730200</v>
      </c>
      <c r="B4335" t="str">
        <f>"1552378050189518"</f>
        <v>1552378050189518</v>
      </c>
      <c r="C4335" t="s">
        <v>40</v>
      </c>
      <c r="D4335">
        <v>6.3757599999999996</v>
      </c>
      <c r="E4335">
        <v>0.56048719999999996</v>
      </c>
      <c r="F4335" t="s">
        <v>54</v>
      </c>
      <c r="G4335">
        <v>-199.9135</v>
      </c>
      <c r="H4335">
        <v>7.790095</v>
      </c>
      <c r="I4335">
        <v>-81.817750000000004</v>
      </c>
      <c r="J4335">
        <v>-189.2079</v>
      </c>
      <c r="K4335">
        <v>1.108997</v>
      </c>
      <c r="L4335">
        <v>198.66640000000001</v>
      </c>
      <c r="M4335">
        <v>0.1528659</v>
      </c>
      <c r="N4335">
        <v>0</v>
      </c>
      <c r="O4335">
        <v>-0.98815600000000003</v>
      </c>
      <c r="P4335">
        <v>0.1148324</v>
      </c>
      <c r="Q4335">
        <v>-6.4920830000000001E-3</v>
      </c>
      <c r="R4335">
        <v>-0.99336349999999995</v>
      </c>
      <c r="S4335">
        <v>-0.11576839999999999</v>
      </c>
      <c r="T4335">
        <v>7.2284100000000004E-2</v>
      </c>
      <c r="U4335">
        <v>-3.0351870000000001</v>
      </c>
      <c r="V4335">
        <v>3.840002E-2</v>
      </c>
      <c r="W4335">
        <v>6.8066230000000004E-3</v>
      </c>
      <c r="X4335">
        <v>0.99923930000000005</v>
      </c>
      <c r="Y4335">
        <v>0.19042419999999999</v>
      </c>
      <c r="Z4335">
        <v>-2.3162189999999999E-2</v>
      </c>
      <c r="AA4335">
        <v>0.98142859999999998</v>
      </c>
      <c r="AB4335">
        <v>9</v>
      </c>
      <c r="AC4335">
        <v>-10.7056</v>
      </c>
      <c r="AD4335">
        <v>6.6810979999999898</v>
      </c>
      <c r="AE4335">
        <v>-280.48415</v>
      </c>
      <c r="AF4335">
        <v>53.429798222946701</v>
      </c>
      <c r="AG4335">
        <v>6.6810979999999898</v>
      </c>
      <c r="AH4335">
        <v>275.39431113421199</v>
      </c>
      <c r="AI4335">
        <v>88.635699840413594</v>
      </c>
      <c r="AJ4335">
        <v>79.020336232858995</v>
      </c>
      <c r="AK4335">
        <v>280.608993109126</v>
      </c>
      <c r="AL4335">
        <v>89.610006231626002</v>
      </c>
      <c r="AM4335">
        <v>87.799248921229406</v>
      </c>
      <c r="AN4335">
        <v>1.0000000351585701</v>
      </c>
    </row>
    <row r="4336" spans="1:40" x14ac:dyDescent="0.25">
      <c r="A4336" t="str">
        <f>"20190312160730211"</f>
        <v>20190312160730211</v>
      </c>
      <c r="B4336" t="str">
        <f>"1552378050210014"</f>
        <v>1552378050210014</v>
      </c>
      <c r="C4336" t="s">
        <v>40</v>
      </c>
      <c r="D4336">
        <v>6.3462319999999997</v>
      </c>
      <c r="E4336">
        <v>0.56145019999999901</v>
      </c>
      <c r="F4336" t="s">
        <v>54</v>
      </c>
      <c r="G4336">
        <v>-201.3492</v>
      </c>
      <c r="H4336">
        <v>6.9343199999999996</v>
      </c>
      <c r="I4336">
        <v>-80.066019999999995</v>
      </c>
      <c r="J4336">
        <v>-189.2029</v>
      </c>
      <c r="K4336">
        <v>1.1090199999999999</v>
      </c>
      <c r="L4336">
        <v>198.614</v>
      </c>
      <c r="M4336">
        <v>0.1502551</v>
      </c>
      <c r="N4336">
        <v>0</v>
      </c>
      <c r="O4336">
        <v>-0.98855649999999995</v>
      </c>
      <c r="P4336">
        <v>0.1122534</v>
      </c>
      <c r="Q4336">
        <v>-6.4571419999999999E-3</v>
      </c>
      <c r="R4336">
        <v>-0.99365870000000001</v>
      </c>
      <c r="S4336">
        <v>-0.13223270000000001</v>
      </c>
      <c r="T4336">
        <v>6.3444609999999999E-2</v>
      </c>
      <c r="U4336">
        <v>-3.0357210000000001</v>
      </c>
      <c r="V4336">
        <v>3.8353999999999999E-2</v>
      </c>
      <c r="W4336">
        <v>6.8352319999999897E-3</v>
      </c>
      <c r="X4336">
        <v>0.99924080000000004</v>
      </c>
      <c r="Y4336">
        <v>0.19314039999999999</v>
      </c>
      <c r="Z4336">
        <v>-2.033219E-2</v>
      </c>
      <c r="AA4336">
        <v>0.98096039999999995</v>
      </c>
      <c r="AB4336">
        <v>9</v>
      </c>
      <c r="AC4336">
        <v>-12.146299999999901</v>
      </c>
      <c r="AD4336">
        <v>5.8253000000000004</v>
      </c>
      <c r="AE4336">
        <v>-278.68002000000001</v>
      </c>
      <c r="AF4336">
        <v>53.861743295277897</v>
      </c>
      <c r="AG4336">
        <v>5.8253000000000004</v>
      </c>
      <c r="AH4336">
        <v>273.57115142427602</v>
      </c>
      <c r="AI4336">
        <v>88.803123984146893</v>
      </c>
      <c r="AJ4336">
        <v>78.861844831365701</v>
      </c>
      <c r="AK4336">
        <v>278.88384033948699</v>
      </c>
      <c r="AL4336">
        <v>89.608366990353701</v>
      </c>
      <c r="AM4336">
        <v>87.801887090211295</v>
      </c>
      <c r="AN4336">
        <v>0.99999996304856598</v>
      </c>
    </row>
    <row r="4337" spans="1:40" x14ac:dyDescent="0.25">
      <c r="A4337" t="str">
        <f>"20190312160730225"</f>
        <v>20190312160730225</v>
      </c>
      <c r="B4337" t="str">
        <f>"1552378050219774"</f>
        <v>1552378050219774</v>
      </c>
      <c r="C4337" t="s">
        <v>40</v>
      </c>
      <c r="D4337">
        <v>6.3667059999999998</v>
      </c>
      <c r="E4337">
        <v>0.56188890000000002</v>
      </c>
      <c r="F4337" t="s">
        <v>54</v>
      </c>
      <c r="G4337">
        <v>-202.7867</v>
      </c>
      <c r="H4337">
        <v>5.7615439999999998</v>
      </c>
      <c r="I4337">
        <v>-80.065629999999999</v>
      </c>
      <c r="J4337">
        <v>-189.19820000000001</v>
      </c>
      <c r="K4337">
        <v>1.109048</v>
      </c>
      <c r="L4337">
        <v>198.56290000000001</v>
      </c>
      <c r="M4337">
        <v>0.1477552</v>
      </c>
      <c r="N4337">
        <v>0</v>
      </c>
      <c r="O4337">
        <v>-0.98893350000000002</v>
      </c>
      <c r="P4337">
        <v>0.1098235</v>
      </c>
      <c r="Q4337">
        <v>-6.4455659999999998E-3</v>
      </c>
      <c r="R4337">
        <v>-0.9939306</v>
      </c>
      <c r="S4337">
        <v>-0.14799499999999999</v>
      </c>
      <c r="T4337">
        <v>5.068922E-2</v>
      </c>
      <c r="U4337">
        <v>-3.0362089999999999</v>
      </c>
      <c r="V4337">
        <v>3.8270310000000002E-2</v>
      </c>
      <c r="W4337">
        <v>6.8409550000000001E-3</v>
      </c>
      <c r="X4337">
        <v>0.99924400000000002</v>
      </c>
      <c r="Y4337">
        <v>0.19573760000000001</v>
      </c>
      <c r="Z4337">
        <v>-1.624629E-2</v>
      </c>
      <c r="AA4337">
        <v>0.98052169999999905</v>
      </c>
      <c r="AB4337">
        <v>9</v>
      </c>
      <c r="AC4337">
        <v>-13.5884999999999</v>
      </c>
      <c r="AD4337">
        <v>4.6524960000000002</v>
      </c>
      <c r="AE4337">
        <v>-278.62852999999899</v>
      </c>
      <c r="AF4337">
        <v>54.596636793562801</v>
      </c>
      <c r="AG4337">
        <v>4.6524960000000002</v>
      </c>
      <c r="AH4337">
        <v>273.48571979351101</v>
      </c>
      <c r="AI4337">
        <v>89.044242533935204</v>
      </c>
      <c r="AJ4337">
        <v>78.710315535609794</v>
      </c>
      <c r="AK4337">
        <v>278.92091603028399</v>
      </c>
      <c r="AL4337">
        <v>89.608039090831298</v>
      </c>
      <c r="AM4337">
        <v>87.806685790242099</v>
      </c>
      <c r="AN4337">
        <v>0.99999999341440404</v>
      </c>
    </row>
    <row r="4338" spans="1:40" x14ac:dyDescent="0.25">
      <c r="A4338" t="str">
        <f>"20190312160730237"</f>
        <v>20190312160730237</v>
      </c>
      <c r="B4338" t="str">
        <f>"1552378050229534"</f>
        <v>1552378050229534</v>
      </c>
      <c r="C4338" t="s">
        <v>40</v>
      </c>
      <c r="D4338">
        <v>6.4718549999999997</v>
      </c>
      <c r="E4338">
        <v>0.56157919999999995</v>
      </c>
      <c r="F4338" t="s">
        <v>54</v>
      </c>
      <c r="G4338">
        <v>-203.851</v>
      </c>
      <c r="H4338">
        <v>4.9227499999999997</v>
      </c>
      <c r="I4338">
        <v>-80.95026</v>
      </c>
      <c r="J4338">
        <v>-189.19309999999999</v>
      </c>
      <c r="K4338">
        <v>1.109078</v>
      </c>
      <c r="L4338">
        <v>198.50720000000001</v>
      </c>
      <c r="M4338">
        <v>0.14504839999999999</v>
      </c>
      <c r="N4338">
        <v>0</v>
      </c>
      <c r="O4338">
        <v>-0.98933409999999999</v>
      </c>
      <c r="P4338">
        <v>0.1071675</v>
      </c>
      <c r="Q4338">
        <v>-6.5513430000000003E-3</v>
      </c>
      <c r="R4338">
        <v>-0.99421959999999998</v>
      </c>
      <c r="S4338">
        <v>-0.15916440000000001</v>
      </c>
      <c r="T4338">
        <v>4.1425940000000001E-2</v>
      </c>
      <c r="U4338">
        <v>-3.0361790000000002</v>
      </c>
      <c r="V4338">
        <v>3.8204780000000001E-2</v>
      </c>
      <c r="W4338">
        <v>6.7293780000000003E-3</v>
      </c>
      <c r="X4338">
        <v>0.99924729999999995</v>
      </c>
      <c r="Y4338">
        <v>0.19665469999999999</v>
      </c>
      <c r="Z4338">
        <v>-1.328379E-2</v>
      </c>
      <c r="AA4338">
        <v>0.9803828</v>
      </c>
      <c r="AB4338">
        <v>9</v>
      </c>
      <c r="AC4338">
        <v>-14.6579</v>
      </c>
      <c r="AD4338">
        <v>3.813672</v>
      </c>
      <c r="AE4338">
        <v>-279.45746000000003</v>
      </c>
      <c r="AF4338">
        <v>55.031123711810899</v>
      </c>
      <c r="AG4338">
        <v>3.813672</v>
      </c>
      <c r="AH4338">
        <v>274.32429954029698</v>
      </c>
      <c r="AI4338">
        <v>89.2190783946197</v>
      </c>
      <c r="AJ4338">
        <v>78.6566809362116</v>
      </c>
      <c r="AK4338">
        <v>279.81563571284403</v>
      </c>
      <c r="AL4338">
        <v>89.614432142625205</v>
      </c>
      <c r="AM4338">
        <v>87.810444953201099</v>
      </c>
      <c r="AN4338">
        <v>1.0000000281501999</v>
      </c>
    </row>
    <row r="4339" spans="1:40" x14ac:dyDescent="0.25">
      <c r="A4339" t="str">
        <f>"20190312160730253"</f>
        <v>20190312160730253</v>
      </c>
      <c r="B4339" t="str">
        <f>"1552378050250030"</f>
        <v>1552378050250030</v>
      </c>
      <c r="C4339" t="s">
        <v>40</v>
      </c>
      <c r="D4339">
        <v>6.5244869999999997</v>
      </c>
      <c r="E4339">
        <v>0.56118239999999997</v>
      </c>
      <c r="F4339" t="s">
        <v>54</v>
      </c>
      <c r="G4339">
        <v>-204.42660000000001</v>
      </c>
      <c r="H4339">
        <v>3.2691180000000002</v>
      </c>
      <c r="I4339">
        <v>-80.949709999999996</v>
      </c>
      <c r="J4339">
        <v>-189.18709999999999</v>
      </c>
      <c r="K4339">
        <v>1.1091089999999999</v>
      </c>
      <c r="L4339">
        <v>198.43950000000001</v>
      </c>
      <c r="M4339">
        <v>0.14180970000000001</v>
      </c>
      <c r="N4339">
        <v>0</v>
      </c>
      <c r="O4339">
        <v>-0.98980380000000001</v>
      </c>
      <c r="P4339">
        <v>0.1039542</v>
      </c>
      <c r="Q4339">
        <v>-6.6158240000000002E-3</v>
      </c>
      <c r="R4339">
        <v>-0.99456009999999995</v>
      </c>
      <c r="S4339">
        <v>-0.16546629999999901</v>
      </c>
      <c r="T4339">
        <v>2.346241E-2</v>
      </c>
      <c r="U4339">
        <v>-3.0354610000000002</v>
      </c>
      <c r="V4339">
        <v>3.8162460000000002E-2</v>
      </c>
      <c r="W4339">
        <v>6.6569000000000003E-3</v>
      </c>
      <c r="X4339">
        <v>0.99924939999999995</v>
      </c>
      <c r="Y4339">
        <v>0.19549059999999999</v>
      </c>
      <c r="Z4339">
        <v>-7.5317140000000001E-3</v>
      </c>
      <c r="AA4339">
        <v>0.98067669999999996</v>
      </c>
      <c r="AB4339">
        <v>9</v>
      </c>
      <c r="AC4339">
        <v>-15.2395</v>
      </c>
      <c r="AD4339">
        <v>2.1600090000000001</v>
      </c>
      <c r="AE4339">
        <v>-279.38920999999999</v>
      </c>
      <c r="AF4339">
        <v>54.705836471429997</v>
      </c>
      <c r="AG4339">
        <v>2.1600090000000001</v>
      </c>
      <c r="AH4339">
        <v>274.38752529395202</v>
      </c>
      <c r="AI4339">
        <v>89.557675790684598</v>
      </c>
      <c r="AJ4339">
        <v>78.724539643924501</v>
      </c>
      <c r="AK4339">
        <v>279.79619050276199</v>
      </c>
      <c r="AL4339">
        <v>89.618584918038806</v>
      </c>
      <c r="AM4339">
        <v>87.812872590944906</v>
      </c>
      <c r="AN4339">
        <v>1.0000000255356101</v>
      </c>
    </row>
    <row r="4340" spans="1:40" x14ac:dyDescent="0.25">
      <c r="A4340" t="str">
        <f>"20190312160730267"</f>
        <v>20190312160730267</v>
      </c>
      <c r="B4340" t="str">
        <f>"1552378050259791"</f>
        <v>1552378050259791</v>
      </c>
      <c r="C4340" t="s">
        <v>40</v>
      </c>
      <c r="D4340">
        <v>6.4589480000000004</v>
      </c>
      <c r="E4340">
        <v>0.56082449999999995</v>
      </c>
      <c r="F4340" t="s">
        <v>54</v>
      </c>
      <c r="G4340">
        <v>-205.1242</v>
      </c>
      <c r="H4340">
        <v>0.98764609999999997</v>
      </c>
      <c r="I4340">
        <v>-80.94896</v>
      </c>
      <c r="J4340">
        <v>-189.18209999999999</v>
      </c>
      <c r="K4340">
        <v>1.109138</v>
      </c>
      <c r="L4340">
        <v>198.38229999999999</v>
      </c>
      <c r="M4340">
        <v>0.13912569999999999</v>
      </c>
      <c r="N4340">
        <v>0</v>
      </c>
      <c r="O4340">
        <v>-0.99018470000000003</v>
      </c>
      <c r="P4340">
        <v>0.1013191</v>
      </c>
      <c r="Q4340">
        <v>-6.7256149999999999E-3</v>
      </c>
      <c r="R4340">
        <v>-0.99483129999999997</v>
      </c>
      <c r="S4340">
        <v>-0.17309569999999999</v>
      </c>
      <c r="T4340">
        <v>-1.3191699999999999E-3</v>
      </c>
      <c r="U4340">
        <v>-3.0344850000000001</v>
      </c>
      <c r="V4340">
        <v>3.8099639999999997E-2</v>
      </c>
      <c r="W4340">
        <v>6.5400759999999997E-3</v>
      </c>
      <c r="X4340">
        <v>0.99925260000000005</v>
      </c>
      <c r="Y4340">
        <v>0.1953086</v>
      </c>
      <c r="Z4340">
        <v>4.2384429999999998E-4</v>
      </c>
      <c r="AA4340">
        <v>0.98074170000000005</v>
      </c>
      <c r="AB4340">
        <v>9</v>
      </c>
      <c r="AC4340">
        <v>-15.9421</v>
      </c>
      <c r="AD4340">
        <v>-0.1214919</v>
      </c>
      <c r="AE4340">
        <v>-279.33125999999999</v>
      </c>
      <c r="AF4340">
        <v>54.652642767259401</v>
      </c>
      <c r="AG4340">
        <v>-0.1214919</v>
      </c>
      <c r="AH4340">
        <v>274.39599574993099</v>
      </c>
      <c r="AI4340">
        <v>90.024879652821397</v>
      </c>
      <c r="AJ4340">
        <v>78.735561795591295</v>
      </c>
      <c r="AK4340">
        <v>279.78579057079298</v>
      </c>
      <c r="AL4340">
        <v>89.625278597487707</v>
      </c>
      <c r="AM4340">
        <v>87.816476363743007</v>
      </c>
      <c r="AN4340">
        <v>1.00000005688448</v>
      </c>
    </row>
    <row r="4341" spans="1:40" x14ac:dyDescent="0.25">
      <c r="A4341" t="str">
        <f>"20190312160730280"</f>
        <v>20190312160730280</v>
      </c>
      <c r="B4341" t="str">
        <f>"1552378050269550"</f>
        <v>1552378050269550</v>
      </c>
      <c r="C4341" t="s">
        <v>40</v>
      </c>
      <c r="D4341">
        <v>6.5382179999999996</v>
      </c>
      <c r="E4341">
        <v>0.56065220000000004</v>
      </c>
      <c r="F4341" t="s">
        <v>47</v>
      </c>
      <c r="G4341">
        <v>-202.6105</v>
      </c>
      <c r="H4341">
        <v>7.9986689999999999E-2</v>
      </c>
      <c r="I4341">
        <v>-29.54871</v>
      </c>
      <c r="J4341">
        <v>-189.17760000000001</v>
      </c>
      <c r="K4341">
        <v>1.1091629999999999</v>
      </c>
      <c r="L4341">
        <v>198.3296</v>
      </c>
      <c r="M4341">
        <v>0.1366811</v>
      </c>
      <c r="N4341">
        <v>0</v>
      </c>
      <c r="O4341">
        <v>-0.99052530000000005</v>
      </c>
      <c r="P4341">
        <v>9.8909159999999996E-2</v>
      </c>
      <c r="Q4341">
        <v>-6.7852980000000004E-3</v>
      </c>
      <c r="R4341">
        <v>-0.9950736</v>
      </c>
      <c r="S4341">
        <v>-0.1787262</v>
      </c>
      <c r="T4341">
        <v>-1.3697620000000001E-2</v>
      </c>
      <c r="U4341">
        <v>-3.0336759999999998</v>
      </c>
      <c r="V4341">
        <v>3.8052870000000003E-2</v>
      </c>
      <c r="W4341">
        <v>6.4742749999999998E-3</v>
      </c>
      <c r="X4341">
        <v>0.9992548</v>
      </c>
      <c r="Y4341">
        <v>0.19471620000000001</v>
      </c>
      <c r="Z4341">
        <v>4.4044569999999996E-3</v>
      </c>
      <c r="AA4341">
        <v>0.98084970000000005</v>
      </c>
      <c r="AB4341">
        <v>9</v>
      </c>
      <c r="AC4341">
        <v>-13.432899999999901</v>
      </c>
      <c r="AD4341">
        <v>-1.02917631</v>
      </c>
      <c r="AE4341">
        <v>-227.87831</v>
      </c>
      <c r="AF4341">
        <v>44.455336461788697</v>
      </c>
      <c r="AG4341">
        <v>-1.02917631</v>
      </c>
      <c r="AH4341">
        <v>223.898574555019</v>
      </c>
      <c r="AI4341">
        <v>90.258322399732805</v>
      </c>
      <c r="AJ4341">
        <v>78.769905717784695</v>
      </c>
      <c r="AK4341">
        <v>228.27156597258801</v>
      </c>
      <c r="AL4341">
        <v>89.629048792734295</v>
      </c>
      <c r="AM4341">
        <v>87.819159000331297</v>
      </c>
      <c r="AN4341">
        <v>1.00000004623752</v>
      </c>
    </row>
    <row r="4342" spans="1:40" x14ac:dyDescent="0.25">
      <c r="A4342" t="str">
        <f>"20190312160730298"</f>
        <v>20190312160730298</v>
      </c>
      <c r="B4342" t="str">
        <f>"1552378050290046"</f>
        <v>1552378050290046</v>
      </c>
      <c r="C4342" t="s">
        <v>40</v>
      </c>
      <c r="D4342">
        <v>6.3866990000000001</v>
      </c>
      <c r="E4342">
        <v>0.56028630000000001</v>
      </c>
      <c r="F4342" t="s">
        <v>47</v>
      </c>
      <c r="G4342">
        <v>-197.1919</v>
      </c>
      <c r="H4342" s="1">
        <v>-4.6455629999999997E-6</v>
      </c>
      <c r="I4342">
        <v>66.889200000000002</v>
      </c>
      <c r="J4342">
        <v>-189.1712</v>
      </c>
      <c r="K4342">
        <v>1.1092010000000001</v>
      </c>
      <c r="L4342">
        <v>198.25280000000001</v>
      </c>
      <c r="M4342">
        <v>0.13317470000000001</v>
      </c>
      <c r="N4342">
        <v>0</v>
      </c>
      <c r="O4342">
        <v>-0.99100290000000002</v>
      </c>
      <c r="P4342">
        <v>9.5495739999999996E-2</v>
      </c>
      <c r="Q4342">
        <v>-7.0167980000000003E-3</v>
      </c>
      <c r="R4342">
        <v>-0.99540519999999999</v>
      </c>
      <c r="S4342">
        <v>-0.1849365</v>
      </c>
      <c r="T4342">
        <v>-2.5594950000000002E-2</v>
      </c>
      <c r="U4342">
        <v>-3.033096</v>
      </c>
      <c r="V4342">
        <v>3.7942360000000001E-2</v>
      </c>
      <c r="W4342">
        <v>6.2339539999999999E-3</v>
      </c>
      <c r="X4342">
        <v>0.9992605</v>
      </c>
      <c r="Y4342">
        <v>0.19325519999999999</v>
      </c>
      <c r="Z4342">
        <v>8.2381520000000003E-3</v>
      </c>
      <c r="AA4342">
        <v>0.98111389999999998</v>
      </c>
      <c r="AB4342">
        <v>9</v>
      </c>
      <c r="AC4342">
        <v>-8.0206999999999997</v>
      </c>
      <c r="AD4342">
        <v>-1.1092056455629999</v>
      </c>
      <c r="AE4342">
        <v>-131.36359999999999</v>
      </c>
      <c r="AF4342">
        <v>25.443299229014698</v>
      </c>
      <c r="AG4342">
        <v>-1.1092056455629999</v>
      </c>
      <c r="AH4342">
        <v>129.115859388465</v>
      </c>
      <c r="AI4342">
        <v>90.482916682895905</v>
      </c>
      <c r="AJ4342">
        <v>78.852245681519904</v>
      </c>
      <c r="AK4342">
        <v>131.603559824358</v>
      </c>
      <c r="AL4342">
        <v>89.642818438285801</v>
      </c>
      <c r="AM4342">
        <v>87.8254987217083</v>
      </c>
      <c r="AN4342">
        <v>1.0000000158625399</v>
      </c>
    </row>
    <row r="4343" spans="1:40" x14ac:dyDescent="0.25">
      <c r="A4343" t="str">
        <f>"20190312160730315"</f>
        <v>20190312160730315</v>
      </c>
      <c r="B4343" t="str">
        <f>"1552378050309567"</f>
        <v>1552378050309567</v>
      </c>
      <c r="C4343" t="s">
        <v>40</v>
      </c>
      <c r="D4343">
        <v>6.4779429999999998</v>
      </c>
      <c r="E4343">
        <v>0.54441619999999902</v>
      </c>
      <c r="F4343" t="s">
        <v>47</v>
      </c>
      <c r="G4343">
        <v>-194.79740000000001</v>
      </c>
      <c r="H4343" s="1">
        <v>-1.3657779999999999E-6</v>
      </c>
      <c r="I4343">
        <v>109.79730000000001</v>
      </c>
      <c r="J4343">
        <v>-189.16569999999999</v>
      </c>
      <c r="K4343">
        <v>1.1092329999999999</v>
      </c>
      <c r="L4343">
        <v>198.18360000000001</v>
      </c>
      <c r="M4343">
        <v>0.13007579999999999</v>
      </c>
      <c r="N4343">
        <v>0</v>
      </c>
      <c r="O4343">
        <v>-0.99141469999999998</v>
      </c>
      <c r="P4343">
        <v>9.2471410000000004E-2</v>
      </c>
      <c r="Q4343">
        <v>-6.911749E-3</v>
      </c>
      <c r="R4343">
        <v>-0.99569169999999996</v>
      </c>
      <c r="S4343">
        <v>-0.19285579999999999</v>
      </c>
      <c r="T4343">
        <v>-3.8021560000000003E-2</v>
      </c>
      <c r="U4343">
        <v>-3.0321039999999999</v>
      </c>
      <c r="V4343">
        <v>3.7853669999999999E-2</v>
      </c>
      <c r="W4343">
        <v>6.330273E-3</v>
      </c>
      <c r="X4343">
        <v>0.99926320000000002</v>
      </c>
      <c r="Y4343">
        <v>0.19275700000000001</v>
      </c>
      <c r="Z4343">
        <v>1.224869E-2</v>
      </c>
      <c r="AA4343">
        <v>0.98117010000000004</v>
      </c>
      <c r="AB4343">
        <v>9</v>
      </c>
      <c r="AC4343">
        <v>-5.6317000000000199</v>
      </c>
      <c r="AD4343">
        <v>-1.1092343657779999</v>
      </c>
      <c r="AE4343">
        <v>-88.386300000000006</v>
      </c>
      <c r="AF4343">
        <v>17.079103121625199</v>
      </c>
      <c r="AG4343">
        <v>-1.1092343657779999</v>
      </c>
      <c r="AH4343">
        <v>86.888998649264906</v>
      </c>
      <c r="AI4343">
        <v>90.717672989152007</v>
      </c>
      <c r="AJ4343">
        <v>78.879581139229501</v>
      </c>
      <c r="AK4343">
        <v>88.558592189517597</v>
      </c>
      <c r="AL4343">
        <v>89.637299636217705</v>
      </c>
      <c r="AM4343">
        <v>87.8305825969952</v>
      </c>
      <c r="AN4343">
        <v>0.99999995778147999</v>
      </c>
    </row>
    <row r="4344" spans="1:40" x14ac:dyDescent="0.25">
      <c r="A4344" t="str">
        <f>"20190312160730332"</f>
        <v>20190312160730332</v>
      </c>
      <c r="B4344" t="str">
        <f>"1552378050319326"</f>
        <v>1552378050319326</v>
      </c>
      <c r="C4344" t="s">
        <v>40</v>
      </c>
      <c r="D4344">
        <v>6.479527</v>
      </c>
      <c r="E4344">
        <v>0.54623290000000002</v>
      </c>
      <c r="F4344" t="s">
        <v>47</v>
      </c>
      <c r="G4344">
        <v>-189.8049</v>
      </c>
      <c r="H4344" s="1">
        <v>-1.8676450000000001E-6</v>
      </c>
      <c r="I4344">
        <v>173.90559999999999</v>
      </c>
      <c r="J4344">
        <v>-189.1601</v>
      </c>
      <c r="K4344">
        <v>1.109253</v>
      </c>
      <c r="L4344">
        <v>198.11279999999999</v>
      </c>
      <c r="M4344">
        <v>0.12696350000000001</v>
      </c>
      <c r="N4344">
        <v>0</v>
      </c>
      <c r="O4344">
        <v>-0.99181810000000004</v>
      </c>
      <c r="P4344">
        <v>9.0273740000000005E-2</v>
      </c>
      <c r="Q4344">
        <v>-6.7971759999999899E-3</v>
      </c>
      <c r="R4344">
        <v>-0.99589380000000005</v>
      </c>
      <c r="S4344">
        <v>-7.9498289999999999E-2</v>
      </c>
      <c r="T4344">
        <v>-0.13795279999999999</v>
      </c>
      <c r="U4344">
        <v>-3.0193940000000001</v>
      </c>
      <c r="V4344">
        <v>3.6922629999999998E-2</v>
      </c>
      <c r="W4344">
        <v>6.4389900000000003E-3</v>
      </c>
      <c r="X4344">
        <v>0.9992974</v>
      </c>
      <c r="Y4344">
        <v>0.15301039999999999</v>
      </c>
      <c r="Z4344">
        <v>4.4810540000000003E-2</v>
      </c>
      <c r="AA4344">
        <v>0.98720810000000003</v>
      </c>
      <c r="AB4344">
        <v>9</v>
      </c>
      <c r="AC4344">
        <v>-0.64480000000000304</v>
      </c>
      <c r="AD4344">
        <v>-1.109254867645</v>
      </c>
      <c r="AE4344">
        <v>-24.2072</v>
      </c>
      <c r="AF4344">
        <v>3.7055087899744099</v>
      </c>
      <c r="AG4344">
        <v>-1.109254867645</v>
      </c>
      <c r="AH4344">
        <v>23.879286728292499</v>
      </c>
      <c r="AI4344">
        <v>92.628215470975704</v>
      </c>
      <c r="AJ4344">
        <v>81.179380928660706</v>
      </c>
      <c r="AK4344">
        <v>24.190526583891799</v>
      </c>
      <c r="AL4344">
        <v>89.6310705057316</v>
      </c>
      <c r="AM4344">
        <v>87.883964315295501</v>
      </c>
      <c r="AN4344">
        <v>1.0000000174225401</v>
      </c>
    </row>
    <row r="4345" spans="1:40" x14ac:dyDescent="0.25">
      <c r="A4345" t="str">
        <f>"20190312160730356"</f>
        <v>20190312160730356</v>
      </c>
      <c r="B4345" t="str">
        <f>"1552378050349582"</f>
        <v>1552378050349582</v>
      </c>
      <c r="C4345" t="s">
        <v>40</v>
      </c>
      <c r="D4345">
        <v>6.49939</v>
      </c>
      <c r="E4345">
        <v>0.54836090000000004</v>
      </c>
      <c r="F4345" t="s">
        <v>47</v>
      </c>
      <c r="G4345">
        <v>-189.86859999999999</v>
      </c>
      <c r="H4345" s="1">
        <v>-3.1885649999999999E-6</v>
      </c>
      <c r="I4345">
        <v>177.0111</v>
      </c>
      <c r="J4345">
        <v>-189.15270000000001</v>
      </c>
      <c r="K4345">
        <v>1.1092759999999999</v>
      </c>
      <c r="L4345">
        <v>198.01519999999999</v>
      </c>
      <c r="M4345">
        <v>0.1227509</v>
      </c>
      <c r="N4345">
        <v>0</v>
      </c>
      <c r="O4345">
        <v>-0.99234860000000003</v>
      </c>
      <c r="P4345">
        <v>8.6722969999999996E-2</v>
      </c>
      <c r="Q4345">
        <v>-6.7172469999999904E-3</v>
      </c>
      <c r="R4345">
        <v>-0.99621000000000004</v>
      </c>
      <c r="S4345">
        <v>-0.1014099</v>
      </c>
      <c r="T4345">
        <v>-0.15877659999999999</v>
      </c>
      <c r="U4345">
        <v>-3.0204620000000002</v>
      </c>
      <c r="V4345">
        <v>3.6241540000000003E-2</v>
      </c>
      <c r="W4345">
        <v>6.5086060000000001E-3</v>
      </c>
      <c r="X4345">
        <v>0.99932189999999999</v>
      </c>
      <c r="Y4345">
        <v>0.15594820000000001</v>
      </c>
      <c r="Z4345">
        <v>5.1563110000000002E-2</v>
      </c>
      <c r="AA4345">
        <v>0.98641849999999998</v>
      </c>
      <c r="AB4345">
        <v>9</v>
      </c>
      <c r="AC4345">
        <v>-0.715899999999976</v>
      </c>
      <c r="AD4345">
        <v>-1.109279188565</v>
      </c>
      <c r="AE4345">
        <v>-21.004099999999902</v>
      </c>
      <c r="AF4345">
        <v>3.2798473549587399</v>
      </c>
      <c r="AG4345">
        <v>-1.109279188565</v>
      </c>
      <c r="AH4345">
        <v>20.699675757989901</v>
      </c>
      <c r="AI4345">
        <v>93.029775657712904</v>
      </c>
      <c r="AJ4345">
        <v>80.996379596127497</v>
      </c>
      <c r="AK4345">
        <v>20.987245542851198</v>
      </c>
      <c r="AL4345">
        <v>89.627081725967898</v>
      </c>
      <c r="AM4345">
        <v>87.923013947387602</v>
      </c>
      <c r="AN4345">
        <v>1.0000000354966201</v>
      </c>
    </row>
    <row r="4346" spans="1:40" x14ac:dyDescent="0.25">
      <c r="A4346" t="str">
        <f>"20190312160730378"</f>
        <v>20190312160730378</v>
      </c>
      <c r="B4346" t="str">
        <f>"1552378050370082"</f>
        <v>1552378050370082</v>
      </c>
      <c r="C4346" t="s">
        <v>40</v>
      </c>
      <c r="D4346">
        <v>6.4839449999999896</v>
      </c>
      <c r="E4346">
        <v>0.54845919999999904</v>
      </c>
      <c r="F4346" t="s">
        <v>47</v>
      </c>
      <c r="G4346">
        <v>-189.9049</v>
      </c>
      <c r="H4346" s="1">
        <v>-4.2647570000000001E-7</v>
      </c>
      <c r="I4346">
        <v>180.58760000000001</v>
      </c>
      <c r="J4346">
        <v>-189.14590000000001</v>
      </c>
      <c r="K4346">
        <v>1.109294</v>
      </c>
      <c r="L4346">
        <v>197.9221</v>
      </c>
      <c r="M4346">
        <v>0.1188386</v>
      </c>
      <c r="N4346">
        <v>0</v>
      </c>
      <c r="O4346">
        <v>-0.99282479999999995</v>
      </c>
      <c r="P4346">
        <v>8.3740560000000006E-2</v>
      </c>
      <c r="Q4346">
        <v>-6.6863749999999996E-3</v>
      </c>
      <c r="R4346">
        <v>-0.9964655</v>
      </c>
      <c r="S4346">
        <v>-0.130416899999999</v>
      </c>
      <c r="T4346">
        <v>-0.1923194</v>
      </c>
      <c r="U4346">
        <v>-3.0214840000000001</v>
      </c>
      <c r="V4346">
        <v>3.5293749999999999E-2</v>
      </c>
      <c r="W4346">
        <v>6.531495E-3</v>
      </c>
      <c r="X4346">
        <v>0.99935560000000001</v>
      </c>
      <c r="Y4346">
        <v>0.16146969999999999</v>
      </c>
      <c r="Z4346">
        <v>6.2400749999999998E-2</v>
      </c>
      <c r="AA4346">
        <v>0.98490290000000003</v>
      </c>
      <c r="AB4346">
        <v>9</v>
      </c>
      <c r="AC4346">
        <v>-0.75899999999998602</v>
      </c>
      <c r="AD4346">
        <v>-1.1092944264757001</v>
      </c>
      <c r="AE4346">
        <v>-17.334499999999899</v>
      </c>
      <c r="AF4346">
        <v>2.8023556491644999</v>
      </c>
      <c r="AG4346">
        <v>-1.1092944264757001</v>
      </c>
      <c r="AH4346">
        <v>17.051736356860999</v>
      </c>
      <c r="AI4346">
        <v>93.672977212160006</v>
      </c>
      <c r="AJ4346">
        <v>80.667191975546302</v>
      </c>
      <c r="AK4346">
        <v>17.3160458561679</v>
      </c>
      <c r="AL4346">
        <v>89.625770227623306</v>
      </c>
      <c r="AM4346">
        <v>87.9773537864031</v>
      </c>
      <c r="AN4346">
        <v>0.99999996223367804</v>
      </c>
    </row>
    <row r="4347" spans="1:40" x14ac:dyDescent="0.25">
      <c r="A4347" t="str">
        <f>"20190312160730399"</f>
        <v>20190312160730399</v>
      </c>
      <c r="B4347" t="str">
        <f>"1552378050389602"</f>
        <v>1552378050389602</v>
      </c>
      <c r="C4347" t="s">
        <v>40</v>
      </c>
      <c r="D4347">
        <v>6.4906739999999896</v>
      </c>
      <c r="E4347">
        <v>0.54859360000000001</v>
      </c>
      <c r="F4347" t="s">
        <v>47</v>
      </c>
      <c r="G4347">
        <v>-189.9196</v>
      </c>
      <c r="H4347" s="1">
        <v>-7.1889670000000001E-7</v>
      </c>
      <c r="I4347">
        <v>181.27529999999999</v>
      </c>
      <c r="J4347">
        <v>-189.13990000000001</v>
      </c>
      <c r="K4347">
        <v>1.10931</v>
      </c>
      <c r="L4347">
        <v>197.8365</v>
      </c>
      <c r="M4347">
        <v>0.1153093</v>
      </c>
      <c r="N4347">
        <v>0</v>
      </c>
      <c r="O4347">
        <v>-0.99324089999999998</v>
      </c>
      <c r="P4347">
        <v>8.0695589999999998E-2</v>
      </c>
      <c r="Q4347">
        <v>-6.8867800000000003E-3</v>
      </c>
      <c r="R4347">
        <v>-0.99671489999999996</v>
      </c>
      <c r="S4347">
        <v>-0.14041139999999999</v>
      </c>
      <c r="T4347">
        <v>-0.2013162</v>
      </c>
      <c r="U4347">
        <v>-3.0210880000000002</v>
      </c>
      <c r="V4347">
        <v>3.4794510000000001E-2</v>
      </c>
      <c r="W4347">
        <v>6.3235969999999898E-3</v>
      </c>
      <c r="X4347">
        <v>0.99937450000000005</v>
      </c>
      <c r="Y4347">
        <v>0.16121070000000001</v>
      </c>
      <c r="Z4347">
        <v>6.5353910000000001E-2</v>
      </c>
      <c r="AA4347">
        <v>0.98475380000000001</v>
      </c>
      <c r="AB4347">
        <v>9</v>
      </c>
      <c r="AC4347">
        <v>-0.77969999999999096</v>
      </c>
      <c r="AD4347">
        <v>-1.1093107188967</v>
      </c>
      <c r="AE4347">
        <v>-16.561199999999999</v>
      </c>
      <c r="AF4347">
        <v>2.6723634562888501</v>
      </c>
      <c r="AG4347">
        <v>-1.1093107188967</v>
      </c>
      <c r="AH4347">
        <v>16.287880133780799</v>
      </c>
      <c r="AI4347">
        <v>93.844948530918003</v>
      </c>
      <c r="AJ4347">
        <v>80.682457923694301</v>
      </c>
      <c r="AK4347">
        <v>16.542887775898699</v>
      </c>
      <c r="AL4347">
        <v>89.637682172523697</v>
      </c>
      <c r="AM4347">
        <v>88.005979102642897</v>
      </c>
      <c r="AN4347">
        <v>1.0000000185277</v>
      </c>
    </row>
    <row r="4348" spans="1:40" x14ac:dyDescent="0.25">
      <c r="A4348" t="str">
        <f>"20190312160730412"</f>
        <v>20190312160730412</v>
      </c>
      <c r="B4348" t="str">
        <f>"1552378050399360"</f>
        <v>1552378050399360</v>
      </c>
      <c r="C4348" t="s">
        <v>40</v>
      </c>
      <c r="D4348">
        <v>6.395022</v>
      </c>
      <c r="E4348">
        <v>0.54859360000000001</v>
      </c>
      <c r="F4348" t="s">
        <v>47</v>
      </c>
      <c r="G4348">
        <v>-189.9478</v>
      </c>
      <c r="H4348" s="1">
        <v>-8.7626280000000003E-7</v>
      </c>
      <c r="I4348">
        <v>181.65379999999999</v>
      </c>
      <c r="J4348">
        <v>-189.13630000000001</v>
      </c>
      <c r="K4348">
        <v>1.1093189999999999</v>
      </c>
      <c r="L4348">
        <v>197.78370000000001</v>
      </c>
      <c r="M4348">
        <v>0.1131588</v>
      </c>
      <c r="N4348">
        <v>0</v>
      </c>
      <c r="O4348">
        <v>-0.99348840000000005</v>
      </c>
      <c r="P4348">
        <v>7.8626280000000007E-2</v>
      </c>
      <c r="Q4348">
        <v>-7.2702019999999999E-3</v>
      </c>
      <c r="R4348">
        <v>-0.99687789999999998</v>
      </c>
      <c r="S4348">
        <v>-0.15080260000000001</v>
      </c>
      <c r="T4348">
        <v>-0.2070621</v>
      </c>
      <c r="U4348">
        <v>-3.020645</v>
      </c>
      <c r="V4348">
        <v>3.4704529999999997E-2</v>
      </c>
      <c r="W4348">
        <v>5.9349829999999996E-3</v>
      </c>
      <c r="X4348">
        <v>0.99938000000000005</v>
      </c>
      <c r="Y4348">
        <v>0.1624543</v>
      </c>
      <c r="Z4348">
        <v>6.7233260000000003E-2</v>
      </c>
      <c r="AA4348">
        <v>0.98442280000000004</v>
      </c>
      <c r="AB4348">
        <v>9</v>
      </c>
      <c r="AC4348">
        <v>-0.811499999999995</v>
      </c>
      <c r="AD4348">
        <v>-1.1093198762628</v>
      </c>
      <c r="AE4348">
        <v>-16.129899999999999</v>
      </c>
      <c r="AF4348">
        <v>2.6193295734809698</v>
      </c>
      <c r="AG4348">
        <v>-1.1093198762628</v>
      </c>
      <c r="AH4348">
        <v>15.8596168396884</v>
      </c>
      <c r="AI4348">
        <v>93.947798189212506</v>
      </c>
      <c r="AJ4348">
        <v>80.621848126779497</v>
      </c>
      <c r="AK4348">
        <v>16.112694507875201</v>
      </c>
      <c r="AL4348">
        <v>89.659948528448695</v>
      </c>
      <c r="AM4348">
        <v>88.011142510869604</v>
      </c>
      <c r="AN4348">
        <v>1.00000000641286</v>
      </c>
    </row>
    <row r="4349" spans="1:40" x14ac:dyDescent="0.25">
      <c r="A4349" t="str">
        <f>"20190312160730424"</f>
        <v>20190312160730424</v>
      </c>
      <c r="B4349" t="str">
        <f>"1552378050419854"</f>
        <v>1552378050419854</v>
      </c>
      <c r="C4349" t="s">
        <v>40</v>
      </c>
      <c r="D4349">
        <v>6.498132</v>
      </c>
      <c r="E4349">
        <v>0.5486084</v>
      </c>
      <c r="F4349" t="s">
        <v>47</v>
      </c>
      <c r="G4349">
        <v>-189.97380000000001</v>
      </c>
      <c r="H4349" s="1">
        <v>-8.9606370000000002E-7</v>
      </c>
      <c r="I4349">
        <v>181.69409999999999</v>
      </c>
      <c r="J4349">
        <v>-189.13290000000001</v>
      </c>
      <c r="K4349">
        <v>1.1093249999999999</v>
      </c>
      <c r="L4349">
        <v>197.73230000000001</v>
      </c>
      <c r="M4349">
        <v>0.1111019</v>
      </c>
      <c r="N4349">
        <v>0</v>
      </c>
      <c r="O4349">
        <v>-0.99372050000000001</v>
      </c>
      <c r="P4349">
        <v>7.6958949999999998E-2</v>
      </c>
      <c r="Q4349">
        <v>-7.48159699999999E-3</v>
      </c>
      <c r="R4349">
        <v>-0.99700639999999996</v>
      </c>
      <c r="S4349">
        <v>-0.157211299999999</v>
      </c>
      <c r="T4349">
        <v>-0.20823759999999999</v>
      </c>
      <c r="U4349">
        <v>-3.0202789999999999</v>
      </c>
      <c r="V4349">
        <v>3.4306410000000002E-2</v>
      </c>
      <c r="W4349">
        <v>5.719933E-3</v>
      </c>
      <c r="X4349">
        <v>0.99939500000000003</v>
      </c>
      <c r="Y4349">
        <v>0.16249959999999999</v>
      </c>
      <c r="Z4349">
        <v>6.7641320000000005E-2</v>
      </c>
      <c r="AA4349">
        <v>0.98438740000000002</v>
      </c>
      <c r="AB4349">
        <v>9</v>
      </c>
      <c r="AC4349">
        <v>-0.84090000000000398</v>
      </c>
      <c r="AD4349">
        <v>-1.10932589606369</v>
      </c>
      <c r="AE4349">
        <v>-16.0382</v>
      </c>
      <c r="AF4349">
        <v>2.6052943331741498</v>
      </c>
      <c r="AG4349">
        <v>-1.10932589606369</v>
      </c>
      <c r="AH4349">
        <v>15.7702158535806</v>
      </c>
      <c r="AI4349">
        <v>93.970098820028298</v>
      </c>
      <c r="AJ4349">
        <v>80.619266450198594</v>
      </c>
      <c r="AK4349">
        <v>16.0224177505978</v>
      </c>
      <c r="AL4349">
        <v>89.672270195095194</v>
      </c>
      <c r="AM4349">
        <v>88.033969566144705</v>
      </c>
      <c r="AN4349">
        <v>1.0000000067128001</v>
      </c>
    </row>
    <row r="4350" spans="1:40" x14ac:dyDescent="0.25">
      <c r="A4350" t="str">
        <f>"20190312160730437"</f>
        <v>20190312160730437</v>
      </c>
      <c r="B4350" t="str">
        <f>"1552378050429614"</f>
        <v>1552378050429614</v>
      </c>
      <c r="C4350" t="s">
        <v>40</v>
      </c>
      <c r="D4350">
        <v>6.4031690000000001</v>
      </c>
      <c r="E4350">
        <v>0.54762369999999905</v>
      </c>
      <c r="F4350" t="s">
        <v>47</v>
      </c>
      <c r="G4350">
        <v>-189.988</v>
      </c>
      <c r="H4350" s="1">
        <v>-9.619198000000001E-7</v>
      </c>
      <c r="I4350">
        <v>181.83879999999999</v>
      </c>
      <c r="J4350">
        <v>-189.1294</v>
      </c>
      <c r="K4350">
        <v>1.1093379999999999</v>
      </c>
      <c r="L4350">
        <v>197.6781</v>
      </c>
      <c r="M4350">
        <v>0.1089542</v>
      </c>
      <c r="N4350">
        <v>0</v>
      </c>
      <c r="O4350">
        <v>-0.99395849999999997</v>
      </c>
      <c r="P4350">
        <v>7.5192499999999995E-2</v>
      </c>
      <c r="Q4350">
        <v>-7.61597199999999E-3</v>
      </c>
      <c r="R4350">
        <v>-0.99714020000000003</v>
      </c>
      <c r="S4350">
        <v>-0.1624756</v>
      </c>
      <c r="T4350">
        <v>-0.21078559999999999</v>
      </c>
      <c r="U4350">
        <v>-3.0199579999999999</v>
      </c>
      <c r="V4350">
        <v>3.3916759999999997E-2</v>
      </c>
      <c r="W4350">
        <v>5.5811760000000002E-3</v>
      </c>
      <c r="X4350">
        <v>0.99940910000000005</v>
      </c>
      <c r="Y4350">
        <v>0.1620808</v>
      </c>
      <c r="Z4350">
        <v>6.8496290000000001E-2</v>
      </c>
      <c r="AA4350">
        <v>0.98439730000000003</v>
      </c>
      <c r="AB4350">
        <v>9</v>
      </c>
      <c r="AC4350">
        <v>-0.85859999999999503</v>
      </c>
      <c r="AD4350">
        <v>-1.1093389619198</v>
      </c>
      <c r="AE4350">
        <v>-15.8393</v>
      </c>
      <c r="AF4350">
        <v>2.5668433706959899</v>
      </c>
      <c r="AG4350">
        <v>-1.1093389619198</v>
      </c>
      <c r="AH4350">
        <v>15.575256245140601</v>
      </c>
      <c r="AI4350">
        <v>94.019936854696297</v>
      </c>
      <c r="AJ4350">
        <v>80.641623367519003</v>
      </c>
      <c r="AK4350">
        <v>15.824282761752899</v>
      </c>
      <c r="AL4350">
        <v>89.680220517544996</v>
      </c>
      <c r="AM4350">
        <v>88.056309788274902</v>
      </c>
      <c r="AN4350">
        <v>1.0000000226486201</v>
      </c>
    </row>
    <row r="4351" spans="1:40" x14ac:dyDescent="0.25">
      <c r="A4351" t="str">
        <f>"20190312160730455"</f>
        <v>20190312160730455</v>
      </c>
      <c r="B4351" t="str">
        <f>"1552378050450110"</f>
        <v>1552378050450110</v>
      </c>
      <c r="C4351" t="s">
        <v>40</v>
      </c>
      <c r="D4351">
        <v>6.1146690000000001</v>
      </c>
      <c r="E4351">
        <v>0.5461454</v>
      </c>
      <c r="F4351" t="s">
        <v>47</v>
      </c>
      <c r="G4351">
        <v>-189.93960000000001</v>
      </c>
      <c r="H4351" s="1">
        <v>-1.2005880000000001E-6</v>
      </c>
      <c r="I4351">
        <v>182.40639999999999</v>
      </c>
      <c r="J4351">
        <v>-189.12479999999999</v>
      </c>
      <c r="K4351">
        <v>1.1093569999999999</v>
      </c>
      <c r="L4351">
        <v>197.6061</v>
      </c>
      <c r="M4351">
        <v>0.1061473</v>
      </c>
      <c r="N4351">
        <v>0</v>
      </c>
      <c r="O4351">
        <v>-0.99426239999999999</v>
      </c>
      <c r="P4351">
        <v>7.2825829999999994E-2</v>
      </c>
      <c r="Q4351">
        <v>-7.666824E-3</v>
      </c>
      <c r="R4351">
        <v>-0.99731559999999997</v>
      </c>
      <c r="S4351">
        <v>-0.16017149999999999</v>
      </c>
      <c r="T4351">
        <v>-0.21930040000000001</v>
      </c>
      <c r="U4351">
        <v>-3.0189970000000002</v>
      </c>
      <c r="V4351">
        <v>3.3466290000000003E-2</v>
      </c>
      <c r="W4351">
        <v>5.5210950000000002E-3</v>
      </c>
      <c r="X4351">
        <v>0.9994246</v>
      </c>
      <c r="Y4351">
        <v>0.15855079999999999</v>
      </c>
      <c r="Z4351">
        <v>7.1326780000000006E-2</v>
      </c>
      <c r="AA4351">
        <v>0.98477110000000001</v>
      </c>
      <c r="AB4351">
        <v>9</v>
      </c>
      <c r="AC4351">
        <v>-0.81480000000001895</v>
      </c>
      <c r="AD4351">
        <v>-1.1093582005879901</v>
      </c>
      <c r="AE4351">
        <v>-15.1997</v>
      </c>
      <c r="AF4351">
        <v>2.41093824522595</v>
      </c>
      <c r="AG4351">
        <v>-1.1093582005879901</v>
      </c>
      <c r="AH4351">
        <v>14.9479188304978</v>
      </c>
      <c r="AI4351">
        <v>94.190459870918701</v>
      </c>
      <c r="AJ4351">
        <v>80.837714240214893</v>
      </c>
      <c r="AK4351">
        <v>15.181685552093899</v>
      </c>
      <c r="AL4351">
        <v>89.683662952043207</v>
      </c>
      <c r="AM4351">
        <v>88.082135483932305</v>
      </c>
      <c r="AN4351">
        <v>1.0000000030707601</v>
      </c>
    </row>
    <row r="4352" spans="1:40" x14ac:dyDescent="0.25">
      <c r="A4352" t="str">
        <f>"20190312160730467"</f>
        <v>20190312160730467</v>
      </c>
      <c r="B4352" t="str">
        <f>"1552378050459870"</f>
        <v>1552378050459870</v>
      </c>
      <c r="C4352" t="s">
        <v>40</v>
      </c>
      <c r="D4352">
        <v>6.5509240000000002</v>
      </c>
      <c r="E4352">
        <v>0.5452574</v>
      </c>
      <c r="F4352" t="s">
        <v>47</v>
      </c>
      <c r="G4352">
        <v>-189.9264</v>
      </c>
      <c r="H4352" s="1">
        <v>-1.0440850000000001E-6</v>
      </c>
      <c r="I4352">
        <v>182.0361</v>
      </c>
      <c r="J4352">
        <v>-189.1216</v>
      </c>
      <c r="K4352">
        <v>1.109369</v>
      </c>
      <c r="L4352">
        <v>197.5521</v>
      </c>
      <c r="M4352">
        <v>0.10409210000000001</v>
      </c>
      <c r="N4352">
        <v>0</v>
      </c>
      <c r="O4352">
        <v>-0.99447960000000002</v>
      </c>
      <c r="P4352">
        <v>7.0843600000000007E-2</v>
      </c>
      <c r="Q4352">
        <v>-7.3658389999999999E-3</v>
      </c>
      <c r="R4352">
        <v>-0.99746040000000002</v>
      </c>
      <c r="S4352">
        <v>-0.155365</v>
      </c>
      <c r="T4352">
        <v>-0.2150156</v>
      </c>
      <c r="U4352">
        <v>-3.0177610000000001</v>
      </c>
      <c r="V4352">
        <v>3.3387310000000003E-2</v>
      </c>
      <c r="W4352">
        <v>5.811961E-3</v>
      </c>
      <c r="X4352">
        <v>0.99942560000000003</v>
      </c>
      <c r="Y4352">
        <v>0.1549711</v>
      </c>
      <c r="Z4352">
        <v>7.0014960000000001E-2</v>
      </c>
      <c r="AA4352">
        <v>0.9854349</v>
      </c>
      <c r="AB4352">
        <v>9</v>
      </c>
      <c r="AC4352">
        <v>-0.80479999999999996</v>
      </c>
      <c r="AD4352">
        <v>-1.1093700440850001</v>
      </c>
      <c r="AE4352">
        <v>-15.515999999999901</v>
      </c>
      <c r="AF4352">
        <v>2.4034084505817499</v>
      </c>
      <c r="AG4352">
        <v>-1.1093700440850001</v>
      </c>
      <c r="AH4352">
        <v>15.2700648142908</v>
      </c>
      <c r="AI4352">
        <v>94.104880038676598</v>
      </c>
      <c r="AJ4352">
        <v>81.055397553179503</v>
      </c>
      <c r="AK4352">
        <v>15.497804796411801</v>
      </c>
      <c r="AL4352">
        <v>89.666997292789404</v>
      </c>
      <c r="AM4352">
        <v>88.086660163587098</v>
      </c>
      <c r="AN4352">
        <v>1.00000001064753</v>
      </c>
    </row>
    <row r="4353" spans="1:40" x14ac:dyDescent="0.25">
      <c r="A4353" t="str">
        <f>"20190312160730480"</f>
        <v>20190312160730480</v>
      </c>
      <c r="B4353" t="str">
        <f>"1552378050469630"</f>
        <v>1552378050469630</v>
      </c>
      <c r="C4353" t="s">
        <v>40</v>
      </c>
      <c r="D4353">
        <v>6.434501</v>
      </c>
      <c r="E4353">
        <v>0.54449340000000002</v>
      </c>
      <c r="F4353" t="s">
        <v>47</v>
      </c>
      <c r="G4353">
        <v>-189.9315</v>
      </c>
      <c r="H4353" s="1">
        <v>-8.9699780000000001E-7</v>
      </c>
      <c r="I4353">
        <v>181.69540000000001</v>
      </c>
      <c r="J4353">
        <v>-189.11869999999999</v>
      </c>
      <c r="K4353">
        <v>1.109381</v>
      </c>
      <c r="L4353">
        <v>197.5043</v>
      </c>
      <c r="M4353">
        <v>0.1022906</v>
      </c>
      <c r="N4353">
        <v>0</v>
      </c>
      <c r="O4353">
        <v>-0.99466659999999996</v>
      </c>
      <c r="P4353">
        <v>6.9019819999999996E-2</v>
      </c>
      <c r="Q4353">
        <v>-7.5261089999999996E-3</v>
      </c>
      <c r="R4353">
        <v>-0.99758690000000005</v>
      </c>
      <c r="S4353">
        <v>-0.1541138</v>
      </c>
      <c r="T4353">
        <v>-0.21107529999999999</v>
      </c>
      <c r="U4353">
        <v>-3.0169980000000001</v>
      </c>
      <c r="V4353">
        <v>3.3403719999999998E-2</v>
      </c>
      <c r="W4353">
        <v>5.6412559999999999E-3</v>
      </c>
      <c r="X4353">
        <v>0.99942600000000004</v>
      </c>
      <c r="Y4353">
        <v>0.15279110000000001</v>
      </c>
      <c r="Z4353">
        <v>6.8787609999999999E-2</v>
      </c>
      <c r="AA4353">
        <v>0.9858616</v>
      </c>
      <c r="AB4353">
        <v>9</v>
      </c>
      <c r="AC4353">
        <v>-0.81280000000000996</v>
      </c>
      <c r="AD4353">
        <v>-1.1093818969978</v>
      </c>
      <c r="AE4353">
        <v>-15.8088999999999</v>
      </c>
      <c r="AF4353">
        <v>2.4139231947534299</v>
      </c>
      <c r="AG4353">
        <v>-1.1093818969978</v>
      </c>
      <c r="AH4353">
        <v>15.5663578763112</v>
      </c>
      <c r="AI4353">
        <v>94.028470044793494</v>
      </c>
      <c r="AJ4353">
        <v>81.185177637035693</v>
      </c>
      <c r="AK4353">
        <v>15.7914296666562</v>
      </c>
      <c r="AL4353">
        <v>89.676778119494401</v>
      </c>
      <c r="AM4353">
        <v>88.085721214283794</v>
      </c>
      <c r="AN4353">
        <v>0.99999998087754705</v>
      </c>
    </row>
    <row r="4354" spans="1:40" x14ac:dyDescent="0.25">
      <c r="A4354" t="str">
        <f>"20190312160730493"</f>
        <v>20190312160730493</v>
      </c>
      <c r="B4354" t="str">
        <f>"1552378050490126"</f>
        <v>1552378050490126</v>
      </c>
      <c r="C4354" t="s">
        <v>40</v>
      </c>
      <c r="D4354">
        <v>6.1529989999999897</v>
      </c>
      <c r="E4354">
        <v>0.54290419999999995</v>
      </c>
      <c r="F4354" t="s">
        <v>47</v>
      </c>
      <c r="G4354">
        <v>-189.9333</v>
      </c>
      <c r="H4354" s="1">
        <v>-8.137621E-7</v>
      </c>
      <c r="I4354">
        <v>181.50210000000001</v>
      </c>
      <c r="J4354">
        <v>-189.1156</v>
      </c>
      <c r="K4354">
        <v>1.109394</v>
      </c>
      <c r="L4354">
        <v>197.45179999999999</v>
      </c>
      <c r="M4354">
        <v>0.1003319</v>
      </c>
      <c r="N4354">
        <v>0</v>
      </c>
      <c r="O4354">
        <v>-0.99486629999999998</v>
      </c>
      <c r="P4354">
        <v>6.6954299999999994E-2</v>
      </c>
      <c r="Q4354">
        <v>-7.5750929999999998E-3</v>
      </c>
      <c r="R4354">
        <v>-0.99772729999999998</v>
      </c>
      <c r="S4354">
        <v>-0.1535492</v>
      </c>
      <c r="T4354">
        <v>-0.20911070000000001</v>
      </c>
      <c r="U4354">
        <v>-3.0163120000000001</v>
      </c>
      <c r="V4354">
        <v>3.3504630000000001E-2</v>
      </c>
      <c r="W4354">
        <v>5.5797440000000002E-3</v>
      </c>
      <c r="X4354">
        <v>0.99942299999999995</v>
      </c>
      <c r="Y4354">
        <v>0.15067439999999999</v>
      </c>
      <c r="Z4354">
        <v>6.8198110000000006E-2</v>
      </c>
      <c r="AA4354">
        <v>0.98622829999999995</v>
      </c>
      <c r="AB4354">
        <v>9</v>
      </c>
      <c r="AC4354">
        <v>-0.81770000000000198</v>
      </c>
      <c r="AD4354">
        <v>-1.1093948137620999</v>
      </c>
      <c r="AE4354">
        <v>-15.949699999999901</v>
      </c>
      <c r="AF4354">
        <v>2.4023842710203001</v>
      </c>
      <c r="AG4354">
        <v>-1.1093948137620999</v>
      </c>
      <c r="AH4354">
        <v>15.711343099250101</v>
      </c>
      <c r="AI4354">
        <v>93.992758280627996</v>
      </c>
      <c r="AJ4354">
        <v>81.306375151880403</v>
      </c>
      <c r="AK4354">
        <v>15.9326240469296</v>
      </c>
      <c r="AL4354">
        <v>89.680302563404794</v>
      </c>
      <c r="AM4354">
        <v>88.079936892076404</v>
      </c>
      <c r="AN4354">
        <v>1.0000000133517699</v>
      </c>
    </row>
    <row r="4355" spans="1:40" x14ac:dyDescent="0.25">
      <c r="A4355" t="str">
        <f>"20190312160730509"</f>
        <v>20190312160730509</v>
      </c>
      <c r="B4355" t="str">
        <f>"1552378050499886"</f>
        <v>1552378050499886</v>
      </c>
      <c r="C4355" t="s">
        <v>40</v>
      </c>
      <c r="D4355">
        <v>6.4178280000000001</v>
      </c>
      <c r="E4355">
        <v>0.54222139999999996</v>
      </c>
      <c r="F4355" t="s">
        <v>47</v>
      </c>
      <c r="G4355">
        <v>-189.90790000000001</v>
      </c>
      <c r="H4355" s="1">
        <v>-6.8601869999999899E-7</v>
      </c>
      <c r="I4355">
        <v>181.19380000000001</v>
      </c>
      <c r="J4355">
        <v>-189.11160000000001</v>
      </c>
      <c r="K4355">
        <v>1.1094090000000001</v>
      </c>
      <c r="L4355">
        <v>197.38310000000001</v>
      </c>
      <c r="M4355">
        <v>9.7828810000000002E-2</v>
      </c>
      <c r="N4355">
        <v>0</v>
      </c>
      <c r="O4355">
        <v>-0.99511590000000005</v>
      </c>
      <c r="P4355">
        <v>6.4109589999999994E-2</v>
      </c>
      <c r="Q4355">
        <v>-7.5008019999999896E-3</v>
      </c>
      <c r="R4355">
        <v>-0.997915</v>
      </c>
      <c r="S4355">
        <v>-0.1469269</v>
      </c>
      <c r="T4355">
        <v>-0.2057436</v>
      </c>
      <c r="U4355">
        <v>-3.0151370000000002</v>
      </c>
      <c r="V4355">
        <v>3.3839479999999998E-2</v>
      </c>
      <c r="W4355">
        <v>5.6345809999999996E-3</v>
      </c>
      <c r="X4355">
        <v>0.99941139999999995</v>
      </c>
      <c r="Y4355">
        <v>0.14604809999999999</v>
      </c>
      <c r="Z4355">
        <v>6.7183800000000002E-2</v>
      </c>
      <c r="AA4355">
        <v>0.98699360000000003</v>
      </c>
      <c r="AB4355">
        <v>9</v>
      </c>
      <c r="AC4355">
        <v>-0.79630000000000201</v>
      </c>
      <c r="AD4355">
        <v>-1.1094096860186999</v>
      </c>
      <c r="AE4355">
        <v>-16.189299999999999</v>
      </c>
      <c r="AF4355">
        <v>2.3653166347824999</v>
      </c>
      <c r="AG4355">
        <v>-1.1094096860186999</v>
      </c>
      <c r="AH4355">
        <v>15.958960360420001</v>
      </c>
      <c r="AI4355">
        <v>93.933765105155004</v>
      </c>
      <c r="AJ4355">
        <v>81.569425840336805</v>
      </c>
      <c r="AK4355">
        <v>16.171392284514798</v>
      </c>
      <c r="AL4355">
        <v>89.677160581947106</v>
      </c>
      <c r="AM4355">
        <v>88.060739598484005</v>
      </c>
      <c r="AN4355">
        <v>1.0000000026798299</v>
      </c>
    </row>
    <row r="4356" spans="1:40" x14ac:dyDescent="0.25">
      <c r="A4356" t="str">
        <f>"20190312160730526"</f>
        <v>20190312160730526</v>
      </c>
      <c r="B4356" t="str">
        <f>"1552378050519406"</f>
        <v>1552378050519406</v>
      </c>
      <c r="C4356" t="s">
        <v>40</v>
      </c>
      <c r="D4356">
        <v>6.3628470000000004</v>
      </c>
      <c r="E4356">
        <v>0.54162299999999997</v>
      </c>
      <c r="F4356" t="s">
        <v>47</v>
      </c>
      <c r="G4356">
        <v>-189.9323</v>
      </c>
      <c r="H4356" s="1">
        <v>-5.5037159999999995E-7</v>
      </c>
      <c r="I4356">
        <v>180.8877</v>
      </c>
      <c r="J4356">
        <v>-189.10810000000001</v>
      </c>
      <c r="K4356">
        <v>1.1094269999999999</v>
      </c>
      <c r="L4356">
        <v>197.3201</v>
      </c>
      <c r="M4356">
        <v>9.5581330000000006E-2</v>
      </c>
      <c r="N4356">
        <v>0</v>
      </c>
      <c r="O4356">
        <v>-0.99533439999999995</v>
      </c>
      <c r="P4356">
        <v>6.1471449999999997E-2</v>
      </c>
      <c r="Q4356">
        <v>-7.3392800000000001E-3</v>
      </c>
      <c r="R4356">
        <v>-0.99808180000000002</v>
      </c>
      <c r="S4356">
        <v>-0.1499634</v>
      </c>
      <c r="T4356">
        <v>-0.20273350000000001</v>
      </c>
      <c r="U4356">
        <v>-3.0143740000000001</v>
      </c>
      <c r="V4356">
        <v>3.4224400000000002E-2</v>
      </c>
      <c r="W4356">
        <v>5.7757219999999996E-3</v>
      </c>
      <c r="X4356">
        <v>0.99939750000000005</v>
      </c>
      <c r="Y4356">
        <v>0.14482120000000001</v>
      </c>
      <c r="Z4356">
        <v>6.6248390000000004E-2</v>
      </c>
      <c r="AA4356">
        <v>0.98723760000000005</v>
      </c>
      <c r="AB4356">
        <v>9</v>
      </c>
      <c r="AC4356">
        <v>-0.82419999999999005</v>
      </c>
      <c r="AD4356">
        <v>-1.1094275503716</v>
      </c>
      <c r="AE4356">
        <v>-16.432400000000001</v>
      </c>
      <c r="AF4356">
        <v>2.3803698368187498</v>
      </c>
      <c r="AG4356">
        <v>-1.1094275503716</v>
      </c>
      <c r="AH4356">
        <v>16.204688939232899</v>
      </c>
      <c r="AI4356">
        <v>93.875094127832597</v>
      </c>
      <c r="AJ4356">
        <v>81.643363902015906</v>
      </c>
      <c r="AK4356">
        <v>16.416118105900001</v>
      </c>
      <c r="AL4356">
        <v>89.669073671064893</v>
      </c>
      <c r="AM4356">
        <v>88.038670619477998</v>
      </c>
      <c r="AN4356">
        <v>1.0000000157631099</v>
      </c>
    </row>
    <row r="4357" spans="1:40" x14ac:dyDescent="0.25">
      <c r="A4357" t="str">
        <f>"20190312160730545"</f>
        <v>20190312160730545</v>
      </c>
      <c r="B4357" t="str">
        <f>"1552378050539902"</f>
        <v>1552378050539902</v>
      </c>
      <c r="C4357" t="s">
        <v>40</v>
      </c>
      <c r="D4357">
        <v>6.4709949999999896</v>
      </c>
      <c r="E4357">
        <v>0.54056700000000002</v>
      </c>
      <c r="F4357" t="s">
        <v>47</v>
      </c>
      <c r="G4357">
        <v>-189.94149999999999</v>
      </c>
      <c r="H4357" s="1">
        <v>-5.5859449999999999E-7</v>
      </c>
      <c r="I4357">
        <v>180.91069999999999</v>
      </c>
      <c r="J4357">
        <v>-189.10380000000001</v>
      </c>
      <c r="K4357">
        <v>1.109451</v>
      </c>
      <c r="L4357">
        <v>197.23990000000001</v>
      </c>
      <c r="M4357">
        <v>9.2788960000000004E-2</v>
      </c>
      <c r="N4357">
        <v>0</v>
      </c>
      <c r="O4357">
        <v>-0.99559929999999996</v>
      </c>
      <c r="P4357">
        <v>5.8843369999999999E-2</v>
      </c>
      <c r="Q4357">
        <v>-7.0938399999999997E-3</v>
      </c>
      <c r="R4357">
        <v>-0.99824230000000003</v>
      </c>
      <c r="S4357">
        <v>-0.15304570000000001</v>
      </c>
      <c r="T4357">
        <v>-0.2037506</v>
      </c>
      <c r="U4357">
        <v>-3.0136569999999998</v>
      </c>
      <c r="V4357">
        <v>3.405238E-2</v>
      </c>
      <c r="W4357">
        <v>5.9898180000000001E-3</v>
      </c>
      <c r="X4357">
        <v>0.99940209999999996</v>
      </c>
      <c r="Y4357">
        <v>0.1430631</v>
      </c>
      <c r="Z4357">
        <v>6.6628640000000003E-2</v>
      </c>
      <c r="AA4357">
        <v>0.98746820000000002</v>
      </c>
      <c r="AB4357">
        <v>9</v>
      </c>
      <c r="AC4357">
        <v>-0.83769999999998301</v>
      </c>
      <c r="AD4357">
        <v>-1.1094515585945</v>
      </c>
      <c r="AE4357">
        <v>-16.3292</v>
      </c>
      <c r="AF4357">
        <v>2.3386181121102099</v>
      </c>
      <c r="AG4357">
        <v>-1.1094515585945</v>
      </c>
      <c r="AH4357">
        <v>16.106846721542802</v>
      </c>
      <c r="AI4357">
        <v>93.899590236504494</v>
      </c>
      <c r="AJ4357">
        <v>81.738724456029601</v>
      </c>
      <c r="AK4357">
        <v>16.3135075549813</v>
      </c>
      <c r="AL4357">
        <v>89.656806656348294</v>
      </c>
      <c r="AM4357">
        <v>88.048530062632594</v>
      </c>
      <c r="AN4357">
        <v>0.99999999999387301</v>
      </c>
    </row>
    <row r="4358" spans="1:40" x14ac:dyDescent="0.25">
      <c r="A4358" t="str">
        <f>"20190312160730569"</f>
        <v>20190312160730569</v>
      </c>
      <c r="B4358" t="str">
        <f>"1552378050559423"</f>
        <v>1552378050559423</v>
      </c>
      <c r="C4358" t="s">
        <v>40</v>
      </c>
      <c r="D4358">
        <v>6.3922429999999997</v>
      </c>
      <c r="E4358">
        <v>0.53987439999999998</v>
      </c>
      <c r="F4358" t="s">
        <v>47</v>
      </c>
      <c r="G4358">
        <v>-189.96559999999999</v>
      </c>
      <c r="H4358" s="1">
        <v>-2.6030290000000001E-7</v>
      </c>
      <c r="I4358">
        <v>180.21719999999999</v>
      </c>
      <c r="J4358">
        <v>-189.09889999999999</v>
      </c>
      <c r="K4358">
        <v>1.1094710000000001</v>
      </c>
      <c r="L4358">
        <v>197.14789999999999</v>
      </c>
      <c r="M4358">
        <v>8.9679449999999994E-2</v>
      </c>
      <c r="N4358">
        <v>0</v>
      </c>
      <c r="O4358">
        <v>-0.99588469999999996</v>
      </c>
      <c r="P4358">
        <v>5.6616060000000003E-2</v>
      </c>
      <c r="Q4358">
        <v>-7.3980169999999998E-3</v>
      </c>
      <c r="R4358">
        <v>-0.99836860000000005</v>
      </c>
      <c r="S4358">
        <v>-0.15254210000000001</v>
      </c>
      <c r="T4358">
        <v>-0.1963637</v>
      </c>
      <c r="U4358">
        <v>-3.0128780000000002</v>
      </c>
      <c r="V4358">
        <v>3.316003E-2</v>
      </c>
      <c r="W4358">
        <v>5.6431629999999997E-3</v>
      </c>
      <c r="X4358">
        <v>0.99943409999999999</v>
      </c>
      <c r="Y4358">
        <v>0.1398279</v>
      </c>
      <c r="Z4358">
        <v>6.4283019999999996E-2</v>
      </c>
      <c r="AA4358">
        <v>0.98808689999999999</v>
      </c>
      <c r="AB4358">
        <v>9</v>
      </c>
      <c r="AC4358">
        <v>-0.86670000000000802</v>
      </c>
      <c r="AD4358">
        <v>-1.10947126030289</v>
      </c>
      <c r="AE4358">
        <v>-16.930700000000002</v>
      </c>
      <c r="AF4358">
        <v>2.3715159385422999</v>
      </c>
      <c r="AG4358">
        <v>-1.10947126030289</v>
      </c>
      <c r="AH4358">
        <v>16.7131552026298</v>
      </c>
      <c r="AI4358">
        <v>93.760342487570497</v>
      </c>
      <c r="AJ4358">
        <v>81.923919752535596</v>
      </c>
      <c r="AK4358">
        <v>16.916990605642301</v>
      </c>
      <c r="AL4358">
        <v>89.676668853305699</v>
      </c>
      <c r="AM4358">
        <v>88.099691556369805</v>
      </c>
      <c r="AN4358">
        <v>0.99999997656052697</v>
      </c>
    </row>
    <row r="4359" spans="1:40" x14ac:dyDescent="0.25">
      <c r="A4359" t="str">
        <f>"20190312160730589"</f>
        <v>20190312160730589</v>
      </c>
      <c r="B4359" t="str">
        <f>"1552378050579918"</f>
        <v>1552378050579918</v>
      </c>
      <c r="C4359" t="s">
        <v>40</v>
      </c>
      <c r="D4359">
        <v>6.5777070000000002</v>
      </c>
      <c r="E4359">
        <v>0.53969069999999997</v>
      </c>
      <c r="F4359" t="s">
        <v>47</v>
      </c>
      <c r="G4359">
        <v>-189.97300000000001</v>
      </c>
      <c r="H4359" s="1">
        <v>-1.931913E-7</v>
      </c>
      <c r="I4359">
        <v>180.05619999999999</v>
      </c>
      <c r="J4359">
        <v>-189.09450000000001</v>
      </c>
      <c r="K4359">
        <v>1.109486</v>
      </c>
      <c r="L4359">
        <v>197.0617</v>
      </c>
      <c r="M4359">
        <v>8.6857130000000005E-2</v>
      </c>
      <c r="N4359">
        <v>0</v>
      </c>
      <c r="O4359">
        <v>-0.99613560000000001</v>
      </c>
      <c r="P4359">
        <v>5.4407869999999997E-2</v>
      </c>
      <c r="Q4359">
        <v>-8.633155E-3</v>
      </c>
      <c r="R4359">
        <v>-0.99848170000000003</v>
      </c>
      <c r="S4359">
        <v>-0.15403749999999999</v>
      </c>
      <c r="T4359">
        <v>-0.19552839999999999</v>
      </c>
      <c r="U4359">
        <v>-3.0121609999999999</v>
      </c>
      <c r="V4359">
        <v>3.2535620000000001E-2</v>
      </c>
      <c r="W4359">
        <v>4.3600100000000001E-3</v>
      </c>
      <c r="X4359">
        <v>0.99946109999999999</v>
      </c>
      <c r="Y4359">
        <v>0.1375237</v>
      </c>
      <c r="Z4359">
        <v>6.40598E-2</v>
      </c>
      <c r="AA4359">
        <v>0.98842479999999999</v>
      </c>
      <c r="AB4359">
        <v>9</v>
      </c>
      <c r="AC4359">
        <v>-0.87849999999997397</v>
      </c>
      <c r="AD4359">
        <v>-1.1094861931913</v>
      </c>
      <c r="AE4359">
        <v>-17.005500000000001</v>
      </c>
      <c r="AF4359">
        <v>2.34240944976733</v>
      </c>
      <c r="AG4359">
        <v>-1.1094861931913</v>
      </c>
      <c r="AH4359">
        <v>16.793617249415298</v>
      </c>
      <c r="AI4359">
        <v>93.743669888805599</v>
      </c>
      <c r="AJ4359">
        <v>82.059493233666998</v>
      </c>
      <c r="AK4359">
        <v>16.9924519114548</v>
      </c>
      <c r="AL4359">
        <v>89.750189045216899</v>
      </c>
      <c r="AM4359">
        <v>88.135499578973693</v>
      </c>
      <c r="AN4359">
        <v>1.00000003333459</v>
      </c>
    </row>
    <row r="4360" spans="1:40" x14ac:dyDescent="0.25">
      <c r="A4360" t="str">
        <f>"20190312160730612"</f>
        <v>20190312160730612</v>
      </c>
      <c r="B4360" t="str">
        <f>"1552378050599438"</f>
        <v>1552378050599438</v>
      </c>
      <c r="C4360" t="s">
        <v>40</v>
      </c>
      <c r="D4360">
        <v>6.5303599999999999</v>
      </c>
      <c r="E4360">
        <v>0.53871020000000003</v>
      </c>
      <c r="F4360" t="s">
        <v>47</v>
      </c>
      <c r="G4360">
        <v>-189.96899999999999</v>
      </c>
      <c r="H4360" s="1">
        <v>-3.8218250000000001E-7</v>
      </c>
      <c r="I4360">
        <v>180.4992</v>
      </c>
      <c r="J4360">
        <v>-189.09010000000001</v>
      </c>
      <c r="K4360">
        <v>1.10949599999999</v>
      </c>
      <c r="L4360">
        <v>196.9734</v>
      </c>
      <c r="M4360">
        <v>8.4052119999999994E-2</v>
      </c>
      <c r="N4360">
        <v>0</v>
      </c>
      <c r="O4360">
        <v>-0.99637699999999996</v>
      </c>
      <c r="P4360">
        <v>5.1939680000000002E-2</v>
      </c>
      <c r="Q4360">
        <v>-9.6559650000000007E-3</v>
      </c>
      <c r="R4360">
        <v>-0.99860380000000004</v>
      </c>
      <c r="S4360">
        <v>-0.15899659999999999</v>
      </c>
      <c r="T4360">
        <v>-0.2017323</v>
      </c>
      <c r="U4360">
        <v>-3.0114749999999999</v>
      </c>
      <c r="V4360">
        <v>3.2189710000000003E-2</v>
      </c>
      <c r="W4360">
        <v>3.2790290000000001E-3</v>
      </c>
      <c r="X4360">
        <v>0.99947640000000004</v>
      </c>
      <c r="Y4360">
        <v>0.1363625</v>
      </c>
      <c r="Z4360">
        <v>6.6125069999999994E-2</v>
      </c>
      <c r="AA4360">
        <v>0.98844969999999999</v>
      </c>
      <c r="AB4360">
        <v>9</v>
      </c>
      <c r="AC4360">
        <v>-0.878900000000015</v>
      </c>
      <c r="AD4360">
        <v>-1.1094963821824999</v>
      </c>
      <c r="AE4360">
        <v>-16.4741999999999</v>
      </c>
      <c r="AF4360">
        <v>2.2504189813719502</v>
      </c>
      <c r="AG4360">
        <v>-1.1094963821824999</v>
      </c>
      <c r="AH4360">
        <v>16.268435178888002</v>
      </c>
      <c r="AI4360">
        <v>93.864803720477994</v>
      </c>
      <c r="AJ4360">
        <v>82.124233723179401</v>
      </c>
      <c r="AK4360">
        <v>16.460782210559699</v>
      </c>
      <c r="AL4360">
        <v>89.812125141065096</v>
      </c>
      <c r="AM4360">
        <v>88.155336897954697</v>
      </c>
      <c r="AN4360">
        <v>1.0000000018090101</v>
      </c>
    </row>
    <row r="4361" spans="1:40" x14ac:dyDescent="0.25">
      <c r="A4361" t="str">
        <f>"20190312160730635"</f>
        <v>20190312160730635</v>
      </c>
      <c r="B4361" t="str">
        <f>"1552378050629694"</f>
        <v>1552378050629694</v>
      </c>
      <c r="C4361" t="s">
        <v>40</v>
      </c>
      <c r="D4361">
        <v>6.4187329999999996</v>
      </c>
      <c r="E4361">
        <v>0.53789629999999999</v>
      </c>
      <c r="F4361" t="s">
        <v>47</v>
      </c>
      <c r="G4361">
        <v>-189.96610000000001</v>
      </c>
      <c r="H4361" s="1">
        <v>-2.9386229999999999E-7</v>
      </c>
      <c r="I4361">
        <v>180.29509999999999</v>
      </c>
      <c r="J4361">
        <v>-189.0857</v>
      </c>
      <c r="K4361">
        <v>1.1095029999999999</v>
      </c>
      <c r="L4361">
        <v>196.881</v>
      </c>
      <c r="M4361">
        <v>8.1212930000000003E-2</v>
      </c>
      <c r="N4361">
        <v>0</v>
      </c>
      <c r="O4361">
        <v>-0.99661339999999998</v>
      </c>
      <c r="P4361">
        <v>4.9563240000000001E-2</v>
      </c>
      <c r="Q4361">
        <v>-9.8146399999999995E-3</v>
      </c>
      <c r="R4361">
        <v>-0.99872309999999997</v>
      </c>
      <c r="S4361">
        <v>-0.15811159999999999</v>
      </c>
      <c r="T4361">
        <v>-0.20026620000000001</v>
      </c>
      <c r="U4361">
        <v>-3.0104679999999999</v>
      </c>
      <c r="V4361">
        <v>3.1719799999999999E-2</v>
      </c>
      <c r="W4361">
        <v>3.0487169999999998E-3</v>
      </c>
      <c r="X4361">
        <v>0.99949219999999905</v>
      </c>
      <c r="Y4361">
        <v>0.13326840000000001</v>
      </c>
      <c r="Z4361">
        <v>6.5706390000000003E-2</v>
      </c>
      <c r="AA4361">
        <v>0.98889950000000004</v>
      </c>
      <c r="AB4361">
        <v>9</v>
      </c>
      <c r="AC4361">
        <v>-0.88040000000000795</v>
      </c>
      <c r="AD4361">
        <v>-1.1095032938623</v>
      </c>
      <c r="AE4361">
        <v>-16.585899999999899</v>
      </c>
      <c r="AF4361">
        <v>2.2147101698261999</v>
      </c>
      <c r="AG4361">
        <v>-1.1095032938623</v>
      </c>
      <c r="AH4361">
        <v>16.386476997607598</v>
      </c>
      <c r="AI4361">
        <v>93.838701573462203</v>
      </c>
      <c r="AJ4361">
        <v>82.302844697447199</v>
      </c>
      <c r="AK4361">
        <v>16.572645144591299</v>
      </c>
      <c r="AL4361">
        <v>89.825321120953205</v>
      </c>
      <c r="AM4361">
        <v>88.182276070499597</v>
      </c>
      <c r="AN4361">
        <v>1.0000000491241099</v>
      </c>
    </row>
    <row r="4362" spans="1:40" x14ac:dyDescent="0.25">
      <c r="A4362" t="str">
        <f>"20190312160730646"</f>
        <v>20190312160730646</v>
      </c>
      <c r="B4362" t="str">
        <f>"1552378050639964"</f>
        <v>1552378050639964</v>
      </c>
      <c r="C4362" t="s">
        <v>40</v>
      </c>
      <c r="D4362">
        <v>6.4141560000000002</v>
      </c>
      <c r="E4362">
        <v>0.53756979999999999</v>
      </c>
      <c r="F4362" t="s">
        <v>47</v>
      </c>
      <c r="G4362">
        <v>-189.99629999999999</v>
      </c>
      <c r="H4362" s="1">
        <v>-4.2925470000000002E-6</v>
      </c>
      <c r="I4362">
        <v>179.6026</v>
      </c>
      <c r="J4362">
        <v>-189.08330000000001</v>
      </c>
      <c r="K4362">
        <v>1.109505</v>
      </c>
      <c r="L4362">
        <v>196.82759999999999</v>
      </c>
      <c r="M4362">
        <v>7.9627820000000002E-2</v>
      </c>
      <c r="N4362">
        <v>0</v>
      </c>
      <c r="O4362">
        <v>-0.99674200000000002</v>
      </c>
      <c r="P4362">
        <v>4.7914089999999999E-2</v>
      </c>
      <c r="Q4362">
        <v>-1.0000520000000001E-2</v>
      </c>
      <c r="R4362">
        <v>-0.99880170000000001</v>
      </c>
      <c r="S4362">
        <v>-0.15861510000000001</v>
      </c>
      <c r="T4362">
        <v>-0.19326879999999999</v>
      </c>
      <c r="U4362">
        <v>-3.0097960000000001</v>
      </c>
      <c r="V4362">
        <v>3.1780019999999999E-2</v>
      </c>
      <c r="W4362">
        <v>2.8160220000000001E-3</v>
      </c>
      <c r="X4362">
        <v>0.99949089999999996</v>
      </c>
      <c r="Y4362">
        <v>0.13187639999999901</v>
      </c>
      <c r="Z4362">
        <v>6.3452179999999997E-2</v>
      </c>
      <c r="AA4362">
        <v>0.98923329999999998</v>
      </c>
      <c r="AB4362">
        <v>9</v>
      </c>
      <c r="AC4362">
        <v>-0.91299999999998205</v>
      </c>
      <c r="AD4362">
        <v>-1.109509292547</v>
      </c>
      <c r="AE4362">
        <v>-17.224999999999898</v>
      </c>
      <c r="AF4362">
        <v>2.2724008917084002</v>
      </c>
      <c r="AG4362">
        <v>-1.109509292547</v>
      </c>
      <c r="AH4362">
        <v>17.027141922718201</v>
      </c>
      <c r="AI4362">
        <v>93.695519030601403</v>
      </c>
      <c r="AJ4362">
        <v>82.398363153220501</v>
      </c>
      <c r="AK4362">
        <v>17.213900741530701</v>
      </c>
      <c r="AL4362">
        <v>89.838653607816894</v>
      </c>
      <c r="AM4362">
        <v>88.178825078487407</v>
      </c>
      <c r="AN4362">
        <v>0.99999997941695695</v>
      </c>
    </row>
    <row r="4363" spans="1:40" x14ac:dyDescent="0.25">
      <c r="A4363" t="str">
        <f>"20190312160730668"</f>
        <v>20190312160730668</v>
      </c>
      <c r="B4363" t="str">
        <f>"1552378050659482"</f>
        <v>1552378050659482</v>
      </c>
      <c r="C4363" t="s">
        <v>40</v>
      </c>
      <c r="D4363">
        <v>6.0571890000000002</v>
      </c>
      <c r="E4363">
        <v>0.53713469999999996</v>
      </c>
      <c r="F4363" t="s">
        <v>47</v>
      </c>
      <c r="G4363">
        <v>-190.0308</v>
      </c>
      <c r="H4363" s="1">
        <v>-4.0983430000000003E-6</v>
      </c>
      <c r="I4363">
        <v>179.1234</v>
      </c>
      <c r="J4363">
        <v>-189.0796</v>
      </c>
      <c r="K4363">
        <v>1.1095079999999999</v>
      </c>
      <c r="L4363">
        <v>196.7456</v>
      </c>
      <c r="M4363">
        <v>7.7239260000000004E-2</v>
      </c>
      <c r="N4363">
        <v>0</v>
      </c>
      <c r="O4363">
        <v>-0.99693080000000001</v>
      </c>
      <c r="P4363">
        <v>4.5912210000000002E-2</v>
      </c>
      <c r="Q4363">
        <v>-1.0149170000000001E-2</v>
      </c>
      <c r="R4363">
        <v>-0.99889399999999995</v>
      </c>
      <c r="S4363">
        <v>-0.16105649999999999</v>
      </c>
      <c r="T4363">
        <v>-0.1885984</v>
      </c>
      <c r="U4363">
        <v>-3.00943</v>
      </c>
      <c r="V4363">
        <v>3.1387760000000001E-2</v>
      </c>
      <c r="W4363">
        <v>2.5952470000000002E-3</v>
      </c>
      <c r="X4363">
        <v>0.9995039</v>
      </c>
      <c r="Y4363">
        <v>0.1303127</v>
      </c>
      <c r="Z4363">
        <v>6.1955160000000002E-2</v>
      </c>
      <c r="AA4363">
        <v>0.98953530000000001</v>
      </c>
      <c r="AB4363">
        <v>9</v>
      </c>
      <c r="AC4363">
        <v>-0.95120000000000005</v>
      </c>
      <c r="AD4363">
        <v>-1.109512098343</v>
      </c>
      <c r="AE4363">
        <v>-17.6221999999999</v>
      </c>
      <c r="AF4363">
        <v>2.3005016829037999</v>
      </c>
      <c r="AG4363">
        <v>-1.109512098343</v>
      </c>
      <c r="AH4363">
        <v>17.427188316356698</v>
      </c>
      <c r="AI4363">
        <v>93.611605149370504</v>
      </c>
      <c r="AJ4363">
        <v>82.480065089753296</v>
      </c>
      <c r="AK4363">
        <v>17.6133533917642</v>
      </c>
      <c r="AL4363">
        <v>89.851303131170994</v>
      </c>
      <c r="AM4363">
        <v>88.201312316445893</v>
      </c>
      <c r="AN4363">
        <v>0.99999998645000898</v>
      </c>
    </row>
    <row r="4364" spans="1:40" x14ac:dyDescent="0.25">
      <c r="A4364" t="str">
        <f>"20190312160730680"</f>
        <v>20190312160730680</v>
      </c>
      <c r="B4364" t="str">
        <f>"1552378050670218"</f>
        <v>1552378050670218</v>
      </c>
      <c r="C4364" t="s">
        <v>40</v>
      </c>
      <c r="D4364">
        <v>6.360805</v>
      </c>
      <c r="E4364">
        <v>0.53675479999999998</v>
      </c>
      <c r="F4364" t="s">
        <v>47</v>
      </c>
      <c r="G4364">
        <v>-190.09389999999999</v>
      </c>
      <c r="H4364" s="1">
        <v>-3.6568010000000001E-6</v>
      </c>
      <c r="I4364">
        <v>178.05500000000001</v>
      </c>
      <c r="J4364">
        <v>-189.07730000000001</v>
      </c>
      <c r="K4364">
        <v>1.109504</v>
      </c>
      <c r="L4364">
        <v>196.69479999999999</v>
      </c>
      <c r="M4364">
        <v>7.5791609999999995E-2</v>
      </c>
      <c r="N4364">
        <v>0</v>
      </c>
      <c r="O4364">
        <v>-0.9970424</v>
      </c>
      <c r="P4364">
        <v>4.468548E-2</v>
      </c>
      <c r="Q4364">
        <v>-1.026753E-2</v>
      </c>
      <c r="R4364">
        <v>-0.99894859999999996</v>
      </c>
      <c r="S4364">
        <v>-0.16329959999999999</v>
      </c>
      <c r="T4364">
        <v>-0.1786208</v>
      </c>
      <c r="U4364">
        <v>-3.0090180000000002</v>
      </c>
      <c r="V4364">
        <v>3.116356E-2</v>
      </c>
      <c r="W4364">
        <v>2.4316920000000001E-3</v>
      </c>
      <c r="X4364">
        <v>0.99951140000000005</v>
      </c>
      <c r="Y4364">
        <v>0.12962650000000001</v>
      </c>
      <c r="Z4364">
        <v>5.8708660000000003E-2</v>
      </c>
      <c r="AA4364">
        <v>0.98982329999999996</v>
      </c>
      <c r="AB4364">
        <v>9</v>
      </c>
      <c r="AC4364">
        <v>-1.01659999999998</v>
      </c>
      <c r="AD4364">
        <v>-1.1095076568009901</v>
      </c>
      <c r="AE4364">
        <v>-18.639799999999902</v>
      </c>
      <c r="AF4364">
        <v>2.4179887513024001</v>
      </c>
      <c r="AG4364">
        <v>-1.1095076568009901</v>
      </c>
      <c r="AH4364">
        <v>18.443967038624798</v>
      </c>
      <c r="AI4364">
        <v>93.413374846160394</v>
      </c>
      <c r="AJ4364">
        <v>82.531165489450501</v>
      </c>
      <c r="AK4364">
        <v>18.634848992245701</v>
      </c>
      <c r="AL4364">
        <v>89.860674182328196</v>
      </c>
      <c r="AM4364">
        <v>88.2141652261502</v>
      </c>
      <c r="AN4364">
        <v>1.0000000596639</v>
      </c>
    </row>
    <row r="4365" spans="1:40" x14ac:dyDescent="0.25">
      <c r="A4365" t="str">
        <f>"20190312160730695"</f>
        <v>20190312160730695</v>
      </c>
      <c r="B4365" t="str">
        <f>"1552378050689738"</f>
        <v>1552378050689738</v>
      </c>
      <c r="C4365" t="s">
        <v>40</v>
      </c>
      <c r="D4365">
        <v>6.3191079999999999</v>
      </c>
      <c r="E4365">
        <v>0.53646640000000001</v>
      </c>
      <c r="F4365" t="s">
        <v>47</v>
      </c>
      <c r="G4365">
        <v>-190.1191</v>
      </c>
      <c r="H4365" s="1">
        <v>-3.4535270000000002E-6</v>
      </c>
      <c r="I4365">
        <v>177.56549999999999</v>
      </c>
      <c r="J4365">
        <v>-189.07480000000001</v>
      </c>
      <c r="K4365">
        <v>1.1095029999999999</v>
      </c>
      <c r="L4365">
        <v>196.63740000000001</v>
      </c>
      <c r="M4365">
        <v>7.4185299999999996E-2</v>
      </c>
      <c r="N4365">
        <v>0</v>
      </c>
      <c r="O4365">
        <v>-0.99716380000000004</v>
      </c>
      <c r="P4365">
        <v>4.299364E-2</v>
      </c>
      <c r="Q4365">
        <v>-1.0477780000000001E-2</v>
      </c>
      <c r="R4365">
        <v>-0.99902069999999998</v>
      </c>
      <c r="S4365">
        <v>-0.16384889999999999</v>
      </c>
      <c r="T4365">
        <v>-0.1745061</v>
      </c>
      <c r="U4365">
        <v>-3.0086979999999999</v>
      </c>
      <c r="V4365">
        <v>3.1245559999999999E-2</v>
      </c>
      <c r="W4365">
        <v>2.1694330000000001E-3</v>
      </c>
      <c r="X4365">
        <v>0.99950939999999999</v>
      </c>
      <c r="Y4365">
        <v>0.1282191</v>
      </c>
      <c r="Z4365">
        <v>5.7382389999999998E-2</v>
      </c>
      <c r="AA4365">
        <v>0.99008439999999998</v>
      </c>
      <c r="AB4365">
        <v>9</v>
      </c>
      <c r="AC4365">
        <v>-1.04429999999999</v>
      </c>
      <c r="AD4365">
        <v>-1.1095064535270001</v>
      </c>
      <c r="AE4365">
        <v>-19.071899999999999</v>
      </c>
      <c r="AF4365">
        <v>2.4481299061327801</v>
      </c>
      <c r="AG4365">
        <v>-1.1095064535270001</v>
      </c>
      <c r="AH4365">
        <v>18.878161671223499</v>
      </c>
      <c r="AI4365">
        <v>93.335648737438106</v>
      </c>
      <c r="AJ4365">
        <v>82.611089000250601</v>
      </c>
      <c r="AK4365">
        <v>19.068543014414399</v>
      </c>
      <c r="AL4365">
        <v>89.875700549660095</v>
      </c>
      <c r="AM4365">
        <v>88.209465672113097</v>
      </c>
      <c r="AN4365">
        <v>1.0000000160738001</v>
      </c>
    </row>
    <row r="4366" spans="1:40" x14ac:dyDescent="0.25">
      <c r="A4366" t="str">
        <f>"20190312160730722"</f>
        <v>20190312160730722</v>
      </c>
      <c r="B4366" t="str">
        <f>"1552378050719994"</f>
        <v>1552378050719994</v>
      </c>
      <c r="C4366" t="s">
        <v>40</v>
      </c>
      <c r="D4366">
        <v>6.4486990000000004</v>
      </c>
      <c r="E4366">
        <v>0.53596840000000001</v>
      </c>
      <c r="F4366" t="s">
        <v>47</v>
      </c>
      <c r="G4366">
        <v>-190.12469999999999</v>
      </c>
      <c r="H4366" s="1">
        <v>-3.5024600000000001E-6</v>
      </c>
      <c r="I4366">
        <v>177.67609999999999</v>
      </c>
      <c r="J4366">
        <v>-189.0702</v>
      </c>
      <c r="K4366">
        <v>1.1095120000000001</v>
      </c>
      <c r="L4366">
        <v>196.5265</v>
      </c>
      <c r="M4366">
        <v>7.1195690000000006E-2</v>
      </c>
      <c r="N4366">
        <v>0</v>
      </c>
      <c r="O4366">
        <v>-0.99738300000000002</v>
      </c>
      <c r="P4366">
        <v>4.0786549999999998E-2</v>
      </c>
      <c r="Q4366">
        <v>-1.089353E-2</v>
      </c>
      <c r="R4366">
        <v>-0.99910860000000001</v>
      </c>
      <c r="S4366">
        <v>-0.16656489999999999</v>
      </c>
      <c r="T4366">
        <v>-0.1760255</v>
      </c>
      <c r="U4366">
        <v>-3.0082550000000001</v>
      </c>
      <c r="V4366">
        <v>3.045637E-2</v>
      </c>
      <c r="W4366">
        <v>1.6530189999999999E-3</v>
      </c>
      <c r="X4366">
        <v>0.9995347</v>
      </c>
      <c r="Y4366">
        <v>0.12614320000000001</v>
      </c>
      <c r="Z4366">
        <v>5.7914229999999997E-2</v>
      </c>
      <c r="AA4366">
        <v>0.99032010000000004</v>
      </c>
      <c r="AB4366">
        <v>9</v>
      </c>
      <c r="AC4366">
        <v>-1.05449999999999</v>
      </c>
      <c r="AD4366">
        <v>-1.1095155024600001</v>
      </c>
      <c r="AE4366">
        <v>-18.8504</v>
      </c>
      <c r="AF4366">
        <v>2.3857577413826498</v>
      </c>
      <c r="AG4366">
        <v>-1.1095155024600001</v>
      </c>
      <c r="AH4366">
        <v>18.663021109471099</v>
      </c>
      <c r="AI4366">
        <v>93.374827638117097</v>
      </c>
      <c r="AJ4366">
        <v>82.715194591007602</v>
      </c>
      <c r="AK4366">
        <v>18.8475786663255</v>
      </c>
      <c r="AL4366">
        <v>89.905288941845001</v>
      </c>
      <c r="AM4366">
        <v>88.254706211414302</v>
      </c>
      <c r="AN4366">
        <v>0.99999996972474003</v>
      </c>
    </row>
    <row r="4367" spans="1:40" x14ac:dyDescent="0.25">
      <c r="A4367" t="str">
        <f>"20190312160730747"</f>
        <v>20190312160730747</v>
      </c>
      <c r="B4367" t="str">
        <f>"1552378050739514"</f>
        <v>1552378050739514</v>
      </c>
      <c r="C4367" t="s">
        <v>40</v>
      </c>
      <c r="D4367">
        <v>6.4880959999999996</v>
      </c>
      <c r="E4367">
        <v>0.53582010000000002</v>
      </c>
      <c r="F4367" t="s">
        <v>47</v>
      </c>
      <c r="G4367">
        <v>-190.13380000000001</v>
      </c>
      <c r="H4367" s="1">
        <v>-3.4777070000000002E-6</v>
      </c>
      <c r="I4367">
        <v>177.61279999999999</v>
      </c>
      <c r="J4367">
        <v>-189.06639999999999</v>
      </c>
      <c r="K4367">
        <v>1.1095120000000001</v>
      </c>
      <c r="L4367">
        <v>196.4315</v>
      </c>
      <c r="M4367">
        <v>6.8725129999999995E-2</v>
      </c>
      <c r="N4367">
        <v>0</v>
      </c>
      <c r="O4367">
        <v>-0.99755760000000004</v>
      </c>
      <c r="P4367">
        <v>3.9474879999999997E-2</v>
      </c>
      <c r="Q4367">
        <v>-1.0724539999999999E-2</v>
      </c>
      <c r="R4367">
        <v>-0.99916320000000003</v>
      </c>
      <c r="S4367">
        <v>-0.16912839999999901</v>
      </c>
      <c r="T4367">
        <v>-0.17643329999999999</v>
      </c>
      <c r="U4367">
        <v>-3.0076290000000001</v>
      </c>
      <c r="V4367">
        <v>2.929298E-2</v>
      </c>
      <c r="W4367">
        <v>1.7359889999999901E-3</v>
      </c>
      <c r="X4367">
        <v>0.99956940000000005</v>
      </c>
      <c r="Y4367">
        <v>0.1245383</v>
      </c>
      <c r="Z4367">
        <v>5.8079739999999998E-2</v>
      </c>
      <c r="AA4367">
        <v>0.99051350000000005</v>
      </c>
      <c r="AB4367">
        <v>9</v>
      </c>
      <c r="AC4367">
        <v>-1.0674000000000201</v>
      </c>
      <c r="AD4367">
        <v>-1.109515477707</v>
      </c>
      <c r="AE4367">
        <v>-18.8187</v>
      </c>
      <c r="AF4367">
        <v>2.3501511033165099</v>
      </c>
      <c r="AG4367">
        <v>-1.109515477707</v>
      </c>
      <c r="AH4367">
        <v>18.636262779170298</v>
      </c>
      <c r="AI4367">
        <v>93.380389724467506</v>
      </c>
      <c r="AJ4367">
        <v>82.812578125382302</v>
      </c>
      <c r="AK4367">
        <v>18.816602381354102</v>
      </c>
      <c r="AL4367">
        <v>89.900535110926697</v>
      </c>
      <c r="AM4367">
        <v>88.321393291007197</v>
      </c>
      <c r="AN4367">
        <v>1.00000003887572</v>
      </c>
    </row>
    <row r="4368" spans="1:40" x14ac:dyDescent="0.25">
      <c r="A4368" t="str">
        <f>"20190312160730769"</f>
        <v>20190312160730769</v>
      </c>
      <c r="B4368" t="str">
        <f>"1552378050760010"</f>
        <v>1552378050760010</v>
      </c>
      <c r="C4368" t="s">
        <v>40</v>
      </c>
      <c r="D4368">
        <v>6.6765350000000003</v>
      </c>
      <c r="E4368">
        <v>0.53537049999999997</v>
      </c>
      <c r="F4368" t="s">
        <v>47</v>
      </c>
      <c r="G4368">
        <v>-190.1216</v>
      </c>
      <c r="H4368" s="1">
        <v>-3.653812E-6</v>
      </c>
      <c r="I4368">
        <v>178.0308</v>
      </c>
      <c r="J4368">
        <v>-189.06280000000001</v>
      </c>
      <c r="K4368">
        <v>1.1095120000000001</v>
      </c>
      <c r="L4368">
        <v>196.3409</v>
      </c>
      <c r="M4368">
        <v>6.6450579999999995E-2</v>
      </c>
      <c r="N4368">
        <v>0</v>
      </c>
      <c r="O4368">
        <v>-0.99771259999999995</v>
      </c>
      <c r="P4368">
        <v>3.835682E-2</v>
      </c>
      <c r="Q4368">
        <v>-1.041489E-2</v>
      </c>
      <c r="R4368">
        <v>-0.99920989999999998</v>
      </c>
      <c r="S4368">
        <v>-0.17247009999999999</v>
      </c>
      <c r="T4368">
        <v>-0.18133630000000001</v>
      </c>
      <c r="U4368">
        <v>-3.007355</v>
      </c>
      <c r="V4368">
        <v>2.8132839999999999E-2</v>
      </c>
      <c r="W4368">
        <v>1.9605790000000001E-3</v>
      </c>
      <c r="X4368">
        <v>0.99960230000000005</v>
      </c>
      <c r="Y4368">
        <v>0.1233726</v>
      </c>
      <c r="Z4368">
        <v>5.9709810000000002E-2</v>
      </c>
      <c r="AA4368">
        <v>0.99056239999999995</v>
      </c>
      <c r="AB4368">
        <v>9</v>
      </c>
      <c r="AC4368">
        <v>-1.05879999999999</v>
      </c>
      <c r="AD4368">
        <v>-1.1095156538119999</v>
      </c>
      <c r="AE4368">
        <v>-18.310099999999998</v>
      </c>
      <c r="AF4368">
        <v>2.2649808247168202</v>
      </c>
      <c r="AG4368">
        <v>-1.1095156538119999</v>
      </c>
      <c r="AH4368">
        <v>18.132900510799999</v>
      </c>
      <c r="AI4368">
        <v>93.474514165761406</v>
      </c>
      <c r="AJ4368">
        <v>82.880060304443703</v>
      </c>
      <c r="AK4368">
        <v>18.307464162383599</v>
      </c>
      <c r="AL4368">
        <v>89.887667029230499</v>
      </c>
      <c r="AM4368">
        <v>88.387891250761498</v>
      </c>
      <c r="AN4368">
        <v>1.0000000293608799</v>
      </c>
    </row>
    <row r="4369" spans="1:40" x14ac:dyDescent="0.25">
      <c r="A4369" t="str">
        <f>"20190312160730790"</f>
        <v>20190312160730790</v>
      </c>
      <c r="B4369" t="str">
        <f>"1552378050779530"</f>
        <v>1552378050779530</v>
      </c>
      <c r="C4369" t="s">
        <v>40</v>
      </c>
      <c r="D4369">
        <v>6.3134439999999996</v>
      </c>
      <c r="E4369">
        <v>0.53478319999999901</v>
      </c>
      <c r="F4369" t="s">
        <v>47</v>
      </c>
      <c r="G4369">
        <v>-190.10400000000001</v>
      </c>
      <c r="H4369" s="1">
        <v>-3.7019769999999999E-6</v>
      </c>
      <c r="I4369">
        <v>178.154</v>
      </c>
      <c r="J4369">
        <v>-189.05959999999999</v>
      </c>
      <c r="K4369">
        <v>1.109515</v>
      </c>
      <c r="L4369">
        <v>196.2561</v>
      </c>
      <c r="M4369">
        <v>6.4396880000000004E-2</v>
      </c>
      <c r="N4369">
        <v>0</v>
      </c>
      <c r="O4369">
        <v>-0.99784859999999997</v>
      </c>
      <c r="P4369">
        <v>3.688234E-2</v>
      </c>
      <c r="Q4369">
        <v>-1.0438390000000001E-2</v>
      </c>
      <c r="R4369">
        <v>-0.99926539999999997</v>
      </c>
      <c r="S4369">
        <v>-0.17214969999999999</v>
      </c>
      <c r="T4369">
        <v>-0.18345</v>
      </c>
      <c r="U4369">
        <v>-3.0070649999999999</v>
      </c>
      <c r="V4369">
        <v>2.7550180000000001E-2</v>
      </c>
      <c r="W4369">
        <v>1.848045E-3</v>
      </c>
      <c r="X4369">
        <v>0.99961869999999997</v>
      </c>
      <c r="Y4369">
        <v>0.1212275</v>
      </c>
      <c r="Z4369">
        <v>6.042956E-2</v>
      </c>
      <c r="AA4369">
        <v>0.99078359999999999</v>
      </c>
      <c r="AB4369">
        <v>9</v>
      </c>
      <c r="AC4369">
        <v>-1.04440000000002</v>
      </c>
      <c r="AD4369">
        <v>-1.1095187019769901</v>
      </c>
      <c r="AE4369">
        <v>-18.102099999999901</v>
      </c>
      <c r="AF4369">
        <v>2.19980211719158</v>
      </c>
      <c r="AG4369">
        <v>-1.1095187019769901</v>
      </c>
      <c r="AH4369">
        <v>17.9301244328644</v>
      </c>
      <c r="AI4369">
        <v>93.514669939677205</v>
      </c>
      <c r="AJ4369">
        <v>83.005478725065799</v>
      </c>
      <c r="AK4369">
        <v>18.098605561833701</v>
      </c>
      <c r="AL4369">
        <v>89.894114759453203</v>
      </c>
      <c r="AM4369">
        <v>88.421288490475106</v>
      </c>
      <c r="AN4369">
        <v>0.999999986539022</v>
      </c>
    </row>
    <row r="4370" spans="1:40" x14ac:dyDescent="0.25">
      <c r="A4370" t="str">
        <f>"20190312160730811"</f>
        <v>20190312160730811</v>
      </c>
      <c r="B4370" t="str">
        <f>"1552378050800026"</f>
        <v>1552378050800026</v>
      </c>
      <c r="C4370" t="s">
        <v>40</v>
      </c>
      <c r="D4370">
        <v>6.5290999999999997</v>
      </c>
      <c r="E4370">
        <v>0.53453809999999902</v>
      </c>
      <c r="F4370" t="s">
        <v>47</v>
      </c>
      <c r="G4370">
        <v>-190.09549999999999</v>
      </c>
      <c r="H4370" s="1">
        <v>-3.7034739999999999E-6</v>
      </c>
      <c r="I4370">
        <v>178.1628</v>
      </c>
      <c r="J4370">
        <v>-189.0564</v>
      </c>
      <c r="K4370">
        <v>1.1095269999999999</v>
      </c>
      <c r="L4370">
        <v>196.1696</v>
      </c>
      <c r="M4370">
        <v>6.2378940000000001E-2</v>
      </c>
      <c r="N4370">
        <v>0</v>
      </c>
      <c r="O4370">
        <v>-0.99797789999999997</v>
      </c>
      <c r="P4370">
        <v>3.5529579999999998E-2</v>
      </c>
      <c r="Q4370">
        <v>-1.008537E-2</v>
      </c>
      <c r="R4370">
        <v>-0.99931789999999998</v>
      </c>
      <c r="S4370">
        <v>-0.17213439999999999</v>
      </c>
      <c r="T4370">
        <v>-0.1843735</v>
      </c>
      <c r="U4370">
        <v>-3.006653</v>
      </c>
      <c r="V4370">
        <v>2.688227E-2</v>
      </c>
      <c r="W4370">
        <v>2.09743E-3</v>
      </c>
      <c r="X4370">
        <v>0.99963639999999998</v>
      </c>
      <c r="Y4370">
        <v>0.1192216</v>
      </c>
      <c r="Z4370">
        <v>6.0760130000000002E-2</v>
      </c>
      <c r="AA4370">
        <v>0.99100679999999997</v>
      </c>
      <c r="AB4370">
        <v>9</v>
      </c>
      <c r="AC4370">
        <v>-1.0390999999999899</v>
      </c>
      <c r="AD4370">
        <v>-1.1095307034739901</v>
      </c>
      <c r="AE4370">
        <v>-18.006799999999998</v>
      </c>
      <c r="AF4370">
        <v>2.1522605125985499</v>
      </c>
      <c r="AG4370">
        <v>-1.1095307034739901</v>
      </c>
      <c r="AH4370">
        <v>17.839398479479001</v>
      </c>
      <c r="AI4370">
        <v>93.5333998247323</v>
      </c>
      <c r="AJ4370">
        <v>83.120714999224006</v>
      </c>
      <c r="AK4370">
        <v>18.002983691757301</v>
      </c>
      <c r="AL4370">
        <v>89.879826024334307</v>
      </c>
      <c r="AM4370">
        <v>88.4595704156023</v>
      </c>
      <c r="AN4370">
        <v>0.999999993928958</v>
      </c>
    </row>
    <row r="4371" spans="1:40" x14ac:dyDescent="0.25">
      <c r="A4371" t="str">
        <f>"20190312160730835"</f>
        <v>20190312160730835</v>
      </c>
      <c r="B4371" t="str">
        <f>"1552378050829306"</f>
        <v>1552378050829306</v>
      </c>
      <c r="C4371" t="s">
        <v>40</v>
      </c>
      <c r="D4371">
        <v>6.3046449999999998</v>
      </c>
      <c r="E4371">
        <v>0.53425029999999996</v>
      </c>
      <c r="F4371" t="s">
        <v>47</v>
      </c>
      <c r="G4371">
        <v>-190.08670000000001</v>
      </c>
      <c r="H4371" s="1">
        <v>-3.8034120000000002E-6</v>
      </c>
      <c r="I4371">
        <v>178.40119999999999</v>
      </c>
      <c r="J4371">
        <v>-189.0531</v>
      </c>
      <c r="K4371">
        <v>1.1095349999999999</v>
      </c>
      <c r="L4371">
        <v>196.07749999999999</v>
      </c>
      <c r="M4371">
        <v>6.0319890000000001E-2</v>
      </c>
      <c r="N4371">
        <v>0</v>
      </c>
      <c r="O4371">
        <v>-0.9981061</v>
      </c>
      <c r="P4371">
        <v>3.4624630000000003E-2</v>
      </c>
      <c r="Q4371">
        <v>-9.1611439999999995E-3</v>
      </c>
      <c r="R4371">
        <v>-0.99935859999999999</v>
      </c>
      <c r="S4371">
        <v>-0.17431640000000001</v>
      </c>
      <c r="T4371">
        <v>-0.1877286</v>
      </c>
      <c r="U4371">
        <v>-3.006348</v>
      </c>
      <c r="V4371">
        <v>2.572609E-2</v>
      </c>
      <c r="W4371">
        <v>2.8989910000000001E-3</v>
      </c>
      <c r="X4371">
        <v>0.99966480000000002</v>
      </c>
      <c r="Y4371">
        <v>0.1178917</v>
      </c>
      <c r="Z4371">
        <v>6.1883300000000002E-2</v>
      </c>
      <c r="AA4371">
        <v>0.99109639999999999</v>
      </c>
      <c r="AB4371">
        <v>9</v>
      </c>
      <c r="AC4371">
        <v>-1.0336000000000001</v>
      </c>
      <c r="AD4371">
        <v>-1.109538803412</v>
      </c>
      <c r="AE4371">
        <v>-17.676299999999902</v>
      </c>
      <c r="AF4371">
        <v>2.0898218536700899</v>
      </c>
      <c r="AG4371">
        <v>-1.109538803412</v>
      </c>
      <c r="AH4371">
        <v>17.512990291308402</v>
      </c>
      <c r="AI4371">
        <v>93.599669329731697</v>
      </c>
      <c r="AJ4371">
        <v>83.1950833843906</v>
      </c>
      <c r="AK4371">
        <v>17.672104025265799</v>
      </c>
      <c r="AL4371">
        <v>89.833899813897105</v>
      </c>
      <c r="AM4371">
        <v>88.525834747482904</v>
      </c>
      <c r="AN4371">
        <v>0.99999997410727204</v>
      </c>
    </row>
    <row r="4372" spans="1:40" x14ac:dyDescent="0.25">
      <c r="A4372" t="str">
        <f>"20190312160730857"</f>
        <v>20190312160730857</v>
      </c>
      <c r="B4372" t="str">
        <f>"1552378050849333"</f>
        <v>1552378050849333</v>
      </c>
      <c r="C4372" t="s">
        <v>40</v>
      </c>
      <c r="D4372">
        <v>6.0281310000000001</v>
      </c>
      <c r="E4372">
        <v>0.53597680000000003</v>
      </c>
      <c r="F4372" t="s">
        <v>47</v>
      </c>
      <c r="G4372">
        <v>-190.1104</v>
      </c>
      <c r="H4372" s="1">
        <v>-3.5935509999999999E-6</v>
      </c>
      <c r="I4372">
        <v>177.8973</v>
      </c>
      <c r="J4372">
        <v>-189.04990000000001</v>
      </c>
      <c r="K4372">
        <v>1.10954</v>
      </c>
      <c r="L4372">
        <v>195.98759999999999</v>
      </c>
      <c r="M4372">
        <v>5.840646E-2</v>
      </c>
      <c r="N4372">
        <v>0</v>
      </c>
      <c r="O4372">
        <v>-0.99822149999999998</v>
      </c>
      <c r="P4372">
        <v>3.4084120000000002E-2</v>
      </c>
      <c r="Q4372">
        <v>-8.8588920000000002E-3</v>
      </c>
      <c r="R4372">
        <v>-0.99938039999999995</v>
      </c>
      <c r="S4372">
        <v>-0.17485049999999999</v>
      </c>
      <c r="T4372">
        <v>-0.18347289999999999</v>
      </c>
      <c r="U4372">
        <v>-3.0062709999999999</v>
      </c>
      <c r="V4372">
        <v>2.4350500000000001E-2</v>
      </c>
      <c r="W4372">
        <v>3.0758970000000002E-3</v>
      </c>
      <c r="X4372">
        <v>0.9996988</v>
      </c>
      <c r="Y4372">
        <v>0.1161698</v>
      </c>
      <c r="Z4372">
        <v>6.050345E-2</v>
      </c>
      <c r="AA4372">
        <v>0.99138490000000001</v>
      </c>
      <c r="AB4372">
        <v>9</v>
      </c>
      <c r="AC4372">
        <v>-1.06049999999999</v>
      </c>
      <c r="AD4372">
        <v>-1.1095435935510001</v>
      </c>
      <c r="AE4372">
        <v>-18.0902999999999</v>
      </c>
      <c r="AF4372">
        <v>2.1074543346511199</v>
      </c>
      <c r="AG4372">
        <v>-1.1095435935510001</v>
      </c>
      <c r="AH4372">
        <v>17.930249677116201</v>
      </c>
      <c r="AI4372">
        <v>93.516863086435094</v>
      </c>
      <c r="AJ4372">
        <v>83.296425394486704</v>
      </c>
      <c r="AK4372">
        <v>18.087739058333302</v>
      </c>
      <c r="AL4372">
        <v>89.823763814481495</v>
      </c>
      <c r="AM4372">
        <v>88.6046746730227</v>
      </c>
      <c r="AN4372">
        <v>1.00000004935702</v>
      </c>
    </row>
    <row r="4373" spans="1:40" x14ac:dyDescent="0.25">
      <c r="A4373" t="str">
        <f>"20190312160730878"</f>
        <v>20190312160730878</v>
      </c>
      <c r="B4373" t="str">
        <f>"1552378050869830"</f>
        <v>1552378050869830</v>
      </c>
      <c r="C4373" t="s">
        <v>40</v>
      </c>
      <c r="D4373">
        <v>5.9266649999999998</v>
      </c>
      <c r="E4373">
        <v>0.53752610000000001</v>
      </c>
      <c r="F4373" t="s">
        <v>44</v>
      </c>
      <c r="G4373">
        <v>-189.10220000000001</v>
      </c>
      <c r="H4373">
        <v>0.91000780000000003</v>
      </c>
      <c r="I4373">
        <v>195.24979999999999</v>
      </c>
      <c r="J4373">
        <v>-189.04679999999999</v>
      </c>
      <c r="K4373">
        <v>1.10954</v>
      </c>
      <c r="L4373">
        <v>195.89859999999999</v>
      </c>
      <c r="M4373">
        <v>5.6578070000000001E-2</v>
      </c>
      <c r="N4373">
        <v>0</v>
      </c>
      <c r="O4373">
        <v>-0.99832829999999995</v>
      </c>
      <c r="P4373">
        <v>3.2768029999999997E-2</v>
      </c>
      <c r="Q4373">
        <v>-8.6113600000000002E-3</v>
      </c>
      <c r="R4373">
        <v>-0.99942629999999999</v>
      </c>
      <c r="S4373">
        <v>-0.21296689999999999</v>
      </c>
      <c r="T4373">
        <v>-0.81192039999999999</v>
      </c>
      <c r="U4373">
        <v>-3.0019529999999999</v>
      </c>
      <c r="V4373">
        <v>2.3836019999999999E-2</v>
      </c>
      <c r="W4373">
        <v>3.2013039999999999E-3</v>
      </c>
      <c r="X4373">
        <v>0.99971069999999995</v>
      </c>
      <c r="Y4373">
        <v>0.1246625</v>
      </c>
      <c r="Z4373">
        <v>0.25913219999999998</v>
      </c>
      <c r="AA4373">
        <v>0.95776289999999997</v>
      </c>
      <c r="AB4373">
        <v>9</v>
      </c>
      <c r="AC4373">
        <v>-5.54000000000201E-2</v>
      </c>
      <c r="AD4373">
        <v>-0.19953219999999899</v>
      </c>
      <c r="AE4373">
        <v>-0.64879999999999405</v>
      </c>
      <c r="AF4373">
        <v>8.41228234163999E-2</v>
      </c>
      <c r="AG4373">
        <v>-0.19953219999999899</v>
      </c>
      <c r="AH4373">
        <v>0.58929338045428803</v>
      </c>
      <c r="AI4373">
        <v>108.53102635038699</v>
      </c>
      <c r="AJ4373">
        <v>81.875800082491907</v>
      </c>
      <c r="AK4373">
        <v>0.62781879272894403</v>
      </c>
      <c r="AL4373">
        <v>89.816578468284504</v>
      </c>
      <c r="AM4373">
        <v>88.634160221757696</v>
      </c>
      <c r="AN4373">
        <v>0.99999994394561298</v>
      </c>
    </row>
    <row r="4374" spans="1:40" x14ac:dyDescent="0.25">
      <c r="A4374" t="str">
        <f>"20190312160730901"</f>
        <v>20190312160730901</v>
      </c>
      <c r="B4374" t="str">
        <f>"1552378050889349"</f>
        <v>1552378050889349</v>
      </c>
      <c r="C4374" t="s">
        <v>40</v>
      </c>
      <c r="D4374">
        <v>6.0377020000000003</v>
      </c>
      <c r="E4374">
        <v>0.53702320000000003</v>
      </c>
      <c r="F4374" t="s">
        <v>44</v>
      </c>
      <c r="G4374">
        <v>-189.1028</v>
      </c>
      <c r="H4374">
        <v>0.87377769999999999</v>
      </c>
      <c r="I4374">
        <v>195.1842</v>
      </c>
      <c r="J4374">
        <v>-189.04390000000001</v>
      </c>
      <c r="K4374">
        <v>1.1095349999999999</v>
      </c>
      <c r="L4374">
        <v>195.81020000000001</v>
      </c>
      <c r="M4374">
        <v>5.4829650000000001E-2</v>
      </c>
      <c r="N4374">
        <v>0</v>
      </c>
      <c r="O4374">
        <v>-0.99842719999999896</v>
      </c>
      <c r="P4374">
        <v>3.1669709999999997E-2</v>
      </c>
      <c r="Q4374">
        <v>-8.3862629999999997E-3</v>
      </c>
      <c r="R4374">
        <v>-0.99946310000000005</v>
      </c>
      <c r="S4374">
        <v>-0.2346039</v>
      </c>
      <c r="T4374">
        <v>-0.99021429999999999</v>
      </c>
      <c r="U4374">
        <v>-3.0008849999999998</v>
      </c>
      <c r="V4374">
        <v>2.318392E-2</v>
      </c>
      <c r="W4374">
        <v>3.308592E-3</v>
      </c>
      <c r="X4374">
        <v>0.9997258</v>
      </c>
      <c r="Y4374">
        <v>0.12860839999999901</v>
      </c>
      <c r="Z4374">
        <v>0.31091439999999998</v>
      </c>
      <c r="AA4374">
        <v>0.94169639999999999</v>
      </c>
      <c r="AB4374">
        <v>9</v>
      </c>
      <c r="AC4374">
        <v>-5.8899999999994103E-2</v>
      </c>
      <c r="AD4374">
        <v>-0.235757299999999</v>
      </c>
      <c r="AE4374">
        <v>-0.626000000000004</v>
      </c>
      <c r="AF4374">
        <v>8.16569597050993E-2</v>
      </c>
      <c r="AG4374">
        <v>-0.235757299999999</v>
      </c>
      <c r="AH4374">
        <v>0.54518154184601297</v>
      </c>
      <c r="AI4374">
        <v>113.154828380312</v>
      </c>
      <c r="AJ4374">
        <v>81.481596574168293</v>
      </c>
      <c r="AK4374">
        <v>0.59956006966872499</v>
      </c>
      <c r="AL4374">
        <v>89.810431307412699</v>
      </c>
      <c r="AM4374">
        <v>88.671533011340799</v>
      </c>
      <c r="AN4374">
        <v>1.00000005805661</v>
      </c>
    </row>
    <row r="4375" spans="1:40" x14ac:dyDescent="0.25">
      <c r="A4375" t="str">
        <f>"20190312160730923"</f>
        <v>20190312160730923</v>
      </c>
      <c r="B4375" t="str">
        <f>"1552378050919607"</f>
        <v>1552378050919607</v>
      </c>
      <c r="C4375" t="s">
        <v>40</v>
      </c>
      <c r="D4375">
        <v>6.3540179999999999</v>
      </c>
      <c r="E4375">
        <v>0.53500559999999997</v>
      </c>
      <c r="F4375" t="s">
        <v>44</v>
      </c>
      <c r="G4375">
        <v>-189.09909999999999</v>
      </c>
      <c r="H4375">
        <v>0.87045430000000001</v>
      </c>
      <c r="I4375">
        <v>195.10489999999999</v>
      </c>
      <c r="J4375">
        <v>-189.04079999999999</v>
      </c>
      <c r="K4375">
        <v>1.1095219999999999</v>
      </c>
      <c r="L4375">
        <v>195.71889999999999</v>
      </c>
      <c r="M4375">
        <v>5.3099550000000002E-2</v>
      </c>
      <c r="N4375">
        <v>0</v>
      </c>
      <c r="O4375">
        <v>-0.99852220000000003</v>
      </c>
      <c r="P4375">
        <v>3.1017320000000001E-2</v>
      </c>
      <c r="Q4375">
        <v>-8.1041889999999995E-3</v>
      </c>
      <c r="R4375">
        <v>-0.99948619999999999</v>
      </c>
      <c r="S4375">
        <v>-0.23483280000000001</v>
      </c>
      <c r="T4375">
        <v>-1.017198</v>
      </c>
      <c r="U4375">
        <v>-3.0005039999999998</v>
      </c>
      <c r="V4375">
        <v>2.2104349999999998E-2</v>
      </c>
      <c r="W4375">
        <v>3.4716700000000001E-3</v>
      </c>
      <c r="X4375">
        <v>0.99974969999999996</v>
      </c>
      <c r="Y4375">
        <v>0.12677149999999901</v>
      </c>
      <c r="Z4375">
        <v>0.31864439999999999</v>
      </c>
      <c r="AA4375">
        <v>0.93935869999999999</v>
      </c>
      <c r="AB4375">
        <v>9</v>
      </c>
      <c r="AC4375">
        <v>-5.83000000000026E-2</v>
      </c>
      <c r="AD4375">
        <v>-0.23906769999999899</v>
      </c>
      <c r="AE4375">
        <v>-0.61400000000000399</v>
      </c>
      <c r="AF4375">
        <v>7.8959571748465407E-2</v>
      </c>
      <c r="AG4375">
        <v>-0.23906769999999899</v>
      </c>
      <c r="AH4375">
        <v>0.53035349239776897</v>
      </c>
      <c r="AI4375">
        <v>114.03000078397601</v>
      </c>
      <c r="AJ4375">
        <v>81.531946394887498</v>
      </c>
      <c r="AK4375">
        <v>0.58707989750331302</v>
      </c>
      <c r="AL4375">
        <v>89.801087573250697</v>
      </c>
      <c r="AM4375">
        <v>88.733403319071897</v>
      </c>
      <c r="AN4375">
        <v>1.00000005871579</v>
      </c>
    </row>
    <row r="4376" spans="1:40" x14ac:dyDescent="0.25">
      <c r="A4376" t="str">
        <f>"20190312160730947"</f>
        <v>20190312160730947</v>
      </c>
      <c r="B4376" t="str">
        <f>"1552378050940104"</f>
        <v>1552378050940104</v>
      </c>
      <c r="C4376" t="s">
        <v>40</v>
      </c>
      <c r="D4376">
        <v>9.1660310000000003</v>
      </c>
      <c r="E4376">
        <v>0.52060799999999996</v>
      </c>
      <c r="F4376" t="s">
        <v>44</v>
      </c>
      <c r="G4376">
        <v>-189.09219999999999</v>
      </c>
      <c r="H4376">
        <v>0.88709859999999896</v>
      </c>
      <c r="I4376">
        <v>195.01779999999999</v>
      </c>
      <c r="J4376">
        <v>-189.0378</v>
      </c>
      <c r="K4376">
        <v>1.1095139999999999</v>
      </c>
      <c r="L4376">
        <v>195.6217</v>
      </c>
      <c r="M4376">
        <v>5.133886E-2</v>
      </c>
      <c r="N4376">
        <v>0</v>
      </c>
      <c r="O4376">
        <v>-0.99861540000000004</v>
      </c>
      <c r="P4376">
        <v>2.9862489999999998E-2</v>
      </c>
      <c r="Q4376">
        <v>-7.9687969999999997E-3</v>
      </c>
      <c r="R4376">
        <v>-0.99952209999999997</v>
      </c>
      <c r="S4376">
        <v>-0.21888730000000001</v>
      </c>
      <c r="T4376">
        <v>-0.95149459999999997</v>
      </c>
      <c r="U4376">
        <v>-3.0005950000000001</v>
      </c>
      <c r="V4376">
        <v>2.1496640000000001E-2</v>
      </c>
      <c r="W4376">
        <v>3.4812060000000001E-3</v>
      </c>
      <c r="X4376">
        <v>0.99976279999999995</v>
      </c>
      <c r="Y4376">
        <v>0.120495</v>
      </c>
      <c r="Z4376">
        <v>0.30020350000000001</v>
      </c>
      <c r="AA4376">
        <v>0.94623400000000002</v>
      </c>
      <c r="AB4376">
        <v>9</v>
      </c>
      <c r="AC4376">
        <v>-5.4399999999986903E-2</v>
      </c>
      <c r="AD4376">
        <v>-0.22241540000000001</v>
      </c>
      <c r="AE4376">
        <v>-0.60390000000000998</v>
      </c>
      <c r="AF4376">
        <v>7.5213688201643203E-2</v>
      </c>
      <c r="AG4376">
        <v>-0.22241540000000001</v>
      </c>
      <c r="AH4376">
        <v>0.52911684747362497</v>
      </c>
      <c r="AI4376">
        <v>112.59554110406501</v>
      </c>
      <c r="AJ4376">
        <v>81.9096363809319</v>
      </c>
      <c r="AK4376">
        <v>0.57886988808408502</v>
      </c>
      <c r="AL4376">
        <v>89.800541173807503</v>
      </c>
      <c r="AM4376">
        <v>88.768230836047707</v>
      </c>
      <c r="AN4376">
        <v>0.99999994029517003</v>
      </c>
    </row>
    <row r="4377" spans="1:40" x14ac:dyDescent="0.25">
      <c r="A4377" t="str">
        <f>"20190312160730969"</f>
        <v>20190312160730969</v>
      </c>
      <c r="B4377" t="str">
        <f>"1552378050959622"</f>
        <v>1552378050959622</v>
      </c>
      <c r="C4377" t="s">
        <v>40</v>
      </c>
      <c r="D4377">
        <v>6.991422</v>
      </c>
      <c r="E4377">
        <v>0.52194629999999997</v>
      </c>
      <c r="F4377" t="s">
        <v>44</v>
      </c>
      <c r="G4377">
        <v>-189.0592</v>
      </c>
      <c r="H4377">
        <v>1.030424</v>
      </c>
      <c r="I4377">
        <v>194.8699</v>
      </c>
      <c r="J4377">
        <v>-189.035</v>
      </c>
      <c r="K4377">
        <v>1.109515</v>
      </c>
      <c r="L4377">
        <v>195.53229999999999</v>
      </c>
      <c r="M4377">
        <v>4.9797170000000002E-2</v>
      </c>
      <c r="N4377">
        <v>0</v>
      </c>
      <c r="O4377">
        <v>-0.99869479999999999</v>
      </c>
      <c r="P4377">
        <v>2.8098479999999999E-2</v>
      </c>
      <c r="Q4377">
        <v>-7.8005909999999999E-3</v>
      </c>
      <c r="R4377">
        <v>-0.99957479999999999</v>
      </c>
      <c r="S4377">
        <v>-8.5128780000000001E-2</v>
      </c>
      <c r="T4377">
        <v>-0.31574750000000001</v>
      </c>
      <c r="U4377">
        <v>-3.001465</v>
      </c>
      <c r="V4377">
        <v>2.1717569999999999E-2</v>
      </c>
      <c r="W4377">
        <v>3.53938E-3</v>
      </c>
      <c r="X4377">
        <v>0.99975789999999998</v>
      </c>
      <c r="Y4377">
        <v>7.7941129999999997E-2</v>
      </c>
      <c r="Z4377">
        <v>0.10424600000000001</v>
      </c>
      <c r="AA4377">
        <v>0.99149279999999995</v>
      </c>
      <c r="AB4377">
        <v>9</v>
      </c>
      <c r="AC4377">
        <v>-2.42000000000075E-2</v>
      </c>
      <c r="AD4377">
        <v>-7.9090999999999995E-2</v>
      </c>
      <c r="AE4377">
        <v>-0.662399999999991</v>
      </c>
      <c r="AF4377">
        <v>5.6355383944239501E-2</v>
      </c>
      <c r="AG4377">
        <v>-7.9090999999999995E-2</v>
      </c>
      <c r="AH4377">
        <v>0.65110283237553301</v>
      </c>
      <c r="AI4377">
        <v>96.900372660531602</v>
      </c>
      <c r="AJ4377">
        <v>85.053164685173499</v>
      </c>
      <c r="AK4377">
        <v>0.65830556271988405</v>
      </c>
      <c r="AL4377">
        <v>89.797208044423499</v>
      </c>
      <c r="AM4377">
        <v>88.755569290232501</v>
      </c>
      <c r="AN4377">
        <v>1.0000000193349401</v>
      </c>
    </row>
    <row r="4378" spans="1:40" x14ac:dyDescent="0.25">
      <c r="A4378" t="str">
        <f>"20190312160730991"</f>
        <v>20190312160730991</v>
      </c>
      <c r="B4378" t="str">
        <f>"1552378050980118"</f>
        <v>1552378050980118</v>
      </c>
      <c r="C4378" t="s">
        <v>40</v>
      </c>
      <c r="D4378">
        <v>6.4115760000000002</v>
      </c>
      <c r="E4378">
        <v>0.51844639999999997</v>
      </c>
      <c r="F4378" t="s">
        <v>47</v>
      </c>
      <c r="G4378">
        <v>-189.57300000000001</v>
      </c>
      <c r="H4378" s="1">
        <v>-4.0264850000000001E-6</v>
      </c>
      <c r="I4378">
        <v>178.84209999999999</v>
      </c>
      <c r="J4378">
        <v>-189.03229999999999</v>
      </c>
      <c r="K4378">
        <v>1.1095189999999999</v>
      </c>
      <c r="L4378">
        <v>195.4425</v>
      </c>
      <c r="M4378">
        <v>4.8315169999999998E-2</v>
      </c>
      <c r="N4378">
        <v>0</v>
      </c>
      <c r="O4378">
        <v>-0.99876889999999996</v>
      </c>
      <c r="P4378">
        <v>2.6483860000000001E-2</v>
      </c>
      <c r="Q4378">
        <v>-7.9340390000000004E-3</v>
      </c>
      <c r="R4378">
        <v>-0.99961789999999995</v>
      </c>
      <c r="S4378">
        <v>-9.6786499999999998E-2</v>
      </c>
      <c r="T4378">
        <v>-0.19959289999999999</v>
      </c>
      <c r="U4378">
        <v>-3.0024410000000001</v>
      </c>
      <c r="V4378">
        <v>2.184856E-2</v>
      </c>
      <c r="W4378">
        <v>3.305255E-3</v>
      </c>
      <c r="X4378">
        <v>0.99975579999999997</v>
      </c>
      <c r="Y4378">
        <v>8.0404020000000007E-2</v>
      </c>
      <c r="Z4378">
        <v>6.6089819999999994E-2</v>
      </c>
      <c r="AA4378">
        <v>0.99456889999999998</v>
      </c>
      <c r="AB4378">
        <v>9</v>
      </c>
      <c r="AC4378">
        <v>-0.54069999999998597</v>
      </c>
      <c r="AD4378">
        <v>-1.109523026485</v>
      </c>
      <c r="AE4378">
        <v>-16.6004</v>
      </c>
      <c r="AF4378">
        <v>1.33620749026095</v>
      </c>
      <c r="AG4378">
        <v>-1.109523026485</v>
      </c>
      <c r="AH4378">
        <v>16.481337519487798</v>
      </c>
      <c r="AI4378">
        <v>93.838781067732498</v>
      </c>
      <c r="AJ4378">
        <v>85.364941255194196</v>
      </c>
      <c r="AK4378">
        <v>16.572597208482598</v>
      </c>
      <c r="AL4378">
        <v>89.810622488158302</v>
      </c>
      <c r="AM4378">
        <v>88.748063231891507</v>
      </c>
      <c r="AN4378">
        <v>0.99999997195916301</v>
      </c>
    </row>
    <row r="4379" spans="1:40" x14ac:dyDescent="0.25">
      <c r="A4379" t="str">
        <f>"20190312160731013"</f>
        <v>20190312160731013</v>
      </c>
      <c r="B4379" t="str">
        <f>"1552378051009399"</f>
        <v>1552378051009399</v>
      </c>
      <c r="C4379" t="s">
        <v>40</v>
      </c>
      <c r="D4379">
        <v>6.2170750000000004</v>
      </c>
      <c r="E4379">
        <v>0.51627800000000001</v>
      </c>
      <c r="F4379" t="s">
        <v>47</v>
      </c>
      <c r="G4379">
        <v>-189.59030000000001</v>
      </c>
      <c r="H4379" s="1">
        <v>-1.1131040000000001E-6</v>
      </c>
      <c r="I4379">
        <v>172.0581</v>
      </c>
      <c r="J4379">
        <v>-189.02969999999999</v>
      </c>
      <c r="K4379">
        <v>1.109524</v>
      </c>
      <c r="L4379">
        <v>195.35579999999999</v>
      </c>
      <c r="M4379">
        <v>4.6951270000000003E-2</v>
      </c>
      <c r="N4379">
        <v>0</v>
      </c>
      <c r="O4379">
        <v>-0.99883500000000003</v>
      </c>
      <c r="P4379">
        <v>2.4933569999999999E-2</v>
      </c>
      <c r="Q4379">
        <v>-8.4997549999999995E-3</v>
      </c>
      <c r="R4379">
        <v>-0.99965320000000002</v>
      </c>
      <c r="S4379">
        <v>-7.1640010000000004E-2</v>
      </c>
      <c r="T4379">
        <v>-0.1424338</v>
      </c>
      <c r="U4379">
        <v>-3.0019529999999999</v>
      </c>
      <c r="V4379">
        <v>2.20331E-2</v>
      </c>
      <c r="W4379">
        <v>2.6505600000000002E-3</v>
      </c>
      <c r="X4379">
        <v>0.99975369999999997</v>
      </c>
      <c r="Y4379">
        <v>7.0745450000000001E-2</v>
      </c>
      <c r="Z4379">
        <v>4.7249220000000001E-2</v>
      </c>
      <c r="AA4379">
        <v>0.99637469999999995</v>
      </c>
      <c r="AB4379">
        <v>9</v>
      </c>
      <c r="AC4379">
        <v>-0.56060000000002197</v>
      </c>
      <c r="AD4379">
        <v>-1.109525113104</v>
      </c>
      <c r="AE4379">
        <v>-23.297699999999899</v>
      </c>
      <c r="AF4379">
        <v>1.65016577780538</v>
      </c>
      <c r="AG4379">
        <v>-1.109525113104</v>
      </c>
      <c r="AH4379">
        <v>23.1931089908682</v>
      </c>
      <c r="AI4379">
        <v>92.731964366781597</v>
      </c>
      <c r="AJ4379">
        <v>85.930322291805794</v>
      </c>
      <c r="AK4379">
        <v>23.278195757685801</v>
      </c>
      <c r="AL4379">
        <v>89.848133916551205</v>
      </c>
      <c r="AM4379">
        <v>88.7374897263592</v>
      </c>
      <c r="AN4379">
        <v>0.99999997181380595</v>
      </c>
    </row>
    <row r="4380" spans="1:40" x14ac:dyDescent="0.25">
      <c r="A4380" t="str">
        <f>"20190312160731035"</f>
        <v>20190312160731035</v>
      </c>
      <c r="B4380" t="str">
        <f>"1552378051029895"</f>
        <v>1552378051029895</v>
      </c>
      <c r="C4380" t="s">
        <v>40</v>
      </c>
      <c r="D4380">
        <v>6.2799060000000004</v>
      </c>
      <c r="E4380">
        <v>0.51585619999999999</v>
      </c>
      <c r="F4380" t="s">
        <v>89</v>
      </c>
      <c r="G4380">
        <v>-189.82669999999999</v>
      </c>
      <c r="H4380" s="1">
        <v>-1.228999E-5</v>
      </c>
      <c r="I4380">
        <v>153.35399999999899</v>
      </c>
      <c r="J4380">
        <v>-189.02690000000001</v>
      </c>
      <c r="K4380">
        <v>1.109531</v>
      </c>
      <c r="L4380">
        <v>195.261</v>
      </c>
      <c r="M4380">
        <v>4.5528150000000003E-2</v>
      </c>
      <c r="N4380">
        <v>0</v>
      </c>
      <c r="O4380">
        <v>-0.9989017</v>
      </c>
      <c r="P4380">
        <v>2.38412E-2</v>
      </c>
      <c r="Q4380">
        <v>-9.0459519999999995E-3</v>
      </c>
      <c r="R4380">
        <v>-0.99967499999999998</v>
      </c>
      <c r="S4380">
        <v>-5.6961060000000001E-2</v>
      </c>
      <c r="T4380">
        <v>-7.9296350000000002E-2</v>
      </c>
      <c r="U4380">
        <v>-3.0017849999999999</v>
      </c>
      <c r="V4380">
        <v>2.1700549999999999E-2</v>
      </c>
      <c r="W4380">
        <v>2.0139839999999999E-3</v>
      </c>
      <c r="X4380">
        <v>0.9997625</v>
      </c>
      <c r="Y4380">
        <v>6.4468769999999995E-2</v>
      </c>
      <c r="Z4380">
        <v>2.6336269999999998E-2</v>
      </c>
      <c r="AA4380">
        <v>0.99757209999999996</v>
      </c>
      <c r="AB4380">
        <v>9</v>
      </c>
      <c r="AC4380">
        <v>-0.79979999999997597</v>
      </c>
      <c r="AD4380">
        <v>-1.10954328999</v>
      </c>
      <c r="AE4380">
        <v>-41.906999999999996</v>
      </c>
      <c r="AF4380">
        <v>2.7051400816359399</v>
      </c>
      <c r="AG4380">
        <v>-1.10954328999</v>
      </c>
      <c r="AH4380">
        <v>41.797834383542899</v>
      </c>
      <c r="AI4380">
        <v>91.517413345207004</v>
      </c>
      <c r="AJ4380">
        <v>86.297003151466896</v>
      </c>
      <c r="AK4380">
        <v>41.8999740850482</v>
      </c>
      <c r="AL4380">
        <v>89.884607140308503</v>
      </c>
      <c r="AM4380">
        <v>88.756549960305193</v>
      </c>
      <c r="AN4380">
        <v>1.0000000132040501</v>
      </c>
    </row>
    <row r="4381" spans="1:40" x14ac:dyDescent="0.25">
      <c r="A4381" t="str">
        <f>"20190312160731058"</f>
        <v>20190312160731058</v>
      </c>
      <c r="B4381" t="str">
        <f>"1552378051049414"</f>
        <v>1552378051049414</v>
      </c>
      <c r="C4381" t="s">
        <v>40</v>
      </c>
      <c r="D4381">
        <v>6.4757680000000004</v>
      </c>
      <c r="E4381">
        <v>0.51524689999999995</v>
      </c>
      <c r="F4381" t="s">
        <v>47</v>
      </c>
      <c r="G4381">
        <v>-190.75309999999999</v>
      </c>
      <c r="H4381" s="1">
        <v>-1.0529689999999999E-6</v>
      </c>
      <c r="I4381">
        <v>101.5765</v>
      </c>
      <c r="J4381">
        <v>-189.02420000000001</v>
      </c>
      <c r="K4381">
        <v>1.1095280000000001</v>
      </c>
      <c r="L4381">
        <v>195.1694</v>
      </c>
      <c r="M4381">
        <v>4.4215030000000002E-2</v>
      </c>
      <c r="N4381">
        <v>0</v>
      </c>
      <c r="O4381">
        <v>-0.99896160000000001</v>
      </c>
      <c r="P4381">
        <v>2.2538590000000001E-2</v>
      </c>
      <c r="Q4381">
        <v>-9.5160120000000008E-3</v>
      </c>
      <c r="R4381">
        <v>-0.99970079999999995</v>
      </c>
      <c r="S4381">
        <v>-5.5313109999999999E-2</v>
      </c>
      <c r="T4381">
        <v>-3.5552979999999998E-2</v>
      </c>
      <c r="U4381">
        <v>-3.0019529999999999</v>
      </c>
      <c r="V4381">
        <v>2.1688550000000001E-2</v>
      </c>
      <c r="W4381">
        <v>1.4627609999999999E-3</v>
      </c>
      <c r="X4381">
        <v>0.99976370000000003</v>
      </c>
      <c r="Y4381">
        <v>6.2613489999999994E-2</v>
      </c>
      <c r="Z4381">
        <v>1.181246E-2</v>
      </c>
      <c r="AA4381">
        <v>0.99796799999999997</v>
      </c>
      <c r="AB4381">
        <v>9</v>
      </c>
      <c r="AC4381">
        <v>-1.7288999999999799</v>
      </c>
      <c r="AD4381">
        <v>-1.1095290529690001</v>
      </c>
      <c r="AE4381">
        <v>-93.5929</v>
      </c>
      <c r="AF4381">
        <v>5.8648478018948902</v>
      </c>
      <c r="AG4381">
        <v>-1.1095290529690001</v>
      </c>
      <c r="AH4381">
        <v>93.411787239057105</v>
      </c>
      <c r="AI4381">
        <v>90.679180155868494</v>
      </c>
      <c r="AJ4381">
        <v>86.407407034348296</v>
      </c>
      <c r="AK4381">
        <v>93.602294254220297</v>
      </c>
      <c r="AL4381">
        <v>89.9161899379028</v>
      </c>
      <c r="AM4381">
        <v>88.7572388405152</v>
      </c>
      <c r="AN4381">
        <v>0.99999999435426701</v>
      </c>
    </row>
    <row r="4382" spans="1:40" x14ac:dyDescent="0.25">
      <c r="A4382" t="str">
        <f>"20190312160731079"</f>
        <v>20190312160731079</v>
      </c>
      <c r="B4382" t="str">
        <f>"1552378051069910"</f>
        <v>1552378051069910</v>
      </c>
      <c r="C4382" t="s">
        <v>40</v>
      </c>
      <c r="D4382">
        <v>6.3575739999999996</v>
      </c>
      <c r="E4382">
        <v>0.51064900000000002</v>
      </c>
      <c r="F4382" t="s">
        <v>82</v>
      </c>
      <c r="G4382">
        <v>-193.762</v>
      </c>
      <c r="H4382">
        <v>7.9987210000000003E-2</v>
      </c>
      <c r="I4382">
        <v>-70.990619999999893</v>
      </c>
      <c r="J4382">
        <v>-189.02170000000001</v>
      </c>
      <c r="K4382">
        <v>1.109515</v>
      </c>
      <c r="L4382">
        <v>195.0789</v>
      </c>
      <c r="M4382">
        <v>4.295935E-2</v>
      </c>
      <c r="N4382">
        <v>0</v>
      </c>
      <c r="O4382">
        <v>-0.99901740000000006</v>
      </c>
      <c r="P4382">
        <v>2.0451759999999999E-2</v>
      </c>
      <c r="Q4382">
        <v>-1.027905E-2</v>
      </c>
      <c r="R4382">
        <v>-0.99973829999999997</v>
      </c>
      <c r="S4382">
        <v>-5.3436280000000003E-2</v>
      </c>
      <c r="T4382">
        <v>-1.161206E-2</v>
      </c>
      <c r="U4382">
        <v>-3.0019840000000002</v>
      </c>
      <c r="V4382">
        <v>2.2518059999999999E-2</v>
      </c>
      <c r="W4382">
        <v>6.2543560000000002E-4</v>
      </c>
      <c r="X4382">
        <v>0.99974629999999998</v>
      </c>
      <c r="Y4382">
        <v>6.0736039999999998E-2</v>
      </c>
      <c r="Z4382">
        <v>3.8588659999999999E-3</v>
      </c>
      <c r="AA4382">
        <v>0.99814639999999999</v>
      </c>
      <c r="AB4382">
        <v>9</v>
      </c>
      <c r="AC4382">
        <v>-4.7402999999999897</v>
      </c>
      <c r="AD4382">
        <v>-1.0295277899999999</v>
      </c>
      <c r="AE4382">
        <v>-266.06952000000001</v>
      </c>
      <c r="AF4382">
        <v>16.166533602282598</v>
      </c>
      <c r="AG4382">
        <v>-1.0295277899999999</v>
      </c>
      <c r="AH4382">
        <v>265.61623312790601</v>
      </c>
      <c r="AI4382">
        <v>90.221666977618995</v>
      </c>
      <c r="AJ4382">
        <v>86.517031777704503</v>
      </c>
      <c r="AK4382">
        <v>266.10975186423002</v>
      </c>
      <c r="AL4382">
        <v>89.964165179550804</v>
      </c>
      <c r="AM4382">
        <v>88.709700963795896</v>
      </c>
      <c r="AN4382">
        <v>1.00000005927976</v>
      </c>
    </row>
    <row r="4383" spans="1:40" x14ac:dyDescent="0.25">
      <c r="A4383" t="str">
        <f>"20190312160731102"</f>
        <v>20190312160731102</v>
      </c>
      <c r="B4383" t="str">
        <f>"1552378051100166"</f>
        <v>1552378051100166</v>
      </c>
      <c r="C4383" t="s">
        <v>40</v>
      </c>
      <c r="D4383">
        <v>6.2723789999999999</v>
      </c>
      <c r="E4383">
        <v>0.51649730000000005</v>
      </c>
      <c r="F4383" t="s">
        <v>54</v>
      </c>
      <c r="G4383">
        <v>-190.00470000000001</v>
      </c>
      <c r="H4383">
        <v>32.522030000000001</v>
      </c>
      <c r="I4383">
        <v>-81.825950000000006</v>
      </c>
      <c r="J4383">
        <v>-189.01920000000001</v>
      </c>
      <c r="K4383">
        <v>1.109491</v>
      </c>
      <c r="L4383">
        <v>194.9879</v>
      </c>
      <c r="M4383">
        <v>4.1730009999999998E-2</v>
      </c>
      <c r="N4383">
        <v>0</v>
      </c>
      <c r="O4383">
        <v>-0.99907000000000001</v>
      </c>
      <c r="P4383">
        <v>1.909961E-2</v>
      </c>
      <c r="Q4383">
        <v>-1.0813130000000001E-2</v>
      </c>
      <c r="R4383">
        <v>-0.99975939999999996</v>
      </c>
      <c r="S4383">
        <v>-1.0665890000000001E-2</v>
      </c>
      <c r="T4383">
        <v>0.340837099999999</v>
      </c>
      <c r="U4383">
        <v>-3.0045169999999999</v>
      </c>
      <c r="V4383">
        <v>2.2639449999999998E-2</v>
      </c>
      <c r="W4383" s="1">
        <v>2.1985029999999999E-5</v>
      </c>
      <c r="X4383">
        <v>0.99974370000000001</v>
      </c>
      <c r="Y4383">
        <v>4.5256339999999999E-2</v>
      </c>
      <c r="Z4383">
        <v>-0.1125135</v>
      </c>
      <c r="AA4383">
        <v>0.99261900000000003</v>
      </c>
      <c r="AB4383">
        <v>9</v>
      </c>
      <c r="AC4383">
        <v>-0.98550000000000104</v>
      </c>
      <c r="AD4383">
        <v>31.412538999999999</v>
      </c>
      <c r="AE4383">
        <v>-276.81385</v>
      </c>
      <c r="AF4383">
        <v>12.377379012056201</v>
      </c>
      <c r="AG4383">
        <v>31.412538999999999</v>
      </c>
      <c r="AH4383">
        <v>273.01586007038202</v>
      </c>
      <c r="AI4383">
        <v>83.443224636862197</v>
      </c>
      <c r="AJ4383">
        <v>87.404230229285901</v>
      </c>
      <c r="AK4383">
        <v>275.09563240372398</v>
      </c>
      <c r="AL4383">
        <v>89.998740350575204</v>
      </c>
      <c r="AM4383">
        <v>88.7027442382158</v>
      </c>
      <c r="AN4383">
        <v>1.0000000054346601</v>
      </c>
    </row>
    <row r="4384" spans="1:40" x14ac:dyDescent="0.25">
      <c r="A4384" t="str">
        <f>"20190312160731125"</f>
        <v>20190312160731125</v>
      </c>
      <c r="B4384" t="str">
        <f>"1552378051119686"</f>
        <v>1552378051119686</v>
      </c>
      <c r="C4384" t="s">
        <v>40</v>
      </c>
      <c r="D4384">
        <v>6.3983299999999996</v>
      </c>
      <c r="E4384">
        <v>0.51803739999999998</v>
      </c>
      <c r="F4384" t="s">
        <v>89</v>
      </c>
      <c r="G4384">
        <v>-190.16679999999999</v>
      </c>
      <c r="H4384" s="1">
        <v>-1.0721960000000001E-5</v>
      </c>
      <c r="I4384">
        <v>149.6062</v>
      </c>
      <c r="J4384">
        <v>-189.01669999999999</v>
      </c>
      <c r="K4384">
        <v>1.109459</v>
      </c>
      <c r="L4384">
        <v>194.893</v>
      </c>
      <c r="M4384">
        <v>4.0474410000000002E-2</v>
      </c>
      <c r="N4384">
        <v>0</v>
      </c>
      <c r="O4384">
        <v>-0.99912270000000003</v>
      </c>
      <c r="P4384">
        <v>1.7071019999999999E-2</v>
      </c>
      <c r="Q4384">
        <v>-1.185482E-2</v>
      </c>
      <c r="R4384">
        <v>-0.99978449999999996</v>
      </c>
      <c r="S4384">
        <v>-7.5897220000000001E-2</v>
      </c>
      <c r="T4384">
        <v>-7.3378680000000002E-2</v>
      </c>
      <c r="U4384">
        <v>-3.0013890000000001</v>
      </c>
      <c r="V4384">
        <v>2.3410440000000001E-2</v>
      </c>
      <c r="W4384">
        <v>-1.089673E-3</v>
      </c>
      <c r="X4384">
        <v>0.99972530000000004</v>
      </c>
      <c r="Y4384">
        <v>6.571486E-2</v>
      </c>
      <c r="Z4384">
        <v>2.4380590000000001E-2</v>
      </c>
      <c r="AA4384">
        <v>0.99754050000000005</v>
      </c>
      <c r="AB4384">
        <v>9</v>
      </c>
      <c r="AC4384">
        <v>-1.1500999999999999</v>
      </c>
      <c r="AD4384">
        <v>-1.10946972196</v>
      </c>
      <c r="AE4384">
        <v>-45.286799999999999</v>
      </c>
      <c r="AF4384">
        <v>2.98043231549287</v>
      </c>
      <c r="AG4384">
        <v>-1.10946972196</v>
      </c>
      <c r="AH4384">
        <v>45.176037613913998</v>
      </c>
      <c r="AI4384">
        <v>91.403782903610605</v>
      </c>
      <c r="AJ4384">
        <v>86.225452882660093</v>
      </c>
      <c r="AK4384">
        <v>45.2878380400848</v>
      </c>
      <c r="AL4384">
        <v>90.062433679066004</v>
      </c>
      <c r="AM4384">
        <v>88.658557187281204</v>
      </c>
      <c r="AN4384">
        <v>0.99999995577416401</v>
      </c>
    </row>
    <row r="4385" spans="1:40" x14ac:dyDescent="0.25">
      <c r="A4385" t="str">
        <f>"20190312160731148"</f>
        <v>20190312160731148</v>
      </c>
      <c r="B4385" t="str">
        <f>"1552378051140183"</f>
        <v>1552378051140183</v>
      </c>
      <c r="C4385" t="s">
        <v>40</v>
      </c>
      <c r="D4385">
        <v>6.0670229999999998</v>
      </c>
      <c r="E4385">
        <v>0.51717840000000004</v>
      </c>
      <c r="F4385" t="s">
        <v>47</v>
      </c>
      <c r="G4385">
        <v>-190.00380000000001</v>
      </c>
      <c r="H4385" s="1">
        <v>-1.9905170000000001E-6</v>
      </c>
      <c r="I4385">
        <v>163.80029999999999</v>
      </c>
      <c r="J4385">
        <v>-189.01419999999999</v>
      </c>
      <c r="K4385">
        <v>1.1094280000000001</v>
      </c>
      <c r="L4385">
        <v>194.79490000000001</v>
      </c>
      <c r="M4385">
        <v>3.9195649999999999E-2</v>
      </c>
      <c r="N4385">
        <v>0</v>
      </c>
      <c r="O4385">
        <v>-0.99917429999999996</v>
      </c>
      <c r="P4385">
        <v>1.5383320000000001E-2</v>
      </c>
      <c r="Q4385">
        <v>-1.2106509999999999E-2</v>
      </c>
      <c r="R4385">
        <v>-0.99980860000000005</v>
      </c>
      <c r="S4385">
        <v>-9.5275879999999993E-2</v>
      </c>
      <c r="T4385">
        <v>-0.107082</v>
      </c>
      <c r="U4385">
        <v>-3.0009769999999998</v>
      </c>
      <c r="V4385">
        <v>2.3818120000000002E-2</v>
      </c>
      <c r="W4385">
        <v>-1.412202E-3</v>
      </c>
      <c r="X4385">
        <v>0.99971529999999997</v>
      </c>
      <c r="Y4385">
        <v>7.0865940000000002E-2</v>
      </c>
      <c r="Z4385">
        <v>3.5564800000000001E-2</v>
      </c>
      <c r="AA4385">
        <v>0.99685159999999995</v>
      </c>
      <c r="AB4385">
        <v>9</v>
      </c>
      <c r="AC4385">
        <v>-0.98960000000002402</v>
      </c>
      <c r="AD4385">
        <v>-1.109429990517</v>
      </c>
      <c r="AE4385">
        <v>-30.994599999999998</v>
      </c>
      <c r="AF4385">
        <v>2.2009454111129698</v>
      </c>
      <c r="AG4385">
        <v>-1.109429990517</v>
      </c>
      <c r="AH4385">
        <v>30.892449318463399</v>
      </c>
      <c r="AI4385">
        <v>92.051564141916401</v>
      </c>
      <c r="AJ4385">
        <v>85.924824104600205</v>
      </c>
      <c r="AK4385">
        <v>30.990618265862199</v>
      </c>
      <c r="AL4385">
        <v>90.080913242195905</v>
      </c>
      <c r="AM4385">
        <v>88.635191808125697</v>
      </c>
      <c r="AN4385">
        <v>0.99999998910445598</v>
      </c>
    </row>
    <row r="4386" spans="1:40" x14ac:dyDescent="0.25">
      <c r="A4386" t="str">
        <f>"20190312160731170"</f>
        <v>20190312160731170</v>
      </c>
      <c r="B4386" t="str">
        <f>"1552378051159702"</f>
        <v>1552378051159702</v>
      </c>
      <c r="C4386" t="s">
        <v>40</v>
      </c>
      <c r="D4386">
        <v>6.4151920000000002</v>
      </c>
      <c r="E4386">
        <v>0.51648899999999998</v>
      </c>
      <c r="F4386" t="s">
        <v>47</v>
      </c>
      <c r="G4386">
        <v>-190.01159999999999</v>
      </c>
      <c r="H4386" s="1">
        <v>-1.473853E-6</v>
      </c>
      <c r="I4386">
        <v>162.703</v>
      </c>
      <c r="J4386">
        <v>-189.0121</v>
      </c>
      <c r="K4386">
        <v>1.1094040000000001</v>
      </c>
      <c r="L4386">
        <v>194.7055</v>
      </c>
      <c r="M4386">
        <v>3.8040780000000003E-2</v>
      </c>
      <c r="N4386">
        <v>0</v>
      </c>
      <c r="O4386">
        <v>-0.99921939999999998</v>
      </c>
      <c r="P4386">
        <v>1.420282E-2</v>
      </c>
      <c r="Q4386">
        <v>-1.2061560000000001E-2</v>
      </c>
      <c r="R4386">
        <v>-0.99982629999999995</v>
      </c>
      <c r="S4386">
        <v>-9.3261720000000006E-2</v>
      </c>
      <c r="T4386">
        <v>-0.1037375</v>
      </c>
      <c r="U4386">
        <v>-3.0007630000000001</v>
      </c>
      <c r="V4386">
        <v>2.3842950000000002E-2</v>
      </c>
      <c r="W4386">
        <v>-1.4285159999999999E-3</v>
      </c>
      <c r="X4386">
        <v>0.99971469999999996</v>
      </c>
      <c r="Y4386">
        <v>6.9047940000000002E-2</v>
      </c>
      <c r="Z4386">
        <v>3.4462670000000001E-2</v>
      </c>
      <c r="AA4386">
        <v>0.99701790000000001</v>
      </c>
      <c r="AB4386">
        <v>9</v>
      </c>
      <c r="AC4386">
        <v>-0.99949999999998296</v>
      </c>
      <c r="AD4386">
        <v>-1.1094054738529999</v>
      </c>
      <c r="AE4386">
        <v>-32.002499999999998</v>
      </c>
      <c r="AF4386">
        <v>2.21358803740904</v>
      </c>
      <c r="AG4386">
        <v>-1.1094054738529999</v>
      </c>
      <c r="AH4386">
        <v>31.903007684826399</v>
      </c>
      <c r="AI4386">
        <v>91.986846353547804</v>
      </c>
      <c r="AJ4386">
        <v>86.030897486847607</v>
      </c>
      <c r="AK4386">
        <v>31.9989476677417</v>
      </c>
      <c r="AL4386">
        <v>90.081847965263705</v>
      </c>
      <c r="AM4386">
        <v>88.633768737262699</v>
      </c>
      <c r="AN4386">
        <v>1.00000000415937</v>
      </c>
    </row>
    <row r="4387" spans="1:40" x14ac:dyDescent="0.25">
      <c r="A4387" t="str">
        <f>"20190312160731191"</f>
        <v>20190312160731191</v>
      </c>
      <c r="B4387" t="str">
        <f>"1552378051179222"</f>
        <v>1552378051179222</v>
      </c>
      <c r="C4387" t="s">
        <v>40</v>
      </c>
      <c r="D4387">
        <v>6.0899349999999997</v>
      </c>
      <c r="E4387">
        <v>0.51573970000000002</v>
      </c>
      <c r="F4387" t="s">
        <v>47</v>
      </c>
      <c r="G4387">
        <v>-190.01679999999999</v>
      </c>
      <c r="H4387" s="1">
        <v>-9.8747780000000001E-7</v>
      </c>
      <c r="I4387">
        <v>161.6711</v>
      </c>
      <c r="J4387">
        <v>-189.01</v>
      </c>
      <c r="K4387">
        <v>1.1093789999999999</v>
      </c>
      <c r="L4387">
        <v>194.61500000000001</v>
      </c>
      <c r="M4387">
        <v>3.687551E-2</v>
      </c>
      <c r="N4387">
        <v>0</v>
      </c>
      <c r="O4387">
        <v>-0.99926380000000004</v>
      </c>
      <c r="P4387">
        <v>1.3271059999999999E-2</v>
      </c>
      <c r="Q4387">
        <v>-1.2026749999999999E-2</v>
      </c>
      <c r="R4387">
        <v>-0.9998397</v>
      </c>
      <c r="S4387">
        <v>-9.1262819999999995E-2</v>
      </c>
      <c r="T4387">
        <v>-0.1007696</v>
      </c>
      <c r="U4387">
        <v>-3.0005799999999998</v>
      </c>
      <c r="V4387">
        <v>2.360872E-2</v>
      </c>
      <c r="W4387">
        <v>-1.452671E-3</v>
      </c>
      <c r="X4387">
        <v>0.99972019999999995</v>
      </c>
      <c r="Y4387">
        <v>6.7223779999999997E-2</v>
      </c>
      <c r="Z4387">
        <v>3.3484519999999997E-2</v>
      </c>
      <c r="AA4387">
        <v>0.9971759</v>
      </c>
      <c r="AB4387">
        <v>9</v>
      </c>
      <c r="AC4387">
        <v>-1.0067999999999899</v>
      </c>
      <c r="AD4387">
        <v>-1.1093799874778001</v>
      </c>
      <c r="AE4387">
        <v>-32.943899999999999</v>
      </c>
      <c r="AF4387">
        <v>2.21849293890071</v>
      </c>
      <c r="AG4387">
        <v>-1.1093799874778001</v>
      </c>
      <c r="AH4387">
        <v>32.847149211152697</v>
      </c>
      <c r="AI4387">
        <v>91.929979435853795</v>
      </c>
      <c r="AJ4387">
        <v>86.136117270132004</v>
      </c>
      <c r="AK4387">
        <v>32.940668575126097</v>
      </c>
      <c r="AL4387">
        <v>90.083231948250699</v>
      </c>
      <c r="AM4387">
        <v>88.647192840608099</v>
      </c>
      <c r="AN4387">
        <v>0.99999998010055602</v>
      </c>
    </row>
    <row r="4388" spans="1:40" x14ac:dyDescent="0.25">
      <c r="A4388" t="str">
        <f>"20190312160731214"</f>
        <v>20190312160731214</v>
      </c>
      <c r="B4388" t="str">
        <f>"1552378051209478"</f>
        <v>1552378051209478</v>
      </c>
      <c r="C4388" t="s">
        <v>40</v>
      </c>
      <c r="D4388">
        <v>6.3693059999999999</v>
      </c>
      <c r="E4388">
        <v>0.51208729999999902</v>
      </c>
      <c r="F4388" t="s">
        <v>47</v>
      </c>
      <c r="G4388">
        <v>-190.01230000000001</v>
      </c>
      <c r="H4388" s="1">
        <v>-3.7335069999999999E-7</v>
      </c>
      <c r="I4388">
        <v>160.37450000000001</v>
      </c>
      <c r="J4388">
        <v>-189.00790000000001</v>
      </c>
      <c r="K4388">
        <v>1.109359</v>
      </c>
      <c r="L4388">
        <v>194.52209999999999</v>
      </c>
      <c r="M4388">
        <v>3.5678219999999997E-2</v>
      </c>
      <c r="N4388">
        <v>0</v>
      </c>
      <c r="O4388">
        <v>-0.99930790000000003</v>
      </c>
      <c r="P4388">
        <v>1.20762E-2</v>
      </c>
      <c r="Q4388">
        <v>-1.1986989999999999E-2</v>
      </c>
      <c r="R4388">
        <v>-0.99985539999999995</v>
      </c>
      <c r="S4388">
        <v>-8.7829589999999999E-2</v>
      </c>
      <c r="T4388">
        <v>-9.7214700000000001E-2</v>
      </c>
      <c r="U4388">
        <v>-3.0004879999999998</v>
      </c>
      <c r="V4388">
        <v>2.3605560000000001E-2</v>
      </c>
      <c r="W4388">
        <v>-1.4716900000000001E-3</v>
      </c>
      <c r="X4388">
        <v>0.99972030000000001</v>
      </c>
      <c r="Y4388">
        <v>6.4890229999999993E-2</v>
      </c>
      <c r="Z4388">
        <v>3.231067E-2</v>
      </c>
      <c r="AA4388">
        <v>0.99736919999999996</v>
      </c>
      <c r="AB4388">
        <v>9</v>
      </c>
      <c r="AC4388">
        <v>-1.0044</v>
      </c>
      <c r="AD4388">
        <v>-1.1093593733506999</v>
      </c>
      <c r="AE4388">
        <v>-34.147599999999898</v>
      </c>
      <c r="AF4388">
        <v>2.2198127315106699</v>
      </c>
      <c r="AG4388">
        <v>-1.1093593733506999</v>
      </c>
      <c r="AH4388">
        <v>34.054109413111597</v>
      </c>
      <c r="AI4388">
        <v>91.861880213782996</v>
      </c>
      <c r="AJ4388">
        <v>86.270458385406101</v>
      </c>
      <c r="AK4388">
        <v>34.144408249410198</v>
      </c>
      <c r="AL4388">
        <v>90.084321653383398</v>
      </c>
      <c r="AM4388">
        <v>88.647373980265101</v>
      </c>
      <c r="AN4388">
        <v>1.00000003328322</v>
      </c>
    </row>
    <row r="4389" spans="1:40" x14ac:dyDescent="0.25">
      <c r="A4389" t="str">
        <f>"20190312160731236"</f>
        <v>20190312160731236</v>
      </c>
      <c r="B4389" t="str">
        <f>"1552378051229974"</f>
        <v>1552378051229974</v>
      </c>
      <c r="C4389" t="s">
        <v>40</v>
      </c>
      <c r="D4389">
        <v>6.4186509999999997</v>
      </c>
      <c r="E4389">
        <v>0.51169790000000004</v>
      </c>
      <c r="F4389" t="s">
        <v>89</v>
      </c>
      <c r="G4389">
        <v>-189.81549999999999</v>
      </c>
      <c r="H4389" s="1">
        <v>-1.317837E-5</v>
      </c>
      <c r="I4389">
        <v>155.42250000000001</v>
      </c>
      <c r="J4389">
        <v>-189.0059</v>
      </c>
      <c r="K4389">
        <v>1.1093379999999999</v>
      </c>
      <c r="L4389">
        <v>194.42400000000001</v>
      </c>
      <c r="M4389">
        <v>3.4410049999999998E-2</v>
      </c>
      <c r="N4389">
        <v>0</v>
      </c>
      <c r="O4389">
        <v>-0.99935309999999999</v>
      </c>
      <c r="P4389">
        <v>1.063004E-2</v>
      </c>
      <c r="Q4389">
        <v>-1.1911339999999999E-2</v>
      </c>
      <c r="R4389">
        <v>-0.99987300000000001</v>
      </c>
      <c r="S4389">
        <v>-6.1965939999999997E-2</v>
      </c>
      <c r="T4389">
        <v>-8.5123660000000004E-2</v>
      </c>
      <c r="U4389">
        <v>-3.0001679999999999</v>
      </c>
      <c r="V4389">
        <v>2.37828E-2</v>
      </c>
      <c r="W4389">
        <v>-1.4545770000000001E-3</v>
      </c>
      <c r="X4389">
        <v>0.9997161</v>
      </c>
      <c r="Y4389">
        <v>5.5033829999999999E-2</v>
      </c>
      <c r="Z4389">
        <v>2.831185E-2</v>
      </c>
      <c r="AA4389">
        <v>0.99808300000000005</v>
      </c>
      <c r="AB4389">
        <v>9</v>
      </c>
      <c r="AC4389">
        <v>-0.809599999999989</v>
      </c>
      <c r="AD4389">
        <v>-1.1093511783700001</v>
      </c>
      <c r="AE4389">
        <v>-39.001499999999901</v>
      </c>
      <c r="AF4389">
        <v>2.1494991317263499</v>
      </c>
      <c r="AG4389">
        <v>-1.1093511783700001</v>
      </c>
      <c r="AH4389">
        <v>38.91906692501</v>
      </c>
      <c r="AI4389">
        <v>91.630236734623793</v>
      </c>
      <c r="AJ4389">
        <v>86.838767152018306</v>
      </c>
      <c r="AK4389">
        <v>38.994163369248596</v>
      </c>
      <c r="AL4389">
        <v>90.083341151716795</v>
      </c>
      <c r="AM4389">
        <v>88.637216014820794</v>
      </c>
      <c r="AN4389">
        <v>1.0000000089846399</v>
      </c>
    </row>
    <row r="4390" spans="1:40" x14ac:dyDescent="0.25">
      <c r="A4390" t="str">
        <f>"20190312160731248"</f>
        <v>20190312160731248</v>
      </c>
      <c r="B4390" t="str">
        <f>"1552378051239735"</f>
        <v>1552378051239735</v>
      </c>
      <c r="C4390" t="s">
        <v>40</v>
      </c>
      <c r="D4390">
        <v>6.418952</v>
      </c>
      <c r="E4390">
        <v>0.51126870000000002</v>
      </c>
      <c r="F4390" t="s">
        <v>89</v>
      </c>
      <c r="G4390">
        <v>-189.84569999999999</v>
      </c>
      <c r="H4390" s="1">
        <v>-1.2812249999999999E-5</v>
      </c>
      <c r="I4390">
        <v>154.5711</v>
      </c>
      <c r="J4390">
        <v>-189.00489999999999</v>
      </c>
      <c r="K4390">
        <v>1.1093200000000001</v>
      </c>
      <c r="L4390">
        <v>194.3734</v>
      </c>
      <c r="M4390">
        <v>3.3755319999999998E-2</v>
      </c>
      <c r="N4390">
        <v>0</v>
      </c>
      <c r="O4390">
        <v>-0.99937580000000004</v>
      </c>
      <c r="P4390">
        <v>1.0319119999999999E-2</v>
      </c>
      <c r="Q4390">
        <v>-1.183646E-2</v>
      </c>
      <c r="R4390">
        <v>-0.99987700000000002</v>
      </c>
      <c r="S4390">
        <v>-6.3217159999999994E-2</v>
      </c>
      <c r="T4390">
        <v>-8.3510039999999994E-2</v>
      </c>
      <c r="U4390">
        <v>-3.0000610000000001</v>
      </c>
      <c r="V4390">
        <v>2.3438750000000001E-2</v>
      </c>
      <c r="W4390">
        <v>-1.4073340000000001E-3</v>
      </c>
      <c r="X4390">
        <v>0.99972430000000001</v>
      </c>
      <c r="Y4390">
        <v>5.47968E-2</v>
      </c>
      <c r="Z4390">
        <v>2.777756E-2</v>
      </c>
      <c r="AA4390">
        <v>0.99811110000000003</v>
      </c>
      <c r="AB4390">
        <v>9</v>
      </c>
      <c r="AC4390">
        <v>-0.84080000000000099</v>
      </c>
      <c r="AD4390">
        <v>-1.1093328122499999</v>
      </c>
      <c r="AE4390">
        <v>-39.802300000000002</v>
      </c>
      <c r="AF4390">
        <v>2.1822387246124002</v>
      </c>
      <c r="AG4390">
        <v>-1.1093328122499999</v>
      </c>
      <c r="AH4390">
        <v>39.720391351058701</v>
      </c>
      <c r="AI4390">
        <v>91.597364329588999</v>
      </c>
      <c r="AJ4390">
        <v>86.8553306811977</v>
      </c>
      <c r="AK4390">
        <v>39.795756987658798</v>
      </c>
      <c r="AL4390">
        <v>90.080634323908399</v>
      </c>
      <c r="AM4390">
        <v>88.656934245401999</v>
      </c>
      <c r="AN4390">
        <v>1.00000001580051</v>
      </c>
    </row>
    <row r="4391" spans="1:40" x14ac:dyDescent="0.25">
      <c r="A4391" t="str">
        <f>"20190312160731269"</f>
        <v>20190312160731269</v>
      </c>
      <c r="B4391" t="str">
        <f>"1552378051260236"</f>
        <v>1552378051260236</v>
      </c>
      <c r="C4391" t="s">
        <v>40</v>
      </c>
      <c r="D4391">
        <v>5.717778</v>
      </c>
      <c r="E4391">
        <v>0.51067070000000003</v>
      </c>
      <c r="F4391" t="s">
        <v>89</v>
      </c>
      <c r="G4391">
        <v>-189.81450000000001</v>
      </c>
      <c r="H4391" s="1">
        <v>-1.2696180000000001E-5</v>
      </c>
      <c r="I4391">
        <v>154.30109999999999</v>
      </c>
      <c r="J4391">
        <v>-189.0033</v>
      </c>
      <c r="K4391">
        <v>1.1093040000000001</v>
      </c>
      <c r="L4391">
        <v>194.28809999999999</v>
      </c>
      <c r="M4391">
        <v>3.2647420000000003E-2</v>
      </c>
      <c r="N4391">
        <v>0</v>
      </c>
      <c r="O4391">
        <v>-0.99941270000000004</v>
      </c>
      <c r="P4391">
        <v>9.3670119999999992E-3</v>
      </c>
      <c r="Q4391">
        <v>-1.1734090000000001E-2</v>
      </c>
      <c r="R4391">
        <v>-0.99988759999999999</v>
      </c>
      <c r="S4391">
        <v>-6.0607910000000001E-2</v>
      </c>
      <c r="T4391">
        <v>-8.305013E-2</v>
      </c>
      <c r="U4391">
        <v>-3.0000149999999999</v>
      </c>
      <c r="V4391">
        <v>2.3282489999999999E-2</v>
      </c>
      <c r="W4391">
        <v>-1.3485350000000001E-3</v>
      </c>
      <c r="X4391">
        <v>0.99972799999999995</v>
      </c>
      <c r="Y4391">
        <v>5.282245E-2</v>
      </c>
      <c r="Z4391">
        <v>2.7628369999999999E-2</v>
      </c>
      <c r="AA4391">
        <v>0.99822160000000004</v>
      </c>
      <c r="AB4391">
        <v>9</v>
      </c>
      <c r="AC4391">
        <v>-0.81120000000001302</v>
      </c>
      <c r="AD4391">
        <v>-1.1093166961799901</v>
      </c>
      <c r="AE4391">
        <v>-39.987000000000002</v>
      </c>
      <c r="AF4391">
        <v>2.1146838513958799</v>
      </c>
      <c r="AG4391">
        <v>-1.1093166961799901</v>
      </c>
      <c r="AH4391">
        <v>39.908495295247903</v>
      </c>
      <c r="AI4391">
        <v>91.589983010036406</v>
      </c>
      <c r="AJ4391">
        <v>86.966829968770696</v>
      </c>
      <c r="AK4391">
        <v>39.9798757883839</v>
      </c>
      <c r="AL4391">
        <v>90.077265388724001</v>
      </c>
      <c r="AM4391">
        <v>88.665889801494401</v>
      </c>
      <c r="AN4391">
        <v>0.99999998343562302</v>
      </c>
    </row>
    <row r="4392" spans="1:40" x14ac:dyDescent="0.25">
      <c r="A4392" t="str">
        <f>"20190312160731292"</f>
        <v>20190312160731292</v>
      </c>
      <c r="B4392" t="str">
        <f>"1552378051279750"</f>
        <v>1552378051279750</v>
      </c>
      <c r="C4392" t="s">
        <v>40</v>
      </c>
      <c r="D4392">
        <v>6.6292970000000002</v>
      </c>
      <c r="E4392">
        <v>0.51440980000000003</v>
      </c>
      <c r="F4392" t="s">
        <v>89</v>
      </c>
      <c r="G4392">
        <v>-189.8843</v>
      </c>
      <c r="H4392" s="1">
        <v>-1.053251E-5</v>
      </c>
      <c r="I4392">
        <v>149.00399999999999</v>
      </c>
      <c r="J4392">
        <v>-189.0017</v>
      </c>
      <c r="K4392">
        <v>1.1092850000000001</v>
      </c>
      <c r="L4392">
        <v>194.19229999999999</v>
      </c>
      <c r="M4392">
        <v>3.140159E-2</v>
      </c>
      <c r="N4392">
        <v>0</v>
      </c>
      <c r="O4392">
        <v>-0.99945320000000004</v>
      </c>
      <c r="P4392">
        <v>8.7210280000000005E-3</v>
      </c>
      <c r="Q4392">
        <v>-1.144162E-2</v>
      </c>
      <c r="R4392">
        <v>-0.99989660000000002</v>
      </c>
      <c r="S4392">
        <v>-5.8364869999999999E-2</v>
      </c>
      <c r="T4392">
        <v>-7.3490739999999999E-2</v>
      </c>
      <c r="U4392">
        <v>-3.0000149999999999</v>
      </c>
      <c r="V4392">
        <v>2.268245E-2</v>
      </c>
      <c r="W4392">
        <v>-1.1017030000000001E-3</v>
      </c>
      <c r="X4392">
        <v>0.99974209999999997</v>
      </c>
      <c r="Y4392">
        <v>5.0833089999999997E-2</v>
      </c>
      <c r="Z4392">
        <v>2.4453180000000001E-2</v>
      </c>
      <c r="AA4392">
        <v>0.99840779999999996</v>
      </c>
      <c r="AB4392">
        <v>9</v>
      </c>
      <c r="AC4392">
        <v>-0.88259999999999605</v>
      </c>
      <c r="AD4392">
        <v>-1.10929553251</v>
      </c>
      <c r="AE4392">
        <v>-45.188299999999998</v>
      </c>
      <c r="AF4392">
        <v>2.2998398623163201</v>
      </c>
      <c r="AG4392">
        <v>-1.10929553251</v>
      </c>
      <c r="AH4392">
        <v>45.111121966764799</v>
      </c>
      <c r="AI4392">
        <v>91.406809586501595</v>
      </c>
      <c r="AJ4392">
        <v>87.081492850820794</v>
      </c>
      <c r="AK4392">
        <v>45.183327954800703</v>
      </c>
      <c r="AL4392">
        <v>90.063122945773003</v>
      </c>
      <c r="AM4392">
        <v>88.700279074199599</v>
      </c>
      <c r="AN4392">
        <v>0.99999998689995595</v>
      </c>
    </row>
    <row r="4393" spans="1:40" x14ac:dyDescent="0.25">
      <c r="A4393" t="str">
        <f>"20190312160731305"</f>
        <v>20190312160731305</v>
      </c>
      <c r="B4393" t="str">
        <f>"1552378051299271"</f>
        <v>1552378051299271</v>
      </c>
      <c r="C4393" t="s">
        <v>40</v>
      </c>
      <c r="D4393">
        <v>6.3901659999999998</v>
      </c>
      <c r="E4393">
        <v>0.51948739999999904</v>
      </c>
      <c r="F4393" t="s">
        <v>89</v>
      </c>
      <c r="G4393">
        <v>-190.31729999999999</v>
      </c>
      <c r="H4393" s="1">
        <v>-1.11154199999999E-5</v>
      </c>
      <c r="I4393">
        <v>150.465</v>
      </c>
      <c r="J4393">
        <v>-189.0008</v>
      </c>
      <c r="K4393">
        <v>1.1092759999999999</v>
      </c>
      <c r="L4393">
        <v>194.13669999999999</v>
      </c>
      <c r="M4393">
        <v>3.0675040000000001E-2</v>
      </c>
      <c r="N4393">
        <v>0</v>
      </c>
      <c r="O4393">
        <v>-0.99947600000000003</v>
      </c>
      <c r="P4393">
        <v>7.7716759999999999E-3</v>
      </c>
      <c r="Q4393">
        <v>-1.1338539999999999E-2</v>
      </c>
      <c r="R4393">
        <v>-0.9999053</v>
      </c>
      <c r="S4393">
        <v>-9.0271000000000004E-2</v>
      </c>
      <c r="T4393">
        <v>-7.6110960000000005E-2</v>
      </c>
      <c r="U4393">
        <v>-3.0002140000000002</v>
      </c>
      <c r="V4393">
        <v>2.2904959999999999E-2</v>
      </c>
      <c r="W4393">
        <v>-1.0254870000000001E-3</v>
      </c>
      <c r="X4393">
        <v>0.99973710000000005</v>
      </c>
      <c r="Y4393">
        <v>6.0713580000000003E-2</v>
      </c>
      <c r="Z4393">
        <v>2.5313329999999998E-2</v>
      </c>
      <c r="AA4393">
        <v>0.9978342</v>
      </c>
      <c r="AB4393">
        <v>9</v>
      </c>
      <c r="AC4393">
        <v>-1.31649999999999</v>
      </c>
      <c r="AD4393">
        <v>-1.1092871154199999</v>
      </c>
      <c r="AE4393">
        <v>-43.671699999999902</v>
      </c>
      <c r="AF4393">
        <v>2.6538723691525798</v>
      </c>
      <c r="AG4393">
        <v>-1.1092871154199999</v>
      </c>
      <c r="AH4393">
        <v>43.582666925367803</v>
      </c>
      <c r="AI4393">
        <v>91.455310655273394</v>
      </c>
      <c r="AJ4393">
        <v>86.515399901823301</v>
      </c>
      <c r="AK4393">
        <v>43.677481758724802</v>
      </c>
      <c r="AL4393">
        <v>90.058756088579599</v>
      </c>
      <c r="AM4393">
        <v>88.687526965209301</v>
      </c>
      <c r="AN4393">
        <v>0.999999978966299</v>
      </c>
    </row>
    <row r="4394" spans="1:40" x14ac:dyDescent="0.25">
      <c r="A4394" t="str">
        <f>"20190312160731327"</f>
        <v>20190312160731327</v>
      </c>
      <c r="B4394" t="str">
        <f>"1552378051319766"</f>
        <v>1552378051319766</v>
      </c>
      <c r="C4394" t="s">
        <v>40</v>
      </c>
      <c r="D4394">
        <v>6.4384769999999998</v>
      </c>
      <c r="E4394">
        <v>0.52405489999999999</v>
      </c>
      <c r="F4394" t="s">
        <v>89</v>
      </c>
      <c r="G4394">
        <v>-191.29499999999999</v>
      </c>
      <c r="H4394" s="1">
        <v>-9.0430320000000005E-6</v>
      </c>
      <c r="I4394">
        <v>142.48099999999999</v>
      </c>
      <c r="J4394">
        <v>-188.99930000000001</v>
      </c>
      <c r="K4394">
        <v>1.1092690000000001</v>
      </c>
      <c r="L4394">
        <v>194.04230000000001</v>
      </c>
      <c r="M4394">
        <v>2.944372E-2</v>
      </c>
      <c r="N4394">
        <v>0</v>
      </c>
      <c r="O4394">
        <v>-0.9995136</v>
      </c>
      <c r="P4394">
        <v>5.53106E-3</v>
      </c>
      <c r="Q4394">
        <v>-1.1631000000000001E-2</v>
      </c>
      <c r="R4394">
        <v>-0.9999171</v>
      </c>
      <c r="S4394">
        <v>-0.13327030000000001</v>
      </c>
      <c r="T4394">
        <v>-6.4436199999999999E-2</v>
      </c>
      <c r="U4394">
        <v>-3.0005799999999998</v>
      </c>
      <c r="V4394">
        <v>2.3913070000000002E-2</v>
      </c>
      <c r="W4394">
        <v>-1.365242E-3</v>
      </c>
      <c r="X4394">
        <v>0.99971310000000002</v>
      </c>
      <c r="Y4394">
        <v>7.3757950000000003E-2</v>
      </c>
      <c r="Z4394">
        <v>2.1415880000000002E-2</v>
      </c>
      <c r="AA4394">
        <v>0.99704619999999999</v>
      </c>
      <c r="AB4394">
        <v>9</v>
      </c>
      <c r="AC4394">
        <v>-2.2956999999999801</v>
      </c>
      <c r="AD4394">
        <v>-1.1092780430319999</v>
      </c>
      <c r="AE4394">
        <v>-51.561300000000003</v>
      </c>
      <c r="AF4394">
        <v>3.8111807527839501</v>
      </c>
      <c r="AG4394">
        <v>-1.1092780430319999</v>
      </c>
      <c r="AH4394">
        <v>51.447580176775098</v>
      </c>
      <c r="AI4394">
        <v>91.231807373372604</v>
      </c>
      <c r="AJ4394">
        <v>85.7633295339581</v>
      </c>
      <c r="AK4394">
        <v>51.600475797736998</v>
      </c>
      <c r="AL4394">
        <v>90.078222629652302</v>
      </c>
      <c r="AM4394">
        <v>88.629750109788205</v>
      </c>
      <c r="AN4394">
        <v>0.999999990557076</v>
      </c>
    </row>
    <row r="4395" spans="1:40" x14ac:dyDescent="0.25">
      <c r="A4395" t="str">
        <f>"20190312160731339"</f>
        <v>20190312160731339</v>
      </c>
      <c r="B4395" t="str">
        <f>"1552378051329527"</f>
        <v>1552378051329527</v>
      </c>
      <c r="C4395" t="s">
        <v>40</v>
      </c>
      <c r="D4395">
        <v>6.4480089999999999</v>
      </c>
      <c r="E4395">
        <v>0.52619939999999998</v>
      </c>
      <c r="F4395" t="s">
        <v>89</v>
      </c>
      <c r="G4395">
        <v>-192.64320000000001</v>
      </c>
      <c r="H4395" s="1">
        <v>-5.9844050000000002E-6</v>
      </c>
      <c r="I4395">
        <v>131.93780000000001</v>
      </c>
      <c r="J4395">
        <v>-188.99860000000001</v>
      </c>
      <c r="K4395">
        <v>1.1092599999999999</v>
      </c>
      <c r="L4395">
        <v>193.99090000000001</v>
      </c>
      <c r="M4395">
        <v>2.877292E-2</v>
      </c>
      <c r="N4395">
        <v>0</v>
      </c>
      <c r="O4395">
        <v>-0.99953340000000002</v>
      </c>
      <c r="P4395">
        <v>4.161227E-3</v>
      </c>
      <c r="Q4395">
        <v>-1.1966589999999999E-2</v>
      </c>
      <c r="R4395">
        <v>-0.99991980000000003</v>
      </c>
      <c r="S4395">
        <v>-0.17605589999999999</v>
      </c>
      <c r="T4395">
        <v>-5.3595190000000001E-2</v>
      </c>
      <c r="U4395">
        <v>-3.00061</v>
      </c>
      <c r="V4395">
        <v>2.4611210000000001E-2</v>
      </c>
      <c r="W4395">
        <v>-1.7275000000000001E-3</v>
      </c>
      <c r="X4395">
        <v>0.99969560000000002</v>
      </c>
      <c r="Y4395">
        <v>8.7264110000000006E-2</v>
      </c>
      <c r="Z4395">
        <v>1.7798120000000001E-2</v>
      </c>
      <c r="AA4395">
        <v>0.99602619999999997</v>
      </c>
      <c r="AB4395">
        <v>9</v>
      </c>
      <c r="AC4395">
        <v>-3.6445999999999898</v>
      </c>
      <c r="AD4395">
        <v>-1.1092659844049999</v>
      </c>
      <c r="AE4395">
        <v>-62.053100000000001</v>
      </c>
      <c r="AF4395">
        <v>5.4269053693353904</v>
      </c>
      <c r="AG4395">
        <v>-1.1092659844049999</v>
      </c>
      <c r="AH4395">
        <v>61.9028210979601</v>
      </c>
      <c r="AI4395">
        <v>91.022678707162896</v>
      </c>
      <c r="AJ4395">
        <v>84.989794859420201</v>
      </c>
      <c r="AK4395">
        <v>62.150149097149701</v>
      </c>
      <c r="AL4395">
        <v>90.098978508903897</v>
      </c>
      <c r="AM4395">
        <v>88.589737032497098</v>
      </c>
      <c r="AN4395">
        <v>0.999999994286637</v>
      </c>
    </row>
    <row r="4396" spans="1:40" x14ac:dyDescent="0.25">
      <c r="A4396" t="str">
        <f>"20190312160731361"</f>
        <v>20190312160731361</v>
      </c>
      <c r="B4396" t="str">
        <f>"1552378051350022"</f>
        <v>1552378051350022</v>
      </c>
      <c r="C4396" t="s">
        <v>40</v>
      </c>
      <c r="D4396">
        <v>6.3998989999999996</v>
      </c>
      <c r="E4396">
        <v>0.52961749999999996</v>
      </c>
      <c r="F4396" t="s">
        <v>89</v>
      </c>
      <c r="G4396">
        <v>-193.5326</v>
      </c>
      <c r="H4396" s="1">
        <v>-3.659175E-6</v>
      </c>
      <c r="I4396">
        <v>124.9136</v>
      </c>
      <c r="J4396">
        <v>-188.9973</v>
      </c>
      <c r="K4396">
        <v>1.109256</v>
      </c>
      <c r="L4396">
        <v>193.89670000000001</v>
      </c>
      <c r="M4396">
        <v>2.7545610000000002E-2</v>
      </c>
      <c r="N4396">
        <v>0</v>
      </c>
      <c r="O4396">
        <v>-0.99956849999999997</v>
      </c>
      <c r="P4396">
        <v>1.432638E-3</v>
      </c>
      <c r="Q4396">
        <v>-1.186482E-2</v>
      </c>
      <c r="R4396">
        <v>-0.99992840000000005</v>
      </c>
      <c r="S4396">
        <v>-0.19694519999999999</v>
      </c>
      <c r="T4396">
        <v>-4.8182959999999997E-2</v>
      </c>
      <c r="U4396">
        <v>-3.0005039999999998</v>
      </c>
      <c r="V4396">
        <v>2.611161E-2</v>
      </c>
      <c r="W4396">
        <v>-1.6760529999999901E-3</v>
      </c>
      <c r="X4396">
        <v>0.99965760000000004</v>
      </c>
      <c r="Y4396">
        <v>9.295109E-2</v>
      </c>
      <c r="Z4396">
        <v>1.5995120000000002E-2</v>
      </c>
      <c r="AA4396">
        <v>0.99554219999999904</v>
      </c>
      <c r="AB4396">
        <v>10</v>
      </c>
      <c r="AC4396">
        <v>-4.5353000000000003</v>
      </c>
      <c r="AD4396">
        <v>-1.1092596591749999</v>
      </c>
      <c r="AE4396">
        <v>-68.983099999999993</v>
      </c>
      <c r="AF4396">
        <v>6.43220329987422</v>
      </c>
      <c r="AG4396">
        <v>-1.1092596591749999</v>
      </c>
      <c r="AH4396">
        <v>68.814270529274793</v>
      </c>
      <c r="AI4396">
        <v>90.919498613935801</v>
      </c>
      <c r="AJ4396">
        <v>84.659968279503204</v>
      </c>
      <c r="AK4396">
        <v>69.123133065266998</v>
      </c>
      <c r="AL4396">
        <v>90.096030810858693</v>
      </c>
      <c r="AM4396">
        <v>88.5037427442969</v>
      </c>
      <c r="AN4396">
        <v>0.999999971284105</v>
      </c>
    </row>
    <row r="4397" spans="1:40" x14ac:dyDescent="0.25">
      <c r="A4397" t="str">
        <f>"20190312160731383"</f>
        <v>20190312160731383</v>
      </c>
      <c r="B4397" t="str">
        <f>"1552378051369543"</f>
        <v>1552378051369543</v>
      </c>
      <c r="C4397" t="s">
        <v>40</v>
      </c>
      <c r="D4397">
        <v>6.4107719999999997</v>
      </c>
      <c r="E4397">
        <v>0.53264889999999998</v>
      </c>
      <c r="F4397" t="s">
        <v>47</v>
      </c>
      <c r="G4397">
        <v>-196.10900000000001</v>
      </c>
      <c r="H4397" s="1">
        <v>-2.6477609999999999E-6</v>
      </c>
      <c r="I4397">
        <v>101.9721</v>
      </c>
      <c r="J4397">
        <v>-188.99619999999999</v>
      </c>
      <c r="K4397">
        <v>1.1092470000000001</v>
      </c>
      <c r="L4397">
        <v>193.8039</v>
      </c>
      <c r="M4397">
        <v>2.6342589999999999E-2</v>
      </c>
      <c r="N4397">
        <v>0</v>
      </c>
      <c r="O4397">
        <v>-0.99960159999999998</v>
      </c>
      <c r="P4397">
        <v>-1.1834009999999999E-3</v>
      </c>
      <c r="Q4397">
        <v>-1.1242739999999999E-2</v>
      </c>
      <c r="R4397">
        <v>-0.99993620000000005</v>
      </c>
      <c r="S4397">
        <v>-0.23210140000000001</v>
      </c>
      <c r="T4397">
        <v>-3.6202430000000001E-2</v>
      </c>
      <c r="U4397">
        <v>-3.0001069999999999</v>
      </c>
      <c r="V4397">
        <v>2.752435E-2</v>
      </c>
      <c r="W4397">
        <v>-1.1049020000000001E-3</v>
      </c>
      <c r="X4397">
        <v>0.99962050000000002</v>
      </c>
      <c r="Y4397">
        <v>0.103367</v>
      </c>
      <c r="Z4397">
        <v>1.200963E-2</v>
      </c>
      <c r="AA4397">
        <v>0.99457079999999998</v>
      </c>
      <c r="AB4397">
        <v>10</v>
      </c>
      <c r="AC4397">
        <v>-7.1128000000000204</v>
      </c>
      <c r="AD4397">
        <v>-1.1092496477610001</v>
      </c>
      <c r="AE4397">
        <v>-91.831800000000001</v>
      </c>
      <c r="AF4397">
        <v>9.5281611923916305</v>
      </c>
      <c r="AG4397">
        <v>-1.1092496477610001</v>
      </c>
      <c r="AH4397">
        <v>91.599264326068095</v>
      </c>
      <c r="AI4397">
        <v>90.690084058574698</v>
      </c>
      <c r="AJ4397">
        <v>84.061446711010504</v>
      </c>
      <c r="AK4397">
        <v>92.100171094119801</v>
      </c>
      <c r="AL4397">
        <v>90.063306235691101</v>
      </c>
      <c r="AM4397">
        <v>88.422770720960898</v>
      </c>
      <c r="AN4397">
        <v>0.99999997733580004</v>
      </c>
    </row>
    <row r="4398" spans="1:40" x14ac:dyDescent="0.25">
      <c r="A4398" t="str">
        <f>"20190312160731403"</f>
        <v>20190312160731403</v>
      </c>
      <c r="B4398" t="str">
        <f>"1552378051399799"</f>
        <v>1552378051399799</v>
      </c>
      <c r="C4398" t="s">
        <v>40</v>
      </c>
      <c r="D4398">
        <v>6.3695649999999997</v>
      </c>
      <c r="E4398">
        <v>0.53613480000000002</v>
      </c>
      <c r="F4398" t="s">
        <v>47</v>
      </c>
      <c r="G4398">
        <v>-200.52459999999999</v>
      </c>
      <c r="H4398">
        <v>7.998595E-2</v>
      </c>
      <c r="I4398">
        <v>62.676200000000001</v>
      </c>
      <c r="J4398">
        <v>-188.99510000000001</v>
      </c>
      <c r="K4398">
        <v>1.109245</v>
      </c>
      <c r="L4398">
        <v>193.71109999999999</v>
      </c>
      <c r="M4398">
        <v>2.5149930000000001E-2</v>
      </c>
      <c r="N4398">
        <v>0</v>
      </c>
      <c r="O4398">
        <v>-0.99963279999999999</v>
      </c>
      <c r="P4398">
        <v>-3.5716509999999999E-3</v>
      </c>
      <c r="Q4398">
        <v>-1.1007050000000001E-2</v>
      </c>
      <c r="R4398">
        <v>-0.99993310000000002</v>
      </c>
      <c r="S4398">
        <v>-0.2637177</v>
      </c>
      <c r="T4398">
        <v>-2.3544909999999999E-2</v>
      </c>
      <c r="U4398">
        <v>-2.999619</v>
      </c>
      <c r="V4398">
        <v>2.8719310000000001E-2</v>
      </c>
      <c r="W4398">
        <v>-9.2114010000000001E-4</v>
      </c>
      <c r="X4398">
        <v>0.99958709999999995</v>
      </c>
      <c r="Y4398">
        <v>0.11260340000000001</v>
      </c>
      <c r="Z4398">
        <v>7.8053200000000001E-3</v>
      </c>
      <c r="AA4398">
        <v>0.99360939999999998</v>
      </c>
      <c r="AB4398">
        <v>10</v>
      </c>
      <c r="AC4398">
        <v>-11.529499999999899</v>
      </c>
      <c r="AD4398">
        <v>-1.0292590500000001</v>
      </c>
      <c r="AE4398">
        <v>-131.03489999999999</v>
      </c>
      <c r="AF4398">
        <v>14.8206315792926</v>
      </c>
      <c r="AG4398">
        <v>-1.0292590500000001</v>
      </c>
      <c r="AH4398">
        <v>130.69546554502301</v>
      </c>
      <c r="AI4398">
        <v>90.448335794769406</v>
      </c>
      <c r="AJ4398">
        <v>83.530398024154195</v>
      </c>
      <c r="AK4398">
        <v>131.53712483033601</v>
      </c>
      <c r="AL4398">
        <v>90.052777447065395</v>
      </c>
      <c r="AM4398">
        <v>88.354277778287695</v>
      </c>
      <c r="AN4398">
        <v>1.00000000887618</v>
      </c>
    </row>
    <row r="4399" spans="1:40" x14ac:dyDescent="0.25">
      <c r="A4399" t="str">
        <f>"20190312160731427"</f>
        <v>20190312160731427</v>
      </c>
      <c r="B4399" t="str">
        <f>"1552378051419322"</f>
        <v>1552378051419322</v>
      </c>
      <c r="C4399" t="s">
        <v>40</v>
      </c>
      <c r="D4399">
        <v>6.3954579999999996</v>
      </c>
      <c r="E4399">
        <v>0.53809989999999996</v>
      </c>
      <c r="F4399" t="s">
        <v>60</v>
      </c>
      <c r="G4399">
        <v>-210.73390000000001</v>
      </c>
      <c r="H4399">
        <v>0.26098589999999999</v>
      </c>
      <c r="I4399">
        <v>-24.85821</v>
      </c>
      <c r="J4399">
        <v>-188.9941</v>
      </c>
      <c r="K4399">
        <v>1.1092379999999999</v>
      </c>
      <c r="L4399">
        <v>193.6078</v>
      </c>
      <c r="M4399">
        <v>2.3837919999999999E-2</v>
      </c>
      <c r="N4399">
        <v>0</v>
      </c>
      <c r="O4399">
        <v>-0.99966540000000004</v>
      </c>
      <c r="P4399">
        <v>-5.1105609999999996E-3</v>
      </c>
      <c r="Q4399">
        <v>-1.075624E-2</v>
      </c>
      <c r="R4399">
        <v>-0.99992910000000002</v>
      </c>
      <c r="S4399">
        <v>-0.29827880000000001</v>
      </c>
      <c r="T4399">
        <v>-1.1639E-2</v>
      </c>
      <c r="U4399">
        <v>-2.998993</v>
      </c>
      <c r="V4399">
        <v>2.8945970000000001E-2</v>
      </c>
      <c r="W4399">
        <v>-7.3049849999999995E-4</v>
      </c>
      <c r="X4399">
        <v>0.99958069999999999</v>
      </c>
      <c r="Y4399">
        <v>0.1226646</v>
      </c>
      <c r="Z4399">
        <v>3.8551200000000001E-3</v>
      </c>
      <c r="AA4399">
        <v>0.99244069999999995</v>
      </c>
      <c r="AB4399">
        <v>10</v>
      </c>
      <c r="AC4399">
        <v>-21.739799999999999</v>
      </c>
      <c r="AD4399">
        <v>-0.84825209999999995</v>
      </c>
      <c r="AE4399">
        <v>-218.46601000000001</v>
      </c>
      <c r="AF4399">
        <v>26.9412574063854</v>
      </c>
      <c r="AG4399">
        <v>-0.84825209999999995</v>
      </c>
      <c r="AH4399">
        <v>217.88241335109001</v>
      </c>
      <c r="AI4399">
        <v>90.221374862666195</v>
      </c>
      <c r="AJ4399">
        <v>82.951130453095203</v>
      </c>
      <c r="AK4399">
        <v>219.54338279701699</v>
      </c>
      <c r="AL4399">
        <v>90.041854485160499</v>
      </c>
      <c r="AM4399">
        <v>88.341285938813101</v>
      </c>
      <c r="AN4399">
        <v>0.99999998930989398</v>
      </c>
    </row>
    <row r="4400" spans="1:40" x14ac:dyDescent="0.25">
      <c r="A4400" t="str">
        <f>"20190312160731440"</f>
        <v>20190312160731440</v>
      </c>
      <c r="B4400" t="str">
        <f>"1552378051430055"</f>
        <v>1552378051430055</v>
      </c>
      <c r="C4400" t="s">
        <v>40</v>
      </c>
      <c r="D4400">
        <v>6.4512470000000004</v>
      </c>
      <c r="E4400">
        <v>0.53910009999999997</v>
      </c>
      <c r="F4400" t="s">
        <v>60</v>
      </c>
      <c r="G4400">
        <v>-211.74780000000001</v>
      </c>
      <c r="H4400">
        <v>0.76286030000000005</v>
      </c>
      <c r="I4400">
        <v>-20.631799999999998</v>
      </c>
      <c r="J4400">
        <v>-188.99359999999999</v>
      </c>
      <c r="K4400">
        <v>1.109237</v>
      </c>
      <c r="L4400">
        <v>193.5523</v>
      </c>
      <c r="M4400">
        <v>2.314068E-2</v>
      </c>
      <c r="N4400">
        <v>0</v>
      </c>
      <c r="O4400">
        <v>-0.99968210000000002</v>
      </c>
      <c r="P4400">
        <v>-5.8888159999999998E-3</v>
      </c>
      <c r="Q4400">
        <v>-1.092543E-2</v>
      </c>
      <c r="R4400">
        <v>-0.99992289999999995</v>
      </c>
      <c r="S4400">
        <v>-0.31846619999999998</v>
      </c>
      <c r="T4400">
        <v>-4.848003E-3</v>
      </c>
      <c r="U4400">
        <v>-2.9985499999999998</v>
      </c>
      <c r="V4400">
        <v>2.9026570000000002E-2</v>
      </c>
      <c r="W4400">
        <v>-9.3389899999999997E-4</v>
      </c>
      <c r="X4400">
        <v>0.99957819999999997</v>
      </c>
      <c r="Y4400">
        <v>0.12859680000000001</v>
      </c>
      <c r="Z4400">
        <v>1.604905E-3</v>
      </c>
      <c r="AA4400">
        <v>0.99169560000000001</v>
      </c>
      <c r="AB4400">
        <v>10</v>
      </c>
      <c r="AC4400">
        <v>-22.754200000000001</v>
      </c>
      <c r="AD4400">
        <v>-0.34637669999999998</v>
      </c>
      <c r="AE4400">
        <v>-214.1841</v>
      </c>
      <c r="AF4400">
        <v>27.704648661706798</v>
      </c>
      <c r="AG4400">
        <v>-0.34637669999999998</v>
      </c>
      <c r="AH4400">
        <v>213.59961329617499</v>
      </c>
      <c r="AI4400">
        <v>90.092139908784603</v>
      </c>
      <c r="AJ4400">
        <v>82.6097861382231</v>
      </c>
      <c r="AK4400">
        <v>215.38909520809599</v>
      </c>
      <c r="AL4400">
        <v>90.053508479187599</v>
      </c>
      <c r="AM4400">
        <v>88.336665685802899</v>
      </c>
      <c r="AN4400">
        <v>0.99999999592427302</v>
      </c>
    </row>
    <row r="4401" spans="1:40" x14ac:dyDescent="0.25">
      <c r="A4401" t="str">
        <f>"20190312160731452"</f>
        <v>20190312160731452</v>
      </c>
      <c r="B4401" t="str">
        <f>"1552378051439814"</f>
        <v>1552378051439814</v>
      </c>
      <c r="C4401" t="s">
        <v>40</v>
      </c>
      <c r="D4401">
        <v>6.403206</v>
      </c>
      <c r="E4401">
        <v>0.53995930000000003</v>
      </c>
      <c r="F4401" t="s">
        <v>55</v>
      </c>
      <c r="G4401">
        <v>-211.07</v>
      </c>
      <c r="H4401">
        <v>0.94378660000000003</v>
      </c>
      <c r="I4401">
        <v>-7.8353119999999903</v>
      </c>
      <c r="J4401">
        <v>-188.9931</v>
      </c>
      <c r="K4401">
        <v>1.1092379999999999</v>
      </c>
      <c r="L4401">
        <v>193.5</v>
      </c>
      <c r="M4401">
        <v>2.248878E-2</v>
      </c>
      <c r="N4401">
        <v>0</v>
      </c>
      <c r="O4401">
        <v>-0.99969739999999996</v>
      </c>
      <c r="P4401">
        <v>-6.5742049999999996E-3</v>
      </c>
      <c r="Q4401">
        <v>-1.084356E-2</v>
      </c>
      <c r="R4401">
        <v>-0.99991980000000003</v>
      </c>
      <c r="S4401">
        <v>-0.32867429999999997</v>
      </c>
      <c r="T4401">
        <v>-2.4634600000000002E-3</v>
      </c>
      <c r="U4401">
        <v>-2.9982600000000001</v>
      </c>
      <c r="V4401">
        <v>2.9059950000000001E-2</v>
      </c>
      <c r="W4401">
        <v>-8.8501059999999997E-4</v>
      </c>
      <c r="X4401">
        <v>0.9995773</v>
      </c>
      <c r="Y4401">
        <v>0.13129730000000001</v>
      </c>
      <c r="Z4401">
        <v>8.1531910000000004E-4</v>
      </c>
      <c r="AA4401">
        <v>0.99134270000000002</v>
      </c>
      <c r="AB4401">
        <v>10</v>
      </c>
      <c r="AC4401">
        <v>-22.076899999999899</v>
      </c>
      <c r="AD4401">
        <v>-0.165451399999999</v>
      </c>
      <c r="AE4401">
        <v>-201.33531199999999</v>
      </c>
      <c r="AF4401">
        <v>26.599308848612502</v>
      </c>
      <c r="AG4401">
        <v>-0.165451399999999</v>
      </c>
      <c r="AH4401">
        <v>200.78774711681601</v>
      </c>
      <c r="AI4401">
        <v>90.046803463170505</v>
      </c>
      <c r="AJ4401">
        <v>82.453695358606794</v>
      </c>
      <c r="AK4401">
        <v>202.54202032574901</v>
      </c>
      <c r="AL4401">
        <v>90.050707377743294</v>
      </c>
      <c r="AM4401">
        <v>88.334752461048197</v>
      </c>
      <c r="AN4401">
        <v>1.0000000213065201</v>
      </c>
    </row>
    <row r="4402" spans="1:40" x14ac:dyDescent="0.25">
      <c r="A4402" t="str">
        <f>"20190312160731472"</f>
        <v>20190312160731472</v>
      </c>
      <c r="B4402" t="str">
        <f>"1552378051459335"</f>
        <v>1552378051459335</v>
      </c>
      <c r="C4402" t="s">
        <v>40</v>
      </c>
      <c r="D4402">
        <v>6.3072309999999998</v>
      </c>
      <c r="E4402">
        <v>0.54132819999999904</v>
      </c>
      <c r="F4402" t="s">
        <v>55</v>
      </c>
      <c r="G4402">
        <v>-211.07</v>
      </c>
      <c r="H4402">
        <v>1.124287</v>
      </c>
      <c r="I4402">
        <v>-2.6139869999999998</v>
      </c>
      <c r="J4402">
        <v>-188.9924</v>
      </c>
      <c r="K4402">
        <v>1.10924</v>
      </c>
      <c r="L4402">
        <v>193.41560000000001</v>
      </c>
      <c r="M4402">
        <v>2.144954E-2</v>
      </c>
      <c r="N4402">
        <v>0</v>
      </c>
      <c r="O4402">
        <v>-0.99972070000000002</v>
      </c>
      <c r="P4402">
        <v>-7.3852149999999997E-3</v>
      </c>
      <c r="Q4402">
        <v>-1.121281E-2</v>
      </c>
      <c r="R4402">
        <v>-0.99990999999999997</v>
      </c>
      <c r="S4402">
        <v>-0.33749390000000001</v>
      </c>
      <c r="T4402">
        <v>2.2995470000000001E-4</v>
      </c>
      <c r="U4402">
        <v>-2.9980319999999998</v>
      </c>
      <c r="V4402">
        <v>2.883119E-2</v>
      </c>
      <c r="W4402">
        <v>-1.3064820000000001E-3</v>
      </c>
      <c r="X4402">
        <v>0.99958340000000001</v>
      </c>
      <c r="Y4402">
        <v>0.13315550000000001</v>
      </c>
      <c r="Z4402" s="1">
        <v>-7.6093590000000005E-5</v>
      </c>
      <c r="AA4402">
        <v>0.99109519999999995</v>
      </c>
      <c r="AB4402">
        <v>10</v>
      </c>
      <c r="AC4402">
        <v>-22.077599999999901</v>
      </c>
      <c r="AD4402">
        <v>1.5047E-2</v>
      </c>
      <c r="AE4402">
        <v>-196.02958699999999</v>
      </c>
      <c r="AF4402">
        <v>26.277471439778701</v>
      </c>
      <c r="AG4402">
        <v>1.5047E-2</v>
      </c>
      <c r="AH4402">
        <v>195.51090364237399</v>
      </c>
      <c r="AI4402">
        <v>89.995629673039105</v>
      </c>
      <c r="AJ4402">
        <v>82.345085054834499</v>
      </c>
      <c r="AK4402">
        <v>197.26890067808</v>
      </c>
      <c r="AL4402">
        <v>90.074855928975296</v>
      </c>
      <c r="AM4402">
        <v>88.3478640765221</v>
      </c>
      <c r="AN4402">
        <v>0.99999995898379501</v>
      </c>
    </row>
    <row r="4403" spans="1:40" x14ac:dyDescent="0.25">
      <c r="A4403" t="str">
        <f>"20190312160731493"</f>
        <v>20190312160731493</v>
      </c>
      <c r="B4403" t="str">
        <f>"1552378051489591"</f>
        <v>1552378051489591</v>
      </c>
      <c r="C4403" t="s">
        <v>40</v>
      </c>
      <c r="D4403">
        <v>6.4131819999999999</v>
      </c>
      <c r="E4403">
        <v>0.54342990000000002</v>
      </c>
      <c r="F4403" t="s">
        <v>55</v>
      </c>
      <c r="G4403">
        <v>-211.0335</v>
      </c>
      <c r="H4403">
        <v>1.3940760000000001</v>
      </c>
      <c r="I4403">
        <v>4.9903430000000002</v>
      </c>
      <c r="J4403">
        <v>-188.99170000000001</v>
      </c>
      <c r="K4403">
        <v>1.109245</v>
      </c>
      <c r="L4403">
        <v>193.31909999999999</v>
      </c>
      <c r="M4403">
        <v>2.028054E-2</v>
      </c>
      <c r="N4403">
        <v>0</v>
      </c>
      <c r="O4403">
        <v>-0.99974569999999996</v>
      </c>
      <c r="P4403">
        <v>-8.5041700000000001E-3</v>
      </c>
      <c r="Q4403">
        <v>-1.071603E-2</v>
      </c>
      <c r="R4403">
        <v>-0.99990639999999997</v>
      </c>
      <c r="S4403">
        <v>-0.35066219999999998</v>
      </c>
      <c r="T4403">
        <v>4.5312640000000001E-3</v>
      </c>
      <c r="U4403">
        <v>-2.9977420000000001</v>
      </c>
      <c r="V4403">
        <v>2.878141E-2</v>
      </c>
      <c r="W4403">
        <v>-8.6865740000000003E-4</v>
      </c>
      <c r="X4403">
        <v>0.99958530000000001</v>
      </c>
      <c r="Y4403">
        <v>0.13630339999999999</v>
      </c>
      <c r="Z4403">
        <v>-1.4989269999999999E-3</v>
      </c>
      <c r="AA4403">
        <v>0.99066600000000005</v>
      </c>
      <c r="AB4403">
        <v>10</v>
      </c>
      <c r="AC4403">
        <v>-22.041799999999899</v>
      </c>
      <c r="AD4403">
        <v>0.284831</v>
      </c>
      <c r="AE4403">
        <v>-188.328757</v>
      </c>
      <c r="AF4403">
        <v>25.856802441105</v>
      </c>
      <c r="AG4403">
        <v>0.284831</v>
      </c>
      <c r="AH4403">
        <v>187.84255420718301</v>
      </c>
      <c r="AI4403">
        <v>89.913932422216703</v>
      </c>
      <c r="AJ4403">
        <v>82.162406488827102</v>
      </c>
      <c r="AK4403">
        <v>189.61403042036599</v>
      </c>
      <c r="AL4403">
        <v>90.049770411707399</v>
      </c>
      <c r="AM4403">
        <v>88.350718214606005</v>
      </c>
      <c r="AN4403">
        <v>0.99999994805167602</v>
      </c>
    </row>
    <row r="4404" spans="1:40" x14ac:dyDescent="0.25">
      <c r="A4404" t="str">
        <f>"20190312160731507"</f>
        <v>20190312160731507</v>
      </c>
      <c r="B4404" t="str">
        <f>"1552378051499351"</f>
        <v>1552378051499351</v>
      </c>
      <c r="C4404" t="s">
        <v>40</v>
      </c>
      <c r="D4404">
        <v>6.4376059999999997</v>
      </c>
      <c r="E4404">
        <v>0.54408089999999998</v>
      </c>
      <c r="F4404" t="s">
        <v>55</v>
      </c>
      <c r="G4404">
        <v>-211.07</v>
      </c>
      <c r="H4404">
        <v>1.8178829999999999</v>
      </c>
      <c r="I4404">
        <v>14.82708</v>
      </c>
      <c r="J4404">
        <v>-188.9913</v>
      </c>
      <c r="K4404">
        <v>1.109246</v>
      </c>
      <c r="L4404">
        <v>193.2595</v>
      </c>
      <c r="M4404">
        <v>1.9571100000000001E-2</v>
      </c>
      <c r="N4404">
        <v>0</v>
      </c>
      <c r="O4404">
        <v>-0.99976030000000005</v>
      </c>
      <c r="P4404">
        <v>-9.2505920000000002E-3</v>
      </c>
      <c r="Q4404">
        <v>-1.024188E-2</v>
      </c>
      <c r="R4404">
        <v>-0.99990489999999999</v>
      </c>
      <c r="S4404">
        <v>-0.37074279999999998</v>
      </c>
      <c r="T4404">
        <v>1.1899470000000001E-2</v>
      </c>
      <c r="U4404">
        <v>-2.9972690000000002</v>
      </c>
      <c r="V4404">
        <v>2.8818679999999999E-2</v>
      </c>
      <c r="W4404">
        <v>-4.3053820000000002E-4</v>
      </c>
      <c r="X4404">
        <v>0.99958460000000005</v>
      </c>
      <c r="Y4404">
        <v>0.1421576</v>
      </c>
      <c r="Z4404">
        <v>-3.9337840000000001E-3</v>
      </c>
      <c r="AA4404">
        <v>0.98983620000000005</v>
      </c>
      <c r="AB4404">
        <v>10</v>
      </c>
      <c r="AC4404">
        <v>-22.078700000000001</v>
      </c>
      <c r="AD4404">
        <v>0.70863699999999996</v>
      </c>
      <c r="AE4404">
        <v>-178.43242000000001</v>
      </c>
      <c r="AF4404">
        <v>25.566360562086199</v>
      </c>
      <c r="AG4404">
        <v>0.70863699999999996</v>
      </c>
      <c r="AH4404">
        <v>177.96335128043199</v>
      </c>
      <c r="AI4404">
        <v>89.774172059498099</v>
      </c>
      <c r="AJ4404">
        <v>81.824776499992197</v>
      </c>
      <c r="AK4404">
        <v>179.79181115320799</v>
      </c>
      <c r="AL4404">
        <v>90.024668021625601</v>
      </c>
      <c r="AM4404">
        <v>88.348582531086507</v>
      </c>
      <c r="AN4404">
        <v>1.00000003711862</v>
      </c>
    </row>
    <row r="4405" spans="1:40" x14ac:dyDescent="0.25">
      <c r="A4405" t="str">
        <f>"20190312160731518"</f>
        <v>20190312160731518</v>
      </c>
      <c r="B4405" t="str">
        <f>"1552378051510087"</f>
        <v>1552378051510087</v>
      </c>
      <c r="C4405" t="s">
        <v>40</v>
      </c>
      <c r="D4405">
        <v>6.3683350000000001</v>
      </c>
      <c r="E4405">
        <v>0.54461179999999998</v>
      </c>
      <c r="F4405" t="s">
        <v>55</v>
      </c>
      <c r="G4405">
        <v>-211.07</v>
      </c>
      <c r="H4405">
        <v>1.9946280000000001</v>
      </c>
      <c r="I4405">
        <v>18.22888</v>
      </c>
      <c r="J4405">
        <v>-188.99100000000001</v>
      </c>
      <c r="K4405">
        <v>1.1092420000000001</v>
      </c>
      <c r="L4405">
        <v>193.20660000000001</v>
      </c>
      <c r="M4405">
        <v>1.8943809999999998E-2</v>
      </c>
      <c r="N4405">
        <v>0</v>
      </c>
      <c r="O4405">
        <v>-0.99977240000000001</v>
      </c>
      <c r="P4405">
        <v>-9.9386019999999995E-3</v>
      </c>
      <c r="Q4405">
        <v>-9.7036190000000001E-3</v>
      </c>
      <c r="R4405">
        <v>-0.9999034</v>
      </c>
      <c r="S4405">
        <v>-0.3780365</v>
      </c>
      <c r="T4405">
        <v>1.515961E-2</v>
      </c>
      <c r="U4405">
        <v>-2.996918</v>
      </c>
      <c r="V4405">
        <v>2.8879780000000001E-2</v>
      </c>
      <c r="W4405" s="1">
        <v>7.5408429999999997E-5</v>
      </c>
      <c r="X4405">
        <v>0.99958290000000005</v>
      </c>
      <c r="Y4405">
        <v>0.14392179999999999</v>
      </c>
      <c r="Z4405">
        <v>-5.0107880000000004E-3</v>
      </c>
      <c r="AA4405">
        <v>0.98957640000000002</v>
      </c>
      <c r="AB4405">
        <v>10</v>
      </c>
      <c r="AC4405">
        <v>-22.079000000000001</v>
      </c>
      <c r="AD4405">
        <v>0.88538599999999901</v>
      </c>
      <c r="AE4405">
        <v>-174.97772000000001</v>
      </c>
      <c r="AF4405">
        <v>25.3893019382432</v>
      </c>
      <c r="AG4405">
        <v>0.88538599999999901</v>
      </c>
      <c r="AH4405">
        <v>174.52363830443099</v>
      </c>
      <c r="AI4405">
        <v>89.712359736797197</v>
      </c>
      <c r="AJ4405">
        <v>81.722806577971397</v>
      </c>
      <c r="AK4405">
        <v>176.36298049277801</v>
      </c>
      <c r="AL4405">
        <v>89.995679415263297</v>
      </c>
      <c r="AM4405">
        <v>88.345080405988796</v>
      </c>
      <c r="AN4405">
        <v>1.00000001067584</v>
      </c>
    </row>
    <row r="4406" spans="1:40" x14ac:dyDescent="0.25">
      <c r="A4406" t="str">
        <f>"20190312160731530"</f>
        <v>20190312160731530</v>
      </c>
      <c r="B4406" t="str">
        <f>"1552378051519847"</f>
        <v>1552378051519847</v>
      </c>
      <c r="C4406" t="s">
        <v>40</v>
      </c>
      <c r="D4406">
        <v>6.3644869999999996</v>
      </c>
      <c r="E4406">
        <v>0.54508409999999996</v>
      </c>
      <c r="F4406" t="s">
        <v>55</v>
      </c>
      <c r="G4406">
        <v>-211.07</v>
      </c>
      <c r="H4406">
        <v>2.1820369999999998</v>
      </c>
      <c r="I4406">
        <v>20.98986</v>
      </c>
      <c r="J4406">
        <v>-188.9907</v>
      </c>
      <c r="K4406">
        <v>1.1092379999999999</v>
      </c>
      <c r="L4406">
        <v>193.15090000000001</v>
      </c>
      <c r="M4406">
        <v>1.8290150000000002E-2</v>
      </c>
      <c r="N4406">
        <v>0</v>
      </c>
      <c r="O4406">
        <v>-0.99978529999999999</v>
      </c>
      <c r="P4406">
        <v>-1.078224E-2</v>
      </c>
      <c r="Q4406">
        <v>-9.6566959999999993E-3</v>
      </c>
      <c r="R4406">
        <v>-0.99989530000000004</v>
      </c>
      <c r="S4406">
        <v>-0.38418580000000002</v>
      </c>
      <c r="T4406">
        <v>1.8667099999999999E-2</v>
      </c>
      <c r="U4406">
        <v>-2.996658</v>
      </c>
      <c r="V4406">
        <v>2.9069609999999999E-2</v>
      </c>
      <c r="W4406" s="1">
        <v>8.7810879999999995E-5</v>
      </c>
      <c r="X4406">
        <v>0.99957739999999995</v>
      </c>
      <c r="Y4406">
        <v>0.14528279999999999</v>
      </c>
      <c r="Z4406">
        <v>-6.1693310000000001E-3</v>
      </c>
      <c r="AA4406">
        <v>0.98937090000000005</v>
      </c>
      <c r="AB4406">
        <v>10</v>
      </c>
      <c r="AC4406">
        <v>-22.0792999999999</v>
      </c>
      <c r="AD4406">
        <v>1.0727989999999901</v>
      </c>
      <c r="AE4406">
        <v>-172.16103999999899</v>
      </c>
      <c r="AF4406">
        <v>25.2236432169375</v>
      </c>
      <c r="AG4406">
        <v>1.0727989999999901</v>
      </c>
      <c r="AH4406">
        <v>171.72182546705901</v>
      </c>
      <c r="AI4406">
        <v>89.645860238008197</v>
      </c>
      <c r="AJ4406">
        <v>81.643770257911797</v>
      </c>
      <c r="AK4406">
        <v>173.567763183631</v>
      </c>
      <c r="AL4406">
        <v>89.994968807245897</v>
      </c>
      <c r="AM4406">
        <v>88.334199384075106</v>
      </c>
      <c r="AN4406">
        <v>1.0000000142635299</v>
      </c>
    </row>
    <row r="4407" spans="1:40" x14ac:dyDescent="0.25">
      <c r="A4407" t="str">
        <f>"20190312160731543"</f>
        <v>20190312160731543</v>
      </c>
      <c r="B4407" t="str">
        <f>"1552378051539366"</f>
        <v>1552378051539366</v>
      </c>
      <c r="C4407" t="s">
        <v>40</v>
      </c>
      <c r="D4407">
        <v>6.4939730000000004</v>
      </c>
      <c r="E4407">
        <v>0.5459851</v>
      </c>
      <c r="F4407" t="s">
        <v>55</v>
      </c>
      <c r="G4407">
        <v>-211.07</v>
      </c>
      <c r="H4407">
        <v>2.2698900000000002</v>
      </c>
      <c r="I4407">
        <v>23.691320000000001</v>
      </c>
      <c r="J4407">
        <v>-188.9905</v>
      </c>
      <c r="K4407">
        <v>1.1092340000000001</v>
      </c>
      <c r="L4407">
        <v>193.1003</v>
      </c>
      <c r="M4407">
        <v>1.770176E-2</v>
      </c>
      <c r="N4407">
        <v>0</v>
      </c>
      <c r="O4407">
        <v>-0.99979600000000002</v>
      </c>
      <c r="P4407">
        <v>-1.1594119999999999E-2</v>
      </c>
      <c r="Q4407">
        <v>-9.9908080000000003E-3</v>
      </c>
      <c r="R4407">
        <v>-0.99988299999999997</v>
      </c>
      <c r="S4407">
        <v>-0.39039610000000002</v>
      </c>
      <c r="T4407">
        <v>2.0521999999999999E-2</v>
      </c>
      <c r="U4407">
        <v>-2.9963069999999998</v>
      </c>
      <c r="V4407">
        <v>2.929263E-2</v>
      </c>
      <c r="W4407">
        <v>-2.7799349999999999E-4</v>
      </c>
      <c r="X4407">
        <v>0.99957079999999998</v>
      </c>
      <c r="Y4407">
        <v>0.14673139999999901</v>
      </c>
      <c r="Z4407">
        <v>-6.7816019999999899E-3</v>
      </c>
      <c r="AA4407">
        <v>0.98915310000000001</v>
      </c>
      <c r="AB4407">
        <v>10</v>
      </c>
      <c r="AC4407">
        <v>-22.079499999999999</v>
      </c>
      <c r="AD4407">
        <v>1.1606559999999999</v>
      </c>
      <c r="AE4407">
        <v>-169.40898000000001</v>
      </c>
      <c r="AF4407">
        <v>25.073861755788201</v>
      </c>
      <c r="AG4407">
        <v>1.1606559999999999</v>
      </c>
      <c r="AH4407">
        <v>168.98376911218199</v>
      </c>
      <c r="AI4407">
        <v>89.610734889793505</v>
      </c>
      <c r="AJ4407">
        <v>81.560015960527195</v>
      </c>
      <c r="AK4407">
        <v>170.83781750261801</v>
      </c>
      <c r="AL4407">
        <v>90.015927855127003</v>
      </c>
      <c r="AM4407">
        <v>88.321415685639394</v>
      </c>
      <c r="AN4407">
        <v>0.99999995983266998</v>
      </c>
    </row>
    <row r="4408" spans="1:40" x14ac:dyDescent="0.25">
      <c r="A4408" t="str">
        <f>"20190312160731562"</f>
        <v>20190312160731562</v>
      </c>
      <c r="B4408" t="str">
        <f>"1552378051559863"</f>
        <v>1552378051559863</v>
      </c>
      <c r="C4408" t="s">
        <v>40</v>
      </c>
      <c r="D4408">
        <v>6.3921650000000003</v>
      </c>
      <c r="E4408">
        <v>0.54685039999999996</v>
      </c>
      <c r="F4408" t="s">
        <v>55</v>
      </c>
      <c r="G4408">
        <v>-210.9306</v>
      </c>
      <c r="H4408">
        <v>2.3301310000000002</v>
      </c>
      <c r="I4408">
        <v>28.79354</v>
      </c>
      <c r="J4408">
        <v>-188.99010000000001</v>
      </c>
      <c r="K4408">
        <v>1.1092219999999999</v>
      </c>
      <c r="L4408">
        <v>193.01300000000001</v>
      </c>
      <c r="M4408">
        <v>1.669151E-2</v>
      </c>
      <c r="N4408">
        <v>0</v>
      </c>
      <c r="O4408">
        <v>-0.99981390000000003</v>
      </c>
      <c r="P4408">
        <v>-1.3091510000000001E-2</v>
      </c>
      <c r="Q4408">
        <v>-1.0737119999999999E-2</v>
      </c>
      <c r="R4408">
        <v>-0.99985670000000004</v>
      </c>
      <c r="S4408">
        <v>-0.40005489999999999</v>
      </c>
      <c r="T4408">
        <v>2.2261739999999999E-2</v>
      </c>
      <c r="U4408">
        <v>-2.9959560000000001</v>
      </c>
      <c r="V4408">
        <v>2.9778809999999999E-2</v>
      </c>
      <c r="W4408">
        <v>-1.0786890000000001E-3</v>
      </c>
      <c r="X4408">
        <v>0.99955590000000005</v>
      </c>
      <c r="Y4408">
        <v>0.14888029999999999</v>
      </c>
      <c r="Z4408">
        <v>-7.3547930000000001E-3</v>
      </c>
      <c r="AA4408">
        <v>0.98882789999999998</v>
      </c>
      <c r="AB4408">
        <v>10</v>
      </c>
      <c r="AC4408">
        <v>-21.940499999999901</v>
      </c>
      <c r="AD4408">
        <v>1.220909</v>
      </c>
      <c r="AE4408">
        <v>-164.21946</v>
      </c>
      <c r="AF4408">
        <v>24.6773020302528</v>
      </c>
      <c r="AG4408">
        <v>1.220909</v>
      </c>
      <c r="AH4408">
        <v>163.82144655905</v>
      </c>
      <c r="AI4408">
        <v>89.577764164159703</v>
      </c>
      <c r="AJ4408">
        <v>81.433635507443498</v>
      </c>
      <c r="AK4408">
        <v>165.67415672632299</v>
      </c>
      <c r="AL4408">
        <v>90.061804340998805</v>
      </c>
      <c r="AM4408">
        <v>88.293546551682397</v>
      </c>
      <c r="AN4408">
        <v>0.99999996915989198</v>
      </c>
    </row>
    <row r="4409" spans="1:40" x14ac:dyDescent="0.25">
      <c r="A4409" t="str">
        <f>"20190312160731585"</f>
        <v>20190312160731585</v>
      </c>
      <c r="B4409" t="str">
        <f>"1552378051579383"</f>
        <v>1552378051579383</v>
      </c>
      <c r="C4409" t="s">
        <v>40</v>
      </c>
      <c r="D4409">
        <v>6.3573729999999999</v>
      </c>
      <c r="E4409">
        <v>0.54759029999999997</v>
      </c>
      <c r="F4409" t="s">
        <v>55</v>
      </c>
      <c r="G4409">
        <v>-211.5401</v>
      </c>
      <c r="H4409">
        <v>2.349351</v>
      </c>
      <c r="I4409">
        <v>28.79354</v>
      </c>
      <c r="J4409">
        <v>-188.9898</v>
      </c>
      <c r="K4409">
        <v>1.109208</v>
      </c>
      <c r="L4409">
        <v>192.9118</v>
      </c>
      <c r="M4409">
        <v>1.553205E-2</v>
      </c>
      <c r="N4409">
        <v>0</v>
      </c>
      <c r="O4409">
        <v>-0.99983319999999998</v>
      </c>
      <c r="P4409">
        <v>-1.443271E-2</v>
      </c>
      <c r="Q4409">
        <v>-1.088796E-2</v>
      </c>
      <c r="R4409">
        <v>-0.99983639999999996</v>
      </c>
      <c r="S4409">
        <v>-0.41130070000000002</v>
      </c>
      <c r="T4409">
        <v>2.2619009999999998E-2</v>
      </c>
      <c r="U4409">
        <v>-2.995285</v>
      </c>
      <c r="V4409">
        <v>2.9960259999999999E-2</v>
      </c>
      <c r="W4409">
        <v>-1.290425E-3</v>
      </c>
      <c r="X4409">
        <v>0.9995503</v>
      </c>
      <c r="Y4409">
        <v>0.1514076</v>
      </c>
      <c r="Z4409">
        <v>-7.4713749999999997E-3</v>
      </c>
      <c r="AA4409">
        <v>0.98844319999999997</v>
      </c>
      <c r="AB4409">
        <v>10</v>
      </c>
      <c r="AC4409">
        <v>-22.5503</v>
      </c>
      <c r="AD4409">
        <v>1.240143</v>
      </c>
      <c r="AE4409">
        <v>-164.11825999999999</v>
      </c>
      <c r="AF4409">
        <v>25.095383846445799</v>
      </c>
      <c r="AG4409">
        <v>1.240143</v>
      </c>
      <c r="AH4409">
        <v>163.73901598074599</v>
      </c>
      <c r="AI4409">
        <v>89.571064191556999</v>
      </c>
      <c r="AJ4409">
        <v>81.286394483045399</v>
      </c>
      <c r="AK4409">
        <v>165.655611433491</v>
      </c>
      <c r="AL4409">
        <v>90.073935923670106</v>
      </c>
      <c r="AM4409">
        <v>88.283145280124998</v>
      </c>
      <c r="AN4409">
        <v>1.00000004230301</v>
      </c>
    </row>
    <row r="4410" spans="1:40" x14ac:dyDescent="0.25">
      <c r="A4410" t="str">
        <f>"20190312160731607"</f>
        <v>20190312160731607</v>
      </c>
      <c r="B4410" t="str">
        <f>"1552378051599879"</f>
        <v>1552378051599879</v>
      </c>
      <c r="C4410" t="s">
        <v>40</v>
      </c>
      <c r="D4410">
        <v>6.4063049999999997</v>
      </c>
      <c r="E4410">
        <v>0.54828859999999902</v>
      </c>
      <c r="F4410" t="s">
        <v>55</v>
      </c>
      <c r="G4410">
        <v>-212.11349999999999</v>
      </c>
      <c r="H4410">
        <v>2.416366</v>
      </c>
      <c r="I4410">
        <v>28.495000000000001</v>
      </c>
      <c r="J4410">
        <v>-188.9896</v>
      </c>
      <c r="K4410">
        <v>1.109197</v>
      </c>
      <c r="L4410">
        <v>192.8116</v>
      </c>
      <c r="M4410">
        <v>1.439315E-2</v>
      </c>
      <c r="N4410">
        <v>0</v>
      </c>
      <c r="O4410">
        <v>-0.99985089999999999</v>
      </c>
      <c r="P4410">
        <v>-1.5719360000000002E-2</v>
      </c>
      <c r="Q4410">
        <v>-1.0997160000000001E-2</v>
      </c>
      <c r="R4410">
        <v>-0.99981629999999999</v>
      </c>
      <c r="S4410">
        <v>-0.42117310000000002</v>
      </c>
      <c r="T4410">
        <v>2.3808360000000001E-2</v>
      </c>
      <c r="U4410">
        <v>-2.994675</v>
      </c>
      <c r="V4410">
        <v>3.0107809999999999E-2</v>
      </c>
      <c r="W4410">
        <v>-1.4588960000000001E-3</v>
      </c>
      <c r="X4410">
        <v>0.99954560000000003</v>
      </c>
      <c r="Y4410">
        <v>0.153504799999999</v>
      </c>
      <c r="Z4410">
        <v>-7.8629440000000002E-3</v>
      </c>
      <c r="AA4410">
        <v>0.98811660000000001</v>
      </c>
      <c r="AB4410">
        <v>10</v>
      </c>
      <c r="AC4410">
        <v>-23.1238999999999</v>
      </c>
      <c r="AD4410">
        <v>1.307169</v>
      </c>
      <c r="AE4410">
        <v>-164.31659999999999</v>
      </c>
      <c r="AF4410">
        <v>25.4850640566574</v>
      </c>
      <c r="AG4410">
        <v>1.307169</v>
      </c>
      <c r="AH4410">
        <v>163.95656203179499</v>
      </c>
      <c r="AI4410">
        <v>89.548630218673395</v>
      </c>
      <c r="AJ4410">
        <v>81.164767334480004</v>
      </c>
      <c r="AK4410">
        <v>165.93056202536201</v>
      </c>
      <c r="AL4410">
        <v>90.083588612569599</v>
      </c>
      <c r="AM4410">
        <v>88.274687005962207</v>
      </c>
      <c r="AN4410">
        <v>1.00000000753994</v>
      </c>
    </row>
    <row r="4411" spans="1:40" x14ac:dyDescent="0.25">
      <c r="A4411" t="str">
        <f>"20190312160731629"</f>
        <v>20190312160731629</v>
      </c>
      <c r="B4411" t="str">
        <f>"1552378051619399"</f>
        <v>1552378051619399</v>
      </c>
      <c r="C4411" t="s">
        <v>40</v>
      </c>
      <c r="D4411">
        <v>6.4701589999999998</v>
      </c>
      <c r="E4411">
        <v>0.54897459999999998</v>
      </c>
      <c r="F4411" t="s">
        <v>55</v>
      </c>
      <c r="G4411">
        <v>-212.61969999999999</v>
      </c>
      <c r="H4411">
        <v>2.5372819999999998</v>
      </c>
      <c r="I4411">
        <v>28.495000000000001</v>
      </c>
      <c r="J4411">
        <v>-188.98939999999999</v>
      </c>
      <c r="K4411">
        <v>1.109178</v>
      </c>
      <c r="L4411">
        <v>192.71270000000001</v>
      </c>
      <c r="M4411">
        <v>1.3276919999999999E-2</v>
      </c>
      <c r="N4411">
        <v>0</v>
      </c>
      <c r="O4411">
        <v>-0.99986679999999994</v>
      </c>
      <c r="P4411">
        <v>-1.6924069999999999E-2</v>
      </c>
      <c r="Q4411">
        <v>-1.0395379999999999E-2</v>
      </c>
      <c r="R4411">
        <v>-0.99980309999999994</v>
      </c>
      <c r="S4411">
        <v>-0.43057250000000002</v>
      </c>
      <c r="T4411">
        <v>2.602148E-2</v>
      </c>
      <c r="U4411">
        <v>-2.9940639999999998</v>
      </c>
      <c r="V4411">
        <v>3.0196799999999999E-2</v>
      </c>
      <c r="W4411">
        <v>-9.160304E-4</v>
      </c>
      <c r="X4411">
        <v>0.99954350000000003</v>
      </c>
      <c r="Y4411">
        <v>0.15546879999999999</v>
      </c>
      <c r="Z4411">
        <v>-8.5925129999999995E-3</v>
      </c>
      <c r="AA4411">
        <v>0.9878034</v>
      </c>
      <c r="AB4411">
        <v>10</v>
      </c>
      <c r="AC4411">
        <v>-23.630299999999998</v>
      </c>
      <c r="AD4411">
        <v>1.42810399999999</v>
      </c>
      <c r="AE4411">
        <v>-164.21770000000001</v>
      </c>
      <c r="AF4411">
        <v>25.806708382446999</v>
      </c>
      <c r="AG4411">
        <v>1.42810399999999</v>
      </c>
      <c r="AH4411">
        <v>163.87733023534599</v>
      </c>
      <c r="AI4411">
        <v>89.506788044841102</v>
      </c>
      <c r="AJ4411">
        <v>81.050796151502098</v>
      </c>
      <c r="AK4411">
        <v>165.90299889886299</v>
      </c>
      <c r="AL4411">
        <v>90.052484685941295</v>
      </c>
      <c r="AM4411">
        <v>88.269586941004903</v>
      </c>
      <c r="AN4411">
        <v>0.99999994711708995</v>
      </c>
    </row>
    <row r="4412" spans="1:40" x14ac:dyDescent="0.25">
      <c r="A4412" t="str">
        <f>"20190312160731650"</f>
        <v>20190312160731650</v>
      </c>
      <c r="B4412" t="str">
        <f>"1552378051639895"</f>
        <v>1552378051639895</v>
      </c>
      <c r="C4412" t="s">
        <v>40</v>
      </c>
      <c r="D4412">
        <v>6.3605739999999997</v>
      </c>
      <c r="E4412">
        <v>0.54947709999999905</v>
      </c>
      <c r="F4412" t="s">
        <v>56</v>
      </c>
      <c r="G4412">
        <v>-211.3595</v>
      </c>
      <c r="H4412">
        <v>2.5829140000000002</v>
      </c>
      <c r="I4412">
        <v>40.360700000000001</v>
      </c>
      <c r="J4412">
        <v>-188.98939999999999</v>
      </c>
      <c r="K4412">
        <v>1.1091679999999999</v>
      </c>
      <c r="L4412">
        <v>192.61490000000001</v>
      </c>
      <c r="M4412">
        <v>1.2182780000000001E-2</v>
      </c>
      <c r="N4412">
        <v>0</v>
      </c>
      <c r="O4412">
        <v>-0.99988109999999997</v>
      </c>
      <c r="P4412">
        <v>-1.776405E-2</v>
      </c>
      <c r="Q4412">
        <v>-9.6050270000000004E-3</v>
      </c>
      <c r="R4412">
        <v>-0.99979620000000002</v>
      </c>
      <c r="S4412">
        <v>-0.43952940000000001</v>
      </c>
      <c r="T4412">
        <v>2.8956289999999999E-2</v>
      </c>
      <c r="U4412">
        <v>-2.9934229999999999</v>
      </c>
      <c r="V4412">
        <v>2.9943440000000002E-2</v>
      </c>
      <c r="W4412">
        <v>-1.8431200000000001E-4</v>
      </c>
      <c r="X4412">
        <v>0.99955159999999998</v>
      </c>
      <c r="Y4412">
        <v>0.1573107</v>
      </c>
      <c r="Z4412">
        <v>-9.560308E-3</v>
      </c>
      <c r="AA4412">
        <v>0.98750289999999996</v>
      </c>
      <c r="AB4412">
        <v>10</v>
      </c>
      <c r="AC4412">
        <v>-22.370100000000001</v>
      </c>
      <c r="AD4412">
        <v>1.473746</v>
      </c>
      <c r="AE4412">
        <v>-152.2542</v>
      </c>
      <c r="AF4412">
        <v>24.221180614083</v>
      </c>
      <c r="AG4412">
        <v>1.473746</v>
      </c>
      <c r="AH4412">
        <v>151.956421201192</v>
      </c>
      <c r="AI4412">
        <v>89.451262287710804</v>
      </c>
      <c r="AJ4412">
        <v>80.943493027269298</v>
      </c>
      <c r="AK4412">
        <v>153.88174505732201</v>
      </c>
      <c r="AL4412">
        <v>90.010560299537701</v>
      </c>
      <c r="AM4412">
        <v>88.284110794087098</v>
      </c>
      <c r="AN4412">
        <v>1.00000002231625</v>
      </c>
    </row>
    <row r="4413" spans="1:40" x14ac:dyDescent="0.25">
      <c r="A4413" t="str">
        <f>"20190312160731662"</f>
        <v>20190312160731662</v>
      </c>
      <c r="B4413" t="str">
        <f>"1552378051659415"</f>
        <v>1552378051659415</v>
      </c>
      <c r="C4413" t="s">
        <v>40</v>
      </c>
      <c r="D4413">
        <v>6.4377259999999996</v>
      </c>
      <c r="E4413">
        <v>0.55002530000000005</v>
      </c>
      <c r="F4413" t="s">
        <v>56</v>
      </c>
      <c r="G4413">
        <v>-211.49979999999999</v>
      </c>
      <c r="H4413">
        <v>2.7928769999999998</v>
      </c>
      <c r="I4413">
        <v>41.546010000000003</v>
      </c>
      <c r="J4413">
        <v>-188.98949999999999</v>
      </c>
      <c r="K4413">
        <v>1.109165</v>
      </c>
      <c r="L4413">
        <v>192.559</v>
      </c>
      <c r="M4413">
        <v>1.1561210000000001E-2</v>
      </c>
      <c r="N4413">
        <v>0</v>
      </c>
      <c r="O4413">
        <v>-0.99988900000000003</v>
      </c>
      <c r="P4413">
        <v>-1.8357640000000001E-2</v>
      </c>
      <c r="Q4413">
        <v>-9.5952569999999994E-3</v>
      </c>
      <c r="R4413">
        <v>-0.9997857</v>
      </c>
      <c r="S4413">
        <v>-0.44598389999999999</v>
      </c>
      <c r="T4413">
        <v>3.3358569999999997E-2</v>
      </c>
      <c r="U4413">
        <v>-2.9930270000000001</v>
      </c>
      <c r="V4413">
        <v>2.9915500000000001E-2</v>
      </c>
      <c r="W4413">
        <v>-2.0877250000000001E-4</v>
      </c>
      <c r="X4413">
        <v>0.99955240000000001</v>
      </c>
      <c r="Y4413">
        <v>0.1587972</v>
      </c>
      <c r="Z4413">
        <v>-1.101213E-2</v>
      </c>
      <c r="AA4413">
        <v>0.98724979999999996</v>
      </c>
      <c r="AB4413">
        <v>10</v>
      </c>
      <c r="AC4413">
        <v>-22.510300000000001</v>
      </c>
      <c r="AD4413">
        <v>1.6837120000000001</v>
      </c>
      <c r="AE4413">
        <v>-151.01299</v>
      </c>
      <c r="AF4413">
        <v>24.251816215291498</v>
      </c>
      <c r="AG4413">
        <v>1.6837120000000001</v>
      </c>
      <c r="AH4413">
        <v>150.72430934311899</v>
      </c>
      <c r="AI4413">
        <v>89.3681132357233</v>
      </c>
      <c r="AJ4413">
        <v>80.859349252020905</v>
      </c>
      <c r="AK4413">
        <v>152.67220736859599</v>
      </c>
      <c r="AL4413">
        <v>90.011961783328502</v>
      </c>
      <c r="AM4413">
        <v>88.285712292896093</v>
      </c>
      <c r="AN4413">
        <v>0.99999999053598299</v>
      </c>
    </row>
    <row r="4414" spans="1:40" x14ac:dyDescent="0.25">
      <c r="A4414" t="str">
        <f>"20190312160731683"</f>
        <v>20190312160731683</v>
      </c>
      <c r="B4414" t="str">
        <f>"1552378051679912"</f>
        <v>1552378051679912</v>
      </c>
      <c r="C4414" t="s">
        <v>40</v>
      </c>
      <c r="D4414">
        <v>6.400074</v>
      </c>
      <c r="E4414">
        <v>0.55051300000000003</v>
      </c>
      <c r="F4414" t="s">
        <v>56</v>
      </c>
      <c r="G4414">
        <v>-211.79820000000001</v>
      </c>
      <c r="H4414">
        <v>2.8347850000000001</v>
      </c>
      <c r="I4414">
        <v>41.546010000000003</v>
      </c>
      <c r="J4414">
        <v>-188.9896</v>
      </c>
      <c r="K4414">
        <v>1.109156</v>
      </c>
      <c r="L4414">
        <v>192.46379999999999</v>
      </c>
      <c r="M4414">
        <v>1.0508389999999999E-2</v>
      </c>
      <c r="N4414">
        <v>0</v>
      </c>
      <c r="O4414">
        <v>-0.99990120000000005</v>
      </c>
      <c r="P4414">
        <v>-1.919467E-2</v>
      </c>
      <c r="Q4414">
        <v>-9.3281270000000003E-3</v>
      </c>
      <c r="R4414">
        <v>-0.99977249999999995</v>
      </c>
      <c r="S4414">
        <v>-0.4520111</v>
      </c>
      <c r="T4414">
        <v>3.4197569999999997E-2</v>
      </c>
      <c r="U4414">
        <v>-2.9926910000000002</v>
      </c>
      <c r="V4414">
        <v>2.9700069999999999E-2</v>
      </c>
      <c r="W4414" s="1">
        <v>-2.1283629999999999E-7</v>
      </c>
      <c r="X4414">
        <v>0.99955890000000003</v>
      </c>
      <c r="Y4414">
        <v>0.15971769999999999</v>
      </c>
      <c r="Z4414">
        <v>-1.1287989999999999E-2</v>
      </c>
      <c r="AA4414">
        <v>0.98709820000000004</v>
      </c>
      <c r="AB4414">
        <v>10</v>
      </c>
      <c r="AC4414">
        <v>-22.808599999999998</v>
      </c>
      <c r="AD4414">
        <v>1.7256289999999901</v>
      </c>
      <c r="AE4414">
        <v>-150.91779</v>
      </c>
      <c r="AF4414">
        <v>24.3901950327237</v>
      </c>
      <c r="AG4414">
        <v>1.7256289999999901</v>
      </c>
      <c r="AH4414">
        <v>150.650507830235</v>
      </c>
      <c r="AI4414">
        <v>89.352167772422902</v>
      </c>
      <c r="AJ4414">
        <v>80.803655259157097</v>
      </c>
      <c r="AK4414">
        <v>152.62186907087599</v>
      </c>
      <c r="AL4414">
        <v>90.000012194621107</v>
      </c>
      <c r="AM4414">
        <v>88.298061138988103</v>
      </c>
      <c r="AN4414">
        <v>1.0000000443636201</v>
      </c>
    </row>
    <row r="4415" spans="1:40" x14ac:dyDescent="0.25">
      <c r="A4415" t="str">
        <f>"20190312160731706"</f>
        <v>20190312160731706</v>
      </c>
      <c r="B4415" t="str">
        <f>"1552378051699441"</f>
        <v>1552378051699441</v>
      </c>
      <c r="C4415" t="s">
        <v>40</v>
      </c>
      <c r="D4415">
        <v>6.3328569999999997</v>
      </c>
      <c r="E4415">
        <v>0.55080079999999998</v>
      </c>
      <c r="F4415" t="s">
        <v>56</v>
      </c>
      <c r="G4415">
        <v>-212.1138</v>
      </c>
      <c r="H4415">
        <v>2.8850370000000001</v>
      </c>
      <c r="I4415">
        <v>41.546010000000003</v>
      </c>
      <c r="J4415">
        <v>-188.9898</v>
      </c>
      <c r="K4415">
        <v>1.109151</v>
      </c>
      <c r="L4415">
        <v>192.35810000000001</v>
      </c>
      <c r="M4415">
        <v>9.348973E-3</v>
      </c>
      <c r="N4415">
        <v>0</v>
      </c>
      <c r="O4415">
        <v>-0.99991300000000005</v>
      </c>
      <c r="P4415">
        <v>-2.0572159999999999E-2</v>
      </c>
      <c r="Q4415">
        <v>-9.2465619999999998E-3</v>
      </c>
      <c r="R4415">
        <v>-0.99974540000000001</v>
      </c>
      <c r="S4415">
        <v>-0.45848080000000002</v>
      </c>
      <c r="T4415">
        <v>3.5210249999999998E-2</v>
      </c>
      <c r="U4415">
        <v>-2.9922179999999998</v>
      </c>
      <c r="V4415">
        <v>2.991829E-2</v>
      </c>
      <c r="W4415" s="1">
        <v>1.6930370000000001E-5</v>
      </c>
      <c r="X4415">
        <v>0.99955240000000001</v>
      </c>
      <c r="Y4415">
        <v>0.1606815</v>
      </c>
      <c r="Z4415">
        <v>-1.162144E-2</v>
      </c>
      <c r="AA4415">
        <v>0.98693790000000003</v>
      </c>
      <c r="AB4415">
        <v>10</v>
      </c>
      <c r="AC4415">
        <v>-23.123999999999899</v>
      </c>
      <c r="AD4415">
        <v>1.7758860000000001</v>
      </c>
      <c r="AE4415">
        <v>-150.81208999999899</v>
      </c>
      <c r="AF4415">
        <v>24.529665330861199</v>
      </c>
      <c r="AG4415">
        <v>1.7758860000000001</v>
      </c>
      <c r="AH4415">
        <v>150.56890490507399</v>
      </c>
      <c r="AI4415">
        <v>89.333047787566301</v>
      </c>
      <c r="AJ4415">
        <v>80.747048533914096</v>
      </c>
      <c r="AK4415">
        <v>152.56425982726799</v>
      </c>
      <c r="AL4415">
        <v>89.999029961304103</v>
      </c>
      <c r="AM4415">
        <v>88.285552509225894</v>
      </c>
      <c r="AN4415">
        <v>1.0000000523544501</v>
      </c>
    </row>
    <row r="4416" spans="1:40" x14ac:dyDescent="0.25">
      <c r="A4416" t="str">
        <f>"20190312160731728"</f>
        <v>20190312160731728</v>
      </c>
      <c r="B4416" t="str">
        <f>"1552378051719927"</f>
        <v>1552378051719927</v>
      </c>
      <c r="C4416" t="s">
        <v>40</v>
      </c>
      <c r="D4416">
        <v>6.1240259999999997</v>
      </c>
      <c r="E4416">
        <v>0.551172</v>
      </c>
      <c r="F4416" t="s">
        <v>56</v>
      </c>
      <c r="G4416">
        <v>-212.2261</v>
      </c>
      <c r="H4416">
        <v>2.8344209999999999</v>
      </c>
      <c r="I4416">
        <v>42.848579999999998</v>
      </c>
      <c r="J4416">
        <v>-188.99019999999999</v>
      </c>
      <c r="K4416">
        <v>1.109146</v>
      </c>
      <c r="L4416">
        <v>192.25290000000001</v>
      </c>
      <c r="M4416">
        <v>8.2044149999999996E-3</v>
      </c>
      <c r="N4416">
        <v>0</v>
      </c>
      <c r="O4416">
        <v>-0.99992380000000003</v>
      </c>
      <c r="P4416">
        <v>-2.07169E-2</v>
      </c>
      <c r="Q4416">
        <v>-7.9603569999999995E-3</v>
      </c>
      <c r="R4416">
        <v>-0.99975380000000003</v>
      </c>
      <c r="S4416">
        <v>-0.4649353</v>
      </c>
      <c r="T4416">
        <v>3.4521099999999999E-2</v>
      </c>
      <c r="U4416">
        <v>-2.9915310000000002</v>
      </c>
      <c r="V4416">
        <v>2.891991E-2</v>
      </c>
      <c r="W4416">
        <v>1.2443700000000001E-3</v>
      </c>
      <c r="X4416">
        <v>0.99958100000000005</v>
      </c>
      <c r="Y4416">
        <v>0.1616658</v>
      </c>
      <c r="Z4416">
        <v>-1.139398E-2</v>
      </c>
      <c r="AA4416">
        <v>0.98677979999999998</v>
      </c>
      <c r="AB4416">
        <v>10</v>
      </c>
      <c r="AC4416">
        <v>-23.235900000000001</v>
      </c>
      <c r="AD4416">
        <v>1.7252749999999999</v>
      </c>
      <c r="AE4416">
        <v>-149.40431999999899</v>
      </c>
      <c r="AF4416">
        <v>24.4577606814962</v>
      </c>
      <c r="AG4416">
        <v>1.7252749999999999</v>
      </c>
      <c r="AH4416">
        <v>149.18922159698801</v>
      </c>
      <c r="AI4416">
        <v>89.346168650527105</v>
      </c>
      <c r="AJ4416">
        <v>80.689868623261901</v>
      </c>
      <c r="AK4416">
        <v>151.190550207657</v>
      </c>
      <c r="AL4416">
        <v>89.928702835484899</v>
      </c>
      <c r="AM4416">
        <v>88.342778939810003</v>
      </c>
      <c r="AN4416">
        <v>1.00000004260605</v>
      </c>
    </row>
    <row r="4417" spans="1:40" x14ac:dyDescent="0.25">
      <c r="A4417" t="str">
        <f>"20190312160731750"</f>
        <v>20190312160731750</v>
      </c>
      <c r="B4417" t="str">
        <f>"1552378051739447"</f>
        <v>1552378051739447</v>
      </c>
      <c r="C4417" t="s">
        <v>40</v>
      </c>
      <c r="D4417">
        <v>6.4218310000000001</v>
      </c>
      <c r="E4417">
        <v>0.5515466</v>
      </c>
      <c r="F4417" t="s">
        <v>56</v>
      </c>
      <c r="G4417">
        <v>-212.2261</v>
      </c>
      <c r="H4417">
        <v>2.8967710000000002</v>
      </c>
      <c r="I4417">
        <v>43.862520000000004</v>
      </c>
      <c r="J4417">
        <v>-188.9906</v>
      </c>
      <c r="K4417">
        <v>1.109146</v>
      </c>
      <c r="L4417">
        <v>192.15289999999999</v>
      </c>
      <c r="M4417">
        <v>7.1245519999999897E-3</v>
      </c>
      <c r="N4417">
        <v>0</v>
      </c>
      <c r="O4417">
        <v>-0.99993259999999995</v>
      </c>
      <c r="P4417">
        <v>-2.1572859999999999E-2</v>
      </c>
      <c r="Q4417">
        <v>-7.2936099999999999E-3</v>
      </c>
      <c r="R4417">
        <v>-0.99974070000000004</v>
      </c>
      <c r="S4417">
        <v>-0.46839900000000001</v>
      </c>
      <c r="T4417">
        <v>3.6035780000000003E-2</v>
      </c>
      <c r="U4417">
        <v>-2.9913020000000001</v>
      </c>
      <c r="V4417">
        <v>2.869675E-2</v>
      </c>
      <c r="W4417">
        <v>1.8566279999999999E-3</v>
      </c>
      <c r="X4417">
        <v>0.99958650000000004</v>
      </c>
      <c r="Y4417">
        <v>0.16172600000000001</v>
      </c>
      <c r="Z4417">
        <v>-1.189378E-2</v>
      </c>
      <c r="AA4417">
        <v>0.98676399999999997</v>
      </c>
      <c r="AB4417">
        <v>10</v>
      </c>
      <c r="AC4417">
        <v>-23.235499999999998</v>
      </c>
      <c r="AD4417">
        <v>1.78762499999999</v>
      </c>
      <c r="AE4417">
        <v>-148.290379999999</v>
      </c>
      <c r="AF4417">
        <v>24.2880121862698</v>
      </c>
      <c r="AG4417">
        <v>1.78762499999999</v>
      </c>
      <c r="AH4417">
        <v>148.100060358093</v>
      </c>
      <c r="AI4417">
        <v>89.317566663116395</v>
      </c>
      <c r="AJ4417">
        <v>80.686550924674904</v>
      </c>
      <c r="AK4417">
        <v>150.08907694156801</v>
      </c>
      <c r="AL4417">
        <v>89.893622996822302</v>
      </c>
      <c r="AM4417">
        <v>88.355568852747993</v>
      </c>
      <c r="AN4417">
        <v>1.00000006075516</v>
      </c>
    </row>
    <row r="4418" spans="1:40" x14ac:dyDescent="0.25">
      <c r="A4418" t="str">
        <f>"20190312160731773"</f>
        <v>20190312160731773</v>
      </c>
      <c r="B4418" t="str">
        <f>"1552378051769703"</f>
        <v>1552378051769703</v>
      </c>
      <c r="C4418" t="s">
        <v>40</v>
      </c>
      <c r="D4418">
        <v>6.2734529999999999</v>
      </c>
      <c r="E4418">
        <v>0.55202280000000004</v>
      </c>
      <c r="F4418" t="s">
        <v>56</v>
      </c>
      <c r="G4418">
        <v>-212.22620000000001</v>
      </c>
      <c r="H4418">
        <v>2.9816729999999998</v>
      </c>
      <c r="I4418">
        <v>45.508319999999998</v>
      </c>
      <c r="J4418">
        <v>-188.99119999999999</v>
      </c>
      <c r="K4418">
        <v>1.109138</v>
      </c>
      <c r="L4418">
        <v>192.0462</v>
      </c>
      <c r="M4418">
        <v>5.979715E-3</v>
      </c>
      <c r="N4418">
        <v>0</v>
      </c>
      <c r="O4418">
        <v>-0.99994050000000001</v>
      </c>
      <c r="P4418">
        <v>-2.273116E-2</v>
      </c>
      <c r="Q4418">
        <v>-6.8301949999999998E-3</v>
      </c>
      <c r="R4418">
        <v>-0.99971829999999995</v>
      </c>
      <c r="S4418">
        <v>-0.47389219999999999</v>
      </c>
      <c r="T4418">
        <v>3.8190599999999998E-2</v>
      </c>
      <c r="U4418">
        <v>-2.9908290000000002</v>
      </c>
      <c r="V4418">
        <v>2.8710800000000002E-2</v>
      </c>
      <c r="W4418">
        <v>2.2628919999999999E-3</v>
      </c>
      <c r="X4418">
        <v>0.99958519999999895</v>
      </c>
      <c r="Y4418">
        <v>0.16238710000000001</v>
      </c>
      <c r="Z4418">
        <v>-1.2604509999999999E-2</v>
      </c>
      <c r="AA4418">
        <v>0.98664660000000004</v>
      </c>
      <c r="AB4418">
        <v>10</v>
      </c>
      <c r="AC4418">
        <v>-23.234999999999999</v>
      </c>
      <c r="AD4418">
        <v>1.8725350000000001</v>
      </c>
      <c r="AE4418">
        <v>-146.53788</v>
      </c>
      <c r="AF4418">
        <v>24.107035883051999</v>
      </c>
      <c r="AG4418">
        <v>1.8725350000000001</v>
      </c>
      <c r="AH4418">
        <v>146.373000315529</v>
      </c>
      <c r="AI4418">
        <v>89.276802459641104</v>
      </c>
      <c r="AJ4418">
        <v>80.647576501409404</v>
      </c>
      <c r="AK4418">
        <v>148.356701189272</v>
      </c>
      <c r="AL4418">
        <v>89.870345728432795</v>
      </c>
      <c r="AM4418">
        <v>88.354762039046093</v>
      </c>
      <c r="AN4418">
        <v>1.00000000138794</v>
      </c>
    </row>
    <row r="4419" spans="1:40" x14ac:dyDescent="0.25">
      <c r="A4419" t="str">
        <f>"20190312160731797"</f>
        <v>20190312160731797</v>
      </c>
      <c r="B4419" t="str">
        <f>"1552378051790199"</f>
        <v>1552378051790199</v>
      </c>
      <c r="C4419" t="s">
        <v>40</v>
      </c>
      <c r="D4419">
        <v>6.0538730000000003</v>
      </c>
      <c r="E4419">
        <v>0.55234969999999906</v>
      </c>
      <c r="F4419" t="s">
        <v>56</v>
      </c>
      <c r="G4419">
        <v>-212.22620000000001</v>
      </c>
      <c r="H4419">
        <v>3.125381</v>
      </c>
      <c r="I4419">
        <v>47.654049999999998</v>
      </c>
      <c r="J4419">
        <v>-188.99189999999999</v>
      </c>
      <c r="K4419">
        <v>1.1091260000000001</v>
      </c>
      <c r="L4419">
        <v>191.93700000000001</v>
      </c>
      <c r="M4419">
        <v>4.8121780000000003E-3</v>
      </c>
      <c r="N4419">
        <v>0</v>
      </c>
      <c r="O4419">
        <v>-0.99994769999999999</v>
      </c>
      <c r="P4419">
        <v>-2.4080600000000001E-2</v>
      </c>
      <c r="Q4419">
        <v>-6.2479240000000002E-3</v>
      </c>
      <c r="R4419">
        <v>-0.99969110000000005</v>
      </c>
      <c r="S4419">
        <v>-0.48117070000000001</v>
      </c>
      <c r="T4419">
        <v>4.175425E-2</v>
      </c>
      <c r="U4419">
        <v>-2.990189</v>
      </c>
      <c r="V4419">
        <v>2.8893410000000001E-2</v>
      </c>
      <c r="W4419">
        <v>2.7878880000000001E-3</v>
      </c>
      <c r="X4419">
        <v>0.99957859999999998</v>
      </c>
      <c r="Y4419">
        <v>0.163607</v>
      </c>
      <c r="Z4419">
        <v>-1.377946E-2</v>
      </c>
      <c r="AA4419">
        <v>0.98642929999999995</v>
      </c>
      <c r="AB4419">
        <v>10</v>
      </c>
      <c r="AC4419">
        <v>-23.234300000000001</v>
      </c>
      <c r="AD4419">
        <v>2.0162550000000001</v>
      </c>
      <c r="AE4419">
        <v>-144.28295</v>
      </c>
      <c r="AF4419">
        <v>23.923820679347301</v>
      </c>
      <c r="AG4419">
        <v>2.0162550000000001</v>
      </c>
      <c r="AH4419">
        <v>144.14203035090301</v>
      </c>
      <c r="AI4419">
        <v>89.2094142727302</v>
      </c>
      <c r="AJ4419">
        <v>80.576299734646398</v>
      </c>
      <c r="AK4419">
        <v>146.12781868557201</v>
      </c>
      <c r="AL4419">
        <v>89.840265575252403</v>
      </c>
      <c r="AM4419">
        <v>88.344292672016394</v>
      </c>
      <c r="AN4419">
        <v>0.99999998951944402</v>
      </c>
    </row>
    <row r="4420" spans="1:40" x14ac:dyDescent="0.25">
      <c r="A4420" t="str">
        <f>"20190312160731817"</f>
        <v>20190312160731817</v>
      </c>
      <c r="B4420" t="str">
        <f>"1552378051809720"</f>
        <v>1552378051809720</v>
      </c>
      <c r="C4420" t="s">
        <v>40</v>
      </c>
      <c r="D4420">
        <v>5.9495180000000003</v>
      </c>
      <c r="E4420">
        <v>0.55264950000000002</v>
      </c>
      <c r="F4420" t="s">
        <v>56</v>
      </c>
      <c r="G4420">
        <v>-212.22630000000001</v>
      </c>
      <c r="H4420">
        <v>3.4077299999999999</v>
      </c>
      <c r="I4420">
        <v>49.506599999999999</v>
      </c>
      <c r="J4420">
        <v>-188.99270000000001</v>
      </c>
      <c r="K4420">
        <v>1.109119</v>
      </c>
      <c r="L4420">
        <v>191.83260000000001</v>
      </c>
      <c r="M4420">
        <v>3.6982289999999999E-3</v>
      </c>
      <c r="N4420">
        <v>0</v>
      </c>
      <c r="O4420">
        <v>-0.99995270000000003</v>
      </c>
      <c r="P4420">
        <v>-2.5383079999999999E-2</v>
      </c>
      <c r="Q4420">
        <v>-6.3944300000000004E-3</v>
      </c>
      <c r="R4420">
        <v>-0.99965740000000003</v>
      </c>
      <c r="S4420">
        <v>-0.48767090000000002</v>
      </c>
      <c r="T4420">
        <v>4.8245910000000003E-2</v>
      </c>
      <c r="U4420">
        <v>-2.989487</v>
      </c>
      <c r="V4420">
        <v>2.9082119999999999E-2</v>
      </c>
      <c r="W4420">
        <v>2.5914319999999999E-3</v>
      </c>
      <c r="X4420">
        <v>0.99957359999999995</v>
      </c>
      <c r="Y4420">
        <v>0.1646291</v>
      </c>
      <c r="Z4420">
        <v>-1.5920980000000001E-2</v>
      </c>
      <c r="AA4420">
        <v>0.98622699999999996</v>
      </c>
      <c r="AB4420">
        <v>11</v>
      </c>
      <c r="AC4420">
        <v>-23.233599999999999</v>
      </c>
      <c r="AD4420">
        <v>2.2986110000000002</v>
      </c>
      <c r="AE4420">
        <v>-142.32599999999999</v>
      </c>
      <c r="AF4420">
        <v>23.753781593370299</v>
      </c>
      <c r="AG4420">
        <v>2.2986110000000002</v>
      </c>
      <c r="AH4420">
        <v>142.202971507836</v>
      </c>
      <c r="AI4420">
        <v>89.086588200191699</v>
      </c>
      <c r="AJ4420">
        <v>80.516789437092598</v>
      </c>
      <c r="AK4420">
        <v>144.19157693212699</v>
      </c>
      <c r="AL4420">
        <v>89.851521707448896</v>
      </c>
      <c r="AM4420">
        <v>88.333476585162302</v>
      </c>
      <c r="AN4420">
        <v>0.99999993352022998</v>
      </c>
    </row>
    <row r="4421" spans="1:40" x14ac:dyDescent="0.25">
      <c r="A4421" t="str">
        <f>"20190312160731838"</f>
        <v>20190312160731838</v>
      </c>
      <c r="B4421" t="str">
        <f>"1552378051829242"</f>
        <v>1552378051829242</v>
      </c>
      <c r="C4421" t="s">
        <v>40</v>
      </c>
      <c r="D4421">
        <v>6.2184379999999999</v>
      </c>
      <c r="E4421">
        <v>0.55289239999999995</v>
      </c>
      <c r="F4421" t="s">
        <v>56</v>
      </c>
      <c r="G4421">
        <v>-212.22630000000001</v>
      </c>
      <c r="H4421">
        <v>3.4439679999999999</v>
      </c>
      <c r="I4421">
        <v>51.226889999999997</v>
      </c>
      <c r="J4421">
        <v>-188.99359999999999</v>
      </c>
      <c r="K4421">
        <v>1.10911</v>
      </c>
      <c r="L4421">
        <v>191.73089999999999</v>
      </c>
      <c r="M4421">
        <v>2.6127339999999998E-3</v>
      </c>
      <c r="N4421">
        <v>0</v>
      </c>
      <c r="O4421">
        <v>-0.99995670000000003</v>
      </c>
      <c r="P4421">
        <v>-2.7137809999999998E-2</v>
      </c>
      <c r="Q4421">
        <v>-5.9796349999999996E-3</v>
      </c>
      <c r="R4421">
        <v>-0.99961440000000001</v>
      </c>
      <c r="S4421">
        <v>-0.49386600000000003</v>
      </c>
      <c r="T4421">
        <v>4.9631000000000002E-2</v>
      </c>
      <c r="U4421">
        <v>-2.988785</v>
      </c>
      <c r="V4421">
        <v>2.9752000000000001E-2</v>
      </c>
      <c r="W4421">
        <v>2.9609800000000002E-3</v>
      </c>
      <c r="X4421">
        <v>0.99955289999999997</v>
      </c>
      <c r="Y4421">
        <v>0.1655845</v>
      </c>
      <c r="Z4421">
        <v>-1.6377760000000002E-2</v>
      </c>
      <c r="AA4421">
        <v>0.98605960000000004</v>
      </c>
      <c r="AB4421">
        <v>11</v>
      </c>
      <c r="AC4421">
        <v>-23.232700000000001</v>
      </c>
      <c r="AD4421">
        <v>2.3348580000000001</v>
      </c>
      <c r="AE4421">
        <v>-140.50400999999999</v>
      </c>
      <c r="AF4421">
        <v>23.5933930473476</v>
      </c>
      <c r="AG4421">
        <v>2.3348580000000001</v>
      </c>
      <c r="AH4421">
        <v>140.40508627069599</v>
      </c>
      <c r="AI4421">
        <v>89.060461093540198</v>
      </c>
      <c r="AJ4421">
        <v>80.461245524369303</v>
      </c>
      <c r="AK4421">
        <v>142.392724561504</v>
      </c>
      <c r="AL4421">
        <v>89.830348090532894</v>
      </c>
      <c r="AM4421">
        <v>88.295076858434001</v>
      </c>
      <c r="AN4421">
        <v>0.999999974402484</v>
      </c>
    </row>
    <row r="4422" spans="1:40" x14ac:dyDescent="0.25">
      <c r="A4422" t="str">
        <f>"20190312160731861"</f>
        <v>20190312160731861</v>
      </c>
      <c r="B4422" t="str">
        <f>"1552378051849735"</f>
        <v>1552378051849735</v>
      </c>
      <c r="C4422" t="s">
        <v>40</v>
      </c>
      <c r="D4422">
        <v>6.4758659999999999</v>
      </c>
      <c r="E4422">
        <v>0.55307390000000001</v>
      </c>
      <c r="F4422" t="s">
        <v>56</v>
      </c>
      <c r="G4422">
        <v>-212.22640000000001</v>
      </c>
      <c r="H4422">
        <v>3.5810249999999999</v>
      </c>
      <c r="I4422">
        <v>53.138570000000001</v>
      </c>
      <c r="J4422">
        <v>-188.99459999999999</v>
      </c>
      <c r="K4422">
        <v>1.1091059999999999</v>
      </c>
      <c r="L4422">
        <v>191.6241</v>
      </c>
      <c r="M4422">
        <v>1.4713860000000001E-3</v>
      </c>
      <c r="N4422">
        <v>0</v>
      </c>
      <c r="O4422">
        <v>-0.99995909999999999</v>
      </c>
      <c r="P4422">
        <v>-2.880131E-2</v>
      </c>
      <c r="Q4422">
        <v>-5.6853099999999998E-3</v>
      </c>
      <c r="R4422">
        <v>-0.99956909999999999</v>
      </c>
      <c r="S4422">
        <v>-0.50086980000000003</v>
      </c>
      <c r="T4422">
        <v>5.3291560000000002E-2</v>
      </c>
      <c r="U4422">
        <v>-2.9878689999999999</v>
      </c>
      <c r="V4422">
        <v>3.0274820000000001E-2</v>
      </c>
      <c r="W4422">
        <v>3.2117949999999999E-3</v>
      </c>
      <c r="X4422">
        <v>0.99953650000000005</v>
      </c>
      <c r="Y4422">
        <v>0.16675299999999901</v>
      </c>
      <c r="Z4422">
        <v>-1.7585610000000002E-2</v>
      </c>
      <c r="AA4422">
        <v>0.98584190000000005</v>
      </c>
      <c r="AB4422">
        <v>11</v>
      </c>
      <c r="AC4422">
        <v>-23.2318</v>
      </c>
      <c r="AD4422">
        <v>2.4719190000000002</v>
      </c>
      <c r="AE4422">
        <v>-138.48553000000001</v>
      </c>
      <c r="AF4422">
        <v>23.428288458706302</v>
      </c>
      <c r="AG4422">
        <v>2.4719190000000002</v>
      </c>
      <c r="AH4422">
        <v>138.40830452581901</v>
      </c>
      <c r="AI4422">
        <v>88.991175611343493</v>
      </c>
      <c r="AJ4422">
        <v>80.392644989591801</v>
      </c>
      <c r="AK4422">
        <v>140.39890970146001</v>
      </c>
      <c r="AL4422">
        <v>89.815977394211203</v>
      </c>
      <c r="AM4422">
        <v>88.265106628880105</v>
      </c>
      <c r="AN4422">
        <v>1.0000000475927</v>
      </c>
    </row>
    <row r="4423" spans="1:40" x14ac:dyDescent="0.25">
      <c r="A4423" t="str">
        <f>"20190312160731884"</f>
        <v>20190312160731884</v>
      </c>
      <c r="B4423" t="str">
        <f>"1552378051879991"</f>
        <v>1552378051879991</v>
      </c>
      <c r="C4423" t="s">
        <v>40</v>
      </c>
      <c r="D4423">
        <v>6.2822139999999997</v>
      </c>
      <c r="E4423">
        <v>0.55347579999999996</v>
      </c>
      <c r="F4423" t="s">
        <v>56</v>
      </c>
      <c r="G4423">
        <v>-212.22640000000001</v>
      </c>
      <c r="H4423">
        <v>3.7354850000000002</v>
      </c>
      <c r="I4423">
        <v>54.828429999999997</v>
      </c>
      <c r="J4423">
        <v>-188.9958</v>
      </c>
      <c r="K4423">
        <v>1.109102</v>
      </c>
      <c r="L4423">
        <v>191.51349999999999</v>
      </c>
      <c r="M4423">
        <v>2.8864519999999999E-4</v>
      </c>
      <c r="N4423">
        <v>0</v>
      </c>
      <c r="O4423">
        <v>-0.99996050000000003</v>
      </c>
      <c r="P4423">
        <v>-3.11804E-2</v>
      </c>
      <c r="Q4423">
        <v>-6.0977829999999998E-3</v>
      </c>
      <c r="R4423">
        <v>-0.99949520000000003</v>
      </c>
      <c r="S4423">
        <v>-0.50727840000000002</v>
      </c>
      <c r="T4423">
        <v>5.7348610000000001E-2</v>
      </c>
      <c r="U4423">
        <v>-2.9870000000000001</v>
      </c>
      <c r="V4423">
        <v>3.1471289999999999E-2</v>
      </c>
      <c r="W4423">
        <v>2.7535559999999999E-3</v>
      </c>
      <c r="X4423">
        <v>0.99950090000000003</v>
      </c>
      <c r="Y4423">
        <v>0.167686</v>
      </c>
      <c r="Z4423">
        <v>-1.8924529999999998E-2</v>
      </c>
      <c r="AA4423">
        <v>0.98565879999999995</v>
      </c>
      <c r="AB4423">
        <v>11</v>
      </c>
      <c r="AC4423">
        <v>-23.230599999999999</v>
      </c>
      <c r="AD4423">
        <v>2.6263830000000001</v>
      </c>
      <c r="AE4423">
        <v>-136.68507</v>
      </c>
      <c r="AF4423">
        <v>23.2617067303513</v>
      </c>
      <c r="AG4423">
        <v>2.6263830000000001</v>
      </c>
      <c r="AH4423">
        <v>136.629329882706</v>
      </c>
      <c r="AI4423">
        <v>88.914374729447204</v>
      </c>
      <c r="AJ4423">
        <v>80.337804074800403</v>
      </c>
      <c r="AK4423">
        <v>138.62026789711899</v>
      </c>
      <c r="AL4423">
        <v>89.8422326689589</v>
      </c>
      <c r="AM4423">
        <v>88.196523344940104</v>
      </c>
      <c r="AN4423">
        <v>1.0000000366328501</v>
      </c>
    </row>
    <row r="4424" spans="1:40" x14ac:dyDescent="0.25">
      <c r="A4424" t="str">
        <f>"20190312160731907"</f>
        <v>20190312160731907</v>
      </c>
      <c r="B4424" t="str">
        <f>"1552378051899511"</f>
        <v>1552378051899511</v>
      </c>
      <c r="C4424" t="s">
        <v>40</v>
      </c>
      <c r="D4424">
        <v>6.243379</v>
      </c>
      <c r="E4424">
        <v>0.55379290000000003</v>
      </c>
      <c r="F4424" t="s">
        <v>56</v>
      </c>
      <c r="G4424">
        <v>-212.22640000000001</v>
      </c>
      <c r="H4424">
        <v>3.7562890000000002</v>
      </c>
      <c r="I4424">
        <v>57.539409999999997</v>
      </c>
      <c r="J4424">
        <v>-188.99719999999999</v>
      </c>
      <c r="K4424">
        <v>1.1090930000000001</v>
      </c>
      <c r="L4424">
        <v>191.40260000000001</v>
      </c>
      <c r="M4424">
        <v>-9.011135E-4</v>
      </c>
      <c r="N4424">
        <v>0</v>
      </c>
      <c r="O4424">
        <v>-0.99996050000000003</v>
      </c>
      <c r="P4424">
        <v>-3.2888819999999999E-2</v>
      </c>
      <c r="Q4424">
        <v>-5.216376E-3</v>
      </c>
      <c r="R4424">
        <v>-0.99944560000000005</v>
      </c>
      <c r="S4424">
        <v>-0.5177155</v>
      </c>
      <c r="T4424">
        <v>5.8995249999999999E-2</v>
      </c>
      <c r="U4424">
        <v>-2.9857330000000002</v>
      </c>
      <c r="V4424">
        <v>3.1991329999999998E-2</v>
      </c>
      <c r="W4424">
        <v>3.5875400000000002E-3</v>
      </c>
      <c r="X4424">
        <v>0.99948170000000003</v>
      </c>
      <c r="Y4424">
        <v>0.16992670000000001</v>
      </c>
      <c r="Z4424">
        <v>-1.946635E-2</v>
      </c>
      <c r="AA4424">
        <v>0.98526440000000004</v>
      </c>
      <c r="AB4424">
        <v>11</v>
      </c>
      <c r="AC4424">
        <v>-23.229199999999999</v>
      </c>
      <c r="AD4424">
        <v>2.6471960000000001</v>
      </c>
      <c r="AE4424">
        <v>-133.86319</v>
      </c>
      <c r="AF4424">
        <v>23.0997904563473</v>
      </c>
      <c r="AG4424">
        <v>2.6471960000000001</v>
      </c>
      <c r="AH4424">
        <v>133.83326094118399</v>
      </c>
      <c r="AI4424">
        <v>88.8833550854593</v>
      </c>
      <c r="AJ4424">
        <v>80.207161899854299</v>
      </c>
      <c r="AK4424">
        <v>135.837953827127</v>
      </c>
      <c r="AL4424">
        <v>89.794448656624894</v>
      </c>
      <c r="AM4424">
        <v>88.166707192694304</v>
      </c>
      <c r="AN4424">
        <v>0.99999999213665502</v>
      </c>
    </row>
    <row r="4425" spans="1:40" x14ac:dyDescent="0.25">
      <c r="A4425" t="str">
        <f>"20190312160731929"</f>
        <v>20190312160731929</v>
      </c>
      <c r="B4425" t="str">
        <f>"1552378051920007"</f>
        <v>1552378051920007</v>
      </c>
      <c r="C4425" t="s">
        <v>40</v>
      </c>
      <c r="D4425">
        <v>6.5610200000000001</v>
      </c>
      <c r="E4425">
        <v>0.55391290000000004</v>
      </c>
      <c r="F4425" t="s">
        <v>56</v>
      </c>
      <c r="G4425">
        <v>-212.22640000000001</v>
      </c>
      <c r="H4425">
        <v>3.8190909999999998</v>
      </c>
      <c r="I4425">
        <v>59.396979999999999</v>
      </c>
      <c r="J4425">
        <v>-188.99860000000001</v>
      </c>
      <c r="K4425">
        <v>1.109084</v>
      </c>
      <c r="L4425">
        <v>191.29589999999999</v>
      </c>
      <c r="M4425">
        <v>-2.046417E-3</v>
      </c>
      <c r="N4425">
        <v>0</v>
      </c>
      <c r="O4425">
        <v>-0.99995940000000005</v>
      </c>
      <c r="P4425">
        <v>-3.4137580000000001E-2</v>
      </c>
      <c r="Q4425">
        <v>-5.1081329999999999E-3</v>
      </c>
      <c r="R4425">
        <v>-0.99940399999999996</v>
      </c>
      <c r="S4425">
        <v>-0.52522279999999999</v>
      </c>
      <c r="T4425">
        <v>6.1274410000000001E-2</v>
      </c>
      <c r="U4425">
        <v>-2.9846949999999999</v>
      </c>
      <c r="V4425">
        <v>3.2095499999999999E-2</v>
      </c>
      <c r="W4425">
        <v>3.6480979999999998E-3</v>
      </c>
      <c r="X4425">
        <v>0.99947819999999998</v>
      </c>
      <c r="Y4425">
        <v>0.17125779999999999</v>
      </c>
      <c r="Z4425">
        <v>-2.021827E-2</v>
      </c>
      <c r="AA4425">
        <v>0.98501879999999997</v>
      </c>
      <c r="AB4425">
        <v>11</v>
      </c>
      <c r="AC4425">
        <v>-23.227799999999998</v>
      </c>
      <c r="AD4425">
        <v>2.7100070000000001</v>
      </c>
      <c r="AE4425">
        <v>-131.89891999999901</v>
      </c>
      <c r="AF4425">
        <v>22.948424678392399</v>
      </c>
      <c r="AG4425">
        <v>2.7100070000000001</v>
      </c>
      <c r="AH4425">
        <v>131.89217692882201</v>
      </c>
      <c r="AI4425">
        <v>88.8403194892351</v>
      </c>
      <c r="AJ4425">
        <v>80.129700420877001</v>
      </c>
      <c r="AK4425">
        <v>133.901160070343</v>
      </c>
      <c r="AL4425">
        <v>89.790978928379403</v>
      </c>
      <c r="AM4425">
        <v>88.160735291505503</v>
      </c>
      <c r="AN4425">
        <v>1.00000005100725</v>
      </c>
    </row>
    <row r="4426" spans="1:40" x14ac:dyDescent="0.25">
      <c r="A4426" t="str">
        <f>"20190312160731951"</f>
        <v>20190312160731951</v>
      </c>
      <c r="B4426" t="str">
        <f>"1552378051939527"</f>
        <v>1552378051939527</v>
      </c>
      <c r="C4426" t="s">
        <v>40</v>
      </c>
      <c r="D4426">
        <v>6.5199959999999999</v>
      </c>
      <c r="E4426">
        <v>0.55386420000000003</v>
      </c>
      <c r="F4426" t="s">
        <v>56</v>
      </c>
      <c r="G4426">
        <v>-212.22649999999999</v>
      </c>
      <c r="H4426">
        <v>3.846552</v>
      </c>
      <c r="I4426">
        <v>60.488480000000003</v>
      </c>
      <c r="J4426">
        <v>-189.00020000000001</v>
      </c>
      <c r="K4426">
        <v>1.1090799999999901</v>
      </c>
      <c r="L4426">
        <v>191.1892</v>
      </c>
      <c r="M4426">
        <v>-3.1941840000000001E-3</v>
      </c>
      <c r="N4426">
        <v>0</v>
      </c>
      <c r="O4426">
        <v>-0.99995650000000003</v>
      </c>
      <c r="P4426">
        <v>-3.565509E-2</v>
      </c>
      <c r="Q4426">
        <v>-4.883844E-3</v>
      </c>
      <c r="R4426">
        <v>-0.99935220000000002</v>
      </c>
      <c r="S4426">
        <v>-0.52987669999999998</v>
      </c>
      <c r="T4426">
        <v>6.2447790000000003E-2</v>
      </c>
      <c r="U4426">
        <v>-2.983994</v>
      </c>
      <c r="V4426">
        <v>3.2466149999999999E-2</v>
      </c>
      <c r="W4426">
        <v>3.8245269999999999E-3</v>
      </c>
      <c r="X4426">
        <v>0.99946550000000001</v>
      </c>
      <c r="Y4426">
        <v>0.171654799999999</v>
      </c>
      <c r="Z4426">
        <v>-2.060646E-2</v>
      </c>
      <c r="AA4426">
        <v>0.98494159999999997</v>
      </c>
      <c r="AB4426">
        <v>11</v>
      </c>
      <c r="AC4426">
        <v>-23.226299999999899</v>
      </c>
      <c r="AD4426">
        <v>2.7374719999999901</v>
      </c>
      <c r="AE4426">
        <v>-130.70071999999999</v>
      </c>
      <c r="AF4426">
        <v>22.7989881341394</v>
      </c>
      <c r="AG4426">
        <v>2.7374719999999901</v>
      </c>
      <c r="AH4426">
        <v>130.71865746336701</v>
      </c>
      <c r="AI4426">
        <v>88.818139969700795</v>
      </c>
      <c r="AJ4426">
        <v>80.106410144297399</v>
      </c>
      <c r="AK4426">
        <v>132.72021331325701</v>
      </c>
      <c r="AL4426">
        <v>89.780870206072805</v>
      </c>
      <c r="AM4426">
        <v>88.139486041037301</v>
      </c>
      <c r="AN4426">
        <v>0.99999998179642202</v>
      </c>
    </row>
    <row r="4427" spans="1:40" x14ac:dyDescent="0.25">
      <c r="A4427" t="str">
        <f>"20190312160731974"</f>
        <v>20190312160731974</v>
      </c>
      <c r="B4427" t="str">
        <f>"1552378051969783"</f>
        <v>1552378051969783</v>
      </c>
      <c r="C4427" t="s">
        <v>40</v>
      </c>
      <c r="D4427">
        <v>6.5250339999999998</v>
      </c>
      <c r="E4427">
        <v>0.55390810000000001</v>
      </c>
      <c r="F4427" t="s">
        <v>56</v>
      </c>
      <c r="G4427">
        <v>-212.22649999999999</v>
      </c>
      <c r="H4427">
        <v>4.022608</v>
      </c>
      <c r="I4427">
        <v>61.425080000000001</v>
      </c>
      <c r="J4427">
        <v>-189.00200000000001</v>
      </c>
      <c r="K4427">
        <v>1.109067</v>
      </c>
      <c r="L4427">
        <v>191.07380000000001</v>
      </c>
      <c r="M4427">
        <v>-4.4362020000000002E-3</v>
      </c>
      <c r="N4427">
        <v>0</v>
      </c>
      <c r="O4427">
        <v>-0.99995250000000002</v>
      </c>
      <c r="P4427">
        <v>-3.7491879999999998E-2</v>
      </c>
      <c r="Q4427">
        <v>-5.2902189999999997E-3</v>
      </c>
      <c r="R4427">
        <v>-0.99928320000000004</v>
      </c>
      <c r="S4427">
        <v>-0.5339661</v>
      </c>
      <c r="T4427">
        <v>6.6981319999999997E-2</v>
      </c>
      <c r="U4427">
        <v>-2.983231</v>
      </c>
      <c r="V4427">
        <v>3.3061430000000003E-2</v>
      </c>
      <c r="W4427">
        <v>3.3681969999999999E-3</v>
      </c>
      <c r="X4427">
        <v>0.99944759999999999</v>
      </c>
      <c r="Y4427">
        <v>0.1717774</v>
      </c>
      <c r="Z4427">
        <v>-2.2104240000000001E-2</v>
      </c>
      <c r="AA4427">
        <v>0.98488779999999998</v>
      </c>
      <c r="AB4427">
        <v>11</v>
      </c>
      <c r="AC4427">
        <v>-23.2244999999999</v>
      </c>
      <c r="AD4427">
        <v>2.9135409999999999</v>
      </c>
      <c r="AE4427">
        <v>-129.64872</v>
      </c>
      <c r="AF4427">
        <v>22.638024754112301</v>
      </c>
      <c r="AG4427">
        <v>2.9135409999999999</v>
      </c>
      <c r="AH4427">
        <v>129.687018793931</v>
      </c>
      <c r="AI4427">
        <v>88.732177304854005</v>
      </c>
      <c r="AJ4427">
        <v>80.098277901190201</v>
      </c>
      <c r="AK4427">
        <v>131.68026324997999</v>
      </c>
      <c r="AL4427">
        <v>89.807016153565499</v>
      </c>
      <c r="AM4427">
        <v>88.105363495195505</v>
      </c>
      <c r="AN4427">
        <v>0.99999995402521602</v>
      </c>
    </row>
    <row r="4428" spans="1:40" x14ac:dyDescent="0.25">
      <c r="A4428" t="str">
        <f>"20190312160731998"</f>
        <v>20190312160731998</v>
      </c>
      <c r="B4428" t="str">
        <f>"1552378051989303"</f>
        <v>1552378051989303</v>
      </c>
      <c r="C4428" t="s">
        <v>40</v>
      </c>
      <c r="D4428">
        <v>6.5771160000000002</v>
      </c>
      <c r="E4428">
        <v>0.55415990000000004</v>
      </c>
      <c r="F4428" t="s">
        <v>56</v>
      </c>
      <c r="G4428">
        <v>-211.36</v>
      </c>
      <c r="H4428">
        <v>3.942542</v>
      </c>
      <c r="I4428">
        <v>67.512079999999997</v>
      </c>
      <c r="J4428">
        <v>-189.00399999999999</v>
      </c>
      <c r="K4428">
        <v>1.109048</v>
      </c>
      <c r="L4428">
        <v>190.95840000000001</v>
      </c>
      <c r="M4428">
        <v>-5.6779090000000001E-3</v>
      </c>
      <c r="N4428">
        <v>0</v>
      </c>
      <c r="O4428">
        <v>-0.99994680000000002</v>
      </c>
      <c r="P4428">
        <v>-3.8749480000000003E-2</v>
      </c>
      <c r="Q4428">
        <v>-6.2758550000000003E-3</v>
      </c>
      <c r="R4428">
        <v>-0.99922979999999995</v>
      </c>
      <c r="S4428">
        <v>-0.53962710000000003</v>
      </c>
      <c r="T4428">
        <v>6.8388459999999998E-2</v>
      </c>
      <c r="U4428">
        <v>-2.9822540000000002</v>
      </c>
      <c r="V4428">
        <v>3.3077299999999997E-2</v>
      </c>
      <c r="W4428">
        <v>2.3387099999999999E-3</v>
      </c>
      <c r="X4428">
        <v>0.99945010000000001</v>
      </c>
      <c r="Y4428">
        <v>0.17241899999999999</v>
      </c>
      <c r="Z4428">
        <v>-2.2570389999999999E-2</v>
      </c>
      <c r="AA4428">
        <v>0.98476509999999995</v>
      </c>
      <c r="AB4428">
        <v>11</v>
      </c>
      <c r="AC4428">
        <v>-22.355999999999899</v>
      </c>
      <c r="AD4428">
        <v>2.833494</v>
      </c>
      <c r="AE4428">
        <v>-123.44632</v>
      </c>
      <c r="AF4428">
        <v>21.643655756081401</v>
      </c>
      <c r="AG4428">
        <v>2.833494</v>
      </c>
      <c r="AH4428">
        <v>123.50826581658301</v>
      </c>
      <c r="AI4428">
        <v>88.705485519470301</v>
      </c>
      <c r="AJ4428">
        <v>80.060382390595706</v>
      </c>
      <c r="AK4428">
        <v>125.422359441033</v>
      </c>
      <c r="AL4428">
        <v>89.866001670684497</v>
      </c>
      <c r="AM4428">
        <v>88.104459441558106</v>
      </c>
      <c r="AN4428">
        <v>1.0000000398648801</v>
      </c>
    </row>
    <row r="4429" spans="1:40" x14ac:dyDescent="0.25">
      <c r="A4429" t="str">
        <f>"20190312160732018"</f>
        <v>20190312160732018</v>
      </c>
      <c r="B4429" t="str">
        <f>"1552378052009805"</f>
        <v>1552378052009805</v>
      </c>
      <c r="C4429" t="s">
        <v>40</v>
      </c>
      <c r="D4429">
        <v>6.5488400000000002</v>
      </c>
      <c r="E4429">
        <v>0.55449459999999995</v>
      </c>
      <c r="F4429" t="s">
        <v>56</v>
      </c>
      <c r="G4429">
        <v>-211.35990000000001</v>
      </c>
      <c r="H4429">
        <v>3.7703660000000001</v>
      </c>
      <c r="I4429">
        <v>68.75573</v>
      </c>
      <c r="J4429">
        <v>-189.0059</v>
      </c>
      <c r="K4429">
        <v>1.109032</v>
      </c>
      <c r="L4429">
        <v>190.85079999999999</v>
      </c>
      <c r="M4429">
        <v>-6.8352129999999997E-3</v>
      </c>
      <c r="N4429">
        <v>0</v>
      </c>
      <c r="O4429">
        <v>-0.99993960000000004</v>
      </c>
      <c r="P4429">
        <v>-4.0446389999999999E-2</v>
      </c>
      <c r="Q4429">
        <v>-7.2446439999999997E-3</v>
      </c>
      <c r="R4429">
        <v>-0.99915549999999997</v>
      </c>
      <c r="S4429">
        <v>-0.54545589999999999</v>
      </c>
      <c r="T4429">
        <v>6.4933060000000001E-2</v>
      </c>
      <c r="U4429">
        <v>-2.9815830000000001</v>
      </c>
      <c r="V4429">
        <v>3.3617019999999997E-2</v>
      </c>
      <c r="W4429">
        <v>1.3321079999999901E-3</v>
      </c>
      <c r="X4429">
        <v>0.99943389999999999</v>
      </c>
      <c r="Y4429">
        <v>0.1731858</v>
      </c>
      <c r="Z4429">
        <v>-2.142989E-2</v>
      </c>
      <c r="AA4429">
        <v>0.98465599999999998</v>
      </c>
      <c r="AB4429">
        <v>11</v>
      </c>
      <c r="AC4429">
        <v>-22.353999999999999</v>
      </c>
      <c r="AD4429">
        <v>2.6613340000000001</v>
      </c>
      <c r="AE4429">
        <v>-122.09507000000001</v>
      </c>
      <c r="AF4429">
        <v>21.509013149414301</v>
      </c>
      <c r="AG4429">
        <v>2.6613340000000001</v>
      </c>
      <c r="AH4429">
        <v>122.18884626792899</v>
      </c>
      <c r="AI4429">
        <v>88.771154499040094</v>
      </c>
      <c r="AJ4429">
        <v>80.016453215496199</v>
      </c>
      <c r="AK4429">
        <v>124.09606962997999</v>
      </c>
      <c r="AL4429">
        <v>89.923675811133705</v>
      </c>
      <c r="AM4429">
        <v>88.073521953954895</v>
      </c>
      <c r="AN4429">
        <v>0.999999999507307</v>
      </c>
    </row>
    <row r="4430" spans="1:40" x14ac:dyDescent="0.25">
      <c r="A4430" t="str">
        <f>"20190312160732040"</f>
        <v>20190312160732040</v>
      </c>
      <c r="B4430" t="str">
        <f>"1552378052029319"</f>
        <v>1552378052029319</v>
      </c>
      <c r="C4430" t="s">
        <v>40</v>
      </c>
      <c r="D4430">
        <v>6.4896599999999998</v>
      </c>
      <c r="E4430">
        <v>0.55481380000000002</v>
      </c>
      <c r="F4430" t="s">
        <v>56</v>
      </c>
      <c r="G4430">
        <v>-211.35980000000001</v>
      </c>
      <c r="H4430">
        <v>3.5478900000000002</v>
      </c>
      <c r="I4430">
        <v>70.409359999999893</v>
      </c>
      <c r="J4430">
        <v>-189.00790000000001</v>
      </c>
      <c r="K4430">
        <v>1.109011</v>
      </c>
      <c r="L4430">
        <v>190.74520000000001</v>
      </c>
      <c r="M4430">
        <v>-7.9712729999999992E-3</v>
      </c>
      <c r="N4430">
        <v>0</v>
      </c>
      <c r="O4430">
        <v>-0.99993149999999997</v>
      </c>
      <c r="P4430">
        <v>-4.1936370000000001E-2</v>
      </c>
      <c r="Q4430">
        <v>-8.0798750000000003E-3</v>
      </c>
      <c r="R4430">
        <v>-0.99908770000000002</v>
      </c>
      <c r="S4430">
        <v>-0.55319209999999996</v>
      </c>
      <c r="T4430">
        <v>6.0354829999999998E-2</v>
      </c>
      <c r="U4430">
        <v>-2.9805600000000001</v>
      </c>
      <c r="V4430">
        <v>3.3971189999999998E-2</v>
      </c>
      <c r="W4430">
        <v>4.6283400000000002E-4</v>
      </c>
      <c r="X4430">
        <v>0.9994227</v>
      </c>
      <c r="Y4430">
        <v>0.17460390000000001</v>
      </c>
      <c r="Z4430">
        <v>-1.991886E-2</v>
      </c>
      <c r="AA4430">
        <v>0.98443729999999996</v>
      </c>
      <c r="AB4430">
        <v>11</v>
      </c>
      <c r="AC4430">
        <v>-22.351900000000001</v>
      </c>
      <c r="AD4430">
        <v>2.438879</v>
      </c>
      <c r="AE4430">
        <v>-120.33584</v>
      </c>
      <c r="AF4430">
        <v>21.383434169942898</v>
      </c>
      <c r="AG4430">
        <v>2.438879</v>
      </c>
      <c r="AH4430">
        <v>120.46236501604901</v>
      </c>
      <c r="AI4430">
        <v>88.857997100836101</v>
      </c>
      <c r="AJ4430">
        <v>79.934201526862793</v>
      </c>
      <c r="AK4430">
        <v>122.369852385858</v>
      </c>
      <c r="AL4430">
        <v>89.973481564095394</v>
      </c>
      <c r="AM4430">
        <v>88.053219402076607</v>
      </c>
      <c r="AN4430">
        <v>0.99999999462030797</v>
      </c>
    </row>
    <row r="4431" spans="1:40" x14ac:dyDescent="0.25">
      <c r="A4431" t="str">
        <f>"20190312160732063"</f>
        <v>20190312160732063</v>
      </c>
      <c r="B4431" t="str">
        <f>"1552378052059575"</f>
        <v>1552378052059575</v>
      </c>
      <c r="C4431" t="s">
        <v>40</v>
      </c>
      <c r="D4431">
        <v>6.3120229999999999</v>
      </c>
      <c r="E4431">
        <v>0.55476729999999996</v>
      </c>
      <c r="F4431" t="s">
        <v>56</v>
      </c>
      <c r="G4431">
        <v>-211.60140000000001</v>
      </c>
      <c r="H4431">
        <v>3.3804270000000001</v>
      </c>
      <c r="I4431">
        <v>70.567830000000001</v>
      </c>
      <c r="J4431">
        <v>-189.0103</v>
      </c>
      <c r="K4431">
        <v>1.108989</v>
      </c>
      <c r="L4431">
        <v>190.6294</v>
      </c>
      <c r="M4431">
        <v>-9.2156340000000003E-3</v>
      </c>
      <c r="N4431">
        <v>0</v>
      </c>
      <c r="O4431">
        <v>-0.99992099999999995</v>
      </c>
      <c r="P4431">
        <v>-4.2886760000000003E-2</v>
      </c>
      <c r="Q4431">
        <v>-1.011374E-2</v>
      </c>
      <c r="R4431">
        <v>-0.99902880000000005</v>
      </c>
      <c r="S4431">
        <v>-0.56018069999999998</v>
      </c>
      <c r="T4431">
        <v>5.6317569999999997E-2</v>
      </c>
      <c r="U4431">
        <v>-2.97966</v>
      </c>
      <c r="V4431">
        <v>3.3676409999999997E-2</v>
      </c>
      <c r="W4431">
        <v>-1.6035450000000001E-3</v>
      </c>
      <c r="X4431">
        <v>0.99943150000000003</v>
      </c>
      <c r="Y4431">
        <v>0.17566770000000001</v>
      </c>
      <c r="Z4431">
        <v>-1.8586419999999999E-2</v>
      </c>
      <c r="AA4431">
        <v>0.98427399999999998</v>
      </c>
      <c r="AB4431">
        <v>11</v>
      </c>
      <c r="AC4431">
        <v>-22.591100000000001</v>
      </c>
      <c r="AD4431">
        <v>2.2714379999999998</v>
      </c>
      <c r="AE4431">
        <v>-120.06156999999899</v>
      </c>
      <c r="AF4431">
        <v>21.476232631081</v>
      </c>
      <c r="AG4431">
        <v>2.2714379999999998</v>
      </c>
      <c r="AH4431">
        <v>120.223110544763</v>
      </c>
      <c r="AI4431">
        <v>88.934473219009803</v>
      </c>
      <c r="AJ4431">
        <v>79.871716692128103</v>
      </c>
      <c r="AK4431">
        <v>122.14738764161299</v>
      </c>
      <c r="AL4431">
        <v>90.091876400357094</v>
      </c>
      <c r="AM4431">
        <v>88.070116453848598</v>
      </c>
      <c r="AN4431">
        <v>0.99999999756965197</v>
      </c>
    </row>
    <row r="4432" spans="1:40" x14ac:dyDescent="0.25">
      <c r="A4432" t="str">
        <f>"20190312160732085"</f>
        <v>20190312160732085</v>
      </c>
      <c r="B4432" t="str">
        <f>"1552378052080072"</f>
        <v>1552378052080072</v>
      </c>
      <c r="C4432" t="s">
        <v>40</v>
      </c>
      <c r="D4432">
        <v>6.5117629999999904</v>
      </c>
      <c r="E4432">
        <v>0.55493709999999996</v>
      </c>
      <c r="F4432" t="s">
        <v>56</v>
      </c>
      <c r="G4432">
        <v>-211.68010000000001</v>
      </c>
      <c r="H4432">
        <v>3.2170209999999999</v>
      </c>
      <c r="I4432">
        <v>70.567830000000001</v>
      </c>
      <c r="J4432">
        <v>-189.0128</v>
      </c>
      <c r="K4432">
        <v>1.1089800000000001</v>
      </c>
      <c r="L4432">
        <v>190.5147</v>
      </c>
      <c r="M4432">
        <v>-1.044703E-2</v>
      </c>
      <c r="N4432">
        <v>0</v>
      </c>
      <c r="O4432">
        <v>-0.9999091</v>
      </c>
      <c r="P4432">
        <v>-4.2714910000000002E-2</v>
      </c>
      <c r="Q4432">
        <v>-1.1153430000000001E-2</v>
      </c>
      <c r="R4432">
        <v>-0.99902500000000005</v>
      </c>
      <c r="S4432">
        <v>-0.56254579999999998</v>
      </c>
      <c r="T4432">
        <v>5.2310710000000003E-2</v>
      </c>
      <c r="U4432">
        <v>-2.9792939999999999</v>
      </c>
      <c r="V4432">
        <v>3.2272790000000003E-2</v>
      </c>
      <c r="W4432">
        <v>-2.6690030000000001E-3</v>
      </c>
      <c r="X4432">
        <v>0.99947549999999996</v>
      </c>
      <c r="Y4432">
        <v>0.17523629999999901</v>
      </c>
      <c r="Z4432">
        <v>-1.7265630000000001E-2</v>
      </c>
      <c r="AA4432">
        <v>0.984375</v>
      </c>
      <c r="AB4432">
        <v>11</v>
      </c>
      <c r="AC4432">
        <v>-22.667300000000001</v>
      </c>
      <c r="AD4432">
        <v>2.1080410000000001</v>
      </c>
      <c r="AE4432">
        <v>-119.946869999999</v>
      </c>
      <c r="AF4432">
        <v>21.4065449237937</v>
      </c>
      <c r="AG4432">
        <v>2.1080410000000001</v>
      </c>
      <c r="AH4432">
        <v>120.141309494189</v>
      </c>
      <c r="AI4432">
        <v>89.010354996226397</v>
      </c>
      <c r="AJ4432">
        <v>79.897171945150006</v>
      </c>
      <c r="AK4432">
        <v>122.05170318111399</v>
      </c>
      <c r="AL4432">
        <v>90.1529227941936</v>
      </c>
      <c r="AM4432">
        <v>88.150577554399902</v>
      </c>
      <c r="AN4432">
        <v>0.99999996582582296</v>
      </c>
    </row>
    <row r="4433" spans="1:40" x14ac:dyDescent="0.25">
      <c r="A4433" t="str">
        <f>"20190312160732108"</f>
        <v>20190312160732108</v>
      </c>
      <c r="B4433" t="str">
        <f>"1552378052099591"</f>
        <v>1552378052099591</v>
      </c>
      <c r="C4433" t="s">
        <v>40</v>
      </c>
      <c r="D4433">
        <v>6.5574709999999996</v>
      </c>
      <c r="E4433">
        <v>0.55520340000000001</v>
      </c>
      <c r="F4433" t="s">
        <v>56</v>
      </c>
      <c r="G4433">
        <v>-211.696</v>
      </c>
      <c r="H4433">
        <v>3.0820630000000002</v>
      </c>
      <c r="I4433">
        <v>70.567830000000001</v>
      </c>
      <c r="J4433">
        <v>-189.0155</v>
      </c>
      <c r="K4433">
        <v>1.108973</v>
      </c>
      <c r="L4433">
        <v>190.39850000000001</v>
      </c>
      <c r="M4433">
        <v>-1.1693820000000001E-2</v>
      </c>
      <c r="N4433">
        <v>0</v>
      </c>
      <c r="O4433">
        <v>-0.99989550000000005</v>
      </c>
      <c r="P4433">
        <v>-4.2276179999999997E-2</v>
      </c>
      <c r="Q4433">
        <v>-1.106174E-2</v>
      </c>
      <c r="R4433">
        <v>-0.99904490000000001</v>
      </c>
      <c r="S4433">
        <v>-0.56343080000000001</v>
      </c>
      <c r="T4433">
        <v>4.9010039999999998E-2</v>
      </c>
      <c r="U4433">
        <v>-2.9793699999999999</v>
      </c>
      <c r="V4433">
        <v>3.0587699999999999E-2</v>
      </c>
      <c r="W4433">
        <v>-2.595286E-3</v>
      </c>
      <c r="X4433">
        <v>0.99952870000000005</v>
      </c>
      <c r="Y4433">
        <v>0.17428959999999999</v>
      </c>
      <c r="Z4433">
        <v>-1.6176699999999999E-2</v>
      </c>
      <c r="AA4433">
        <v>0.98456160000000004</v>
      </c>
      <c r="AB4433">
        <v>11</v>
      </c>
      <c r="AC4433">
        <v>-22.680499999999899</v>
      </c>
      <c r="AD4433">
        <v>1.97309</v>
      </c>
      <c r="AE4433">
        <v>-119.83067</v>
      </c>
      <c r="AF4433">
        <v>21.272052431136</v>
      </c>
      <c r="AG4433">
        <v>1.97309</v>
      </c>
      <c r="AH4433">
        <v>120.05628357501401</v>
      </c>
      <c r="AI4433">
        <v>89.072883329693397</v>
      </c>
      <c r="AJ4433">
        <v>79.952384110018102</v>
      </c>
      <c r="AK4433">
        <v>121.942217974847</v>
      </c>
      <c r="AL4433">
        <v>90.148699103957497</v>
      </c>
      <c r="AM4433">
        <v>88.247174551747705</v>
      </c>
      <c r="AN4433">
        <v>0.99999998251220001</v>
      </c>
    </row>
    <row r="4434" spans="1:40" x14ac:dyDescent="0.25">
      <c r="A4434" t="str">
        <f>"20190312160732129"</f>
        <v>20190312160732129</v>
      </c>
      <c r="B4434" t="str">
        <f>"1552378052120087"</f>
        <v>1552378052120087</v>
      </c>
      <c r="C4434" t="s">
        <v>40</v>
      </c>
      <c r="D4434">
        <v>6.3139719999999997</v>
      </c>
      <c r="E4434">
        <v>0.55520340000000001</v>
      </c>
      <c r="F4434" t="s">
        <v>56</v>
      </c>
      <c r="G4434">
        <v>-211.70509999999999</v>
      </c>
      <c r="H4434">
        <v>3.0425800000000001</v>
      </c>
      <c r="I4434">
        <v>70.567830000000001</v>
      </c>
      <c r="J4434">
        <v>-189.0181</v>
      </c>
      <c r="K4434">
        <v>1.108973</v>
      </c>
      <c r="L4434">
        <v>190.2876</v>
      </c>
      <c r="M4434">
        <v>-1.2883179999999999E-2</v>
      </c>
      <c r="N4434">
        <v>0</v>
      </c>
      <c r="O4434">
        <v>-0.99988120000000003</v>
      </c>
      <c r="P4434">
        <v>-4.1559690000000003E-2</v>
      </c>
      <c r="Q4434">
        <v>-1.1218229999999999E-2</v>
      </c>
      <c r="R4434">
        <v>-0.99907330000000005</v>
      </c>
      <c r="S4434">
        <v>-0.56416319999999998</v>
      </c>
      <c r="T4434">
        <v>4.8078299999999997E-2</v>
      </c>
      <c r="U4434">
        <v>-2.9795069999999999</v>
      </c>
      <c r="V4434">
        <v>2.868184E-2</v>
      </c>
      <c r="W4434">
        <v>-2.762263E-3</v>
      </c>
      <c r="X4434">
        <v>0.99958480000000005</v>
      </c>
      <c r="Y4434">
        <v>0.17334459999999999</v>
      </c>
      <c r="Z4434">
        <v>-1.5869149999999999E-2</v>
      </c>
      <c r="AA4434">
        <v>0.98473339999999998</v>
      </c>
      <c r="AB4434">
        <v>11</v>
      </c>
      <c r="AC4434">
        <v>-22.686999999999902</v>
      </c>
      <c r="AD4434">
        <v>1.9336070000000001</v>
      </c>
      <c r="AE4434">
        <v>-119.71977</v>
      </c>
      <c r="AF4434">
        <v>21.137367744706399</v>
      </c>
      <c r="AG4434">
        <v>1.9336070000000001</v>
      </c>
      <c r="AH4434">
        <v>119.971913938885</v>
      </c>
      <c r="AI4434">
        <v>89.090638184110006</v>
      </c>
      <c r="AJ4434">
        <v>80.007836018291798</v>
      </c>
      <c r="AK4434">
        <v>121.835082325923</v>
      </c>
      <c r="AL4434">
        <v>90.158266209079002</v>
      </c>
      <c r="AM4434">
        <v>88.356419989072194</v>
      </c>
      <c r="AN4434">
        <v>1.0000000252168499</v>
      </c>
    </row>
    <row r="4435" spans="1:40" x14ac:dyDescent="0.25">
      <c r="A4435" t="str">
        <f>"20190312160732152"</f>
        <v>20190312160732152</v>
      </c>
      <c r="B4435" t="str">
        <f>"1552378052150078"</f>
        <v>1552378052150078</v>
      </c>
      <c r="C4435" t="s">
        <v>40</v>
      </c>
      <c r="D4435">
        <v>6.279585</v>
      </c>
      <c r="E4435">
        <v>0.48949280000000001</v>
      </c>
      <c r="F4435" t="s">
        <v>56</v>
      </c>
      <c r="G4435">
        <v>-211.6019</v>
      </c>
      <c r="H4435">
        <v>3.0227339999999998</v>
      </c>
      <c r="I4435">
        <v>70.567830000000001</v>
      </c>
      <c r="J4435">
        <v>-189.02109999999999</v>
      </c>
      <c r="K4435">
        <v>1.1089659999999999</v>
      </c>
      <c r="L4435">
        <v>190.1721</v>
      </c>
      <c r="M4435">
        <v>-1.412223E-2</v>
      </c>
      <c r="N4435">
        <v>0</v>
      </c>
      <c r="O4435">
        <v>-0.99986450000000004</v>
      </c>
      <c r="P4435">
        <v>-4.1333759999999997E-2</v>
      </c>
      <c r="Q4435">
        <v>-1.1238690000000001E-2</v>
      </c>
      <c r="R4435">
        <v>-0.99908249999999998</v>
      </c>
      <c r="S4435">
        <v>-0.56213380000000002</v>
      </c>
      <c r="T4435">
        <v>4.7636030000000003E-2</v>
      </c>
      <c r="U4435">
        <v>-2.9799500000000001</v>
      </c>
      <c r="V4435">
        <v>2.7217100000000001E-2</v>
      </c>
      <c r="W4435">
        <v>-2.7909380000000002E-3</v>
      </c>
      <c r="X4435">
        <v>0.9996256</v>
      </c>
      <c r="Y4435">
        <v>0.17144999999999999</v>
      </c>
      <c r="Z4435">
        <v>-1.5724120000000001E-2</v>
      </c>
      <c r="AA4435">
        <v>0.98506729999999998</v>
      </c>
      <c r="AB4435">
        <v>11</v>
      </c>
      <c r="AC4435">
        <v>-22.5808</v>
      </c>
      <c r="AD4435">
        <v>1.9137679999999999</v>
      </c>
      <c r="AE4435">
        <v>-119.60427</v>
      </c>
      <c r="AF4435">
        <v>20.884245665652799</v>
      </c>
      <c r="AG4435">
        <v>1.9137679999999999</v>
      </c>
      <c r="AH4435">
        <v>119.881607902626</v>
      </c>
      <c r="AI4435">
        <v>89.098985960190006</v>
      </c>
      <c r="AJ4435">
        <v>80.117831757984106</v>
      </c>
      <c r="AK4435">
        <v>121.70215338398999</v>
      </c>
      <c r="AL4435">
        <v>90.159909183872898</v>
      </c>
      <c r="AM4435">
        <v>88.440376292168395</v>
      </c>
      <c r="AN4435">
        <v>0.99999995002134301</v>
      </c>
    </row>
    <row r="4436" spans="1:40" x14ac:dyDescent="0.25">
      <c r="A4436" t="str">
        <f>"20190312160732175"</f>
        <v>20190312160732175</v>
      </c>
      <c r="B4436" t="str">
        <f>"1552378052169599"</f>
        <v>1552378052169599</v>
      </c>
      <c r="C4436" t="s">
        <v>40</v>
      </c>
      <c r="D4436">
        <v>6.0922700000000001</v>
      </c>
      <c r="E4436">
        <v>0.48766229999999999</v>
      </c>
      <c r="F4436" t="s">
        <v>89</v>
      </c>
      <c r="G4436">
        <v>-189.59460000000001</v>
      </c>
      <c r="H4436" s="1">
        <v>-1.0522279999999999E-5</v>
      </c>
      <c r="I4436">
        <v>148.86869999999999</v>
      </c>
      <c r="J4436">
        <v>-189.02420000000001</v>
      </c>
      <c r="K4436">
        <v>1.108965</v>
      </c>
      <c r="L4436">
        <v>190.0557</v>
      </c>
      <c r="M4436">
        <v>-1.537095E-2</v>
      </c>
      <c r="N4436">
        <v>0</v>
      </c>
      <c r="O4436">
        <v>-0.99984620000000002</v>
      </c>
      <c r="P4436">
        <v>-4.1336980000000002E-2</v>
      </c>
      <c r="Q4436">
        <v>-1.0496460000000001E-2</v>
      </c>
      <c r="R4436">
        <v>-0.99909040000000005</v>
      </c>
      <c r="S4436">
        <v>-4.1656489999999997E-2</v>
      </c>
      <c r="T4436">
        <v>-8.0552219999999994E-2</v>
      </c>
      <c r="U4436">
        <v>-3.0001370000000001</v>
      </c>
      <c r="V4436">
        <v>2.5972530000000001E-2</v>
      </c>
      <c r="W4436">
        <v>-2.0558270000000001E-3</v>
      </c>
      <c r="X4436">
        <v>0.99966060000000001</v>
      </c>
      <c r="Y4436">
        <v>-1.4931320000000001E-3</v>
      </c>
      <c r="Z4436">
        <v>2.6833780000000002E-2</v>
      </c>
      <c r="AA4436">
        <v>0.99963880000000005</v>
      </c>
      <c r="AB4436">
        <v>11</v>
      </c>
      <c r="AC4436">
        <v>-0.57040000000000601</v>
      </c>
      <c r="AD4436">
        <v>-1.10897552228</v>
      </c>
      <c r="AE4436">
        <v>-41.186999999999998</v>
      </c>
      <c r="AF4436">
        <v>-6.2727815961235001E-2</v>
      </c>
      <c r="AG4436">
        <v>-1.10897552228</v>
      </c>
      <c r="AH4436">
        <v>41.161066660769599</v>
      </c>
      <c r="AI4436">
        <v>91.543307325900599</v>
      </c>
      <c r="AJ4436">
        <v>90.087316404114205</v>
      </c>
      <c r="AK4436">
        <v>41.176050929396197</v>
      </c>
      <c r="AL4436">
        <v>90.117790286770997</v>
      </c>
      <c r="AM4436">
        <v>88.511713228923895</v>
      </c>
      <c r="AN4436">
        <v>1.0000000569658001</v>
      </c>
    </row>
    <row r="4437" spans="1:40" x14ac:dyDescent="0.25">
      <c r="A4437" t="str">
        <f>"20190312160732198"</f>
        <v>20190312160732198</v>
      </c>
      <c r="B4437" t="str">
        <f>"1552378052190095"</f>
        <v>1552378052190095</v>
      </c>
      <c r="C4437" t="s">
        <v>40</v>
      </c>
      <c r="D4437">
        <v>6.3603319999999997</v>
      </c>
      <c r="E4437">
        <v>0.48728050000000001</v>
      </c>
      <c r="F4437" t="s">
        <v>89</v>
      </c>
      <c r="G4437">
        <v>-189.50360000000001</v>
      </c>
      <c r="H4437" s="1">
        <v>-6.9254069999999998E-6</v>
      </c>
      <c r="I4437">
        <v>136.0171</v>
      </c>
      <c r="J4437">
        <v>-189.02760000000001</v>
      </c>
      <c r="K4437">
        <v>1.108967</v>
      </c>
      <c r="L4437">
        <v>189.93100000000001</v>
      </c>
      <c r="M4437">
        <v>-1.6707960000000001E-2</v>
      </c>
      <c r="N4437">
        <v>0</v>
      </c>
      <c r="O4437">
        <v>-0.99982470000000001</v>
      </c>
      <c r="P4437">
        <v>-4.2391539999999998E-2</v>
      </c>
      <c r="Q4437">
        <v>-1.022553E-2</v>
      </c>
      <c r="R4437">
        <v>-0.99904870000000001</v>
      </c>
      <c r="S4437">
        <v>-2.6626589999999999E-2</v>
      </c>
      <c r="T4437">
        <v>-6.1585550000000003E-2</v>
      </c>
      <c r="U4437">
        <v>-3.0009769999999998</v>
      </c>
      <c r="V4437">
        <v>2.5691149999999999E-2</v>
      </c>
      <c r="W4437">
        <v>-1.7929790000000001E-3</v>
      </c>
      <c r="X4437">
        <v>0.99966829999999995</v>
      </c>
      <c r="Y4437">
        <v>-7.8387170000000003E-3</v>
      </c>
      <c r="Z4437">
        <v>2.0512499999999999E-2</v>
      </c>
      <c r="AA4437">
        <v>0.99975879999999995</v>
      </c>
      <c r="AB4437">
        <v>12</v>
      </c>
      <c r="AC4437">
        <v>-0.47599999999999898</v>
      </c>
      <c r="AD4437">
        <v>-1.1089739254069999</v>
      </c>
      <c r="AE4437">
        <v>-53.913899999999899</v>
      </c>
      <c r="AF4437">
        <v>-0.424710218997775</v>
      </c>
      <c r="AG4437">
        <v>-1.1089739254069999</v>
      </c>
      <c r="AH4437">
        <v>53.891527387072699</v>
      </c>
      <c r="AI4437">
        <v>91.178823278241197</v>
      </c>
      <c r="AJ4437">
        <v>90.451529219638303</v>
      </c>
      <c r="AK4437">
        <v>53.904609506506603</v>
      </c>
      <c r="AL4437">
        <v>90.102730186553202</v>
      </c>
      <c r="AM4437">
        <v>88.527841161713397</v>
      </c>
      <c r="AN4437">
        <v>0.99999997999345303</v>
      </c>
    </row>
    <row r="4438" spans="1:40" x14ac:dyDescent="0.25">
      <c r="A4438" t="str">
        <f>"20190312160732220"</f>
        <v>20190312160732220</v>
      </c>
      <c r="B4438" t="str">
        <f>"1552378052209614"</f>
        <v>1552378052209614</v>
      </c>
      <c r="C4438" t="s">
        <v>40</v>
      </c>
      <c r="D4438">
        <v>6.1988430000000001</v>
      </c>
      <c r="E4438">
        <v>0.48728729999999998</v>
      </c>
      <c r="F4438" t="s">
        <v>89</v>
      </c>
      <c r="G4438">
        <v>-189.57230000000001</v>
      </c>
      <c r="H4438" s="1">
        <v>-4.3644750000000003E-6</v>
      </c>
      <c r="I4438">
        <v>128.4093</v>
      </c>
      <c r="J4438">
        <v>-189.03100000000001</v>
      </c>
      <c r="K4438">
        <v>1.1089560000000001</v>
      </c>
      <c r="L4438">
        <v>189.81549999999999</v>
      </c>
      <c r="M4438">
        <v>-1.7947520000000002E-2</v>
      </c>
      <c r="N4438">
        <v>0</v>
      </c>
      <c r="O4438">
        <v>-0.99980349999999996</v>
      </c>
      <c r="P4438">
        <v>-4.31922E-2</v>
      </c>
      <c r="Q4438">
        <v>-9.5582170000000008E-3</v>
      </c>
      <c r="R4438">
        <v>-0.99902150000000001</v>
      </c>
      <c r="S4438">
        <v>-2.656555E-2</v>
      </c>
      <c r="T4438">
        <v>-5.4098250000000001E-2</v>
      </c>
      <c r="U4438">
        <v>-3.0011749999999999</v>
      </c>
      <c r="V4438">
        <v>2.5253500000000002E-2</v>
      </c>
      <c r="W4438">
        <v>-1.1321020000000001E-3</v>
      </c>
      <c r="X4438">
        <v>0.99968049999999997</v>
      </c>
      <c r="Y4438">
        <v>-9.0989509999999992E-3</v>
      </c>
      <c r="Z4438">
        <v>1.8017689999999999E-2</v>
      </c>
      <c r="AA4438">
        <v>0.99979629999999997</v>
      </c>
      <c r="AB4438">
        <v>12</v>
      </c>
      <c r="AC4438">
        <v>-0.54130000000003498</v>
      </c>
      <c r="AD4438">
        <v>-1.1089603644749999</v>
      </c>
      <c r="AE4438">
        <v>-61.406199999999899</v>
      </c>
      <c r="AF4438">
        <v>-0.56073237372727103</v>
      </c>
      <c r="AG4438">
        <v>-1.1089603644749999</v>
      </c>
      <c r="AH4438">
        <v>61.386004918080502</v>
      </c>
      <c r="AI4438">
        <v>91.034913219444803</v>
      </c>
      <c r="AJ4438">
        <v>90.523355526501106</v>
      </c>
      <c r="AK4438">
        <v>61.398581528301797</v>
      </c>
      <c r="AL4438">
        <v>90.064864676444898</v>
      </c>
      <c r="AM4438">
        <v>88.552926356564598</v>
      </c>
      <c r="AN4438">
        <v>1.0000000614987099</v>
      </c>
    </row>
    <row r="4439" spans="1:40" x14ac:dyDescent="0.25">
      <c r="A4439" t="str">
        <f>"20190312160732241"</f>
        <v>20190312160732241</v>
      </c>
      <c r="B4439" t="str">
        <f>"1552378052230110"</f>
        <v>1552378052230110</v>
      </c>
      <c r="C4439" t="s">
        <v>40</v>
      </c>
      <c r="D4439">
        <v>6.3210689999999996</v>
      </c>
      <c r="E4439">
        <v>0.48712060000000001</v>
      </c>
      <c r="F4439" t="s">
        <v>47</v>
      </c>
      <c r="G4439">
        <v>-189.70820000000001</v>
      </c>
      <c r="H4439" s="1">
        <v>-4.1366520000000001E-6</v>
      </c>
      <c r="I4439">
        <v>119.15479999999999</v>
      </c>
      <c r="J4439">
        <v>-189.03440000000001</v>
      </c>
      <c r="K4439">
        <v>1.1089450000000001</v>
      </c>
      <c r="L4439">
        <v>189.70570000000001</v>
      </c>
      <c r="M4439">
        <v>-1.9125260000000002E-2</v>
      </c>
      <c r="N4439">
        <v>0</v>
      </c>
      <c r="O4439">
        <v>-0.99978140000000004</v>
      </c>
      <c r="P4439">
        <v>-4.4201459999999998E-2</v>
      </c>
      <c r="Q4439">
        <v>-8.5565720000000001E-3</v>
      </c>
      <c r="R4439">
        <v>-0.99898589999999998</v>
      </c>
      <c r="S4439">
        <v>-2.8762820000000001E-2</v>
      </c>
      <c r="T4439">
        <v>-4.7102089999999999E-2</v>
      </c>
      <c r="U4439">
        <v>-3.0012509999999999</v>
      </c>
      <c r="V4439">
        <v>2.5086710000000002E-2</v>
      </c>
      <c r="W4439">
        <v>-1.3629159999999999E-4</v>
      </c>
      <c r="X4439">
        <v>0.9996853</v>
      </c>
      <c r="Y4439">
        <v>-9.5448270000000005E-3</v>
      </c>
      <c r="Z4439">
        <v>1.5687199999999998E-2</v>
      </c>
      <c r="AA4439">
        <v>0.99983140000000004</v>
      </c>
      <c r="AB4439">
        <v>12</v>
      </c>
      <c r="AC4439">
        <v>-0.67379999999999995</v>
      </c>
      <c r="AD4439">
        <v>-1.1089491366519999</v>
      </c>
      <c r="AE4439">
        <v>-70.550899999999999</v>
      </c>
      <c r="AF4439">
        <v>-0.67550883055328503</v>
      </c>
      <c r="AG4439">
        <v>-1.1089491366519999</v>
      </c>
      <c r="AH4439">
        <v>70.533457024477002</v>
      </c>
      <c r="AI4439">
        <v>90.900706704879298</v>
      </c>
      <c r="AJ4439">
        <v>90.5487129567598</v>
      </c>
      <c r="AK4439">
        <v>70.5454083565443</v>
      </c>
      <c r="AL4439">
        <v>90.007808933250502</v>
      </c>
      <c r="AM4439">
        <v>88.562486616964506</v>
      </c>
      <c r="AN4439">
        <v>1.00000003031505</v>
      </c>
    </row>
    <row r="4440" spans="1:40" x14ac:dyDescent="0.25">
      <c r="A4440" t="str">
        <f>"20190312160732253"</f>
        <v>20190312160732253</v>
      </c>
      <c r="B4440" t="str">
        <f>"1552378052250037"</f>
        <v>1552378052250037</v>
      </c>
      <c r="C4440" t="s">
        <v>40</v>
      </c>
      <c r="D4440">
        <v>6.3793550000000003</v>
      </c>
      <c r="E4440">
        <v>0.48819390000000001</v>
      </c>
      <c r="F4440" t="s">
        <v>47</v>
      </c>
      <c r="G4440">
        <v>-189.84700000000001</v>
      </c>
      <c r="H4440" s="1">
        <v>-4.2302849999999998E-6</v>
      </c>
      <c r="I4440">
        <v>109.43040000000001</v>
      </c>
      <c r="J4440">
        <v>-189.03639999999999</v>
      </c>
      <c r="K4440">
        <v>1.108943</v>
      </c>
      <c r="L4440">
        <v>189.6405</v>
      </c>
      <c r="M4440">
        <v>-1.982505E-2</v>
      </c>
      <c r="N4440">
        <v>0</v>
      </c>
      <c r="O4440">
        <v>-0.99976779999999998</v>
      </c>
      <c r="P4440">
        <v>-4.4656019999999998E-2</v>
      </c>
      <c r="Q4440">
        <v>-8.1190529999999993E-3</v>
      </c>
      <c r="R4440">
        <v>-0.99896949999999995</v>
      </c>
      <c r="S4440">
        <v>-3.0380250000000001E-2</v>
      </c>
      <c r="T4440">
        <v>-4.1461110000000002E-2</v>
      </c>
      <c r="U4440">
        <v>-3.001312</v>
      </c>
      <c r="V4440">
        <v>2.484225E-2</v>
      </c>
      <c r="W4440">
        <v>2.9832529999999999E-4</v>
      </c>
      <c r="X4440">
        <v>0.99969140000000001</v>
      </c>
      <c r="Y4440">
        <v>-9.70589E-3</v>
      </c>
      <c r="Z4440">
        <v>1.3808259999999999E-2</v>
      </c>
      <c r="AA4440">
        <v>0.99985749999999995</v>
      </c>
      <c r="AB4440">
        <v>12</v>
      </c>
      <c r="AC4440">
        <v>-0.81060000000002197</v>
      </c>
      <c r="AD4440">
        <v>-1.1089472302850001</v>
      </c>
      <c r="AE4440">
        <v>-80.210099999999997</v>
      </c>
      <c r="AF4440">
        <v>-0.77963626082349702</v>
      </c>
      <c r="AG4440">
        <v>-1.1089472302850001</v>
      </c>
      <c r="AH4440">
        <v>80.195078145051198</v>
      </c>
      <c r="AI4440">
        <v>90.792205036880404</v>
      </c>
      <c r="AJ4440">
        <v>90.556997525641407</v>
      </c>
      <c r="AK4440">
        <v>80.206534368152404</v>
      </c>
      <c r="AL4440">
        <v>89.9829072201738</v>
      </c>
      <c r="AM4440">
        <v>88.576497502898903</v>
      </c>
      <c r="AN4440">
        <v>1.0000000608085</v>
      </c>
    </row>
    <row r="4441" spans="1:40" x14ac:dyDescent="0.25">
      <c r="A4441" t="str">
        <f>"20190312160732266"</f>
        <v>20190312160732266</v>
      </c>
      <c r="B4441" t="str">
        <f>"1552378052259797"</f>
        <v>1552378052259797</v>
      </c>
      <c r="C4441" t="s">
        <v>40</v>
      </c>
      <c r="D4441">
        <v>6.361853</v>
      </c>
      <c r="E4441">
        <v>0.48898520000000001</v>
      </c>
      <c r="F4441" t="s">
        <v>89</v>
      </c>
      <c r="G4441">
        <v>-189.97219999999999</v>
      </c>
      <c r="H4441" s="1">
        <v>-5.5957990000000005E-7</v>
      </c>
      <c r="I4441">
        <v>120.63</v>
      </c>
      <c r="J4441">
        <v>-189.0385</v>
      </c>
      <c r="K4441">
        <v>1.108941</v>
      </c>
      <c r="L4441">
        <v>189.5752</v>
      </c>
      <c r="M4441">
        <v>-2.052588E-2</v>
      </c>
      <c r="N4441">
        <v>0</v>
      </c>
      <c r="O4441">
        <v>-0.99975369999999997</v>
      </c>
      <c r="P4441">
        <v>-4.5037679999999997E-2</v>
      </c>
      <c r="Q4441">
        <v>-8.1085099999999993E-3</v>
      </c>
      <c r="R4441">
        <v>-0.99895239999999996</v>
      </c>
      <c r="S4441">
        <v>-4.0695189999999999E-2</v>
      </c>
      <c r="T4441">
        <v>-4.822183E-2</v>
      </c>
      <c r="U4441">
        <v>-3.0008849999999998</v>
      </c>
      <c r="V4441">
        <v>2.4523409999999999E-2</v>
      </c>
      <c r="W4441">
        <v>3.0595459999999998E-4</v>
      </c>
      <c r="X4441">
        <v>0.99969920000000001</v>
      </c>
      <c r="Y4441">
        <v>-6.9695159999999898E-3</v>
      </c>
      <c r="Z4441">
        <v>1.6061120000000002E-2</v>
      </c>
      <c r="AA4441">
        <v>0.99984669999999998</v>
      </c>
      <c r="AB4441">
        <v>12</v>
      </c>
      <c r="AC4441">
        <v>-0.93369999999998698</v>
      </c>
      <c r="AD4441">
        <v>-1.1089415595798999</v>
      </c>
      <c r="AE4441">
        <v>-68.9452</v>
      </c>
      <c r="AF4441">
        <v>-0.48158346136854602</v>
      </c>
      <c r="AG4441">
        <v>-1.1089415595798999</v>
      </c>
      <c r="AH4441">
        <v>68.932009453292494</v>
      </c>
      <c r="AI4441">
        <v>90.921642078469006</v>
      </c>
      <c r="AJ4441">
        <v>90.400282120400803</v>
      </c>
      <c r="AK4441">
        <v>68.942610925911694</v>
      </c>
      <c r="AL4441">
        <v>89.982470092263696</v>
      </c>
      <c r="AM4441">
        <v>88.594771154887894</v>
      </c>
      <c r="AN4441">
        <v>0.99999999086344205</v>
      </c>
    </row>
    <row r="4442" spans="1:40" x14ac:dyDescent="0.25">
      <c r="A4442" t="str">
        <f>"20190312160732278"</f>
        <v>20190312160732278</v>
      </c>
      <c r="B4442" t="str">
        <f>"1552378052269557"</f>
        <v>1552378052269557</v>
      </c>
      <c r="C4442" t="s">
        <v>40</v>
      </c>
      <c r="D4442">
        <v>6.3243269999999896</v>
      </c>
      <c r="E4442">
        <v>0.48931409999999997</v>
      </c>
      <c r="F4442" t="s">
        <v>89</v>
      </c>
      <c r="G4442">
        <v>-190.02780000000001</v>
      </c>
      <c r="H4442" s="1">
        <v>-4.2217639999999998E-6</v>
      </c>
      <c r="I4442">
        <v>128.0874</v>
      </c>
      <c r="J4442">
        <v>-189.04060000000001</v>
      </c>
      <c r="K4442">
        <v>1.1089389999999999</v>
      </c>
      <c r="L4442">
        <v>189.5103</v>
      </c>
      <c r="M4442">
        <v>-2.1221750000000001E-2</v>
      </c>
      <c r="N4442">
        <v>0</v>
      </c>
      <c r="O4442">
        <v>-0.99973939999999994</v>
      </c>
      <c r="P4442">
        <v>-4.5589869999999998E-2</v>
      </c>
      <c r="Q4442">
        <v>-7.713775E-3</v>
      </c>
      <c r="R4442">
        <v>-0.99893069999999895</v>
      </c>
      <c r="S4442">
        <v>-4.8278809999999998E-2</v>
      </c>
      <c r="T4442">
        <v>-5.4116129999999998E-2</v>
      </c>
      <c r="U4442">
        <v>-3.0005799999999998</v>
      </c>
      <c r="V4442">
        <v>2.4380539999999999E-2</v>
      </c>
      <c r="W4442">
        <v>6.9743780000000003E-4</v>
      </c>
      <c r="X4442">
        <v>0.99970250000000005</v>
      </c>
      <c r="Y4442">
        <v>-5.1382499999999996E-3</v>
      </c>
      <c r="Z4442">
        <v>1.802492E-2</v>
      </c>
      <c r="AA4442">
        <v>0.9998243</v>
      </c>
      <c r="AB4442">
        <v>12</v>
      </c>
      <c r="AC4442">
        <v>-0.98720000000000097</v>
      </c>
      <c r="AD4442">
        <v>-1.1089432217639901</v>
      </c>
      <c r="AE4442">
        <v>-61.422899999999998</v>
      </c>
      <c r="AF4442">
        <v>-0.31646676695988402</v>
      </c>
      <c r="AG4442">
        <v>-1.1089432217639901</v>
      </c>
      <c r="AH4442">
        <v>61.410005280897799</v>
      </c>
      <c r="AI4442">
        <v>91.034522267270106</v>
      </c>
      <c r="AJ4442">
        <v>90.2952621402749</v>
      </c>
      <c r="AK4442">
        <v>61.420832417703203</v>
      </c>
      <c r="AL4442">
        <v>89.960039754060901</v>
      </c>
      <c r="AM4442">
        <v>88.602959179929996</v>
      </c>
      <c r="AN4442">
        <v>0.99999999282821295</v>
      </c>
    </row>
    <row r="4443" spans="1:40" x14ac:dyDescent="0.25">
      <c r="A4443" t="str">
        <f>"20190312160732298"</f>
        <v>20190312160732298</v>
      </c>
      <c r="B4443" t="str">
        <f>"1552378052290053"</f>
        <v>1552378052290053</v>
      </c>
      <c r="C4443" t="s">
        <v>40</v>
      </c>
      <c r="D4443">
        <v>6.1042199999999998</v>
      </c>
      <c r="E4443">
        <v>0.49479620000000002</v>
      </c>
      <c r="F4443" t="s">
        <v>89</v>
      </c>
      <c r="G4443">
        <v>-189.9992</v>
      </c>
      <c r="H4443" s="1">
        <v>-6.6103180000000001E-6</v>
      </c>
      <c r="I4443">
        <v>135.0958</v>
      </c>
      <c r="J4443">
        <v>-189.04429999999999</v>
      </c>
      <c r="K4443">
        <v>1.108938</v>
      </c>
      <c r="L4443">
        <v>189.40090000000001</v>
      </c>
      <c r="M4443">
        <v>-2.2395490000000001E-2</v>
      </c>
      <c r="N4443">
        <v>0</v>
      </c>
      <c r="O4443">
        <v>-0.99971370000000004</v>
      </c>
      <c r="P4443">
        <v>-4.5665320000000002E-2</v>
      </c>
      <c r="Q4443">
        <v>-6.6545019999999996E-3</v>
      </c>
      <c r="R4443">
        <v>-0.99893449999999995</v>
      </c>
      <c r="S4443">
        <v>-5.2856449999999999E-2</v>
      </c>
      <c r="T4443">
        <v>-6.1145659999999998E-2</v>
      </c>
      <c r="U4443">
        <v>-3.0003359999999999</v>
      </c>
      <c r="V4443">
        <v>2.328332E-2</v>
      </c>
      <c r="W4443">
        <v>1.7522010000000001E-3</v>
      </c>
      <c r="X4443">
        <v>0.99972740000000004</v>
      </c>
      <c r="Y4443">
        <v>-4.7867689999999997E-3</v>
      </c>
      <c r="Z4443">
        <v>2.0366019999999999E-2</v>
      </c>
      <c r="AA4443">
        <v>0.99978109999999998</v>
      </c>
      <c r="AB4443">
        <v>12</v>
      </c>
      <c r="AC4443">
        <v>-0.95490000000000896</v>
      </c>
      <c r="AD4443">
        <v>-1.1089446103180001</v>
      </c>
      <c r="AE4443">
        <v>-54.305100000000003</v>
      </c>
      <c r="AF4443">
        <v>-0.26146299564090397</v>
      </c>
      <c r="AG4443">
        <v>-1.1089446103180001</v>
      </c>
      <c r="AH4443">
        <v>54.290232804165399</v>
      </c>
      <c r="AI4443">
        <v>91.170160296557199</v>
      </c>
      <c r="AJ4443">
        <v>90.275935643587204</v>
      </c>
      <c r="AK4443">
        <v>54.302186871039702</v>
      </c>
      <c r="AL4443">
        <v>89.899606229356493</v>
      </c>
      <c r="AM4443">
        <v>88.665841458421895</v>
      </c>
      <c r="AN4443">
        <v>1.00000002875466</v>
      </c>
    </row>
    <row r="4444" spans="1:40" x14ac:dyDescent="0.25">
      <c r="A4444" t="str">
        <f>"20190312160732311"</f>
        <v>20190312160732311</v>
      </c>
      <c r="B4444" t="str">
        <f>"1552378052299813"</f>
        <v>1552378052299813</v>
      </c>
      <c r="C4444" t="s">
        <v>40</v>
      </c>
      <c r="D4444">
        <v>6.152806</v>
      </c>
      <c r="E4444">
        <v>0.49402370000000001</v>
      </c>
      <c r="F4444" t="s">
        <v>44</v>
      </c>
      <c r="G4444">
        <v>-189.07300000000001</v>
      </c>
      <c r="H4444">
        <v>1.016832</v>
      </c>
      <c r="I4444">
        <v>188.60230000000001</v>
      </c>
      <c r="J4444">
        <v>-189.04669999999999</v>
      </c>
      <c r="K4444">
        <v>1.1089340000000001</v>
      </c>
      <c r="L4444">
        <v>189.3323</v>
      </c>
      <c r="M4444">
        <v>-2.3130629999999999E-2</v>
      </c>
      <c r="N4444">
        <v>0</v>
      </c>
      <c r="O4444">
        <v>-0.99969719999999995</v>
      </c>
      <c r="P4444">
        <v>-4.5881430000000001E-2</v>
      </c>
      <c r="Q4444">
        <v>-6.4016009999999998E-3</v>
      </c>
      <c r="R4444">
        <v>-0.99892650000000005</v>
      </c>
      <c r="S4444">
        <v>-0.1072845</v>
      </c>
      <c r="T4444">
        <v>-0.34554620000000003</v>
      </c>
      <c r="U4444">
        <v>-2.9960019999999998</v>
      </c>
      <c r="V4444">
        <v>2.2764690000000001E-2</v>
      </c>
      <c r="W4444">
        <v>2.0025400000000001E-3</v>
      </c>
      <c r="X4444">
        <v>0.99973889999999999</v>
      </c>
      <c r="Y4444">
        <v>1.242472E-2</v>
      </c>
      <c r="Z4444">
        <v>0.11448990000000001</v>
      </c>
      <c r="AA4444">
        <v>0.99334670000000003</v>
      </c>
      <c r="AB4444">
        <v>12</v>
      </c>
      <c r="AC4444">
        <v>-2.6299999999992E-2</v>
      </c>
      <c r="AD4444">
        <v>-9.21020000000001E-2</v>
      </c>
      <c r="AE4444">
        <v>-0.72999999999998899</v>
      </c>
      <c r="AF4444">
        <v>9.2598002270490708E-3</v>
      </c>
      <c r="AG4444">
        <v>-9.21020000000001E-2</v>
      </c>
      <c r="AH4444">
        <v>0.71898299437311197</v>
      </c>
      <c r="AI4444">
        <v>97.299256477512699</v>
      </c>
      <c r="AJ4444">
        <v>89.262126996924593</v>
      </c>
      <c r="AK4444">
        <v>0.724917283903461</v>
      </c>
      <c r="AL4444">
        <v>89.885262839286895</v>
      </c>
      <c r="AM4444">
        <v>88.695564113646498</v>
      </c>
      <c r="AN4444">
        <v>1.0000000547252199</v>
      </c>
    </row>
    <row r="4445" spans="1:40" x14ac:dyDescent="0.25">
      <c r="A4445" t="str">
        <f>"20190312160732323"</f>
        <v>20190312160732323</v>
      </c>
      <c r="B4445" t="str">
        <f>"1552378052319377"</f>
        <v>1552378052319377</v>
      </c>
      <c r="C4445" t="s">
        <v>40</v>
      </c>
      <c r="D4445">
        <v>6.3758509999999999</v>
      </c>
      <c r="E4445">
        <v>0.49119990000000002</v>
      </c>
      <c r="F4445" t="s">
        <v>44</v>
      </c>
      <c r="G4445">
        <v>-189.07140000000001</v>
      </c>
      <c r="H4445">
        <v>1.0360240000000001</v>
      </c>
      <c r="I4445">
        <v>188.59299999999999</v>
      </c>
      <c r="J4445">
        <v>-189.0489</v>
      </c>
      <c r="K4445">
        <v>1.108932</v>
      </c>
      <c r="L4445">
        <v>189.26830000000001</v>
      </c>
      <c r="M4445">
        <v>-2.3817189999999999E-2</v>
      </c>
      <c r="N4445">
        <v>0</v>
      </c>
      <c r="O4445">
        <v>-0.99968080000000004</v>
      </c>
      <c r="P4445">
        <v>-4.6281959999999997E-2</v>
      </c>
      <c r="Q4445">
        <v>-6.5715890000000001E-3</v>
      </c>
      <c r="R4445">
        <v>-0.99890659999999998</v>
      </c>
      <c r="S4445">
        <v>-9.9716189999999996E-2</v>
      </c>
      <c r="T4445">
        <v>-0.29550900000000002</v>
      </c>
      <c r="U4445">
        <v>-2.9967649999999999</v>
      </c>
      <c r="V4445">
        <v>2.24788E-2</v>
      </c>
      <c r="W4445">
        <v>1.8304020000000001E-3</v>
      </c>
      <c r="X4445">
        <v>0.99974569999999996</v>
      </c>
      <c r="Y4445">
        <v>9.2815750000000002E-3</v>
      </c>
      <c r="Z4445">
        <v>9.8062780000000002E-2</v>
      </c>
      <c r="AA4445">
        <v>0.99513700000000005</v>
      </c>
      <c r="AB4445">
        <v>12</v>
      </c>
      <c r="AC4445">
        <v>-2.2500000000007899E-2</v>
      </c>
      <c r="AD4445">
        <v>-7.2907999999999903E-2</v>
      </c>
      <c r="AE4445">
        <v>-0.67530000000002099</v>
      </c>
      <c r="AF4445">
        <v>6.3355309482698297E-3</v>
      </c>
      <c r="AG4445">
        <v>-7.2907999999999903E-2</v>
      </c>
      <c r="AH4445">
        <v>0.66786816000501503</v>
      </c>
      <c r="AI4445">
        <v>96.229760718336493</v>
      </c>
      <c r="AJ4445">
        <v>89.456497078146199</v>
      </c>
      <c r="AK4445">
        <v>0.67186575635678902</v>
      </c>
      <c r="AL4445">
        <v>89.895125637872496</v>
      </c>
      <c r="AM4445">
        <v>88.711949055252404</v>
      </c>
      <c r="AN4445">
        <v>1.0000000557447</v>
      </c>
    </row>
    <row r="4446" spans="1:40" x14ac:dyDescent="0.25">
      <c r="A4446" t="str">
        <f>"20190312160732335"</f>
        <v>20190312160732335</v>
      </c>
      <c r="B4446" t="str">
        <f>"1552378052330112"</f>
        <v>1552378052330112</v>
      </c>
      <c r="C4446" t="s">
        <v>40</v>
      </c>
      <c r="D4446">
        <v>5.7158740000000003</v>
      </c>
      <c r="E4446">
        <v>0.49125609999999997</v>
      </c>
      <c r="F4446" t="s">
        <v>47</v>
      </c>
      <c r="G4446">
        <v>-189.47649999999999</v>
      </c>
      <c r="H4446" s="1">
        <v>-1.1486520000000001E-6</v>
      </c>
      <c r="I4446">
        <v>172.09379999999999</v>
      </c>
      <c r="J4446">
        <v>-189.0515</v>
      </c>
      <c r="K4446">
        <v>1.1089290000000001</v>
      </c>
      <c r="L4446">
        <v>189.19800000000001</v>
      </c>
      <c r="M4446">
        <v>-2.4570709999999999E-2</v>
      </c>
      <c r="N4446">
        <v>0</v>
      </c>
      <c r="O4446">
        <v>-0.99966259999999996</v>
      </c>
      <c r="P4446">
        <v>-4.6623110000000002E-2</v>
      </c>
      <c r="Q4446">
        <v>-6.4841539999999998E-3</v>
      </c>
      <c r="R4446">
        <v>-0.99889130000000004</v>
      </c>
      <c r="S4446">
        <v>-7.4646000000000004E-2</v>
      </c>
      <c r="T4446">
        <v>-0.1936128</v>
      </c>
      <c r="U4446">
        <v>-2.9985499999999998</v>
      </c>
      <c r="V4446">
        <v>2.2066769999999999E-2</v>
      </c>
      <c r="W4446">
        <v>1.9143249999999999E-3</v>
      </c>
      <c r="X4446">
        <v>0.9997547</v>
      </c>
      <c r="Y4446">
        <v>2.6316529999999999E-4</v>
      </c>
      <c r="Z4446">
        <v>6.4395549999999996E-2</v>
      </c>
      <c r="AA4446">
        <v>0.99792440000000004</v>
      </c>
      <c r="AB4446">
        <v>12</v>
      </c>
      <c r="AC4446">
        <v>-0.424999999999982</v>
      </c>
      <c r="AD4446">
        <v>-1.108930148652</v>
      </c>
      <c r="AE4446">
        <v>-17.104199999999899</v>
      </c>
      <c r="AF4446">
        <v>4.5752103786592096E-3</v>
      </c>
      <c r="AG4446">
        <v>-1.108930148652</v>
      </c>
      <c r="AH4446">
        <v>17.0379054113934</v>
      </c>
      <c r="AI4446">
        <v>93.723903990862397</v>
      </c>
      <c r="AJ4446">
        <v>89.9846142919302</v>
      </c>
      <c r="AK4446">
        <v>17.073955833805101</v>
      </c>
      <c r="AL4446">
        <v>89.890317193574802</v>
      </c>
      <c r="AM4446">
        <v>88.7355623047238</v>
      </c>
      <c r="AN4446">
        <v>1.0000000335752599</v>
      </c>
    </row>
    <row r="4447" spans="1:40" x14ac:dyDescent="0.25">
      <c r="A4447" t="str">
        <f>"20190312160732352"</f>
        <v>20190312160732352</v>
      </c>
      <c r="B4447" t="str">
        <f>"1552378052349944"</f>
        <v>1552378052349944</v>
      </c>
      <c r="C4447" t="s">
        <v>40</v>
      </c>
      <c r="D4447">
        <v>6.2694359999999998</v>
      </c>
      <c r="E4447">
        <v>0.49005530000000003</v>
      </c>
      <c r="F4447" t="s">
        <v>47</v>
      </c>
      <c r="G4447">
        <v>-189.55760000000001</v>
      </c>
      <c r="H4447" s="1">
        <v>-4.516175E-6</v>
      </c>
      <c r="I4447">
        <v>169.01910000000001</v>
      </c>
      <c r="J4447">
        <v>-189.0549</v>
      </c>
      <c r="K4447">
        <v>1.1089290000000001</v>
      </c>
      <c r="L4447">
        <v>189.10509999999999</v>
      </c>
      <c r="M4447">
        <v>-2.5567240000000001E-2</v>
      </c>
      <c r="N4447">
        <v>0</v>
      </c>
      <c r="O4447">
        <v>-0.99963780000000002</v>
      </c>
      <c r="P4447">
        <v>-4.6893240000000003E-2</v>
      </c>
      <c r="Q4447">
        <v>-5.7205529999999997E-3</v>
      </c>
      <c r="R4447">
        <v>-0.99888350000000004</v>
      </c>
      <c r="S4447">
        <v>-7.5210570000000004E-2</v>
      </c>
      <c r="T4447">
        <v>-0.16479639999999901</v>
      </c>
      <c r="U4447">
        <v>-2.9987490000000001</v>
      </c>
      <c r="V4447">
        <v>2.1341220000000001E-2</v>
      </c>
      <c r="W4447">
        <v>2.6724940000000001E-3</v>
      </c>
      <c r="X4447">
        <v>0.99976869999999995</v>
      </c>
      <c r="Y4447">
        <v>-5.332685E-4</v>
      </c>
      <c r="Z4447">
        <v>5.483677E-2</v>
      </c>
      <c r="AA4447">
        <v>0.99849520000000003</v>
      </c>
      <c r="AB4447">
        <v>12</v>
      </c>
      <c r="AC4447">
        <v>-0.50270000000000403</v>
      </c>
      <c r="AD4447">
        <v>-1.108933516175</v>
      </c>
      <c r="AE4447">
        <v>-20.085999999999899</v>
      </c>
      <c r="AF4447">
        <v>-1.0992564655814699E-2</v>
      </c>
      <c r="AG4447">
        <v>-1.108933516175</v>
      </c>
      <c r="AH4447">
        <v>20.0312682518625</v>
      </c>
      <c r="AI4447">
        <v>93.168666635638502</v>
      </c>
      <c r="AJ4447">
        <v>90.0314422177198</v>
      </c>
      <c r="AK4447">
        <v>20.061943130161801</v>
      </c>
      <c r="AL4447">
        <v>89.846877194075006</v>
      </c>
      <c r="AM4447">
        <v>88.777140986872695</v>
      </c>
      <c r="AN4447">
        <v>1.00000002169747</v>
      </c>
    </row>
    <row r="4448" spans="1:40" x14ac:dyDescent="0.25">
      <c r="A4448" t="str">
        <f>"20190312160732377"</f>
        <v>20190312160732377</v>
      </c>
      <c r="B4448" t="str">
        <f>"1552378052369463"</f>
        <v>1552378052369463</v>
      </c>
      <c r="C4448" t="s">
        <v>40</v>
      </c>
      <c r="D4448">
        <v>6.2212589999999999</v>
      </c>
      <c r="E4448">
        <v>0.48933280000000001</v>
      </c>
      <c r="F4448" t="s">
        <v>47</v>
      </c>
      <c r="G4448">
        <v>-189.5977</v>
      </c>
      <c r="H4448" s="1">
        <v>-2.2333150000000001E-6</v>
      </c>
      <c r="I4448">
        <v>164.20480000000001</v>
      </c>
      <c r="J4448">
        <v>-189.0599</v>
      </c>
      <c r="K4448">
        <v>1.1089209999999901</v>
      </c>
      <c r="L4448">
        <v>188.9743</v>
      </c>
      <c r="M4448">
        <v>-2.6970000000000001E-2</v>
      </c>
      <c r="N4448">
        <v>0</v>
      </c>
      <c r="O4448">
        <v>-0.99960110000000002</v>
      </c>
      <c r="P4448">
        <v>-4.7922039999999999E-2</v>
      </c>
      <c r="Q4448">
        <v>-4.5842130000000002E-3</v>
      </c>
      <c r="R4448">
        <v>-0.99884079999999997</v>
      </c>
      <c r="S4448">
        <v>-6.5383910000000003E-2</v>
      </c>
      <c r="T4448">
        <v>-0.13358410000000001</v>
      </c>
      <c r="U4448">
        <v>-2.9995419999999999</v>
      </c>
      <c r="V4448">
        <v>2.0969100000000001E-2</v>
      </c>
      <c r="W4448">
        <v>3.7940090000000001E-3</v>
      </c>
      <c r="X4448">
        <v>0.99977289999999996</v>
      </c>
      <c r="Y4448">
        <v>-5.2012450000000002E-3</v>
      </c>
      <c r="Z4448">
        <v>4.4460920000000001E-2</v>
      </c>
      <c r="AA4448">
        <v>0.99899760000000004</v>
      </c>
      <c r="AB4448">
        <v>12</v>
      </c>
      <c r="AC4448">
        <v>-0.53780000000000405</v>
      </c>
      <c r="AD4448">
        <v>-1.1089232333150001</v>
      </c>
      <c r="AE4448">
        <v>-24.769499999999901</v>
      </c>
      <c r="AF4448">
        <v>-0.130191702564039</v>
      </c>
      <c r="AG4448">
        <v>-1.1089232333150001</v>
      </c>
      <c r="AH4448">
        <v>24.7254597284815</v>
      </c>
      <c r="AI4448">
        <v>92.567927689695296</v>
      </c>
      <c r="AJ4448">
        <v>90.301687662392794</v>
      </c>
      <c r="AK4448">
        <v>24.750656948888501</v>
      </c>
      <c r="AL4448">
        <v>89.782618769829497</v>
      </c>
      <c r="AM4448">
        <v>88.798462326586105</v>
      </c>
      <c r="AN4448">
        <v>0.99999997461675505</v>
      </c>
    </row>
    <row r="4449" spans="1:40" x14ac:dyDescent="0.25">
      <c r="A4449" t="str">
        <f>"20190312160732399"</f>
        <v>20190312160732399</v>
      </c>
      <c r="B4449" t="str">
        <f>"1552378052389959"</f>
        <v>1552378052389959</v>
      </c>
      <c r="C4449" t="s">
        <v>40</v>
      </c>
      <c r="D4449">
        <v>6.1404779999999999</v>
      </c>
      <c r="E4449">
        <v>0.48904249999999999</v>
      </c>
      <c r="F4449" t="s">
        <v>89</v>
      </c>
      <c r="G4449">
        <v>-189.6848</v>
      </c>
      <c r="H4449" s="1">
        <v>-1.4642960000000001E-5</v>
      </c>
      <c r="I4449">
        <v>158.8365</v>
      </c>
      <c r="J4449">
        <v>-189.06469999999999</v>
      </c>
      <c r="K4449">
        <v>1.1089100000000001</v>
      </c>
      <c r="L4449">
        <v>188.85249999999999</v>
      </c>
      <c r="M4449">
        <v>-2.8276849999999999E-2</v>
      </c>
      <c r="N4449">
        <v>0</v>
      </c>
      <c r="O4449">
        <v>-0.99956509999999998</v>
      </c>
      <c r="P4449">
        <v>-4.883705E-2</v>
      </c>
      <c r="Q4449">
        <v>-3.720606E-3</v>
      </c>
      <c r="R4449">
        <v>-0.99880009999999997</v>
      </c>
      <c r="S4449">
        <v>-6.2210080000000001E-2</v>
      </c>
      <c r="T4449">
        <v>-0.1103866</v>
      </c>
      <c r="U4449">
        <v>-3</v>
      </c>
      <c r="V4449">
        <v>2.0578780000000001E-2</v>
      </c>
      <c r="W4449">
        <v>4.6413419999999997E-3</v>
      </c>
      <c r="X4449">
        <v>0.99977740000000004</v>
      </c>
      <c r="Y4449">
        <v>-7.5618150000000004E-3</v>
      </c>
      <c r="Z4449">
        <v>3.6744140000000002E-2</v>
      </c>
      <c r="AA4449">
        <v>0.99929610000000002</v>
      </c>
      <c r="AB4449">
        <v>12</v>
      </c>
      <c r="AC4449">
        <v>-0.62010000000000698</v>
      </c>
      <c r="AD4449">
        <v>-1.1089246429599999</v>
      </c>
      <c r="AE4449">
        <v>-30.015999999999899</v>
      </c>
      <c r="AF4449">
        <v>-0.22862371382051</v>
      </c>
      <c r="AG4449">
        <v>-1.1089246429599999</v>
      </c>
      <c r="AH4449">
        <v>29.980628870544201</v>
      </c>
      <c r="AI4449">
        <v>92.118231272969894</v>
      </c>
      <c r="AJ4449">
        <v>90.4369127829722</v>
      </c>
      <c r="AK4449">
        <v>30.0020014355642</v>
      </c>
      <c r="AL4449">
        <v>89.734069721087096</v>
      </c>
      <c r="AM4449">
        <v>88.820826747288606</v>
      </c>
      <c r="AN4449">
        <v>0.99999993889630201</v>
      </c>
    </row>
    <row r="4450" spans="1:40" x14ac:dyDescent="0.25">
      <c r="A4450" t="str">
        <f>"20190312160732422"</f>
        <v>20190312160732422</v>
      </c>
      <c r="B4450" t="str">
        <f>"1552378052409480"</f>
        <v>1552378052409480</v>
      </c>
      <c r="C4450" t="s">
        <v>40</v>
      </c>
      <c r="D4450">
        <v>6.3524099999999999</v>
      </c>
      <c r="E4450">
        <v>0.48855330000000002</v>
      </c>
      <c r="F4450" t="s">
        <v>89</v>
      </c>
      <c r="G4450">
        <v>-189.77369999999999</v>
      </c>
      <c r="H4450" s="1">
        <v>-1.287738E-5</v>
      </c>
      <c r="I4450">
        <v>154.7209</v>
      </c>
      <c r="J4450">
        <v>-189.06960000000001</v>
      </c>
      <c r="K4450">
        <v>1.108903</v>
      </c>
      <c r="L4450">
        <v>188.7328</v>
      </c>
      <c r="M4450">
        <v>-2.9560340000000001E-2</v>
      </c>
      <c r="N4450">
        <v>0</v>
      </c>
      <c r="O4450">
        <v>-0.99952790000000002</v>
      </c>
      <c r="P4450">
        <v>-4.9877129999999999E-2</v>
      </c>
      <c r="Q4450">
        <v>-3.0898940000000001E-3</v>
      </c>
      <c r="R4450">
        <v>-0.99875060000000004</v>
      </c>
      <c r="S4450">
        <v>-6.231689E-2</v>
      </c>
      <c r="T4450">
        <v>-9.7475889999999996E-2</v>
      </c>
      <c r="U4450">
        <v>-3.0002140000000002</v>
      </c>
      <c r="V4450">
        <v>2.0336779999999999E-2</v>
      </c>
      <c r="W4450">
        <v>5.2550239999999996E-3</v>
      </c>
      <c r="X4450">
        <v>0.99977939999999998</v>
      </c>
      <c r="Y4450">
        <v>-8.8086729999999995E-3</v>
      </c>
      <c r="Z4450">
        <v>3.2447110000000001E-2</v>
      </c>
      <c r="AA4450">
        <v>0.99943459999999995</v>
      </c>
      <c r="AB4450">
        <v>12</v>
      </c>
      <c r="AC4450">
        <v>-0.70409999999998196</v>
      </c>
      <c r="AD4450">
        <v>-1.1089158773799901</v>
      </c>
      <c r="AE4450">
        <v>-34.011899999999997</v>
      </c>
      <c r="AF4450">
        <v>-0.30132614204653801</v>
      </c>
      <c r="AG4450">
        <v>-1.1089158773799901</v>
      </c>
      <c r="AH4450">
        <v>33.981742545358003</v>
      </c>
      <c r="AI4450">
        <v>91.8689790776384</v>
      </c>
      <c r="AJ4450">
        <v>90.508045274385495</v>
      </c>
      <c r="AK4450">
        <v>34.001166425373903</v>
      </c>
      <c r="AL4450">
        <v>89.698907925069904</v>
      </c>
      <c r="AM4450">
        <v>88.834691939041306</v>
      </c>
      <c r="AN4450">
        <v>1.00000002428118</v>
      </c>
    </row>
    <row r="4451" spans="1:40" x14ac:dyDescent="0.25">
      <c r="A4451" t="str">
        <f>"20190312160732443"</f>
        <v>20190312160732443</v>
      </c>
      <c r="B4451" t="str">
        <f>"1552378052439736"</f>
        <v>1552378052439736</v>
      </c>
      <c r="C4451" t="s">
        <v>40</v>
      </c>
      <c r="D4451">
        <v>6.3592969999999998</v>
      </c>
      <c r="E4451">
        <v>0.48808750000000001</v>
      </c>
      <c r="F4451" t="s">
        <v>89</v>
      </c>
      <c r="G4451">
        <v>-189.83</v>
      </c>
      <c r="H4451" s="1">
        <v>-1.15022E-5</v>
      </c>
      <c r="I4451">
        <v>151.51759999999999</v>
      </c>
      <c r="J4451">
        <v>-189.0746</v>
      </c>
      <c r="K4451">
        <v>1.1088929999999999</v>
      </c>
      <c r="L4451">
        <v>188.61369999999999</v>
      </c>
      <c r="M4451">
        <v>-3.0838379999999999E-2</v>
      </c>
      <c r="N4451">
        <v>0</v>
      </c>
      <c r="O4451">
        <v>-0.99948979999999998</v>
      </c>
      <c r="P4451">
        <v>-5.11975E-2</v>
      </c>
      <c r="Q4451">
        <v>-2.672354E-3</v>
      </c>
      <c r="R4451">
        <v>-0.9986853</v>
      </c>
      <c r="S4451">
        <v>-6.1309809999999999E-2</v>
      </c>
      <c r="T4451">
        <v>-8.9404230000000001E-2</v>
      </c>
      <c r="U4451">
        <v>-3.0004119999999999</v>
      </c>
      <c r="V4451">
        <v>2.038065E-2</v>
      </c>
      <c r="W4451">
        <v>5.651746E-3</v>
      </c>
      <c r="X4451">
        <v>0.99977629999999995</v>
      </c>
      <c r="Y4451">
        <v>-1.0422249999999999E-2</v>
      </c>
      <c r="Z4451">
        <v>2.9758949999999999E-2</v>
      </c>
      <c r="AA4451">
        <v>0.99950280000000002</v>
      </c>
      <c r="AB4451">
        <v>12</v>
      </c>
      <c r="AC4451">
        <v>-0.75540000000000795</v>
      </c>
      <c r="AD4451">
        <v>-1.1089045021999999</v>
      </c>
      <c r="AE4451">
        <v>-37.0961</v>
      </c>
      <c r="AF4451">
        <v>-0.38863534808196298</v>
      </c>
      <c r="AG4451">
        <v>-1.1089045021999999</v>
      </c>
      <c r="AH4451">
        <v>37.068641459741897</v>
      </c>
      <c r="AI4451">
        <v>91.7133920854466</v>
      </c>
      <c r="AJ4451">
        <v>90.600678863130298</v>
      </c>
      <c r="AK4451">
        <v>37.087260431308103</v>
      </c>
      <c r="AL4451">
        <v>89.676177077403196</v>
      </c>
      <c r="AM4451">
        <v>88.832175240600293</v>
      </c>
      <c r="AN4451">
        <v>0.99999998158448</v>
      </c>
    </row>
    <row r="4452" spans="1:40" x14ac:dyDescent="0.25">
      <c r="A4452" t="str">
        <f>"20190312160732466"</f>
        <v>20190312160732466</v>
      </c>
      <c r="B4452" t="str">
        <f>"1552378052460232"</f>
        <v>1552378052460232</v>
      </c>
      <c r="C4452" t="s">
        <v>40</v>
      </c>
      <c r="D4452">
        <v>6.1619769999999896</v>
      </c>
      <c r="E4452">
        <v>0.48747380000000001</v>
      </c>
      <c r="F4452" t="s">
        <v>89</v>
      </c>
      <c r="G4452">
        <v>-189.89599999999999</v>
      </c>
      <c r="H4452" s="1">
        <v>-1.037595E-5</v>
      </c>
      <c r="I4452">
        <v>148.41419999999999</v>
      </c>
      <c r="J4452">
        <v>-189.08009999999999</v>
      </c>
      <c r="K4452">
        <v>1.108884</v>
      </c>
      <c r="L4452">
        <v>188.48750000000001</v>
      </c>
      <c r="M4452">
        <v>-3.2192480000000002E-2</v>
      </c>
      <c r="N4452">
        <v>0</v>
      </c>
      <c r="O4452">
        <v>-0.99944690000000003</v>
      </c>
      <c r="P4452">
        <v>-5.2843929999999997E-2</v>
      </c>
      <c r="Q4452">
        <v>-2.230938E-3</v>
      </c>
      <c r="R4452">
        <v>-0.99860009999999999</v>
      </c>
      <c r="S4452">
        <v>-6.1309809999999999E-2</v>
      </c>
      <c r="T4452">
        <v>-8.2771419999999998E-2</v>
      </c>
      <c r="U4452">
        <v>-3.0005950000000001</v>
      </c>
      <c r="V4452">
        <v>2.0674950000000001E-2</v>
      </c>
      <c r="W4452">
        <v>6.0670639999999996E-3</v>
      </c>
      <c r="X4452">
        <v>0.99976779999999998</v>
      </c>
      <c r="Y4452">
        <v>-1.177693E-2</v>
      </c>
      <c r="Z4452">
        <v>2.7549250000000001E-2</v>
      </c>
      <c r="AA4452">
        <v>0.99955110000000003</v>
      </c>
      <c r="AB4452">
        <v>12</v>
      </c>
      <c r="AC4452">
        <v>-0.81589999999999896</v>
      </c>
      <c r="AD4452">
        <v>-1.1088943759500001</v>
      </c>
      <c r="AE4452">
        <v>-40.073300000000003</v>
      </c>
      <c r="AF4452">
        <v>-0.47426368289092102</v>
      </c>
      <c r="AG4452">
        <v>-1.1088943759500001</v>
      </c>
      <c r="AH4452">
        <v>40.048141864912502</v>
      </c>
      <c r="AI4452">
        <v>91.585948408604693</v>
      </c>
      <c r="AJ4452">
        <v>90.678484343516203</v>
      </c>
      <c r="AK4452">
        <v>40.066298052229399</v>
      </c>
      <c r="AL4452">
        <v>89.652380691668597</v>
      </c>
      <c r="AM4452">
        <v>88.815306357950504</v>
      </c>
      <c r="AN4452">
        <v>0.99999995836996003</v>
      </c>
    </row>
    <row r="4453" spans="1:40" x14ac:dyDescent="0.25">
      <c r="A4453" t="str">
        <f>"20190312160732477"</f>
        <v>20190312160732477</v>
      </c>
      <c r="B4453" t="str">
        <f>"1552378052469991"</f>
        <v>1552378052469991</v>
      </c>
      <c r="C4453" t="s">
        <v>40</v>
      </c>
      <c r="D4453">
        <v>6.1145389999999997</v>
      </c>
      <c r="E4453">
        <v>0.48722680000000002</v>
      </c>
      <c r="F4453" t="s">
        <v>89</v>
      </c>
      <c r="G4453">
        <v>-189.9606</v>
      </c>
      <c r="H4453" s="1">
        <v>-9.5735629999999997E-6</v>
      </c>
      <c r="I4453">
        <v>145.3903</v>
      </c>
      <c r="J4453">
        <v>-189.083</v>
      </c>
      <c r="K4453">
        <v>1.1088800000000001</v>
      </c>
      <c r="L4453">
        <v>188.42160000000001</v>
      </c>
      <c r="M4453">
        <v>-3.2898709999999998E-2</v>
      </c>
      <c r="N4453">
        <v>0</v>
      </c>
      <c r="O4453">
        <v>-0.99942430000000004</v>
      </c>
      <c r="P4453">
        <v>-5.3714360000000003E-2</v>
      </c>
      <c r="Q4453">
        <v>-1.6305969999999999E-3</v>
      </c>
      <c r="R4453">
        <v>-0.99855530000000003</v>
      </c>
      <c r="S4453">
        <v>-6.1309809999999999E-2</v>
      </c>
      <c r="T4453">
        <v>-7.7210550000000003E-2</v>
      </c>
      <c r="U4453">
        <v>-3.0007929999999998</v>
      </c>
      <c r="V4453">
        <v>2.0840629999999999E-2</v>
      </c>
      <c r="W4453">
        <v>6.6535619999999896E-3</v>
      </c>
      <c r="X4453">
        <v>0.99976069999999995</v>
      </c>
      <c r="Y4453">
        <v>-1.2483849999999999E-2</v>
      </c>
      <c r="Z4453">
        <v>2.569697E-2</v>
      </c>
      <c r="AA4453">
        <v>0.99959180000000003</v>
      </c>
      <c r="AB4453">
        <v>12</v>
      </c>
      <c r="AC4453">
        <v>-0.87760000000000105</v>
      </c>
      <c r="AD4453">
        <v>-1.10888957356299</v>
      </c>
      <c r="AE4453">
        <v>-43.031300000000002</v>
      </c>
      <c r="AF4453">
        <v>-0.53824073098240699</v>
      </c>
      <c r="AG4453">
        <v>-1.10888957356299</v>
      </c>
      <c r="AH4453">
        <v>43.008329805600802</v>
      </c>
      <c r="AI4453">
        <v>91.476822007183799</v>
      </c>
      <c r="AJ4453">
        <v>90.717007903768803</v>
      </c>
      <c r="AK4453">
        <v>43.025989492842299</v>
      </c>
      <c r="AL4453">
        <v>89.618776177095</v>
      </c>
      <c r="AM4453">
        <v>88.805807001591802</v>
      </c>
      <c r="AN4453">
        <v>1.00000002950528</v>
      </c>
    </row>
    <row r="4454" spans="1:40" x14ac:dyDescent="0.25">
      <c r="A4454" t="str">
        <f>"20190312160732488"</f>
        <v>20190312160732488</v>
      </c>
      <c r="B4454" t="str">
        <f>"1552378052479752"</f>
        <v>1552378052479752</v>
      </c>
      <c r="C4454" t="s">
        <v>40</v>
      </c>
      <c r="D4454">
        <v>6.3684500000000002</v>
      </c>
      <c r="E4454">
        <v>0.4872436</v>
      </c>
      <c r="F4454" t="s">
        <v>89</v>
      </c>
      <c r="G4454">
        <v>-190.01339999999999</v>
      </c>
      <c r="H4454" s="1">
        <v>-9.0432130000000007E-6</v>
      </c>
      <c r="I4454">
        <v>143.34370000000001</v>
      </c>
      <c r="J4454">
        <v>-189.08609999999999</v>
      </c>
      <c r="K4454">
        <v>1.1088789999999999</v>
      </c>
      <c r="L4454">
        <v>188.35419999999999</v>
      </c>
      <c r="M4454">
        <v>-3.3621100000000001E-2</v>
      </c>
      <c r="N4454">
        <v>0</v>
      </c>
      <c r="O4454">
        <v>-0.99940039999999997</v>
      </c>
      <c r="P4454">
        <v>-5.456155E-2</v>
      </c>
      <c r="Q4454">
        <v>-1.2626759999999999E-3</v>
      </c>
      <c r="R4454">
        <v>-0.99851009999999996</v>
      </c>
      <c r="S4454">
        <v>-6.1935419999999998E-2</v>
      </c>
      <c r="T4454">
        <v>-7.3820350000000007E-2</v>
      </c>
      <c r="U4454">
        <v>-3.0009000000000001</v>
      </c>
      <c r="V4454">
        <v>2.096665E-2</v>
      </c>
      <c r="W4454">
        <v>7.0073669999999996E-3</v>
      </c>
      <c r="X4454">
        <v>0.99975559999999997</v>
      </c>
      <c r="Y4454">
        <v>-1.299844E-2</v>
      </c>
      <c r="Z4454">
        <v>2.4567459999999999E-2</v>
      </c>
      <c r="AA4454">
        <v>0.99961359999999999</v>
      </c>
      <c r="AB4454">
        <v>12</v>
      </c>
      <c r="AC4454">
        <v>-0.92730000000000201</v>
      </c>
      <c r="AD4454">
        <v>-1.1088880432129999</v>
      </c>
      <c r="AE4454">
        <v>-45.010499999999901</v>
      </c>
      <c r="AF4454">
        <v>-0.58622295735913699</v>
      </c>
      <c r="AG4454">
        <v>-1.1088880432129999</v>
      </c>
      <c r="AH4454">
        <v>44.988935406281499</v>
      </c>
      <c r="AI4454">
        <v>91.411821658504607</v>
      </c>
      <c r="AJ4454">
        <v>90.746543571589498</v>
      </c>
      <c r="AK4454">
        <v>45.006417309520202</v>
      </c>
      <c r="AL4454">
        <v>89.598504152206701</v>
      </c>
      <c r="AM4454">
        <v>88.798581888239895</v>
      </c>
      <c r="AN4454">
        <v>0.99999998166792703</v>
      </c>
    </row>
    <row r="4455" spans="1:40" x14ac:dyDescent="0.25">
      <c r="A4455" t="str">
        <f>"20190312160732501"</f>
        <v>20190312160732501</v>
      </c>
      <c r="B4455" t="str">
        <f>"1552378052489512"</f>
        <v>1552378052489512</v>
      </c>
      <c r="C4455" t="s">
        <v>40</v>
      </c>
      <c r="D4455">
        <v>6.2125620000000001</v>
      </c>
      <c r="E4455">
        <v>0.48712460000000002</v>
      </c>
      <c r="F4455" t="s">
        <v>89</v>
      </c>
      <c r="G4455">
        <v>-190.08349999999999</v>
      </c>
      <c r="H4455" s="1">
        <v>-8.6868809999999995E-6</v>
      </c>
      <c r="I4455">
        <v>141.9453</v>
      </c>
      <c r="J4455">
        <v>-189.089</v>
      </c>
      <c r="K4455">
        <v>1.1088750000000001</v>
      </c>
      <c r="L4455">
        <v>188.28989999999999</v>
      </c>
      <c r="M4455">
        <v>-3.4311349999999997E-2</v>
      </c>
      <c r="N4455">
        <v>0</v>
      </c>
      <c r="O4455">
        <v>-0.99937710000000002</v>
      </c>
      <c r="P4455">
        <v>-5.5270809999999997E-2</v>
      </c>
      <c r="Q4455">
        <v>-5.4769789999999997E-4</v>
      </c>
      <c r="R4455">
        <v>-0.99847149999999996</v>
      </c>
      <c r="S4455">
        <v>-6.4498899999999998E-2</v>
      </c>
      <c r="T4455">
        <v>-7.1702360000000007E-2</v>
      </c>
      <c r="U4455">
        <v>-3.0008699999999999</v>
      </c>
      <c r="V4455">
        <v>2.098715E-2</v>
      </c>
      <c r="W4455">
        <v>7.7087750000000002E-3</v>
      </c>
      <c r="X4455">
        <v>0.99975000000000003</v>
      </c>
      <c r="Y4455">
        <v>-1.283494E-2</v>
      </c>
      <c r="Z4455">
        <v>2.3862209999999998E-2</v>
      </c>
      <c r="AA4455">
        <v>0.99963279999999999</v>
      </c>
      <c r="AB4455">
        <v>12</v>
      </c>
      <c r="AC4455">
        <v>-0.99449999999995897</v>
      </c>
      <c r="AD4455">
        <v>-1.1088836868809999</v>
      </c>
      <c r="AE4455">
        <v>-46.3445999999999</v>
      </c>
      <c r="AF4455">
        <v>-0.59594456219506198</v>
      </c>
      <c r="AG4455">
        <v>-1.1088836868809999</v>
      </c>
      <c r="AH4455">
        <v>46.324925177642598</v>
      </c>
      <c r="AI4455">
        <v>91.371118697256605</v>
      </c>
      <c r="AJ4455">
        <v>90.737037883818402</v>
      </c>
      <c r="AK4455">
        <v>46.342026991343701</v>
      </c>
      <c r="AL4455">
        <v>89.558315341231506</v>
      </c>
      <c r="AM4455">
        <v>88.797400820398096</v>
      </c>
      <c r="AN4455">
        <v>0.99999997408856101</v>
      </c>
    </row>
    <row r="4456" spans="1:40" x14ac:dyDescent="0.25">
      <c r="A4456" t="str">
        <f>"20190312160732521"</f>
        <v>20190312160732521</v>
      </c>
      <c r="B4456" t="str">
        <f>"1552378052510008"</f>
        <v>1552378052510008</v>
      </c>
      <c r="C4456" t="s">
        <v>40</v>
      </c>
      <c r="D4456">
        <v>6.1548179999999997</v>
      </c>
      <c r="E4456">
        <v>0.48691210000000001</v>
      </c>
      <c r="F4456" t="s">
        <v>89</v>
      </c>
      <c r="G4456">
        <v>-190.15369999999999</v>
      </c>
      <c r="H4456" s="1">
        <v>-8.0856999999999995E-6</v>
      </c>
      <c r="I4456">
        <v>139.6405</v>
      </c>
      <c r="J4456">
        <v>-189.09440000000001</v>
      </c>
      <c r="K4456">
        <v>1.1088709999999999</v>
      </c>
      <c r="L4456">
        <v>188.17500000000001</v>
      </c>
      <c r="M4456">
        <v>-3.5542799999999999E-2</v>
      </c>
      <c r="N4456">
        <v>0</v>
      </c>
      <c r="O4456">
        <v>-0.99933439999999996</v>
      </c>
      <c r="P4456">
        <v>-5.6689660000000003E-2</v>
      </c>
      <c r="Q4456">
        <v>4.4718839999999998E-4</v>
      </c>
      <c r="R4456">
        <v>-0.99839230000000001</v>
      </c>
      <c r="S4456">
        <v>-6.5673830000000002E-2</v>
      </c>
      <c r="T4456">
        <v>-6.840098E-2</v>
      </c>
      <c r="U4456">
        <v>-3.0009160000000001</v>
      </c>
      <c r="V4456">
        <v>2.1177140000000001E-2</v>
      </c>
      <c r="W4456">
        <v>8.6767219999999996E-3</v>
      </c>
      <c r="X4456">
        <v>0.99973809999999996</v>
      </c>
      <c r="Y4456">
        <v>-1.3675629999999999E-2</v>
      </c>
      <c r="Z4456">
        <v>2.2762080000000001E-2</v>
      </c>
      <c r="AA4456">
        <v>0.99964739999999996</v>
      </c>
      <c r="AB4456">
        <v>12</v>
      </c>
      <c r="AC4456">
        <v>-1.0592999999999699</v>
      </c>
      <c r="AD4456">
        <v>-1.1088790856999999</v>
      </c>
      <c r="AE4456">
        <v>-48.534500000000001</v>
      </c>
      <c r="AF4456">
        <v>-0.66613202676512295</v>
      </c>
      <c r="AG4456">
        <v>-1.1088790856999999</v>
      </c>
      <c r="AH4456">
        <v>48.516170216887303</v>
      </c>
      <c r="AI4456">
        <v>91.309193346539004</v>
      </c>
      <c r="AJ4456">
        <v>90.786627540895793</v>
      </c>
      <c r="AK4456">
        <v>48.533412379697403</v>
      </c>
      <c r="AL4456">
        <v>89.502854217582694</v>
      </c>
      <c r="AM4456">
        <v>88.786502872955296</v>
      </c>
      <c r="AN4456">
        <v>1.00000001267742</v>
      </c>
    </row>
    <row r="4457" spans="1:40" x14ac:dyDescent="0.25">
      <c r="A4457" t="str">
        <f>"20190312160732543"</f>
        <v>20190312160732543</v>
      </c>
      <c r="B4457" t="str">
        <f>"1552378052540263"</f>
        <v>1552378052540263</v>
      </c>
      <c r="C4457" t="s">
        <v>40</v>
      </c>
      <c r="D4457">
        <v>6.3696169999999999</v>
      </c>
      <c r="E4457">
        <v>0.49471300000000001</v>
      </c>
      <c r="F4457" t="s">
        <v>89</v>
      </c>
      <c r="G4457">
        <v>-190.2962</v>
      </c>
      <c r="H4457" s="1">
        <v>-6.7206880000000004E-6</v>
      </c>
      <c r="I4457">
        <v>135.3075</v>
      </c>
      <c r="J4457">
        <v>-189.10050000000001</v>
      </c>
      <c r="K4457">
        <v>1.108862</v>
      </c>
      <c r="L4457">
        <v>188.0472</v>
      </c>
      <c r="M4457">
        <v>-3.6910430000000001E-2</v>
      </c>
      <c r="N4457">
        <v>0</v>
      </c>
      <c r="O4457">
        <v>-0.99928470000000003</v>
      </c>
      <c r="P4457">
        <v>-5.8097099999999999E-2</v>
      </c>
      <c r="Q4457">
        <v>1.738861E-3</v>
      </c>
      <c r="R4457">
        <v>-0.99830949999999996</v>
      </c>
      <c r="S4457">
        <v>-6.8222050000000006E-2</v>
      </c>
      <c r="T4457">
        <v>-6.2944769999999997E-2</v>
      </c>
      <c r="U4457">
        <v>-3.0009920000000001</v>
      </c>
      <c r="V4457">
        <v>2.1219979999999999E-2</v>
      </c>
      <c r="W4457">
        <v>9.9364710000000005E-3</v>
      </c>
      <c r="X4457">
        <v>0.99972550000000004</v>
      </c>
      <c r="Y4457">
        <v>-1.4195330000000001E-2</v>
      </c>
      <c r="Z4457">
        <v>2.0944850000000001E-2</v>
      </c>
      <c r="AA4457">
        <v>0.99967989999999995</v>
      </c>
      <c r="AB4457">
        <v>13</v>
      </c>
      <c r="AC4457">
        <v>-1.19569999999998</v>
      </c>
      <c r="AD4457">
        <v>-1.1088687206879999</v>
      </c>
      <c r="AE4457">
        <v>-52.739699999999999</v>
      </c>
      <c r="AF4457">
        <v>-0.75149370471411003</v>
      </c>
      <c r="AG4457">
        <v>-1.1088687206879999</v>
      </c>
      <c r="AH4457">
        <v>52.724599201761997</v>
      </c>
      <c r="AI4457">
        <v>91.204706800467093</v>
      </c>
      <c r="AJ4457">
        <v>90.816592309172506</v>
      </c>
      <c r="AK4457">
        <v>52.7416125427957</v>
      </c>
      <c r="AL4457">
        <v>89.430672807006701</v>
      </c>
      <c r="AM4457">
        <v>88.784033461549697</v>
      </c>
      <c r="AN4457">
        <v>1.0000000481786899</v>
      </c>
    </row>
    <row r="4458" spans="1:40" x14ac:dyDescent="0.25">
      <c r="A4458" t="str">
        <f>"20190312160732558"</f>
        <v>20190312160732558</v>
      </c>
      <c r="B4458" t="str">
        <f>"1552378052549555"</f>
        <v>1552378052549555</v>
      </c>
      <c r="C4458" t="s">
        <v>40</v>
      </c>
      <c r="D4458">
        <v>6.2467189999999997</v>
      </c>
      <c r="E4458">
        <v>0.49425859999999999</v>
      </c>
      <c r="F4458" t="s">
        <v>47</v>
      </c>
      <c r="G4458">
        <v>-189.86150000000001</v>
      </c>
      <c r="H4458" s="1">
        <v>-9.3653210000000003E-7</v>
      </c>
      <c r="I4458">
        <v>171.7586</v>
      </c>
      <c r="J4458">
        <v>-189.1045</v>
      </c>
      <c r="K4458">
        <v>1.108859</v>
      </c>
      <c r="L4458">
        <v>187.96719999999999</v>
      </c>
      <c r="M4458">
        <v>-3.7765310000000003E-2</v>
      </c>
      <c r="N4458">
        <v>0</v>
      </c>
      <c r="O4458">
        <v>-0.99925299999999995</v>
      </c>
      <c r="P4458">
        <v>-5.8568500000000003E-2</v>
      </c>
      <c r="Q4458">
        <v>2.1267999999999999E-3</v>
      </c>
      <c r="R4458">
        <v>-0.99828119999999998</v>
      </c>
      <c r="S4458">
        <v>-0.14002989999999901</v>
      </c>
      <c r="T4458">
        <v>-0.2040449</v>
      </c>
      <c r="U4458">
        <v>-2.9973139999999998</v>
      </c>
      <c r="V4458">
        <v>2.0837310000000001E-2</v>
      </c>
      <c r="W4458">
        <v>1.030505E-2</v>
      </c>
      <c r="X4458">
        <v>0.9997298</v>
      </c>
      <c r="Y4458">
        <v>8.801349E-3</v>
      </c>
      <c r="Z4458">
        <v>6.7808060000000003E-2</v>
      </c>
      <c r="AA4458">
        <v>0.99765959999999998</v>
      </c>
      <c r="AB4458">
        <v>13</v>
      </c>
      <c r="AC4458">
        <v>-0.757000000000005</v>
      </c>
      <c r="AD4458">
        <v>-1.1088599365320999</v>
      </c>
      <c r="AE4458">
        <v>-16.208599999999901</v>
      </c>
      <c r="AF4458">
        <v>0.14364574370032801</v>
      </c>
      <c r="AG4458">
        <v>-1.1088599365320999</v>
      </c>
      <c r="AH4458">
        <v>16.150204573119598</v>
      </c>
      <c r="AI4458">
        <v>93.927562724189599</v>
      </c>
      <c r="AJ4458">
        <v>89.490404112209902</v>
      </c>
      <c r="AK4458">
        <v>16.188863833269501</v>
      </c>
      <c r="AL4458">
        <v>89.409553694576104</v>
      </c>
      <c r="AM4458">
        <v>88.805960292506597</v>
      </c>
      <c r="AN4458">
        <v>1.0000000302757801</v>
      </c>
    </row>
    <row r="4459" spans="1:40" x14ac:dyDescent="0.25">
      <c r="A4459" t="str">
        <f>"20190312160732577"</f>
        <v>20190312160732577</v>
      </c>
      <c r="B4459" t="str">
        <f>"1552378052570050"</f>
        <v>1552378052570050</v>
      </c>
      <c r="C4459" t="s">
        <v>40</v>
      </c>
      <c r="D4459">
        <v>6.1066949999999904</v>
      </c>
      <c r="E4459">
        <v>0.49401319999999999</v>
      </c>
      <c r="F4459" t="s">
        <v>47</v>
      </c>
      <c r="G4459">
        <v>-189.92580000000001</v>
      </c>
      <c r="H4459" s="1">
        <v>-1.8026600000000001E-7</v>
      </c>
      <c r="I4459">
        <v>170.0223</v>
      </c>
      <c r="J4459">
        <v>-189.1103</v>
      </c>
      <c r="K4459">
        <v>1.1088549999999999</v>
      </c>
      <c r="L4459">
        <v>187.85079999999999</v>
      </c>
      <c r="M4459">
        <v>-3.9005749999999999E-2</v>
      </c>
      <c r="N4459">
        <v>0</v>
      </c>
      <c r="O4459">
        <v>-0.99920549999999997</v>
      </c>
      <c r="P4459">
        <v>-5.9844210000000002E-2</v>
      </c>
      <c r="Q4459">
        <v>2.7058020000000002E-3</v>
      </c>
      <c r="R4459">
        <v>-0.99820419999999999</v>
      </c>
      <c r="S4459">
        <v>-0.1371918</v>
      </c>
      <c r="T4459">
        <v>-0.18522250000000001</v>
      </c>
      <c r="U4459">
        <v>-2.9974980000000002</v>
      </c>
      <c r="V4459">
        <v>2.087462E-2</v>
      </c>
      <c r="W4459">
        <v>1.085529E-2</v>
      </c>
      <c r="X4459">
        <v>0.99972320000000003</v>
      </c>
      <c r="Y4459">
        <v>6.6330369999999996E-3</v>
      </c>
      <c r="Z4459">
        <v>6.1571679999999997E-2</v>
      </c>
      <c r="AA4459">
        <v>0.99808059999999998</v>
      </c>
      <c r="AB4459">
        <v>13</v>
      </c>
      <c r="AC4459">
        <v>-0.81550000000001399</v>
      </c>
      <c r="AD4459">
        <v>-1.1088551802659901</v>
      </c>
      <c r="AE4459">
        <v>-17.828499999999899</v>
      </c>
      <c r="AF4459">
        <v>0.118982768031824</v>
      </c>
      <c r="AG4459">
        <v>-1.1088551802659901</v>
      </c>
      <c r="AH4459">
        <v>17.778114134134899</v>
      </c>
      <c r="AI4459">
        <v>93.568944923115595</v>
      </c>
      <c r="AJ4459">
        <v>89.616544892800306</v>
      </c>
      <c r="AK4459">
        <v>17.813058661448899</v>
      </c>
      <c r="AL4459">
        <v>89.378025501710198</v>
      </c>
      <c r="AM4459">
        <v>88.803815044738798</v>
      </c>
      <c r="AN4459">
        <v>1.00000003184968</v>
      </c>
    </row>
    <row r="4460" spans="1:40" x14ac:dyDescent="0.25">
      <c r="A4460" t="str">
        <f>"20190312160732601"</f>
        <v>20190312160732601</v>
      </c>
      <c r="B4460" t="str">
        <f>"1552378052589571"</f>
        <v>1552378052589571</v>
      </c>
      <c r="C4460" t="s">
        <v>40</v>
      </c>
      <c r="D4460">
        <v>6.2392059999999896</v>
      </c>
      <c r="E4460">
        <v>0.49377280000000001</v>
      </c>
      <c r="F4460" t="s">
        <v>47</v>
      </c>
      <c r="G4460">
        <v>-189.8691</v>
      </c>
      <c r="H4460" s="1">
        <v>-8.5235690000000002E-7</v>
      </c>
      <c r="I4460">
        <v>171.56549999999999</v>
      </c>
      <c r="J4460">
        <v>-189.11709999999999</v>
      </c>
      <c r="K4460">
        <v>1.108854</v>
      </c>
      <c r="L4460">
        <v>187.71969999999999</v>
      </c>
      <c r="M4460">
        <v>-4.0396269999999998E-2</v>
      </c>
      <c r="N4460">
        <v>0</v>
      </c>
      <c r="O4460">
        <v>-0.99915050000000005</v>
      </c>
      <c r="P4460">
        <v>-6.1762329999999997E-2</v>
      </c>
      <c r="Q4460">
        <v>3.5326390000000002E-3</v>
      </c>
      <c r="R4460">
        <v>-0.99808479999999999</v>
      </c>
      <c r="S4460">
        <v>-0.1396637</v>
      </c>
      <c r="T4460">
        <v>-0.2041026</v>
      </c>
      <c r="U4460">
        <v>-2.9975740000000002</v>
      </c>
      <c r="V4460">
        <v>2.140562E-2</v>
      </c>
      <c r="W4460">
        <v>1.1647269999999999E-2</v>
      </c>
      <c r="X4460">
        <v>0.99970300000000001</v>
      </c>
      <c r="Y4460">
        <v>6.0427069999999996E-3</v>
      </c>
      <c r="Z4460">
        <v>6.7811730000000001E-2</v>
      </c>
      <c r="AA4460">
        <v>0.99767980000000001</v>
      </c>
      <c r="AB4460">
        <v>13</v>
      </c>
      <c r="AC4460">
        <v>-0.75200000000000899</v>
      </c>
      <c r="AD4460">
        <v>-1.1088548523569</v>
      </c>
      <c r="AE4460">
        <v>-16.154199999999999</v>
      </c>
      <c r="AF4460">
        <v>9.8332718846138895E-2</v>
      </c>
      <c r="AG4460">
        <v>-1.1088548523569</v>
      </c>
      <c r="AH4460">
        <v>16.095717705773499</v>
      </c>
      <c r="AI4460">
        <v>93.940880462379695</v>
      </c>
      <c r="AJ4460">
        <v>89.649970272251295</v>
      </c>
      <c r="AK4460">
        <v>16.134167374585498</v>
      </c>
      <c r="AL4460">
        <v>89.332645479347406</v>
      </c>
      <c r="AM4460">
        <v>88.773371387502493</v>
      </c>
      <c r="AN4460">
        <v>0.99999997383751804</v>
      </c>
    </row>
    <row r="4461" spans="1:40" x14ac:dyDescent="0.25">
      <c r="A4461" t="str">
        <f>"20190312160732622"</f>
        <v>20190312160732622</v>
      </c>
      <c r="B4461" t="str">
        <f>"1552378052619827"</f>
        <v>1552378052619827</v>
      </c>
      <c r="C4461" t="s">
        <v>40</v>
      </c>
      <c r="D4461">
        <v>6.0802699999999996</v>
      </c>
      <c r="E4461">
        <v>0.49066140000000003</v>
      </c>
      <c r="F4461" t="s">
        <v>47</v>
      </c>
      <c r="G4461">
        <v>-189.93860000000001</v>
      </c>
      <c r="H4461" s="1">
        <v>-3.7717350000000003E-7</v>
      </c>
      <c r="I4461">
        <v>170.48660000000001</v>
      </c>
      <c r="J4461">
        <v>-189.12370000000001</v>
      </c>
      <c r="K4461">
        <v>1.108854</v>
      </c>
      <c r="L4461">
        <v>187.5943</v>
      </c>
      <c r="M4461">
        <v>-4.1716070000000001E-2</v>
      </c>
      <c r="N4461">
        <v>0</v>
      </c>
      <c r="O4461">
        <v>-0.9990966</v>
      </c>
      <c r="P4461">
        <v>-6.4301120000000003E-2</v>
      </c>
      <c r="Q4461">
        <v>4.1952659999999996E-3</v>
      </c>
      <c r="R4461">
        <v>-0.99792179999999997</v>
      </c>
      <c r="S4461">
        <v>-0.14289859999999999</v>
      </c>
      <c r="T4461">
        <v>-0.19287940000000001</v>
      </c>
      <c r="U4461">
        <v>-2.9976039999999999</v>
      </c>
      <c r="V4461">
        <v>2.2629050000000001E-2</v>
      </c>
      <c r="W4461">
        <v>1.227378E-2</v>
      </c>
      <c r="X4461">
        <v>0.99966860000000002</v>
      </c>
      <c r="Y4461">
        <v>5.8072949999999996E-3</v>
      </c>
      <c r="Z4461">
        <v>6.4091259999999997E-2</v>
      </c>
      <c r="AA4461">
        <v>0.99792709999999996</v>
      </c>
      <c r="AB4461">
        <v>13</v>
      </c>
      <c r="AC4461">
        <v>-0.81489999999999396</v>
      </c>
      <c r="AD4461">
        <v>-1.1088543771735</v>
      </c>
      <c r="AE4461">
        <v>-17.107699999999902</v>
      </c>
      <c r="AF4461">
        <v>0.10008160911332201</v>
      </c>
      <c r="AG4461">
        <v>-1.1088543771735</v>
      </c>
      <c r="AH4461">
        <v>17.055313085857101</v>
      </c>
      <c r="AI4461">
        <v>93.719796624032298</v>
      </c>
      <c r="AJ4461">
        <v>89.663788758169105</v>
      </c>
      <c r="AK4461">
        <v>17.091614283468601</v>
      </c>
      <c r="AL4461">
        <v>89.296746559899205</v>
      </c>
      <c r="AM4461">
        <v>88.7032425835433</v>
      </c>
      <c r="AN4461">
        <v>1.00000001470267</v>
      </c>
    </row>
    <row r="4462" spans="1:40" x14ac:dyDescent="0.25">
      <c r="A4462" t="str">
        <f>"20190312160732645"</f>
        <v>20190312160732645</v>
      </c>
      <c r="B4462" t="str">
        <f>"1552378052639348"</f>
        <v>1552378052639348</v>
      </c>
      <c r="C4462" t="s">
        <v>40</v>
      </c>
      <c r="D4462">
        <v>6.0839410000000003</v>
      </c>
      <c r="E4462">
        <v>0.48914209999999902</v>
      </c>
      <c r="F4462" t="s">
        <v>47</v>
      </c>
      <c r="G4462">
        <v>-190.03620000000001</v>
      </c>
      <c r="H4462" s="1">
        <v>-2.8325310000000002E-6</v>
      </c>
      <c r="I4462">
        <v>165.5634</v>
      </c>
      <c r="J4462">
        <v>-189.13059999999999</v>
      </c>
      <c r="K4462">
        <v>1.1088519999999999</v>
      </c>
      <c r="L4462">
        <v>187.4684</v>
      </c>
      <c r="M4462">
        <v>-4.302566E-2</v>
      </c>
      <c r="N4462">
        <v>0</v>
      </c>
      <c r="O4462">
        <v>-0.99904130000000002</v>
      </c>
      <c r="P4462">
        <v>-6.7069190000000001E-2</v>
      </c>
      <c r="Q4462">
        <v>4.7817839999999999E-3</v>
      </c>
      <c r="R4462">
        <v>-0.99773659999999997</v>
      </c>
      <c r="S4462">
        <v>-0.1242065</v>
      </c>
      <c r="T4462">
        <v>-0.15093909999999999</v>
      </c>
      <c r="U4462">
        <v>-2.9988709999999998</v>
      </c>
      <c r="V4462">
        <v>2.4092579999999999E-2</v>
      </c>
      <c r="W4462">
        <v>1.2824489999999999E-2</v>
      </c>
      <c r="X4462">
        <v>0.9996275</v>
      </c>
      <c r="Y4462">
        <v>-1.6984179999999999E-3</v>
      </c>
      <c r="Z4462">
        <v>5.0177100000000002E-2</v>
      </c>
      <c r="AA4462">
        <v>0.99873889999999999</v>
      </c>
      <c r="AB4462">
        <v>13</v>
      </c>
      <c r="AC4462">
        <v>-0.90560000000002105</v>
      </c>
      <c r="AD4462">
        <v>-1.1088548325309999</v>
      </c>
      <c r="AE4462">
        <v>-21.905000000000001</v>
      </c>
      <c r="AF4462">
        <v>-3.7650199167418998E-2</v>
      </c>
      <c r="AG4462">
        <v>-1.1088548325309999</v>
      </c>
      <c r="AH4462">
        <v>21.867738903379301</v>
      </c>
      <c r="AI4462">
        <v>92.902825926386697</v>
      </c>
      <c r="AJ4462">
        <v>90.098647390482597</v>
      </c>
      <c r="AK4462">
        <v>21.895866763466898</v>
      </c>
      <c r="AL4462">
        <v>89.265190727178805</v>
      </c>
      <c r="AM4462">
        <v>88.619349748284293</v>
      </c>
      <c r="AN4462">
        <v>1.00000002935553</v>
      </c>
    </row>
    <row r="4463" spans="1:40" x14ac:dyDescent="0.25">
      <c r="A4463" t="str">
        <f>"20190312160732657"</f>
        <v>20190312160732657</v>
      </c>
      <c r="B4463" t="str">
        <f>"1552378052650084"</f>
        <v>1552378052650084</v>
      </c>
      <c r="C4463" t="s">
        <v>40</v>
      </c>
      <c r="D4463">
        <v>6.3399939999999999</v>
      </c>
      <c r="E4463">
        <v>0.48832170000000003</v>
      </c>
      <c r="F4463" t="s">
        <v>47</v>
      </c>
      <c r="G4463">
        <v>-190.11840000000001</v>
      </c>
      <c r="H4463" s="1">
        <v>-1.5126820000000001E-6</v>
      </c>
      <c r="I4463">
        <v>162.72499999999999</v>
      </c>
      <c r="J4463">
        <v>-189.13470000000001</v>
      </c>
      <c r="K4463">
        <v>1.1088579999999999</v>
      </c>
      <c r="L4463">
        <v>187.39230000000001</v>
      </c>
      <c r="M4463">
        <v>-4.3809809999999998E-2</v>
      </c>
      <c r="N4463">
        <v>0</v>
      </c>
      <c r="O4463">
        <v>-0.99900730000000004</v>
      </c>
      <c r="P4463">
        <v>-6.8603899999999995E-2</v>
      </c>
      <c r="Q4463">
        <v>4.8774439999999999E-3</v>
      </c>
      <c r="R4463">
        <v>-0.99763199999999996</v>
      </c>
      <c r="S4463">
        <v>-0.119751</v>
      </c>
      <c r="T4463">
        <v>-0.13441539999999999</v>
      </c>
      <c r="U4463">
        <v>-2.9994049999999999</v>
      </c>
      <c r="V4463">
        <v>2.4845699999999998E-2</v>
      </c>
      <c r="W4463">
        <v>1.289887E-2</v>
      </c>
      <c r="X4463">
        <v>0.9996081</v>
      </c>
      <c r="Y4463">
        <v>-3.961432E-3</v>
      </c>
      <c r="Z4463">
        <v>4.4686730000000001E-2</v>
      </c>
      <c r="AA4463">
        <v>0.99899320000000003</v>
      </c>
      <c r="AB4463">
        <v>13</v>
      </c>
      <c r="AC4463">
        <v>-0.98369999999999802</v>
      </c>
      <c r="AD4463">
        <v>-1.108859512682</v>
      </c>
      <c r="AE4463">
        <v>-24.667300000000001</v>
      </c>
      <c r="AF4463">
        <v>-9.7752216352817098E-2</v>
      </c>
      <c r="AG4463">
        <v>-1.108859512682</v>
      </c>
      <c r="AH4463">
        <v>24.637006367493001</v>
      </c>
      <c r="AI4463">
        <v>92.577002352293505</v>
      </c>
      <c r="AJ4463">
        <v>90.227331192816607</v>
      </c>
      <c r="AK4463">
        <v>24.662141181709298</v>
      </c>
      <c r="AL4463">
        <v>89.260928708974205</v>
      </c>
      <c r="AM4463">
        <v>88.576181301605303</v>
      </c>
      <c r="AN4463">
        <v>1.0000000216206799</v>
      </c>
    </row>
    <row r="4464" spans="1:40" x14ac:dyDescent="0.25">
      <c r="A4464" t="str">
        <f>"20190312160732678"</f>
        <v>20190312160732678</v>
      </c>
      <c r="B4464" t="str">
        <f>"1552378052669603"</f>
        <v>1552378052669603</v>
      </c>
      <c r="C4464" t="s">
        <v>40</v>
      </c>
      <c r="D4464">
        <v>6.3699309999999896</v>
      </c>
      <c r="E4464">
        <v>0.48870479999999999</v>
      </c>
      <c r="F4464" t="s">
        <v>47</v>
      </c>
      <c r="G4464">
        <v>-190.1591</v>
      </c>
      <c r="H4464" s="1">
        <v>-8.3718939999999999E-7</v>
      </c>
      <c r="I4464">
        <v>161.2731</v>
      </c>
      <c r="J4464">
        <v>-189.14160000000001</v>
      </c>
      <c r="K4464">
        <v>1.1088629999999999</v>
      </c>
      <c r="L4464">
        <v>187.26920000000001</v>
      </c>
      <c r="M4464">
        <v>-4.5059290000000002E-2</v>
      </c>
      <c r="N4464">
        <v>0</v>
      </c>
      <c r="O4464">
        <v>-0.99895230000000002</v>
      </c>
      <c r="P4464">
        <v>-7.1110580000000007E-2</v>
      </c>
      <c r="Q4464">
        <v>5.4588369999999898E-3</v>
      </c>
      <c r="R4464">
        <v>-0.99745379999999995</v>
      </c>
      <c r="S4464">
        <v>-0.11764529999999999</v>
      </c>
      <c r="T4464">
        <v>-0.12734580000000001</v>
      </c>
      <c r="U4464">
        <v>-2.9996339999999999</v>
      </c>
      <c r="V4464">
        <v>2.610788E-2</v>
      </c>
      <c r="W4464">
        <v>1.344909E-2</v>
      </c>
      <c r="X4464">
        <v>0.99956860000000003</v>
      </c>
      <c r="Y4464">
        <v>-5.911347E-3</v>
      </c>
      <c r="Z4464">
        <v>4.233439E-2</v>
      </c>
      <c r="AA4464">
        <v>0.99908600000000003</v>
      </c>
      <c r="AB4464">
        <v>13</v>
      </c>
      <c r="AC4464">
        <v>-1.0174999999999801</v>
      </c>
      <c r="AD4464">
        <v>-1.1088638371894</v>
      </c>
      <c r="AE4464">
        <v>-25.996099999999998</v>
      </c>
      <c r="AF4464">
        <v>-0.15465584059283399</v>
      </c>
      <c r="AG4464">
        <v>-1.1088638371894</v>
      </c>
      <c r="AH4464">
        <v>25.9683678736709</v>
      </c>
      <c r="AI4464">
        <v>92.445033188708507</v>
      </c>
      <c r="AJ4464">
        <v>90.341223685084898</v>
      </c>
      <c r="AK4464">
        <v>25.9924917516724</v>
      </c>
      <c r="AL4464">
        <v>89.229400628661196</v>
      </c>
      <c r="AM4464">
        <v>88.503823240209897</v>
      </c>
      <c r="AN4464">
        <v>0.99999994276293902</v>
      </c>
    </row>
    <row r="4465" spans="1:40" x14ac:dyDescent="0.25">
      <c r="A4465" t="str">
        <f>"20190312160732699"</f>
        <v>20190312160732699</v>
      </c>
      <c r="B4465" t="str">
        <f>"1552378052690099"</f>
        <v>1552378052690099</v>
      </c>
      <c r="C4465" t="s">
        <v>40</v>
      </c>
      <c r="D4465">
        <v>6.593782</v>
      </c>
      <c r="E4465">
        <v>0.52110559999999995</v>
      </c>
      <c r="F4465" t="s">
        <v>89</v>
      </c>
      <c r="G4465">
        <v>-190.35720000000001</v>
      </c>
      <c r="H4465" s="1">
        <v>-1.46355399999999E-5</v>
      </c>
      <c r="I4465">
        <v>158.73660000000001</v>
      </c>
      <c r="J4465">
        <v>-189.149</v>
      </c>
      <c r="K4465">
        <v>1.1088709999999999</v>
      </c>
      <c r="L4465">
        <v>187.1403</v>
      </c>
      <c r="M4465">
        <v>-4.6340699999999999E-2</v>
      </c>
      <c r="N4465">
        <v>0</v>
      </c>
      <c r="O4465">
        <v>-0.99889380000000005</v>
      </c>
      <c r="P4465">
        <v>-7.3782639999999997E-2</v>
      </c>
      <c r="Q4465">
        <v>5.4770369999999997E-3</v>
      </c>
      <c r="R4465">
        <v>-0.99725949999999997</v>
      </c>
      <c r="S4465">
        <v>-0.1277771</v>
      </c>
      <c r="T4465">
        <v>-0.1165601</v>
      </c>
      <c r="U4465">
        <v>-2.9992070000000002</v>
      </c>
      <c r="V4465">
        <v>2.7503340000000001E-2</v>
      </c>
      <c r="W4465">
        <v>1.343812E-2</v>
      </c>
      <c r="X4465">
        <v>0.99953139999999996</v>
      </c>
      <c r="Y4465">
        <v>-3.8129010000000001E-3</v>
      </c>
      <c r="Z4465">
        <v>3.8754110000000001E-2</v>
      </c>
      <c r="AA4465">
        <v>0.9992415</v>
      </c>
      <c r="AB4465">
        <v>13</v>
      </c>
      <c r="AC4465">
        <v>-1.2081999999999999</v>
      </c>
      <c r="AD4465">
        <v>-1.1088856355400001</v>
      </c>
      <c r="AE4465">
        <v>-28.403699999999901</v>
      </c>
      <c r="AF4465">
        <v>-0.109221169096604</v>
      </c>
      <c r="AG4465">
        <v>-1.1088856355400001</v>
      </c>
      <c r="AH4465">
        <v>28.385988406269501</v>
      </c>
      <c r="AI4465">
        <v>92.237079338622806</v>
      </c>
      <c r="AJ4465">
        <v>90.220456693310496</v>
      </c>
      <c r="AK4465">
        <v>28.407849169153099</v>
      </c>
      <c r="AL4465">
        <v>89.230029278278707</v>
      </c>
      <c r="AM4465">
        <v>88.423833631790203</v>
      </c>
      <c r="AN4465">
        <v>1.0000000181831199</v>
      </c>
    </row>
    <row r="4466" spans="1:40" x14ac:dyDescent="0.25">
      <c r="A4466" t="str">
        <f>"20190312160732711"</f>
        <v>20190312160732711</v>
      </c>
      <c r="B4466" t="str">
        <f>"1552378052699859"</f>
        <v>1552378052699859</v>
      </c>
      <c r="C4466" t="s">
        <v>40</v>
      </c>
      <c r="D4466">
        <v>6.5511249999999999</v>
      </c>
      <c r="E4466">
        <v>0.56314339999999996</v>
      </c>
      <c r="F4466" t="s">
        <v>55</v>
      </c>
      <c r="G4466">
        <v>-211.07</v>
      </c>
      <c r="H4466">
        <v>8.0245739999999994</v>
      </c>
      <c r="I4466">
        <v>17.928899999999999</v>
      </c>
      <c r="J4466">
        <v>-189.15299999999999</v>
      </c>
      <c r="K4466">
        <v>1.1088750000000001</v>
      </c>
      <c r="L4466">
        <v>187.06989999999999</v>
      </c>
      <c r="M4466">
        <v>-4.7030420000000003E-2</v>
      </c>
      <c r="N4466">
        <v>0</v>
      </c>
      <c r="O4466">
        <v>-0.99886160000000002</v>
      </c>
      <c r="P4466">
        <v>-7.4835609999999997E-2</v>
      </c>
      <c r="Q4466">
        <v>5.2807649999999998E-3</v>
      </c>
      <c r="R4466">
        <v>-0.99718209999999996</v>
      </c>
      <c r="S4466">
        <v>-0.38592530000000003</v>
      </c>
      <c r="T4466">
        <v>0.121752399999999</v>
      </c>
      <c r="U4466">
        <v>-2.9790040000000002</v>
      </c>
      <c r="V4466">
        <v>2.786812E-2</v>
      </c>
      <c r="W4466">
        <v>1.322738E-2</v>
      </c>
      <c r="X4466">
        <v>0.99952410000000003</v>
      </c>
      <c r="Y4466">
        <v>8.1584889999999993E-2</v>
      </c>
      <c r="Z4466">
        <v>-4.0531289999999998E-2</v>
      </c>
      <c r="AA4466">
        <v>0.99584189999999995</v>
      </c>
      <c r="AB4466">
        <v>13</v>
      </c>
      <c r="AC4466">
        <v>-21.916999999999899</v>
      </c>
      <c r="AD4466">
        <v>6.915699</v>
      </c>
      <c r="AE4466">
        <v>-169.14099999999999</v>
      </c>
      <c r="AF4466">
        <v>13.9148427836581</v>
      </c>
      <c r="AG4466">
        <v>6.915699</v>
      </c>
      <c r="AH4466">
        <v>169.705602510468</v>
      </c>
      <c r="AI4466">
        <v>87.674218523533298</v>
      </c>
      <c r="AJ4466">
        <v>85.312575090703206</v>
      </c>
      <c r="AK4466">
        <v>170.41549596733699</v>
      </c>
      <c r="AL4466">
        <v>89.242104858617097</v>
      </c>
      <c r="AM4466">
        <v>88.402927851378806</v>
      </c>
      <c r="AN4466">
        <v>1.0000000110874001</v>
      </c>
    </row>
    <row r="4467" spans="1:40" x14ac:dyDescent="0.25">
      <c r="A4467" t="str">
        <f>"20190312160732725"</f>
        <v>20190312160732725</v>
      </c>
      <c r="B4467" t="str">
        <f>"1552378052719379"</f>
        <v>1552378052719379</v>
      </c>
      <c r="C4467" t="s">
        <v>40</v>
      </c>
      <c r="D4467">
        <v>6.3600570000000003</v>
      </c>
      <c r="E4467">
        <v>0.56158819999999998</v>
      </c>
      <c r="F4467" t="s">
        <v>56</v>
      </c>
      <c r="G4467">
        <v>-211.35910000000001</v>
      </c>
      <c r="H4467">
        <v>1.29199999999999</v>
      </c>
      <c r="I4467">
        <v>96.874799999999993</v>
      </c>
      <c r="J4467">
        <v>-189.1574</v>
      </c>
      <c r="K4467">
        <v>1.108878</v>
      </c>
      <c r="L4467">
        <v>186.995</v>
      </c>
      <c r="M4467">
        <v>-4.7752700000000002E-2</v>
      </c>
      <c r="N4467">
        <v>0</v>
      </c>
      <c r="O4467">
        <v>-0.99882749999999998</v>
      </c>
      <c r="P4467">
        <v>-7.589941E-2</v>
      </c>
      <c r="Q4467">
        <v>4.9371399999999996E-3</v>
      </c>
      <c r="R4467">
        <v>-0.99710359999999998</v>
      </c>
      <c r="S4467">
        <v>-0.72724909999999998</v>
      </c>
      <c r="T4467">
        <v>5.9982539999999997E-3</v>
      </c>
      <c r="U4467">
        <v>-2.9538880000000001</v>
      </c>
      <c r="V4467">
        <v>2.821104E-2</v>
      </c>
      <c r="W4467">
        <v>1.286788E-2</v>
      </c>
      <c r="X4467">
        <v>0.99951920000000005</v>
      </c>
      <c r="Y4467">
        <v>0.19241910000000001</v>
      </c>
      <c r="Z4467">
        <v>-1.9786420000000001E-3</v>
      </c>
      <c r="AA4467">
        <v>0.98131080000000004</v>
      </c>
      <c r="AB4467">
        <v>13</v>
      </c>
      <c r="AC4467">
        <v>-22.201699999999999</v>
      </c>
      <c r="AD4467">
        <v>0.18312199999999901</v>
      </c>
      <c r="AE4467">
        <v>-90.120199999999997</v>
      </c>
      <c r="AF4467">
        <v>17.872681784949499</v>
      </c>
      <c r="AG4467">
        <v>0.18312199999999901</v>
      </c>
      <c r="AH4467">
        <v>91.077253525794006</v>
      </c>
      <c r="AI4467">
        <v>89.886955982720494</v>
      </c>
      <c r="AJ4467">
        <v>78.897555695508501</v>
      </c>
      <c r="AK4467">
        <v>92.814505319237199</v>
      </c>
      <c r="AL4467">
        <v>89.262704464700406</v>
      </c>
      <c r="AM4467">
        <v>88.383278163904706</v>
      </c>
      <c r="AN4467">
        <v>1.0000000381411001</v>
      </c>
    </row>
    <row r="4468" spans="1:40" x14ac:dyDescent="0.25">
      <c r="A4468" t="str">
        <f>"20190312160732737"</f>
        <v>20190312160732737</v>
      </c>
      <c r="B4468" t="str">
        <f>"1552378052730115"</f>
        <v>1552378052730115</v>
      </c>
      <c r="C4468" t="s">
        <v>40</v>
      </c>
      <c r="D4468">
        <v>6.3311159999999997</v>
      </c>
      <c r="E4468">
        <v>0.56010930000000003</v>
      </c>
      <c r="F4468" t="s">
        <v>56</v>
      </c>
      <c r="G4468">
        <v>-211.35929999999999</v>
      </c>
      <c r="H4468">
        <v>1.8896170000000001</v>
      </c>
      <c r="I4468">
        <v>95.560270000000003</v>
      </c>
      <c r="J4468">
        <v>-189.1619</v>
      </c>
      <c r="K4468">
        <v>1.1088819999999999</v>
      </c>
      <c r="L4468">
        <v>186.91829999999999</v>
      </c>
      <c r="M4468">
        <v>-4.8486130000000002E-2</v>
      </c>
      <c r="N4468">
        <v>0</v>
      </c>
      <c r="O4468">
        <v>-0.99879240000000002</v>
      </c>
      <c r="P4468">
        <v>-7.6966989999999999E-2</v>
      </c>
      <c r="Q4468">
        <v>4.9453969999999998E-3</v>
      </c>
      <c r="R4468">
        <v>-0.99702139999999995</v>
      </c>
      <c r="S4468">
        <v>-0.71728519999999996</v>
      </c>
      <c r="T4468">
        <v>2.5224449999999999E-2</v>
      </c>
      <c r="U4468">
        <v>-2.9540099999999998</v>
      </c>
      <c r="V4468">
        <v>2.8547110000000001E-2</v>
      </c>
      <c r="W4468">
        <v>1.285882E-2</v>
      </c>
      <c r="X4468">
        <v>0.9995098</v>
      </c>
      <c r="Y4468">
        <v>0.18855669999999999</v>
      </c>
      <c r="Z4468">
        <v>-8.3261619999999998E-3</v>
      </c>
      <c r="AA4468">
        <v>0.98202699999999998</v>
      </c>
      <c r="AB4468">
        <v>13</v>
      </c>
      <c r="AC4468">
        <v>-22.197399999999899</v>
      </c>
      <c r="AD4468">
        <v>0.78073499999999996</v>
      </c>
      <c r="AE4468">
        <v>-91.358029999999999</v>
      </c>
      <c r="AF4468">
        <v>17.740331130798701</v>
      </c>
      <c r="AG4468">
        <v>0.78073499999999996</v>
      </c>
      <c r="AH4468">
        <v>92.320506364639201</v>
      </c>
      <c r="AI4468">
        <v>89.524178206669404</v>
      </c>
      <c r="AJ4468">
        <v>79.122619983209603</v>
      </c>
      <c r="AK4468">
        <v>94.012790572315197</v>
      </c>
      <c r="AL4468">
        <v>89.263223626093506</v>
      </c>
      <c r="AM4468">
        <v>88.364013649342695</v>
      </c>
      <c r="AN4468">
        <v>1.0000000635185899</v>
      </c>
    </row>
    <row r="4469" spans="1:40" x14ac:dyDescent="0.25">
      <c r="A4469" t="str">
        <f>"20190312160732756"</f>
        <v>20190312160732756</v>
      </c>
      <c r="B4469" t="str">
        <f>"1552378052749635"</f>
        <v>1552378052749635</v>
      </c>
      <c r="C4469" t="s">
        <v>40</v>
      </c>
      <c r="D4469">
        <v>6.3182390000000002</v>
      </c>
      <c r="E4469">
        <v>0.56061709999999998</v>
      </c>
      <c r="F4469" t="s">
        <v>56</v>
      </c>
      <c r="G4469">
        <v>-212.2259</v>
      </c>
      <c r="H4469">
        <v>2.0862270000000001</v>
      </c>
      <c r="I4469">
        <v>90.769440000000003</v>
      </c>
      <c r="J4469">
        <v>-189.16849999999999</v>
      </c>
      <c r="K4469">
        <v>1.108887</v>
      </c>
      <c r="L4469">
        <v>186.8066</v>
      </c>
      <c r="M4469">
        <v>-4.9531850000000002E-2</v>
      </c>
      <c r="N4469">
        <v>0</v>
      </c>
      <c r="O4469">
        <v>-0.99874130000000005</v>
      </c>
      <c r="P4469">
        <v>-7.8751399999999902E-2</v>
      </c>
      <c r="Q4469">
        <v>4.760996E-3</v>
      </c>
      <c r="R4469">
        <v>-0.99688290000000002</v>
      </c>
      <c r="S4469">
        <v>-0.70861819999999998</v>
      </c>
      <c r="T4469">
        <v>3.0028699999999998E-2</v>
      </c>
      <c r="U4469">
        <v>-2.9540709999999999</v>
      </c>
      <c r="V4469">
        <v>2.928909E-2</v>
      </c>
      <c r="W4469">
        <v>1.264473E-2</v>
      </c>
      <c r="X4469">
        <v>0.99949100000000002</v>
      </c>
      <c r="Y4469">
        <v>0.1847965</v>
      </c>
      <c r="Z4469">
        <v>-9.9177950000000001E-3</v>
      </c>
      <c r="AA4469">
        <v>0.98272680000000001</v>
      </c>
      <c r="AB4469">
        <v>13</v>
      </c>
      <c r="AC4469">
        <v>-23.057400000000001</v>
      </c>
      <c r="AD4469">
        <v>0.97733999999999999</v>
      </c>
      <c r="AE4469">
        <v>-96.03716</v>
      </c>
      <c r="AF4469">
        <v>18.270260614969999</v>
      </c>
      <c r="AG4469">
        <v>0.97733999999999999</v>
      </c>
      <c r="AH4469">
        <v>97.051879251759303</v>
      </c>
      <c r="AI4469">
        <v>89.432993656468298</v>
      </c>
      <c r="AJ4469">
        <v>79.3386986404754</v>
      </c>
      <c r="AK4469">
        <v>98.761454438017495</v>
      </c>
      <c r="AL4469">
        <v>89.275491029846606</v>
      </c>
      <c r="AM4469">
        <v>88.321484499295707</v>
      </c>
      <c r="AN4469">
        <v>0.99999999953539997</v>
      </c>
    </row>
    <row r="4470" spans="1:40" x14ac:dyDescent="0.25">
      <c r="A4470" t="str">
        <f>"20190312160732778"</f>
        <v>20190312160732778</v>
      </c>
      <c r="B4470" t="str">
        <f>"1552378052770134"</f>
        <v>1552378052770134</v>
      </c>
      <c r="C4470" t="s">
        <v>40</v>
      </c>
      <c r="D4470">
        <v>6.3641839999999998</v>
      </c>
      <c r="E4470">
        <v>0.56088139999999997</v>
      </c>
      <c r="F4470" t="s">
        <v>56</v>
      </c>
      <c r="G4470">
        <v>-211.3595</v>
      </c>
      <c r="H4470">
        <v>2.6078640000000002</v>
      </c>
      <c r="I4470">
        <v>95.4739</v>
      </c>
      <c r="J4470">
        <v>-189.17679999999999</v>
      </c>
      <c r="K4470">
        <v>1.108884</v>
      </c>
      <c r="L4470">
        <v>186.6696</v>
      </c>
      <c r="M4470">
        <v>-5.0783370000000001E-2</v>
      </c>
      <c r="N4470">
        <v>0</v>
      </c>
      <c r="O4470">
        <v>-0.99867859999999997</v>
      </c>
      <c r="P4470">
        <v>-8.0475950000000004E-2</v>
      </c>
      <c r="Q4470">
        <v>4.5010400000000004E-3</v>
      </c>
      <c r="R4470">
        <v>-0.99674609999999997</v>
      </c>
      <c r="S4470">
        <v>-0.71736149999999999</v>
      </c>
      <c r="T4470">
        <v>4.8457859999999998E-2</v>
      </c>
      <c r="U4470">
        <v>-2.9524840000000001</v>
      </c>
      <c r="V4470">
        <v>2.9765150000000001E-2</v>
      </c>
      <c r="W4470">
        <v>1.234244E-2</v>
      </c>
      <c r="X4470">
        <v>0.9994807</v>
      </c>
      <c r="Y4470">
        <v>0.18641569999999999</v>
      </c>
      <c r="Z4470">
        <v>-1.600213E-2</v>
      </c>
      <c r="AA4470">
        <v>0.98234060000000001</v>
      </c>
      <c r="AB4470">
        <v>13</v>
      </c>
      <c r="AC4470">
        <v>-22.182700000000001</v>
      </c>
      <c r="AD4470">
        <v>1.49897999999999</v>
      </c>
      <c r="AE4470">
        <v>-91.195700000000002</v>
      </c>
      <c r="AF4470">
        <v>17.518238347954998</v>
      </c>
      <c r="AG4470">
        <v>1.49897999999999</v>
      </c>
      <c r="AH4470">
        <v>92.181055753100395</v>
      </c>
      <c r="AI4470">
        <v>89.084758511928101</v>
      </c>
      <c r="AJ4470">
        <v>79.239730657823003</v>
      </c>
      <c r="AK4470">
        <v>93.842861505883107</v>
      </c>
      <c r="AL4470">
        <v>89.292812312597107</v>
      </c>
      <c r="AM4470">
        <v>88.294200608431694</v>
      </c>
      <c r="AN4470">
        <v>0.99999998482608199</v>
      </c>
    </row>
    <row r="4471" spans="1:40" x14ac:dyDescent="0.25">
      <c r="A4471" t="str">
        <f>"20190312160732801"</f>
        <v>20190312160732801</v>
      </c>
      <c r="B4471" t="str">
        <f>"1552378052789651"</f>
        <v>1552378052789651</v>
      </c>
      <c r="C4471" t="s">
        <v>40</v>
      </c>
      <c r="D4471">
        <v>6.288348</v>
      </c>
      <c r="E4471">
        <v>0.56098230000000004</v>
      </c>
      <c r="F4471" t="s">
        <v>56</v>
      </c>
      <c r="G4471">
        <v>-211.3595</v>
      </c>
      <c r="H4471">
        <v>2.6047560000000001</v>
      </c>
      <c r="I4471">
        <v>96.324299999999994</v>
      </c>
      <c r="J4471">
        <v>-189.185</v>
      </c>
      <c r="K4471">
        <v>1.108878</v>
      </c>
      <c r="L4471">
        <v>186.5359</v>
      </c>
      <c r="M4471">
        <v>-5.197761E-2</v>
      </c>
      <c r="N4471">
        <v>0</v>
      </c>
      <c r="O4471">
        <v>-0.99861750000000005</v>
      </c>
      <c r="P4471">
        <v>-8.2159899999999994E-2</v>
      </c>
      <c r="Q4471">
        <v>4.8199130000000003E-3</v>
      </c>
      <c r="R4471">
        <v>-0.99660740000000003</v>
      </c>
      <c r="S4471">
        <v>-0.72457890000000003</v>
      </c>
      <c r="T4471">
        <v>4.8862219999999998E-2</v>
      </c>
      <c r="U4471">
        <v>-2.95105</v>
      </c>
      <c r="V4471">
        <v>3.0258799999999898E-2</v>
      </c>
      <c r="W4471">
        <v>1.261517E-2</v>
      </c>
      <c r="X4471">
        <v>0.99946250000000003</v>
      </c>
      <c r="Y4471">
        <v>0.1876169</v>
      </c>
      <c r="Z4471">
        <v>-1.6135259999999998E-2</v>
      </c>
      <c r="AA4471">
        <v>0.98210969999999997</v>
      </c>
      <c r="AB4471">
        <v>13</v>
      </c>
      <c r="AC4471">
        <v>-22.174499999999899</v>
      </c>
      <c r="AD4471">
        <v>1.495878</v>
      </c>
      <c r="AE4471">
        <v>-90.211600000000004</v>
      </c>
      <c r="AF4471">
        <v>17.450871550750001</v>
      </c>
      <c r="AG4471">
        <v>1.495878</v>
      </c>
      <c r="AH4471">
        <v>91.218609641687607</v>
      </c>
      <c r="AI4471">
        <v>89.077232165474101</v>
      </c>
      <c r="AJ4471">
        <v>79.169705394578799</v>
      </c>
      <c r="AK4471">
        <v>92.884903584135998</v>
      </c>
      <c r="AL4471">
        <v>89.277184838065693</v>
      </c>
      <c r="AM4471">
        <v>88.265895786813701</v>
      </c>
      <c r="AN4471">
        <v>1.0000000131989</v>
      </c>
    </row>
    <row r="4472" spans="1:40" x14ac:dyDescent="0.25">
      <c r="A4472" t="str">
        <f>"20190312160732823"</f>
        <v>20190312160732823</v>
      </c>
      <c r="B4472" t="str">
        <f>"1552378052819909"</f>
        <v>1552378052819909</v>
      </c>
      <c r="C4472" t="s">
        <v>40</v>
      </c>
      <c r="D4472">
        <v>6.4608730000000003</v>
      </c>
      <c r="E4472">
        <v>0.56169859999999905</v>
      </c>
      <c r="F4472" t="s">
        <v>56</v>
      </c>
      <c r="G4472">
        <v>-211.3596</v>
      </c>
      <c r="H4472">
        <v>2.8037770000000002</v>
      </c>
      <c r="I4472">
        <v>96.959879999999998</v>
      </c>
      <c r="J4472">
        <v>-189.19370000000001</v>
      </c>
      <c r="K4472">
        <v>1.108876</v>
      </c>
      <c r="L4472">
        <v>186.39609999999999</v>
      </c>
      <c r="M4472">
        <v>-5.3199690000000001E-2</v>
      </c>
      <c r="N4472">
        <v>0</v>
      </c>
      <c r="O4472">
        <v>-0.99855360000000004</v>
      </c>
      <c r="P4472">
        <v>-8.4482799999999997E-2</v>
      </c>
      <c r="Q4472">
        <v>4.6060679999999996E-3</v>
      </c>
      <c r="R4472">
        <v>-0.99641429999999998</v>
      </c>
      <c r="S4472">
        <v>-0.73020940000000001</v>
      </c>
      <c r="T4472">
        <v>5.5813910000000001E-2</v>
      </c>
      <c r="U4472">
        <v>-2.949738</v>
      </c>
      <c r="V4472">
        <v>3.136506E-2</v>
      </c>
      <c r="W4472">
        <v>1.234816E-2</v>
      </c>
      <c r="X4472">
        <v>0.99943170000000003</v>
      </c>
      <c r="Y4472">
        <v>0.18827369999999999</v>
      </c>
      <c r="Z4472">
        <v>-1.8430950000000001E-2</v>
      </c>
      <c r="AA4472">
        <v>0.98194369999999997</v>
      </c>
      <c r="AB4472">
        <v>14</v>
      </c>
      <c r="AC4472">
        <v>-22.165899999999901</v>
      </c>
      <c r="AD4472">
        <v>1.694901</v>
      </c>
      <c r="AE4472">
        <v>-89.436219999999906</v>
      </c>
      <c r="AF4472">
        <v>17.3705083171373</v>
      </c>
      <c r="AG4472">
        <v>1.694901</v>
      </c>
      <c r="AH4472">
        <v>90.458208844495303</v>
      </c>
      <c r="AI4472">
        <v>88.945839286106803</v>
      </c>
      <c r="AJ4472">
        <v>79.1299277967899</v>
      </c>
      <c r="AK4472">
        <v>92.126515162301999</v>
      </c>
      <c r="AL4472">
        <v>89.292484554821201</v>
      </c>
      <c r="AM4472">
        <v>88.202482535119302</v>
      </c>
      <c r="AN4472">
        <v>0.999999983504539</v>
      </c>
    </row>
    <row r="4473" spans="1:40" x14ac:dyDescent="0.25">
      <c r="A4473" t="str">
        <f>"20190312160732845"</f>
        <v>20190312160732845</v>
      </c>
      <c r="B4473" t="str">
        <f>"1552378052839427"</f>
        <v>1552378052839427</v>
      </c>
      <c r="C4473" t="s">
        <v>40</v>
      </c>
      <c r="D4473">
        <v>6.4962400000000002</v>
      </c>
      <c r="E4473">
        <v>0.56157760000000001</v>
      </c>
      <c r="F4473" t="s">
        <v>56</v>
      </c>
      <c r="G4473">
        <v>-211.3758</v>
      </c>
      <c r="H4473">
        <v>2.6737860000000002</v>
      </c>
      <c r="I4473">
        <v>98.375470000000007</v>
      </c>
      <c r="J4473">
        <v>-189.2022</v>
      </c>
      <c r="K4473">
        <v>1.10886</v>
      </c>
      <c r="L4473">
        <v>186.26249999999999</v>
      </c>
      <c r="M4473">
        <v>-5.4344749999999997E-2</v>
      </c>
      <c r="N4473">
        <v>0</v>
      </c>
      <c r="O4473">
        <v>-0.99849250000000001</v>
      </c>
      <c r="P4473">
        <v>-8.6526370000000005E-2</v>
      </c>
      <c r="Q4473">
        <v>4.3009779999999996E-3</v>
      </c>
      <c r="R4473">
        <v>-0.99624080000000004</v>
      </c>
      <c r="S4473">
        <v>-0.742813099999999</v>
      </c>
      <c r="T4473">
        <v>5.2405239999999999E-2</v>
      </c>
      <c r="U4473">
        <v>-2.9475560000000001</v>
      </c>
      <c r="V4473">
        <v>3.2268449999999997E-2</v>
      </c>
      <c r="W4473">
        <v>1.198961E-2</v>
      </c>
      <c r="X4473">
        <v>0.99940739999999995</v>
      </c>
      <c r="Y4473">
        <v>0.1912731</v>
      </c>
      <c r="Z4473">
        <v>-1.7302599999999901E-2</v>
      </c>
      <c r="AA4473">
        <v>0.98138429999999999</v>
      </c>
      <c r="AB4473">
        <v>14</v>
      </c>
      <c r="AC4473">
        <v>-22.1736</v>
      </c>
      <c r="AD4473">
        <v>1.564926</v>
      </c>
      <c r="AE4473">
        <v>-87.887029999999996</v>
      </c>
      <c r="AF4473">
        <v>17.359315621225502</v>
      </c>
      <c r="AG4473">
        <v>1.564926</v>
      </c>
      <c r="AH4473">
        <v>88.935689926573005</v>
      </c>
      <c r="AI4473">
        <v>89.010586546628502</v>
      </c>
      <c r="AJ4473">
        <v>78.955329833009998</v>
      </c>
      <c r="AK4473">
        <v>90.627544239808003</v>
      </c>
      <c r="AL4473">
        <v>89.313029542737596</v>
      </c>
      <c r="AM4473">
        <v>88.150700173557595</v>
      </c>
      <c r="AN4473">
        <v>1.0000000773940501</v>
      </c>
    </row>
    <row r="4474" spans="1:40" x14ac:dyDescent="0.25">
      <c r="A4474" t="str">
        <f>"20190312160732867"</f>
        <v>20190312160732867</v>
      </c>
      <c r="B4474" t="str">
        <f>"1552378052859923"</f>
        <v>1552378052859923</v>
      </c>
      <c r="C4474" t="s">
        <v>40</v>
      </c>
      <c r="D4474">
        <v>6.5274049999999999</v>
      </c>
      <c r="E4474">
        <v>0.56138279999999996</v>
      </c>
      <c r="F4474" t="s">
        <v>56</v>
      </c>
      <c r="G4474">
        <v>-211.51939999999999</v>
      </c>
      <c r="H4474">
        <v>2.3137300000000001</v>
      </c>
      <c r="I4474">
        <v>98.375470000000007</v>
      </c>
      <c r="J4474">
        <v>-189.21109999999999</v>
      </c>
      <c r="K4474">
        <v>1.1088499999999999</v>
      </c>
      <c r="L4474">
        <v>186.1242</v>
      </c>
      <c r="M4474">
        <v>-5.550687E-2</v>
      </c>
      <c r="N4474">
        <v>0</v>
      </c>
      <c r="O4474">
        <v>-0.99842900000000001</v>
      </c>
      <c r="P4474">
        <v>-8.8122359999999997E-2</v>
      </c>
      <c r="Q4474">
        <v>4.4461960000000003E-3</v>
      </c>
      <c r="R4474">
        <v>-0.99610010000000004</v>
      </c>
      <c r="S4474">
        <v>-0.74812319999999999</v>
      </c>
      <c r="T4474">
        <v>4.0390849999999999E-2</v>
      </c>
      <c r="U4474">
        <v>-2.946167</v>
      </c>
      <c r="V4474">
        <v>3.2706529999999998E-2</v>
      </c>
      <c r="W4474">
        <v>1.207972E-2</v>
      </c>
      <c r="X4474">
        <v>0.99939199999999995</v>
      </c>
      <c r="Y4474">
        <v>0.19191759999999999</v>
      </c>
      <c r="Z4474">
        <v>-1.3337689999999999E-2</v>
      </c>
      <c r="AA4474">
        <v>0.98132039999999998</v>
      </c>
      <c r="AB4474">
        <v>14</v>
      </c>
      <c r="AC4474">
        <v>-22.308299999999999</v>
      </c>
      <c r="AD4474">
        <v>1.20488</v>
      </c>
      <c r="AE4474">
        <v>-87.748729999999995</v>
      </c>
      <c r="AF4474">
        <v>17.4000240721527</v>
      </c>
      <c r="AG4474">
        <v>1.20488</v>
      </c>
      <c r="AH4474">
        <v>88.836008055662603</v>
      </c>
      <c r="AI4474">
        <v>89.237434805331901</v>
      </c>
      <c r="AJ4474">
        <v>78.917954451830894</v>
      </c>
      <c r="AK4474">
        <v>90.532032456979806</v>
      </c>
      <c r="AL4474">
        <v>89.307866195168401</v>
      </c>
      <c r="AM4474">
        <v>88.125582803921105</v>
      </c>
      <c r="AN4474">
        <v>1.00000000320195</v>
      </c>
    </row>
    <row r="4475" spans="1:40" x14ac:dyDescent="0.25">
      <c r="A4475" t="str">
        <f>"20190312160732890"</f>
        <v>20190312160732890</v>
      </c>
      <c r="B4475" t="str">
        <f>"1552378052879443"</f>
        <v>1552378052879443</v>
      </c>
      <c r="C4475" t="s">
        <v>40</v>
      </c>
      <c r="D4475">
        <v>6.5304960000000003</v>
      </c>
      <c r="E4475">
        <v>0.56207320000000005</v>
      </c>
      <c r="F4475" t="s">
        <v>56</v>
      </c>
      <c r="G4475">
        <v>-211.60810000000001</v>
      </c>
      <c r="H4475">
        <v>2.022805</v>
      </c>
      <c r="I4475">
        <v>98.375470000000007</v>
      </c>
      <c r="J4475">
        <v>-189.21979999999999</v>
      </c>
      <c r="K4475">
        <v>1.1088469999999999</v>
      </c>
      <c r="L4475">
        <v>185.98990000000001</v>
      </c>
      <c r="M4475">
        <v>-5.661397E-2</v>
      </c>
      <c r="N4475">
        <v>0</v>
      </c>
      <c r="O4475">
        <v>-0.99836720000000001</v>
      </c>
      <c r="P4475">
        <v>-8.9185799999999996E-2</v>
      </c>
      <c r="Q4475">
        <v>3.7142859999999998E-3</v>
      </c>
      <c r="R4475">
        <v>-0.99600840000000002</v>
      </c>
      <c r="S4475">
        <v>-0.75170899999999996</v>
      </c>
      <c r="T4475">
        <v>3.0675890000000001E-2</v>
      </c>
      <c r="U4475">
        <v>-2.9450989999999999</v>
      </c>
      <c r="V4475">
        <v>3.2664360000000003E-2</v>
      </c>
      <c r="W4475">
        <v>1.1296809999999999E-2</v>
      </c>
      <c r="X4475">
        <v>0.99940249999999997</v>
      </c>
      <c r="Y4475">
        <v>0.19204560000000001</v>
      </c>
      <c r="Z4475">
        <v>-1.0131029999999999E-2</v>
      </c>
      <c r="AA4475">
        <v>0.98133369999999998</v>
      </c>
      <c r="AB4475">
        <v>14</v>
      </c>
      <c r="AC4475">
        <v>-22.388300000000001</v>
      </c>
      <c r="AD4475">
        <v>0.91395800000000005</v>
      </c>
      <c r="AE4475">
        <v>-87.614429999999999</v>
      </c>
      <c r="AF4475">
        <v>17.390269858761801</v>
      </c>
      <c r="AG4475">
        <v>0.91395800000000005</v>
      </c>
      <c r="AH4475">
        <v>88.732364179294606</v>
      </c>
      <c r="AI4475">
        <v>89.420881392818899</v>
      </c>
      <c r="AJ4475">
        <v>78.911396375061003</v>
      </c>
      <c r="AK4475">
        <v>90.425047734758095</v>
      </c>
      <c r="AL4475">
        <v>89.352726676334299</v>
      </c>
      <c r="AM4475">
        <v>88.128017507413603</v>
      </c>
      <c r="AN4475">
        <v>0.999999967668317</v>
      </c>
    </row>
    <row r="4476" spans="1:40" x14ac:dyDescent="0.25">
      <c r="A4476" t="str">
        <f>"20190312160732911"</f>
        <v>20190312160732911</v>
      </c>
      <c r="B4476" t="str">
        <f>"1552378052899939"</f>
        <v>1552378052899939</v>
      </c>
      <c r="C4476" t="s">
        <v>40</v>
      </c>
      <c r="D4476">
        <v>6.1197530000000002</v>
      </c>
      <c r="E4476">
        <v>0.56259669999999995</v>
      </c>
      <c r="F4476" t="s">
        <v>56</v>
      </c>
      <c r="G4476">
        <v>-211.84610000000001</v>
      </c>
      <c r="H4476">
        <v>2.07891</v>
      </c>
      <c r="I4476">
        <v>98.375470000000007</v>
      </c>
      <c r="J4476">
        <v>-189.22890000000001</v>
      </c>
      <c r="K4476">
        <v>1.1088439999999999</v>
      </c>
      <c r="L4476">
        <v>185.8535</v>
      </c>
      <c r="M4476">
        <v>-5.7718800000000001E-2</v>
      </c>
      <c r="N4476">
        <v>0</v>
      </c>
      <c r="O4476">
        <v>-0.99830430000000003</v>
      </c>
      <c r="P4476">
        <v>-8.9820579999999997E-2</v>
      </c>
      <c r="Q4476">
        <v>3.484207E-3</v>
      </c>
      <c r="R4476">
        <v>-0.99595210000000001</v>
      </c>
      <c r="S4476">
        <v>-0.76023859999999999</v>
      </c>
      <c r="T4476">
        <v>3.2594919999999999E-2</v>
      </c>
      <c r="U4476">
        <v>-2.943832</v>
      </c>
      <c r="V4476">
        <v>3.2194929999999997E-2</v>
      </c>
      <c r="W4476">
        <v>1.102122E-2</v>
      </c>
      <c r="X4476">
        <v>0.9994208</v>
      </c>
      <c r="Y4476">
        <v>0.19372629999999999</v>
      </c>
      <c r="Z4476">
        <v>-1.0762580000000001E-2</v>
      </c>
      <c r="AA4476">
        <v>0.9809966</v>
      </c>
      <c r="AB4476">
        <v>14</v>
      </c>
      <c r="AC4476">
        <v>-22.6172</v>
      </c>
      <c r="AD4476">
        <v>0.97006599999999998</v>
      </c>
      <c r="AE4476">
        <v>-87.478030000000004</v>
      </c>
      <c r="AF4476">
        <v>17.528200869880799</v>
      </c>
      <c r="AG4476">
        <v>0.97006599999999998</v>
      </c>
      <c r="AH4476">
        <v>88.627444463066396</v>
      </c>
      <c r="AI4476">
        <v>89.384812803275693</v>
      </c>
      <c r="AJ4476">
        <v>78.812756935744702</v>
      </c>
      <c r="AK4476">
        <v>90.349337384582697</v>
      </c>
      <c r="AL4476">
        <v>89.368517797968593</v>
      </c>
      <c r="AM4476">
        <v>88.154935399026698</v>
      </c>
      <c r="AN4476">
        <v>0.99999995814031495</v>
      </c>
    </row>
    <row r="4477" spans="1:40" x14ac:dyDescent="0.25">
      <c r="A4477" t="str">
        <f>"20190312160732935"</f>
        <v>20190312160732935</v>
      </c>
      <c r="B4477" t="str">
        <f>"1552378052930195"</f>
        <v>1552378052930195</v>
      </c>
      <c r="C4477" t="s">
        <v>40</v>
      </c>
      <c r="D4477">
        <v>6.4587690000000002</v>
      </c>
      <c r="E4477">
        <v>0.56340009999999996</v>
      </c>
      <c r="F4477" t="s">
        <v>56</v>
      </c>
      <c r="G4477">
        <v>-212.005</v>
      </c>
      <c r="H4477">
        <v>2.0075400000000001</v>
      </c>
      <c r="I4477">
        <v>98.375470000000007</v>
      </c>
      <c r="J4477">
        <v>-189.23859999999999</v>
      </c>
      <c r="K4477">
        <v>1.1088389999999999</v>
      </c>
      <c r="L4477">
        <v>185.70939999999999</v>
      </c>
      <c r="M4477">
        <v>-5.8867410000000002E-2</v>
      </c>
      <c r="N4477">
        <v>0</v>
      </c>
      <c r="O4477">
        <v>-0.99823759999999995</v>
      </c>
      <c r="P4477">
        <v>-9.0397089999999999E-2</v>
      </c>
      <c r="Q4477">
        <v>3.5570089999999999E-3</v>
      </c>
      <c r="R4477">
        <v>-0.99589970000000005</v>
      </c>
      <c r="S4477">
        <v>-0.766250599999999</v>
      </c>
      <c r="T4477">
        <v>3.0235410000000001E-2</v>
      </c>
      <c r="U4477">
        <v>-2.942993</v>
      </c>
      <c r="V4477">
        <v>3.1623510000000001E-2</v>
      </c>
      <c r="W4477">
        <v>1.1050300000000001E-2</v>
      </c>
      <c r="X4477">
        <v>0.99943879999999996</v>
      </c>
      <c r="Y4477">
        <v>0.19454479999999999</v>
      </c>
      <c r="Z4477">
        <v>-9.9819780000000007E-3</v>
      </c>
      <c r="AA4477">
        <v>0.98084280000000001</v>
      </c>
      <c r="AB4477">
        <v>14</v>
      </c>
      <c r="AC4477">
        <v>-22.766400000000001</v>
      </c>
      <c r="AD4477">
        <v>0.89870099999999997</v>
      </c>
      <c r="AE4477">
        <v>-87.333929999999995</v>
      </c>
      <c r="AF4477">
        <v>17.583905949447299</v>
      </c>
      <c r="AG4477">
        <v>0.89870099999999997</v>
      </c>
      <c r="AH4477">
        <v>88.513928073547604</v>
      </c>
      <c r="AI4477">
        <v>89.429432488082497</v>
      </c>
      <c r="AJ4477">
        <v>78.764078683293903</v>
      </c>
      <c r="AK4477">
        <v>90.2480851593848</v>
      </c>
      <c r="AL4477">
        <v>89.3668515839734</v>
      </c>
      <c r="AM4477">
        <v>88.187693585342004</v>
      </c>
      <c r="AN4477">
        <v>1.0000000352301199</v>
      </c>
    </row>
    <row r="4478" spans="1:40" x14ac:dyDescent="0.25">
      <c r="A4478" t="str">
        <f>"20190312160732956"</f>
        <v>20190312160732956</v>
      </c>
      <c r="B4478" t="str">
        <f>"1552378052949715"</f>
        <v>1552378052949715</v>
      </c>
      <c r="C4478" t="s">
        <v>40</v>
      </c>
      <c r="D4478">
        <v>6.4022699999999997</v>
      </c>
      <c r="E4478">
        <v>0.56365790000000005</v>
      </c>
      <c r="F4478" t="s">
        <v>56</v>
      </c>
      <c r="G4478">
        <v>-212.22329999999999</v>
      </c>
      <c r="H4478">
        <v>2.1102180000000001</v>
      </c>
      <c r="I4478">
        <v>98.375470000000007</v>
      </c>
      <c r="J4478">
        <v>-189.24809999999999</v>
      </c>
      <c r="K4478">
        <v>1.108835</v>
      </c>
      <c r="L4478">
        <v>185.5694</v>
      </c>
      <c r="M4478">
        <v>-5.9965900000000003E-2</v>
      </c>
      <c r="N4478">
        <v>0</v>
      </c>
      <c r="O4478">
        <v>-0.99817259999999997</v>
      </c>
      <c r="P4478">
        <v>-9.0594060000000004E-2</v>
      </c>
      <c r="Q4478">
        <v>3.280598E-3</v>
      </c>
      <c r="R4478">
        <v>-0.99588290000000002</v>
      </c>
      <c r="S4478">
        <v>-0.77427669999999904</v>
      </c>
      <c r="T4478">
        <v>3.3733840000000001E-2</v>
      </c>
      <c r="U4478">
        <v>-2.9419710000000001</v>
      </c>
      <c r="V4478">
        <v>3.0720899999999999E-2</v>
      </c>
      <c r="W4478">
        <v>1.073704E-2</v>
      </c>
      <c r="X4478">
        <v>0.99947039999999998</v>
      </c>
      <c r="Y4478">
        <v>0.19604949999999999</v>
      </c>
      <c r="Z4478">
        <v>-1.113399E-2</v>
      </c>
      <c r="AA4478">
        <v>0.98053080000000004</v>
      </c>
      <c r="AB4478">
        <v>14</v>
      </c>
      <c r="AC4478">
        <v>-22.975200000000001</v>
      </c>
      <c r="AD4478">
        <v>1.0013829999999999</v>
      </c>
      <c r="AE4478">
        <v>-87.193929999999995</v>
      </c>
      <c r="AF4478">
        <v>17.7028610812384</v>
      </c>
      <c r="AG4478">
        <v>1.0013829999999999</v>
      </c>
      <c r="AH4478">
        <v>88.403873153594802</v>
      </c>
      <c r="AI4478">
        <v>89.363649852831102</v>
      </c>
      <c r="AJ4478">
        <v>78.676304210863094</v>
      </c>
      <c r="AK4478">
        <v>90.164509907896701</v>
      </c>
      <c r="AL4478">
        <v>89.384801145228394</v>
      </c>
      <c r="AM4478">
        <v>88.239443706051404</v>
      </c>
      <c r="AN4478">
        <v>1.00000006910046</v>
      </c>
    </row>
    <row r="4479" spans="1:40" x14ac:dyDescent="0.25">
      <c r="A4479" t="str">
        <f>"20190312160732979"</f>
        <v>20190312160732979</v>
      </c>
      <c r="B4479" t="str">
        <f>"1552378052970215"</f>
        <v>1552378052970215</v>
      </c>
      <c r="C4479" t="s">
        <v>40</v>
      </c>
      <c r="D4479">
        <v>6.3090010000000003</v>
      </c>
      <c r="E4479">
        <v>0.56386389999999997</v>
      </c>
      <c r="F4479" t="s">
        <v>56</v>
      </c>
      <c r="G4479">
        <v>-212.27109999999999</v>
      </c>
      <c r="H4479">
        <v>2.1777090000000001</v>
      </c>
      <c r="I4479">
        <v>98.375470000000007</v>
      </c>
      <c r="J4479">
        <v>-189.25819999999999</v>
      </c>
      <c r="K4479">
        <v>1.1088209999999901</v>
      </c>
      <c r="L4479">
        <v>185.42320000000001</v>
      </c>
      <c r="M4479">
        <v>-6.1099899999999999E-2</v>
      </c>
      <c r="N4479">
        <v>0</v>
      </c>
      <c r="O4479">
        <v>-0.99810370000000004</v>
      </c>
      <c r="P4479">
        <v>-9.1430659999999997E-2</v>
      </c>
      <c r="Q4479">
        <v>3.3819929999999998E-3</v>
      </c>
      <c r="R4479">
        <v>-0.99580550000000001</v>
      </c>
      <c r="S4479">
        <v>-0.77671809999999997</v>
      </c>
      <c r="T4479">
        <v>3.6061049999999997E-2</v>
      </c>
      <c r="U4479">
        <v>-2.9416199999999999</v>
      </c>
      <c r="V4479">
        <v>3.0425210000000001E-2</v>
      </c>
      <c r="W4479">
        <v>1.0804269999999999E-2</v>
      </c>
      <c r="X4479">
        <v>0.99947859999999999</v>
      </c>
      <c r="Y4479">
        <v>0.19572290000000001</v>
      </c>
      <c r="Z4479">
        <v>-1.190128E-2</v>
      </c>
      <c r="AA4479">
        <v>0.98058699999999999</v>
      </c>
      <c r="AB4479">
        <v>14</v>
      </c>
      <c r="AC4479">
        <v>-23.012899999999998</v>
      </c>
      <c r="AD4479">
        <v>1.0688880000000001</v>
      </c>
      <c r="AE4479">
        <v>-87.047730000000001</v>
      </c>
      <c r="AF4479">
        <v>17.648658308353799</v>
      </c>
      <c r="AG4479">
        <v>1.0688880000000001</v>
      </c>
      <c r="AH4479">
        <v>88.2787696126735</v>
      </c>
      <c r="AI4479">
        <v>89.319750552240606</v>
      </c>
      <c r="AJ4479">
        <v>78.694495751461702</v>
      </c>
      <c r="AK4479">
        <v>90.031987793056402</v>
      </c>
      <c r="AL4479">
        <v>89.380948852286195</v>
      </c>
      <c r="AM4479">
        <v>88.256392922374602</v>
      </c>
      <c r="AN4479">
        <v>0.99999994875586695</v>
      </c>
    </row>
    <row r="4480" spans="1:40" x14ac:dyDescent="0.25">
      <c r="A4480" t="str">
        <f>"20190312160733002"</f>
        <v>20190312160733002</v>
      </c>
      <c r="B4480" t="str">
        <f>"1552378052989731"</f>
        <v>1552378052989731</v>
      </c>
      <c r="C4480" t="s">
        <v>40</v>
      </c>
      <c r="D4480">
        <v>6.299785</v>
      </c>
      <c r="E4480">
        <v>0.56394069999999996</v>
      </c>
      <c r="F4480" t="s">
        <v>56</v>
      </c>
      <c r="G4480">
        <v>-212.3674</v>
      </c>
      <c r="H4480">
        <v>2.287188</v>
      </c>
      <c r="I4480">
        <v>98.375470000000007</v>
      </c>
      <c r="J4480">
        <v>-189.268</v>
      </c>
      <c r="K4480">
        <v>1.1088129999999901</v>
      </c>
      <c r="L4480">
        <v>185.28299999999999</v>
      </c>
      <c r="M4480">
        <v>-6.2178810000000001E-2</v>
      </c>
      <c r="N4480">
        <v>0</v>
      </c>
      <c r="O4480">
        <v>-0.99803759999999997</v>
      </c>
      <c r="P4480">
        <v>-9.2848440000000004E-2</v>
      </c>
      <c r="Q4480">
        <v>3.0606790000000002E-3</v>
      </c>
      <c r="R4480">
        <v>-0.99567589999999995</v>
      </c>
      <c r="S4480">
        <v>-0.78071590000000002</v>
      </c>
      <c r="T4480">
        <v>3.9810539999999998E-2</v>
      </c>
      <c r="U4480">
        <v>-2.9407960000000002</v>
      </c>
      <c r="V4480">
        <v>3.0767619999999999E-2</v>
      </c>
      <c r="W4480">
        <v>1.0452380000000001E-2</v>
      </c>
      <c r="X4480">
        <v>0.99947189999999997</v>
      </c>
      <c r="Y4480">
        <v>0.19597229999999999</v>
      </c>
      <c r="Z4480">
        <v>-1.3138169999999999E-2</v>
      </c>
      <c r="AA4480">
        <v>0.98052139999999999</v>
      </c>
      <c r="AB4480">
        <v>14</v>
      </c>
      <c r="AC4480">
        <v>-23.099399999999999</v>
      </c>
      <c r="AD4480">
        <v>1.178375</v>
      </c>
      <c r="AE4480">
        <v>-86.907529999999994</v>
      </c>
      <c r="AF4480">
        <v>17.647715725236701</v>
      </c>
      <c r="AG4480">
        <v>1.178375</v>
      </c>
      <c r="AH4480">
        <v>88.160551045282006</v>
      </c>
      <c r="AI4480">
        <v>89.249111363339594</v>
      </c>
      <c r="AJ4480">
        <v>78.680315870541804</v>
      </c>
      <c r="AK4480">
        <v>89.917257512488504</v>
      </c>
      <c r="AL4480">
        <v>89.401111828101307</v>
      </c>
      <c r="AM4480">
        <v>88.236770605213593</v>
      </c>
      <c r="AN4480">
        <v>0.99999998878886898</v>
      </c>
    </row>
    <row r="4481" spans="1:40" x14ac:dyDescent="0.25">
      <c r="A4481" t="str">
        <f>"20190312160733024"</f>
        <v>20190312160733024</v>
      </c>
      <c r="B4481" t="str">
        <f>"1552378053019987"</f>
        <v>1552378053019987</v>
      </c>
      <c r="C4481" t="s">
        <v>40</v>
      </c>
      <c r="D4481">
        <v>6.2587289999999998</v>
      </c>
      <c r="E4481">
        <v>0.56419249999999999</v>
      </c>
      <c r="F4481" t="s">
        <v>56</v>
      </c>
      <c r="G4481">
        <v>-212.49469999999999</v>
      </c>
      <c r="H4481">
        <v>2.3577650000000001</v>
      </c>
      <c r="I4481">
        <v>98.375470000000007</v>
      </c>
      <c r="J4481">
        <v>-189.2784</v>
      </c>
      <c r="K4481">
        <v>1.108806</v>
      </c>
      <c r="L4481">
        <v>185.13749999999999</v>
      </c>
      <c r="M4481">
        <v>-6.3291299999999995E-2</v>
      </c>
      <c r="N4481">
        <v>0</v>
      </c>
      <c r="O4481">
        <v>-0.99796779999999996</v>
      </c>
      <c r="P4481">
        <v>-9.4366320000000004E-2</v>
      </c>
      <c r="Q4481">
        <v>2.8716599999999998E-3</v>
      </c>
      <c r="R4481">
        <v>-0.99553349999999996</v>
      </c>
      <c r="S4481">
        <v>-0.78564449999999997</v>
      </c>
      <c r="T4481">
        <v>4.2246819999999997E-2</v>
      </c>
      <c r="U4481">
        <v>-2.939651</v>
      </c>
      <c r="V4481">
        <v>3.1177219999999999E-2</v>
      </c>
      <c r="W4481">
        <v>1.023019E-2</v>
      </c>
      <c r="X4481">
        <v>0.9994615</v>
      </c>
      <c r="Y4481">
        <v>0.19650599999999999</v>
      </c>
      <c r="Z4481">
        <v>-1.3942090000000001E-2</v>
      </c>
      <c r="AA4481">
        <v>0.98040349999999998</v>
      </c>
      <c r="AB4481">
        <v>14</v>
      </c>
      <c r="AC4481">
        <v>-23.216299999999901</v>
      </c>
      <c r="AD4481">
        <v>1.2489589999999999</v>
      </c>
      <c r="AE4481">
        <v>-86.762029999999996</v>
      </c>
      <c r="AF4481">
        <v>17.674901835244398</v>
      </c>
      <c r="AG4481">
        <v>1.2489589999999999</v>
      </c>
      <c r="AH4481">
        <v>88.040475850981096</v>
      </c>
      <c r="AI4481">
        <v>89.203143215058304</v>
      </c>
      <c r="AJ4481">
        <v>78.648268779572803</v>
      </c>
      <c r="AK4481">
        <v>89.805831890453504</v>
      </c>
      <c r="AL4481">
        <v>89.413843054844094</v>
      </c>
      <c r="AM4481">
        <v>88.213293801600102</v>
      </c>
      <c r="AN4481">
        <v>0.99999998290830705</v>
      </c>
    </row>
    <row r="4482" spans="1:40" x14ac:dyDescent="0.25">
      <c r="A4482" t="str">
        <f>"20190312160733046"</f>
        <v>20190312160733046</v>
      </c>
      <c r="B4482" t="str">
        <f>"1552378053039511"</f>
        <v>1552378053039511</v>
      </c>
      <c r="C4482" t="s">
        <v>40</v>
      </c>
      <c r="D4482">
        <v>6.3063520000000004</v>
      </c>
      <c r="E4482">
        <v>0.56426229999999999</v>
      </c>
      <c r="F4482" t="s">
        <v>56</v>
      </c>
      <c r="G4482">
        <v>-212.6627</v>
      </c>
      <c r="H4482">
        <v>2.4720840000000002</v>
      </c>
      <c r="I4482">
        <v>98.375470000000007</v>
      </c>
      <c r="J4482">
        <v>-189.28880000000001</v>
      </c>
      <c r="K4482">
        <v>1.1087990000000001</v>
      </c>
      <c r="L4482">
        <v>184.994</v>
      </c>
      <c r="M4482">
        <v>-6.4382140000000004E-2</v>
      </c>
      <c r="N4482">
        <v>0</v>
      </c>
      <c r="O4482">
        <v>-0.99789830000000002</v>
      </c>
      <c r="P4482">
        <v>-9.5680490000000007E-2</v>
      </c>
      <c r="Q4482">
        <v>3.2776749999999999E-3</v>
      </c>
      <c r="R4482">
        <v>-0.99540669999999998</v>
      </c>
      <c r="S4482">
        <v>-0.79193119999999995</v>
      </c>
      <c r="T4482">
        <v>4.6169639999999998E-2</v>
      </c>
      <c r="U4482">
        <v>-2.9382779999999999</v>
      </c>
      <c r="V4482">
        <v>3.1404840000000003E-2</v>
      </c>
      <c r="W4482">
        <v>1.060258E-2</v>
      </c>
      <c r="X4482">
        <v>0.99945050000000002</v>
      </c>
      <c r="Y4482">
        <v>0.19750010000000001</v>
      </c>
      <c r="Z4482">
        <v>-1.523596E-2</v>
      </c>
      <c r="AA4482">
        <v>0.98018439999999996</v>
      </c>
      <c r="AB4482">
        <v>14</v>
      </c>
      <c r="AC4482">
        <v>-23.3738999999999</v>
      </c>
      <c r="AD4482">
        <v>1.3632850000000001</v>
      </c>
      <c r="AE4482">
        <v>-86.618530000000007</v>
      </c>
      <c r="AF4482">
        <v>17.744470069939901</v>
      </c>
      <c r="AG4482">
        <v>1.3632850000000001</v>
      </c>
      <c r="AH4482">
        <v>87.923415069870302</v>
      </c>
      <c r="AI4482">
        <v>89.129232492722295</v>
      </c>
      <c r="AJ4482">
        <v>78.589981339162193</v>
      </c>
      <c r="AK4482">
        <v>89.706475137544601</v>
      </c>
      <c r="AL4482">
        <v>89.392505525918295</v>
      </c>
      <c r="AM4482">
        <v>88.200238092175994</v>
      </c>
      <c r="AN4482">
        <v>0.99999999031416598</v>
      </c>
    </row>
    <row r="4483" spans="1:40" x14ac:dyDescent="0.25">
      <c r="A4483" t="str">
        <f>"20190312160733068"</f>
        <v>20190312160733068</v>
      </c>
      <c r="B4483" t="str">
        <f>"1552378053060003"</f>
        <v>1552378053060003</v>
      </c>
      <c r="C4483" t="s">
        <v>40</v>
      </c>
      <c r="D4483">
        <v>6.2724719999999996</v>
      </c>
      <c r="E4483">
        <v>0.56436200000000003</v>
      </c>
      <c r="F4483" t="s">
        <v>56</v>
      </c>
      <c r="G4483">
        <v>-212.7688</v>
      </c>
      <c r="H4483">
        <v>2.4921250000000001</v>
      </c>
      <c r="I4483">
        <v>98.375470000000007</v>
      </c>
      <c r="J4483">
        <v>-189.29939999999999</v>
      </c>
      <c r="K4483">
        <v>1.108786</v>
      </c>
      <c r="L4483">
        <v>184.84889999999999</v>
      </c>
      <c r="M4483">
        <v>-6.5482209999999999E-2</v>
      </c>
      <c r="N4483">
        <v>0</v>
      </c>
      <c r="O4483">
        <v>-0.99782680000000001</v>
      </c>
      <c r="P4483">
        <v>-9.6593600000000002E-2</v>
      </c>
      <c r="Q4483">
        <v>3.5293579999999998E-3</v>
      </c>
      <c r="R4483">
        <v>-0.99531749999999997</v>
      </c>
      <c r="S4483">
        <v>-0.79618840000000002</v>
      </c>
      <c r="T4483">
        <v>4.690838E-2</v>
      </c>
      <c r="U4483">
        <v>-2.9371640000000001</v>
      </c>
      <c r="V4483">
        <v>3.1220370000000001E-2</v>
      </c>
      <c r="W4483">
        <v>1.0821910000000001E-2</v>
      </c>
      <c r="X4483">
        <v>0.99945399999999995</v>
      </c>
      <c r="Y4483">
        <v>0.19783580000000001</v>
      </c>
      <c r="Z4483">
        <v>-1.5480270000000001E-2</v>
      </c>
      <c r="AA4483">
        <v>0.98011289999999995</v>
      </c>
      <c r="AB4483">
        <v>14</v>
      </c>
      <c r="AC4483">
        <v>-23.4694</v>
      </c>
      <c r="AD4483">
        <v>1.3833389999999901</v>
      </c>
      <c r="AE4483">
        <v>-86.473429999999993</v>
      </c>
      <c r="AF4483">
        <v>17.7521709502502</v>
      </c>
      <c r="AG4483">
        <v>1.3833389999999901</v>
      </c>
      <c r="AH4483">
        <v>87.803766281601298</v>
      </c>
      <c r="AI4483">
        <v>89.115283900515706</v>
      </c>
      <c r="AJ4483">
        <v>78.570013824243404</v>
      </c>
      <c r="AK4483">
        <v>89.591040698665296</v>
      </c>
      <c r="AL4483">
        <v>89.379938165612899</v>
      </c>
      <c r="AM4483">
        <v>88.210809147229597</v>
      </c>
      <c r="AN4483">
        <v>1.00000006167749</v>
      </c>
    </row>
    <row r="4484" spans="1:40" x14ac:dyDescent="0.25">
      <c r="A4484" t="str">
        <f>"20190312160733090"</f>
        <v>20190312160733090</v>
      </c>
      <c r="B4484" t="str">
        <f>"1552378053079523"</f>
        <v>1552378053079523</v>
      </c>
      <c r="C4484" t="s">
        <v>40</v>
      </c>
      <c r="D4484">
        <v>6.2709390000000003</v>
      </c>
      <c r="E4484">
        <v>0.5644015</v>
      </c>
      <c r="F4484" t="s">
        <v>56</v>
      </c>
      <c r="G4484">
        <v>-212.8493</v>
      </c>
      <c r="H4484">
        <v>2.55389</v>
      </c>
      <c r="I4484">
        <v>98.375470000000007</v>
      </c>
      <c r="J4484">
        <v>-189.3098</v>
      </c>
      <c r="K4484">
        <v>1.108768</v>
      </c>
      <c r="L4484">
        <v>184.70939999999999</v>
      </c>
      <c r="M4484">
        <v>-6.6538479999999997E-2</v>
      </c>
      <c r="N4484">
        <v>0</v>
      </c>
      <c r="O4484">
        <v>-0.99775740000000002</v>
      </c>
      <c r="P4484">
        <v>-9.7342919999999999E-2</v>
      </c>
      <c r="Q4484">
        <v>3.0866240000000001E-3</v>
      </c>
      <c r="R4484">
        <v>-0.99524630000000003</v>
      </c>
      <c r="S4484">
        <v>-0.79966740000000003</v>
      </c>
      <c r="T4484">
        <v>4.9071190000000001E-2</v>
      </c>
      <c r="U4484">
        <v>-2.9363100000000002</v>
      </c>
      <c r="V4484">
        <v>3.091439E-2</v>
      </c>
      <c r="W4484">
        <v>1.035082E-2</v>
      </c>
      <c r="X4484">
        <v>0.99946840000000003</v>
      </c>
      <c r="Y4484">
        <v>0.1979486</v>
      </c>
      <c r="Z4484">
        <v>-1.619402E-2</v>
      </c>
      <c r="AA4484">
        <v>0.98007860000000002</v>
      </c>
      <c r="AB4484">
        <v>14</v>
      </c>
      <c r="AC4484">
        <v>-23.5395</v>
      </c>
      <c r="AD4484">
        <v>1.445122</v>
      </c>
      <c r="AE4484">
        <v>-86.333929999999995</v>
      </c>
      <c r="AF4484">
        <v>17.738024232756501</v>
      </c>
      <c r="AG4484">
        <v>1.445122</v>
      </c>
      <c r="AH4484">
        <v>87.686047373496507</v>
      </c>
      <c r="AI4484">
        <v>89.074556451456402</v>
      </c>
      <c r="AJ4484">
        <v>78.563953759411007</v>
      </c>
      <c r="AK4484">
        <v>89.473844140417995</v>
      </c>
      <c r="AL4484">
        <v>89.406931085742897</v>
      </c>
      <c r="AM4484">
        <v>88.228358664023304</v>
      </c>
      <c r="AN4484">
        <v>0.99999996079115105</v>
      </c>
    </row>
    <row r="4485" spans="1:40" x14ac:dyDescent="0.25">
      <c r="A4485" t="str">
        <f>"20190312160733112"</f>
        <v>20190312160733112</v>
      </c>
      <c r="B4485" t="str">
        <f>"1552378053109779"</f>
        <v>1552378053109779</v>
      </c>
      <c r="C4485" t="s">
        <v>40</v>
      </c>
      <c r="D4485">
        <v>6.4274870000000002</v>
      </c>
      <c r="E4485">
        <v>0.56438489999999997</v>
      </c>
      <c r="F4485" t="s">
        <v>56</v>
      </c>
      <c r="G4485">
        <v>-212.9032</v>
      </c>
      <c r="H4485">
        <v>2.5208840000000001</v>
      </c>
      <c r="I4485">
        <v>98.375470000000007</v>
      </c>
      <c r="J4485">
        <v>-189.321</v>
      </c>
      <c r="K4485">
        <v>1.108762</v>
      </c>
      <c r="L4485">
        <v>184.56139999999999</v>
      </c>
      <c r="M4485">
        <v>-6.7659259999999999E-2</v>
      </c>
      <c r="N4485">
        <v>0</v>
      </c>
      <c r="O4485">
        <v>-0.99768219999999996</v>
      </c>
      <c r="P4485">
        <v>-9.8564440000000003E-2</v>
      </c>
      <c r="Q4485">
        <v>2.7486889999999999E-3</v>
      </c>
      <c r="R4485">
        <v>-0.99512719999999999</v>
      </c>
      <c r="S4485">
        <v>-0.80227660000000001</v>
      </c>
      <c r="T4485">
        <v>4.8018810000000002E-2</v>
      </c>
      <c r="U4485">
        <v>-2.9357150000000001</v>
      </c>
      <c r="V4485">
        <v>3.1018170000000001E-2</v>
      </c>
      <c r="W4485">
        <v>9.9836769999999998E-3</v>
      </c>
      <c r="X4485">
        <v>0.99946900000000005</v>
      </c>
      <c r="Y4485">
        <v>0.1977101</v>
      </c>
      <c r="Z4485">
        <v>-1.584667E-2</v>
      </c>
      <c r="AA4485">
        <v>0.98013249999999996</v>
      </c>
      <c r="AB4485">
        <v>15</v>
      </c>
      <c r="AC4485">
        <v>-23.5822</v>
      </c>
      <c r="AD4485">
        <v>1.4121219999999901</v>
      </c>
      <c r="AE4485">
        <v>-86.185929999999999</v>
      </c>
      <c r="AF4485">
        <v>17.692310286837799</v>
      </c>
      <c r="AG4485">
        <v>1.4121219999999901</v>
      </c>
      <c r="AH4485">
        <v>87.562150270793197</v>
      </c>
      <c r="AI4485">
        <v>89.094364978907606</v>
      </c>
      <c r="AJ4485">
        <v>78.576935852184903</v>
      </c>
      <c r="AK4485">
        <v>89.342834586068506</v>
      </c>
      <c r="AL4485">
        <v>89.427967964477403</v>
      </c>
      <c r="AM4485">
        <v>88.222416117263506</v>
      </c>
      <c r="AN4485">
        <v>1.0000000413187899</v>
      </c>
    </row>
    <row r="4486" spans="1:40" x14ac:dyDescent="0.25">
      <c r="A4486" t="str">
        <f>"20190312160733136"</f>
        <v>20190312160733136</v>
      </c>
      <c r="B4486" t="str">
        <f>"1552378053130276"</f>
        <v>1552378053130276</v>
      </c>
      <c r="C4486" t="s">
        <v>40</v>
      </c>
      <c r="D4486">
        <v>5.9651209999999999</v>
      </c>
      <c r="E4486">
        <v>0.49064229999999998</v>
      </c>
      <c r="F4486" t="s">
        <v>56</v>
      </c>
      <c r="G4486">
        <v>-212.98249999999999</v>
      </c>
      <c r="H4486">
        <v>2.551628</v>
      </c>
      <c r="I4486">
        <v>98.375470000000007</v>
      </c>
      <c r="J4486">
        <v>-189.33250000000001</v>
      </c>
      <c r="K4486">
        <v>1.1087480000000001</v>
      </c>
      <c r="L4486">
        <v>184.41149999999999</v>
      </c>
      <c r="M4486">
        <v>-6.8795490000000001E-2</v>
      </c>
      <c r="N4486">
        <v>0</v>
      </c>
      <c r="O4486">
        <v>-0.99760470000000001</v>
      </c>
      <c r="P4486">
        <v>-9.9399070000000006E-2</v>
      </c>
      <c r="Q4486">
        <v>3.2410569999999999E-3</v>
      </c>
      <c r="R4486">
        <v>-0.99504269999999995</v>
      </c>
      <c r="S4486">
        <v>-0.80570980000000003</v>
      </c>
      <c r="T4486">
        <v>4.9132589999999997E-2</v>
      </c>
      <c r="U4486">
        <v>-2.9347530000000002</v>
      </c>
      <c r="V4486">
        <v>3.071898E-2</v>
      </c>
      <c r="W4486">
        <v>1.0444749999999999E-2</v>
      </c>
      <c r="X4486">
        <v>0.99947350000000001</v>
      </c>
      <c r="Y4486">
        <v>0.19774030000000001</v>
      </c>
      <c r="Z4486">
        <v>-1.621483E-2</v>
      </c>
      <c r="AA4486">
        <v>0.98012030000000006</v>
      </c>
      <c r="AB4486">
        <v>15</v>
      </c>
      <c r="AC4486">
        <v>-23.649999999999899</v>
      </c>
      <c r="AD4486">
        <v>1.4428799999999999</v>
      </c>
      <c r="AE4486">
        <v>-86.036029999999997</v>
      </c>
      <c r="AF4486">
        <v>17.670299542674599</v>
      </c>
      <c r="AG4486">
        <v>1.4428799999999999</v>
      </c>
      <c r="AH4486">
        <v>87.436372863358002</v>
      </c>
      <c r="AI4486">
        <v>89.0733184742069</v>
      </c>
      <c r="AJ4486">
        <v>78.574793322505201</v>
      </c>
      <c r="AK4486">
        <v>89.215697543215001</v>
      </c>
      <c r="AL4486">
        <v>89.401549033180103</v>
      </c>
      <c r="AM4486">
        <v>88.239559125178701</v>
      </c>
      <c r="AN4486">
        <v>1.00000001286852</v>
      </c>
    </row>
    <row r="4487" spans="1:40" x14ac:dyDescent="0.25">
      <c r="A4487" t="str">
        <f>"20190312160733158"</f>
        <v>20190312160733158</v>
      </c>
      <c r="B4487" t="str">
        <f>"1552378053149810"</f>
        <v>1552378053149810</v>
      </c>
      <c r="C4487" t="s">
        <v>40</v>
      </c>
      <c r="D4487">
        <v>6.2044569999999997</v>
      </c>
      <c r="E4487">
        <v>0.47291420000000001</v>
      </c>
      <c r="F4487" t="s">
        <v>54</v>
      </c>
      <c r="G4487">
        <v>-209.26679999999999</v>
      </c>
      <c r="H4487">
        <v>1.4186289999999999</v>
      </c>
      <c r="I4487">
        <v>-81.815640000000002</v>
      </c>
      <c r="J4487">
        <v>-189.34440000000001</v>
      </c>
      <c r="K4487">
        <v>1.1087309999999999</v>
      </c>
      <c r="L4487">
        <v>184.25839999999999</v>
      </c>
      <c r="M4487">
        <v>-6.9957489999999997E-2</v>
      </c>
      <c r="N4487">
        <v>0</v>
      </c>
      <c r="O4487">
        <v>-0.99752419999999997</v>
      </c>
      <c r="P4487">
        <v>-0.1001179</v>
      </c>
      <c r="Q4487">
        <v>3.7938680000000002E-3</v>
      </c>
      <c r="R4487">
        <v>-0.99496879999999999</v>
      </c>
      <c r="S4487">
        <v>-0.22407530000000001</v>
      </c>
      <c r="T4487">
        <v>3.483295E-3</v>
      </c>
      <c r="U4487">
        <v>-2.992569</v>
      </c>
      <c r="V4487">
        <v>3.0277769999999999E-2</v>
      </c>
      <c r="W4487">
        <v>1.0964949999999999E-2</v>
      </c>
      <c r="X4487">
        <v>0.99948139999999996</v>
      </c>
      <c r="Y4487">
        <v>4.7212219999999997E-3</v>
      </c>
      <c r="Z4487">
        <v>-1.158079E-3</v>
      </c>
      <c r="AA4487">
        <v>0.99998819999999999</v>
      </c>
      <c r="AB4487">
        <v>15</v>
      </c>
      <c r="AC4487">
        <v>-19.9223999999999</v>
      </c>
      <c r="AD4487">
        <v>0.30989800000000001</v>
      </c>
      <c r="AE4487">
        <v>-266.07404000000002</v>
      </c>
      <c r="AF4487">
        <v>1.2592348062329</v>
      </c>
      <c r="AG4487">
        <v>0.30989800000000001</v>
      </c>
      <c r="AH4487">
        <v>266.81551498785097</v>
      </c>
      <c r="AI4487">
        <v>89.933453488430203</v>
      </c>
      <c r="AJ4487">
        <v>89.7295947945492</v>
      </c>
      <c r="AK4487">
        <v>266.81866641466399</v>
      </c>
      <c r="AL4487">
        <v>89.371742066072699</v>
      </c>
      <c r="AM4487">
        <v>88.264842089893506</v>
      </c>
      <c r="AN4487">
        <v>1.00000002121531</v>
      </c>
    </row>
    <row r="4488" spans="1:40" x14ac:dyDescent="0.25">
      <c r="A4488" t="str">
        <f>"20190312160733180"</f>
        <v>20190312160733180</v>
      </c>
      <c r="B4488" t="str">
        <f>"1552378053170298"</f>
        <v>1552378053170298</v>
      </c>
      <c r="C4488" t="s">
        <v>40</v>
      </c>
      <c r="D4488">
        <v>5.3744800000000001</v>
      </c>
      <c r="E4488">
        <v>0.46485530000000003</v>
      </c>
      <c r="F4488" t="s">
        <v>47</v>
      </c>
      <c r="G4488">
        <v>-191.73079999999999</v>
      </c>
      <c r="H4488" s="1">
        <v>-1.3937910000000001E-6</v>
      </c>
      <c r="I4488">
        <v>101.7646</v>
      </c>
      <c r="J4488">
        <v>-189.35579999999999</v>
      </c>
      <c r="K4488">
        <v>1.1087180000000001</v>
      </c>
      <c r="L4488">
        <v>184.11439999999999</v>
      </c>
      <c r="M4488">
        <v>-7.1051020000000006E-2</v>
      </c>
      <c r="N4488">
        <v>0</v>
      </c>
      <c r="O4488">
        <v>-0.99744710000000003</v>
      </c>
      <c r="P4488">
        <v>-0.1012831</v>
      </c>
      <c r="Q4488">
        <v>3.488358E-3</v>
      </c>
      <c r="R4488">
        <v>-0.99485199999999996</v>
      </c>
      <c r="S4488">
        <v>-8.69751E-2</v>
      </c>
      <c r="T4488">
        <v>-4.0408970000000002E-2</v>
      </c>
      <c r="U4488">
        <v>-3.0065770000000001</v>
      </c>
      <c r="V4488">
        <v>3.035235E-2</v>
      </c>
      <c r="W4488">
        <v>1.063071E-2</v>
      </c>
      <c r="X4488">
        <v>0.9994828</v>
      </c>
      <c r="Y4488">
        <v>-4.2182610000000002E-2</v>
      </c>
      <c r="Z4488">
        <v>1.337927E-2</v>
      </c>
      <c r="AA4488">
        <v>0.99902029999999997</v>
      </c>
      <c r="AB4488">
        <v>15</v>
      </c>
      <c r="AC4488">
        <v>-2.375</v>
      </c>
      <c r="AD4488">
        <v>-1.108719393791</v>
      </c>
      <c r="AE4488">
        <v>-82.349799999999902</v>
      </c>
      <c r="AF4488">
        <v>-3.4815587162339998</v>
      </c>
      <c r="AG4488">
        <v>-1.108719393791</v>
      </c>
      <c r="AH4488">
        <v>82.295510717848501</v>
      </c>
      <c r="AI4488">
        <v>90.771176187460199</v>
      </c>
      <c r="AJ4488">
        <v>92.422486233778102</v>
      </c>
      <c r="AK4488">
        <v>82.376584015727801</v>
      </c>
      <c r="AL4488">
        <v>89.390893754738201</v>
      </c>
      <c r="AM4488">
        <v>88.260573117944205</v>
      </c>
      <c r="AN4488">
        <v>1.0000000723207301</v>
      </c>
    </row>
    <row r="4489" spans="1:40" x14ac:dyDescent="0.25">
      <c r="A4489" t="str">
        <f>"20190312160733202"</f>
        <v>20190312160733202</v>
      </c>
      <c r="B4489" t="str">
        <f>"1552378053189814"</f>
        <v>1552378053189814</v>
      </c>
      <c r="C4489" t="s">
        <v>40</v>
      </c>
      <c r="D4489">
        <v>5.9881330000000004</v>
      </c>
      <c r="E4489">
        <v>0.46275440000000001</v>
      </c>
      <c r="F4489" t="s">
        <v>89</v>
      </c>
      <c r="G4489">
        <v>-189.77330000000001</v>
      </c>
      <c r="H4489" s="1">
        <v>-7.7001230000000006E-6</v>
      </c>
      <c r="I4489">
        <v>138.4879</v>
      </c>
      <c r="J4489">
        <v>-189.36779999999999</v>
      </c>
      <c r="K4489">
        <v>1.1087039999999999</v>
      </c>
      <c r="L4489">
        <v>183.96369999999999</v>
      </c>
      <c r="M4489">
        <v>-7.2196780000000002E-2</v>
      </c>
      <c r="N4489">
        <v>0</v>
      </c>
      <c r="O4489">
        <v>-0.99736480000000005</v>
      </c>
      <c r="P4489">
        <v>-0.10185279999999999</v>
      </c>
      <c r="Q4489">
        <v>3.67359E-3</v>
      </c>
      <c r="R4489">
        <v>-0.99479300000000004</v>
      </c>
      <c r="S4489">
        <v>-2.7572630000000001E-2</v>
      </c>
      <c r="T4489">
        <v>-7.3215249999999996E-2</v>
      </c>
      <c r="U4489">
        <v>-3.0129700000000001</v>
      </c>
      <c r="V4489">
        <v>2.9776939999999998E-2</v>
      </c>
      <c r="W4489">
        <v>1.079044E-2</v>
      </c>
      <c r="X4489">
        <v>0.99949829999999995</v>
      </c>
      <c r="Y4489">
        <v>-6.3071210000000003E-2</v>
      </c>
      <c r="Z4489">
        <v>2.4173090000000001E-2</v>
      </c>
      <c r="AA4489">
        <v>0.99771620000000005</v>
      </c>
      <c r="AB4489">
        <v>15</v>
      </c>
      <c r="AC4489">
        <v>-0.40550000000001701</v>
      </c>
      <c r="AD4489">
        <v>-1.108711700123</v>
      </c>
      <c r="AE4489">
        <v>-45.4757999999999</v>
      </c>
      <c r="AF4489">
        <v>-2.8771384029274198</v>
      </c>
      <c r="AG4489">
        <v>-1.108711700123</v>
      </c>
      <c r="AH4489">
        <v>45.359437797385802</v>
      </c>
      <c r="AI4489">
        <v>91.397383386541705</v>
      </c>
      <c r="AJ4489">
        <v>93.629395519337905</v>
      </c>
      <c r="AK4489">
        <v>45.464115127411198</v>
      </c>
      <c r="AL4489">
        <v>89.381741315827497</v>
      </c>
      <c r="AM4489">
        <v>88.293555370599194</v>
      </c>
      <c r="AN4489">
        <v>0.99999997572702304</v>
      </c>
    </row>
    <row r="4490" spans="1:40" x14ac:dyDescent="0.25">
      <c r="A4490" t="str">
        <f>"20190312160733225"</f>
        <v>20190312160733225</v>
      </c>
      <c r="B4490" t="str">
        <f>"1552378053220067"</f>
        <v>1552378053220067</v>
      </c>
      <c r="C4490" t="s">
        <v>40</v>
      </c>
      <c r="D4490">
        <v>5.9899149999999999</v>
      </c>
      <c r="E4490">
        <v>0.46082990000000001</v>
      </c>
      <c r="F4490" t="s">
        <v>89</v>
      </c>
      <c r="G4490">
        <v>-189.50649999999999</v>
      </c>
      <c r="H4490" s="1">
        <v>-1.246807E-5</v>
      </c>
      <c r="I4490">
        <v>153.7748</v>
      </c>
      <c r="J4490">
        <v>-189.38079999999999</v>
      </c>
      <c r="K4490">
        <v>1.1086990000000001</v>
      </c>
      <c r="L4490">
        <v>183.80359999999999</v>
      </c>
      <c r="M4490">
        <v>-7.3414850000000004E-2</v>
      </c>
      <c r="N4490">
        <v>0</v>
      </c>
      <c r="O4490">
        <v>-0.99727600000000005</v>
      </c>
      <c r="P4490">
        <v>-0.10266740000000001</v>
      </c>
      <c r="Q4490">
        <v>3.624684E-3</v>
      </c>
      <c r="R4490">
        <v>-0.99470919999999896</v>
      </c>
      <c r="S4490">
        <v>-1.3854979999999999E-2</v>
      </c>
      <c r="T4490">
        <v>-0.11071830000000001</v>
      </c>
      <c r="U4490">
        <v>-3.0147089999999999</v>
      </c>
      <c r="V4490">
        <v>2.9374879999999999E-2</v>
      </c>
      <c r="W4490">
        <v>1.071749E-2</v>
      </c>
      <c r="X4490">
        <v>0.99951100000000004</v>
      </c>
      <c r="Y4490">
        <v>-6.883562E-2</v>
      </c>
      <c r="Z4490">
        <v>3.650904E-2</v>
      </c>
      <c r="AA4490">
        <v>0.9969597</v>
      </c>
      <c r="AB4490">
        <v>15</v>
      </c>
      <c r="AC4490">
        <v>-0.12569999999999401</v>
      </c>
      <c r="AD4490">
        <v>-1.1087114680700001</v>
      </c>
      <c r="AE4490">
        <v>-30.028799999999901</v>
      </c>
      <c r="AF4490">
        <v>-2.07642456696964</v>
      </c>
      <c r="AG4490">
        <v>-1.1087114680700001</v>
      </c>
      <c r="AH4490">
        <v>29.916210097899398</v>
      </c>
      <c r="AI4490">
        <v>92.117352893161197</v>
      </c>
      <c r="AJ4490">
        <v>93.970418333208499</v>
      </c>
      <c r="AK4490">
        <v>30.0086721919415</v>
      </c>
      <c r="AL4490">
        <v>89.3859212957572</v>
      </c>
      <c r="AM4490">
        <v>88.3166044886961</v>
      </c>
      <c r="AN4490">
        <v>0.99999999364395697</v>
      </c>
    </row>
    <row r="4491" spans="1:40" x14ac:dyDescent="0.25">
      <c r="A4491" t="str">
        <f>"20190312160733248"</f>
        <v>20190312160733248</v>
      </c>
      <c r="B4491" t="str">
        <f>"1552378053239587"</f>
        <v>1552378053239587</v>
      </c>
      <c r="C4491" t="s">
        <v>40</v>
      </c>
      <c r="D4491">
        <v>6.027838</v>
      </c>
      <c r="E4491">
        <v>0.46046130000000002</v>
      </c>
      <c r="F4491" t="s">
        <v>47</v>
      </c>
      <c r="G4491">
        <v>-189.39680000000001</v>
      </c>
      <c r="H4491" s="1">
        <v>-6.3812550000000005E-7</v>
      </c>
      <c r="I4491">
        <v>160.75479999999999</v>
      </c>
      <c r="J4491">
        <v>-189.39349999999999</v>
      </c>
      <c r="K4491">
        <v>1.1086860000000001</v>
      </c>
      <c r="L4491">
        <v>183.64949999999999</v>
      </c>
      <c r="M4491">
        <v>-7.4587860000000006E-2</v>
      </c>
      <c r="N4491">
        <v>0</v>
      </c>
      <c r="O4491">
        <v>-0.9971892</v>
      </c>
      <c r="P4491">
        <v>-0.10393429999999999</v>
      </c>
      <c r="Q4491">
        <v>3.5141109999999999E-3</v>
      </c>
      <c r="R4491">
        <v>-0.99457810000000002</v>
      </c>
      <c r="S4491">
        <v>-2.0904539999999998E-3</v>
      </c>
      <c r="T4491">
        <v>-0.14508879999999999</v>
      </c>
      <c r="U4491">
        <v>-3.016251</v>
      </c>
      <c r="V4491">
        <v>2.947224E-2</v>
      </c>
      <c r="W4491">
        <v>1.0586369999999999E-2</v>
      </c>
      <c r="X4491">
        <v>0.99950950000000005</v>
      </c>
      <c r="Y4491">
        <v>-7.3899259999999994E-2</v>
      </c>
      <c r="Z4491">
        <v>4.778044E-2</v>
      </c>
      <c r="AA4491">
        <v>0.99612049999999996</v>
      </c>
      <c r="AB4491">
        <v>15</v>
      </c>
      <c r="AC4491">
        <v>-3.30000000002428E-3</v>
      </c>
      <c r="AD4491">
        <v>-1.1086866381254901</v>
      </c>
      <c r="AE4491">
        <v>-22.8947</v>
      </c>
      <c r="AF4491">
        <v>-1.7004313077228901</v>
      </c>
      <c r="AG4491">
        <v>-1.1086866381254901</v>
      </c>
      <c r="AH4491">
        <v>22.777754074674899</v>
      </c>
      <c r="AI4491">
        <v>92.778900521441997</v>
      </c>
      <c r="AJ4491">
        <v>94.269391478467199</v>
      </c>
      <c r="AK4491">
        <v>22.8680286290754</v>
      </c>
      <c r="AL4491">
        <v>89.393434325693804</v>
      </c>
      <c r="AM4491">
        <v>88.311025741551802</v>
      </c>
      <c r="AN4491">
        <v>0.99999996237532096</v>
      </c>
    </row>
    <row r="4492" spans="1:40" x14ac:dyDescent="0.25">
      <c r="A4492" t="str">
        <f>"20190312160733269"</f>
        <v>20190312160733269</v>
      </c>
      <c r="B4492" t="str">
        <f>"1552378053260083"</f>
        <v>1552378053260083</v>
      </c>
      <c r="C4492" t="s">
        <v>40</v>
      </c>
      <c r="D4492">
        <v>6.1158780000000004</v>
      </c>
      <c r="E4492">
        <v>0.4594994</v>
      </c>
      <c r="F4492" t="s">
        <v>47</v>
      </c>
      <c r="G4492">
        <v>-189.41990000000001</v>
      </c>
      <c r="H4492" s="1">
        <v>-1.577136E-6</v>
      </c>
      <c r="I4492">
        <v>162.7499</v>
      </c>
      <c r="J4492">
        <v>-189.4057</v>
      </c>
      <c r="K4492">
        <v>1.1086780000000001</v>
      </c>
      <c r="L4492">
        <v>183.50450000000001</v>
      </c>
      <c r="M4492">
        <v>-7.5691540000000002E-2</v>
      </c>
      <c r="N4492">
        <v>0</v>
      </c>
      <c r="O4492">
        <v>-0.99710620000000005</v>
      </c>
      <c r="P4492">
        <v>-0.1047183</v>
      </c>
      <c r="Q4492">
        <v>3.9294109999999998E-3</v>
      </c>
      <c r="R4492">
        <v>-0.99449430000000005</v>
      </c>
      <c r="S4492">
        <v>-3.799438E-3</v>
      </c>
      <c r="T4492">
        <v>-0.16002249999999901</v>
      </c>
      <c r="U4492">
        <v>-3.0165410000000001</v>
      </c>
      <c r="V4492">
        <v>2.9154599999999999E-2</v>
      </c>
      <c r="W4492">
        <v>1.098593E-2</v>
      </c>
      <c r="X4492">
        <v>0.99951449999999997</v>
      </c>
      <c r="Y4492">
        <v>-7.4439060000000001E-2</v>
      </c>
      <c r="Z4492">
        <v>5.2672509999999999E-2</v>
      </c>
      <c r="AA4492">
        <v>0.99583350000000004</v>
      </c>
      <c r="AB4492">
        <v>15</v>
      </c>
      <c r="AC4492">
        <v>-1.42000000000166E-2</v>
      </c>
      <c r="AD4492">
        <v>-1.1086795771359901</v>
      </c>
      <c r="AE4492">
        <v>-20.7546</v>
      </c>
      <c r="AF4492">
        <v>-1.5523978411275601</v>
      </c>
      <c r="AG4492">
        <v>-1.1086795771359901</v>
      </c>
      <c r="AH4492">
        <v>20.637243650302601</v>
      </c>
      <c r="AI4492">
        <v>93.066456325229595</v>
      </c>
      <c r="AJ4492">
        <v>94.301865404670806</v>
      </c>
      <c r="AK4492">
        <v>20.725224605389698</v>
      </c>
      <c r="AL4492">
        <v>89.3705398887803</v>
      </c>
      <c r="AM4492">
        <v>88.329226809313298</v>
      </c>
      <c r="AN4492">
        <v>0.99999995853468604</v>
      </c>
    </row>
    <row r="4493" spans="1:40" x14ac:dyDescent="0.25">
      <c r="A4493" t="str">
        <f>"20190312160733291"</f>
        <v>20190312160733291</v>
      </c>
      <c r="B4493" t="str">
        <f>"1552378053279603"</f>
        <v>1552378053279603</v>
      </c>
      <c r="C4493" t="s">
        <v>40</v>
      </c>
      <c r="D4493">
        <v>6.0909250000000004</v>
      </c>
      <c r="E4493">
        <v>0.45860659999999998</v>
      </c>
      <c r="F4493" t="s">
        <v>47</v>
      </c>
      <c r="G4493">
        <v>-189.3922</v>
      </c>
      <c r="H4493" s="1">
        <v>-8.3081739999999996E-7</v>
      </c>
      <c r="I4493">
        <v>161.16079999999999</v>
      </c>
      <c r="J4493">
        <v>-189.4186</v>
      </c>
      <c r="K4493">
        <v>1.1086780000000001</v>
      </c>
      <c r="L4493">
        <v>183.35230000000001</v>
      </c>
      <c r="M4493">
        <v>-7.6850089999999996E-2</v>
      </c>
      <c r="N4493">
        <v>0</v>
      </c>
      <c r="O4493">
        <v>-0.99701770000000001</v>
      </c>
      <c r="P4493">
        <v>-0.1056343</v>
      </c>
      <c r="Q4493">
        <v>4.5515319999999996E-3</v>
      </c>
      <c r="R4493">
        <v>-0.99439489999999997</v>
      </c>
      <c r="S4493">
        <v>1.8157959999999999E-3</v>
      </c>
      <c r="T4493">
        <v>-0.1497204</v>
      </c>
      <c r="U4493">
        <v>-3.017395</v>
      </c>
      <c r="V4493">
        <v>2.891498E-2</v>
      </c>
      <c r="W4493">
        <v>1.159339E-2</v>
      </c>
      <c r="X4493">
        <v>0.99951460000000003</v>
      </c>
      <c r="Y4493">
        <v>-7.7451099999999995E-2</v>
      </c>
      <c r="Z4493">
        <v>4.9263929999999997E-2</v>
      </c>
      <c r="AA4493">
        <v>0.99577830000000001</v>
      </c>
      <c r="AB4493">
        <v>15</v>
      </c>
      <c r="AC4493">
        <v>2.6399999999995299E-2</v>
      </c>
      <c r="AD4493">
        <v>-1.10867883081739</v>
      </c>
      <c r="AE4493">
        <v>-22.191500000000001</v>
      </c>
      <c r="AF4493">
        <v>-1.7274714359077501</v>
      </c>
      <c r="AG4493">
        <v>-1.10867883081739</v>
      </c>
      <c r="AH4493">
        <v>22.068757270875299</v>
      </c>
      <c r="AI4493">
        <v>92.867221955329498</v>
      </c>
      <c r="AJ4493">
        <v>94.475803016219899</v>
      </c>
      <c r="AK4493">
        <v>22.1640107785705</v>
      </c>
      <c r="AL4493">
        <v>89.335732774745793</v>
      </c>
      <c r="AM4493">
        <v>88.342951277308501</v>
      </c>
      <c r="AN4493">
        <v>0.99999995918662499</v>
      </c>
    </row>
    <row r="4494" spans="1:40" x14ac:dyDescent="0.25">
      <c r="A4494" t="str">
        <f>"20190312160733303"</f>
        <v>20190312160733303</v>
      </c>
      <c r="B4494" t="str">
        <f>"1552378053300099"</f>
        <v>1552378053300099</v>
      </c>
      <c r="C4494" t="s">
        <v>40</v>
      </c>
      <c r="D4494">
        <v>6.0174940000000001</v>
      </c>
      <c r="E4494">
        <v>0.45806740000000001</v>
      </c>
      <c r="F4494" t="s">
        <v>47</v>
      </c>
      <c r="G4494">
        <v>-189.36949999999999</v>
      </c>
      <c r="H4494" s="1">
        <v>-2.223713E-7</v>
      </c>
      <c r="I4494">
        <v>159.7867</v>
      </c>
      <c r="J4494">
        <v>-189.4255</v>
      </c>
      <c r="K4494">
        <v>1.1086769999999999</v>
      </c>
      <c r="L4494">
        <v>183.27099999999999</v>
      </c>
      <c r="M4494">
        <v>-7.7469460000000004E-2</v>
      </c>
      <c r="N4494">
        <v>0</v>
      </c>
      <c r="O4494">
        <v>-0.99696969999999996</v>
      </c>
      <c r="P4494">
        <v>-0.1060548</v>
      </c>
      <c r="Q4494">
        <v>4.7622150000000002E-3</v>
      </c>
      <c r="R4494">
        <v>-0.99434900000000004</v>
      </c>
      <c r="S4494">
        <v>6.286621E-3</v>
      </c>
      <c r="T4494">
        <v>-0.1419967</v>
      </c>
      <c r="U4494">
        <v>-3.0182340000000001</v>
      </c>
      <c r="V4494">
        <v>2.8717179999999998E-2</v>
      </c>
      <c r="W4494">
        <v>1.179793E-2</v>
      </c>
      <c r="X4494">
        <v>0.99951800000000002</v>
      </c>
      <c r="Y4494">
        <v>-7.9545439999999995E-2</v>
      </c>
      <c r="Z4494">
        <v>4.6708029999999998E-2</v>
      </c>
      <c r="AA4494">
        <v>0.99573639999999997</v>
      </c>
      <c r="AB4494">
        <v>15</v>
      </c>
      <c r="AC4494">
        <v>5.6000000000011603E-2</v>
      </c>
      <c r="AD4494">
        <v>-1.1086772223713</v>
      </c>
      <c r="AE4494">
        <v>-23.484299999999902</v>
      </c>
      <c r="AF4494">
        <v>-1.8710231711208301</v>
      </c>
      <c r="AG4494">
        <v>-1.1086772223713</v>
      </c>
      <c r="AH4494">
        <v>23.357324726976</v>
      </c>
      <c r="AI4494">
        <v>92.708893783025005</v>
      </c>
      <c r="AJ4494">
        <v>94.579861653444596</v>
      </c>
      <c r="AK4494">
        <v>23.458356960616001</v>
      </c>
      <c r="AL4494">
        <v>89.324012755250905</v>
      </c>
      <c r="AM4494">
        <v>88.354286064765503</v>
      </c>
      <c r="AN4494">
        <v>1.0000000499517101</v>
      </c>
    </row>
    <row r="4495" spans="1:40" x14ac:dyDescent="0.25">
      <c r="A4495" t="str">
        <f>"20190312160733315"</f>
        <v>20190312160733315</v>
      </c>
      <c r="B4495" t="str">
        <f>"1552378053309860"</f>
        <v>1552378053309860</v>
      </c>
      <c r="C4495" t="s">
        <v>40</v>
      </c>
      <c r="D4495">
        <v>5.9905660000000003</v>
      </c>
      <c r="E4495">
        <v>0.4579916</v>
      </c>
      <c r="F4495" t="s">
        <v>89</v>
      </c>
      <c r="G4495">
        <v>-189.34829999999999</v>
      </c>
      <c r="H4495" s="1">
        <v>-1.460004E-5</v>
      </c>
      <c r="I4495">
        <v>158.73650000000001</v>
      </c>
      <c r="J4495">
        <v>-189.43279999999999</v>
      </c>
      <c r="K4495">
        <v>1.108679</v>
      </c>
      <c r="L4495">
        <v>183.18719999999999</v>
      </c>
      <c r="M4495">
        <v>-7.8106729999999999E-2</v>
      </c>
      <c r="N4495">
        <v>0</v>
      </c>
      <c r="O4495">
        <v>-0.99692009999999998</v>
      </c>
      <c r="P4495">
        <v>-0.1064581</v>
      </c>
      <c r="Q4495">
        <v>4.762652E-3</v>
      </c>
      <c r="R4495">
        <v>-0.99430589999999996</v>
      </c>
      <c r="S4495">
        <v>9.5062259999999996E-3</v>
      </c>
      <c r="T4495">
        <v>-0.13641329999999999</v>
      </c>
      <c r="U4495">
        <v>-3.018723</v>
      </c>
      <c r="V4495">
        <v>2.8483729999999999E-2</v>
      </c>
      <c r="W4495">
        <v>1.1792209999999999E-2</v>
      </c>
      <c r="X4495">
        <v>0.99952470000000004</v>
      </c>
      <c r="Y4495">
        <v>-8.1244430000000006E-2</v>
      </c>
      <c r="Z4495">
        <v>4.4861480000000002E-2</v>
      </c>
      <c r="AA4495">
        <v>0.99568409999999996</v>
      </c>
      <c r="AB4495">
        <v>15</v>
      </c>
      <c r="AC4495">
        <v>8.4499999999991304E-2</v>
      </c>
      <c r="AD4495">
        <v>-1.1086936000400001</v>
      </c>
      <c r="AE4495">
        <v>-24.450699999999902</v>
      </c>
      <c r="AF4495">
        <v>-1.9899620008779999</v>
      </c>
      <c r="AG4495">
        <v>-1.1086936000400001</v>
      </c>
      <c r="AH4495">
        <v>24.319397200039401</v>
      </c>
      <c r="AI4495">
        <v>92.601559105682995</v>
      </c>
      <c r="AJ4495">
        <v>94.677869862674399</v>
      </c>
      <c r="AK4495">
        <v>24.425851682940198</v>
      </c>
      <c r="AL4495">
        <v>89.3243404778312</v>
      </c>
      <c r="AM4495">
        <v>88.367668202598196</v>
      </c>
      <c r="AN4495">
        <v>1.0000000025007401</v>
      </c>
    </row>
    <row r="4496" spans="1:40" x14ac:dyDescent="0.25">
      <c r="A4496" t="str">
        <f>"20190312160733327"</f>
        <v>20190312160733327</v>
      </c>
      <c r="B4496" t="str">
        <f>"1552378053319620"</f>
        <v>1552378053319620</v>
      </c>
      <c r="C4496" t="s">
        <v>40</v>
      </c>
      <c r="D4496">
        <v>6.016921</v>
      </c>
      <c r="E4496">
        <v>0.45796890000000001</v>
      </c>
      <c r="F4496" t="s">
        <v>89</v>
      </c>
      <c r="G4496">
        <v>-189.3639</v>
      </c>
      <c r="H4496" s="1">
        <v>-1.489259E-5</v>
      </c>
      <c r="I4496">
        <v>159.41839999999999</v>
      </c>
      <c r="J4496">
        <v>-189.44040000000001</v>
      </c>
      <c r="K4496">
        <v>1.1086780000000001</v>
      </c>
      <c r="L4496">
        <v>183.1001</v>
      </c>
      <c r="M4496">
        <v>-7.8769149999999996E-2</v>
      </c>
      <c r="N4496">
        <v>0</v>
      </c>
      <c r="O4496">
        <v>-0.99686790000000003</v>
      </c>
      <c r="P4496">
        <v>-0.10677730000000001</v>
      </c>
      <c r="Q4496">
        <v>5.2224489999999997E-3</v>
      </c>
      <c r="R4496">
        <v>-0.99426919999999996</v>
      </c>
      <c r="S4496">
        <v>8.7432859999999994E-3</v>
      </c>
      <c r="T4496">
        <v>-0.14081170000000001</v>
      </c>
      <c r="U4496">
        <v>-3.018799</v>
      </c>
      <c r="V4496">
        <v>2.814125E-2</v>
      </c>
      <c r="W4496">
        <v>1.224708E-2</v>
      </c>
      <c r="X4496">
        <v>0.99952890000000005</v>
      </c>
      <c r="Y4496">
        <v>-8.1654790000000005E-2</v>
      </c>
      <c r="Z4496">
        <v>4.6299279999999998E-2</v>
      </c>
      <c r="AA4496">
        <v>0.99558469999999999</v>
      </c>
      <c r="AB4496">
        <v>16</v>
      </c>
      <c r="AC4496">
        <v>7.6500000000009893E-2</v>
      </c>
      <c r="AD4496">
        <v>-1.1086928925899999</v>
      </c>
      <c r="AE4496">
        <v>-23.681699999999999</v>
      </c>
      <c r="AF4496">
        <v>-1.9374497159434101</v>
      </c>
      <c r="AG4496">
        <v>-1.1086928925899999</v>
      </c>
      <c r="AH4496">
        <v>23.550471643748299</v>
      </c>
      <c r="AI4496">
        <v>92.686279530551303</v>
      </c>
      <c r="AJ4496">
        <v>94.703017051398206</v>
      </c>
      <c r="AK4496">
        <v>23.656027265263301</v>
      </c>
      <c r="AL4496">
        <v>89.298276441812206</v>
      </c>
      <c r="AM4496">
        <v>88.387291225791003</v>
      </c>
      <c r="AN4496">
        <v>0.99999997142764896</v>
      </c>
    </row>
    <row r="4497" spans="1:40" x14ac:dyDescent="0.25">
      <c r="A4497" t="str">
        <f>"20190312160733347"</f>
        <v>20190312160733347</v>
      </c>
      <c r="B4497" t="str">
        <f>"1552378053340115"</f>
        <v>1552378053340115</v>
      </c>
      <c r="C4497" t="s">
        <v>40</v>
      </c>
      <c r="D4497">
        <v>6.0403840000000004</v>
      </c>
      <c r="E4497">
        <v>0.45793060000000002</v>
      </c>
      <c r="F4497" t="s">
        <v>47</v>
      </c>
      <c r="G4497">
        <v>-189.3836</v>
      </c>
      <c r="H4497" s="1">
        <v>-3.5357039999999998E-7</v>
      </c>
      <c r="I4497">
        <v>160.13810000000001</v>
      </c>
      <c r="J4497">
        <v>-189.4529</v>
      </c>
      <c r="K4497">
        <v>1.1086769999999999</v>
      </c>
      <c r="L4497">
        <v>182.95760000000001</v>
      </c>
      <c r="M4497">
        <v>-7.9852720000000002E-2</v>
      </c>
      <c r="N4497">
        <v>0</v>
      </c>
      <c r="O4497">
        <v>-0.9967819</v>
      </c>
      <c r="P4497">
        <v>-0.1076027</v>
      </c>
      <c r="Q4497">
        <v>5.6789500000000003E-3</v>
      </c>
      <c r="R4497">
        <v>-0.99417789999999995</v>
      </c>
      <c r="S4497">
        <v>7.4615480000000001E-3</v>
      </c>
      <c r="T4497">
        <v>-0.1457601</v>
      </c>
      <c r="U4497">
        <v>-3.0188600000000001</v>
      </c>
      <c r="V4497">
        <v>2.7885429999999999E-2</v>
      </c>
      <c r="W4497">
        <v>1.2696229999999999E-2</v>
      </c>
      <c r="X4497">
        <v>0.99953049999999999</v>
      </c>
      <c r="Y4497">
        <v>-8.2315169999999993E-2</v>
      </c>
      <c r="Z4497">
        <v>4.7914119999999998E-2</v>
      </c>
      <c r="AA4497">
        <v>0.9954539</v>
      </c>
      <c r="AB4497">
        <v>16</v>
      </c>
      <c r="AC4497">
        <v>6.9299999999998294E-2</v>
      </c>
      <c r="AD4497">
        <v>-1.1086773535704</v>
      </c>
      <c r="AE4497">
        <v>-22.819500000000001</v>
      </c>
      <c r="AF4497">
        <v>-1.8868689809699499</v>
      </c>
      <c r="AG4497">
        <v>-1.1086773535704</v>
      </c>
      <c r="AH4497">
        <v>22.687539621192698</v>
      </c>
      <c r="AI4497">
        <v>92.788050464462998</v>
      </c>
      <c r="AJ4497">
        <v>94.754213137431293</v>
      </c>
      <c r="AK4497">
        <v>22.7928474326675</v>
      </c>
      <c r="AL4497">
        <v>89.2725400649786</v>
      </c>
      <c r="AM4497">
        <v>88.401946587559294</v>
      </c>
      <c r="AN4497">
        <v>1.0000000059463701</v>
      </c>
    </row>
    <row r="4498" spans="1:40" x14ac:dyDescent="0.25">
      <c r="A4498" t="str">
        <f>"20190312160733361"</f>
        <v>20190312160733361</v>
      </c>
      <c r="B4498" t="str">
        <f>"1552378053349876"</f>
        <v>1552378053349876</v>
      </c>
      <c r="C4498" t="s">
        <v>40</v>
      </c>
      <c r="D4498">
        <v>5.9933339999999999</v>
      </c>
      <c r="E4498">
        <v>0.45784130000000001</v>
      </c>
      <c r="F4498" t="s">
        <v>47</v>
      </c>
      <c r="G4498">
        <v>-189.4143</v>
      </c>
      <c r="H4498" s="1">
        <v>-6.140104E-7</v>
      </c>
      <c r="I4498">
        <v>160.71039999999999</v>
      </c>
      <c r="J4498">
        <v>-189.46119999999999</v>
      </c>
      <c r="K4498">
        <v>1.1086750000000001</v>
      </c>
      <c r="L4498">
        <v>182.8638</v>
      </c>
      <c r="M4498">
        <v>-8.0565269999999994E-2</v>
      </c>
      <c r="N4498">
        <v>0</v>
      </c>
      <c r="O4498">
        <v>-0.99672450000000001</v>
      </c>
      <c r="P4498">
        <v>-0.1081501</v>
      </c>
      <c r="Q4498">
        <v>5.8129599999999998E-3</v>
      </c>
      <c r="R4498">
        <v>-0.99411769999999999</v>
      </c>
      <c r="S4498">
        <v>5.2337649999999996E-3</v>
      </c>
      <c r="T4498">
        <v>-0.1504501</v>
      </c>
      <c r="U4498">
        <v>-3.0189970000000002</v>
      </c>
      <c r="V4498">
        <v>2.7721579999999999E-2</v>
      </c>
      <c r="W4498">
        <v>1.2825919999999999E-2</v>
      </c>
      <c r="X4498">
        <v>0.99953340000000002</v>
      </c>
      <c r="Y4498">
        <v>-8.2292820000000003E-2</v>
      </c>
      <c r="Z4498">
        <v>4.9445650000000001E-2</v>
      </c>
      <c r="AA4498">
        <v>0.99538079999999995</v>
      </c>
      <c r="AB4498">
        <v>16</v>
      </c>
      <c r="AC4498">
        <v>4.6899999999993697E-2</v>
      </c>
      <c r="AD4498">
        <v>-1.1086756140103999</v>
      </c>
      <c r="AE4498">
        <v>-22.153400000000001</v>
      </c>
      <c r="AF4498">
        <v>-1.8270105683914399</v>
      </c>
      <c r="AG4498">
        <v>-1.1086756140103999</v>
      </c>
      <c r="AH4498">
        <v>22.0224486602092</v>
      </c>
      <c r="AI4498">
        <v>92.872156626338494</v>
      </c>
      <c r="AJ4498">
        <v>94.742471068732499</v>
      </c>
      <c r="AK4498">
        <v>22.125898269350898</v>
      </c>
      <c r="AL4498">
        <v>89.265108768819601</v>
      </c>
      <c r="AM4498">
        <v>88.411336255837</v>
      </c>
      <c r="AN4498">
        <v>1.0000000039685499</v>
      </c>
    </row>
    <row r="4499" spans="1:40" x14ac:dyDescent="0.25">
      <c r="A4499" t="str">
        <f>"20190312160733381"</f>
        <v>20190312160733381</v>
      </c>
      <c r="B4499" t="str">
        <f>"1552378053369396"</f>
        <v>1552378053369396</v>
      </c>
      <c r="C4499" t="s">
        <v>40</v>
      </c>
      <c r="D4499">
        <v>6.001296</v>
      </c>
      <c r="E4499">
        <v>0.45768500000000001</v>
      </c>
      <c r="F4499" t="s">
        <v>47</v>
      </c>
      <c r="G4499">
        <v>-189.43049999999999</v>
      </c>
      <c r="H4499" s="1">
        <v>-6.9887430000000004E-7</v>
      </c>
      <c r="I4499">
        <v>160.89599999999999</v>
      </c>
      <c r="J4499">
        <v>-189.47370000000001</v>
      </c>
      <c r="K4499">
        <v>1.1086659999999999</v>
      </c>
      <c r="L4499">
        <v>182.7244</v>
      </c>
      <c r="M4499">
        <v>-8.1624719999999998E-2</v>
      </c>
      <c r="N4499">
        <v>0</v>
      </c>
      <c r="O4499">
        <v>-0.99663849999999998</v>
      </c>
      <c r="P4499">
        <v>-0.1092741</v>
      </c>
      <c r="Q4499">
        <v>5.6012579999999996E-3</v>
      </c>
      <c r="R4499">
        <v>-0.99399610000000005</v>
      </c>
      <c r="S4499">
        <v>4.226685E-3</v>
      </c>
      <c r="T4499">
        <v>-0.15236830000000001</v>
      </c>
      <c r="U4499">
        <v>-3.019104</v>
      </c>
      <c r="V4499">
        <v>2.7789080000000001E-2</v>
      </c>
      <c r="W4499">
        <v>1.26085E-2</v>
      </c>
      <c r="X4499">
        <v>0.99953429999999999</v>
      </c>
      <c r="Y4499">
        <v>-8.302002E-2</v>
      </c>
      <c r="Z4499">
        <v>5.006468E-2</v>
      </c>
      <c r="AA4499">
        <v>0.99528950000000005</v>
      </c>
      <c r="AB4499">
        <v>16</v>
      </c>
      <c r="AC4499">
        <v>4.3200000000012999E-2</v>
      </c>
      <c r="AD4499">
        <v>-1.1086666988742999</v>
      </c>
      <c r="AE4499">
        <v>-21.828399999999899</v>
      </c>
      <c r="AF4499">
        <v>-1.82014134521046</v>
      </c>
      <c r="AG4499">
        <v>-1.1086666988742999</v>
      </c>
      <c r="AH4499">
        <v>21.696064024299599</v>
      </c>
      <c r="AI4499">
        <v>92.915041945802002</v>
      </c>
      <c r="AJ4499">
        <v>94.795468414887793</v>
      </c>
      <c r="AK4499">
        <v>21.800487391621399</v>
      </c>
      <c r="AL4499">
        <v>89.277567030482402</v>
      </c>
      <c r="AM4499">
        <v>88.407471399735797</v>
      </c>
      <c r="AN4499">
        <v>1.0000000120579899</v>
      </c>
    </row>
    <row r="4500" spans="1:40" x14ac:dyDescent="0.25">
      <c r="A4500" t="str">
        <f>"20190312160733391"</f>
        <v>20190312160733391</v>
      </c>
      <c r="B4500" t="str">
        <f>"1552378053380132"</f>
        <v>1552378053380132</v>
      </c>
      <c r="C4500" t="s">
        <v>40</v>
      </c>
      <c r="D4500">
        <v>5.9469960000000004</v>
      </c>
      <c r="E4500">
        <v>0.4575958</v>
      </c>
      <c r="F4500" t="s">
        <v>47</v>
      </c>
      <c r="G4500">
        <v>-189.4589</v>
      </c>
      <c r="H4500" s="1">
        <v>-8.913736E-7</v>
      </c>
      <c r="I4500">
        <v>161.31389999999999</v>
      </c>
      <c r="J4500">
        <v>-189.48089999999999</v>
      </c>
      <c r="K4500">
        <v>1.1086609999999999</v>
      </c>
      <c r="L4500">
        <v>182.64490000000001</v>
      </c>
      <c r="M4500">
        <v>-8.2228540000000003E-2</v>
      </c>
      <c r="N4500">
        <v>0</v>
      </c>
      <c r="O4500">
        <v>-0.99658869999999999</v>
      </c>
      <c r="P4500">
        <v>-0.1098272</v>
      </c>
      <c r="Q4500">
        <v>5.5509649999999997E-3</v>
      </c>
      <c r="R4500">
        <v>-0.99393549999999997</v>
      </c>
      <c r="S4500">
        <v>2.0904539999999998E-3</v>
      </c>
      <c r="T4500">
        <v>-0.15633949999999999</v>
      </c>
      <c r="U4500">
        <v>-3.0192260000000002</v>
      </c>
      <c r="V4500">
        <v>2.7739639999999999E-2</v>
      </c>
      <c r="W4500">
        <v>1.2556049999999999E-2</v>
      </c>
      <c r="X4500">
        <v>0.99953630000000004</v>
      </c>
      <c r="Y4500">
        <v>-8.2919480000000004E-2</v>
      </c>
      <c r="Z4500">
        <v>5.1360410000000002E-2</v>
      </c>
      <c r="AA4500">
        <v>0.99523189999999995</v>
      </c>
      <c r="AB4500">
        <v>16</v>
      </c>
      <c r="AC4500">
        <v>2.1999999999991301E-2</v>
      </c>
      <c r="AD4500">
        <v>-1.1086618913735999</v>
      </c>
      <c r="AE4500">
        <v>-21.331</v>
      </c>
      <c r="AF4500">
        <v>-1.7712012585860599</v>
      </c>
      <c r="AG4500">
        <v>-1.1086618913735999</v>
      </c>
      <c r="AH4500">
        <v>21.199682869829999</v>
      </c>
      <c r="AI4500">
        <v>92.983246782852405</v>
      </c>
      <c r="AJ4500">
        <v>94.775883396621595</v>
      </c>
      <c r="AK4500">
        <v>21.302413921177301</v>
      </c>
      <c r="AL4500">
        <v>89.280572407858799</v>
      </c>
      <c r="AM4500">
        <v>88.410306417130698</v>
      </c>
      <c r="AN4500">
        <v>0.99999997851831102</v>
      </c>
    </row>
    <row r="4501" spans="1:40" x14ac:dyDescent="0.25">
      <c r="A4501" t="str">
        <f>"20190312160733403"</f>
        <v>20190312160733403</v>
      </c>
      <c r="B4501" t="str">
        <f>"1552378053399652"</f>
        <v>1552378053399652</v>
      </c>
      <c r="C4501" t="s">
        <v>40</v>
      </c>
      <c r="D4501">
        <v>6.0228599999999997</v>
      </c>
      <c r="E4501">
        <v>0.45757039999999999</v>
      </c>
      <c r="F4501" t="s">
        <v>47</v>
      </c>
      <c r="G4501">
        <v>-189.4744</v>
      </c>
      <c r="H4501" s="1">
        <v>-1.0041630000000001E-6</v>
      </c>
      <c r="I4501">
        <v>161.5583</v>
      </c>
      <c r="J4501">
        <v>-189.48820000000001</v>
      </c>
      <c r="K4501">
        <v>1.1086579999999999</v>
      </c>
      <c r="L4501">
        <v>182.5651</v>
      </c>
      <c r="M4501">
        <v>-8.2834930000000001E-2</v>
      </c>
      <c r="N4501">
        <v>0</v>
      </c>
      <c r="O4501">
        <v>-0.99653860000000005</v>
      </c>
      <c r="P4501">
        <v>-0.1105566</v>
      </c>
      <c r="Q4501">
        <v>5.4446360000000001E-3</v>
      </c>
      <c r="R4501">
        <v>-0.99385520000000005</v>
      </c>
      <c r="S4501">
        <v>9.307861E-4</v>
      </c>
      <c r="T4501">
        <v>-0.15874449999999901</v>
      </c>
      <c r="U4501">
        <v>-3.0193020000000002</v>
      </c>
      <c r="V4501">
        <v>2.786487E-2</v>
      </c>
      <c r="W4501">
        <v>1.2447339999999999E-2</v>
      </c>
      <c r="X4501">
        <v>0.99953420000000004</v>
      </c>
      <c r="Y4501">
        <v>-8.3143560000000005E-2</v>
      </c>
      <c r="Z4501">
        <v>5.2142569999999999E-2</v>
      </c>
      <c r="AA4501">
        <v>0.99517250000000002</v>
      </c>
      <c r="AB4501">
        <v>16</v>
      </c>
      <c r="AC4501">
        <v>1.3800000000003299E-2</v>
      </c>
      <c r="AD4501">
        <v>-1.108659004163</v>
      </c>
      <c r="AE4501">
        <v>-21.006799999999998</v>
      </c>
      <c r="AF4501">
        <v>-1.74902058839869</v>
      </c>
      <c r="AG4501">
        <v>-1.108659004163</v>
      </c>
      <c r="AH4501">
        <v>20.875314287811801</v>
      </c>
      <c r="AI4501">
        <v>93.029448830954095</v>
      </c>
      <c r="AJ4501">
        <v>94.789292827331394</v>
      </c>
      <c r="AK4501">
        <v>20.977772627737998</v>
      </c>
      <c r="AL4501">
        <v>89.286801535814305</v>
      </c>
      <c r="AM4501">
        <v>88.403130134337303</v>
      </c>
      <c r="AN4501">
        <v>1.0000000021114099</v>
      </c>
    </row>
    <row r="4502" spans="1:40" x14ac:dyDescent="0.25">
      <c r="A4502" t="str">
        <f>"20190312160733427"</f>
        <v>20190312160733427</v>
      </c>
      <c r="B4502" t="str">
        <f>"1552378053420147"</f>
        <v>1552378053420147</v>
      </c>
      <c r="C4502" t="s">
        <v>40</v>
      </c>
      <c r="D4502">
        <v>6.0106919999999997</v>
      </c>
      <c r="E4502">
        <v>0.45742969999999999</v>
      </c>
      <c r="F4502" t="s">
        <v>47</v>
      </c>
      <c r="G4502">
        <v>-189.49709999999999</v>
      </c>
      <c r="H4502" s="1">
        <v>-1.3548600000000001E-6</v>
      </c>
      <c r="I4502">
        <v>162.30869999999999</v>
      </c>
      <c r="J4502">
        <v>-189.50360000000001</v>
      </c>
      <c r="K4502">
        <v>1.1086549999999999</v>
      </c>
      <c r="L4502">
        <v>182.3974</v>
      </c>
      <c r="M4502">
        <v>-8.4106940000000005E-2</v>
      </c>
      <c r="N4502">
        <v>0</v>
      </c>
      <c r="O4502">
        <v>-0.99643179999999998</v>
      </c>
      <c r="P4502">
        <v>-0.11182830000000001</v>
      </c>
      <c r="Q4502">
        <v>5.8103649999999996E-3</v>
      </c>
      <c r="R4502">
        <v>-0.9937106</v>
      </c>
      <c r="S4502">
        <v>-1.327515E-3</v>
      </c>
      <c r="T4502">
        <v>-0.165249799999999</v>
      </c>
      <c r="U4502">
        <v>-3.0192869999999998</v>
      </c>
      <c r="V4502">
        <v>2.7868899999999999E-2</v>
      </c>
      <c r="W4502">
        <v>1.2810179999999999E-2</v>
      </c>
      <c r="X4502">
        <v>0.99952949999999996</v>
      </c>
      <c r="Y4502">
        <v>-8.3671350000000005E-2</v>
      </c>
      <c r="Z4502">
        <v>5.4263480000000003E-2</v>
      </c>
      <c r="AA4502">
        <v>0.99501479999999998</v>
      </c>
      <c r="AB4502">
        <v>16</v>
      </c>
      <c r="AC4502">
        <v>6.5000000000168196E-3</v>
      </c>
      <c r="AD4502">
        <v>-1.1086563548599999</v>
      </c>
      <c r="AE4502">
        <v>-20.088699999999999</v>
      </c>
      <c r="AF4502">
        <v>-1.6909678163150501</v>
      </c>
      <c r="AG4502">
        <v>-1.1086563548599999</v>
      </c>
      <c r="AH4502">
        <v>19.956189144856001</v>
      </c>
      <c r="AI4502">
        <v>93.168439666747403</v>
      </c>
      <c r="AJ4502">
        <v>94.843331469589302</v>
      </c>
      <c r="AK4502">
        <v>20.058364246724</v>
      </c>
      <c r="AL4502">
        <v>89.266010674713002</v>
      </c>
      <c r="AM4502">
        <v>88.402891798145802</v>
      </c>
      <c r="AN4502">
        <v>0.99999999883454604</v>
      </c>
    </row>
    <row r="4503" spans="1:40" x14ac:dyDescent="0.25">
      <c r="A4503" t="str">
        <f>"20190312160733449"</f>
        <v>20190312160733449</v>
      </c>
      <c r="B4503" t="str">
        <f>"1552378053439667"</f>
        <v>1552378053439667</v>
      </c>
      <c r="C4503" t="s">
        <v>40</v>
      </c>
      <c r="D4503">
        <v>6.1450319999999996</v>
      </c>
      <c r="E4503">
        <v>0.45755459999999898</v>
      </c>
      <c r="F4503" t="s">
        <v>47</v>
      </c>
      <c r="G4503">
        <v>-189.53110000000001</v>
      </c>
      <c r="H4503" s="1">
        <v>-1.2402030000000001E-6</v>
      </c>
      <c r="I4503">
        <v>162.0789</v>
      </c>
      <c r="J4503">
        <v>-189.51849999999999</v>
      </c>
      <c r="K4503">
        <v>1.1086510000000001</v>
      </c>
      <c r="L4503">
        <v>182.2379</v>
      </c>
      <c r="M4503">
        <v>-8.5314219999999996E-2</v>
      </c>
      <c r="N4503">
        <v>0</v>
      </c>
      <c r="O4503">
        <v>-0.99632940000000003</v>
      </c>
      <c r="P4503">
        <v>-0.1131605</v>
      </c>
      <c r="Q4503">
        <v>6.7492169999999897E-3</v>
      </c>
      <c r="R4503">
        <v>-0.99355420000000005</v>
      </c>
      <c r="S4503">
        <v>-4.0893550000000002E-3</v>
      </c>
      <c r="T4503">
        <v>-0.1647545</v>
      </c>
      <c r="U4503">
        <v>-3.0194700000000001</v>
      </c>
      <c r="V4503">
        <v>2.799973E-2</v>
      </c>
      <c r="W4503">
        <v>1.374709E-2</v>
      </c>
      <c r="X4503">
        <v>0.9995134</v>
      </c>
      <c r="Y4503">
        <v>-8.3968630000000002E-2</v>
      </c>
      <c r="Z4503">
        <v>5.4088949999999997E-2</v>
      </c>
      <c r="AA4503">
        <v>0.99499930000000003</v>
      </c>
      <c r="AB4503">
        <v>16</v>
      </c>
      <c r="AC4503">
        <v>-1.26000000000203E-2</v>
      </c>
      <c r="AD4503">
        <v>-1.1086522402029999</v>
      </c>
      <c r="AE4503">
        <v>-20.158999999999899</v>
      </c>
      <c r="AF4503">
        <v>-1.70218936130706</v>
      </c>
      <c r="AG4503">
        <v>-1.1086522402029999</v>
      </c>
      <c r="AH4503">
        <v>20.026005069797399</v>
      </c>
      <c r="AI4503">
        <v>93.157334003256096</v>
      </c>
      <c r="AJ4503">
        <v>94.858403069789702</v>
      </c>
      <c r="AK4503">
        <v>20.1287713849356</v>
      </c>
      <c r="AL4503">
        <v>89.212324953252207</v>
      </c>
      <c r="AM4503">
        <v>88.395372282658101</v>
      </c>
      <c r="AN4503">
        <v>1.00000000207155</v>
      </c>
    </row>
    <row r="4504" spans="1:40" x14ac:dyDescent="0.25">
      <c r="A4504" t="str">
        <f>"20190312160733470"</f>
        <v>20190312160733470</v>
      </c>
      <c r="B4504" t="str">
        <f>"1552378053459357"</f>
        <v>1552378053459357</v>
      </c>
      <c r="C4504" t="s">
        <v>40</v>
      </c>
      <c r="D4504">
        <v>5.9227530000000002</v>
      </c>
      <c r="E4504">
        <v>0.45753529999999998</v>
      </c>
      <c r="F4504" t="s">
        <v>47</v>
      </c>
      <c r="G4504">
        <v>-189.58260000000001</v>
      </c>
      <c r="H4504" s="1">
        <v>-9.2016359999999999E-7</v>
      </c>
      <c r="I4504">
        <v>161.4212</v>
      </c>
      <c r="J4504">
        <v>-189.5326</v>
      </c>
      <c r="K4504">
        <v>1.1086450000000001</v>
      </c>
      <c r="L4504">
        <v>182.08869999999999</v>
      </c>
      <c r="M4504">
        <v>-8.6439329999999995E-2</v>
      </c>
      <c r="N4504">
        <v>0</v>
      </c>
      <c r="O4504">
        <v>-0.99623249999999997</v>
      </c>
      <c r="P4504">
        <v>-0.1147079</v>
      </c>
      <c r="Q4504">
        <v>6.8172789999999999E-3</v>
      </c>
      <c r="R4504">
        <v>-0.99337609999999998</v>
      </c>
      <c r="S4504">
        <v>-9.292603E-3</v>
      </c>
      <c r="T4504">
        <v>-0.16081300000000001</v>
      </c>
      <c r="U4504">
        <v>-3.0195159999999999</v>
      </c>
      <c r="V4504">
        <v>2.8428080000000001E-2</v>
      </c>
      <c r="W4504">
        <v>1.3813840000000001E-2</v>
      </c>
      <c r="X4504">
        <v>0.99950039999999996</v>
      </c>
      <c r="Y4504">
        <v>-8.3379159999999994E-2</v>
      </c>
      <c r="Z4504">
        <v>5.2791339999999999E-2</v>
      </c>
      <c r="AA4504">
        <v>0.99511859999999996</v>
      </c>
      <c r="AB4504">
        <v>16</v>
      </c>
      <c r="AC4504">
        <v>-5.0000000000011299E-2</v>
      </c>
      <c r="AD4504">
        <v>-1.1086459201636001</v>
      </c>
      <c r="AE4504">
        <v>-20.667499999999901</v>
      </c>
      <c r="AF4504">
        <v>-1.7317328506434599</v>
      </c>
      <c r="AG4504">
        <v>-1.1086459201636001</v>
      </c>
      <c r="AH4504">
        <v>20.535372785610601</v>
      </c>
      <c r="AI4504">
        <v>93.079326318184101</v>
      </c>
      <c r="AJ4504">
        <v>94.820306028545801</v>
      </c>
      <c r="AK4504">
        <v>20.638060225861601</v>
      </c>
      <c r="AL4504">
        <v>89.208500106034606</v>
      </c>
      <c r="AM4504">
        <v>88.370816058846003</v>
      </c>
      <c r="AN4504">
        <v>1.0000000137540901</v>
      </c>
    </row>
    <row r="4505" spans="1:40" x14ac:dyDescent="0.25">
      <c r="A4505" t="str">
        <f>"20190312160733482"</f>
        <v>20190312160733482</v>
      </c>
      <c r="B4505" t="str">
        <f>"1552378053470093"</f>
        <v>1552378053470093</v>
      </c>
      <c r="C4505" t="s">
        <v>40</v>
      </c>
      <c r="D4505">
        <v>5.9120720000000002</v>
      </c>
      <c r="E4505">
        <v>0.45747409999999999</v>
      </c>
      <c r="F4505" t="s">
        <v>47</v>
      </c>
      <c r="G4505">
        <v>-189.62479999999999</v>
      </c>
      <c r="H4505" s="1">
        <v>-9.412052E-7</v>
      </c>
      <c r="I4505">
        <v>161.48150000000001</v>
      </c>
      <c r="J4505">
        <v>-189.54140000000001</v>
      </c>
      <c r="K4505">
        <v>1.108635</v>
      </c>
      <c r="L4505">
        <v>181.9966</v>
      </c>
      <c r="M4505">
        <v>-8.7130769999999996E-2</v>
      </c>
      <c r="N4505">
        <v>0</v>
      </c>
      <c r="O4505">
        <v>-0.9961719</v>
      </c>
      <c r="P4505">
        <v>-0.1153308</v>
      </c>
      <c r="Q4505">
        <v>6.4156400000000002E-3</v>
      </c>
      <c r="R4505">
        <v>-0.99330649999999998</v>
      </c>
      <c r="S4505">
        <v>-1.350403E-2</v>
      </c>
      <c r="T4505">
        <v>-0.16245000000000001</v>
      </c>
      <c r="U4505">
        <v>-3.0195620000000001</v>
      </c>
      <c r="V4505">
        <v>2.8360380000000001E-2</v>
      </c>
      <c r="W4505">
        <v>1.341285E-2</v>
      </c>
      <c r="X4505">
        <v>0.99950779999999995</v>
      </c>
      <c r="Y4505">
        <v>-8.2683119999999999E-2</v>
      </c>
      <c r="Z4505">
        <v>5.3322950000000001E-2</v>
      </c>
      <c r="AA4505">
        <v>0.99514829999999999</v>
      </c>
      <c r="AB4505">
        <v>16</v>
      </c>
      <c r="AC4505">
        <v>-8.3399999999983196E-2</v>
      </c>
      <c r="AD4505">
        <v>-1.1086359412052</v>
      </c>
      <c r="AE4505">
        <v>-20.515099999999901</v>
      </c>
      <c r="AF4505">
        <v>-1.69949515320892</v>
      </c>
      <c r="AG4505">
        <v>-1.1086359412052</v>
      </c>
      <c r="AH4505">
        <v>20.3848124448606</v>
      </c>
      <c r="AI4505">
        <v>93.102244936947898</v>
      </c>
      <c r="AJ4505">
        <v>94.765765276211596</v>
      </c>
      <c r="AK4505">
        <v>20.485554320985699</v>
      </c>
      <c r="AL4505">
        <v>89.231477281400501</v>
      </c>
      <c r="AM4505">
        <v>88.374705819250906</v>
      </c>
      <c r="AN4505">
        <v>1.0000000289798501</v>
      </c>
    </row>
    <row r="4506" spans="1:40" x14ac:dyDescent="0.25">
      <c r="A4506" t="str">
        <f>"20190312160733504"</f>
        <v>20190312160733504</v>
      </c>
      <c r="B4506" t="str">
        <f>"1552378053499373"</f>
        <v>1552378053499373</v>
      </c>
      <c r="C4506" t="s">
        <v>40</v>
      </c>
      <c r="D4506">
        <v>5.9030589999999998</v>
      </c>
      <c r="E4506">
        <v>0.457729</v>
      </c>
      <c r="F4506" t="s">
        <v>47</v>
      </c>
      <c r="G4506">
        <v>-189.643</v>
      </c>
      <c r="H4506" s="1">
        <v>-9.4857280000000002E-7</v>
      </c>
      <c r="I4506">
        <v>161.50399999999999</v>
      </c>
      <c r="J4506">
        <v>-189.55600000000001</v>
      </c>
      <c r="K4506">
        <v>1.1086309999999999</v>
      </c>
      <c r="L4506">
        <v>181.84440000000001</v>
      </c>
      <c r="M4506">
        <v>-8.8267529999999997E-2</v>
      </c>
      <c r="N4506">
        <v>0</v>
      </c>
      <c r="O4506">
        <v>-0.99607210000000002</v>
      </c>
      <c r="P4506">
        <v>-0.1164167</v>
      </c>
      <c r="Q4506">
        <v>5.2786469999999896E-3</v>
      </c>
      <c r="R4506">
        <v>-0.99318669999999998</v>
      </c>
      <c r="S4506">
        <v>-1.496887E-2</v>
      </c>
      <c r="T4506">
        <v>-0.16335359999999999</v>
      </c>
      <c r="U4506">
        <v>-3.0195159999999999</v>
      </c>
      <c r="V4506">
        <v>2.8310430000000001E-2</v>
      </c>
      <c r="W4506">
        <v>1.22776E-2</v>
      </c>
      <c r="X4506">
        <v>0.99952379999999996</v>
      </c>
      <c r="Y4506">
        <v>-8.3337579999999994E-2</v>
      </c>
      <c r="Z4506">
        <v>5.3609869999999997E-2</v>
      </c>
      <c r="AA4506">
        <v>0.99507829999999997</v>
      </c>
      <c r="AB4506">
        <v>16</v>
      </c>
      <c r="AC4506">
        <v>-8.7000000000017494E-2</v>
      </c>
      <c r="AD4506">
        <v>-1.1086319485728</v>
      </c>
      <c r="AE4506">
        <v>-20.340399999999999</v>
      </c>
      <c r="AF4506">
        <v>-1.70371953151327</v>
      </c>
      <c r="AG4506">
        <v>-1.1086319485728</v>
      </c>
      <c r="AH4506">
        <v>20.208650656885698</v>
      </c>
      <c r="AI4506">
        <v>93.128979606599202</v>
      </c>
      <c r="AJ4506">
        <v>94.819007990026606</v>
      </c>
      <c r="AK4506">
        <v>20.3106200400555</v>
      </c>
      <c r="AL4506">
        <v>89.296527679606498</v>
      </c>
      <c r="AM4506">
        <v>88.377592810813496</v>
      </c>
      <c r="AN4506">
        <v>1.0000000233374899</v>
      </c>
    </row>
    <row r="4507" spans="1:40" x14ac:dyDescent="0.25">
      <c r="A4507" t="str">
        <f>"20190312160733527"</f>
        <v>20190312160733527</v>
      </c>
      <c r="B4507" t="str">
        <f>"1552378053519869"</f>
        <v>1552378053519869</v>
      </c>
      <c r="C4507" t="s">
        <v>40</v>
      </c>
      <c r="D4507">
        <v>6.013827</v>
      </c>
      <c r="E4507">
        <v>0.52475419999999995</v>
      </c>
      <c r="F4507" t="s">
        <v>47</v>
      </c>
      <c r="G4507">
        <v>-189.69220000000001</v>
      </c>
      <c r="H4507" s="1">
        <v>-8.3652089999999996E-7</v>
      </c>
      <c r="I4507">
        <v>161.28540000000001</v>
      </c>
      <c r="J4507">
        <v>-189.57310000000001</v>
      </c>
      <c r="K4507">
        <v>1.1086279999999999</v>
      </c>
      <c r="L4507">
        <v>181.66929999999999</v>
      </c>
      <c r="M4507">
        <v>-8.9565389999999995E-2</v>
      </c>
      <c r="N4507">
        <v>0</v>
      </c>
      <c r="O4507">
        <v>-0.99595639999999996</v>
      </c>
      <c r="P4507">
        <v>-0.1183558</v>
      </c>
      <c r="Q4507">
        <v>3.6942469999999999E-3</v>
      </c>
      <c r="R4507">
        <v>-0.99296479999999998</v>
      </c>
      <c r="S4507">
        <v>-2.0004270000000001E-2</v>
      </c>
      <c r="T4507">
        <v>-0.16280220000000001</v>
      </c>
      <c r="U4507">
        <v>-3.0190890000000001</v>
      </c>
      <c r="V4507">
        <v>2.8956880000000001E-2</v>
      </c>
      <c r="W4507">
        <v>1.06946E-2</v>
      </c>
      <c r="X4507">
        <v>0.99952350000000001</v>
      </c>
      <c r="Y4507">
        <v>-8.2975750000000001E-2</v>
      </c>
      <c r="Z4507">
        <v>5.3428200000000002E-2</v>
      </c>
      <c r="AA4507">
        <v>0.99511830000000001</v>
      </c>
      <c r="AB4507">
        <v>16</v>
      </c>
      <c r="AC4507">
        <v>-0.119100000000003</v>
      </c>
      <c r="AD4507">
        <v>-1.1086288365209001</v>
      </c>
      <c r="AE4507">
        <v>-20.383899999999901</v>
      </c>
      <c r="AF4507">
        <v>-1.7020806987738299</v>
      </c>
      <c r="AG4507">
        <v>-1.1086288365209001</v>
      </c>
      <c r="AH4507">
        <v>20.252733962204999</v>
      </c>
      <c r="AI4507">
        <v>93.122242493833198</v>
      </c>
      <c r="AJ4507">
        <v>94.803964114598699</v>
      </c>
      <c r="AK4507">
        <v>20.354345225188499</v>
      </c>
      <c r="AL4507">
        <v>89.387232906602904</v>
      </c>
      <c r="AM4507">
        <v>88.340566197472199</v>
      </c>
      <c r="AN4507">
        <v>1.0000000512103699</v>
      </c>
    </row>
    <row r="4508" spans="1:40" x14ac:dyDescent="0.25">
      <c r="A4508" t="str">
        <f>"20190312160733549"</f>
        <v>20190312160733549</v>
      </c>
      <c r="B4508" t="str">
        <f>"1552378053539389"</f>
        <v>1552378053539389</v>
      </c>
      <c r="C4508" t="s">
        <v>40</v>
      </c>
      <c r="D4508">
        <v>6.118773</v>
      </c>
      <c r="E4508">
        <v>0.53957270000000002</v>
      </c>
      <c r="F4508" t="s">
        <v>89</v>
      </c>
      <c r="G4508">
        <v>-198.61500000000001</v>
      </c>
      <c r="H4508" s="1">
        <v>-7.3631949999999997E-6</v>
      </c>
      <c r="I4508">
        <v>133.38939999999999</v>
      </c>
      <c r="J4508">
        <v>-189.58869999999999</v>
      </c>
      <c r="K4508">
        <v>1.1086290000000001</v>
      </c>
      <c r="L4508">
        <v>181.51079999999999</v>
      </c>
      <c r="M4508">
        <v>-9.0726829999999994E-2</v>
      </c>
      <c r="N4508">
        <v>0</v>
      </c>
      <c r="O4508">
        <v>-0.99585100000000004</v>
      </c>
      <c r="P4508">
        <v>-0.1205851</v>
      </c>
      <c r="Q4508">
        <v>3.205753E-3</v>
      </c>
      <c r="R4508">
        <v>-0.99269810000000003</v>
      </c>
      <c r="S4508">
        <v>-0.55351260000000002</v>
      </c>
      <c r="T4508">
        <v>-6.7866679999999999E-2</v>
      </c>
      <c r="U4508">
        <v>-2.9555210000000001</v>
      </c>
      <c r="V4508">
        <v>3.0034720000000001E-2</v>
      </c>
      <c r="W4508">
        <v>1.020778E-2</v>
      </c>
      <c r="X4508">
        <v>0.99949679999999996</v>
      </c>
      <c r="Y4508">
        <v>9.4095620000000005E-2</v>
      </c>
      <c r="Z4508">
        <v>2.2568029999999999E-2</v>
      </c>
      <c r="AA4508">
        <v>0.99530730000000001</v>
      </c>
      <c r="AB4508">
        <v>16</v>
      </c>
      <c r="AC4508">
        <v>-9.0263000000000098</v>
      </c>
      <c r="AD4508">
        <v>-1.108636363195</v>
      </c>
      <c r="AE4508">
        <v>-48.121400000000001</v>
      </c>
      <c r="AF4508">
        <v>4.6206929167049804</v>
      </c>
      <c r="AG4508">
        <v>-1.108636363195</v>
      </c>
      <c r="AH4508">
        <v>48.716898163646199</v>
      </c>
      <c r="AI4508">
        <v>91.297815904561205</v>
      </c>
      <c r="AJ4508">
        <v>84.581827360539293</v>
      </c>
      <c r="AK4508">
        <v>48.948095410376901</v>
      </c>
      <c r="AL4508">
        <v>89.415127170215797</v>
      </c>
      <c r="AM4508">
        <v>88.278788886881102</v>
      </c>
      <c r="AN4508">
        <v>1.0000000681941199</v>
      </c>
    </row>
    <row r="4509" spans="1:40" x14ac:dyDescent="0.25">
      <c r="A4509" t="str">
        <f>"20190312160733571"</f>
        <v>20190312160733571</v>
      </c>
      <c r="B4509" t="str">
        <f>"1552378053560228"</f>
        <v>1552378053560228</v>
      </c>
      <c r="C4509" t="s">
        <v>40</v>
      </c>
      <c r="D4509">
        <v>6.0748410000000002</v>
      </c>
      <c r="E4509">
        <v>0.54415800000000003</v>
      </c>
      <c r="F4509" t="s">
        <v>45</v>
      </c>
      <c r="G4509">
        <v>-211.97540000000001</v>
      </c>
      <c r="H4509">
        <v>-0.05</v>
      </c>
      <c r="I4509">
        <v>84.235439999999997</v>
      </c>
      <c r="J4509">
        <v>-189.60509999999999</v>
      </c>
      <c r="K4509">
        <v>1.1086370000000001</v>
      </c>
      <c r="L4509">
        <v>181.34630000000001</v>
      </c>
      <c r="M4509">
        <v>-9.1918009999999994E-2</v>
      </c>
      <c r="N4509">
        <v>0</v>
      </c>
      <c r="O4509">
        <v>-0.99574169999999995</v>
      </c>
      <c r="P4509">
        <v>-0.1224939</v>
      </c>
      <c r="Q4509">
        <v>4.3633200000000004E-3</v>
      </c>
      <c r="R4509">
        <v>-0.99245989999999995</v>
      </c>
      <c r="S4509">
        <v>-0.67660520000000002</v>
      </c>
      <c r="T4509">
        <v>-3.5017850000000003E-2</v>
      </c>
      <c r="U4509">
        <v>-2.9400019999999998</v>
      </c>
      <c r="V4509">
        <v>3.076311E-2</v>
      </c>
      <c r="W4509">
        <v>1.136786E-2</v>
      </c>
      <c r="X4509">
        <v>0.99946210000000002</v>
      </c>
      <c r="Y4509">
        <v>0.13373170000000001</v>
      </c>
      <c r="Z4509">
        <v>1.162915E-2</v>
      </c>
      <c r="AA4509">
        <v>0.99094930000000003</v>
      </c>
      <c r="AB4509">
        <v>16</v>
      </c>
      <c r="AC4509">
        <v>-22.3703</v>
      </c>
      <c r="AD4509">
        <v>-1.1586369999999999</v>
      </c>
      <c r="AE4509">
        <v>-97.110860000000002</v>
      </c>
      <c r="AF4509">
        <v>13.3473299981894</v>
      </c>
      <c r="AG4509">
        <v>-1.1586369999999999</v>
      </c>
      <c r="AH4509">
        <v>98.742665038259005</v>
      </c>
      <c r="AI4509">
        <v>90.666214022734806</v>
      </c>
      <c r="AJ4509">
        <v>82.301824687488903</v>
      </c>
      <c r="AK4509">
        <v>99.647416206523701</v>
      </c>
      <c r="AL4509">
        <v>89.348655598884704</v>
      </c>
      <c r="AM4509">
        <v>88.237011625470899</v>
      </c>
      <c r="AN4509">
        <v>1.0000000432571201</v>
      </c>
    </row>
    <row r="4510" spans="1:40" x14ac:dyDescent="0.25">
      <c r="A4510" t="str">
        <f>"20190312160733595"</f>
        <v>20190312160733595</v>
      </c>
      <c r="B4510" t="str">
        <f>"1552378053589508"</f>
        <v>1552378053589508</v>
      </c>
      <c r="C4510" t="s">
        <v>40</v>
      </c>
      <c r="D4510">
        <v>5.9960269999999998</v>
      </c>
      <c r="E4510">
        <v>0.54850730000000003</v>
      </c>
      <c r="F4510" t="s">
        <v>45</v>
      </c>
      <c r="G4510">
        <v>-211.7182</v>
      </c>
      <c r="H4510">
        <v>-0.05</v>
      </c>
      <c r="I4510">
        <v>91.067599999999999</v>
      </c>
      <c r="J4510">
        <v>-189.62200000000001</v>
      </c>
      <c r="K4510">
        <v>1.1086400000000001</v>
      </c>
      <c r="L4510">
        <v>181.17869999999999</v>
      </c>
      <c r="M4510">
        <v>-9.3114959999999997E-2</v>
      </c>
      <c r="N4510">
        <v>0</v>
      </c>
      <c r="O4510">
        <v>-0.99563049999999997</v>
      </c>
      <c r="P4510">
        <v>-0.1249728</v>
      </c>
      <c r="Q4510">
        <v>5.4390469999999998E-3</v>
      </c>
      <c r="R4510">
        <v>-0.99214550000000001</v>
      </c>
      <c r="S4510">
        <v>-0.71871949999999996</v>
      </c>
      <c r="T4510">
        <v>-3.7657980000000001E-2</v>
      </c>
      <c r="U4510">
        <v>-2.9342350000000001</v>
      </c>
      <c r="V4510">
        <v>3.206022E-2</v>
      </c>
      <c r="W4510">
        <v>1.2446860000000001E-2</v>
      </c>
      <c r="X4510">
        <v>0.99940839999999997</v>
      </c>
      <c r="Y4510">
        <v>0.14641379999999901</v>
      </c>
      <c r="Z4510">
        <v>1.2495819999999999E-2</v>
      </c>
      <c r="AA4510">
        <v>0.98914449999999998</v>
      </c>
      <c r="AB4510">
        <v>16</v>
      </c>
      <c r="AC4510">
        <v>-22.0961999999999</v>
      </c>
      <c r="AD4510">
        <v>-1.1586399999999999</v>
      </c>
      <c r="AE4510">
        <v>-90.111099999999993</v>
      </c>
      <c r="AF4510">
        <v>13.6071740733691</v>
      </c>
      <c r="AG4510">
        <v>-1.1586399999999999</v>
      </c>
      <c r="AH4510">
        <v>91.762808076126902</v>
      </c>
      <c r="AI4510">
        <v>90.715580990537603</v>
      </c>
      <c r="AJ4510">
        <v>81.565281467307997</v>
      </c>
      <c r="AK4510">
        <v>92.773436817489198</v>
      </c>
      <c r="AL4510">
        <v>89.286829014171602</v>
      </c>
      <c r="AM4510">
        <v>88.162627433194899</v>
      </c>
      <c r="AN4510">
        <v>0.99999996601043295</v>
      </c>
    </row>
    <row r="4511" spans="1:40" x14ac:dyDescent="0.25">
      <c r="A4511" t="str">
        <f>"20190312160733617"</f>
        <v>20190312160733617</v>
      </c>
      <c r="B4511" t="str">
        <f>"1552378053610005"</f>
        <v>1552378053610005</v>
      </c>
      <c r="C4511" t="s">
        <v>40</v>
      </c>
      <c r="D4511">
        <v>5.9279169999999999</v>
      </c>
      <c r="E4511">
        <v>0.54962469999999997</v>
      </c>
      <c r="F4511" t="s">
        <v>56</v>
      </c>
      <c r="G4511">
        <v>-211.3588</v>
      </c>
      <c r="H4511">
        <v>0.45039709999999999</v>
      </c>
      <c r="I4511">
        <v>97.454239999999999</v>
      </c>
      <c r="J4511">
        <v>-189.6395</v>
      </c>
      <c r="K4511">
        <v>1.108641</v>
      </c>
      <c r="L4511">
        <v>181.0067</v>
      </c>
      <c r="M4511">
        <v>-9.4325160000000005E-2</v>
      </c>
      <c r="N4511">
        <v>0</v>
      </c>
      <c r="O4511">
        <v>-0.99551639999999997</v>
      </c>
      <c r="P4511">
        <v>-0.12647900000000001</v>
      </c>
      <c r="Q4511">
        <v>5.608371E-3</v>
      </c>
      <c r="R4511">
        <v>-0.99195350000000004</v>
      </c>
      <c r="S4511">
        <v>-0.76020810000000005</v>
      </c>
      <c r="T4511">
        <v>-2.3019910000000001E-2</v>
      </c>
      <c r="U4511">
        <v>-2.9281160000000002</v>
      </c>
      <c r="V4511">
        <v>3.2362929999999998E-2</v>
      </c>
      <c r="W4511">
        <v>1.2620889999999999E-2</v>
      </c>
      <c r="X4511">
        <v>0.99939650000000002</v>
      </c>
      <c r="Y4511">
        <v>0.15886420000000001</v>
      </c>
      <c r="Z4511">
        <v>7.6326390000000001E-3</v>
      </c>
      <c r="AA4511">
        <v>0.98727100000000001</v>
      </c>
      <c r="AB4511">
        <v>17</v>
      </c>
      <c r="AC4511">
        <v>-21.7193</v>
      </c>
      <c r="AD4511">
        <v>-0.65824389999999999</v>
      </c>
      <c r="AE4511">
        <v>-83.552459999999996</v>
      </c>
      <c r="AF4511">
        <v>13.740363937793401</v>
      </c>
      <c r="AG4511">
        <v>-0.65824389999999999</v>
      </c>
      <c r="AH4511">
        <v>85.223690772574997</v>
      </c>
      <c r="AI4511">
        <v>90.4368861487213</v>
      </c>
      <c r="AJ4511">
        <v>80.841186529887807</v>
      </c>
      <c r="AK4511">
        <v>86.326753414421901</v>
      </c>
      <c r="AL4511">
        <v>89.276857074302697</v>
      </c>
      <c r="AM4511">
        <v>88.145269101343004</v>
      </c>
      <c r="AN4511">
        <v>1.0000000051574101</v>
      </c>
    </row>
    <row r="4512" spans="1:40" x14ac:dyDescent="0.25">
      <c r="A4512" t="str">
        <f>"20190312160733640"</f>
        <v>20190312160733640</v>
      </c>
      <c r="B4512" t="str">
        <f>"1552378053629525"</f>
        <v>1552378053629525</v>
      </c>
      <c r="C4512" t="s">
        <v>40</v>
      </c>
      <c r="D4512">
        <v>5.7834289999999999</v>
      </c>
      <c r="E4512">
        <v>0.5500235</v>
      </c>
      <c r="F4512" t="s">
        <v>56</v>
      </c>
      <c r="G4512">
        <v>-211.48060000000001</v>
      </c>
      <c r="H4512">
        <v>0.51618229999999998</v>
      </c>
      <c r="I4512">
        <v>98.375470000000007</v>
      </c>
      <c r="J4512">
        <v>-189.6568</v>
      </c>
      <c r="K4512">
        <v>1.108638</v>
      </c>
      <c r="L4512">
        <v>180.83869999999999</v>
      </c>
      <c r="M4512">
        <v>-9.5494330000000002E-2</v>
      </c>
      <c r="N4512">
        <v>0</v>
      </c>
      <c r="O4512">
        <v>-0.99540519999999999</v>
      </c>
      <c r="P4512">
        <v>-0.12777620000000001</v>
      </c>
      <c r="Q4512">
        <v>4.5565689999999999E-3</v>
      </c>
      <c r="R4512">
        <v>-0.99179280000000003</v>
      </c>
      <c r="S4512">
        <v>-0.77336119999999997</v>
      </c>
      <c r="T4512">
        <v>-2.0977019999999999E-2</v>
      </c>
      <c r="U4512">
        <v>-2.9258419999999998</v>
      </c>
      <c r="V4512">
        <v>3.2494269999999999E-2</v>
      </c>
      <c r="W4512">
        <v>1.157479E-2</v>
      </c>
      <c r="X4512">
        <v>0.99940490000000004</v>
      </c>
      <c r="Y4512">
        <v>0.16204470000000001</v>
      </c>
      <c r="Z4512">
        <v>6.9536609999999999E-3</v>
      </c>
      <c r="AA4512">
        <v>0.98675889999999999</v>
      </c>
      <c r="AB4512">
        <v>17</v>
      </c>
      <c r="AC4512">
        <v>-21.823799999999999</v>
      </c>
      <c r="AD4512">
        <v>-0.59245570000000003</v>
      </c>
      <c r="AE4512">
        <v>-82.463229999999996</v>
      </c>
      <c r="AF4512">
        <v>13.848426609613</v>
      </c>
      <c r="AG4512">
        <v>-0.59245570000000003</v>
      </c>
      <c r="AH4512">
        <v>84.166392771641796</v>
      </c>
      <c r="AI4512">
        <v>90.397953501898499</v>
      </c>
      <c r="AJ4512">
        <v>80.656480896362496</v>
      </c>
      <c r="AK4512">
        <v>85.300126585536702</v>
      </c>
      <c r="AL4512">
        <v>89.3367985773519</v>
      </c>
      <c r="AM4512">
        <v>88.137762890313994</v>
      </c>
      <c r="AN4512">
        <v>1.0000000037451899</v>
      </c>
    </row>
    <row r="4513" spans="1:40" x14ac:dyDescent="0.25">
      <c r="A4513" t="str">
        <f>"20190312160733662"</f>
        <v>20190312160733662</v>
      </c>
      <c r="B4513" t="str">
        <f>"1552378053650022"</f>
        <v>1552378053650022</v>
      </c>
      <c r="C4513" t="s">
        <v>40</v>
      </c>
      <c r="D4513">
        <v>5.8050660000000001</v>
      </c>
      <c r="E4513">
        <v>0.54955540000000003</v>
      </c>
      <c r="F4513" t="s">
        <v>56</v>
      </c>
      <c r="G4513">
        <v>-211.65539999999999</v>
      </c>
      <c r="H4513">
        <v>0.68892109999999995</v>
      </c>
      <c r="I4513">
        <v>98.375470000000007</v>
      </c>
      <c r="J4513">
        <v>-189.67490000000001</v>
      </c>
      <c r="K4513">
        <v>1.108636</v>
      </c>
      <c r="L4513">
        <v>180.66470000000001</v>
      </c>
      <c r="M4513">
        <v>-9.6695489999999995E-2</v>
      </c>
      <c r="N4513">
        <v>0</v>
      </c>
      <c r="O4513">
        <v>-0.99528919999999999</v>
      </c>
      <c r="P4513">
        <v>-0.12850339999999999</v>
      </c>
      <c r="Q4513">
        <v>5.1286070000000003E-3</v>
      </c>
      <c r="R4513">
        <v>-0.99169629999999998</v>
      </c>
      <c r="S4513">
        <v>-0.7801361</v>
      </c>
      <c r="T4513">
        <v>-1.48834E-2</v>
      </c>
      <c r="U4513">
        <v>-2.9243929999999998</v>
      </c>
      <c r="V4513">
        <v>3.2022109999999999E-2</v>
      </c>
      <c r="W4513">
        <v>1.2154109999999999E-2</v>
      </c>
      <c r="X4513">
        <v>0.99941329999999995</v>
      </c>
      <c r="Y4513">
        <v>0.16311310000000001</v>
      </c>
      <c r="Z4513">
        <v>4.9333689999999999E-3</v>
      </c>
      <c r="AA4513">
        <v>0.986595</v>
      </c>
      <c r="AB4513">
        <v>17</v>
      </c>
      <c r="AC4513">
        <v>-21.9804999999999</v>
      </c>
      <c r="AD4513">
        <v>-0.4197149</v>
      </c>
      <c r="AE4513">
        <v>-82.289230000000003</v>
      </c>
      <c r="AF4513">
        <v>13.919962603921199</v>
      </c>
      <c r="AG4513">
        <v>-0.4197149</v>
      </c>
      <c r="AH4513">
        <v>84.027031882520802</v>
      </c>
      <c r="AI4513">
        <v>90.282342025078094</v>
      </c>
      <c r="AJ4513">
        <v>80.593776295398897</v>
      </c>
      <c r="AK4513">
        <v>85.173256404096705</v>
      </c>
      <c r="AL4513">
        <v>89.303603675589798</v>
      </c>
      <c r="AM4513">
        <v>88.164819016076194</v>
      </c>
      <c r="AN4513">
        <v>1.00000004106781</v>
      </c>
    </row>
    <row r="4514" spans="1:40" x14ac:dyDescent="0.25">
      <c r="A4514" t="str">
        <f>"20190312160733684"</f>
        <v>20190312160733684</v>
      </c>
      <c r="B4514" t="str">
        <f>"1552378053680277"</f>
        <v>1552378053680277</v>
      </c>
      <c r="C4514" t="s">
        <v>40</v>
      </c>
      <c r="D4514">
        <v>5.8844469999999998</v>
      </c>
      <c r="E4514">
        <v>0.54929859999999997</v>
      </c>
      <c r="F4514" t="s">
        <v>56</v>
      </c>
      <c r="G4514">
        <v>-211.57759999999999</v>
      </c>
      <c r="H4514">
        <v>0.87372590000000006</v>
      </c>
      <c r="I4514">
        <v>98.375470000000007</v>
      </c>
      <c r="J4514">
        <v>-189.69120000000001</v>
      </c>
      <c r="K4514">
        <v>1.1086290000000001</v>
      </c>
      <c r="L4514">
        <v>180.5094</v>
      </c>
      <c r="M4514">
        <v>-9.7761299999999995E-2</v>
      </c>
      <c r="N4514">
        <v>0</v>
      </c>
      <c r="O4514">
        <v>-0.99518490000000004</v>
      </c>
      <c r="P4514">
        <v>-0.1292749</v>
      </c>
      <c r="Q4514">
        <v>5.1005879999999996E-3</v>
      </c>
      <c r="R4514">
        <v>-0.99159589999999997</v>
      </c>
      <c r="S4514">
        <v>-0.77835080000000001</v>
      </c>
      <c r="T4514">
        <v>-8.3469149999999999E-3</v>
      </c>
      <c r="U4514">
        <v>-2.9242859999999999</v>
      </c>
      <c r="V4514">
        <v>3.1729420000000001E-2</v>
      </c>
      <c r="W4514">
        <v>1.213265E-2</v>
      </c>
      <c r="X4514">
        <v>0.99942279999999994</v>
      </c>
      <c r="Y4514">
        <v>0.16150499999999901</v>
      </c>
      <c r="Z4514">
        <v>2.7670049999999999E-3</v>
      </c>
      <c r="AA4514">
        <v>0.98686799999999997</v>
      </c>
      <c r="AB4514">
        <v>17</v>
      </c>
      <c r="AC4514">
        <v>-21.886399999999899</v>
      </c>
      <c r="AD4514">
        <v>-0.2349031</v>
      </c>
      <c r="AE4514">
        <v>-82.133930000000007</v>
      </c>
      <c r="AF4514">
        <v>13.751732031658101</v>
      </c>
      <c r="AG4514">
        <v>-0.2349031</v>
      </c>
      <c r="AH4514">
        <v>83.879535470017004</v>
      </c>
      <c r="AI4514">
        <v>90.158341500942299</v>
      </c>
      <c r="AJ4514">
        <v>80.689402272610593</v>
      </c>
      <c r="AK4514">
        <v>84.999657552267607</v>
      </c>
      <c r="AL4514">
        <v>89.304833267004497</v>
      </c>
      <c r="AM4514">
        <v>88.181598983706195</v>
      </c>
      <c r="AN4514">
        <v>0.99999994522469704</v>
      </c>
    </row>
    <row r="4515" spans="1:40" x14ac:dyDescent="0.25">
      <c r="A4515" t="str">
        <f>"20190312160733706"</f>
        <v>20190312160733706</v>
      </c>
      <c r="B4515" t="str">
        <f>"1552378053699797"</f>
        <v>1552378053699797</v>
      </c>
      <c r="C4515" t="s">
        <v>40</v>
      </c>
      <c r="D4515">
        <v>5.9601709999999999</v>
      </c>
      <c r="E4515">
        <v>0.54978629999999995</v>
      </c>
      <c r="F4515" t="s">
        <v>56</v>
      </c>
      <c r="G4515">
        <v>-211.55670000000001</v>
      </c>
      <c r="H4515">
        <v>1.0493709999999901</v>
      </c>
      <c r="I4515">
        <v>98.375470000000007</v>
      </c>
      <c r="J4515">
        <v>-189.70959999999999</v>
      </c>
      <c r="K4515">
        <v>1.108617</v>
      </c>
      <c r="L4515">
        <v>180.33709999999999</v>
      </c>
      <c r="M4515">
        <v>-9.8940760000000003E-2</v>
      </c>
      <c r="N4515">
        <v>0</v>
      </c>
      <c r="O4515">
        <v>-0.99506830000000002</v>
      </c>
      <c r="P4515">
        <v>-0.13035450000000001</v>
      </c>
      <c r="Q4515">
        <v>4.3616699999999998E-3</v>
      </c>
      <c r="R4515">
        <v>-0.9914579</v>
      </c>
      <c r="S4515">
        <v>-0.77841190000000005</v>
      </c>
      <c r="T4515">
        <v>-2.1085740000000002E-3</v>
      </c>
      <c r="U4515">
        <v>-2.9239649999999999</v>
      </c>
      <c r="V4515">
        <v>3.1631939999999997E-2</v>
      </c>
      <c r="W4515">
        <v>1.1400749999999999E-2</v>
      </c>
      <c r="X4515">
        <v>0.99943459999999995</v>
      </c>
      <c r="Y4515">
        <v>0.1603822</v>
      </c>
      <c r="Z4515">
        <v>6.9900919999999996E-4</v>
      </c>
      <c r="AA4515">
        <v>0.98705469999999895</v>
      </c>
      <c r="AB4515">
        <v>17</v>
      </c>
      <c r="AC4515">
        <v>-21.847100000000001</v>
      </c>
      <c r="AD4515">
        <v>-5.9246000000000097E-2</v>
      </c>
      <c r="AE4515">
        <v>-81.96163</v>
      </c>
      <c r="AF4515">
        <v>13.6303434738789</v>
      </c>
      <c r="AG4515">
        <v>-5.9246000000000097E-2</v>
      </c>
      <c r="AH4515">
        <v>83.7210325263556</v>
      </c>
      <c r="AI4515">
        <v>90.040019003555102</v>
      </c>
      <c r="AJ4515">
        <v>80.752995096314706</v>
      </c>
      <c r="AK4515">
        <v>84.823352094712206</v>
      </c>
      <c r="AL4515">
        <v>89.346771015349205</v>
      </c>
      <c r="AM4515">
        <v>88.187203181252798</v>
      </c>
      <c r="AN4515">
        <v>1.0000000382029399</v>
      </c>
    </row>
    <row r="4516" spans="1:40" x14ac:dyDescent="0.25">
      <c r="A4516" t="str">
        <f>"20190312160733729"</f>
        <v>20190312160733729</v>
      </c>
      <c r="B4516" t="str">
        <f>"1552378053720293"</f>
        <v>1552378053720293</v>
      </c>
      <c r="C4516" t="s">
        <v>40</v>
      </c>
      <c r="D4516">
        <v>5.8835449999999998</v>
      </c>
      <c r="E4516">
        <v>0.55006940000000004</v>
      </c>
      <c r="F4516" t="s">
        <v>56</v>
      </c>
      <c r="G4516">
        <v>-211.73429999999999</v>
      </c>
      <c r="H4516">
        <v>0.93992600000000004</v>
      </c>
      <c r="I4516">
        <v>98.375470000000007</v>
      </c>
      <c r="J4516">
        <v>-189.72880000000001</v>
      </c>
      <c r="K4516">
        <v>1.1086039999999999</v>
      </c>
      <c r="L4516">
        <v>180.15799999999999</v>
      </c>
      <c r="M4516">
        <v>-0.1001657</v>
      </c>
      <c r="N4516">
        <v>0</v>
      </c>
      <c r="O4516">
        <v>-0.99494590000000005</v>
      </c>
      <c r="P4516">
        <v>-0.13117409999999999</v>
      </c>
      <c r="Q4516">
        <v>4.3031249999999997E-3</v>
      </c>
      <c r="R4516">
        <v>-0.99135059999999997</v>
      </c>
      <c r="S4516">
        <v>-0.78536989999999995</v>
      </c>
      <c r="T4516">
        <v>-6.0142279999999999E-3</v>
      </c>
      <c r="U4516">
        <v>-2.9226230000000002</v>
      </c>
      <c r="V4516">
        <v>3.1227890000000001E-2</v>
      </c>
      <c r="W4516">
        <v>1.1350219999999999E-2</v>
      </c>
      <c r="X4516">
        <v>0.9994478</v>
      </c>
      <c r="Y4516">
        <v>0.16147230000000001</v>
      </c>
      <c r="Z4516">
        <v>1.9934950000000001E-3</v>
      </c>
      <c r="AA4516">
        <v>0.98687519999999995</v>
      </c>
      <c r="AB4516">
        <v>17</v>
      </c>
      <c r="AC4516">
        <v>-22.005499999999898</v>
      </c>
      <c r="AD4516">
        <v>-0.16867799999999999</v>
      </c>
      <c r="AE4516">
        <v>-81.782529999999994</v>
      </c>
      <c r="AF4516">
        <v>13.7027623522157</v>
      </c>
      <c r="AG4516">
        <v>-0.16867799999999999</v>
      </c>
      <c r="AH4516">
        <v>83.575125744283596</v>
      </c>
      <c r="AI4516">
        <v>90.114115118083902</v>
      </c>
      <c r="AJ4516">
        <v>80.688776623130494</v>
      </c>
      <c r="AK4516">
        <v>84.6911789475256</v>
      </c>
      <c r="AL4516">
        <v>89.349666305351704</v>
      </c>
      <c r="AM4516">
        <v>88.210367373370801</v>
      </c>
      <c r="AN4516">
        <v>0.99999995676636899</v>
      </c>
    </row>
    <row r="4517" spans="1:40" x14ac:dyDescent="0.25">
      <c r="A4517" t="str">
        <f>"20190312160733750"</f>
        <v>20190312160733750</v>
      </c>
      <c r="B4517" t="str">
        <f>"1552378053739813"</f>
        <v>1552378053739813</v>
      </c>
      <c r="C4517" t="s">
        <v>40</v>
      </c>
      <c r="D4517">
        <v>5.9230150000000004</v>
      </c>
      <c r="E4517">
        <v>0.55047019999999902</v>
      </c>
      <c r="F4517" t="s">
        <v>56</v>
      </c>
      <c r="G4517">
        <v>-211.8486</v>
      </c>
      <c r="H4517">
        <v>0.92390530000000004</v>
      </c>
      <c r="I4517">
        <v>98.375470000000007</v>
      </c>
      <c r="J4517">
        <v>-189.74619999999999</v>
      </c>
      <c r="K4517">
        <v>1.108606</v>
      </c>
      <c r="L4517">
        <v>179.99850000000001</v>
      </c>
      <c r="M4517">
        <v>-0.1012584</v>
      </c>
      <c r="N4517">
        <v>0</v>
      </c>
      <c r="O4517">
        <v>-0.99483509999999997</v>
      </c>
      <c r="P4517">
        <v>-0.13230020000000001</v>
      </c>
      <c r="Q4517">
        <v>5.2462250000000002E-3</v>
      </c>
      <c r="R4517">
        <v>-0.99119639999999998</v>
      </c>
      <c r="S4517">
        <v>-0.79022219999999999</v>
      </c>
      <c r="T4517">
        <v>-6.597281E-3</v>
      </c>
      <c r="U4517">
        <v>-2.921646</v>
      </c>
      <c r="V4517">
        <v>3.1267509999999998E-2</v>
      </c>
      <c r="W4517">
        <v>1.2300480000000001E-2</v>
      </c>
      <c r="X4517">
        <v>0.99943539999999997</v>
      </c>
      <c r="Y4517">
        <v>0.161998799999999</v>
      </c>
      <c r="Z4517">
        <v>2.1865349999999999E-3</v>
      </c>
      <c r="AA4517">
        <v>0.98678849999999996</v>
      </c>
      <c r="AB4517">
        <v>17</v>
      </c>
      <c r="AC4517">
        <v>-22.102399999999999</v>
      </c>
      <c r="AD4517">
        <v>-0.184700699999999</v>
      </c>
      <c r="AE4517">
        <v>-81.62303</v>
      </c>
      <c r="AF4517">
        <v>13.7235025572888</v>
      </c>
      <c r="AG4517">
        <v>-0.184700699999999</v>
      </c>
      <c r="AH4517">
        <v>83.441191035914997</v>
      </c>
      <c r="AI4517">
        <v>90.125145193185503</v>
      </c>
      <c r="AJ4517">
        <v>80.660226245916704</v>
      </c>
      <c r="AK4517">
        <v>84.562408895918793</v>
      </c>
      <c r="AL4517">
        <v>89.295216664157806</v>
      </c>
      <c r="AM4517">
        <v>88.208076060764199</v>
      </c>
      <c r="AN4517">
        <v>1.00000003888149</v>
      </c>
    </row>
    <row r="4518" spans="1:40" x14ac:dyDescent="0.25">
      <c r="A4518" t="str">
        <f>"20190312160733772"</f>
        <v>20190312160733772</v>
      </c>
      <c r="B4518" t="str">
        <f>"1552378053759333"</f>
        <v>1552378053759333</v>
      </c>
      <c r="C4518" t="s">
        <v>40</v>
      </c>
      <c r="D4518">
        <v>6.0969100000000003</v>
      </c>
      <c r="E4518">
        <v>0.55111999999999906</v>
      </c>
      <c r="F4518" t="s">
        <v>56</v>
      </c>
      <c r="G4518">
        <v>-212.0164</v>
      </c>
      <c r="H4518">
        <v>1.01786</v>
      </c>
      <c r="I4518">
        <v>98.375470000000007</v>
      </c>
      <c r="J4518">
        <v>-189.76519999999999</v>
      </c>
      <c r="K4518">
        <v>1.108603</v>
      </c>
      <c r="L4518">
        <v>179.82490000000001</v>
      </c>
      <c r="M4518">
        <v>-0.1024491</v>
      </c>
      <c r="N4518">
        <v>0</v>
      </c>
      <c r="O4518">
        <v>-0.99471319999999996</v>
      </c>
      <c r="P4518">
        <v>-0.13398940000000001</v>
      </c>
      <c r="Q4518">
        <v>6.4076940000000002E-3</v>
      </c>
      <c r="R4518">
        <v>-0.99096249999999997</v>
      </c>
      <c r="S4518">
        <v>-0.79678340000000003</v>
      </c>
      <c r="T4518">
        <v>-3.2457110000000001E-3</v>
      </c>
      <c r="U4518">
        <v>-2.9203030000000001</v>
      </c>
      <c r="V4518">
        <v>3.1777270000000003E-2</v>
      </c>
      <c r="W4518">
        <v>1.346578E-2</v>
      </c>
      <c r="X4518">
        <v>0.99940430000000002</v>
      </c>
      <c r="Y4518">
        <v>0.16299710000000001</v>
      </c>
      <c r="Z4518">
        <v>1.075606E-3</v>
      </c>
      <c r="AA4518">
        <v>0.986626</v>
      </c>
      <c r="AB4518">
        <v>17</v>
      </c>
      <c r="AC4518">
        <v>-22.251200000000001</v>
      </c>
      <c r="AD4518">
        <v>-9.0743000000000004E-2</v>
      </c>
      <c r="AE4518">
        <v>-81.449430000000007</v>
      </c>
      <c r="AF4518">
        <v>13.7894692104089</v>
      </c>
      <c r="AG4518">
        <v>-9.0743000000000004E-2</v>
      </c>
      <c r="AH4518">
        <v>83.300417880731601</v>
      </c>
      <c r="AI4518">
        <v>90.061576920877599</v>
      </c>
      <c r="AJ4518">
        <v>80.600552680729194</v>
      </c>
      <c r="AK4518">
        <v>84.434100424540404</v>
      </c>
      <c r="AL4518">
        <v>89.228444349306002</v>
      </c>
      <c r="AM4518">
        <v>88.1788248750821</v>
      </c>
      <c r="AN4518">
        <v>1.0000000384890699</v>
      </c>
    </row>
    <row r="4519" spans="1:40" x14ac:dyDescent="0.25">
      <c r="A4519" t="str">
        <f>"20190312160733807"</f>
        <v>20190312160733807</v>
      </c>
      <c r="B4519" t="str">
        <f>"1552378053799349"</f>
        <v>1552378053799349</v>
      </c>
      <c r="C4519" t="s">
        <v>40</v>
      </c>
      <c r="D4519">
        <v>6.086697</v>
      </c>
      <c r="E4519">
        <v>0.55169179999999995</v>
      </c>
      <c r="F4519" t="s">
        <v>56</v>
      </c>
      <c r="G4519">
        <v>-212.28460000000001</v>
      </c>
      <c r="H4519">
        <v>1.0623339999999999</v>
      </c>
      <c r="I4519">
        <v>98.375470000000007</v>
      </c>
      <c r="J4519">
        <v>-189.79470000000001</v>
      </c>
      <c r="K4519">
        <v>1.10859</v>
      </c>
      <c r="L4519">
        <v>179.56039999999999</v>
      </c>
      <c r="M4519">
        <v>-0.10427210000000001</v>
      </c>
      <c r="N4519">
        <v>0</v>
      </c>
      <c r="O4519">
        <v>-0.99452370000000001</v>
      </c>
      <c r="P4519">
        <v>-0.13680439999999999</v>
      </c>
      <c r="Q4519">
        <v>7.7873090000000001E-3</v>
      </c>
      <c r="R4519">
        <v>-0.99056789999999995</v>
      </c>
      <c r="S4519">
        <v>-0.80685419999999997</v>
      </c>
      <c r="T4519">
        <v>-1.656771E-3</v>
      </c>
      <c r="U4519">
        <v>-2.9182739999999998</v>
      </c>
      <c r="V4519">
        <v>3.278843E-2</v>
      </c>
      <c r="W4519">
        <v>1.4833209999999999E-2</v>
      </c>
      <c r="X4519">
        <v>0.99935220000000002</v>
      </c>
      <c r="Y4519">
        <v>0.1645287</v>
      </c>
      <c r="Z4519">
        <v>5.489364E-4</v>
      </c>
      <c r="AA4519">
        <v>0.98637220000000003</v>
      </c>
      <c r="AB4519">
        <v>17</v>
      </c>
      <c r="AC4519">
        <v>-22.489899999999999</v>
      </c>
      <c r="AD4519">
        <v>-4.6255999999999797E-2</v>
      </c>
      <c r="AE4519">
        <v>-81.184929999999994</v>
      </c>
      <c r="AF4519">
        <v>13.901758356400901</v>
      </c>
      <c r="AG4519">
        <v>-4.6255999999999797E-2</v>
      </c>
      <c r="AH4519">
        <v>83.0874557107268</v>
      </c>
      <c r="AI4519">
        <v>90.031460082992794</v>
      </c>
      <c r="AJ4519">
        <v>80.501551742865601</v>
      </c>
      <c r="AK4519">
        <v>84.242425899894997</v>
      </c>
      <c r="AL4519">
        <v>89.150088469673307</v>
      </c>
      <c r="AM4519">
        <v>88.120817677521202</v>
      </c>
      <c r="AN4519">
        <v>0.99999996245280298</v>
      </c>
    </row>
    <row r="4520" spans="1:40" x14ac:dyDescent="0.25">
      <c r="A4520" t="str">
        <f>"20190312160733830"</f>
        <v>20190312160733830</v>
      </c>
      <c r="B4520" t="str">
        <f>"1552378053819845"</f>
        <v>1552378053819845</v>
      </c>
      <c r="C4520" t="s">
        <v>40</v>
      </c>
      <c r="D4520">
        <v>7.5788759999999904</v>
      </c>
      <c r="E4520">
        <v>0.55088340000000002</v>
      </c>
      <c r="F4520" t="s">
        <v>56</v>
      </c>
      <c r="G4520">
        <v>-212.6234</v>
      </c>
      <c r="H4520">
        <v>0.89532069999999997</v>
      </c>
      <c r="I4520">
        <v>98.375470000000007</v>
      </c>
      <c r="J4520">
        <v>-189.815</v>
      </c>
      <c r="K4520">
        <v>1.1085830000000001</v>
      </c>
      <c r="L4520">
        <v>179.3811</v>
      </c>
      <c r="M4520">
        <v>-0.1055108</v>
      </c>
      <c r="N4520">
        <v>0</v>
      </c>
      <c r="O4520">
        <v>-0.99439310000000003</v>
      </c>
      <c r="P4520">
        <v>-0.13808619999999999</v>
      </c>
      <c r="Q4520">
        <v>8.7247599999999998E-3</v>
      </c>
      <c r="R4520">
        <v>-0.99038230000000005</v>
      </c>
      <c r="S4520">
        <v>-0.81979369999999996</v>
      </c>
      <c r="T4520">
        <v>-7.6576469999999897E-3</v>
      </c>
      <c r="U4520">
        <v>-2.9154049999999998</v>
      </c>
      <c r="V4520">
        <v>3.2839380000000001E-2</v>
      </c>
      <c r="W4520">
        <v>1.575578E-2</v>
      </c>
      <c r="X4520">
        <v>0.99933640000000001</v>
      </c>
      <c r="Y4520">
        <v>0.16760939999999999</v>
      </c>
      <c r="Z4520">
        <v>2.536946E-3</v>
      </c>
      <c r="AA4520">
        <v>0.98585020000000001</v>
      </c>
      <c r="AB4520">
        <v>17</v>
      </c>
      <c r="AC4520">
        <v>-22.808399999999999</v>
      </c>
      <c r="AD4520">
        <v>-0.21326229999999999</v>
      </c>
      <c r="AE4520">
        <v>-81.005629999999996</v>
      </c>
      <c r="AF4520">
        <v>14.133808167265601</v>
      </c>
      <c r="AG4520">
        <v>-0.21326229999999999</v>
      </c>
      <c r="AH4520">
        <v>82.959506436615499</v>
      </c>
      <c r="AI4520">
        <v>90.145196608986197</v>
      </c>
      <c r="AJ4520">
        <v>80.331353937141003</v>
      </c>
      <c r="AK4520">
        <v>84.155152678398196</v>
      </c>
      <c r="AL4520">
        <v>89.097222908150002</v>
      </c>
      <c r="AM4520">
        <v>88.117869975731494</v>
      </c>
      <c r="AN4520">
        <v>0.99999995492357496</v>
      </c>
    </row>
    <row r="4521" spans="1:40" x14ac:dyDescent="0.25">
      <c r="A4521" t="str">
        <f>"20190312160733852"</f>
        <v>20190312160733852</v>
      </c>
      <c r="B4521" t="str">
        <f>"1552378053839364"</f>
        <v>1552378053839364</v>
      </c>
      <c r="C4521" t="s">
        <v>40</v>
      </c>
      <c r="D4521">
        <v>5.8511119999999996</v>
      </c>
      <c r="E4521">
        <v>0.54997119999999999</v>
      </c>
      <c r="F4521" t="s">
        <v>56</v>
      </c>
      <c r="G4521">
        <v>-212.524</v>
      </c>
      <c r="H4521">
        <v>1.0953310000000001</v>
      </c>
      <c r="I4521">
        <v>98.375470000000007</v>
      </c>
      <c r="J4521">
        <v>-189.8347</v>
      </c>
      <c r="K4521">
        <v>1.1085670000000001</v>
      </c>
      <c r="L4521">
        <v>179.20830000000001</v>
      </c>
      <c r="M4521">
        <v>-0.10670549999999999</v>
      </c>
      <c r="N4521">
        <v>0</v>
      </c>
      <c r="O4521">
        <v>-0.99426579999999998</v>
      </c>
      <c r="P4521">
        <v>-0.13867460000000001</v>
      </c>
      <c r="Q4521">
        <v>9.4426800000000002E-3</v>
      </c>
      <c r="R4521">
        <v>-0.99029330000000004</v>
      </c>
      <c r="S4521">
        <v>-0.81724549999999996</v>
      </c>
      <c r="T4521">
        <v>-4.7588349999999998E-4</v>
      </c>
      <c r="U4521">
        <v>-2.9152070000000001</v>
      </c>
      <c r="V4521">
        <v>3.2234359999999997E-2</v>
      </c>
      <c r="W4521">
        <v>1.6456160000000001E-2</v>
      </c>
      <c r="X4521">
        <v>0.99934489999999998</v>
      </c>
      <c r="Y4521">
        <v>0.16564409999999999</v>
      </c>
      <c r="Z4521">
        <v>1.576835E-4</v>
      </c>
      <c r="AA4521">
        <v>0.9861856</v>
      </c>
      <c r="AB4521">
        <v>18</v>
      </c>
      <c r="AC4521">
        <v>-22.689299999999999</v>
      </c>
      <c r="AD4521">
        <v>-1.3236E-2</v>
      </c>
      <c r="AE4521">
        <v>-80.832830000000001</v>
      </c>
      <c r="AF4521">
        <v>13.934231692566</v>
      </c>
      <c r="AG4521">
        <v>-1.3236E-2</v>
      </c>
      <c r="AH4521">
        <v>82.792436714070703</v>
      </c>
      <c r="AI4521">
        <v>90.009032819282396</v>
      </c>
      <c r="AJ4521">
        <v>80.446470079874004</v>
      </c>
      <c r="AK4521">
        <v>83.956837512541</v>
      </c>
      <c r="AL4521">
        <v>89.057088965848706</v>
      </c>
      <c r="AM4521">
        <v>88.152537056858506</v>
      </c>
      <c r="AN4521">
        <v>1.00000004416128</v>
      </c>
    </row>
    <row r="4522" spans="1:40" x14ac:dyDescent="0.25">
      <c r="A4522" t="str">
        <f>"20190312160733874"</f>
        <v>20190312160733874</v>
      </c>
      <c r="B4522" t="str">
        <f>"1552378053869621"</f>
        <v>1552378053869621</v>
      </c>
      <c r="C4522" t="s">
        <v>40</v>
      </c>
      <c r="D4522">
        <v>6.5390629999999996</v>
      </c>
      <c r="E4522">
        <v>0.54888909999999902</v>
      </c>
      <c r="F4522" t="s">
        <v>56</v>
      </c>
      <c r="G4522">
        <v>-212.33690000000001</v>
      </c>
      <c r="H4522">
        <v>1.346773</v>
      </c>
      <c r="I4522">
        <v>98.375470000000007</v>
      </c>
      <c r="J4522">
        <v>-189.85499999999999</v>
      </c>
      <c r="K4522">
        <v>1.108552</v>
      </c>
      <c r="L4522">
        <v>179.03219999999999</v>
      </c>
      <c r="M4522">
        <v>-0.10792400000000001</v>
      </c>
      <c r="N4522">
        <v>0</v>
      </c>
      <c r="O4522">
        <v>-0.99413430000000003</v>
      </c>
      <c r="P4522">
        <v>-0.13913970000000001</v>
      </c>
      <c r="Q4522">
        <v>9.2632170000000007E-3</v>
      </c>
      <c r="R4522">
        <v>-0.9902299</v>
      </c>
      <c r="S4522">
        <v>-0.81166079999999996</v>
      </c>
      <c r="T4522">
        <v>8.5932019999999994E-3</v>
      </c>
      <c r="U4522">
        <v>-2.9156650000000002</v>
      </c>
      <c r="V4522">
        <v>3.1478579999999999E-2</v>
      </c>
      <c r="W4522">
        <v>1.625592E-2</v>
      </c>
      <c r="X4522">
        <v>0.99937220000000004</v>
      </c>
      <c r="Y4522">
        <v>0.16264120000000001</v>
      </c>
      <c r="Z4522">
        <v>-2.8477810000000002E-3</v>
      </c>
      <c r="AA4522">
        <v>0.98668120000000004</v>
      </c>
      <c r="AB4522">
        <v>18</v>
      </c>
      <c r="AC4522">
        <v>-22.4819</v>
      </c>
      <c r="AD4522">
        <v>0.23822099999999999</v>
      </c>
      <c r="AE4522">
        <v>-80.656729999999996</v>
      </c>
      <c r="AF4522">
        <v>13.645457614665499</v>
      </c>
      <c r="AG4522">
        <v>0.23822099999999999</v>
      </c>
      <c r="AH4522">
        <v>82.611330404960896</v>
      </c>
      <c r="AI4522">
        <v>89.836989052165805</v>
      </c>
      <c r="AJ4522">
        <v>80.620765639464295</v>
      </c>
      <c r="AK4522">
        <v>83.731040684062293</v>
      </c>
      <c r="AL4522">
        <v>89.068563342781005</v>
      </c>
      <c r="AM4522">
        <v>88.195873710631204</v>
      </c>
      <c r="AN4522">
        <v>0.99999997503335103</v>
      </c>
    </row>
    <row r="4523" spans="1:40" x14ac:dyDescent="0.25">
      <c r="A4523" t="str">
        <f>"20190312160733895"</f>
        <v>20190312160733895</v>
      </c>
      <c r="B4523" t="str">
        <f>"1552378053890117"</f>
        <v>1552378053890117</v>
      </c>
      <c r="C4523" t="s">
        <v>40</v>
      </c>
      <c r="D4523">
        <v>6.4168129999999897</v>
      </c>
      <c r="E4523">
        <v>0.54826430000000004</v>
      </c>
      <c r="F4523" t="s">
        <v>56</v>
      </c>
      <c r="G4523">
        <v>-212.09450000000001</v>
      </c>
      <c r="H4523">
        <v>1.5535600000000001</v>
      </c>
      <c r="I4523">
        <v>98.375470000000007</v>
      </c>
      <c r="J4523">
        <v>-189.87540000000001</v>
      </c>
      <c r="K4523">
        <v>1.1085430000000001</v>
      </c>
      <c r="L4523">
        <v>178.85769999999999</v>
      </c>
      <c r="M4523">
        <v>-0.10913150000000001</v>
      </c>
      <c r="N4523">
        <v>0</v>
      </c>
      <c r="O4523">
        <v>-0.99400270000000002</v>
      </c>
      <c r="P4523">
        <v>-0.14054849999999999</v>
      </c>
      <c r="Q4523">
        <v>8.4885020000000002E-3</v>
      </c>
      <c r="R4523">
        <v>-0.99003770000000002</v>
      </c>
      <c r="S4523">
        <v>-0.80415340000000002</v>
      </c>
      <c r="T4523">
        <v>1.6091939999999999E-2</v>
      </c>
      <c r="U4523">
        <v>-2.9164430000000001</v>
      </c>
      <c r="V4523">
        <v>3.1684919999999998E-2</v>
      </c>
      <c r="W4523">
        <v>1.545732E-2</v>
      </c>
      <c r="X4523">
        <v>0.9993784</v>
      </c>
      <c r="Y4523">
        <v>0.15901189999999901</v>
      </c>
      <c r="Z4523">
        <v>-5.3337659999999898E-3</v>
      </c>
      <c r="AA4523">
        <v>0.98726219999999998</v>
      </c>
      <c r="AB4523">
        <v>18</v>
      </c>
      <c r="AC4523">
        <v>-22.219100000000001</v>
      </c>
      <c r="AD4523">
        <v>0.445017</v>
      </c>
      <c r="AE4523">
        <v>-80.482230000000001</v>
      </c>
      <c r="AF4523">
        <v>13.3026465786355</v>
      </c>
      <c r="AG4523">
        <v>0.445017</v>
      </c>
      <c r="AH4523">
        <v>82.424033395629493</v>
      </c>
      <c r="AI4523">
        <v>89.6946081128727</v>
      </c>
      <c r="AJ4523">
        <v>80.831929689478102</v>
      </c>
      <c r="AK4523">
        <v>83.491794371244794</v>
      </c>
      <c r="AL4523">
        <v>89.1143255520075</v>
      </c>
      <c r="AM4523">
        <v>88.184066933275602</v>
      </c>
      <c r="AN4523">
        <v>1.00000002464177</v>
      </c>
    </row>
    <row r="4524" spans="1:40" x14ac:dyDescent="0.25">
      <c r="A4524" t="str">
        <f>"20190312160733918"</f>
        <v>20190312160733918</v>
      </c>
      <c r="B4524" t="str">
        <f>"1552378053909639"</f>
        <v>1552378053909639</v>
      </c>
      <c r="C4524" t="s">
        <v>40</v>
      </c>
      <c r="D4524">
        <v>5.9500960000000003</v>
      </c>
      <c r="E4524">
        <v>0.54797499999999999</v>
      </c>
      <c r="F4524" t="s">
        <v>56</v>
      </c>
      <c r="G4524">
        <v>-212.04810000000001</v>
      </c>
      <c r="H4524">
        <v>1.558665</v>
      </c>
      <c r="I4524">
        <v>98.375470000000007</v>
      </c>
      <c r="J4524">
        <v>-189.89660000000001</v>
      </c>
      <c r="K4524">
        <v>1.108533</v>
      </c>
      <c r="L4524">
        <v>178.678</v>
      </c>
      <c r="M4524">
        <v>-0.1103735</v>
      </c>
      <c r="N4524">
        <v>0</v>
      </c>
      <c r="O4524">
        <v>-0.99386540000000001</v>
      </c>
      <c r="P4524">
        <v>-0.1419213</v>
      </c>
      <c r="Q4524">
        <v>8.5557299999999992E-3</v>
      </c>
      <c r="R4524">
        <v>-0.98984090000000002</v>
      </c>
      <c r="S4524">
        <v>-0.80335999999999996</v>
      </c>
      <c r="T4524">
        <v>1.630974E-2</v>
      </c>
      <c r="U4524">
        <v>-2.9160159999999999</v>
      </c>
      <c r="V4524">
        <v>3.1822410000000002E-2</v>
      </c>
      <c r="W4524">
        <v>1.550166E-2</v>
      </c>
      <c r="X4524">
        <v>0.99937330000000002</v>
      </c>
      <c r="Y4524">
        <v>0.15756529999999999</v>
      </c>
      <c r="Z4524">
        <v>-5.406424E-3</v>
      </c>
      <c r="AA4524">
        <v>0.98749379999999998</v>
      </c>
      <c r="AB4524">
        <v>18</v>
      </c>
      <c r="AC4524">
        <v>-22.151499999999999</v>
      </c>
      <c r="AD4524">
        <v>0.45013199999999998</v>
      </c>
      <c r="AE4524">
        <v>-80.302530000000004</v>
      </c>
      <c r="AF4524">
        <v>13.152278012362</v>
      </c>
      <c r="AG4524">
        <v>0.45013199999999998</v>
      </c>
      <c r="AH4524">
        <v>82.2544688138574</v>
      </c>
      <c r="AI4524">
        <v>89.690388750161006</v>
      </c>
      <c r="AJ4524">
        <v>80.915453414085803</v>
      </c>
      <c r="AK4524">
        <v>83.300556274143304</v>
      </c>
      <c r="AL4524">
        <v>89.111784713124393</v>
      </c>
      <c r="AM4524">
        <v>88.176183085584995</v>
      </c>
      <c r="AN4524">
        <v>0.99999997999692603</v>
      </c>
    </row>
    <row r="4525" spans="1:40" x14ac:dyDescent="0.25">
      <c r="A4525" t="str">
        <f>"20190312160733940"</f>
        <v>20190312160733940</v>
      </c>
      <c r="B4525" t="str">
        <f>"1552378053930133"</f>
        <v>1552378053930133</v>
      </c>
      <c r="C4525" t="s">
        <v>40</v>
      </c>
      <c r="D4525">
        <v>6.5680319999999996</v>
      </c>
      <c r="E4525">
        <v>0.54814980000000002</v>
      </c>
      <c r="F4525" t="s">
        <v>56</v>
      </c>
      <c r="G4525">
        <v>-212.0686</v>
      </c>
      <c r="H4525">
        <v>1.5703400000000001</v>
      </c>
      <c r="I4525">
        <v>98.375470000000007</v>
      </c>
      <c r="J4525">
        <v>-189.9178</v>
      </c>
      <c r="K4525">
        <v>1.1085240000000001</v>
      </c>
      <c r="L4525">
        <v>178.50030000000001</v>
      </c>
      <c r="M4525">
        <v>-0.11159959999999999</v>
      </c>
      <c r="N4525">
        <v>0</v>
      </c>
      <c r="O4525">
        <v>-0.99372890000000003</v>
      </c>
      <c r="P4525">
        <v>-0.1436568</v>
      </c>
      <c r="Q4525">
        <v>8.6572130000000004E-3</v>
      </c>
      <c r="R4525">
        <v>-0.98958979999999996</v>
      </c>
      <c r="S4525">
        <v>-0.80491639999999998</v>
      </c>
      <c r="T4525">
        <v>1.6766070000000001E-2</v>
      </c>
      <c r="U4525">
        <v>-2.9152369999999999</v>
      </c>
      <c r="V4525">
        <v>3.23424E-2</v>
      </c>
      <c r="W4525">
        <v>1.558319E-2</v>
      </c>
      <c r="X4525">
        <v>0.9993554</v>
      </c>
      <c r="Y4525">
        <v>0.15690419999999999</v>
      </c>
      <c r="Z4525">
        <v>-5.5578759999999998E-3</v>
      </c>
      <c r="AA4525">
        <v>0.98759819999999998</v>
      </c>
      <c r="AB4525">
        <v>18</v>
      </c>
      <c r="AC4525">
        <v>-22.1508</v>
      </c>
      <c r="AD4525">
        <v>0.461816</v>
      </c>
      <c r="AE4525">
        <v>-80.124830000000003</v>
      </c>
      <c r="AF4525">
        <v>13.0699041032733</v>
      </c>
      <c r="AG4525">
        <v>0.461816</v>
      </c>
      <c r="AH4525">
        <v>82.093832908505306</v>
      </c>
      <c r="AI4525">
        <v>89.681696650146904</v>
      </c>
      <c r="AJ4525">
        <v>80.954035945758207</v>
      </c>
      <c r="AK4525">
        <v>83.129014603182895</v>
      </c>
      <c r="AL4525">
        <v>89.107112878348303</v>
      </c>
      <c r="AM4525">
        <v>88.146368684786594</v>
      </c>
      <c r="AN4525">
        <v>1.00000004107874</v>
      </c>
    </row>
    <row r="4526" spans="1:40" x14ac:dyDescent="0.25">
      <c r="A4526" t="str">
        <f>"20190312160733963"</f>
        <v>20190312160733963</v>
      </c>
      <c r="B4526" t="str">
        <f>"1552378053960108"</f>
        <v>1552378053960108</v>
      </c>
      <c r="C4526" t="s">
        <v>40</v>
      </c>
      <c r="D4526">
        <v>6.3750140000000002</v>
      </c>
      <c r="E4526">
        <v>0.54847409999999996</v>
      </c>
      <c r="F4526" t="s">
        <v>56</v>
      </c>
      <c r="G4526">
        <v>-212.2302</v>
      </c>
      <c r="H4526">
        <v>1.6800219999999999</v>
      </c>
      <c r="I4526">
        <v>98.375470000000007</v>
      </c>
      <c r="J4526">
        <v>-189.9393</v>
      </c>
      <c r="K4526">
        <v>1.1085130000000001</v>
      </c>
      <c r="L4526">
        <v>178.3212</v>
      </c>
      <c r="M4526">
        <v>-0.112834</v>
      </c>
      <c r="N4526">
        <v>0</v>
      </c>
      <c r="O4526">
        <v>-0.99358970000000002</v>
      </c>
      <c r="P4526">
        <v>-0.145557299999999</v>
      </c>
      <c r="Q4526">
        <v>8.6580459999999904E-3</v>
      </c>
      <c r="R4526">
        <v>-0.98931239999999998</v>
      </c>
      <c r="S4526">
        <v>-0.81135559999999995</v>
      </c>
      <c r="T4526">
        <v>2.078259E-2</v>
      </c>
      <c r="U4526">
        <v>-2.913605</v>
      </c>
      <c r="V4526">
        <v>3.302066E-2</v>
      </c>
      <c r="W4526">
        <v>1.5566979999999999E-2</v>
      </c>
      <c r="X4526">
        <v>0.99933340000000004</v>
      </c>
      <c r="Y4526">
        <v>0.1578437</v>
      </c>
      <c r="Z4526">
        <v>-6.889025E-3</v>
      </c>
      <c r="AA4526">
        <v>0.98743999999999998</v>
      </c>
      <c r="AB4526">
        <v>18</v>
      </c>
      <c r="AC4526">
        <v>-22.290899999999901</v>
      </c>
      <c r="AD4526">
        <v>0.57150900000000004</v>
      </c>
      <c r="AE4526">
        <v>-79.945729999999998</v>
      </c>
      <c r="AF4526">
        <v>13.127104734522099</v>
      </c>
      <c r="AG4526">
        <v>0.57150900000000004</v>
      </c>
      <c r="AH4526">
        <v>81.946506275238505</v>
      </c>
      <c r="AI4526">
        <v>89.6054460143082</v>
      </c>
      <c r="AJ4526">
        <v>80.899044919173207</v>
      </c>
      <c r="AK4526">
        <v>82.993237025470407</v>
      </c>
      <c r="AL4526">
        <v>89.108041691810598</v>
      </c>
      <c r="AM4526">
        <v>88.107482095821098</v>
      </c>
      <c r="AN4526">
        <v>0.999999969604357</v>
      </c>
    </row>
    <row r="4527" spans="1:40" x14ac:dyDescent="0.25">
      <c r="A4527" t="str">
        <f>"20190312160733986"</f>
        <v>20190312160733986</v>
      </c>
      <c r="B4527" t="str">
        <f>"1552378053979629"</f>
        <v>1552378053979629</v>
      </c>
      <c r="C4527" t="s">
        <v>40</v>
      </c>
      <c r="D4527">
        <v>6.6742670000000004</v>
      </c>
      <c r="E4527">
        <v>0.54852219999999996</v>
      </c>
      <c r="F4527" t="s">
        <v>56</v>
      </c>
      <c r="G4527">
        <v>-212.43209999999999</v>
      </c>
      <c r="H4527">
        <v>1.988966</v>
      </c>
      <c r="I4527">
        <v>98.375470000000007</v>
      </c>
      <c r="J4527">
        <v>-189.96250000000001</v>
      </c>
      <c r="K4527">
        <v>1.1085020000000001</v>
      </c>
      <c r="L4527">
        <v>178.1311</v>
      </c>
      <c r="M4527">
        <v>-0.11414349999999999</v>
      </c>
      <c r="N4527">
        <v>0</v>
      </c>
      <c r="O4527">
        <v>-0.99343999999999999</v>
      </c>
      <c r="P4527">
        <v>-0.14741660000000001</v>
      </c>
      <c r="Q4527">
        <v>8.5145859999999993E-3</v>
      </c>
      <c r="R4527">
        <v>-0.98903790000000003</v>
      </c>
      <c r="S4527">
        <v>-0.81918329999999995</v>
      </c>
      <c r="T4527">
        <v>3.2066940000000002E-2</v>
      </c>
      <c r="U4527">
        <v>-2.9116059999999999</v>
      </c>
      <c r="V4527">
        <v>3.3581819999999998E-2</v>
      </c>
      <c r="W4527">
        <v>1.541059E-2</v>
      </c>
      <c r="X4527">
        <v>0.99931720000000002</v>
      </c>
      <c r="Y4527">
        <v>0.15917010000000001</v>
      </c>
      <c r="Z4527">
        <v>-1.062891E-2</v>
      </c>
      <c r="AA4527">
        <v>0.98719389999999996</v>
      </c>
      <c r="AB4527">
        <v>18</v>
      </c>
      <c r="AC4527">
        <v>-22.4695999999999</v>
      </c>
      <c r="AD4527">
        <v>0.88046399999999903</v>
      </c>
      <c r="AE4527">
        <v>-79.755629999999996</v>
      </c>
      <c r="AF4527">
        <v>13.2174390645767</v>
      </c>
      <c r="AG4527">
        <v>0.88046399999999903</v>
      </c>
      <c r="AH4527">
        <v>81.789929540673398</v>
      </c>
      <c r="AI4527">
        <v>89.391136453996694</v>
      </c>
      <c r="AJ4527">
        <v>80.820233176964507</v>
      </c>
      <c r="AK4527">
        <v>82.855708834994701</v>
      </c>
      <c r="AL4527">
        <v>89.117003321145404</v>
      </c>
      <c r="AM4527">
        <v>88.075313060449801</v>
      </c>
      <c r="AN4527">
        <v>1.00000004556724</v>
      </c>
    </row>
    <row r="4528" spans="1:40" x14ac:dyDescent="0.25">
      <c r="A4528" t="str">
        <f>"20190312160734007"</f>
        <v>20190312160734007</v>
      </c>
      <c r="B4528" t="str">
        <f>"1552378054000125"</f>
        <v>1552378054000125</v>
      </c>
      <c r="C4528" t="s">
        <v>40</v>
      </c>
      <c r="D4528">
        <v>6.4067480000000003</v>
      </c>
      <c r="E4528">
        <v>0.54871569999999903</v>
      </c>
      <c r="F4528" t="s">
        <v>56</v>
      </c>
      <c r="G4528">
        <v>-212.56790000000001</v>
      </c>
      <c r="H4528">
        <v>2.1735319999999998</v>
      </c>
      <c r="I4528">
        <v>98.375470000000007</v>
      </c>
      <c r="J4528">
        <v>-189.9845</v>
      </c>
      <c r="K4528">
        <v>1.108498</v>
      </c>
      <c r="L4528">
        <v>177.952</v>
      </c>
      <c r="M4528">
        <v>-0.11537650000000001</v>
      </c>
      <c r="N4528">
        <v>0</v>
      </c>
      <c r="O4528">
        <v>-0.9932976</v>
      </c>
      <c r="P4528">
        <v>-0.14908629999999901</v>
      </c>
      <c r="Q4528">
        <v>8.6709730000000002E-3</v>
      </c>
      <c r="R4528">
        <v>-0.98878630000000001</v>
      </c>
      <c r="S4528">
        <v>-0.82479859999999905</v>
      </c>
      <c r="T4528">
        <v>3.8860440000000003E-2</v>
      </c>
      <c r="U4528">
        <v>-2.9100190000000001</v>
      </c>
      <c r="V4528">
        <v>3.402939E-2</v>
      </c>
      <c r="W4528">
        <v>1.555697E-2</v>
      </c>
      <c r="X4528">
        <v>0.99929979999999996</v>
      </c>
      <c r="Y4528">
        <v>0.15984189999999901</v>
      </c>
      <c r="Z4528">
        <v>-1.2880300000000001E-2</v>
      </c>
      <c r="AA4528">
        <v>0.98705860000000001</v>
      </c>
      <c r="AB4528">
        <v>18</v>
      </c>
      <c r="AC4528">
        <v>-22.583400000000001</v>
      </c>
      <c r="AD4528">
        <v>1.06503399999999</v>
      </c>
      <c r="AE4528">
        <v>-79.576530000000005</v>
      </c>
      <c r="AF4528">
        <v>13.248898148782001</v>
      </c>
      <c r="AG4528">
        <v>1.06503399999999</v>
      </c>
      <c r="AH4528">
        <v>81.637201993870804</v>
      </c>
      <c r="AI4528">
        <v>89.262216772493801</v>
      </c>
      <c r="AJ4528">
        <v>80.781839010149895</v>
      </c>
      <c r="AK4528">
        <v>82.7121535747076</v>
      </c>
      <c r="AL4528">
        <v>89.108615367712602</v>
      </c>
      <c r="AM4528">
        <v>88.049647066984903</v>
      </c>
      <c r="AN4528">
        <v>1.0000000544896901</v>
      </c>
    </row>
    <row r="4529" spans="1:40" x14ac:dyDescent="0.25">
      <c r="A4529" t="str">
        <f>"20190312160734030"</f>
        <v>20190312160734030</v>
      </c>
      <c r="B4529" t="str">
        <f>"1552378054019645"</f>
        <v>1552378054019645</v>
      </c>
      <c r="C4529" t="s">
        <v>40</v>
      </c>
      <c r="D4529">
        <v>6.4249049999999999</v>
      </c>
      <c r="E4529">
        <v>0.54883789999999999</v>
      </c>
      <c r="F4529" t="s">
        <v>56</v>
      </c>
      <c r="G4529">
        <v>-212.7182</v>
      </c>
      <c r="H4529">
        <v>2.3487179999999999</v>
      </c>
      <c r="I4529">
        <v>98.375470000000007</v>
      </c>
      <c r="J4529">
        <v>-190.0069</v>
      </c>
      <c r="K4529">
        <v>1.108492</v>
      </c>
      <c r="L4529">
        <v>177.7714</v>
      </c>
      <c r="M4529">
        <v>-0.1166204</v>
      </c>
      <c r="N4529">
        <v>0</v>
      </c>
      <c r="O4529">
        <v>-0.99315220000000004</v>
      </c>
      <c r="P4529">
        <v>-0.15093299999999901</v>
      </c>
      <c r="Q4529">
        <v>8.8954989999999994E-3</v>
      </c>
      <c r="R4529">
        <v>-0.98850380000000004</v>
      </c>
      <c r="S4529">
        <v>-0.83087160000000004</v>
      </c>
      <c r="T4529">
        <v>4.5328500000000001E-2</v>
      </c>
      <c r="U4529">
        <v>-2.9083559999999999</v>
      </c>
      <c r="V4529">
        <v>3.4645299999999997E-2</v>
      </c>
      <c r="W4529">
        <v>1.5774369999999999E-2</v>
      </c>
      <c r="X4529">
        <v>0.99927509999999997</v>
      </c>
      <c r="Y4529">
        <v>0.16065199999999999</v>
      </c>
      <c r="Z4529">
        <v>-1.5023430000000001E-2</v>
      </c>
      <c r="AA4529">
        <v>0.98689680000000002</v>
      </c>
      <c r="AB4529">
        <v>18</v>
      </c>
      <c r="AC4529">
        <v>-22.711299999999898</v>
      </c>
      <c r="AD4529">
        <v>1.2402259999999901</v>
      </c>
      <c r="AE4529">
        <v>-79.395930000000007</v>
      </c>
      <c r="AF4529">
        <v>13.293915688453801</v>
      </c>
      <c r="AG4529">
        <v>1.2402259999999901</v>
      </c>
      <c r="AH4529">
        <v>81.484436387306204</v>
      </c>
      <c r="AI4529">
        <v>89.139378993626707</v>
      </c>
      <c r="AJ4529">
        <v>80.734018367998104</v>
      </c>
      <c r="AK4529">
        <v>82.571058659918705</v>
      </c>
      <c r="AL4529">
        <v>89.096157621499799</v>
      </c>
      <c r="AM4529">
        <v>88.014325902619206</v>
      </c>
      <c r="AN4529">
        <v>0.99999992652049496</v>
      </c>
    </row>
    <row r="4530" spans="1:40" x14ac:dyDescent="0.25">
      <c r="A4530" t="str">
        <f>"20190312160734052"</f>
        <v>20190312160734052</v>
      </c>
      <c r="B4530" t="str">
        <f>"1552378054040141"</f>
        <v>1552378054040141</v>
      </c>
      <c r="C4530" t="s">
        <v>40</v>
      </c>
      <c r="D4530">
        <v>6.446942</v>
      </c>
      <c r="E4530">
        <v>0.54897180000000001</v>
      </c>
      <c r="F4530" t="s">
        <v>56</v>
      </c>
      <c r="G4530">
        <v>-212.87520000000001</v>
      </c>
      <c r="H4530">
        <v>2.5189979999999998</v>
      </c>
      <c r="I4530">
        <v>98.375470000000007</v>
      </c>
      <c r="J4530">
        <v>-190.03039999999999</v>
      </c>
      <c r="K4530">
        <v>1.1084830000000001</v>
      </c>
      <c r="L4530">
        <v>177.5847</v>
      </c>
      <c r="M4530">
        <v>-0.1179071</v>
      </c>
      <c r="N4530">
        <v>0</v>
      </c>
      <c r="O4530">
        <v>-0.99300060000000001</v>
      </c>
      <c r="P4530">
        <v>-0.1524142</v>
      </c>
      <c r="Q4530">
        <v>9.1806800000000001E-3</v>
      </c>
      <c r="R4530">
        <v>-0.98827449999999994</v>
      </c>
      <c r="S4530">
        <v>-0.83718869999999901</v>
      </c>
      <c r="T4530">
        <v>5.1638360000000001E-2</v>
      </c>
      <c r="U4530">
        <v>-2.9066160000000001</v>
      </c>
      <c r="V4530">
        <v>3.4849070000000003E-2</v>
      </c>
      <c r="W4530">
        <v>1.6055199999999999E-2</v>
      </c>
      <c r="X4530">
        <v>0.99926360000000003</v>
      </c>
      <c r="Y4530">
        <v>0.16150149999999999</v>
      </c>
      <c r="Z4530">
        <v>-1.7113840000000002E-2</v>
      </c>
      <c r="AA4530">
        <v>0.98672409999999999</v>
      </c>
      <c r="AB4530">
        <v>18</v>
      </c>
      <c r="AC4530">
        <v>-22.844799999999999</v>
      </c>
      <c r="AD4530">
        <v>1.410515</v>
      </c>
      <c r="AE4530">
        <v>-79.209230000000005</v>
      </c>
      <c r="AF4530">
        <v>13.341982049876799</v>
      </c>
      <c r="AG4530">
        <v>1.410515</v>
      </c>
      <c r="AH4530">
        <v>81.326509581746905</v>
      </c>
      <c r="AI4530">
        <v>89.019474721590299</v>
      </c>
      <c r="AJ4530">
        <v>80.6833587853164</v>
      </c>
      <c r="AK4530">
        <v>82.425719277021997</v>
      </c>
      <c r="AL4530">
        <v>89.080065261959703</v>
      </c>
      <c r="AM4530">
        <v>88.002633414285498</v>
      </c>
      <c r="AN4530">
        <v>0.99999998470593199</v>
      </c>
    </row>
    <row r="4531" spans="1:40" x14ac:dyDescent="0.25">
      <c r="A4531" t="str">
        <f>"20190312160734075"</f>
        <v>20190312160734075</v>
      </c>
      <c r="B4531" t="str">
        <f>"1552378054069421"</f>
        <v>1552378054069421</v>
      </c>
      <c r="C4531" t="s">
        <v>40</v>
      </c>
      <c r="D4531">
        <v>6.4344250000000001</v>
      </c>
      <c r="E4531">
        <v>0.54916919999999902</v>
      </c>
      <c r="F4531" t="s">
        <v>56</v>
      </c>
      <c r="G4531">
        <v>-212.99889999999999</v>
      </c>
      <c r="H4531">
        <v>2.6748180000000001</v>
      </c>
      <c r="I4531">
        <v>98.375470000000007</v>
      </c>
      <c r="J4531">
        <v>-190.05340000000001</v>
      </c>
      <c r="K4531">
        <v>1.108482</v>
      </c>
      <c r="L4531">
        <v>177.40299999999999</v>
      </c>
      <c r="M4531">
        <v>-0.1191601</v>
      </c>
      <c r="N4531">
        <v>0</v>
      </c>
      <c r="O4531">
        <v>-0.99285100000000004</v>
      </c>
      <c r="P4531">
        <v>-0.1539693</v>
      </c>
      <c r="Q4531">
        <v>1.0025259999999999E-2</v>
      </c>
      <c r="R4531">
        <v>-0.98802480000000004</v>
      </c>
      <c r="S4531">
        <v>-0.84240720000000002</v>
      </c>
      <c r="T4531">
        <v>5.7448739999999998E-2</v>
      </c>
      <c r="U4531">
        <v>-2.9051209999999998</v>
      </c>
      <c r="V4531">
        <v>3.5163159999999999E-2</v>
      </c>
      <c r="W4531">
        <v>1.6897180000000001E-2</v>
      </c>
      <c r="X4531">
        <v>0.99923870000000004</v>
      </c>
      <c r="Y4531">
        <v>0.162017299999999</v>
      </c>
      <c r="Z4531">
        <v>-1.903846E-2</v>
      </c>
      <c r="AA4531">
        <v>0.98660420000000004</v>
      </c>
      <c r="AB4531">
        <v>18</v>
      </c>
      <c r="AC4531">
        <v>-22.9454999999999</v>
      </c>
      <c r="AD4531">
        <v>1.566336</v>
      </c>
      <c r="AE4531">
        <v>-79.027529999999999</v>
      </c>
      <c r="AF4531">
        <v>13.3600131446789</v>
      </c>
      <c r="AG4531">
        <v>1.566336</v>
      </c>
      <c r="AH4531">
        <v>81.1692821533059</v>
      </c>
      <c r="AI4531">
        <v>88.909165543966196</v>
      </c>
      <c r="AJ4531">
        <v>80.653236980417603</v>
      </c>
      <c r="AK4531">
        <v>82.276337576328004</v>
      </c>
      <c r="AL4531">
        <v>89.031816796810006</v>
      </c>
      <c r="AM4531">
        <v>87.984596016416603</v>
      </c>
      <c r="AN4531">
        <v>0.99999997104541305</v>
      </c>
    </row>
    <row r="4532" spans="1:40" x14ac:dyDescent="0.25">
      <c r="A4532" t="str">
        <f>"20190312160734097"</f>
        <v>20190312160734097</v>
      </c>
      <c r="B4532" t="str">
        <f>"1552378054089918"</f>
        <v>1552378054089918</v>
      </c>
      <c r="C4532" t="s">
        <v>40</v>
      </c>
      <c r="D4532">
        <v>6.2417319999999998</v>
      </c>
      <c r="E4532">
        <v>0.54926160000000002</v>
      </c>
      <c r="F4532" t="s">
        <v>56</v>
      </c>
      <c r="G4532">
        <v>-213.14320000000001</v>
      </c>
      <c r="H4532">
        <v>2.9284560000000002</v>
      </c>
      <c r="I4532">
        <v>98.375470000000007</v>
      </c>
      <c r="J4532">
        <v>-190.07749999999999</v>
      </c>
      <c r="K4532">
        <v>1.108484</v>
      </c>
      <c r="L4532">
        <v>177.21549999999999</v>
      </c>
      <c r="M4532">
        <v>-0.120452</v>
      </c>
      <c r="N4532">
        <v>0</v>
      </c>
      <c r="O4532">
        <v>-0.99269510000000005</v>
      </c>
      <c r="P4532">
        <v>-0.15549279999999999</v>
      </c>
      <c r="Q4532">
        <v>1.0801710000000001E-2</v>
      </c>
      <c r="R4532">
        <v>-0.9877783</v>
      </c>
      <c r="S4532">
        <v>-0.84832759999999996</v>
      </c>
      <c r="T4532">
        <v>6.6867590000000005E-2</v>
      </c>
      <c r="U4532">
        <v>-2.9035030000000002</v>
      </c>
      <c r="V4532">
        <v>3.5406319999999998E-2</v>
      </c>
      <c r="W4532">
        <v>1.7672879999999998E-2</v>
      </c>
      <c r="X4532">
        <v>0.99921669999999996</v>
      </c>
      <c r="Y4532">
        <v>0.16271659999999999</v>
      </c>
      <c r="Z4532">
        <v>-2.215754E-2</v>
      </c>
      <c r="AA4532">
        <v>0.98642399999999997</v>
      </c>
      <c r="AB4532">
        <v>19</v>
      </c>
      <c r="AC4532">
        <v>-23.0657</v>
      </c>
      <c r="AD4532">
        <v>1.8199719999999999</v>
      </c>
      <c r="AE4532">
        <v>-78.840029999999999</v>
      </c>
      <c r="AF4532">
        <v>13.394513058901399</v>
      </c>
      <c r="AG4532">
        <v>1.8199719999999999</v>
      </c>
      <c r="AH4532">
        <v>81.004593358659804</v>
      </c>
      <c r="AI4532">
        <v>88.730160014738402</v>
      </c>
      <c r="AJ4532">
        <v>80.610816127856296</v>
      </c>
      <c r="AK4532">
        <v>82.124718711041595</v>
      </c>
      <c r="AL4532">
        <v>88.987365822270206</v>
      </c>
      <c r="AM4532">
        <v>87.970626080907095</v>
      </c>
      <c r="AN4532">
        <v>0.99999997587116296</v>
      </c>
    </row>
    <row r="4533" spans="1:40" x14ac:dyDescent="0.25">
      <c r="A4533" t="str">
        <f>"20190312160734119"</f>
        <v>20190312160734119</v>
      </c>
      <c r="B4533" t="str">
        <f>"1552378054109437"</f>
        <v>1552378054109437</v>
      </c>
      <c r="C4533" t="s">
        <v>40</v>
      </c>
      <c r="D4533">
        <v>6.4783619999999997</v>
      </c>
      <c r="E4533">
        <v>0.54935290000000003</v>
      </c>
      <c r="F4533" t="s">
        <v>56</v>
      </c>
      <c r="G4533">
        <v>-213.25989999999999</v>
      </c>
      <c r="H4533">
        <v>3.0971730000000002</v>
      </c>
      <c r="I4533">
        <v>98.375470000000007</v>
      </c>
      <c r="J4533">
        <v>-190.10120000000001</v>
      </c>
      <c r="K4533">
        <v>1.108479</v>
      </c>
      <c r="L4533">
        <v>177.03210000000001</v>
      </c>
      <c r="M4533">
        <v>-0.121715</v>
      </c>
      <c r="N4533">
        <v>0</v>
      </c>
      <c r="O4533">
        <v>-0.9925408</v>
      </c>
      <c r="P4533">
        <v>-0.15671179999999901</v>
      </c>
      <c r="Q4533">
        <v>1.106905E-2</v>
      </c>
      <c r="R4533">
        <v>-0.98758250000000003</v>
      </c>
      <c r="S4533">
        <v>-0.85331729999999995</v>
      </c>
      <c r="T4533">
        <v>7.3202249999999996E-2</v>
      </c>
      <c r="U4533">
        <v>-2.9020079999999999</v>
      </c>
      <c r="V4533">
        <v>3.536914E-2</v>
      </c>
      <c r="W4533">
        <v>1.7941289999999999E-2</v>
      </c>
      <c r="X4533">
        <v>0.99921329999999997</v>
      </c>
      <c r="Y4533">
        <v>0.16314589999999901</v>
      </c>
      <c r="Z4533">
        <v>-2.4255140000000001E-2</v>
      </c>
      <c r="AA4533">
        <v>0.98630370000000001</v>
      </c>
      <c r="AB4533">
        <v>19</v>
      </c>
      <c r="AC4533">
        <v>-23.1586999999999</v>
      </c>
      <c r="AD4533">
        <v>1.988694</v>
      </c>
      <c r="AE4533">
        <v>-78.656630000000007</v>
      </c>
      <c r="AF4533">
        <v>13.4047009908163</v>
      </c>
      <c r="AG4533">
        <v>1.988694</v>
      </c>
      <c r="AH4533">
        <v>80.843070119000103</v>
      </c>
      <c r="AI4533">
        <v>88.609813590924006</v>
      </c>
      <c r="AJ4533">
        <v>80.585364290179996</v>
      </c>
      <c r="AK4533">
        <v>81.970988152787299</v>
      </c>
      <c r="AL4533">
        <v>88.971984691275296</v>
      </c>
      <c r="AM4533">
        <v>87.972748444993002</v>
      </c>
      <c r="AN4533">
        <v>1.0000000424240401</v>
      </c>
    </row>
    <row r="4534" spans="1:40" x14ac:dyDescent="0.25">
      <c r="A4534" t="str">
        <f>"20190312160734141"</f>
        <v>20190312160734141</v>
      </c>
      <c r="B4534" t="str">
        <f>"1552378054129933"</f>
        <v>1552378054129933</v>
      </c>
      <c r="C4534" t="s">
        <v>40</v>
      </c>
      <c r="D4534">
        <v>6.1795410000000004</v>
      </c>
      <c r="E4534">
        <v>0.54937219999999998</v>
      </c>
      <c r="F4534" t="s">
        <v>56</v>
      </c>
      <c r="G4534">
        <v>-213.35470000000001</v>
      </c>
      <c r="H4534">
        <v>3.2210079999999999</v>
      </c>
      <c r="I4534">
        <v>98.375470000000007</v>
      </c>
      <c r="J4534">
        <v>-190.1251</v>
      </c>
      <c r="K4534">
        <v>1.1084719999999999</v>
      </c>
      <c r="L4534">
        <v>176.84960000000001</v>
      </c>
      <c r="M4534">
        <v>-0.1229712</v>
      </c>
      <c r="N4534">
        <v>0</v>
      </c>
      <c r="O4534">
        <v>-0.9923862</v>
      </c>
      <c r="P4534">
        <v>-0.1581246</v>
      </c>
      <c r="Q4534">
        <v>1.177432E-2</v>
      </c>
      <c r="R4534">
        <v>-0.98734929999999999</v>
      </c>
      <c r="S4534">
        <v>-0.85755919999999897</v>
      </c>
      <c r="T4534">
        <v>7.7908399999999906E-2</v>
      </c>
      <c r="U4534">
        <v>-2.900757</v>
      </c>
      <c r="V4534">
        <v>3.5536499999999999E-2</v>
      </c>
      <c r="W4534">
        <v>1.8648319999999999E-2</v>
      </c>
      <c r="X4534">
        <v>0.99919440000000004</v>
      </c>
      <c r="Y4534">
        <v>0.1633281</v>
      </c>
      <c r="Z4534">
        <v>-2.5812470000000001E-2</v>
      </c>
      <c r="AA4534">
        <v>0.9862341</v>
      </c>
      <c r="AB4534">
        <v>19</v>
      </c>
      <c r="AC4534">
        <v>-23.229600000000001</v>
      </c>
      <c r="AD4534">
        <v>2.112536</v>
      </c>
      <c r="AE4534">
        <v>-78.474130000000002</v>
      </c>
      <c r="AF4534">
        <v>13.394071701837101</v>
      </c>
      <c r="AG4534">
        <v>2.112536</v>
      </c>
      <c r="AH4534">
        <v>80.681382826975707</v>
      </c>
      <c r="AI4534">
        <v>88.520369508135204</v>
      </c>
      <c r="AJ4534">
        <v>80.574181688165396</v>
      </c>
      <c r="AK4534">
        <v>81.812893238035898</v>
      </c>
      <c r="AL4534">
        <v>88.931468058407603</v>
      </c>
      <c r="AM4534">
        <v>87.963125444711807</v>
      </c>
      <c r="AN4534">
        <v>1.0000000258312101</v>
      </c>
    </row>
    <row r="4535" spans="1:40" x14ac:dyDescent="0.25">
      <c r="A4535" t="str">
        <f>"20190312160734164"</f>
        <v>20190312160734164</v>
      </c>
      <c r="B4535" t="str">
        <f>"1552378054160188"</f>
        <v>1552378054160188</v>
      </c>
      <c r="C4535" t="s">
        <v>40</v>
      </c>
      <c r="D4535">
        <v>6.5696179999999904</v>
      </c>
      <c r="E4535">
        <v>0.54937829999999999</v>
      </c>
      <c r="F4535" t="s">
        <v>56</v>
      </c>
      <c r="G4535">
        <v>-213.45349999999999</v>
      </c>
      <c r="H4535">
        <v>3.345882</v>
      </c>
      <c r="I4535">
        <v>98.375470000000007</v>
      </c>
      <c r="J4535">
        <v>-190.1506</v>
      </c>
      <c r="K4535">
        <v>1.108468</v>
      </c>
      <c r="L4535">
        <v>176.65620000000001</v>
      </c>
      <c r="M4535">
        <v>-0.1243018</v>
      </c>
      <c r="N4535">
        <v>0</v>
      </c>
      <c r="O4535">
        <v>-0.9922204</v>
      </c>
      <c r="P4535">
        <v>-0.1595037</v>
      </c>
      <c r="Q4535">
        <v>1.2309240000000001E-2</v>
      </c>
      <c r="R4535">
        <v>-0.98712080000000002</v>
      </c>
      <c r="S4535">
        <v>-0.8619232</v>
      </c>
      <c r="T4535">
        <v>8.2667470000000007E-2</v>
      </c>
      <c r="U4535">
        <v>-2.8994140000000002</v>
      </c>
      <c r="V4535">
        <v>3.5594460000000001E-2</v>
      </c>
      <c r="W4535">
        <v>1.9187050000000001E-2</v>
      </c>
      <c r="X4535">
        <v>0.99918209999999996</v>
      </c>
      <c r="Y4535">
        <v>0.16348180000000001</v>
      </c>
      <c r="Z4535">
        <v>-2.738726E-2</v>
      </c>
      <c r="AA4535">
        <v>0.98616610000000005</v>
      </c>
      <c r="AB4535">
        <v>19</v>
      </c>
      <c r="AC4535">
        <v>-23.302899999999902</v>
      </c>
      <c r="AD4535">
        <v>2.2374139999999998</v>
      </c>
      <c r="AE4535">
        <v>-78.280730000000005</v>
      </c>
      <c r="AF4535">
        <v>13.3814549717509</v>
      </c>
      <c r="AG4535">
        <v>2.2374139999999998</v>
      </c>
      <c r="AH4535">
        <v>80.509836147275706</v>
      </c>
      <c r="AI4535">
        <v>88.429659397992495</v>
      </c>
      <c r="AJ4535">
        <v>80.563196376084903</v>
      </c>
      <c r="AK4535">
        <v>81.644981934161507</v>
      </c>
      <c r="AL4535">
        <v>88.900595537926606</v>
      </c>
      <c r="AM4535">
        <v>87.959781015597301</v>
      </c>
      <c r="AN4535">
        <v>0.99999998871540097</v>
      </c>
    </row>
    <row r="4536" spans="1:40" x14ac:dyDescent="0.25">
      <c r="A4536" t="str">
        <f>"20190312160734186"</f>
        <v>20190312160734186</v>
      </c>
      <c r="B4536" t="str">
        <f>"1552378054179709"</f>
        <v>1552378054179709</v>
      </c>
      <c r="C4536" t="s">
        <v>40</v>
      </c>
      <c r="D4536">
        <v>6.4871359999999996</v>
      </c>
      <c r="E4536">
        <v>0.54963469999999903</v>
      </c>
      <c r="F4536" t="s">
        <v>56</v>
      </c>
      <c r="G4536">
        <v>-213.5403</v>
      </c>
      <c r="H4536">
        <v>3.4882979999999999</v>
      </c>
      <c r="I4536">
        <v>98.375470000000007</v>
      </c>
      <c r="J4536">
        <v>-190.17500000000001</v>
      </c>
      <c r="K4536">
        <v>1.1084639999999999</v>
      </c>
      <c r="L4536">
        <v>176.47319999999999</v>
      </c>
      <c r="M4536">
        <v>-0.12555999999999901</v>
      </c>
      <c r="N4536">
        <v>0</v>
      </c>
      <c r="O4536">
        <v>-0.99206190000000005</v>
      </c>
      <c r="P4536">
        <v>-0.1615347</v>
      </c>
      <c r="Q4536">
        <v>1.294608E-2</v>
      </c>
      <c r="R4536">
        <v>-0.98678250000000001</v>
      </c>
      <c r="S4536">
        <v>-0.86593629999999999</v>
      </c>
      <c r="T4536">
        <v>8.8107350000000001E-2</v>
      </c>
      <c r="U4536">
        <v>-2.8981170000000001</v>
      </c>
      <c r="V4536">
        <v>3.6385809999999998E-2</v>
      </c>
      <c r="W4536">
        <v>1.982542E-2</v>
      </c>
      <c r="X4536">
        <v>0.99914119999999995</v>
      </c>
      <c r="Y4536">
        <v>0.16359070000000001</v>
      </c>
      <c r="Z4536">
        <v>-2.918755E-2</v>
      </c>
      <c r="AA4536">
        <v>0.98609639999999998</v>
      </c>
      <c r="AB4536">
        <v>19</v>
      </c>
      <c r="AC4536">
        <v>-23.365299999999898</v>
      </c>
      <c r="AD4536">
        <v>2.3798339999999998</v>
      </c>
      <c r="AE4536">
        <v>-78.097729999999999</v>
      </c>
      <c r="AF4536">
        <v>13.3628041269615</v>
      </c>
      <c r="AG4536">
        <v>2.3798339999999998</v>
      </c>
      <c r="AH4536">
        <v>80.344977353865701</v>
      </c>
      <c r="AI4536">
        <v>88.326360379838505</v>
      </c>
      <c r="AJ4536">
        <v>80.557124296189301</v>
      </c>
      <c r="AK4536">
        <v>81.483394197813595</v>
      </c>
      <c r="AL4536">
        <v>88.864012746131394</v>
      </c>
      <c r="AM4536">
        <v>87.914376389430103</v>
      </c>
      <c r="AN4536">
        <v>1.00000005599248</v>
      </c>
    </row>
    <row r="4537" spans="1:40" x14ac:dyDescent="0.25">
      <c r="A4537" t="str">
        <f>"20190312160734208"</f>
        <v>20190312160734208</v>
      </c>
      <c r="B4537" t="str">
        <f>"1552378054200205"</f>
        <v>1552378054200205</v>
      </c>
      <c r="C4537" t="s">
        <v>40</v>
      </c>
      <c r="D4537">
        <v>6.4712509999999996</v>
      </c>
      <c r="E4537">
        <v>0.56633710000000004</v>
      </c>
      <c r="F4537" t="s">
        <v>56</v>
      </c>
      <c r="G4537">
        <v>-213.7373</v>
      </c>
      <c r="H4537">
        <v>3.5115189999999998</v>
      </c>
      <c r="I4537">
        <v>98.375470000000007</v>
      </c>
      <c r="J4537">
        <v>-190.2012</v>
      </c>
      <c r="K4537">
        <v>1.108455</v>
      </c>
      <c r="L4537">
        <v>176.27860000000001</v>
      </c>
      <c r="M4537">
        <v>-0.126897699999999</v>
      </c>
      <c r="N4537">
        <v>0</v>
      </c>
      <c r="O4537">
        <v>-0.99189179999999999</v>
      </c>
      <c r="P4537">
        <v>-0.16376959999999999</v>
      </c>
      <c r="Q4537">
        <v>1.285038E-2</v>
      </c>
      <c r="R4537">
        <v>-0.98641500000000004</v>
      </c>
      <c r="S4537">
        <v>-0.87371829999999995</v>
      </c>
      <c r="T4537">
        <v>8.9109419999999995E-2</v>
      </c>
      <c r="U4537">
        <v>-2.895966</v>
      </c>
      <c r="V4537">
        <v>3.7301889999999997E-2</v>
      </c>
      <c r="W4537">
        <v>1.9726730000000001E-2</v>
      </c>
      <c r="X4537">
        <v>0.99910929999999998</v>
      </c>
      <c r="Y4537">
        <v>0.1648888</v>
      </c>
      <c r="Z4537">
        <v>-2.9518200000000001E-2</v>
      </c>
      <c r="AA4537">
        <v>0.98587040000000004</v>
      </c>
      <c r="AB4537">
        <v>19</v>
      </c>
      <c r="AC4537">
        <v>-23.536100000000001</v>
      </c>
      <c r="AD4537">
        <v>2.4030640000000001</v>
      </c>
      <c r="AE4537">
        <v>-77.903130000000004</v>
      </c>
      <c r="AF4537">
        <v>13.448131181713601</v>
      </c>
      <c r="AG4537">
        <v>2.4030640000000001</v>
      </c>
      <c r="AH4537">
        <v>80.190143344474293</v>
      </c>
      <c r="AI4537">
        <v>88.307152770134195</v>
      </c>
      <c r="AJ4537">
        <v>80.479912308025604</v>
      </c>
      <c r="AK4537">
        <v>81.345473374220404</v>
      </c>
      <c r="AL4537">
        <v>88.869668291082206</v>
      </c>
      <c r="AM4537">
        <v>87.861846895079694</v>
      </c>
      <c r="AN4537">
        <v>0.99999998411027702</v>
      </c>
    </row>
    <row r="4538" spans="1:40" x14ac:dyDescent="0.25">
      <c r="A4538" t="str">
        <f>"20190312160734230"</f>
        <v>20190312160734230</v>
      </c>
      <c r="B4538" t="str">
        <f>"1552378054219725"</f>
        <v>1552378054219725</v>
      </c>
      <c r="C4538" t="s">
        <v>40</v>
      </c>
      <c r="D4538">
        <v>6.343318</v>
      </c>
      <c r="E4538">
        <v>0.56367259999999997</v>
      </c>
      <c r="F4538" t="s">
        <v>56</v>
      </c>
      <c r="G4538">
        <v>-218.1437</v>
      </c>
      <c r="H4538">
        <v>1.2431490000000001</v>
      </c>
      <c r="I4538">
        <v>97.150019999999998</v>
      </c>
      <c r="J4538">
        <v>-190.226</v>
      </c>
      <c r="K4538">
        <v>1.1084480000000001</v>
      </c>
      <c r="L4538">
        <v>176.09710000000001</v>
      </c>
      <c r="M4538">
        <v>-0.1281457</v>
      </c>
      <c r="N4538">
        <v>0</v>
      </c>
      <c r="O4538">
        <v>-0.99173120000000003</v>
      </c>
      <c r="P4538">
        <v>-0.1653751</v>
      </c>
      <c r="Q4538">
        <v>1.297859E-2</v>
      </c>
      <c r="R4538">
        <v>-0.98614570000000001</v>
      </c>
      <c r="S4538">
        <v>-1.014465</v>
      </c>
      <c r="T4538">
        <v>4.8911570000000001E-3</v>
      </c>
      <c r="U4538">
        <v>-2.8728030000000002</v>
      </c>
      <c r="V4538">
        <v>3.7671860000000001E-2</v>
      </c>
      <c r="W4538">
        <v>1.9850690000000001E-2</v>
      </c>
      <c r="X4538">
        <v>0.99909300000000001</v>
      </c>
      <c r="Y4538">
        <v>0.20939440000000001</v>
      </c>
      <c r="Z4538">
        <v>-1.6139590000000001E-3</v>
      </c>
      <c r="AA4538">
        <v>0.97782990000000003</v>
      </c>
      <c r="AB4538">
        <v>19</v>
      </c>
      <c r="AC4538">
        <v>-27.9177</v>
      </c>
      <c r="AD4538">
        <v>0.13470099999999999</v>
      </c>
      <c r="AE4538">
        <v>-78.94708</v>
      </c>
      <c r="AF4538">
        <v>17.570500704125301</v>
      </c>
      <c r="AG4538">
        <v>0.13470099999999999</v>
      </c>
      <c r="AH4538">
        <v>81.873564904948296</v>
      </c>
      <c r="AI4538">
        <v>89.9078337267336</v>
      </c>
      <c r="AJ4538">
        <v>77.887737221025603</v>
      </c>
      <c r="AK4538">
        <v>83.737812663084597</v>
      </c>
      <c r="AL4538">
        <v>88.862564556830904</v>
      </c>
      <c r="AM4538">
        <v>87.8406249084709</v>
      </c>
      <c r="AN4538">
        <v>1.0000000207891599</v>
      </c>
    </row>
    <row r="4539" spans="1:40" x14ac:dyDescent="0.25">
      <c r="A4539" t="str">
        <f>"20190312160734253"</f>
        <v>20190312160734253</v>
      </c>
      <c r="B4539" t="str">
        <f>"1552378054249981"</f>
        <v>1552378054249981</v>
      </c>
      <c r="C4539" t="s">
        <v>40</v>
      </c>
      <c r="D4539">
        <v>6.2707430000000004</v>
      </c>
      <c r="E4539">
        <v>0.56425400000000003</v>
      </c>
      <c r="F4539" t="s">
        <v>56</v>
      </c>
      <c r="G4539">
        <v>-217.60910000000001</v>
      </c>
      <c r="H4539">
        <v>2.477916</v>
      </c>
      <c r="I4539">
        <v>97.150019999999998</v>
      </c>
      <c r="J4539">
        <v>-190.25319999999999</v>
      </c>
      <c r="K4539">
        <v>1.108439</v>
      </c>
      <c r="L4539">
        <v>175.89869999999999</v>
      </c>
      <c r="M4539">
        <v>-0.12950919999999999</v>
      </c>
      <c r="N4539">
        <v>0</v>
      </c>
      <c r="O4539">
        <v>-0.99155420000000005</v>
      </c>
      <c r="P4539">
        <v>-0.16697770000000001</v>
      </c>
      <c r="Q4539">
        <v>1.2898669999999999E-2</v>
      </c>
      <c r="R4539">
        <v>-0.98587670000000005</v>
      </c>
      <c r="S4539">
        <v>-0.9969635</v>
      </c>
      <c r="T4539">
        <v>4.9860479999999999E-2</v>
      </c>
      <c r="U4539">
        <v>-2.874298</v>
      </c>
      <c r="V4539">
        <v>3.792206E-2</v>
      </c>
      <c r="W4539">
        <v>1.976487E-2</v>
      </c>
      <c r="X4539">
        <v>0.99908520000000001</v>
      </c>
      <c r="Y4539">
        <v>0.20253640000000001</v>
      </c>
      <c r="Z4539">
        <v>-1.6466129999999999E-2</v>
      </c>
      <c r="AA4539">
        <v>0.97913629999999996</v>
      </c>
      <c r="AB4539">
        <v>19</v>
      </c>
      <c r="AC4539">
        <v>-27.355899999999998</v>
      </c>
      <c r="AD4539">
        <v>1.3694770000000001</v>
      </c>
      <c r="AE4539">
        <v>-78.748679999999993</v>
      </c>
      <c r="AF4539">
        <v>16.922015523639502</v>
      </c>
      <c r="AG4539">
        <v>1.3694770000000001</v>
      </c>
      <c r="AH4539">
        <v>81.6063468149069</v>
      </c>
      <c r="AI4539">
        <v>89.058603776911198</v>
      </c>
      <c r="AJ4539">
        <v>78.285086438258006</v>
      </c>
      <c r="AK4539">
        <v>83.353619700110798</v>
      </c>
      <c r="AL4539">
        <v>88.867482604648998</v>
      </c>
      <c r="AM4539">
        <v>87.826280042549499</v>
      </c>
      <c r="AN4539">
        <v>0.99999998478990004</v>
      </c>
    </row>
    <row r="4540" spans="1:40" x14ac:dyDescent="0.25">
      <c r="A4540" t="str">
        <f>"20190312160734276"</f>
        <v>20190312160734276</v>
      </c>
      <c r="B4540" t="str">
        <f>"1552378054270009"</f>
        <v>1552378054270009</v>
      </c>
      <c r="C4540" t="s">
        <v>40</v>
      </c>
      <c r="D4540">
        <v>6.2228019999999997</v>
      </c>
      <c r="E4540">
        <v>0.56287379999999998</v>
      </c>
      <c r="F4540" t="s">
        <v>56</v>
      </c>
      <c r="G4540">
        <v>-217.82730000000001</v>
      </c>
      <c r="H4540">
        <v>3.0221</v>
      </c>
      <c r="I4540">
        <v>97.150019999999998</v>
      </c>
      <c r="J4540">
        <v>-190.28</v>
      </c>
      <c r="K4540">
        <v>1.1084320000000001</v>
      </c>
      <c r="L4540">
        <v>175.70570000000001</v>
      </c>
      <c r="M4540">
        <v>-0.13083449999999999</v>
      </c>
      <c r="N4540">
        <v>0</v>
      </c>
      <c r="O4540">
        <v>-0.99138000000000004</v>
      </c>
      <c r="P4540">
        <v>-0.16840720000000001</v>
      </c>
      <c r="Q4540">
        <v>1.270604E-2</v>
      </c>
      <c r="R4540">
        <v>-0.98563599999999996</v>
      </c>
      <c r="S4540">
        <v>-1.0055540000000001</v>
      </c>
      <c r="T4540">
        <v>6.978703E-2</v>
      </c>
      <c r="U4540">
        <v>-2.87175</v>
      </c>
      <c r="V4540">
        <v>3.8034980000000003E-2</v>
      </c>
      <c r="W4540">
        <v>1.9568450000000001E-2</v>
      </c>
      <c r="X4540">
        <v>0.9990848</v>
      </c>
      <c r="Y4540">
        <v>0.20406450000000001</v>
      </c>
      <c r="Z4540">
        <v>-2.3042130000000001E-2</v>
      </c>
      <c r="AA4540">
        <v>0.97868619999999995</v>
      </c>
      <c r="AB4540">
        <v>19</v>
      </c>
      <c r="AC4540">
        <v>-27.5473</v>
      </c>
      <c r="AD4540">
        <v>1.9136679999999999</v>
      </c>
      <c r="AE4540">
        <v>-78.555679999999995</v>
      </c>
      <c r="AF4540">
        <v>17.023462028419399</v>
      </c>
      <c r="AG4540">
        <v>1.9136679999999999</v>
      </c>
      <c r="AH4540">
        <v>81.441585749708096</v>
      </c>
      <c r="AI4540">
        <v>88.682410170200399</v>
      </c>
      <c r="AJ4540">
        <v>78.193644514897997</v>
      </c>
      <c r="AK4540">
        <v>83.223748257779903</v>
      </c>
      <c r="AL4540">
        <v>88.878738848014706</v>
      </c>
      <c r="AM4540">
        <v>87.819812751118505</v>
      </c>
      <c r="AN4540">
        <v>1.00000001076502</v>
      </c>
    </row>
    <row r="4541" spans="1:40" x14ac:dyDescent="0.25">
      <c r="A4541" t="str">
        <f>"20190312160734297"</f>
        <v>20190312160734297</v>
      </c>
      <c r="B4541" t="str">
        <f>"1552378054289528"</f>
        <v>1552378054289528</v>
      </c>
      <c r="C4541" t="s">
        <v>40</v>
      </c>
      <c r="D4541">
        <v>6.4145859999999999</v>
      </c>
      <c r="E4541">
        <v>0.56206369999999894</v>
      </c>
      <c r="F4541" t="s">
        <v>57</v>
      </c>
      <c r="G4541">
        <v>-211.4941</v>
      </c>
      <c r="H4541">
        <v>2.8010259999999998</v>
      </c>
      <c r="I4541">
        <v>114.68049999999999</v>
      </c>
      <c r="J4541">
        <v>-190.30709999999999</v>
      </c>
      <c r="K4541">
        <v>1.10842</v>
      </c>
      <c r="L4541">
        <v>175.51230000000001</v>
      </c>
      <c r="M4541">
        <v>-0.13216249999999999</v>
      </c>
      <c r="N4541">
        <v>0</v>
      </c>
      <c r="O4541">
        <v>-0.99120399999999997</v>
      </c>
      <c r="P4541">
        <v>-0.16984399999999999</v>
      </c>
      <c r="Q4541">
        <v>1.222942E-2</v>
      </c>
      <c r="R4541">
        <v>-0.98539540000000003</v>
      </c>
      <c r="S4541">
        <v>-0.99842830000000005</v>
      </c>
      <c r="T4541">
        <v>7.966173E-2</v>
      </c>
      <c r="U4541">
        <v>-2.8721009999999998</v>
      </c>
      <c r="V4541">
        <v>3.8151829999999998E-2</v>
      </c>
      <c r="W4541">
        <v>1.908932E-2</v>
      </c>
      <c r="X4541">
        <v>0.99908960000000002</v>
      </c>
      <c r="Y4541">
        <v>0.20052310000000001</v>
      </c>
      <c r="Z4541">
        <v>-2.6310549999999999E-2</v>
      </c>
      <c r="AA4541">
        <v>0.97933559999999997</v>
      </c>
      <c r="AB4541">
        <v>19</v>
      </c>
      <c r="AC4541">
        <v>-21.187000000000001</v>
      </c>
      <c r="AD4541">
        <v>1.6926059999999901</v>
      </c>
      <c r="AE4541">
        <v>-60.831800000000001</v>
      </c>
      <c r="AF4541">
        <v>12.952322717273701</v>
      </c>
      <c r="AG4541">
        <v>1.6926059999999901</v>
      </c>
      <c r="AH4541">
        <v>63.054819760539999</v>
      </c>
      <c r="AI4541">
        <v>88.493789353190394</v>
      </c>
      <c r="AJ4541">
        <v>78.392129289226006</v>
      </c>
      <c r="AK4541">
        <v>64.393616716859697</v>
      </c>
      <c r="AL4541">
        <v>88.906196088843302</v>
      </c>
      <c r="AM4541">
        <v>87.813131830546993</v>
      </c>
      <c r="AN4541">
        <v>0.99999999654928495</v>
      </c>
    </row>
    <row r="4542" spans="1:40" x14ac:dyDescent="0.25">
      <c r="A4542" t="str">
        <f>"20190312160734318"</f>
        <v>20190312160734318</v>
      </c>
      <c r="B4542" t="str">
        <f>"1552378054310024"</f>
        <v>1552378054310024</v>
      </c>
      <c r="C4542" t="s">
        <v>40</v>
      </c>
      <c r="D4542">
        <v>6.2085229999999996</v>
      </c>
      <c r="E4542">
        <v>0.56225239999999999</v>
      </c>
      <c r="F4542" t="s">
        <v>57</v>
      </c>
      <c r="G4542">
        <v>-211.37450000000001</v>
      </c>
      <c r="H4542">
        <v>2.837345</v>
      </c>
      <c r="I4542">
        <v>114.7719</v>
      </c>
      <c r="J4542">
        <v>-190.33279999999999</v>
      </c>
      <c r="K4542">
        <v>1.108409</v>
      </c>
      <c r="L4542">
        <v>175.33</v>
      </c>
      <c r="M4542">
        <v>-0.13341359999999999</v>
      </c>
      <c r="N4542">
        <v>0</v>
      </c>
      <c r="O4542">
        <v>-0.99103629999999998</v>
      </c>
      <c r="P4542">
        <v>-0.1709407</v>
      </c>
      <c r="Q4542">
        <v>1.227747E-2</v>
      </c>
      <c r="R4542">
        <v>-0.985205</v>
      </c>
      <c r="S4542">
        <v>-0.99606320000000004</v>
      </c>
      <c r="T4542">
        <v>8.1744070000000002E-2</v>
      </c>
      <c r="U4542">
        <v>-2.8717800000000002</v>
      </c>
      <c r="V4542">
        <v>3.8003179999999998E-2</v>
      </c>
      <c r="W4542">
        <v>1.9137000000000001E-2</v>
      </c>
      <c r="X4542">
        <v>0.99909440000000005</v>
      </c>
      <c r="Y4542">
        <v>0.1985941</v>
      </c>
      <c r="Z4542">
        <v>-2.7002729999999999E-2</v>
      </c>
      <c r="AA4542">
        <v>0.97970970000000002</v>
      </c>
      <c r="AB4542">
        <v>19</v>
      </c>
      <c r="AC4542">
        <v>-21.041699999999999</v>
      </c>
      <c r="AD4542">
        <v>1.728936</v>
      </c>
      <c r="AE4542">
        <v>-60.558100000000003</v>
      </c>
      <c r="AF4542">
        <v>12.7648362591815</v>
      </c>
      <c r="AG4542">
        <v>1.728936</v>
      </c>
      <c r="AH4542">
        <v>62.778369254304998</v>
      </c>
      <c r="AI4542">
        <v>88.454072781248598</v>
      </c>
      <c r="AJ4542">
        <v>78.506632088639506</v>
      </c>
      <c r="AK4542">
        <v>64.086300491178903</v>
      </c>
      <c r="AL4542">
        <v>88.903463778191195</v>
      </c>
      <c r="AM4542">
        <v>87.821654699996003</v>
      </c>
      <c r="AN4542">
        <v>1.0000000432852301</v>
      </c>
    </row>
    <row r="4543" spans="1:40" x14ac:dyDescent="0.25">
      <c r="A4543" t="str">
        <f>"20190312160734330"</f>
        <v>20190312160734330</v>
      </c>
      <c r="B4543" t="str">
        <f>"1552378054319785"</f>
        <v>1552378054319785</v>
      </c>
      <c r="C4543" t="s">
        <v>40</v>
      </c>
      <c r="D4543">
        <v>6.3868839999999896</v>
      </c>
      <c r="E4543">
        <v>0.56153189999999997</v>
      </c>
      <c r="F4543" t="s">
        <v>57</v>
      </c>
      <c r="G4543">
        <v>-211.42660000000001</v>
      </c>
      <c r="H4543">
        <v>2.922342</v>
      </c>
      <c r="I4543">
        <v>114.8126</v>
      </c>
      <c r="J4543">
        <v>-190.34739999999999</v>
      </c>
      <c r="K4543">
        <v>1.108406</v>
      </c>
      <c r="L4543">
        <v>175.22790000000001</v>
      </c>
      <c r="M4543">
        <v>-0.13411410000000001</v>
      </c>
      <c r="N4543">
        <v>0</v>
      </c>
      <c r="O4543">
        <v>-0.99094190000000004</v>
      </c>
      <c r="P4543">
        <v>-0.17189779999999999</v>
      </c>
      <c r="Q4543">
        <v>1.261935E-2</v>
      </c>
      <c r="R4543">
        <v>-0.98503430000000003</v>
      </c>
      <c r="S4543">
        <v>-1.0005040000000001</v>
      </c>
      <c r="T4543">
        <v>8.6037989999999995E-2</v>
      </c>
      <c r="U4543">
        <v>-2.8704070000000002</v>
      </c>
      <c r="V4543">
        <v>3.8268950000000003E-2</v>
      </c>
      <c r="W4543">
        <v>1.9478349999999998E-2</v>
      </c>
      <c r="X4543">
        <v>0.99907760000000001</v>
      </c>
      <c r="Y4543">
        <v>0.19938539999999999</v>
      </c>
      <c r="Z4543">
        <v>-2.8419420000000001E-2</v>
      </c>
      <c r="AA4543">
        <v>0.97950890000000002</v>
      </c>
      <c r="AB4543">
        <v>20</v>
      </c>
      <c r="AC4543">
        <v>-21.0792</v>
      </c>
      <c r="AD4543">
        <v>1.813936</v>
      </c>
      <c r="AE4543">
        <v>-60.415300000000002</v>
      </c>
      <c r="AF4543">
        <v>12.775755892194899</v>
      </c>
      <c r="AG4543">
        <v>1.813936</v>
      </c>
      <c r="AH4543">
        <v>62.646216204740199</v>
      </c>
      <c r="AI4543">
        <v>88.374881741831302</v>
      </c>
      <c r="AJ4543">
        <v>78.4734452712337</v>
      </c>
      <c r="AK4543">
        <v>63.961384500338198</v>
      </c>
      <c r="AL4543">
        <v>88.883902152771896</v>
      </c>
      <c r="AM4543">
        <v>87.806398722594594</v>
      </c>
      <c r="AN4543">
        <v>0.99999998473729201</v>
      </c>
    </row>
    <row r="4544" spans="1:40" x14ac:dyDescent="0.25">
      <c r="A4544" t="str">
        <f>"20190312160734341"</f>
        <v>20190312160734341</v>
      </c>
      <c r="B4544" t="str">
        <f>"1552378054329545"</f>
        <v>1552378054329545</v>
      </c>
      <c r="C4544" t="s">
        <v>40</v>
      </c>
      <c r="D4544">
        <v>6.2302679999999997</v>
      </c>
      <c r="E4544">
        <v>0.56096639999999998</v>
      </c>
      <c r="F4544" t="s">
        <v>56</v>
      </c>
      <c r="G4544">
        <v>-217.48169999999999</v>
      </c>
      <c r="H4544">
        <v>3.764567</v>
      </c>
      <c r="I4544">
        <v>97.150019999999998</v>
      </c>
      <c r="J4544">
        <v>-190.36060000000001</v>
      </c>
      <c r="K4544">
        <v>1.1084020000000001</v>
      </c>
      <c r="L4544">
        <v>175.13560000000001</v>
      </c>
      <c r="M4544">
        <v>-0.13474700000000001</v>
      </c>
      <c r="N4544">
        <v>0</v>
      </c>
      <c r="O4544">
        <v>-0.99085579999999995</v>
      </c>
      <c r="P4544">
        <v>-0.1725226</v>
      </c>
      <c r="Q4544">
        <v>1.289852E-2</v>
      </c>
      <c r="R4544">
        <v>-0.9849213</v>
      </c>
      <c r="S4544">
        <v>-0.99749759999999998</v>
      </c>
      <c r="T4544">
        <v>9.7645280000000001E-2</v>
      </c>
      <c r="U4544">
        <v>-2.8702549999999998</v>
      </c>
      <c r="V4544">
        <v>3.8265670000000002E-2</v>
      </c>
      <c r="W4544">
        <v>1.9757719999999999E-2</v>
      </c>
      <c r="X4544">
        <v>0.99907230000000002</v>
      </c>
      <c r="Y4544">
        <v>0.197822</v>
      </c>
      <c r="Z4544">
        <v>-3.2257599999999997E-2</v>
      </c>
      <c r="AA4544">
        <v>0.97970710000000005</v>
      </c>
      <c r="AB4544">
        <v>20</v>
      </c>
      <c r="AC4544">
        <v>-27.121099999999899</v>
      </c>
      <c r="AD4544">
        <v>2.6561650000000001</v>
      </c>
      <c r="AE4544">
        <v>-77.985579999999999</v>
      </c>
      <c r="AF4544">
        <v>16.3482505344119</v>
      </c>
      <c r="AG4544">
        <v>2.6561650000000001</v>
      </c>
      <c r="AH4544">
        <v>80.845228100848601</v>
      </c>
      <c r="AI4544">
        <v>88.155534713118101</v>
      </c>
      <c r="AJ4544">
        <v>78.568000301511105</v>
      </c>
      <c r="AK4544">
        <v>82.524368611467494</v>
      </c>
      <c r="AL4544">
        <v>88.867892417453305</v>
      </c>
      <c r="AM4544">
        <v>87.806574926176395</v>
      </c>
      <c r="AN4544">
        <v>1.0000000448137101</v>
      </c>
    </row>
    <row r="4545" spans="1:40" x14ac:dyDescent="0.25">
      <c r="A4545" t="str">
        <f>"20190312160734353"</f>
        <v>20190312160734353</v>
      </c>
      <c r="B4545" t="str">
        <f>"1552378054350041"</f>
        <v>1552378054350041</v>
      </c>
      <c r="C4545" t="s">
        <v>40</v>
      </c>
      <c r="D4545">
        <v>6.4203219999999996</v>
      </c>
      <c r="E4545">
        <v>0.55993660000000001</v>
      </c>
      <c r="F4545" t="s">
        <v>57</v>
      </c>
      <c r="G4545">
        <v>-212.048</v>
      </c>
      <c r="H4545">
        <v>3.431397</v>
      </c>
      <c r="I4545">
        <v>112.5326</v>
      </c>
      <c r="J4545">
        <v>-190.3758</v>
      </c>
      <c r="K4545">
        <v>1.1083970000000001</v>
      </c>
      <c r="L4545">
        <v>175.0292</v>
      </c>
      <c r="M4545">
        <v>-0.13547670000000001</v>
      </c>
      <c r="N4545">
        <v>0</v>
      </c>
      <c r="O4545">
        <v>-0.99075639999999998</v>
      </c>
      <c r="P4545">
        <v>-0.17340220000000001</v>
      </c>
      <c r="Q4545">
        <v>1.27636E-2</v>
      </c>
      <c r="R4545">
        <v>-0.98476839999999999</v>
      </c>
      <c r="S4545">
        <v>-0.99438479999999996</v>
      </c>
      <c r="T4545">
        <v>0.1065116</v>
      </c>
      <c r="U4545">
        <v>-2.870377</v>
      </c>
      <c r="V4545">
        <v>3.842193E-2</v>
      </c>
      <c r="W4545">
        <v>1.962328E-2</v>
      </c>
      <c r="X4545">
        <v>0.99906890000000004</v>
      </c>
      <c r="Y4545">
        <v>0.196106</v>
      </c>
      <c r="Z4545">
        <v>-3.5188579999999997E-2</v>
      </c>
      <c r="AA4545">
        <v>0.97995109999999996</v>
      </c>
      <c r="AB4545">
        <v>20</v>
      </c>
      <c r="AC4545">
        <v>-21.6722</v>
      </c>
      <c r="AD4545">
        <v>2.323</v>
      </c>
      <c r="AE4545">
        <v>-62.496600000000001</v>
      </c>
      <c r="AF4545">
        <v>12.989328902780899</v>
      </c>
      <c r="AG4545">
        <v>2.323</v>
      </c>
      <c r="AH4545">
        <v>64.776646055512899</v>
      </c>
      <c r="AI4545">
        <v>87.986211106476105</v>
      </c>
      <c r="AJ4545">
        <v>78.661153941013197</v>
      </c>
      <c r="AK4545">
        <v>66.106980482743396</v>
      </c>
      <c r="AL4545">
        <v>88.875596696444504</v>
      </c>
      <c r="AM4545">
        <v>87.797619267040503</v>
      </c>
      <c r="AN4545">
        <v>0.999999992385046</v>
      </c>
    </row>
    <row r="4546" spans="1:40" x14ac:dyDescent="0.25">
      <c r="A4546" t="str">
        <f>"20190312160734366"</f>
        <v>20190312160734366</v>
      </c>
      <c r="B4546" t="str">
        <f>"1552378054360309"</f>
        <v>1552378054360309</v>
      </c>
      <c r="C4546" t="s">
        <v>40</v>
      </c>
      <c r="D4546">
        <v>6.4074939999999998</v>
      </c>
      <c r="E4546">
        <v>0.55930349999999995</v>
      </c>
      <c r="F4546" t="s">
        <v>57</v>
      </c>
      <c r="G4546">
        <v>-211.2276</v>
      </c>
      <c r="H4546">
        <v>3.644085</v>
      </c>
      <c r="I4546">
        <v>114.4787</v>
      </c>
      <c r="J4546">
        <v>-190.39150000000001</v>
      </c>
      <c r="K4546">
        <v>1.1084050000000001</v>
      </c>
      <c r="L4546">
        <v>174.92099999999999</v>
      </c>
      <c r="M4546">
        <v>-0.13621820000000001</v>
      </c>
      <c r="N4546">
        <v>0</v>
      </c>
      <c r="O4546">
        <v>-0.99065479999999995</v>
      </c>
      <c r="P4546">
        <v>-0.17346449999999999</v>
      </c>
      <c r="Q4546">
        <v>1.186361E-2</v>
      </c>
      <c r="R4546">
        <v>-0.98476900000000001</v>
      </c>
      <c r="S4546">
        <v>-0.98860170000000003</v>
      </c>
      <c r="T4546">
        <v>0.1202199</v>
      </c>
      <c r="U4546">
        <v>-2.870743</v>
      </c>
      <c r="V4546">
        <v>3.7734339999999998E-2</v>
      </c>
      <c r="W4546">
        <v>1.8726509999999998E-2</v>
      </c>
      <c r="X4546">
        <v>0.99911229999999995</v>
      </c>
      <c r="Y4546">
        <v>0.1935134</v>
      </c>
      <c r="Z4546">
        <v>-3.97227E-2</v>
      </c>
      <c r="AA4546">
        <v>0.98029319999999998</v>
      </c>
      <c r="AB4546">
        <v>20</v>
      </c>
      <c r="AC4546">
        <v>-20.836099999999899</v>
      </c>
      <c r="AD4546">
        <v>2.5356799999999899</v>
      </c>
      <c r="AE4546">
        <v>-60.442299999999904</v>
      </c>
      <c r="AF4546">
        <v>12.3888487462622</v>
      </c>
      <c r="AG4546">
        <v>2.5356799999999899</v>
      </c>
      <c r="AH4546">
        <v>62.618703691714401</v>
      </c>
      <c r="AI4546">
        <v>87.725179825338003</v>
      </c>
      <c r="AJ4546">
        <v>78.808794860434901</v>
      </c>
      <c r="AK4546">
        <v>63.882824752439397</v>
      </c>
      <c r="AL4546">
        <v>88.926987264847895</v>
      </c>
      <c r="AM4546">
        <v>87.837088656149604</v>
      </c>
      <c r="AN4546">
        <v>0.99999997530165197</v>
      </c>
    </row>
    <row r="4547" spans="1:40" x14ac:dyDescent="0.25">
      <c r="A4547" t="str">
        <f>"20190312160734377"</f>
        <v>20190312160734377</v>
      </c>
      <c r="B4547" t="str">
        <f>"1552378054370069"</f>
        <v>1552378054370069</v>
      </c>
      <c r="C4547" t="s">
        <v>40</v>
      </c>
      <c r="D4547">
        <v>6.415006</v>
      </c>
      <c r="E4547">
        <v>0.55976769999999998</v>
      </c>
      <c r="F4547" t="s">
        <v>57</v>
      </c>
      <c r="G4547">
        <v>-211.053</v>
      </c>
      <c r="H4547">
        <v>3.6939299999999999</v>
      </c>
      <c r="I4547">
        <v>114.5963</v>
      </c>
      <c r="J4547">
        <v>-190.4068</v>
      </c>
      <c r="K4547">
        <v>1.1083989999999999</v>
      </c>
      <c r="L4547">
        <v>174.81569999999999</v>
      </c>
      <c r="M4547">
        <v>-0.1369406</v>
      </c>
      <c r="N4547">
        <v>0</v>
      </c>
      <c r="O4547">
        <v>-0.99055490000000002</v>
      </c>
      <c r="P4547">
        <v>-0.17475060000000001</v>
      </c>
      <c r="Q4547">
        <v>1.169856E-2</v>
      </c>
      <c r="R4547">
        <v>-0.98454319999999895</v>
      </c>
      <c r="S4547">
        <v>-0.9835663</v>
      </c>
      <c r="T4547">
        <v>0.12308139999999899</v>
      </c>
      <c r="U4547">
        <v>-2.8716740000000001</v>
      </c>
      <c r="V4547">
        <v>3.8310379999999998E-2</v>
      </c>
      <c r="W4547">
        <v>1.8561560000000001E-2</v>
      </c>
      <c r="X4547">
        <v>0.99909349999999997</v>
      </c>
      <c r="Y4547">
        <v>0.1911495</v>
      </c>
      <c r="Z4547">
        <v>-4.0668870000000003E-2</v>
      </c>
      <c r="AA4547">
        <v>0.98071810000000004</v>
      </c>
      <c r="AB4547">
        <v>20</v>
      </c>
      <c r="AC4547">
        <v>-20.6462</v>
      </c>
      <c r="AD4547">
        <v>2.585531</v>
      </c>
      <c r="AE4547">
        <v>-60.219399999999901</v>
      </c>
      <c r="AF4547">
        <v>12.1849089099954</v>
      </c>
      <c r="AG4547">
        <v>2.585531</v>
      </c>
      <c r="AH4547">
        <v>62.376540247136298</v>
      </c>
      <c r="AI4547">
        <v>87.670409113320204</v>
      </c>
      <c r="AJ4547">
        <v>78.946781452377493</v>
      </c>
      <c r="AK4547">
        <v>63.608094995051303</v>
      </c>
      <c r="AL4547">
        <v>88.936439893654395</v>
      </c>
      <c r="AM4547">
        <v>87.804061165018993</v>
      </c>
      <c r="AN4547">
        <v>1.0000000192338101</v>
      </c>
    </row>
    <row r="4548" spans="1:40" x14ac:dyDescent="0.25">
      <c r="A4548" t="str">
        <f>"20190312160734388"</f>
        <v>20190312160734388</v>
      </c>
      <c r="B4548" t="str">
        <f>"1552378054379829"</f>
        <v>1552378054379829</v>
      </c>
      <c r="C4548" t="s">
        <v>40</v>
      </c>
      <c r="D4548">
        <v>6.4065599999999998</v>
      </c>
      <c r="E4548">
        <v>0.56012740000000005</v>
      </c>
      <c r="F4548" t="s">
        <v>57</v>
      </c>
      <c r="G4548">
        <v>-211.24549999999999</v>
      </c>
      <c r="H4548">
        <v>3.621346</v>
      </c>
      <c r="I4548">
        <v>114.47750000000001</v>
      </c>
      <c r="J4548">
        <v>-190.4211</v>
      </c>
      <c r="K4548">
        <v>1.1083959999999999</v>
      </c>
      <c r="L4548">
        <v>174.71770000000001</v>
      </c>
      <c r="M4548">
        <v>-0.1376124</v>
      </c>
      <c r="N4548">
        <v>0</v>
      </c>
      <c r="O4548">
        <v>-0.99046199999999995</v>
      </c>
      <c r="P4548">
        <v>-0.1757638</v>
      </c>
      <c r="Q4548">
        <v>1.0969599999999999E-2</v>
      </c>
      <c r="R4548">
        <v>-0.9843712</v>
      </c>
      <c r="S4548">
        <v>-0.99111939999999998</v>
      </c>
      <c r="T4548">
        <v>0.1195204</v>
      </c>
      <c r="U4548">
        <v>-2.8697659999999998</v>
      </c>
      <c r="V4548">
        <v>3.8658730000000002E-2</v>
      </c>
      <c r="W4548">
        <v>1.78345E-2</v>
      </c>
      <c r="X4548">
        <v>0.99909329999999996</v>
      </c>
      <c r="Y4548">
        <v>0.19300690000000001</v>
      </c>
      <c r="Z4548">
        <v>-3.9489629999999998E-2</v>
      </c>
      <c r="AA4548">
        <v>0.98040240000000001</v>
      </c>
      <c r="AB4548">
        <v>20</v>
      </c>
      <c r="AC4548">
        <v>-20.824400000000001</v>
      </c>
      <c r="AD4548">
        <v>2.51295</v>
      </c>
      <c r="AE4548">
        <v>-60.240200000000002</v>
      </c>
      <c r="AF4548">
        <v>12.3171274719263</v>
      </c>
      <c r="AG4548">
        <v>2.51295</v>
      </c>
      <c r="AH4548">
        <v>62.435769028304897</v>
      </c>
      <c r="AI4548">
        <v>87.738707312234197</v>
      </c>
      <c r="AJ4548">
        <v>78.840173688510902</v>
      </c>
      <c r="AK4548">
        <v>63.6887101535117</v>
      </c>
      <c r="AL4548">
        <v>88.978104237425796</v>
      </c>
      <c r="AM4548">
        <v>87.784113225147607</v>
      </c>
      <c r="AN4548">
        <v>0.99999999445017596</v>
      </c>
    </row>
    <row r="4549" spans="1:40" x14ac:dyDescent="0.25">
      <c r="A4549" t="str">
        <f>"20190312160734409"</f>
        <v>20190312160734409</v>
      </c>
      <c r="B4549" t="str">
        <f>"1552378054399352"</f>
        <v>1552378054399352</v>
      </c>
      <c r="C4549" t="s">
        <v>40</v>
      </c>
      <c r="D4549">
        <v>6.3904489999999896</v>
      </c>
      <c r="E4549">
        <v>0.56042159999999996</v>
      </c>
      <c r="F4549" t="s">
        <v>57</v>
      </c>
      <c r="G4549">
        <v>-211.3749</v>
      </c>
      <c r="H4549">
        <v>3.5110760000000001</v>
      </c>
      <c r="I4549">
        <v>114.43519999999999</v>
      </c>
      <c r="J4549">
        <v>-190.447</v>
      </c>
      <c r="K4549">
        <v>1.1083829999999999</v>
      </c>
      <c r="L4549">
        <v>174.54130000000001</v>
      </c>
      <c r="M4549">
        <v>-0.138821</v>
      </c>
      <c r="N4549">
        <v>0</v>
      </c>
      <c r="O4549">
        <v>-0.99029310000000004</v>
      </c>
      <c r="P4549">
        <v>-0.1772474</v>
      </c>
      <c r="Q4549">
        <v>1.137321E-2</v>
      </c>
      <c r="R4549">
        <v>-0.98410070000000005</v>
      </c>
      <c r="S4549">
        <v>-0.99702449999999998</v>
      </c>
      <c r="T4549">
        <v>0.114325</v>
      </c>
      <c r="U4549">
        <v>-2.868347</v>
      </c>
      <c r="V4549">
        <v>3.894711E-2</v>
      </c>
      <c r="W4549">
        <v>1.8241170000000001E-2</v>
      </c>
      <c r="X4549">
        <v>0.99907480000000004</v>
      </c>
      <c r="Y4549">
        <v>0.19378300000000001</v>
      </c>
      <c r="Z4549">
        <v>-3.7768330000000003E-2</v>
      </c>
      <c r="AA4549">
        <v>0.9803172</v>
      </c>
      <c r="AB4549">
        <v>20</v>
      </c>
      <c r="AC4549">
        <v>-20.927899999999902</v>
      </c>
      <c r="AD4549">
        <v>2.4026930000000002</v>
      </c>
      <c r="AE4549">
        <v>-60.106099999999998</v>
      </c>
      <c r="AF4549">
        <v>12.363445187644601</v>
      </c>
      <c r="AG4549">
        <v>2.4026930000000002</v>
      </c>
      <c r="AH4549">
        <v>62.340550580591398</v>
      </c>
      <c r="AI4549">
        <v>87.834957054660705</v>
      </c>
      <c r="AJ4549">
        <v>78.782592656447505</v>
      </c>
      <c r="AK4549">
        <v>63.600094003479398</v>
      </c>
      <c r="AL4549">
        <v>88.954800015291795</v>
      </c>
      <c r="AM4549">
        <v>87.767558885873299</v>
      </c>
      <c r="AN4549">
        <v>1.00000003682767</v>
      </c>
    </row>
    <row r="4550" spans="1:40" x14ac:dyDescent="0.25">
      <c r="A4550" t="str">
        <f>"20190312160734430"</f>
        <v>20190312160734430</v>
      </c>
      <c r="B4550" t="str">
        <f>"1552378054419844"</f>
        <v>1552378054419844</v>
      </c>
      <c r="C4550" t="s">
        <v>40</v>
      </c>
      <c r="D4550">
        <v>6.2030909999999997</v>
      </c>
      <c r="E4550">
        <v>0.56118840000000003</v>
      </c>
      <c r="F4550" t="s">
        <v>57</v>
      </c>
      <c r="G4550">
        <v>-211.52760000000001</v>
      </c>
      <c r="H4550">
        <v>3.4613420000000001</v>
      </c>
      <c r="I4550">
        <v>114.33620000000001</v>
      </c>
      <c r="J4550">
        <v>-190.47579999999999</v>
      </c>
      <c r="K4550">
        <v>1.108366</v>
      </c>
      <c r="L4550">
        <v>174.34719999999999</v>
      </c>
      <c r="M4550">
        <v>-0.14015050000000001</v>
      </c>
      <c r="N4550">
        <v>0</v>
      </c>
      <c r="O4550">
        <v>-0.99010589999999998</v>
      </c>
      <c r="P4550">
        <v>-0.17847589999999999</v>
      </c>
      <c r="Q4550">
        <v>1.1473870000000001E-2</v>
      </c>
      <c r="R4550">
        <v>-0.98387740000000001</v>
      </c>
      <c r="S4550">
        <v>-1.0036620000000001</v>
      </c>
      <c r="T4550">
        <v>0.11202670000000001</v>
      </c>
      <c r="U4550">
        <v>-2.8663940000000001</v>
      </c>
      <c r="V4550">
        <v>3.885367E-2</v>
      </c>
      <c r="W4550">
        <v>1.8347490000000001E-2</v>
      </c>
      <c r="X4550">
        <v>0.99907639999999998</v>
      </c>
      <c r="Y4550">
        <v>0.19470599999999999</v>
      </c>
      <c r="Z4550">
        <v>-3.7006270000000001E-2</v>
      </c>
      <c r="AA4550">
        <v>0.98016329999999996</v>
      </c>
      <c r="AB4550">
        <v>20</v>
      </c>
      <c r="AC4550">
        <v>-21.0518</v>
      </c>
      <c r="AD4550">
        <v>2.352976</v>
      </c>
      <c r="AE4550">
        <v>-60.010999999999903</v>
      </c>
      <c r="AF4550">
        <v>12.416242487821499</v>
      </c>
      <c r="AG4550">
        <v>2.352976</v>
      </c>
      <c r="AH4550">
        <v>62.2839066680773</v>
      </c>
      <c r="AI4550">
        <v>87.878205593491302</v>
      </c>
      <c r="AJ4550">
        <v>78.725929908093903</v>
      </c>
      <c r="AK4550">
        <v>63.5530062499857</v>
      </c>
      <c r="AL4550">
        <v>88.948707212618004</v>
      </c>
      <c r="AM4550">
        <v>87.772913012709395</v>
      </c>
      <c r="AN4550">
        <v>0.999999945549362</v>
      </c>
    </row>
    <row r="4551" spans="1:40" x14ac:dyDescent="0.25">
      <c r="A4551" t="str">
        <f>"20190312160734443"</f>
        <v>20190312160734443</v>
      </c>
      <c r="B4551" t="str">
        <f>"1552378054440341"</f>
        <v>1552378054440341</v>
      </c>
      <c r="C4551" t="s">
        <v>40</v>
      </c>
      <c r="D4551">
        <v>6.2891180000000002</v>
      </c>
      <c r="E4551">
        <v>0.56175390000000003</v>
      </c>
      <c r="F4551" t="s">
        <v>57</v>
      </c>
      <c r="G4551">
        <v>-211.76900000000001</v>
      </c>
      <c r="H4551">
        <v>3.395696</v>
      </c>
      <c r="I4551">
        <v>114.1716</v>
      </c>
      <c r="J4551">
        <v>-190.4922</v>
      </c>
      <c r="K4551">
        <v>1.108363</v>
      </c>
      <c r="L4551">
        <v>174.2371</v>
      </c>
      <c r="M4551">
        <v>-0.14090510000000001</v>
      </c>
      <c r="N4551">
        <v>0</v>
      </c>
      <c r="O4551">
        <v>-0.98999890000000001</v>
      </c>
      <c r="P4551">
        <v>-0.1792957</v>
      </c>
      <c r="Q4551">
        <v>1.1261500000000001E-2</v>
      </c>
      <c r="R4551">
        <v>-0.98373100000000002</v>
      </c>
      <c r="S4551">
        <v>-1.0134430000000001</v>
      </c>
      <c r="T4551">
        <v>0.1088657</v>
      </c>
      <c r="U4551">
        <v>-2.8640289999999999</v>
      </c>
      <c r="V4551">
        <v>3.8924140000000003E-2</v>
      </c>
      <c r="W4551">
        <v>1.813915E-2</v>
      </c>
      <c r="X4551">
        <v>0.99907749999999995</v>
      </c>
      <c r="Y4551">
        <v>0.19720109999999999</v>
      </c>
      <c r="Z4551">
        <v>-3.5956719999999998E-2</v>
      </c>
      <c r="AA4551">
        <v>0.9797034</v>
      </c>
      <c r="AB4551">
        <v>20</v>
      </c>
      <c r="AC4551">
        <v>-21.276800000000001</v>
      </c>
      <c r="AD4551">
        <v>2.2873329999999998</v>
      </c>
      <c r="AE4551">
        <v>-60.0655</v>
      </c>
      <c r="AF4551">
        <v>12.5845605491289</v>
      </c>
      <c r="AG4551">
        <v>2.2873329999999998</v>
      </c>
      <c r="AH4551">
        <v>62.383906164902399</v>
      </c>
      <c r="AI4551">
        <v>87.941594062793598</v>
      </c>
      <c r="AJ4551">
        <v>78.594917812595</v>
      </c>
      <c r="AK4551">
        <v>63.681667729880701</v>
      </c>
      <c r="AL4551">
        <v>88.960646243117495</v>
      </c>
      <c r="AM4551">
        <v>87.768880214530896</v>
      </c>
      <c r="AN4551">
        <v>0.99999998422185499</v>
      </c>
    </row>
    <row r="4552" spans="1:40" x14ac:dyDescent="0.25">
      <c r="A4552" t="str">
        <f>"20190312160734457"</f>
        <v>20190312160734457</v>
      </c>
      <c r="B4552" t="str">
        <f>"1552378054450102"</f>
        <v>1552378054450102</v>
      </c>
      <c r="C4552" t="s">
        <v>40</v>
      </c>
      <c r="D4552">
        <v>6.1350360000000004</v>
      </c>
      <c r="E4552">
        <v>0.59043190000000001</v>
      </c>
      <c r="F4552" t="s">
        <v>57</v>
      </c>
      <c r="G4552">
        <v>-211.6097</v>
      </c>
      <c r="H4552">
        <v>3.261234</v>
      </c>
      <c r="I4552">
        <v>114.9875</v>
      </c>
      <c r="J4552">
        <v>-190.5112</v>
      </c>
      <c r="K4552">
        <v>1.1083590000000001</v>
      </c>
      <c r="L4552">
        <v>174.11060000000001</v>
      </c>
      <c r="M4552">
        <v>-0.14177139999999999</v>
      </c>
      <c r="N4552">
        <v>0</v>
      </c>
      <c r="O4552">
        <v>-0.98987499999999995</v>
      </c>
      <c r="P4552">
        <v>-0.1801015</v>
      </c>
      <c r="Q4552">
        <v>1.1361380000000001E-2</v>
      </c>
      <c r="R4552">
        <v>-0.98358230000000002</v>
      </c>
      <c r="S4552">
        <v>-1.0202329999999999</v>
      </c>
      <c r="T4552">
        <v>0.1040111</v>
      </c>
      <c r="U4552">
        <v>-2.862473</v>
      </c>
      <c r="V4552">
        <v>3.8868819999999998E-2</v>
      </c>
      <c r="W4552">
        <v>1.8243079999999998E-2</v>
      </c>
      <c r="X4552">
        <v>0.99907780000000002</v>
      </c>
      <c r="Y4552">
        <v>0.1985933</v>
      </c>
      <c r="Z4552">
        <v>-3.4348289999999997E-2</v>
      </c>
      <c r="AA4552">
        <v>0.97947989999999996</v>
      </c>
      <c r="AB4552">
        <v>20</v>
      </c>
      <c r="AC4552">
        <v>-21.098500000000001</v>
      </c>
      <c r="AD4552">
        <v>2.1528749999999999</v>
      </c>
      <c r="AE4552">
        <v>-59.123100000000001</v>
      </c>
      <c r="AF4552">
        <v>12.4885268462565</v>
      </c>
      <c r="AG4552">
        <v>2.1528749999999999</v>
      </c>
      <c r="AH4552">
        <v>61.4448609726578</v>
      </c>
      <c r="AI4552">
        <v>88.033493623082194</v>
      </c>
      <c r="AJ4552">
        <v>78.511257026801104</v>
      </c>
      <c r="AK4552">
        <v>62.738099377527703</v>
      </c>
      <c r="AL4552">
        <v>88.954690547473106</v>
      </c>
      <c r="AM4552">
        <v>87.772048610614902</v>
      </c>
      <c r="AN4552">
        <v>1.0000000227944501</v>
      </c>
    </row>
    <row r="4553" spans="1:40" x14ac:dyDescent="0.25">
      <c r="A4553" t="str">
        <f>"20190312160734476"</f>
        <v>20190312160734476</v>
      </c>
      <c r="B4553" t="str">
        <f>"1552378054470129"</f>
        <v>1552378054470129</v>
      </c>
      <c r="C4553" t="s">
        <v>40</v>
      </c>
      <c r="D4553">
        <v>6.2862229999999997</v>
      </c>
      <c r="E4553">
        <v>0.59463049999999995</v>
      </c>
      <c r="F4553" t="s">
        <v>47</v>
      </c>
      <c r="G4553">
        <v>-192.9025</v>
      </c>
      <c r="H4553" s="1">
        <v>-4.9333970000000002E-6</v>
      </c>
      <c r="I4553">
        <v>168.79220000000001</v>
      </c>
      <c r="J4553">
        <v>-190.5378</v>
      </c>
      <c r="K4553">
        <v>1.108349</v>
      </c>
      <c r="L4553">
        <v>173.9342</v>
      </c>
      <c r="M4553">
        <v>-0.14297869999999999</v>
      </c>
      <c r="N4553">
        <v>0</v>
      </c>
      <c r="O4553">
        <v>-0.98970139999999995</v>
      </c>
      <c r="P4553">
        <v>-0.18139259999999999</v>
      </c>
      <c r="Q4553">
        <v>1.170002E-2</v>
      </c>
      <c r="R4553">
        <v>-0.98334160000000004</v>
      </c>
      <c r="S4553">
        <v>-1.269943</v>
      </c>
      <c r="T4553">
        <v>-0.58860089999999998</v>
      </c>
      <c r="U4553">
        <v>-2.8243260000000001</v>
      </c>
      <c r="V4553">
        <v>3.8963150000000002E-2</v>
      </c>
      <c r="W4553">
        <v>1.8588250000000001E-2</v>
      </c>
      <c r="X4553">
        <v>0.9990677</v>
      </c>
      <c r="Y4553">
        <v>0.26809280000000002</v>
      </c>
      <c r="Z4553">
        <v>0.1885278</v>
      </c>
      <c r="AA4553">
        <v>0.94476640000000001</v>
      </c>
      <c r="AB4553">
        <v>20</v>
      </c>
      <c r="AC4553">
        <v>-2.3646999999999898</v>
      </c>
      <c r="AD4553">
        <v>-1.1083539333970001</v>
      </c>
      <c r="AE4553">
        <v>-5.1419999999999897</v>
      </c>
      <c r="AF4553">
        <v>1.54590268639957</v>
      </c>
      <c r="AG4553">
        <v>-1.1083539333970001</v>
      </c>
      <c r="AH4553">
        <v>5.22682482618813</v>
      </c>
      <c r="AI4553">
        <v>101.494024382091</v>
      </c>
      <c r="AJ4553">
        <v>73.523719238933396</v>
      </c>
      <c r="AK4553">
        <v>5.5621903348546597</v>
      </c>
      <c r="AL4553">
        <v>88.934910341967907</v>
      </c>
      <c r="AM4553">
        <v>87.766624551299699</v>
      </c>
      <c r="AN4553">
        <v>0.99999995963963595</v>
      </c>
    </row>
    <row r="4554" spans="1:40" x14ac:dyDescent="0.25">
      <c r="A4554" t="str">
        <f>"20190312160734498"</f>
        <v>20190312160734498</v>
      </c>
      <c r="B4554" t="str">
        <f>"1552378054489649"</f>
        <v>1552378054489649</v>
      </c>
      <c r="C4554" t="s">
        <v>40</v>
      </c>
      <c r="D4554">
        <v>6.3196580000000004</v>
      </c>
      <c r="E4554">
        <v>0.59532830000000003</v>
      </c>
      <c r="F4554" t="s">
        <v>47</v>
      </c>
      <c r="G4554">
        <v>-192.84010000000001</v>
      </c>
      <c r="H4554" s="1">
        <v>-4.9929470000000003E-6</v>
      </c>
      <c r="I4554">
        <v>168.9761</v>
      </c>
      <c r="J4554">
        <v>-190.56800000000001</v>
      </c>
      <c r="K4554">
        <v>1.1083430000000001</v>
      </c>
      <c r="L4554">
        <v>173.73660000000001</v>
      </c>
      <c r="M4554">
        <v>-0.1443314</v>
      </c>
      <c r="N4554">
        <v>0</v>
      </c>
      <c r="O4554">
        <v>-0.98950510000000003</v>
      </c>
      <c r="P4554">
        <v>-0.1826622</v>
      </c>
      <c r="Q4554">
        <v>1.155219E-2</v>
      </c>
      <c r="R4554">
        <v>-0.98310819999999999</v>
      </c>
      <c r="S4554">
        <v>-1.3080750000000001</v>
      </c>
      <c r="T4554">
        <v>-0.62973049999999997</v>
      </c>
      <c r="U4554">
        <v>-2.8170320000000002</v>
      </c>
      <c r="V4554">
        <v>3.8887390000000001E-2</v>
      </c>
      <c r="W4554">
        <v>1.844809E-2</v>
      </c>
      <c r="X4554">
        <v>0.99907330000000005</v>
      </c>
      <c r="Y4554">
        <v>0.27722760000000002</v>
      </c>
      <c r="Z4554">
        <v>0.20077120000000001</v>
      </c>
      <c r="AA4554">
        <v>0.93959340000000002</v>
      </c>
      <c r="AB4554">
        <v>20</v>
      </c>
      <c r="AC4554">
        <v>-2.27210000000002</v>
      </c>
      <c r="AD4554">
        <v>-1.1083479929469999</v>
      </c>
      <c r="AE4554">
        <v>-4.7605000000000004</v>
      </c>
      <c r="AF4554">
        <v>1.49519135032835</v>
      </c>
      <c r="AG4554">
        <v>-1.1083479929469999</v>
      </c>
      <c r="AH4554">
        <v>4.8255525773101402</v>
      </c>
      <c r="AI4554">
        <v>102.374236028494</v>
      </c>
      <c r="AJ4554">
        <v>72.784471255739803</v>
      </c>
      <c r="AK4554">
        <v>5.17203926164051</v>
      </c>
      <c r="AL4554">
        <v>88.942942349229</v>
      </c>
      <c r="AM4554">
        <v>87.770975226372201</v>
      </c>
      <c r="AN4554">
        <v>1.0000000099492701</v>
      </c>
    </row>
    <row r="4555" spans="1:40" x14ac:dyDescent="0.25">
      <c r="A4555" t="str">
        <f>"20190312160734510"</f>
        <v>20190312160734510</v>
      </c>
      <c r="B4555" t="str">
        <f>"1552378054500384"</f>
        <v>1552378054500384</v>
      </c>
      <c r="C4555" t="s">
        <v>40</v>
      </c>
      <c r="D4555">
        <v>6.6731879999999997</v>
      </c>
      <c r="E4555">
        <v>0.59532830000000003</v>
      </c>
      <c r="F4555" t="s">
        <v>47</v>
      </c>
      <c r="G4555">
        <v>-193.53970000000001</v>
      </c>
      <c r="H4555" s="1">
        <v>-4.4999169999999997E-6</v>
      </c>
      <c r="I4555">
        <v>167.3691</v>
      </c>
      <c r="J4555">
        <v>-190.58459999999999</v>
      </c>
      <c r="K4555">
        <v>1.1083369999999999</v>
      </c>
      <c r="L4555">
        <v>173.6284</v>
      </c>
      <c r="M4555">
        <v>-0.1450717</v>
      </c>
      <c r="N4555">
        <v>0</v>
      </c>
      <c r="O4555">
        <v>-0.98939659999999996</v>
      </c>
      <c r="P4555">
        <v>-0.18339150000000001</v>
      </c>
      <c r="Q4555">
        <v>1.151635E-2</v>
      </c>
      <c r="R4555">
        <v>-0.98297259999999997</v>
      </c>
      <c r="S4555">
        <v>-1.3129879999999901</v>
      </c>
      <c r="T4555">
        <v>-0.48969960000000001</v>
      </c>
      <c r="U4555">
        <v>-2.813339</v>
      </c>
      <c r="V4555">
        <v>3.8881140000000002E-2</v>
      </c>
      <c r="W4555">
        <v>1.8417570000000001E-2</v>
      </c>
      <c r="X4555">
        <v>0.99907409999999996</v>
      </c>
      <c r="Y4555">
        <v>0.28167900000000001</v>
      </c>
      <c r="Z4555">
        <v>0.1574489</v>
      </c>
      <c r="AA4555">
        <v>0.94650239999999997</v>
      </c>
      <c r="AB4555">
        <v>20</v>
      </c>
      <c r="AC4555">
        <v>-2.9551000000000101</v>
      </c>
      <c r="AD4555">
        <v>-1.108341499917</v>
      </c>
      <c r="AE4555">
        <v>-6.2592999999999899</v>
      </c>
      <c r="AF4555">
        <v>1.96537648098534</v>
      </c>
      <c r="AG4555">
        <v>-1.108341499917</v>
      </c>
      <c r="AH4555">
        <v>6.4562577573100501</v>
      </c>
      <c r="AI4555">
        <v>99.326349650504596</v>
      </c>
      <c r="AJ4555">
        <v>73.069006930928694</v>
      </c>
      <c r="AK4555">
        <v>6.8391804933979401</v>
      </c>
      <c r="AL4555">
        <v>88.944691306860804</v>
      </c>
      <c r="AM4555">
        <v>87.7713348978113</v>
      </c>
      <c r="AN4555">
        <v>1.0000000036115999</v>
      </c>
    </row>
    <row r="4556" spans="1:40" x14ac:dyDescent="0.25">
      <c r="A4556" t="str">
        <f>"20190312160734535"</f>
        <v>20190312160734535</v>
      </c>
      <c r="B4556" t="str">
        <f>"1552378054529666"</f>
        <v>1552378054529666</v>
      </c>
      <c r="C4556" t="s">
        <v>40</v>
      </c>
      <c r="D4556">
        <v>6.0016480000000003</v>
      </c>
      <c r="E4556">
        <v>0.58790030000000004</v>
      </c>
      <c r="F4556" t="s">
        <v>47</v>
      </c>
      <c r="G4556">
        <v>-193.55869999999999</v>
      </c>
      <c r="H4556" s="1">
        <v>-4.4640239999999998E-6</v>
      </c>
      <c r="I4556">
        <v>167.26679999999999</v>
      </c>
      <c r="J4556">
        <v>-190.61859999999999</v>
      </c>
      <c r="K4556">
        <v>1.1083270000000001</v>
      </c>
      <c r="L4556">
        <v>173.4083</v>
      </c>
      <c r="M4556">
        <v>-0.1465776</v>
      </c>
      <c r="N4556">
        <v>0</v>
      </c>
      <c r="O4556">
        <v>-0.98917449999999996</v>
      </c>
      <c r="P4556">
        <v>-0.18501400000000001</v>
      </c>
      <c r="Q4556">
        <v>1.1312590000000001E-2</v>
      </c>
      <c r="R4556">
        <v>-0.98267079999999996</v>
      </c>
      <c r="S4556">
        <v>-1.314835</v>
      </c>
      <c r="T4556">
        <v>-0.4899848</v>
      </c>
      <c r="U4556">
        <v>-2.8123779999999998</v>
      </c>
      <c r="V4556">
        <v>3.9009179999999997E-2</v>
      </c>
      <c r="W4556">
        <v>1.822354E-2</v>
      </c>
      <c r="X4556">
        <v>0.99907270000000004</v>
      </c>
      <c r="Y4556">
        <v>0.28084799999999999</v>
      </c>
      <c r="Z4556">
        <v>0.15753249999999999</v>
      </c>
      <c r="AA4556">
        <v>0.9467354</v>
      </c>
      <c r="AB4556">
        <v>20</v>
      </c>
      <c r="AC4556">
        <v>-2.9401000000000002</v>
      </c>
      <c r="AD4556">
        <v>-1.1083314640240001</v>
      </c>
      <c r="AE4556">
        <v>-6.1414999999999997</v>
      </c>
      <c r="AF4556">
        <v>1.95628160538868</v>
      </c>
      <c r="AG4556">
        <v>-1.1083314640240001</v>
      </c>
      <c r="AH4556">
        <v>6.3381920405812204</v>
      </c>
      <c r="AI4556">
        <v>99.485797297595596</v>
      </c>
      <c r="AJ4556">
        <v>72.847169759353093</v>
      </c>
      <c r="AK4556">
        <v>6.7251851050372498</v>
      </c>
      <c r="AL4556">
        <v>88.955810307658396</v>
      </c>
      <c r="AM4556">
        <v>87.763999958217298</v>
      </c>
      <c r="AN4556">
        <v>1.0000000367098401</v>
      </c>
    </row>
    <row r="4557" spans="1:40" x14ac:dyDescent="0.25">
      <c r="A4557" t="str">
        <f>"20190312160734546"</f>
        <v>20190312160734546</v>
      </c>
      <c r="B4557" t="str">
        <f>"1552378054540401"</f>
        <v>1552378054540401</v>
      </c>
      <c r="C4557" t="s">
        <v>40</v>
      </c>
      <c r="D4557">
        <v>6.0332780000000001</v>
      </c>
      <c r="E4557">
        <v>0.58843400000000001</v>
      </c>
      <c r="F4557" t="s">
        <v>58</v>
      </c>
      <c r="G4557">
        <v>-217.2996</v>
      </c>
      <c r="H4557">
        <v>1.8653459999999999</v>
      </c>
      <c r="I4557">
        <v>112.9751</v>
      </c>
      <c r="J4557">
        <v>-190.63560000000001</v>
      </c>
      <c r="K4557">
        <v>1.1083229999999999</v>
      </c>
      <c r="L4557">
        <v>173.2997</v>
      </c>
      <c r="M4557">
        <v>-0.1473206</v>
      </c>
      <c r="N4557">
        <v>0</v>
      </c>
      <c r="O4557">
        <v>-0.98906419999999995</v>
      </c>
      <c r="P4557">
        <v>-0.18603169999999999</v>
      </c>
      <c r="Q4557">
        <v>1.095084E-2</v>
      </c>
      <c r="R4557">
        <v>-0.98248270000000004</v>
      </c>
      <c r="S4557">
        <v>-1.244232</v>
      </c>
      <c r="T4557">
        <v>3.5303710000000002E-2</v>
      </c>
      <c r="U4557">
        <v>-2.818222</v>
      </c>
      <c r="V4557">
        <v>3.9292439999999998E-2</v>
      </c>
      <c r="W4557">
        <v>1.786453E-2</v>
      </c>
      <c r="X4557">
        <v>0.99906799999999996</v>
      </c>
      <c r="Y4557">
        <v>0.26467659999999998</v>
      </c>
      <c r="Z4557">
        <v>-1.1561470000000001E-2</v>
      </c>
      <c r="AA4557">
        <v>0.96426789999999996</v>
      </c>
      <c r="AB4557">
        <v>20</v>
      </c>
      <c r="AC4557">
        <v>-26.663999999999898</v>
      </c>
      <c r="AD4557">
        <v>0.757023</v>
      </c>
      <c r="AE4557">
        <v>-60.324599999999997</v>
      </c>
      <c r="AF4557">
        <v>17.483473582336099</v>
      </c>
      <c r="AG4557">
        <v>0.757023</v>
      </c>
      <c r="AH4557">
        <v>63.5862286306523</v>
      </c>
      <c r="AI4557">
        <v>89.342305964712395</v>
      </c>
      <c r="AJ4557">
        <v>74.626043534290503</v>
      </c>
      <c r="AK4557">
        <v>65.950385926060804</v>
      </c>
      <c r="AL4557">
        <v>88.976383328510906</v>
      </c>
      <c r="AM4557">
        <v>87.747769615334406</v>
      </c>
      <c r="AN4557">
        <v>0.99999995294863597</v>
      </c>
    </row>
    <row r="4558" spans="1:40" x14ac:dyDescent="0.25">
      <c r="A4558" t="str">
        <f>"20190312160734565"</f>
        <v>20190312160734565</v>
      </c>
      <c r="B4558" t="str">
        <f>"1552378054559923"</f>
        <v>1552378054559923</v>
      </c>
      <c r="C4558" t="s">
        <v>40</v>
      </c>
      <c r="D4558">
        <v>6.3463229999999999</v>
      </c>
      <c r="E4558">
        <v>0.58839759999999997</v>
      </c>
      <c r="F4558" t="s">
        <v>64</v>
      </c>
      <c r="G4558">
        <v>-214.80510000000001</v>
      </c>
      <c r="H4558">
        <v>0.75672439999999996</v>
      </c>
      <c r="I4558">
        <v>118.97790000000001</v>
      </c>
      <c r="J4558">
        <v>-190.6626</v>
      </c>
      <c r="K4558">
        <v>1.108317</v>
      </c>
      <c r="L4558">
        <v>173.1275</v>
      </c>
      <c r="M4558">
        <v>-0.14849789999999999</v>
      </c>
      <c r="N4558">
        <v>0</v>
      </c>
      <c r="O4558">
        <v>-0.98888799999999999</v>
      </c>
      <c r="P4558">
        <v>-0.18764349999999999</v>
      </c>
      <c r="Q4558">
        <v>1.1028899999999999E-2</v>
      </c>
      <c r="R4558">
        <v>-0.98217549999999998</v>
      </c>
      <c r="S4558">
        <v>-1.253128</v>
      </c>
      <c r="T4558">
        <v>-1.822793E-2</v>
      </c>
      <c r="U4558">
        <v>-2.8164370000000001</v>
      </c>
      <c r="V4558">
        <v>3.9742850000000003E-2</v>
      </c>
      <c r="W4558">
        <v>1.794463E-2</v>
      </c>
      <c r="X4558">
        <v>0.99904879999999996</v>
      </c>
      <c r="Y4558">
        <v>0.26631949999999999</v>
      </c>
      <c r="Z4558">
        <v>5.9665119999999898E-3</v>
      </c>
      <c r="AA4558">
        <v>0.96386640000000001</v>
      </c>
      <c r="AB4558">
        <v>20</v>
      </c>
      <c r="AC4558">
        <v>-24.142499999999998</v>
      </c>
      <c r="AD4558">
        <v>-0.35159259999999898</v>
      </c>
      <c r="AE4558">
        <v>-54.1495999999999</v>
      </c>
      <c r="AF4558">
        <v>15.832956950306899</v>
      </c>
      <c r="AG4558">
        <v>-0.35159259999999898</v>
      </c>
      <c r="AH4558">
        <v>57.132387828170899</v>
      </c>
      <c r="AI4558">
        <v>90.339787529557995</v>
      </c>
      <c r="AJ4558">
        <v>74.510482985065494</v>
      </c>
      <c r="AK4558">
        <v>59.286726019364401</v>
      </c>
      <c r="AL4558">
        <v>88.9717932533908</v>
      </c>
      <c r="AM4558">
        <v>87.721935566496597</v>
      </c>
      <c r="AN4558">
        <v>1.0000000043266899</v>
      </c>
    </row>
    <row r="4559" spans="1:40" x14ac:dyDescent="0.25">
      <c r="A4559" t="str">
        <f>"20190312160734589"</f>
        <v>20190312160734589</v>
      </c>
      <c r="B4559" t="str">
        <f>"1552378054580417"</f>
        <v>1552378054580417</v>
      </c>
      <c r="C4559" t="s">
        <v>40</v>
      </c>
      <c r="D4559">
        <v>6.233708</v>
      </c>
      <c r="E4559">
        <v>0.58622169999999996</v>
      </c>
      <c r="F4559" t="s">
        <v>64</v>
      </c>
      <c r="G4559">
        <v>-214.44560000000001</v>
      </c>
      <c r="H4559">
        <v>0.29065039999999998</v>
      </c>
      <c r="I4559">
        <v>119.91719999999999</v>
      </c>
      <c r="J4559">
        <v>-190.69579999999999</v>
      </c>
      <c r="K4559">
        <v>1.1083099999999999</v>
      </c>
      <c r="L4559">
        <v>172.91730000000001</v>
      </c>
      <c r="M4559">
        <v>-0.14993519999999999</v>
      </c>
      <c r="N4559">
        <v>0</v>
      </c>
      <c r="O4559">
        <v>-0.98867119999999997</v>
      </c>
      <c r="P4559">
        <v>-0.18970999999999999</v>
      </c>
      <c r="Q4559">
        <v>1.1380400000000001E-2</v>
      </c>
      <c r="R4559">
        <v>-0.98177420000000004</v>
      </c>
      <c r="S4559">
        <v>-1.258011</v>
      </c>
      <c r="T4559">
        <v>-4.3249250000000003E-2</v>
      </c>
      <c r="U4559">
        <v>-2.814575</v>
      </c>
      <c r="V4559">
        <v>4.039475E-2</v>
      </c>
      <c r="W4559">
        <v>1.8292659999999999E-2</v>
      </c>
      <c r="X4559">
        <v>0.99901629999999997</v>
      </c>
      <c r="Y4559">
        <v>0.26651599999999998</v>
      </c>
      <c r="Z4559">
        <v>1.4154160000000001E-2</v>
      </c>
      <c r="AA4559">
        <v>0.96372659999999999</v>
      </c>
      <c r="AB4559">
        <v>21</v>
      </c>
      <c r="AC4559">
        <v>-23.7498</v>
      </c>
      <c r="AD4559">
        <v>-0.81765959999999904</v>
      </c>
      <c r="AE4559">
        <v>-53.000100000000003</v>
      </c>
      <c r="AF4559">
        <v>15.5314624413747</v>
      </c>
      <c r="AG4559">
        <v>-0.81765959999999904</v>
      </c>
      <c r="AH4559">
        <v>55.950876110028197</v>
      </c>
      <c r="AI4559">
        <v>90.806752420450806</v>
      </c>
      <c r="AJ4559">
        <v>74.485821817645103</v>
      </c>
      <c r="AK4559">
        <v>58.072329299495401</v>
      </c>
      <c r="AL4559">
        <v>88.951849285418803</v>
      </c>
      <c r="AM4559">
        <v>87.684533687026601</v>
      </c>
      <c r="AN4559">
        <v>0.99999996245156297</v>
      </c>
    </row>
    <row r="4560" spans="1:40" x14ac:dyDescent="0.25">
      <c r="A4560" t="str">
        <f>"20190312160734610"</f>
        <v>20190312160734610</v>
      </c>
      <c r="B4560" t="str">
        <f>"1552378054599937"</f>
        <v>1552378054599937</v>
      </c>
      <c r="C4560" t="s">
        <v>40</v>
      </c>
      <c r="D4560">
        <v>6.2012299999999998</v>
      </c>
      <c r="E4560">
        <v>0.58284959999999997</v>
      </c>
      <c r="F4560" t="s">
        <v>64</v>
      </c>
      <c r="G4560">
        <v>-214.51320000000001</v>
      </c>
      <c r="H4560">
        <v>0.54554859999999905</v>
      </c>
      <c r="I4560">
        <v>119.1268</v>
      </c>
      <c r="J4560">
        <v>-190.7277</v>
      </c>
      <c r="K4560">
        <v>1.108298</v>
      </c>
      <c r="L4560">
        <v>172.7175</v>
      </c>
      <c r="M4560">
        <v>-0.1513012</v>
      </c>
      <c r="N4560">
        <v>0</v>
      </c>
      <c r="O4560">
        <v>-0.98846299999999998</v>
      </c>
      <c r="P4560">
        <v>-0.19127350000000001</v>
      </c>
      <c r="Q4560">
        <v>1.180721E-2</v>
      </c>
      <c r="R4560">
        <v>-0.9814659</v>
      </c>
      <c r="S4560">
        <v>-1.2465059999999999</v>
      </c>
      <c r="T4560">
        <v>-2.9451129999999999E-2</v>
      </c>
      <c r="U4560">
        <v>-2.8151700000000002</v>
      </c>
      <c r="V4560">
        <v>4.0607339999999999E-2</v>
      </c>
      <c r="W4560">
        <v>1.8711729999999999E-2</v>
      </c>
      <c r="X4560">
        <v>0.999</v>
      </c>
      <c r="Y4560">
        <v>0.26183879999999998</v>
      </c>
      <c r="Z4560">
        <v>9.6480960000000001E-3</v>
      </c>
      <c r="AA4560">
        <v>0.96506340000000002</v>
      </c>
      <c r="AB4560">
        <v>21</v>
      </c>
      <c r="AC4560">
        <v>-23.785499999999999</v>
      </c>
      <c r="AD4560">
        <v>-0.56274939999999996</v>
      </c>
      <c r="AE4560">
        <v>-53.590699999999998</v>
      </c>
      <c r="AF4560">
        <v>15.4017068247853</v>
      </c>
      <c r="AG4560">
        <v>-0.56274939999999996</v>
      </c>
      <c r="AH4560">
        <v>56.567369369267197</v>
      </c>
      <c r="AI4560">
        <v>90.549958000443496</v>
      </c>
      <c r="AJ4560">
        <v>74.769167150521795</v>
      </c>
      <c r="AK4560">
        <v>58.629314658820199</v>
      </c>
      <c r="AL4560">
        <v>88.927834316899506</v>
      </c>
      <c r="AM4560">
        <v>87.672323253132006</v>
      </c>
      <c r="AN4560">
        <v>1.00000004245073</v>
      </c>
    </row>
    <row r="4561" spans="1:40" x14ac:dyDescent="0.25">
      <c r="A4561" t="str">
        <f>"20190312160734622"</f>
        <v>20190312160734622</v>
      </c>
      <c r="B4561" t="str">
        <f>"1552378054620433"</f>
        <v>1552378054620433</v>
      </c>
      <c r="C4561" t="s">
        <v>40</v>
      </c>
      <c r="D4561">
        <v>6.5231389999999996</v>
      </c>
      <c r="E4561">
        <v>0.58152419999999905</v>
      </c>
      <c r="F4561" t="s">
        <v>64</v>
      </c>
      <c r="G4561">
        <v>-214.12370000000001</v>
      </c>
      <c r="H4561">
        <v>0.94289860000000003</v>
      </c>
      <c r="I4561">
        <v>118.8466</v>
      </c>
      <c r="J4561">
        <v>-190.74549999999999</v>
      </c>
      <c r="K4561">
        <v>1.1082920000000001</v>
      </c>
      <c r="L4561">
        <v>172.60720000000001</v>
      </c>
      <c r="M4561">
        <v>-0.15205460000000001</v>
      </c>
      <c r="N4561">
        <v>0</v>
      </c>
      <c r="O4561">
        <v>-0.98834770000000005</v>
      </c>
      <c r="P4561">
        <v>-0.1921197</v>
      </c>
      <c r="Q4561">
        <v>1.216745E-2</v>
      </c>
      <c r="R4561">
        <v>-0.98129639999999996</v>
      </c>
      <c r="S4561">
        <v>-1.2239530000000001</v>
      </c>
      <c r="T4561">
        <v>-8.6513760000000006E-3</v>
      </c>
      <c r="U4561">
        <v>-2.8182369999999999</v>
      </c>
      <c r="V4561">
        <v>4.0708870000000001E-2</v>
      </c>
      <c r="W4561">
        <v>1.906596E-2</v>
      </c>
      <c r="X4561">
        <v>0.99898909999999996</v>
      </c>
      <c r="Y4561">
        <v>0.2542452</v>
      </c>
      <c r="Z4561">
        <v>2.8382889999999999E-3</v>
      </c>
      <c r="AA4561">
        <v>0.96713559999999998</v>
      </c>
      <c r="AB4561">
        <v>21</v>
      </c>
      <c r="AC4561">
        <v>-23.3782</v>
      </c>
      <c r="AD4561">
        <v>-0.1653934</v>
      </c>
      <c r="AE4561">
        <v>-53.760599999999997</v>
      </c>
      <c r="AF4561">
        <v>14.931484847389999</v>
      </c>
      <c r="AG4561">
        <v>-0.1653934</v>
      </c>
      <c r="AH4561">
        <v>56.689843874823197</v>
      </c>
      <c r="AI4561">
        <v>90.161647735437597</v>
      </c>
      <c r="AJ4561">
        <v>75.244050748905494</v>
      </c>
      <c r="AK4561">
        <v>58.6235020557151</v>
      </c>
      <c r="AL4561">
        <v>88.9075347355286</v>
      </c>
      <c r="AM4561">
        <v>87.666484386273396</v>
      </c>
      <c r="AN4561">
        <v>0.99999997242310301</v>
      </c>
    </row>
    <row r="4562" spans="1:40" x14ac:dyDescent="0.25">
      <c r="A4562" t="str">
        <f>"20190312160734635"</f>
        <v>20190312160734635</v>
      </c>
      <c r="B4562" t="str">
        <f>"1552378054630193"</f>
        <v>1552378054630193</v>
      </c>
      <c r="C4562" t="s">
        <v>40</v>
      </c>
      <c r="D4562">
        <v>6.5412879999999998</v>
      </c>
      <c r="E4562">
        <v>0.58080549999999997</v>
      </c>
      <c r="F4562" t="s">
        <v>64</v>
      </c>
      <c r="G4562">
        <v>-213.93270000000001</v>
      </c>
      <c r="H4562">
        <v>0.92828160000000004</v>
      </c>
      <c r="I4562">
        <v>118.8569</v>
      </c>
      <c r="J4562">
        <v>-190.76390000000001</v>
      </c>
      <c r="K4562">
        <v>1.108287</v>
      </c>
      <c r="L4562">
        <v>172.49299999999999</v>
      </c>
      <c r="M4562">
        <v>-0.15283550000000001</v>
      </c>
      <c r="N4562">
        <v>0</v>
      </c>
      <c r="O4562">
        <v>-0.98822719999999997</v>
      </c>
      <c r="P4562">
        <v>-0.1928715</v>
      </c>
      <c r="Q4562">
        <v>1.218938E-2</v>
      </c>
      <c r="R4562">
        <v>-0.98114849999999998</v>
      </c>
      <c r="S4562">
        <v>-1.2161709999999999</v>
      </c>
      <c r="T4562">
        <v>-9.4400639999999997E-3</v>
      </c>
      <c r="U4562">
        <v>-2.8191989999999998</v>
      </c>
      <c r="V4562">
        <v>4.0685039999999999E-2</v>
      </c>
      <c r="W4562">
        <v>1.9082169999999999E-2</v>
      </c>
      <c r="X4562">
        <v>0.99898980000000004</v>
      </c>
      <c r="Y4562">
        <v>0.25111030000000001</v>
      </c>
      <c r="Z4562">
        <v>3.0984290000000002E-3</v>
      </c>
      <c r="AA4562">
        <v>0.96795350000000002</v>
      </c>
      <c r="AB4562">
        <v>21</v>
      </c>
      <c r="AC4562">
        <v>-23.168800000000001</v>
      </c>
      <c r="AD4562">
        <v>-0.18000540000000001</v>
      </c>
      <c r="AE4562">
        <v>-53.636099999999999</v>
      </c>
      <c r="AF4562">
        <v>14.6987537342998</v>
      </c>
      <c r="AG4562">
        <v>-0.18000540000000001</v>
      </c>
      <c r="AH4562">
        <v>56.546497259715402</v>
      </c>
      <c r="AI4562">
        <v>90.176523707312398</v>
      </c>
      <c r="AJ4562">
        <v>75.428949594659301</v>
      </c>
      <c r="AK4562">
        <v>58.425954126814403</v>
      </c>
      <c r="AL4562">
        <v>88.906605844211299</v>
      </c>
      <c r="AM4562">
        <v>87.667850494210896</v>
      </c>
      <c r="AN4562">
        <v>1.00000001109787</v>
      </c>
    </row>
    <row r="4563" spans="1:40" x14ac:dyDescent="0.25">
      <c r="A4563" t="str">
        <f>"20190312160734647"</f>
        <v>20190312160734647</v>
      </c>
      <c r="B4563" t="str">
        <f>"1552378054639955"</f>
        <v>1552378054639955</v>
      </c>
      <c r="C4563" t="s">
        <v>40</v>
      </c>
      <c r="D4563">
        <v>6.4416440000000001</v>
      </c>
      <c r="E4563">
        <v>0.58005549999999995</v>
      </c>
      <c r="F4563" t="s">
        <v>64</v>
      </c>
      <c r="G4563">
        <v>-213.8374</v>
      </c>
      <c r="H4563">
        <v>0.92790969999999995</v>
      </c>
      <c r="I4563">
        <v>118.85720000000001</v>
      </c>
      <c r="J4563">
        <v>-190.78399999999999</v>
      </c>
      <c r="K4563">
        <v>1.108279</v>
      </c>
      <c r="L4563">
        <v>172.36920000000001</v>
      </c>
      <c r="M4563">
        <v>-0.15368109999999999</v>
      </c>
      <c r="N4563">
        <v>0</v>
      </c>
      <c r="O4563">
        <v>-0.98809590000000003</v>
      </c>
      <c r="P4563">
        <v>-0.19339229999999999</v>
      </c>
      <c r="Q4563">
        <v>1.2010939999999999E-2</v>
      </c>
      <c r="R4563">
        <v>-0.98104820000000004</v>
      </c>
      <c r="S4563">
        <v>-1.212845</v>
      </c>
      <c r="T4563">
        <v>-9.4798799999999996E-3</v>
      </c>
      <c r="U4563">
        <v>-2.819321</v>
      </c>
      <c r="V4563">
        <v>4.0359989999999998E-2</v>
      </c>
      <c r="W4563">
        <v>1.8897669999999998E-2</v>
      </c>
      <c r="X4563">
        <v>0.99900650000000002</v>
      </c>
      <c r="Y4563">
        <v>0.2493031</v>
      </c>
      <c r="Z4563">
        <v>3.1121959999999998E-3</v>
      </c>
      <c r="AA4563">
        <v>0.96842050000000002</v>
      </c>
      <c r="AB4563">
        <v>21</v>
      </c>
      <c r="AC4563">
        <v>-23.0533999999999</v>
      </c>
      <c r="AD4563">
        <v>-0.18036930000000001</v>
      </c>
      <c r="AE4563">
        <v>-53.512</v>
      </c>
      <c r="AF4563">
        <v>14.5554013089151</v>
      </c>
      <c r="AG4563">
        <v>-0.18036930000000001</v>
      </c>
      <c r="AH4563">
        <v>56.418690369973199</v>
      </c>
      <c r="AI4563">
        <v>90.177365259958606</v>
      </c>
      <c r="AJ4563">
        <v>75.533762762468498</v>
      </c>
      <c r="AK4563">
        <v>58.266292686345302</v>
      </c>
      <c r="AL4563">
        <v>88.917178830430302</v>
      </c>
      <c r="AM4563">
        <v>87.686501328175694</v>
      </c>
      <c r="AN4563">
        <v>1.0000000188832301</v>
      </c>
    </row>
    <row r="4564" spans="1:40" x14ac:dyDescent="0.25">
      <c r="A4564" t="str">
        <f>"20190312160734667"</f>
        <v>20190312160734667</v>
      </c>
      <c r="B4564" t="str">
        <f>"1552378054660450"</f>
        <v>1552378054660450</v>
      </c>
      <c r="C4564" t="s">
        <v>40</v>
      </c>
      <c r="D4564">
        <v>6.1653140000000004</v>
      </c>
      <c r="E4564">
        <v>0.57923389999999997</v>
      </c>
      <c r="F4564" t="s">
        <v>64</v>
      </c>
      <c r="G4564">
        <v>-213.71940000000001</v>
      </c>
      <c r="H4564">
        <v>0.94117899999999999</v>
      </c>
      <c r="I4564">
        <v>118.84780000000001</v>
      </c>
      <c r="J4564">
        <v>-190.81290000000001</v>
      </c>
      <c r="K4564">
        <v>1.1082689999999999</v>
      </c>
      <c r="L4564">
        <v>172.1925</v>
      </c>
      <c r="M4564">
        <v>-0.15488769999999999</v>
      </c>
      <c r="N4564">
        <v>0</v>
      </c>
      <c r="O4564">
        <v>-0.98790770000000006</v>
      </c>
      <c r="P4564">
        <v>-0.19408120000000001</v>
      </c>
      <c r="Q4564">
        <v>1.121246E-2</v>
      </c>
      <c r="R4564">
        <v>-0.98092159999999995</v>
      </c>
      <c r="S4564">
        <v>-1.2083889999999999</v>
      </c>
      <c r="T4564">
        <v>-8.8024139999999997E-3</v>
      </c>
      <c r="U4564">
        <v>-2.819855</v>
      </c>
      <c r="V4564">
        <v>3.9838650000000003E-2</v>
      </c>
      <c r="W4564">
        <v>1.8091949999999999E-2</v>
      </c>
      <c r="X4564">
        <v>0.99904230000000005</v>
      </c>
      <c r="Y4564">
        <v>0.24676120000000001</v>
      </c>
      <c r="Z4564">
        <v>2.8902870000000001E-3</v>
      </c>
      <c r="AA4564">
        <v>0.96907200000000004</v>
      </c>
      <c r="AB4564">
        <v>21</v>
      </c>
      <c r="AC4564">
        <v>-22.906499999999902</v>
      </c>
      <c r="AD4564">
        <v>-0.16708999999999899</v>
      </c>
      <c r="AE4564">
        <v>-53.344699999999897</v>
      </c>
      <c r="AF4564">
        <v>14.367296916870499</v>
      </c>
      <c r="AG4564">
        <v>-0.16708999999999899</v>
      </c>
      <c r="AH4564">
        <v>56.248463998584697</v>
      </c>
      <c r="AI4564">
        <v>90.1649062201097</v>
      </c>
      <c r="AJ4564">
        <v>75.671554948998704</v>
      </c>
      <c r="AK4564">
        <v>58.054602246210401</v>
      </c>
      <c r="AL4564">
        <v>88.963351040261301</v>
      </c>
      <c r="AM4564">
        <v>87.716435264898095</v>
      </c>
      <c r="AN4564">
        <v>0.99999997693895704</v>
      </c>
    </row>
    <row r="4565" spans="1:40" x14ac:dyDescent="0.25">
      <c r="A4565" t="str">
        <f>"20190312160734680"</f>
        <v>20190312160734680</v>
      </c>
      <c r="B4565" t="str">
        <f>"1552378054670209"</f>
        <v>1552378054670209</v>
      </c>
      <c r="C4565" t="s">
        <v>40</v>
      </c>
      <c r="D4565">
        <v>6.1371979999999997</v>
      </c>
      <c r="E4565">
        <v>0.57923389999999997</v>
      </c>
      <c r="F4565" t="s">
        <v>58</v>
      </c>
      <c r="G4565">
        <v>-216.03659999999999</v>
      </c>
      <c r="H4565">
        <v>1.350814</v>
      </c>
      <c r="I4565">
        <v>113.0643</v>
      </c>
      <c r="J4565">
        <v>-190.833</v>
      </c>
      <c r="K4565">
        <v>1.1082620000000001</v>
      </c>
      <c r="L4565">
        <v>172.0702</v>
      </c>
      <c r="M4565">
        <v>-0.15572259999999999</v>
      </c>
      <c r="N4565">
        <v>0</v>
      </c>
      <c r="O4565">
        <v>-0.98777649999999995</v>
      </c>
      <c r="P4565">
        <v>-0.19471939999999999</v>
      </c>
      <c r="Q4565">
        <v>1.079275E-2</v>
      </c>
      <c r="R4565">
        <v>-0.98079989999999995</v>
      </c>
      <c r="S4565">
        <v>-1.203079</v>
      </c>
      <c r="T4565">
        <v>1.156974E-2</v>
      </c>
      <c r="U4565">
        <v>-2.8201900000000002</v>
      </c>
      <c r="V4565">
        <v>3.964289E-2</v>
      </c>
      <c r="W4565">
        <v>1.7668110000000001E-2</v>
      </c>
      <c r="X4565">
        <v>0.99905770000000005</v>
      </c>
      <c r="Y4565">
        <v>0.24435580000000001</v>
      </c>
      <c r="Z4565">
        <v>-3.800295E-3</v>
      </c>
      <c r="AA4565">
        <v>0.96967820000000005</v>
      </c>
      <c r="AB4565">
        <v>21</v>
      </c>
      <c r="AC4565">
        <v>-25.203599999999899</v>
      </c>
      <c r="AD4565">
        <v>0.24255199999999899</v>
      </c>
      <c r="AE4565">
        <v>-59.005899999999997</v>
      </c>
      <c r="AF4565">
        <v>15.707124610122801</v>
      </c>
      <c r="AG4565">
        <v>0.24255199999999899</v>
      </c>
      <c r="AH4565">
        <v>62.210017391323298</v>
      </c>
      <c r="AI4565">
        <v>89.783406440879801</v>
      </c>
      <c r="AJ4565">
        <v>75.829805804018207</v>
      </c>
      <c r="AK4565">
        <v>64.162752893087301</v>
      </c>
      <c r="AL4565">
        <v>88.987639194691894</v>
      </c>
      <c r="AM4565">
        <v>87.727679492268294</v>
      </c>
      <c r="AN4565">
        <v>1.0000000043838999</v>
      </c>
    </row>
    <row r="4566" spans="1:40" x14ac:dyDescent="0.25">
      <c r="A4566" t="str">
        <f>"20190312160734788"</f>
        <v>20190312160734788</v>
      </c>
      <c r="B4566" t="str">
        <f>"1552378054779522"</f>
        <v>1552378054779522</v>
      </c>
      <c r="C4566" t="s">
        <v>40</v>
      </c>
      <c r="D4566">
        <v>6.5199790000000002</v>
      </c>
      <c r="E4566">
        <v>0.57923389999999997</v>
      </c>
      <c r="F4566" t="s">
        <v>58</v>
      </c>
      <c r="G4566">
        <v>-216.08869999999999</v>
      </c>
      <c r="H4566">
        <v>1.3168709999999999</v>
      </c>
      <c r="I4566">
        <v>112.9751</v>
      </c>
      <c r="J4566">
        <v>-191.00559999999999</v>
      </c>
      <c r="K4566">
        <v>1.108206</v>
      </c>
      <c r="L4566">
        <v>171.04599999999999</v>
      </c>
      <c r="M4566">
        <v>-0.1627046</v>
      </c>
      <c r="N4566">
        <v>0</v>
      </c>
      <c r="O4566">
        <v>-0.98665060000000004</v>
      </c>
      <c r="P4566">
        <v>-0.20615069999999999</v>
      </c>
      <c r="Q4566">
        <v>9.8537590000000001E-3</v>
      </c>
      <c r="R4566">
        <v>-0.97847070000000003</v>
      </c>
      <c r="S4566">
        <v>-1.204941</v>
      </c>
      <c r="T4566">
        <v>9.9539759999999998E-3</v>
      </c>
      <c r="U4566">
        <v>-2.8193969999999999</v>
      </c>
      <c r="V4566">
        <v>4.4232779999999999E-2</v>
      </c>
      <c r="W4566">
        <v>1.6666420000000001E-2</v>
      </c>
      <c r="X4566">
        <v>0.99888220000000005</v>
      </c>
      <c r="Y4566">
        <v>0.2381335</v>
      </c>
      <c r="Z4566">
        <v>-3.2670109999999998E-3</v>
      </c>
      <c r="AA4566">
        <v>0.9712269</v>
      </c>
      <c r="AB4566">
        <v>21</v>
      </c>
      <c r="AC4566">
        <v>-25.083100000000002</v>
      </c>
      <c r="AD4566">
        <v>0.20866499999999899</v>
      </c>
      <c r="AE4566">
        <v>-58.070900000000002</v>
      </c>
      <c r="AF4566">
        <v>15.3000523519599</v>
      </c>
      <c r="AG4566">
        <v>0.20866499999999899</v>
      </c>
      <c r="AH4566">
        <v>61.377623363113202</v>
      </c>
      <c r="AI4566">
        <v>89.8109964858903</v>
      </c>
      <c r="AJ4566">
        <v>76.002731448768898</v>
      </c>
      <c r="AK4566">
        <v>63.256207543284802</v>
      </c>
      <c r="AL4566">
        <v>89.045040241013893</v>
      </c>
      <c r="AM4566">
        <v>87.464468780539605</v>
      </c>
      <c r="AN4566">
        <v>0.99999997892949199</v>
      </c>
    </row>
    <row r="4567" spans="1:40" x14ac:dyDescent="0.25">
      <c r="A4567" t="str">
        <f>"20190312160734800"</f>
        <v>20190312160734800</v>
      </c>
      <c r="B4567" t="str">
        <f>"1552378054790258"</f>
        <v>1552378054790258</v>
      </c>
      <c r="C4567" t="s">
        <v>40</v>
      </c>
      <c r="D4567">
        <v>6.4742660000000001</v>
      </c>
      <c r="E4567">
        <v>0.57777860000000003</v>
      </c>
      <c r="F4567" t="s">
        <v>58</v>
      </c>
      <c r="G4567">
        <v>-216.6283</v>
      </c>
      <c r="H4567">
        <v>1.25857</v>
      </c>
      <c r="I4567">
        <v>112.9751</v>
      </c>
      <c r="J4567">
        <v>-191.0247</v>
      </c>
      <c r="K4567">
        <v>1.108201</v>
      </c>
      <c r="L4567">
        <v>170.9349</v>
      </c>
      <c r="M4567">
        <v>-0.1634611</v>
      </c>
      <c r="N4567">
        <v>0</v>
      </c>
      <c r="O4567">
        <v>-0.98652580000000001</v>
      </c>
      <c r="P4567">
        <v>-0.20701900000000001</v>
      </c>
      <c r="Q4567">
        <v>1.006584E-2</v>
      </c>
      <c r="R4567">
        <v>-0.97828539999999997</v>
      </c>
      <c r="S4567">
        <v>-1.2377320000000001</v>
      </c>
      <c r="T4567">
        <v>7.2647329999999998E-3</v>
      </c>
      <c r="U4567">
        <v>-2.805161</v>
      </c>
      <c r="V4567">
        <v>4.435443E-2</v>
      </c>
      <c r="W4567">
        <v>1.6873340000000001E-2</v>
      </c>
      <c r="X4567">
        <v>0.99887340000000002</v>
      </c>
      <c r="Y4567">
        <v>0.24869930000000001</v>
      </c>
      <c r="Z4567">
        <v>-2.3864350000000001E-3</v>
      </c>
      <c r="AA4567">
        <v>0.96857780000000004</v>
      </c>
      <c r="AB4567">
        <v>21</v>
      </c>
      <c r="AC4567">
        <v>-25.6036</v>
      </c>
      <c r="AD4567">
        <v>0.150368999999999</v>
      </c>
      <c r="AE4567">
        <v>-57.959800000000001</v>
      </c>
      <c r="AF4567">
        <v>15.784723844825701</v>
      </c>
      <c r="AG4567">
        <v>0.150368999999999</v>
      </c>
      <c r="AH4567">
        <v>61.365136851898797</v>
      </c>
      <c r="AI4567">
        <v>89.864029047086902</v>
      </c>
      <c r="AJ4567">
        <v>75.574745410891495</v>
      </c>
      <c r="AK4567">
        <v>63.362924005650598</v>
      </c>
      <c r="AL4567">
        <v>89.033182996578404</v>
      </c>
      <c r="AM4567">
        <v>87.457482273051397</v>
      </c>
      <c r="AN4567">
        <v>1.00000004714546</v>
      </c>
    </row>
    <row r="4568" spans="1:40" x14ac:dyDescent="0.25">
      <c r="A4568" t="str">
        <f>"20190312160734811"</f>
        <v>20190312160734811</v>
      </c>
      <c r="B4568" t="str">
        <f>"1552378054800018"</f>
        <v>1552378054800018</v>
      </c>
      <c r="C4568" t="s">
        <v>40</v>
      </c>
      <c r="D4568">
        <v>8.8615320000000004</v>
      </c>
      <c r="E4568">
        <v>0.56047000000000002</v>
      </c>
      <c r="F4568" t="s">
        <v>44</v>
      </c>
      <c r="G4568">
        <v>-191.369</v>
      </c>
      <c r="H4568">
        <v>0.95775949999999999</v>
      </c>
      <c r="I4568">
        <v>170.1592</v>
      </c>
      <c r="J4568">
        <v>-191.04320000000001</v>
      </c>
      <c r="K4568">
        <v>1.1082019999999999</v>
      </c>
      <c r="L4568">
        <v>170.828</v>
      </c>
      <c r="M4568">
        <v>-0.16418940000000001</v>
      </c>
      <c r="N4568">
        <v>0</v>
      </c>
      <c r="O4568">
        <v>-0.98640479999999997</v>
      </c>
      <c r="P4568">
        <v>-0.20799380000000001</v>
      </c>
      <c r="Q4568">
        <v>1.0033439999999999E-2</v>
      </c>
      <c r="R4568">
        <v>-0.97807909999999998</v>
      </c>
      <c r="S4568">
        <v>-1.246048</v>
      </c>
      <c r="T4568">
        <v>-0.54460129999999995</v>
      </c>
      <c r="U4568">
        <v>-2.8085019999999998</v>
      </c>
      <c r="V4568">
        <v>4.4612400000000003E-2</v>
      </c>
      <c r="W4568">
        <v>1.6836630000000002E-2</v>
      </c>
      <c r="X4568">
        <v>0.99886249999999999</v>
      </c>
      <c r="Y4568">
        <v>0.24359639999999999</v>
      </c>
      <c r="Z4568">
        <v>0.17577119999999999</v>
      </c>
      <c r="AA4568">
        <v>0.9538162</v>
      </c>
      <c r="AB4568">
        <v>22</v>
      </c>
      <c r="AC4568">
        <v>-0.32580000000001502</v>
      </c>
      <c r="AD4568">
        <v>-0.15044250000000001</v>
      </c>
      <c r="AE4568">
        <v>-0.66880000000000395</v>
      </c>
      <c r="AF4568">
        <v>0.203253746477115</v>
      </c>
      <c r="AG4568">
        <v>-0.15044250000000001</v>
      </c>
      <c r="AH4568">
        <v>0.6851961789273</v>
      </c>
      <c r="AI4568">
        <v>101.88696144682901</v>
      </c>
      <c r="AJ4568">
        <v>73.477755760912004</v>
      </c>
      <c r="AK4568">
        <v>0.730368971739494</v>
      </c>
      <c r="AL4568">
        <v>89.035286593447907</v>
      </c>
      <c r="AM4568">
        <v>87.442686429627599</v>
      </c>
      <c r="AN4568">
        <v>1.0000000161248801</v>
      </c>
    </row>
    <row r="4569" spans="1:40" x14ac:dyDescent="0.25">
      <c r="A4569" t="str">
        <f>"20190312160734833"</f>
        <v>20190312160734833</v>
      </c>
      <c r="B4569" t="str">
        <f>"1552378054830274"</f>
        <v>1552378054830274</v>
      </c>
      <c r="C4569" t="s">
        <v>40</v>
      </c>
      <c r="D4569">
        <v>6.5109879999999896</v>
      </c>
      <c r="E4569">
        <v>0.57403729999999997</v>
      </c>
      <c r="F4569" t="s">
        <v>44</v>
      </c>
      <c r="G4569">
        <v>-191.3168</v>
      </c>
      <c r="H4569">
        <v>1.0070790000000001</v>
      </c>
      <c r="I4569">
        <v>170.1293</v>
      </c>
      <c r="J4569">
        <v>-191.07849999999999</v>
      </c>
      <c r="K4569">
        <v>1.1081939999999999</v>
      </c>
      <c r="L4569">
        <v>170.6258</v>
      </c>
      <c r="M4569">
        <v>-0.1655664</v>
      </c>
      <c r="N4569">
        <v>0</v>
      </c>
      <c r="O4569">
        <v>-0.98617449999999995</v>
      </c>
      <c r="P4569">
        <v>-0.20976120000000001</v>
      </c>
      <c r="Q4569">
        <v>9.8747709999999992E-3</v>
      </c>
      <c r="R4569">
        <v>-0.97770270000000004</v>
      </c>
      <c r="S4569">
        <v>-1.1097410000000001</v>
      </c>
      <c r="T4569">
        <v>-0.41028209999999998</v>
      </c>
      <c r="U4569">
        <v>-2.835464</v>
      </c>
      <c r="V4569">
        <v>4.5022920000000001E-2</v>
      </c>
      <c r="W4569">
        <v>1.667167E-2</v>
      </c>
      <c r="X4569">
        <v>0.99884680000000003</v>
      </c>
      <c r="Y4569">
        <v>0.20193079999999999</v>
      </c>
      <c r="Z4569">
        <v>0.1339774</v>
      </c>
      <c r="AA4569">
        <v>0.97019279999999997</v>
      </c>
      <c r="AB4569">
        <v>22</v>
      </c>
      <c r="AC4569">
        <v>-0.238300000000009</v>
      </c>
      <c r="AD4569">
        <v>-0.101115</v>
      </c>
      <c r="AE4569">
        <v>-0.496499999999997</v>
      </c>
      <c r="AF4569">
        <v>0.14782220357537701</v>
      </c>
      <c r="AG4569">
        <v>-0.101115</v>
      </c>
      <c r="AH4569">
        <v>0.511848257128521</v>
      </c>
      <c r="AI4569">
        <v>100.746484963501</v>
      </c>
      <c r="AJ4569">
        <v>73.891238425162499</v>
      </c>
      <c r="AK4569">
        <v>0.54227694531520099</v>
      </c>
      <c r="AL4569">
        <v>89.044739386773301</v>
      </c>
      <c r="AM4569">
        <v>87.419145381442704</v>
      </c>
      <c r="AN4569">
        <v>0.99999996888807696</v>
      </c>
    </row>
    <row r="4570" spans="1:40" x14ac:dyDescent="0.25">
      <c r="A4570" t="str">
        <f>"20190312160734857"</f>
        <v>20190312160734857</v>
      </c>
      <c r="B4570" t="str">
        <f>"1552378054849794"</f>
        <v>1552378054849794</v>
      </c>
      <c r="C4570" t="s">
        <v>40</v>
      </c>
      <c r="D4570">
        <v>6.7907849999999996</v>
      </c>
      <c r="E4570">
        <v>0.57008029999999998</v>
      </c>
      <c r="F4570" t="s">
        <v>57</v>
      </c>
      <c r="G4570">
        <v>-214.45609999999999</v>
      </c>
      <c r="H4570">
        <v>5.0974019999999998</v>
      </c>
      <c r="I4570">
        <v>115.97029999999999</v>
      </c>
      <c r="J4570">
        <v>-191.11779999999999</v>
      </c>
      <c r="K4570">
        <v>1.1081780000000001</v>
      </c>
      <c r="L4570">
        <v>170.40209999999999</v>
      </c>
      <c r="M4570">
        <v>-0.16708809999999999</v>
      </c>
      <c r="N4570">
        <v>0</v>
      </c>
      <c r="O4570">
        <v>-0.98591790000000001</v>
      </c>
      <c r="P4570">
        <v>-0.21206829999999999</v>
      </c>
      <c r="Q4570">
        <v>9.3656820000000002E-3</v>
      </c>
      <c r="R4570">
        <v>-0.97721020000000003</v>
      </c>
      <c r="S4570">
        <v>-1.2013240000000001</v>
      </c>
      <c r="T4570">
        <v>0.20499690000000001</v>
      </c>
      <c r="U4570">
        <v>-2.8086090000000001</v>
      </c>
      <c r="V4570">
        <v>4.5837410000000002E-2</v>
      </c>
      <c r="W4570">
        <v>1.6157230000000002E-2</v>
      </c>
      <c r="X4570">
        <v>0.99881819999999999</v>
      </c>
      <c r="Y4570">
        <v>0.23320740000000001</v>
      </c>
      <c r="Z4570">
        <v>-6.7342340000000001E-2</v>
      </c>
      <c r="AA4570">
        <v>0.97009239999999997</v>
      </c>
      <c r="AB4570">
        <v>22</v>
      </c>
      <c r="AC4570">
        <v>-23.3383</v>
      </c>
      <c r="AD4570">
        <v>3.9892240000000001</v>
      </c>
      <c r="AE4570">
        <v>-54.431800000000003</v>
      </c>
      <c r="AF4570">
        <v>13.8522228115053</v>
      </c>
      <c r="AG4570">
        <v>3.9892240000000001</v>
      </c>
      <c r="AH4570">
        <v>57.306199591711</v>
      </c>
      <c r="AI4570">
        <v>86.129055852999699</v>
      </c>
      <c r="AJ4570">
        <v>76.410962740876997</v>
      </c>
      <c r="AK4570">
        <v>59.0914418218644</v>
      </c>
      <c r="AL4570">
        <v>89.074218592631894</v>
      </c>
      <c r="AM4570">
        <v>87.372445986986804</v>
      </c>
      <c r="AN4570">
        <v>0.99999996044400896</v>
      </c>
    </row>
    <row r="4571" spans="1:40" x14ac:dyDescent="0.25">
      <c r="A4571" t="str">
        <f>"20190312160734869"</f>
        <v>20190312160734869</v>
      </c>
      <c r="B4571" t="str">
        <f>"1552378054859554"</f>
        <v>1552378054859554</v>
      </c>
      <c r="C4571" t="s">
        <v>40</v>
      </c>
      <c r="D4571">
        <v>6.2063040000000003</v>
      </c>
      <c r="E4571">
        <v>0.57078869999999904</v>
      </c>
      <c r="F4571" t="s">
        <v>57</v>
      </c>
      <c r="G4571">
        <v>-213.74379999999999</v>
      </c>
      <c r="H4571">
        <v>6.0838269999999897</v>
      </c>
      <c r="I4571">
        <v>116.27809999999999</v>
      </c>
      <c r="J4571">
        <v>-191.1413</v>
      </c>
      <c r="K4571">
        <v>1.108171</v>
      </c>
      <c r="L4571">
        <v>170.2697</v>
      </c>
      <c r="M4571">
        <v>-0.16798940000000001</v>
      </c>
      <c r="N4571">
        <v>0</v>
      </c>
      <c r="O4571">
        <v>-0.98576459999999999</v>
      </c>
      <c r="P4571">
        <v>-0.21323329999999999</v>
      </c>
      <c r="Q4571">
        <v>9.5605970000000005E-3</v>
      </c>
      <c r="R4571">
        <v>-0.97695449999999995</v>
      </c>
      <c r="S4571">
        <v>-1.1756740000000001</v>
      </c>
      <c r="T4571">
        <v>0.25854149999999998</v>
      </c>
      <c r="U4571">
        <v>-2.8123469999999999</v>
      </c>
      <c r="V4571">
        <v>4.6116049999999999E-2</v>
      </c>
      <c r="W4571">
        <v>1.6350799999999999E-2</v>
      </c>
      <c r="X4571">
        <v>0.99880219999999997</v>
      </c>
      <c r="Y4571">
        <v>0.22381239999999999</v>
      </c>
      <c r="Z4571">
        <v>-8.4929930000000001E-2</v>
      </c>
      <c r="AA4571">
        <v>0.97092480000000003</v>
      </c>
      <c r="AB4571">
        <v>22</v>
      </c>
      <c r="AC4571">
        <v>-22.6024999999999</v>
      </c>
      <c r="AD4571">
        <v>4.9756559999999901</v>
      </c>
      <c r="AE4571">
        <v>-53.991599999999998</v>
      </c>
      <c r="AF4571">
        <v>13.116260668090799</v>
      </c>
      <c r="AG4571">
        <v>4.9756559999999901</v>
      </c>
      <c r="AH4571">
        <v>56.6122501106857</v>
      </c>
      <c r="AI4571">
        <v>85.106150642256196</v>
      </c>
      <c r="AJ4571">
        <v>76.9555269975085</v>
      </c>
      <c r="AK4571">
        <v>58.324440067080602</v>
      </c>
      <c r="AL4571">
        <v>89.063126360574202</v>
      </c>
      <c r="AM4571">
        <v>87.356453710605706</v>
      </c>
      <c r="AN4571">
        <v>0.99999993672653897</v>
      </c>
    </row>
    <row r="4572" spans="1:40" x14ac:dyDescent="0.25">
      <c r="A4572" t="str">
        <f>"20190312160734889"</f>
        <v>20190312160734889</v>
      </c>
      <c r="B4572" t="str">
        <f>"1552378054880049"</f>
        <v>1552378054880049</v>
      </c>
      <c r="C4572" t="s">
        <v>40</v>
      </c>
      <c r="D4572">
        <v>6.7745220000000002</v>
      </c>
      <c r="E4572">
        <v>0.56719790000000003</v>
      </c>
      <c r="F4572" t="s">
        <v>57</v>
      </c>
      <c r="G4572">
        <v>-214.0352</v>
      </c>
      <c r="H4572">
        <v>5.4848589999999904</v>
      </c>
      <c r="I4572">
        <v>116.0094</v>
      </c>
      <c r="J4572">
        <v>-191.17509999999999</v>
      </c>
      <c r="K4572">
        <v>1.108171</v>
      </c>
      <c r="L4572">
        <v>170.07980000000001</v>
      </c>
      <c r="M4572">
        <v>-0.16928009999999999</v>
      </c>
      <c r="N4572">
        <v>0</v>
      </c>
      <c r="O4572">
        <v>-0.98554399999999998</v>
      </c>
      <c r="P4572">
        <v>-0.21494199999999999</v>
      </c>
      <c r="Q4572">
        <v>9.6863939999999992E-3</v>
      </c>
      <c r="R4572">
        <v>-0.97657899999999997</v>
      </c>
      <c r="S4572">
        <v>-1.185532</v>
      </c>
      <c r="T4572">
        <v>0.2266415</v>
      </c>
      <c r="U4572">
        <v>-2.8097840000000001</v>
      </c>
      <c r="V4572">
        <v>4.6556180000000003E-2</v>
      </c>
      <c r="W4572">
        <v>1.647523E-2</v>
      </c>
      <c r="X4572">
        <v>0.9987798</v>
      </c>
      <c r="Y4572">
        <v>0.22607389999999999</v>
      </c>
      <c r="Z4572">
        <v>-7.4485049999999997E-2</v>
      </c>
      <c r="AA4572">
        <v>0.97125819999999996</v>
      </c>
      <c r="AB4572">
        <v>22</v>
      </c>
      <c r="AC4572">
        <v>-22.860099999999999</v>
      </c>
      <c r="AD4572">
        <v>4.3766879999999997</v>
      </c>
      <c r="AE4572">
        <v>-54.070399999999999</v>
      </c>
      <c r="AF4572">
        <v>13.302964339295</v>
      </c>
      <c r="AG4572">
        <v>4.3766879999999997</v>
      </c>
      <c r="AH4572">
        <v>56.843906821714697</v>
      </c>
      <c r="AI4572">
        <v>85.712598910643493</v>
      </c>
      <c r="AJ4572">
        <v>76.828334095015705</v>
      </c>
      <c r="AK4572">
        <v>58.5436076853629</v>
      </c>
      <c r="AL4572">
        <v>89.055996145536994</v>
      </c>
      <c r="AM4572">
        <v>87.331200332840496</v>
      </c>
      <c r="AN4572">
        <v>0.999999999993892</v>
      </c>
    </row>
    <row r="4573" spans="1:40" x14ac:dyDescent="0.25">
      <c r="A4573" t="str">
        <f>"20190312160734903"</f>
        <v>20190312160734903</v>
      </c>
      <c r="B4573" t="str">
        <f>"1552378054899569"</f>
        <v>1552378054899569</v>
      </c>
      <c r="C4573" t="s">
        <v>40</v>
      </c>
      <c r="D4573">
        <v>6.3690989999999896</v>
      </c>
      <c r="E4573">
        <v>0.56505559999999999</v>
      </c>
      <c r="F4573" t="s">
        <v>57</v>
      </c>
      <c r="G4573">
        <v>-213.63820000000001</v>
      </c>
      <c r="H4573">
        <v>5.3966690000000002</v>
      </c>
      <c r="I4573">
        <v>115.71510000000001</v>
      </c>
      <c r="J4573">
        <v>-191.19820000000001</v>
      </c>
      <c r="K4573">
        <v>1.1081620000000001</v>
      </c>
      <c r="L4573">
        <v>169.9511</v>
      </c>
      <c r="M4573">
        <v>-0.17015529999999901</v>
      </c>
      <c r="N4573">
        <v>0</v>
      </c>
      <c r="O4573">
        <v>-0.98539350000000003</v>
      </c>
      <c r="P4573">
        <v>-0.2156603</v>
      </c>
      <c r="Q4573">
        <v>1.0255999999999999E-2</v>
      </c>
      <c r="R4573">
        <v>-0.97641489999999997</v>
      </c>
      <c r="S4573">
        <v>-1.1626590000000001</v>
      </c>
      <c r="T4573">
        <v>0.22196689999999999</v>
      </c>
      <c r="U4573">
        <v>-2.813828</v>
      </c>
      <c r="V4573">
        <v>4.640623E-2</v>
      </c>
      <c r="W4573">
        <v>1.7045930000000001E-2</v>
      </c>
      <c r="X4573">
        <v>0.99877720000000003</v>
      </c>
      <c r="Y4573">
        <v>0.21801799999999999</v>
      </c>
      <c r="Z4573">
        <v>-7.3022399999999904E-2</v>
      </c>
      <c r="AA4573">
        <v>0.97320910000000005</v>
      </c>
      <c r="AB4573">
        <v>22</v>
      </c>
      <c r="AC4573">
        <v>-22.44</v>
      </c>
      <c r="AD4573">
        <v>4.2885070000000001</v>
      </c>
      <c r="AE4573">
        <v>-54.235999999999898</v>
      </c>
      <c r="AF4573">
        <v>12.8155743271776</v>
      </c>
      <c r="AG4573">
        <v>4.2885070000000001</v>
      </c>
      <c r="AH4573">
        <v>56.959355890625197</v>
      </c>
      <c r="AI4573">
        <v>85.798919395036407</v>
      </c>
      <c r="AJ4573">
        <v>77.319885306958795</v>
      </c>
      <c r="AK4573">
        <v>58.540571069125697</v>
      </c>
      <c r="AL4573">
        <v>89.023292848560402</v>
      </c>
      <c r="AM4573">
        <v>87.339776826224906</v>
      </c>
      <c r="AN4573">
        <v>0.99999999857610899</v>
      </c>
    </row>
    <row r="4574" spans="1:40" x14ac:dyDescent="0.25">
      <c r="A4574" t="str">
        <f>"20190312160734922"</f>
        <v>20190312160734922</v>
      </c>
      <c r="B4574" t="str">
        <f>"1552378054910306"</f>
        <v>1552378054910306</v>
      </c>
      <c r="C4574" t="s">
        <v>40</v>
      </c>
      <c r="D4574">
        <v>6.4166030000000003</v>
      </c>
      <c r="E4574">
        <v>0.5675538</v>
      </c>
      <c r="F4574" t="s">
        <v>57</v>
      </c>
      <c r="G4574">
        <v>-213.09719999999999</v>
      </c>
      <c r="H4574">
        <v>6.2575750000000001</v>
      </c>
      <c r="I4574">
        <v>116.1516</v>
      </c>
      <c r="J4574">
        <v>-191.23249999999999</v>
      </c>
      <c r="K4574">
        <v>1.1081540000000001</v>
      </c>
      <c r="L4574">
        <v>169.761</v>
      </c>
      <c r="M4574">
        <v>-0.17144690000000001</v>
      </c>
      <c r="N4574">
        <v>0</v>
      </c>
      <c r="O4574">
        <v>-0.98516950000000003</v>
      </c>
      <c r="P4574">
        <v>-0.2169479</v>
      </c>
      <c r="Q4574">
        <v>1.0345740000000001E-2</v>
      </c>
      <c r="R4574">
        <v>-0.97612829999999995</v>
      </c>
      <c r="S4574">
        <v>-1.146423</v>
      </c>
      <c r="T4574">
        <v>0.26957500000000001</v>
      </c>
      <c r="U4574">
        <v>-2.8164220000000002</v>
      </c>
      <c r="V4574">
        <v>4.6414839999999999E-2</v>
      </c>
      <c r="W4574">
        <v>1.7138899999999999E-2</v>
      </c>
      <c r="X4574">
        <v>0.99877519999999997</v>
      </c>
      <c r="Y4574">
        <v>0.21113270000000001</v>
      </c>
      <c r="Z4574">
        <v>-8.8623530000000006E-2</v>
      </c>
      <c r="AA4574">
        <v>0.97343150000000001</v>
      </c>
      <c r="AB4574">
        <v>22</v>
      </c>
      <c r="AC4574">
        <v>-21.864699999999999</v>
      </c>
      <c r="AD4574">
        <v>5.1494210000000002</v>
      </c>
      <c r="AE4574">
        <v>-53.609400000000001</v>
      </c>
      <c r="AF4574">
        <v>12.252634952899699</v>
      </c>
      <c r="AG4574">
        <v>5.1494210000000002</v>
      </c>
      <c r="AH4574">
        <v>56.120365727744499</v>
      </c>
      <c r="AI4574">
        <v>84.877410315060104</v>
      </c>
      <c r="AJ4574">
        <v>77.684001356916198</v>
      </c>
      <c r="AK4574">
        <v>57.672688938006601</v>
      </c>
      <c r="AL4574">
        <v>89.017965272929402</v>
      </c>
      <c r="AM4574">
        <v>87.339278649478999</v>
      </c>
      <c r="AN4574">
        <v>0.99999998970023696</v>
      </c>
    </row>
    <row r="4575" spans="1:40" x14ac:dyDescent="0.25">
      <c r="A4575" t="str">
        <f>"20190312160734933"</f>
        <v>20190312160734933</v>
      </c>
      <c r="B4575" t="str">
        <f>"1552378054929825"</f>
        <v>1552378054929825</v>
      </c>
      <c r="C4575" t="s">
        <v>40</v>
      </c>
      <c r="D4575">
        <v>6.3008100000000002</v>
      </c>
      <c r="E4575">
        <v>0.567040199999999</v>
      </c>
      <c r="F4575" t="s">
        <v>57</v>
      </c>
      <c r="G4575">
        <v>-213.5669</v>
      </c>
      <c r="H4575">
        <v>6.0143370000000003</v>
      </c>
      <c r="I4575">
        <v>116.12479999999999</v>
      </c>
      <c r="J4575">
        <v>-191.25280000000001</v>
      </c>
      <c r="K4575">
        <v>1.1081479999999999</v>
      </c>
      <c r="L4575">
        <v>169.649</v>
      </c>
      <c r="M4575">
        <v>-0.17220849999999999</v>
      </c>
      <c r="N4575">
        <v>0</v>
      </c>
      <c r="O4575">
        <v>-0.98503640000000003</v>
      </c>
      <c r="P4575">
        <v>-0.21824099999999999</v>
      </c>
      <c r="Q4575">
        <v>1.015865E-2</v>
      </c>
      <c r="R4575">
        <v>-0.97584210000000005</v>
      </c>
      <c r="S4575">
        <v>-1.1703190000000001</v>
      </c>
      <c r="T4575">
        <v>0.25708340000000002</v>
      </c>
      <c r="U4575">
        <v>-2.8105159999999998</v>
      </c>
      <c r="V4575">
        <v>4.6965430000000002E-2</v>
      </c>
      <c r="W4575">
        <v>1.6952479999999999E-2</v>
      </c>
      <c r="X4575">
        <v>0.99875270000000005</v>
      </c>
      <c r="Y4575">
        <v>0.21829970000000001</v>
      </c>
      <c r="Z4575">
        <v>-8.4495340000000002E-2</v>
      </c>
      <c r="AA4575">
        <v>0.972217</v>
      </c>
      <c r="AB4575">
        <v>22</v>
      </c>
      <c r="AC4575">
        <v>-22.3141</v>
      </c>
      <c r="AD4575">
        <v>4.9061890000000004</v>
      </c>
      <c r="AE4575">
        <v>-53.5242</v>
      </c>
      <c r="AF4575">
        <v>12.6724720291274</v>
      </c>
      <c r="AG4575">
        <v>4.9061890000000004</v>
      </c>
      <c r="AH4575">
        <v>56.165275054431298</v>
      </c>
      <c r="AI4575">
        <v>85.129552994622003</v>
      </c>
      <c r="AJ4575">
        <v>77.285360212319304</v>
      </c>
      <c r="AK4575">
        <v>57.785814520283999</v>
      </c>
      <c r="AL4575">
        <v>89.028647959972901</v>
      </c>
      <c r="AM4575">
        <v>87.307701792899493</v>
      </c>
      <c r="AN4575">
        <v>1.0000000469752599</v>
      </c>
    </row>
    <row r="4576" spans="1:40" x14ac:dyDescent="0.25">
      <c r="A4576" t="str">
        <f>"20190312160734946"</f>
        <v>20190312160734946</v>
      </c>
      <c r="B4576" t="str">
        <f>"1552378054939586"</f>
        <v>1552378054939586</v>
      </c>
      <c r="C4576" t="s">
        <v>40</v>
      </c>
      <c r="D4576">
        <v>6.421799</v>
      </c>
      <c r="E4576">
        <v>0.56755919999999904</v>
      </c>
      <c r="F4576" t="s">
        <v>57</v>
      </c>
      <c r="G4576">
        <v>-213.7201</v>
      </c>
      <c r="H4576">
        <v>5.3683300000000003</v>
      </c>
      <c r="I4576">
        <v>115.7418</v>
      </c>
      <c r="J4576">
        <v>-191.27430000000001</v>
      </c>
      <c r="K4576">
        <v>1.108147</v>
      </c>
      <c r="L4576">
        <v>169.53149999999999</v>
      </c>
      <c r="M4576">
        <v>-0.173008</v>
      </c>
      <c r="N4576">
        <v>0</v>
      </c>
      <c r="O4576">
        <v>-0.9848962</v>
      </c>
      <c r="P4576">
        <v>-0.21947990000000001</v>
      </c>
      <c r="Q4576">
        <v>1.0050689999999999E-2</v>
      </c>
      <c r="R4576">
        <v>-0.97556540000000003</v>
      </c>
      <c r="S4576">
        <v>-1.1711579999999999</v>
      </c>
      <c r="T4576">
        <v>0.2220724</v>
      </c>
      <c r="U4576">
        <v>-2.810028</v>
      </c>
      <c r="V4576">
        <v>4.7422699999999998E-2</v>
      </c>
      <c r="W4576">
        <v>1.6845679999999998E-2</v>
      </c>
      <c r="X4576">
        <v>0.99873290000000003</v>
      </c>
      <c r="Y4576">
        <v>0.21816630000000001</v>
      </c>
      <c r="Z4576">
        <v>-7.3050770000000001E-2</v>
      </c>
      <c r="AA4576">
        <v>0.97317370000000003</v>
      </c>
      <c r="AB4576">
        <v>22</v>
      </c>
      <c r="AC4576">
        <v>-22.445799999999899</v>
      </c>
      <c r="AD4576">
        <v>4.2601829999999996</v>
      </c>
      <c r="AE4576">
        <v>-53.789700000000003</v>
      </c>
      <c r="AF4576">
        <v>12.733014278874601</v>
      </c>
      <c r="AG4576">
        <v>4.2601829999999996</v>
      </c>
      <c r="AH4576">
        <v>56.559761479212703</v>
      </c>
      <c r="AI4576">
        <v>85.797304140054194</v>
      </c>
      <c r="AJ4576">
        <v>77.312801773786305</v>
      </c>
      <c r="AK4576">
        <v>58.131621604811201</v>
      </c>
      <c r="AL4576">
        <v>89.034768023366695</v>
      </c>
      <c r="AM4576">
        <v>87.281474061779605</v>
      </c>
      <c r="AN4576">
        <v>1.0000000474761801</v>
      </c>
    </row>
    <row r="4577" spans="1:40" x14ac:dyDescent="0.25">
      <c r="A4577" t="str">
        <f>"20190312160734958"</f>
        <v>20190312160734958</v>
      </c>
      <c r="B4577" t="str">
        <f>"1552378054950322"</f>
        <v>1552378054950322</v>
      </c>
      <c r="C4577" t="s">
        <v>40</v>
      </c>
      <c r="D4577">
        <v>6.3985919999999998</v>
      </c>
      <c r="E4577">
        <v>0.5679535</v>
      </c>
      <c r="F4577" t="s">
        <v>57</v>
      </c>
      <c r="G4577">
        <v>-213.9084</v>
      </c>
      <c r="H4577">
        <v>5.0792719999999996</v>
      </c>
      <c r="I4577">
        <v>115.63979999999999</v>
      </c>
      <c r="J4577">
        <v>-191.29660000000001</v>
      </c>
      <c r="K4577">
        <v>1.108141</v>
      </c>
      <c r="L4577">
        <v>169.40960000000001</v>
      </c>
      <c r="M4577">
        <v>-0.17383770000000001</v>
      </c>
      <c r="N4577">
        <v>0</v>
      </c>
      <c r="O4577">
        <v>-0.98475029999999997</v>
      </c>
      <c r="P4577">
        <v>-0.2210027</v>
      </c>
      <c r="Q4577">
        <v>1.0045780000000001E-2</v>
      </c>
      <c r="R4577">
        <v>-0.97522160000000002</v>
      </c>
      <c r="S4577">
        <v>-1.179214</v>
      </c>
      <c r="T4577">
        <v>0.2068921</v>
      </c>
      <c r="U4577">
        <v>-2.807693</v>
      </c>
      <c r="V4577">
        <v>4.814069E-2</v>
      </c>
      <c r="W4577">
        <v>1.684283E-2</v>
      </c>
      <c r="X4577">
        <v>0.99869850000000004</v>
      </c>
      <c r="Y4577">
        <v>0.22014529999999999</v>
      </c>
      <c r="Z4577">
        <v>-6.8067580000000003E-2</v>
      </c>
      <c r="AA4577">
        <v>0.97308930000000005</v>
      </c>
      <c r="AB4577">
        <v>22</v>
      </c>
      <c r="AC4577">
        <v>-22.611799999999899</v>
      </c>
      <c r="AD4577">
        <v>3.9711310000000002</v>
      </c>
      <c r="AE4577">
        <v>-53.769799999999996</v>
      </c>
      <c r="AF4577">
        <v>12.8604582200373</v>
      </c>
      <c r="AG4577">
        <v>3.9711310000000002</v>
      </c>
      <c r="AH4577">
        <v>56.619534322831001</v>
      </c>
      <c r="AI4577">
        <v>86.087348707640899</v>
      </c>
      <c r="AJ4577">
        <v>77.203064272170593</v>
      </c>
      <c r="AK4577">
        <v>58.197361916007203</v>
      </c>
      <c r="AL4577">
        <v>89.034931245835097</v>
      </c>
      <c r="AM4577">
        <v>87.240283231138093</v>
      </c>
      <c r="AN4577">
        <v>0.99999995042916601</v>
      </c>
    </row>
    <row r="4578" spans="1:40" x14ac:dyDescent="0.25">
      <c r="A4578" t="str">
        <f>"20190312160734969"</f>
        <v>20190312160734969</v>
      </c>
      <c r="B4578" t="str">
        <f>"1552378054960082"</f>
        <v>1552378054960082</v>
      </c>
      <c r="C4578" t="s">
        <v>40</v>
      </c>
      <c r="D4578">
        <v>5.9105780000000001</v>
      </c>
      <c r="E4578">
        <v>0.56626149999999997</v>
      </c>
      <c r="F4578" t="s">
        <v>57</v>
      </c>
      <c r="G4578">
        <v>-214.08240000000001</v>
      </c>
      <c r="H4578">
        <v>4.8415699999999999</v>
      </c>
      <c r="I4578">
        <v>115.56699999999999</v>
      </c>
      <c r="J4578">
        <v>-191.31890000000001</v>
      </c>
      <c r="K4578">
        <v>1.108136</v>
      </c>
      <c r="L4578">
        <v>169.28870000000001</v>
      </c>
      <c r="M4578">
        <v>-0.1746607</v>
      </c>
      <c r="N4578">
        <v>0</v>
      </c>
      <c r="O4578">
        <v>-0.98460449999999999</v>
      </c>
      <c r="P4578">
        <v>-0.2224206</v>
      </c>
      <c r="Q4578">
        <v>9.7235389999999998E-3</v>
      </c>
      <c r="R4578">
        <v>-0.97490220000000005</v>
      </c>
      <c r="S4578">
        <v>-1.1871339999999999</v>
      </c>
      <c r="T4578">
        <v>0.1945114</v>
      </c>
      <c r="U4578">
        <v>-2.8051759999999999</v>
      </c>
      <c r="V4578">
        <v>4.875724E-2</v>
      </c>
      <c r="W4578">
        <v>1.6521959999999999E-2</v>
      </c>
      <c r="X4578">
        <v>0.99867399999999995</v>
      </c>
      <c r="Y4578">
        <v>0.22207959999999999</v>
      </c>
      <c r="Z4578">
        <v>-6.4002909999999996E-2</v>
      </c>
      <c r="AA4578">
        <v>0.97292559999999995</v>
      </c>
      <c r="AB4578">
        <v>22</v>
      </c>
      <c r="AC4578">
        <v>-22.763500000000001</v>
      </c>
      <c r="AD4578">
        <v>3.7334339999999901</v>
      </c>
      <c r="AE4578">
        <v>-53.721699999999998</v>
      </c>
      <c r="AF4578">
        <v>12.977149957279</v>
      </c>
      <c r="AG4578">
        <v>3.7334339999999901</v>
      </c>
      <c r="AH4578">
        <v>56.639957518788599</v>
      </c>
      <c r="AI4578">
        <v>86.323777742900404</v>
      </c>
      <c r="AJ4578">
        <v>77.095321189763695</v>
      </c>
      <c r="AK4578">
        <v>58.227396800614699</v>
      </c>
      <c r="AL4578">
        <v>89.053318350183204</v>
      </c>
      <c r="AM4578">
        <v>87.204926072512905</v>
      </c>
      <c r="AN4578">
        <v>1.00000000094532</v>
      </c>
    </row>
    <row r="4579" spans="1:40" x14ac:dyDescent="0.25">
      <c r="A4579" t="str">
        <f>"20190312160734991"</f>
        <v>20190312160734991</v>
      </c>
      <c r="B4579" t="str">
        <f>"1552378054979603"</f>
        <v>1552378054979603</v>
      </c>
      <c r="C4579" t="s">
        <v>40</v>
      </c>
      <c r="D4579">
        <v>6.381691</v>
      </c>
      <c r="E4579">
        <v>0.56467349999999905</v>
      </c>
      <c r="F4579" t="s">
        <v>57</v>
      </c>
      <c r="G4579">
        <v>-213.947</v>
      </c>
      <c r="H4579">
        <v>4.702718</v>
      </c>
      <c r="I4579">
        <v>115.3871</v>
      </c>
      <c r="J4579">
        <v>-191.35499999999999</v>
      </c>
      <c r="K4579">
        <v>1.108128</v>
      </c>
      <c r="L4579">
        <v>169.0934</v>
      </c>
      <c r="M4579">
        <v>-0.17599119999999999</v>
      </c>
      <c r="N4579">
        <v>0</v>
      </c>
      <c r="O4579">
        <v>-0.9843674</v>
      </c>
      <c r="P4579">
        <v>-0.22490579999999999</v>
      </c>
      <c r="Q4579">
        <v>9.9307730000000004E-3</v>
      </c>
      <c r="R4579">
        <v>-0.97433000000000003</v>
      </c>
      <c r="S4579">
        <v>-1.178207</v>
      </c>
      <c r="T4579">
        <v>0.18716430000000001</v>
      </c>
      <c r="U4579">
        <v>-2.806549</v>
      </c>
      <c r="V4579">
        <v>4.9955369999999999E-2</v>
      </c>
      <c r="W4579">
        <v>1.6733169999999999E-2</v>
      </c>
      <c r="X4579">
        <v>0.99861129999999998</v>
      </c>
      <c r="Y4579">
        <v>0.21801999999999999</v>
      </c>
      <c r="Z4579">
        <v>-6.1610699999999997E-2</v>
      </c>
      <c r="AA4579">
        <v>0.97399769999999997</v>
      </c>
      <c r="AB4579">
        <v>22</v>
      </c>
      <c r="AC4579">
        <v>-22.591999999999999</v>
      </c>
      <c r="AD4579">
        <v>3.5945900000000002</v>
      </c>
      <c r="AE4579">
        <v>-53.706299999999999</v>
      </c>
      <c r="AF4579">
        <v>12.7388123236349</v>
      </c>
      <c r="AG4579">
        <v>3.5945900000000002</v>
      </c>
      <c r="AH4579">
        <v>56.628547785181098</v>
      </c>
      <c r="AI4579">
        <v>86.456252990492601</v>
      </c>
      <c r="AJ4579">
        <v>77.322130933063804</v>
      </c>
      <c r="AK4579">
        <v>58.154886647154797</v>
      </c>
      <c r="AL4579">
        <v>89.041215266311497</v>
      </c>
      <c r="AM4579">
        <v>87.136175126563799</v>
      </c>
      <c r="AN4579">
        <v>1.0000000332288801</v>
      </c>
    </row>
    <row r="4580" spans="1:40" x14ac:dyDescent="0.25">
      <c r="A4580" t="str">
        <f>"20190312160735011"</f>
        <v>20190312160735011</v>
      </c>
      <c r="B4580" t="str">
        <f>"1552378055000098"</f>
        <v>1552378055000098</v>
      </c>
      <c r="C4580" t="s">
        <v>40</v>
      </c>
      <c r="D4580">
        <v>6.2060649999999997</v>
      </c>
      <c r="E4580">
        <v>0.56459989999999904</v>
      </c>
      <c r="F4580" t="s">
        <v>57</v>
      </c>
      <c r="G4580">
        <v>-213.8586</v>
      </c>
      <c r="H4580">
        <v>4.6139549999999998</v>
      </c>
      <c r="I4580">
        <v>115.271</v>
      </c>
      <c r="J4580">
        <v>-191.39359999999999</v>
      </c>
      <c r="K4580">
        <v>1.1081240000000001</v>
      </c>
      <c r="L4580">
        <v>168.8869</v>
      </c>
      <c r="M4580">
        <v>-0.17740420000000001</v>
      </c>
      <c r="N4580">
        <v>0</v>
      </c>
      <c r="O4580">
        <v>-0.98411389999999999</v>
      </c>
      <c r="P4580">
        <v>-0.2266106</v>
      </c>
      <c r="Q4580">
        <v>1.0527369999999999E-2</v>
      </c>
      <c r="R4580">
        <v>-0.97392880000000004</v>
      </c>
      <c r="S4580">
        <v>-1.1733549999999999</v>
      </c>
      <c r="T4580">
        <v>0.18279770000000001</v>
      </c>
      <c r="U4580">
        <v>-2.8063349999999998</v>
      </c>
      <c r="V4580">
        <v>5.0272190000000001E-2</v>
      </c>
      <c r="W4580">
        <v>1.7336279999999999E-2</v>
      </c>
      <c r="X4580">
        <v>0.9985851</v>
      </c>
      <c r="Y4580">
        <v>0.21524550000000001</v>
      </c>
      <c r="Z4580">
        <v>-6.0198080000000001E-2</v>
      </c>
      <c r="AA4580">
        <v>0.97470279999999998</v>
      </c>
      <c r="AB4580">
        <v>22</v>
      </c>
      <c r="AC4580">
        <v>-22.465</v>
      </c>
      <c r="AD4580">
        <v>3.5058310000000001</v>
      </c>
      <c r="AE4580">
        <v>-53.615900000000003</v>
      </c>
      <c r="AF4580">
        <v>12.5510836178128</v>
      </c>
      <c r="AG4580">
        <v>3.5058310000000001</v>
      </c>
      <c r="AH4580">
        <v>56.545229824939199</v>
      </c>
      <c r="AI4580">
        <v>86.5362640558984</v>
      </c>
      <c r="AJ4580">
        <v>77.485216326267206</v>
      </c>
      <c r="AK4580">
        <v>58.027438052503101</v>
      </c>
      <c r="AL4580">
        <v>89.006654582219099</v>
      </c>
      <c r="AM4580">
        <v>87.117967611059697</v>
      </c>
      <c r="AN4580">
        <v>1.00000002081682</v>
      </c>
    </row>
    <row r="4581" spans="1:40" x14ac:dyDescent="0.25">
      <c r="A4581" t="str">
        <f>"20190312160735023"</f>
        <v>20190312160735023</v>
      </c>
      <c r="B4581" t="str">
        <f>"1552378055009859"</f>
        <v>1552378055009859</v>
      </c>
      <c r="C4581" t="s">
        <v>40</v>
      </c>
      <c r="D4581">
        <v>6.4596920000000004</v>
      </c>
      <c r="E4581">
        <v>0.56409010000000004</v>
      </c>
      <c r="F4581" t="s">
        <v>57</v>
      </c>
      <c r="G4581">
        <v>-213.98330000000001</v>
      </c>
      <c r="H4581">
        <v>4.3503119999999997</v>
      </c>
      <c r="I4581">
        <v>115.1015</v>
      </c>
      <c r="J4581">
        <v>-191.416</v>
      </c>
      <c r="K4581">
        <v>1.1081160000000001</v>
      </c>
      <c r="L4581">
        <v>168.7679</v>
      </c>
      <c r="M4581">
        <v>-0.1782241</v>
      </c>
      <c r="N4581">
        <v>0</v>
      </c>
      <c r="O4581">
        <v>-0.98396550000000005</v>
      </c>
      <c r="P4581">
        <v>-0.22760530000000001</v>
      </c>
      <c r="Q4581">
        <v>1.084412E-2</v>
      </c>
      <c r="R4581">
        <v>-0.97369309999999998</v>
      </c>
      <c r="S4581">
        <v>-1.177856</v>
      </c>
      <c r="T4581">
        <v>0.1690526</v>
      </c>
      <c r="U4581">
        <v>-2.8044280000000001</v>
      </c>
      <c r="V4581">
        <v>5.0461909999999999E-2</v>
      </c>
      <c r="W4581">
        <v>1.7657619999999999E-2</v>
      </c>
      <c r="X4581">
        <v>0.99856990000000001</v>
      </c>
      <c r="Y4581">
        <v>0.21610080000000001</v>
      </c>
      <c r="Z4581">
        <v>-5.5687229999999997E-2</v>
      </c>
      <c r="AA4581">
        <v>0.97478169999999997</v>
      </c>
      <c r="AB4581">
        <v>22</v>
      </c>
      <c r="AC4581">
        <v>-22.567299999999999</v>
      </c>
      <c r="AD4581">
        <v>3.2421959999999999</v>
      </c>
      <c r="AE4581">
        <v>-53.666400000000003</v>
      </c>
      <c r="AF4581">
        <v>12.6020184779237</v>
      </c>
      <c r="AG4581">
        <v>3.2421959999999999</v>
      </c>
      <c r="AH4581">
        <v>56.653582239667003</v>
      </c>
      <c r="AI4581">
        <v>86.802604327171196</v>
      </c>
      <c r="AJ4581">
        <v>77.459306477105002</v>
      </c>
      <c r="AK4581">
        <v>58.128745773558997</v>
      </c>
      <c r="AL4581">
        <v>88.988240337545705</v>
      </c>
      <c r="AM4581">
        <v>87.107065716673702</v>
      </c>
      <c r="AN4581">
        <v>1.00000002054546</v>
      </c>
    </row>
    <row r="4582" spans="1:40" x14ac:dyDescent="0.25">
      <c r="A4582" t="str">
        <f>"20190312160735036"</f>
        <v>20190312160735036</v>
      </c>
      <c r="B4582" t="str">
        <f>"1552378055030354"</f>
        <v>1552378055030354</v>
      </c>
      <c r="C4582" t="s">
        <v>40</v>
      </c>
      <c r="D4582">
        <v>6.1876879999999996</v>
      </c>
      <c r="E4582">
        <v>0.56421489999999996</v>
      </c>
      <c r="F4582" t="s">
        <v>57</v>
      </c>
      <c r="G4582">
        <v>-213.94540000000001</v>
      </c>
      <c r="H4582">
        <v>4.3624619999999998</v>
      </c>
      <c r="I4582">
        <v>115.09</v>
      </c>
      <c r="J4582">
        <v>-191.43889999999999</v>
      </c>
      <c r="K4582">
        <v>1.108106</v>
      </c>
      <c r="L4582">
        <v>168.6464</v>
      </c>
      <c r="M4582">
        <v>-0.17906369999999999</v>
      </c>
      <c r="N4582">
        <v>0</v>
      </c>
      <c r="O4582">
        <v>-0.98381300000000005</v>
      </c>
      <c r="P4582">
        <v>-0.22845989999999999</v>
      </c>
      <c r="Q4582">
        <v>1.087671E-2</v>
      </c>
      <c r="R4582">
        <v>-0.97349260000000004</v>
      </c>
      <c r="S4582">
        <v>-1.1769099999999999</v>
      </c>
      <c r="T4582">
        <v>0.17000419999999999</v>
      </c>
      <c r="U4582">
        <v>-2.8040620000000001</v>
      </c>
      <c r="V4582">
        <v>5.0486910000000003E-2</v>
      </c>
      <c r="W4582">
        <v>1.7694799999999899E-2</v>
      </c>
      <c r="X4582">
        <v>0.99856789999999995</v>
      </c>
      <c r="Y4582">
        <v>0.21502640000000001</v>
      </c>
      <c r="Z4582">
        <v>-5.6003749999999998E-2</v>
      </c>
      <c r="AA4582">
        <v>0.97500120000000001</v>
      </c>
      <c r="AB4582">
        <v>22</v>
      </c>
      <c r="AC4582">
        <v>-22.506499999999999</v>
      </c>
      <c r="AD4582">
        <v>3.254356</v>
      </c>
      <c r="AE4582">
        <v>-53.556399999999996</v>
      </c>
      <c r="AF4582">
        <v>12.5132137426407</v>
      </c>
      <c r="AG4582">
        <v>3.254356</v>
      </c>
      <c r="AH4582">
        <v>56.543502114827803</v>
      </c>
      <c r="AI4582">
        <v>86.783630471491094</v>
      </c>
      <c r="AJ4582">
        <v>77.521422917212604</v>
      </c>
      <c r="AK4582">
        <v>58.002922189776598</v>
      </c>
      <c r="AL4582">
        <v>88.986109668462504</v>
      </c>
      <c r="AM4582">
        <v>87.105629139234196</v>
      </c>
      <c r="AN4582">
        <v>0.99999994246939705</v>
      </c>
    </row>
    <row r="4583" spans="1:40" x14ac:dyDescent="0.25">
      <c r="A4583" t="str">
        <f>"20190312160735046"</f>
        <v>20190312160735046</v>
      </c>
      <c r="B4583" t="str">
        <f>"1552378055040114"</f>
        <v>1552378055040114</v>
      </c>
      <c r="C4583" t="s">
        <v>40</v>
      </c>
      <c r="D4583">
        <v>6.4920600000000004</v>
      </c>
      <c r="E4583">
        <v>0.56392209999999998</v>
      </c>
      <c r="F4583" t="s">
        <v>57</v>
      </c>
      <c r="G4583">
        <v>-214.04089999999999</v>
      </c>
      <c r="H4583">
        <v>4.1901970000000004</v>
      </c>
      <c r="I4583">
        <v>114.98050000000001</v>
      </c>
      <c r="J4583">
        <v>-191.46119999999999</v>
      </c>
      <c r="K4583">
        <v>1.1080939999999999</v>
      </c>
      <c r="L4583">
        <v>168.529</v>
      </c>
      <c r="M4583">
        <v>-0.17988489999999999</v>
      </c>
      <c r="N4583">
        <v>0</v>
      </c>
      <c r="O4583">
        <v>-0.98366319999999996</v>
      </c>
      <c r="P4583">
        <v>-0.2290924</v>
      </c>
      <c r="Q4583">
        <v>1.0587589999999999E-2</v>
      </c>
      <c r="R4583">
        <v>-0.97334719999999997</v>
      </c>
      <c r="S4583">
        <v>-1.180466</v>
      </c>
      <c r="T4583">
        <v>0.16097320000000001</v>
      </c>
      <c r="U4583">
        <v>-2.8028719999999998</v>
      </c>
      <c r="V4583">
        <v>5.03013E-2</v>
      </c>
      <c r="W4583">
        <v>1.741113E-2</v>
      </c>
      <c r="X4583">
        <v>0.99858230000000003</v>
      </c>
      <c r="Y4583">
        <v>0.21547359999999999</v>
      </c>
      <c r="Z4583">
        <v>-5.3031149999999999E-2</v>
      </c>
      <c r="AA4583">
        <v>0.97506859999999995</v>
      </c>
      <c r="AB4583">
        <v>23</v>
      </c>
      <c r="AC4583">
        <v>-22.579699999999999</v>
      </c>
      <c r="AD4583">
        <v>3.082103</v>
      </c>
      <c r="AE4583">
        <v>-53.548499999999997</v>
      </c>
      <c r="AF4583">
        <v>12.5432753753621</v>
      </c>
      <c r="AG4583">
        <v>3.082103</v>
      </c>
      <c r="AH4583">
        <v>56.577664205638399</v>
      </c>
      <c r="AI4583">
        <v>86.955634423286398</v>
      </c>
      <c r="AJ4583">
        <v>77.499701548170293</v>
      </c>
      <c r="AK4583">
        <v>58.0333111498108</v>
      </c>
      <c r="AL4583">
        <v>89.002365314124901</v>
      </c>
      <c r="AM4583">
        <v>87.116293520422602</v>
      </c>
      <c r="AN4583">
        <v>0.99999998905142795</v>
      </c>
    </row>
    <row r="4584" spans="1:40" x14ac:dyDescent="0.25">
      <c r="A4584" t="str">
        <f>"20190312160735059"</f>
        <v>20190312160735059</v>
      </c>
      <c r="B4584" t="str">
        <f>"1552378055049874"</f>
        <v>1552378055049874</v>
      </c>
      <c r="C4584" t="s">
        <v>40</v>
      </c>
      <c r="D4584">
        <v>6.3864140000000003</v>
      </c>
      <c r="E4584">
        <v>0.56367690000000004</v>
      </c>
      <c r="F4584" t="s">
        <v>57</v>
      </c>
      <c r="G4584">
        <v>-214.01949999999999</v>
      </c>
      <c r="H4584">
        <v>4.1717599999999999</v>
      </c>
      <c r="I4584">
        <v>114.9492</v>
      </c>
      <c r="J4584">
        <v>-191.48400000000001</v>
      </c>
      <c r="K4584">
        <v>1.10808</v>
      </c>
      <c r="L4584">
        <v>168.4092</v>
      </c>
      <c r="M4584">
        <v>-0.1807281</v>
      </c>
      <c r="N4584">
        <v>0</v>
      </c>
      <c r="O4584">
        <v>-0.98350859999999996</v>
      </c>
      <c r="P4584">
        <v>-0.2302295</v>
      </c>
      <c r="Q4584">
        <v>1.0206170000000001E-2</v>
      </c>
      <c r="R4584">
        <v>-0.97308300000000003</v>
      </c>
      <c r="S4584">
        <v>-1.1799930000000001</v>
      </c>
      <c r="T4584">
        <v>0.16025690000000001</v>
      </c>
      <c r="U4584">
        <v>-2.802673</v>
      </c>
      <c r="V4584">
        <v>5.0610969999999998E-2</v>
      </c>
      <c r="W4584">
        <v>1.7033530000000002E-2</v>
      </c>
      <c r="X4584">
        <v>0.99857320000000005</v>
      </c>
      <c r="Y4584">
        <v>0.2145261</v>
      </c>
      <c r="Z4584">
        <v>-5.2794180000000003E-2</v>
      </c>
      <c r="AA4584">
        <v>0.9752904</v>
      </c>
      <c r="AB4584">
        <v>23</v>
      </c>
      <c r="AC4584">
        <v>-22.5354999999999</v>
      </c>
      <c r="AD4584">
        <v>3.0636800000000002</v>
      </c>
      <c r="AE4584">
        <v>-53.46</v>
      </c>
      <c r="AF4584">
        <v>12.467666955731</v>
      </c>
      <c r="AG4584">
        <v>3.0636800000000002</v>
      </c>
      <c r="AH4584">
        <v>56.494987423344803</v>
      </c>
      <c r="AI4584">
        <v>86.968730708938395</v>
      </c>
      <c r="AJ4584">
        <v>77.555082808236705</v>
      </c>
      <c r="AK4584">
        <v>57.935416270406797</v>
      </c>
      <c r="AL4584">
        <v>89.024003443812006</v>
      </c>
      <c r="AM4584">
        <v>87.0985443984152</v>
      </c>
      <c r="AN4584">
        <v>1.0000000235934201</v>
      </c>
    </row>
    <row r="4585" spans="1:40" x14ac:dyDescent="0.25">
      <c r="A4585" t="str">
        <f>"20190312160735080"</f>
        <v>20190312160735080</v>
      </c>
      <c r="B4585" t="str">
        <f>"1552378055070369"</f>
        <v>1552378055070369</v>
      </c>
      <c r="C4585" t="s">
        <v>40</v>
      </c>
      <c r="D4585">
        <v>6.2785330000000004</v>
      </c>
      <c r="E4585">
        <v>0.56297810000000004</v>
      </c>
      <c r="F4585" t="s">
        <v>57</v>
      </c>
      <c r="G4585">
        <v>-214.0282</v>
      </c>
      <c r="H4585">
        <v>4.1707470000000004</v>
      </c>
      <c r="I4585">
        <v>114.95359999999999</v>
      </c>
      <c r="J4585">
        <v>-191.52379999999999</v>
      </c>
      <c r="K4585">
        <v>1.108052</v>
      </c>
      <c r="L4585">
        <v>168.20160000000001</v>
      </c>
      <c r="M4585">
        <v>-0.1822126</v>
      </c>
      <c r="N4585">
        <v>0</v>
      </c>
      <c r="O4585">
        <v>-0.98323459999999996</v>
      </c>
      <c r="P4585">
        <v>-0.232184</v>
      </c>
      <c r="Q4585">
        <v>9.4189679999999998E-3</v>
      </c>
      <c r="R4585">
        <v>-0.9726264</v>
      </c>
      <c r="S4585">
        <v>-1.181595</v>
      </c>
      <c r="T4585">
        <v>0.16052249999999901</v>
      </c>
      <c r="U4585">
        <v>-2.8017270000000001</v>
      </c>
      <c r="V4585">
        <v>5.1107489999999998E-2</v>
      </c>
      <c r="W4585">
        <v>1.625354E-2</v>
      </c>
      <c r="X4585">
        <v>0.99856089999999997</v>
      </c>
      <c r="Y4585">
        <v>0.2136412</v>
      </c>
      <c r="Z4585">
        <v>-5.2875449999999997E-2</v>
      </c>
      <c r="AA4585">
        <v>0.97548020000000002</v>
      </c>
      <c r="AB4585">
        <v>23</v>
      </c>
      <c r="AC4585">
        <v>-22.5044</v>
      </c>
      <c r="AD4585">
        <v>3.0626950000000002</v>
      </c>
      <c r="AE4585">
        <v>-53.247999999999998</v>
      </c>
      <c r="AF4585">
        <v>12.3901702071256</v>
      </c>
      <c r="AG4585">
        <v>3.0626950000000002</v>
      </c>
      <c r="AH4585">
        <v>56.299198011917397</v>
      </c>
      <c r="AI4585">
        <v>86.958796342647702</v>
      </c>
      <c r="AJ4585">
        <v>77.588362171708795</v>
      </c>
      <c r="AK4585">
        <v>57.727775941999099</v>
      </c>
      <c r="AL4585">
        <v>89.068699759237205</v>
      </c>
      <c r="AM4585">
        <v>87.070092935067294</v>
      </c>
      <c r="AN4585">
        <v>1.0000000120527199</v>
      </c>
    </row>
    <row r="4586" spans="1:40" x14ac:dyDescent="0.25">
      <c r="A4586" t="str">
        <f>"20190312160735102"</f>
        <v>20190312160735102</v>
      </c>
      <c r="B4586" t="str">
        <f>"1552378055089889"</f>
        <v>1552378055089889</v>
      </c>
      <c r="C4586" t="s">
        <v>40</v>
      </c>
      <c r="D4586">
        <v>6.459492</v>
      </c>
      <c r="E4586">
        <v>0.56348279999999995</v>
      </c>
      <c r="F4586" t="s">
        <v>57</v>
      </c>
      <c r="G4586">
        <v>-214.01949999999999</v>
      </c>
      <c r="H4586">
        <v>4.1149399999999998</v>
      </c>
      <c r="I4586">
        <v>114.89360000000001</v>
      </c>
      <c r="J4586">
        <v>-191.56549999999999</v>
      </c>
      <c r="K4586">
        <v>1.108015</v>
      </c>
      <c r="L4586">
        <v>167.98670000000001</v>
      </c>
      <c r="M4586">
        <v>-0.1837848</v>
      </c>
      <c r="N4586">
        <v>0</v>
      </c>
      <c r="O4586">
        <v>-0.98294190000000004</v>
      </c>
      <c r="P4586">
        <v>-0.2346202</v>
      </c>
      <c r="Q4586">
        <v>9.2084690000000004E-3</v>
      </c>
      <c r="R4586">
        <v>-0.97204380000000001</v>
      </c>
      <c r="S4586">
        <v>-1.181915</v>
      </c>
      <c r="T4586">
        <v>0.15798219999999999</v>
      </c>
      <c r="U4586">
        <v>-2.8007810000000002</v>
      </c>
      <c r="V4586">
        <v>5.2013030000000002E-2</v>
      </c>
      <c r="W4586">
        <v>1.6049000000000001E-2</v>
      </c>
      <c r="X4586">
        <v>0.99851749999999995</v>
      </c>
      <c r="Y4586">
        <v>0.21230869999999999</v>
      </c>
      <c r="Z4586">
        <v>-5.2040749999999997E-2</v>
      </c>
      <c r="AA4586">
        <v>0.97581600000000002</v>
      </c>
      <c r="AB4586">
        <v>23</v>
      </c>
      <c r="AC4586">
        <v>-22.454000000000001</v>
      </c>
      <c r="AD4586">
        <v>3.0069249999999998</v>
      </c>
      <c r="AE4586">
        <v>-53.0931</v>
      </c>
      <c r="AF4586">
        <v>12.2801577969867</v>
      </c>
      <c r="AG4586">
        <v>3.0069249999999998</v>
      </c>
      <c r="AH4586">
        <v>56.1626873312008</v>
      </c>
      <c r="AI4586">
        <v>87.005938849212498</v>
      </c>
      <c r="AJ4586">
        <v>77.666199463676904</v>
      </c>
      <c r="AK4586">
        <v>57.568145026018797</v>
      </c>
      <c r="AL4586">
        <v>89.080420612426394</v>
      </c>
      <c r="AM4586">
        <v>87.018143339257506</v>
      </c>
      <c r="AN4586">
        <v>1.0000000617485101</v>
      </c>
    </row>
    <row r="4587" spans="1:40" x14ac:dyDescent="0.25">
      <c r="A4587" t="str">
        <f>"20190312160735123"</f>
        <v>20190312160735123</v>
      </c>
      <c r="B4587" t="str">
        <f>"1552378055120146"</f>
        <v>1552378055120146</v>
      </c>
      <c r="C4587" t="s">
        <v>40</v>
      </c>
      <c r="D4587">
        <v>6.4373879999999897</v>
      </c>
      <c r="E4587">
        <v>0.56374969999999902</v>
      </c>
      <c r="F4587" t="s">
        <v>58</v>
      </c>
      <c r="G4587">
        <v>-215.09129999999999</v>
      </c>
      <c r="H4587">
        <v>3.9964819999999999</v>
      </c>
      <c r="I4587">
        <v>112.82689999999999</v>
      </c>
      <c r="J4587">
        <v>-191.6079</v>
      </c>
      <c r="K4587">
        <v>1.107974</v>
      </c>
      <c r="L4587">
        <v>167.76990000000001</v>
      </c>
      <c r="M4587">
        <v>-0.18541360000000001</v>
      </c>
      <c r="N4587">
        <v>0</v>
      </c>
      <c r="O4587">
        <v>-0.98263599999999995</v>
      </c>
      <c r="P4587">
        <v>-0.23679819999999999</v>
      </c>
      <c r="Q4587">
        <v>9.6727640000000004E-3</v>
      </c>
      <c r="R4587">
        <v>-0.97151109999999896</v>
      </c>
      <c r="S4587">
        <v>-1.192917</v>
      </c>
      <c r="T4587">
        <v>0.1464657</v>
      </c>
      <c r="U4587">
        <v>-2.796967</v>
      </c>
      <c r="V4587">
        <v>5.2599760000000002E-2</v>
      </c>
      <c r="W4587">
        <v>1.6520529999999999E-2</v>
      </c>
      <c r="X4587">
        <v>0.99847900000000001</v>
      </c>
      <c r="Y4587">
        <v>0.21449319999999999</v>
      </c>
      <c r="Z4587">
        <v>-4.824734E-2</v>
      </c>
      <c r="AA4587">
        <v>0.97553310000000004</v>
      </c>
      <c r="AB4587">
        <v>23</v>
      </c>
      <c r="AC4587">
        <v>-23.4833999999999</v>
      </c>
      <c r="AD4587">
        <v>2.8885079999999999</v>
      </c>
      <c r="AE4587">
        <v>-54.942999999999998</v>
      </c>
      <c r="AF4587">
        <v>12.8587155046958</v>
      </c>
      <c r="AG4587">
        <v>2.8885079999999999</v>
      </c>
      <c r="AH4587">
        <v>58.208488358465701</v>
      </c>
      <c r="AI4587">
        <v>87.225888364172604</v>
      </c>
      <c r="AJ4587">
        <v>77.542973034415098</v>
      </c>
      <c r="AK4587">
        <v>59.681807612323603</v>
      </c>
      <c r="AL4587">
        <v>89.053400282126304</v>
      </c>
      <c r="AM4587">
        <v>86.984452352309404</v>
      </c>
      <c r="AN4587">
        <v>0.99999998805226897</v>
      </c>
    </row>
    <row r="4588" spans="1:40" x14ac:dyDescent="0.25">
      <c r="A4588" t="str">
        <f>"20190312160735146"</f>
        <v>20190312160735146</v>
      </c>
      <c r="B4588" t="str">
        <f>"1552378055139666"</f>
        <v>1552378055139666</v>
      </c>
      <c r="C4588" t="s">
        <v>40</v>
      </c>
      <c r="D4588">
        <v>6.3908310000000004</v>
      </c>
      <c r="E4588">
        <v>0.56410890000000002</v>
      </c>
      <c r="F4588" t="s">
        <v>58</v>
      </c>
      <c r="G4588">
        <v>-215.09129999999999</v>
      </c>
      <c r="H4588">
        <v>3.8339859999999999</v>
      </c>
      <c r="I4588">
        <v>113.1609</v>
      </c>
      <c r="J4588">
        <v>-191.65450000000001</v>
      </c>
      <c r="K4588">
        <v>1.1079270000000001</v>
      </c>
      <c r="L4588">
        <v>167.53399999999999</v>
      </c>
      <c r="M4588">
        <v>-0.18724379999999999</v>
      </c>
      <c r="N4588">
        <v>0</v>
      </c>
      <c r="O4588">
        <v>-0.98228859999999996</v>
      </c>
      <c r="P4588">
        <v>-0.23981949999999999</v>
      </c>
      <c r="Q4588">
        <v>9.969393E-3</v>
      </c>
      <c r="R4588">
        <v>-0.97076660000000004</v>
      </c>
      <c r="S4588">
        <v>-1.2014009999999999</v>
      </c>
      <c r="T4588">
        <v>0.13946249999999999</v>
      </c>
      <c r="U4588">
        <v>-2.7937620000000001</v>
      </c>
      <c r="V4588">
        <v>5.3849389999999997E-2</v>
      </c>
      <c r="W4588">
        <v>1.6822810000000001E-2</v>
      </c>
      <c r="X4588">
        <v>0.99840739999999994</v>
      </c>
      <c r="Y4588">
        <v>0.2156237</v>
      </c>
      <c r="Z4588">
        <v>-4.5937550000000001E-2</v>
      </c>
      <c r="AA4588">
        <v>0.97539540000000002</v>
      </c>
      <c r="AB4588">
        <v>23</v>
      </c>
      <c r="AC4588">
        <v>-23.436799999999899</v>
      </c>
      <c r="AD4588">
        <v>2.7260589999999998</v>
      </c>
      <c r="AE4588">
        <v>-54.373100000000001</v>
      </c>
      <c r="AF4588">
        <v>12.8138266767402</v>
      </c>
      <c r="AG4588">
        <v>2.7260589999999998</v>
      </c>
      <c r="AH4588">
        <v>57.677619353377999</v>
      </c>
      <c r="AI4588">
        <v>87.358314153631198</v>
      </c>
      <c r="AJ4588">
        <v>77.474431772676098</v>
      </c>
      <c r="AK4588">
        <v>59.146710187855597</v>
      </c>
      <c r="AL4588">
        <v>89.036078565981398</v>
      </c>
      <c r="AM4588">
        <v>86.912726991314798</v>
      </c>
      <c r="AN4588">
        <v>1.0000000500572099</v>
      </c>
    </row>
    <row r="4589" spans="1:40" x14ac:dyDescent="0.25">
      <c r="A4589" t="str">
        <f>"20190312160735159"</f>
        <v>20190312160735159</v>
      </c>
      <c r="B4589" t="str">
        <f>"1552378055150402"</f>
        <v>1552378055150402</v>
      </c>
      <c r="C4589" t="s">
        <v>40</v>
      </c>
      <c r="D4589">
        <v>6.3684089999999998</v>
      </c>
      <c r="E4589">
        <v>0.56423369999999995</v>
      </c>
      <c r="F4589" t="s">
        <v>58</v>
      </c>
      <c r="G4589">
        <v>-215.2663</v>
      </c>
      <c r="H4589">
        <v>3.7144520000000001</v>
      </c>
      <c r="I4589">
        <v>113.2439</v>
      </c>
      <c r="J4589">
        <v>-191.6799</v>
      </c>
      <c r="K4589">
        <v>1.107898</v>
      </c>
      <c r="L4589">
        <v>167.4066</v>
      </c>
      <c r="M4589">
        <v>-0.18826129999999999</v>
      </c>
      <c r="N4589">
        <v>0</v>
      </c>
      <c r="O4589">
        <v>-0.98209420000000003</v>
      </c>
      <c r="P4589">
        <v>-0.24161759999999999</v>
      </c>
      <c r="Q4589">
        <v>1.002837E-2</v>
      </c>
      <c r="R4589">
        <v>-0.97031979999999995</v>
      </c>
      <c r="S4589">
        <v>-1.21312</v>
      </c>
      <c r="T4589">
        <v>0.13391819999999999</v>
      </c>
      <c r="U4589">
        <v>-2.789291</v>
      </c>
      <c r="V4589">
        <v>5.4666359999999997E-2</v>
      </c>
      <c r="W4589">
        <v>1.6884299999999901E-2</v>
      </c>
      <c r="X4589">
        <v>0.99836190000000002</v>
      </c>
      <c r="Y4589">
        <v>0.218663</v>
      </c>
      <c r="Z4589">
        <v>-4.4116269999999999E-2</v>
      </c>
      <c r="AA4589">
        <v>0.97480270000000002</v>
      </c>
      <c r="AB4589">
        <v>23</v>
      </c>
      <c r="AC4589">
        <v>-23.586400000000001</v>
      </c>
      <c r="AD4589">
        <v>2.606554</v>
      </c>
      <c r="AE4589">
        <v>-54.162700000000001</v>
      </c>
      <c r="AF4589">
        <v>12.9424456809655</v>
      </c>
      <c r="AG4589">
        <v>2.606554</v>
      </c>
      <c r="AH4589">
        <v>57.522697832442802</v>
      </c>
      <c r="AI4589">
        <v>87.468698813093397</v>
      </c>
      <c r="AJ4589">
        <v>77.319769459997303</v>
      </c>
      <c r="AK4589">
        <v>59.018317409785503</v>
      </c>
      <c r="AL4589">
        <v>89.032554887139995</v>
      </c>
      <c r="AM4589">
        <v>86.865838901392905</v>
      </c>
      <c r="AN4589">
        <v>0.99999998693687397</v>
      </c>
    </row>
    <row r="4590" spans="1:40" x14ac:dyDescent="0.25">
      <c r="A4590" t="str">
        <f>"20190312160735171"</f>
        <v>20190312160735171</v>
      </c>
      <c r="B4590" t="str">
        <f>"1552378055160162"</f>
        <v>1552378055160162</v>
      </c>
      <c r="C4590" t="s">
        <v>40</v>
      </c>
      <c r="D4590">
        <v>6.3291209999999998</v>
      </c>
      <c r="E4590">
        <v>0.56431940000000003</v>
      </c>
      <c r="F4590" t="s">
        <v>58</v>
      </c>
      <c r="G4590">
        <v>-215.37389999999999</v>
      </c>
      <c r="H4590">
        <v>3.6496759999999999</v>
      </c>
      <c r="I4590">
        <v>113.2439</v>
      </c>
      <c r="J4590">
        <v>-191.70590000000001</v>
      </c>
      <c r="K4590">
        <v>1.107866</v>
      </c>
      <c r="L4590">
        <v>167.27690000000001</v>
      </c>
      <c r="M4590">
        <v>-0.1893204</v>
      </c>
      <c r="N4590">
        <v>0</v>
      </c>
      <c r="O4590">
        <v>-0.98189040000000005</v>
      </c>
      <c r="P4590">
        <v>-0.24317559999999999</v>
      </c>
      <c r="Q4590">
        <v>9.7451329999999996E-3</v>
      </c>
      <c r="R4590">
        <v>-0.96993370000000001</v>
      </c>
      <c r="S4590">
        <v>-1.219131</v>
      </c>
      <c r="T4590">
        <v>0.1307836</v>
      </c>
      <c r="U4590">
        <v>-2.786835</v>
      </c>
      <c r="V4590">
        <v>5.519288E-2</v>
      </c>
      <c r="W4590">
        <v>1.6604440000000002E-2</v>
      </c>
      <c r="X4590">
        <v>0.99833760000000005</v>
      </c>
      <c r="Y4590">
        <v>0.2197095</v>
      </c>
      <c r="Z4590">
        <v>-4.3084089999999998E-2</v>
      </c>
      <c r="AA4590">
        <v>0.97461350000000002</v>
      </c>
      <c r="AB4590">
        <v>23</v>
      </c>
      <c r="AC4590">
        <v>-23.6679999999999</v>
      </c>
      <c r="AD4590">
        <v>2.5418099999999999</v>
      </c>
      <c r="AE4590">
        <v>-54.033000000000001</v>
      </c>
      <c r="AF4590">
        <v>12.986040697000901</v>
      </c>
      <c r="AG4590">
        <v>2.5418099999999999</v>
      </c>
      <c r="AH4590">
        <v>57.430099791687901</v>
      </c>
      <c r="AI4590">
        <v>87.528114218833906</v>
      </c>
      <c r="AJ4590">
        <v>77.258602784635897</v>
      </c>
      <c r="AK4590">
        <v>58.934831917495899</v>
      </c>
      <c r="AL4590">
        <v>89.048591909349099</v>
      </c>
      <c r="AM4590">
        <v>86.835636361930497</v>
      </c>
      <c r="AN4590">
        <v>0.99999996250208301</v>
      </c>
    </row>
    <row r="4591" spans="1:40" x14ac:dyDescent="0.25">
      <c r="A4591" t="str">
        <f>"20190312160735184"</f>
        <v>20190312160735184</v>
      </c>
      <c r="B4591" t="str">
        <f>"1552378055179682"</f>
        <v>1552378055179682</v>
      </c>
      <c r="C4591" t="s">
        <v>40</v>
      </c>
      <c r="D4591">
        <v>6.401599</v>
      </c>
      <c r="E4591">
        <v>0.56510469999999902</v>
      </c>
      <c r="F4591" t="s">
        <v>58</v>
      </c>
      <c r="G4591">
        <v>-215.46199999999999</v>
      </c>
      <c r="H4591">
        <v>3.6173280000000001</v>
      </c>
      <c r="I4591">
        <v>113.2439</v>
      </c>
      <c r="J4591">
        <v>-191.7321</v>
      </c>
      <c r="K4591">
        <v>1.107826</v>
      </c>
      <c r="L4591">
        <v>167.14750000000001</v>
      </c>
      <c r="M4591">
        <v>-0.19040969999999999</v>
      </c>
      <c r="N4591">
        <v>0</v>
      </c>
      <c r="O4591">
        <v>-0.98167959999999999</v>
      </c>
      <c r="P4591">
        <v>-0.24523739999999999</v>
      </c>
      <c r="Q4591">
        <v>9.2066060000000009E-3</v>
      </c>
      <c r="R4591">
        <v>-0.96941940000000004</v>
      </c>
      <c r="S4591">
        <v>-1.224335</v>
      </c>
      <c r="T4591">
        <v>0.12933310000000001</v>
      </c>
      <c r="U4591">
        <v>-2.784729</v>
      </c>
      <c r="V4591">
        <v>5.6206890000000002E-2</v>
      </c>
      <c r="W4591">
        <v>1.60695E-2</v>
      </c>
      <c r="X4591">
        <v>0.9982898</v>
      </c>
      <c r="Y4591">
        <v>0.22043309999999999</v>
      </c>
      <c r="Z4591">
        <v>-4.2604110000000001E-2</v>
      </c>
      <c r="AA4591">
        <v>0.97447119999999998</v>
      </c>
      <c r="AB4591">
        <v>23</v>
      </c>
      <c r="AC4591">
        <v>-23.729900000000001</v>
      </c>
      <c r="AD4591">
        <v>2.5095019999999999</v>
      </c>
      <c r="AE4591">
        <v>-53.903599999999997</v>
      </c>
      <c r="AF4591">
        <v>13.008094918294701</v>
      </c>
      <c r="AG4591">
        <v>2.5095019999999999</v>
      </c>
      <c r="AH4591">
        <v>57.331795113353003</v>
      </c>
      <c r="AI4591">
        <v>87.555721937168101</v>
      </c>
      <c r="AJ4591">
        <v>77.216507503987202</v>
      </c>
      <c r="AK4591">
        <v>58.842525987680503</v>
      </c>
      <c r="AL4591">
        <v>89.079245825981502</v>
      </c>
      <c r="AM4591">
        <v>86.7774677503633</v>
      </c>
      <c r="AN4591">
        <v>0.99999998404888002</v>
      </c>
    </row>
    <row r="4592" spans="1:40" x14ac:dyDescent="0.25">
      <c r="A4592" t="str">
        <f>"20190312160735198"</f>
        <v>20190312160735198</v>
      </c>
      <c r="B4592" t="str">
        <f>"1552378055190418"</f>
        <v>1552378055190418</v>
      </c>
      <c r="C4592" t="s">
        <v>40</v>
      </c>
      <c r="D4592">
        <v>6.1165190000000003</v>
      </c>
      <c r="E4592">
        <v>0.56527799999999995</v>
      </c>
      <c r="F4592" t="s">
        <v>58</v>
      </c>
      <c r="G4592">
        <v>-215.82259999999999</v>
      </c>
      <c r="H4592">
        <v>3.507082</v>
      </c>
      <c r="I4592">
        <v>112.9751</v>
      </c>
      <c r="J4592">
        <v>-191.75989999999999</v>
      </c>
      <c r="K4592">
        <v>1.107788</v>
      </c>
      <c r="L4592">
        <v>167.01070000000001</v>
      </c>
      <c r="M4592">
        <v>-0.19158310000000001</v>
      </c>
      <c r="N4592">
        <v>0</v>
      </c>
      <c r="O4592">
        <v>-0.98145130000000003</v>
      </c>
      <c r="P4592">
        <v>-0.24700720000000001</v>
      </c>
      <c r="Q4592">
        <v>8.8571269999999994E-3</v>
      </c>
      <c r="R4592">
        <v>-0.96897330000000004</v>
      </c>
      <c r="S4592">
        <v>-1.2365569999999999</v>
      </c>
      <c r="T4592">
        <v>0.12315379999999999</v>
      </c>
      <c r="U4592">
        <v>-2.78064</v>
      </c>
      <c r="V4592">
        <v>5.6836329999999997E-2</v>
      </c>
      <c r="W4592">
        <v>1.572527E-2</v>
      </c>
      <c r="X4592">
        <v>0.99825969999999997</v>
      </c>
      <c r="Y4592">
        <v>0.223411</v>
      </c>
      <c r="Z4592">
        <v>-4.0563910000000002E-2</v>
      </c>
      <c r="AA4592">
        <v>0.97387990000000002</v>
      </c>
      <c r="AB4592">
        <v>23</v>
      </c>
      <c r="AC4592">
        <v>-24.0627</v>
      </c>
      <c r="AD4592">
        <v>2.3992939999999998</v>
      </c>
      <c r="AE4592">
        <v>-54.035600000000002</v>
      </c>
      <c r="AF4592">
        <v>13.2425993400905</v>
      </c>
      <c r="AG4592">
        <v>2.3992939999999998</v>
      </c>
      <c r="AH4592">
        <v>57.5500502999001</v>
      </c>
      <c r="AI4592">
        <v>87.673419949895504</v>
      </c>
      <c r="AJ4592">
        <v>77.041479257428307</v>
      </c>
      <c r="AK4592">
        <v>59.102718537319703</v>
      </c>
      <c r="AL4592">
        <v>89.098971296248706</v>
      </c>
      <c r="AM4592">
        <v>86.741359109233699</v>
      </c>
      <c r="AN4592">
        <v>1.00000004058426</v>
      </c>
    </row>
    <row r="4593" spans="1:40" x14ac:dyDescent="0.25">
      <c r="A4593" t="str">
        <f>"20190312160735211"</f>
        <v>20190312160735211</v>
      </c>
      <c r="B4593" t="str">
        <f>"1552378055200178"</f>
        <v>1552378055200178</v>
      </c>
      <c r="C4593" t="s">
        <v>40</v>
      </c>
      <c r="D4593">
        <v>6.1114480000000002</v>
      </c>
      <c r="E4593">
        <v>0.56542479999999995</v>
      </c>
      <c r="F4593" t="s">
        <v>58</v>
      </c>
      <c r="G4593">
        <v>-215.93610000000001</v>
      </c>
      <c r="H4593">
        <v>3.4865729999999999</v>
      </c>
      <c r="I4593">
        <v>112.9751</v>
      </c>
      <c r="J4593">
        <v>-191.7901</v>
      </c>
      <c r="K4593">
        <v>1.1077509999999999</v>
      </c>
      <c r="L4593">
        <v>166.86320000000001</v>
      </c>
      <c r="M4593">
        <v>-0.19288469999999999</v>
      </c>
      <c r="N4593">
        <v>0</v>
      </c>
      <c r="O4593">
        <v>-0.98119619999999996</v>
      </c>
      <c r="P4593">
        <v>-0.2498244</v>
      </c>
      <c r="Q4593">
        <v>8.5270139999999994E-3</v>
      </c>
      <c r="R4593">
        <v>-0.96825410000000001</v>
      </c>
      <c r="S4593">
        <v>-1.242966</v>
      </c>
      <c r="T4593">
        <v>0.1223006</v>
      </c>
      <c r="U4593">
        <v>-2.7781069999999999</v>
      </c>
      <c r="V4593">
        <v>5.8415849999999998E-2</v>
      </c>
      <c r="W4593">
        <v>1.54001E-2</v>
      </c>
      <c r="X4593">
        <v>0.99817350000000005</v>
      </c>
      <c r="Y4593">
        <v>0.22432589999999999</v>
      </c>
      <c r="Z4593">
        <v>-4.0278769999999998E-2</v>
      </c>
      <c r="AA4593">
        <v>0.97368140000000003</v>
      </c>
      <c r="AB4593">
        <v>23</v>
      </c>
      <c r="AC4593">
        <v>-24.146000000000001</v>
      </c>
      <c r="AD4593">
        <v>2.378822</v>
      </c>
      <c r="AE4593">
        <v>-53.888100000000001</v>
      </c>
      <c r="AF4593">
        <v>13.2765568301934</v>
      </c>
      <c r="AG4593">
        <v>2.378822</v>
      </c>
      <c r="AH4593">
        <v>57.440400230967697</v>
      </c>
      <c r="AI4593">
        <v>87.689372173447197</v>
      </c>
      <c r="AJ4593">
        <v>76.985421185817302</v>
      </c>
      <c r="AK4593">
        <v>59.002757003946897</v>
      </c>
      <c r="AL4593">
        <v>89.117604345570101</v>
      </c>
      <c r="AM4593">
        <v>86.650714073157602</v>
      </c>
      <c r="AN4593">
        <v>0.99999995535674002</v>
      </c>
    </row>
    <row r="4594" spans="1:40" x14ac:dyDescent="0.25">
      <c r="A4594" t="str">
        <f>"20190312160735236"</f>
        <v>20190312160735236</v>
      </c>
      <c r="B4594" t="str">
        <f>"1552378055229458"</f>
        <v>1552378055229458</v>
      </c>
      <c r="C4594" t="s">
        <v>40</v>
      </c>
      <c r="D4594">
        <v>5.8722479999999999</v>
      </c>
      <c r="E4594">
        <v>0.56609860000000001</v>
      </c>
      <c r="F4594" t="s">
        <v>58</v>
      </c>
      <c r="G4594">
        <v>-216.11850000000001</v>
      </c>
      <c r="H4594">
        <v>3.4469609999999999</v>
      </c>
      <c r="I4594">
        <v>112.9751</v>
      </c>
      <c r="J4594">
        <v>-191.84059999999999</v>
      </c>
      <c r="K4594">
        <v>1.1076809999999999</v>
      </c>
      <c r="L4594">
        <v>166.61920000000001</v>
      </c>
      <c r="M4594">
        <v>-0.19511970000000001</v>
      </c>
      <c r="N4594">
        <v>0</v>
      </c>
      <c r="O4594">
        <v>-0.98075380000000001</v>
      </c>
      <c r="P4594">
        <v>-0.25325049999999999</v>
      </c>
      <c r="Q4594">
        <v>9.1515009999999994E-3</v>
      </c>
      <c r="R4594">
        <v>-0.96735780000000005</v>
      </c>
      <c r="S4594">
        <v>-1.252426</v>
      </c>
      <c r="T4594">
        <v>0.12042360000000001</v>
      </c>
      <c r="U4594">
        <v>-2.7741549999999999</v>
      </c>
      <c r="V4594">
        <v>5.9681280000000003E-2</v>
      </c>
      <c r="W4594">
        <v>1.6039459999999998E-2</v>
      </c>
      <c r="X4594">
        <v>0.99808859999999999</v>
      </c>
      <c r="Y4594">
        <v>0.2253947</v>
      </c>
      <c r="Z4594">
        <v>-3.9654830000000002E-2</v>
      </c>
      <c r="AA4594">
        <v>0.9734602</v>
      </c>
      <c r="AB4594">
        <v>23</v>
      </c>
      <c r="AC4594">
        <v>-24.277899999999999</v>
      </c>
      <c r="AD4594">
        <v>2.33928</v>
      </c>
      <c r="AE4594">
        <v>-53.644100000000002</v>
      </c>
      <c r="AF4594">
        <v>13.322929541569099</v>
      </c>
      <c r="AG4594">
        <v>2.33928</v>
      </c>
      <c r="AH4594">
        <v>57.259818689214697</v>
      </c>
      <c r="AI4594">
        <v>87.721352455369995</v>
      </c>
      <c r="AJ4594">
        <v>76.901753863149906</v>
      </c>
      <c r="AK4594">
        <v>58.835869321441699</v>
      </c>
      <c r="AL4594">
        <v>89.080967215291807</v>
      </c>
      <c r="AM4594">
        <v>86.578040554731004</v>
      </c>
      <c r="AN4594">
        <v>0.99999998645474397</v>
      </c>
    </row>
    <row r="4595" spans="1:40" x14ac:dyDescent="0.25">
      <c r="A4595" t="str">
        <f>"20190312160735248"</f>
        <v>20190312160735248</v>
      </c>
      <c r="B4595" t="str">
        <f>"1552378055240193"</f>
        <v>1552378055240193</v>
      </c>
      <c r="C4595" t="s">
        <v>40</v>
      </c>
      <c r="D4595">
        <v>6.42685</v>
      </c>
      <c r="E4595">
        <v>0.56613930000000001</v>
      </c>
      <c r="F4595" t="s">
        <v>58</v>
      </c>
      <c r="G4595">
        <v>-216.40119999999999</v>
      </c>
      <c r="H4595">
        <v>3.4921449999999998</v>
      </c>
      <c r="I4595">
        <v>112.9751</v>
      </c>
      <c r="J4595">
        <v>-191.8683</v>
      </c>
      <c r="K4595">
        <v>1.1076349999999999</v>
      </c>
      <c r="L4595">
        <v>166.48699999999999</v>
      </c>
      <c r="M4595">
        <v>-0.1963744</v>
      </c>
      <c r="N4595">
        <v>0</v>
      </c>
      <c r="O4595">
        <v>-0.98050329999999997</v>
      </c>
      <c r="P4595">
        <v>-0.25520130000000002</v>
      </c>
      <c r="Q4595">
        <v>9.2330229999999999E-3</v>
      </c>
      <c r="R4595">
        <v>-0.96684400000000004</v>
      </c>
      <c r="S4595">
        <v>-1.2674259999999999</v>
      </c>
      <c r="T4595">
        <v>0.12304900000000001</v>
      </c>
      <c r="U4595">
        <v>-2.7682500000000001</v>
      </c>
      <c r="V4595">
        <v>6.0419609999999999E-2</v>
      </c>
      <c r="W4595">
        <v>1.6129569999999999E-2</v>
      </c>
      <c r="X4595">
        <v>0.99804280000000001</v>
      </c>
      <c r="Y4595">
        <v>0.2292797</v>
      </c>
      <c r="Z4595">
        <v>-4.0518690000000003E-2</v>
      </c>
      <c r="AA4595">
        <v>0.97251690000000002</v>
      </c>
      <c r="AB4595">
        <v>23</v>
      </c>
      <c r="AC4595">
        <v>-24.532899999999898</v>
      </c>
      <c r="AD4595">
        <v>2.3845100000000001</v>
      </c>
      <c r="AE4595">
        <v>-53.511899999999997</v>
      </c>
      <c r="AF4595">
        <v>13.5243730238089</v>
      </c>
      <c r="AG4595">
        <v>2.3845100000000001</v>
      </c>
      <c r="AH4595">
        <v>57.193829291118703</v>
      </c>
      <c r="AI4595">
        <v>87.676622446379099</v>
      </c>
      <c r="AJ4595">
        <v>76.695896953393103</v>
      </c>
      <c r="AK4595">
        <v>58.819458197171997</v>
      </c>
      <c r="AL4595">
        <v>89.075803693875997</v>
      </c>
      <c r="AM4595">
        <v>86.535650639047205</v>
      </c>
      <c r="AN4595">
        <v>1.00000006146638</v>
      </c>
    </row>
    <row r="4596" spans="1:40" x14ac:dyDescent="0.25">
      <c r="A4596" t="str">
        <f>"20190312160735261"</f>
        <v>20190312160735261</v>
      </c>
      <c r="B4596" t="str">
        <f>"1552378055249954"</f>
        <v>1552378055249954</v>
      </c>
      <c r="C4596" t="s">
        <v>40</v>
      </c>
      <c r="D4596">
        <v>6.27311</v>
      </c>
      <c r="E4596">
        <v>0.56624339999999995</v>
      </c>
      <c r="F4596" t="s">
        <v>58</v>
      </c>
      <c r="G4596">
        <v>-216.50309999999999</v>
      </c>
      <c r="H4596">
        <v>3.5263939999999998</v>
      </c>
      <c r="I4596">
        <v>112.9751</v>
      </c>
      <c r="J4596">
        <v>-191.89500000000001</v>
      </c>
      <c r="K4596">
        <v>1.1075999999999999</v>
      </c>
      <c r="L4596">
        <v>166.36080000000001</v>
      </c>
      <c r="M4596">
        <v>-0.19759280000000001</v>
      </c>
      <c r="N4596">
        <v>0</v>
      </c>
      <c r="O4596">
        <v>-0.98025819999999997</v>
      </c>
      <c r="P4596">
        <v>-0.25712950000000001</v>
      </c>
      <c r="Q4596">
        <v>9.3070210000000004E-3</v>
      </c>
      <c r="R4596">
        <v>-0.96633239999999998</v>
      </c>
      <c r="S4596">
        <v>-1.2731779999999999</v>
      </c>
      <c r="T4596">
        <v>0.12500790000000001</v>
      </c>
      <c r="U4596">
        <v>-2.7656100000000001</v>
      </c>
      <c r="V4596">
        <v>6.1172079999999997E-2</v>
      </c>
      <c r="W4596">
        <v>1.6211099999999999E-2</v>
      </c>
      <c r="X4596">
        <v>0.99799559999999998</v>
      </c>
      <c r="Y4596">
        <v>0.23008049999999999</v>
      </c>
      <c r="Z4596">
        <v>-4.116181E-2</v>
      </c>
      <c r="AA4596">
        <v>0.97230070000000002</v>
      </c>
      <c r="AB4596">
        <v>23</v>
      </c>
      <c r="AC4596">
        <v>-24.608099999999901</v>
      </c>
      <c r="AD4596">
        <v>2.4187939999999899</v>
      </c>
      <c r="AE4596">
        <v>-53.3857</v>
      </c>
      <c r="AF4596">
        <v>13.5510647236606</v>
      </c>
      <c r="AG4596">
        <v>2.4187939999999899</v>
      </c>
      <c r="AH4596">
        <v>57.098937953883897</v>
      </c>
      <c r="AI4596">
        <v>87.639797661620605</v>
      </c>
      <c r="AJ4596">
        <v>76.649217009697594</v>
      </c>
      <c r="AK4596">
        <v>58.734748105535999</v>
      </c>
      <c r="AL4596">
        <v>89.071131720240103</v>
      </c>
      <c r="AM4596">
        <v>86.492446971358902</v>
      </c>
      <c r="AN4596">
        <v>1.0000000203770401</v>
      </c>
    </row>
    <row r="4597" spans="1:40" x14ac:dyDescent="0.25">
      <c r="A4597" t="str">
        <f>"20190312160735277"</f>
        <v>20190312160735277</v>
      </c>
      <c r="B4597" t="str">
        <f>"1552378055269474"</f>
        <v>1552378055269474</v>
      </c>
      <c r="C4597" t="s">
        <v>40</v>
      </c>
      <c r="D4597">
        <v>5.8424820000000004</v>
      </c>
      <c r="E4597">
        <v>0.56621790000000005</v>
      </c>
      <c r="F4597" t="s">
        <v>58</v>
      </c>
      <c r="G4597">
        <v>-216.61330000000001</v>
      </c>
      <c r="H4597">
        <v>3.5742020000000001</v>
      </c>
      <c r="I4597">
        <v>112.9751</v>
      </c>
      <c r="J4597">
        <v>-191.92769999999999</v>
      </c>
      <c r="K4597">
        <v>1.107559</v>
      </c>
      <c r="L4597">
        <v>166.20660000000001</v>
      </c>
      <c r="M4597">
        <v>-0.19910710000000001</v>
      </c>
      <c r="N4597">
        <v>0</v>
      </c>
      <c r="O4597">
        <v>-0.97995169999999998</v>
      </c>
      <c r="P4597">
        <v>-0.25917639999999997</v>
      </c>
      <c r="Q4597">
        <v>9.3073329999999992E-3</v>
      </c>
      <c r="R4597">
        <v>-0.96578529999999996</v>
      </c>
      <c r="S4597">
        <v>-1.279266</v>
      </c>
      <c r="T4597">
        <v>0.1276571</v>
      </c>
      <c r="U4597">
        <v>-2.7629090000000001</v>
      </c>
      <c r="V4597">
        <v>6.1746460000000003E-2</v>
      </c>
      <c r="W4597">
        <v>1.6223499999999998E-2</v>
      </c>
      <c r="X4597">
        <v>0.99795999999999996</v>
      </c>
      <c r="Y4597">
        <v>0.23068830000000001</v>
      </c>
      <c r="Z4597">
        <v>-4.2028490000000002E-2</v>
      </c>
      <c r="AA4597">
        <v>0.97211959999999997</v>
      </c>
      <c r="AB4597">
        <v>23</v>
      </c>
      <c r="AC4597">
        <v>-24.685600000000001</v>
      </c>
      <c r="AD4597">
        <v>2.4666429999999901</v>
      </c>
      <c r="AE4597">
        <v>-53.231499999999997</v>
      </c>
      <c r="AF4597">
        <v>13.5682953610263</v>
      </c>
      <c r="AG4597">
        <v>2.4666429999999901</v>
      </c>
      <c r="AH4597">
        <v>56.980139746919399</v>
      </c>
      <c r="AI4597">
        <v>87.5885820778756</v>
      </c>
      <c r="AJ4597">
        <v>76.605984062156395</v>
      </c>
      <c r="AK4597">
        <v>58.625244496479198</v>
      </c>
      <c r="AL4597">
        <v>89.070421135028297</v>
      </c>
      <c r="AM4597">
        <v>86.4594699365922</v>
      </c>
      <c r="AN4597">
        <v>0.99999999443738996</v>
      </c>
    </row>
    <row r="4598" spans="1:40" x14ac:dyDescent="0.25">
      <c r="A4598" t="str">
        <f>"20190312160735291"</f>
        <v>20190312160735291</v>
      </c>
      <c r="B4598" t="str">
        <f>"1552378055280209"</f>
        <v>1552378055280209</v>
      </c>
      <c r="C4598" t="s">
        <v>40</v>
      </c>
      <c r="D4598">
        <v>6.3431069999999998</v>
      </c>
      <c r="E4598">
        <v>0.56625439999999905</v>
      </c>
      <c r="F4598" t="s">
        <v>58</v>
      </c>
      <c r="G4598">
        <v>-216.70760000000001</v>
      </c>
      <c r="H4598">
        <v>3.639303</v>
      </c>
      <c r="I4598">
        <v>112.9751</v>
      </c>
      <c r="J4598">
        <v>-191.96180000000001</v>
      </c>
      <c r="K4598">
        <v>1.1075189999999999</v>
      </c>
      <c r="L4598">
        <v>166.04769999999999</v>
      </c>
      <c r="M4598">
        <v>-0.20070879999999999</v>
      </c>
      <c r="N4598">
        <v>0</v>
      </c>
      <c r="O4598">
        <v>-0.97962490000000002</v>
      </c>
      <c r="P4598">
        <v>-0.26239390000000001</v>
      </c>
      <c r="Q4598">
        <v>8.7151269999999996E-3</v>
      </c>
      <c r="R4598">
        <v>-0.96492149999999999</v>
      </c>
      <c r="S4598">
        <v>-1.2849269999999999</v>
      </c>
      <c r="T4598">
        <v>0.13128110000000001</v>
      </c>
      <c r="U4598">
        <v>-2.7602389999999999</v>
      </c>
      <c r="V4598">
        <v>6.343965E-2</v>
      </c>
      <c r="W4598">
        <v>1.5639920000000002E-2</v>
      </c>
      <c r="X4598">
        <v>0.9978631</v>
      </c>
      <c r="Y4598">
        <v>0.23107440000000001</v>
      </c>
      <c r="Z4598">
        <v>-4.3215820000000002E-2</v>
      </c>
      <c r="AA4598">
        <v>0.97197579999999995</v>
      </c>
      <c r="AB4598">
        <v>23</v>
      </c>
      <c r="AC4598">
        <v>-24.745799999999999</v>
      </c>
      <c r="AD4598">
        <v>2.531784</v>
      </c>
      <c r="AE4598">
        <v>-53.072600000000001</v>
      </c>
      <c r="AF4598">
        <v>13.564454737133699</v>
      </c>
      <c r="AG4598">
        <v>2.531784</v>
      </c>
      <c r="AH4598">
        <v>56.853118230095397</v>
      </c>
      <c r="AI4598">
        <v>87.519714384566001</v>
      </c>
      <c r="AJ4598">
        <v>76.580802935565799</v>
      </c>
      <c r="AK4598">
        <v>58.503687191694297</v>
      </c>
      <c r="AL4598">
        <v>89.103862039183397</v>
      </c>
      <c r="AM4598">
        <v>86.362287663560707</v>
      </c>
      <c r="AN4598">
        <v>0.99999998131566903</v>
      </c>
    </row>
    <row r="4599" spans="1:40" x14ac:dyDescent="0.25">
      <c r="A4599" t="str">
        <f>"20190312160735315"</f>
        <v>20190312160735315</v>
      </c>
      <c r="B4599" t="str">
        <f>"1552378055309489"</f>
        <v>1552378055309489</v>
      </c>
      <c r="C4599" t="s">
        <v>40</v>
      </c>
      <c r="D4599">
        <v>6.2911270000000004</v>
      </c>
      <c r="E4599">
        <v>0.56721319999999997</v>
      </c>
      <c r="F4599" t="s">
        <v>58</v>
      </c>
      <c r="G4599">
        <v>-216.8877</v>
      </c>
      <c r="H4599">
        <v>3.6450019999999999</v>
      </c>
      <c r="I4599">
        <v>112.9751</v>
      </c>
      <c r="J4599">
        <v>-192.01339999999999</v>
      </c>
      <c r="K4599">
        <v>1.1074660000000001</v>
      </c>
      <c r="L4599">
        <v>165.80930000000001</v>
      </c>
      <c r="M4599">
        <v>-0.2031763</v>
      </c>
      <c r="N4599">
        <v>0</v>
      </c>
      <c r="O4599">
        <v>-0.97911550000000003</v>
      </c>
      <c r="P4599">
        <v>-0.26582220000000001</v>
      </c>
      <c r="Q4599">
        <v>8.4761190000000007E-3</v>
      </c>
      <c r="R4599">
        <v>-0.96398490000000003</v>
      </c>
      <c r="S4599">
        <v>-1.2943420000000001</v>
      </c>
      <c r="T4599">
        <v>0.1317661</v>
      </c>
      <c r="U4599">
        <v>-2.7559200000000001</v>
      </c>
      <c r="V4599">
        <v>6.4473530000000001E-2</v>
      </c>
      <c r="W4599">
        <v>1.54249E-2</v>
      </c>
      <c r="X4599">
        <v>0.99780020000000003</v>
      </c>
      <c r="Y4599">
        <v>0.23192660000000001</v>
      </c>
      <c r="Z4599">
        <v>-4.3368509999999999E-2</v>
      </c>
      <c r="AA4599">
        <v>0.97176609999999997</v>
      </c>
      <c r="AB4599">
        <v>23</v>
      </c>
      <c r="AC4599">
        <v>-24.874300000000002</v>
      </c>
      <c r="AD4599">
        <v>2.5375359999999998</v>
      </c>
      <c r="AE4599">
        <v>-52.834200000000003</v>
      </c>
      <c r="AF4599">
        <v>13.594841406413099</v>
      </c>
      <c r="AG4599">
        <v>2.5375359999999998</v>
      </c>
      <c r="AH4599">
        <v>56.679114164763497</v>
      </c>
      <c r="AI4599">
        <v>87.507179096153493</v>
      </c>
      <c r="AJ4599">
        <v>76.512053112519993</v>
      </c>
      <c r="AK4599">
        <v>58.341929898822499</v>
      </c>
      <c r="AL4599">
        <v>89.116183282042897</v>
      </c>
      <c r="AM4599">
        <v>86.3029343243943</v>
      </c>
      <c r="AN4599">
        <v>1.0000000013653501</v>
      </c>
    </row>
    <row r="4600" spans="1:40" x14ac:dyDescent="0.25">
      <c r="A4600" t="str">
        <f>"20190312160735329"</f>
        <v>20190312160735329</v>
      </c>
      <c r="B4600" t="str">
        <f>"1552378055320226"</f>
        <v>1552378055320226</v>
      </c>
      <c r="C4600" t="s">
        <v>40</v>
      </c>
      <c r="D4600">
        <v>6.1884110000000003</v>
      </c>
      <c r="E4600">
        <v>0.56748019999999999</v>
      </c>
      <c r="F4600" t="s">
        <v>58</v>
      </c>
      <c r="G4600">
        <v>-217.22020000000001</v>
      </c>
      <c r="H4600">
        <v>3.5930629999999999</v>
      </c>
      <c r="I4600">
        <v>112.9751</v>
      </c>
      <c r="J4600">
        <v>-192.04589999999999</v>
      </c>
      <c r="K4600">
        <v>1.1074349999999999</v>
      </c>
      <c r="L4600">
        <v>165.66120000000001</v>
      </c>
      <c r="M4600">
        <v>-0.20475760000000001</v>
      </c>
      <c r="N4600">
        <v>0</v>
      </c>
      <c r="O4600">
        <v>-0.97878620000000005</v>
      </c>
      <c r="P4600">
        <v>-0.26753300000000002</v>
      </c>
      <c r="Q4600">
        <v>8.4234610000000001E-3</v>
      </c>
      <c r="R4600">
        <v>-0.96351200000000004</v>
      </c>
      <c r="S4600">
        <v>-1.3116460000000001</v>
      </c>
      <c r="T4600">
        <v>0.12934039999999999</v>
      </c>
      <c r="U4600">
        <v>-2.7492519999999998</v>
      </c>
      <c r="V4600">
        <v>6.4634159999999996E-2</v>
      </c>
      <c r="W4600">
        <v>1.539247E-2</v>
      </c>
      <c r="X4600">
        <v>0.99779030000000002</v>
      </c>
      <c r="Y4600">
        <v>0.23626910000000001</v>
      </c>
      <c r="Z4600">
        <v>-4.256596E-2</v>
      </c>
      <c r="AA4600">
        <v>0.97075489999999998</v>
      </c>
      <c r="AB4600">
        <v>24</v>
      </c>
      <c r="AC4600">
        <v>-25.174299999999999</v>
      </c>
      <c r="AD4600">
        <v>2.48562799999999</v>
      </c>
      <c r="AE4600">
        <v>-52.686100000000003</v>
      </c>
      <c r="AF4600">
        <v>13.8276809396583</v>
      </c>
      <c r="AG4600">
        <v>2.48562799999999</v>
      </c>
      <c r="AH4600">
        <v>56.621926548491999</v>
      </c>
      <c r="AI4600">
        <v>87.558076157336401</v>
      </c>
      <c r="AJ4600">
        <v>76.276369225558398</v>
      </c>
      <c r="AK4600">
        <v>58.338886454801298</v>
      </c>
      <c r="AL4600">
        <v>89.118041597212795</v>
      </c>
      <c r="AM4600">
        <v>86.293712388173105</v>
      </c>
      <c r="AN4600">
        <v>0.99999999277284801</v>
      </c>
    </row>
    <row r="4601" spans="1:40" x14ac:dyDescent="0.25">
      <c r="A4601" t="str">
        <f>"20190312160735340"</f>
        <v>20190312160735340</v>
      </c>
      <c r="B4601" t="str">
        <f>"1552378055329987"</f>
        <v>1552378055329987</v>
      </c>
      <c r="C4601" t="s">
        <v>40</v>
      </c>
      <c r="D4601">
        <v>5.8102989999999997</v>
      </c>
      <c r="E4601">
        <v>0.56754199999999999</v>
      </c>
      <c r="F4601" t="s">
        <v>58</v>
      </c>
      <c r="G4601">
        <v>-217.3451</v>
      </c>
      <c r="H4601">
        <v>3.568743</v>
      </c>
      <c r="I4601">
        <v>112.9751</v>
      </c>
      <c r="J4601">
        <v>-192.0737</v>
      </c>
      <c r="K4601">
        <v>1.10741</v>
      </c>
      <c r="L4601">
        <v>165.53569999999999</v>
      </c>
      <c r="M4601">
        <v>-0.20611309999999999</v>
      </c>
      <c r="N4601">
        <v>0</v>
      </c>
      <c r="O4601">
        <v>-0.97850130000000002</v>
      </c>
      <c r="P4601">
        <v>-0.26932859999999997</v>
      </c>
      <c r="Q4601">
        <v>8.7669059999999997E-3</v>
      </c>
      <c r="R4601">
        <v>-0.9630088</v>
      </c>
      <c r="S4601">
        <v>-1.3187409999999999</v>
      </c>
      <c r="T4601">
        <v>0.1282991</v>
      </c>
      <c r="U4601">
        <v>-2.7463069999999998</v>
      </c>
      <c r="V4601">
        <v>6.5115259999999994E-2</v>
      </c>
      <c r="W4601">
        <v>1.575292E-2</v>
      </c>
      <c r="X4601">
        <v>0.99775340000000001</v>
      </c>
      <c r="Y4601">
        <v>0.23737420000000001</v>
      </c>
      <c r="Z4601">
        <v>-4.2218110000000003E-2</v>
      </c>
      <c r="AA4601">
        <v>0.97050049999999999</v>
      </c>
      <c r="AB4601">
        <v>24</v>
      </c>
      <c r="AC4601">
        <v>-25.2714</v>
      </c>
      <c r="AD4601">
        <v>2.4613330000000002</v>
      </c>
      <c r="AE4601">
        <v>-52.560600000000001</v>
      </c>
      <c r="AF4601">
        <v>13.8703298052021</v>
      </c>
      <c r="AG4601">
        <v>2.4613330000000002</v>
      </c>
      <c r="AH4601">
        <v>56.540164979755403</v>
      </c>
      <c r="AI4601">
        <v>87.579041421324405</v>
      </c>
      <c r="AJ4601">
        <v>76.216503061590601</v>
      </c>
      <c r="AK4601">
        <v>58.268640493664599</v>
      </c>
      <c r="AL4601">
        <v>89.0973868345678</v>
      </c>
      <c r="AM4601">
        <v>86.266064941628201</v>
      </c>
      <c r="AN4601">
        <v>0.99999999939247697</v>
      </c>
    </row>
    <row r="4602" spans="1:40" x14ac:dyDescent="0.25">
      <c r="A4602" t="str">
        <f>"20190312160735352"</f>
        <v>20190312160735352</v>
      </c>
      <c r="B4602" t="str">
        <f>"1552378055339746"</f>
        <v>1552378055339746</v>
      </c>
      <c r="C4602" t="s">
        <v>40</v>
      </c>
      <c r="D4602">
        <v>6.3064200000000001</v>
      </c>
      <c r="E4602">
        <v>0.56761719999999904</v>
      </c>
      <c r="F4602" t="s">
        <v>58</v>
      </c>
      <c r="G4602">
        <v>-217.4434</v>
      </c>
      <c r="H4602">
        <v>3.6177090000000001</v>
      </c>
      <c r="I4602">
        <v>112.9751</v>
      </c>
      <c r="J4602">
        <v>-192.09989999999999</v>
      </c>
      <c r="K4602">
        <v>1.1073900000000001</v>
      </c>
      <c r="L4602">
        <v>165.41800000000001</v>
      </c>
      <c r="M4602">
        <v>-0.20739779999999999</v>
      </c>
      <c r="N4602">
        <v>0</v>
      </c>
      <c r="O4602">
        <v>-0.97822980000000004</v>
      </c>
      <c r="P4602">
        <v>-0.27074320000000002</v>
      </c>
      <c r="Q4602">
        <v>9.0756139999999992E-3</v>
      </c>
      <c r="R4602">
        <v>-0.96260919999999905</v>
      </c>
      <c r="S4602">
        <v>-1.324295</v>
      </c>
      <c r="T4602">
        <v>0.1310383</v>
      </c>
      <c r="U4602">
        <v>-2.743652</v>
      </c>
      <c r="V4602">
        <v>6.527405E-2</v>
      </c>
      <c r="W4602">
        <v>1.6079989999999999E-2</v>
      </c>
      <c r="X4602">
        <v>0.99773780000000001</v>
      </c>
      <c r="Y4602">
        <v>0.2380428</v>
      </c>
      <c r="Z4602">
        <v>-4.3115750000000001E-2</v>
      </c>
      <c r="AA4602">
        <v>0.97029719999999997</v>
      </c>
      <c r="AB4602">
        <v>24</v>
      </c>
      <c r="AC4602">
        <v>-25.343499999999999</v>
      </c>
      <c r="AD4602">
        <v>2.510319</v>
      </c>
      <c r="AE4602">
        <v>-52.442900000000002</v>
      </c>
      <c r="AF4602">
        <v>13.8897904684507</v>
      </c>
      <c r="AG4602">
        <v>2.510319</v>
      </c>
      <c r="AH4602">
        <v>56.454017572835802</v>
      </c>
      <c r="AI4602">
        <v>87.527566365193195</v>
      </c>
      <c r="AJ4602">
        <v>76.177648743505003</v>
      </c>
      <c r="AK4602">
        <v>58.1917870567083</v>
      </c>
      <c r="AL4602">
        <v>89.078644723470504</v>
      </c>
      <c r="AM4602">
        <v>86.256926868080697</v>
      </c>
      <c r="AN4602">
        <v>0.99999999261532102</v>
      </c>
    </row>
    <row r="4603" spans="1:40" x14ac:dyDescent="0.25">
      <c r="A4603" t="str">
        <f>"20190312160735369"</f>
        <v>20190312160735369</v>
      </c>
      <c r="B4603" t="str">
        <f>"1552378055360245"</f>
        <v>1552378055360245</v>
      </c>
      <c r="C4603" t="s">
        <v>40</v>
      </c>
      <c r="D4603">
        <v>6.2117620000000002</v>
      </c>
      <c r="E4603">
        <v>0.56776309999999997</v>
      </c>
      <c r="F4603" t="s">
        <v>58</v>
      </c>
      <c r="G4603">
        <v>-217.5204</v>
      </c>
      <c r="H4603">
        <v>3.6407669999999999</v>
      </c>
      <c r="I4603">
        <v>112.9751</v>
      </c>
      <c r="J4603">
        <v>-192.1397</v>
      </c>
      <c r="K4603">
        <v>1.1073569999999999</v>
      </c>
      <c r="L4603">
        <v>165.2405</v>
      </c>
      <c r="M4603">
        <v>-0.20937510000000001</v>
      </c>
      <c r="N4603">
        <v>0</v>
      </c>
      <c r="O4603">
        <v>-0.97780809999999996</v>
      </c>
      <c r="P4603">
        <v>-0.27320519999999998</v>
      </c>
      <c r="Q4603">
        <v>9.6863379999999992E-3</v>
      </c>
      <c r="R4603">
        <v>-0.96190719999999996</v>
      </c>
      <c r="S4603">
        <v>-1.3289029999999999</v>
      </c>
      <c r="T4603">
        <v>0.13243750000000001</v>
      </c>
      <c r="U4603">
        <v>-2.7415310000000002</v>
      </c>
      <c r="V4603">
        <v>6.5815079999999998E-2</v>
      </c>
      <c r="W4603">
        <v>1.6717909999999999E-2</v>
      </c>
      <c r="X4603">
        <v>0.99769180000000002</v>
      </c>
      <c r="Y4603">
        <v>0.2376858</v>
      </c>
      <c r="Z4603">
        <v>-4.3564289999999999E-2</v>
      </c>
      <c r="AA4603">
        <v>0.97036469999999997</v>
      </c>
      <c r="AB4603">
        <v>24</v>
      </c>
      <c r="AC4603">
        <v>-25.380699999999901</v>
      </c>
      <c r="AD4603">
        <v>2.5334099999999999</v>
      </c>
      <c r="AE4603">
        <v>-52.2654</v>
      </c>
      <c r="AF4603">
        <v>13.8484224569894</v>
      </c>
      <c r="AG4603">
        <v>2.5334099999999999</v>
      </c>
      <c r="AH4603">
        <v>56.314059938029501</v>
      </c>
      <c r="AI4603">
        <v>87.498587787553603</v>
      </c>
      <c r="AJ4603">
        <v>76.184300380818001</v>
      </c>
      <c r="AK4603">
        <v>58.047138753596897</v>
      </c>
      <c r="AL4603">
        <v>89.042089710031306</v>
      </c>
      <c r="AM4603">
        <v>86.225817850866207</v>
      </c>
      <c r="AN4603">
        <v>1.0000000205287001</v>
      </c>
    </row>
    <row r="4604" spans="1:40" x14ac:dyDescent="0.25">
      <c r="A4604" t="str">
        <f>"20190312160735382"</f>
        <v>20190312160735382</v>
      </c>
      <c r="B4604" t="str">
        <f>"1552378055370001"</f>
        <v>1552378055370001</v>
      </c>
      <c r="C4604" t="s">
        <v>40</v>
      </c>
      <c r="D4604">
        <v>6.2743180000000001</v>
      </c>
      <c r="E4604">
        <v>0.56784999999999997</v>
      </c>
      <c r="F4604" t="s">
        <v>58</v>
      </c>
      <c r="G4604">
        <v>-217.66370000000001</v>
      </c>
      <c r="H4604">
        <v>3.7140200000000001</v>
      </c>
      <c r="I4604">
        <v>112.9751</v>
      </c>
      <c r="J4604">
        <v>-192.1696</v>
      </c>
      <c r="K4604">
        <v>1.107329</v>
      </c>
      <c r="L4604">
        <v>165.1088</v>
      </c>
      <c r="M4604">
        <v>-0.21086969999999999</v>
      </c>
      <c r="N4604">
        <v>0</v>
      </c>
      <c r="O4604">
        <v>-0.97748650000000004</v>
      </c>
      <c r="P4604">
        <v>-0.27485100000000001</v>
      </c>
      <c r="Q4604">
        <v>1.0055120000000001E-2</v>
      </c>
      <c r="R4604">
        <v>-0.96143440000000002</v>
      </c>
      <c r="S4604">
        <v>-1.3369599999999999</v>
      </c>
      <c r="T4604">
        <v>0.13653950000000001</v>
      </c>
      <c r="U4604">
        <v>-2.7376860000000001</v>
      </c>
      <c r="V4604">
        <v>6.6001119999999996E-2</v>
      </c>
      <c r="W4604">
        <v>1.710743E-2</v>
      </c>
      <c r="X4604">
        <v>0.99767289999999997</v>
      </c>
      <c r="Y4604">
        <v>0.23901729999999999</v>
      </c>
      <c r="Z4604">
        <v>-4.4910329999999998E-2</v>
      </c>
      <c r="AA4604">
        <v>0.96997619999999896</v>
      </c>
      <c r="AB4604">
        <v>24</v>
      </c>
      <c r="AC4604">
        <v>-25.4941</v>
      </c>
      <c r="AD4604">
        <v>2.6066910000000001</v>
      </c>
      <c r="AE4604">
        <v>-52.133699999999997</v>
      </c>
      <c r="AF4604">
        <v>13.8990557258191</v>
      </c>
      <c r="AG4604">
        <v>2.6066910000000001</v>
      </c>
      <c r="AH4604">
        <v>56.224010892510698</v>
      </c>
      <c r="AI4604">
        <v>87.422986209117994</v>
      </c>
      <c r="AJ4604">
        <v>76.114385751224205</v>
      </c>
      <c r="AK4604">
        <v>57.975149752976598</v>
      </c>
      <c r="AL4604">
        <v>89.0197686590502</v>
      </c>
      <c r="AM4604">
        <v>86.215108814052201</v>
      </c>
      <c r="AN4604">
        <v>1.0000000136984299</v>
      </c>
    </row>
    <row r="4605" spans="1:40" x14ac:dyDescent="0.25">
      <c r="A4605" t="str">
        <f>"20190312160735395"</f>
        <v>20190312160735395</v>
      </c>
      <c r="B4605" t="str">
        <f>"1552378055389522"</f>
        <v>1552378055389522</v>
      </c>
      <c r="C4605" t="s">
        <v>40</v>
      </c>
      <c r="D4605">
        <v>6.0809389999999999</v>
      </c>
      <c r="E4605">
        <v>0.56803630000000005</v>
      </c>
      <c r="F4605" t="s">
        <v>58</v>
      </c>
      <c r="G4605">
        <v>-217.7518</v>
      </c>
      <c r="H4605">
        <v>3.736002</v>
      </c>
      <c r="I4605">
        <v>112.98480000000001</v>
      </c>
      <c r="J4605">
        <v>-192.20060000000001</v>
      </c>
      <c r="K4605">
        <v>1.1072979999999999</v>
      </c>
      <c r="L4605">
        <v>164.9725</v>
      </c>
      <c r="M4605">
        <v>-0.21243239999999999</v>
      </c>
      <c r="N4605">
        <v>0</v>
      </c>
      <c r="O4605">
        <v>-0.97714820000000002</v>
      </c>
      <c r="P4605">
        <v>-0.27656570000000003</v>
      </c>
      <c r="Q4605">
        <v>9.8730090000000003E-3</v>
      </c>
      <c r="R4605">
        <v>-0.96094449999999998</v>
      </c>
      <c r="S4605">
        <v>-1.3424069999999999</v>
      </c>
      <c r="T4605">
        <v>0.13793839999999999</v>
      </c>
      <c r="U4605">
        <v>-2.7351529999999999</v>
      </c>
      <c r="V4605">
        <v>6.6185899999999895E-2</v>
      </c>
      <c r="W4605">
        <v>1.6946760000000002E-2</v>
      </c>
      <c r="X4605">
        <v>0.99766339999999998</v>
      </c>
      <c r="Y4605">
        <v>0.23936779999999999</v>
      </c>
      <c r="Z4605">
        <v>-4.5362810000000003E-2</v>
      </c>
      <c r="AA4605">
        <v>0.96986870000000003</v>
      </c>
      <c r="AB4605">
        <v>24</v>
      </c>
      <c r="AC4605">
        <v>-25.551199999999898</v>
      </c>
      <c r="AD4605">
        <v>2.6287039999999999</v>
      </c>
      <c r="AE4605">
        <v>-51.987699999999897</v>
      </c>
      <c r="AF4605">
        <v>13.895198166370699</v>
      </c>
      <c r="AG4605">
        <v>2.6287039999999999</v>
      </c>
      <c r="AH4605">
        <v>56.113551337179999</v>
      </c>
      <c r="AI4605">
        <v>87.396398263872001</v>
      </c>
      <c r="AJ4605">
        <v>76.091823865584701</v>
      </c>
      <c r="AK4605">
        <v>57.868102271222497</v>
      </c>
      <c r="AL4605">
        <v>89.0289757057798</v>
      </c>
      <c r="AM4605">
        <v>86.204507338675896</v>
      </c>
      <c r="AN4605">
        <v>1.0000000128664299</v>
      </c>
    </row>
    <row r="4606" spans="1:40" x14ac:dyDescent="0.25">
      <c r="A4606" t="str">
        <f>"20190312160735406"</f>
        <v>20190312160735406</v>
      </c>
      <c r="B4606" t="str">
        <f>"1552378055400258"</f>
        <v>1552378055400258</v>
      </c>
      <c r="C4606" t="s">
        <v>40</v>
      </c>
      <c r="D4606">
        <v>6.1321960000000004</v>
      </c>
      <c r="E4606">
        <v>0.56810369999999999</v>
      </c>
      <c r="F4606" t="s">
        <v>58</v>
      </c>
      <c r="G4606">
        <v>-217.7518</v>
      </c>
      <c r="H4606">
        <v>3.7757160000000001</v>
      </c>
      <c r="I4606">
        <v>113.208</v>
      </c>
      <c r="J4606">
        <v>-192.22880000000001</v>
      </c>
      <c r="K4606">
        <v>1.107267</v>
      </c>
      <c r="L4606">
        <v>164.85050000000001</v>
      </c>
      <c r="M4606">
        <v>-0.21386340000000001</v>
      </c>
      <c r="N4606">
        <v>0</v>
      </c>
      <c r="O4606">
        <v>-0.97683580000000003</v>
      </c>
      <c r="P4606">
        <v>-0.27834999999999999</v>
      </c>
      <c r="Q4606">
        <v>9.8767349999999993E-3</v>
      </c>
      <c r="R4606">
        <v>-0.96042910000000004</v>
      </c>
      <c r="S4606">
        <v>-1.3486940000000001</v>
      </c>
      <c r="T4606">
        <v>0.1408507</v>
      </c>
      <c r="U4606">
        <v>-2.7323300000000001</v>
      </c>
      <c r="V4606">
        <v>6.657913E-2</v>
      </c>
      <c r="W4606">
        <v>1.6967260000000001E-2</v>
      </c>
      <c r="X4606">
        <v>0.99763690000000005</v>
      </c>
      <c r="Y4606">
        <v>0.2401182</v>
      </c>
      <c r="Z4606">
        <v>-4.6312430000000002E-2</v>
      </c>
      <c r="AA4606">
        <v>0.96963829999999995</v>
      </c>
      <c r="AB4606">
        <v>24</v>
      </c>
      <c r="AC4606">
        <v>-25.523</v>
      </c>
      <c r="AD4606">
        <v>2.6684489999999998</v>
      </c>
      <c r="AE4606">
        <v>-51.642499999999998</v>
      </c>
      <c r="AF4606">
        <v>13.857979610838401</v>
      </c>
      <c r="AG4606">
        <v>2.6684489999999998</v>
      </c>
      <c r="AH4606">
        <v>55.786487647863197</v>
      </c>
      <c r="AI4606">
        <v>87.342102164382595</v>
      </c>
      <c r="AJ4606">
        <v>76.049473692080397</v>
      </c>
      <c r="AK4606">
        <v>57.543865207728302</v>
      </c>
      <c r="AL4606">
        <v>89.0278009865238</v>
      </c>
      <c r="AM4606">
        <v>86.181922577570703</v>
      </c>
      <c r="AN4606">
        <v>1.0000000263525299</v>
      </c>
    </row>
    <row r="4607" spans="1:40" x14ac:dyDescent="0.25">
      <c r="A4607" t="str">
        <f>"20190312160735426"</f>
        <v>20190312160735426</v>
      </c>
      <c r="B4607" t="str">
        <f>"1552378055419778"</f>
        <v>1552378055419778</v>
      </c>
      <c r="C4607" t="s">
        <v>40</v>
      </c>
      <c r="D4607">
        <v>6.2316409999999998</v>
      </c>
      <c r="E4607">
        <v>0.56826969999999899</v>
      </c>
      <c r="F4607" t="s">
        <v>58</v>
      </c>
      <c r="G4607">
        <v>-217.83160000000001</v>
      </c>
      <c r="H4607">
        <v>3.8006039999999999</v>
      </c>
      <c r="I4607">
        <v>113.2439</v>
      </c>
      <c r="J4607">
        <v>-192.27619999999999</v>
      </c>
      <c r="K4607">
        <v>1.107218</v>
      </c>
      <c r="L4607">
        <v>164.64660000000001</v>
      </c>
      <c r="M4607">
        <v>-0.21628739999999999</v>
      </c>
      <c r="N4607">
        <v>0</v>
      </c>
      <c r="O4607">
        <v>-0.97630159999999999</v>
      </c>
      <c r="P4607">
        <v>-0.28141820000000001</v>
      </c>
      <c r="Q4607">
        <v>9.8116839999999993E-3</v>
      </c>
      <c r="R4607">
        <v>-0.95953540000000004</v>
      </c>
      <c r="S4607">
        <v>-1.354233</v>
      </c>
      <c r="T4607">
        <v>0.1424618</v>
      </c>
      <c r="U4607">
        <v>-2.72966</v>
      </c>
      <c r="V4607">
        <v>6.729309E-2</v>
      </c>
      <c r="W4607">
        <v>1.69296E-2</v>
      </c>
      <c r="X4607">
        <v>0.99758959999999997</v>
      </c>
      <c r="Y4607">
        <v>0.23965439999999999</v>
      </c>
      <c r="Z4607">
        <v>-4.6826529999999998E-2</v>
      </c>
      <c r="AA4607">
        <v>0.96972840000000005</v>
      </c>
      <c r="AB4607">
        <v>24</v>
      </c>
      <c r="AC4607">
        <v>-25.555399999999999</v>
      </c>
      <c r="AD4607">
        <v>2.6933859999999998</v>
      </c>
      <c r="AE4607">
        <v>-51.402700000000003</v>
      </c>
      <c r="AF4607">
        <v>13.802017755248899</v>
      </c>
      <c r="AG4607">
        <v>2.6933859999999998</v>
      </c>
      <c r="AH4607">
        <v>55.591001564719001</v>
      </c>
      <c r="AI4607">
        <v>87.307796292643999</v>
      </c>
      <c r="AJ4607">
        <v>76.056658484697493</v>
      </c>
      <c r="AK4607">
        <v>57.342039353599901</v>
      </c>
      <c r="AL4607">
        <v>89.029959020883794</v>
      </c>
      <c r="AM4607">
        <v>86.140920133715696</v>
      </c>
      <c r="AN4607">
        <v>0.99999999067303402</v>
      </c>
    </row>
    <row r="4608" spans="1:40" x14ac:dyDescent="0.25">
      <c r="A4608" t="str">
        <f>"20190312160735440"</f>
        <v>20190312160735440</v>
      </c>
      <c r="B4608" t="str">
        <f>"1552378055429537"</f>
        <v>1552378055429537</v>
      </c>
      <c r="C4608" t="s">
        <v>40</v>
      </c>
      <c r="D4608">
        <v>6.2132489999999896</v>
      </c>
      <c r="E4608">
        <v>0.56834269999999998</v>
      </c>
      <c r="F4608" t="s">
        <v>58</v>
      </c>
      <c r="G4608">
        <v>-218.00810000000001</v>
      </c>
      <c r="H4608">
        <v>3.8063289999999999</v>
      </c>
      <c r="I4608">
        <v>113.2439</v>
      </c>
      <c r="J4608">
        <v>-192.31010000000001</v>
      </c>
      <c r="K4608">
        <v>1.1071820000000001</v>
      </c>
      <c r="L4608">
        <v>164.50200000000001</v>
      </c>
      <c r="M4608">
        <v>-0.21803700000000001</v>
      </c>
      <c r="N4608">
        <v>0</v>
      </c>
      <c r="O4608">
        <v>-0.97591220000000001</v>
      </c>
      <c r="P4608">
        <v>-0.28375250000000002</v>
      </c>
      <c r="Q4608">
        <v>1.002802E-2</v>
      </c>
      <c r="R4608">
        <v>-0.95884550000000002</v>
      </c>
      <c r="S4608">
        <v>-1.3641049999999999</v>
      </c>
      <c r="T4608">
        <v>0.14308679999999999</v>
      </c>
      <c r="U4608">
        <v>-2.7249599999999998</v>
      </c>
      <c r="V4608">
        <v>6.7935880000000004E-2</v>
      </c>
      <c r="W4608">
        <v>1.7163689999999999E-2</v>
      </c>
      <c r="X4608">
        <v>0.99754200000000004</v>
      </c>
      <c r="Y4608">
        <v>0.24138850000000001</v>
      </c>
      <c r="Z4608">
        <v>-4.7029519999999998E-2</v>
      </c>
      <c r="AA4608">
        <v>0.96928829999999999</v>
      </c>
      <c r="AB4608">
        <v>24</v>
      </c>
      <c r="AC4608">
        <v>-25.698</v>
      </c>
      <c r="AD4608">
        <v>2.699147</v>
      </c>
      <c r="AE4608">
        <v>-51.258099999999999</v>
      </c>
      <c r="AF4608">
        <v>13.872473383884399</v>
      </c>
      <c r="AG4608">
        <v>2.699147</v>
      </c>
      <c r="AH4608">
        <v>55.5050628430212</v>
      </c>
      <c r="AI4608">
        <v>87.298921627561199</v>
      </c>
      <c r="AJ4608">
        <v>75.967440992018794</v>
      </c>
      <c r="AK4608">
        <v>57.276023897630303</v>
      </c>
      <c r="AL4608">
        <v>89.016544671293801</v>
      </c>
      <c r="AM4608">
        <v>86.103985487862701</v>
      </c>
      <c r="AN4608">
        <v>0.99999995890489402</v>
      </c>
    </row>
    <row r="4609" spans="1:40" x14ac:dyDescent="0.25">
      <c r="A4609" t="str">
        <f>"20190312160735452"</f>
        <v>20190312160735452</v>
      </c>
      <c r="B4609" t="str">
        <f>"1552378055440275"</f>
        <v>1552378055440275</v>
      </c>
      <c r="C4609" t="s">
        <v>40</v>
      </c>
      <c r="D4609">
        <v>6.190709</v>
      </c>
      <c r="E4609">
        <v>0.56841090000000005</v>
      </c>
      <c r="F4609" t="s">
        <v>58</v>
      </c>
      <c r="G4609">
        <v>-218.14</v>
      </c>
      <c r="H4609">
        <v>3.8192819999999998</v>
      </c>
      <c r="I4609">
        <v>113.2439</v>
      </c>
      <c r="J4609">
        <v>-192.34180000000001</v>
      </c>
      <c r="K4609">
        <v>1.1071519999999999</v>
      </c>
      <c r="L4609">
        <v>164.3683</v>
      </c>
      <c r="M4609">
        <v>-0.21967690000000001</v>
      </c>
      <c r="N4609">
        <v>0</v>
      </c>
      <c r="O4609">
        <v>-0.97554390000000002</v>
      </c>
      <c r="P4609">
        <v>-0.28574050000000001</v>
      </c>
      <c r="Q4609">
        <v>1.0303379999999999E-2</v>
      </c>
      <c r="R4609">
        <v>-0.95825210000000005</v>
      </c>
      <c r="S4609">
        <v>-1.3713839999999999</v>
      </c>
      <c r="T4609">
        <v>0.1439945</v>
      </c>
      <c r="U4609">
        <v>-2.7214360000000002</v>
      </c>
      <c r="V4609">
        <v>6.8331660000000002E-2</v>
      </c>
      <c r="W4609">
        <v>1.7457859999999999E-2</v>
      </c>
      <c r="X4609">
        <v>0.99750989999999995</v>
      </c>
      <c r="Y4609">
        <v>0.24232310000000001</v>
      </c>
      <c r="Z4609">
        <v>-4.7322620000000003E-2</v>
      </c>
      <c r="AA4609">
        <v>0.96904080000000004</v>
      </c>
      <c r="AB4609">
        <v>24</v>
      </c>
      <c r="AC4609">
        <v>-25.798199999999898</v>
      </c>
      <c r="AD4609">
        <v>2.7121300000000002</v>
      </c>
      <c r="AE4609">
        <v>-51.124400000000001</v>
      </c>
      <c r="AF4609">
        <v>13.9056267343791</v>
      </c>
      <c r="AG4609">
        <v>2.7121300000000002</v>
      </c>
      <c r="AH4609">
        <v>55.418615969084797</v>
      </c>
      <c r="AI4609">
        <v>87.2823533552085</v>
      </c>
      <c r="AJ4609">
        <v>75.914167922845806</v>
      </c>
      <c r="AK4609">
        <v>57.200918698406298</v>
      </c>
      <c r="AL4609">
        <v>88.999687482875402</v>
      </c>
      <c r="AM4609">
        <v>86.081232935644806</v>
      </c>
      <c r="AN4609">
        <v>0.99999999661607197</v>
      </c>
    </row>
    <row r="4610" spans="1:40" x14ac:dyDescent="0.25">
      <c r="A4610" t="str">
        <f>"20190312160735469"</f>
        <v>20190312160735469</v>
      </c>
      <c r="B4610" t="str">
        <f>"1552378055459794"</f>
        <v>1552378055459794</v>
      </c>
      <c r="C4610" t="s">
        <v>40</v>
      </c>
      <c r="D4610">
        <v>6.0823309999999999</v>
      </c>
      <c r="E4610">
        <v>0.56864139999999996</v>
      </c>
      <c r="F4610" t="s">
        <v>90</v>
      </c>
      <c r="G4610">
        <v>-218.28049999999999</v>
      </c>
      <c r="H4610">
        <v>3.8419270000000001</v>
      </c>
      <c r="I4610">
        <v>113.1807</v>
      </c>
      <c r="J4610">
        <v>-192.38470000000001</v>
      </c>
      <c r="K4610">
        <v>1.1071089999999999</v>
      </c>
      <c r="L4610">
        <v>164.1891</v>
      </c>
      <c r="M4610">
        <v>-0.2219235</v>
      </c>
      <c r="N4610">
        <v>0</v>
      </c>
      <c r="O4610">
        <v>-0.97503519999999999</v>
      </c>
      <c r="P4610">
        <v>-0.28883029999999998</v>
      </c>
      <c r="Q4610">
        <v>1.0473700000000001E-2</v>
      </c>
      <c r="R4610">
        <v>-0.95732320000000004</v>
      </c>
      <c r="S4610">
        <v>-1.377502</v>
      </c>
      <c r="T4610">
        <v>0.145233</v>
      </c>
      <c r="U4610">
        <v>-2.718369</v>
      </c>
      <c r="V4610">
        <v>6.9255399999999995E-2</v>
      </c>
      <c r="W4610">
        <v>1.7651420000000001E-2</v>
      </c>
      <c r="X4610">
        <v>0.99744279999999996</v>
      </c>
      <c r="Y4610">
        <v>0.2422561</v>
      </c>
      <c r="Z4610">
        <v>-4.7717049999999997E-2</v>
      </c>
      <c r="AA4610">
        <v>0.96903819999999996</v>
      </c>
      <c r="AB4610">
        <v>24</v>
      </c>
      <c r="AC4610">
        <v>-25.895799999999898</v>
      </c>
      <c r="AD4610">
        <v>2.7348180000000002</v>
      </c>
      <c r="AE4610">
        <v>-51.008400000000002</v>
      </c>
      <c r="AF4610">
        <v>13.8979820985359</v>
      </c>
      <c r="AG4610">
        <v>2.7348180000000002</v>
      </c>
      <c r="AH4610">
        <v>55.356915454446202</v>
      </c>
      <c r="AI4610">
        <v>87.256695571752402</v>
      </c>
      <c r="AJ4610">
        <v>75.906536907067704</v>
      </c>
      <c r="AK4610">
        <v>57.140364231732399</v>
      </c>
      <c r="AL4610">
        <v>88.988595617255399</v>
      </c>
      <c r="AM4610">
        <v>86.028159256906505</v>
      </c>
      <c r="AN4610">
        <v>1.0000000111645</v>
      </c>
    </row>
    <row r="4611" spans="1:40" x14ac:dyDescent="0.25">
      <c r="A4611" t="str">
        <f>"20190312160735484"</f>
        <v>20190312160735484</v>
      </c>
      <c r="B4611" t="str">
        <f>"1552378055480291"</f>
        <v>1552378055480291</v>
      </c>
      <c r="C4611" t="s">
        <v>40</v>
      </c>
      <c r="D4611">
        <v>6.2106919999999999</v>
      </c>
      <c r="E4611">
        <v>0.56885459999999999</v>
      </c>
      <c r="F4611" t="s">
        <v>90</v>
      </c>
      <c r="G4611">
        <v>-218.3965</v>
      </c>
      <c r="H4611">
        <v>3.845917</v>
      </c>
      <c r="I4611">
        <v>113.34220000000001</v>
      </c>
      <c r="J4611">
        <v>-192.42140000000001</v>
      </c>
      <c r="K4611">
        <v>1.1070709999999999</v>
      </c>
      <c r="L4611">
        <v>164.03710000000001</v>
      </c>
      <c r="M4611">
        <v>-0.22386929999999999</v>
      </c>
      <c r="N4611">
        <v>0</v>
      </c>
      <c r="O4611">
        <v>-0.97458990000000001</v>
      </c>
      <c r="P4611">
        <v>-0.29095169999999998</v>
      </c>
      <c r="Q4611">
        <v>1.0835320000000001E-2</v>
      </c>
      <c r="R4611">
        <v>-0.95667659999999999</v>
      </c>
      <c r="S4611">
        <v>-1.3880619999999999</v>
      </c>
      <c r="T4611">
        <v>0.14615059999999999</v>
      </c>
      <c r="U4611">
        <v>-2.713333</v>
      </c>
      <c r="V4611">
        <v>6.9480029999999998E-2</v>
      </c>
      <c r="W4611">
        <v>1.8039030000000001E-2</v>
      </c>
      <c r="X4611">
        <v>0.99742030000000004</v>
      </c>
      <c r="Y4611">
        <v>0.2440309</v>
      </c>
      <c r="Z4611">
        <v>-4.8013229999999997E-2</v>
      </c>
      <c r="AA4611">
        <v>0.96857819999999994</v>
      </c>
      <c r="AB4611">
        <v>24</v>
      </c>
      <c r="AC4611">
        <v>-25.975100000000001</v>
      </c>
      <c r="AD4611">
        <v>2.7388460000000001</v>
      </c>
      <c r="AE4611">
        <v>-50.694899999999997</v>
      </c>
      <c r="AF4611">
        <v>13.934222706081799</v>
      </c>
      <c r="AG4611">
        <v>2.7388460000000001</v>
      </c>
      <c r="AH4611">
        <v>55.095965866977998</v>
      </c>
      <c r="AI4611">
        <v>87.240874967248999</v>
      </c>
      <c r="AJ4611">
        <v>75.807037074098702</v>
      </c>
      <c r="AK4611">
        <v>56.896654511927203</v>
      </c>
      <c r="AL4611">
        <v>88.966383722029306</v>
      </c>
      <c r="AM4611">
        <v>86.015228419644401</v>
      </c>
      <c r="AN4611">
        <v>1.0000000680121099</v>
      </c>
    </row>
    <row r="4612" spans="1:40" x14ac:dyDescent="0.25">
      <c r="A4612" t="str">
        <f>"20190312160735504"</f>
        <v>20190312160735504</v>
      </c>
      <c r="B4612" t="str">
        <f>"1552378055499809"</f>
        <v>1552378055499809</v>
      </c>
      <c r="C4612" t="s">
        <v>40</v>
      </c>
      <c r="D4612">
        <v>6.1406999999999998</v>
      </c>
      <c r="E4612">
        <v>0.5690539</v>
      </c>
      <c r="F4612" t="s">
        <v>90</v>
      </c>
      <c r="G4612">
        <v>-218.4727</v>
      </c>
      <c r="H4612">
        <v>3.8775170000000001</v>
      </c>
      <c r="I4612">
        <v>113.45229999999999</v>
      </c>
      <c r="J4612">
        <v>-192.47499999999999</v>
      </c>
      <c r="K4612">
        <v>1.1070120000000001</v>
      </c>
      <c r="L4612">
        <v>163.8184</v>
      </c>
      <c r="M4612">
        <v>-0.22673180000000001</v>
      </c>
      <c r="N4612">
        <v>0</v>
      </c>
      <c r="O4612">
        <v>-0.97392749999999995</v>
      </c>
      <c r="P4612">
        <v>-0.29415259999999999</v>
      </c>
      <c r="Q4612">
        <v>1.1429720000000001E-2</v>
      </c>
      <c r="R4612">
        <v>-0.95569029999999999</v>
      </c>
      <c r="S4612">
        <v>-1.3955229999999901</v>
      </c>
      <c r="T4612">
        <v>0.1484084</v>
      </c>
      <c r="U4612">
        <v>-2.7097470000000001</v>
      </c>
      <c r="V4612">
        <v>6.9896100000000003E-2</v>
      </c>
      <c r="W4612">
        <v>1.8676930000000001E-2</v>
      </c>
      <c r="X4612">
        <v>0.99737940000000003</v>
      </c>
      <c r="Y4612">
        <v>0.24379519999999999</v>
      </c>
      <c r="Z4612">
        <v>-4.8733569999999997E-2</v>
      </c>
      <c r="AA4612">
        <v>0.9686015</v>
      </c>
      <c r="AB4612">
        <v>24</v>
      </c>
      <c r="AC4612">
        <v>-25.997699999999998</v>
      </c>
      <c r="AD4612">
        <v>2.770505</v>
      </c>
      <c r="AE4612">
        <v>-50.366100000000003</v>
      </c>
      <c r="AF4612">
        <v>13.867548234675899</v>
      </c>
      <c r="AG4612">
        <v>2.770505</v>
      </c>
      <c r="AH4612">
        <v>54.818053475335297</v>
      </c>
      <c r="AI4612">
        <v>87.194948668285605</v>
      </c>
      <c r="AJ4612">
        <v>75.803488969341103</v>
      </c>
      <c r="AK4612">
        <v>56.612751026785503</v>
      </c>
      <c r="AL4612">
        <v>88.929828491632307</v>
      </c>
      <c r="AM4612">
        <v>85.991279969970506</v>
      </c>
      <c r="AN4612">
        <v>0.99999998002689705</v>
      </c>
    </row>
    <row r="4613" spans="1:40" x14ac:dyDescent="0.25">
      <c r="A4613" t="str">
        <f>"20190312160735519"</f>
        <v>20190312160735519</v>
      </c>
      <c r="B4613" t="str">
        <f>"1552378055509570"</f>
        <v>1552378055509570</v>
      </c>
      <c r="C4613" t="s">
        <v>40</v>
      </c>
      <c r="D4613">
        <v>5.8704910000000003</v>
      </c>
      <c r="E4613">
        <v>0.56914629999999999</v>
      </c>
      <c r="F4613" t="s">
        <v>90</v>
      </c>
      <c r="G4613">
        <v>-218.57419999999999</v>
      </c>
      <c r="H4613">
        <v>3.9251200000000002</v>
      </c>
      <c r="I4613">
        <v>113.6039</v>
      </c>
      <c r="J4613">
        <v>-192.51310000000001</v>
      </c>
      <c r="K4613">
        <v>1.1069690000000001</v>
      </c>
      <c r="L4613">
        <v>163.6643</v>
      </c>
      <c r="M4613">
        <v>-0.22879240000000001</v>
      </c>
      <c r="N4613">
        <v>0</v>
      </c>
      <c r="O4613">
        <v>-0.97344520000000001</v>
      </c>
      <c r="P4613">
        <v>-0.2962207</v>
      </c>
      <c r="Q4613">
        <v>1.136705E-2</v>
      </c>
      <c r="R4613">
        <v>-0.95505200000000001</v>
      </c>
      <c r="S4613">
        <v>-1.4057309999999901</v>
      </c>
      <c r="T4613">
        <v>0.15178630000000001</v>
      </c>
      <c r="U4613">
        <v>-2.7046049999999999</v>
      </c>
      <c r="V4613">
        <v>6.9946270000000005E-2</v>
      </c>
      <c r="W4613">
        <v>1.865118E-2</v>
      </c>
      <c r="X4613">
        <v>0.99737640000000005</v>
      </c>
      <c r="Y4613">
        <v>0.24534890000000001</v>
      </c>
      <c r="Z4613">
        <v>-4.9836180000000001E-2</v>
      </c>
      <c r="AA4613">
        <v>0.96815309999999999</v>
      </c>
      <c r="AB4613">
        <v>24</v>
      </c>
      <c r="AC4613">
        <v>-26.0610999999999</v>
      </c>
      <c r="AD4613">
        <v>2.8181509999999901</v>
      </c>
      <c r="AE4613">
        <v>-50.060400000000001</v>
      </c>
      <c r="AF4613">
        <v>13.8814089267482</v>
      </c>
      <c r="AG4613">
        <v>2.8181509999999901</v>
      </c>
      <c r="AH4613">
        <v>54.559200210954501</v>
      </c>
      <c r="AI4613">
        <v>87.134265096472504</v>
      </c>
      <c r="AJ4613">
        <v>75.725204135911397</v>
      </c>
      <c r="AK4613">
        <v>56.3679147787944</v>
      </c>
      <c r="AL4613">
        <v>88.931304152657205</v>
      </c>
      <c r="AM4613">
        <v>85.988399956189795</v>
      </c>
      <c r="AN4613">
        <v>1.00000001523963</v>
      </c>
    </row>
    <row r="4614" spans="1:40" x14ac:dyDescent="0.25">
      <c r="A4614" t="str">
        <f>"20190312160735532"</f>
        <v>20190312160735532</v>
      </c>
      <c r="B4614" t="str">
        <f>"1552378055520307"</f>
        <v>1552378055520307</v>
      </c>
      <c r="C4614" t="s">
        <v>40</v>
      </c>
      <c r="D4614">
        <v>6.1374550000000001</v>
      </c>
      <c r="E4614">
        <v>0.56925669999999995</v>
      </c>
      <c r="F4614" t="s">
        <v>90</v>
      </c>
      <c r="G4614">
        <v>-218.64609999999999</v>
      </c>
      <c r="H4614">
        <v>3.921135</v>
      </c>
      <c r="I4614">
        <v>113.6769</v>
      </c>
      <c r="J4614">
        <v>-192.54759999999999</v>
      </c>
      <c r="K4614">
        <v>1.1069290000000001</v>
      </c>
      <c r="L4614">
        <v>163.5264</v>
      </c>
      <c r="M4614">
        <v>-0.23066919999999999</v>
      </c>
      <c r="N4614">
        <v>0</v>
      </c>
      <c r="O4614">
        <v>-0.97300160000000002</v>
      </c>
      <c r="P4614">
        <v>-0.29822110000000002</v>
      </c>
      <c r="Q4614">
        <v>1.0920930000000001E-2</v>
      </c>
      <c r="R4614">
        <v>-0.95443429999999996</v>
      </c>
      <c r="S4614">
        <v>-1.412247</v>
      </c>
      <c r="T4614">
        <v>0.15207950000000001</v>
      </c>
      <c r="U4614">
        <v>-2.701355</v>
      </c>
      <c r="V4614">
        <v>7.0111419999999994E-2</v>
      </c>
      <c r="W4614">
        <v>1.8242129999999999E-2</v>
      </c>
      <c r="X4614">
        <v>0.99737229999999999</v>
      </c>
      <c r="Y4614">
        <v>0.2457896</v>
      </c>
      <c r="Z4614">
        <v>-4.9922340000000003E-2</v>
      </c>
      <c r="AA4614">
        <v>0.96803680000000003</v>
      </c>
      <c r="AB4614">
        <v>24</v>
      </c>
      <c r="AC4614">
        <v>-26.098500000000001</v>
      </c>
      <c r="AD4614">
        <v>2.814206</v>
      </c>
      <c r="AE4614">
        <v>-49.8494999999999</v>
      </c>
      <c r="AF4614">
        <v>13.860880234289199</v>
      </c>
      <c r="AG4614">
        <v>2.814206</v>
      </c>
      <c r="AH4614">
        <v>54.389337880715502</v>
      </c>
      <c r="AI4614">
        <v>87.129633416967906</v>
      </c>
      <c r="AJ4614">
        <v>75.702757985293204</v>
      </c>
      <c r="AK4614">
        <v>56.198254700500897</v>
      </c>
      <c r="AL4614">
        <v>88.954744906892202</v>
      </c>
      <c r="AM4614">
        <v>85.978942733580197</v>
      </c>
      <c r="AN4614">
        <v>0.99999994566432004</v>
      </c>
    </row>
    <row r="4615" spans="1:40" x14ac:dyDescent="0.25">
      <c r="A4615" t="str">
        <f>"20190312160735548"</f>
        <v>20190312160735548</v>
      </c>
      <c r="B4615" t="str">
        <f>"1552378055539826"</f>
        <v>1552378055539826</v>
      </c>
      <c r="C4615" t="s">
        <v>40</v>
      </c>
      <c r="D4615">
        <v>6.1203799999999999</v>
      </c>
      <c r="E4615">
        <v>0.56951750000000001</v>
      </c>
      <c r="F4615" t="s">
        <v>90</v>
      </c>
      <c r="G4615">
        <v>-218.72710000000001</v>
      </c>
      <c r="H4615">
        <v>3.89202</v>
      </c>
      <c r="I4615">
        <v>113.7366</v>
      </c>
      <c r="J4615">
        <v>-192.59309999999999</v>
      </c>
      <c r="K4615">
        <v>1.106876</v>
      </c>
      <c r="L4615">
        <v>163.34649999999999</v>
      </c>
      <c r="M4615">
        <v>-0.23317260000000001</v>
      </c>
      <c r="N4615">
        <v>0</v>
      </c>
      <c r="O4615">
        <v>-0.97240439999999995</v>
      </c>
      <c r="P4615">
        <v>-0.30119810000000002</v>
      </c>
      <c r="Q4615">
        <v>1.021065E-2</v>
      </c>
      <c r="R4615">
        <v>-0.9535072</v>
      </c>
      <c r="S4615">
        <v>-1.4187160000000001</v>
      </c>
      <c r="T4615">
        <v>0.15092910000000001</v>
      </c>
      <c r="U4615">
        <v>-2.6981959999999998</v>
      </c>
      <c r="V4615">
        <v>7.0654190000000006E-2</v>
      </c>
      <c r="W4615">
        <v>1.75861E-2</v>
      </c>
      <c r="X4615">
        <v>0.99734590000000001</v>
      </c>
      <c r="Y4615">
        <v>0.24558949999999999</v>
      </c>
      <c r="Z4615">
        <v>-4.9527019999999998E-2</v>
      </c>
      <c r="AA4615">
        <v>0.96810790000000002</v>
      </c>
      <c r="AB4615">
        <v>24</v>
      </c>
      <c r="AC4615">
        <v>-26.134</v>
      </c>
      <c r="AD4615">
        <v>2.7851439999999998</v>
      </c>
      <c r="AE4615">
        <v>-49.609900000000003</v>
      </c>
      <c r="AF4615">
        <v>13.811489149680799</v>
      </c>
      <c r="AG4615">
        <v>2.7851439999999998</v>
      </c>
      <c r="AH4615">
        <v>54.202528282170697</v>
      </c>
      <c r="AI4615">
        <v>87.149429530874798</v>
      </c>
      <c r="AJ4615">
        <v>75.704528297407194</v>
      </c>
      <c r="AK4615">
        <v>56.003824260598499</v>
      </c>
      <c r="AL4615">
        <v>88.992338812666205</v>
      </c>
      <c r="AM4615">
        <v>85.947809974002297</v>
      </c>
      <c r="AN4615">
        <v>1.00000006486228</v>
      </c>
    </row>
    <row r="4616" spans="1:40" x14ac:dyDescent="0.25">
      <c r="A4616" t="str">
        <f>"20190312160735562"</f>
        <v>20190312160735562</v>
      </c>
      <c r="B4616" t="str">
        <f>"1552378055549586"</f>
        <v>1552378055549586</v>
      </c>
      <c r="C4616" t="s">
        <v>40</v>
      </c>
      <c r="D4616">
        <v>6.1127979999999997</v>
      </c>
      <c r="E4616">
        <v>0.56962959999999996</v>
      </c>
      <c r="F4616" t="s">
        <v>90</v>
      </c>
      <c r="G4616">
        <v>-217.971</v>
      </c>
      <c r="H4616">
        <v>3.738302</v>
      </c>
      <c r="I4616">
        <v>115.5296</v>
      </c>
      <c r="J4616">
        <v>-192.62700000000001</v>
      </c>
      <c r="K4616">
        <v>1.10684</v>
      </c>
      <c r="L4616">
        <v>163.21379999999999</v>
      </c>
      <c r="M4616">
        <v>-0.2350564</v>
      </c>
      <c r="N4616">
        <v>0</v>
      </c>
      <c r="O4616">
        <v>-0.97195010000000004</v>
      </c>
      <c r="P4616">
        <v>-0.30339100000000002</v>
      </c>
      <c r="Q4616">
        <v>1.0334919999999999E-2</v>
      </c>
      <c r="R4616">
        <v>-0.9528105</v>
      </c>
      <c r="S4616">
        <v>-1.429352</v>
      </c>
      <c r="T4616">
        <v>0.14820920000000001</v>
      </c>
      <c r="U4616">
        <v>-2.6931759999999998</v>
      </c>
      <c r="V4616">
        <v>7.1019390000000002E-2</v>
      </c>
      <c r="W4616">
        <v>1.7760120000000001E-2</v>
      </c>
      <c r="X4616">
        <v>0.9973168</v>
      </c>
      <c r="Y4616">
        <v>0.2474626</v>
      </c>
      <c r="Z4616">
        <v>-4.8628739999999997E-2</v>
      </c>
      <c r="AA4616">
        <v>0.96767630000000004</v>
      </c>
      <c r="AB4616">
        <v>24</v>
      </c>
      <c r="AC4616">
        <v>-25.343999999999902</v>
      </c>
      <c r="AD4616">
        <v>2.6314619999999902</v>
      </c>
      <c r="AE4616">
        <v>-47.684199999999898</v>
      </c>
      <c r="AF4616">
        <v>13.393236055768799</v>
      </c>
      <c r="AG4616">
        <v>2.6314619999999902</v>
      </c>
      <c r="AH4616">
        <v>52.181629745509497</v>
      </c>
      <c r="AI4616">
        <v>87.203573216163704</v>
      </c>
      <c r="AJ4616">
        <v>75.604871726953505</v>
      </c>
      <c r="AK4616">
        <v>53.937239892308497</v>
      </c>
      <c r="AL4616">
        <v>88.982366565637605</v>
      </c>
      <c r="AM4616">
        <v>85.926816732053396</v>
      </c>
      <c r="AN4616">
        <v>0.99999998759031306</v>
      </c>
    </row>
    <row r="4617" spans="1:40" x14ac:dyDescent="0.25">
      <c r="A4617" t="str">
        <f>"20190312160735576"</f>
        <v>20190312160735576</v>
      </c>
      <c r="B4617" t="str">
        <f>"1552378055570083"</f>
        <v>1552378055570083</v>
      </c>
      <c r="C4617" t="s">
        <v>40</v>
      </c>
      <c r="D4617">
        <v>5.7719740000000002</v>
      </c>
      <c r="E4617">
        <v>0.56991020000000003</v>
      </c>
      <c r="F4617" t="s">
        <v>90</v>
      </c>
      <c r="G4617">
        <v>-218.25470000000001</v>
      </c>
      <c r="H4617">
        <v>3.7586750000000002</v>
      </c>
      <c r="I4617">
        <v>115.23180000000001</v>
      </c>
      <c r="J4617">
        <v>-192.66800000000001</v>
      </c>
      <c r="K4617">
        <v>1.106797</v>
      </c>
      <c r="L4617">
        <v>163.0547</v>
      </c>
      <c r="M4617">
        <v>-0.2373537</v>
      </c>
      <c r="N4617">
        <v>0</v>
      </c>
      <c r="O4617">
        <v>-0.97139109999999995</v>
      </c>
      <c r="P4617">
        <v>-0.30581789999999998</v>
      </c>
      <c r="Q4617">
        <v>1.091486E-2</v>
      </c>
      <c r="R4617">
        <v>-0.95202739999999997</v>
      </c>
      <c r="S4617">
        <v>-1.436523</v>
      </c>
      <c r="T4617">
        <v>0.14864469999999999</v>
      </c>
      <c r="U4617">
        <v>-2.6895600000000002</v>
      </c>
      <c r="V4617">
        <v>7.1210549999999997E-2</v>
      </c>
      <c r="W4617">
        <v>1.8411380000000001E-2</v>
      </c>
      <c r="X4617">
        <v>0.99729140000000005</v>
      </c>
      <c r="Y4617">
        <v>0.2477172</v>
      </c>
      <c r="Z4617">
        <v>-4.8756889999999997E-2</v>
      </c>
      <c r="AA4617">
        <v>0.96760480000000004</v>
      </c>
      <c r="AB4617">
        <v>24</v>
      </c>
      <c r="AC4617">
        <v>-25.5867</v>
      </c>
      <c r="AD4617">
        <v>2.651878</v>
      </c>
      <c r="AE4617">
        <v>-47.822899999999898</v>
      </c>
      <c r="AF4617">
        <v>13.471966643813801</v>
      </c>
      <c r="AG4617">
        <v>2.651878</v>
      </c>
      <c r="AH4617">
        <v>52.404202668676497</v>
      </c>
      <c r="AI4617">
        <v>87.194140401619705</v>
      </c>
      <c r="AJ4617">
        <v>75.582713488021099</v>
      </c>
      <c r="AK4617">
        <v>54.173118790767703</v>
      </c>
      <c r="AL4617">
        <v>88.945046054593604</v>
      </c>
      <c r="AM4617">
        <v>85.915786494610302</v>
      </c>
      <c r="AN4617">
        <v>1.00000002892938</v>
      </c>
    </row>
    <row r="4618" spans="1:40" x14ac:dyDescent="0.25">
      <c r="A4618" t="str">
        <f>"20190312160735593"</f>
        <v>20190312160735593</v>
      </c>
      <c r="B4618" t="str">
        <f>"1552378055579843"</f>
        <v>1552378055579843</v>
      </c>
      <c r="C4618" t="s">
        <v>40</v>
      </c>
      <c r="D4618">
        <v>6.1797060000000004</v>
      </c>
      <c r="E4618">
        <v>0.57003490000000001</v>
      </c>
      <c r="F4618" t="s">
        <v>90</v>
      </c>
      <c r="G4618">
        <v>-218.48480000000001</v>
      </c>
      <c r="H4618">
        <v>3.7942399999999998</v>
      </c>
      <c r="I4618">
        <v>115.09569999999999</v>
      </c>
      <c r="J4618">
        <v>-192.71440000000001</v>
      </c>
      <c r="K4618">
        <v>1.1067549999999999</v>
      </c>
      <c r="L4618">
        <v>162.8768</v>
      </c>
      <c r="M4618">
        <v>-0.2399906</v>
      </c>
      <c r="N4618">
        <v>0</v>
      </c>
      <c r="O4618">
        <v>-0.97074210000000005</v>
      </c>
      <c r="P4618">
        <v>-0.30870609999999998</v>
      </c>
      <c r="Q4618">
        <v>1.1558219999999999E-2</v>
      </c>
      <c r="R4618">
        <v>-0.95108760000000003</v>
      </c>
      <c r="S4618">
        <v>-1.445435</v>
      </c>
      <c r="T4618">
        <v>0.15046499999999999</v>
      </c>
      <c r="U4618">
        <v>-2.6851349999999998</v>
      </c>
      <c r="V4618">
        <v>7.1538459999999998E-2</v>
      </c>
      <c r="W4618">
        <v>1.9156070000000001E-2</v>
      </c>
      <c r="X4618">
        <v>0.99725390000000003</v>
      </c>
      <c r="Y4618">
        <v>0.24822810000000001</v>
      </c>
      <c r="Z4618">
        <v>-4.9335209999999997E-2</v>
      </c>
      <c r="AA4618">
        <v>0.96744450000000004</v>
      </c>
      <c r="AB4618">
        <v>24</v>
      </c>
      <c r="AC4618">
        <v>-25.770399999999899</v>
      </c>
      <c r="AD4618">
        <v>2.6874850000000001</v>
      </c>
      <c r="AE4618">
        <v>-47.781100000000002</v>
      </c>
      <c r="AF4618">
        <v>13.516707497555601</v>
      </c>
      <c r="AG4618">
        <v>2.6874850000000001</v>
      </c>
      <c r="AH4618">
        <v>52.440951828486199</v>
      </c>
      <c r="AI4618">
        <v>87.158977540291204</v>
      </c>
      <c r="AJ4618">
        <v>75.546549010434305</v>
      </c>
      <c r="AK4618">
        <v>54.2215583128825</v>
      </c>
      <c r="AL4618">
        <v>88.902370925862897</v>
      </c>
      <c r="AM4618">
        <v>85.896889852705598</v>
      </c>
      <c r="AN4618">
        <v>1.00000002367111</v>
      </c>
    </row>
    <row r="4619" spans="1:40" x14ac:dyDescent="0.25">
      <c r="A4619" t="str">
        <f>"20190312160735616"</f>
        <v>20190312160735616</v>
      </c>
      <c r="B4619" t="str">
        <f>"1552378055610098"</f>
        <v>1552378055610098</v>
      </c>
      <c r="C4619" t="s">
        <v>40</v>
      </c>
      <c r="D4619">
        <v>6.0927199999999999</v>
      </c>
      <c r="E4619">
        <v>0.57036730000000002</v>
      </c>
      <c r="F4619" t="s">
        <v>90</v>
      </c>
      <c r="G4619">
        <v>-218.71770000000001</v>
      </c>
      <c r="H4619">
        <v>3.8384179999999999</v>
      </c>
      <c r="I4619">
        <v>114.9524</v>
      </c>
      <c r="J4619">
        <v>-192.7799</v>
      </c>
      <c r="K4619">
        <v>1.1066910000000001</v>
      </c>
      <c r="L4619">
        <v>162.63</v>
      </c>
      <c r="M4619">
        <v>-0.24375340000000001</v>
      </c>
      <c r="N4619">
        <v>0</v>
      </c>
      <c r="O4619">
        <v>-0.9698021</v>
      </c>
      <c r="P4619">
        <v>-0.31232840000000001</v>
      </c>
      <c r="Q4619">
        <v>1.121754E-2</v>
      </c>
      <c r="R4619">
        <v>-0.94990779999999997</v>
      </c>
      <c r="S4619">
        <v>-1.4543299999999999</v>
      </c>
      <c r="T4619">
        <v>0.152779</v>
      </c>
      <c r="U4619">
        <v>-2.6803590000000002</v>
      </c>
      <c r="V4619">
        <v>7.1473800000000004E-2</v>
      </c>
      <c r="W4619">
        <v>1.8997779999999999E-2</v>
      </c>
      <c r="X4619">
        <v>0.99726150000000002</v>
      </c>
      <c r="Y4619">
        <v>0.2476564</v>
      </c>
      <c r="Z4619">
        <v>-5.0064879999999999E-2</v>
      </c>
      <c r="AA4619">
        <v>0.96755349999999996</v>
      </c>
      <c r="AB4619">
        <v>24</v>
      </c>
      <c r="AC4619">
        <v>-25.937799999999999</v>
      </c>
      <c r="AD4619">
        <v>2.7317269999999998</v>
      </c>
      <c r="AE4619">
        <v>-47.677599999999998</v>
      </c>
      <c r="AF4619">
        <v>13.499222130921</v>
      </c>
      <c r="AG4619">
        <v>2.7317269999999998</v>
      </c>
      <c r="AH4619">
        <v>52.429246278609199</v>
      </c>
      <c r="AI4619">
        <v>87.111450627645695</v>
      </c>
      <c r="AJ4619">
        <v>75.561376217102904</v>
      </c>
      <c r="AK4619">
        <v>54.208091608961197</v>
      </c>
      <c r="AL4619">
        <v>88.911441855546599</v>
      </c>
      <c r="AM4619">
        <v>85.900616931963299</v>
      </c>
      <c r="AN4619">
        <v>0.99999995955680798</v>
      </c>
    </row>
    <row r="4620" spans="1:40" x14ac:dyDescent="0.25">
      <c r="A4620" t="str">
        <f>"20190312160735629"</f>
        <v>20190312160735629</v>
      </c>
      <c r="B4620" t="str">
        <f>"1552378055619858"</f>
        <v>1552378055619858</v>
      </c>
      <c r="C4620" t="s">
        <v>40</v>
      </c>
      <c r="D4620">
        <v>6.2681019999999998</v>
      </c>
      <c r="E4620">
        <v>0.57040419999999903</v>
      </c>
      <c r="F4620" t="s">
        <v>90</v>
      </c>
      <c r="G4620">
        <v>-219.01509999999999</v>
      </c>
      <c r="H4620">
        <v>3.8347120000000001</v>
      </c>
      <c r="I4620">
        <v>114.8113</v>
      </c>
      <c r="J4620">
        <v>-192.8185</v>
      </c>
      <c r="K4620">
        <v>1.1066579999999999</v>
      </c>
      <c r="L4620">
        <v>162.48670000000001</v>
      </c>
      <c r="M4620">
        <v>-0.2459992</v>
      </c>
      <c r="N4620">
        <v>0</v>
      </c>
      <c r="O4620">
        <v>-0.96923389999999998</v>
      </c>
      <c r="P4620">
        <v>-0.31462010000000001</v>
      </c>
      <c r="Q4620">
        <v>1.102881E-2</v>
      </c>
      <c r="R4620">
        <v>-0.94915369999999999</v>
      </c>
      <c r="S4620">
        <v>-1.4670719999999999</v>
      </c>
      <c r="T4620">
        <v>0.1525512</v>
      </c>
      <c r="U4620">
        <v>-2.674026</v>
      </c>
      <c r="V4620">
        <v>7.1572220000000006E-2</v>
      </c>
      <c r="W4620">
        <v>1.8942959999999998E-2</v>
      </c>
      <c r="X4620">
        <v>0.99725549999999996</v>
      </c>
      <c r="Y4620">
        <v>0.24992400000000001</v>
      </c>
      <c r="Z4620">
        <v>-4.9981959999999999E-2</v>
      </c>
      <c r="AA4620">
        <v>0.96697460000000002</v>
      </c>
      <c r="AB4620">
        <v>25</v>
      </c>
      <c r="AC4620">
        <v>-26.196599999999901</v>
      </c>
      <c r="AD4620">
        <v>2.7280540000000002</v>
      </c>
      <c r="AE4620">
        <v>-47.675400000000003</v>
      </c>
      <c r="AF4620">
        <v>13.628725340995899</v>
      </c>
      <c r="AG4620">
        <v>2.7280540000000002</v>
      </c>
      <c r="AH4620">
        <v>52.5227081214055</v>
      </c>
      <c r="AI4620">
        <v>87.121850331880694</v>
      </c>
      <c r="AJ4620">
        <v>75.453558635477293</v>
      </c>
      <c r="AK4620">
        <v>54.330647902022903</v>
      </c>
      <c r="AL4620">
        <v>88.914583392773494</v>
      </c>
      <c r="AM4620">
        <v>85.894966719249993</v>
      </c>
      <c r="AN4620">
        <v>0.99999997534476903</v>
      </c>
    </row>
    <row r="4621" spans="1:40" x14ac:dyDescent="0.25">
      <c r="A4621" t="str">
        <f>"20190312160735641"</f>
        <v>20190312160735641</v>
      </c>
      <c r="B4621" t="str">
        <f>"1552378055629618"</f>
        <v>1552378055629618</v>
      </c>
      <c r="C4621" t="s">
        <v>40</v>
      </c>
      <c r="D4621">
        <v>5.9924569999999999</v>
      </c>
      <c r="E4621">
        <v>0.57062950000000001</v>
      </c>
      <c r="F4621" t="s">
        <v>90</v>
      </c>
      <c r="G4621">
        <v>-219.15799999999999</v>
      </c>
      <c r="H4621">
        <v>3.8005040000000001</v>
      </c>
      <c r="I4621">
        <v>114.7662</v>
      </c>
      <c r="J4621">
        <v>-192.85220000000001</v>
      </c>
      <c r="K4621">
        <v>1.106636</v>
      </c>
      <c r="L4621">
        <v>162.36269999999999</v>
      </c>
      <c r="M4621">
        <v>-0.24797130000000001</v>
      </c>
      <c r="N4621">
        <v>0</v>
      </c>
      <c r="O4621">
        <v>-0.96872999999999998</v>
      </c>
      <c r="P4621">
        <v>-0.31646259999999998</v>
      </c>
      <c r="Q4621">
        <v>1.064115E-2</v>
      </c>
      <c r="R4621">
        <v>-0.94854579999999999</v>
      </c>
      <c r="S4621">
        <v>-1.4739230000000001</v>
      </c>
      <c r="T4621">
        <v>0.15074419999999999</v>
      </c>
      <c r="U4621">
        <v>-2.6703800000000002</v>
      </c>
      <c r="V4621">
        <v>7.1478020000000003E-2</v>
      </c>
      <c r="W4621">
        <v>1.8686939999999999E-2</v>
      </c>
      <c r="X4621">
        <v>0.99726709999999996</v>
      </c>
      <c r="Y4621">
        <v>0.25042829999999999</v>
      </c>
      <c r="Z4621">
        <v>-4.9380380000000001E-2</v>
      </c>
      <c r="AA4621">
        <v>0.96687500000000004</v>
      </c>
      <c r="AB4621">
        <v>25</v>
      </c>
      <c r="AC4621">
        <v>-26.305799999999898</v>
      </c>
      <c r="AD4621">
        <v>2.6938680000000002</v>
      </c>
      <c r="AE4621">
        <v>-47.596499999999899</v>
      </c>
      <c r="AF4621">
        <v>13.6476584294109</v>
      </c>
      <c r="AG4621">
        <v>2.6938680000000002</v>
      </c>
      <c r="AH4621">
        <v>52.5043116570764</v>
      </c>
      <c r="AI4621">
        <v>87.157175315056804</v>
      </c>
      <c r="AJ4621">
        <v>75.429323193242595</v>
      </c>
      <c r="AK4621">
        <v>54.315911554448803</v>
      </c>
      <c r="AL4621">
        <v>88.929254870264799</v>
      </c>
      <c r="AM4621">
        <v>85.900398661224202</v>
      </c>
      <c r="AN4621">
        <v>0.99999998890604602</v>
      </c>
    </row>
    <row r="4622" spans="1:40" x14ac:dyDescent="0.25">
      <c r="A4622" t="str">
        <f>"20190312160735653"</f>
        <v>20190312160735653</v>
      </c>
      <c r="B4622" t="str">
        <f>"1552378055640355"</f>
        <v>1552378055640355</v>
      </c>
      <c r="C4622" t="s">
        <v>40</v>
      </c>
      <c r="D4622">
        <v>5.7784659999999999</v>
      </c>
      <c r="E4622">
        <v>0.57067630000000003</v>
      </c>
      <c r="F4622" t="s">
        <v>90</v>
      </c>
      <c r="G4622">
        <v>-219.30359999999999</v>
      </c>
      <c r="H4622">
        <v>3.765063</v>
      </c>
      <c r="I4622">
        <v>114.7206</v>
      </c>
      <c r="J4622">
        <v>-192.8879</v>
      </c>
      <c r="K4622">
        <v>1.106611</v>
      </c>
      <c r="L4622">
        <v>162.232</v>
      </c>
      <c r="M4622">
        <v>-0.25006859999999997</v>
      </c>
      <c r="N4622">
        <v>0</v>
      </c>
      <c r="O4622">
        <v>-0.96818939999999998</v>
      </c>
      <c r="P4622">
        <v>-0.31844099999999997</v>
      </c>
      <c r="Q4622">
        <v>1.0630260000000001E-2</v>
      </c>
      <c r="R4622">
        <v>-0.94788309999999998</v>
      </c>
      <c r="S4622">
        <v>-1.4807589999999999</v>
      </c>
      <c r="T4622">
        <v>0.14881989999999901</v>
      </c>
      <c r="U4622">
        <v>-2.6670229999999999</v>
      </c>
      <c r="V4622">
        <v>7.1401919999999994E-2</v>
      </c>
      <c r="W4622">
        <v>1.8823289999999999E-2</v>
      </c>
      <c r="X4622">
        <v>0.99726999999999999</v>
      </c>
      <c r="Y4622">
        <v>0.25075829999999999</v>
      </c>
      <c r="Z4622">
        <v>-4.8734390000000002E-2</v>
      </c>
      <c r="AA4622">
        <v>0.96682230000000002</v>
      </c>
      <c r="AB4622">
        <v>25</v>
      </c>
      <c r="AC4622">
        <v>-26.415699999999902</v>
      </c>
      <c r="AD4622">
        <v>2.658452</v>
      </c>
      <c r="AE4622">
        <v>-47.511400000000002</v>
      </c>
      <c r="AF4622">
        <v>13.6621310125688</v>
      </c>
      <c r="AG4622">
        <v>2.658452</v>
      </c>
      <c r="AH4622">
        <v>52.482228645202603</v>
      </c>
      <c r="AI4622">
        <v>87.193573864984799</v>
      </c>
      <c r="AJ4622">
        <v>75.408655141142205</v>
      </c>
      <c r="AK4622">
        <v>54.296459501593802</v>
      </c>
      <c r="AL4622">
        <v>88.921441230032002</v>
      </c>
      <c r="AM4622">
        <v>85.904760364972006</v>
      </c>
      <c r="AN4622">
        <v>1.0000000016630499</v>
      </c>
    </row>
    <row r="4623" spans="1:40" x14ac:dyDescent="0.25">
      <c r="A4623" t="str">
        <f>"20190312160735670"</f>
        <v>20190312160735670</v>
      </c>
      <c r="B4623" t="str">
        <f>"1552378055659874"</f>
        <v>1552378055659874</v>
      </c>
      <c r="C4623" t="s">
        <v>40</v>
      </c>
      <c r="D4623">
        <v>5.8670970000000002</v>
      </c>
      <c r="E4623">
        <v>0.57088119999999998</v>
      </c>
      <c r="F4623" t="s">
        <v>90</v>
      </c>
      <c r="G4623">
        <v>-219.43049999999999</v>
      </c>
      <c r="H4623">
        <v>3.7536860000000001</v>
      </c>
      <c r="I4623">
        <v>114.6673</v>
      </c>
      <c r="J4623">
        <v>-192.93879999999999</v>
      </c>
      <c r="K4623">
        <v>1.1065940000000001</v>
      </c>
      <c r="L4623">
        <v>162.0489</v>
      </c>
      <c r="M4623">
        <v>-0.2530791</v>
      </c>
      <c r="N4623">
        <v>0</v>
      </c>
      <c r="O4623">
        <v>-0.96740420000000005</v>
      </c>
      <c r="P4623">
        <v>-0.32061650000000003</v>
      </c>
      <c r="Q4623">
        <v>1.0820440000000001E-2</v>
      </c>
      <c r="R4623">
        <v>-0.94714730000000003</v>
      </c>
      <c r="S4623">
        <v>-1.486526</v>
      </c>
      <c r="T4623">
        <v>0.14825050000000001</v>
      </c>
      <c r="U4623">
        <v>-2.6638790000000001</v>
      </c>
      <c r="V4623">
        <v>7.0595169999999999E-2</v>
      </c>
      <c r="W4623">
        <v>1.9270490000000001E-2</v>
      </c>
      <c r="X4623">
        <v>0.99731890000000001</v>
      </c>
      <c r="Y4623">
        <v>0.24983320000000001</v>
      </c>
      <c r="Z4623">
        <v>-4.8522099999999999E-2</v>
      </c>
      <c r="AA4623">
        <v>0.96707240000000005</v>
      </c>
      <c r="AB4623">
        <v>25</v>
      </c>
      <c r="AC4623">
        <v>-26.491700000000002</v>
      </c>
      <c r="AD4623">
        <v>2.6470919999999998</v>
      </c>
      <c r="AE4623">
        <v>-47.381599999999999</v>
      </c>
      <c r="AF4623">
        <v>13.6050844519525</v>
      </c>
      <c r="AG4623">
        <v>2.6470919999999998</v>
      </c>
      <c r="AH4623">
        <v>52.419113877968002</v>
      </c>
      <c r="AI4623">
        <v>87.201660795162695</v>
      </c>
      <c r="AJ4623">
        <v>75.450240659274399</v>
      </c>
      <c r="AK4623">
        <v>54.220558082267999</v>
      </c>
      <c r="AL4623">
        <v>88.895813916412195</v>
      </c>
      <c r="AM4623">
        <v>85.951074405451905</v>
      </c>
      <c r="AN4623">
        <v>1.0000000090546799</v>
      </c>
    </row>
    <row r="4624" spans="1:40" x14ac:dyDescent="0.25">
      <c r="A4624" t="str">
        <f>"20190312160735687"</f>
        <v>20190312160735687</v>
      </c>
      <c r="B4624" t="str">
        <f>"1552378055680371"</f>
        <v>1552378055680371</v>
      </c>
      <c r="C4624" t="s">
        <v>40</v>
      </c>
      <c r="D4624">
        <v>5.893052</v>
      </c>
      <c r="E4624">
        <v>0.57101409999999997</v>
      </c>
      <c r="F4624" t="s">
        <v>90</v>
      </c>
      <c r="G4624">
        <v>-219.5933</v>
      </c>
      <c r="H4624">
        <v>3.7325189999999999</v>
      </c>
      <c r="I4624">
        <v>114.60339999999999</v>
      </c>
      <c r="J4624">
        <v>-192.9854</v>
      </c>
      <c r="K4624">
        <v>1.1065940000000001</v>
      </c>
      <c r="L4624">
        <v>161.88299999999899</v>
      </c>
      <c r="M4624">
        <v>-0.25586360000000002</v>
      </c>
      <c r="N4624">
        <v>0</v>
      </c>
      <c r="O4624">
        <v>-0.96666890000000005</v>
      </c>
      <c r="P4624">
        <v>-0.32282759999999999</v>
      </c>
      <c r="Q4624">
        <v>1.098558E-2</v>
      </c>
      <c r="R4624">
        <v>-0.94639430000000002</v>
      </c>
      <c r="S4624">
        <v>-1.494308</v>
      </c>
      <c r="T4624">
        <v>0.14721519999999999</v>
      </c>
      <c r="U4624">
        <v>-2.659897</v>
      </c>
      <c r="V4624">
        <v>7.005778E-2</v>
      </c>
      <c r="W4624">
        <v>1.9715759999999999E-2</v>
      </c>
      <c r="X4624">
        <v>0.99734809999999996</v>
      </c>
      <c r="Y4624">
        <v>0.2498225</v>
      </c>
      <c r="Z4624">
        <v>-4.816057E-2</v>
      </c>
      <c r="AA4624">
        <v>0.96709319999999999</v>
      </c>
      <c r="AB4624">
        <v>25</v>
      </c>
      <c r="AC4624">
        <v>-26.607900000000001</v>
      </c>
      <c r="AD4624">
        <v>2.6259250000000001</v>
      </c>
      <c r="AE4624">
        <v>-47.279599999999903</v>
      </c>
      <c r="AF4624">
        <v>13.5926361850874</v>
      </c>
      <c r="AG4624">
        <v>2.6259250000000001</v>
      </c>
      <c r="AH4624">
        <v>52.391206398799604</v>
      </c>
      <c r="AI4624">
        <v>87.222458701319297</v>
      </c>
      <c r="AJ4624">
        <v>75.455573841471704</v>
      </c>
      <c r="AK4624">
        <v>54.189424692345597</v>
      </c>
      <c r="AL4624">
        <v>88.870296986518696</v>
      </c>
      <c r="AM4624">
        <v>85.981911861024798</v>
      </c>
      <c r="AN4624">
        <v>1.0000000181522499</v>
      </c>
    </row>
    <row r="4625" spans="1:40" x14ac:dyDescent="0.25">
      <c r="A4625" t="str">
        <f>"20190312160735705"</f>
        <v>20190312160735705</v>
      </c>
      <c r="B4625" t="str">
        <f>"1552378055699890"</f>
        <v>1552378055699890</v>
      </c>
      <c r="C4625" t="s">
        <v>40</v>
      </c>
      <c r="D4625">
        <v>6.0898099999999999</v>
      </c>
      <c r="E4625">
        <v>0.57107919999999901</v>
      </c>
      <c r="F4625" t="s">
        <v>90</v>
      </c>
      <c r="G4625">
        <v>-219.6797</v>
      </c>
      <c r="H4625">
        <v>3.7104490000000001</v>
      </c>
      <c r="I4625">
        <v>114.6579</v>
      </c>
      <c r="J4625">
        <v>-193.0438</v>
      </c>
      <c r="K4625">
        <v>1.106609</v>
      </c>
      <c r="L4625">
        <v>161.67830000000001</v>
      </c>
      <c r="M4625">
        <v>-0.25937139999999997</v>
      </c>
      <c r="N4625">
        <v>0</v>
      </c>
      <c r="O4625">
        <v>-0.96572959999999997</v>
      </c>
      <c r="P4625">
        <v>-0.32513189999999997</v>
      </c>
      <c r="Q4625">
        <v>1.126859E-2</v>
      </c>
      <c r="R4625">
        <v>-0.94560169999999999</v>
      </c>
      <c r="S4625">
        <v>-1.5013729999999901</v>
      </c>
      <c r="T4625">
        <v>0.14644969999999999</v>
      </c>
      <c r="U4625">
        <v>-2.6560969999999999</v>
      </c>
      <c r="V4625">
        <v>6.8873870000000004E-2</v>
      </c>
      <c r="W4625">
        <v>2.0404660000000002E-2</v>
      </c>
      <c r="X4625">
        <v>0.99741670000000004</v>
      </c>
      <c r="Y4625">
        <v>0.2488551</v>
      </c>
      <c r="Z4625">
        <v>-4.7878440000000001E-2</v>
      </c>
      <c r="AA4625">
        <v>0.96735660000000001</v>
      </c>
      <c r="AB4625">
        <v>25</v>
      </c>
      <c r="AC4625">
        <v>-26.6358999999999</v>
      </c>
      <c r="AD4625">
        <v>2.6038399999999999</v>
      </c>
      <c r="AE4625">
        <v>-47.020400000000002</v>
      </c>
      <c r="AF4625">
        <v>13.4966241039526</v>
      </c>
      <c r="AG4625">
        <v>2.6038399999999999</v>
      </c>
      <c r="AH4625">
        <v>52.198825971476097</v>
      </c>
      <c r="AI4625">
        <v>87.235055975104601</v>
      </c>
      <c r="AJ4625">
        <v>75.502994125878402</v>
      </c>
      <c r="AK4625">
        <v>53.978294505749702</v>
      </c>
      <c r="AL4625">
        <v>88.830817978128195</v>
      </c>
      <c r="AM4625">
        <v>86.049867750218098</v>
      </c>
      <c r="AN4625">
        <v>1.00000001677869</v>
      </c>
    </row>
    <row r="4626" spans="1:40" x14ac:dyDescent="0.25">
      <c r="A4626" t="str">
        <f>"20190312160735721"</f>
        <v>20190312160735721</v>
      </c>
      <c r="B4626" t="str">
        <f>"1552378055709650"</f>
        <v>1552378055709650</v>
      </c>
      <c r="C4626" t="s">
        <v>40</v>
      </c>
      <c r="D4626">
        <v>6.2818860000000001</v>
      </c>
      <c r="E4626">
        <v>0.57113329999999995</v>
      </c>
      <c r="F4626" t="s">
        <v>90</v>
      </c>
      <c r="G4626">
        <v>-219.7595</v>
      </c>
      <c r="H4626">
        <v>3.6652360000000002</v>
      </c>
      <c r="I4626">
        <v>114.71259999999999</v>
      </c>
      <c r="J4626">
        <v>-193.0891</v>
      </c>
      <c r="K4626">
        <v>1.106633</v>
      </c>
      <c r="L4626">
        <v>161.5215</v>
      </c>
      <c r="M4626">
        <v>-0.26211489999999998</v>
      </c>
      <c r="N4626">
        <v>0</v>
      </c>
      <c r="O4626">
        <v>-0.96498519999999999</v>
      </c>
      <c r="P4626">
        <v>-0.32699810000000001</v>
      </c>
      <c r="Q4626">
        <v>1.1288930000000001E-2</v>
      </c>
      <c r="R4626">
        <v>-0.94495770000000001</v>
      </c>
      <c r="S4626">
        <v>-1.5086360000000001</v>
      </c>
      <c r="T4626">
        <v>0.144486</v>
      </c>
      <c r="U4626">
        <v>-2.652161</v>
      </c>
      <c r="V4626">
        <v>6.8012100000000006E-2</v>
      </c>
      <c r="W4626">
        <v>2.076745E-2</v>
      </c>
      <c r="X4626">
        <v>0.99746840000000003</v>
      </c>
      <c r="Y4626">
        <v>0.2487365</v>
      </c>
      <c r="Z4626">
        <v>-4.7215989999999999E-2</v>
      </c>
      <c r="AA4626">
        <v>0.96741969999999999</v>
      </c>
      <c r="AB4626">
        <v>24</v>
      </c>
      <c r="AC4626">
        <v>-26.670400000000001</v>
      </c>
      <c r="AD4626">
        <v>2.55860299999999</v>
      </c>
      <c r="AE4626">
        <v>-46.808900000000001</v>
      </c>
      <c r="AF4626">
        <v>13.4375910636033</v>
      </c>
      <c r="AG4626">
        <v>2.55860299999999</v>
      </c>
      <c r="AH4626">
        <v>52.045804515783999</v>
      </c>
      <c r="AI4626">
        <v>87.274796486838</v>
      </c>
      <c r="AJ4626">
        <v>75.523084225267894</v>
      </c>
      <c r="AK4626">
        <v>53.813391182859299</v>
      </c>
      <c r="AL4626">
        <v>88.810027301004595</v>
      </c>
      <c r="AM4626">
        <v>86.099340968758597</v>
      </c>
      <c r="AN4626">
        <v>1.0000000708622301</v>
      </c>
    </row>
    <row r="4627" spans="1:40" x14ac:dyDescent="0.25">
      <c r="A4627" t="str">
        <f>"20190312160735736"</f>
        <v>20190312160735736</v>
      </c>
      <c r="B4627" t="str">
        <f>"1552378055730147"</f>
        <v>1552378055730147</v>
      </c>
      <c r="C4627" t="s">
        <v>40</v>
      </c>
      <c r="D4627">
        <v>6.361656</v>
      </c>
      <c r="E4627">
        <v>0.57124129999999995</v>
      </c>
      <c r="F4627" t="s">
        <v>90</v>
      </c>
      <c r="G4627">
        <v>-219.81909999999999</v>
      </c>
      <c r="H4627">
        <v>3.633626</v>
      </c>
      <c r="I4627">
        <v>114.75620000000001</v>
      </c>
      <c r="J4627">
        <v>-193.13390000000001</v>
      </c>
      <c r="K4627">
        <v>1.1066480000000001</v>
      </c>
      <c r="L4627">
        <v>161.36799999999999</v>
      </c>
      <c r="M4627">
        <v>-0.26484220000000003</v>
      </c>
      <c r="N4627">
        <v>0</v>
      </c>
      <c r="O4627">
        <v>-0.96423669999999995</v>
      </c>
      <c r="P4627">
        <v>-0.3291115</v>
      </c>
      <c r="Q4627">
        <v>1.117956E-2</v>
      </c>
      <c r="R4627">
        <v>-0.94422510000000004</v>
      </c>
      <c r="S4627">
        <v>-1.5141450000000001</v>
      </c>
      <c r="T4627">
        <v>0.14314389999999999</v>
      </c>
      <c r="U4627">
        <v>-2.6490629999999999</v>
      </c>
      <c r="V4627">
        <v>6.7426050000000001E-2</v>
      </c>
      <c r="W4627">
        <v>2.100486E-2</v>
      </c>
      <c r="X4627">
        <v>0.99750320000000003</v>
      </c>
      <c r="Y4627">
        <v>0.2480117</v>
      </c>
      <c r="Z4627">
        <v>-4.675431E-2</v>
      </c>
      <c r="AA4627">
        <v>0.96762809999999999</v>
      </c>
      <c r="AB4627">
        <v>24</v>
      </c>
      <c r="AC4627">
        <v>-26.685199999999899</v>
      </c>
      <c r="AD4627">
        <v>2.52697799999999</v>
      </c>
      <c r="AE4627">
        <v>-46.611799999999903</v>
      </c>
      <c r="AF4627">
        <v>13.3572212114462</v>
      </c>
      <c r="AG4627">
        <v>2.52697799999999</v>
      </c>
      <c r="AH4627">
        <v>51.900052836100699</v>
      </c>
      <c r="AI4627">
        <v>87.3003467495884</v>
      </c>
      <c r="AJ4627">
        <v>75.567326220103098</v>
      </c>
      <c r="AK4627">
        <v>53.650875674997501</v>
      </c>
      <c r="AL4627">
        <v>88.796421724142704</v>
      </c>
      <c r="AM4627">
        <v>86.132984437157106</v>
      </c>
      <c r="AN4627">
        <v>1.00000005518622</v>
      </c>
    </row>
    <row r="4628" spans="1:40" x14ac:dyDescent="0.25">
      <c r="A4628" t="str">
        <f>"20190312160735748"</f>
        <v>20190312160735748</v>
      </c>
      <c r="B4628" t="str">
        <f>"1552378055739907"</f>
        <v>1552378055739907</v>
      </c>
      <c r="C4628" t="s">
        <v>40</v>
      </c>
      <c r="D4628">
        <v>6.0686640000000001</v>
      </c>
      <c r="E4628">
        <v>0.57128080000000003</v>
      </c>
      <c r="F4628" t="s">
        <v>90</v>
      </c>
      <c r="G4628">
        <v>-219.90209999999999</v>
      </c>
      <c r="H4628">
        <v>3.5811449999999998</v>
      </c>
      <c r="I4628">
        <v>114.8062</v>
      </c>
      <c r="J4628">
        <v>-193.17939999999999</v>
      </c>
      <c r="K4628">
        <v>1.106657</v>
      </c>
      <c r="L4628">
        <v>161.21440000000001</v>
      </c>
      <c r="M4628">
        <v>-0.26763419999999999</v>
      </c>
      <c r="N4628">
        <v>0</v>
      </c>
      <c r="O4628">
        <v>-0.96346140000000002</v>
      </c>
      <c r="P4628">
        <v>-0.33075949999999998</v>
      </c>
      <c r="Q4628">
        <v>1.0523370000000001E-2</v>
      </c>
      <c r="R4628">
        <v>-0.94365659999999896</v>
      </c>
      <c r="S4628">
        <v>-1.520859</v>
      </c>
      <c r="T4628">
        <v>0.14059070000000001</v>
      </c>
      <c r="U4628">
        <v>-2.6454469999999999</v>
      </c>
      <c r="V4628">
        <v>6.6274780000000005E-2</v>
      </c>
      <c r="W4628">
        <v>2.069785E-2</v>
      </c>
      <c r="X4628">
        <v>0.99758670000000005</v>
      </c>
      <c r="Y4628">
        <v>0.24764230000000001</v>
      </c>
      <c r="Z4628">
        <v>-4.5897359999999998E-2</v>
      </c>
      <c r="AA4628">
        <v>0.96776379999999995</v>
      </c>
      <c r="AB4628">
        <v>24</v>
      </c>
      <c r="AC4628">
        <v>-26.7227</v>
      </c>
      <c r="AD4628">
        <v>2.474488</v>
      </c>
      <c r="AE4628">
        <v>-46.408200000000001</v>
      </c>
      <c r="AF4628">
        <v>13.2982354860348</v>
      </c>
      <c r="AG4628">
        <v>2.474488</v>
      </c>
      <c r="AH4628">
        <v>51.756869907727101</v>
      </c>
      <c r="AI4628">
        <v>87.348766912672303</v>
      </c>
      <c r="AJ4628">
        <v>75.5903107835763</v>
      </c>
      <c r="AK4628">
        <v>53.495231007535303</v>
      </c>
      <c r="AL4628">
        <v>88.8140158433431</v>
      </c>
      <c r="AM4628">
        <v>86.199134006570205</v>
      </c>
      <c r="AN4628">
        <v>0.99999998573778004</v>
      </c>
    </row>
    <row r="4629" spans="1:40" x14ac:dyDescent="0.25">
      <c r="A4629" t="str">
        <f>"20190312160735761"</f>
        <v>20190312160735761</v>
      </c>
      <c r="B4629" t="str">
        <f>"1552378055749667"</f>
        <v>1552378055749667</v>
      </c>
      <c r="C4629" t="s">
        <v>40</v>
      </c>
      <c r="D4629">
        <v>5.9713310000000002</v>
      </c>
      <c r="E4629">
        <v>0.57134030000000002</v>
      </c>
      <c r="F4629" t="s">
        <v>90</v>
      </c>
      <c r="G4629">
        <v>-219.96289999999999</v>
      </c>
      <c r="H4629">
        <v>3.527603</v>
      </c>
      <c r="I4629">
        <v>114.82389999999999</v>
      </c>
      <c r="J4629">
        <v>-193.2149</v>
      </c>
      <c r="K4629">
        <v>1.1066560000000001</v>
      </c>
      <c r="L4629">
        <v>161.09569999999999</v>
      </c>
      <c r="M4629">
        <v>-0.26981739999999999</v>
      </c>
      <c r="N4629">
        <v>0</v>
      </c>
      <c r="O4629">
        <v>-0.96284939999999997</v>
      </c>
      <c r="P4629">
        <v>-0.33287109999999998</v>
      </c>
      <c r="Q4629">
        <v>1.0215500000000001E-2</v>
      </c>
      <c r="R4629">
        <v>-0.94291700000000001</v>
      </c>
      <c r="S4629">
        <v>-1.525803</v>
      </c>
      <c r="T4629">
        <v>0.13791679999999901</v>
      </c>
      <c r="U4629">
        <v>-2.642776</v>
      </c>
      <c r="V4629">
        <v>6.6246440000000004E-2</v>
      </c>
      <c r="W4629">
        <v>2.0643979999999999E-2</v>
      </c>
      <c r="X4629">
        <v>0.99758970000000002</v>
      </c>
      <c r="Y4629">
        <v>0.24724760000000001</v>
      </c>
      <c r="Z4629">
        <v>-4.5006289999999997E-2</v>
      </c>
      <c r="AA4629">
        <v>0.9679065</v>
      </c>
      <c r="AB4629">
        <v>24</v>
      </c>
      <c r="AC4629">
        <v>-26.747999999999902</v>
      </c>
      <c r="AD4629">
        <v>2.420947</v>
      </c>
      <c r="AE4629">
        <v>-46.271799999999999</v>
      </c>
      <c r="AF4629">
        <v>13.242980887062901</v>
      </c>
      <c r="AG4629">
        <v>2.420947</v>
      </c>
      <c r="AH4629">
        <v>51.666937645264099</v>
      </c>
      <c r="AI4629">
        <v>87.401155315648296</v>
      </c>
      <c r="AJ4629">
        <v>75.623758086225493</v>
      </c>
      <c r="AK4629">
        <v>53.3920403505198</v>
      </c>
      <c r="AL4629">
        <v>88.817103028309006</v>
      </c>
      <c r="AM4629">
        <v>86.200765939480306</v>
      </c>
      <c r="AN4629">
        <v>0.999999987134501</v>
      </c>
    </row>
    <row r="4630" spans="1:40" x14ac:dyDescent="0.25">
      <c r="A4630" t="str">
        <f>"20190312160735772"</f>
        <v>20190312160735772</v>
      </c>
      <c r="B4630" t="str">
        <f>"1552378055760402"</f>
        <v>1552378055760402</v>
      </c>
      <c r="C4630" t="s">
        <v>40</v>
      </c>
      <c r="D4630">
        <v>5.972677</v>
      </c>
      <c r="E4630">
        <v>0.57140269999999904</v>
      </c>
      <c r="F4630" t="s">
        <v>90</v>
      </c>
      <c r="G4630">
        <v>-220.0438</v>
      </c>
      <c r="H4630">
        <v>3.4850769999999902</v>
      </c>
      <c r="I4630">
        <v>114.8835</v>
      </c>
      <c r="J4630">
        <v>-193.2517</v>
      </c>
      <c r="K4630">
        <v>1.1066530000000001</v>
      </c>
      <c r="L4630">
        <v>160.97370000000001</v>
      </c>
      <c r="M4630">
        <v>-0.27207900000000002</v>
      </c>
      <c r="N4630">
        <v>0</v>
      </c>
      <c r="O4630">
        <v>-0.96221000000000001</v>
      </c>
      <c r="P4630">
        <v>-0.33491890000000002</v>
      </c>
      <c r="Q4630">
        <v>1.0037269999999999E-2</v>
      </c>
      <c r="R4630">
        <v>-0.94219370000000002</v>
      </c>
      <c r="S4630">
        <v>-1.532227</v>
      </c>
      <c r="T4630">
        <v>0.13583419999999999</v>
      </c>
      <c r="U4630">
        <v>-2.639221</v>
      </c>
      <c r="V4630">
        <v>6.6070719999999999E-2</v>
      </c>
      <c r="W4630">
        <v>2.072216E-2</v>
      </c>
      <c r="X4630">
        <v>0.99759969999999998</v>
      </c>
      <c r="Y4630">
        <v>0.24731449999999999</v>
      </c>
      <c r="Z4630">
        <v>-4.4310670000000003E-2</v>
      </c>
      <c r="AA4630">
        <v>0.96792160000000005</v>
      </c>
      <c r="AB4630">
        <v>24</v>
      </c>
      <c r="AC4630">
        <v>-26.792100000000001</v>
      </c>
      <c r="AD4630">
        <v>2.3784239999999901</v>
      </c>
      <c r="AE4630">
        <v>-46.090200000000003</v>
      </c>
      <c r="AF4630">
        <v>13.2139773033946</v>
      </c>
      <c r="AG4630">
        <v>2.3784239999999901</v>
      </c>
      <c r="AH4630">
        <v>51.5386636373971</v>
      </c>
      <c r="AI4630">
        <v>87.440441966874999</v>
      </c>
      <c r="AJ4630">
        <v>75.619715980856</v>
      </c>
      <c r="AK4630">
        <v>53.258801586471698</v>
      </c>
      <c r="AL4630">
        <v>88.812622647264206</v>
      </c>
      <c r="AM4630">
        <v>86.210851958681602</v>
      </c>
      <c r="AN4630">
        <v>0.99999995469823599</v>
      </c>
    </row>
    <row r="4631" spans="1:40" x14ac:dyDescent="0.25">
      <c r="A4631" t="str">
        <f>"20190312160735794"</f>
        <v>20190312160735794</v>
      </c>
      <c r="B4631" t="str">
        <f>"1552378055789682"</f>
        <v>1552378055789682</v>
      </c>
      <c r="C4631" t="s">
        <v>40</v>
      </c>
      <c r="D4631">
        <v>5.8133439999999998</v>
      </c>
      <c r="E4631">
        <v>0.57161439999999997</v>
      </c>
      <c r="F4631" t="s">
        <v>90</v>
      </c>
      <c r="G4631">
        <v>-220.12</v>
      </c>
      <c r="H4631">
        <v>3.446107</v>
      </c>
      <c r="I4631">
        <v>114.941</v>
      </c>
      <c r="J4631">
        <v>-193.3192</v>
      </c>
      <c r="K4631">
        <v>1.1066370000000001</v>
      </c>
      <c r="L4631">
        <v>160.75290000000001</v>
      </c>
      <c r="M4631">
        <v>-0.27625529999999998</v>
      </c>
      <c r="N4631">
        <v>0</v>
      </c>
      <c r="O4631">
        <v>-0.96101400000000003</v>
      </c>
      <c r="P4631">
        <v>-0.3395801</v>
      </c>
      <c r="Q4631">
        <v>9.6764290000000003E-3</v>
      </c>
      <c r="R4631">
        <v>-0.94052760000000002</v>
      </c>
      <c r="S4631">
        <v>-1.5384370000000001</v>
      </c>
      <c r="T4631">
        <v>0.1339535</v>
      </c>
      <c r="U4631">
        <v>-2.6357569999999999</v>
      </c>
      <c r="V4631">
        <v>6.6679459999999996E-2</v>
      </c>
      <c r="W4631">
        <v>2.078414E-2</v>
      </c>
      <c r="X4631">
        <v>0.9975579</v>
      </c>
      <c r="Y4631">
        <v>0.2453745</v>
      </c>
      <c r="Z4631">
        <v>-4.3654909999999998E-2</v>
      </c>
      <c r="AA4631">
        <v>0.96844490000000005</v>
      </c>
      <c r="AB4631">
        <v>24</v>
      </c>
      <c r="AC4631">
        <v>-26.800799999999999</v>
      </c>
      <c r="AD4631">
        <v>2.3394699999999999</v>
      </c>
      <c r="AE4631">
        <v>-45.811900000000001</v>
      </c>
      <c r="AF4631">
        <v>13.0756444303815</v>
      </c>
      <c r="AG4631">
        <v>2.3394699999999999</v>
      </c>
      <c r="AH4631">
        <v>51.333479948603802</v>
      </c>
      <c r="AI4631">
        <v>87.471246308657797</v>
      </c>
      <c r="AJ4631">
        <v>75.709533013336795</v>
      </c>
      <c r="AK4631">
        <v>53.024256343529999</v>
      </c>
      <c r="AL4631">
        <v>88.809070680959806</v>
      </c>
      <c r="AM4631">
        <v>86.175884141083898</v>
      </c>
      <c r="AN4631">
        <v>0.99999994735691899</v>
      </c>
    </row>
    <row r="4632" spans="1:40" x14ac:dyDescent="0.25">
      <c r="A4632" t="str">
        <f>"20190312160735806"</f>
        <v>20190312160735806</v>
      </c>
      <c r="B4632" t="str">
        <f>"1552378055800418"</f>
        <v>1552378055800418</v>
      </c>
      <c r="C4632" t="s">
        <v>40</v>
      </c>
      <c r="D4632">
        <v>5.7092289999999997</v>
      </c>
      <c r="E4632">
        <v>0.60455170000000003</v>
      </c>
      <c r="F4632" t="s">
        <v>59</v>
      </c>
      <c r="G4632">
        <v>-226.3974</v>
      </c>
      <c r="H4632">
        <v>3.915028</v>
      </c>
      <c r="I4632">
        <v>104.79170000000001</v>
      </c>
      <c r="J4632">
        <v>-193.35810000000001</v>
      </c>
      <c r="K4632">
        <v>1.106619</v>
      </c>
      <c r="L4632">
        <v>160.62790000000001</v>
      </c>
      <c r="M4632">
        <v>-0.27867789999999998</v>
      </c>
      <c r="N4632">
        <v>0</v>
      </c>
      <c r="O4632">
        <v>-0.96031149999999998</v>
      </c>
      <c r="P4632">
        <v>-0.34217700000000001</v>
      </c>
      <c r="Q4632">
        <v>9.8030329999999992E-3</v>
      </c>
      <c r="R4632">
        <v>-0.93958459999999999</v>
      </c>
      <c r="S4632">
        <v>-1.553131</v>
      </c>
      <c r="T4632">
        <v>0.1318637</v>
      </c>
      <c r="U4632">
        <v>-2.6275629999999999</v>
      </c>
      <c r="V4632">
        <v>6.6923750000000004E-2</v>
      </c>
      <c r="W4632">
        <v>2.1129769999999999E-2</v>
      </c>
      <c r="X4632">
        <v>0.99753429999999998</v>
      </c>
      <c r="Y4632">
        <v>0.24828069999999999</v>
      </c>
      <c r="Z4632">
        <v>-4.2970969999999997E-2</v>
      </c>
      <c r="AA4632">
        <v>0.9677346</v>
      </c>
      <c r="AB4632">
        <v>24</v>
      </c>
      <c r="AC4632">
        <v>-33.039299999999997</v>
      </c>
      <c r="AD4632">
        <v>2.8084090000000002</v>
      </c>
      <c r="AE4632">
        <v>-55.836199999999998</v>
      </c>
      <c r="AF4632">
        <v>16.1386004725743</v>
      </c>
      <c r="AG4632">
        <v>2.8084090000000002</v>
      </c>
      <c r="AH4632">
        <v>62.714368791010401</v>
      </c>
      <c r="AI4632">
        <v>87.516751348949995</v>
      </c>
      <c r="AJ4632">
        <v>75.568902557149499</v>
      </c>
      <c r="AK4632">
        <v>64.818466806763595</v>
      </c>
      <c r="AL4632">
        <v>88.789263213897001</v>
      </c>
      <c r="AM4632">
        <v>86.161825197638805</v>
      </c>
      <c r="AN4632">
        <v>0.99999996758540199</v>
      </c>
    </row>
    <row r="4633" spans="1:40" x14ac:dyDescent="0.25">
      <c r="A4633" t="str">
        <f>"20190312160735817"</f>
        <v>20190312160735817</v>
      </c>
      <c r="B4633" t="str">
        <f>"1552378055810179"</f>
        <v>1552378055810179</v>
      </c>
      <c r="C4633" t="s">
        <v>40</v>
      </c>
      <c r="D4633">
        <v>5.6935169999999999</v>
      </c>
      <c r="E4633">
        <v>0.60356679999999996</v>
      </c>
      <c r="F4633" t="s">
        <v>89</v>
      </c>
      <c r="G4633">
        <v>-204.5754</v>
      </c>
      <c r="H4633" s="1">
        <v>-9.1647840000000003E-6</v>
      </c>
      <c r="I4633">
        <v>144.98249999999999</v>
      </c>
      <c r="J4633">
        <v>-193.39940000000001</v>
      </c>
      <c r="K4633">
        <v>1.1066039999999999</v>
      </c>
      <c r="L4633">
        <v>160.49600000000001</v>
      </c>
      <c r="M4633">
        <v>-0.28125329999999998</v>
      </c>
      <c r="N4633">
        <v>0</v>
      </c>
      <c r="O4633">
        <v>-0.95955749999999995</v>
      </c>
      <c r="P4633">
        <v>-0.34493940000000001</v>
      </c>
      <c r="Q4633">
        <v>9.9619329999999992E-3</v>
      </c>
      <c r="R4633">
        <v>-0.93857239999999997</v>
      </c>
      <c r="S4633">
        <v>-1.8162990000000001</v>
      </c>
      <c r="T4633">
        <v>-0.17918539999999999</v>
      </c>
      <c r="U4633">
        <v>-2.5332949999999999</v>
      </c>
      <c r="V4633">
        <v>6.7186560000000006E-2</v>
      </c>
      <c r="W4633">
        <v>2.151163E-2</v>
      </c>
      <c r="X4633">
        <v>0.99750850000000002</v>
      </c>
      <c r="Y4633">
        <v>0.32956439999999998</v>
      </c>
      <c r="Z4633">
        <v>5.7815190000000002E-2</v>
      </c>
      <c r="AA4633">
        <v>0.94236120000000001</v>
      </c>
      <c r="AB4633">
        <v>24</v>
      </c>
      <c r="AC4633">
        <v>-11.175999999999901</v>
      </c>
      <c r="AD4633">
        <v>-1.1066131647840001</v>
      </c>
      <c r="AE4633">
        <v>-15.513500000000001</v>
      </c>
      <c r="AF4633">
        <v>6.3400180870515603</v>
      </c>
      <c r="AG4633">
        <v>-1.1066131647840001</v>
      </c>
      <c r="AH4633">
        <v>17.970500694363299</v>
      </c>
      <c r="AI4633">
        <v>93.323510835036501</v>
      </c>
      <c r="AJ4633">
        <v>70.567086175888605</v>
      </c>
      <c r="AK4633">
        <v>19.088198376136098</v>
      </c>
      <c r="AL4633">
        <v>88.767379307016995</v>
      </c>
      <c r="AM4633">
        <v>86.146698615923697</v>
      </c>
      <c r="AN4633">
        <v>0.99999999582107002</v>
      </c>
    </row>
    <row r="4634" spans="1:40" x14ac:dyDescent="0.25">
      <c r="A4634" t="str">
        <f>"20190312160735838"</f>
        <v>20190312160735838</v>
      </c>
      <c r="B4634" t="str">
        <f>"1552378055829698"</f>
        <v>1552378055829698</v>
      </c>
      <c r="C4634" t="s">
        <v>40</v>
      </c>
      <c r="D4634">
        <v>5.9055849999999896</v>
      </c>
      <c r="E4634">
        <v>0.60241630000000002</v>
      </c>
      <c r="F4634" t="s">
        <v>89</v>
      </c>
      <c r="G4634">
        <v>-205.07480000000001</v>
      </c>
      <c r="H4634" s="1">
        <v>-8.7700499999999907E-6</v>
      </c>
      <c r="I4634">
        <v>144.22919999999999</v>
      </c>
      <c r="J4634">
        <v>-193.46690000000001</v>
      </c>
      <c r="K4634">
        <v>1.106568</v>
      </c>
      <c r="L4634">
        <v>160.28370000000001</v>
      </c>
      <c r="M4634">
        <v>-0.28548580000000001</v>
      </c>
      <c r="N4634">
        <v>0</v>
      </c>
      <c r="O4634">
        <v>-0.9583024</v>
      </c>
      <c r="P4634">
        <v>-0.34921659999999999</v>
      </c>
      <c r="Q4634">
        <v>1.033252E-2</v>
      </c>
      <c r="R4634">
        <v>-0.93698539999999997</v>
      </c>
      <c r="S4634">
        <v>-1.8163450000000001</v>
      </c>
      <c r="T4634">
        <v>-0.1721559</v>
      </c>
      <c r="U4634">
        <v>-2.53064</v>
      </c>
      <c r="V4634">
        <v>6.7342109999999997E-2</v>
      </c>
      <c r="W4634">
        <v>2.2212889999999999E-2</v>
      </c>
      <c r="X4634">
        <v>0.99748270000000006</v>
      </c>
      <c r="Y4634">
        <v>0.32595089999999999</v>
      </c>
      <c r="Z4634">
        <v>5.5531200000000003E-2</v>
      </c>
      <c r="AA4634">
        <v>0.94375439999999999</v>
      </c>
      <c r="AB4634">
        <v>24</v>
      </c>
      <c r="AC4634">
        <v>-11.607900000000001</v>
      </c>
      <c r="AD4634">
        <v>-1.10657677005</v>
      </c>
      <c r="AE4634">
        <v>-16.054500000000001</v>
      </c>
      <c r="AF4634">
        <v>6.52070788616588</v>
      </c>
      <c r="AG4634">
        <v>-1.10657677005</v>
      </c>
      <c r="AH4634">
        <v>18.642238879269701</v>
      </c>
      <c r="AI4634">
        <v>93.206924131979505</v>
      </c>
      <c r="AJ4634">
        <v>70.721113989708599</v>
      </c>
      <c r="AK4634">
        <v>19.780728346460702</v>
      </c>
      <c r="AL4634">
        <v>88.727190536974703</v>
      </c>
      <c r="AM4634">
        <v>86.137704845959604</v>
      </c>
      <c r="AN4634">
        <v>1.00000005453034</v>
      </c>
    </row>
    <row r="4635" spans="1:40" x14ac:dyDescent="0.25">
      <c r="A4635" t="str">
        <f>"20190312160735851"</f>
        <v>20190312160735851</v>
      </c>
      <c r="B4635" t="str">
        <f>"1552378055840434"</f>
        <v>1552378055840434</v>
      </c>
      <c r="C4635" t="s">
        <v>40</v>
      </c>
      <c r="D4635">
        <v>6.1171730000000002</v>
      </c>
      <c r="E4635">
        <v>0.59320649999999997</v>
      </c>
      <c r="F4635" t="s">
        <v>89</v>
      </c>
      <c r="G4635">
        <v>-206.47489999999999</v>
      </c>
      <c r="H4635" s="1">
        <v>-7.6195520000000002E-6</v>
      </c>
      <c r="I4635">
        <v>142.22290000000001</v>
      </c>
      <c r="J4635">
        <v>-193.5085</v>
      </c>
      <c r="K4635">
        <v>1.106541</v>
      </c>
      <c r="L4635">
        <v>160.15440000000001</v>
      </c>
      <c r="M4635">
        <v>-0.288105</v>
      </c>
      <c r="N4635">
        <v>0</v>
      </c>
      <c r="O4635">
        <v>-0.95751540000000002</v>
      </c>
      <c r="P4635">
        <v>-0.35229369999999999</v>
      </c>
      <c r="Q4635">
        <v>1.0038139999999999E-2</v>
      </c>
      <c r="R4635">
        <v>-0.93583550000000004</v>
      </c>
      <c r="S4635">
        <v>-1.81897</v>
      </c>
      <c r="T4635">
        <v>-0.1547376</v>
      </c>
      <c r="U4635">
        <v>-2.525528</v>
      </c>
      <c r="V4635">
        <v>6.7891960000000001E-2</v>
      </c>
      <c r="W4635">
        <v>2.210086E-2</v>
      </c>
      <c r="X4635">
        <v>0.9974478</v>
      </c>
      <c r="Y4635">
        <v>0.32509320000000003</v>
      </c>
      <c r="Z4635">
        <v>4.9944429999999998E-2</v>
      </c>
      <c r="AA4635">
        <v>0.94436220000000004</v>
      </c>
      <c r="AB4635">
        <v>24</v>
      </c>
      <c r="AC4635">
        <v>-12.966399999999901</v>
      </c>
      <c r="AD4635">
        <v>-1.106548619552</v>
      </c>
      <c r="AE4635">
        <v>-17.9315</v>
      </c>
      <c r="AF4635">
        <v>7.2318681832187703</v>
      </c>
      <c r="AG4635">
        <v>-1.106548619552</v>
      </c>
      <c r="AH4635">
        <v>20.854892928811999</v>
      </c>
      <c r="AI4635">
        <v>92.869883581927994</v>
      </c>
      <c r="AJ4635">
        <v>70.874946861148899</v>
      </c>
      <c r="AK4635">
        <v>22.100925915877301</v>
      </c>
      <c r="AL4635">
        <v>88.7336108138974</v>
      </c>
      <c r="AM4635">
        <v>86.106129905149501</v>
      </c>
      <c r="AN4635">
        <v>0.99999993998510806</v>
      </c>
    </row>
    <row r="4636" spans="1:40" x14ac:dyDescent="0.25">
      <c r="A4636" t="str">
        <f>"20190312160735864"</f>
        <v>20190312160735864</v>
      </c>
      <c r="B4636" t="str">
        <f>"1552378055859955"</f>
        <v>1552378055859955</v>
      </c>
      <c r="C4636" t="s">
        <v>40</v>
      </c>
      <c r="D4636">
        <v>6.0171510000000001</v>
      </c>
      <c r="E4636">
        <v>0.58835919999999997</v>
      </c>
      <c r="F4636" t="s">
        <v>59</v>
      </c>
      <c r="G4636">
        <v>-226.39680000000001</v>
      </c>
      <c r="H4636">
        <v>2.1156799999999998</v>
      </c>
      <c r="I4636">
        <v>112.37139999999999</v>
      </c>
      <c r="J4636">
        <v>-193.55099999999999</v>
      </c>
      <c r="K4636">
        <v>1.1065210000000001</v>
      </c>
      <c r="L4636">
        <v>160.02430000000001</v>
      </c>
      <c r="M4636">
        <v>-0.29078169999999998</v>
      </c>
      <c r="N4636">
        <v>0</v>
      </c>
      <c r="O4636">
        <v>-0.95670370000000005</v>
      </c>
      <c r="P4636">
        <v>-0.35550959999999998</v>
      </c>
      <c r="Q4636">
        <v>9.668154E-3</v>
      </c>
      <c r="R4636">
        <v>-0.93462270000000003</v>
      </c>
      <c r="S4636">
        <v>-1.75206</v>
      </c>
      <c r="T4636">
        <v>5.3760290000000002E-2</v>
      </c>
      <c r="U4636">
        <v>-2.545547</v>
      </c>
      <c r="V4636">
        <v>6.8530519999999998E-2</v>
      </c>
      <c r="W4636">
        <v>2.1898730000000002E-2</v>
      </c>
      <c r="X4636">
        <v>0.99740859999999998</v>
      </c>
      <c r="Y4636">
        <v>0.30282710000000002</v>
      </c>
      <c r="Z4636">
        <v>-1.7426980000000002E-2</v>
      </c>
      <c r="AA4636">
        <v>0.95288620000000002</v>
      </c>
      <c r="AB4636">
        <v>24</v>
      </c>
      <c r="AC4636">
        <v>-32.845799999999997</v>
      </c>
      <c r="AD4636">
        <v>1.0091589999999999</v>
      </c>
      <c r="AE4636">
        <v>-47.652900000000002</v>
      </c>
      <c r="AF4636">
        <v>17.563208300186499</v>
      </c>
      <c r="AG4636">
        <v>1.0091589999999999</v>
      </c>
      <c r="AH4636">
        <v>55.128425471673303</v>
      </c>
      <c r="AI4636">
        <v>89.000757735595897</v>
      </c>
      <c r="AJ4636">
        <v>72.328789143563</v>
      </c>
      <c r="AK4636">
        <v>57.867330875623203</v>
      </c>
      <c r="AL4636">
        <v>88.745194827902196</v>
      </c>
      <c r="AM4636">
        <v>86.069466252272306</v>
      </c>
      <c r="AN4636">
        <v>0.99999995095051997</v>
      </c>
    </row>
    <row r="4637" spans="1:40" x14ac:dyDescent="0.25">
      <c r="A4637" t="str">
        <f>"20190312160735876"</f>
        <v>20190312160735876</v>
      </c>
      <c r="B4637" t="str">
        <f>"1552378055869715"</f>
        <v>1552378055869715</v>
      </c>
      <c r="C4637" t="s">
        <v>40</v>
      </c>
      <c r="D4637">
        <v>6.0131230000000002</v>
      </c>
      <c r="E4637">
        <v>0.58614829999999996</v>
      </c>
      <c r="F4637" t="s">
        <v>59</v>
      </c>
      <c r="G4637">
        <v>-226.26150000000001</v>
      </c>
      <c r="H4637">
        <v>1.799347</v>
      </c>
      <c r="I4637">
        <v>111.6109</v>
      </c>
      <c r="J4637">
        <v>-193.59469999999999</v>
      </c>
      <c r="K4637">
        <v>1.106503</v>
      </c>
      <c r="L4637">
        <v>159.89109999999999</v>
      </c>
      <c r="M4637">
        <v>-0.29354089999999999</v>
      </c>
      <c r="N4637">
        <v>0</v>
      </c>
      <c r="O4637">
        <v>-0.95585830000000005</v>
      </c>
      <c r="P4637">
        <v>-0.35874919999999999</v>
      </c>
      <c r="Q4637">
        <v>8.771816E-3</v>
      </c>
      <c r="R4637">
        <v>-0.93339280000000002</v>
      </c>
      <c r="S4637">
        <v>-1.72512799999999</v>
      </c>
      <c r="T4637">
        <v>3.6539439999999999E-2</v>
      </c>
      <c r="U4637">
        <v>-2.5532840000000001</v>
      </c>
      <c r="V4637">
        <v>6.9104429999999994E-2</v>
      </c>
      <c r="W4637">
        <v>2.1166480000000001E-2</v>
      </c>
      <c r="X4637">
        <v>0.99738479999999996</v>
      </c>
      <c r="Y4637">
        <v>0.29188720000000001</v>
      </c>
      <c r="Z4637">
        <v>-1.185398E-2</v>
      </c>
      <c r="AA4637">
        <v>0.95637930000000004</v>
      </c>
      <c r="AB4637">
        <v>24</v>
      </c>
      <c r="AC4637">
        <v>-32.666800000000002</v>
      </c>
      <c r="AD4637">
        <v>0.69284400000000002</v>
      </c>
      <c r="AE4637">
        <v>-48.280200000000001</v>
      </c>
      <c r="AF4637">
        <v>17.051647897348701</v>
      </c>
      <c r="AG4637">
        <v>0.69284400000000002</v>
      </c>
      <c r="AH4637">
        <v>55.734899085273298</v>
      </c>
      <c r="AI4637">
        <v>89.318946758519999</v>
      </c>
      <c r="AJ4637">
        <v>72.988926653939401</v>
      </c>
      <c r="AK4637">
        <v>58.289087356632102</v>
      </c>
      <c r="AL4637">
        <v>88.787159382637995</v>
      </c>
      <c r="AM4637">
        <v>86.036560125732393</v>
      </c>
      <c r="AN4637">
        <v>0.99999994069612497</v>
      </c>
    </row>
    <row r="4638" spans="1:40" x14ac:dyDescent="0.25">
      <c r="A4638" t="str">
        <f>"20190312160735889"</f>
        <v>20190312160735889</v>
      </c>
      <c r="B4638" t="str">
        <f>"1552378055880451"</f>
        <v>1552378055880451</v>
      </c>
      <c r="C4638" t="s">
        <v>40</v>
      </c>
      <c r="D4638">
        <v>5.9977369999999999</v>
      </c>
      <c r="E4638">
        <v>0.58457959999999998</v>
      </c>
      <c r="F4638" t="s">
        <v>59</v>
      </c>
      <c r="G4638">
        <v>-226.18459999999999</v>
      </c>
      <c r="H4638">
        <v>1.5857139999999901</v>
      </c>
      <c r="I4638">
        <v>111.4438</v>
      </c>
      <c r="J4638">
        <v>-193.63730000000001</v>
      </c>
      <c r="K4638">
        <v>1.1064849999999999</v>
      </c>
      <c r="L4638">
        <v>159.76300000000001</v>
      </c>
      <c r="M4638">
        <v>-0.29623719999999998</v>
      </c>
      <c r="N4638">
        <v>0</v>
      </c>
      <c r="O4638">
        <v>-0.95502399999999998</v>
      </c>
      <c r="P4638">
        <v>-0.36251539999999999</v>
      </c>
      <c r="Q4638">
        <v>8.0047160000000003E-3</v>
      </c>
      <c r="R4638">
        <v>-0.93194330000000003</v>
      </c>
      <c r="S4638">
        <v>-1.717789</v>
      </c>
      <c r="T4638">
        <v>2.5259139999999999E-2</v>
      </c>
      <c r="U4638">
        <v>-2.5536189999999999</v>
      </c>
      <c r="V4638">
        <v>7.0310990000000004E-2</v>
      </c>
      <c r="W4638">
        <v>2.053671E-2</v>
      </c>
      <c r="X4638">
        <v>0.99731369999999997</v>
      </c>
      <c r="Y4638">
        <v>0.28725699999999998</v>
      </c>
      <c r="Z4638">
        <v>-8.1953930000000005E-3</v>
      </c>
      <c r="AA4638">
        <v>0.95781850000000002</v>
      </c>
      <c r="AB4638">
        <v>24</v>
      </c>
      <c r="AC4638">
        <v>-32.5472999999999</v>
      </c>
      <c r="AD4638">
        <v>0.47922899999999902</v>
      </c>
      <c r="AE4638">
        <v>-48.319200000000002</v>
      </c>
      <c r="AF4638">
        <v>16.7698214614508</v>
      </c>
      <c r="AG4638">
        <v>0.47922899999999902</v>
      </c>
      <c r="AH4638">
        <v>55.7887590812702</v>
      </c>
      <c r="AI4638">
        <v>89.528670309546598</v>
      </c>
      <c r="AJ4638">
        <v>73.269485294778605</v>
      </c>
      <c r="AK4638">
        <v>58.256692423372101</v>
      </c>
      <c r="AL4638">
        <v>88.823250469772603</v>
      </c>
      <c r="AM4638">
        <v>85.967298466301102</v>
      </c>
      <c r="AN4638">
        <v>1.0000000039900401</v>
      </c>
    </row>
    <row r="4639" spans="1:40" x14ac:dyDescent="0.25">
      <c r="A4639" t="str">
        <f>"20190312160735907"</f>
        <v>20190312160735907</v>
      </c>
      <c r="B4639" t="str">
        <f>"1552378055899970"</f>
        <v>1552378055899970</v>
      </c>
      <c r="C4639" t="s">
        <v>40</v>
      </c>
      <c r="D4639">
        <v>5.7700879999999897</v>
      </c>
      <c r="E4639">
        <v>0.58426610000000001</v>
      </c>
      <c r="F4639" t="s">
        <v>59</v>
      </c>
      <c r="G4639">
        <v>-226.18450000000001</v>
      </c>
      <c r="H4639">
        <v>1.405041</v>
      </c>
      <c r="I4639">
        <v>111.38930000000001</v>
      </c>
      <c r="J4639">
        <v>-193.69759999999999</v>
      </c>
      <c r="K4639">
        <v>1.106463</v>
      </c>
      <c r="L4639">
        <v>159.5839</v>
      </c>
      <c r="M4639">
        <v>-0.30005290000000001</v>
      </c>
      <c r="N4639">
        <v>0</v>
      </c>
      <c r="O4639">
        <v>-0.95382929999999999</v>
      </c>
      <c r="P4639">
        <v>-0.36850250000000001</v>
      </c>
      <c r="Q4639">
        <v>7.303276E-3</v>
      </c>
      <c r="R4639">
        <v>-0.92959820000000004</v>
      </c>
      <c r="S4639">
        <v>-1.716537</v>
      </c>
      <c r="T4639">
        <v>1.5746119999999999E-2</v>
      </c>
      <c r="U4639">
        <v>-2.5512239999999999</v>
      </c>
      <c r="V4639">
        <v>7.2733829999999999E-2</v>
      </c>
      <c r="W4639">
        <v>2.0004190000000002E-2</v>
      </c>
      <c r="X4639">
        <v>0.9971508</v>
      </c>
      <c r="Y4639">
        <v>0.2835297</v>
      </c>
      <c r="Z4639">
        <v>-5.1071399999999996E-3</v>
      </c>
      <c r="AA4639">
        <v>0.95894990000000002</v>
      </c>
      <c r="AB4639">
        <v>24</v>
      </c>
      <c r="AC4639">
        <v>-32.486899999999999</v>
      </c>
      <c r="AD4639">
        <v>0.29857800000000001</v>
      </c>
      <c r="AE4639">
        <v>-48.194600000000001</v>
      </c>
      <c r="AF4639">
        <v>16.527061823174801</v>
      </c>
      <c r="AG4639">
        <v>0.29857800000000001</v>
      </c>
      <c r="AH4639">
        <v>55.720697031502297</v>
      </c>
      <c r="AI4639">
        <v>89.705659068105504</v>
      </c>
      <c r="AJ4639">
        <v>73.479356913790795</v>
      </c>
      <c r="AK4639">
        <v>58.120813819195597</v>
      </c>
      <c r="AL4639">
        <v>88.853767939045298</v>
      </c>
      <c r="AM4639">
        <v>85.828139302929998</v>
      </c>
      <c r="AN4639">
        <v>1.0000000477923301</v>
      </c>
    </row>
    <row r="4640" spans="1:40" x14ac:dyDescent="0.25">
      <c r="A4640" t="str">
        <f>"20190312160735922"</f>
        <v>20190312160735922</v>
      </c>
      <c r="B4640" t="str">
        <f>"1552378055909730"</f>
        <v>1552378055909730</v>
      </c>
      <c r="C4640" t="s">
        <v>40</v>
      </c>
      <c r="D4640">
        <v>5.800179</v>
      </c>
      <c r="E4640">
        <v>0.58426610000000001</v>
      </c>
      <c r="F4640" t="s">
        <v>59</v>
      </c>
      <c r="G4640">
        <v>-226.39660000000001</v>
      </c>
      <c r="H4640">
        <v>1.493946</v>
      </c>
      <c r="I4640">
        <v>111.5705</v>
      </c>
      <c r="J4640">
        <v>-193.74770000000001</v>
      </c>
      <c r="K4640">
        <v>1.10644599999999</v>
      </c>
      <c r="L4640">
        <v>159.43700000000001</v>
      </c>
      <c r="M4640">
        <v>-0.30322059999999901</v>
      </c>
      <c r="N4640">
        <v>0</v>
      </c>
      <c r="O4640">
        <v>-0.95282500000000003</v>
      </c>
      <c r="P4640">
        <v>-0.37230380000000002</v>
      </c>
      <c r="Q4640">
        <v>7.1086789999999997E-3</v>
      </c>
      <c r="R4640">
        <v>-0.92808380000000001</v>
      </c>
      <c r="S4640">
        <v>-1.7305299999999999</v>
      </c>
      <c r="T4640">
        <v>2.050722E-2</v>
      </c>
      <c r="U4640">
        <v>-2.5410159999999999</v>
      </c>
      <c r="V4640">
        <v>7.3500949999999995E-2</v>
      </c>
      <c r="W4640">
        <v>1.99446E-2</v>
      </c>
      <c r="X4640">
        <v>0.99709570000000003</v>
      </c>
      <c r="Y4640">
        <v>0.28573520000000002</v>
      </c>
      <c r="Z4640">
        <v>-6.6513780000000003E-3</v>
      </c>
      <c r="AA4640">
        <v>0.95828550000000001</v>
      </c>
      <c r="AB4640">
        <v>24</v>
      </c>
      <c r="AC4640">
        <v>-32.648899999999998</v>
      </c>
      <c r="AD4640">
        <v>0.38750000000000001</v>
      </c>
      <c r="AE4640">
        <v>-47.866500000000002</v>
      </c>
      <c r="AF4640">
        <v>16.5953455741666</v>
      </c>
      <c r="AG4640">
        <v>0.38750000000000001</v>
      </c>
      <c r="AH4640">
        <v>55.510780091627403</v>
      </c>
      <c r="AI4640">
        <v>89.616803305799706</v>
      </c>
      <c r="AJ4640">
        <v>73.3555879173515</v>
      </c>
      <c r="AK4640">
        <v>57.939644090700398</v>
      </c>
      <c r="AL4640">
        <v>88.857182827740303</v>
      </c>
      <c r="AM4640">
        <v>85.784064587382005</v>
      </c>
      <c r="AN4640">
        <v>1.00000000583927</v>
      </c>
    </row>
    <row r="4641" spans="1:40" x14ac:dyDescent="0.25">
      <c r="A4641" t="str">
        <f>"20190312160735939"</f>
        <v>20190312160735939</v>
      </c>
      <c r="B4641" t="str">
        <f>"1552378055930226"</f>
        <v>1552378055930226</v>
      </c>
      <c r="C4641" t="s">
        <v>40</v>
      </c>
      <c r="D4641">
        <v>5.9291400000000003</v>
      </c>
      <c r="E4641">
        <v>0.58398680000000003</v>
      </c>
      <c r="F4641" t="s">
        <v>59</v>
      </c>
      <c r="G4641">
        <v>-226.39660000000001</v>
      </c>
      <c r="H4641">
        <v>1.4789060000000001</v>
      </c>
      <c r="I4641">
        <v>111.91889999999999</v>
      </c>
      <c r="J4641">
        <v>-193.8133</v>
      </c>
      <c r="K4641">
        <v>1.1064210000000001</v>
      </c>
      <c r="L4641">
        <v>159.24700000000001</v>
      </c>
      <c r="M4641">
        <v>-0.30736619999999998</v>
      </c>
      <c r="N4641">
        <v>0</v>
      </c>
      <c r="O4641">
        <v>-0.95149360000000005</v>
      </c>
      <c r="P4641">
        <v>-0.37766480000000002</v>
      </c>
      <c r="Q4641">
        <v>7.593364E-3</v>
      </c>
      <c r="R4641">
        <v>-0.92591140000000005</v>
      </c>
      <c r="S4641">
        <v>-1.7410129999999999</v>
      </c>
      <c r="T4641">
        <v>1.9861819999999999E-2</v>
      </c>
      <c r="U4641">
        <v>-2.5339200000000002</v>
      </c>
      <c r="V4641">
        <v>7.4933630000000001E-2</v>
      </c>
      <c r="W4641">
        <v>2.058248E-2</v>
      </c>
      <c r="X4641">
        <v>0.99697610000000003</v>
      </c>
      <c r="Y4641">
        <v>0.2855087</v>
      </c>
      <c r="Z4641">
        <v>-6.437005E-3</v>
      </c>
      <c r="AA4641">
        <v>0.9583545</v>
      </c>
      <c r="AB4641">
        <v>24</v>
      </c>
      <c r="AC4641">
        <v>-32.583300000000001</v>
      </c>
      <c r="AD4641">
        <v>0.37248500000000001</v>
      </c>
      <c r="AE4641">
        <v>-47.328099999999999</v>
      </c>
      <c r="AF4641">
        <v>16.4565817781329</v>
      </c>
      <c r="AG4641">
        <v>0.37248500000000001</v>
      </c>
      <c r="AH4641">
        <v>55.050194659235999</v>
      </c>
      <c r="AI4641">
        <v>89.628567405843995</v>
      </c>
      <c r="AJ4641">
        <v>73.356608750723794</v>
      </c>
      <c r="AK4641">
        <v>57.458522091291002</v>
      </c>
      <c r="AL4641">
        <v>88.820627501320899</v>
      </c>
      <c r="AM4641">
        <v>85.701678939622298</v>
      </c>
      <c r="AN4641">
        <v>1.0000000156795601</v>
      </c>
    </row>
    <row r="4642" spans="1:40" x14ac:dyDescent="0.25">
      <c r="A4642" t="str">
        <f>"20190312160735952"</f>
        <v>20190312160735952</v>
      </c>
      <c r="B4642" t="str">
        <f>"1552378055939988"</f>
        <v>1552378055939988</v>
      </c>
      <c r="C4642" t="s">
        <v>40</v>
      </c>
      <c r="D4642">
        <v>6.1040839999999896</v>
      </c>
      <c r="E4642">
        <v>0.58427299999999904</v>
      </c>
      <c r="F4642" t="s">
        <v>59</v>
      </c>
      <c r="G4642">
        <v>-226.39660000000001</v>
      </c>
      <c r="H4642">
        <v>1.5638700000000001</v>
      </c>
      <c r="I4642">
        <v>112.3283</v>
      </c>
      <c r="J4642">
        <v>-193.8588</v>
      </c>
      <c r="K4642">
        <v>1.1064069999999999</v>
      </c>
      <c r="L4642">
        <v>159.11680000000001</v>
      </c>
      <c r="M4642">
        <v>-0.31023420000000002</v>
      </c>
      <c r="N4642">
        <v>0</v>
      </c>
      <c r="O4642">
        <v>-0.95056050000000003</v>
      </c>
      <c r="P4642">
        <v>-0.38070110000000001</v>
      </c>
      <c r="Q4642">
        <v>7.3963800000000001E-3</v>
      </c>
      <c r="R4642">
        <v>-0.92466859999999995</v>
      </c>
      <c r="S4642">
        <v>-1.7533110000000001</v>
      </c>
      <c r="T4642">
        <v>2.461576E-2</v>
      </c>
      <c r="U4642">
        <v>-2.5247039999999998</v>
      </c>
      <c r="V4642">
        <v>7.5197769999999997E-2</v>
      </c>
      <c r="W4642">
        <v>2.048809E-2</v>
      </c>
      <c r="X4642">
        <v>0.99695809999999996</v>
      </c>
      <c r="Y4642">
        <v>0.2873984</v>
      </c>
      <c r="Z4642">
        <v>-7.9775579999999992E-3</v>
      </c>
      <c r="AA4642">
        <v>0.95777789999999996</v>
      </c>
      <c r="AB4642">
        <v>24</v>
      </c>
      <c r="AC4642">
        <v>-32.537799999999997</v>
      </c>
      <c r="AD4642">
        <v>0.45746300000000001</v>
      </c>
      <c r="AE4642">
        <v>-46.788499999999999</v>
      </c>
      <c r="AF4642">
        <v>16.414252174742099</v>
      </c>
      <c r="AG4642">
        <v>0.45746300000000001</v>
      </c>
      <c r="AH4642">
        <v>54.571292657315098</v>
      </c>
      <c r="AI4642">
        <v>89.540063584340402</v>
      </c>
      <c r="AJ4642">
        <v>73.259476262847201</v>
      </c>
      <c r="AK4642">
        <v>56.988270101335203</v>
      </c>
      <c r="AL4642">
        <v>88.826036724920101</v>
      </c>
      <c r="AM4642">
        <v>85.686506917001495</v>
      </c>
      <c r="AN4642">
        <v>0.99999995980021406</v>
      </c>
    </row>
    <row r="4643" spans="1:40" x14ac:dyDescent="0.25">
      <c r="A4643" t="str">
        <f>"20190312160735965"</f>
        <v>20190312160735965</v>
      </c>
      <c r="B4643" t="str">
        <f>"1552378055959507"</f>
        <v>1552378055959507</v>
      </c>
      <c r="C4643" t="s">
        <v>40</v>
      </c>
      <c r="D4643">
        <v>5.7787100000000002</v>
      </c>
      <c r="E4643">
        <v>0.58464259999999901</v>
      </c>
      <c r="F4643" t="s">
        <v>59</v>
      </c>
      <c r="G4643">
        <v>-226.26150000000001</v>
      </c>
      <c r="H4643">
        <v>1.8028759999999999</v>
      </c>
      <c r="I4643">
        <v>112.84910000000001</v>
      </c>
      <c r="J4643">
        <v>-193.90299999999999</v>
      </c>
      <c r="K4643">
        <v>1.106403</v>
      </c>
      <c r="L4643">
        <v>158.99199999999999</v>
      </c>
      <c r="M4643">
        <v>-0.31300860000000003</v>
      </c>
      <c r="N4643">
        <v>0</v>
      </c>
      <c r="O4643">
        <v>-0.94964939999999998</v>
      </c>
      <c r="P4643">
        <v>-0.38350010000000001</v>
      </c>
      <c r="Q4643">
        <v>6.7164429999999999E-3</v>
      </c>
      <c r="R4643">
        <v>-0.92351669999999997</v>
      </c>
      <c r="S4643">
        <v>-1.763458</v>
      </c>
      <c r="T4643">
        <v>3.7904380000000001E-2</v>
      </c>
      <c r="U4643">
        <v>-2.5180359999999999</v>
      </c>
      <c r="V4643">
        <v>7.5300080000000005E-2</v>
      </c>
      <c r="W4643">
        <v>1.9897410000000001E-2</v>
      </c>
      <c r="X4643">
        <v>0.99696240000000003</v>
      </c>
      <c r="Y4643">
        <v>0.28835670000000002</v>
      </c>
      <c r="Z4643">
        <v>-1.227811E-2</v>
      </c>
      <c r="AA4643">
        <v>0.95744439999999997</v>
      </c>
      <c r="AB4643">
        <v>24</v>
      </c>
      <c r="AC4643">
        <v>-32.358499999999999</v>
      </c>
      <c r="AD4643">
        <v>0.69647299999999901</v>
      </c>
      <c r="AE4643">
        <v>-46.142899999999997</v>
      </c>
      <c r="AF4643">
        <v>16.2851792172019</v>
      </c>
      <c r="AG4643">
        <v>0.69647299999999901</v>
      </c>
      <c r="AH4643">
        <v>53.944997482995497</v>
      </c>
      <c r="AI4643">
        <v>89.291867566632007</v>
      </c>
      <c r="AJ4643">
        <v>73.201728519968199</v>
      </c>
      <c r="AK4643">
        <v>56.3538365172816</v>
      </c>
      <c r="AL4643">
        <v>88.859887166072696</v>
      </c>
      <c r="AM4643">
        <v>85.680678966843601</v>
      </c>
      <c r="AN4643">
        <v>1.00000001799323</v>
      </c>
    </row>
    <row r="4644" spans="1:40" x14ac:dyDescent="0.25">
      <c r="A4644" t="str">
        <f>"20190312160735978"</f>
        <v>20190312160735978</v>
      </c>
      <c r="B4644" t="str">
        <f>"1552378055969721"</f>
        <v>1552378055969721</v>
      </c>
      <c r="C4644" t="s">
        <v>40</v>
      </c>
      <c r="D4644">
        <v>5.9995269999999996</v>
      </c>
      <c r="E4644">
        <v>0.58482900000000004</v>
      </c>
      <c r="F4644" t="s">
        <v>59</v>
      </c>
      <c r="G4644">
        <v>-226.39680000000001</v>
      </c>
      <c r="H4644">
        <v>1.9803550000000001</v>
      </c>
      <c r="I4644">
        <v>112.9712</v>
      </c>
      <c r="J4644">
        <v>-193.94990000000001</v>
      </c>
      <c r="K4644">
        <v>1.10639</v>
      </c>
      <c r="L4644">
        <v>158.8604</v>
      </c>
      <c r="M4644">
        <v>-0.31594660000000002</v>
      </c>
      <c r="N4644">
        <v>0</v>
      </c>
      <c r="O4644">
        <v>-0.94867449999999998</v>
      </c>
      <c r="P4644">
        <v>-0.3865673</v>
      </c>
      <c r="Q4644">
        <v>6.2617580000000001E-3</v>
      </c>
      <c r="R4644">
        <v>-0.92224010000000001</v>
      </c>
      <c r="S4644">
        <v>-1.7734220000000001</v>
      </c>
      <c r="T4644">
        <v>4.7698259999999999E-2</v>
      </c>
      <c r="U4644">
        <v>-2.5116879999999999</v>
      </c>
      <c r="V4644">
        <v>7.5523839999999995E-2</v>
      </c>
      <c r="W4644">
        <v>1.9530309999999999E-2</v>
      </c>
      <c r="X4644">
        <v>0.99695270000000002</v>
      </c>
      <c r="Y4644">
        <v>0.2890414</v>
      </c>
      <c r="Z4644">
        <v>-1.544064E-2</v>
      </c>
      <c r="AA4644">
        <v>0.95719209999999999</v>
      </c>
      <c r="AB4644">
        <v>24</v>
      </c>
      <c r="AC4644">
        <v>-32.446899999999999</v>
      </c>
      <c r="AD4644">
        <v>0.87396499999999899</v>
      </c>
      <c r="AE4644">
        <v>-45.889200000000002</v>
      </c>
      <c r="AF4644">
        <v>16.280656199747501</v>
      </c>
      <c r="AG4644">
        <v>0.87396499999999899</v>
      </c>
      <c r="AH4644">
        <v>53.777626893065197</v>
      </c>
      <c r="AI4644">
        <v>89.108876348166206</v>
      </c>
      <c r="AJ4644">
        <v>73.156819664365202</v>
      </c>
      <c r="AK4644">
        <v>56.1948105732667</v>
      </c>
      <c r="AL4644">
        <v>88.880924497579301</v>
      </c>
      <c r="AM4644">
        <v>85.667850571242099</v>
      </c>
      <c r="AN4644">
        <v>0.999999984727165</v>
      </c>
    </row>
    <row r="4645" spans="1:40" x14ac:dyDescent="0.25">
      <c r="A4645" t="str">
        <f>"20190312160735997"</f>
        <v>20190312160735997</v>
      </c>
      <c r="B4645" t="str">
        <f>"1552378055990217"</f>
        <v>1552378055990217</v>
      </c>
      <c r="C4645" t="s">
        <v>40</v>
      </c>
      <c r="D4645">
        <v>5.7109059999999996</v>
      </c>
      <c r="E4645">
        <v>0.58514060000000001</v>
      </c>
      <c r="F4645" t="s">
        <v>59</v>
      </c>
      <c r="G4645">
        <v>-226.39680000000001</v>
      </c>
      <c r="H4645">
        <v>2.0843370000000001</v>
      </c>
      <c r="I4645">
        <v>113.26260000000001</v>
      </c>
      <c r="J4645">
        <v>-194.0153</v>
      </c>
      <c r="K4645">
        <v>1.1063769999999999</v>
      </c>
      <c r="L4645">
        <v>158.67949999999999</v>
      </c>
      <c r="M4645">
        <v>-0.32002019999999998</v>
      </c>
      <c r="N4645">
        <v>0</v>
      </c>
      <c r="O4645">
        <v>-0.94730630000000005</v>
      </c>
      <c r="P4645">
        <v>-0.39102720000000002</v>
      </c>
      <c r="Q4645">
        <v>4.9507850000000001E-3</v>
      </c>
      <c r="R4645">
        <v>-0.92036589999999996</v>
      </c>
      <c r="S4645">
        <v>-1.782761</v>
      </c>
      <c r="T4645">
        <v>5.3732630000000003E-2</v>
      </c>
      <c r="U4645">
        <v>-2.505325</v>
      </c>
      <c r="V4645">
        <v>7.6053599999999999E-2</v>
      </c>
      <c r="W4645">
        <v>1.8326039999999998E-2</v>
      </c>
      <c r="X4645">
        <v>0.99693529999999997</v>
      </c>
      <c r="Y4645">
        <v>0.28842509999999999</v>
      </c>
      <c r="Z4645">
        <v>-1.7377159999999999E-2</v>
      </c>
      <c r="AA4645">
        <v>0.9573448</v>
      </c>
      <c r="AB4645">
        <v>24</v>
      </c>
      <c r="AC4645">
        <v>-32.381500000000003</v>
      </c>
      <c r="AD4645">
        <v>0.97796000000000005</v>
      </c>
      <c r="AE4645">
        <v>-45.416899999999899</v>
      </c>
      <c r="AF4645">
        <v>16.137509769871201</v>
      </c>
      <c r="AG4645">
        <v>0.97796000000000005</v>
      </c>
      <c r="AH4645">
        <v>53.375323852930897</v>
      </c>
      <c r="AI4645">
        <v>88.995234333743994</v>
      </c>
      <c r="AJ4645">
        <v>73.177819052754799</v>
      </c>
      <c r="AK4645">
        <v>55.770071039398402</v>
      </c>
      <c r="AL4645">
        <v>88.949936463761702</v>
      </c>
      <c r="AM4645">
        <v>85.637503874999496</v>
      </c>
      <c r="AN4645">
        <v>0.99999999310056498</v>
      </c>
    </row>
    <row r="4646" spans="1:40" x14ac:dyDescent="0.25">
      <c r="A4646" t="str">
        <f>"20190312160736018"</f>
        <v>20190312160736018</v>
      </c>
      <c r="B4646" t="str">
        <f>"1552378056009737"</f>
        <v>1552378056009737</v>
      </c>
      <c r="C4646" t="s">
        <v>40</v>
      </c>
      <c r="D4646">
        <v>6.0713460000000001</v>
      </c>
      <c r="E4646">
        <v>0.58512909999999996</v>
      </c>
      <c r="F4646" t="s">
        <v>59</v>
      </c>
      <c r="G4646">
        <v>-226.39680000000001</v>
      </c>
      <c r="H4646">
        <v>2.21923</v>
      </c>
      <c r="I4646">
        <v>113.70610000000001</v>
      </c>
      <c r="J4646">
        <v>-194.0984</v>
      </c>
      <c r="K4646">
        <v>1.106357</v>
      </c>
      <c r="L4646">
        <v>158.45310000000001</v>
      </c>
      <c r="M4646">
        <v>-0.32517020000000002</v>
      </c>
      <c r="N4646">
        <v>0</v>
      </c>
      <c r="O4646">
        <v>-0.94554910000000003</v>
      </c>
      <c r="P4646">
        <v>-0.39621659999999997</v>
      </c>
      <c r="Q4646">
        <v>4.2666969999999999E-3</v>
      </c>
      <c r="R4646">
        <v>-0.91814739999999995</v>
      </c>
      <c r="S4646">
        <v>-1.796997</v>
      </c>
      <c r="T4646">
        <v>6.1757449999999998E-2</v>
      </c>
      <c r="U4646">
        <v>-2.4957729999999998</v>
      </c>
      <c r="V4646">
        <v>7.6250899999999996E-2</v>
      </c>
      <c r="W4646">
        <v>1.7761550000000001E-2</v>
      </c>
      <c r="X4646">
        <v>0.99693050000000005</v>
      </c>
      <c r="Y4646">
        <v>0.28851969999999999</v>
      </c>
      <c r="Z4646">
        <v>-1.9948440000000001E-2</v>
      </c>
      <c r="AA4646">
        <v>0.95726619999999996</v>
      </c>
      <c r="AB4646">
        <v>24</v>
      </c>
      <c r="AC4646">
        <v>-32.298400000000001</v>
      </c>
      <c r="AD4646">
        <v>1.112873</v>
      </c>
      <c r="AE4646">
        <v>-44.747</v>
      </c>
      <c r="AF4646">
        <v>15.984440914392399</v>
      </c>
      <c r="AG4646">
        <v>1.112873</v>
      </c>
      <c r="AH4646">
        <v>52.796807078736599</v>
      </c>
      <c r="AI4646">
        <v>88.844265749942593</v>
      </c>
      <c r="AJ4646">
        <v>73.156105481231194</v>
      </c>
      <c r="AK4646">
        <v>55.1746651586501</v>
      </c>
      <c r="AL4646">
        <v>88.982284680336406</v>
      </c>
      <c r="AM4646">
        <v>85.626209468494906</v>
      </c>
      <c r="AN4646">
        <v>1.0000000471197299</v>
      </c>
    </row>
    <row r="4647" spans="1:40" x14ac:dyDescent="0.25">
      <c r="A4647" t="str">
        <f>"20190312160736029"</f>
        <v>20190312160736029</v>
      </c>
      <c r="B4647" t="str">
        <f>"1552378056019498"</f>
        <v>1552378056019498</v>
      </c>
      <c r="C4647" t="s">
        <v>40</v>
      </c>
      <c r="D4647">
        <v>5.9802660000000003</v>
      </c>
      <c r="E4647">
        <v>0.58524639999999895</v>
      </c>
      <c r="F4647" t="s">
        <v>59</v>
      </c>
      <c r="G4647">
        <v>-226.39689999999999</v>
      </c>
      <c r="H4647">
        <v>2.333097</v>
      </c>
      <c r="I4647">
        <v>114.1216</v>
      </c>
      <c r="J4647">
        <v>-194.14089999999999</v>
      </c>
      <c r="K4647">
        <v>1.106349</v>
      </c>
      <c r="L4647">
        <v>158.3389</v>
      </c>
      <c r="M4647">
        <v>-0.32778570000000001</v>
      </c>
      <c r="N4647">
        <v>0</v>
      </c>
      <c r="O4647">
        <v>-0.94464490000000001</v>
      </c>
      <c r="P4647">
        <v>-0.39877699999999999</v>
      </c>
      <c r="Q4647">
        <v>3.8072480000000001E-3</v>
      </c>
      <c r="R4647">
        <v>-0.91704010000000002</v>
      </c>
      <c r="S4647">
        <v>-1.8109440000000001</v>
      </c>
      <c r="T4647">
        <v>6.8782449999999995E-2</v>
      </c>
      <c r="U4647">
        <v>-2.4856259999999999</v>
      </c>
      <c r="V4647">
        <v>7.6269619999999996E-2</v>
      </c>
      <c r="W4647">
        <v>1.7357259999999999E-2</v>
      </c>
      <c r="X4647">
        <v>0.99693609999999999</v>
      </c>
      <c r="Y4647">
        <v>0.29120770000000001</v>
      </c>
      <c r="Z4647">
        <v>-2.2215820000000001E-2</v>
      </c>
      <c r="AA4647">
        <v>0.95640190000000003</v>
      </c>
      <c r="AB4647">
        <v>24</v>
      </c>
      <c r="AC4647">
        <v>-32.256</v>
      </c>
      <c r="AD4647">
        <v>1.2267479999999999</v>
      </c>
      <c r="AE4647">
        <v>-44.217300000000002</v>
      </c>
      <c r="AF4647">
        <v>15.970262538287599</v>
      </c>
      <c r="AG4647">
        <v>1.2267479999999999</v>
      </c>
      <c r="AH4647">
        <v>52.321719342802503</v>
      </c>
      <c r="AI4647">
        <v>88.715364170487007</v>
      </c>
      <c r="AJ4647">
        <v>73.026134087359097</v>
      </c>
      <c r="AK4647">
        <v>54.718520732785997</v>
      </c>
      <c r="AL4647">
        <v>89.005452273855497</v>
      </c>
      <c r="AM4647">
        <v>85.625164327075893</v>
      </c>
      <c r="AN4647">
        <v>0.99999995844642997</v>
      </c>
    </row>
    <row r="4648" spans="1:40" x14ac:dyDescent="0.25">
      <c r="A4648" t="str">
        <f>"20190312160736041"</f>
        <v>20190312160736041</v>
      </c>
      <c r="B4648" t="str">
        <f>"1552378056030234"</f>
        <v>1552378056030234</v>
      </c>
      <c r="C4648" t="s">
        <v>40</v>
      </c>
      <c r="D4648">
        <v>5.665578</v>
      </c>
      <c r="E4648">
        <v>0.58462139999999996</v>
      </c>
      <c r="F4648" t="s">
        <v>59</v>
      </c>
      <c r="G4648">
        <v>-226.39689999999999</v>
      </c>
      <c r="H4648">
        <v>2.3769</v>
      </c>
      <c r="I4648">
        <v>114.3426</v>
      </c>
      <c r="J4648">
        <v>-194.18510000000001</v>
      </c>
      <c r="K4648">
        <v>1.1063459999999901</v>
      </c>
      <c r="L4648">
        <v>158.22130000000001</v>
      </c>
      <c r="M4648">
        <v>-0.33048880000000003</v>
      </c>
      <c r="N4648">
        <v>0</v>
      </c>
      <c r="O4648">
        <v>-0.94370160000000003</v>
      </c>
      <c r="P4648">
        <v>-0.40167419999999998</v>
      </c>
      <c r="Q4648">
        <v>3.5045330000000002E-3</v>
      </c>
      <c r="R4648">
        <v>-0.91577609999999998</v>
      </c>
      <c r="S4648">
        <v>-1.818451</v>
      </c>
      <c r="T4648">
        <v>7.1628449999999996E-2</v>
      </c>
      <c r="U4648">
        <v>-2.4803160000000002</v>
      </c>
      <c r="V4648">
        <v>7.6564649999999998E-2</v>
      </c>
      <c r="W4648">
        <v>1.7104100000000001E-2</v>
      </c>
      <c r="X4648">
        <v>0.99691790000000002</v>
      </c>
      <c r="Y4648">
        <v>0.2913152</v>
      </c>
      <c r="Z4648">
        <v>-2.31214E-2</v>
      </c>
      <c r="AA4648">
        <v>0.95634759999999996</v>
      </c>
      <c r="AB4648">
        <v>24</v>
      </c>
      <c r="AC4648">
        <v>-32.211799999999897</v>
      </c>
      <c r="AD4648">
        <v>1.270554</v>
      </c>
      <c r="AE4648">
        <v>-43.878700000000002</v>
      </c>
      <c r="AF4648">
        <v>15.889876219461501</v>
      </c>
      <c r="AG4648">
        <v>1.270554</v>
      </c>
      <c r="AH4648">
        <v>52.031012179222898</v>
      </c>
      <c r="AI4648">
        <v>88.662136153294696</v>
      </c>
      <c r="AJ4648">
        <v>73.017726431039506</v>
      </c>
      <c r="AK4648">
        <v>54.4180916803518</v>
      </c>
      <c r="AL4648">
        <v>89.019959466138204</v>
      </c>
      <c r="AM4648">
        <v>85.608227582934404</v>
      </c>
      <c r="AN4648">
        <v>0.99999999760342095</v>
      </c>
    </row>
    <row r="4649" spans="1:40" x14ac:dyDescent="0.25">
      <c r="A4649" t="str">
        <f>"20190312160736053"</f>
        <v>20190312160736053</v>
      </c>
      <c r="B4649" t="str">
        <f>"1552378056049753"</f>
        <v>1552378056049753</v>
      </c>
      <c r="C4649" t="s">
        <v>40</v>
      </c>
      <c r="D4649">
        <v>6.0589899999999997</v>
      </c>
      <c r="E4649">
        <v>0.58467259999999999</v>
      </c>
      <c r="F4649" t="s">
        <v>59</v>
      </c>
      <c r="G4649">
        <v>-226.39689999999999</v>
      </c>
      <c r="H4649">
        <v>2.2969379999999999</v>
      </c>
      <c r="I4649">
        <v>114.43470000000001</v>
      </c>
      <c r="J4649">
        <v>-194.2302</v>
      </c>
      <c r="K4649">
        <v>1.1063419999999999</v>
      </c>
      <c r="L4649">
        <v>158.1019</v>
      </c>
      <c r="M4649">
        <v>-0.33323819999999998</v>
      </c>
      <c r="N4649">
        <v>0</v>
      </c>
      <c r="O4649">
        <v>-0.94273340000000005</v>
      </c>
      <c r="P4649">
        <v>-0.40476679999999998</v>
      </c>
      <c r="Q4649">
        <v>2.9138089999999998E-3</v>
      </c>
      <c r="R4649">
        <v>-0.91441539999999999</v>
      </c>
      <c r="S4649">
        <v>-1.821869</v>
      </c>
      <c r="T4649">
        <v>6.7339179999999998E-2</v>
      </c>
      <c r="U4649">
        <v>-2.4765320000000002</v>
      </c>
      <c r="V4649">
        <v>7.7022399999999894E-2</v>
      </c>
      <c r="W4649">
        <v>1.6560100000000001E-2</v>
      </c>
      <c r="X4649">
        <v>0.99689179999999999</v>
      </c>
      <c r="Y4649">
        <v>0.29009889999999999</v>
      </c>
      <c r="Z4649">
        <v>-2.1727759999999999E-2</v>
      </c>
      <c r="AA4649">
        <v>0.95674999999999999</v>
      </c>
      <c r="AB4649">
        <v>24</v>
      </c>
      <c r="AC4649">
        <v>-32.166699999999899</v>
      </c>
      <c r="AD4649">
        <v>1.190596</v>
      </c>
      <c r="AE4649">
        <v>-43.667200000000001</v>
      </c>
      <c r="AF4649">
        <v>15.7670703590207</v>
      </c>
      <c r="AG4649">
        <v>1.190596</v>
      </c>
      <c r="AH4649">
        <v>51.8660529377754</v>
      </c>
      <c r="AI4649">
        <v>88.741826596903493</v>
      </c>
      <c r="AJ4649">
        <v>73.090940279775594</v>
      </c>
      <c r="AK4649">
        <v>54.222739453901099</v>
      </c>
      <c r="AL4649">
        <v>89.051132764535893</v>
      </c>
      <c r="AM4649">
        <v>85.581959332321404</v>
      </c>
      <c r="AN4649">
        <v>0.999999973960504</v>
      </c>
    </row>
    <row r="4650" spans="1:40" x14ac:dyDescent="0.25">
      <c r="A4650" t="str">
        <f>"20190312160736065"</f>
        <v>20190312160736065</v>
      </c>
      <c r="B4650" t="str">
        <f>"1552378056059513"</f>
        <v>1552378056059513</v>
      </c>
      <c r="C4650" t="s">
        <v>40</v>
      </c>
      <c r="D4650">
        <v>6.0539949999999996</v>
      </c>
      <c r="E4650">
        <v>0.58486749999999998</v>
      </c>
      <c r="F4650" t="s">
        <v>59</v>
      </c>
      <c r="G4650">
        <v>-226.39689999999999</v>
      </c>
      <c r="H4650">
        <v>2.3526980000000002</v>
      </c>
      <c r="I4650">
        <v>114.69119999999999</v>
      </c>
      <c r="J4650">
        <v>-194.27500000000001</v>
      </c>
      <c r="K4650">
        <v>1.106344</v>
      </c>
      <c r="L4650">
        <v>157.98500000000001</v>
      </c>
      <c r="M4650">
        <v>-0.335945099999999</v>
      </c>
      <c r="N4650">
        <v>0</v>
      </c>
      <c r="O4650">
        <v>-0.94177160000000004</v>
      </c>
      <c r="P4650">
        <v>-0.40771380000000002</v>
      </c>
      <c r="Q4650">
        <v>2.2129350000000001E-3</v>
      </c>
      <c r="R4650">
        <v>-0.91310720000000001</v>
      </c>
      <c r="S4650">
        <v>-1.83046</v>
      </c>
      <c r="T4650">
        <v>7.0924760000000003E-2</v>
      </c>
      <c r="U4650">
        <v>-2.4703059999999999</v>
      </c>
      <c r="V4650">
        <v>7.7367190000000002E-2</v>
      </c>
      <c r="W4650">
        <v>1.590024E-2</v>
      </c>
      <c r="X4650">
        <v>0.99687590000000004</v>
      </c>
      <c r="Y4650">
        <v>0.29063489999999997</v>
      </c>
      <c r="Z4650">
        <v>-2.2872750000000001E-2</v>
      </c>
      <c r="AA4650">
        <v>0.95656059999999998</v>
      </c>
      <c r="AB4650">
        <v>24</v>
      </c>
      <c r="AC4650">
        <v>-32.121899999999897</v>
      </c>
      <c r="AD4650">
        <v>1.246354</v>
      </c>
      <c r="AE4650">
        <v>-43.293799999999997</v>
      </c>
      <c r="AF4650">
        <v>15.7003881244745</v>
      </c>
      <c r="AG4650">
        <v>1.246354</v>
      </c>
      <c r="AH4650">
        <v>51.541857585709103</v>
      </c>
      <c r="AI4650">
        <v>88.674870873394198</v>
      </c>
      <c r="AJ4650">
        <v>73.058513197378602</v>
      </c>
      <c r="AK4650">
        <v>53.894514274998102</v>
      </c>
      <c r="AL4650">
        <v>89.088944990748899</v>
      </c>
      <c r="AM4650">
        <v>85.562190345416596</v>
      </c>
      <c r="AN4650">
        <v>1.0000000298606799</v>
      </c>
    </row>
    <row r="4651" spans="1:40" x14ac:dyDescent="0.25">
      <c r="A4651" t="str">
        <f>"20190312160736076"</f>
        <v>20190312160736076</v>
      </c>
      <c r="B4651" t="str">
        <f>"1552378056069781"</f>
        <v>1552378056069781</v>
      </c>
      <c r="C4651" t="s">
        <v>40</v>
      </c>
      <c r="D4651">
        <v>6.1079629999999998</v>
      </c>
      <c r="E4651">
        <v>0.58494559999999995</v>
      </c>
      <c r="F4651" t="s">
        <v>59</v>
      </c>
      <c r="G4651">
        <v>-226.1849</v>
      </c>
      <c r="H4651">
        <v>2.3426710000000002</v>
      </c>
      <c r="I4651">
        <v>115.2539</v>
      </c>
      <c r="J4651">
        <v>-194.31880000000001</v>
      </c>
      <c r="K4651">
        <v>1.106349</v>
      </c>
      <c r="L4651">
        <v>157.87119999999999</v>
      </c>
      <c r="M4651">
        <v>-0.33857859999999901</v>
      </c>
      <c r="N4651">
        <v>0</v>
      </c>
      <c r="O4651">
        <v>-0.94082739999999998</v>
      </c>
      <c r="P4651">
        <v>-0.41109279999999998</v>
      </c>
      <c r="Q4651">
        <v>1.7355840000000001E-3</v>
      </c>
      <c r="R4651">
        <v>-0.91159190000000001</v>
      </c>
      <c r="S4651">
        <v>-1.8398589999999999</v>
      </c>
      <c r="T4651">
        <v>7.1284529999999999E-2</v>
      </c>
      <c r="U4651">
        <v>-2.4637910000000001</v>
      </c>
      <c r="V4651">
        <v>7.8265920000000003E-2</v>
      </c>
      <c r="W4651">
        <v>1.5455409999999999E-2</v>
      </c>
      <c r="X4651">
        <v>0.9968127</v>
      </c>
      <c r="Y4651">
        <v>0.291512099999999</v>
      </c>
      <c r="Z4651">
        <v>-2.2976739999999999E-2</v>
      </c>
      <c r="AA4651">
        <v>0.95629109999999995</v>
      </c>
      <c r="AB4651">
        <v>24</v>
      </c>
      <c r="AC4651">
        <v>-31.8660999999999</v>
      </c>
      <c r="AD4651">
        <v>1.2363219999999899</v>
      </c>
      <c r="AE4651">
        <v>-42.617299999999901</v>
      </c>
      <c r="AF4651">
        <v>15.544423819237799</v>
      </c>
      <c r="AG4651">
        <v>1.2363219999999899</v>
      </c>
      <c r="AH4651">
        <v>50.8625497378098</v>
      </c>
      <c r="AI4651">
        <v>88.668356117438293</v>
      </c>
      <c r="AJ4651">
        <v>73.005994012476506</v>
      </c>
      <c r="AK4651">
        <v>53.199215875715197</v>
      </c>
      <c r="AL4651">
        <v>89.114434970583602</v>
      </c>
      <c r="AM4651">
        <v>85.510564928658596</v>
      </c>
      <c r="AN4651">
        <v>0.99999999140650198</v>
      </c>
    </row>
    <row r="4652" spans="1:40" x14ac:dyDescent="0.25">
      <c r="A4652" t="str">
        <f>"20190312160736090"</f>
        <v>20190312160736090</v>
      </c>
      <c r="B4652" t="str">
        <f>"1552378056079541"</f>
        <v>1552378056079541</v>
      </c>
      <c r="C4652" t="s">
        <v>40</v>
      </c>
      <c r="D4652">
        <v>5.7367610000000004</v>
      </c>
      <c r="E4652">
        <v>0.58496700000000001</v>
      </c>
      <c r="F4652" t="s">
        <v>59</v>
      </c>
      <c r="G4652">
        <v>-226.1848</v>
      </c>
      <c r="H4652">
        <v>2.3321619999999998</v>
      </c>
      <c r="I4652">
        <v>115.548</v>
      </c>
      <c r="J4652">
        <v>-194.36789999999999</v>
      </c>
      <c r="K4652">
        <v>1.106357</v>
      </c>
      <c r="L4652">
        <v>157.7449</v>
      </c>
      <c r="M4652">
        <v>-0.34150979999999997</v>
      </c>
      <c r="N4652">
        <v>0</v>
      </c>
      <c r="O4652">
        <v>-0.93976660000000001</v>
      </c>
      <c r="P4652">
        <v>-0.41460089999999999</v>
      </c>
      <c r="Q4652">
        <v>1.493482E-3</v>
      </c>
      <c r="R4652">
        <v>-0.91000219999999998</v>
      </c>
      <c r="S4652">
        <v>-1.849701</v>
      </c>
      <c r="T4652">
        <v>7.1153999999999995E-2</v>
      </c>
      <c r="U4652">
        <v>-2.456696</v>
      </c>
      <c r="V4652">
        <v>7.8995659999999995E-2</v>
      </c>
      <c r="W4652">
        <v>1.5248009999999999E-2</v>
      </c>
      <c r="X4652">
        <v>0.99675829999999999</v>
      </c>
      <c r="Y4652">
        <v>0.29230299999999998</v>
      </c>
      <c r="Z4652">
        <v>-2.2921919999999998E-2</v>
      </c>
      <c r="AA4652">
        <v>0.95605099999999998</v>
      </c>
      <c r="AB4652">
        <v>24</v>
      </c>
      <c r="AC4652">
        <v>-31.8169</v>
      </c>
      <c r="AD4652">
        <v>1.22580499999999</v>
      </c>
      <c r="AE4652">
        <v>-42.196899999999999</v>
      </c>
      <c r="AF4652">
        <v>15.483100120547</v>
      </c>
      <c r="AG4652">
        <v>1.22580499999999</v>
      </c>
      <c r="AH4652">
        <v>50.499151810399098</v>
      </c>
      <c r="AI4652">
        <v>88.670548573650393</v>
      </c>
      <c r="AJ4652">
        <v>72.954398059560106</v>
      </c>
      <c r="AK4652">
        <v>52.833638156108897</v>
      </c>
      <c r="AL4652">
        <v>89.126319490529298</v>
      </c>
      <c r="AM4652">
        <v>85.468633336132598</v>
      </c>
      <c r="AN4652">
        <v>0.99999996236334199</v>
      </c>
    </row>
    <row r="4653" spans="1:40" x14ac:dyDescent="0.25">
      <c r="A4653" t="str">
        <f>"20190312160736107"</f>
        <v>20190312160736107</v>
      </c>
      <c r="B4653" t="str">
        <f>"1552378056100037"</f>
        <v>1552378056100037</v>
      </c>
      <c r="C4653" t="s">
        <v>40</v>
      </c>
      <c r="D4653">
        <v>6.1062979999999998</v>
      </c>
      <c r="E4653">
        <v>0.58517010000000003</v>
      </c>
      <c r="F4653" t="s">
        <v>59</v>
      </c>
      <c r="G4653">
        <v>-226.3151</v>
      </c>
      <c r="H4653">
        <v>2.3469009999999999</v>
      </c>
      <c r="I4653">
        <v>115.6499</v>
      </c>
      <c r="J4653">
        <v>-194.43790000000001</v>
      </c>
      <c r="K4653">
        <v>1.1063719999999999</v>
      </c>
      <c r="L4653">
        <v>157.56700000000001</v>
      </c>
      <c r="M4653">
        <v>-0.34564529999999999</v>
      </c>
      <c r="N4653">
        <v>0</v>
      </c>
      <c r="O4653">
        <v>-0.93825270000000005</v>
      </c>
      <c r="P4653">
        <v>-0.41940519999999998</v>
      </c>
      <c r="Q4653">
        <v>1.4958969999999999E-3</v>
      </c>
      <c r="R4653">
        <v>-0.90779810000000005</v>
      </c>
      <c r="S4653">
        <v>-1.8590549999999999</v>
      </c>
      <c r="T4653">
        <v>7.2189450000000002E-2</v>
      </c>
      <c r="U4653">
        <v>-2.44957</v>
      </c>
      <c r="V4653">
        <v>7.9874539999999994E-2</v>
      </c>
      <c r="W4653">
        <v>1.5295690000000001E-2</v>
      </c>
      <c r="X4653">
        <v>0.99668760000000001</v>
      </c>
      <c r="Y4653">
        <v>0.29174220000000001</v>
      </c>
      <c r="Z4653">
        <v>-2.3232220000000001E-2</v>
      </c>
      <c r="AA4653">
        <v>0.95621480000000003</v>
      </c>
      <c r="AB4653">
        <v>24</v>
      </c>
      <c r="AC4653">
        <v>-31.877199999999899</v>
      </c>
      <c r="AD4653">
        <v>1.240529</v>
      </c>
      <c r="AE4653">
        <v>-41.917099999999998</v>
      </c>
      <c r="AF4653">
        <v>15.4134956947182</v>
      </c>
      <c r="AG4653">
        <v>1.240529</v>
      </c>
      <c r="AH4653">
        <v>50.324427849292299</v>
      </c>
      <c r="AI4653">
        <v>88.649795489930298</v>
      </c>
      <c r="AJ4653">
        <v>72.971085947593394</v>
      </c>
      <c r="AK4653">
        <v>52.646583935613201</v>
      </c>
      <c r="AL4653">
        <v>89.123587373685893</v>
      </c>
      <c r="AM4653">
        <v>85.418108673826296</v>
      </c>
      <c r="AN4653">
        <v>1.0000000361332699</v>
      </c>
    </row>
    <row r="4654" spans="1:40" x14ac:dyDescent="0.25">
      <c r="A4654" t="str">
        <f>"20190312160736121"</f>
        <v>20190312160736121</v>
      </c>
      <c r="B4654" t="str">
        <f>"1552378056109796"</f>
        <v>1552378056109796</v>
      </c>
      <c r="C4654" t="s">
        <v>40</v>
      </c>
      <c r="D4654">
        <v>5.9325340000000004</v>
      </c>
      <c r="E4654">
        <v>0.58528329999999995</v>
      </c>
      <c r="F4654" t="s">
        <v>59</v>
      </c>
      <c r="G4654">
        <v>-226.39689999999999</v>
      </c>
      <c r="H4654">
        <v>2.3929659999999999</v>
      </c>
      <c r="I4654">
        <v>115.96259999999999</v>
      </c>
      <c r="J4654">
        <v>-194.49</v>
      </c>
      <c r="K4654">
        <v>1.106392</v>
      </c>
      <c r="L4654">
        <v>157.43620000000001</v>
      </c>
      <c r="M4654">
        <v>-0.34868870000000002</v>
      </c>
      <c r="N4654">
        <v>0</v>
      </c>
      <c r="O4654">
        <v>-0.9371256</v>
      </c>
      <c r="P4654">
        <v>-0.42276079999999999</v>
      </c>
      <c r="Q4654">
        <v>1.646284E-3</v>
      </c>
      <c r="R4654">
        <v>-0.90624009999999999</v>
      </c>
      <c r="S4654">
        <v>-1.873535</v>
      </c>
      <c r="T4654">
        <v>7.5424550000000007E-2</v>
      </c>
      <c r="U4654">
        <v>-2.4389799999999999</v>
      </c>
      <c r="V4654">
        <v>8.0328199999999905E-2</v>
      </c>
      <c r="W4654">
        <v>1.5477339999999999E-2</v>
      </c>
      <c r="X4654">
        <v>0.99664830000000004</v>
      </c>
      <c r="Y4654">
        <v>0.294197599999999</v>
      </c>
      <c r="Z4654">
        <v>-2.4264600000000001E-2</v>
      </c>
      <c r="AA4654">
        <v>0.95543650000000002</v>
      </c>
      <c r="AB4654">
        <v>24</v>
      </c>
      <c r="AC4654">
        <v>-31.906899999999901</v>
      </c>
      <c r="AD4654">
        <v>1.2865740000000001</v>
      </c>
      <c r="AE4654">
        <v>-41.473599999999998</v>
      </c>
      <c r="AF4654">
        <v>15.4317034871681</v>
      </c>
      <c r="AG4654">
        <v>1.2865740000000001</v>
      </c>
      <c r="AH4654">
        <v>49.9666363317858</v>
      </c>
      <c r="AI4654">
        <v>88.590688994128399</v>
      </c>
      <c r="AJ4654">
        <v>72.837211796955799</v>
      </c>
      <c r="AK4654">
        <v>52.311160295736997</v>
      </c>
      <c r="AL4654">
        <v>89.113178332177</v>
      </c>
      <c r="AM4654">
        <v>85.392015936150997</v>
      </c>
      <c r="AN4654">
        <v>1.0000000008308001</v>
      </c>
    </row>
    <row r="4655" spans="1:40" x14ac:dyDescent="0.25">
      <c r="A4655" t="str">
        <f>"20190312160736141"</f>
        <v>20190312160736141</v>
      </c>
      <c r="B4655" t="str">
        <f>"1552378056130293"</f>
        <v>1552378056130293</v>
      </c>
      <c r="C4655" t="s">
        <v>40</v>
      </c>
      <c r="D4655">
        <v>5.972702</v>
      </c>
      <c r="E4655">
        <v>0.5854471</v>
      </c>
      <c r="F4655" t="s">
        <v>59</v>
      </c>
      <c r="G4655">
        <v>-226.39689999999999</v>
      </c>
      <c r="H4655">
        <v>2.425942</v>
      </c>
      <c r="I4655">
        <v>116.2397</v>
      </c>
      <c r="J4655">
        <v>-194.56659999999999</v>
      </c>
      <c r="K4655">
        <v>1.106411</v>
      </c>
      <c r="L4655">
        <v>157.2458</v>
      </c>
      <c r="M4655">
        <v>-0.3531203</v>
      </c>
      <c r="N4655">
        <v>0</v>
      </c>
      <c r="O4655">
        <v>-0.93546390000000001</v>
      </c>
      <c r="P4655">
        <v>-0.42734949999999999</v>
      </c>
      <c r="Q4655">
        <v>1.6495279999999999E-3</v>
      </c>
      <c r="R4655">
        <v>-0.90408500000000003</v>
      </c>
      <c r="S4655">
        <v>-1.8833310000000001</v>
      </c>
      <c r="T4655">
        <v>7.7887769999999995E-2</v>
      </c>
      <c r="U4655">
        <v>-2.4316559999999998</v>
      </c>
      <c r="V4655">
        <v>8.0663139999999994E-2</v>
      </c>
      <c r="W4655">
        <v>1.552359E-2</v>
      </c>
      <c r="X4655">
        <v>0.99662050000000002</v>
      </c>
      <c r="Y4655">
        <v>0.29346080000000002</v>
      </c>
      <c r="Z4655">
        <v>-2.5026400000000001E-2</v>
      </c>
      <c r="AA4655">
        <v>0.95564349999999998</v>
      </c>
      <c r="AB4655">
        <v>23</v>
      </c>
      <c r="AC4655">
        <v>-31.830299999999902</v>
      </c>
      <c r="AD4655">
        <v>1.319531</v>
      </c>
      <c r="AE4655">
        <v>-41.006100000000004</v>
      </c>
      <c r="AF4655">
        <v>15.287763970078</v>
      </c>
      <c r="AG4655">
        <v>1.319531</v>
      </c>
      <c r="AH4655">
        <v>49.572911516569299</v>
      </c>
      <c r="AI4655">
        <v>88.542943230066001</v>
      </c>
      <c r="AJ4655">
        <v>72.860788318422706</v>
      </c>
      <c r="AK4655">
        <v>51.893452819159997</v>
      </c>
      <c r="AL4655">
        <v>89.110528058785206</v>
      </c>
      <c r="AM4655">
        <v>85.372757032363594</v>
      </c>
      <c r="AN4655">
        <v>0.99999997251069805</v>
      </c>
    </row>
    <row r="4656" spans="1:40" x14ac:dyDescent="0.25">
      <c r="A4656" t="str">
        <f>"20190312160736162"</f>
        <v>20190312160736162</v>
      </c>
      <c r="B4656" t="str">
        <f>"1552378056149812"</f>
        <v>1552378056149812</v>
      </c>
      <c r="C4656" t="s">
        <v>40</v>
      </c>
      <c r="D4656">
        <v>6.1648430000000003</v>
      </c>
      <c r="E4656">
        <v>0.58589399999999903</v>
      </c>
      <c r="F4656" t="s">
        <v>59</v>
      </c>
      <c r="G4656">
        <v>-226.39689999999999</v>
      </c>
      <c r="H4656">
        <v>2.355772</v>
      </c>
      <c r="I4656">
        <v>116.6109</v>
      </c>
      <c r="J4656">
        <v>-194.65029999999999</v>
      </c>
      <c r="K4656">
        <v>1.106427</v>
      </c>
      <c r="L4656">
        <v>157.04069999999999</v>
      </c>
      <c r="M4656">
        <v>-0.35789490000000002</v>
      </c>
      <c r="N4656">
        <v>0</v>
      </c>
      <c r="O4656">
        <v>-0.93364720000000001</v>
      </c>
      <c r="P4656">
        <v>-0.43211519999999998</v>
      </c>
      <c r="Q4656">
        <v>1.2630860000000001E-3</v>
      </c>
      <c r="R4656">
        <v>-0.9018176</v>
      </c>
      <c r="S4656">
        <v>-1.8968510000000001</v>
      </c>
      <c r="T4656">
        <v>7.4452999999999894E-2</v>
      </c>
      <c r="U4656">
        <v>-2.4215390000000001</v>
      </c>
      <c r="V4656">
        <v>8.082744E-2</v>
      </c>
      <c r="W4656">
        <v>1.5179349999999999E-2</v>
      </c>
      <c r="X4656">
        <v>0.99661250000000001</v>
      </c>
      <c r="Y4656">
        <v>0.29383979999999998</v>
      </c>
      <c r="Z4656">
        <v>-2.3895969999999999E-2</v>
      </c>
      <c r="AA4656">
        <v>0.95555590000000001</v>
      </c>
      <c r="AB4656">
        <v>23</v>
      </c>
      <c r="AC4656">
        <v>-31.746600000000001</v>
      </c>
      <c r="AD4656">
        <v>1.2493449999999999</v>
      </c>
      <c r="AE4656">
        <v>-40.429799999999901</v>
      </c>
      <c r="AF4656">
        <v>15.1631727692277</v>
      </c>
      <c r="AG4656">
        <v>1.2493449999999999</v>
      </c>
      <c r="AH4656">
        <v>49.085380401091903</v>
      </c>
      <c r="AI4656">
        <v>88.6069222892596</v>
      </c>
      <c r="AJ4656">
        <v>72.833336733107004</v>
      </c>
      <c r="AK4656">
        <v>51.389271647673397</v>
      </c>
      <c r="AL4656">
        <v>89.130253890837395</v>
      </c>
      <c r="AM4656">
        <v>85.363335955118799</v>
      </c>
      <c r="AN4656">
        <v>0.99999998143981295</v>
      </c>
    </row>
    <row r="4657" spans="1:40" x14ac:dyDescent="0.25">
      <c r="A4657" t="str">
        <f>"20190312160736175"</f>
        <v>20190312160736175</v>
      </c>
      <c r="B4657" t="str">
        <f>"1552378056170311"</f>
        <v>1552378056170311</v>
      </c>
      <c r="C4657" t="s">
        <v>40</v>
      </c>
      <c r="D4657">
        <v>5.8142569999999996</v>
      </c>
      <c r="E4657">
        <v>0.58596130000000002</v>
      </c>
      <c r="F4657" t="s">
        <v>59</v>
      </c>
      <c r="G4657">
        <v>-226.39680000000001</v>
      </c>
      <c r="H4657">
        <v>2.1057670000000002</v>
      </c>
      <c r="I4657">
        <v>117.04900000000001</v>
      </c>
      <c r="J4657">
        <v>-194.70160000000001</v>
      </c>
      <c r="K4657">
        <v>1.106441</v>
      </c>
      <c r="L4657">
        <v>156.91630000000001</v>
      </c>
      <c r="M4657">
        <v>-0.36078939999999998</v>
      </c>
      <c r="N4657">
        <v>0</v>
      </c>
      <c r="O4657">
        <v>-0.93253189999999997</v>
      </c>
      <c r="P4657">
        <v>-0.43479400000000001</v>
      </c>
      <c r="Q4657">
        <v>9.6641269999999996E-4</v>
      </c>
      <c r="R4657">
        <v>-0.90052949999999998</v>
      </c>
      <c r="S4657">
        <v>-1.9130400000000001</v>
      </c>
      <c r="T4657">
        <v>6.022048E-2</v>
      </c>
      <c r="U4657">
        <v>-2.409897</v>
      </c>
      <c r="V4657">
        <v>8.0695390000000006E-2</v>
      </c>
      <c r="W4657">
        <v>1.4908070000000001E-2</v>
      </c>
      <c r="X4657">
        <v>0.99662729999999999</v>
      </c>
      <c r="Y4657">
        <v>0.29712559999999999</v>
      </c>
      <c r="Z4657">
        <v>-1.9323340000000001E-2</v>
      </c>
      <c r="AA4657">
        <v>0.95464280000000001</v>
      </c>
      <c r="AB4657">
        <v>23</v>
      </c>
      <c r="AC4657">
        <v>-31.6952</v>
      </c>
      <c r="AD4657">
        <v>0.99932599999999905</v>
      </c>
      <c r="AE4657">
        <v>-39.8673</v>
      </c>
      <c r="AF4657">
        <v>15.1688793784793</v>
      </c>
      <c r="AG4657">
        <v>0.99932599999999905</v>
      </c>
      <c r="AH4657">
        <v>48.599344220232801</v>
      </c>
      <c r="AI4657">
        <v>88.875505605255199</v>
      </c>
      <c r="AJ4657">
        <v>72.665756931564601</v>
      </c>
      <c r="AK4657">
        <v>50.921408196256799</v>
      </c>
      <c r="AL4657">
        <v>89.145798853089005</v>
      </c>
      <c r="AM4657">
        <v>85.370946495922297</v>
      </c>
      <c r="AN4657">
        <v>0.99999998581183303</v>
      </c>
    </row>
    <row r="4658" spans="1:40" x14ac:dyDescent="0.25">
      <c r="A4658" t="str">
        <f>"20190312160736196"</f>
        <v>20190312160736196</v>
      </c>
      <c r="B4658" t="str">
        <f>"1552378056189829"</f>
        <v>1552378056189829</v>
      </c>
      <c r="C4658" t="s">
        <v>40</v>
      </c>
      <c r="D4658">
        <v>6.070398</v>
      </c>
      <c r="E4658">
        <v>0.58594979999999997</v>
      </c>
      <c r="F4658" t="s">
        <v>59</v>
      </c>
      <c r="G4658">
        <v>-226.26159999999999</v>
      </c>
      <c r="H4658">
        <v>1.9313009999999999</v>
      </c>
      <c r="I4658">
        <v>117.42140000000001</v>
      </c>
      <c r="J4658">
        <v>-194.791</v>
      </c>
      <c r="K4658">
        <v>1.1064700000000001</v>
      </c>
      <c r="L4658">
        <v>156.70230000000001</v>
      </c>
      <c r="M4658">
        <v>-0.3657667</v>
      </c>
      <c r="N4658">
        <v>0</v>
      </c>
      <c r="O4658">
        <v>-0.93059060000000005</v>
      </c>
      <c r="P4658">
        <v>-0.43969069999999999</v>
      </c>
      <c r="Q4658">
        <v>8.3503359999999999E-4</v>
      </c>
      <c r="R4658">
        <v>-0.89814910000000003</v>
      </c>
      <c r="S4658">
        <v>-1.920898</v>
      </c>
      <c r="T4658">
        <v>5.0205470000000002E-2</v>
      </c>
      <c r="U4658">
        <v>-2.4038539999999999</v>
      </c>
      <c r="V4658">
        <v>8.0795069999999997E-2</v>
      </c>
      <c r="W4658">
        <v>1.4810800000000001E-2</v>
      </c>
      <c r="X4658">
        <v>0.99662070000000003</v>
      </c>
      <c r="Y4658">
        <v>0.29513610000000001</v>
      </c>
      <c r="Z4658">
        <v>-1.6084040000000001E-2</v>
      </c>
      <c r="AA4658">
        <v>0.95531980000000005</v>
      </c>
      <c r="AB4658">
        <v>23</v>
      </c>
      <c r="AC4658">
        <v>-31.470599999999902</v>
      </c>
      <c r="AD4658">
        <v>0.82483099999999898</v>
      </c>
      <c r="AE4658">
        <v>-39.280900000000003</v>
      </c>
      <c r="AF4658">
        <v>14.9162039929519</v>
      </c>
      <c r="AG4658">
        <v>0.82483099999999898</v>
      </c>
      <c r="AH4658">
        <v>48.057616286933701</v>
      </c>
      <c r="AI4658">
        <v>89.0608942617053</v>
      </c>
      <c r="AJ4658">
        <v>72.756614292448802</v>
      </c>
      <c r="AK4658">
        <v>50.326016839405</v>
      </c>
      <c r="AL4658">
        <v>89.151372650747206</v>
      </c>
      <c r="AM4658">
        <v>85.365222735934594</v>
      </c>
      <c r="AN4658">
        <v>1.0000000114007099</v>
      </c>
    </row>
    <row r="4659" spans="1:40" x14ac:dyDescent="0.25">
      <c r="A4659" t="str">
        <f>"20190312160736206"</f>
        <v>20190312160736206</v>
      </c>
      <c r="B4659" t="str">
        <f>"1552378056199588"</f>
        <v>1552378056199588</v>
      </c>
      <c r="C4659" t="s">
        <v>40</v>
      </c>
      <c r="D4659">
        <v>6.2640419999999999</v>
      </c>
      <c r="E4659">
        <v>0.58591150000000003</v>
      </c>
      <c r="F4659" t="s">
        <v>59</v>
      </c>
      <c r="G4659">
        <v>-226.26159999999999</v>
      </c>
      <c r="H4659">
        <v>1.906973</v>
      </c>
      <c r="I4659">
        <v>117.7546</v>
      </c>
      <c r="J4659">
        <v>-194.83500000000001</v>
      </c>
      <c r="K4659">
        <v>1.1064830000000001</v>
      </c>
      <c r="L4659">
        <v>156.5984</v>
      </c>
      <c r="M4659">
        <v>-0.36818329999999999</v>
      </c>
      <c r="N4659">
        <v>0</v>
      </c>
      <c r="O4659">
        <v>-0.92963680000000004</v>
      </c>
      <c r="P4659">
        <v>-0.44226720000000003</v>
      </c>
      <c r="Q4659">
        <v>7.6502769999999996E-4</v>
      </c>
      <c r="R4659">
        <v>-0.89688299999999999</v>
      </c>
      <c r="S4659">
        <v>-1.9339139999999999</v>
      </c>
      <c r="T4659">
        <v>4.9192550000000002E-2</v>
      </c>
      <c r="U4659">
        <v>-2.393402</v>
      </c>
      <c r="V4659">
        <v>8.1065860000000003E-2</v>
      </c>
      <c r="W4659">
        <v>1.475359E-2</v>
      </c>
      <c r="X4659">
        <v>0.99659960000000003</v>
      </c>
      <c r="Y4659">
        <v>0.2978384</v>
      </c>
      <c r="Z4659">
        <v>-1.57587E-2</v>
      </c>
      <c r="AA4659">
        <v>0.95448630000000001</v>
      </c>
      <c r="AB4659">
        <v>23</v>
      </c>
      <c r="AC4659">
        <v>-31.426599999999901</v>
      </c>
      <c r="AD4659">
        <v>0.80049000000000003</v>
      </c>
      <c r="AE4659">
        <v>-38.843800000000002</v>
      </c>
      <c r="AF4659">
        <v>14.911472476635801</v>
      </c>
      <c r="AG4659">
        <v>0.80049000000000003</v>
      </c>
      <c r="AH4659">
        <v>47.674300197812698</v>
      </c>
      <c r="AI4659">
        <v>89.081901070766193</v>
      </c>
      <c r="AJ4659">
        <v>72.631465158574002</v>
      </c>
      <c r="AK4659">
        <v>49.9582995608611</v>
      </c>
      <c r="AL4659">
        <v>89.154650935105806</v>
      </c>
      <c r="AM4659">
        <v>85.349658965488899</v>
      </c>
      <c r="AN4659">
        <v>1.0000000523977901</v>
      </c>
    </row>
    <row r="4660" spans="1:40" x14ac:dyDescent="0.25">
      <c r="A4660" t="str">
        <f>"20190312160736218"</f>
        <v>20190312160736218</v>
      </c>
      <c r="B4660" t="str">
        <f>"1552378056210325"</f>
        <v>1552378056210325</v>
      </c>
      <c r="C4660" t="s">
        <v>40</v>
      </c>
      <c r="D4660">
        <v>6.2141539999999997</v>
      </c>
      <c r="E4660">
        <v>0.58576249999999996</v>
      </c>
      <c r="F4660" t="s">
        <v>59</v>
      </c>
      <c r="G4660">
        <v>-226.26159999999999</v>
      </c>
      <c r="H4660">
        <v>1.8947149999999999</v>
      </c>
      <c r="I4660">
        <v>117.9263</v>
      </c>
      <c r="J4660">
        <v>-194.88059999999999</v>
      </c>
      <c r="K4660">
        <v>1.1064989999999999</v>
      </c>
      <c r="L4660">
        <v>156.49119999999999</v>
      </c>
      <c r="M4660">
        <v>-0.37067640000000002</v>
      </c>
      <c r="N4660">
        <v>0</v>
      </c>
      <c r="O4660">
        <v>-0.92864530000000001</v>
      </c>
      <c r="P4660">
        <v>-0.44467010000000001</v>
      </c>
      <c r="Q4660">
        <v>9.4966219999999995E-4</v>
      </c>
      <c r="R4660">
        <v>-0.89569379999999998</v>
      </c>
      <c r="S4660">
        <v>-1.9405520000000001</v>
      </c>
      <c r="T4660">
        <v>4.8672800000000002E-2</v>
      </c>
      <c r="U4660">
        <v>-2.3879549999999998</v>
      </c>
      <c r="V4660">
        <v>8.1064979999999995E-2</v>
      </c>
      <c r="W4660">
        <v>1.4952409999999999E-2</v>
      </c>
      <c r="X4660">
        <v>0.99659660000000005</v>
      </c>
      <c r="Y4660">
        <v>0.29794219999999999</v>
      </c>
      <c r="Z4660">
        <v>-1.558316E-2</v>
      </c>
      <c r="AA4660">
        <v>0.95445670000000005</v>
      </c>
      <c r="AB4660">
        <v>23</v>
      </c>
      <c r="AC4660">
        <v>-31.381</v>
      </c>
      <c r="AD4660">
        <v>0.78821600000000003</v>
      </c>
      <c r="AE4660">
        <v>-38.564900000000002</v>
      </c>
      <c r="AF4660">
        <v>14.8445995030206</v>
      </c>
      <c r="AG4660">
        <v>0.78821600000000003</v>
      </c>
      <c r="AH4660">
        <v>47.4385332610413</v>
      </c>
      <c r="AI4660">
        <v>89.091521311692404</v>
      </c>
      <c r="AJ4660">
        <v>72.623907652049994</v>
      </c>
      <c r="AK4660">
        <v>49.713155772156099</v>
      </c>
      <c r="AL4660">
        <v>89.143258039454494</v>
      </c>
      <c r="AM4660">
        <v>85.349695288144503</v>
      </c>
      <c r="AN4660">
        <v>0.999999944339382</v>
      </c>
    </row>
    <row r="4661" spans="1:40" x14ac:dyDescent="0.25">
      <c r="A4661" t="str">
        <f>"20190312160736228"</f>
        <v>20190312160736228</v>
      </c>
      <c r="B4661" t="str">
        <f>"1552378056220085"</f>
        <v>1552378056220085</v>
      </c>
      <c r="C4661" t="s">
        <v>40</v>
      </c>
      <c r="D4661">
        <v>6.1713570000000004</v>
      </c>
      <c r="E4661">
        <v>0.58577440000000003</v>
      </c>
      <c r="F4661" t="s">
        <v>59</v>
      </c>
      <c r="G4661">
        <v>-226.26150000000001</v>
      </c>
      <c r="H4661">
        <v>1.8400780000000001</v>
      </c>
      <c r="I4661">
        <v>118.05880000000001</v>
      </c>
      <c r="J4661">
        <v>-194.92699999999999</v>
      </c>
      <c r="K4661">
        <v>1.106511</v>
      </c>
      <c r="L4661">
        <v>156.38310000000001</v>
      </c>
      <c r="M4661">
        <v>-0.37318770000000001</v>
      </c>
      <c r="N4661">
        <v>0</v>
      </c>
      <c r="O4661">
        <v>-0.92763879999999999</v>
      </c>
      <c r="P4661">
        <v>-0.44747379999999998</v>
      </c>
      <c r="Q4661">
        <v>1.0902780000000001E-3</v>
      </c>
      <c r="R4661">
        <v>-0.89429629999999904</v>
      </c>
      <c r="S4661">
        <v>-1.9459690000000001</v>
      </c>
      <c r="T4661">
        <v>4.5490620000000002E-2</v>
      </c>
      <c r="U4661">
        <v>-2.3832399999999998</v>
      </c>
      <c r="V4661">
        <v>8.1491369999999994E-2</v>
      </c>
      <c r="W4661">
        <v>1.510211E-2</v>
      </c>
      <c r="X4661">
        <v>0.99655959999999999</v>
      </c>
      <c r="Y4661">
        <v>0.29759619999999998</v>
      </c>
      <c r="Z4661">
        <v>-1.4555429999999999E-2</v>
      </c>
      <c r="AA4661">
        <v>0.95458089999999995</v>
      </c>
      <c r="AB4661">
        <v>23</v>
      </c>
      <c r="AC4661">
        <v>-31.334499999999899</v>
      </c>
      <c r="AD4661">
        <v>0.73356699999999897</v>
      </c>
      <c r="AE4661">
        <v>-38.324300000000001</v>
      </c>
      <c r="AF4661">
        <v>14.763302491994599</v>
      </c>
      <c r="AG4661">
        <v>0.73356699999999897</v>
      </c>
      <c r="AH4661">
        <v>47.239516017545697</v>
      </c>
      <c r="AI4661">
        <v>89.150840043835004</v>
      </c>
      <c r="AJ4661">
        <v>72.644921518710504</v>
      </c>
      <c r="AK4661">
        <v>49.498132233303302</v>
      </c>
      <c r="AL4661">
        <v>89.134679920200597</v>
      </c>
      <c r="AM4661">
        <v>85.325170692827001</v>
      </c>
      <c r="AN4661">
        <v>0.99999997673154395</v>
      </c>
    </row>
    <row r="4662" spans="1:40" x14ac:dyDescent="0.25">
      <c r="A4662" t="str">
        <f>"20190312160736240"</f>
        <v>20190312160736240</v>
      </c>
      <c r="B4662" t="str">
        <f>"1552378056229846"</f>
        <v>1552378056229846</v>
      </c>
      <c r="C4662" t="s">
        <v>40</v>
      </c>
      <c r="D4662">
        <v>5.7978509999999996</v>
      </c>
      <c r="E4662">
        <v>0.58579119999999996</v>
      </c>
      <c r="F4662" t="s">
        <v>59</v>
      </c>
      <c r="G4662">
        <v>-226.26159999999999</v>
      </c>
      <c r="H4662">
        <v>1.871329</v>
      </c>
      <c r="I4662">
        <v>118.2522</v>
      </c>
      <c r="J4662">
        <v>-194.97130000000001</v>
      </c>
      <c r="K4662">
        <v>1.106522</v>
      </c>
      <c r="L4662">
        <v>156.28059999999999</v>
      </c>
      <c r="M4662">
        <v>-0.37557230000000003</v>
      </c>
      <c r="N4662">
        <v>0</v>
      </c>
      <c r="O4662">
        <v>-0.92667580000000005</v>
      </c>
      <c r="P4662">
        <v>-0.44967059999999998</v>
      </c>
      <c r="Q4662">
        <v>1.166933E-3</v>
      </c>
      <c r="R4662">
        <v>-0.89319369999999998</v>
      </c>
      <c r="S4662">
        <v>-1.9534149999999999</v>
      </c>
      <c r="T4662">
        <v>4.7679539999999999E-2</v>
      </c>
      <c r="U4662">
        <v>-2.3771059999999999</v>
      </c>
      <c r="V4662">
        <v>8.1378270000000003E-2</v>
      </c>
      <c r="W4662">
        <v>1.519175E-2</v>
      </c>
      <c r="X4662">
        <v>0.99656750000000005</v>
      </c>
      <c r="Y4662">
        <v>0.29812689999999997</v>
      </c>
      <c r="Z4662">
        <v>-1.524816E-2</v>
      </c>
      <c r="AA4662">
        <v>0.95440449999999999</v>
      </c>
      <c r="AB4662">
        <v>23</v>
      </c>
      <c r="AC4662">
        <v>-31.290299999999899</v>
      </c>
      <c r="AD4662">
        <v>0.76480700000000001</v>
      </c>
      <c r="AE4662">
        <v>-38.028399999999898</v>
      </c>
      <c r="AF4662">
        <v>14.7116016187016</v>
      </c>
      <c r="AG4662">
        <v>0.76480700000000001</v>
      </c>
      <c r="AH4662">
        <v>46.9855448202876</v>
      </c>
      <c r="AI4662">
        <v>89.110047672533398</v>
      </c>
      <c r="AJ4662">
        <v>72.614186937469299</v>
      </c>
      <c r="AK4662">
        <v>49.240812076913301</v>
      </c>
      <c r="AL4662">
        <v>89.129543354838702</v>
      </c>
      <c r="AM4662">
        <v>85.331666927778997</v>
      </c>
      <c r="AN4662">
        <v>0.99999999707625198</v>
      </c>
    </row>
    <row r="4663" spans="1:40" x14ac:dyDescent="0.25">
      <c r="A4663" t="str">
        <f>"20190312160736263"</f>
        <v>20190312160736263</v>
      </c>
      <c r="B4663" t="str">
        <f>"1552378056250341"</f>
        <v>1552378056250341</v>
      </c>
      <c r="C4663" t="s">
        <v>40</v>
      </c>
      <c r="D4663">
        <v>6.0582849999999997</v>
      </c>
      <c r="E4663">
        <v>0.58530439999999995</v>
      </c>
      <c r="F4663" t="s">
        <v>59</v>
      </c>
      <c r="G4663">
        <v>-226.26159999999999</v>
      </c>
      <c r="H4663">
        <v>1.8875420000000001</v>
      </c>
      <c r="I4663">
        <v>118.39530000000001</v>
      </c>
      <c r="J4663">
        <v>-195.0652</v>
      </c>
      <c r="K4663">
        <v>1.106544</v>
      </c>
      <c r="L4663">
        <v>156.06569999999999</v>
      </c>
      <c r="M4663">
        <v>-0.38057170000000001</v>
      </c>
      <c r="N4663">
        <v>0</v>
      </c>
      <c r="O4663">
        <v>-0.92463340000000005</v>
      </c>
      <c r="P4663">
        <v>-0.45473639999999999</v>
      </c>
      <c r="Q4663">
        <v>9.9424410000000006E-4</v>
      </c>
      <c r="R4663">
        <v>-0.89062569999999996</v>
      </c>
      <c r="S4663">
        <v>-1.95932</v>
      </c>
      <c r="T4663">
        <v>4.8905850000000001E-2</v>
      </c>
      <c r="U4663">
        <v>-2.3722840000000001</v>
      </c>
      <c r="V4663">
        <v>8.1653950000000003E-2</v>
      </c>
      <c r="W4663">
        <v>1.503727E-2</v>
      </c>
      <c r="X4663">
        <v>0.99654730000000002</v>
      </c>
      <c r="Y4663">
        <v>0.29533110000000001</v>
      </c>
      <c r="Z4663">
        <v>-1.561068E-2</v>
      </c>
      <c r="AA4663">
        <v>0.95526739999999999</v>
      </c>
      <c r="AB4663">
        <v>23</v>
      </c>
      <c r="AC4663">
        <v>-31.196399999999901</v>
      </c>
      <c r="AD4663">
        <v>0.78099799999999897</v>
      </c>
      <c r="AE4663">
        <v>-37.670400000000001</v>
      </c>
      <c r="AF4663">
        <v>14.506830024572499</v>
      </c>
      <c r="AG4663">
        <v>0.78099799999999897</v>
      </c>
      <c r="AH4663">
        <v>46.696968235745402</v>
      </c>
      <c r="AI4663">
        <v>89.084958377320206</v>
      </c>
      <c r="AJ4663">
        <v>72.742126558127296</v>
      </c>
      <c r="AK4663">
        <v>48.904651288482299</v>
      </c>
      <c r="AL4663">
        <v>89.138395424112403</v>
      </c>
      <c r="AM4663">
        <v>85.315828040850903</v>
      </c>
      <c r="AN4663">
        <v>1.00000000408847</v>
      </c>
    </row>
    <row r="4664" spans="1:40" x14ac:dyDescent="0.25">
      <c r="A4664" t="str">
        <f>"20190312160736273"</f>
        <v>20190312160736273</v>
      </c>
      <c r="B4664" t="str">
        <f>"1552378056270369"</f>
        <v>1552378056270369</v>
      </c>
      <c r="C4664" t="s">
        <v>40</v>
      </c>
      <c r="D4664">
        <v>5.9350009999999997</v>
      </c>
      <c r="E4664">
        <v>0.58523329999999996</v>
      </c>
      <c r="F4664" t="s">
        <v>59</v>
      </c>
      <c r="G4664">
        <v>-226.26150000000001</v>
      </c>
      <c r="H4664">
        <v>1.8037909999999999</v>
      </c>
      <c r="I4664">
        <v>118.6407</v>
      </c>
      <c r="J4664">
        <v>-195.1114</v>
      </c>
      <c r="K4664">
        <v>1.1065510000000001</v>
      </c>
      <c r="L4664">
        <v>155.9607</v>
      </c>
      <c r="M4664">
        <v>-0.38301590000000002</v>
      </c>
      <c r="N4664">
        <v>0</v>
      </c>
      <c r="O4664">
        <v>-0.92362359999999999</v>
      </c>
      <c r="P4664">
        <v>-0.45713559999999998</v>
      </c>
      <c r="Q4664">
        <v>1.1739140000000001E-3</v>
      </c>
      <c r="R4664">
        <v>-0.88939619999999997</v>
      </c>
      <c r="S4664">
        <v>-1.9695279999999999</v>
      </c>
      <c r="T4664">
        <v>4.4019820000000001E-2</v>
      </c>
      <c r="U4664">
        <v>-2.362762</v>
      </c>
      <c r="V4664">
        <v>8.1706009999999996E-2</v>
      </c>
      <c r="W4664">
        <v>1.522512E-2</v>
      </c>
      <c r="X4664">
        <v>0.99654019999999999</v>
      </c>
      <c r="Y4664">
        <v>0.29714679999999999</v>
      </c>
      <c r="Z4664">
        <v>-1.405123E-2</v>
      </c>
      <c r="AA4664">
        <v>0.95472840000000003</v>
      </c>
      <c r="AB4664">
        <v>23</v>
      </c>
      <c r="AC4664">
        <v>-31.150099999999998</v>
      </c>
      <c r="AD4664">
        <v>0.69723999999999897</v>
      </c>
      <c r="AE4664">
        <v>-37.32</v>
      </c>
      <c r="AF4664">
        <v>14.4754163606693</v>
      </c>
      <c r="AG4664">
        <v>0.69723999999999897</v>
      </c>
      <c r="AH4664">
        <v>46.396136303671803</v>
      </c>
      <c r="AI4664">
        <v>89.178093533068605</v>
      </c>
      <c r="AJ4664">
        <v>72.6722787269767</v>
      </c>
      <c r="AK4664">
        <v>48.606844027783097</v>
      </c>
      <c r="AL4664">
        <v>89.127631196380804</v>
      </c>
      <c r="AM4664">
        <v>85.312821616240697</v>
      </c>
      <c r="AN4664">
        <v>1.0000000232825801</v>
      </c>
    </row>
    <row r="4665" spans="1:40" x14ac:dyDescent="0.25">
      <c r="A4665" t="str">
        <f>"20190312160736285"</f>
        <v>20190312160736285</v>
      </c>
      <c r="B4665" t="str">
        <f>"1552378056280130"</f>
        <v>1552378056280130</v>
      </c>
      <c r="C4665" t="s">
        <v>40</v>
      </c>
      <c r="D4665">
        <v>6.0216919999999998</v>
      </c>
      <c r="E4665">
        <v>0.58523329999999996</v>
      </c>
      <c r="F4665" t="s">
        <v>59</v>
      </c>
      <c r="G4665">
        <v>-226.26150000000001</v>
      </c>
      <c r="H4665">
        <v>1.844822</v>
      </c>
      <c r="I4665">
        <v>118.78019999999999</v>
      </c>
      <c r="J4665">
        <v>-195.161</v>
      </c>
      <c r="K4665">
        <v>1.1065579999999999</v>
      </c>
      <c r="L4665">
        <v>155.84960000000001</v>
      </c>
      <c r="M4665">
        <v>-0.38561220000000002</v>
      </c>
      <c r="N4665">
        <v>0</v>
      </c>
      <c r="O4665">
        <v>-0.92254250000000004</v>
      </c>
      <c r="P4665">
        <v>-0.45972479999999899</v>
      </c>
      <c r="Q4665">
        <v>9.1250939999999996E-4</v>
      </c>
      <c r="R4665">
        <v>-0.88806090000000004</v>
      </c>
      <c r="S4665">
        <v>-1.975311</v>
      </c>
      <c r="T4665">
        <v>4.6816110000000001E-2</v>
      </c>
      <c r="U4665">
        <v>-2.3577119999999998</v>
      </c>
      <c r="V4665">
        <v>8.1804089999999996E-2</v>
      </c>
      <c r="W4665">
        <v>1.4971480000000001E-2</v>
      </c>
      <c r="X4665">
        <v>0.99653599999999998</v>
      </c>
      <c r="Y4665">
        <v>0.29683490000000001</v>
      </c>
      <c r="Z4665">
        <v>-1.493302E-2</v>
      </c>
      <c r="AA4665">
        <v>0.95481199999999999</v>
      </c>
      <c r="AB4665">
        <v>23</v>
      </c>
      <c r="AC4665">
        <v>-31.1005</v>
      </c>
      <c r="AD4665">
        <v>0.73826400000000003</v>
      </c>
      <c r="AE4665">
        <v>-37.069400000000002</v>
      </c>
      <c r="AF4665">
        <v>14.3953427689405</v>
      </c>
      <c r="AG4665">
        <v>0.73826400000000003</v>
      </c>
      <c r="AH4665">
        <v>46.185126785718801</v>
      </c>
      <c r="AI4665">
        <v>89.125689680230394</v>
      </c>
      <c r="AJ4665">
        <v>72.6883781156899</v>
      </c>
      <c r="AK4665">
        <v>48.382195727167101</v>
      </c>
      <c r="AL4665">
        <v>89.142165357324103</v>
      </c>
      <c r="AM4665">
        <v>85.307200545664898</v>
      </c>
      <c r="AN4665">
        <v>1.00000002682505</v>
      </c>
    </row>
    <row r="4666" spans="1:40" x14ac:dyDescent="0.25">
      <c r="A4666" t="str">
        <f>"20190312160736298"</f>
        <v>20190312160736298</v>
      </c>
      <c r="B4666" t="str">
        <f>"1552378056289890"</f>
        <v>1552378056289890</v>
      </c>
      <c r="C4666" t="s">
        <v>40</v>
      </c>
      <c r="D4666">
        <v>6.3704419999999997</v>
      </c>
      <c r="E4666">
        <v>0.58540619999999999</v>
      </c>
      <c r="F4666" t="s">
        <v>59</v>
      </c>
      <c r="G4666">
        <v>-226.18469999999999</v>
      </c>
      <c r="H4666">
        <v>1.8268</v>
      </c>
      <c r="I4666">
        <v>119.0391</v>
      </c>
      <c r="J4666">
        <v>-195.21559999999999</v>
      </c>
      <c r="K4666">
        <v>1.1065640000000001</v>
      </c>
      <c r="L4666">
        <v>155.7277</v>
      </c>
      <c r="M4666">
        <v>-0.38846199999999997</v>
      </c>
      <c r="N4666">
        <v>0</v>
      </c>
      <c r="O4666">
        <v>-0.9213462</v>
      </c>
      <c r="P4666">
        <v>-0.46253929999999999</v>
      </c>
      <c r="Q4666">
        <v>9.5194669999999998E-4</v>
      </c>
      <c r="R4666">
        <v>-0.88659849999999996</v>
      </c>
      <c r="S4666">
        <v>-1.982208</v>
      </c>
      <c r="T4666">
        <v>4.6019079999999997E-2</v>
      </c>
      <c r="U4666">
        <v>-2.351944</v>
      </c>
      <c r="V4666">
        <v>8.1884799999999994E-2</v>
      </c>
      <c r="W4666">
        <v>1.5018200000000001E-2</v>
      </c>
      <c r="X4666">
        <v>0.99652859999999999</v>
      </c>
      <c r="Y4666">
        <v>0.29667700000000002</v>
      </c>
      <c r="Z4666">
        <v>-1.466683E-2</v>
      </c>
      <c r="AA4666">
        <v>0.95486519999999997</v>
      </c>
      <c r="AB4666">
        <v>23</v>
      </c>
      <c r="AC4666">
        <v>-30.969100000000001</v>
      </c>
      <c r="AD4666">
        <v>0.72023599999999999</v>
      </c>
      <c r="AE4666">
        <v>-36.688600000000001</v>
      </c>
      <c r="AF4666">
        <v>14.2794824103946</v>
      </c>
      <c r="AG4666">
        <v>0.72023599999999999</v>
      </c>
      <c r="AH4666">
        <v>45.827914824599397</v>
      </c>
      <c r="AI4666">
        <v>89.140365027978007</v>
      </c>
      <c r="AJ4666">
        <v>72.693530920722097</v>
      </c>
      <c r="AK4666">
        <v>48.006459304714497</v>
      </c>
      <c r="AL4666">
        <v>89.139488138968503</v>
      </c>
      <c r="AM4666">
        <v>85.302556493739303</v>
      </c>
      <c r="AN4666">
        <v>0.99999995871011904</v>
      </c>
    </row>
    <row r="4667" spans="1:40" x14ac:dyDescent="0.25">
      <c r="A4667" t="str">
        <f>"20190312160736311"</f>
        <v>20190312160736311</v>
      </c>
      <c r="B4667" t="str">
        <f>"1552378056299650"</f>
        <v>1552378056299650</v>
      </c>
      <c r="C4667" t="s">
        <v>40</v>
      </c>
      <c r="D4667">
        <v>5.9670949999999996</v>
      </c>
      <c r="E4667">
        <v>0.58540619999999999</v>
      </c>
      <c r="F4667" t="s">
        <v>59</v>
      </c>
      <c r="G4667">
        <v>-226.18469999999999</v>
      </c>
      <c r="H4667">
        <v>1.78629199999999</v>
      </c>
      <c r="I4667">
        <v>119.2469</v>
      </c>
      <c r="J4667">
        <v>-195.27119999999999</v>
      </c>
      <c r="K4667">
        <v>1.1065659999999999</v>
      </c>
      <c r="L4667">
        <v>155.60470000000001</v>
      </c>
      <c r="M4667">
        <v>-0.39134960000000002</v>
      </c>
      <c r="N4667">
        <v>0</v>
      </c>
      <c r="O4667">
        <v>-0.92012320000000003</v>
      </c>
      <c r="P4667">
        <v>-0.46553600000000001</v>
      </c>
      <c r="Q4667">
        <v>1.1753499999999999E-3</v>
      </c>
      <c r="R4667">
        <v>-0.8850285</v>
      </c>
      <c r="S4667">
        <v>-1.9907840000000001</v>
      </c>
      <c r="T4667">
        <v>4.3695329999999998E-2</v>
      </c>
      <c r="U4667">
        <v>-2.3450929999999999</v>
      </c>
      <c r="V4667">
        <v>8.2132819999999995E-2</v>
      </c>
      <c r="W4667">
        <v>1.524563E-2</v>
      </c>
      <c r="X4667">
        <v>0.99650479999999997</v>
      </c>
      <c r="Y4667">
        <v>0.2970952</v>
      </c>
      <c r="Z4667">
        <v>-1.391507E-2</v>
      </c>
      <c r="AA4667">
        <v>0.95474650000000005</v>
      </c>
      <c r="AB4667">
        <v>23</v>
      </c>
      <c r="AC4667">
        <v>-30.913499999999999</v>
      </c>
      <c r="AD4667">
        <v>0.67972599999999905</v>
      </c>
      <c r="AE4667">
        <v>-36.357799999999997</v>
      </c>
      <c r="AF4667">
        <v>14.2142898569144</v>
      </c>
      <c r="AG4667">
        <v>0.67972599999999905</v>
      </c>
      <c r="AH4667">
        <v>45.547385141106197</v>
      </c>
      <c r="AI4667">
        <v>89.183825941412493</v>
      </c>
      <c r="AJ4667">
        <v>72.668059567489806</v>
      </c>
      <c r="AK4667">
        <v>47.7186793275309</v>
      </c>
      <c r="AL4667">
        <v>89.126455923218501</v>
      </c>
      <c r="AM4667">
        <v>85.288280394016596</v>
      </c>
      <c r="AN4667">
        <v>1.0000000228891399</v>
      </c>
    </row>
    <row r="4668" spans="1:40" x14ac:dyDescent="0.25">
      <c r="A4668" t="str">
        <f>"20190312160736330"</f>
        <v>20190312160736330</v>
      </c>
      <c r="B4668" t="str">
        <f>"1552378056320146"</f>
        <v>1552378056320146</v>
      </c>
      <c r="C4668" t="s">
        <v>40</v>
      </c>
      <c r="D4668">
        <v>6.1053439999999997</v>
      </c>
      <c r="E4668">
        <v>0.58505719999999894</v>
      </c>
      <c r="F4668" t="s">
        <v>59</v>
      </c>
      <c r="G4668">
        <v>-226.18469999999999</v>
      </c>
      <c r="H4668">
        <v>1.795512</v>
      </c>
      <c r="I4668">
        <v>119.4406</v>
      </c>
      <c r="J4668">
        <v>-195.35720000000001</v>
      </c>
      <c r="K4668">
        <v>1.106557</v>
      </c>
      <c r="L4668">
        <v>155.41659999999999</v>
      </c>
      <c r="M4668">
        <v>-0.3957909</v>
      </c>
      <c r="N4668">
        <v>0</v>
      </c>
      <c r="O4668">
        <v>-0.91822130000000002</v>
      </c>
      <c r="P4668">
        <v>-0.46987820000000002</v>
      </c>
      <c r="Q4668">
        <v>1.1850280000000001E-3</v>
      </c>
      <c r="R4668">
        <v>-0.88273080000000004</v>
      </c>
      <c r="S4668">
        <v>-1.9987790000000001</v>
      </c>
      <c r="T4668">
        <v>4.4545769999999998E-2</v>
      </c>
      <c r="U4668">
        <v>-2.3382719999999999</v>
      </c>
      <c r="V4668">
        <v>8.2213869999999994E-2</v>
      </c>
      <c r="W4668">
        <v>1.526184E-2</v>
      </c>
      <c r="X4668">
        <v>0.99649790000000005</v>
      </c>
      <c r="Y4668">
        <v>0.29574060000000002</v>
      </c>
      <c r="Z4668">
        <v>-1.416396E-2</v>
      </c>
      <c r="AA4668">
        <v>0.95516330000000005</v>
      </c>
      <c r="AB4668">
        <v>23</v>
      </c>
      <c r="AC4668">
        <v>-30.827499999999901</v>
      </c>
      <c r="AD4668">
        <v>0.68895499999999998</v>
      </c>
      <c r="AE4668">
        <v>-35.9759999999999</v>
      </c>
      <c r="AF4668">
        <v>14.0660613132825</v>
      </c>
      <c r="AG4668">
        <v>0.68895499999999998</v>
      </c>
      <c r="AH4668">
        <v>45.230567478590203</v>
      </c>
      <c r="AI4668">
        <v>89.166694005409298</v>
      </c>
      <c r="AJ4668">
        <v>72.725051399884293</v>
      </c>
      <c r="AK4668">
        <v>47.372280653314</v>
      </c>
      <c r="AL4668">
        <v>89.125527078178905</v>
      </c>
      <c r="AM4668">
        <v>85.283619247531803</v>
      </c>
      <c r="AN4668">
        <v>1.0000000544424801</v>
      </c>
    </row>
    <row r="4669" spans="1:40" x14ac:dyDescent="0.25">
      <c r="A4669" t="str">
        <f>"20190312160736352"</f>
        <v>20190312160736352</v>
      </c>
      <c r="B4669" t="str">
        <f>"1552378056339665"</f>
        <v>1552378056339665</v>
      </c>
      <c r="C4669" t="s">
        <v>40</v>
      </c>
      <c r="D4669">
        <v>6.3914580000000001</v>
      </c>
      <c r="E4669">
        <v>0.58522640000000004</v>
      </c>
      <c r="F4669" t="s">
        <v>59</v>
      </c>
      <c r="G4669">
        <v>-226.22819999999999</v>
      </c>
      <c r="H4669">
        <v>1.7225630000000001</v>
      </c>
      <c r="I4669">
        <v>119.5971</v>
      </c>
      <c r="J4669">
        <v>-195.44749999999999</v>
      </c>
      <c r="K4669">
        <v>1.1065430000000001</v>
      </c>
      <c r="L4669">
        <v>155.2217</v>
      </c>
      <c r="M4669">
        <v>-0.40044160000000001</v>
      </c>
      <c r="N4669">
        <v>0</v>
      </c>
      <c r="O4669">
        <v>-0.91620259999999998</v>
      </c>
      <c r="P4669">
        <v>-0.4741553</v>
      </c>
      <c r="Q4669">
        <v>1.777121E-3</v>
      </c>
      <c r="R4669">
        <v>-0.88043950000000004</v>
      </c>
      <c r="S4669">
        <v>-2.0078580000000001</v>
      </c>
      <c r="T4669">
        <v>4.0065530000000002E-2</v>
      </c>
      <c r="U4669">
        <v>-2.3297119999999998</v>
      </c>
      <c r="V4669">
        <v>8.2001959999999999E-2</v>
      </c>
      <c r="W4669">
        <v>1.5861150000000001E-2</v>
      </c>
      <c r="X4669">
        <v>0.996506</v>
      </c>
      <c r="Y4669">
        <v>0.29478110000000002</v>
      </c>
      <c r="Z4669">
        <v>-1.2722229999999999E-2</v>
      </c>
      <c r="AA4669">
        <v>0.95548010000000005</v>
      </c>
      <c r="AB4669">
        <v>23</v>
      </c>
      <c r="AC4669">
        <v>-30.7807</v>
      </c>
      <c r="AD4669">
        <v>0.61602000000000001</v>
      </c>
      <c r="AE4669">
        <v>-35.624600000000001</v>
      </c>
      <c r="AF4669">
        <v>13.934928310458799</v>
      </c>
      <c r="AG4669">
        <v>0.61602000000000001</v>
      </c>
      <c r="AH4669">
        <v>44.962457942275499</v>
      </c>
      <c r="AI4669">
        <v>89.250232002033798</v>
      </c>
      <c r="AJ4669">
        <v>72.780555785792501</v>
      </c>
      <c r="AK4669">
        <v>47.076367020713398</v>
      </c>
      <c r="AL4669">
        <v>89.091184986008699</v>
      </c>
      <c r="AM4669">
        <v>85.295759370097301</v>
      </c>
      <c r="AN4669">
        <v>1.00000005277958</v>
      </c>
    </row>
    <row r="4670" spans="1:40" x14ac:dyDescent="0.25">
      <c r="A4670" t="str">
        <f>"20190312160736364"</f>
        <v>20190312160736364</v>
      </c>
      <c r="B4670" t="str">
        <f>"1552378056360162"</f>
        <v>1552378056360162</v>
      </c>
      <c r="C4670" t="s">
        <v>40</v>
      </c>
      <c r="D4670">
        <v>6.4050399999999996</v>
      </c>
      <c r="E4670">
        <v>0.58486079999999996</v>
      </c>
      <c r="F4670" t="s">
        <v>59</v>
      </c>
      <c r="G4670">
        <v>-226.48060000000001</v>
      </c>
      <c r="H4670">
        <v>1.741214</v>
      </c>
      <c r="I4670">
        <v>119.5971</v>
      </c>
      <c r="J4670">
        <v>-195.50020000000001</v>
      </c>
      <c r="K4670">
        <v>1.10653</v>
      </c>
      <c r="L4670">
        <v>155.1096</v>
      </c>
      <c r="M4670">
        <v>-0.40314949999999999</v>
      </c>
      <c r="N4670">
        <v>0</v>
      </c>
      <c r="O4670">
        <v>-0.91501410000000005</v>
      </c>
      <c r="P4670">
        <v>-0.47649269999999999</v>
      </c>
      <c r="Q4670">
        <v>1.7425520000000001E-3</v>
      </c>
      <c r="R4670">
        <v>-0.87917670000000003</v>
      </c>
      <c r="S4670">
        <v>-2.02034</v>
      </c>
      <c r="T4670">
        <v>4.1319250000000002E-2</v>
      </c>
      <c r="U4670">
        <v>-2.3192599999999999</v>
      </c>
      <c r="V4670">
        <v>8.1702590000000005E-2</v>
      </c>
      <c r="W4670">
        <v>1.5830159999999999E-2</v>
      </c>
      <c r="X4670">
        <v>0.99653099999999994</v>
      </c>
      <c r="Y4670">
        <v>0.29700729999999997</v>
      </c>
      <c r="Z4670">
        <v>-1.3115079999999999E-2</v>
      </c>
      <c r="AA4670">
        <v>0.9547852</v>
      </c>
      <c r="AB4670">
        <v>23</v>
      </c>
      <c r="AC4670">
        <v>-30.980399999999999</v>
      </c>
      <c r="AD4670">
        <v>0.63468400000000003</v>
      </c>
      <c r="AE4670">
        <v>-35.512500000000003</v>
      </c>
      <c r="AF4670">
        <v>14.0296529153098</v>
      </c>
      <c r="AG4670">
        <v>0.63468400000000003</v>
      </c>
      <c r="AH4670">
        <v>44.980954314707901</v>
      </c>
      <c r="AI4670">
        <v>89.228268998768698</v>
      </c>
      <c r="AJ4670">
        <v>72.677191419499295</v>
      </c>
      <c r="AK4670">
        <v>47.122396328770797</v>
      </c>
      <c r="AL4670">
        <v>89.092960730502895</v>
      </c>
      <c r="AM4670">
        <v>85.312973857607105</v>
      </c>
      <c r="AN4670">
        <v>0.99999997056966605</v>
      </c>
    </row>
    <row r="4671" spans="1:40" x14ac:dyDescent="0.25">
      <c r="A4671" t="str">
        <f>"20190312160736376"</f>
        <v>20190312160736376</v>
      </c>
      <c r="B4671" t="str">
        <f>"1552378056369456"</f>
        <v>1552378056369456</v>
      </c>
      <c r="C4671" t="s">
        <v>40</v>
      </c>
      <c r="D4671">
        <v>6.1988250000000003</v>
      </c>
      <c r="E4671">
        <v>0.58461109999999905</v>
      </c>
      <c r="F4671" t="s">
        <v>59</v>
      </c>
      <c r="G4671">
        <v>-226.54130000000001</v>
      </c>
      <c r="H4671">
        <v>1.7630749999999999</v>
      </c>
      <c r="I4671">
        <v>119.5971</v>
      </c>
      <c r="J4671">
        <v>-195.55019999999999</v>
      </c>
      <c r="K4671">
        <v>1.106511</v>
      </c>
      <c r="L4671">
        <v>155.0034</v>
      </c>
      <c r="M4671">
        <v>-0.40572249999999999</v>
      </c>
      <c r="N4671">
        <v>0</v>
      </c>
      <c r="O4671">
        <v>-0.91387609999999997</v>
      </c>
      <c r="P4671">
        <v>-0.4788676</v>
      </c>
      <c r="Q4671">
        <v>2.0873710000000002E-3</v>
      </c>
      <c r="R4671">
        <v>-0.87788509999999997</v>
      </c>
      <c r="S4671">
        <v>-2.0238040000000002</v>
      </c>
      <c r="T4671">
        <v>4.2805429999999998E-2</v>
      </c>
      <c r="U4671">
        <v>-2.3153229999999998</v>
      </c>
      <c r="V4671">
        <v>8.1596370000000001E-2</v>
      </c>
      <c r="W4671">
        <v>1.617677E-2</v>
      </c>
      <c r="X4671">
        <v>0.99653420000000004</v>
      </c>
      <c r="Y4671">
        <v>0.29592960000000001</v>
      </c>
      <c r="Z4671">
        <v>-1.3576110000000001E-2</v>
      </c>
      <c r="AA4671">
        <v>0.95511330000000005</v>
      </c>
      <c r="AB4671">
        <v>23</v>
      </c>
      <c r="AC4671">
        <v>-30.991099999999999</v>
      </c>
      <c r="AD4671">
        <v>0.65656399999999904</v>
      </c>
      <c r="AE4671">
        <v>-35.406300000000002</v>
      </c>
      <c r="AF4671">
        <v>13.9557094796955</v>
      </c>
      <c r="AG4671">
        <v>0.65656399999999904</v>
      </c>
      <c r="AH4671">
        <v>44.9269477148448</v>
      </c>
      <c r="AI4671">
        <v>89.200420016421305</v>
      </c>
      <c r="AJ4671">
        <v>72.743577921837002</v>
      </c>
      <c r="AK4671">
        <v>47.049160825036502</v>
      </c>
      <c r="AL4671">
        <v>89.073098954556002</v>
      </c>
      <c r="AM4671">
        <v>85.319055240680299</v>
      </c>
      <c r="AN4671">
        <v>1.0000000336272199</v>
      </c>
    </row>
    <row r="4672" spans="1:40" x14ac:dyDescent="0.25">
      <c r="A4672" t="str">
        <f>"20190312160736387"</f>
        <v>20190312160736387</v>
      </c>
      <c r="B4672" t="str">
        <f>"1552378056380192"</f>
        <v>1552378056380192</v>
      </c>
      <c r="C4672" t="s">
        <v>40</v>
      </c>
      <c r="D4672">
        <v>6.3963449999999904</v>
      </c>
      <c r="E4672">
        <v>0.58443800000000001</v>
      </c>
      <c r="F4672" t="s">
        <v>59</v>
      </c>
      <c r="G4672">
        <v>-226.6249</v>
      </c>
      <c r="H4672">
        <v>1.8025439999999999</v>
      </c>
      <c r="I4672">
        <v>119.5971</v>
      </c>
      <c r="J4672">
        <v>-195.60570000000001</v>
      </c>
      <c r="K4672">
        <v>1.106487</v>
      </c>
      <c r="L4672">
        <v>154.8871</v>
      </c>
      <c r="M4672">
        <v>-0.40858290000000003</v>
      </c>
      <c r="N4672">
        <v>0</v>
      </c>
      <c r="O4672">
        <v>-0.91260079999999999</v>
      </c>
      <c r="P4672">
        <v>-0.48170980000000002</v>
      </c>
      <c r="Q4672">
        <v>1.7994409999999999E-3</v>
      </c>
      <c r="R4672">
        <v>-0.87632909999999997</v>
      </c>
      <c r="S4672">
        <v>-2.028168</v>
      </c>
      <c r="T4672">
        <v>4.5428749999999997E-2</v>
      </c>
      <c r="U4672">
        <v>-2.310883</v>
      </c>
      <c r="V4672">
        <v>8.1702880000000006E-2</v>
      </c>
      <c r="W4672">
        <v>1.5887849999999999E-2</v>
      </c>
      <c r="X4672">
        <v>0.99653009999999997</v>
      </c>
      <c r="Y4672">
        <v>0.29485790000000001</v>
      </c>
      <c r="Z4672">
        <v>-1.4394229999999999E-2</v>
      </c>
      <c r="AA4672">
        <v>0.95543270000000002</v>
      </c>
      <c r="AB4672">
        <v>23</v>
      </c>
      <c r="AC4672">
        <v>-31.019199999999898</v>
      </c>
      <c r="AD4672">
        <v>0.69605699999999904</v>
      </c>
      <c r="AE4672">
        <v>-35.29</v>
      </c>
      <c r="AF4672">
        <v>13.8877348970983</v>
      </c>
      <c r="AG4672">
        <v>0.69605699999999904</v>
      </c>
      <c r="AH4672">
        <v>44.874681238711297</v>
      </c>
      <c r="AI4672">
        <v>89.151067346556403</v>
      </c>
      <c r="AJ4672">
        <v>72.803844362129297</v>
      </c>
      <c r="AK4672">
        <v>46.979683823917703</v>
      </c>
      <c r="AL4672">
        <v>89.0896549591249</v>
      </c>
      <c r="AM4672">
        <v>85.312953081153097</v>
      </c>
      <c r="AN4672">
        <v>1.0000000122919599</v>
      </c>
    </row>
    <row r="4673" spans="1:40" x14ac:dyDescent="0.25">
      <c r="A4673" t="str">
        <f>"20190312160736398"</f>
        <v>20190312160736398</v>
      </c>
      <c r="B4673" t="str">
        <f>"1552378056389951"</f>
        <v>1552378056389951</v>
      </c>
      <c r="C4673" t="s">
        <v>40</v>
      </c>
      <c r="D4673">
        <v>6.2342620000000002</v>
      </c>
      <c r="E4673">
        <v>0.58423380000000003</v>
      </c>
      <c r="F4673" t="s">
        <v>59</v>
      </c>
      <c r="G4673">
        <v>-226.7569</v>
      </c>
      <c r="H4673">
        <v>1.7958099999999999</v>
      </c>
      <c r="I4673">
        <v>119.5971</v>
      </c>
      <c r="J4673">
        <v>-195.65559999999999</v>
      </c>
      <c r="K4673">
        <v>1.10646</v>
      </c>
      <c r="L4673">
        <v>154.78319999999999</v>
      </c>
      <c r="M4673">
        <v>-0.41115629999999997</v>
      </c>
      <c r="N4673">
        <v>0</v>
      </c>
      <c r="O4673">
        <v>-0.91144429999999999</v>
      </c>
      <c r="P4673">
        <v>-0.4843537</v>
      </c>
      <c r="Q4673">
        <v>1.4080609999999999E-3</v>
      </c>
      <c r="R4673">
        <v>-0.87487130000000002</v>
      </c>
      <c r="S4673">
        <v>-2.0345759999999999</v>
      </c>
      <c r="T4673">
        <v>4.502225E-2</v>
      </c>
      <c r="U4673">
        <v>-2.3049010000000001</v>
      </c>
      <c r="V4673">
        <v>8.189747E-2</v>
      </c>
      <c r="W4673">
        <v>1.549355E-2</v>
      </c>
      <c r="X4673">
        <v>0.99652030000000003</v>
      </c>
      <c r="Y4673">
        <v>0.29488619999999999</v>
      </c>
      <c r="Z4673">
        <v>-1.4255479999999999E-2</v>
      </c>
      <c r="AA4673">
        <v>0.955426</v>
      </c>
      <c r="AB4673">
        <v>23</v>
      </c>
      <c r="AC4673">
        <v>-31.101299999999998</v>
      </c>
      <c r="AD4673">
        <v>0.68934999999999902</v>
      </c>
      <c r="AE4673">
        <v>-35.186100000000003</v>
      </c>
      <c r="AF4673">
        <v>13.8786509576829</v>
      </c>
      <c r="AG4673">
        <v>0.68934999999999902</v>
      </c>
      <c r="AH4673">
        <v>44.852931261493197</v>
      </c>
      <c r="AI4673">
        <v>89.158826134379396</v>
      </c>
      <c r="AJ4673">
        <v>72.8065872017754</v>
      </c>
      <c r="AK4673">
        <v>46.956124186051902</v>
      </c>
      <c r="AL4673">
        <v>89.112249435054196</v>
      </c>
      <c r="AM4673">
        <v>85.301793957942806</v>
      </c>
      <c r="AN4673">
        <v>0.99999997699804599</v>
      </c>
    </row>
    <row r="4674" spans="1:40" x14ac:dyDescent="0.25">
      <c r="A4674" t="str">
        <f>"20190312160736409"</f>
        <v>20190312160736409</v>
      </c>
      <c r="B4674" t="str">
        <f>"1552378056399711"</f>
        <v>1552378056399711</v>
      </c>
      <c r="C4674" t="s">
        <v>40</v>
      </c>
      <c r="D4674">
        <v>5.5343470000000003</v>
      </c>
      <c r="E4674">
        <v>0.58408950000000004</v>
      </c>
      <c r="F4674" t="s">
        <v>59</v>
      </c>
      <c r="G4674">
        <v>-226.97219999999999</v>
      </c>
      <c r="H4674">
        <v>1.7898609999999999</v>
      </c>
      <c r="I4674">
        <v>119.4838</v>
      </c>
      <c r="J4674">
        <v>-195.70650000000001</v>
      </c>
      <c r="K4674">
        <v>1.106433</v>
      </c>
      <c r="L4674">
        <v>154.678</v>
      </c>
      <c r="M4674">
        <v>-0.41378559999999998</v>
      </c>
      <c r="N4674">
        <v>0</v>
      </c>
      <c r="O4674">
        <v>-0.91025339999999999</v>
      </c>
      <c r="P4674">
        <v>-0.48743009999999898</v>
      </c>
      <c r="Q4674">
        <v>1.010724E-3</v>
      </c>
      <c r="R4674">
        <v>-0.87316179999999999</v>
      </c>
      <c r="S4674">
        <v>-2.0400999999999998</v>
      </c>
      <c r="T4674">
        <v>4.452014E-2</v>
      </c>
      <c r="U4674">
        <v>-2.2995610000000002</v>
      </c>
      <c r="V4674">
        <v>8.2525870000000001E-2</v>
      </c>
      <c r="W4674">
        <v>1.508924E-2</v>
      </c>
      <c r="X4674">
        <v>0.99647470000000005</v>
      </c>
      <c r="Y4674">
        <v>0.29451500000000003</v>
      </c>
      <c r="Z4674">
        <v>-1.408539E-2</v>
      </c>
      <c r="AA4674">
        <v>0.95554300000000003</v>
      </c>
      <c r="AB4674">
        <v>23</v>
      </c>
      <c r="AC4674">
        <v>-31.265699999999899</v>
      </c>
      <c r="AD4674">
        <v>0.68342800000000004</v>
      </c>
      <c r="AE4674">
        <v>-35.194199999999903</v>
      </c>
      <c r="AF4674">
        <v>13.895458474744</v>
      </c>
      <c r="AG4674">
        <v>0.68342800000000004</v>
      </c>
      <c r="AH4674">
        <v>44.968412152066399</v>
      </c>
      <c r="AI4674">
        <v>89.168093906220804</v>
      </c>
      <c r="AJ4674">
        <v>72.828596130140994</v>
      </c>
      <c r="AK4674">
        <v>47.071317503684</v>
      </c>
      <c r="AL4674">
        <v>89.135417434939797</v>
      </c>
      <c r="AM4674">
        <v>85.265692157357506</v>
      </c>
      <c r="AN4674">
        <v>1.0000000160615601</v>
      </c>
    </row>
    <row r="4675" spans="1:40" x14ac:dyDescent="0.25">
      <c r="A4675" t="str">
        <f>"20190312160736421"</f>
        <v>20190312160736421</v>
      </c>
      <c r="B4675" t="str">
        <f>"1552378056409472"</f>
        <v>1552378056409472</v>
      </c>
      <c r="C4675" t="s">
        <v>40</v>
      </c>
      <c r="D4675">
        <v>6.331855</v>
      </c>
      <c r="E4675">
        <v>0.58395010000000003</v>
      </c>
      <c r="F4675" t="s">
        <v>59</v>
      </c>
      <c r="G4675">
        <v>-227.12880000000001</v>
      </c>
      <c r="H4675">
        <v>1.7685109999999999</v>
      </c>
      <c r="I4675">
        <v>119.4838</v>
      </c>
      <c r="J4675">
        <v>-195.75630000000001</v>
      </c>
      <c r="K4675">
        <v>1.106401</v>
      </c>
      <c r="L4675">
        <v>154.5762</v>
      </c>
      <c r="M4675">
        <v>-0.41636139999999999</v>
      </c>
      <c r="N4675">
        <v>0</v>
      </c>
      <c r="O4675">
        <v>-0.90907819999999995</v>
      </c>
      <c r="P4675">
        <v>-0.4898844</v>
      </c>
      <c r="Q4675">
        <v>5.5505289999999998E-4</v>
      </c>
      <c r="R4675">
        <v>-0.87178729999999904</v>
      </c>
      <c r="S4675">
        <v>-2.0471650000000001</v>
      </c>
      <c r="T4675">
        <v>4.3134930000000002E-2</v>
      </c>
      <c r="U4675">
        <v>-2.2929080000000002</v>
      </c>
      <c r="V4675">
        <v>8.2504449999999993E-2</v>
      </c>
      <c r="W4675">
        <v>1.463248E-2</v>
      </c>
      <c r="X4675">
        <v>0.99648329999999996</v>
      </c>
      <c r="Y4675">
        <v>0.2948288</v>
      </c>
      <c r="Z4675">
        <v>-1.363835E-2</v>
      </c>
      <c r="AA4675">
        <v>0.95545270000000004</v>
      </c>
      <c r="AB4675">
        <v>23</v>
      </c>
      <c r="AC4675">
        <v>-31.372499999999999</v>
      </c>
      <c r="AD4675">
        <v>0.66210999999999998</v>
      </c>
      <c r="AE4675">
        <v>-35.092399999999998</v>
      </c>
      <c r="AF4675">
        <v>13.9077136346275</v>
      </c>
      <c r="AG4675">
        <v>0.66210999999999998</v>
      </c>
      <c r="AH4675">
        <v>44.960085368104998</v>
      </c>
      <c r="AI4675">
        <v>89.193965632690606</v>
      </c>
      <c r="AJ4675">
        <v>72.811348207280503</v>
      </c>
      <c r="AK4675">
        <v>47.066677857080499</v>
      </c>
      <c r="AL4675">
        <v>89.161590757354006</v>
      </c>
      <c r="AM4675">
        <v>85.266956049674604</v>
      </c>
      <c r="AN4675">
        <v>1.00000003045982</v>
      </c>
    </row>
    <row r="4676" spans="1:40" x14ac:dyDescent="0.25">
      <c r="A4676" t="str">
        <f>"20190312160736431"</f>
        <v>20190312160736431</v>
      </c>
      <c r="B4676" t="str">
        <f>"1552378056420209"</f>
        <v>1552378056420209</v>
      </c>
      <c r="C4676" t="s">
        <v>40</v>
      </c>
      <c r="D4676">
        <v>6.374994</v>
      </c>
      <c r="E4676">
        <v>0.58400339999999995</v>
      </c>
      <c r="F4676" t="s">
        <v>59</v>
      </c>
      <c r="G4676">
        <v>-227.23830000000001</v>
      </c>
      <c r="H4676">
        <v>1.7544729999999999</v>
      </c>
      <c r="I4676">
        <v>119.4838</v>
      </c>
      <c r="J4676">
        <v>-195.80590000000001</v>
      </c>
      <c r="K4676">
        <v>1.106371</v>
      </c>
      <c r="L4676">
        <v>154.4752</v>
      </c>
      <c r="M4676">
        <v>-0.41893540000000001</v>
      </c>
      <c r="N4676">
        <v>0</v>
      </c>
      <c r="O4676">
        <v>-0.9078946</v>
      </c>
      <c r="P4676">
        <v>-0.49285050000000002</v>
      </c>
      <c r="Q4676">
        <v>5.581761E-4</v>
      </c>
      <c r="R4676">
        <v>-0.8701141</v>
      </c>
      <c r="S4676">
        <v>-2.05246</v>
      </c>
      <c r="T4676">
        <v>4.2251230000000001E-2</v>
      </c>
      <c r="U4676">
        <v>-2.2878419999999999</v>
      </c>
      <c r="V4676">
        <v>8.3075780000000002E-2</v>
      </c>
      <c r="W4676">
        <v>1.4628189999999999E-2</v>
      </c>
      <c r="X4676">
        <v>0.99643590000000004</v>
      </c>
      <c r="Y4676">
        <v>0.29440090000000002</v>
      </c>
      <c r="Z4676">
        <v>-1.334781E-2</v>
      </c>
      <c r="AA4676">
        <v>0.95558880000000002</v>
      </c>
      <c r="AB4676">
        <v>23</v>
      </c>
      <c r="AC4676">
        <v>-31.432400000000001</v>
      </c>
      <c r="AD4676">
        <v>0.64810199999999996</v>
      </c>
      <c r="AE4676">
        <v>-34.991399999999999</v>
      </c>
      <c r="AF4676">
        <v>13.877065926758499</v>
      </c>
      <c r="AG4676">
        <v>0.64810199999999996</v>
      </c>
      <c r="AH4676">
        <v>44.933073028207097</v>
      </c>
      <c r="AI4676">
        <v>89.210431658883394</v>
      </c>
      <c r="AJ4676">
        <v>72.837294578492404</v>
      </c>
      <c r="AK4676">
        <v>47.031628152725098</v>
      </c>
      <c r="AL4676">
        <v>89.161836587184098</v>
      </c>
      <c r="AM4676">
        <v>85.234105271979899</v>
      </c>
      <c r="AN4676">
        <v>1.00000003598704</v>
      </c>
    </row>
    <row r="4677" spans="1:40" x14ac:dyDescent="0.25">
      <c r="A4677" t="str">
        <f>"20190312160736442"</f>
        <v>20190312160736442</v>
      </c>
      <c r="B4677" t="str">
        <f>"1552378056439727"</f>
        <v>1552378056439727</v>
      </c>
      <c r="C4677" t="s">
        <v>40</v>
      </c>
      <c r="D4677">
        <v>5.9122709999999996</v>
      </c>
      <c r="E4677">
        <v>0.5839818</v>
      </c>
      <c r="F4677" t="s">
        <v>59</v>
      </c>
      <c r="G4677">
        <v>-227.42599999999999</v>
      </c>
      <c r="H4677">
        <v>1.7248209999999999</v>
      </c>
      <c r="I4677">
        <v>119.4838</v>
      </c>
      <c r="J4677">
        <v>-195.8546</v>
      </c>
      <c r="K4677">
        <v>1.106339</v>
      </c>
      <c r="L4677">
        <v>154.37719999999999</v>
      </c>
      <c r="M4677">
        <v>-0.42147839999999998</v>
      </c>
      <c r="N4677">
        <v>0</v>
      </c>
      <c r="O4677">
        <v>-0.90671710000000005</v>
      </c>
      <c r="P4677">
        <v>-0.49537039999999999</v>
      </c>
      <c r="Q4677">
        <v>4.0963339999999999E-4</v>
      </c>
      <c r="R4677">
        <v>-0.86868230000000002</v>
      </c>
      <c r="S4677">
        <v>-2.0608059999999999</v>
      </c>
      <c r="T4677">
        <v>4.0307040000000002E-2</v>
      </c>
      <c r="U4677">
        <v>-2.2805179999999998</v>
      </c>
      <c r="V4677">
        <v>8.3171010000000004E-2</v>
      </c>
      <c r="W4677">
        <v>1.4476569999999999E-2</v>
      </c>
      <c r="X4677">
        <v>0.99643020000000004</v>
      </c>
      <c r="Y4677">
        <v>0.2951802</v>
      </c>
      <c r="Z4677">
        <v>-1.2725E-2</v>
      </c>
      <c r="AA4677">
        <v>0.95535680000000001</v>
      </c>
      <c r="AB4677">
        <v>23</v>
      </c>
      <c r="AC4677">
        <v>-31.571399999999901</v>
      </c>
      <c r="AD4677">
        <v>0.61848199999999998</v>
      </c>
      <c r="AE4677">
        <v>-34.8933999999999</v>
      </c>
      <c r="AF4677">
        <v>13.918641217422101</v>
      </c>
      <c r="AG4677">
        <v>0.61848199999999998</v>
      </c>
      <c r="AH4677">
        <v>44.9422879525168</v>
      </c>
      <c r="AI4677">
        <v>89.246850470831802</v>
      </c>
      <c r="AJ4677">
        <v>72.792229830671005</v>
      </c>
      <c r="AK4677">
        <v>47.052314924247703</v>
      </c>
      <c r="AL4677">
        <v>89.170524717636894</v>
      </c>
      <c r="AM4677">
        <v>85.228640153390401</v>
      </c>
      <c r="AN4677">
        <v>1.0000000657277099</v>
      </c>
    </row>
    <row r="4678" spans="1:40" x14ac:dyDescent="0.25">
      <c r="A4678" t="str">
        <f>"20190312160736455"</f>
        <v>20190312160736455</v>
      </c>
      <c r="B4678" t="str">
        <f>"1552378056449488"</f>
        <v>1552378056449488</v>
      </c>
      <c r="C4678" t="s">
        <v>40</v>
      </c>
      <c r="D4678">
        <v>5.7998580000000004</v>
      </c>
      <c r="E4678">
        <v>0.61196740000000005</v>
      </c>
      <c r="F4678" t="s">
        <v>59</v>
      </c>
      <c r="G4678">
        <v>-227.56620000000001</v>
      </c>
      <c r="H4678">
        <v>1.7114130000000001</v>
      </c>
      <c r="I4678">
        <v>119.4838</v>
      </c>
      <c r="J4678">
        <v>-195.90770000000001</v>
      </c>
      <c r="K4678">
        <v>1.1063080000000001</v>
      </c>
      <c r="L4678">
        <v>154.2706</v>
      </c>
      <c r="M4678">
        <v>-0.42425420000000003</v>
      </c>
      <c r="N4678">
        <v>0</v>
      </c>
      <c r="O4678">
        <v>-0.90542109999999998</v>
      </c>
      <c r="P4678">
        <v>-0.49834659999999897</v>
      </c>
      <c r="Q4678">
        <v>2.3326280000000001E-4</v>
      </c>
      <c r="R4678">
        <v>-0.86697789999999997</v>
      </c>
      <c r="S4678">
        <v>-2.0672450000000002</v>
      </c>
      <c r="T4678">
        <v>3.9444569999999998E-2</v>
      </c>
      <c r="U4678">
        <v>-2.2746580000000001</v>
      </c>
      <c r="V4678">
        <v>8.3535300000000007E-2</v>
      </c>
      <c r="W4678">
        <v>1.429396E-2</v>
      </c>
      <c r="X4678">
        <v>0.99640229999999996</v>
      </c>
      <c r="Y4678">
        <v>0.29496149999999999</v>
      </c>
      <c r="Z4678">
        <v>-1.2440939999999999E-2</v>
      </c>
      <c r="AA4678">
        <v>0.9554281</v>
      </c>
      <c r="AB4678">
        <v>23</v>
      </c>
      <c r="AC4678">
        <v>-31.6585</v>
      </c>
      <c r="AD4678">
        <v>0.605105</v>
      </c>
      <c r="AE4678">
        <v>-34.786799999999999</v>
      </c>
      <c r="AF4678">
        <v>13.9050634706901</v>
      </c>
      <c r="AG4678">
        <v>0.605105</v>
      </c>
      <c r="AH4678">
        <v>44.925484571675099</v>
      </c>
      <c r="AI4678">
        <v>89.262823955828196</v>
      </c>
      <c r="AJ4678">
        <v>72.801975132978498</v>
      </c>
      <c r="AK4678">
        <v>47.0320752910688</v>
      </c>
      <c r="AL4678">
        <v>89.1809885310564</v>
      </c>
      <c r="AM4678">
        <v>85.207705099126599</v>
      </c>
      <c r="AN4678">
        <v>1.0000000035419301</v>
      </c>
    </row>
    <row r="4679" spans="1:40" x14ac:dyDescent="0.25">
      <c r="A4679" t="str">
        <f>"20190312160736466"</f>
        <v>20190312160736466</v>
      </c>
      <c r="B4679" t="str">
        <f>"1552378056460223"</f>
        <v>1552378056460223</v>
      </c>
      <c r="C4679" t="s">
        <v>40</v>
      </c>
      <c r="D4679">
        <v>5.8808850000000001</v>
      </c>
      <c r="E4679">
        <v>0.61456290000000002</v>
      </c>
      <c r="F4679" t="s">
        <v>44</v>
      </c>
      <c r="G4679">
        <v>-196.48</v>
      </c>
      <c r="H4679">
        <v>1.1934279999999999</v>
      </c>
      <c r="I4679">
        <v>153.72399999999999</v>
      </c>
      <c r="J4679">
        <v>-195.96360000000001</v>
      </c>
      <c r="K4679">
        <v>1.106266</v>
      </c>
      <c r="L4679">
        <v>154.16</v>
      </c>
      <c r="M4679">
        <v>-0.427203</v>
      </c>
      <c r="N4679">
        <v>0</v>
      </c>
      <c r="O4679">
        <v>-0.90403350000000005</v>
      </c>
      <c r="P4679">
        <v>-0.50171449999999995</v>
      </c>
      <c r="Q4679">
        <v>-1.7012050000000001E-4</v>
      </c>
      <c r="R4679">
        <v>-0.8650331</v>
      </c>
      <c r="S4679">
        <v>-2.2614589999999999</v>
      </c>
      <c r="T4679">
        <v>0.34429680000000001</v>
      </c>
      <c r="U4679">
        <v>-2.1602779999999999</v>
      </c>
      <c r="V4679">
        <v>8.4160670000000007E-2</v>
      </c>
      <c r="W4679">
        <v>1.388059E-2</v>
      </c>
      <c r="X4679">
        <v>0.99635549999999995</v>
      </c>
      <c r="Y4679">
        <v>0.3541028</v>
      </c>
      <c r="Z4679">
        <v>-0.107582399999999</v>
      </c>
      <c r="AA4679">
        <v>0.92899799999999999</v>
      </c>
      <c r="AB4679">
        <v>23</v>
      </c>
      <c r="AC4679">
        <v>-0.51639999999997599</v>
      </c>
      <c r="AD4679">
        <v>8.7162000000000101E-2</v>
      </c>
      <c r="AE4679">
        <v>-0.43600000000000699</v>
      </c>
      <c r="AF4679">
        <v>0.27602241896027402</v>
      </c>
      <c r="AG4679">
        <v>8.7162000000000101E-2</v>
      </c>
      <c r="AH4679">
        <v>0.60477516956190203</v>
      </c>
      <c r="AI4679">
        <v>82.530401762513193</v>
      </c>
      <c r="AJ4679">
        <v>65.467806245604294</v>
      </c>
      <c r="AK4679">
        <v>0.67047639461155495</v>
      </c>
      <c r="AL4679">
        <v>89.204675223826499</v>
      </c>
      <c r="AM4679">
        <v>85.171771816518699</v>
      </c>
      <c r="AN4679">
        <v>0.99999998576692295</v>
      </c>
    </row>
    <row r="4680" spans="1:40" x14ac:dyDescent="0.25">
      <c r="A4680" t="str">
        <f>"20190312160736478"</f>
        <v>20190312160736478</v>
      </c>
      <c r="B4680" t="str">
        <f>"1552378056469515"</f>
        <v>1552378056469515</v>
      </c>
      <c r="C4680" t="s">
        <v>40</v>
      </c>
      <c r="D4680">
        <v>5.8765609999999997</v>
      </c>
      <c r="E4680">
        <v>0.61880619999999997</v>
      </c>
      <c r="F4680" t="s">
        <v>59</v>
      </c>
      <c r="G4680">
        <v>-233.0163</v>
      </c>
      <c r="H4680">
        <v>6.4258230000000003</v>
      </c>
      <c r="I4680">
        <v>119.4838</v>
      </c>
      <c r="J4680">
        <v>-196.01650000000001</v>
      </c>
      <c r="K4680">
        <v>1.1062240000000001</v>
      </c>
      <c r="L4680">
        <v>154.05590000000001</v>
      </c>
      <c r="M4680">
        <v>-0.42999730000000003</v>
      </c>
      <c r="N4680">
        <v>0</v>
      </c>
      <c r="O4680">
        <v>-0.9027077</v>
      </c>
      <c r="P4680">
        <v>-0.50488009999999905</v>
      </c>
      <c r="Q4680">
        <v>-5.2214600000000003E-4</v>
      </c>
      <c r="R4680">
        <v>-0.8631896</v>
      </c>
      <c r="S4680">
        <v>-2.2879179999999999</v>
      </c>
      <c r="T4680">
        <v>0.32847110000000002</v>
      </c>
      <c r="U4680">
        <v>-2.1411739999999999</v>
      </c>
      <c r="V4680">
        <v>8.4726999999999997E-2</v>
      </c>
      <c r="W4680">
        <v>1.3519649999999999E-2</v>
      </c>
      <c r="X4680">
        <v>0.99631250000000005</v>
      </c>
      <c r="Y4680">
        <v>0.36113709999999999</v>
      </c>
      <c r="Z4680">
        <v>-0.10257819999999999</v>
      </c>
      <c r="AA4680">
        <v>0.9268537</v>
      </c>
      <c r="AB4680">
        <v>23</v>
      </c>
      <c r="AC4680">
        <v>-36.999799999999901</v>
      </c>
      <c r="AD4680">
        <v>5.3195990000000002</v>
      </c>
      <c r="AE4680">
        <v>-34.572099999999999</v>
      </c>
      <c r="AF4680">
        <v>18.333816180636799</v>
      </c>
      <c r="AG4680">
        <v>5.3195990000000002</v>
      </c>
      <c r="AH4680">
        <v>46.609156764486102</v>
      </c>
      <c r="AI4680">
        <v>83.937305407644999</v>
      </c>
      <c r="AJ4680">
        <v>68.527693589054294</v>
      </c>
      <c r="AK4680">
        <v>50.367057126286703</v>
      </c>
      <c r="AL4680">
        <v>89.225357531673495</v>
      </c>
      <c r="AM4680">
        <v>85.139228296632098</v>
      </c>
      <c r="AN4680">
        <v>1.0000000215606799</v>
      </c>
    </row>
    <row r="4681" spans="1:40" x14ac:dyDescent="0.25">
      <c r="A4681" t="str">
        <f>"20190312160736490"</f>
        <v>20190312160736490</v>
      </c>
      <c r="B4681" t="str">
        <f>"1552378056480252"</f>
        <v>1552378056480252</v>
      </c>
      <c r="C4681" t="s">
        <v>40</v>
      </c>
      <c r="D4681">
        <v>5.6562359999999998</v>
      </c>
      <c r="E4681">
        <v>0.62236959999999997</v>
      </c>
      <c r="F4681" t="s">
        <v>44</v>
      </c>
      <c r="G4681">
        <v>-196.57320000000001</v>
      </c>
      <c r="H4681">
        <v>1.1892130000000001</v>
      </c>
      <c r="I4681">
        <v>153.54920000000001</v>
      </c>
      <c r="J4681">
        <v>-196.07579999999999</v>
      </c>
      <c r="K4681">
        <v>1.1061749999999999</v>
      </c>
      <c r="L4681">
        <v>153.94049999999999</v>
      </c>
      <c r="M4681">
        <v>-0.43314380000000002</v>
      </c>
      <c r="N4681">
        <v>0</v>
      </c>
      <c r="O4681">
        <v>-0.90120210000000001</v>
      </c>
      <c r="P4681">
        <v>-0.50808770000000003</v>
      </c>
      <c r="Q4681">
        <v>-7.7474259999999904E-4</v>
      </c>
      <c r="R4681">
        <v>-0.86130529999999905</v>
      </c>
      <c r="S4681">
        <v>-2.3246000000000002</v>
      </c>
      <c r="T4681">
        <v>0.34655619999999998</v>
      </c>
      <c r="U4681">
        <v>-2.1160130000000001</v>
      </c>
      <c r="V4681">
        <v>8.4956980000000001E-2</v>
      </c>
      <c r="W4681">
        <v>1.3261230000000001E-2</v>
      </c>
      <c r="X4681">
        <v>0.99629630000000002</v>
      </c>
      <c r="Y4681">
        <v>0.37021730000000003</v>
      </c>
      <c r="Z4681">
        <v>-0.1079741</v>
      </c>
      <c r="AA4681">
        <v>0.92264880000000005</v>
      </c>
      <c r="AB4681">
        <v>23</v>
      </c>
      <c r="AC4681">
        <v>-0.49740000000002699</v>
      </c>
      <c r="AD4681">
        <v>8.3037999999999904E-2</v>
      </c>
      <c r="AE4681">
        <v>-0.391299999999972</v>
      </c>
      <c r="AF4681">
        <v>0.27408107424363398</v>
      </c>
      <c r="AG4681">
        <v>8.3037999999999904E-2</v>
      </c>
      <c r="AH4681">
        <v>0.55853336349430205</v>
      </c>
      <c r="AI4681">
        <v>82.397786299402597</v>
      </c>
      <c r="AJ4681">
        <v>63.862089518735303</v>
      </c>
      <c r="AK4681">
        <v>0.62767448796235303</v>
      </c>
      <c r="AL4681">
        <v>89.240165167065399</v>
      </c>
      <c r="AM4681">
        <v>85.126018990707806</v>
      </c>
      <c r="AN4681">
        <v>0.99999993303275903</v>
      </c>
    </row>
    <row r="4682" spans="1:40" x14ac:dyDescent="0.25">
      <c r="A4682" t="str">
        <f>"20190312160736504"</f>
        <v>20190312160736504</v>
      </c>
      <c r="B4682" t="str">
        <f>"1552378056499771"</f>
        <v>1552378056499771</v>
      </c>
      <c r="C4682" t="s">
        <v>40</v>
      </c>
      <c r="D4682">
        <v>5.2723570000000004</v>
      </c>
      <c r="E4682">
        <v>0.62131579999999997</v>
      </c>
      <c r="F4682" t="s">
        <v>59</v>
      </c>
      <c r="G4682">
        <v>-234.97020000000001</v>
      </c>
      <c r="H4682">
        <v>7.2174360000000002</v>
      </c>
      <c r="I4682">
        <v>119.3841</v>
      </c>
      <c r="J4682">
        <v>-196.14</v>
      </c>
      <c r="K4682">
        <v>1.106123</v>
      </c>
      <c r="L4682">
        <v>153.8168</v>
      </c>
      <c r="M4682">
        <v>-0.43657590000000002</v>
      </c>
      <c r="N4682">
        <v>0</v>
      </c>
      <c r="O4682">
        <v>-0.89954419999999902</v>
      </c>
      <c r="P4682">
        <v>-0.51235699999999995</v>
      </c>
      <c r="Q4682">
        <v>-1.0649629999999999E-3</v>
      </c>
      <c r="R4682">
        <v>-0.85877169999999903</v>
      </c>
      <c r="S4682">
        <v>-2.3562620000000001</v>
      </c>
      <c r="T4682">
        <v>0.37022630000000001</v>
      </c>
      <c r="U4682">
        <v>-2.0934599999999999</v>
      </c>
      <c r="V4682">
        <v>8.6104139999999996E-2</v>
      </c>
      <c r="W4682">
        <v>1.295513E-2</v>
      </c>
      <c r="X4682">
        <v>0.99620189999999997</v>
      </c>
      <c r="Y4682">
        <v>0.37714330000000001</v>
      </c>
      <c r="Z4682">
        <v>-0.1150432</v>
      </c>
      <c r="AA4682">
        <v>0.91898210000000002</v>
      </c>
      <c r="AB4682">
        <v>23</v>
      </c>
      <c r="AC4682">
        <v>-38.830199999999998</v>
      </c>
      <c r="AD4682">
        <v>6.111313</v>
      </c>
      <c r="AE4682">
        <v>-34.432699999999997</v>
      </c>
      <c r="AF4682">
        <v>19.627040629356401</v>
      </c>
      <c r="AG4682">
        <v>6.111313</v>
      </c>
      <c r="AH4682">
        <v>47.275825538531002</v>
      </c>
      <c r="AI4682">
        <v>83.191724793929595</v>
      </c>
      <c r="AJ4682">
        <v>67.453720754845904</v>
      </c>
      <c r="AK4682">
        <v>51.551649350917899</v>
      </c>
      <c r="AL4682">
        <v>89.257704957090098</v>
      </c>
      <c r="AM4682">
        <v>85.060064136589702</v>
      </c>
      <c r="AN4682">
        <v>0.99999999194103295</v>
      </c>
    </row>
    <row r="4683" spans="1:40" x14ac:dyDescent="0.25">
      <c r="A4683" t="str">
        <f>"20190312160736522"</f>
        <v>20190312160736522</v>
      </c>
      <c r="B4683" t="str">
        <f>"1552378056509531"</f>
        <v>1552378056509531</v>
      </c>
      <c r="C4683" t="s">
        <v>40</v>
      </c>
      <c r="D4683">
        <v>5.4701469999999999</v>
      </c>
      <c r="E4683">
        <v>0.62131579999999997</v>
      </c>
      <c r="F4683" t="s">
        <v>59</v>
      </c>
      <c r="G4683">
        <v>-235.08930000000001</v>
      </c>
      <c r="H4683">
        <v>7.0437419999999999</v>
      </c>
      <c r="I4683">
        <v>119.3841</v>
      </c>
      <c r="J4683">
        <v>-196.2208</v>
      </c>
      <c r="K4683">
        <v>1.1060559999999999</v>
      </c>
      <c r="L4683">
        <v>153.6627</v>
      </c>
      <c r="M4683">
        <v>-0.44091900000000001</v>
      </c>
      <c r="N4683">
        <v>0</v>
      </c>
      <c r="O4683">
        <v>-0.89742330000000003</v>
      </c>
      <c r="P4683">
        <v>-0.51775280000000001</v>
      </c>
      <c r="Q4683">
        <v>-1.803413E-3</v>
      </c>
      <c r="R4683">
        <v>-0.85552839999999997</v>
      </c>
      <c r="S4683">
        <v>-2.359604</v>
      </c>
      <c r="T4683">
        <v>0.35970999999999997</v>
      </c>
      <c r="U4683">
        <v>-2.0859830000000001</v>
      </c>
      <c r="V4683">
        <v>8.7555320000000006E-2</v>
      </c>
      <c r="W4683">
        <v>1.2195589999999999E-2</v>
      </c>
      <c r="X4683">
        <v>0.996085</v>
      </c>
      <c r="Y4683">
        <v>0.37525370000000002</v>
      </c>
      <c r="Z4683">
        <v>-0.111702</v>
      </c>
      <c r="AA4683">
        <v>0.92016699999999996</v>
      </c>
      <c r="AB4683">
        <v>23</v>
      </c>
      <c r="AC4683">
        <v>-38.868499999999997</v>
      </c>
      <c r="AD4683">
        <v>5.9376860000000002</v>
      </c>
      <c r="AE4683">
        <v>-34.278599999999997</v>
      </c>
      <c r="AF4683">
        <v>19.513452657771801</v>
      </c>
      <c r="AG4683">
        <v>5.9376860000000002</v>
      </c>
      <c r="AH4683">
        <v>47.284882914014801</v>
      </c>
      <c r="AI4683">
        <v>83.378916799591906</v>
      </c>
      <c r="AJ4683">
        <v>67.575114921632604</v>
      </c>
      <c r="AK4683">
        <v>51.496515434093098</v>
      </c>
      <c r="AL4683">
        <v>89.301226839693697</v>
      </c>
      <c r="AM4683">
        <v>84.976643496498497</v>
      </c>
      <c r="AN4683">
        <v>0.99999999685037499</v>
      </c>
    </row>
    <row r="4684" spans="1:40" x14ac:dyDescent="0.25">
      <c r="A4684" t="str">
        <f>"20190312160736535"</f>
        <v>20190312160736535</v>
      </c>
      <c r="B4684" t="str">
        <f>"1552378056530027"</f>
        <v>1552378056530027</v>
      </c>
      <c r="C4684" t="s">
        <v>40</v>
      </c>
      <c r="D4684">
        <v>5.884118</v>
      </c>
      <c r="E4684">
        <v>0.62087950000000003</v>
      </c>
      <c r="F4684" t="s">
        <v>44</v>
      </c>
      <c r="G4684">
        <v>-196.77340000000001</v>
      </c>
      <c r="H4684">
        <v>1.1894750000000001</v>
      </c>
      <c r="I4684">
        <v>153.18039999999999</v>
      </c>
      <c r="J4684">
        <v>-196.28899999999999</v>
      </c>
      <c r="K4684">
        <v>1.1059939999999999</v>
      </c>
      <c r="L4684">
        <v>153.53399999999999</v>
      </c>
      <c r="M4684">
        <v>-0.44461020000000001</v>
      </c>
      <c r="N4684">
        <v>0</v>
      </c>
      <c r="O4684">
        <v>-0.89560030000000002</v>
      </c>
      <c r="P4684">
        <v>-0.52204220000000001</v>
      </c>
      <c r="Q4684">
        <v>-1.921793E-3</v>
      </c>
      <c r="R4684">
        <v>-0.8529177</v>
      </c>
      <c r="S4684">
        <v>-2.3724980000000002</v>
      </c>
      <c r="T4684">
        <v>0.35818050000000001</v>
      </c>
      <c r="U4684">
        <v>-2.0715789999999998</v>
      </c>
      <c r="V4684">
        <v>8.8456759999999995E-2</v>
      </c>
      <c r="W4684">
        <v>1.206161E-2</v>
      </c>
      <c r="X4684">
        <v>0.99600699999999998</v>
      </c>
      <c r="Y4684">
        <v>0.37713550000000001</v>
      </c>
      <c r="Z4684">
        <v>-0.1111559</v>
      </c>
      <c r="AA4684">
        <v>0.91946349999999999</v>
      </c>
      <c r="AB4684">
        <v>23</v>
      </c>
      <c r="AC4684">
        <v>-0.484399999999993</v>
      </c>
      <c r="AD4684">
        <v>8.3480999999999903E-2</v>
      </c>
      <c r="AE4684">
        <v>-0.35360000000000003</v>
      </c>
      <c r="AF4684">
        <v>0.27138692556456401</v>
      </c>
      <c r="AG4684">
        <v>8.3480999999999903E-2</v>
      </c>
      <c r="AH4684">
        <v>0.52199825857831705</v>
      </c>
      <c r="AI4684">
        <v>81.923947105679503</v>
      </c>
      <c r="AJ4684">
        <v>62.530075943997197</v>
      </c>
      <c r="AK4684">
        <v>0.594223966772784</v>
      </c>
      <c r="AL4684">
        <v>89.308903903714693</v>
      </c>
      <c r="AM4684">
        <v>84.9247980693399</v>
      </c>
      <c r="AN4684">
        <v>1.0000000124372399</v>
      </c>
    </row>
    <row r="4685" spans="1:40" x14ac:dyDescent="0.25">
      <c r="A4685" t="str">
        <f>"20190312160736554"</f>
        <v>20190312160736554</v>
      </c>
      <c r="B4685" t="str">
        <f>"1552378056549548"</f>
        <v>1552378056549548</v>
      </c>
      <c r="C4685" t="s">
        <v>40</v>
      </c>
      <c r="D4685">
        <v>5.3863130000000004</v>
      </c>
      <c r="E4685">
        <v>0.61956099999999903</v>
      </c>
      <c r="F4685" t="s">
        <v>44</v>
      </c>
      <c r="G4685">
        <v>-196.8493</v>
      </c>
      <c r="H4685">
        <v>1.188177</v>
      </c>
      <c r="I4685">
        <v>153.0488</v>
      </c>
      <c r="J4685">
        <v>-196.37729999999999</v>
      </c>
      <c r="K4685">
        <v>1.105915</v>
      </c>
      <c r="L4685">
        <v>153.3699</v>
      </c>
      <c r="M4685">
        <v>-0.44942320000000002</v>
      </c>
      <c r="N4685">
        <v>0</v>
      </c>
      <c r="O4685">
        <v>-0.89319459999999995</v>
      </c>
      <c r="P4685">
        <v>-0.52809280000000003</v>
      </c>
      <c r="Q4685">
        <v>-2.1669179999999999E-3</v>
      </c>
      <c r="R4685">
        <v>-0.8491841</v>
      </c>
      <c r="S4685">
        <v>-2.3801269999999999</v>
      </c>
      <c r="T4685">
        <v>0.34907909999999998</v>
      </c>
      <c r="U4685">
        <v>-2.0613250000000001</v>
      </c>
      <c r="V4685">
        <v>9.017799E-2</v>
      </c>
      <c r="W4685">
        <v>1.1790780000000001E-2</v>
      </c>
      <c r="X4685">
        <v>0.99585590000000002</v>
      </c>
      <c r="Y4685">
        <v>0.37614019999999998</v>
      </c>
      <c r="Z4685">
        <v>-0.1082065</v>
      </c>
      <c r="AA4685">
        <v>0.92022280000000001</v>
      </c>
      <c r="AB4685">
        <v>23</v>
      </c>
      <c r="AC4685">
        <v>-0.47200000000000802</v>
      </c>
      <c r="AD4685">
        <v>8.2262000000000002E-2</v>
      </c>
      <c r="AE4685">
        <v>-0.321100000000001</v>
      </c>
      <c r="AF4685">
        <v>0.27166773505022401</v>
      </c>
      <c r="AG4685">
        <v>8.2262000000000002E-2</v>
      </c>
      <c r="AH4685">
        <v>0.48883734725243899</v>
      </c>
      <c r="AI4685">
        <v>81.632235740443505</v>
      </c>
      <c r="AJ4685">
        <v>60.9372075491545</v>
      </c>
      <c r="AK4685">
        <v>0.56527192304245999</v>
      </c>
      <c r="AL4685">
        <v>89.324422437077004</v>
      </c>
      <c r="AM4685">
        <v>84.825792707896497</v>
      </c>
      <c r="AN4685">
        <v>1.0000000329691201</v>
      </c>
    </row>
    <row r="4686" spans="1:40" x14ac:dyDescent="0.25">
      <c r="A4686" t="str">
        <f>"20190312160736567"</f>
        <v>20190312160736567</v>
      </c>
      <c r="B4686" t="str">
        <f>"1552378056560284"</f>
        <v>1552378056560284</v>
      </c>
      <c r="C4686" t="s">
        <v>40</v>
      </c>
      <c r="D4686">
        <v>4.0268410000000001</v>
      </c>
      <c r="E4686">
        <v>0.62019279999999999</v>
      </c>
      <c r="F4686" t="s">
        <v>59</v>
      </c>
      <c r="G4686">
        <v>-235.8235</v>
      </c>
      <c r="H4686">
        <v>6.581569</v>
      </c>
      <c r="I4686">
        <v>119.4838</v>
      </c>
      <c r="J4686">
        <v>-196.43989999999999</v>
      </c>
      <c r="K4686">
        <v>1.105861</v>
      </c>
      <c r="L4686">
        <v>153.2552</v>
      </c>
      <c r="M4686">
        <v>-0.4528684</v>
      </c>
      <c r="N4686">
        <v>0</v>
      </c>
      <c r="O4686">
        <v>-0.89145280000000005</v>
      </c>
      <c r="P4686">
        <v>-0.53176730000000005</v>
      </c>
      <c r="Q4686">
        <v>-2.1090610000000002E-3</v>
      </c>
      <c r="R4686">
        <v>-0.84688809999999903</v>
      </c>
      <c r="S4686">
        <v>-2.3861080000000001</v>
      </c>
      <c r="T4686">
        <v>0.33122380000000001</v>
      </c>
      <c r="U4686">
        <v>-2.0497740000000002</v>
      </c>
      <c r="V4686">
        <v>9.0650339999999996E-2</v>
      </c>
      <c r="W4686">
        <v>1.1838939999999999E-2</v>
      </c>
      <c r="X4686">
        <v>0.99581240000000004</v>
      </c>
      <c r="Y4686">
        <v>0.37674609999999997</v>
      </c>
      <c r="Z4686">
        <v>-0.1027269</v>
      </c>
      <c r="AA4686">
        <v>0.9206029</v>
      </c>
      <c r="AB4686">
        <v>23</v>
      </c>
      <c r="AC4686">
        <v>-39.383600000000001</v>
      </c>
      <c r="AD4686">
        <v>5.475708</v>
      </c>
      <c r="AE4686">
        <v>-33.7714</v>
      </c>
      <c r="AF4686">
        <v>19.598499897403801</v>
      </c>
      <c r="AG4686">
        <v>5.475708</v>
      </c>
      <c r="AH4686">
        <v>47.4182959706269</v>
      </c>
      <c r="AI4686">
        <v>83.908417662498493</v>
      </c>
      <c r="AJ4686">
        <v>67.544157438266893</v>
      </c>
      <c r="AK4686">
        <v>51.600187684617701</v>
      </c>
      <c r="AL4686">
        <v>89.321662850881907</v>
      </c>
      <c r="AM4686">
        <v>84.798612649878507</v>
      </c>
      <c r="AN4686">
        <v>0.99999999031809905</v>
      </c>
    </row>
    <row r="4687" spans="1:40" x14ac:dyDescent="0.25">
      <c r="A4687" t="str">
        <f>"20190312160736580"</f>
        <v>20190312160736580</v>
      </c>
      <c r="B4687" t="str">
        <f>"1552378056569575"</f>
        <v>1552378056569575</v>
      </c>
      <c r="C4687" t="s">
        <v>40</v>
      </c>
      <c r="D4687">
        <v>5.4183820000000003</v>
      </c>
      <c r="E4687">
        <v>0.62124040000000003</v>
      </c>
      <c r="F4687" t="s">
        <v>59</v>
      </c>
      <c r="G4687">
        <v>-236.21100000000001</v>
      </c>
      <c r="H4687">
        <v>6.660863</v>
      </c>
      <c r="I4687">
        <v>119.4838</v>
      </c>
      <c r="J4687">
        <v>-196.50540000000001</v>
      </c>
      <c r="K4687">
        <v>1.105802</v>
      </c>
      <c r="L4687">
        <v>153.1361</v>
      </c>
      <c r="M4687">
        <v>-0.45648949999999999</v>
      </c>
      <c r="N4687">
        <v>0</v>
      </c>
      <c r="O4687">
        <v>-0.8896037</v>
      </c>
      <c r="P4687">
        <v>-0.53571359999999901</v>
      </c>
      <c r="Q4687">
        <v>-2.0890919999999999E-3</v>
      </c>
      <c r="R4687">
        <v>-0.84439750000000002</v>
      </c>
      <c r="S4687">
        <v>-2.3988339999999999</v>
      </c>
      <c r="T4687">
        <v>0.33505639999999998</v>
      </c>
      <c r="U4687">
        <v>-2.0369570000000001</v>
      </c>
      <c r="V4687">
        <v>9.1250049999999999E-2</v>
      </c>
      <c r="W4687">
        <v>1.184704E-2</v>
      </c>
      <c r="X4687">
        <v>0.99575749999999996</v>
      </c>
      <c r="Y4687">
        <v>0.37815749999999998</v>
      </c>
      <c r="Z4687">
        <v>-0.103779</v>
      </c>
      <c r="AA4687">
        <v>0.91990590000000005</v>
      </c>
      <c r="AB4687">
        <v>22</v>
      </c>
      <c r="AC4687">
        <v>-39.705599999999897</v>
      </c>
      <c r="AD4687">
        <v>5.5550610000000002</v>
      </c>
      <c r="AE4687">
        <v>-33.652299999999997</v>
      </c>
      <c r="AF4687">
        <v>19.7377141259478</v>
      </c>
      <c r="AG4687">
        <v>5.5550610000000002</v>
      </c>
      <c r="AH4687">
        <v>47.526371174092901</v>
      </c>
      <c r="AI4687">
        <v>83.839062797426905</v>
      </c>
      <c r="AJ4687">
        <v>67.446875655637797</v>
      </c>
      <c r="AK4687">
        <v>51.760912072808502</v>
      </c>
      <c r="AL4687">
        <v>89.321198702879101</v>
      </c>
      <c r="AM4687">
        <v>84.764105699760705</v>
      </c>
      <c r="AN4687">
        <v>0.99999996139400604</v>
      </c>
    </row>
    <row r="4688" spans="1:40" x14ac:dyDescent="0.25">
      <c r="A4688" t="str">
        <f>"20190312160736592"</f>
        <v>20190312160736592</v>
      </c>
      <c r="B4688" t="str">
        <f>"1552378056590071"</f>
        <v>1552378056590071</v>
      </c>
      <c r="C4688" t="s">
        <v>40</v>
      </c>
      <c r="D4688">
        <v>5.892137</v>
      </c>
      <c r="E4688">
        <v>0.62257830000000003</v>
      </c>
      <c r="F4688" t="s">
        <v>44</v>
      </c>
      <c r="G4688">
        <v>-197.06530000000001</v>
      </c>
      <c r="H4688">
        <v>1.1847379999999901</v>
      </c>
      <c r="I4688">
        <v>152.66749999999999</v>
      </c>
      <c r="J4688">
        <v>-196.5669</v>
      </c>
      <c r="K4688">
        <v>1.105747</v>
      </c>
      <c r="L4688">
        <v>153.02539999999999</v>
      </c>
      <c r="M4688">
        <v>-0.45990300000000001</v>
      </c>
      <c r="N4688">
        <v>0</v>
      </c>
      <c r="O4688">
        <v>-0.88784370000000001</v>
      </c>
      <c r="P4688">
        <v>-0.53953830000000003</v>
      </c>
      <c r="Q4688">
        <v>-2.358817E-3</v>
      </c>
      <c r="R4688">
        <v>-0.84195830000000005</v>
      </c>
      <c r="S4688">
        <v>-2.415054</v>
      </c>
      <c r="T4688">
        <v>0.34050190000000002</v>
      </c>
      <c r="U4688">
        <v>-2.0214539999999999</v>
      </c>
      <c r="V4688">
        <v>9.194136E-2</v>
      </c>
      <c r="W4688">
        <v>1.1564299999999901E-2</v>
      </c>
      <c r="X4688">
        <v>0.99569730000000001</v>
      </c>
      <c r="Y4688">
        <v>0.38098120000000002</v>
      </c>
      <c r="Z4688">
        <v>-0.1053325</v>
      </c>
      <c r="AA4688">
        <v>0.91856320000000002</v>
      </c>
      <c r="AB4688">
        <v>22</v>
      </c>
      <c r="AC4688">
        <v>-0.49840000000000301</v>
      </c>
      <c r="AD4688">
        <v>7.8990999999999797E-2</v>
      </c>
      <c r="AE4688">
        <v>-0.3579</v>
      </c>
      <c r="AF4688">
        <v>0.27340194180891902</v>
      </c>
      <c r="AG4688">
        <v>7.8990999999999797E-2</v>
      </c>
      <c r="AH4688">
        <v>0.53811773641413896</v>
      </c>
      <c r="AI4688">
        <v>82.544135397069894</v>
      </c>
      <c r="AJ4688">
        <v>63.066203337416297</v>
      </c>
      <c r="AK4688">
        <v>0.60873549108735603</v>
      </c>
      <c r="AL4688">
        <v>89.337399667683698</v>
      </c>
      <c r="AM4688">
        <v>84.724344403481595</v>
      </c>
      <c r="AN4688">
        <v>1.0000000299702101</v>
      </c>
    </row>
    <row r="4689" spans="1:40" x14ac:dyDescent="0.25">
      <c r="A4689" t="str">
        <f>"20190312160736610"</f>
        <v>20190312160736610</v>
      </c>
      <c r="B4689" t="str">
        <f>"1552378056599831"</f>
        <v>1552378056599831</v>
      </c>
      <c r="C4689" t="s">
        <v>40</v>
      </c>
      <c r="D4689">
        <v>5.8927769999999997</v>
      </c>
      <c r="E4689">
        <v>0.62291980000000002</v>
      </c>
      <c r="F4689" t="s">
        <v>59</v>
      </c>
      <c r="G4689">
        <v>-237.3931</v>
      </c>
      <c r="H4689">
        <v>6.8989830000000003</v>
      </c>
      <c r="I4689">
        <v>119.3841</v>
      </c>
      <c r="J4689">
        <v>-196.6542</v>
      </c>
      <c r="K4689">
        <v>1.105661</v>
      </c>
      <c r="L4689">
        <v>152.87049999999999</v>
      </c>
      <c r="M4689">
        <v>-0.46480129999999997</v>
      </c>
      <c r="N4689">
        <v>0</v>
      </c>
      <c r="O4689">
        <v>-0.88528899999999999</v>
      </c>
      <c r="P4689">
        <v>-0.54514469999999904</v>
      </c>
      <c r="Q4689">
        <v>-3.0976689999999999E-3</v>
      </c>
      <c r="R4689">
        <v>-0.83833649999999904</v>
      </c>
      <c r="S4689">
        <v>-2.4331049999999999</v>
      </c>
      <c r="T4689">
        <v>0.34525810000000001</v>
      </c>
      <c r="U4689">
        <v>-2.0049130000000002</v>
      </c>
      <c r="V4689">
        <v>9.3080389999999999E-2</v>
      </c>
      <c r="W4689">
        <v>1.080475E-2</v>
      </c>
      <c r="X4689">
        <v>0.99560000000000004</v>
      </c>
      <c r="Y4689">
        <v>0.3828318</v>
      </c>
      <c r="Z4689">
        <v>-0.1065601</v>
      </c>
      <c r="AA4689">
        <v>0.91765180000000002</v>
      </c>
      <c r="AB4689">
        <v>22</v>
      </c>
      <c r="AC4689">
        <v>-40.738900000000001</v>
      </c>
      <c r="AD4689">
        <v>5.7933219999999999</v>
      </c>
      <c r="AE4689">
        <v>-33.486399999999897</v>
      </c>
      <c r="AF4689">
        <v>20.2589692386106</v>
      </c>
      <c r="AG4689">
        <v>5.7933219999999999</v>
      </c>
      <c r="AH4689">
        <v>48.006685528866797</v>
      </c>
      <c r="AI4689">
        <v>83.655754818347006</v>
      </c>
      <c r="AJ4689">
        <v>67.120105317103693</v>
      </c>
      <c r="AK4689">
        <v>52.427380917552703</v>
      </c>
      <c r="AL4689">
        <v>89.380921399506704</v>
      </c>
      <c r="AM4689">
        <v>84.658842817327198</v>
      </c>
      <c r="AN4689">
        <v>1.0000000308125501</v>
      </c>
    </row>
    <row r="4690" spans="1:40" x14ac:dyDescent="0.25">
      <c r="A4690" t="str">
        <f>"20190312160736624"</f>
        <v>20190312160736624</v>
      </c>
      <c r="B4690" t="str">
        <f>"1552378056620327"</f>
        <v>1552378056620327</v>
      </c>
      <c r="C4690" t="s">
        <v>40</v>
      </c>
      <c r="D4690">
        <v>5.9025270000000001</v>
      </c>
      <c r="E4690">
        <v>0.62269319999999995</v>
      </c>
      <c r="F4690" t="s">
        <v>59</v>
      </c>
      <c r="G4690">
        <v>-237.91229999999999</v>
      </c>
      <c r="H4690">
        <v>6.9040229999999996</v>
      </c>
      <c r="I4690">
        <v>119.3841</v>
      </c>
      <c r="J4690">
        <v>-196.7218</v>
      </c>
      <c r="K4690">
        <v>1.1055919999999999</v>
      </c>
      <c r="L4690">
        <v>152.75210000000001</v>
      </c>
      <c r="M4690">
        <v>-0.46862999999999999</v>
      </c>
      <c r="N4690">
        <v>0</v>
      </c>
      <c r="O4690">
        <v>-0.88326800000000005</v>
      </c>
      <c r="P4690">
        <v>-0.54932859999999994</v>
      </c>
      <c r="Q4690">
        <v>-3.2904219999999999E-3</v>
      </c>
      <c r="R4690">
        <v>-0.83560029999999996</v>
      </c>
      <c r="S4690">
        <v>-2.448715</v>
      </c>
      <c r="T4690">
        <v>0.34413919999999998</v>
      </c>
      <c r="U4690">
        <v>-1.987457</v>
      </c>
      <c r="V4690">
        <v>9.3746540000000003E-2</v>
      </c>
      <c r="W4690">
        <v>1.059829E-2</v>
      </c>
      <c r="X4690">
        <v>0.99553970000000003</v>
      </c>
      <c r="Y4690">
        <v>0.38567859999999998</v>
      </c>
      <c r="Z4690">
        <v>-0.1061305</v>
      </c>
      <c r="AA4690">
        <v>0.91650880000000001</v>
      </c>
      <c r="AB4690">
        <v>22</v>
      </c>
      <c r="AC4690">
        <v>-41.190499999999901</v>
      </c>
      <c r="AD4690">
        <v>5.7984309999999999</v>
      </c>
      <c r="AE4690">
        <v>-33.368000000000002</v>
      </c>
      <c r="AF4690">
        <v>20.502023241953001</v>
      </c>
      <c r="AG4690">
        <v>5.7984309999999999</v>
      </c>
      <c r="AH4690">
        <v>48.204688671639502</v>
      </c>
      <c r="AI4690">
        <v>83.6835264809188</v>
      </c>
      <c r="AJ4690">
        <v>66.959377686525201</v>
      </c>
      <c r="AK4690">
        <v>52.703384796472399</v>
      </c>
      <c r="AL4690">
        <v>89.392751354160296</v>
      </c>
      <c r="AM4690">
        <v>84.620517193804304</v>
      </c>
      <c r="AN4690">
        <v>1.0000000158944899</v>
      </c>
    </row>
    <row r="4691" spans="1:40" x14ac:dyDescent="0.25">
      <c r="A4691" t="str">
        <f>"20190312160736643"</f>
        <v>20190312160736643</v>
      </c>
      <c r="B4691" t="str">
        <f>"1552378056639847"</f>
        <v>1552378056639847</v>
      </c>
      <c r="C4691" t="s">
        <v>40</v>
      </c>
      <c r="D4691">
        <v>5.9545539999999999</v>
      </c>
      <c r="E4691">
        <v>0.62294510000000003</v>
      </c>
      <c r="F4691" t="s">
        <v>44</v>
      </c>
      <c r="G4691">
        <v>-197.27959999999999</v>
      </c>
      <c r="H4691">
        <v>1.1812069999999999</v>
      </c>
      <c r="I4691">
        <v>152.3038</v>
      </c>
      <c r="J4691">
        <v>-196.82140000000001</v>
      </c>
      <c r="K4691">
        <v>1.1054889999999999</v>
      </c>
      <c r="L4691">
        <v>152.58000000000001</v>
      </c>
      <c r="M4691">
        <v>-0.47430489999999997</v>
      </c>
      <c r="N4691">
        <v>0</v>
      </c>
      <c r="O4691">
        <v>-0.88023320000000005</v>
      </c>
      <c r="P4691">
        <v>-0.5554519</v>
      </c>
      <c r="Q4691">
        <v>-3.7221749999999999E-3</v>
      </c>
      <c r="R4691">
        <v>-0.83154059999999896</v>
      </c>
      <c r="S4691">
        <v>-2.4575960000000001</v>
      </c>
      <c r="T4691">
        <v>0.33318690000000001</v>
      </c>
      <c r="U4691">
        <v>-1.9759519999999999</v>
      </c>
      <c r="V4691">
        <v>9.4651260000000001E-2</v>
      </c>
      <c r="W4691">
        <v>1.014722E-2</v>
      </c>
      <c r="X4691">
        <v>0.99545879999999998</v>
      </c>
      <c r="Y4691">
        <v>0.38428440000000003</v>
      </c>
      <c r="Z4691">
        <v>-0.1025578</v>
      </c>
      <c r="AA4691">
        <v>0.9175006</v>
      </c>
      <c r="AB4691">
        <v>22</v>
      </c>
      <c r="AC4691">
        <v>-0.45819999999997602</v>
      </c>
      <c r="AD4691">
        <v>7.5717999999999896E-2</v>
      </c>
      <c r="AE4691">
        <v>-0.27620000000001699</v>
      </c>
      <c r="AF4691">
        <v>0.26700237934468601</v>
      </c>
      <c r="AG4691">
        <v>7.5717999999999896E-2</v>
      </c>
      <c r="AH4691">
        <v>0.45145598788150798</v>
      </c>
      <c r="AI4691">
        <v>81.785441214585603</v>
      </c>
      <c r="AJ4691">
        <v>59.398866762218802</v>
      </c>
      <c r="AK4691">
        <v>0.52993961457301098</v>
      </c>
      <c r="AL4691">
        <v>89.418597156873105</v>
      </c>
      <c r="AM4691">
        <v>84.568471618997407</v>
      </c>
      <c r="AN4691">
        <v>1.00000002479537</v>
      </c>
    </row>
    <row r="4692" spans="1:40" x14ac:dyDescent="0.25">
      <c r="A4692" t="str">
        <f>"20190312160736666"</f>
        <v>20190312160736666</v>
      </c>
      <c r="B4692" t="str">
        <f>"1552378056660343"</f>
        <v>1552378056660343</v>
      </c>
      <c r="C4692" t="s">
        <v>40</v>
      </c>
      <c r="D4692">
        <v>5.3794089999999999</v>
      </c>
      <c r="E4692">
        <v>0.62306930000000005</v>
      </c>
      <c r="F4692" t="s">
        <v>44</v>
      </c>
      <c r="G4692">
        <v>-197.38140000000001</v>
      </c>
      <c r="H4692">
        <v>1.180663</v>
      </c>
      <c r="I4692">
        <v>152.13720000000001</v>
      </c>
      <c r="J4692">
        <v>-196.93289999999999</v>
      </c>
      <c r="K4692">
        <v>1.105372</v>
      </c>
      <c r="L4692">
        <v>152.39089999999999</v>
      </c>
      <c r="M4692">
        <v>-0.48071150000000001</v>
      </c>
      <c r="N4692">
        <v>0</v>
      </c>
      <c r="O4692">
        <v>-0.87675079999999905</v>
      </c>
      <c r="P4692">
        <v>-0.56238390000000005</v>
      </c>
      <c r="Q4692">
        <v>-4.1748660000000002E-3</v>
      </c>
      <c r="R4692">
        <v>-0.82686599999999999</v>
      </c>
      <c r="S4692">
        <v>-2.4735109999999998</v>
      </c>
      <c r="T4692">
        <v>0.33211649999999998</v>
      </c>
      <c r="U4692">
        <v>-1.957001</v>
      </c>
      <c r="V4692">
        <v>9.5712270000000002E-2</v>
      </c>
      <c r="W4692">
        <v>9.6732710000000006E-3</v>
      </c>
      <c r="X4692">
        <v>0.99536199999999997</v>
      </c>
      <c r="Y4692">
        <v>0.38479770000000002</v>
      </c>
      <c r="Z4692">
        <v>-0.1019972</v>
      </c>
      <c r="AA4692">
        <v>0.91734800000000005</v>
      </c>
      <c r="AB4692">
        <v>22</v>
      </c>
      <c r="AC4692">
        <v>-0.44850000000002399</v>
      </c>
      <c r="AD4692">
        <v>7.5290999999999997E-2</v>
      </c>
      <c r="AE4692">
        <v>-0.25369999999998</v>
      </c>
      <c r="AF4692">
        <v>0.265625603463777</v>
      </c>
      <c r="AG4692">
        <v>7.5290999999999997E-2</v>
      </c>
      <c r="AH4692">
        <v>0.42892251423399202</v>
      </c>
      <c r="AI4692">
        <v>81.512074756115197</v>
      </c>
      <c r="AJ4692">
        <v>58.230656853087702</v>
      </c>
      <c r="AK4692">
        <v>0.51009824456991104</v>
      </c>
      <c r="AL4692">
        <v>89.4457537320543</v>
      </c>
      <c r="AM4692">
        <v>84.507425320676106</v>
      </c>
      <c r="AN4692">
        <v>0.99999996092219501</v>
      </c>
    </row>
    <row r="4693" spans="1:40" x14ac:dyDescent="0.25">
      <c r="A4693" t="str">
        <f>"20190312160736677"</f>
        <v>20190312160736677</v>
      </c>
      <c r="B4693" t="str">
        <f>"1552378056670102"</f>
        <v>1552378056670102</v>
      </c>
      <c r="C4693" t="s">
        <v>40</v>
      </c>
      <c r="D4693">
        <v>4.1486409999999996</v>
      </c>
      <c r="E4693">
        <v>0.62311369999999999</v>
      </c>
      <c r="F4693" t="s">
        <v>59</v>
      </c>
      <c r="G4693">
        <v>-239.39859999999999</v>
      </c>
      <c r="H4693">
        <v>6.7515640000000001</v>
      </c>
      <c r="I4693">
        <v>119.3841</v>
      </c>
      <c r="J4693">
        <v>-196.9991</v>
      </c>
      <c r="K4693">
        <v>1.105307</v>
      </c>
      <c r="L4693">
        <v>152.28</v>
      </c>
      <c r="M4693">
        <v>-0.48454079999999999</v>
      </c>
      <c r="N4693">
        <v>0</v>
      </c>
      <c r="O4693">
        <v>-0.87464019999999998</v>
      </c>
      <c r="P4693">
        <v>-0.56633909999999998</v>
      </c>
      <c r="Q4693">
        <v>-4.3398719999999998E-3</v>
      </c>
      <c r="R4693">
        <v>-0.82416119999999904</v>
      </c>
      <c r="S4693">
        <v>-2.490631</v>
      </c>
      <c r="T4693">
        <v>0.33115159999999899</v>
      </c>
      <c r="U4693">
        <v>-1.935867</v>
      </c>
      <c r="V4693">
        <v>9.6128619999999998E-2</v>
      </c>
      <c r="W4693">
        <v>9.4982790000000001E-3</v>
      </c>
      <c r="X4693">
        <v>0.99532359999999998</v>
      </c>
      <c r="Y4693">
        <v>0.38869819999999999</v>
      </c>
      <c r="Z4693">
        <v>-0.1016625</v>
      </c>
      <c r="AA4693">
        <v>0.91573930000000003</v>
      </c>
      <c r="AB4693">
        <v>22</v>
      </c>
      <c r="AC4693">
        <v>-42.399499999999897</v>
      </c>
      <c r="AD4693">
        <v>5.6462570000000003</v>
      </c>
      <c r="AE4693">
        <v>-32.895899999999997</v>
      </c>
      <c r="AF4693">
        <v>20.915739216958301</v>
      </c>
      <c r="AG4693">
        <v>5.6462570000000003</v>
      </c>
      <c r="AH4693">
        <v>48.781887913952097</v>
      </c>
      <c r="AI4693">
        <v>83.927762528545998</v>
      </c>
      <c r="AJ4693">
        <v>66.792265477506206</v>
      </c>
      <c r="AK4693">
        <v>53.376220862395698</v>
      </c>
      <c r="AL4693">
        <v>89.455780516798598</v>
      </c>
      <c r="AM4693">
        <v>84.483468077501698</v>
      </c>
      <c r="AN4693">
        <v>0.99999999880201296</v>
      </c>
    </row>
    <row r="4694" spans="1:40" x14ac:dyDescent="0.25">
      <c r="A4694" t="str">
        <f>"20190312160736689"</f>
        <v>20190312160736689</v>
      </c>
      <c r="B4694" t="str">
        <f>"1552378056679863"</f>
        <v>1552378056679863</v>
      </c>
      <c r="C4694" t="s">
        <v>40</v>
      </c>
      <c r="D4694">
        <v>4.6845299999999996</v>
      </c>
      <c r="E4694">
        <v>0.62304659999999901</v>
      </c>
      <c r="F4694" t="s">
        <v>44</v>
      </c>
      <c r="G4694">
        <v>-197.56890000000001</v>
      </c>
      <c r="H4694">
        <v>1.1806810000000001</v>
      </c>
      <c r="I4694">
        <v>151.84190000000001</v>
      </c>
      <c r="J4694">
        <v>-197.0581</v>
      </c>
      <c r="K4694">
        <v>1.105251</v>
      </c>
      <c r="L4694">
        <v>152.1825</v>
      </c>
      <c r="M4694">
        <v>-0.48796509999999998</v>
      </c>
      <c r="N4694">
        <v>0</v>
      </c>
      <c r="O4694">
        <v>-0.87273409999999996</v>
      </c>
      <c r="P4694">
        <v>-0.57026759999999999</v>
      </c>
      <c r="Q4694">
        <v>-4.5939860000000004E-3</v>
      </c>
      <c r="R4694">
        <v>-0.82144619999999902</v>
      </c>
      <c r="S4694">
        <v>-2.5002140000000002</v>
      </c>
      <c r="T4694">
        <v>0.33076470000000002</v>
      </c>
      <c r="U4694">
        <v>-1.923737</v>
      </c>
      <c r="V4694">
        <v>9.6978670000000003E-2</v>
      </c>
      <c r="W4694">
        <v>9.2303070000000001E-3</v>
      </c>
      <c r="X4694">
        <v>0.99524369999999995</v>
      </c>
      <c r="Y4694">
        <v>0.38959359999999998</v>
      </c>
      <c r="Z4694">
        <v>-0.10144010000000001</v>
      </c>
      <c r="AA4694">
        <v>0.91538339999999996</v>
      </c>
      <c r="AB4694">
        <v>22</v>
      </c>
      <c r="AC4694">
        <v>-0.51080000000001702</v>
      </c>
      <c r="AD4694">
        <v>7.5429999999999803E-2</v>
      </c>
      <c r="AE4694">
        <v>-0.34059999999999402</v>
      </c>
      <c r="AF4694">
        <v>0.27546501394929801</v>
      </c>
      <c r="AG4694">
        <v>7.5429999999999803E-2</v>
      </c>
      <c r="AH4694">
        <v>0.53843961971796805</v>
      </c>
      <c r="AI4694">
        <v>82.890987184621693</v>
      </c>
      <c r="AJ4694">
        <v>62.905773413069902</v>
      </c>
      <c r="AK4694">
        <v>0.60949805815286795</v>
      </c>
      <c r="AL4694">
        <v>89.471134877401994</v>
      </c>
      <c r="AM4694">
        <v>84.4345471957363</v>
      </c>
      <c r="AN4694">
        <v>1.00000004169598</v>
      </c>
    </row>
    <row r="4695" spans="1:40" x14ac:dyDescent="0.25">
      <c r="A4695" t="str">
        <f>"20190312160736705"</f>
        <v>20190312160736705</v>
      </c>
      <c r="B4695" t="str">
        <f>"1552378056700358"</f>
        <v>1552378056700358</v>
      </c>
      <c r="C4695" t="s">
        <v>40</v>
      </c>
      <c r="D4695">
        <v>5.9527219999999996</v>
      </c>
      <c r="E4695">
        <v>0.62294640000000001</v>
      </c>
      <c r="F4695" t="s">
        <v>59</v>
      </c>
      <c r="G4695">
        <v>-240.09119999999999</v>
      </c>
      <c r="H4695">
        <v>6.74702</v>
      </c>
      <c r="I4695">
        <v>119.3841</v>
      </c>
      <c r="J4695">
        <v>-197.1344</v>
      </c>
      <c r="K4695">
        <v>1.105181</v>
      </c>
      <c r="L4695">
        <v>152.05789999999999</v>
      </c>
      <c r="M4695">
        <v>-0.49241649999999998</v>
      </c>
      <c r="N4695">
        <v>0</v>
      </c>
      <c r="O4695">
        <v>-0.87023009999999901</v>
      </c>
      <c r="P4695">
        <v>-0.57479060000000004</v>
      </c>
      <c r="Q4695">
        <v>-4.9511199999999998E-3</v>
      </c>
      <c r="R4695">
        <v>-0.81828559999999995</v>
      </c>
      <c r="S4695">
        <v>-2.5088810000000001</v>
      </c>
      <c r="T4695">
        <v>0.32892179999999999</v>
      </c>
      <c r="U4695">
        <v>-1.9121859999999999</v>
      </c>
      <c r="V4695">
        <v>9.7384150000000003E-2</v>
      </c>
      <c r="W4695">
        <v>8.8641129999999999E-3</v>
      </c>
      <c r="X4695">
        <v>0.99520739999999996</v>
      </c>
      <c r="Y4695">
        <v>0.38914409999999999</v>
      </c>
      <c r="Z4695">
        <v>-0.1007067</v>
      </c>
      <c r="AA4695">
        <v>0.91565549999999996</v>
      </c>
      <c r="AB4695">
        <v>22</v>
      </c>
      <c r="AC4695">
        <v>-42.956799999999902</v>
      </c>
      <c r="AD4695">
        <v>5.641839</v>
      </c>
      <c r="AE4695">
        <v>-32.6737999999999</v>
      </c>
      <c r="AF4695">
        <v>21.0653917455654</v>
      </c>
      <c r="AG4695">
        <v>5.641839</v>
      </c>
      <c r="AH4695">
        <v>49.055895969947798</v>
      </c>
      <c r="AI4695">
        <v>83.967541666432197</v>
      </c>
      <c r="AJ4695">
        <v>66.760535413519094</v>
      </c>
      <c r="AK4695">
        <v>53.684839630107803</v>
      </c>
      <c r="AL4695">
        <v>89.492117088488797</v>
      </c>
      <c r="AM4695">
        <v>84.4112217934874</v>
      </c>
      <c r="AN4695">
        <v>1.00000000709262</v>
      </c>
    </row>
    <row r="4696" spans="1:40" x14ac:dyDescent="0.25">
      <c r="A4696" t="str">
        <f>"20190312160736722"</f>
        <v>20190312160736722</v>
      </c>
      <c r="B4696" t="str">
        <f>"1552378056710120"</f>
        <v>1552378056710120</v>
      </c>
      <c r="C4696" t="s">
        <v>40</v>
      </c>
      <c r="D4696">
        <v>5.8866699999999996</v>
      </c>
      <c r="E4696">
        <v>0.62283279999999996</v>
      </c>
      <c r="F4696" t="s">
        <v>59</v>
      </c>
      <c r="G4696">
        <v>-240.4819</v>
      </c>
      <c r="H4696">
        <v>6.7143920000000001</v>
      </c>
      <c r="I4696">
        <v>119.3841</v>
      </c>
      <c r="J4696">
        <v>-197.2287</v>
      </c>
      <c r="K4696">
        <v>1.1050960000000001</v>
      </c>
      <c r="L4696">
        <v>151.9059</v>
      </c>
      <c r="M4696">
        <v>-0.49794870000000002</v>
      </c>
      <c r="N4696">
        <v>0</v>
      </c>
      <c r="O4696">
        <v>-0.86707619999999896</v>
      </c>
      <c r="P4696">
        <v>-0.58096530000000002</v>
      </c>
      <c r="Q4696">
        <v>-5.9270950000000003E-3</v>
      </c>
      <c r="R4696">
        <v>-0.81390699999999905</v>
      </c>
      <c r="S4696">
        <v>-2.519012</v>
      </c>
      <c r="T4696">
        <v>0.3259629</v>
      </c>
      <c r="U4696">
        <v>-1.8987430000000001</v>
      </c>
      <c r="V4696">
        <v>9.8569100000000007E-2</v>
      </c>
      <c r="W4696">
        <v>7.8680339999999994E-3</v>
      </c>
      <c r="X4696">
        <v>0.99509910000000001</v>
      </c>
      <c r="Y4696">
        <v>0.38826280000000002</v>
      </c>
      <c r="Z4696">
        <v>-9.9577009999999994E-2</v>
      </c>
      <c r="AA4696">
        <v>0.91615310000000005</v>
      </c>
      <c r="AB4696">
        <v>22</v>
      </c>
      <c r="AC4696">
        <v>-43.2531999999999</v>
      </c>
      <c r="AD4696">
        <v>5.6092959999999996</v>
      </c>
      <c r="AE4696">
        <v>-32.521799999999999</v>
      </c>
      <c r="AF4696">
        <v>21.085495285907299</v>
      </c>
      <c r="AG4696">
        <v>5.6092959999999996</v>
      </c>
      <c r="AH4696">
        <v>49.2136170144734</v>
      </c>
      <c r="AI4696">
        <v>84.019085017379695</v>
      </c>
      <c r="AJ4696">
        <v>66.807365135575097</v>
      </c>
      <c r="AK4696">
        <v>53.833469261370297</v>
      </c>
      <c r="AL4696">
        <v>89.549190205605001</v>
      </c>
      <c r="AM4696">
        <v>84.343045455672296</v>
      </c>
      <c r="AN4696">
        <v>0.99999999612732204</v>
      </c>
    </row>
    <row r="4697" spans="1:40" x14ac:dyDescent="0.25">
      <c r="A4697" t="str">
        <f>"20190312160736745"</f>
        <v>20190312160736745</v>
      </c>
      <c r="B4697" t="str">
        <f>"1552378056740376"</f>
        <v>1552378056740376</v>
      </c>
      <c r="C4697" t="s">
        <v>40</v>
      </c>
      <c r="D4697">
        <v>4.228707</v>
      </c>
      <c r="E4697">
        <v>0.62259819999999999</v>
      </c>
      <c r="F4697" t="s">
        <v>44</v>
      </c>
      <c r="G4697">
        <v>-197.81450000000001</v>
      </c>
      <c r="H4697">
        <v>1.179311</v>
      </c>
      <c r="I4697">
        <v>151.47110000000001</v>
      </c>
      <c r="J4697">
        <v>-197.3477</v>
      </c>
      <c r="K4697">
        <v>1.1049869999999999</v>
      </c>
      <c r="L4697">
        <v>151.7175</v>
      </c>
      <c r="M4697">
        <v>-0.50497510000000001</v>
      </c>
      <c r="N4697">
        <v>0</v>
      </c>
      <c r="O4697">
        <v>-0.86300270000000001</v>
      </c>
      <c r="P4697">
        <v>-0.58843029999999996</v>
      </c>
      <c r="Q4697">
        <v>-6.5231389999999998E-3</v>
      </c>
      <c r="R4697">
        <v>-0.80852199999999996</v>
      </c>
      <c r="S4697">
        <v>-2.5330349999999999</v>
      </c>
      <c r="T4697">
        <v>0.32087870000000002</v>
      </c>
      <c r="U4697">
        <v>-1.8802030000000001</v>
      </c>
      <c r="V4697">
        <v>9.9640259999999994E-2</v>
      </c>
      <c r="W4697">
        <v>7.2524549999999997E-3</v>
      </c>
      <c r="X4697">
        <v>0.99499709999999997</v>
      </c>
      <c r="Y4697">
        <v>0.38768910000000001</v>
      </c>
      <c r="Z4697">
        <v>-9.7749799999999998E-2</v>
      </c>
      <c r="AA4697">
        <v>0.91659270000000004</v>
      </c>
      <c r="AB4697">
        <v>22</v>
      </c>
      <c r="AC4697">
        <v>-0.46680000000000599</v>
      </c>
      <c r="AD4697">
        <v>7.4323999999999807E-2</v>
      </c>
      <c r="AE4697">
        <v>-0.24639999999999401</v>
      </c>
      <c r="AF4697">
        <v>0.27304177726963702</v>
      </c>
      <c r="AG4697">
        <v>7.4323999999999807E-2</v>
      </c>
      <c r="AH4697">
        <v>0.43969918323927298</v>
      </c>
      <c r="AI4697">
        <v>81.828215418694796</v>
      </c>
      <c r="AJ4697">
        <v>58.160792523539001</v>
      </c>
      <c r="AK4697">
        <v>0.52288740743284901</v>
      </c>
      <c r="AL4697">
        <v>89.584461296350398</v>
      </c>
      <c r="AM4697">
        <v>84.281393695075494</v>
      </c>
      <c r="AN4697">
        <v>1.0000000042624</v>
      </c>
    </row>
    <row r="4698" spans="1:40" x14ac:dyDescent="0.25">
      <c r="A4698" t="str">
        <f>"20190312160736757"</f>
        <v>20190312160736757</v>
      </c>
      <c r="B4698" t="str">
        <f>"1552378056750135"</f>
        <v>1552378056750135</v>
      </c>
      <c r="C4698" t="s">
        <v>40</v>
      </c>
      <c r="D4698">
        <v>6.0581559999999897</v>
      </c>
      <c r="E4698">
        <v>0.62243470000000001</v>
      </c>
      <c r="F4698" t="s">
        <v>59</v>
      </c>
      <c r="G4698">
        <v>-241.42160000000001</v>
      </c>
      <c r="H4698">
        <v>6.4269210000000001</v>
      </c>
      <c r="I4698">
        <v>119.5971</v>
      </c>
      <c r="J4698">
        <v>-197.41970000000001</v>
      </c>
      <c r="K4698">
        <v>1.104924</v>
      </c>
      <c r="L4698">
        <v>151.6052</v>
      </c>
      <c r="M4698">
        <v>-0.5092411</v>
      </c>
      <c r="N4698">
        <v>0</v>
      </c>
      <c r="O4698">
        <v>-0.86049219999999904</v>
      </c>
      <c r="P4698">
        <v>-0.59290339999999997</v>
      </c>
      <c r="Q4698">
        <v>-6.6044490000000001E-3</v>
      </c>
      <c r="R4698">
        <v>-0.80524680000000004</v>
      </c>
      <c r="S4698">
        <v>-2.549118</v>
      </c>
      <c r="T4698">
        <v>0.30780639999999998</v>
      </c>
      <c r="U4698">
        <v>-1.857758</v>
      </c>
      <c r="V4698">
        <v>0.1002311</v>
      </c>
      <c r="W4698">
        <v>7.1599510000000003E-3</v>
      </c>
      <c r="X4698">
        <v>0.9949384</v>
      </c>
      <c r="Y4698">
        <v>0.3914976</v>
      </c>
      <c r="Z4698">
        <v>-9.3756409999999998E-2</v>
      </c>
      <c r="AA4698">
        <v>0.91539029999999999</v>
      </c>
      <c r="AB4698">
        <v>22</v>
      </c>
      <c r="AC4698">
        <v>-44.001899999999999</v>
      </c>
      <c r="AD4698">
        <v>5.3219969999999996</v>
      </c>
      <c r="AE4698">
        <v>-32.008099999999999</v>
      </c>
      <c r="AF4698">
        <v>21.3615390681578</v>
      </c>
      <c r="AG4698">
        <v>5.3219969999999996</v>
      </c>
      <c r="AH4698">
        <v>49.482579253078598</v>
      </c>
      <c r="AI4698">
        <v>84.360631501149697</v>
      </c>
      <c r="AJ4698">
        <v>66.650230741178405</v>
      </c>
      <c r="AK4698">
        <v>54.158698774671898</v>
      </c>
      <c r="AL4698">
        <v>89.589761512395</v>
      </c>
      <c r="AM4698">
        <v>84.247373532462007</v>
      </c>
      <c r="AN4698">
        <v>0.99999997905004601</v>
      </c>
    </row>
    <row r="4699" spans="1:40" x14ac:dyDescent="0.25">
      <c r="A4699" t="str">
        <f>"20190312160736768"</f>
        <v>20190312160736768</v>
      </c>
      <c r="B4699" t="str">
        <f>"1552378056759895"</f>
        <v>1552378056759895</v>
      </c>
      <c r="C4699" t="s">
        <v>40</v>
      </c>
      <c r="D4699">
        <v>6.0008290000000004</v>
      </c>
      <c r="E4699">
        <v>0.62225459999999999</v>
      </c>
      <c r="F4699" t="s">
        <v>44</v>
      </c>
      <c r="G4699">
        <v>-198.04419999999999</v>
      </c>
      <c r="H4699">
        <v>1.179495</v>
      </c>
      <c r="I4699">
        <v>151.1551</v>
      </c>
      <c r="J4699">
        <v>-197.48169999999999</v>
      </c>
      <c r="K4699">
        <v>1.1048709999999999</v>
      </c>
      <c r="L4699">
        <v>151.50970000000001</v>
      </c>
      <c r="M4699">
        <v>-0.51292959999999999</v>
      </c>
      <c r="N4699">
        <v>0</v>
      </c>
      <c r="O4699">
        <v>-0.85829820000000001</v>
      </c>
      <c r="P4699">
        <v>-0.59676390000000001</v>
      </c>
      <c r="Q4699">
        <v>-6.4500779999999997E-3</v>
      </c>
      <c r="R4699">
        <v>-0.80239139999999998</v>
      </c>
      <c r="S4699">
        <v>-2.558548</v>
      </c>
      <c r="T4699">
        <v>0.3054982</v>
      </c>
      <c r="U4699">
        <v>-1.8442229999999999</v>
      </c>
      <c r="V4699">
        <v>0.1007412</v>
      </c>
      <c r="W4699">
        <v>7.3053830000000004E-3</v>
      </c>
      <c r="X4699">
        <v>0.99488589999999999</v>
      </c>
      <c r="Y4699">
        <v>0.39240259999999999</v>
      </c>
      <c r="Z4699">
        <v>-9.2954990000000001E-2</v>
      </c>
      <c r="AA4699">
        <v>0.91508449999999997</v>
      </c>
      <c r="AB4699">
        <v>22</v>
      </c>
      <c r="AC4699">
        <v>-0.5625</v>
      </c>
      <c r="AD4699">
        <v>7.4624000000000204E-2</v>
      </c>
      <c r="AE4699">
        <v>-0.35460000000000402</v>
      </c>
      <c r="AF4699">
        <v>0.29719897388737798</v>
      </c>
      <c r="AG4699">
        <v>7.4624000000000204E-2</v>
      </c>
      <c r="AH4699">
        <v>0.58556778382206598</v>
      </c>
      <c r="AI4699">
        <v>83.516729004777204</v>
      </c>
      <c r="AJ4699">
        <v>63.090391766111097</v>
      </c>
      <c r="AK4699">
        <v>0.66089757217438505</v>
      </c>
      <c r="AL4699">
        <v>89.581428686665205</v>
      </c>
      <c r="AM4699">
        <v>84.217991853165501</v>
      </c>
      <c r="AN4699">
        <v>1.0000000560085101</v>
      </c>
    </row>
    <row r="4700" spans="1:40" x14ac:dyDescent="0.25">
      <c r="A4700" t="str">
        <f>"20190312160736780"</f>
        <v>20190312160736780</v>
      </c>
      <c r="B4700" t="str">
        <f>"1552378056769654"</f>
        <v>1552378056769654</v>
      </c>
      <c r="C4700" t="s">
        <v>40</v>
      </c>
      <c r="D4700">
        <v>6.0158199999999997</v>
      </c>
      <c r="E4700">
        <v>0.62206709999999998</v>
      </c>
      <c r="F4700" t="s">
        <v>63</v>
      </c>
      <c r="G4700">
        <v>-245.4195</v>
      </c>
      <c r="H4700">
        <v>6.7894249999999996</v>
      </c>
      <c r="I4700">
        <v>117.2753</v>
      </c>
      <c r="J4700">
        <v>-197.54470000000001</v>
      </c>
      <c r="K4700">
        <v>1.104822</v>
      </c>
      <c r="L4700">
        <v>151.41380000000001</v>
      </c>
      <c r="M4700">
        <v>-0.51667929999999995</v>
      </c>
      <c r="N4700">
        <v>0</v>
      </c>
      <c r="O4700">
        <v>-0.85604609999999903</v>
      </c>
      <c r="P4700">
        <v>-0.60071680000000005</v>
      </c>
      <c r="Q4700">
        <v>-6.7275729999999997E-3</v>
      </c>
      <c r="R4700">
        <v>-0.79943359999999997</v>
      </c>
      <c r="S4700">
        <v>-2.5662539999999998</v>
      </c>
      <c r="T4700">
        <v>0.30431219999999998</v>
      </c>
      <c r="U4700">
        <v>-1.8326720000000001</v>
      </c>
      <c r="V4700">
        <v>0.101298</v>
      </c>
      <c r="W4700">
        <v>7.0183329999999999E-3</v>
      </c>
      <c r="X4700">
        <v>0.99483140000000003</v>
      </c>
      <c r="Y4700">
        <v>0.39244570000000001</v>
      </c>
      <c r="Z4700">
        <v>-9.2469960000000004E-2</v>
      </c>
      <c r="AA4700">
        <v>0.91511509999999996</v>
      </c>
      <c r="AB4700">
        <v>22</v>
      </c>
      <c r="AC4700">
        <v>-47.874799999999901</v>
      </c>
      <c r="AD4700">
        <v>5.6846029999999903</v>
      </c>
      <c r="AE4700">
        <v>-34.138500000000001</v>
      </c>
      <c r="AF4700">
        <v>23.1308451476825</v>
      </c>
      <c r="AG4700">
        <v>5.6846029999999903</v>
      </c>
      <c r="AH4700">
        <v>53.4664676164209</v>
      </c>
      <c r="AI4700">
        <v>84.4266885894436</v>
      </c>
      <c r="AJ4700">
        <v>66.605561549213306</v>
      </c>
      <c r="AK4700">
        <v>58.5321609706277</v>
      </c>
      <c r="AL4700">
        <v>89.597875849903801</v>
      </c>
      <c r="AM4700">
        <v>84.185936494323599</v>
      </c>
      <c r="AN4700">
        <v>1.00000002811402</v>
      </c>
    </row>
    <row r="4701" spans="1:40" x14ac:dyDescent="0.25">
      <c r="A4701" t="str">
        <f>"20190312160736791"</f>
        <v>20190312160736791</v>
      </c>
      <c r="B4701" t="str">
        <f>"1552378056780391"</f>
        <v>1552378056780391</v>
      </c>
      <c r="C4701" t="s">
        <v>40</v>
      </c>
      <c r="D4701">
        <v>6.0012679999999996</v>
      </c>
      <c r="E4701">
        <v>0.62189899999999998</v>
      </c>
      <c r="F4701" t="s">
        <v>63</v>
      </c>
      <c r="G4701">
        <v>-245.4195</v>
      </c>
      <c r="H4701">
        <v>6.7122349999999997</v>
      </c>
      <c r="I4701">
        <v>117.5463</v>
      </c>
      <c r="J4701">
        <v>-197.607</v>
      </c>
      <c r="K4701">
        <v>1.1047720000000001</v>
      </c>
      <c r="L4701">
        <v>151.31970000000001</v>
      </c>
      <c r="M4701">
        <v>-0.5203913</v>
      </c>
      <c r="N4701">
        <v>0</v>
      </c>
      <c r="O4701">
        <v>-0.85379450000000001</v>
      </c>
      <c r="P4701">
        <v>-0.6045682</v>
      </c>
      <c r="Q4701">
        <v>-7.0035790000000002E-3</v>
      </c>
      <c r="R4701">
        <v>-0.79652290000000003</v>
      </c>
      <c r="S4701">
        <v>-2.574112</v>
      </c>
      <c r="T4701">
        <v>0.30149789999999999</v>
      </c>
      <c r="U4701">
        <v>-1.8209690000000001</v>
      </c>
      <c r="V4701">
        <v>0.1017786</v>
      </c>
      <c r="W4701">
        <v>6.7341450000000004E-3</v>
      </c>
      <c r="X4701">
        <v>0.99478429999999995</v>
      </c>
      <c r="Y4701">
        <v>0.39262380000000002</v>
      </c>
      <c r="Z4701">
        <v>-9.1495649999999998E-2</v>
      </c>
      <c r="AA4701">
        <v>0.91513670000000003</v>
      </c>
      <c r="AB4701">
        <v>22</v>
      </c>
      <c r="AC4701">
        <v>-47.8125</v>
      </c>
      <c r="AD4701">
        <v>5.6074630000000001</v>
      </c>
      <c r="AE4701">
        <v>-33.773400000000002</v>
      </c>
      <c r="AF4701">
        <v>23.037915870860498</v>
      </c>
      <c r="AG4701">
        <v>5.6074630000000001</v>
      </c>
      <c r="AH4701">
        <v>53.234387158660603</v>
      </c>
      <c r="AI4701">
        <v>84.4783107045305</v>
      </c>
      <c r="AJ4701">
        <v>66.598785754874001</v>
      </c>
      <c r="AK4701">
        <v>58.275974338722001</v>
      </c>
      <c r="AL4701">
        <v>89.614159003479799</v>
      </c>
      <c r="AM4701">
        <v>84.158267792518998</v>
      </c>
      <c r="AN4701">
        <v>1.0000000178266599</v>
      </c>
    </row>
    <row r="4702" spans="1:40" x14ac:dyDescent="0.25">
      <c r="A4702" t="str">
        <f>"20190312160736803"</f>
        <v>20190312160736803</v>
      </c>
      <c r="B4702" t="str">
        <f>"1552378056799911"</f>
        <v>1552378056799911</v>
      </c>
      <c r="C4702" t="s">
        <v>40</v>
      </c>
      <c r="D4702">
        <v>5.9884440000000003</v>
      </c>
      <c r="E4702">
        <v>0.6223225</v>
      </c>
      <c r="F4702" t="s">
        <v>63</v>
      </c>
      <c r="G4702">
        <v>-245.4195</v>
      </c>
      <c r="H4702">
        <v>6.646083</v>
      </c>
      <c r="I4702">
        <v>117.8147</v>
      </c>
      <c r="J4702">
        <v>-197.67250000000001</v>
      </c>
      <c r="K4702">
        <v>1.1047169999999999</v>
      </c>
      <c r="L4702">
        <v>151.22229999999999</v>
      </c>
      <c r="M4702">
        <v>-0.5243063</v>
      </c>
      <c r="N4702">
        <v>0</v>
      </c>
      <c r="O4702">
        <v>-0.85139569999999998</v>
      </c>
      <c r="P4702">
        <v>-0.6086954</v>
      </c>
      <c r="Q4702">
        <v>-7.180596E-3</v>
      </c>
      <c r="R4702">
        <v>-0.79337179999999996</v>
      </c>
      <c r="S4702">
        <v>-2.5819399999999999</v>
      </c>
      <c r="T4702">
        <v>0.29923939999999999</v>
      </c>
      <c r="U4702">
        <v>-1.8093109999999999</v>
      </c>
      <c r="V4702">
        <v>0.1023747</v>
      </c>
      <c r="W4702">
        <v>6.5467529999999998E-3</v>
      </c>
      <c r="X4702">
        <v>0.99472430000000001</v>
      </c>
      <c r="Y4702">
        <v>0.3925438</v>
      </c>
      <c r="Z4702">
        <v>-9.0671669999999996E-2</v>
      </c>
      <c r="AA4702">
        <v>0.91525299999999998</v>
      </c>
      <c r="AB4702">
        <v>22</v>
      </c>
      <c r="AC4702">
        <v>-47.7469999999999</v>
      </c>
      <c r="AD4702">
        <v>5.541366</v>
      </c>
      <c r="AE4702">
        <v>-33.407599999999903</v>
      </c>
      <c r="AF4702">
        <v>22.931063419389901</v>
      </c>
      <c r="AG4702">
        <v>5.541366</v>
      </c>
      <c r="AH4702">
        <v>53.003958949341303</v>
      </c>
      <c r="AI4702">
        <v>84.519154836668406</v>
      </c>
      <c r="AJ4702">
        <v>66.605278965054893</v>
      </c>
      <c r="AK4702">
        <v>58.016894703124997</v>
      </c>
      <c r="AL4702">
        <v>89.624895980089306</v>
      </c>
      <c r="AM4702">
        <v>84.123940508771796</v>
      </c>
      <c r="AN4702">
        <v>0.99999993609270899</v>
      </c>
    </row>
    <row r="4703" spans="1:40" x14ac:dyDescent="0.25">
      <c r="A4703" t="str">
        <f>"20190312160736815"</f>
        <v>20190312160736815</v>
      </c>
      <c r="B4703" t="str">
        <f>"1552378056809670"</f>
        <v>1552378056809670</v>
      </c>
      <c r="C4703" t="s">
        <v>40</v>
      </c>
      <c r="D4703">
        <v>5.7733169999999996</v>
      </c>
      <c r="E4703">
        <v>0.62270999999999999</v>
      </c>
      <c r="F4703" t="s">
        <v>63</v>
      </c>
      <c r="G4703">
        <v>-245.22489999999999</v>
      </c>
      <c r="H4703">
        <v>6.6064059999999998</v>
      </c>
      <c r="I4703">
        <v>118.33929999999999</v>
      </c>
      <c r="J4703">
        <v>-197.7373</v>
      </c>
      <c r="K4703">
        <v>1.10466</v>
      </c>
      <c r="L4703">
        <v>151.12629999999999</v>
      </c>
      <c r="M4703">
        <v>-0.52818669999999901</v>
      </c>
      <c r="N4703">
        <v>0</v>
      </c>
      <c r="O4703">
        <v>-0.84899380000000002</v>
      </c>
      <c r="P4703">
        <v>-0.61311610000000005</v>
      </c>
      <c r="Q4703">
        <v>-7.7192800000000002E-3</v>
      </c>
      <c r="R4703">
        <v>-0.78995559999999998</v>
      </c>
      <c r="S4703">
        <v>-2.5940699999999999</v>
      </c>
      <c r="T4703">
        <v>0.30012759999999999</v>
      </c>
      <c r="U4703">
        <v>-1.7938229999999999</v>
      </c>
      <c r="V4703">
        <v>0.1033857</v>
      </c>
      <c r="W4703">
        <v>5.9912480000000002E-3</v>
      </c>
      <c r="X4703">
        <v>0.99462329999999999</v>
      </c>
      <c r="Y4703">
        <v>0.3940343</v>
      </c>
      <c r="Z4703">
        <v>-9.0798180000000006E-2</v>
      </c>
      <c r="AA4703">
        <v>0.91459970000000002</v>
      </c>
      <c r="AB4703">
        <v>22</v>
      </c>
      <c r="AC4703">
        <v>-47.487599999999901</v>
      </c>
      <c r="AD4703">
        <v>5.5017459999999998</v>
      </c>
      <c r="AE4703">
        <v>-32.7869999999999</v>
      </c>
      <c r="AF4703">
        <v>22.794452355509002</v>
      </c>
      <c r="AG4703">
        <v>5.5017459999999998</v>
      </c>
      <c r="AH4703">
        <v>52.447588776161403</v>
      </c>
      <c r="AI4703">
        <v>84.504687610606894</v>
      </c>
      <c r="AJ4703">
        <v>66.509563199364607</v>
      </c>
      <c r="AK4703">
        <v>57.450899346045198</v>
      </c>
      <c r="AL4703">
        <v>89.656724723103295</v>
      </c>
      <c r="AM4703">
        <v>84.065725340690804</v>
      </c>
      <c r="AN4703">
        <v>1.0000000034599801</v>
      </c>
    </row>
    <row r="4704" spans="1:40" x14ac:dyDescent="0.25">
      <c r="A4704" t="str">
        <f>"20190312160736833"</f>
        <v>20190312160736833</v>
      </c>
      <c r="B4704" t="str">
        <f>"1552378056830166"</f>
        <v>1552378056830166</v>
      </c>
      <c r="C4704" t="s">
        <v>40</v>
      </c>
      <c r="D4704">
        <v>5.2971309999999896</v>
      </c>
      <c r="E4704">
        <v>0.62346550000000001</v>
      </c>
      <c r="F4704" t="s">
        <v>44</v>
      </c>
      <c r="G4704">
        <v>-198.38640000000001</v>
      </c>
      <c r="H4704">
        <v>1.179602</v>
      </c>
      <c r="I4704">
        <v>150.68360000000001</v>
      </c>
      <c r="J4704">
        <v>-197.8365</v>
      </c>
      <c r="K4704">
        <v>1.1045750000000001</v>
      </c>
      <c r="L4704">
        <v>150.9819</v>
      </c>
      <c r="M4704">
        <v>-0.53414459999999997</v>
      </c>
      <c r="N4704">
        <v>0</v>
      </c>
      <c r="O4704">
        <v>-0.84525729999999999</v>
      </c>
      <c r="P4704">
        <v>-0.61997709999999995</v>
      </c>
      <c r="Q4704">
        <v>-8.2292819999999992E-3</v>
      </c>
      <c r="R4704">
        <v>-0.78457650000000001</v>
      </c>
      <c r="S4704">
        <v>-2.6066129999999998</v>
      </c>
      <c r="T4704">
        <v>0.30096729999999999</v>
      </c>
      <c r="U4704">
        <v>-1.7775570000000001</v>
      </c>
      <c r="V4704">
        <v>0.1050556</v>
      </c>
      <c r="W4704">
        <v>5.4529080000000002E-3</v>
      </c>
      <c r="X4704">
        <v>0.99445139999999999</v>
      </c>
      <c r="Y4704">
        <v>0.39351560000000002</v>
      </c>
      <c r="Z4704">
        <v>-9.0765760000000001E-2</v>
      </c>
      <c r="AA4704">
        <v>0.91482629999999998</v>
      </c>
      <c r="AB4704">
        <v>22</v>
      </c>
      <c r="AC4704">
        <v>-0.54990000000000705</v>
      </c>
      <c r="AD4704">
        <v>7.5026999999999899E-2</v>
      </c>
      <c r="AE4704">
        <v>-0.29829999999998302</v>
      </c>
      <c r="AF4704">
        <v>0.30117498657925601</v>
      </c>
      <c r="AG4704">
        <v>7.5026999999999899E-2</v>
      </c>
      <c r="AH4704">
        <v>0.538188382968534</v>
      </c>
      <c r="AI4704">
        <v>83.063859324943905</v>
      </c>
      <c r="AJ4704">
        <v>60.7682370782478</v>
      </c>
      <c r="AK4704">
        <v>0.62127462432671499</v>
      </c>
      <c r="AL4704">
        <v>89.687569837243799</v>
      </c>
      <c r="AM4704">
        <v>83.969540089765701</v>
      </c>
      <c r="AN4704">
        <v>1.00000000012948</v>
      </c>
    </row>
    <row r="4705" spans="1:40" x14ac:dyDescent="0.25">
      <c r="A4705" t="str">
        <f>"20190312160736844"</f>
        <v>20190312160736844</v>
      </c>
      <c r="B4705" t="str">
        <f>"1552378056839927"</f>
        <v>1552378056839927</v>
      </c>
      <c r="C4705" t="s">
        <v>40</v>
      </c>
      <c r="D4705">
        <v>5.8634519999999997</v>
      </c>
      <c r="E4705">
        <v>0.62361060000000001</v>
      </c>
      <c r="F4705" t="s">
        <v>63</v>
      </c>
      <c r="G4705">
        <v>-245.29519999999999</v>
      </c>
      <c r="H4705">
        <v>6.584244</v>
      </c>
      <c r="I4705">
        <v>119.3436</v>
      </c>
      <c r="J4705">
        <v>-197.90029999999999</v>
      </c>
      <c r="K4705">
        <v>1.104528</v>
      </c>
      <c r="L4705">
        <v>150.89070000000001</v>
      </c>
      <c r="M4705">
        <v>-0.53798380000000001</v>
      </c>
      <c r="N4705">
        <v>0</v>
      </c>
      <c r="O4705">
        <v>-0.84281890000000004</v>
      </c>
      <c r="P4705">
        <v>-0.62404579999999998</v>
      </c>
      <c r="Q4705">
        <v>-8.5838930000000004E-3</v>
      </c>
      <c r="R4705">
        <v>-0.78134079999999995</v>
      </c>
      <c r="S4705">
        <v>-2.6268159999999998</v>
      </c>
      <c r="T4705">
        <v>0.30329800000000001</v>
      </c>
      <c r="U4705">
        <v>-1.7511599999999901</v>
      </c>
      <c r="V4705">
        <v>0.10569779999999999</v>
      </c>
      <c r="W4705">
        <v>5.0876559999999899E-3</v>
      </c>
      <c r="X4705">
        <v>0.99438530000000003</v>
      </c>
      <c r="Y4705">
        <v>0.39888970000000001</v>
      </c>
      <c r="Z4705">
        <v>-9.1407130000000003E-2</v>
      </c>
      <c r="AA4705">
        <v>0.91243180000000002</v>
      </c>
      <c r="AB4705">
        <v>22</v>
      </c>
      <c r="AC4705">
        <v>-47.3949</v>
      </c>
      <c r="AD4705">
        <v>5.4797159999999998</v>
      </c>
      <c r="AE4705">
        <v>-31.5471</v>
      </c>
      <c r="AF4705">
        <v>22.7652444275497</v>
      </c>
      <c r="AG4705">
        <v>5.4797159999999998</v>
      </c>
      <c r="AH4705">
        <v>51.614042776728503</v>
      </c>
      <c r="AI4705">
        <v>84.451800894247398</v>
      </c>
      <c r="AJ4705">
        <v>66.199313108016298</v>
      </c>
      <c r="AK4705">
        <v>56.677094606593101</v>
      </c>
      <c r="AL4705">
        <v>89.708497530982001</v>
      </c>
      <c r="AM4705">
        <v>83.932550000309107</v>
      </c>
      <c r="AN4705">
        <v>1.0000000170122501</v>
      </c>
    </row>
    <row r="4706" spans="1:40" x14ac:dyDescent="0.25">
      <c r="A4706" t="str">
        <f>"20190312160736858"</f>
        <v>20190312160736858</v>
      </c>
      <c r="B4706" t="str">
        <f>"1552378056849686"</f>
        <v>1552378056849686</v>
      </c>
      <c r="C4706" t="s">
        <v>40</v>
      </c>
      <c r="D4706">
        <v>5.4272600000000004</v>
      </c>
      <c r="E4706">
        <v>0.62398619999999905</v>
      </c>
      <c r="F4706" t="s">
        <v>63</v>
      </c>
      <c r="G4706">
        <v>-245.80240000000001</v>
      </c>
      <c r="H4706">
        <v>6.5311779999999997</v>
      </c>
      <c r="I4706">
        <v>119.3436</v>
      </c>
      <c r="J4706">
        <v>-197.97630000000001</v>
      </c>
      <c r="K4706">
        <v>1.1044700000000001</v>
      </c>
      <c r="L4706">
        <v>150.78270000000001</v>
      </c>
      <c r="M4706">
        <v>-0.54255489999999995</v>
      </c>
      <c r="N4706">
        <v>0</v>
      </c>
      <c r="O4706">
        <v>-0.83988339999999995</v>
      </c>
      <c r="P4706">
        <v>-0.62875719999999902</v>
      </c>
      <c r="Q4706">
        <v>-8.7553300000000004E-3</v>
      </c>
      <c r="R4706">
        <v>-0.77755249999999998</v>
      </c>
      <c r="S4706">
        <v>-2.637054</v>
      </c>
      <c r="T4706">
        <v>0.2987437</v>
      </c>
      <c r="U4706">
        <v>-1.736694</v>
      </c>
      <c r="V4706">
        <v>0.106305399999999</v>
      </c>
      <c r="W4706">
        <v>4.9055069999999999E-3</v>
      </c>
      <c r="X4706">
        <v>0.99432140000000002</v>
      </c>
      <c r="Y4706">
        <v>0.39916089999999999</v>
      </c>
      <c r="Z4706">
        <v>-8.9850780000000005E-2</v>
      </c>
      <c r="AA4706">
        <v>0.91246780000000005</v>
      </c>
      <c r="AB4706">
        <v>22</v>
      </c>
      <c r="AC4706">
        <v>-47.826099999999997</v>
      </c>
      <c r="AD4706">
        <v>5.4267079999999996</v>
      </c>
      <c r="AE4706">
        <v>-31.4391</v>
      </c>
      <c r="AF4706">
        <v>22.907628001893698</v>
      </c>
      <c r="AG4706">
        <v>5.4267079999999996</v>
      </c>
      <c r="AH4706">
        <v>51.892966218796801</v>
      </c>
      <c r="AI4706">
        <v>84.535245187590306</v>
      </c>
      <c r="AJ4706">
        <v>66.181421396950896</v>
      </c>
      <c r="AK4706">
        <v>56.983230194291401</v>
      </c>
      <c r="AL4706">
        <v>89.718934018030296</v>
      </c>
      <c r="AM4706">
        <v>83.897544691226898</v>
      </c>
      <c r="AN4706">
        <v>0.99999997428302301</v>
      </c>
    </row>
    <row r="4707" spans="1:40" x14ac:dyDescent="0.25">
      <c r="A4707" t="str">
        <f>"20190312160736870"</f>
        <v>20190312160736870</v>
      </c>
      <c r="B4707" t="str">
        <f>"1552378056860423"</f>
        <v>1552378056860423</v>
      </c>
      <c r="C4707" t="s">
        <v>40</v>
      </c>
      <c r="D4707">
        <v>5.7668400000000002</v>
      </c>
      <c r="E4707">
        <v>0.62416510000000003</v>
      </c>
      <c r="F4707" t="s">
        <v>63</v>
      </c>
      <c r="G4707">
        <v>-246.82050000000001</v>
      </c>
      <c r="H4707">
        <v>6.6372200000000001</v>
      </c>
      <c r="I4707">
        <v>119.0955</v>
      </c>
      <c r="J4707">
        <v>-198.04740000000001</v>
      </c>
      <c r="K4707">
        <v>1.1044149999999999</v>
      </c>
      <c r="L4707">
        <v>150.6832</v>
      </c>
      <c r="M4707">
        <v>-0.546836199999999</v>
      </c>
      <c r="N4707">
        <v>0</v>
      </c>
      <c r="O4707">
        <v>-0.83710189999999995</v>
      </c>
      <c r="P4707">
        <v>-0.6333607</v>
      </c>
      <c r="Q4707">
        <v>-8.8018860000000001E-3</v>
      </c>
      <c r="R4707">
        <v>-0.77380680000000002</v>
      </c>
      <c r="S4707">
        <v>-2.6497190000000002</v>
      </c>
      <c r="T4707">
        <v>0.30014410000000002</v>
      </c>
      <c r="U4707">
        <v>-1.718979</v>
      </c>
      <c r="V4707">
        <v>0.10712960000000001</v>
      </c>
      <c r="W4707">
        <v>4.8454250000000004E-3</v>
      </c>
      <c r="X4707">
        <v>0.99423329999999999</v>
      </c>
      <c r="Y4707">
        <v>0.4007405</v>
      </c>
      <c r="Z4707">
        <v>-9.0112220000000007E-2</v>
      </c>
      <c r="AA4707">
        <v>0.91174929999999998</v>
      </c>
      <c r="AB4707">
        <v>22</v>
      </c>
      <c r="AC4707">
        <v>-48.773099999999999</v>
      </c>
      <c r="AD4707">
        <v>5.5328049999999998</v>
      </c>
      <c r="AE4707">
        <v>-31.587700000000002</v>
      </c>
      <c r="AF4707">
        <v>23.345821836237199</v>
      </c>
      <c r="AG4707">
        <v>5.5328049999999998</v>
      </c>
      <c r="AH4707">
        <v>52.641898133201501</v>
      </c>
      <c r="AI4707">
        <v>84.511965507064303</v>
      </c>
      <c r="AJ4707">
        <v>66.083495910452697</v>
      </c>
      <c r="AK4707">
        <v>57.851609895004003</v>
      </c>
      <c r="AL4707">
        <v>89.722376522881902</v>
      </c>
      <c r="AM4707">
        <v>83.850051933743799</v>
      </c>
      <c r="AN4707">
        <v>1.0000000420842301</v>
      </c>
    </row>
    <row r="4708" spans="1:40" x14ac:dyDescent="0.25">
      <c r="A4708" t="str">
        <f>"20190312160736880"</f>
        <v>20190312160736880</v>
      </c>
      <c r="B4708" t="str">
        <f>"1552378056870183"</f>
        <v>1552378056870183</v>
      </c>
      <c r="C4708" t="s">
        <v>40</v>
      </c>
      <c r="D4708">
        <v>5.9849309999999996</v>
      </c>
      <c r="E4708">
        <v>0.62442059999999999</v>
      </c>
      <c r="F4708" t="s">
        <v>63</v>
      </c>
      <c r="G4708">
        <v>-247.42789999999999</v>
      </c>
      <c r="H4708">
        <v>6.7040629999999997</v>
      </c>
      <c r="I4708">
        <v>119.0955</v>
      </c>
      <c r="J4708">
        <v>-198.11170000000001</v>
      </c>
      <c r="K4708">
        <v>1.104368</v>
      </c>
      <c r="L4708">
        <v>150.5942</v>
      </c>
      <c r="M4708">
        <v>-0.55071130000000001</v>
      </c>
      <c r="N4708">
        <v>0</v>
      </c>
      <c r="O4708">
        <v>-0.8345574</v>
      </c>
      <c r="P4708">
        <v>-0.63735120000000001</v>
      </c>
      <c r="Q4708">
        <v>-8.8418999999999998E-3</v>
      </c>
      <c r="R4708">
        <v>-0.7705227</v>
      </c>
      <c r="S4708">
        <v>-2.6610870000000002</v>
      </c>
      <c r="T4708">
        <v>0.30176269999999999</v>
      </c>
      <c r="U4708">
        <v>-1.70224</v>
      </c>
      <c r="V4708">
        <v>0.1076584</v>
      </c>
      <c r="W4708">
        <v>4.7967890000000001E-3</v>
      </c>
      <c r="X4708">
        <v>0.99417639999999996</v>
      </c>
      <c r="Y4708">
        <v>0.40229809999999999</v>
      </c>
      <c r="Z4708">
        <v>-9.0463559999999998E-2</v>
      </c>
      <c r="AA4708">
        <v>0.91102830000000001</v>
      </c>
      <c r="AB4708">
        <v>22</v>
      </c>
      <c r="AC4708">
        <v>-49.316199999999903</v>
      </c>
      <c r="AD4708">
        <v>5.5996949999999996</v>
      </c>
      <c r="AE4708">
        <v>-31.498699999999999</v>
      </c>
      <c r="AF4708">
        <v>23.5971763420606</v>
      </c>
      <c r="AG4708">
        <v>5.5996949999999996</v>
      </c>
      <c r="AH4708">
        <v>52.967601431747902</v>
      </c>
      <c r="AI4708">
        <v>84.484077830994806</v>
      </c>
      <c r="AJ4708">
        <v>65.986928637374206</v>
      </c>
      <c r="AK4708">
        <v>58.255901991504999</v>
      </c>
      <c r="AL4708">
        <v>89.725163188618495</v>
      </c>
      <c r="AM4708">
        <v>83.819578681021497</v>
      </c>
      <c r="AN4708">
        <v>1.00000002729611</v>
      </c>
    </row>
    <row r="4709" spans="1:40" x14ac:dyDescent="0.25">
      <c r="A4709" t="str">
        <f>"20190312160736894"</f>
        <v>20190312160736894</v>
      </c>
      <c r="B4709" t="str">
        <f>"1552378056889702"</f>
        <v>1552378056889702</v>
      </c>
      <c r="C4709" t="s">
        <v>40</v>
      </c>
      <c r="D4709">
        <v>5.4390890000000001</v>
      </c>
      <c r="E4709">
        <v>0.6248186</v>
      </c>
      <c r="F4709" t="s">
        <v>63</v>
      </c>
      <c r="G4709">
        <v>-247.97909999999999</v>
      </c>
      <c r="H4709">
        <v>6.7715459999999998</v>
      </c>
      <c r="I4709">
        <v>119.0955</v>
      </c>
      <c r="J4709">
        <v>-198.18520000000001</v>
      </c>
      <c r="K4709">
        <v>1.1043149999999999</v>
      </c>
      <c r="L4709">
        <v>150.4932</v>
      </c>
      <c r="M4709">
        <v>-0.55513710000000005</v>
      </c>
      <c r="N4709">
        <v>0</v>
      </c>
      <c r="O4709">
        <v>-0.83162000000000003</v>
      </c>
      <c r="P4709">
        <v>-0.64198080000000002</v>
      </c>
      <c r="Q4709">
        <v>-8.7675050000000001E-3</v>
      </c>
      <c r="R4709">
        <v>-0.76667069999999904</v>
      </c>
      <c r="S4709">
        <v>-2.6713100000000001</v>
      </c>
      <c r="T4709">
        <v>0.30358220000000002</v>
      </c>
      <c r="U4709">
        <v>-1.6873320000000001</v>
      </c>
      <c r="V4709">
        <v>0.1083665</v>
      </c>
      <c r="W4709">
        <v>4.8597309999999999E-3</v>
      </c>
      <c r="X4709">
        <v>0.99409910000000001</v>
      </c>
      <c r="Y4709">
        <v>0.40261039999999998</v>
      </c>
      <c r="Z4709">
        <v>-9.0805650000000002E-2</v>
      </c>
      <c r="AA4709">
        <v>0.91085629999999995</v>
      </c>
      <c r="AB4709">
        <v>22</v>
      </c>
      <c r="AC4709">
        <v>-49.793899999999901</v>
      </c>
      <c r="AD4709">
        <v>5.6672310000000001</v>
      </c>
      <c r="AE4709">
        <v>-31.3977</v>
      </c>
      <c r="AF4709">
        <v>23.762106727092</v>
      </c>
      <c r="AG4709">
        <v>5.6672310000000001</v>
      </c>
      <c r="AH4709">
        <v>53.265912567355002</v>
      </c>
      <c r="AI4709">
        <v>84.4502692883121</v>
      </c>
      <c r="AJ4709">
        <v>65.958185485910505</v>
      </c>
      <c r="AK4709">
        <v>58.600449357920297</v>
      </c>
      <c r="AL4709">
        <v>89.721556819205503</v>
      </c>
      <c r="AM4709">
        <v>83.778766039382802</v>
      </c>
      <c r="AN4709">
        <v>0.99999996796422497</v>
      </c>
    </row>
    <row r="4710" spans="1:40" x14ac:dyDescent="0.25">
      <c r="A4710" t="str">
        <f>"20190312160736913"</f>
        <v>20190312160736913</v>
      </c>
      <c r="B4710" t="str">
        <f>"1552378056910199"</f>
        <v>1552378056910199</v>
      </c>
      <c r="C4710" t="s">
        <v>40</v>
      </c>
      <c r="D4710">
        <v>5.4215200000000001</v>
      </c>
      <c r="E4710">
        <v>0.62512060000000003</v>
      </c>
      <c r="F4710" t="s">
        <v>63</v>
      </c>
      <c r="G4710">
        <v>-248.6661</v>
      </c>
      <c r="H4710">
        <v>6.8600899999999996</v>
      </c>
      <c r="I4710">
        <v>119.0955</v>
      </c>
      <c r="J4710">
        <v>-198.29640000000001</v>
      </c>
      <c r="K4710">
        <v>1.104231</v>
      </c>
      <c r="L4710">
        <v>150.3434</v>
      </c>
      <c r="M4710">
        <v>-0.56183280000000002</v>
      </c>
      <c r="N4710">
        <v>0</v>
      </c>
      <c r="O4710">
        <v>-0.82711089999999998</v>
      </c>
      <c r="P4710">
        <v>-0.64912639999999999</v>
      </c>
      <c r="Q4710">
        <v>-9.2380510000000006E-3</v>
      </c>
      <c r="R4710">
        <v>-0.76062479999999999</v>
      </c>
      <c r="S4710">
        <v>-2.6837770000000001</v>
      </c>
      <c r="T4710">
        <v>0.30600260000000001</v>
      </c>
      <c r="U4710">
        <v>-1.66923499999999</v>
      </c>
      <c r="V4710">
        <v>0.1096398</v>
      </c>
      <c r="W4710">
        <v>4.3690700000000001E-3</v>
      </c>
      <c r="X4710">
        <v>0.99396180000000001</v>
      </c>
      <c r="Y4710">
        <v>0.40150989999999998</v>
      </c>
      <c r="Z4710">
        <v>-9.1165679999999999E-2</v>
      </c>
      <c r="AA4710">
        <v>0.91130599999999995</v>
      </c>
      <c r="AB4710">
        <v>22</v>
      </c>
      <c r="AC4710">
        <v>-50.369700000000002</v>
      </c>
      <c r="AD4710">
        <v>5.7558589999999903</v>
      </c>
      <c r="AE4710">
        <v>-31.247900000000001</v>
      </c>
      <c r="AF4710">
        <v>23.882826616075</v>
      </c>
      <c r="AG4710">
        <v>5.7558589999999903</v>
      </c>
      <c r="AH4710">
        <v>53.645262811313998</v>
      </c>
      <c r="AI4710">
        <v>84.401764020298998</v>
      </c>
      <c r="AJ4710">
        <v>66.001411227989493</v>
      </c>
      <c r="AK4710">
        <v>59.002826560227803</v>
      </c>
      <c r="AL4710">
        <v>89.749669936485503</v>
      </c>
      <c r="AM4710">
        <v>83.705387745940499</v>
      </c>
      <c r="AN4710">
        <v>1.0000000171879699</v>
      </c>
    </row>
    <row r="4711" spans="1:40" x14ac:dyDescent="0.25">
      <c r="A4711" t="str">
        <f>"20190312160736938"</f>
        <v>20190312160736938</v>
      </c>
      <c r="B4711" t="str">
        <f>"1552378056929718"</f>
        <v>1552378056929718</v>
      </c>
      <c r="C4711" t="s">
        <v>40</v>
      </c>
      <c r="D4711">
        <v>5.9787499999999998</v>
      </c>
      <c r="E4711">
        <v>0.62522609999999901</v>
      </c>
      <c r="F4711" t="s">
        <v>63</v>
      </c>
      <c r="G4711">
        <v>-249.67099999999999</v>
      </c>
      <c r="H4711">
        <v>6.9361280000000001</v>
      </c>
      <c r="I4711">
        <v>119.0955</v>
      </c>
      <c r="J4711">
        <v>-198.44929999999999</v>
      </c>
      <c r="K4711">
        <v>1.104133</v>
      </c>
      <c r="L4711">
        <v>150.142</v>
      </c>
      <c r="M4711">
        <v>-0.57103619999999899</v>
      </c>
      <c r="N4711">
        <v>0</v>
      </c>
      <c r="O4711">
        <v>-0.82078309999999999</v>
      </c>
      <c r="P4711">
        <v>-0.65862390000000004</v>
      </c>
      <c r="Q4711">
        <v>-9.9424700000000001E-3</v>
      </c>
      <c r="R4711">
        <v>-0.75240649999999998</v>
      </c>
      <c r="S4711">
        <v>-2.7009889999999999</v>
      </c>
      <c r="T4711">
        <v>0.30660939999999998</v>
      </c>
      <c r="U4711">
        <v>-1.642838</v>
      </c>
      <c r="V4711">
        <v>0.1110119</v>
      </c>
      <c r="W4711">
        <v>3.6433289999999998E-3</v>
      </c>
      <c r="X4711">
        <v>0.99381240000000004</v>
      </c>
      <c r="Y4711">
        <v>0.40038109999999999</v>
      </c>
      <c r="Z4711">
        <v>-9.0863340000000001E-2</v>
      </c>
      <c r="AA4711">
        <v>0.91183270000000005</v>
      </c>
      <c r="AB4711">
        <v>22</v>
      </c>
      <c r="AC4711">
        <v>-51.221699999999998</v>
      </c>
      <c r="AD4711">
        <v>5.831995</v>
      </c>
      <c r="AE4711">
        <v>-31.046499999999899</v>
      </c>
      <c r="AF4711">
        <v>24.087694208320801</v>
      </c>
      <c r="AG4711">
        <v>5.831995</v>
      </c>
      <c r="AH4711">
        <v>54.224179600947103</v>
      </c>
      <c r="AI4711">
        <v>84.386339667715603</v>
      </c>
      <c r="AJ4711">
        <v>66.048048227176494</v>
      </c>
      <c r="AK4711">
        <v>59.619550747631102</v>
      </c>
      <c r="AL4711">
        <v>89.791252163333894</v>
      </c>
      <c r="AM4711">
        <v>83.626307084395094</v>
      </c>
      <c r="AN4711">
        <v>1.0000000010907799</v>
      </c>
    </row>
    <row r="4712" spans="1:40" x14ac:dyDescent="0.25">
      <c r="A4712" t="str">
        <f>"20190312160736957"</f>
        <v>20190312160736957</v>
      </c>
      <c r="B4712" t="str">
        <f>"1552378056950215"</f>
        <v>1552378056950215</v>
      </c>
      <c r="C4712" t="s">
        <v>40</v>
      </c>
      <c r="D4712">
        <v>5.6007610000000003</v>
      </c>
      <c r="E4712">
        <v>0.62528319999999904</v>
      </c>
      <c r="F4712" t="s">
        <v>44</v>
      </c>
      <c r="G4712">
        <v>-199.12</v>
      </c>
      <c r="H4712">
        <v>1.1792039999999999</v>
      </c>
      <c r="I4712">
        <v>149.7457</v>
      </c>
      <c r="J4712">
        <v>-198.5626</v>
      </c>
      <c r="K4712">
        <v>1.104063</v>
      </c>
      <c r="L4712">
        <v>149.9957</v>
      </c>
      <c r="M4712">
        <v>-0.57784569999999902</v>
      </c>
      <c r="N4712">
        <v>0</v>
      </c>
      <c r="O4712">
        <v>-0.81600299999999903</v>
      </c>
      <c r="P4712">
        <v>-0.66572929999999997</v>
      </c>
      <c r="Q4712">
        <v>-1.0654719999999999E-2</v>
      </c>
      <c r="R4712">
        <v>-0.74611719999999904</v>
      </c>
      <c r="S4712">
        <v>-2.7223510000000002</v>
      </c>
      <c r="T4712">
        <v>0.30472949999999999</v>
      </c>
      <c r="U4712">
        <v>-1.608215</v>
      </c>
      <c r="V4712">
        <v>0.1121631</v>
      </c>
      <c r="W4712">
        <v>2.9137730000000001E-3</v>
      </c>
      <c r="X4712">
        <v>0.9936855</v>
      </c>
      <c r="Y4712">
        <v>0.40455099999999999</v>
      </c>
      <c r="Z4712">
        <v>-9.0107430000000002E-2</v>
      </c>
      <c r="AA4712">
        <v>0.91006549999999997</v>
      </c>
      <c r="AB4712">
        <v>22</v>
      </c>
      <c r="AC4712">
        <v>-0.55740000000000101</v>
      </c>
      <c r="AD4712">
        <v>7.5141000000000097E-2</v>
      </c>
      <c r="AE4712">
        <v>-0.25</v>
      </c>
      <c r="AF4712">
        <v>0.30578852096410503</v>
      </c>
      <c r="AG4712">
        <v>7.5141000000000097E-2</v>
      </c>
      <c r="AH4712">
        <v>0.51831167719627902</v>
      </c>
      <c r="AI4712">
        <v>82.882764552894798</v>
      </c>
      <c r="AJ4712">
        <v>59.4606553778302</v>
      </c>
      <c r="AK4712">
        <v>0.60646499004677501</v>
      </c>
      <c r="AL4712">
        <v>89.833052862062701</v>
      </c>
      <c r="AM4712">
        <v>83.559948421776795</v>
      </c>
      <c r="AN4712">
        <v>0.99999996199247698</v>
      </c>
    </row>
    <row r="4713" spans="1:40" x14ac:dyDescent="0.25">
      <c r="A4713" t="str">
        <f>"20190312160736968"</f>
        <v>20190312160736968</v>
      </c>
      <c r="B4713" t="str">
        <f>"1552378056959975"</f>
        <v>1552378056959975</v>
      </c>
      <c r="C4713" t="s">
        <v>40</v>
      </c>
      <c r="D4713">
        <v>5.8295320000000004</v>
      </c>
      <c r="E4713">
        <v>0.62526289999999995</v>
      </c>
      <c r="F4713" t="s">
        <v>44</v>
      </c>
      <c r="G4713">
        <v>-199.2433</v>
      </c>
      <c r="H4713">
        <v>1.1792940000000001</v>
      </c>
      <c r="I4713">
        <v>149.60249999999999</v>
      </c>
      <c r="J4713">
        <v>-198.636</v>
      </c>
      <c r="K4713">
        <v>1.104025</v>
      </c>
      <c r="L4713">
        <v>149.9025</v>
      </c>
      <c r="M4713">
        <v>-0.58223910000000001</v>
      </c>
      <c r="N4713">
        <v>0</v>
      </c>
      <c r="O4713">
        <v>-0.81287410000000004</v>
      </c>
      <c r="P4713">
        <v>-0.67011209999999999</v>
      </c>
      <c r="Q4713">
        <v>-1.086178E-2</v>
      </c>
      <c r="R4713">
        <v>-0.74218090000000003</v>
      </c>
      <c r="S4713">
        <v>-2.7378999999999998</v>
      </c>
      <c r="T4713">
        <v>0.30261329999999997</v>
      </c>
      <c r="U4713">
        <v>-1.5821989999999999</v>
      </c>
      <c r="V4713">
        <v>0.112654</v>
      </c>
      <c r="W4713">
        <v>2.700151E-3</v>
      </c>
      <c r="X4713">
        <v>0.99363060000000003</v>
      </c>
      <c r="Y4713">
        <v>0.40840199999999999</v>
      </c>
      <c r="Z4713">
        <v>-8.9391760000000001E-2</v>
      </c>
      <c r="AA4713">
        <v>0.90841450000000001</v>
      </c>
      <c r="AB4713">
        <v>22</v>
      </c>
      <c r="AC4713">
        <v>-0.60730000000000905</v>
      </c>
      <c r="AD4713">
        <v>7.5269000000000003E-2</v>
      </c>
      <c r="AE4713">
        <v>-0.30000000000001098</v>
      </c>
      <c r="AF4713">
        <v>0.31513267626581998</v>
      </c>
      <c r="AG4713">
        <v>7.5269000000000003E-2</v>
      </c>
      <c r="AH4713">
        <v>0.59023750189249602</v>
      </c>
      <c r="AI4713">
        <v>83.581573010388695</v>
      </c>
      <c r="AJ4713">
        <v>61.901873281923102</v>
      </c>
      <c r="AK4713">
        <v>0.67331592484639202</v>
      </c>
      <c r="AL4713">
        <v>89.845292554406896</v>
      </c>
      <c r="AM4713">
        <v>83.531646489289301</v>
      </c>
      <c r="AN4713">
        <v>0.99999999189389099</v>
      </c>
    </row>
    <row r="4714" spans="1:40" x14ac:dyDescent="0.25">
      <c r="A4714" t="str">
        <f>"20190312160736982"</f>
        <v>20190312160736982</v>
      </c>
      <c r="B4714" t="str">
        <f>"1552378056969736"</f>
        <v>1552378056969736</v>
      </c>
      <c r="C4714" t="s">
        <v>40</v>
      </c>
      <c r="D4714">
        <v>5.9955270000000001</v>
      </c>
      <c r="E4714">
        <v>0.62522759999999999</v>
      </c>
      <c r="F4714" t="s">
        <v>63</v>
      </c>
      <c r="G4714">
        <v>-252.68119999999999</v>
      </c>
      <c r="H4714">
        <v>7.0377000000000001</v>
      </c>
      <c r="I4714">
        <v>119.0955</v>
      </c>
      <c r="J4714">
        <v>-198.71010000000001</v>
      </c>
      <c r="K4714">
        <v>1.1039890000000001</v>
      </c>
      <c r="L4714">
        <v>149.80950000000001</v>
      </c>
      <c r="M4714">
        <v>-0.58666600000000002</v>
      </c>
      <c r="N4714">
        <v>0</v>
      </c>
      <c r="O4714">
        <v>-0.80968469999999904</v>
      </c>
      <c r="P4714">
        <v>-0.67467299999999997</v>
      </c>
      <c r="Q4714">
        <v>-1.094648E-2</v>
      </c>
      <c r="R4714">
        <v>-0.73803619999999903</v>
      </c>
      <c r="S4714">
        <v>-2.7472989999999999</v>
      </c>
      <c r="T4714">
        <v>0.30162990000000001</v>
      </c>
      <c r="U4714">
        <v>-1.566025</v>
      </c>
      <c r="V4714">
        <v>0.11335489999999999</v>
      </c>
      <c r="W4714">
        <v>2.6062139999999999E-3</v>
      </c>
      <c r="X4714">
        <v>0.99355110000000002</v>
      </c>
      <c r="Y4714">
        <v>0.40883649999999999</v>
      </c>
      <c r="Z4714">
        <v>-8.8902289999999995E-2</v>
      </c>
      <c r="AA4714">
        <v>0.90826709999999999</v>
      </c>
      <c r="AB4714">
        <v>22</v>
      </c>
      <c r="AC4714">
        <v>-53.9710999999999</v>
      </c>
      <c r="AD4714">
        <v>5.9337109999999997</v>
      </c>
      <c r="AE4714">
        <v>-30.713999999999999</v>
      </c>
      <c r="AF4714">
        <v>25.4513346648518</v>
      </c>
      <c r="AG4714">
        <v>5.9337109999999997</v>
      </c>
      <c r="AH4714">
        <v>56.026725313847798</v>
      </c>
      <c r="AI4714">
        <v>84.492249412544496</v>
      </c>
      <c r="AJ4714">
        <v>65.569063633245406</v>
      </c>
      <c r="AK4714">
        <v>61.822110218328604</v>
      </c>
      <c r="AL4714">
        <v>89.850674761827094</v>
      </c>
      <c r="AM4714">
        <v>83.491230233079307</v>
      </c>
      <c r="AN4714">
        <v>0.99999995700831601</v>
      </c>
    </row>
    <row r="4715" spans="1:40" x14ac:dyDescent="0.25">
      <c r="A4715" t="str">
        <f>"20190312160737003"</f>
        <v>20190312160737003</v>
      </c>
      <c r="B4715" t="str">
        <f>"1552378056999991"</f>
        <v>1552378056999991</v>
      </c>
      <c r="C4715" t="s">
        <v>40</v>
      </c>
      <c r="D4715">
        <v>5.7808830000000002</v>
      </c>
      <c r="E4715">
        <v>0.62512290000000004</v>
      </c>
      <c r="F4715" t="s">
        <v>63</v>
      </c>
      <c r="G4715">
        <v>-253.3578</v>
      </c>
      <c r="H4715">
        <v>7.0774809999999997</v>
      </c>
      <c r="I4715">
        <v>119.0955</v>
      </c>
      <c r="J4715">
        <v>-198.8476</v>
      </c>
      <c r="K4715">
        <v>1.1039300000000001</v>
      </c>
      <c r="L4715">
        <v>149.63990000000001</v>
      </c>
      <c r="M4715">
        <v>-0.59483819999999998</v>
      </c>
      <c r="N4715">
        <v>0</v>
      </c>
      <c r="O4715">
        <v>-0.80369969999999902</v>
      </c>
      <c r="P4715">
        <v>-0.68275949999999996</v>
      </c>
      <c r="Q4715">
        <v>-1.1143739999999999E-2</v>
      </c>
      <c r="R4715">
        <v>-0.73055859999999995</v>
      </c>
      <c r="S4715">
        <v>-2.7566679999999999</v>
      </c>
      <c r="T4715">
        <v>0.30132959999999998</v>
      </c>
      <c r="U4715">
        <v>-1.549347</v>
      </c>
      <c r="V4715">
        <v>0.114230399999999</v>
      </c>
      <c r="W4715">
        <v>2.3983139999999999E-3</v>
      </c>
      <c r="X4715">
        <v>0.99345139999999998</v>
      </c>
      <c r="Y4715">
        <v>0.40512819999999999</v>
      </c>
      <c r="Z4715">
        <v>-8.8295589999999993E-2</v>
      </c>
      <c r="AA4715">
        <v>0.90998630000000003</v>
      </c>
      <c r="AB4715">
        <v>21</v>
      </c>
      <c r="AC4715">
        <v>-54.510199999999998</v>
      </c>
      <c r="AD4715">
        <v>5.9735509999999996</v>
      </c>
      <c r="AE4715">
        <v>-30.5444</v>
      </c>
      <c r="AF4715">
        <v>25.411612073938301</v>
      </c>
      <c r="AG4715">
        <v>5.9735509999999996</v>
      </c>
      <c r="AH4715">
        <v>56.46390185477</v>
      </c>
      <c r="AI4715">
        <v>84.489492503337402</v>
      </c>
      <c r="AJ4715">
        <v>65.769844482340105</v>
      </c>
      <c r="AK4715">
        <v>62.206153653887199</v>
      </c>
      <c r="AL4715">
        <v>89.862586599519602</v>
      </c>
      <c r="AM4715">
        <v>83.440743418613096</v>
      </c>
      <c r="AN4715">
        <v>1.0000000101780799</v>
      </c>
    </row>
    <row r="4716" spans="1:40" x14ac:dyDescent="0.25">
      <c r="A4716" t="str">
        <f>"20190312160737017"</f>
        <v>20190312160737017</v>
      </c>
      <c r="B4716" t="str">
        <f>"1552378057009751"</f>
        <v>1552378057009751</v>
      </c>
      <c r="C4716" t="s">
        <v>40</v>
      </c>
      <c r="D4716">
        <v>5.9361930000000003</v>
      </c>
      <c r="E4716">
        <v>0.62506969999999995</v>
      </c>
      <c r="F4716" t="s">
        <v>63</v>
      </c>
      <c r="G4716">
        <v>-254.59700000000001</v>
      </c>
      <c r="H4716">
        <v>7.1086199999999904</v>
      </c>
      <c r="I4716">
        <v>119.0955</v>
      </c>
      <c r="J4716">
        <v>-198.93430000000001</v>
      </c>
      <c r="K4716">
        <v>1.103893</v>
      </c>
      <c r="L4716">
        <v>149.53479999999999</v>
      </c>
      <c r="M4716">
        <v>-0.5999681</v>
      </c>
      <c r="N4716">
        <v>0</v>
      </c>
      <c r="O4716">
        <v>-0.79987730000000001</v>
      </c>
      <c r="P4716">
        <v>-0.68767559999999905</v>
      </c>
      <c r="Q4716">
        <v>-1.108074E-2</v>
      </c>
      <c r="R4716">
        <v>-0.72593379999999996</v>
      </c>
      <c r="S4716">
        <v>-2.7731020000000002</v>
      </c>
      <c r="T4716">
        <v>0.29868810000000001</v>
      </c>
      <c r="U4716">
        <v>-1.5193479999999999</v>
      </c>
      <c r="V4716">
        <v>0.11458119999999999</v>
      </c>
      <c r="W4716">
        <v>2.4574419999999998E-3</v>
      </c>
      <c r="X4716">
        <v>0.99341080000000004</v>
      </c>
      <c r="Y4716">
        <v>0.40919830000000001</v>
      </c>
      <c r="Z4716">
        <v>-8.7407659999999998E-2</v>
      </c>
      <c r="AA4716">
        <v>0.90824919999999998</v>
      </c>
      <c r="AB4716">
        <v>21</v>
      </c>
      <c r="AC4716">
        <v>-55.662700000000001</v>
      </c>
      <c r="AD4716">
        <v>6.0047269999999902</v>
      </c>
      <c r="AE4716">
        <v>-30.4392999999999</v>
      </c>
      <c r="AF4716">
        <v>26.030608039214801</v>
      </c>
      <c r="AG4716">
        <v>6.0047269999999902</v>
      </c>
      <c r="AH4716">
        <v>57.237563708121399</v>
      </c>
      <c r="AI4716">
        <v>84.544967945646306</v>
      </c>
      <c r="AJ4716">
        <v>65.544818587143595</v>
      </c>
      <c r="AK4716">
        <v>63.1647686647946</v>
      </c>
      <c r="AL4716">
        <v>89.8591987968057</v>
      </c>
      <c r="AM4716">
        <v>83.420509837648794</v>
      </c>
      <c r="AN4716">
        <v>0.99999995398563002</v>
      </c>
    </row>
    <row r="4717" spans="1:40" x14ac:dyDescent="0.25">
      <c r="A4717" t="str">
        <f>"20190312160737035"</f>
        <v>20190312160737035</v>
      </c>
      <c r="B4717" t="str">
        <f>"1552378057030247"</f>
        <v>1552378057030247</v>
      </c>
      <c r="C4717" t="s">
        <v>40</v>
      </c>
      <c r="D4717">
        <v>5.9924679999999997</v>
      </c>
      <c r="E4717">
        <v>0.62490080000000003</v>
      </c>
      <c r="F4717" t="s">
        <v>63</v>
      </c>
      <c r="G4717">
        <v>-255.3792</v>
      </c>
      <c r="H4717">
        <v>7.1340050000000002</v>
      </c>
      <c r="I4717">
        <v>119.0955</v>
      </c>
      <c r="J4717">
        <v>-199.03819999999999</v>
      </c>
      <c r="K4717">
        <v>1.103847</v>
      </c>
      <c r="L4717">
        <v>149.41059999999999</v>
      </c>
      <c r="M4717">
        <v>-0.60610039999999998</v>
      </c>
      <c r="N4717">
        <v>0</v>
      </c>
      <c r="O4717">
        <v>-0.79524019999999995</v>
      </c>
      <c r="P4717">
        <v>-0.69358699999999995</v>
      </c>
      <c r="Q4717">
        <v>-1.1126479999999999E-2</v>
      </c>
      <c r="R4717">
        <v>-0.72028689999999995</v>
      </c>
      <c r="S4717">
        <v>-2.7829899999999999</v>
      </c>
      <c r="T4717">
        <v>0.29731259999999998</v>
      </c>
      <c r="U4717">
        <v>-1.500793</v>
      </c>
      <c r="V4717">
        <v>0.1150641</v>
      </c>
      <c r="W4717">
        <v>2.4059429999999998E-3</v>
      </c>
      <c r="X4717">
        <v>0.99335519999999999</v>
      </c>
      <c r="Y4717">
        <v>0.4082826</v>
      </c>
      <c r="Z4717">
        <v>-8.6672650000000004E-2</v>
      </c>
      <c r="AA4717">
        <v>0.90873159999999997</v>
      </c>
      <c r="AB4717">
        <v>21</v>
      </c>
      <c r="AC4717">
        <v>-56.341000000000001</v>
      </c>
      <c r="AD4717">
        <v>6.0301580000000001</v>
      </c>
      <c r="AE4717">
        <v>-30.315099999999902</v>
      </c>
      <c r="AF4717">
        <v>26.200988821767599</v>
      </c>
      <c r="AG4717">
        <v>6.0301580000000001</v>
      </c>
      <c r="AH4717">
        <v>57.749925311858902</v>
      </c>
      <c r="AI4717">
        <v>84.568110110453901</v>
      </c>
      <c r="AJ4717">
        <v>65.596329594841805</v>
      </c>
      <c r="AK4717">
        <v>63.701715002569898</v>
      </c>
      <c r="AL4717">
        <v>89.862149493494897</v>
      </c>
      <c r="AM4717">
        <v>83.392658835667405</v>
      </c>
      <c r="AN4717">
        <v>1.00000004451878</v>
      </c>
    </row>
    <row r="4718" spans="1:40" x14ac:dyDescent="0.25">
      <c r="A4718" t="str">
        <f>"20190312160737046"</f>
        <v>20190312160737046</v>
      </c>
      <c r="B4718" t="str">
        <f>"1552378057040007"</f>
        <v>1552378057040007</v>
      </c>
      <c r="C4718" t="s">
        <v>40</v>
      </c>
      <c r="D4718">
        <v>6.0522850000000004</v>
      </c>
      <c r="E4718">
        <v>0.62485769999999996</v>
      </c>
      <c r="F4718" t="s">
        <v>44</v>
      </c>
      <c r="G4718">
        <v>-199.75299999999999</v>
      </c>
      <c r="H4718">
        <v>1.1794070000000001</v>
      </c>
      <c r="I4718">
        <v>149.03229999999999</v>
      </c>
      <c r="J4718">
        <v>-199.1163</v>
      </c>
      <c r="K4718">
        <v>1.1038140000000001</v>
      </c>
      <c r="L4718">
        <v>149.31909999999999</v>
      </c>
      <c r="M4718">
        <v>-0.61069259999999903</v>
      </c>
      <c r="N4718">
        <v>0</v>
      </c>
      <c r="O4718">
        <v>-0.79171910000000001</v>
      </c>
      <c r="P4718">
        <v>-0.69786049999999999</v>
      </c>
      <c r="Q4718">
        <v>-1.124547E-2</v>
      </c>
      <c r="R4718">
        <v>-0.71614560000000005</v>
      </c>
      <c r="S4718">
        <v>-2.7942809999999998</v>
      </c>
      <c r="T4718">
        <v>0.29538500000000001</v>
      </c>
      <c r="U4718">
        <v>-1.478836</v>
      </c>
      <c r="V4718">
        <v>0.1152256</v>
      </c>
      <c r="W4718">
        <v>2.2862580000000002E-3</v>
      </c>
      <c r="X4718">
        <v>0.99333669999999996</v>
      </c>
      <c r="Y4718">
        <v>0.41015810000000003</v>
      </c>
      <c r="Z4718">
        <v>-8.5950750000000006E-2</v>
      </c>
      <c r="AA4718">
        <v>0.90795530000000002</v>
      </c>
      <c r="AB4718">
        <v>21</v>
      </c>
      <c r="AC4718">
        <v>-0.63669999999999005</v>
      </c>
      <c r="AD4718">
        <v>7.5592999999999994E-2</v>
      </c>
      <c r="AE4718">
        <v>-0.286799999999999</v>
      </c>
      <c r="AF4718">
        <v>0.32516922402898402</v>
      </c>
      <c r="AG4718">
        <v>7.5592999999999994E-2</v>
      </c>
      <c r="AH4718">
        <v>0.60883108821000598</v>
      </c>
      <c r="AI4718">
        <v>83.749910848044905</v>
      </c>
      <c r="AJ4718">
        <v>61.893871156353903</v>
      </c>
      <c r="AK4718">
        <v>0.69435194237187203</v>
      </c>
      <c r="AL4718">
        <v>89.869006949341795</v>
      </c>
      <c r="AM4718">
        <v>83.383345037593202</v>
      </c>
      <c r="AN4718">
        <v>0.99999998271894597</v>
      </c>
    </row>
    <row r="4719" spans="1:40" x14ac:dyDescent="0.25">
      <c r="A4719" t="str">
        <f>"20190312160737059"</f>
        <v>20190312160737059</v>
      </c>
      <c r="B4719" t="str">
        <f>"1552378057049767"</f>
        <v>1552378057049767</v>
      </c>
      <c r="C4719" t="s">
        <v>40</v>
      </c>
      <c r="D4719">
        <v>6.113054</v>
      </c>
      <c r="E4719">
        <v>0.62480259999999999</v>
      </c>
      <c r="F4719" t="s">
        <v>63</v>
      </c>
      <c r="G4719">
        <v>-256.67700000000002</v>
      </c>
      <c r="H4719">
        <v>7.1439550000000001</v>
      </c>
      <c r="I4719">
        <v>119.2859</v>
      </c>
      <c r="J4719">
        <v>-199.19309999999999</v>
      </c>
      <c r="K4719">
        <v>1.1037809999999999</v>
      </c>
      <c r="L4719">
        <v>149.22980000000001</v>
      </c>
      <c r="M4719">
        <v>-0.61518739999999905</v>
      </c>
      <c r="N4719">
        <v>0</v>
      </c>
      <c r="O4719">
        <v>-0.78823120000000002</v>
      </c>
      <c r="P4719">
        <v>-0.70182239999999996</v>
      </c>
      <c r="Q4719">
        <v>-1.1200109999999999E-2</v>
      </c>
      <c r="R4719">
        <v>-0.71226409999999996</v>
      </c>
      <c r="S4719">
        <v>-2.802826</v>
      </c>
      <c r="T4719">
        <v>0.29411609999999899</v>
      </c>
      <c r="U4719">
        <v>-1.462418</v>
      </c>
      <c r="V4719">
        <v>0.1150843</v>
      </c>
      <c r="W4719">
        <v>2.3358490000000001E-3</v>
      </c>
      <c r="X4719">
        <v>0.99335300000000004</v>
      </c>
      <c r="Y4719">
        <v>0.41033449999999999</v>
      </c>
      <c r="Z4719">
        <v>-8.5358779999999995E-2</v>
      </c>
      <c r="AA4719">
        <v>0.90793140000000006</v>
      </c>
      <c r="AB4719">
        <v>21</v>
      </c>
      <c r="AC4719">
        <v>-57.483899999999998</v>
      </c>
      <c r="AD4719">
        <v>6.0401739999999897</v>
      </c>
      <c r="AE4719">
        <v>-29.943899999999999</v>
      </c>
      <c r="AF4719">
        <v>26.661130175504301</v>
      </c>
      <c r="AG4719">
        <v>6.0401739999999897</v>
      </c>
      <c r="AH4719">
        <v>58.4653083052822</v>
      </c>
      <c r="AI4719">
        <v>84.629991793311603</v>
      </c>
      <c r="AJ4719">
        <v>65.486243798865999</v>
      </c>
      <c r="AK4719">
        <v>64.540621622488004</v>
      </c>
      <c r="AL4719">
        <v>89.866165591351404</v>
      </c>
      <c r="AM4719">
        <v>83.391494641059396</v>
      </c>
      <c r="AN4719">
        <v>1.0000000174530199</v>
      </c>
    </row>
    <row r="4720" spans="1:40" x14ac:dyDescent="0.25">
      <c r="A4720" t="str">
        <f>"20190312160737070"</f>
        <v>20190312160737070</v>
      </c>
      <c r="B4720" t="str">
        <f>"1552378057060503"</f>
        <v>1552378057060503</v>
      </c>
      <c r="C4720" t="s">
        <v>40</v>
      </c>
      <c r="D4720">
        <v>6.0025019999999998</v>
      </c>
      <c r="E4720">
        <v>0.62465789999999999</v>
      </c>
      <c r="F4720" t="s">
        <v>91</v>
      </c>
      <c r="G4720">
        <v>-259.25740000000002</v>
      </c>
      <c r="H4720">
        <v>7.3645699999999996</v>
      </c>
      <c r="I4720">
        <v>118.3047</v>
      </c>
      <c r="J4720">
        <v>-199.27019999999999</v>
      </c>
      <c r="K4720">
        <v>1.1037509999999999</v>
      </c>
      <c r="L4720">
        <v>149.1414</v>
      </c>
      <c r="M4720">
        <v>-0.61968020000000001</v>
      </c>
      <c r="N4720">
        <v>0</v>
      </c>
      <c r="O4720">
        <v>-0.78470390000000001</v>
      </c>
      <c r="P4720">
        <v>-0.70560699999999998</v>
      </c>
      <c r="Q4720">
        <v>-1.113925E-2</v>
      </c>
      <c r="R4720">
        <v>-0.70851589999999998</v>
      </c>
      <c r="S4720">
        <v>-2.8106230000000001</v>
      </c>
      <c r="T4720">
        <v>0.29296470000000002</v>
      </c>
      <c r="U4720">
        <v>-1.447098</v>
      </c>
      <c r="V4720">
        <v>0.1147021</v>
      </c>
      <c r="W4720">
        <v>2.4049900000000001E-3</v>
      </c>
      <c r="X4720">
        <v>0.99339699999999997</v>
      </c>
      <c r="Y4720">
        <v>0.41010950000000002</v>
      </c>
      <c r="Z4720">
        <v>-8.4787029999999999E-2</v>
      </c>
      <c r="AA4720">
        <v>0.90808670000000002</v>
      </c>
      <c r="AB4720">
        <v>21</v>
      </c>
      <c r="AC4720">
        <v>-59.987200000000001</v>
      </c>
      <c r="AD4720">
        <v>6.2608189999999997</v>
      </c>
      <c r="AE4720">
        <v>-30.8367</v>
      </c>
      <c r="AF4720">
        <v>27.727695995327899</v>
      </c>
      <c r="AG4720">
        <v>6.2608189999999997</v>
      </c>
      <c r="AH4720">
        <v>60.853488644191998</v>
      </c>
      <c r="AI4720">
        <v>84.651399872678496</v>
      </c>
      <c r="AJ4720">
        <v>65.503770761237305</v>
      </c>
      <c r="AK4720">
        <v>67.165244434371601</v>
      </c>
      <c r="AL4720">
        <v>89.862204087316201</v>
      </c>
      <c r="AM4720">
        <v>83.413537782714101</v>
      </c>
      <c r="AN4720">
        <v>0.99999997766515403</v>
      </c>
    </row>
    <row r="4721" spans="1:40" x14ac:dyDescent="0.25">
      <c r="A4721" t="str">
        <f>"20190312160737084"</f>
        <v>20190312160737084</v>
      </c>
      <c r="B4721" t="str">
        <f>"1552378057080022"</f>
        <v>1552378057080022</v>
      </c>
      <c r="C4721" t="s">
        <v>40</v>
      </c>
      <c r="D4721">
        <v>6.1021669999999997</v>
      </c>
      <c r="E4721">
        <v>0.62446409999999997</v>
      </c>
      <c r="F4721" t="s">
        <v>91</v>
      </c>
      <c r="G4721">
        <v>-259.25740000000002</v>
      </c>
      <c r="H4721">
        <v>7.3215170000000001</v>
      </c>
      <c r="I4721">
        <v>118.6341</v>
      </c>
      <c r="J4721">
        <v>-199.35730000000001</v>
      </c>
      <c r="K4721">
        <v>1.1037140000000001</v>
      </c>
      <c r="L4721">
        <v>149.0429</v>
      </c>
      <c r="M4721">
        <v>-0.62474229999999997</v>
      </c>
      <c r="N4721">
        <v>0</v>
      </c>
      <c r="O4721">
        <v>-0.78067929999999996</v>
      </c>
      <c r="P4721">
        <v>-0.71005149999999995</v>
      </c>
      <c r="Q4721">
        <v>-1.127733E-2</v>
      </c>
      <c r="R4721">
        <v>-0.70405949999999995</v>
      </c>
      <c r="S4721">
        <v>-2.8175050000000001</v>
      </c>
      <c r="T4721">
        <v>0.29203839999999998</v>
      </c>
      <c r="U4721">
        <v>-1.432877</v>
      </c>
      <c r="V4721">
        <v>0.1145282</v>
      </c>
      <c r="W4721">
        <v>2.2719519999999998E-3</v>
      </c>
      <c r="X4721">
        <v>0.99341740000000001</v>
      </c>
      <c r="Y4721">
        <v>0.40879369999999998</v>
      </c>
      <c r="Z4721">
        <v>-8.4217040000000007E-2</v>
      </c>
      <c r="AA4721">
        <v>0.90873280000000001</v>
      </c>
      <c r="AB4721">
        <v>21</v>
      </c>
      <c r="AC4721">
        <v>-59.900100000000002</v>
      </c>
      <c r="AD4721">
        <v>6.217803</v>
      </c>
      <c r="AE4721">
        <v>-30.408799999999999</v>
      </c>
      <c r="AF4721">
        <v>27.5325187835573</v>
      </c>
      <c r="AG4721">
        <v>6.217803</v>
      </c>
      <c r="AH4721">
        <v>60.649301504834398</v>
      </c>
      <c r="AI4721">
        <v>84.666791934565097</v>
      </c>
      <c r="AJ4721">
        <v>65.583724783794494</v>
      </c>
      <c r="AK4721">
        <v>66.895728097824403</v>
      </c>
      <c r="AL4721">
        <v>89.869826627220107</v>
      </c>
      <c r="AM4721">
        <v>83.423569851099998</v>
      </c>
      <c r="AN4721">
        <v>1.00000000049194</v>
      </c>
    </row>
    <row r="4722" spans="1:40" x14ac:dyDescent="0.25">
      <c r="A4722" t="str">
        <f>"20190312160737102"</f>
        <v>20190312160737102</v>
      </c>
      <c r="B4722" t="str">
        <f>"1552378057089783"</f>
        <v>1552378057089783</v>
      </c>
      <c r="C4722" t="s">
        <v>40</v>
      </c>
      <c r="D4722">
        <v>4.5562480000000001</v>
      </c>
      <c r="E4722">
        <v>0.62436950000000002</v>
      </c>
      <c r="F4722" t="s">
        <v>91</v>
      </c>
      <c r="G4722">
        <v>-259.29309999999998</v>
      </c>
      <c r="H4722">
        <v>7.241778</v>
      </c>
      <c r="I4722">
        <v>118.9922</v>
      </c>
      <c r="J4722">
        <v>-199.47319999999999</v>
      </c>
      <c r="K4722">
        <v>1.1036619999999999</v>
      </c>
      <c r="L4722">
        <v>148.91380000000001</v>
      </c>
      <c r="M4722">
        <v>-0.63144109999999998</v>
      </c>
      <c r="N4722">
        <v>0</v>
      </c>
      <c r="O4722">
        <v>-0.77527080000000004</v>
      </c>
      <c r="P4722">
        <v>-0.71555069999999998</v>
      </c>
      <c r="Q4722">
        <v>-1.163931E-2</v>
      </c>
      <c r="R4722">
        <v>-0.69846409999999903</v>
      </c>
      <c r="S4722">
        <v>-2.8251339999999998</v>
      </c>
      <c r="T4722">
        <v>0.28932390000000002</v>
      </c>
      <c r="U4722">
        <v>-1.4164730000000001</v>
      </c>
      <c r="V4722">
        <v>0.11376310000000001</v>
      </c>
      <c r="W4722">
        <v>1.924816E-3</v>
      </c>
      <c r="X4722">
        <v>0.993506</v>
      </c>
      <c r="Y4722">
        <v>0.4062346</v>
      </c>
      <c r="Z4722">
        <v>-8.3008209999999999E-2</v>
      </c>
      <c r="AA4722">
        <v>0.90999070000000004</v>
      </c>
      <c r="AB4722">
        <v>21</v>
      </c>
      <c r="AC4722">
        <v>-59.819899999999897</v>
      </c>
      <c r="AD4722">
        <v>6.1381160000000001</v>
      </c>
      <c r="AE4722">
        <v>-29.921600000000002</v>
      </c>
      <c r="AF4722">
        <v>27.2566077695088</v>
      </c>
      <c r="AG4722">
        <v>6.1381160000000001</v>
      </c>
      <c r="AH4722">
        <v>60.468076740124303</v>
      </c>
      <c r="AI4722">
        <v>84.712745946131804</v>
      </c>
      <c r="AJ4722">
        <v>65.736039317060104</v>
      </c>
      <c r="AK4722">
        <v>66.610715652812701</v>
      </c>
      <c r="AL4722">
        <v>89.889716094343598</v>
      </c>
      <c r="AM4722">
        <v>83.467699883965295</v>
      </c>
      <c r="AN4722">
        <v>0.99999995993712099</v>
      </c>
    </row>
    <row r="4723" spans="1:40" x14ac:dyDescent="0.25">
      <c r="A4723" t="str">
        <f>"20190312160737127"</f>
        <v>20190312160737127</v>
      </c>
      <c r="B4723" t="str">
        <f>"1552378057120039"</f>
        <v>1552378057120039</v>
      </c>
      <c r="C4723" t="s">
        <v>40</v>
      </c>
      <c r="D4723">
        <v>6.052136</v>
      </c>
      <c r="E4723">
        <v>0.62404749999999998</v>
      </c>
      <c r="F4723" t="s">
        <v>91</v>
      </c>
      <c r="G4723">
        <v>-260.30579999999998</v>
      </c>
      <c r="H4723">
        <v>7.2607789999999897</v>
      </c>
      <c r="I4723">
        <v>118.9922</v>
      </c>
      <c r="J4723">
        <v>-199.63630000000001</v>
      </c>
      <c r="K4723">
        <v>1.1035889999999999</v>
      </c>
      <c r="L4723">
        <v>148.7363</v>
      </c>
      <c r="M4723">
        <v>-0.64079739999999996</v>
      </c>
      <c r="N4723">
        <v>0</v>
      </c>
      <c r="O4723">
        <v>-0.76755490000000004</v>
      </c>
      <c r="P4723">
        <v>-0.72336099999999903</v>
      </c>
      <c r="Q4723">
        <v>-1.1961060000000001E-2</v>
      </c>
      <c r="R4723">
        <v>-0.69036649999999999</v>
      </c>
      <c r="S4723">
        <v>-2.8357239999999999</v>
      </c>
      <c r="T4723">
        <v>0.28701539999999998</v>
      </c>
      <c r="U4723">
        <v>-1.394806</v>
      </c>
      <c r="V4723">
        <v>0.1128865</v>
      </c>
      <c r="W4723">
        <v>1.62154799999999E-3</v>
      </c>
      <c r="X4723">
        <v>0.99360660000000001</v>
      </c>
      <c r="Y4723">
        <v>0.40219739999999998</v>
      </c>
      <c r="Z4723">
        <v>-8.1702910000000004E-2</v>
      </c>
      <c r="AA4723">
        <v>0.91190020000000005</v>
      </c>
      <c r="AB4723">
        <v>21</v>
      </c>
      <c r="AC4723">
        <v>-60.6694999999999</v>
      </c>
      <c r="AD4723">
        <v>6.1571899999999999</v>
      </c>
      <c r="AE4723">
        <v>-29.7441</v>
      </c>
      <c r="AF4723">
        <v>27.2839459281088</v>
      </c>
      <c r="AG4723">
        <v>6.1571899999999999</v>
      </c>
      <c r="AH4723">
        <v>61.206193306033803</v>
      </c>
      <c r="AI4723">
        <v>84.750296998564593</v>
      </c>
      <c r="AJ4723">
        <v>65.974073380078806</v>
      </c>
      <c r="AK4723">
        <v>67.294299856077302</v>
      </c>
      <c r="AL4723">
        <v>89.907092105712493</v>
      </c>
      <c r="AM4723">
        <v>83.518255092466006</v>
      </c>
      <c r="AN4723">
        <v>1.0000000334318599</v>
      </c>
    </row>
    <row r="4724" spans="1:40" x14ac:dyDescent="0.25">
      <c r="A4724" t="str">
        <f>"20190312160737148"</f>
        <v>20190312160737148</v>
      </c>
      <c r="B4724" t="str">
        <f>"1552378057140535"</f>
        <v>1552378057140535</v>
      </c>
      <c r="C4724" t="s">
        <v>40</v>
      </c>
      <c r="D4724">
        <v>6.1091240000000004</v>
      </c>
      <c r="E4724">
        <v>0.62374890000000005</v>
      </c>
      <c r="F4724" t="s">
        <v>91</v>
      </c>
      <c r="G4724">
        <v>-264.798</v>
      </c>
      <c r="H4724">
        <v>7.5354289999999997</v>
      </c>
      <c r="I4724">
        <v>117.5313</v>
      </c>
      <c r="J4724">
        <v>-199.77019999999999</v>
      </c>
      <c r="K4724">
        <v>1.103534</v>
      </c>
      <c r="L4724">
        <v>148.59389999999999</v>
      </c>
      <c r="M4724">
        <v>-0.64841590000000005</v>
      </c>
      <c r="N4724">
        <v>0</v>
      </c>
      <c r="O4724">
        <v>-0.76112969999999902</v>
      </c>
      <c r="P4724">
        <v>-0.72945760000000004</v>
      </c>
      <c r="Q4724">
        <v>-1.2167010000000001E-2</v>
      </c>
      <c r="R4724">
        <v>-0.68391800000000003</v>
      </c>
      <c r="S4724">
        <v>-2.8495789999999999</v>
      </c>
      <c r="T4724">
        <v>0.28127000000000002</v>
      </c>
      <c r="U4724">
        <v>-1.3646240000000001</v>
      </c>
      <c r="V4724">
        <v>0.11179790000000001</v>
      </c>
      <c r="W4724">
        <v>1.4379659999999999E-3</v>
      </c>
      <c r="X4724">
        <v>0.99372990000000005</v>
      </c>
      <c r="Y4724">
        <v>0.40282879999999999</v>
      </c>
      <c r="Z4724">
        <v>-7.9688780000000001E-2</v>
      </c>
      <c r="AA4724">
        <v>0.91179969999999999</v>
      </c>
      <c r="AB4724">
        <v>21</v>
      </c>
      <c r="AC4724">
        <v>-65.027799999999999</v>
      </c>
      <c r="AD4724">
        <v>6.4318949999999999</v>
      </c>
      <c r="AE4724">
        <v>-31.0625999999999</v>
      </c>
      <c r="AF4724">
        <v>29.124611079675901</v>
      </c>
      <c r="AG4724">
        <v>6.4318949999999999</v>
      </c>
      <c r="AH4724">
        <v>65.295455967505703</v>
      </c>
      <c r="AI4724">
        <v>84.859448344771195</v>
      </c>
      <c r="AJ4724">
        <v>65.961051675751094</v>
      </c>
      <c r="AK4724">
        <v>71.785157336582301</v>
      </c>
      <c r="AL4724">
        <v>89.917610586760105</v>
      </c>
      <c r="AM4724">
        <v>83.581026161627406</v>
      </c>
      <c r="AN4724">
        <v>0.99999997617231795</v>
      </c>
    </row>
    <row r="4725" spans="1:40" x14ac:dyDescent="0.25">
      <c r="A4725" t="str">
        <f>"20190312160737172"</f>
        <v>20190312160737172</v>
      </c>
      <c r="B4725" t="str">
        <f>"1552378057160057"</f>
        <v>1552378057160057</v>
      </c>
      <c r="C4725" t="s">
        <v>40</v>
      </c>
      <c r="D4725">
        <v>6.0543659999999999</v>
      </c>
      <c r="E4725">
        <v>0.62334999999999996</v>
      </c>
      <c r="F4725" t="s">
        <v>91</v>
      </c>
      <c r="G4725">
        <v>-266.02300000000002</v>
      </c>
      <c r="H4725">
        <v>7.4875169999999898</v>
      </c>
      <c r="I4725">
        <v>117.5312</v>
      </c>
      <c r="J4725">
        <v>-199.93180000000001</v>
      </c>
      <c r="K4725">
        <v>1.1034790000000001</v>
      </c>
      <c r="L4725">
        <v>148.42580000000001</v>
      </c>
      <c r="M4725">
        <v>-0.65752969999999999</v>
      </c>
      <c r="N4725">
        <v>0</v>
      </c>
      <c r="O4725">
        <v>-0.75326990000000005</v>
      </c>
      <c r="P4725">
        <v>-0.73715850000000005</v>
      </c>
      <c r="Q4725">
        <v>-1.2527170000000001E-2</v>
      </c>
      <c r="R4725">
        <v>-0.67560410000000004</v>
      </c>
      <c r="S4725">
        <v>-2.8600310000000002</v>
      </c>
      <c r="T4725">
        <v>0.27558650000000001</v>
      </c>
      <c r="U4725">
        <v>-1.340927</v>
      </c>
      <c r="V4725">
        <v>0.111094</v>
      </c>
      <c r="W4725">
        <v>1.096074E-3</v>
      </c>
      <c r="X4725">
        <v>0.99380930000000001</v>
      </c>
      <c r="Y4725">
        <v>0.39946739999999997</v>
      </c>
      <c r="Z4725">
        <v>-7.7479329999999999E-2</v>
      </c>
      <c r="AA4725">
        <v>0.91346749999999999</v>
      </c>
      <c r="AB4725">
        <v>21</v>
      </c>
      <c r="AC4725">
        <v>-66.091199999999901</v>
      </c>
      <c r="AD4725">
        <v>6.3840379999999897</v>
      </c>
      <c r="AE4725">
        <v>-30.894600000000001</v>
      </c>
      <c r="AF4725">
        <v>29.249944696729202</v>
      </c>
      <c r="AG4725">
        <v>6.3840379999999897</v>
      </c>
      <c r="AH4725">
        <v>66.229741415256001</v>
      </c>
      <c r="AI4725">
        <v>84.960930009229699</v>
      </c>
      <c r="AJ4725">
        <v>66.171654059646002</v>
      </c>
      <c r="AK4725">
        <v>72.682142606549704</v>
      </c>
      <c r="AL4725">
        <v>89.937199573285</v>
      </c>
      <c r="AM4725">
        <v>83.621612455702802</v>
      </c>
      <c r="AN4725">
        <v>1.0000000014903501</v>
      </c>
    </row>
    <row r="4726" spans="1:40" x14ac:dyDescent="0.25">
      <c r="A4726" t="str">
        <f>"20190312160737191"</f>
        <v>20190312160737191</v>
      </c>
      <c r="B4726" t="str">
        <f>"1552378057180552"</f>
        <v>1552378057180552</v>
      </c>
      <c r="C4726" t="s">
        <v>40</v>
      </c>
      <c r="D4726">
        <v>6.0567060000000001</v>
      </c>
      <c r="E4726">
        <v>0.62310589999999999</v>
      </c>
      <c r="F4726" t="s">
        <v>91</v>
      </c>
      <c r="G4726">
        <v>-267.642</v>
      </c>
      <c r="H4726">
        <v>7.4673819999999997</v>
      </c>
      <c r="I4726">
        <v>117.5312</v>
      </c>
      <c r="J4726">
        <v>-200.05770000000001</v>
      </c>
      <c r="K4726">
        <v>1.1034379999999999</v>
      </c>
      <c r="L4726">
        <v>148.29810000000001</v>
      </c>
      <c r="M4726">
        <v>-0.66455750000000002</v>
      </c>
      <c r="N4726">
        <v>0</v>
      </c>
      <c r="O4726">
        <v>-0.74707659999999998</v>
      </c>
      <c r="P4726">
        <v>-0.74317349999999904</v>
      </c>
      <c r="Q4726">
        <v>-1.328612E-2</v>
      </c>
      <c r="R4726">
        <v>-0.66896679999999997</v>
      </c>
      <c r="S4726">
        <v>-2.8728940000000001</v>
      </c>
      <c r="T4726">
        <v>0.27001609999999998</v>
      </c>
      <c r="U4726">
        <v>-1.310837</v>
      </c>
      <c r="V4726">
        <v>0.1106732</v>
      </c>
      <c r="W4726">
        <v>3.4982360000000002E-4</v>
      </c>
      <c r="X4726">
        <v>0.99385679999999998</v>
      </c>
      <c r="Y4726">
        <v>0.40050039999999998</v>
      </c>
      <c r="Z4726">
        <v>-7.5575749999999997E-2</v>
      </c>
      <c r="AA4726">
        <v>0.91317459999999995</v>
      </c>
      <c r="AB4726">
        <v>21</v>
      </c>
      <c r="AC4726">
        <v>-67.584299999999899</v>
      </c>
      <c r="AD4726">
        <v>6.363944</v>
      </c>
      <c r="AE4726">
        <v>-30.7669</v>
      </c>
      <c r="AF4726">
        <v>29.828799067366401</v>
      </c>
      <c r="AG4726">
        <v>6.363944</v>
      </c>
      <c r="AH4726">
        <v>67.4119175260021</v>
      </c>
      <c r="AI4726">
        <v>85.0658906441884</v>
      </c>
      <c r="AJ4726">
        <v>66.131302533881893</v>
      </c>
      <c r="AK4726">
        <v>73.990699831593503</v>
      </c>
      <c r="AL4726">
        <v>89.979956583922302</v>
      </c>
      <c r="AM4726">
        <v>83.645875625895798</v>
      </c>
      <c r="AN4726">
        <v>1.0000000092405099</v>
      </c>
    </row>
    <row r="4727" spans="1:40" x14ac:dyDescent="0.25">
      <c r="A4727" t="str">
        <f>"20190312160737203"</f>
        <v>20190312160737203</v>
      </c>
      <c r="B4727" t="str">
        <f>"1552378057200071"</f>
        <v>1552378057200071</v>
      </c>
      <c r="C4727" t="s">
        <v>40</v>
      </c>
      <c r="D4727">
        <v>4.7806139999999999</v>
      </c>
      <c r="E4727">
        <v>0.61116340000000002</v>
      </c>
      <c r="F4727" t="s">
        <v>91</v>
      </c>
      <c r="G4727">
        <v>-268.99720000000002</v>
      </c>
      <c r="H4727">
        <v>7.4488779999999997</v>
      </c>
      <c r="I4727">
        <v>117.5312</v>
      </c>
      <c r="J4727">
        <v>-200.1403</v>
      </c>
      <c r="K4727">
        <v>1.103415</v>
      </c>
      <c r="L4727">
        <v>148.2158</v>
      </c>
      <c r="M4727">
        <v>-0.66913769999999995</v>
      </c>
      <c r="N4727">
        <v>0</v>
      </c>
      <c r="O4727">
        <v>-0.742977</v>
      </c>
      <c r="P4727">
        <v>-0.74731510000000001</v>
      </c>
      <c r="Q4727">
        <v>-1.3764500000000001E-2</v>
      </c>
      <c r="R4727">
        <v>-0.66432769999999997</v>
      </c>
      <c r="S4727">
        <v>-2.8832089999999999</v>
      </c>
      <c r="T4727">
        <v>0.26538089999999998</v>
      </c>
      <c r="U4727">
        <v>-1.286743</v>
      </c>
      <c r="V4727">
        <v>0.1107364</v>
      </c>
      <c r="W4727">
        <v>-1.2586039999999999E-4</v>
      </c>
      <c r="X4727">
        <v>0.99384980000000001</v>
      </c>
      <c r="Y4727">
        <v>0.40256960000000003</v>
      </c>
      <c r="Z4727">
        <v>-7.4100390000000002E-2</v>
      </c>
      <c r="AA4727">
        <v>0.91238529999999995</v>
      </c>
      <c r="AB4727">
        <v>21</v>
      </c>
      <c r="AC4727">
        <v>-68.856899999999996</v>
      </c>
      <c r="AD4727">
        <v>6.3454629999999996</v>
      </c>
      <c r="AE4727">
        <v>-30.6846</v>
      </c>
      <c r="AF4727">
        <v>30.415042888908399</v>
      </c>
      <c r="AG4727">
        <v>6.3454629999999996</v>
      </c>
      <c r="AH4727">
        <v>68.396349177547904</v>
      </c>
      <c r="AI4727">
        <v>85.154558946035095</v>
      </c>
      <c r="AJ4727">
        <v>66.025854168703802</v>
      </c>
      <c r="AK4727">
        <v>75.122568615799906</v>
      </c>
      <c r="AL4727">
        <v>90.007211269779006</v>
      </c>
      <c r="AM4727">
        <v>83.6422323897431</v>
      </c>
      <c r="AN4727">
        <v>0.99999999554291996</v>
      </c>
    </row>
    <row r="4728" spans="1:40" x14ac:dyDescent="0.25">
      <c r="A4728" t="str">
        <f>"20190312160737218"</f>
        <v>20190312160737218</v>
      </c>
      <c r="B4728" t="str">
        <f>"1552378057209831"</f>
        <v>1552378057209831</v>
      </c>
      <c r="C4728" t="s">
        <v>40</v>
      </c>
      <c r="D4728">
        <v>4.4128780000000001</v>
      </c>
      <c r="E4728">
        <v>0.61168669999999903</v>
      </c>
      <c r="F4728" t="s">
        <v>91</v>
      </c>
      <c r="G4728">
        <v>-263.37619999999998</v>
      </c>
      <c r="H4728">
        <v>3.3125279999999999</v>
      </c>
      <c r="I4728">
        <v>118.3887</v>
      </c>
      <c r="J4728">
        <v>-200.2431</v>
      </c>
      <c r="K4728">
        <v>1.1033869999999999</v>
      </c>
      <c r="L4728">
        <v>148.11449999999999</v>
      </c>
      <c r="M4728">
        <v>-0.67479990000000001</v>
      </c>
      <c r="N4728">
        <v>0</v>
      </c>
      <c r="O4728">
        <v>-0.7378382</v>
      </c>
      <c r="P4728">
        <v>-0.75269759999999997</v>
      </c>
      <c r="Q4728">
        <v>-1.4221019999999999E-2</v>
      </c>
      <c r="R4728">
        <v>-0.65821300000000005</v>
      </c>
      <c r="S4728">
        <v>-2.8297119999999998</v>
      </c>
      <c r="T4728">
        <v>9.8854419999999998E-2</v>
      </c>
      <c r="U4728">
        <v>-1.3347169999999999</v>
      </c>
      <c r="V4728">
        <v>0.1112252</v>
      </c>
      <c r="W4728">
        <v>-5.864307E-4</v>
      </c>
      <c r="X4728">
        <v>0.99379499999999998</v>
      </c>
      <c r="Y4728">
        <v>0.37905440000000001</v>
      </c>
      <c r="Z4728">
        <v>-2.750414E-2</v>
      </c>
      <c r="AA4728">
        <v>0.92496560000000005</v>
      </c>
      <c r="AB4728">
        <v>21</v>
      </c>
      <c r="AC4728">
        <v>-63.133099999999899</v>
      </c>
      <c r="AD4728">
        <v>2.2091409999999998</v>
      </c>
      <c r="AE4728">
        <v>-29.7257999999999</v>
      </c>
      <c r="AF4728">
        <v>26.499668871250499</v>
      </c>
      <c r="AG4728">
        <v>2.2091409999999998</v>
      </c>
      <c r="AH4728">
        <v>64.478159846001603</v>
      </c>
      <c r="AI4728">
        <v>88.184912519291203</v>
      </c>
      <c r="AJ4728">
        <v>67.657987493380901</v>
      </c>
      <c r="AK4728">
        <v>69.746296327262698</v>
      </c>
      <c r="AL4728">
        <v>90.033600007843205</v>
      </c>
      <c r="AM4728">
        <v>83.614050757326694</v>
      </c>
      <c r="AN4728">
        <v>0.99999994552050098</v>
      </c>
    </row>
    <row r="4729" spans="1:40" x14ac:dyDescent="0.25">
      <c r="A4729" t="str">
        <f>"20190312160737239"</f>
        <v>20190312160737239</v>
      </c>
      <c r="B4729" t="str">
        <f>"1552378057230327"</f>
        <v>1552378057230327</v>
      </c>
      <c r="C4729" t="s">
        <v>40</v>
      </c>
      <c r="D4729">
        <v>6.229317</v>
      </c>
      <c r="E4729">
        <v>0.6112438</v>
      </c>
      <c r="F4729" t="s">
        <v>91</v>
      </c>
      <c r="G4729">
        <v>-264.81810000000002</v>
      </c>
      <c r="H4729">
        <v>3.5059149999999999</v>
      </c>
      <c r="I4729">
        <v>118.3888</v>
      </c>
      <c r="J4729">
        <v>-200.386</v>
      </c>
      <c r="K4729">
        <v>1.103356</v>
      </c>
      <c r="L4729">
        <v>147.97659999999999</v>
      </c>
      <c r="M4729">
        <v>-0.68259639999999999</v>
      </c>
      <c r="N4729">
        <v>0</v>
      </c>
      <c r="O4729">
        <v>-0.73063080000000002</v>
      </c>
      <c r="P4729">
        <v>-0.76022869999999998</v>
      </c>
      <c r="Q4729">
        <v>-1.421734E-2</v>
      </c>
      <c r="R4729">
        <v>-0.64950010000000002</v>
      </c>
      <c r="S4729">
        <v>-2.8431700000000002</v>
      </c>
      <c r="T4729">
        <v>0.10578070000000001</v>
      </c>
      <c r="U4729">
        <v>-1.308792</v>
      </c>
      <c r="V4729">
        <v>0.1121185</v>
      </c>
      <c r="W4729">
        <v>-5.9178629999999996E-4</v>
      </c>
      <c r="X4729">
        <v>0.99369470000000004</v>
      </c>
      <c r="Y4729">
        <v>0.3777934</v>
      </c>
      <c r="Z4729">
        <v>-2.9210179999999999E-2</v>
      </c>
      <c r="AA4729">
        <v>0.92542899999999995</v>
      </c>
      <c r="AB4729">
        <v>21</v>
      </c>
      <c r="AC4729">
        <v>-64.432100000000005</v>
      </c>
      <c r="AD4729">
        <v>2.4025590000000001</v>
      </c>
      <c r="AE4729">
        <v>-29.587799999999898</v>
      </c>
      <c r="AF4729">
        <v>26.851954374076701</v>
      </c>
      <c r="AG4729">
        <v>2.4025590000000001</v>
      </c>
      <c r="AH4729">
        <v>65.531528596022795</v>
      </c>
      <c r="AI4729">
        <v>88.056981206383995</v>
      </c>
      <c r="AJ4729">
        <v>67.718327181107398</v>
      </c>
      <c r="AK4729">
        <v>70.860292008905304</v>
      </c>
      <c r="AL4729">
        <v>90.033906858239703</v>
      </c>
      <c r="AM4729">
        <v>83.562546812566893</v>
      </c>
      <c r="AN4729">
        <v>1.0000000325306799</v>
      </c>
    </row>
    <row r="4730" spans="1:40" x14ac:dyDescent="0.25">
      <c r="A4730" t="str">
        <f>"20190312160737250"</f>
        <v>20190312160737250</v>
      </c>
      <c r="B4730" t="str">
        <f>"1552378057240088"</f>
        <v>1552378057240088</v>
      </c>
      <c r="C4730" t="s">
        <v>40</v>
      </c>
      <c r="D4730">
        <v>6.1430569999999998</v>
      </c>
      <c r="E4730">
        <v>0.61098859999999999</v>
      </c>
      <c r="F4730" t="s">
        <v>91</v>
      </c>
      <c r="G4730">
        <v>-266.47680000000003</v>
      </c>
      <c r="H4730">
        <v>3.5182639999999998</v>
      </c>
      <c r="I4730">
        <v>118.3888</v>
      </c>
      <c r="J4730">
        <v>-200.47</v>
      </c>
      <c r="K4730">
        <v>1.1033440000000001</v>
      </c>
      <c r="L4730">
        <v>147.89689999999999</v>
      </c>
      <c r="M4730">
        <v>-0.687133199999999</v>
      </c>
      <c r="N4730">
        <v>0</v>
      </c>
      <c r="O4730">
        <v>-0.7263655</v>
      </c>
      <c r="P4730">
        <v>-0.76466829999999997</v>
      </c>
      <c r="Q4730">
        <v>-1.427636E-2</v>
      </c>
      <c r="R4730">
        <v>-0.64426609999999995</v>
      </c>
      <c r="S4730">
        <v>-2.8558500000000002</v>
      </c>
      <c r="T4730">
        <v>0.1043506</v>
      </c>
      <c r="U4730">
        <v>-1.278519</v>
      </c>
      <c r="V4730">
        <v>0.11274969999999999</v>
      </c>
      <c r="W4730">
        <v>-6.5782579999999996E-4</v>
      </c>
      <c r="X4730">
        <v>0.99362320000000004</v>
      </c>
      <c r="Y4730">
        <v>0.38174029999999998</v>
      </c>
      <c r="Z4730">
        <v>-2.876279E-2</v>
      </c>
      <c r="AA4730">
        <v>0.92382200000000003</v>
      </c>
      <c r="AB4730">
        <v>21</v>
      </c>
      <c r="AC4730">
        <v>-66.006799999999998</v>
      </c>
      <c r="AD4730">
        <v>2.4149199999999902</v>
      </c>
      <c r="AE4730">
        <v>-29.508099999999899</v>
      </c>
      <c r="AF4730">
        <v>27.641567172981699</v>
      </c>
      <c r="AG4730">
        <v>2.4149199999999902</v>
      </c>
      <c r="AH4730">
        <v>66.722748650882195</v>
      </c>
      <c r="AI4730">
        <v>88.084881799382302</v>
      </c>
      <c r="AJ4730">
        <v>67.496995109092495</v>
      </c>
      <c r="AK4730">
        <v>72.262114983673598</v>
      </c>
      <c r="AL4730">
        <v>90.037690644879703</v>
      </c>
      <c r="AM4730">
        <v>83.526150422590206</v>
      </c>
      <c r="AN4730">
        <v>0.99999999558155594</v>
      </c>
    </row>
    <row r="4731" spans="1:40" x14ac:dyDescent="0.25">
      <c r="A4731" t="str">
        <f>"20190312160737270"</f>
        <v>20190312160737270</v>
      </c>
      <c r="B4731" t="str">
        <f>"1552378057260591"</f>
        <v>1552378057260591</v>
      </c>
      <c r="C4731" t="s">
        <v>40</v>
      </c>
      <c r="D4731">
        <v>6.1847940000000001</v>
      </c>
      <c r="E4731">
        <v>0.61058140000000005</v>
      </c>
      <c r="F4731" t="s">
        <v>91</v>
      </c>
      <c r="G4731">
        <v>-267.50569999999999</v>
      </c>
      <c r="H4731">
        <v>3.483892</v>
      </c>
      <c r="I4731">
        <v>118.3888</v>
      </c>
      <c r="J4731">
        <v>-200.60169999999999</v>
      </c>
      <c r="K4731">
        <v>1.103324</v>
      </c>
      <c r="L4731">
        <v>147.774</v>
      </c>
      <c r="M4731">
        <v>-0.69418389999999996</v>
      </c>
      <c r="N4731">
        <v>0</v>
      </c>
      <c r="O4731">
        <v>-0.71962979999999999</v>
      </c>
      <c r="P4731">
        <v>-0.7710844</v>
      </c>
      <c r="Q4731">
        <v>-1.371079E-2</v>
      </c>
      <c r="R4731">
        <v>-0.63658539999999997</v>
      </c>
      <c r="S4731">
        <v>-2.863251</v>
      </c>
      <c r="T4731">
        <v>0.1016787</v>
      </c>
      <c r="U4731">
        <v>-1.2603610000000001</v>
      </c>
      <c r="V4731">
        <v>0.1130149</v>
      </c>
      <c r="W4731" s="1">
        <v>-9.0011800000000004E-5</v>
      </c>
      <c r="X4731">
        <v>0.99359330000000001</v>
      </c>
      <c r="Y4731">
        <v>0.37854159999999998</v>
      </c>
      <c r="Z4731">
        <v>-2.78184E-2</v>
      </c>
      <c r="AA4731">
        <v>0.92516609999999999</v>
      </c>
      <c r="AB4731">
        <v>21</v>
      </c>
      <c r="AC4731">
        <v>-66.903999999999996</v>
      </c>
      <c r="AD4731">
        <v>2.3805679999999998</v>
      </c>
      <c r="AE4731">
        <v>-29.385200000000001</v>
      </c>
      <c r="AF4731">
        <v>27.7213113769422</v>
      </c>
      <c r="AG4731">
        <v>2.3805679999999998</v>
      </c>
      <c r="AH4731">
        <v>67.526645859575197</v>
      </c>
      <c r="AI4731">
        <v>88.132097443625298</v>
      </c>
      <c r="AJ4731">
        <v>67.680671258867505</v>
      </c>
      <c r="AK4731">
        <v>73.034143450200702</v>
      </c>
      <c r="AL4731">
        <v>90.005157296197794</v>
      </c>
      <c r="AM4731">
        <v>83.510859316418404</v>
      </c>
      <c r="AN4731">
        <v>1.00000001076451</v>
      </c>
    </row>
    <row r="4732" spans="1:40" x14ac:dyDescent="0.25">
      <c r="A4732" t="str">
        <f>"20190312160737291"</f>
        <v>20190312160737291</v>
      </c>
      <c r="B4732" t="str">
        <f>"1552378057280104"</f>
        <v>1552378057280104</v>
      </c>
      <c r="C4732" t="s">
        <v>40</v>
      </c>
      <c r="D4732">
        <v>5.8062620000000003</v>
      </c>
      <c r="E4732">
        <v>0.61160369999999997</v>
      </c>
      <c r="F4732" t="s">
        <v>91</v>
      </c>
      <c r="G4732">
        <v>-269.03059999999999</v>
      </c>
      <c r="H4732">
        <v>3.4220820000000001</v>
      </c>
      <c r="I4732">
        <v>118.3887</v>
      </c>
      <c r="J4732">
        <v>-200.75360000000001</v>
      </c>
      <c r="K4732">
        <v>1.103305</v>
      </c>
      <c r="L4732">
        <v>147.6354</v>
      </c>
      <c r="M4732">
        <v>-0.70221040000000001</v>
      </c>
      <c r="N4732">
        <v>0</v>
      </c>
      <c r="O4732">
        <v>-0.71179979999999998</v>
      </c>
      <c r="P4732">
        <v>-0.77799180000000001</v>
      </c>
      <c r="Q4732">
        <v>-1.3567279999999999E-2</v>
      </c>
      <c r="R4732">
        <v>-0.62812829999999997</v>
      </c>
      <c r="S4732">
        <v>-2.8736109999999999</v>
      </c>
      <c r="T4732">
        <v>9.7374199999999994E-2</v>
      </c>
      <c r="U4732">
        <v>-1.2340089999999999</v>
      </c>
      <c r="V4732">
        <v>0.1127256</v>
      </c>
      <c r="W4732" s="1">
        <v>6.5708819999999896E-5</v>
      </c>
      <c r="X4732">
        <v>0.99362620000000001</v>
      </c>
      <c r="Y4732">
        <v>0.37657469999999998</v>
      </c>
      <c r="Z4732">
        <v>-2.6431400000000001E-2</v>
      </c>
      <c r="AA4732">
        <v>0.92600910000000003</v>
      </c>
      <c r="AB4732">
        <v>21</v>
      </c>
      <c r="AC4732">
        <v>-68.276999999999902</v>
      </c>
      <c r="AD4732">
        <v>2.3187769999999999</v>
      </c>
      <c r="AE4732">
        <v>-29.246700000000001</v>
      </c>
      <c r="AF4732">
        <v>28.038283745896699</v>
      </c>
      <c r="AG4732">
        <v>2.3187769999999999</v>
      </c>
      <c r="AH4732">
        <v>68.703966990598005</v>
      </c>
      <c r="AI4732">
        <v>88.210188833843006</v>
      </c>
      <c r="AJ4732">
        <v>67.799489450477495</v>
      </c>
      <c r="AK4732">
        <v>74.241209327679499</v>
      </c>
      <c r="AL4732">
        <v>89.996235162104895</v>
      </c>
      <c r="AM4732">
        <v>83.527541826103899</v>
      </c>
      <c r="AN4732">
        <v>1.00000004526972</v>
      </c>
    </row>
    <row r="4733" spans="1:40" x14ac:dyDescent="0.25">
      <c r="A4733" t="str">
        <f>"20190312160737305"</f>
        <v>20190312160737305</v>
      </c>
      <c r="B4733" t="str">
        <f>"1552378057299624"</f>
        <v>1552378057299624</v>
      </c>
      <c r="C4733" t="s">
        <v>40</v>
      </c>
      <c r="D4733">
        <v>5.9421189999999999</v>
      </c>
      <c r="E4733">
        <v>0.61340740000000005</v>
      </c>
      <c r="F4733" t="s">
        <v>91</v>
      </c>
      <c r="G4733">
        <v>-273.35419999999999</v>
      </c>
      <c r="H4733">
        <v>5.2558299999999996</v>
      </c>
      <c r="I4733">
        <v>117.5305</v>
      </c>
      <c r="J4733">
        <v>-200.84530000000001</v>
      </c>
      <c r="K4733">
        <v>1.103294</v>
      </c>
      <c r="L4733">
        <v>147.55350000000001</v>
      </c>
      <c r="M4733">
        <v>-0.70700450000000004</v>
      </c>
      <c r="N4733">
        <v>0</v>
      </c>
      <c r="O4733">
        <v>-0.70703819999999995</v>
      </c>
      <c r="P4733">
        <v>-0.78194109999999994</v>
      </c>
      <c r="Q4733">
        <v>-1.3620520000000001E-2</v>
      </c>
      <c r="R4733">
        <v>-0.62320410000000004</v>
      </c>
      <c r="S4733">
        <v>-2.8910680000000002</v>
      </c>
      <c r="T4733">
        <v>0.1653597</v>
      </c>
      <c r="U4733">
        <v>-1.1988219999999901</v>
      </c>
      <c r="V4733">
        <v>0.1122829</v>
      </c>
      <c r="W4733" s="1">
        <v>2.4034409999999999E-5</v>
      </c>
      <c r="X4733">
        <v>0.99367629999999996</v>
      </c>
      <c r="Y4733">
        <v>0.38109369999999998</v>
      </c>
      <c r="Z4733">
        <v>-4.4716899999999997E-2</v>
      </c>
      <c r="AA4733">
        <v>0.92345429999999995</v>
      </c>
      <c r="AB4733">
        <v>21</v>
      </c>
      <c r="AC4733">
        <v>-72.508899999999898</v>
      </c>
      <c r="AD4733">
        <v>4.1525359999999996</v>
      </c>
      <c r="AE4733">
        <v>-30.023</v>
      </c>
      <c r="AF4733">
        <v>29.959915021880501</v>
      </c>
      <c r="AG4733">
        <v>4.1525359999999996</v>
      </c>
      <c r="AH4733">
        <v>72.297868466164005</v>
      </c>
      <c r="AI4733">
        <v>86.962677838905705</v>
      </c>
      <c r="AJ4733">
        <v>67.491100429333599</v>
      </c>
      <c r="AK4733">
        <v>78.369776368829505</v>
      </c>
      <c r="AL4733">
        <v>89.998622929770903</v>
      </c>
      <c r="AM4733">
        <v>83.553068577441906</v>
      </c>
      <c r="AN4733">
        <v>1.00000001969587</v>
      </c>
    </row>
    <row r="4734" spans="1:40" x14ac:dyDescent="0.25">
      <c r="A4734" t="str">
        <f>"20190312160737329"</f>
        <v>20190312160737329</v>
      </c>
      <c r="B4734" t="str">
        <f>"1552378057320119"</f>
        <v>1552378057320119</v>
      </c>
      <c r="C4734" t="s">
        <v>40</v>
      </c>
      <c r="D4734">
        <v>5.9808370000000002</v>
      </c>
      <c r="E4734">
        <v>0.61346699999999998</v>
      </c>
      <c r="F4734" t="s">
        <v>91</v>
      </c>
      <c r="G4734">
        <v>-273.30720000000002</v>
      </c>
      <c r="H4734">
        <v>5.760345</v>
      </c>
      <c r="I4734">
        <v>118.3895</v>
      </c>
      <c r="J4734">
        <v>-201.024</v>
      </c>
      <c r="K4734">
        <v>1.103275</v>
      </c>
      <c r="L4734">
        <v>147.39670000000001</v>
      </c>
      <c r="M4734">
        <v>-0.71623990000000004</v>
      </c>
      <c r="N4734">
        <v>0</v>
      </c>
      <c r="O4734">
        <v>-0.69768030000000003</v>
      </c>
      <c r="P4734">
        <v>-0.78957769999999905</v>
      </c>
      <c r="Q4734">
        <v>-1.463917E-2</v>
      </c>
      <c r="R4734">
        <v>-0.61347620000000003</v>
      </c>
      <c r="S4734">
        <v>-2.9072879999999999</v>
      </c>
      <c r="T4734">
        <v>0.18684829999999999</v>
      </c>
      <c r="U4734">
        <v>-1.170105</v>
      </c>
      <c r="V4734">
        <v>0.111489</v>
      </c>
      <c r="W4734">
        <v>-9.7424689999999999E-4</v>
      </c>
      <c r="X4734">
        <v>0.99376520000000002</v>
      </c>
      <c r="Y4734">
        <v>0.37825799999999998</v>
      </c>
      <c r="Z4734">
        <v>-4.9932410000000003E-2</v>
      </c>
      <c r="AA4734">
        <v>0.92435259999999997</v>
      </c>
      <c r="AB4734">
        <v>21</v>
      </c>
      <c r="AC4734">
        <v>-72.283199999999994</v>
      </c>
      <c r="AD4734">
        <v>4.65707</v>
      </c>
      <c r="AE4734">
        <v>-29.007200000000001</v>
      </c>
      <c r="AF4734">
        <v>29.552392040434501</v>
      </c>
      <c r="AG4734">
        <v>4.65707</v>
      </c>
      <c r="AH4734">
        <v>71.762035188487005</v>
      </c>
      <c r="AI4734">
        <v>86.565973132948997</v>
      </c>
      <c r="AJ4734">
        <v>67.617599398546403</v>
      </c>
      <c r="AK4734">
        <v>77.748452529231002</v>
      </c>
      <c r="AL4734">
        <v>90.055820243873498</v>
      </c>
      <c r="AM4734">
        <v>83.598839998763296</v>
      </c>
      <c r="AN4734">
        <v>1.0000000095045301</v>
      </c>
    </row>
    <row r="4735" spans="1:40" x14ac:dyDescent="0.25">
      <c r="A4735" t="str">
        <f>"20190312160737350"</f>
        <v>20190312160737350</v>
      </c>
      <c r="B4735" t="str">
        <f>"1552378057339639"</f>
        <v>1552378057339639</v>
      </c>
      <c r="C4735" t="s">
        <v>40</v>
      </c>
      <c r="D4735">
        <v>5.8512849999999998</v>
      </c>
      <c r="E4735">
        <v>0.61593310000000001</v>
      </c>
      <c r="F4735" t="s">
        <v>91</v>
      </c>
      <c r="G4735">
        <v>-276.05770000000001</v>
      </c>
      <c r="H4735">
        <v>5.5285900000000003</v>
      </c>
      <c r="I4735">
        <v>118.2989</v>
      </c>
      <c r="J4735">
        <v>-201.16759999999999</v>
      </c>
      <c r="K4735">
        <v>1.103256</v>
      </c>
      <c r="L4735">
        <v>147.2739</v>
      </c>
      <c r="M4735">
        <v>-0.72355590000000003</v>
      </c>
      <c r="N4735">
        <v>0</v>
      </c>
      <c r="O4735">
        <v>-0.69008979999999998</v>
      </c>
      <c r="P4735">
        <v>-0.79530749999999995</v>
      </c>
      <c r="Q4735">
        <v>-1.5064610000000001E-2</v>
      </c>
      <c r="R4735">
        <v>-0.60601910000000003</v>
      </c>
      <c r="S4735">
        <v>-2.9222109999999999</v>
      </c>
      <c r="T4735">
        <v>0.17234530000000001</v>
      </c>
      <c r="U4735">
        <v>-1.133224</v>
      </c>
      <c r="V4735">
        <v>0.1103505</v>
      </c>
      <c r="W4735">
        <v>-1.374194E-3</v>
      </c>
      <c r="X4735">
        <v>0.99389179999999999</v>
      </c>
      <c r="Y4735">
        <v>0.38048120000000002</v>
      </c>
      <c r="Z4735">
        <v>-4.5771920000000001E-2</v>
      </c>
      <c r="AA4735">
        <v>0.92365520000000001</v>
      </c>
      <c r="AB4735">
        <v>21</v>
      </c>
      <c r="AC4735">
        <v>-74.890100000000004</v>
      </c>
      <c r="AD4735">
        <v>4.4253339999999897</v>
      </c>
      <c r="AE4735">
        <v>-28.974999999999898</v>
      </c>
      <c r="AF4735">
        <v>30.6265769055811</v>
      </c>
      <c r="AG4735">
        <v>4.4253339999999897</v>
      </c>
      <c r="AH4735">
        <v>73.966891520577903</v>
      </c>
      <c r="AI4735">
        <v>86.836055893527799</v>
      </c>
      <c r="AJ4735">
        <v>67.507612339145595</v>
      </c>
      <c r="AK4735">
        <v>80.178998716509099</v>
      </c>
      <c r="AL4735">
        <v>90.078735539978197</v>
      </c>
      <c r="AM4735">
        <v>83.664473347497093</v>
      </c>
      <c r="AN4735">
        <v>1.00000001568331</v>
      </c>
    </row>
    <row r="4736" spans="1:40" x14ac:dyDescent="0.25">
      <c r="A4736" t="str">
        <f>"20190312160737370"</f>
        <v>20190312160737370</v>
      </c>
      <c r="B4736" t="str">
        <f>"1552378057360135"</f>
        <v>1552378057360135</v>
      </c>
      <c r="C4736" t="s">
        <v>40</v>
      </c>
      <c r="D4736">
        <v>5.5984080000000001</v>
      </c>
      <c r="E4736">
        <v>0.61857119999999999</v>
      </c>
      <c r="F4736" t="s">
        <v>91</v>
      </c>
      <c r="G4736">
        <v>-277.50040000000001</v>
      </c>
      <c r="H4736">
        <v>6.1132390000000001</v>
      </c>
      <c r="I4736">
        <v>118.9918</v>
      </c>
      <c r="J4736">
        <v>-201.3203</v>
      </c>
      <c r="K4736">
        <v>1.103237</v>
      </c>
      <c r="L4736">
        <v>147.1463</v>
      </c>
      <c r="M4736">
        <v>-0.73122359999999997</v>
      </c>
      <c r="N4736">
        <v>0</v>
      </c>
      <c r="O4736">
        <v>-0.68195950000000005</v>
      </c>
      <c r="P4736">
        <v>-0.80121430000000005</v>
      </c>
      <c r="Q4736">
        <v>-1.4913650000000001E-2</v>
      </c>
      <c r="R4736">
        <v>-0.59819199999999995</v>
      </c>
      <c r="S4736">
        <v>-2.9444729999999999</v>
      </c>
      <c r="T4736">
        <v>0.19325590000000001</v>
      </c>
      <c r="U4736">
        <v>-1.0909580000000001</v>
      </c>
      <c r="V4736">
        <v>0.10899200000000001</v>
      </c>
      <c r="W4736">
        <v>-1.193585E-3</v>
      </c>
      <c r="X4736">
        <v>0.99404190000000003</v>
      </c>
      <c r="Y4736">
        <v>0.38376779999999999</v>
      </c>
      <c r="Z4736">
        <v>-5.089457E-2</v>
      </c>
      <c r="AA4736">
        <v>0.92202600000000001</v>
      </c>
      <c r="AB4736">
        <v>21</v>
      </c>
      <c r="AC4736">
        <v>-76.180099999999996</v>
      </c>
      <c r="AD4736">
        <v>5.0100020000000001</v>
      </c>
      <c r="AE4736">
        <v>-28.154499999999999</v>
      </c>
      <c r="AF4736">
        <v>31.249410459557598</v>
      </c>
      <c r="AG4736">
        <v>5.0100020000000001</v>
      </c>
      <c r="AH4736">
        <v>74.630038899331495</v>
      </c>
      <c r="AI4736">
        <v>86.456660289754794</v>
      </c>
      <c r="AJ4736">
        <v>67.279754896681595</v>
      </c>
      <c r="AK4736">
        <v>81.063360898902104</v>
      </c>
      <c r="AL4736">
        <v>90.068387399923395</v>
      </c>
      <c r="AM4736">
        <v>83.742783402798807</v>
      </c>
      <c r="AN4736">
        <v>0.99999998983238103</v>
      </c>
    </row>
    <row r="4737" spans="1:40" x14ac:dyDescent="0.25">
      <c r="A4737" t="str">
        <f>"20190312160737393"</f>
        <v>20190312160737393</v>
      </c>
      <c r="B4737" t="str">
        <f>"1552378057390392"</f>
        <v>1552378057390392</v>
      </c>
      <c r="C4737" t="s">
        <v>40</v>
      </c>
      <c r="D4737">
        <v>5.9309539999999998</v>
      </c>
      <c r="E4737">
        <v>0.6211776</v>
      </c>
      <c r="F4737" t="s">
        <v>51</v>
      </c>
      <c r="G4737">
        <v>-321.45479999999998</v>
      </c>
      <c r="H4737">
        <v>9.8362759999999998</v>
      </c>
      <c r="I4737">
        <v>104.7915</v>
      </c>
      <c r="J4737">
        <v>-201.47620000000001</v>
      </c>
      <c r="K4737">
        <v>1.103216</v>
      </c>
      <c r="L4737">
        <v>147.01900000000001</v>
      </c>
      <c r="M4737">
        <v>-0.73894169999999904</v>
      </c>
      <c r="N4737">
        <v>0</v>
      </c>
      <c r="O4737">
        <v>-0.67358879999999999</v>
      </c>
      <c r="P4737">
        <v>-0.80743290000000001</v>
      </c>
      <c r="Q4737">
        <v>-1.484922E-2</v>
      </c>
      <c r="R4737">
        <v>-0.58977270000000004</v>
      </c>
      <c r="S4737">
        <v>-2.9672700000000001</v>
      </c>
      <c r="T4737">
        <v>0.21570239999999999</v>
      </c>
      <c r="U4737">
        <v>-1.046143</v>
      </c>
      <c r="V4737">
        <v>0.1080797</v>
      </c>
      <c r="W4737">
        <v>-1.10793E-3</v>
      </c>
      <c r="X4737">
        <v>0.99414159999999996</v>
      </c>
      <c r="Y4737">
        <v>0.387486</v>
      </c>
      <c r="Z4737">
        <v>-5.63168E-2</v>
      </c>
      <c r="AA4737">
        <v>0.92015389999999997</v>
      </c>
      <c r="AB4737">
        <v>21</v>
      </c>
      <c r="AC4737">
        <v>-119.97859999999901</v>
      </c>
      <c r="AD4737">
        <v>8.73306</v>
      </c>
      <c r="AE4737">
        <v>-42.227499999999999</v>
      </c>
      <c r="AF4737">
        <v>49.385802646977702</v>
      </c>
      <c r="AG4737">
        <v>8.73306</v>
      </c>
      <c r="AH4737">
        <v>116.56589509779199</v>
      </c>
      <c r="AI4737">
        <v>86.053779359082796</v>
      </c>
      <c r="AJ4737">
        <v>67.038946368714093</v>
      </c>
      <c r="AK4737">
        <v>126.896933532687</v>
      </c>
      <c r="AL4737">
        <v>90.063479726937899</v>
      </c>
      <c r="AM4737">
        <v>83.795365590123396</v>
      </c>
      <c r="AN4737">
        <v>0.99999998495576703</v>
      </c>
    </row>
    <row r="4738" spans="1:40" x14ac:dyDescent="0.25">
      <c r="A4738" t="str">
        <f>"20190312160737414"</f>
        <v>20190312160737414</v>
      </c>
      <c r="B4738" t="str">
        <f>"1552378057409911"</f>
        <v>1552378057409911</v>
      </c>
      <c r="C4738" t="s">
        <v>40</v>
      </c>
      <c r="D4738">
        <v>5.9879800000000003</v>
      </c>
      <c r="E4738">
        <v>0.62211819999999995</v>
      </c>
      <c r="F4738" t="s">
        <v>51</v>
      </c>
      <c r="G4738">
        <v>-320.47219999999999</v>
      </c>
      <c r="H4738">
        <v>10.5153</v>
      </c>
      <c r="I4738">
        <v>107.26260000000001</v>
      </c>
      <c r="J4738">
        <v>-201.64160000000001</v>
      </c>
      <c r="K4738">
        <v>1.1031959999999901</v>
      </c>
      <c r="L4738">
        <v>146.88740000000001</v>
      </c>
      <c r="M4738">
        <v>-0.74700180000000005</v>
      </c>
      <c r="N4738">
        <v>0</v>
      </c>
      <c r="O4738">
        <v>-0.66463850000000002</v>
      </c>
      <c r="P4738">
        <v>-0.81417799999999996</v>
      </c>
      <c r="Q4738">
        <v>-1.45375E-2</v>
      </c>
      <c r="R4738">
        <v>-0.58043339999999999</v>
      </c>
      <c r="S4738">
        <v>-2.9901580000000001</v>
      </c>
      <c r="T4738">
        <v>0.2365091</v>
      </c>
      <c r="U4738">
        <v>-0.99900820000000001</v>
      </c>
      <c r="V4738">
        <v>0.1075642</v>
      </c>
      <c r="W4738">
        <v>-7.8177339999999996E-4</v>
      </c>
      <c r="X4738">
        <v>0.99419780000000002</v>
      </c>
      <c r="Y4738">
        <v>0.39117049999999998</v>
      </c>
      <c r="Z4738">
        <v>-6.1176130000000002E-2</v>
      </c>
      <c r="AA4738">
        <v>0.91828270000000001</v>
      </c>
      <c r="AB4738">
        <v>21</v>
      </c>
      <c r="AC4738">
        <v>-118.830599999999</v>
      </c>
      <c r="AD4738">
        <v>9.4121039999999994</v>
      </c>
      <c r="AE4738">
        <v>-39.6248</v>
      </c>
      <c r="AF4738">
        <v>49.108362435480302</v>
      </c>
      <c r="AG4738">
        <v>9.4121039999999994</v>
      </c>
      <c r="AH4738">
        <v>114.47060252643401</v>
      </c>
      <c r="AI4738">
        <v>85.6787755445458</v>
      </c>
      <c r="AJ4738">
        <v>66.780467329449905</v>
      </c>
      <c r="AK4738">
        <v>124.914922269383</v>
      </c>
      <c r="AL4738">
        <v>90.044792322400397</v>
      </c>
      <c r="AM4738">
        <v>83.825076580085707</v>
      </c>
      <c r="AN4738">
        <v>0.99999996690806303</v>
      </c>
    </row>
    <row r="4739" spans="1:40" x14ac:dyDescent="0.25">
      <c r="A4739" t="str">
        <f>"20190312160737437"</f>
        <v>20190312160737437</v>
      </c>
      <c r="B4739" t="str">
        <f>"1552378057430407"</f>
        <v>1552378057430407</v>
      </c>
      <c r="C4739" t="s">
        <v>40</v>
      </c>
      <c r="D4739">
        <v>5.9356289999999996</v>
      </c>
      <c r="E4739">
        <v>0.62261829999999996</v>
      </c>
      <c r="F4739" t="s">
        <v>51</v>
      </c>
      <c r="G4739">
        <v>-322.35399999999998</v>
      </c>
      <c r="H4739">
        <v>10.989979999999999</v>
      </c>
      <c r="I4739">
        <v>108.3807</v>
      </c>
      <c r="J4739">
        <v>-201.81030000000001</v>
      </c>
      <c r="K4739">
        <v>1.1031879999999901</v>
      </c>
      <c r="L4739">
        <v>146.7567</v>
      </c>
      <c r="M4739">
        <v>-0.75509539999999997</v>
      </c>
      <c r="N4739">
        <v>0</v>
      </c>
      <c r="O4739">
        <v>-0.65542889999999998</v>
      </c>
      <c r="P4739">
        <v>-0.82053029999999905</v>
      </c>
      <c r="Q4739">
        <v>-1.454397E-2</v>
      </c>
      <c r="R4739">
        <v>-0.57141830000000005</v>
      </c>
      <c r="S4739">
        <v>-3.0055999999999998</v>
      </c>
      <c r="T4739">
        <v>0.24616969999999999</v>
      </c>
      <c r="U4739">
        <v>-0.95877080000000003</v>
      </c>
      <c r="V4739">
        <v>0.1063388</v>
      </c>
      <c r="W4739">
        <v>-7.6035709999999995E-4</v>
      </c>
      <c r="X4739">
        <v>0.99432969999999998</v>
      </c>
      <c r="Y4739">
        <v>0.392237</v>
      </c>
      <c r="Z4739">
        <v>-6.3069589999999995E-2</v>
      </c>
      <c r="AA4739">
        <v>0.9176995</v>
      </c>
      <c r="AB4739">
        <v>20</v>
      </c>
      <c r="AC4739">
        <v>-120.5437</v>
      </c>
      <c r="AD4739">
        <v>9.8867919999999998</v>
      </c>
      <c r="AE4739">
        <v>-38.375999999999898</v>
      </c>
      <c r="AF4739">
        <v>49.732621192350102</v>
      </c>
      <c r="AG4739">
        <v>9.8867919999999998</v>
      </c>
      <c r="AH4739">
        <v>115.483534409198</v>
      </c>
      <c r="AI4739">
        <v>85.5040398875297</v>
      </c>
      <c r="AJ4739">
        <v>66.701023769650703</v>
      </c>
      <c r="AK4739">
        <v>126.125052968685</v>
      </c>
      <c r="AL4739">
        <v>90.0435652554077</v>
      </c>
      <c r="AM4739">
        <v>83.895692410465699</v>
      </c>
      <c r="AN4739">
        <v>1.0000000354152201</v>
      </c>
    </row>
    <row r="4740" spans="1:40" x14ac:dyDescent="0.25">
      <c r="A4740" t="str">
        <f>"20190312160737460"</f>
        <v>20190312160737460</v>
      </c>
      <c r="B4740" t="str">
        <f>"1552378057449927"</f>
        <v>1552378057449927</v>
      </c>
      <c r="C4740" t="s">
        <v>40</v>
      </c>
      <c r="D4740">
        <v>5.5808450000000001</v>
      </c>
      <c r="E4740">
        <v>0.62183369999999905</v>
      </c>
      <c r="F4740" t="s">
        <v>51</v>
      </c>
      <c r="G4740">
        <v>-323.57470000000001</v>
      </c>
      <c r="H4740">
        <v>11.26163</v>
      </c>
      <c r="I4740">
        <v>109.5333</v>
      </c>
      <c r="J4740">
        <v>-201.98159999999999</v>
      </c>
      <c r="K4740">
        <v>1.1031839999999999</v>
      </c>
      <c r="L4740">
        <v>146.6276</v>
      </c>
      <c r="M4740">
        <v>-0.76316209999999995</v>
      </c>
      <c r="N4740">
        <v>0</v>
      </c>
      <c r="O4740">
        <v>-0.64601790000000003</v>
      </c>
      <c r="P4740">
        <v>-0.82692189999999999</v>
      </c>
      <c r="Q4740">
        <v>-1.454853E-2</v>
      </c>
      <c r="R4740">
        <v>-0.56212859999999998</v>
      </c>
      <c r="S4740">
        <v>-3.0181119999999999</v>
      </c>
      <c r="T4740">
        <v>0.25179230000000002</v>
      </c>
      <c r="U4740">
        <v>-0.92263790000000001</v>
      </c>
      <c r="V4740">
        <v>0.10522620000000001</v>
      </c>
      <c r="W4740">
        <v>-7.3772379999999997E-4</v>
      </c>
      <c r="X4740">
        <v>0.99444809999999995</v>
      </c>
      <c r="Y4740">
        <v>0.3918585</v>
      </c>
      <c r="Z4740">
        <v>-6.3850829999999997E-2</v>
      </c>
      <c r="AA4740">
        <v>0.91780720000000005</v>
      </c>
      <c r="AB4740">
        <v>20</v>
      </c>
      <c r="AC4740">
        <v>-121.59310000000001</v>
      </c>
      <c r="AD4740">
        <v>10.158446</v>
      </c>
      <c r="AE4740">
        <v>-37.094299999999997</v>
      </c>
      <c r="AF4740">
        <v>49.929675808362902</v>
      </c>
      <c r="AG4740">
        <v>10.158446</v>
      </c>
      <c r="AH4740">
        <v>116.03218777433401</v>
      </c>
      <c r="AI4740">
        <v>85.402219043269199</v>
      </c>
      <c r="AJ4740">
        <v>66.717363052734996</v>
      </c>
      <c r="AK4740">
        <v>126.726615796215</v>
      </c>
      <c r="AL4740">
        <v>90.042268461463195</v>
      </c>
      <c r="AM4740">
        <v>83.959799655038907</v>
      </c>
      <c r="AN4740">
        <v>1.00000006049822</v>
      </c>
    </row>
    <row r="4741" spans="1:40" x14ac:dyDescent="0.25">
      <c r="A4741" t="str">
        <f>"20190312160737472"</f>
        <v>20190312160737472</v>
      </c>
      <c r="B4741" t="str">
        <f>"1552378057470423"</f>
        <v>1552378057470423</v>
      </c>
      <c r="C4741" t="s">
        <v>40</v>
      </c>
      <c r="D4741">
        <v>6.0287670000000002</v>
      </c>
      <c r="E4741">
        <v>0.62115109999999996</v>
      </c>
      <c r="F4741" t="s">
        <v>51</v>
      </c>
      <c r="G4741">
        <v>-324.5222</v>
      </c>
      <c r="H4741">
        <v>10.99611</v>
      </c>
      <c r="I4741">
        <v>110.4278</v>
      </c>
      <c r="J4741">
        <v>-202.07390000000001</v>
      </c>
      <c r="K4741">
        <v>1.1031869999999999</v>
      </c>
      <c r="L4741">
        <v>146.5591</v>
      </c>
      <c r="M4741">
        <v>-0.76745200000000002</v>
      </c>
      <c r="N4741">
        <v>0</v>
      </c>
      <c r="O4741">
        <v>-0.64091589999999998</v>
      </c>
      <c r="P4741">
        <v>-0.8302718</v>
      </c>
      <c r="Q4741">
        <v>-1.490121E-2</v>
      </c>
      <c r="R4741">
        <v>-0.55715939999999997</v>
      </c>
      <c r="S4741">
        <v>-3.0247959999999998</v>
      </c>
      <c r="T4741">
        <v>0.24419740000000001</v>
      </c>
      <c r="U4741">
        <v>-0.89355469999999904</v>
      </c>
      <c r="V4741">
        <v>0.1045505</v>
      </c>
      <c r="W4741">
        <v>-1.0742849999999999E-3</v>
      </c>
      <c r="X4741">
        <v>0.99451900000000004</v>
      </c>
      <c r="Y4741">
        <v>0.3945649</v>
      </c>
      <c r="Z4741">
        <v>-6.1735690000000003E-2</v>
      </c>
      <c r="AA4741">
        <v>0.91679180000000005</v>
      </c>
      <c r="AB4741">
        <v>20</v>
      </c>
      <c r="AC4741">
        <v>-122.4483</v>
      </c>
      <c r="AD4741">
        <v>9.8929229999999997</v>
      </c>
      <c r="AE4741">
        <v>-36.131300000000003</v>
      </c>
      <c r="AF4741">
        <v>50.4532690177547</v>
      </c>
      <c r="AG4741">
        <v>9.8929229999999997</v>
      </c>
      <c r="AH4741">
        <v>116.44541131951</v>
      </c>
      <c r="AI4741">
        <v>85.542528432157596</v>
      </c>
      <c r="AJ4741">
        <v>66.573962279772203</v>
      </c>
      <c r="AK4741">
        <v>127.290754171038</v>
      </c>
      <c r="AL4741">
        <v>90.061552008256697</v>
      </c>
      <c r="AM4741">
        <v>83.998726963752702</v>
      </c>
      <c r="AN4741">
        <v>1.0000000012497501</v>
      </c>
    </row>
    <row r="4742" spans="1:40" x14ac:dyDescent="0.25">
      <c r="A4742" t="str">
        <f>"20190312160737491"</f>
        <v>20190312160737491</v>
      </c>
      <c r="B4742" t="str">
        <f>"1552378057489943"</f>
        <v>1552378057489943</v>
      </c>
      <c r="C4742" t="s">
        <v>40</v>
      </c>
      <c r="D4742">
        <v>6.0009969999999999</v>
      </c>
      <c r="E4742">
        <v>0.62112670000000003</v>
      </c>
      <c r="F4742" t="s">
        <v>51</v>
      </c>
      <c r="G4742">
        <v>-324.96539999999999</v>
      </c>
      <c r="H4742">
        <v>10.59108</v>
      </c>
      <c r="I4742">
        <v>110.8462</v>
      </c>
      <c r="J4742">
        <v>-202.22139999999999</v>
      </c>
      <c r="K4742">
        <v>1.103192</v>
      </c>
      <c r="L4742">
        <v>146.4521</v>
      </c>
      <c r="M4742">
        <v>-0.77420549999999999</v>
      </c>
      <c r="N4742">
        <v>0</v>
      </c>
      <c r="O4742">
        <v>-0.632741</v>
      </c>
      <c r="P4742">
        <v>-0.83583790000000002</v>
      </c>
      <c r="Q4742">
        <v>-1.5070780000000001E-2</v>
      </c>
      <c r="R4742">
        <v>-0.54876950000000002</v>
      </c>
      <c r="S4742">
        <v>-3.0271300000000001</v>
      </c>
      <c r="T4742">
        <v>0.2337111</v>
      </c>
      <c r="U4742">
        <v>-0.87969969999999997</v>
      </c>
      <c r="V4742">
        <v>0.1040152</v>
      </c>
      <c r="W4742">
        <v>-1.2281670000000001E-3</v>
      </c>
      <c r="X4742">
        <v>0.99457499999999999</v>
      </c>
      <c r="Y4742">
        <v>0.38913360000000002</v>
      </c>
      <c r="Z4742">
        <v>-5.844659E-2</v>
      </c>
      <c r="AA4742">
        <v>0.91932539999999996</v>
      </c>
      <c r="AB4742">
        <v>20</v>
      </c>
      <c r="AC4742">
        <v>-122.744</v>
      </c>
      <c r="AD4742">
        <v>9.4878879999999999</v>
      </c>
      <c r="AE4742">
        <v>-35.605899999999998</v>
      </c>
      <c r="AF4742">
        <v>49.830380060066602</v>
      </c>
      <c r="AG4742">
        <v>9.4878879999999999</v>
      </c>
      <c r="AH4742">
        <v>116.928355596291</v>
      </c>
      <c r="AI4742">
        <v>85.730963575576993</v>
      </c>
      <c r="AJ4742">
        <v>66.918157022237907</v>
      </c>
      <c r="AK4742">
        <v>127.457158049613</v>
      </c>
      <c r="AL4742">
        <v>90.070368799779502</v>
      </c>
      <c r="AM4742">
        <v>84.029564787777005</v>
      </c>
      <c r="AN4742">
        <v>1.0000000504251001</v>
      </c>
    </row>
    <row r="4743" spans="1:40" x14ac:dyDescent="0.25">
      <c r="A4743" t="str">
        <f>"20190312160737516"</f>
        <v>20190312160737516</v>
      </c>
      <c r="B4743" t="str">
        <f>"1552378057510441"</f>
        <v>1552378057510441</v>
      </c>
      <c r="C4743" t="s">
        <v>40</v>
      </c>
      <c r="D4743">
        <v>4.3218759999999996</v>
      </c>
      <c r="E4743">
        <v>0.62096929999999995</v>
      </c>
      <c r="F4743" t="s">
        <v>51</v>
      </c>
      <c r="G4743">
        <v>-325.99540000000002</v>
      </c>
      <c r="H4743">
        <v>10.67952</v>
      </c>
      <c r="I4743">
        <v>111.81870000000001</v>
      </c>
      <c r="J4743">
        <v>-202.39699999999999</v>
      </c>
      <c r="K4743">
        <v>1.1032109999999999</v>
      </c>
      <c r="L4743">
        <v>146.3278</v>
      </c>
      <c r="M4743">
        <v>-0.78210009999999996</v>
      </c>
      <c r="N4743">
        <v>0</v>
      </c>
      <c r="O4743">
        <v>-0.62295639999999997</v>
      </c>
      <c r="P4743">
        <v>-0.84238259999999898</v>
      </c>
      <c r="Q4743">
        <v>-1.5229619999999999E-2</v>
      </c>
      <c r="R4743">
        <v>-0.53866459999999905</v>
      </c>
      <c r="S4743">
        <v>-3.0357669999999999</v>
      </c>
      <c r="T4743">
        <v>0.23487569999999999</v>
      </c>
      <c r="U4743">
        <v>-0.84944149999999996</v>
      </c>
      <c r="V4743">
        <v>0.103482199999999</v>
      </c>
      <c r="W4743">
        <v>-1.37066799999999E-3</v>
      </c>
      <c r="X4743">
        <v>0.99463029999999997</v>
      </c>
      <c r="Y4743">
        <v>0.38673780000000002</v>
      </c>
      <c r="Z4743">
        <v>-5.8049990000000003E-2</v>
      </c>
      <c r="AA4743">
        <v>0.92036090000000004</v>
      </c>
      <c r="AB4743">
        <v>20</v>
      </c>
      <c r="AC4743">
        <v>-123.5984</v>
      </c>
      <c r="AD4743">
        <v>9.5763090000000002</v>
      </c>
      <c r="AE4743">
        <v>-34.509099999999897</v>
      </c>
      <c r="AF4743">
        <v>49.735989426192802</v>
      </c>
      <c r="AG4743">
        <v>9.5763090000000002</v>
      </c>
      <c r="AH4743">
        <v>117.52396877918</v>
      </c>
      <c r="AI4743">
        <v>85.708527446769295</v>
      </c>
      <c r="AJ4743">
        <v>67.061982377413798</v>
      </c>
      <c r="AK4743">
        <v>127.97365969556201</v>
      </c>
      <c r="AL4743">
        <v>90.078533520889806</v>
      </c>
      <c r="AM4743">
        <v>84.060267387515196</v>
      </c>
      <c r="AN4743">
        <v>0.99999993906284601</v>
      </c>
    </row>
    <row r="4744" spans="1:40" x14ac:dyDescent="0.25">
      <c r="A4744" t="str">
        <f>"20190312160737538"</f>
        <v>20190312160737538</v>
      </c>
      <c r="B4744" t="str">
        <f>"1552378057529959"</f>
        <v>1552378057529959</v>
      </c>
      <c r="C4744" t="s">
        <v>40</v>
      </c>
      <c r="D4744">
        <v>6.1132749999999998</v>
      </c>
      <c r="E4744">
        <v>0.620807</v>
      </c>
      <c r="F4744" t="s">
        <v>51</v>
      </c>
      <c r="G4744">
        <v>-327.21140000000003</v>
      </c>
      <c r="H4744">
        <v>10.7308</v>
      </c>
      <c r="I4744">
        <v>112.9669</v>
      </c>
      <c r="J4744">
        <v>-202.57300000000001</v>
      </c>
      <c r="K4744">
        <v>1.1032409999999999</v>
      </c>
      <c r="L4744">
        <v>146.20670000000001</v>
      </c>
      <c r="M4744">
        <v>-0.78984109999999996</v>
      </c>
      <c r="N4744">
        <v>0</v>
      </c>
      <c r="O4744">
        <v>-0.61311199999999999</v>
      </c>
      <c r="P4744">
        <v>-0.84832989999999997</v>
      </c>
      <c r="Q4744">
        <v>-1.436725E-2</v>
      </c>
      <c r="R4744">
        <v>-0.5292732</v>
      </c>
      <c r="S4744">
        <v>-3.0450900000000001</v>
      </c>
      <c r="T4744">
        <v>0.23488390000000001</v>
      </c>
      <c r="U4744">
        <v>-0.81390379999999996</v>
      </c>
      <c r="V4744">
        <v>0.10209790000000001</v>
      </c>
      <c r="W4744">
        <v>-4.7688899999999998E-4</v>
      </c>
      <c r="X4744">
        <v>0.99477420000000005</v>
      </c>
      <c r="Y4744">
        <v>0.38594640000000002</v>
      </c>
      <c r="Z4744">
        <v>-5.7417219999999998E-2</v>
      </c>
      <c r="AA4744">
        <v>0.92073269999999996</v>
      </c>
      <c r="AB4744">
        <v>20</v>
      </c>
      <c r="AC4744">
        <v>-124.6384</v>
      </c>
      <c r="AD4744">
        <v>9.6275589999999998</v>
      </c>
      <c r="AE4744">
        <v>-33.239800000000002</v>
      </c>
      <c r="AF4744">
        <v>49.8913608208155</v>
      </c>
      <c r="AG4744">
        <v>9.6275589999999998</v>
      </c>
      <c r="AH4744">
        <v>118.180476109552</v>
      </c>
      <c r="AI4744">
        <v>85.707935389432606</v>
      </c>
      <c r="AJ4744">
        <v>67.112354337402394</v>
      </c>
      <c r="AK4744">
        <v>128.64082831796301</v>
      </c>
      <c r="AL4744">
        <v>90.0273237291577</v>
      </c>
      <c r="AM4744">
        <v>84.140009354159602</v>
      </c>
      <c r="AN4744">
        <v>0.99999995879658299</v>
      </c>
    </row>
    <row r="4745" spans="1:40" x14ac:dyDescent="0.25">
      <c r="A4745" t="str">
        <f>"20190312160737561"</f>
        <v>20190312160737561</v>
      </c>
      <c r="B4745" t="str">
        <f>"1552378057550459"</f>
        <v>1552378057550459</v>
      </c>
      <c r="C4745" t="s">
        <v>40</v>
      </c>
      <c r="D4745">
        <v>6.1221649999999999</v>
      </c>
      <c r="E4745">
        <v>0.62057869999999904</v>
      </c>
      <c r="F4745" t="s">
        <v>51</v>
      </c>
      <c r="G4745">
        <v>-328.34960000000001</v>
      </c>
      <c r="H4745">
        <v>10.88213</v>
      </c>
      <c r="I4745">
        <v>114.0415</v>
      </c>
      <c r="J4745">
        <v>-202.74610000000001</v>
      </c>
      <c r="K4745">
        <v>1.1032709999999999</v>
      </c>
      <c r="L4745">
        <v>146.0907</v>
      </c>
      <c r="M4745">
        <v>-0.7972882</v>
      </c>
      <c r="N4745">
        <v>0</v>
      </c>
      <c r="O4745">
        <v>-0.60339609999999899</v>
      </c>
      <c r="P4745">
        <v>-0.85416199999999998</v>
      </c>
      <c r="Q4745">
        <v>-1.264144E-2</v>
      </c>
      <c r="R4745">
        <v>-0.51985360000000003</v>
      </c>
      <c r="S4745">
        <v>-3.053223</v>
      </c>
      <c r="T4745">
        <v>0.23738229999999999</v>
      </c>
      <c r="U4745">
        <v>-0.78080749999999999</v>
      </c>
      <c r="V4745">
        <v>0.1009717</v>
      </c>
      <c r="W4745">
        <v>1.275364E-3</v>
      </c>
      <c r="X4745">
        <v>0.99488849999999995</v>
      </c>
      <c r="Y4745">
        <v>0.38458750000000003</v>
      </c>
      <c r="Z4745">
        <v>-5.7371909999999998E-2</v>
      </c>
      <c r="AA4745">
        <v>0.92130389999999995</v>
      </c>
      <c r="AB4745">
        <v>20</v>
      </c>
      <c r="AC4745">
        <v>-125.6035</v>
      </c>
      <c r="AD4745">
        <v>9.77885899999999</v>
      </c>
      <c r="AE4745">
        <v>-32.049199999999999</v>
      </c>
      <c r="AF4745">
        <v>49.958054600461601</v>
      </c>
      <c r="AG4745">
        <v>9.77885899999999</v>
      </c>
      <c r="AH4745">
        <v>118.818985588223</v>
      </c>
      <c r="AI4745">
        <v>85.661439105200202</v>
      </c>
      <c r="AJ4745">
        <v>67.195430015535607</v>
      </c>
      <c r="AK4745">
        <v>129.264784991965</v>
      </c>
      <c r="AL4745">
        <v>89.926927007042707</v>
      </c>
      <c r="AM4745">
        <v>84.204867363548701</v>
      </c>
      <c r="AN4745">
        <v>1.0000000190932301</v>
      </c>
    </row>
    <row r="4746" spans="1:40" x14ac:dyDescent="0.25">
      <c r="A4746" t="str">
        <f>"20190312160737582"</f>
        <v>20190312160737582</v>
      </c>
      <c r="B4746" t="str">
        <f>"1552378057569975"</f>
        <v>1552378057569975</v>
      </c>
      <c r="C4746" t="s">
        <v>40</v>
      </c>
      <c r="D4746">
        <v>6.1806789999999996</v>
      </c>
      <c r="E4746">
        <v>0.62034209999999901</v>
      </c>
      <c r="F4746" t="s">
        <v>51</v>
      </c>
      <c r="G4746">
        <v>-329.46050000000002</v>
      </c>
      <c r="H4746">
        <v>11.124470000000001</v>
      </c>
      <c r="I4746">
        <v>115.09050000000001</v>
      </c>
      <c r="J4746">
        <v>-202.91139999999999</v>
      </c>
      <c r="K4746">
        <v>1.1032959999999901</v>
      </c>
      <c r="L4746">
        <v>145.9828</v>
      </c>
      <c r="M4746">
        <v>-0.80423959999999906</v>
      </c>
      <c r="N4746">
        <v>0</v>
      </c>
      <c r="O4746">
        <v>-0.5940993</v>
      </c>
      <c r="P4746">
        <v>-0.85959719999999995</v>
      </c>
      <c r="Q4746">
        <v>-1.2384310000000001E-2</v>
      </c>
      <c r="R4746">
        <v>-0.51082229999999995</v>
      </c>
      <c r="S4746">
        <v>-3.060165</v>
      </c>
      <c r="T4746">
        <v>0.24201310000000001</v>
      </c>
      <c r="U4746">
        <v>-0.74865719999999902</v>
      </c>
      <c r="V4746">
        <v>9.9913420000000003E-2</v>
      </c>
      <c r="W4746">
        <v>1.555744E-3</v>
      </c>
      <c r="X4746">
        <v>0.99499490000000002</v>
      </c>
      <c r="Y4746">
        <v>0.38341570000000003</v>
      </c>
      <c r="Z4746">
        <v>-5.7860870000000002E-2</v>
      </c>
      <c r="AA4746">
        <v>0.92176159999999996</v>
      </c>
      <c r="AB4746">
        <v>20</v>
      </c>
      <c r="AC4746">
        <v>-126.5491</v>
      </c>
      <c r="AD4746">
        <v>10.021174</v>
      </c>
      <c r="AE4746">
        <v>-30.892299999999899</v>
      </c>
      <c r="AF4746">
        <v>50.047893027504003</v>
      </c>
      <c r="AG4746">
        <v>10.021174</v>
      </c>
      <c r="AH4746">
        <v>119.43675498573199</v>
      </c>
      <c r="AI4746">
        <v>85.575023676461001</v>
      </c>
      <c r="AJ4746">
        <v>67.264727498831903</v>
      </c>
      <c r="AK4746">
        <v>129.88592674478801</v>
      </c>
      <c r="AL4746">
        <v>89.910862397184701</v>
      </c>
      <c r="AM4746">
        <v>84.265808091013099</v>
      </c>
      <c r="AN4746">
        <v>0.99999998143074897</v>
      </c>
    </row>
    <row r="4747" spans="1:40" x14ac:dyDescent="0.25">
      <c r="A4747" t="str">
        <f>"20190312160737605"</f>
        <v>20190312160737605</v>
      </c>
      <c r="B4747" t="str">
        <f>"1552378057600232"</f>
        <v>1552378057600232</v>
      </c>
      <c r="C4747" t="s">
        <v>40</v>
      </c>
      <c r="D4747">
        <v>6.2139559999999996</v>
      </c>
      <c r="E4747">
        <v>0.61981769999999903</v>
      </c>
      <c r="F4747" t="s">
        <v>51</v>
      </c>
      <c r="G4747">
        <v>-330.54199999999997</v>
      </c>
      <c r="H4747">
        <v>11.06818</v>
      </c>
      <c r="I4747">
        <v>116.11150000000001</v>
      </c>
      <c r="J4747">
        <v>-203.08670000000001</v>
      </c>
      <c r="K4747">
        <v>1.103332</v>
      </c>
      <c r="L4747">
        <v>145.87129999999999</v>
      </c>
      <c r="M4747">
        <v>-0.81144179999999999</v>
      </c>
      <c r="N4747">
        <v>0</v>
      </c>
      <c r="O4747">
        <v>-0.58422430000000003</v>
      </c>
      <c r="P4747">
        <v>-0.86559359999999996</v>
      </c>
      <c r="Q4747">
        <v>-1.2791240000000001E-2</v>
      </c>
      <c r="R4747">
        <v>-0.50058409999999998</v>
      </c>
      <c r="S4747">
        <v>-3.0668950000000001</v>
      </c>
      <c r="T4747">
        <v>0.2394511</v>
      </c>
      <c r="U4747">
        <v>-0.71778869999999995</v>
      </c>
      <c r="V4747">
        <v>9.9549840000000001E-2</v>
      </c>
      <c r="W4747">
        <v>1.1590159999999999E-3</v>
      </c>
      <c r="X4747">
        <v>0.99503189999999997</v>
      </c>
      <c r="Y4747">
        <v>0.3814594</v>
      </c>
      <c r="Z4747">
        <v>-5.6554479999999997E-2</v>
      </c>
      <c r="AA4747">
        <v>0.92265390000000003</v>
      </c>
      <c r="AB4747">
        <v>20</v>
      </c>
      <c r="AC4747">
        <v>-127.455299999999</v>
      </c>
      <c r="AD4747">
        <v>9.9648479999999999</v>
      </c>
      <c r="AE4747">
        <v>-29.759799999999899</v>
      </c>
      <c r="AF4747">
        <v>50.030277359659401</v>
      </c>
      <c r="AG4747">
        <v>9.9648479999999999</v>
      </c>
      <c r="AH4747">
        <v>120.127381009505</v>
      </c>
      <c r="AI4747">
        <v>85.621032658663594</v>
      </c>
      <c r="AJ4747">
        <v>67.389400866025099</v>
      </c>
      <c r="AK4747">
        <v>130.51020847638799</v>
      </c>
      <c r="AL4747">
        <v>89.933593259810806</v>
      </c>
      <c r="AM4747">
        <v>84.286747277430194</v>
      </c>
      <c r="AN4747">
        <v>0.99999999798986094</v>
      </c>
    </row>
    <row r="4748" spans="1:40" x14ac:dyDescent="0.25">
      <c r="A4748" t="str">
        <f>"20190312160737627"</f>
        <v>20190312160737627</v>
      </c>
      <c r="B4748" t="str">
        <f>"1552378057619752"</f>
        <v>1552378057619752</v>
      </c>
      <c r="C4748" t="s">
        <v>40</v>
      </c>
      <c r="D4748">
        <v>6.1352320000000002</v>
      </c>
      <c r="E4748">
        <v>0.61938939999999998</v>
      </c>
      <c r="F4748" t="s">
        <v>51</v>
      </c>
      <c r="G4748">
        <v>-331.71660000000003</v>
      </c>
      <c r="H4748">
        <v>10.8215</v>
      </c>
      <c r="I4748">
        <v>117.2205</v>
      </c>
      <c r="J4748">
        <v>-203.26060000000001</v>
      </c>
      <c r="K4748">
        <v>1.1033790000000001</v>
      </c>
      <c r="L4748">
        <v>145.7636</v>
      </c>
      <c r="M4748">
        <v>-0.8184148</v>
      </c>
      <c r="N4748">
        <v>0</v>
      </c>
      <c r="O4748">
        <v>-0.57441540000000002</v>
      </c>
      <c r="P4748">
        <v>-0.87141349999999995</v>
      </c>
      <c r="Q4748">
        <v>-1.176222E-2</v>
      </c>
      <c r="R4748">
        <v>-0.49040840000000002</v>
      </c>
      <c r="S4748">
        <v>-3.0733640000000002</v>
      </c>
      <c r="T4748">
        <v>0.23219719999999999</v>
      </c>
      <c r="U4748">
        <v>-0.68455509999999997</v>
      </c>
      <c r="V4748">
        <v>9.9256189999999994E-2</v>
      </c>
      <c r="W4748">
        <v>2.195659E-3</v>
      </c>
      <c r="X4748">
        <v>0.99505949999999999</v>
      </c>
      <c r="Y4748">
        <v>0.3804302</v>
      </c>
      <c r="Z4748">
        <v>-5.4211040000000002E-2</v>
      </c>
      <c r="AA4748">
        <v>0.92321940000000002</v>
      </c>
      <c r="AB4748">
        <v>20</v>
      </c>
      <c r="AC4748">
        <v>-128.45599999999999</v>
      </c>
      <c r="AD4748">
        <v>9.718121</v>
      </c>
      <c r="AE4748">
        <v>-28.5430999999999</v>
      </c>
      <c r="AF4748">
        <v>50.159589403011402</v>
      </c>
      <c r="AG4748">
        <v>9.718121</v>
      </c>
      <c r="AH4748">
        <v>120.88142316816899</v>
      </c>
      <c r="AI4748">
        <v>85.753301141882005</v>
      </c>
      <c r="AJ4748">
        <v>67.464057433753297</v>
      </c>
      <c r="AK4748">
        <v>131.23545539225</v>
      </c>
      <c r="AL4748">
        <v>89.8741979062724</v>
      </c>
      <c r="AM4748">
        <v>84.303646071943405</v>
      </c>
      <c r="AN4748">
        <v>1.0000000103560001</v>
      </c>
    </row>
    <row r="4749" spans="1:40" x14ac:dyDescent="0.25">
      <c r="A4749" t="str">
        <f>"20190312160737650"</f>
        <v>20190312160737650</v>
      </c>
      <c r="B4749" t="str">
        <f>"1552378057640247"</f>
        <v>1552378057640247</v>
      </c>
      <c r="C4749" t="s">
        <v>40</v>
      </c>
      <c r="D4749">
        <v>6.2517670000000001</v>
      </c>
      <c r="E4749">
        <v>0.61889079999999996</v>
      </c>
      <c r="F4749" t="s">
        <v>51</v>
      </c>
      <c r="G4749">
        <v>-332.9085</v>
      </c>
      <c r="H4749">
        <v>10.8223</v>
      </c>
      <c r="I4749">
        <v>118.3459</v>
      </c>
      <c r="J4749">
        <v>-203.4453</v>
      </c>
      <c r="K4749">
        <v>1.103421</v>
      </c>
      <c r="L4749">
        <v>145.6523</v>
      </c>
      <c r="M4749">
        <v>-0.82563980000000003</v>
      </c>
      <c r="N4749">
        <v>0</v>
      </c>
      <c r="O4749">
        <v>-0.56398119999999996</v>
      </c>
      <c r="P4749">
        <v>-0.87731399999999904</v>
      </c>
      <c r="Q4749">
        <v>-1.1716239999999999E-2</v>
      </c>
      <c r="R4749">
        <v>-0.47977379999999997</v>
      </c>
      <c r="S4749">
        <v>-3.0793460000000001</v>
      </c>
      <c r="T4749">
        <v>0.2308402</v>
      </c>
      <c r="U4749">
        <v>-0.65121459999999998</v>
      </c>
      <c r="V4749">
        <v>9.872889E-2</v>
      </c>
      <c r="W4749">
        <v>2.2524020000000001E-3</v>
      </c>
      <c r="X4749">
        <v>0.99511179999999999</v>
      </c>
      <c r="Y4749">
        <v>0.37868030000000003</v>
      </c>
      <c r="Z4749">
        <v>-5.3197929999999997E-2</v>
      </c>
      <c r="AA4749">
        <v>0.92399739999999997</v>
      </c>
      <c r="AB4749">
        <v>20</v>
      </c>
      <c r="AC4749">
        <v>-129.4632</v>
      </c>
      <c r="AD4749">
        <v>9.7188789999999994</v>
      </c>
      <c r="AE4749">
        <v>-27.3064</v>
      </c>
      <c r="AF4749">
        <v>50.204838663365003</v>
      </c>
      <c r="AG4749">
        <v>9.7188789999999994</v>
      </c>
      <c r="AH4749">
        <v>121.64883314351199</v>
      </c>
      <c r="AI4749">
        <v>85.776328157324798</v>
      </c>
      <c r="AJ4749">
        <v>67.573913384728002</v>
      </c>
      <c r="AK4749">
        <v>131.95992209534401</v>
      </c>
      <c r="AL4749">
        <v>89.870946760029696</v>
      </c>
      <c r="AM4749">
        <v>84.334006453710998</v>
      </c>
      <c r="AN4749">
        <v>0.99999998076732</v>
      </c>
    </row>
    <row r="4750" spans="1:40" x14ac:dyDescent="0.25">
      <c r="A4750" t="str">
        <f>"20190312160737671"</f>
        <v>20190312160737671</v>
      </c>
      <c r="B4750" t="str">
        <f>"1552378057659773"</f>
        <v>1552378057659773</v>
      </c>
      <c r="C4750" t="s">
        <v>40</v>
      </c>
      <c r="D4750">
        <v>5.8231219999999997</v>
      </c>
      <c r="E4750">
        <v>0.61941889999999999</v>
      </c>
      <c r="F4750" t="s">
        <v>51</v>
      </c>
      <c r="G4750">
        <v>-333.05369999999999</v>
      </c>
      <c r="H4750">
        <v>10.61924</v>
      </c>
      <c r="I4750">
        <v>119.73569999999999</v>
      </c>
      <c r="J4750">
        <v>-203.6046</v>
      </c>
      <c r="K4750">
        <v>1.1034539999999999</v>
      </c>
      <c r="L4750">
        <v>145.55889999999999</v>
      </c>
      <c r="M4750">
        <v>-0.83171689999999998</v>
      </c>
      <c r="N4750">
        <v>0</v>
      </c>
      <c r="O4750">
        <v>-0.55498029999999998</v>
      </c>
      <c r="P4750">
        <v>-0.88207690000000005</v>
      </c>
      <c r="Q4750">
        <v>-1.2872700000000001E-2</v>
      </c>
      <c r="R4750">
        <v>-0.47092970000000001</v>
      </c>
      <c r="S4750">
        <v>-3.085175</v>
      </c>
      <c r="T4750">
        <v>0.22651289999999999</v>
      </c>
      <c r="U4750">
        <v>-0.61691280000000004</v>
      </c>
      <c r="V4750">
        <v>9.7897129999999999E-2</v>
      </c>
      <c r="W4750">
        <v>1.1103790000000001E-3</v>
      </c>
      <c r="X4750">
        <v>0.99519590000000002</v>
      </c>
      <c r="Y4750">
        <v>0.37894889999999998</v>
      </c>
      <c r="Z4750">
        <v>-5.1672019999999999E-2</v>
      </c>
      <c r="AA4750">
        <v>0.92397390000000001</v>
      </c>
      <c r="AB4750">
        <v>20</v>
      </c>
      <c r="AC4750">
        <v>-129.44909999999999</v>
      </c>
      <c r="AD4750">
        <v>9.5157860000000003</v>
      </c>
      <c r="AE4750">
        <v>-25.8232</v>
      </c>
      <c r="AF4750">
        <v>50.109835184607199</v>
      </c>
      <c r="AG4750">
        <v>9.5157860000000003</v>
      </c>
      <c r="AH4750">
        <v>121.380448261829</v>
      </c>
      <c r="AI4750">
        <v>85.855356129742404</v>
      </c>
      <c r="AJ4750">
        <v>67.567557181194204</v>
      </c>
      <c r="AK4750">
        <v>131.66153191296601</v>
      </c>
      <c r="AL4750">
        <v>89.936379955306407</v>
      </c>
      <c r="AM4750">
        <v>84.381905728618506</v>
      </c>
      <c r="AN4750">
        <v>0.99999998019028502</v>
      </c>
    </row>
    <row r="4751" spans="1:40" x14ac:dyDescent="0.25">
      <c r="A4751" t="str">
        <f>"20190312160737693"</f>
        <v>20190312160737693</v>
      </c>
      <c r="B4751" t="str">
        <f>"1552378057690023"</f>
        <v>1552378057690023</v>
      </c>
      <c r="C4751" t="s">
        <v>40</v>
      </c>
      <c r="D4751">
        <v>5.8791799999999999</v>
      </c>
      <c r="E4751">
        <v>0.61910849999999995</v>
      </c>
      <c r="F4751" t="s">
        <v>51</v>
      </c>
      <c r="G4751">
        <v>-344.60410000000002</v>
      </c>
      <c r="H4751">
        <v>11.611129999999999</v>
      </c>
      <c r="I4751">
        <v>119.00360000000001</v>
      </c>
      <c r="J4751">
        <v>-203.7809</v>
      </c>
      <c r="K4751">
        <v>1.103483</v>
      </c>
      <c r="L4751">
        <v>145.4581</v>
      </c>
      <c r="M4751">
        <v>-0.83828559999999996</v>
      </c>
      <c r="N4751">
        <v>0</v>
      </c>
      <c r="O4751">
        <v>-0.5450083</v>
      </c>
      <c r="P4751">
        <v>-0.88742730000000003</v>
      </c>
      <c r="Q4751">
        <v>-1.425038E-2</v>
      </c>
      <c r="R4751">
        <v>-0.46072790000000002</v>
      </c>
      <c r="S4751">
        <v>-3.0933839999999999</v>
      </c>
      <c r="T4751">
        <v>0.23052790000000001</v>
      </c>
      <c r="U4751">
        <v>-0.5825958</v>
      </c>
      <c r="V4751">
        <v>9.7453680000000001E-2</v>
      </c>
      <c r="W4751">
        <v>-2.6032030000000002E-4</v>
      </c>
      <c r="X4751">
        <v>0.99524000000000001</v>
      </c>
      <c r="Y4751">
        <v>0.37820219999999999</v>
      </c>
      <c r="Z4751">
        <v>-5.1900179999999997E-2</v>
      </c>
      <c r="AA4751">
        <v>0.92426699999999995</v>
      </c>
      <c r="AB4751">
        <v>20</v>
      </c>
      <c r="AC4751">
        <v>-140.82320000000001</v>
      </c>
      <c r="AD4751">
        <v>10.507647</v>
      </c>
      <c r="AE4751">
        <v>-26.454499999999999</v>
      </c>
      <c r="AF4751">
        <v>54.2880762601228</v>
      </c>
      <c r="AG4751">
        <v>10.507647</v>
      </c>
      <c r="AH4751">
        <v>131.77543894336699</v>
      </c>
      <c r="AI4751">
        <v>85.783354246655705</v>
      </c>
      <c r="AJ4751">
        <v>67.609604450954805</v>
      </c>
      <c r="AK4751">
        <v>142.90686539917701</v>
      </c>
      <c r="AL4751">
        <v>90.014915255089306</v>
      </c>
      <c r="AM4751">
        <v>84.407438859998095</v>
      </c>
      <c r="AN4751">
        <v>0.99999997255609996</v>
      </c>
    </row>
    <row r="4752" spans="1:40" x14ac:dyDescent="0.25">
      <c r="A4752" t="str">
        <f>"20190312160737719"</f>
        <v>20190312160737719</v>
      </c>
      <c r="B4752" t="str">
        <f>"1552378057710519"</f>
        <v>1552378057710519</v>
      </c>
      <c r="C4752" t="s">
        <v>40</v>
      </c>
      <c r="D4752">
        <v>5.9849309999999996</v>
      </c>
      <c r="E4752">
        <v>0.61955890000000002</v>
      </c>
      <c r="F4752" t="s">
        <v>51</v>
      </c>
      <c r="G4752">
        <v>-353.07089999999999</v>
      </c>
      <c r="H4752">
        <v>11.90804</v>
      </c>
      <c r="I4752">
        <v>119.00369999999999</v>
      </c>
      <c r="J4752">
        <v>-203.98009999999999</v>
      </c>
      <c r="K4752">
        <v>1.103518</v>
      </c>
      <c r="L4752">
        <v>145.34799999999899</v>
      </c>
      <c r="M4752">
        <v>-0.84550170000000002</v>
      </c>
      <c r="N4752">
        <v>0</v>
      </c>
      <c r="O4752">
        <v>-0.53374480000000002</v>
      </c>
      <c r="P4752">
        <v>-0.89324650000000005</v>
      </c>
      <c r="Q4752">
        <v>-1.536131E-2</v>
      </c>
      <c r="R4752">
        <v>-0.44930429999999999</v>
      </c>
      <c r="S4752">
        <v>-3.099091</v>
      </c>
      <c r="T4752">
        <v>0.2242905</v>
      </c>
      <c r="U4752">
        <v>-0.54916379999999998</v>
      </c>
      <c r="V4752">
        <v>9.6880259999999996E-2</v>
      </c>
      <c r="W4752">
        <v>-1.363576E-3</v>
      </c>
      <c r="X4752">
        <v>0.99529509999999999</v>
      </c>
      <c r="Y4752">
        <v>0.37593510000000002</v>
      </c>
      <c r="Z4752">
        <v>-4.9729679999999998E-2</v>
      </c>
      <c r="AA4752">
        <v>0.92531070000000004</v>
      </c>
      <c r="AB4752">
        <v>20</v>
      </c>
      <c r="AC4752">
        <v>-149.0908</v>
      </c>
      <c r="AD4752">
        <v>10.804522</v>
      </c>
      <c r="AE4752">
        <v>-26.344299999999901</v>
      </c>
      <c r="AF4752">
        <v>57.0188767766642</v>
      </c>
      <c r="AG4752">
        <v>10.804522</v>
      </c>
      <c r="AH4752">
        <v>139.42464853430201</v>
      </c>
      <c r="AI4752">
        <v>85.897353230029296</v>
      </c>
      <c r="AJ4752">
        <v>67.7574819675459</v>
      </c>
      <c r="AK4752">
        <v>151.02027222672601</v>
      </c>
      <c r="AL4752">
        <v>90.078127174829504</v>
      </c>
      <c r="AM4752">
        <v>84.440444714128304</v>
      </c>
      <c r="AN4752">
        <v>0.99999999010059204</v>
      </c>
    </row>
    <row r="4753" spans="1:40" x14ac:dyDescent="0.25">
      <c r="A4753" t="str">
        <f>"20190312160737741"</f>
        <v>20190312160737741</v>
      </c>
      <c r="B4753" t="str">
        <f>"1552378057730041"</f>
        <v>1552378057730041</v>
      </c>
      <c r="C4753" t="s">
        <v>40</v>
      </c>
      <c r="D4753">
        <v>5.9335829999999996</v>
      </c>
      <c r="E4753">
        <v>0.61990819999999902</v>
      </c>
      <c r="F4753" t="s">
        <v>51</v>
      </c>
      <c r="G4753">
        <v>-365.71460000000002</v>
      </c>
      <c r="H4753">
        <v>12.897169999999999</v>
      </c>
      <c r="I4753">
        <v>119.004</v>
      </c>
      <c r="J4753">
        <v>-204.16030000000001</v>
      </c>
      <c r="K4753">
        <v>1.1035549999999901</v>
      </c>
      <c r="L4753">
        <v>145.25110000000001</v>
      </c>
      <c r="M4753">
        <v>-0.85185919999999904</v>
      </c>
      <c r="N4753">
        <v>0</v>
      </c>
      <c r="O4753">
        <v>-0.52353890000000003</v>
      </c>
      <c r="P4753">
        <v>-0.89828399999999997</v>
      </c>
      <c r="Q4753">
        <v>-1.580908E-2</v>
      </c>
      <c r="R4753">
        <v>-0.43913150000000001</v>
      </c>
      <c r="S4753">
        <v>-3.1078030000000001</v>
      </c>
      <c r="T4753">
        <v>0.22662070000000001</v>
      </c>
      <c r="U4753">
        <v>-0.5062103</v>
      </c>
      <c r="V4753">
        <v>9.6203739999999996E-2</v>
      </c>
      <c r="W4753">
        <v>-1.8024009999999999E-3</v>
      </c>
      <c r="X4753">
        <v>0.99536000000000002</v>
      </c>
      <c r="Y4753">
        <v>0.3776506</v>
      </c>
      <c r="Z4753">
        <v>-4.9638000000000002E-2</v>
      </c>
      <c r="AA4753">
        <v>0.92461680000000002</v>
      </c>
      <c r="AB4753">
        <v>20</v>
      </c>
      <c r="AC4753">
        <v>-161.55430000000001</v>
      </c>
      <c r="AD4753">
        <v>11.793615000000001</v>
      </c>
      <c r="AE4753">
        <v>-26.2471</v>
      </c>
      <c r="AF4753">
        <v>61.907257710702297</v>
      </c>
      <c r="AG4753">
        <v>11.793615000000001</v>
      </c>
      <c r="AH4753">
        <v>150.599357342757</v>
      </c>
      <c r="AI4753">
        <v>85.857284891176704</v>
      </c>
      <c r="AJ4753">
        <v>67.653782987292999</v>
      </c>
      <c r="AK4753">
        <v>163.25368095108601</v>
      </c>
      <c r="AL4753">
        <v>90.103270029414503</v>
      </c>
      <c r="AM4753">
        <v>84.479384437683706</v>
      </c>
      <c r="AN4753">
        <v>0.99999996891967502</v>
      </c>
    </row>
    <row r="4754" spans="1:40" x14ac:dyDescent="0.25">
      <c r="A4754" t="str">
        <f>"20190312160737762"</f>
        <v>20190312160737762</v>
      </c>
      <c r="B4754" t="str">
        <f>"1552378057749559"</f>
        <v>1552378057749559</v>
      </c>
      <c r="C4754" t="s">
        <v>40</v>
      </c>
      <c r="D4754">
        <v>6.513045</v>
      </c>
      <c r="E4754">
        <v>0.61919639999999998</v>
      </c>
      <c r="F4754" t="s">
        <v>92</v>
      </c>
      <c r="G4754">
        <v>-371.35239999999999</v>
      </c>
      <c r="H4754">
        <v>13.480429999999901</v>
      </c>
      <c r="I4754">
        <v>120.0973</v>
      </c>
      <c r="J4754">
        <v>-204.32810000000001</v>
      </c>
      <c r="K4754">
        <v>1.1035889999999999</v>
      </c>
      <c r="L4754">
        <v>145.1634</v>
      </c>
      <c r="M4754">
        <v>-0.85762950000000004</v>
      </c>
      <c r="N4754">
        <v>0</v>
      </c>
      <c r="O4754">
        <v>-0.51403220000000005</v>
      </c>
      <c r="P4754">
        <v>-0.90279100000000001</v>
      </c>
      <c r="Q4754">
        <v>-1.601911E-2</v>
      </c>
      <c r="R4754">
        <v>-0.42978119999999997</v>
      </c>
      <c r="S4754">
        <v>-3.1146699999999998</v>
      </c>
      <c r="T4754">
        <v>0.23057250000000001</v>
      </c>
      <c r="U4754">
        <v>-0.4685974</v>
      </c>
      <c r="V4754">
        <v>9.5462729999999996E-2</v>
      </c>
      <c r="W4754">
        <v>-2.002701E-3</v>
      </c>
      <c r="X4754">
        <v>0.99543099999999995</v>
      </c>
      <c r="Y4754">
        <v>0.37852580000000002</v>
      </c>
      <c r="Z4754">
        <v>-4.9904909999999997E-2</v>
      </c>
      <c r="AA4754">
        <v>0.92424439999999997</v>
      </c>
      <c r="AB4754">
        <v>20</v>
      </c>
      <c r="AC4754">
        <v>-167.02429999999899</v>
      </c>
      <c r="AD4754">
        <v>12.376841000000001</v>
      </c>
      <c r="AE4754">
        <v>-25.066099999999899</v>
      </c>
      <c r="AF4754">
        <v>64.022436747088506</v>
      </c>
      <c r="AG4754">
        <v>12.376841000000001</v>
      </c>
      <c r="AH4754">
        <v>155.314621713707</v>
      </c>
      <c r="AI4754">
        <v>85.786350326247202</v>
      </c>
      <c r="AJ4754">
        <v>67.597991623332305</v>
      </c>
      <c r="AK4754">
        <v>168.44788606048499</v>
      </c>
      <c r="AL4754">
        <v>90.114746390518505</v>
      </c>
      <c r="AM4754">
        <v>84.5220357004725</v>
      </c>
      <c r="AN4754">
        <v>1.00000000969567</v>
      </c>
    </row>
    <row r="4755" spans="1:40" x14ac:dyDescent="0.25">
      <c r="A4755" t="str">
        <f>"20190312160737783"</f>
        <v>20190312160737783</v>
      </c>
      <c r="B4755" t="str">
        <f>"1552378057779815"</f>
        <v>1552378057779815</v>
      </c>
      <c r="C4755" t="s">
        <v>40</v>
      </c>
      <c r="D4755">
        <v>6.266947</v>
      </c>
      <c r="E4755">
        <v>0.60249439999999999</v>
      </c>
      <c r="F4755" t="s">
        <v>92</v>
      </c>
      <c r="G4755">
        <v>-384.81479999999999</v>
      </c>
      <c r="H4755">
        <v>14.039210000000001</v>
      </c>
      <c r="I4755">
        <v>119.61539999999999</v>
      </c>
      <c r="J4755">
        <v>-204.50200000000001</v>
      </c>
      <c r="K4755">
        <v>1.1036220000000001</v>
      </c>
      <c r="L4755">
        <v>145.07499999999999</v>
      </c>
      <c r="M4755">
        <v>-0.86346409999999996</v>
      </c>
      <c r="N4755">
        <v>0</v>
      </c>
      <c r="O4755">
        <v>-0.50417020000000001</v>
      </c>
      <c r="P4755">
        <v>-0.90740319999999997</v>
      </c>
      <c r="Q4755">
        <v>-1.595912E-2</v>
      </c>
      <c r="R4755">
        <v>-0.4199581</v>
      </c>
      <c r="S4755">
        <v>-3.116959</v>
      </c>
      <c r="T4755">
        <v>0.2233948</v>
      </c>
      <c r="U4755">
        <v>-0.44120789999999999</v>
      </c>
      <c r="V4755">
        <v>9.4859819999999997E-2</v>
      </c>
      <c r="W4755">
        <v>-1.935614E-3</v>
      </c>
      <c r="X4755">
        <v>0.99548879999999995</v>
      </c>
      <c r="Y4755">
        <v>0.3761391</v>
      </c>
      <c r="Z4755">
        <v>-4.7682429999999998E-2</v>
      </c>
      <c r="AA4755">
        <v>0.92533549999999998</v>
      </c>
      <c r="AB4755">
        <v>20</v>
      </c>
      <c r="AC4755">
        <v>-180.31280000000001</v>
      </c>
      <c r="AD4755">
        <v>12.935587999999999</v>
      </c>
      <c r="AE4755">
        <v>-25.459599999999899</v>
      </c>
      <c r="AF4755">
        <v>68.587146878769104</v>
      </c>
      <c r="AG4755">
        <v>12.935587999999999</v>
      </c>
      <c r="AH4755">
        <v>167.70377925412899</v>
      </c>
      <c r="AI4755">
        <v>85.9163796612346</v>
      </c>
      <c r="AJ4755">
        <v>67.756521069098497</v>
      </c>
      <c r="AK4755">
        <v>181.64824174759701</v>
      </c>
      <c r="AL4755">
        <v>90.110902577616599</v>
      </c>
      <c r="AM4755">
        <v>84.556738344949395</v>
      </c>
      <c r="AN4755">
        <v>1.00000004148871</v>
      </c>
    </row>
    <row r="4756" spans="1:40" x14ac:dyDescent="0.25">
      <c r="A4756" t="str">
        <f>"20190312160737810"</f>
        <v>20190312160737810</v>
      </c>
      <c r="B4756" t="str">
        <f>"1552378057800311"</f>
        <v>1552378057800311</v>
      </c>
      <c r="C4756" t="s">
        <v>40</v>
      </c>
      <c r="D4756">
        <v>6.5869679999999997</v>
      </c>
      <c r="E4756">
        <v>0.60225169999999995</v>
      </c>
      <c r="F4756" t="s">
        <v>47</v>
      </c>
      <c r="G4756">
        <v>-225.64949999999999</v>
      </c>
      <c r="H4756" s="1">
        <v>-2.3592569999999999E-6</v>
      </c>
      <c r="I4756">
        <v>141.53530000000001</v>
      </c>
      <c r="J4756">
        <v>-204.71369999999999</v>
      </c>
      <c r="K4756">
        <v>1.103661</v>
      </c>
      <c r="L4756">
        <v>144.97069999999999</v>
      </c>
      <c r="M4756">
        <v>-0.8703687</v>
      </c>
      <c r="N4756">
        <v>0</v>
      </c>
      <c r="O4756">
        <v>-0.49215500000000001</v>
      </c>
      <c r="P4756">
        <v>-0.91280099999999997</v>
      </c>
      <c r="Q4756">
        <v>-1.6159880000000001E-2</v>
      </c>
      <c r="R4756">
        <v>-0.40808480000000003</v>
      </c>
      <c r="S4756">
        <v>-3.065842</v>
      </c>
      <c r="T4756">
        <v>-0.15999730000000001</v>
      </c>
      <c r="U4756">
        <v>-0.51316830000000002</v>
      </c>
      <c r="V4756">
        <v>9.4045210000000004E-2</v>
      </c>
      <c r="W4756">
        <v>-2.1265519999999999E-3</v>
      </c>
      <c r="X4756">
        <v>0.9955657</v>
      </c>
      <c r="Y4756">
        <v>0.34072219999999998</v>
      </c>
      <c r="Z4756">
        <v>3.3179239999999999E-2</v>
      </c>
      <c r="AA4756">
        <v>0.93957840000000004</v>
      </c>
      <c r="AB4756">
        <v>20</v>
      </c>
      <c r="AC4756">
        <v>-20.9358</v>
      </c>
      <c r="AD4756">
        <v>-1.103663359257</v>
      </c>
      <c r="AE4756">
        <v>-3.43539999999998</v>
      </c>
      <c r="AF4756">
        <v>7.2947375341187097</v>
      </c>
      <c r="AG4756">
        <v>-1.103663359257</v>
      </c>
      <c r="AH4756">
        <v>19.861274049211801</v>
      </c>
      <c r="AI4756">
        <v>92.9859349524084</v>
      </c>
      <c r="AJ4756">
        <v>69.832500231366893</v>
      </c>
      <c r="AK4756">
        <v>21.187295140251901</v>
      </c>
      <c r="AL4756">
        <v>90.121842541062605</v>
      </c>
      <c r="AM4756">
        <v>84.603619657192496</v>
      </c>
      <c r="AN4756">
        <v>1.0000000433819201</v>
      </c>
    </row>
    <row r="4757" spans="1:40" x14ac:dyDescent="0.25">
      <c r="A4757" t="str">
        <f>"20190312160737827"</f>
        <v>20190312160737827</v>
      </c>
      <c r="B4757" t="str">
        <f>"1552378057819831"</f>
        <v>1552378057819831</v>
      </c>
      <c r="C4757" t="s">
        <v>40</v>
      </c>
      <c r="D4757">
        <v>6.4473789999999997</v>
      </c>
      <c r="E4757">
        <v>0.59839949999999997</v>
      </c>
      <c r="F4757" t="s">
        <v>47</v>
      </c>
      <c r="G4757">
        <v>-230.1217</v>
      </c>
      <c r="H4757" s="1">
        <v>-4.4860949999999998E-6</v>
      </c>
      <c r="I4757">
        <v>141.03399999999999</v>
      </c>
      <c r="J4757">
        <v>-204.85919999999999</v>
      </c>
      <c r="K4757">
        <v>1.1036859999999999</v>
      </c>
      <c r="L4757">
        <v>144.90110000000001</v>
      </c>
      <c r="M4757">
        <v>-0.87499090000000002</v>
      </c>
      <c r="N4757">
        <v>0</v>
      </c>
      <c r="O4757">
        <v>-0.4838903</v>
      </c>
      <c r="P4757">
        <v>-0.91624740000000005</v>
      </c>
      <c r="Q4757">
        <v>-1.5862520000000001E-2</v>
      </c>
      <c r="R4757">
        <v>-0.40029900000000002</v>
      </c>
      <c r="S4757">
        <v>-3.071472</v>
      </c>
      <c r="T4757">
        <v>-0.133417799999999</v>
      </c>
      <c r="U4757">
        <v>-0.47589110000000001</v>
      </c>
      <c r="V4757">
        <v>9.3099360000000006E-2</v>
      </c>
      <c r="W4757">
        <v>-1.8157900000000001E-3</v>
      </c>
      <c r="X4757">
        <v>0.99565519999999996</v>
      </c>
      <c r="Y4757">
        <v>0.343535799999999</v>
      </c>
      <c r="Z4757">
        <v>2.7414979999999999E-2</v>
      </c>
      <c r="AA4757">
        <v>0.9387394</v>
      </c>
      <c r="AB4757">
        <v>20</v>
      </c>
      <c r="AC4757">
        <v>-25.262499999999999</v>
      </c>
      <c r="AD4757">
        <v>-1.1036904860950001</v>
      </c>
      <c r="AE4757">
        <v>-3.8671000000000202</v>
      </c>
      <c r="AF4757">
        <v>8.82520817096899</v>
      </c>
      <c r="AG4757">
        <v>-1.1036904860950001</v>
      </c>
      <c r="AH4757">
        <v>23.933963370617601</v>
      </c>
      <c r="AI4757">
        <v>92.477435993532296</v>
      </c>
      <c r="AJ4757">
        <v>69.759476501598201</v>
      </c>
      <c r="AK4757">
        <v>25.533057681681999</v>
      </c>
      <c r="AL4757">
        <v>90.104037157259796</v>
      </c>
      <c r="AM4757">
        <v>84.658055039385602</v>
      </c>
      <c r="AN4757">
        <v>1.00000003260638</v>
      </c>
    </row>
    <row r="4758" spans="1:40" x14ac:dyDescent="0.25">
      <c r="A4758" t="str">
        <f>"20190312160737850"</f>
        <v>20190312160737850</v>
      </c>
      <c r="B4758" t="str">
        <f>"1552378057840327"</f>
        <v>1552378057840327</v>
      </c>
      <c r="C4758" t="s">
        <v>40</v>
      </c>
      <c r="D4758">
        <v>6.2401489999999997</v>
      </c>
      <c r="E4758">
        <v>0.59819500000000003</v>
      </c>
      <c r="F4758" t="s">
        <v>47</v>
      </c>
      <c r="G4758">
        <v>-245.19040000000001</v>
      </c>
      <c r="H4758" s="1">
        <v>-2.2290339999999998E-6</v>
      </c>
      <c r="I4758">
        <v>138.5823</v>
      </c>
      <c r="J4758">
        <v>-205.0461</v>
      </c>
      <c r="K4758">
        <v>1.1037319999999999</v>
      </c>
      <c r="L4758">
        <v>144.8142</v>
      </c>
      <c r="M4758">
        <v>-0.88077759999999905</v>
      </c>
      <c r="N4758">
        <v>0</v>
      </c>
      <c r="O4758">
        <v>-0.47327580000000002</v>
      </c>
      <c r="P4758">
        <v>-0.92076219999999998</v>
      </c>
      <c r="Q4758">
        <v>-1.532478E-2</v>
      </c>
      <c r="R4758">
        <v>-0.38982339999999999</v>
      </c>
      <c r="S4758">
        <v>-3.0630950000000001</v>
      </c>
      <c r="T4758">
        <v>-8.3823679999999998E-2</v>
      </c>
      <c r="U4758">
        <v>-0.4799042</v>
      </c>
      <c r="V4758">
        <v>9.2429310000000001E-2</v>
      </c>
      <c r="W4758">
        <v>-1.270062E-3</v>
      </c>
      <c r="X4758">
        <v>0.9957184</v>
      </c>
      <c r="Y4758">
        <v>0.3310032</v>
      </c>
      <c r="Z4758">
        <v>1.6849469999999998E-2</v>
      </c>
      <c r="AA4758">
        <v>0.94347919999999996</v>
      </c>
      <c r="AB4758">
        <v>20</v>
      </c>
      <c r="AC4758">
        <v>-40.144300000000001</v>
      </c>
      <c r="AD4758">
        <v>-1.103734229034</v>
      </c>
      <c r="AE4758">
        <v>-6.2318999999999898</v>
      </c>
      <c r="AF4758">
        <v>13.5020685330045</v>
      </c>
      <c r="AG4758">
        <v>-1.103734229034</v>
      </c>
      <c r="AH4758">
        <v>38.283962464148601</v>
      </c>
      <c r="AI4758">
        <v>91.557420273580206</v>
      </c>
      <c r="AJ4758">
        <v>70.573165636930696</v>
      </c>
      <c r="AK4758">
        <v>40.610169488376101</v>
      </c>
      <c r="AL4758">
        <v>90.072769214703101</v>
      </c>
      <c r="AM4758">
        <v>84.696616494355297</v>
      </c>
      <c r="AN4758">
        <v>0.99999996125155899</v>
      </c>
    </row>
    <row r="4759" spans="1:40" x14ac:dyDescent="0.25">
      <c r="A4759" t="str">
        <f>"20190312160737872"</f>
        <v>20190312160737872</v>
      </c>
      <c r="B4759" t="str">
        <f>"1552378057869608"</f>
        <v>1552378057869608</v>
      </c>
      <c r="C4759" t="s">
        <v>40</v>
      </c>
      <c r="D4759">
        <v>6.5421110000000002</v>
      </c>
      <c r="E4759">
        <v>0.59732189999999996</v>
      </c>
      <c r="F4759" t="s">
        <v>89</v>
      </c>
      <c r="G4759">
        <v>-293.65699999999998</v>
      </c>
      <c r="H4759" s="1">
        <v>-5.9372230000000001E-6</v>
      </c>
      <c r="I4759">
        <v>131.86699999999999</v>
      </c>
      <c r="J4759">
        <v>-205.22149999999999</v>
      </c>
      <c r="K4759">
        <v>1.103777</v>
      </c>
      <c r="L4759">
        <v>144.73500000000001</v>
      </c>
      <c r="M4759">
        <v>-0.88605610000000001</v>
      </c>
      <c r="N4759">
        <v>0</v>
      </c>
      <c r="O4759">
        <v>-0.46331889999999998</v>
      </c>
      <c r="P4759">
        <v>-0.92474060000000002</v>
      </c>
      <c r="Q4759">
        <v>-1.559024E-2</v>
      </c>
      <c r="R4759">
        <v>-0.38027860000000002</v>
      </c>
      <c r="S4759">
        <v>-3.06778</v>
      </c>
      <c r="T4759">
        <v>-3.8212299999999998E-2</v>
      </c>
      <c r="U4759">
        <v>-0.44824219999999998</v>
      </c>
      <c r="V4759">
        <v>9.1499849999999994E-2</v>
      </c>
      <c r="W4759">
        <v>-1.523377E-3</v>
      </c>
      <c r="X4759">
        <v>0.99580400000000002</v>
      </c>
      <c r="Y4759">
        <v>0.3303295</v>
      </c>
      <c r="Z4759">
        <v>7.5668869999999996E-3</v>
      </c>
      <c r="AA4759">
        <v>0.94383539999999999</v>
      </c>
      <c r="AB4759">
        <v>20</v>
      </c>
      <c r="AC4759">
        <v>-88.435499999999905</v>
      </c>
      <c r="AD4759">
        <v>-1.1037829372229999</v>
      </c>
      <c r="AE4759">
        <v>-12.867999999999901</v>
      </c>
      <c r="AF4759">
        <v>29.5711096009694</v>
      </c>
      <c r="AG4759">
        <v>-1.1037829372229999</v>
      </c>
      <c r="AH4759">
        <v>84.318067133530107</v>
      </c>
      <c r="AI4759">
        <v>90.707740925544996</v>
      </c>
      <c r="AJ4759">
        <v>70.673769509450807</v>
      </c>
      <c r="AK4759">
        <v>89.359975967653199</v>
      </c>
      <c r="AL4759">
        <v>90.087283099935902</v>
      </c>
      <c r="AM4759">
        <v>84.750096048981305</v>
      </c>
      <c r="AN4759">
        <v>1.0000000748217499</v>
      </c>
    </row>
    <row r="4760" spans="1:40" x14ac:dyDescent="0.25">
      <c r="A4760" t="str">
        <f>"20190312160737894"</f>
        <v>20190312160737894</v>
      </c>
      <c r="B4760" t="str">
        <f>"1552378057890103"</f>
        <v>1552378057890103</v>
      </c>
      <c r="C4760" t="s">
        <v>40</v>
      </c>
      <c r="D4760">
        <v>6.547167</v>
      </c>
      <c r="E4760">
        <v>0.59629009999999905</v>
      </c>
      <c r="F4760" t="s">
        <v>92</v>
      </c>
      <c r="G4760">
        <v>-387.0154</v>
      </c>
      <c r="H4760">
        <v>0.54498000000000002</v>
      </c>
      <c r="I4760">
        <v>119.6199</v>
      </c>
      <c r="J4760">
        <v>-205.4067</v>
      </c>
      <c r="K4760">
        <v>1.1038250000000001</v>
      </c>
      <c r="L4760">
        <v>144.654</v>
      </c>
      <c r="M4760">
        <v>-0.89146879999999995</v>
      </c>
      <c r="N4760">
        <v>0</v>
      </c>
      <c r="O4760">
        <v>-0.45281700000000003</v>
      </c>
      <c r="P4760">
        <v>-0.9285563</v>
      </c>
      <c r="Q4760">
        <v>-1.5942379999999999E-2</v>
      </c>
      <c r="R4760">
        <v>-0.3708496</v>
      </c>
      <c r="S4760">
        <v>-3.0696110000000001</v>
      </c>
      <c r="T4760">
        <v>-9.4352959999999993E-3</v>
      </c>
      <c r="U4760">
        <v>-0.42407230000000001</v>
      </c>
      <c r="V4760">
        <v>8.9858399999999894E-2</v>
      </c>
      <c r="W4760">
        <v>-1.85213E-3</v>
      </c>
      <c r="X4760">
        <v>0.99595279999999997</v>
      </c>
      <c r="Y4760">
        <v>0.32659319999999997</v>
      </c>
      <c r="Z4760">
        <v>1.8347249999999999E-3</v>
      </c>
      <c r="AA4760">
        <v>0.94516319999999998</v>
      </c>
      <c r="AB4760">
        <v>20</v>
      </c>
      <c r="AC4760">
        <v>-181.6087</v>
      </c>
      <c r="AD4760">
        <v>-0.55884500000000004</v>
      </c>
      <c r="AE4760">
        <v>-25.034099999999899</v>
      </c>
      <c r="AF4760">
        <v>59.925026556793902</v>
      </c>
      <c r="AG4760">
        <v>-0.55884500000000004</v>
      </c>
      <c r="AH4760">
        <v>173.25355022020699</v>
      </c>
      <c r="AI4760">
        <v>90.174659657931002</v>
      </c>
      <c r="AJ4760">
        <v>70.920494367391896</v>
      </c>
      <c r="AK4760">
        <v>183.325158610247</v>
      </c>
      <c r="AL4760">
        <v>90.106119295844707</v>
      </c>
      <c r="AM4760">
        <v>84.844529982376599</v>
      </c>
      <c r="AN4760">
        <v>0.99999997113196804</v>
      </c>
    </row>
    <row r="4761" spans="1:40" x14ac:dyDescent="0.25">
      <c r="A4761" t="str">
        <f>"20190312160737917"</f>
        <v>20190312160737917</v>
      </c>
      <c r="B4761" t="str">
        <f>"1552378057909627"</f>
        <v>1552378057909627</v>
      </c>
      <c r="C4761" t="s">
        <v>40</v>
      </c>
      <c r="D4761">
        <v>6.6794089999999997</v>
      </c>
      <c r="E4761">
        <v>0.59503329999999999</v>
      </c>
      <c r="F4761" t="s">
        <v>92</v>
      </c>
      <c r="G4761">
        <v>-397.21800000000002</v>
      </c>
      <c r="H4761">
        <v>0.89635750000000003</v>
      </c>
      <c r="I4761">
        <v>119.6198</v>
      </c>
      <c r="J4761">
        <v>-205.5943</v>
      </c>
      <c r="K4761">
        <v>1.1038709999999901</v>
      </c>
      <c r="L4761">
        <v>144.57470000000001</v>
      </c>
      <c r="M4761">
        <v>-0.89678440000000004</v>
      </c>
      <c r="N4761">
        <v>0</v>
      </c>
      <c r="O4761">
        <v>-0.44219710000000001</v>
      </c>
      <c r="P4761">
        <v>-0.93233189999999999</v>
      </c>
      <c r="Q4761">
        <v>-1.6339900000000001E-2</v>
      </c>
      <c r="R4761">
        <v>-0.36123450000000001</v>
      </c>
      <c r="S4761">
        <v>-3.070694</v>
      </c>
      <c r="T4761">
        <v>-3.3212900000000002E-3</v>
      </c>
      <c r="U4761">
        <v>-0.40077210000000002</v>
      </c>
      <c r="V4761">
        <v>8.8312130000000003E-2</v>
      </c>
      <c r="W4761">
        <v>-2.2285619999999999E-3</v>
      </c>
      <c r="X4761">
        <v>0.99609040000000004</v>
      </c>
      <c r="Y4761">
        <v>0.32245689999999999</v>
      </c>
      <c r="Z4761">
        <v>6.3366469999999995E-4</v>
      </c>
      <c r="AA4761">
        <v>0.94658390000000003</v>
      </c>
      <c r="AB4761">
        <v>19</v>
      </c>
      <c r="AC4761">
        <v>-191.62370000000001</v>
      </c>
      <c r="AD4761">
        <v>-0.20751349999999899</v>
      </c>
      <c r="AE4761">
        <v>-24.954899999999999</v>
      </c>
      <c r="AF4761">
        <v>62.363674896284401</v>
      </c>
      <c r="AG4761">
        <v>-0.20751349999999899</v>
      </c>
      <c r="AH4761">
        <v>182.90181892363501</v>
      </c>
      <c r="AI4761">
        <v>90.061527358430794</v>
      </c>
      <c r="AJ4761">
        <v>71.172264113741406</v>
      </c>
      <c r="AK4761">
        <v>193.241678666886</v>
      </c>
      <c r="AL4761">
        <v>90.127687297328393</v>
      </c>
      <c r="AM4761">
        <v>84.933475009282802</v>
      </c>
      <c r="AN4761">
        <v>1.00000004188294</v>
      </c>
    </row>
    <row r="4762" spans="1:40" x14ac:dyDescent="0.25">
      <c r="A4762" t="str">
        <f>"20190312160737940"</f>
        <v>20190312160737940</v>
      </c>
      <c r="B4762" t="str">
        <f>"1552378057930119"</f>
        <v>1552378057930119</v>
      </c>
      <c r="C4762" t="s">
        <v>40</v>
      </c>
      <c r="D4762">
        <v>6.5847910000000001</v>
      </c>
      <c r="E4762">
        <v>0.59411099999999994</v>
      </c>
      <c r="F4762" t="s">
        <v>43</v>
      </c>
      <c r="G4762">
        <v>-356.8929</v>
      </c>
      <c r="H4762">
        <v>1.166917</v>
      </c>
      <c r="I4762">
        <v>125.9195</v>
      </c>
      <c r="J4762">
        <v>-205.78450000000001</v>
      </c>
      <c r="K4762">
        <v>1.1039209999999999</v>
      </c>
      <c r="L4762">
        <v>144.49690000000001</v>
      </c>
      <c r="M4762">
        <v>-0.90200519999999995</v>
      </c>
      <c r="N4762">
        <v>0</v>
      </c>
      <c r="O4762">
        <v>-0.4314479</v>
      </c>
      <c r="P4762">
        <v>-0.9361121</v>
      </c>
      <c r="Q4762">
        <v>-1.6400390000000001E-2</v>
      </c>
      <c r="R4762">
        <v>-0.3513193</v>
      </c>
      <c r="S4762">
        <v>-3.0710449999999998</v>
      </c>
      <c r="T4762">
        <v>1.280308E-3</v>
      </c>
      <c r="U4762">
        <v>-0.3786621</v>
      </c>
      <c r="V4762">
        <v>8.6978120000000006E-2</v>
      </c>
      <c r="W4762">
        <v>-2.272455E-3</v>
      </c>
      <c r="X4762">
        <v>0.99620770000000003</v>
      </c>
      <c r="Y4762">
        <v>0.31786120000000001</v>
      </c>
      <c r="Z4762">
        <v>-2.3944050000000001E-4</v>
      </c>
      <c r="AA4762">
        <v>0.94813720000000001</v>
      </c>
      <c r="AB4762">
        <v>19</v>
      </c>
      <c r="AC4762">
        <v>-151.10839999999999</v>
      </c>
      <c r="AD4762">
        <v>6.2995999999999996E-2</v>
      </c>
      <c r="AE4762">
        <v>-18.577400000000001</v>
      </c>
      <c r="AF4762">
        <v>48.444279558174401</v>
      </c>
      <c r="AG4762">
        <v>6.2995999999999996E-2</v>
      </c>
      <c r="AH4762">
        <v>144.33299062383199</v>
      </c>
      <c r="AI4762">
        <v>89.976292293504201</v>
      </c>
      <c r="AJ4762">
        <v>71.446061055335406</v>
      </c>
      <c r="AK4762">
        <v>152.24606521294999</v>
      </c>
      <c r="AL4762">
        <v>90.130202183649502</v>
      </c>
      <c r="AM4762">
        <v>85.0102032598504</v>
      </c>
      <c r="AN4762">
        <v>1.0000000694748701</v>
      </c>
    </row>
    <row r="4763" spans="1:40" x14ac:dyDescent="0.25">
      <c r="A4763" t="str">
        <f>"20190312160737962"</f>
        <v>20190312160737962</v>
      </c>
      <c r="B4763" t="str">
        <f>"1552378057949640"</f>
        <v>1552378057949640</v>
      </c>
      <c r="C4763" t="s">
        <v>40</v>
      </c>
      <c r="D4763">
        <v>6.5561819999999997</v>
      </c>
      <c r="E4763">
        <v>0.59418590000000004</v>
      </c>
      <c r="F4763" t="s">
        <v>93</v>
      </c>
      <c r="G4763">
        <v>-440.20710000000003</v>
      </c>
      <c r="H4763">
        <v>1.8007139999999999</v>
      </c>
      <c r="I4763">
        <v>117.5492</v>
      </c>
      <c r="J4763">
        <v>-205.96209999999999</v>
      </c>
      <c r="K4763">
        <v>1.1039570000000001</v>
      </c>
      <c r="L4763">
        <v>144.42660000000001</v>
      </c>
      <c r="M4763">
        <v>-0.90672839999999999</v>
      </c>
      <c r="N4763">
        <v>0</v>
      </c>
      <c r="O4763">
        <v>-0.42143190000000003</v>
      </c>
      <c r="P4763">
        <v>-0.93960200000000005</v>
      </c>
      <c r="Q4763">
        <v>-1.5897999999999999E-2</v>
      </c>
      <c r="R4763">
        <v>-0.34189989999999998</v>
      </c>
      <c r="S4763">
        <v>-3.0723720000000001</v>
      </c>
      <c r="T4763">
        <v>9.1326240000000006E-3</v>
      </c>
      <c r="U4763">
        <v>-0.35317989999999999</v>
      </c>
      <c r="V4763">
        <v>8.5961700000000002E-2</v>
      </c>
      <c r="W4763">
        <v>-1.75884E-3</v>
      </c>
      <c r="X4763">
        <v>0.99629690000000004</v>
      </c>
      <c r="Y4763">
        <v>0.31515959999999898</v>
      </c>
      <c r="Z4763">
        <v>-1.677677E-3</v>
      </c>
      <c r="AA4763">
        <v>0.94903720000000003</v>
      </c>
      <c r="AB4763">
        <v>19</v>
      </c>
      <c r="AC4763">
        <v>-234.245</v>
      </c>
      <c r="AD4763">
        <v>0.69675699999999896</v>
      </c>
      <c r="AE4763">
        <v>-26.877400000000002</v>
      </c>
      <c r="AF4763">
        <v>74.356041515632697</v>
      </c>
      <c r="AG4763">
        <v>0.69675699999999896</v>
      </c>
      <c r="AH4763">
        <v>223.748347073156</v>
      </c>
      <c r="AI4763">
        <v>89.830684780470506</v>
      </c>
      <c r="AJ4763">
        <v>71.617322921277193</v>
      </c>
      <c r="AK4763">
        <v>235.78089235169301</v>
      </c>
      <c r="AL4763">
        <v>90.100774159772001</v>
      </c>
      <c r="AM4763">
        <v>85.068663758696999</v>
      </c>
      <c r="AN4763">
        <v>1.0000000101673201</v>
      </c>
    </row>
    <row r="4764" spans="1:40" x14ac:dyDescent="0.25">
      <c r="A4764" t="str">
        <f>"20190312160737984"</f>
        <v>20190312160737984</v>
      </c>
      <c r="B4764" t="str">
        <f>"1552378057979896"</f>
        <v>1552378057979896</v>
      </c>
      <c r="C4764" t="s">
        <v>40</v>
      </c>
      <c r="D4764">
        <v>5.8090109999999999</v>
      </c>
      <c r="E4764">
        <v>0.59445269999999995</v>
      </c>
      <c r="F4764" t="s">
        <v>93</v>
      </c>
      <c r="G4764">
        <v>-440.74829999999997</v>
      </c>
      <c r="H4764">
        <v>3.0478070000000002</v>
      </c>
      <c r="I4764">
        <v>119.8177</v>
      </c>
      <c r="J4764">
        <v>-206.14609999999999</v>
      </c>
      <c r="K4764">
        <v>1.1040190000000001</v>
      </c>
      <c r="L4764">
        <v>144.35599999999999</v>
      </c>
      <c r="M4764">
        <v>-0.91146799999999994</v>
      </c>
      <c r="N4764">
        <v>0</v>
      </c>
      <c r="O4764">
        <v>-0.41108139999999999</v>
      </c>
      <c r="P4764">
        <v>-0.94307569999999996</v>
      </c>
      <c r="Q4764">
        <v>-1.6210619999999999E-2</v>
      </c>
      <c r="R4764">
        <v>-0.33218379999999997</v>
      </c>
      <c r="S4764">
        <v>-3.075958</v>
      </c>
      <c r="T4764">
        <v>2.5466920000000001E-2</v>
      </c>
      <c r="U4764">
        <v>-0.322403</v>
      </c>
      <c r="V4764">
        <v>8.4895269999999995E-2</v>
      </c>
      <c r="W4764">
        <v>-2.0603790000000002E-3</v>
      </c>
      <c r="X4764">
        <v>0.99638780000000005</v>
      </c>
      <c r="Y4764">
        <v>0.3138416</v>
      </c>
      <c r="Z4764">
        <v>-4.5936620000000001E-3</v>
      </c>
      <c r="AA4764">
        <v>0.94946430000000004</v>
      </c>
      <c r="AB4764">
        <v>19</v>
      </c>
      <c r="AC4764">
        <v>-234.60220000000001</v>
      </c>
      <c r="AD4764">
        <v>1.9437880000000001</v>
      </c>
      <c r="AE4764">
        <v>-24.5382999999999</v>
      </c>
      <c r="AF4764">
        <v>74.078517892534194</v>
      </c>
      <c r="AG4764">
        <v>1.9437880000000001</v>
      </c>
      <c r="AH4764">
        <v>223.931100440823</v>
      </c>
      <c r="AI4764">
        <v>89.5278321889746</v>
      </c>
      <c r="AJ4764">
        <v>71.695298095726002</v>
      </c>
      <c r="AK4764">
        <v>235.873997866618</v>
      </c>
      <c r="AL4764">
        <v>90.118051098518094</v>
      </c>
      <c r="AM4764">
        <v>85.129987367844194</v>
      </c>
      <c r="AN4764">
        <v>1.0000000500094099</v>
      </c>
    </row>
    <row r="4765" spans="1:40" x14ac:dyDescent="0.25">
      <c r="A4765" t="str">
        <f>"20190312160738007"</f>
        <v>20190312160738007</v>
      </c>
      <c r="B4765" t="str">
        <f>"1552378058000392"</f>
        <v>1552378058000392</v>
      </c>
      <c r="C4765" t="s">
        <v>40</v>
      </c>
      <c r="D4765">
        <v>6.4046620000000001</v>
      </c>
      <c r="E4765">
        <v>0.59565480000000004</v>
      </c>
      <c r="F4765" t="s">
        <v>93</v>
      </c>
      <c r="G4765">
        <v>-470.8775</v>
      </c>
      <c r="H4765">
        <v>3.5527730000000002</v>
      </c>
      <c r="I4765">
        <v>119.52889999999999</v>
      </c>
      <c r="J4765">
        <v>-206.33539999999999</v>
      </c>
      <c r="K4765">
        <v>1.1040840000000001</v>
      </c>
      <c r="L4765">
        <v>144.2859</v>
      </c>
      <c r="M4765">
        <v>-0.9161802</v>
      </c>
      <c r="N4765">
        <v>0</v>
      </c>
      <c r="O4765">
        <v>-0.4004702</v>
      </c>
      <c r="P4765">
        <v>-0.94657440000000004</v>
      </c>
      <c r="Q4765">
        <v>-1.6633129999999999E-2</v>
      </c>
      <c r="R4765">
        <v>-0.32205650000000002</v>
      </c>
      <c r="S4765">
        <v>-3.079834</v>
      </c>
      <c r="T4765">
        <v>2.8488639999999999E-2</v>
      </c>
      <c r="U4765">
        <v>-0.28883360000000002</v>
      </c>
      <c r="V4765">
        <v>8.3996180000000004E-2</v>
      </c>
      <c r="W4765">
        <v>-2.4752910000000001E-3</v>
      </c>
      <c r="X4765">
        <v>0.99646299999999999</v>
      </c>
      <c r="Y4765">
        <v>0.31318259999999998</v>
      </c>
      <c r="Z4765">
        <v>-5.0440379999999998E-3</v>
      </c>
      <c r="AA4765">
        <v>0.94967959999999996</v>
      </c>
      <c r="AB4765">
        <v>19</v>
      </c>
      <c r="AC4765">
        <v>-264.5421</v>
      </c>
      <c r="AD4765">
        <v>2.4486889999999999</v>
      </c>
      <c r="AE4765">
        <v>-24.757000000000001</v>
      </c>
      <c r="AF4765">
        <v>83.262169692680601</v>
      </c>
      <c r="AG4765">
        <v>2.4486889999999999</v>
      </c>
      <c r="AH4765">
        <v>252.29120514102601</v>
      </c>
      <c r="AI4765">
        <v>89.4719287159038</v>
      </c>
      <c r="AJ4765">
        <v>71.735866527098693</v>
      </c>
      <c r="AK4765">
        <v>265.68672750301698</v>
      </c>
      <c r="AL4765">
        <v>90.141823872499998</v>
      </c>
      <c r="AM4765">
        <v>85.181681407159601</v>
      </c>
      <c r="AN4765">
        <v>0.99999999784456295</v>
      </c>
    </row>
    <row r="4766" spans="1:40" x14ac:dyDescent="0.25">
      <c r="A4766" t="str">
        <f>"20190312160738029"</f>
        <v>20190312160738029</v>
      </c>
      <c r="B4766" t="str">
        <f>"1552378058019912"</f>
        <v>1552378058019912</v>
      </c>
      <c r="C4766" t="s">
        <v>40</v>
      </c>
      <c r="D4766">
        <v>6.2689500000000002</v>
      </c>
      <c r="E4766">
        <v>0.59535019999999905</v>
      </c>
      <c r="F4766" t="s">
        <v>41</v>
      </c>
      <c r="G4766">
        <v>0</v>
      </c>
      <c r="H4766">
        <v>0</v>
      </c>
      <c r="I4766">
        <v>0</v>
      </c>
      <c r="J4766">
        <v>-206.5198</v>
      </c>
      <c r="K4766">
        <v>1.104142</v>
      </c>
      <c r="L4766">
        <v>144.21979999999999</v>
      </c>
      <c r="M4766">
        <v>-0.92061499999999996</v>
      </c>
      <c r="N4766">
        <v>0</v>
      </c>
      <c r="O4766">
        <v>-0.39016790000000001</v>
      </c>
      <c r="P4766">
        <v>-0.94980940000000003</v>
      </c>
      <c r="Q4766">
        <v>-1.657726E-2</v>
      </c>
      <c r="R4766">
        <v>-0.3123899</v>
      </c>
      <c r="S4766">
        <v>-3.0858759999999998</v>
      </c>
      <c r="T4766">
        <v>3.1778099999999997E-2</v>
      </c>
      <c r="U4766">
        <v>-0.24699399999999999</v>
      </c>
      <c r="V4766">
        <v>8.2978380000000004E-2</v>
      </c>
      <c r="W4766">
        <v>-2.4104450000000002E-3</v>
      </c>
      <c r="X4766">
        <v>0.9965484</v>
      </c>
      <c r="Y4766">
        <v>0.31547409999999998</v>
      </c>
      <c r="Z4766">
        <v>-5.535318E-3</v>
      </c>
      <c r="AA4766">
        <v>0.94891800000000004</v>
      </c>
      <c r="AB4766">
        <v>19</v>
      </c>
      <c r="AC4766">
        <v>-3.0858759999999998</v>
      </c>
      <c r="AD4766">
        <v>3.1778099999999997E-2</v>
      </c>
      <c r="AE4766">
        <v>-0.24699399999999999</v>
      </c>
      <c r="AF4766">
        <v>0.97663623296276603</v>
      </c>
      <c r="AG4766">
        <v>3.1778099999999997E-2</v>
      </c>
      <c r="AH4766">
        <v>2.9373115285548801</v>
      </c>
      <c r="AI4766">
        <v>89.411812363348204</v>
      </c>
      <c r="AJ4766">
        <v>71.608382407279393</v>
      </c>
      <c r="AK4766">
        <v>3.0955818830967301</v>
      </c>
      <c r="AL4766">
        <v>90.138108463454699</v>
      </c>
      <c r="AM4766">
        <v>85.240202148909503</v>
      </c>
      <c r="AN4766">
        <v>0.99999996766753996</v>
      </c>
    </row>
    <row r="4767" spans="1:40" x14ac:dyDescent="0.25">
      <c r="A4767" t="str">
        <f>"20190312160738051"</f>
        <v>20190312160738051</v>
      </c>
      <c r="B4767" t="str">
        <f>"1552378058040408"</f>
        <v>1552378058040408</v>
      </c>
      <c r="C4767" t="s">
        <v>40</v>
      </c>
      <c r="D4767">
        <v>6.3328530000000001</v>
      </c>
      <c r="E4767">
        <v>0.5947481</v>
      </c>
      <c r="F4767" t="s">
        <v>41</v>
      </c>
      <c r="G4767">
        <v>0</v>
      </c>
      <c r="H4767">
        <v>0</v>
      </c>
      <c r="I4767">
        <v>0</v>
      </c>
      <c r="J4767">
        <v>-206.69579999999999</v>
      </c>
      <c r="K4767">
        <v>1.1042110000000001</v>
      </c>
      <c r="L4767">
        <v>144.15889999999999</v>
      </c>
      <c r="M4767">
        <v>-0.92470169999999996</v>
      </c>
      <c r="N4767">
        <v>0</v>
      </c>
      <c r="O4767">
        <v>-0.38038139999999998</v>
      </c>
      <c r="P4767">
        <v>-0.9529474</v>
      </c>
      <c r="Q4767">
        <v>-1.6508180000000001E-2</v>
      </c>
      <c r="R4767">
        <v>-0.30268579999999901</v>
      </c>
      <c r="S4767">
        <v>-3.0874790000000001</v>
      </c>
      <c r="T4767">
        <v>3.833926E-2</v>
      </c>
      <c r="U4767">
        <v>-0.21806339999999999</v>
      </c>
      <c r="V4767">
        <v>8.2574380000000003E-2</v>
      </c>
      <c r="W4767">
        <v>-2.3421309999999999E-3</v>
      </c>
      <c r="X4767">
        <v>0.99658219999999997</v>
      </c>
      <c r="Y4767">
        <v>0.31427379999999999</v>
      </c>
      <c r="Z4767">
        <v>-6.5588749999999996E-3</v>
      </c>
      <c r="AA4767">
        <v>0.94930970000000003</v>
      </c>
      <c r="AB4767">
        <v>19</v>
      </c>
      <c r="AC4767">
        <v>-3.0874790000000001</v>
      </c>
      <c r="AD4767">
        <v>3.833926E-2</v>
      </c>
      <c r="AE4767">
        <v>-0.21806339999999999</v>
      </c>
      <c r="AF4767">
        <v>0.97274191321913495</v>
      </c>
      <c r="AG4767">
        <v>3.833926E-2</v>
      </c>
      <c r="AH4767">
        <v>2.9378414305177598</v>
      </c>
      <c r="AI4767">
        <v>89.290215936784804</v>
      </c>
      <c r="AJ4767">
        <v>71.679895262643797</v>
      </c>
      <c r="AK4767">
        <v>3.09493279401301</v>
      </c>
      <c r="AL4767">
        <v>90.134194337670394</v>
      </c>
      <c r="AM4767">
        <v>85.263430575124104</v>
      </c>
      <c r="AN4767">
        <v>1.0000000475834201</v>
      </c>
    </row>
    <row r="4768" spans="1:40" x14ac:dyDescent="0.25">
      <c r="A4768" t="str">
        <f>"20190312160738074"</f>
        <v>20190312160738074</v>
      </c>
      <c r="B4768" t="str">
        <f>"1552378058069687"</f>
        <v>1552378058069687</v>
      </c>
      <c r="C4768" t="s">
        <v>40</v>
      </c>
      <c r="D4768">
        <v>6.5417620000000003</v>
      </c>
      <c r="E4768">
        <v>0.59422039999999998</v>
      </c>
      <c r="F4768" t="s">
        <v>41</v>
      </c>
      <c r="G4768">
        <v>0</v>
      </c>
      <c r="H4768">
        <v>0</v>
      </c>
      <c r="I4768">
        <v>0</v>
      </c>
      <c r="J4768">
        <v>-206.88249999999999</v>
      </c>
      <c r="K4768">
        <v>1.1042730000000001</v>
      </c>
      <c r="L4768">
        <v>144.09649999999999</v>
      </c>
      <c r="M4768">
        <v>-0.92888930000000003</v>
      </c>
      <c r="N4768">
        <v>0</v>
      </c>
      <c r="O4768">
        <v>-0.3700388</v>
      </c>
      <c r="P4768">
        <v>-0.95601159999999996</v>
      </c>
      <c r="Q4768">
        <v>-1.6062460000000001E-2</v>
      </c>
      <c r="R4768">
        <v>-0.2928886</v>
      </c>
      <c r="S4768">
        <v>-3.0880890000000001</v>
      </c>
      <c r="T4768">
        <v>4.1839359999999999E-2</v>
      </c>
      <c r="U4768">
        <v>-0.19128419999999999</v>
      </c>
      <c r="V4768">
        <v>8.1691440000000004E-2</v>
      </c>
      <c r="W4768">
        <v>-1.8903629999999999E-3</v>
      </c>
      <c r="X4768">
        <v>0.99665590000000004</v>
      </c>
      <c r="Y4768">
        <v>0.31187920000000002</v>
      </c>
      <c r="Z4768">
        <v>-7.0133039999999997E-3</v>
      </c>
      <c r="AA4768">
        <v>0.95009580000000005</v>
      </c>
      <c r="AB4768">
        <v>19</v>
      </c>
      <c r="AC4768">
        <v>-3.0880890000000001</v>
      </c>
      <c r="AD4768">
        <v>4.1839359999999999E-2</v>
      </c>
      <c r="AE4768">
        <v>-0.19128419999999999</v>
      </c>
      <c r="AF4768">
        <v>0.964968315627864</v>
      </c>
      <c r="AG4768">
        <v>4.1839359999999999E-2</v>
      </c>
      <c r="AH4768">
        <v>2.93908478321505</v>
      </c>
      <c r="AI4768">
        <v>89.225111506504604</v>
      </c>
      <c r="AJ4768">
        <v>71.823816596502098</v>
      </c>
      <c r="AK4768">
        <v>3.0937248981021499</v>
      </c>
      <c r="AL4768">
        <v>90.108309883563606</v>
      </c>
      <c r="AM4768">
        <v>85.314195328206793</v>
      </c>
      <c r="AN4768">
        <v>1.0000000239231699</v>
      </c>
    </row>
    <row r="4769" spans="1:40" x14ac:dyDescent="0.25">
      <c r="A4769" t="str">
        <f>"20190312160738097"</f>
        <v>20190312160738097</v>
      </c>
      <c r="B4769" t="str">
        <f>"1552378058089715"</f>
        <v>1552378058089715</v>
      </c>
      <c r="C4769" t="s">
        <v>40</v>
      </c>
      <c r="D4769">
        <v>6.2407110000000001</v>
      </c>
      <c r="E4769">
        <v>0.59383030000000003</v>
      </c>
      <c r="F4769" t="s">
        <v>43</v>
      </c>
      <c r="G4769">
        <v>-500.71879999999999</v>
      </c>
      <c r="H4769">
        <v>5.6549589999999998</v>
      </c>
      <c r="I4769">
        <v>128.5086</v>
      </c>
      <c r="J4769">
        <v>-207.0795</v>
      </c>
      <c r="K4769">
        <v>1.1043499999999999</v>
      </c>
      <c r="L4769">
        <v>144.03309999999999</v>
      </c>
      <c r="M4769">
        <v>-0.93313800000000002</v>
      </c>
      <c r="N4769">
        <v>0</v>
      </c>
      <c r="O4769">
        <v>-0.35919139999999999</v>
      </c>
      <c r="P4769">
        <v>-0.95896490000000001</v>
      </c>
      <c r="Q4769">
        <v>-1.607316E-2</v>
      </c>
      <c r="R4769">
        <v>-0.283068599999999</v>
      </c>
      <c r="S4769">
        <v>-3.0886230000000001</v>
      </c>
      <c r="T4769">
        <v>4.783428E-2</v>
      </c>
      <c r="U4769">
        <v>-0.16384889999999999</v>
      </c>
      <c r="V4769">
        <v>8.0300659999999996E-2</v>
      </c>
      <c r="W4769">
        <v>-1.888977E-3</v>
      </c>
      <c r="X4769">
        <v>0.99676889999999996</v>
      </c>
      <c r="Y4769">
        <v>0.309212599999999</v>
      </c>
      <c r="Z4769">
        <v>-7.8427649999999998E-3</v>
      </c>
      <c r="AA4769">
        <v>0.95096060000000004</v>
      </c>
      <c r="AB4769">
        <v>19</v>
      </c>
      <c r="AC4769">
        <v>-293.63929999999999</v>
      </c>
      <c r="AD4769">
        <v>4.5506089999999997</v>
      </c>
      <c r="AE4769">
        <v>-15.5244999999999</v>
      </c>
      <c r="AF4769">
        <v>90.975115465818106</v>
      </c>
      <c r="AG4769">
        <v>4.5506089999999997</v>
      </c>
      <c r="AH4769">
        <v>279.548163578149</v>
      </c>
      <c r="AI4769">
        <v>89.1131683695519</v>
      </c>
      <c r="AJ4769">
        <v>71.973232169432507</v>
      </c>
      <c r="AK4769">
        <v>294.014209582131</v>
      </c>
      <c r="AL4769">
        <v>90.108230473833302</v>
      </c>
      <c r="AM4769">
        <v>85.3941438893645</v>
      </c>
      <c r="AN4769">
        <v>1.00000000211887</v>
      </c>
    </row>
    <row r="4770" spans="1:40" x14ac:dyDescent="0.25">
      <c r="A4770" t="str">
        <f>"20190312160738119"</f>
        <v>20190312160738119</v>
      </c>
      <c r="B4770" t="str">
        <f>"1552378058110215"</f>
        <v>1552378058110215</v>
      </c>
      <c r="C4770" t="s">
        <v>40</v>
      </c>
      <c r="D4770">
        <v>6.3287690000000003</v>
      </c>
      <c r="E4770">
        <v>0.59376790000000002</v>
      </c>
      <c r="F4770" t="s">
        <v>41</v>
      </c>
      <c r="G4770">
        <v>0</v>
      </c>
      <c r="H4770">
        <v>0</v>
      </c>
      <c r="I4770">
        <v>0</v>
      </c>
      <c r="J4770">
        <v>-207.2655</v>
      </c>
      <c r="K4770">
        <v>1.104417</v>
      </c>
      <c r="L4770">
        <v>143.97550000000001</v>
      </c>
      <c r="M4770">
        <v>-0.93699719999999997</v>
      </c>
      <c r="N4770">
        <v>0</v>
      </c>
      <c r="O4770">
        <v>-0.34900110000000001</v>
      </c>
      <c r="P4770">
        <v>-0.96173949999999997</v>
      </c>
      <c r="Q4770">
        <v>-1.573476E-2</v>
      </c>
      <c r="R4770">
        <v>-0.27351300000000001</v>
      </c>
      <c r="S4770">
        <v>-3.0892789999999999</v>
      </c>
      <c r="T4770">
        <v>5.1215410000000003E-2</v>
      </c>
      <c r="U4770">
        <v>-0.1352844</v>
      </c>
      <c r="V4770">
        <v>7.9362740000000001E-2</v>
      </c>
      <c r="W4770">
        <v>-1.545739E-3</v>
      </c>
      <c r="X4770">
        <v>0.99684459999999997</v>
      </c>
      <c r="Y4770">
        <v>0.3076216</v>
      </c>
      <c r="Z4770">
        <v>-8.2270669999999994E-3</v>
      </c>
      <c r="AA4770">
        <v>0.95147320000000002</v>
      </c>
      <c r="AB4770">
        <v>19</v>
      </c>
      <c r="AC4770">
        <v>-3.0892789999999999</v>
      </c>
      <c r="AD4770">
        <v>5.1215410000000003E-2</v>
      </c>
      <c r="AE4770">
        <v>-0.1352844</v>
      </c>
      <c r="AF4770">
        <v>0.95125128098511202</v>
      </c>
      <c r="AG4770">
        <v>5.1215410000000003E-2</v>
      </c>
      <c r="AH4770">
        <v>2.9413982611239602</v>
      </c>
      <c r="AI4770">
        <v>89.050861655562798</v>
      </c>
      <c r="AJ4770">
        <v>72.0787382944754</v>
      </c>
      <c r="AK4770">
        <v>3.09181593053991</v>
      </c>
      <c r="AL4770">
        <v>90.088564356623607</v>
      </c>
      <c r="AM4770">
        <v>85.448057567251695</v>
      </c>
      <c r="AN4770">
        <v>0.99999999517926097</v>
      </c>
    </row>
    <row r="4771" spans="1:40" x14ac:dyDescent="0.25">
      <c r="A4771" t="str">
        <f>"20190312160738144"</f>
        <v>20190312160738144</v>
      </c>
      <c r="B4771" t="str">
        <f>"1552378058140468"</f>
        <v>1552378058140468</v>
      </c>
      <c r="C4771" t="s">
        <v>40</v>
      </c>
      <c r="D4771">
        <v>6.6116440000000001</v>
      </c>
      <c r="E4771">
        <v>0.59354309999999999</v>
      </c>
      <c r="F4771" t="s">
        <v>41</v>
      </c>
      <c r="G4771">
        <v>0</v>
      </c>
      <c r="H4771">
        <v>0</v>
      </c>
      <c r="I4771">
        <v>0</v>
      </c>
      <c r="J4771">
        <v>-207.4622</v>
      </c>
      <c r="K4771">
        <v>1.1044799999999999</v>
      </c>
      <c r="L4771">
        <v>143.9169</v>
      </c>
      <c r="M4771">
        <v>-0.94092370000000003</v>
      </c>
      <c r="N4771">
        <v>0</v>
      </c>
      <c r="O4771">
        <v>-0.3382734</v>
      </c>
      <c r="P4771">
        <v>-0.9645186</v>
      </c>
      <c r="Q4771">
        <v>-1.6030119999999998E-2</v>
      </c>
      <c r="R4771">
        <v>-0.26352819999999999</v>
      </c>
      <c r="S4771">
        <v>-3.0902859999999999</v>
      </c>
      <c r="T4771">
        <v>4.3607590000000002E-2</v>
      </c>
      <c r="U4771">
        <v>-0.1047058</v>
      </c>
      <c r="V4771">
        <v>7.8302769999999994E-2</v>
      </c>
      <c r="W4771">
        <v>-1.836383E-3</v>
      </c>
      <c r="X4771">
        <v>0.99692789999999998</v>
      </c>
      <c r="Y4771">
        <v>0.30619010000000002</v>
      </c>
      <c r="Z4771">
        <v>-6.8527120000000004E-3</v>
      </c>
      <c r="AA4771">
        <v>0.95194570000000001</v>
      </c>
      <c r="AB4771">
        <v>19</v>
      </c>
      <c r="AC4771">
        <v>-3.0902859999999999</v>
      </c>
      <c r="AD4771">
        <v>4.3607590000000002E-2</v>
      </c>
      <c r="AE4771">
        <v>-0.1047058</v>
      </c>
      <c r="AF4771">
        <v>0.94676373153698101</v>
      </c>
      <c r="AG4771">
        <v>4.3607590000000002E-2</v>
      </c>
      <c r="AH4771">
        <v>2.94290115253047</v>
      </c>
      <c r="AI4771">
        <v>89.191845362321601</v>
      </c>
      <c r="AJ4771">
        <v>72.166444594328198</v>
      </c>
      <c r="AK4771">
        <v>3.0917519918041001</v>
      </c>
      <c r="AL4771">
        <v>90.105217058084804</v>
      </c>
      <c r="AM4771">
        <v>85.508976708397896</v>
      </c>
      <c r="AN4771">
        <v>0.99999996694530202</v>
      </c>
    </row>
    <row r="4772" spans="1:40" x14ac:dyDescent="0.25">
      <c r="A4772" t="str">
        <f>"20190312160738165"</f>
        <v>20190312160738165</v>
      </c>
      <c r="B4772" t="str">
        <f>"1552378058159988"</f>
        <v>1552378058159988</v>
      </c>
      <c r="C4772" t="s">
        <v>40</v>
      </c>
      <c r="D4772">
        <v>6.4871999999999996</v>
      </c>
      <c r="E4772">
        <v>0.59343669999999904</v>
      </c>
      <c r="F4772" t="s">
        <v>41</v>
      </c>
      <c r="G4772">
        <v>0</v>
      </c>
      <c r="H4772">
        <v>0</v>
      </c>
      <c r="I4772">
        <v>0</v>
      </c>
      <c r="J4772">
        <v>-207.64580000000001</v>
      </c>
      <c r="K4772">
        <v>1.1045419999999999</v>
      </c>
      <c r="L4772">
        <v>143.86429999999999</v>
      </c>
      <c r="M4772">
        <v>-0.94444499999999998</v>
      </c>
      <c r="N4772">
        <v>0</v>
      </c>
      <c r="O4772">
        <v>-0.32831470000000001</v>
      </c>
      <c r="P4772">
        <v>-0.96694729999999995</v>
      </c>
      <c r="Q4772">
        <v>-1.590478E-2</v>
      </c>
      <c r="R4772">
        <v>-0.25448019999999999</v>
      </c>
      <c r="S4772">
        <v>-3.090652</v>
      </c>
      <c r="T4772">
        <v>1.711905E-2</v>
      </c>
      <c r="U4772">
        <v>-7.3196410000000003E-2</v>
      </c>
      <c r="V4772">
        <v>7.7113780000000007E-2</v>
      </c>
      <c r="W4772">
        <v>-1.70426E-3</v>
      </c>
      <c r="X4772">
        <v>0.99702080000000004</v>
      </c>
      <c r="Y4772">
        <v>0.30588759999999998</v>
      </c>
      <c r="Z4772">
        <v>-2.63781E-3</v>
      </c>
      <c r="AA4772">
        <v>0.95206400000000002</v>
      </c>
      <c r="AB4772">
        <v>19</v>
      </c>
      <c r="AC4772">
        <v>-3.090652</v>
      </c>
      <c r="AD4772">
        <v>1.711905E-2</v>
      </c>
      <c r="AE4772">
        <v>-7.3196410000000003E-2</v>
      </c>
      <c r="AF4772">
        <v>0.94565773006462095</v>
      </c>
      <c r="AG4772">
        <v>1.711905E-2</v>
      </c>
      <c r="AH4772">
        <v>2.9432351010956501</v>
      </c>
      <c r="AI4772">
        <v>89.682722480948797</v>
      </c>
      <c r="AJ4772">
        <v>72.187853542908798</v>
      </c>
      <c r="AK4772">
        <v>3.09147124596451</v>
      </c>
      <c r="AL4772">
        <v>90.097646956602503</v>
      </c>
      <c r="AM4772">
        <v>85.577308557268395</v>
      </c>
      <c r="AN4772">
        <v>0.999999957600337</v>
      </c>
    </row>
    <row r="4773" spans="1:40" x14ac:dyDescent="0.25">
      <c r="A4773" t="str">
        <f>"20190312160738186"</f>
        <v>20190312160738186</v>
      </c>
      <c r="B4773" t="str">
        <f>"1552378058180483"</f>
        <v>1552378058180483</v>
      </c>
      <c r="C4773" t="s">
        <v>40</v>
      </c>
      <c r="D4773">
        <v>6.4743599999999999</v>
      </c>
      <c r="E4773">
        <v>0.59332959999999901</v>
      </c>
      <c r="F4773" t="s">
        <v>41</v>
      </c>
      <c r="G4773">
        <v>0</v>
      </c>
      <c r="H4773">
        <v>0</v>
      </c>
      <c r="I4773">
        <v>0</v>
      </c>
      <c r="J4773">
        <v>-207.82040000000001</v>
      </c>
      <c r="K4773">
        <v>1.1045969999999901</v>
      </c>
      <c r="L4773">
        <v>143.81620000000001</v>
      </c>
      <c r="M4773">
        <v>-0.94766859999999997</v>
      </c>
      <c r="N4773">
        <v>0</v>
      </c>
      <c r="O4773">
        <v>-0.3188917</v>
      </c>
      <c r="P4773">
        <v>-0.9689757</v>
      </c>
      <c r="Q4773">
        <v>-1.4545590000000001E-2</v>
      </c>
      <c r="R4773">
        <v>-0.24672769999999999</v>
      </c>
      <c r="S4773">
        <v>-3.090897</v>
      </c>
      <c r="T4773">
        <v>4.8431159999999997E-3</v>
      </c>
      <c r="U4773">
        <v>-4.4525149999999999E-2</v>
      </c>
      <c r="V4773">
        <v>7.5193060000000006E-2</v>
      </c>
      <c r="W4773">
        <v>-3.2719850000000001E-4</v>
      </c>
      <c r="X4773">
        <v>0.99716899999999997</v>
      </c>
      <c r="Y4773">
        <v>0.3052434</v>
      </c>
      <c r="Z4773">
        <v>-7.3184699999999999E-4</v>
      </c>
      <c r="AA4773">
        <v>0.95227410000000001</v>
      </c>
      <c r="AB4773">
        <v>19</v>
      </c>
      <c r="AC4773">
        <v>-3.090897</v>
      </c>
      <c r="AD4773">
        <v>4.8431159999999997E-3</v>
      </c>
      <c r="AE4773">
        <v>-4.4525149999999999E-2</v>
      </c>
      <c r="AF4773">
        <v>0.94357360274033497</v>
      </c>
      <c r="AG4773">
        <v>4.8431159999999997E-3</v>
      </c>
      <c r="AH4773">
        <v>2.94367944899418</v>
      </c>
      <c r="AI4773">
        <v>89.910232604368503</v>
      </c>
      <c r="AJ4773">
        <v>72.227150636436406</v>
      </c>
      <c r="AK4773">
        <v>3.0912138874545101</v>
      </c>
      <c r="AL4773">
        <v>90.018747092342394</v>
      </c>
      <c r="AM4773">
        <v>85.687684872305596</v>
      </c>
      <c r="AN4773">
        <v>1.0000000589460001</v>
      </c>
    </row>
    <row r="4774" spans="1:40" x14ac:dyDescent="0.25">
      <c r="A4774" t="str">
        <f>"20190312160738209"</f>
        <v>20190312160738209</v>
      </c>
      <c r="B4774" t="str">
        <f>"1552378058200003"</f>
        <v>1552378058200003</v>
      </c>
      <c r="C4774" t="s">
        <v>40</v>
      </c>
      <c r="D4774">
        <v>6.5548520000000003</v>
      </c>
      <c r="E4774">
        <v>0.59281049999999902</v>
      </c>
      <c r="F4774" t="s">
        <v>41</v>
      </c>
      <c r="G4774">
        <v>0</v>
      </c>
      <c r="H4774">
        <v>0</v>
      </c>
      <c r="I4774">
        <v>0</v>
      </c>
      <c r="J4774">
        <v>-208.0138</v>
      </c>
      <c r="K4774">
        <v>1.104668</v>
      </c>
      <c r="L4774">
        <v>143.76490000000001</v>
      </c>
      <c r="M4774">
        <v>-0.95109650000000001</v>
      </c>
      <c r="N4774">
        <v>0</v>
      </c>
      <c r="O4774">
        <v>-0.30851849999999997</v>
      </c>
      <c r="P4774">
        <v>-0.97111320000000001</v>
      </c>
      <c r="Q4774">
        <v>-1.3617799999999999E-2</v>
      </c>
      <c r="R4774">
        <v>-0.23823079999999999</v>
      </c>
      <c r="S4774">
        <v>-3.0909270000000002</v>
      </c>
      <c r="T4774">
        <v>5.1822659999999996E-3</v>
      </c>
      <c r="U4774">
        <v>-2.0462040000000001E-2</v>
      </c>
      <c r="V4774">
        <v>7.3048580000000002E-2</v>
      </c>
      <c r="W4774">
        <v>6.2019039999999998E-4</v>
      </c>
      <c r="X4774">
        <v>0.9973282</v>
      </c>
      <c r="Y4774">
        <v>0.30224980000000001</v>
      </c>
      <c r="Z4774">
        <v>-7.6409160000000004E-4</v>
      </c>
      <c r="AA4774">
        <v>0.95322850000000003</v>
      </c>
      <c r="AB4774">
        <v>19</v>
      </c>
      <c r="AC4774">
        <v>-3.0909270000000002</v>
      </c>
      <c r="AD4774">
        <v>5.1822659999999996E-3</v>
      </c>
      <c r="AE4774">
        <v>-2.0462040000000001E-2</v>
      </c>
      <c r="AF4774">
        <v>0.93425243937108904</v>
      </c>
      <c r="AG4774">
        <v>5.1822659999999996E-3</v>
      </c>
      <c r="AH4774">
        <v>2.9464159723982899</v>
      </c>
      <c r="AI4774">
        <v>89.903939491148293</v>
      </c>
      <c r="AJ4774">
        <v>72.407169310151602</v>
      </c>
      <c r="AK4774">
        <v>3.0909903847724101</v>
      </c>
      <c r="AL4774">
        <v>89.964465705630701</v>
      </c>
      <c r="AM4774">
        <v>85.810892671031397</v>
      </c>
      <c r="AN4774">
        <v>1.00000000909569</v>
      </c>
    </row>
    <row r="4775" spans="1:40" x14ac:dyDescent="0.25">
      <c r="A4775" t="str">
        <f>"20190312160738233"</f>
        <v>20190312160738233</v>
      </c>
      <c r="B4775" t="str">
        <f>"1552378058220504"</f>
        <v>1552378058220504</v>
      </c>
      <c r="C4775" t="s">
        <v>40</v>
      </c>
      <c r="D4775">
        <v>6.3215309999999896</v>
      </c>
      <c r="E4775">
        <v>0.59231929999999999</v>
      </c>
      <c r="F4775" t="s">
        <v>41</v>
      </c>
      <c r="G4775">
        <v>0</v>
      </c>
      <c r="H4775">
        <v>0</v>
      </c>
      <c r="I4775">
        <v>0</v>
      </c>
      <c r="J4775">
        <v>-208.1979</v>
      </c>
      <c r="K4775">
        <v>1.104746</v>
      </c>
      <c r="L4775">
        <v>143.71809999999999</v>
      </c>
      <c r="M4775">
        <v>-0.95422079999999998</v>
      </c>
      <c r="N4775">
        <v>0</v>
      </c>
      <c r="O4775">
        <v>-0.29871619999999999</v>
      </c>
      <c r="P4775">
        <v>-0.97324350000000004</v>
      </c>
      <c r="Q4775">
        <v>-1.464968E-2</v>
      </c>
      <c r="R4775">
        <v>-0.2293084</v>
      </c>
      <c r="S4775">
        <v>-3.0899809999999999</v>
      </c>
      <c r="T4775">
        <v>1.486182E-3</v>
      </c>
      <c r="U4775">
        <v>2.8686520000000002E-3</v>
      </c>
      <c r="V4775">
        <v>7.1921719999999995E-2</v>
      </c>
      <c r="W4775">
        <v>-4.0716480000000001E-4</v>
      </c>
      <c r="X4775">
        <v>0.99741020000000002</v>
      </c>
      <c r="Y4775">
        <v>0.29963649999999997</v>
      </c>
      <c r="Z4775">
        <v>-2.1407340000000001E-4</v>
      </c>
      <c r="AA4775">
        <v>0.95405340000000005</v>
      </c>
      <c r="AB4775">
        <v>19</v>
      </c>
      <c r="AC4775">
        <v>-3.0899809999999999</v>
      </c>
      <c r="AD4775">
        <v>1.486182E-3</v>
      </c>
      <c r="AE4775">
        <v>2.8686520000000002E-3</v>
      </c>
      <c r="AF4775">
        <v>0.92587157735622005</v>
      </c>
      <c r="AG4775">
        <v>1.486182E-3</v>
      </c>
      <c r="AH4775">
        <v>2.9480074990231699</v>
      </c>
      <c r="AI4775">
        <v>89.972442570803693</v>
      </c>
      <c r="AJ4775">
        <v>72.564222370665604</v>
      </c>
      <c r="AK4775">
        <v>3.0899819741852701</v>
      </c>
      <c r="AL4775">
        <v>90.023328825173195</v>
      </c>
      <c r="AM4775">
        <v>85.875627721739306</v>
      </c>
      <c r="AN4775">
        <v>1.0000000033274801</v>
      </c>
    </row>
    <row r="4776" spans="1:40" x14ac:dyDescent="0.25">
      <c r="A4776" t="str">
        <f>"20190312160738253"</f>
        <v>20190312160738253</v>
      </c>
      <c r="B4776" t="str">
        <f>"1552378058249780"</f>
        <v>1552378058249780</v>
      </c>
      <c r="C4776" t="s">
        <v>40</v>
      </c>
      <c r="D4776">
        <v>6.1956540000000002</v>
      </c>
      <c r="E4776">
        <v>0.59177599999999997</v>
      </c>
      <c r="F4776" t="s">
        <v>80</v>
      </c>
      <c r="G4776">
        <v>-709.18539999999996</v>
      </c>
      <c r="H4776">
        <v>-0.1</v>
      </c>
      <c r="I4776">
        <v>148.1951</v>
      </c>
      <c r="J4776">
        <v>-208.37780000000001</v>
      </c>
      <c r="K4776">
        <v>1.104832</v>
      </c>
      <c r="L4776">
        <v>143.67420000000001</v>
      </c>
      <c r="M4776">
        <v>-0.95714509999999997</v>
      </c>
      <c r="N4776">
        <v>0</v>
      </c>
      <c r="O4776">
        <v>-0.28921079999999999</v>
      </c>
      <c r="P4776">
        <v>-0.9751436</v>
      </c>
      <c r="Q4776">
        <v>-1.474556E-2</v>
      </c>
      <c r="R4776">
        <v>-0.2210828</v>
      </c>
      <c r="S4776">
        <v>-3.088867</v>
      </c>
      <c r="T4776">
        <v>-7.4279309999999996E-3</v>
      </c>
      <c r="U4776">
        <v>2.760315E-2</v>
      </c>
      <c r="V4776">
        <v>7.0421109999999995E-2</v>
      </c>
      <c r="W4776">
        <v>-4.9300379999999897E-4</v>
      </c>
      <c r="X4776">
        <v>0.99751719999999999</v>
      </c>
      <c r="Y4776">
        <v>0.29778490000000002</v>
      </c>
      <c r="Z4776">
        <v>1.046213E-3</v>
      </c>
      <c r="AA4776">
        <v>0.95463240000000005</v>
      </c>
      <c r="AB4776">
        <v>19</v>
      </c>
      <c r="AC4776">
        <v>-500.80759999999998</v>
      </c>
      <c r="AD4776">
        <v>-1.2048319999999999</v>
      </c>
      <c r="AE4776">
        <v>4.5208999999999797</v>
      </c>
      <c r="AF4776">
        <v>149.18244528362999</v>
      </c>
      <c r="AG4776">
        <v>-1.2048319999999999</v>
      </c>
      <c r="AH4776">
        <v>478.09035292366298</v>
      </c>
      <c r="AI4776">
        <v>90.137835852322993</v>
      </c>
      <c r="AJ4776">
        <v>72.670084562923194</v>
      </c>
      <c r="AK4776">
        <v>500.82655596486097</v>
      </c>
      <c r="AL4776">
        <v>90.028247039014403</v>
      </c>
      <c r="AM4776">
        <v>85.961824653213796</v>
      </c>
      <c r="AN4776">
        <v>0.99999997004110897</v>
      </c>
    </row>
    <row r="4777" spans="1:40" x14ac:dyDescent="0.25">
      <c r="A4777" t="str">
        <f>"20190312160738276"</f>
        <v>20190312160738276</v>
      </c>
      <c r="B4777" t="str">
        <f>"1552378058270276"</f>
        <v>1552378058270276</v>
      </c>
      <c r="C4777" t="s">
        <v>40</v>
      </c>
      <c r="D4777">
        <v>6.5006629999999896</v>
      </c>
      <c r="E4777">
        <v>0.59128549999999902</v>
      </c>
      <c r="F4777" t="s">
        <v>47</v>
      </c>
      <c r="G4777">
        <v>-376.07679999999999</v>
      </c>
      <c r="H4777" s="1">
        <v>-3.4099059999999999E-6</v>
      </c>
      <c r="I4777">
        <v>146.39169999999999</v>
      </c>
      <c r="J4777">
        <v>-208.56649999999999</v>
      </c>
      <c r="K4777">
        <v>1.1049260000000001</v>
      </c>
      <c r="L4777">
        <v>143.6301</v>
      </c>
      <c r="M4777">
        <v>-0.96007129999999996</v>
      </c>
      <c r="N4777">
        <v>0</v>
      </c>
      <c r="O4777">
        <v>-0.27934550000000002</v>
      </c>
      <c r="P4777">
        <v>-0.97695080000000001</v>
      </c>
      <c r="Q4777">
        <v>-1.3890400000000001E-2</v>
      </c>
      <c r="R4777">
        <v>-0.21301339999999999</v>
      </c>
      <c r="S4777">
        <v>-3.087494</v>
      </c>
      <c r="T4777">
        <v>-2.0341040000000001E-2</v>
      </c>
      <c r="U4777">
        <v>5.0033569999999999E-2</v>
      </c>
      <c r="V4777">
        <v>6.8416459999999998E-2</v>
      </c>
      <c r="W4777">
        <v>3.7843380000000002E-4</v>
      </c>
      <c r="X4777">
        <v>0.99765680000000001</v>
      </c>
      <c r="Y4777">
        <v>0.29488639999999999</v>
      </c>
      <c r="Z4777">
        <v>2.7941160000000001E-3</v>
      </c>
      <c r="AA4777">
        <v>0.9555283</v>
      </c>
      <c r="AB4777">
        <v>19</v>
      </c>
      <c r="AC4777">
        <v>-167.5103</v>
      </c>
      <c r="AD4777">
        <v>-1.1049294099060001</v>
      </c>
      <c r="AE4777">
        <v>2.7615999999999801</v>
      </c>
      <c r="AF4777">
        <v>49.448097613163696</v>
      </c>
      <c r="AG4777">
        <v>-1.1049294099060001</v>
      </c>
      <c r="AH4777">
        <v>160.061772776617</v>
      </c>
      <c r="AI4777">
        <v>90.377893334197907</v>
      </c>
      <c r="AJ4777">
        <v>72.832442213566907</v>
      </c>
      <c r="AK4777">
        <v>167.529419299881</v>
      </c>
      <c r="AL4777">
        <v>89.978317340413795</v>
      </c>
      <c r="AM4777">
        <v>86.076960831351002</v>
      </c>
      <c r="AN4777">
        <v>1.0000000228986501</v>
      </c>
    </row>
    <row r="4778" spans="1:40" x14ac:dyDescent="0.25">
      <c r="A4778" t="str">
        <f>"20190312160738298"</f>
        <v>20190312160738298</v>
      </c>
      <c r="B4778" t="str">
        <f>"1552378058290302"</f>
        <v>1552378058290302</v>
      </c>
      <c r="C4778" t="s">
        <v>40</v>
      </c>
      <c r="D4778">
        <v>6.3380619999999999</v>
      </c>
      <c r="E4778">
        <v>0.59089250000000004</v>
      </c>
      <c r="F4778" t="s">
        <v>47</v>
      </c>
      <c r="G4778">
        <v>-351.31479999999999</v>
      </c>
      <c r="H4778" s="1">
        <v>-5.1321169999999901E-6</v>
      </c>
      <c r="I4778">
        <v>146.9648</v>
      </c>
      <c r="J4778">
        <v>-208.756</v>
      </c>
      <c r="K4778">
        <v>1.10503</v>
      </c>
      <c r="L4778">
        <v>143.58770000000001</v>
      </c>
      <c r="M4778">
        <v>-0.96286890000000003</v>
      </c>
      <c r="N4778">
        <v>0</v>
      </c>
      <c r="O4778">
        <v>-0.26954549999999999</v>
      </c>
      <c r="P4778">
        <v>-0.97857280000000002</v>
      </c>
      <c r="Q4778">
        <v>-1.2987230000000001E-2</v>
      </c>
      <c r="R4778">
        <v>-0.20549129999999999</v>
      </c>
      <c r="S4778">
        <v>-3.0861510000000001</v>
      </c>
      <c r="T4778">
        <v>-2.3888110000000001E-2</v>
      </c>
      <c r="U4778">
        <v>7.209778E-2</v>
      </c>
      <c r="V4778">
        <v>6.5936910000000001E-2</v>
      </c>
      <c r="W4778">
        <v>1.3015909999999999E-3</v>
      </c>
      <c r="X4778">
        <v>0.99782289999999996</v>
      </c>
      <c r="Y4778">
        <v>0.29197679999999998</v>
      </c>
      <c r="Z4778">
        <v>3.19813E-3</v>
      </c>
      <c r="AA4778">
        <v>0.9564201</v>
      </c>
      <c r="AB4778">
        <v>19</v>
      </c>
      <c r="AC4778">
        <v>-142.55879999999999</v>
      </c>
      <c r="AD4778">
        <v>-1.105035132117</v>
      </c>
      <c r="AE4778">
        <v>3.37709999999998</v>
      </c>
      <c r="AF4778">
        <v>41.680051431144001</v>
      </c>
      <c r="AG4778">
        <v>-1.105035132117</v>
      </c>
      <c r="AH4778">
        <v>136.36255933806899</v>
      </c>
      <c r="AI4778">
        <v>90.444017664552007</v>
      </c>
      <c r="AJ4778">
        <v>73.003906715408206</v>
      </c>
      <c r="AK4778">
        <v>142.594513846692</v>
      </c>
      <c r="AL4778">
        <v>89.925424304635001</v>
      </c>
      <c r="AM4778">
        <v>86.219347076550406</v>
      </c>
      <c r="AN4778">
        <v>0.99999995500194305</v>
      </c>
    </row>
    <row r="4779" spans="1:40" x14ac:dyDescent="0.25">
      <c r="A4779" t="str">
        <f>"20190312160738320"</f>
        <v>20190312160738320</v>
      </c>
      <c r="B4779" t="str">
        <f>"1552378058309822"</f>
        <v>1552378058309822</v>
      </c>
      <c r="C4779" t="s">
        <v>40</v>
      </c>
      <c r="D4779">
        <v>6.3216049999999999</v>
      </c>
      <c r="E4779">
        <v>0.59032519999999999</v>
      </c>
      <c r="F4779" t="s">
        <v>47</v>
      </c>
      <c r="G4779">
        <v>-357.79939999999999</v>
      </c>
      <c r="H4779" s="1">
        <v>-3.1221740000000001E-6</v>
      </c>
      <c r="I4779">
        <v>148.07429999999999</v>
      </c>
      <c r="J4779">
        <v>-208.93790000000001</v>
      </c>
      <c r="K4779">
        <v>1.105113</v>
      </c>
      <c r="L4779">
        <v>143.5488</v>
      </c>
      <c r="M4779">
        <v>-0.96542729999999999</v>
      </c>
      <c r="N4779">
        <v>0</v>
      </c>
      <c r="O4779">
        <v>-0.26023560000000001</v>
      </c>
      <c r="P4779">
        <v>-0.97998949999999996</v>
      </c>
      <c r="Q4779">
        <v>-1.24767E-2</v>
      </c>
      <c r="R4779">
        <v>-0.19865849999999999</v>
      </c>
      <c r="S4779">
        <v>-3.0849000000000002</v>
      </c>
      <c r="T4779">
        <v>-2.2871969999999998E-2</v>
      </c>
      <c r="U4779">
        <v>9.2864989999999994E-2</v>
      </c>
      <c r="V4779">
        <v>6.3271419999999995E-2</v>
      </c>
      <c r="W4779">
        <v>1.8332629999999999E-3</v>
      </c>
      <c r="X4779">
        <v>0.99799470000000001</v>
      </c>
      <c r="Y4779">
        <v>0.28918480000000002</v>
      </c>
      <c r="Z4779">
        <v>2.9859410000000002E-3</v>
      </c>
      <c r="AA4779">
        <v>0.95726860000000003</v>
      </c>
      <c r="AB4779">
        <v>19</v>
      </c>
      <c r="AC4779">
        <v>-148.86149999999901</v>
      </c>
      <c r="AD4779">
        <v>-1.105116122174</v>
      </c>
      <c r="AE4779">
        <v>4.5254999999999903</v>
      </c>
      <c r="AF4779">
        <v>43.110634966180903</v>
      </c>
      <c r="AG4779">
        <v>-1.105116122174</v>
      </c>
      <c r="AH4779">
        <v>142.54563172454101</v>
      </c>
      <c r="AI4779">
        <v>90.425170869297304</v>
      </c>
      <c r="AJ4779">
        <v>73.172902488878407</v>
      </c>
      <c r="AK4779">
        <v>148.926173833142</v>
      </c>
      <c r="AL4779">
        <v>89.894961711397301</v>
      </c>
      <c r="AM4779">
        <v>86.372385530125698</v>
      </c>
      <c r="AN4779">
        <v>1.00000002733506</v>
      </c>
    </row>
    <row r="4780" spans="1:40" x14ac:dyDescent="0.25">
      <c r="A4780" t="str">
        <f>"20190312160738343"</f>
        <v>20190312160738343</v>
      </c>
      <c r="B4780" t="str">
        <f>"1552378058340078"</f>
        <v>1552378058340078</v>
      </c>
      <c r="C4780" t="s">
        <v>40</v>
      </c>
      <c r="D4780">
        <v>6.2521559999999896</v>
      </c>
      <c r="E4780">
        <v>0.58958369999999904</v>
      </c>
      <c r="F4780" t="s">
        <v>47</v>
      </c>
      <c r="G4780">
        <v>-371.22109999999998</v>
      </c>
      <c r="H4780" s="1">
        <v>-5.5848859999999997E-6</v>
      </c>
      <c r="I4780">
        <v>149.33760000000001</v>
      </c>
      <c r="J4780">
        <v>-209.1301</v>
      </c>
      <c r="K4780">
        <v>1.1052040000000001</v>
      </c>
      <c r="L4780">
        <v>143.50960000000001</v>
      </c>
      <c r="M4780">
        <v>-0.96799650000000004</v>
      </c>
      <c r="N4780">
        <v>0</v>
      </c>
      <c r="O4780">
        <v>-0.25051109999999999</v>
      </c>
      <c r="P4780">
        <v>-0.98146460000000002</v>
      </c>
      <c r="Q4780">
        <v>-1.3025790000000001E-2</v>
      </c>
      <c r="R4780">
        <v>-0.19120129999999999</v>
      </c>
      <c r="S4780">
        <v>-3.0832980000000001</v>
      </c>
      <c r="T4780">
        <v>-2.0996689999999998E-2</v>
      </c>
      <c r="U4780">
        <v>0.1099854</v>
      </c>
      <c r="V4780">
        <v>6.0811909999999997E-2</v>
      </c>
      <c r="W4780">
        <v>1.299683E-3</v>
      </c>
      <c r="X4780">
        <v>0.99814840000000005</v>
      </c>
      <c r="Y4780">
        <v>0.28487970000000001</v>
      </c>
      <c r="Z4780">
        <v>2.6633239999999999E-3</v>
      </c>
      <c r="AA4780">
        <v>0.95855959999999996</v>
      </c>
      <c r="AB4780">
        <v>19</v>
      </c>
      <c r="AC4780">
        <v>-162.09099999999901</v>
      </c>
      <c r="AD4780">
        <v>-1.105209584886</v>
      </c>
      <c r="AE4780">
        <v>5.8280000000000003</v>
      </c>
      <c r="AF4780">
        <v>46.250179980462597</v>
      </c>
      <c r="AG4780">
        <v>-1.105209584886</v>
      </c>
      <c r="AH4780">
        <v>155.45396717503499</v>
      </c>
      <c r="AI4780">
        <v>90.390428287270893</v>
      </c>
      <c r="AJ4780">
        <v>73.431369616147705</v>
      </c>
      <c r="AK4780">
        <v>162.19197436035</v>
      </c>
      <c r="AL4780">
        <v>89.925533628653895</v>
      </c>
      <c r="AM4780">
        <v>86.513580172966002</v>
      </c>
      <c r="AN4780">
        <v>1.00000000299815</v>
      </c>
    </row>
    <row r="4781" spans="1:40" x14ac:dyDescent="0.25">
      <c r="A4781" t="str">
        <f>"20190312160738367"</f>
        <v>20190312160738367</v>
      </c>
      <c r="B4781" t="str">
        <f>"1552378058360574"</f>
        <v>1552378058360574</v>
      </c>
      <c r="C4781" t="s">
        <v>40</v>
      </c>
      <c r="D4781">
        <v>6.2325809999999997</v>
      </c>
      <c r="E4781">
        <v>0.58905669999999899</v>
      </c>
      <c r="F4781" t="s">
        <v>47</v>
      </c>
      <c r="G4781">
        <v>-352.3193</v>
      </c>
      <c r="H4781" s="1">
        <v>-5.2292599999999896E-6</v>
      </c>
      <c r="I4781">
        <v>149.43969999999999</v>
      </c>
      <c r="J4781">
        <v>-209.3228</v>
      </c>
      <c r="K4781">
        <v>1.1052959999999901</v>
      </c>
      <c r="L4781">
        <v>143.47210000000001</v>
      </c>
      <c r="M4781">
        <v>-0.97043570000000001</v>
      </c>
      <c r="N4781">
        <v>0</v>
      </c>
      <c r="O4781">
        <v>-0.2408911</v>
      </c>
      <c r="P4781">
        <v>-0.98284530000000003</v>
      </c>
      <c r="Q4781">
        <v>-1.351436E-2</v>
      </c>
      <c r="R4781">
        <v>-0.18393660000000001</v>
      </c>
      <c r="S4781">
        <v>-3.081207</v>
      </c>
      <c r="T4781">
        <v>-2.3782370000000001E-2</v>
      </c>
      <c r="U4781">
        <v>0.12760930000000001</v>
      </c>
      <c r="V4781">
        <v>5.8280100000000001E-2</v>
      </c>
      <c r="W4781">
        <v>8.2570709999999999E-4</v>
      </c>
      <c r="X4781">
        <v>0.99829999999999997</v>
      </c>
      <c r="Y4781">
        <v>0.28085759999999899</v>
      </c>
      <c r="Z4781">
        <v>2.9305630000000002E-3</v>
      </c>
      <c r="AA4781">
        <v>0.95974499999999996</v>
      </c>
      <c r="AB4781">
        <v>19</v>
      </c>
      <c r="AC4781">
        <v>-142.9965</v>
      </c>
      <c r="AD4781">
        <v>-1.10530122925999</v>
      </c>
      <c r="AE4781">
        <v>5.9675999999999698</v>
      </c>
      <c r="AF4781">
        <v>40.239904505021698</v>
      </c>
      <c r="AG4781">
        <v>-1.10530122925999</v>
      </c>
      <c r="AH4781">
        <v>137.33869878660599</v>
      </c>
      <c r="AI4781">
        <v>90.442504090317399</v>
      </c>
      <c r="AJ4781">
        <v>73.669543913093506</v>
      </c>
      <c r="AK4781">
        <v>143.116699898295</v>
      </c>
      <c r="AL4781">
        <v>89.952690466035506</v>
      </c>
      <c r="AM4781">
        <v>86.658902135682993</v>
      </c>
      <c r="AN4781">
        <v>1.0000000709241099</v>
      </c>
    </row>
    <row r="4782" spans="1:40" x14ac:dyDescent="0.25">
      <c r="A4782" t="str">
        <f>"20190312160738387"</f>
        <v>20190312160738387</v>
      </c>
      <c r="B4782" t="str">
        <f>"1552378058380095"</f>
        <v>1552378058380095</v>
      </c>
      <c r="C4782" t="s">
        <v>40</v>
      </c>
      <c r="D4782">
        <v>6.1248420000000001</v>
      </c>
      <c r="E4782">
        <v>0.58868920000000002</v>
      </c>
      <c r="F4782" t="s">
        <v>47</v>
      </c>
      <c r="G4782">
        <v>-338.59570000000002</v>
      </c>
      <c r="H4782">
        <v>1.5441299999999899E-2</v>
      </c>
      <c r="I4782">
        <v>149.6163</v>
      </c>
      <c r="J4782">
        <v>-209.5025</v>
      </c>
      <c r="K4782">
        <v>1.1053930000000001</v>
      </c>
      <c r="L4782">
        <v>143.43870000000001</v>
      </c>
      <c r="M4782">
        <v>-0.97258549999999999</v>
      </c>
      <c r="N4782">
        <v>0</v>
      </c>
      <c r="O4782">
        <v>-0.23206170000000001</v>
      </c>
      <c r="P4782">
        <v>-0.98407489999999997</v>
      </c>
      <c r="Q4782">
        <v>-1.3624310000000001E-2</v>
      </c>
      <c r="R4782">
        <v>-0.17723159999999999</v>
      </c>
      <c r="S4782">
        <v>-3.0794069999999998</v>
      </c>
      <c r="T4782">
        <v>-2.5961399999999999E-2</v>
      </c>
      <c r="U4782">
        <v>0.146362299999999</v>
      </c>
      <c r="V4782">
        <v>5.601105E-2</v>
      </c>
      <c r="W4782">
        <v>7.2700179999999996E-4</v>
      </c>
      <c r="X4782">
        <v>0.99842989999999998</v>
      </c>
      <c r="Y4782">
        <v>0.2779875</v>
      </c>
      <c r="Z4782">
        <v>3.115806E-3</v>
      </c>
      <c r="AA4782">
        <v>0.96057959999999998</v>
      </c>
      <c r="AB4782">
        <v>19</v>
      </c>
      <c r="AC4782">
        <v>-129.0932</v>
      </c>
      <c r="AD4782">
        <v>-1.0899517000000001</v>
      </c>
      <c r="AE4782">
        <v>6.1775999999999804</v>
      </c>
      <c r="AF4782">
        <v>35.9673169738697</v>
      </c>
      <c r="AG4782">
        <v>-1.0899517000000001</v>
      </c>
      <c r="AH4782">
        <v>124.12571611774899</v>
      </c>
      <c r="AI4782">
        <v>90.483226133727499</v>
      </c>
      <c r="AJ4782">
        <v>73.840249469592607</v>
      </c>
      <c r="AK4782">
        <v>129.23633114086499</v>
      </c>
      <c r="AL4782">
        <v>89.958345862147695</v>
      </c>
      <c r="AM4782">
        <v>86.7891220545023</v>
      </c>
      <c r="AN4782">
        <v>1.00000001573386</v>
      </c>
    </row>
    <row r="4783" spans="1:40" x14ac:dyDescent="0.25">
      <c r="A4783" t="str">
        <f>"20190312160738410"</f>
        <v>20190312160738410</v>
      </c>
      <c r="B4783" t="str">
        <f>"1552378058400592"</f>
        <v>1552378058400592</v>
      </c>
      <c r="C4783" t="s">
        <v>40</v>
      </c>
      <c r="D4783">
        <v>6.1969649999999996</v>
      </c>
      <c r="E4783">
        <v>0.58821000000000001</v>
      </c>
      <c r="F4783" t="s">
        <v>47</v>
      </c>
      <c r="G4783">
        <v>-343.39109999999999</v>
      </c>
      <c r="H4783">
        <v>7.9986429999999997E-2</v>
      </c>
      <c r="I4783">
        <v>150.58750000000001</v>
      </c>
      <c r="J4783">
        <v>-209.68719999999999</v>
      </c>
      <c r="K4783">
        <v>1.105513</v>
      </c>
      <c r="L4783">
        <v>143.4059</v>
      </c>
      <c r="M4783">
        <v>-0.97467090000000001</v>
      </c>
      <c r="N4783">
        <v>0</v>
      </c>
      <c r="O4783">
        <v>-0.22314320000000001</v>
      </c>
      <c r="P4783">
        <v>-0.98522989999999999</v>
      </c>
      <c r="Q4783">
        <v>-1.4173740000000001E-2</v>
      </c>
      <c r="R4783">
        <v>-0.17064939999999901</v>
      </c>
      <c r="S4783">
        <v>-3.0778050000000001</v>
      </c>
      <c r="T4783">
        <v>-2.3571849999999998E-2</v>
      </c>
      <c r="U4783">
        <v>0.16433719999999999</v>
      </c>
      <c r="V4783">
        <v>5.3531639999999998E-2</v>
      </c>
      <c r="W4783">
        <v>1.886527E-4</v>
      </c>
      <c r="X4783">
        <v>0.99856619999999996</v>
      </c>
      <c r="Y4783">
        <v>0.27480979999999999</v>
      </c>
      <c r="Z4783">
        <v>2.7511430000000002E-3</v>
      </c>
      <c r="AA4783">
        <v>0.96149470000000004</v>
      </c>
      <c r="AB4783">
        <v>19</v>
      </c>
      <c r="AC4783">
        <v>-133.7039</v>
      </c>
      <c r="AD4783">
        <v>-1.02552657</v>
      </c>
      <c r="AE4783">
        <v>7.1816000000000004</v>
      </c>
      <c r="AF4783">
        <v>36.836773294447099</v>
      </c>
      <c r="AG4783">
        <v>-1.02552657</v>
      </c>
      <c r="AH4783">
        <v>128.721626631276</v>
      </c>
      <c r="AI4783">
        <v>90.438850782077097</v>
      </c>
      <c r="AJ4783">
        <v>74.030259172348707</v>
      </c>
      <c r="AK4783">
        <v>133.892706052622</v>
      </c>
      <c r="AL4783">
        <v>89.989190997123103</v>
      </c>
      <c r="AM4783">
        <v>86.931396323732798</v>
      </c>
      <c r="AN4783">
        <v>1.0000000639266799</v>
      </c>
    </row>
    <row r="4784" spans="1:40" x14ac:dyDescent="0.25">
      <c r="A4784" t="str">
        <f>"20190312160738431"</f>
        <v>20190312160738431</v>
      </c>
      <c r="B4784" t="str">
        <f>"1552378058420114"</f>
        <v>1552378058420114</v>
      </c>
      <c r="C4784" t="s">
        <v>40</v>
      </c>
      <c r="D4784">
        <v>6.200793</v>
      </c>
      <c r="E4784">
        <v>0.58768949999999998</v>
      </c>
      <c r="F4784" t="s">
        <v>47</v>
      </c>
      <c r="G4784">
        <v>-351.56580000000002</v>
      </c>
      <c r="H4784">
        <v>7.9985929999999997E-2</v>
      </c>
      <c r="I4784">
        <v>151.7577</v>
      </c>
      <c r="J4784">
        <v>-209.86269999999999</v>
      </c>
      <c r="K4784">
        <v>1.1056469999999901</v>
      </c>
      <c r="L4784">
        <v>143.37620000000001</v>
      </c>
      <c r="M4784">
        <v>-0.97653540000000005</v>
      </c>
      <c r="N4784">
        <v>0</v>
      </c>
      <c r="O4784">
        <v>-0.21483830000000001</v>
      </c>
      <c r="P4784">
        <v>-0.98629750000000005</v>
      </c>
      <c r="Q4784">
        <v>-1.430142E-2</v>
      </c>
      <c r="R4784">
        <v>-0.164356</v>
      </c>
      <c r="S4784">
        <v>-3.0760350000000001</v>
      </c>
      <c r="T4784">
        <v>-2.2234199999999999E-2</v>
      </c>
      <c r="U4784">
        <v>0.18107599999999999</v>
      </c>
      <c r="V4784">
        <v>5.1404520000000002E-2</v>
      </c>
      <c r="W4784" s="1">
        <v>6.7451269999999994E-5</v>
      </c>
      <c r="X4784">
        <v>0.99867790000000001</v>
      </c>
      <c r="Y4784">
        <v>0.27187080000000002</v>
      </c>
      <c r="Z4784">
        <v>2.526702E-3</v>
      </c>
      <c r="AA4784">
        <v>0.96233049999999998</v>
      </c>
      <c r="AB4784">
        <v>18</v>
      </c>
      <c r="AC4784">
        <v>-141.70310000000001</v>
      </c>
      <c r="AD4784">
        <v>-1.02566106999999</v>
      </c>
      <c r="AE4784">
        <v>8.3814999999999795</v>
      </c>
      <c r="AF4784">
        <v>38.630377791280402</v>
      </c>
      <c r="AG4784">
        <v>-1.02566106999999</v>
      </c>
      <c r="AH4784">
        <v>136.58553439897599</v>
      </c>
      <c r="AI4784">
        <v>90.414003391001103</v>
      </c>
      <c r="AJ4784">
        <v>74.207547671293199</v>
      </c>
      <c r="AK4784">
        <v>141.947054481527</v>
      </c>
      <c r="AL4784">
        <v>89.996135326859104</v>
      </c>
      <c r="AM4784">
        <v>87.053439265413104</v>
      </c>
      <c r="AN4784">
        <v>0.99999998858725703</v>
      </c>
    </row>
    <row r="4785" spans="1:40" x14ac:dyDescent="0.25">
      <c r="A4785" t="str">
        <f>"20190312160738454"</f>
        <v>20190312160738454</v>
      </c>
      <c r="B4785" t="str">
        <f>"1552378058450366"</f>
        <v>1552378058450366</v>
      </c>
      <c r="C4785" t="s">
        <v>40</v>
      </c>
      <c r="D4785">
        <v>6.3916519999999997</v>
      </c>
      <c r="E4785">
        <v>0.58690569999999997</v>
      </c>
      <c r="F4785" t="s">
        <v>47</v>
      </c>
      <c r="G4785">
        <v>-365.76499999999999</v>
      </c>
      <c r="H4785">
        <v>7.9985769999999998E-2</v>
      </c>
      <c r="I4785">
        <v>153.33629999999999</v>
      </c>
      <c r="J4785">
        <v>-210.04810000000001</v>
      </c>
      <c r="K4785">
        <v>1.1058059999999901</v>
      </c>
      <c r="L4785">
        <v>143.34620000000001</v>
      </c>
      <c r="M4785">
        <v>-0.97838630000000004</v>
      </c>
      <c r="N4785">
        <v>0</v>
      </c>
      <c r="O4785">
        <v>-0.20624899999999999</v>
      </c>
      <c r="P4785">
        <v>-0.98736389999999996</v>
      </c>
      <c r="Q4785">
        <v>-1.4112400000000001E-2</v>
      </c>
      <c r="R4785">
        <v>-0.15784089999999901</v>
      </c>
      <c r="S4785">
        <v>-3.0740970000000001</v>
      </c>
      <c r="T4785">
        <v>-2.022409E-2</v>
      </c>
      <c r="U4785">
        <v>0.19639590000000001</v>
      </c>
      <c r="V4785">
        <v>4.9224270000000001E-2</v>
      </c>
      <c r="W4785">
        <v>2.6113189999999999E-4</v>
      </c>
      <c r="X4785">
        <v>0.99878769999999994</v>
      </c>
      <c r="Y4785">
        <v>0.26822829999999998</v>
      </c>
      <c r="Z4785">
        <v>2.2319229999999998E-3</v>
      </c>
      <c r="AA4785">
        <v>0.96335280000000001</v>
      </c>
      <c r="AB4785">
        <v>18</v>
      </c>
      <c r="AC4785">
        <v>-155.71689999999899</v>
      </c>
      <c r="AD4785">
        <v>-1.0258202300000001</v>
      </c>
      <c r="AE4785">
        <v>9.9900999999999804</v>
      </c>
      <c r="AF4785">
        <v>41.8934634492974</v>
      </c>
      <c r="AG4785">
        <v>-1.0258202300000001</v>
      </c>
      <c r="AH4785">
        <v>150.30099229874901</v>
      </c>
      <c r="AI4785">
        <v>90.376685346876499</v>
      </c>
      <c r="AJ4785">
        <v>74.425227319276004</v>
      </c>
      <c r="AK4785">
        <v>156.03365942292899</v>
      </c>
      <c r="AL4785">
        <v>89.985038243814003</v>
      </c>
      <c r="AM4785">
        <v>87.178516730303897</v>
      </c>
      <c r="AN4785">
        <v>0.99999998330909501</v>
      </c>
    </row>
    <row r="4786" spans="1:40" x14ac:dyDescent="0.25">
      <c r="A4786" t="str">
        <f>"20190312160738477"</f>
        <v>20190312160738477</v>
      </c>
      <c r="B4786" t="str">
        <f>"1552378058469886"</f>
        <v>1552378058469886</v>
      </c>
      <c r="C4786" t="s">
        <v>40</v>
      </c>
      <c r="D4786">
        <v>6.365799</v>
      </c>
      <c r="E4786">
        <v>0.58630950000000004</v>
      </c>
      <c r="F4786" t="s">
        <v>45</v>
      </c>
      <c r="G4786">
        <v>-401.14080000000001</v>
      </c>
      <c r="H4786">
        <v>-0.05</v>
      </c>
      <c r="I4786">
        <v>156.4409</v>
      </c>
      <c r="J4786">
        <v>-210.2431</v>
      </c>
      <c r="K4786">
        <v>1.1059810000000001</v>
      </c>
      <c r="L4786">
        <v>143.31630000000001</v>
      </c>
      <c r="M4786">
        <v>-0.98019489999999998</v>
      </c>
      <c r="N4786">
        <v>0</v>
      </c>
      <c r="O4786">
        <v>-0.1974774</v>
      </c>
      <c r="P4786">
        <v>-0.98849529999999997</v>
      </c>
      <c r="Q4786">
        <v>-1.417477E-2</v>
      </c>
      <c r="R4786">
        <v>-0.1505862</v>
      </c>
      <c r="S4786">
        <v>-3.071777</v>
      </c>
      <c r="T4786">
        <v>-1.857936E-2</v>
      </c>
      <c r="U4786">
        <v>0.21049499999999999</v>
      </c>
      <c r="V4786">
        <v>4.7611170000000001E-2</v>
      </c>
      <c r="W4786">
        <v>1.934211E-4</v>
      </c>
      <c r="X4786">
        <v>0.99886589999999997</v>
      </c>
      <c r="Y4786">
        <v>0.26404729999999998</v>
      </c>
      <c r="Z4786">
        <v>1.9868249999999998E-3</v>
      </c>
      <c r="AA4786">
        <v>0.96450769999999997</v>
      </c>
      <c r="AB4786">
        <v>18</v>
      </c>
      <c r="AC4786">
        <v>-190.89769999999999</v>
      </c>
      <c r="AD4786">
        <v>-1.1559809999999999</v>
      </c>
      <c r="AE4786">
        <v>13.1245999999999</v>
      </c>
      <c r="AF4786">
        <v>50.566380802776401</v>
      </c>
      <c r="AG4786">
        <v>-1.1559809999999999</v>
      </c>
      <c r="AH4786">
        <v>184.53876472198701</v>
      </c>
      <c r="AI4786">
        <v>90.346145904108596</v>
      </c>
      <c r="AJ4786">
        <v>74.676232916651202</v>
      </c>
      <c r="AK4786">
        <v>191.344847970047</v>
      </c>
      <c r="AL4786">
        <v>89.988917786938998</v>
      </c>
      <c r="AM4786">
        <v>87.271049106755001</v>
      </c>
      <c r="AN4786">
        <v>0.99999997355165005</v>
      </c>
    </row>
    <row r="4787" spans="1:40" x14ac:dyDescent="0.25">
      <c r="A4787" t="str">
        <f>"20190312160738499"</f>
        <v>20190312160738499</v>
      </c>
      <c r="B4787" t="str">
        <f>"1552378058490382"</f>
        <v>1552378058490382</v>
      </c>
      <c r="C4787" t="s">
        <v>40</v>
      </c>
      <c r="D4787">
        <v>6.3391260000000003</v>
      </c>
      <c r="E4787">
        <v>0.58565509999999998</v>
      </c>
      <c r="F4787" t="s">
        <v>45</v>
      </c>
      <c r="G4787">
        <v>-385.2439</v>
      </c>
      <c r="H4787">
        <v>-0.05</v>
      </c>
      <c r="I4787">
        <v>156.3407</v>
      </c>
      <c r="J4787">
        <v>-210.42269999999999</v>
      </c>
      <c r="K4787">
        <v>1.1061350000000001</v>
      </c>
      <c r="L4787">
        <v>143.29</v>
      </c>
      <c r="M4787">
        <v>-0.98174609999999995</v>
      </c>
      <c r="N4787">
        <v>0</v>
      </c>
      <c r="O4787">
        <v>-0.18961980000000001</v>
      </c>
      <c r="P4787">
        <v>-0.98948069999999999</v>
      </c>
      <c r="Q4787">
        <v>-1.4108549999999999E-2</v>
      </c>
      <c r="R4787">
        <v>-0.14397699999999999</v>
      </c>
      <c r="S4787">
        <v>-3.0694119999999998</v>
      </c>
      <c r="T4787">
        <v>-2.027524E-2</v>
      </c>
      <c r="U4787">
        <v>0.22843930000000001</v>
      </c>
      <c r="V4787">
        <v>4.628587E-2</v>
      </c>
      <c r="W4787">
        <v>2.5111829999999998E-4</v>
      </c>
      <c r="X4787">
        <v>0.99892820000000004</v>
      </c>
      <c r="Y4787">
        <v>0.26198009999999999</v>
      </c>
      <c r="Z4787">
        <v>2.111487E-3</v>
      </c>
      <c r="AA4787">
        <v>0.96507100000000001</v>
      </c>
      <c r="AB4787">
        <v>18</v>
      </c>
      <c r="AC4787">
        <v>-174.8212</v>
      </c>
      <c r="AD4787">
        <v>-1.1561349999999999</v>
      </c>
      <c r="AE4787">
        <v>13.050700000000001</v>
      </c>
      <c r="AF4787">
        <v>45.965067648658</v>
      </c>
      <c r="AG4787">
        <v>-1.1561349999999999</v>
      </c>
      <c r="AH4787">
        <v>169.16652202519401</v>
      </c>
      <c r="AI4787">
        <v>90.377870423743005</v>
      </c>
      <c r="AJ4787">
        <v>74.798883177906205</v>
      </c>
      <c r="AK4787">
        <v>175.30383985008501</v>
      </c>
      <c r="AL4787">
        <v>89.985611981054006</v>
      </c>
      <c r="AM4787">
        <v>87.347067064220596</v>
      </c>
      <c r="AN4787">
        <v>0.99999999678864804</v>
      </c>
    </row>
    <row r="4788" spans="1:40" x14ac:dyDescent="0.25">
      <c r="A4788" t="str">
        <f>"20190312160738521"</f>
        <v>20190312160738521</v>
      </c>
      <c r="B4788" t="str">
        <f>"1552378058509902"</f>
        <v>1552378058509902</v>
      </c>
      <c r="C4788" t="s">
        <v>40</v>
      </c>
      <c r="D4788">
        <v>6.3363040000000002</v>
      </c>
      <c r="E4788">
        <v>0.58497200000000005</v>
      </c>
      <c r="F4788" t="s">
        <v>45</v>
      </c>
      <c r="G4788">
        <v>-378.59980000000002</v>
      </c>
      <c r="H4788">
        <v>-0.05</v>
      </c>
      <c r="I4788">
        <v>156.65780000000001</v>
      </c>
      <c r="J4788">
        <v>-210.60659999999999</v>
      </c>
      <c r="K4788">
        <v>1.1062799999999999</v>
      </c>
      <c r="L4788">
        <v>143.26429999999999</v>
      </c>
      <c r="M4788">
        <v>-0.98322980000000004</v>
      </c>
      <c r="N4788">
        <v>0</v>
      </c>
      <c r="O4788">
        <v>-0.18177209999999999</v>
      </c>
      <c r="P4788">
        <v>-0.99040589999999995</v>
      </c>
      <c r="Q4788">
        <v>-1.3941449999999999E-2</v>
      </c>
      <c r="R4788">
        <v>-0.13748540000000001</v>
      </c>
      <c r="S4788">
        <v>-3.067062</v>
      </c>
      <c r="T4788">
        <v>-2.1084550000000001E-2</v>
      </c>
      <c r="U4788">
        <v>0.2437897</v>
      </c>
      <c r="V4788">
        <v>4.48589E-2</v>
      </c>
      <c r="W4788">
        <v>4.0752090000000001E-4</v>
      </c>
      <c r="X4788">
        <v>0.99899329999999997</v>
      </c>
      <c r="Y4788">
        <v>0.25912619999999997</v>
      </c>
      <c r="Z4788">
        <v>2.1340339999999999E-3</v>
      </c>
      <c r="AA4788">
        <v>0.96584110000000001</v>
      </c>
      <c r="AB4788">
        <v>18</v>
      </c>
      <c r="AC4788">
        <v>-167.9932</v>
      </c>
      <c r="AD4788">
        <v>-1.15628</v>
      </c>
      <c r="AE4788">
        <v>13.3935</v>
      </c>
      <c r="AF4788">
        <v>43.708073580016503</v>
      </c>
      <c r="AG4788">
        <v>-1.15628</v>
      </c>
      <c r="AH4788">
        <v>162.75144120511101</v>
      </c>
      <c r="AI4788">
        <v>90.393125926230397</v>
      </c>
      <c r="AJ4788">
        <v>74.967501529474006</v>
      </c>
      <c r="AK4788">
        <v>168.52229613275301</v>
      </c>
      <c r="AL4788">
        <v>89.976650772892796</v>
      </c>
      <c r="AM4788">
        <v>87.428911470618999</v>
      </c>
      <c r="AN4788">
        <v>1.0000000502136901</v>
      </c>
    </row>
    <row r="4789" spans="1:40" x14ac:dyDescent="0.25">
      <c r="A4789" t="str">
        <f>"20190312160738545"</f>
        <v>20190312160738545</v>
      </c>
      <c r="B4789" t="str">
        <f>"1552378058540158"</f>
        <v>1552378058540158</v>
      </c>
      <c r="C4789" t="s">
        <v>40</v>
      </c>
      <c r="D4789">
        <v>6.3898239999999999</v>
      </c>
      <c r="E4789">
        <v>0.58396700000000001</v>
      </c>
      <c r="F4789" t="s">
        <v>45</v>
      </c>
      <c r="G4789">
        <v>-379.7561</v>
      </c>
      <c r="H4789">
        <v>-0.05</v>
      </c>
      <c r="I4789">
        <v>157.5335</v>
      </c>
      <c r="J4789">
        <v>-210.79470000000001</v>
      </c>
      <c r="K4789">
        <v>1.106411</v>
      </c>
      <c r="L4789">
        <v>143.23929999999999</v>
      </c>
      <c r="M4789">
        <v>-0.98464300000000005</v>
      </c>
      <c r="N4789">
        <v>0</v>
      </c>
      <c r="O4789">
        <v>-0.17395679999999999</v>
      </c>
      <c r="P4789">
        <v>-0.99132980000000004</v>
      </c>
      <c r="Q4789">
        <v>-1.410659E-2</v>
      </c>
      <c r="R4789">
        <v>-0.130636999999999</v>
      </c>
      <c r="S4789">
        <v>-3.064651</v>
      </c>
      <c r="T4789">
        <v>-2.0949479999999999E-2</v>
      </c>
      <c r="U4789">
        <v>0.25852969999999997</v>
      </c>
      <c r="V4789">
        <v>4.3826179999999999E-2</v>
      </c>
      <c r="W4789">
        <v>2.2584600000000001E-4</v>
      </c>
      <c r="X4789">
        <v>0.99903920000000002</v>
      </c>
      <c r="Y4789">
        <v>0.25612800000000002</v>
      </c>
      <c r="Z4789">
        <v>2.0586329999999998E-3</v>
      </c>
      <c r="AA4789">
        <v>0.96664070000000002</v>
      </c>
      <c r="AB4789">
        <v>18</v>
      </c>
      <c r="AC4789">
        <v>-168.9614</v>
      </c>
      <c r="AD4789">
        <v>-1.1564110000000001</v>
      </c>
      <c r="AE4789">
        <v>14.2942</v>
      </c>
      <c r="AF4789">
        <v>43.469367775790602</v>
      </c>
      <c r="AG4789">
        <v>-1.1564110000000001</v>
      </c>
      <c r="AH4789">
        <v>163.89026366002801</v>
      </c>
      <c r="AI4789">
        <v>90.390761867015996</v>
      </c>
      <c r="AJ4789">
        <v>75.145214324295296</v>
      </c>
      <c r="AK4789">
        <v>169.56102660629699</v>
      </c>
      <c r="AL4789">
        <v>89.987059977970105</v>
      </c>
      <c r="AM4789">
        <v>87.488140385254297</v>
      </c>
      <c r="AN4789">
        <v>1.0000000540982199</v>
      </c>
    </row>
    <row r="4790" spans="1:40" x14ac:dyDescent="0.25">
      <c r="A4790" t="str">
        <f>"20190312160738568"</f>
        <v>20190312160738568</v>
      </c>
      <c r="B4790" t="str">
        <f>"1552378058559679"</f>
        <v>1552378058559679</v>
      </c>
      <c r="C4790" t="s">
        <v>40</v>
      </c>
      <c r="D4790">
        <v>6.3896499999999996</v>
      </c>
      <c r="E4790">
        <v>0.58327839999999997</v>
      </c>
      <c r="F4790" t="s">
        <v>45</v>
      </c>
      <c r="G4790">
        <v>-362.9581</v>
      </c>
      <c r="H4790">
        <v>-0.05</v>
      </c>
      <c r="I4790">
        <v>156.7483</v>
      </c>
      <c r="J4790">
        <v>-210.99010000000001</v>
      </c>
      <c r="K4790">
        <v>1.106533</v>
      </c>
      <c r="L4790">
        <v>143.21459999999999</v>
      </c>
      <c r="M4790">
        <v>-0.98600290000000002</v>
      </c>
      <c r="N4790">
        <v>0</v>
      </c>
      <c r="O4790">
        <v>-0.16608029999999999</v>
      </c>
      <c r="P4790">
        <v>-0.99214139999999995</v>
      </c>
      <c r="Q4790">
        <v>-1.396359E-2</v>
      </c>
      <c r="R4790">
        <v>-0.12434000000000001</v>
      </c>
      <c r="S4790">
        <v>-3.0617369999999999</v>
      </c>
      <c r="T4790">
        <v>-2.3268580000000001E-2</v>
      </c>
      <c r="U4790">
        <v>0.27182009999999901</v>
      </c>
      <c r="V4790">
        <v>4.2184630000000001E-2</v>
      </c>
      <c r="W4790">
        <v>3.5697620000000002E-4</v>
      </c>
      <c r="X4790">
        <v>0.99910969999999999</v>
      </c>
      <c r="Y4790">
        <v>0.252639</v>
      </c>
      <c r="Z4790">
        <v>2.215842E-3</v>
      </c>
      <c r="AA4790">
        <v>0.96755809999999998</v>
      </c>
      <c r="AB4790">
        <v>18</v>
      </c>
      <c r="AC4790">
        <v>-151.96799999999999</v>
      </c>
      <c r="AD4790">
        <v>-1.156533</v>
      </c>
      <c r="AE4790">
        <v>13.5337</v>
      </c>
      <c r="AF4790">
        <v>38.585101529319402</v>
      </c>
      <c r="AG4790">
        <v>-1.156533</v>
      </c>
      <c r="AH4790">
        <v>147.600640557764</v>
      </c>
      <c r="AI4790">
        <v>90.434339917607204</v>
      </c>
      <c r="AJ4790">
        <v>75.349840925274506</v>
      </c>
      <c r="AK4790">
        <v>152.56505734168101</v>
      </c>
      <c r="AL4790">
        <v>89.979546768518603</v>
      </c>
      <c r="AM4790">
        <v>87.582280986636604</v>
      </c>
      <c r="AN4790">
        <v>0.99999993153716404</v>
      </c>
    </row>
    <row r="4791" spans="1:40" x14ac:dyDescent="0.25">
      <c r="A4791" t="str">
        <f>"20190312160738601"</f>
        <v>20190312160738601</v>
      </c>
      <c r="B4791" t="str">
        <f>"1552378058589934"</f>
        <v>1552378058589934</v>
      </c>
      <c r="C4791" t="s">
        <v>40</v>
      </c>
      <c r="D4791">
        <v>6.4503370000000002</v>
      </c>
      <c r="E4791">
        <v>0.58223279999999999</v>
      </c>
      <c r="F4791" t="s">
        <v>47</v>
      </c>
      <c r="G4791">
        <v>-330.13709999999998</v>
      </c>
      <c r="H4791">
        <v>7.9985189999999998E-2</v>
      </c>
      <c r="I4791">
        <v>154.35140000000001</v>
      </c>
      <c r="J4791">
        <v>-211.2586</v>
      </c>
      <c r="K4791">
        <v>1.1067149999999999</v>
      </c>
      <c r="L4791">
        <v>143.18289999999999</v>
      </c>
      <c r="M4791">
        <v>-0.98769929999999995</v>
      </c>
      <c r="N4791">
        <v>0</v>
      </c>
      <c r="O4791">
        <v>-0.15568029999999999</v>
      </c>
      <c r="P4791">
        <v>-0.99319500000000005</v>
      </c>
      <c r="Q4791">
        <v>-1.364547E-2</v>
      </c>
      <c r="R4791">
        <v>-0.1156629</v>
      </c>
      <c r="S4791">
        <v>-3.05925</v>
      </c>
      <c r="T4791">
        <v>-2.6357889999999998E-2</v>
      </c>
      <c r="U4791">
        <v>0.28594969999999997</v>
      </c>
      <c r="V4791">
        <v>4.0391679999999999E-2</v>
      </c>
      <c r="W4791">
        <v>6.5356889999999997E-4</v>
      </c>
      <c r="X4791">
        <v>0.99918370000000001</v>
      </c>
      <c r="Y4791">
        <v>0.2469363</v>
      </c>
      <c r="Z4791">
        <v>2.3982890000000001E-3</v>
      </c>
      <c r="AA4791">
        <v>0.96902869999999997</v>
      </c>
      <c r="AB4791">
        <v>18</v>
      </c>
      <c r="AC4791">
        <v>-118.87849999999899</v>
      </c>
      <c r="AD4791">
        <v>-1.02672981</v>
      </c>
      <c r="AE4791">
        <v>11.1685</v>
      </c>
      <c r="AF4791">
        <v>29.539133207222001</v>
      </c>
      <c r="AG4791">
        <v>-1.02672981</v>
      </c>
      <c r="AH4791">
        <v>115.681306395975</v>
      </c>
      <c r="AI4791">
        <v>90.492706936189407</v>
      </c>
      <c r="AJ4791">
        <v>75.675661669615295</v>
      </c>
      <c r="AK4791">
        <v>119.397567873957</v>
      </c>
      <c r="AL4791">
        <v>89.962553257393097</v>
      </c>
      <c r="AM4791">
        <v>87.685096945143101</v>
      </c>
      <c r="AN4791">
        <v>0.99999999065560896</v>
      </c>
    </row>
    <row r="4792" spans="1:40" x14ac:dyDescent="0.25">
      <c r="A4792" t="str">
        <f>"20190312160738624"</f>
        <v>20190312160738624</v>
      </c>
      <c r="B4792" t="str">
        <f>"1552378058620191"</f>
        <v>1552378058620191</v>
      </c>
      <c r="C4792" t="s">
        <v>40</v>
      </c>
      <c r="D4792">
        <v>6.3322909999999997</v>
      </c>
      <c r="E4792">
        <v>0.58126639999999996</v>
      </c>
      <c r="F4792" t="s">
        <v>47</v>
      </c>
      <c r="G4792">
        <v>-322.55399999999997</v>
      </c>
      <c r="H4792">
        <v>7.9986340000000003E-2</v>
      </c>
      <c r="I4792">
        <v>154.27809999999999</v>
      </c>
      <c r="J4792">
        <v>-211.43860000000001</v>
      </c>
      <c r="K4792">
        <v>1.106849</v>
      </c>
      <c r="L4792">
        <v>143.16290000000001</v>
      </c>
      <c r="M4792">
        <v>-0.98873540000000004</v>
      </c>
      <c r="N4792">
        <v>0</v>
      </c>
      <c r="O4792">
        <v>-0.1489605</v>
      </c>
      <c r="P4792">
        <v>-0.99382139999999997</v>
      </c>
      <c r="Q4792">
        <v>-1.399888E-2</v>
      </c>
      <c r="R4792">
        <v>-0.1101056</v>
      </c>
      <c r="S4792">
        <v>-3.0556640000000002</v>
      </c>
      <c r="T4792">
        <v>-2.81893E-2</v>
      </c>
      <c r="U4792">
        <v>0.30462650000000002</v>
      </c>
      <c r="V4792">
        <v>3.918253E-2</v>
      </c>
      <c r="W4792">
        <v>2.8640440000000001E-4</v>
      </c>
      <c r="X4792">
        <v>0.99923209999999996</v>
      </c>
      <c r="Y4792">
        <v>0.2463185</v>
      </c>
      <c r="Z4792">
        <v>2.5029649999999998E-3</v>
      </c>
      <c r="AA4792">
        <v>0.96918570000000004</v>
      </c>
      <c r="AB4792">
        <v>18</v>
      </c>
      <c r="AC4792">
        <v>-111.11539999999999</v>
      </c>
      <c r="AD4792">
        <v>-1.0268626599999999</v>
      </c>
      <c r="AE4792">
        <v>11.1151999999999</v>
      </c>
      <c r="AF4792">
        <v>27.542403091369099</v>
      </c>
      <c r="AG4792">
        <v>-1.0268626599999999</v>
      </c>
      <c r="AH4792">
        <v>108.21038394609501</v>
      </c>
      <c r="AI4792">
        <v>90.526893833056405</v>
      </c>
      <c r="AJ4792">
        <v>75.719927778735098</v>
      </c>
      <c r="AK4792">
        <v>111.665239034945</v>
      </c>
      <c r="AL4792">
        <v>89.983590237589695</v>
      </c>
      <c r="AM4792">
        <v>87.754431625427102</v>
      </c>
      <c r="AN4792">
        <v>1.0000000711775401</v>
      </c>
    </row>
    <row r="4793" spans="1:40" x14ac:dyDescent="0.25">
      <c r="A4793" t="str">
        <f>"20190312160738644"</f>
        <v>20190312160738644</v>
      </c>
      <c r="B4793" t="str">
        <f>"1552378058639709"</f>
        <v>1552378058639709</v>
      </c>
      <c r="C4793" t="s">
        <v>40</v>
      </c>
      <c r="D4793">
        <v>6.2979770000000004</v>
      </c>
      <c r="E4793">
        <v>0.58049200000000001</v>
      </c>
      <c r="F4793" t="s">
        <v>89</v>
      </c>
      <c r="G4793">
        <v>-319.07920000000001</v>
      </c>
      <c r="H4793">
        <v>7.9985100000000003E-2</v>
      </c>
      <c r="I4793">
        <v>154.2328</v>
      </c>
      <c r="J4793">
        <v>-211.6121</v>
      </c>
      <c r="K4793">
        <v>1.1069739999999999</v>
      </c>
      <c r="L4793">
        <v>143.14449999999999</v>
      </c>
      <c r="M4793">
        <v>-0.98966589999999999</v>
      </c>
      <c r="N4793">
        <v>0</v>
      </c>
      <c r="O4793">
        <v>-0.14265129999999901</v>
      </c>
      <c r="P4793">
        <v>-0.99440410000000001</v>
      </c>
      <c r="Q4793">
        <v>-1.4732E-2</v>
      </c>
      <c r="R4793">
        <v>-0.1046116</v>
      </c>
      <c r="S4793">
        <v>-3.0530400000000002</v>
      </c>
      <c r="T4793">
        <v>-2.9125209999999999E-2</v>
      </c>
      <c r="U4793">
        <v>0.31398009999999998</v>
      </c>
      <c r="V4793">
        <v>3.8324240000000002E-2</v>
      </c>
      <c r="W4793">
        <v>-4.6207060000000001E-4</v>
      </c>
      <c r="X4793">
        <v>0.99926530000000002</v>
      </c>
      <c r="Y4793">
        <v>0.24315619999999999</v>
      </c>
      <c r="Z4793">
        <v>2.5131400000000001E-3</v>
      </c>
      <c r="AA4793">
        <v>0.96998390000000001</v>
      </c>
      <c r="AB4793">
        <v>18</v>
      </c>
      <c r="AC4793">
        <v>-107.4671</v>
      </c>
      <c r="AD4793">
        <v>-1.0269889000000001</v>
      </c>
      <c r="AE4793">
        <v>11.0883</v>
      </c>
      <c r="AF4793">
        <v>26.304445864655602</v>
      </c>
      <c r="AG4793">
        <v>-1.0269889000000001</v>
      </c>
      <c r="AH4793">
        <v>104.776404693665</v>
      </c>
      <c r="AI4793">
        <v>90.544677606389001</v>
      </c>
      <c r="AJ4793">
        <v>75.906979341505505</v>
      </c>
      <c r="AK4793">
        <v>108.03274299478799</v>
      </c>
      <c r="AL4793">
        <v>90.026474694826604</v>
      </c>
      <c r="AM4793">
        <v>87.803644798603003</v>
      </c>
      <c r="AN4793">
        <v>1.00000005033245</v>
      </c>
    </row>
    <row r="4794" spans="1:40" x14ac:dyDescent="0.25">
      <c r="A4794" t="str">
        <f>"20190312160738668"</f>
        <v>20190312160738668</v>
      </c>
      <c r="B4794" t="str">
        <f>"1552378058660206"</f>
        <v>1552378058660206</v>
      </c>
      <c r="C4794" t="s">
        <v>40</v>
      </c>
      <c r="D4794">
        <v>6.1259589999999999</v>
      </c>
      <c r="E4794">
        <v>0.58015479999999997</v>
      </c>
      <c r="F4794" t="s">
        <v>89</v>
      </c>
      <c r="G4794">
        <v>-309.98239999999998</v>
      </c>
      <c r="H4794">
        <v>7.4031739999999999E-2</v>
      </c>
      <c r="I4794">
        <v>153.61619999999999</v>
      </c>
      <c r="J4794">
        <v>-211.80070000000001</v>
      </c>
      <c r="K4794">
        <v>1.1071070000000001</v>
      </c>
      <c r="L4794">
        <v>143.12559999999999</v>
      </c>
      <c r="M4794">
        <v>-0.99060199999999998</v>
      </c>
      <c r="N4794">
        <v>0</v>
      </c>
      <c r="O4794">
        <v>-0.13600219999999999</v>
      </c>
      <c r="P4794">
        <v>-0.99498710000000001</v>
      </c>
      <c r="Q4794">
        <v>-1.492636E-2</v>
      </c>
      <c r="R4794">
        <v>-9.8883189999999996E-2</v>
      </c>
      <c r="S4794">
        <v>-3.0505680000000002</v>
      </c>
      <c r="T4794">
        <v>-3.2032610000000003E-2</v>
      </c>
      <c r="U4794">
        <v>0.32473750000000001</v>
      </c>
      <c r="V4794">
        <v>3.7366610000000001E-2</v>
      </c>
      <c r="W4794">
        <v>-6.7184020000000001E-4</v>
      </c>
      <c r="X4794">
        <v>0.99930140000000001</v>
      </c>
      <c r="Y4794">
        <v>0.2401015</v>
      </c>
      <c r="Z4794">
        <v>2.6804519999999998E-3</v>
      </c>
      <c r="AA4794">
        <v>0.9707441</v>
      </c>
      <c r="AB4794">
        <v>18</v>
      </c>
      <c r="AC4794">
        <v>-98.181699999999907</v>
      </c>
      <c r="AD4794">
        <v>-1.0330752599999999</v>
      </c>
      <c r="AE4794">
        <v>10.490600000000001</v>
      </c>
      <c r="AF4794">
        <v>23.7448437547535</v>
      </c>
      <c r="AG4794">
        <v>-1.0330752599999999</v>
      </c>
      <c r="AH4794">
        <v>95.831869228097702</v>
      </c>
      <c r="AI4794">
        <v>90.599502059818604</v>
      </c>
      <c r="AJ4794">
        <v>76.083745650356803</v>
      </c>
      <c r="AK4794">
        <v>98.735160956883604</v>
      </c>
      <c r="AL4794">
        <v>90.0384936108061</v>
      </c>
      <c r="AM4794">
        <v>87.858551937116701</v>
      </c>
      <c r="AN4794">
        <v>1.00000000147705</v>
      </c>
    </row>
    <row r="4795" spans="1:40" x14ac:dyDescent="0.25">
      <c r="A4795" t="str">
        <f>"20190312160738690"</f>
        <v>20190312160738690</v>
      </c>
      <c r="B4795" t="str">
        <f>"1552378058679726"</f>
        <v>1552378058679726</v>
      </c>
      <c r="C4795" t="s">
        <v>40</v>
      </c>
      <c r="D4795">
        <v>6.7131919999999896</v>
      </c>
      <c r="E4795">
        <v>0.55298689999999995</v>
      </c>
      <c r="F4795" t="s">
        <v>89</v>
      </c>
      <c r="G4795">
        <v>-309.9581</v>
      </c>
      <c r="H4795">
        <v>6.5539159999999999E-3</v>
      </c>
      <c r="I4795">
        <v>154.06610000000001</v>
      </c>
      <c r="J4795">
        <v>-211.98580000000001</v>
      </c>
      <c r="K4795">
        <v>1.1072310000000001</v>
      </c>
      <c r="L4795">
        <v>143.108</v>
      </c>
      <c r="M4795">
        <v>-0.99144659999999996</v>
      </c>
      <c r="N4795">
        <v>0</v>
      </c>
      <c r="O4795">
        <v>-0.12970599999999999</v>
      </c>
      <c r="P4795">
        <v>-0.99554739999999997</v>
      </c>
      <c r="Q4795">
        <v>-1.4376949999999999E-2</v>
      </c>
      <c r="R4795">
        <v>-9.3162599999999998E-2</v>
      </c>
      <c r="S4795">
        <v>-3.0483859999999998</v>
      </c>
      <c r="T4795">
        <v>-3.4178849999999997E-2</v>
      </c>
      <c r="U4795">
        <v>0.3397675</v>
      </c>
      <c r="V4795">
        <v>3.6766609999999998E-2</v>
      </c>
      <c r="W4795">
        <v>-1.3966399999999901E-4</v>
      </c>
      <c r="X4795">
        <v>0.99932379999999998</v>
      </c>
      <c r="Y4795">
        <v>0.23873469999999999</v>
      </c>
      <c r="Z4795">
        <v>2.783631E-3</v>
      </c>
      <c r="AA4795">
        <v>0.97108079999999997</v>
      </c>
      <c r="AB4795">
        <v>18</v>
      </c>
      <c r="AC4795">
        <v>-97.972300000000004</v>
      </c>
      <c r="AD4795">
        <v>-1.10067708399999</v>
      </c>
      <c r="AE4795">
        <v>10.9581</v>
      </c>
      <c r="AF4795">
        <v>23.571503160323399</v>
      </c>
      <c r="AG4795">
        <v>-1.10067708399999</v>
      </c>
      <c r="AH4795">
        <v>95.711092536655698</v>
      </c>
      <c r="AI4795">
        <v>90.639757869464106</v>
      </c>
      <c r="AJ4795">
        <v>76.164660911549106</v>
      </c>
      <c r="AK4795">
        <v>98.577078907019001</v>
      </c>
      <c r="AL4795">
        <v>90.008002158334605</v>
      </c>
      <c r="AM4795">
        <v>87.8929533585016</v>
      </c>
      <c r="AN4795">
        <v>0.99999993018167999</v>
      </c>
    </row>
    <row r="4796" spans="1:40" x14ac:dyDescent="0.25">
      <c r="A4796" t="str">
        <f>"20190312160738713"</f>
        <v>20190312160738713</v>
      </c>
      <c r="B4796" t="str">
        <f>"1552378058700222"</f>
        <v>1552378058700222</v>
      </c>
      <c r="C4796" t="s">
        <v>40</v>
      </c>
      <c r="D4796">
        <v>6.1259220000000001</v>
      </c>
      <c r="E4796">
        <v>0.54393630000000004</v>
      </c>
      <c r="F4796" t="s">
        <v>47</v>
      </c>
      <c r="G4796">
        <v>-279.73009999999999</v>
      </c>
      <c r="H4796" s="1">
        <v>-1.8736730000000001E-6</v>
      </c>
      <c r="I4796">
        <v>146.2893</v>
      </c>
      <c r="J4796">
        <v>-212.1662</v>
      </c>
      <c r="K4796">
        <v>1.1073550000000001</v>
      </c>
      <c r="L4796">
        <v>143.0917</v>
      </c>
      <c r="M4796">
        <v>-0.99220140000000001</v>
      </c>
      <c r="N4796">
        <v>0</v>
      </c>
      <c r="O4796">
        <v>-0.1238031</v>
      </c>
      <c r="P4796">
        <v>-0.99598690000000001</v>
      </c>
      <c r="Q4796">
        <v>-1.447123E-2</v>
      </c>
      <c r="R4796">
        <v>-8.8322789999999998E-2</v>
      </c>
      <c r="S4796">
        <v>-3.0260159999999998</v>
      </c>
      <c r="T4796">
        <v>-4.9458149999999999E-2</v>
      </c>
      <c r="U4796">
        <v>0.14210510000000001</v>
      </c>
      <c r="V4796">
        <v>3.5675209999999999E-2</v>
      </c>
      <c r="W4796">
        <v>-2.4733820000000001E-4</v>
      </c>
      <c r="X4796">
        <v>0.99936340000000001</v>
      </c>
      <c r="Y4796">
        <v>0.17018910000000001</v>
      </c>
      <c r="Z4796">
        <v>3.4099579999999998E-3</v>
      </c>
      <c r="AA4796">
        <v>0.98540550000000005</v>
      </c>
      <c r="AB4796">
        <v>18</v>
      </c>
      <c r="AC4796">
        <v>-67.563899999999904</v>
      </c>
      <c r="AD4796">
        <v>-1.107356873673</v>
      </c>
      <c r="AE4796">
        <v>3.1975999999999898</v>
      </c>
      <c r="AF4796">
        <v>11.5353985386886</v>
      </c>
      <c r="AG4796">
        <v>-1.107356873673</v>
      </c>
      <c r="AH4796">
        <v>66.630235754240502</v>
      </c>
      <c r="AI4796">
        <v>90.938182361328202</v>
      </c>
      <c r="AJ4796">
        <v>80.177992355524495</v>
      </c>
      <c r="AK4796">
        <v>67.630466325153506</v>
      </c>
      <c r="AL4796">
        <v>90.014171435208596</v>
      </c>
      <c r="AM4796">
        <v>87.955527127680597</v>
      </c>
      <c r="AN4796">
        <v>0.99999999352214397</v>
      </c>
    </row>
    <row r="4797" spans="1:40" x14ac:dyDescent="0.25">
      <c r="A4797" t="str">
        <f>"20190312160738735"</f>
        <v>20190312160738735</v>
      </c>
      <c r="B4797" t="str">
        <f>"1552378058730479"</f>
        <v>1552378058730479</v>
      </c>
      <c r="C4797" t="s">
        <v>40</v>
      </c>
      <c r="D4797">
        <v>6.116962</v>
      </c>
      <c r="E4797">
        <v>0.53843529999999995</v>
      </c>
      <c r="F4797" t="s">
        <v>81</v>
      </c>
      <c r="G4797">
        <v>-511.05880000000002</v>
      </c>
      <c r="H4797">
        <v>0.4699391</v>
      </c>
      <c r="I4797">
        <v>151.2621</v>
      </c>
      <c r="J4797">
        <v>-212.34739999999999</v>
      </c>
      <c r="K4797">
        <v>1.1074930000000001</v>
      </c>
      <c r="L4797">
        <v>143.0761</v>
      </c>
      <c r="M4797">
        <v>-0.99289530000000004</v>
      </c>
      <c r="N4797">
        <v>0</v>
      </c>
      <c r="O4797">
        <v>-0.118114</v>
      </c>
      <c r="P4797">
        <v>-0.99643150000000003</v>
      </c>
      <c r="Q4797">
        <v>-1.4900200000000001E-2</v>
      </c>
      <c r="R4797">
        <v>-8.3083229999999994E-2</v>
      </c>
      <c r="S4797">
        <v>-3.0193020000000002</v>
      </c>
      <c r="T4797">
        <v>-6.4384940000000003E-3</v>
      </c>
      <c r="U4797">
        <v>8.2534789999999997E-2</v>
      </c>
      <c r="V4797">
        <v>3.5199710000000002E-2</v>
      </c>
      <c r="W4797">
        <v>-6.9422820000000004E-4</v>
      </c>
      <c r="X4797">
        <v>0.99938009999999999</v>
      </c>
      <c r="Y4797">
        <v>0.1452157</v>
      </c>
      <c r="Z4797">
        <v>4.0631279999999998E-4</v>
      </c>
      <c r="AA4797">
        <v>0.9893999</v>
      </c>
      <c r="AB4797">
        <v>18</v>
      </c>
      <c r="AC4797">
        <v>-298.71140000000003</v>
      </c>
      <c r="AD4797">
        <v>-0.63755390000000001</v>
      </c>
      <c r="AE4797">
        <v>8.1859999999999999</v>
      </c>
      <c r="AF4797">
        <v>43.414157066482701</v>
      </c>
      <c r="AG4797">
        <v>-0.63755390000000001</v>
      </c>
      <c r="AH4797">
        <v>295.65166853540097</v>
      </c>
      <c r="AI4797">
        <v>90.122243575310193</v>
      </c>
      <c r="AJ4797">
        <v>81.646260169191805</v>
      </c>
      <c r="AK4797">
        <v>298.82286494934601</v>
      </c>
      <c r="AL4797">
        <v>90.039776347367294</v>
      </c>
      <c r="AM4797">
        <v>87.982788070106906</v>
      </c>
      <c r="AN4797">
        <v>1.00000004290644</v>
      </c>
    </row>
    <row r="4798" spans="1:40" x14ac:dyDescent="0.25">
      <c r="A4798" t="str">
        <f>"20190312160738757"</f>
        <v>20190312160738757</v>
      </c>
      <c r="B4798" t="str">
        <f>"1552378058749999"</f>
        <v>1552378058749999</v>
      </c>
      <c r="C4798" t="s">
        <v>40</v>
      </c>
      <c r="D4798">
        <v>6.3075769999999904</v>
      </c>
      <c r="E4798">
        <v>0.53642209999999901</v>
      </c>
      <c r="F4798" t="s">
        <v>41</v>
      </c>
      <c r="G4798">
        <v>0</v>
      </c>
      <c r="H4798">
        <v>0</v>
      </c>
      <c r="I4798">
        <v>0</v>
      </c>
      <c r="J4798">
        <v>-212.5284</v>
      </c>
      <c r="K4798">
        <v>1.1076349999999999</v>
      </c>
      <c r="L4798">
        <v>143.06129999999999</v>
      </c>
      <c r="M4798">
        <v>-0.9935271</v>
      </c>
      <c r="N4798">
        <v>0</v>
      </c>
      <c r="O4798">
        <v>-0.1126788</v>
      </c>
      <c r="P4798">
        <v>-0.99685100000000004</v>
      </c>
      <c r="Q4798">
        <v>-1.490051E-2</v>
      </c>
      <c r="R4798">
        <v>-7.7886129999999998E-2</v>
      </c>
      <c r="S4798">
        <v>-3.0154269999999999</v>
      </c>
      <c r="T4798">
        <v>1.333928E-2</v>
      </c>
      <c r="U4798">
        <v>5.3543090000000002E-2</v>
      </c>
      <c r="V4798">
        <v>3.4942170000000002E-2</v>
      </c>
      <c r="W4798">
        <v>-7.1311780000000004E-4</v>
      </c>
      <c r="X4798">
        <v>0.99938910000000003</v>
      </c>
      <c r="Y4798">
        <v>0.13031089999999901</v>
      </c>
      <c r="Z4798">
        <v>-7.8599599999999996E-4</v>
      </c>
      <c r="AA4798">
        <v>0.99147289999999999</v>
      </c>
      <c r="AB4798">
        <v>18</v>
      </c>
      <c r="AC4798">
        <v>-3.0154269999999999</v>
      </c>
      <c r="AD4798">
        <v>1.333928E-2</v>
      </c>
      <c r="AE4798">
        <v>5.3543090000000002E-2</v>
      </c>
      <c r="AF4798">
        <v>0.39300427393941401</v>
      </c>
      <c r="AG4798">
        <v>1.333928E-2</v>
      </c>
      <c r="AH4798">
        <v>2.9901268590382202</v>
      </c>
      <c r="AI4798">
        <v>89.7465785261099</v>
      </c>
      <c r="AJ4798">
        <v>82.512307173860705</v>
      </c>
      <c r="AK4798">
        <v>3.0158728303539801</v>
      </c>
      <c r="AL4798">
        <v>90.040858642943206</v>
      </c>
      <c r="AM4798">
        <v>87.997553035668702</v>
      </c>
      <c r="AN4798">
        <v>1.0000000184900499</v>
      </c>
    </row>
    <row r="4799" spans="1:40" x14ac:dyDescent="0.25">
      <c r="A4799" t="str">
        <f>"20190312160738780"</f>
        <v>20190312160738780</v>
      </c>
      <c r="B4799" t="str">
        <f>"1552378058770494"</f>
        <v>1552378058770494</v>
      </c>
      <c r="C4799" t="s">
        <v>40</v>
      </c>
      <c r="D4799">
        <v>5.70303</v>
      </c>
      <c r="E4799">
        <v>0.53536209999999995</v>
      </c>
      <c r="F4799" t="s">
        <v>41</v>
      </c>
      <c r="G4799">
        <v>0</v>
      </c>
      <c r="H4799">
        <v>0</v>
      </c>
      <c r="I4799">
        <v>0</v>
      </c>
      <c r="J4799">
        <v>-212.70660000000001</v>
      </c>
      <c r="K4799">
        <v>1.1077509999999999</v>
      </c>
      <c r="L4799">
        <v>143.04750000000001</v>
      </c>
      <c r="M4799">
        <v>-0.99409999999999998</v>
      </c>
      <c r="N4799">
        <v>0</v>
      </c>
      <c r="O4799">
        <v>-0.1075116</v>
      </c>
      <c r="P4799">
        <v>-0.99717579999999995</v>
      </c>
      <c r="Q4799">
        <v>-1.498477E-2</v>
      </c>
      <c r="R4799">
        <v>-7.3594690000000004E-2</v>
      </c>
      <c r="S4799">
        <v>-3.0138850000000001</v>
      </c>
      <c r="T4799">
        <v>1.8797399999999999E-2</v>
      </c>
      <c r="U4799">
        <v>5.2978520000000001E-2</v>
      </c>
      <c r="V4799">
        <v>3.4047180000000003E-2</v>
      </c>
      <c r="W4799">
        <v>-8.1106820000000004E-4</v>
      </c>
      <c r="X4799">
        <v>0.99941990000000003</v>
      </c>
      <c r="Y4799">
        <v>0.12497519999999999</v>
      </c>
      <c r="Z4799">
        <v>-1.0594339999999999E-3</v>
      </c>
      <c r="AA4799">
        <v>0.99215929999999997</v>
      </c>
      <c r="AB4799">
        <v>18</v>
      </c>
      <c r="AC4799">
        <v>-3.0138850000000001</v>
      </c>
      <c r="AD4799">
        <v>1.8797399999999999E-2</v>
      </c>
      <c r="AE4799">
        <v>5.2978520000000001E-2</v>
      </c>
      <c r="AF4799">
        <v>0.37671778518607602</v>
      </c>
      <c r="AG4799">
        <v>1.8797399999999999E-2</v>
      </c>
      <c r="AH4799">
        <v>2.9905997030456599</v>
      </c>
      <c r="AI4799">
        <v>89.642695973296895</v>
      </c>
      <c r="AJ4799">
        <v>82.820420318374005</v>
      </c>
      <c r="AK4799">
        <v>3.0142919924551199</v>
      </c>
      <c r="AL4799">
        <v>90.046470789740397</v>
      </c>
      <c r="AM4799">
        <v>88.048862557448402</v>
      </c>
      <c r="AN4799">
        <v>1.0000000024067901</v>
      </c>
    </row>
    <row r="4800" spans="1:40" x14ac:dyDescent="0.25">
      <c r="A4800" t="str">
        <f>"20190312160738802"</f>
        <v>20190312160738802</v>
      </c>
      <c r="B4800" t="str">
        <f>"1552378058790014"</f>
        <v>1552378058790014</v>
      </c>
      <c r="C4800" t="s">
        <v>40</v>
      </c>
      <c r="D4800">
        <v>6.364859</v>
      </c>
      <c r="E4800">
        <v>0.53384119999999902</v>
      </c>
      <c r="F4800" t="s">
        <v>41</v>
      </c>
      <c r="G4800">
        <v>0</v>
      </c>
      <c r="H4800">
        <v>0</v>
      </c>
      <c r="I4800">
        <v>0</v>
      </c>
      <c r="J4800">
        <v>-212.88740000000001</v>
      </c>
      <c r="K4800">
        <v>1.1078589999999999</v>
      </c>
      <c r="L4800">
        <v>143.0342</v>
      </c>
      <c r="M4800">
        <v>-0.9946332</v>
      </c>
      <c r="N4800">
        <v>0</v>
      </c>
      <c r="O4800">
        <v>-0.10246479999999999</v>
      </c>
      <c r="P4800">
        <v>-0.99746979999999996</v>
      </c>
      <c r="Q4800">
        <v>-1.5663460000000001E-2</v>
      </c>
      <c r="R4800">
        <v>-6.9343249999999995E-2</v>
      </c>
      <c r="S4800">
        <v>-3.0130159999999999</v>
      </c>
      <c r="T4800">
        <v>1.830876E-2</v>
      </c>
      <c r="U4800">
        <v>5.7540889999999997E-2</v>
      </c>
      <c r="V4800">
        <v>3.3230320000000001E-2</v>
      </c>
      <c r="W4800">
        <v>-1.5038499999999999E-3</v>
      </c>
      <c r="X4800">
        <v>0.99944659999999996</v>
      </c>
      <c r="Y4800">
        <v>0.121445899999999</v>
      </c>
      <c r="Z4800">
        <v>-9.9091460000000006E-4</v>
      </c>
      <c r="AA4800">
        <v>0.99259759999999997</v>
      </c>
      <c r="AB4800">
        <v>18</v>
      </c>
      <c r="AC4800">
        <v>-3.0130159999999999</v>
      </c>
      <c r="AD4800">
        <v>1.830876E-2</v>
      </c>
      <c r="AE4800">
        <v>5.7540889999999997E-2</v>
      </c>
      <c r="AF4800">
        <v>0.36598430871489901</v>
      </c>
      <c r="AG4800">
        <v>1.830876E-2</v>
      </c>
      <c r="AH4800">
        <v>2.9911471832365701</v>
      </c>
      <c r="AI4800">
        <v>89.651893902367902</v>
      </c>
      <c r="AJ4800">
        <v>83.024200654894202</v>
      </c>
      <c r="AK4800">
        <v>3.0135097804225501</v>
      </c>
      <c r="AL4800">
        <v>90.086164289551306</v>
      </c>
      <c r="AM4800">
        <v>88.095690195920099</v>
      </c>
      <c r="AN4800">
        <v>1.0000000109918401</v>
      </c>
    </row>
    <row r="4801" spans="1:40" x14ac:dyDescent="0.25">
      <c r="A4801" t="str">
        <f>"20190312160738824"</f>
        <v>20190312160738824</v>
      </c>
      <c r="B4801" t="str">
        <f>"1552378058820270"</f>
        <v>1552378058820270</v>
      </c>
      <c r="C4801" t="s">
        <v>40</v>
      </c>
      <c r="D4801">
        <v>5.7418279999999999</v>
      </c>
      <c r="E4801">
        <v>0.53232060000000003</v>
      </c>
      <c r="F4801" t="s">
        <v>41</v>
      </c>
      <c r="G4801">
        <v>0</v>
      </c>
      <c r="H4801">
        <v>0</v>
      </c>
      <c r="I4801">
        <v>0</v>
      </c>
      <c r="J4801">
        <v>-213.06120000000001</v>
      </c>
      <c r="K4801">
        <v>1.107953</v>
      </c>
      <c r="L4801">
        <v>143.02199999999999</v>
      </c>
      <c r="M4801">
        <v>-0.99510149999999997</v>
      </c>
      <c r="N4801">
        <v>0</v>
      </c>
      <c r="O4801">
        <v>-9.7816570000000005E-2</v>
      </c>
      <c r="P4801">
        <v>-0.99773500000000004</v>
      </c>
      <c r="Q4801">
        <v>-1.562355E-2</v>
      </c>
      <c r="R4801">
        <v>-6.5431630000000005E-2</v>
      </c>
      <c r="S4801">
        <v>-3.011917</v>
      </c>
      <c r="T4801">
        <v>1.7764209999999999E-2</v>
      </c>
      <c r="U4801">
        <v>5.8151250000000002E-2</v>
      </c>
      <c r="V4801">
        <v>3.2480290000000002E-2</v>
      </c>
      <c r="W4801">
        <v>-1.476974E-3</v>
      </c>
      <c r="X4801">
        <v>0.99947129999999995</v>
      </c>
      <c r="Y4801">
        <v>0.11701549999999999</v>
      </c>
      <c r="Z4801">
        <v>-9.2140470000000004E-4</v>
      </c>
      <c r="AA4801">
        <v>0.9931297</v>
      </c>
      <c r="AB4801">
        <v>18</v>
      </c>
      <c r="AC4801">
        <v>-3.011917</v>
      </c>
      <c r="AD4801">
        <v>1.7764209999999999E-2</v>
      </c>
      <c r="AE4801">
        <v>5.8151250000000002E-2</v>
      </c>
      <c r="AF4801">
        <v>0.352505649859991</v>
      </c>
      <c r="AG4801">
        <v>1.7764209999999999E-2</v>
      </c>
      <c r="AH4801">
        <v>2.99167749735608</v>
      </c>
      <c r="AI4801">
        <v>89.662126080950699</v>
      </c>
      <c r="AJ4801">
        <v>83.279894823553207</v>
      </c>
      <c r="AK4801">
        <v>3.0124259407538698</v>
      </c>
      <c r="AL4801">
        <v>90.084624406139497</v>
      </c>
      <c r="AM4801">
        <v>88.138687094035305</v>
      </c>
      <c r="AN4801">
        <v>1.00000001510718</v>
      </c>
    </row>
    <row r="4802" spans="1:40" x14ac:dyDescent="0.25">
      <c r="A4802" t="str">
        <f>"20190312160738845"</f>
        <v>20190312160738845</v>
      </c>
      <c r="B4802" t="str">
        <f>"1552378058839790"</f>
        <v>1552378058839790</v>
      </c>
      <c r="C4802" t="s">
        <v>40</v>
      </c>
      <c r="D4802">
        <v>6.1504779999999997</v>
      </c>
      <c r="E4802">
        <v>0.4822978</v>
      </c>
      <c r="F4802" t="s">
        <v>41</v>
      </c>
      <c r="G4802">
        <v>0</v>
      </c>
      <c r="H4802">
        <v>0</v>
      </c>
      <c r="I4802">
        <v>0</v>
      </c>
      <c r="J4802">
        <v>-213.23609999999999</v>
      </c>
      <c r="K4802">
        <v>1.108053</v>
      </c>
      <c r="L4802">
        <v>143.0103</v>
      </c>
      <c r="M4802">
        <v>-0.99553020000000003</v>
      </c>
      <c r="N4802">
        <v>0</v>
      </c>
      <c r="O4802">
        <v>-9.3355160000000006E-2</v>
      </c>
      <c r="P4802">
        <v>-0.99795</v>
      </c>
      <c r="Q4802">
        <v>-1.529169E-2</v>
      </c>
      <c r="R4802">
        <v>-6.2145690000000003E-2</v>
      </c>
      <c r="S4802">
        <v>-3.0107879999999998</v>
      </c>
      <c r="T4802">
        <v>9.229302E-3</v>
      </c>
      <c r="U4802">
        <v>5.8380130000000002E-2</v>
      </c>
      <c r="V4802">
        <v>3.1293899999999999E-2</v>
      </c>
      <c r="W4802">
        <v>-1.158269E-3</v>
      </c>
      <c r="X4802">
        <v>0.9995096</v>
      </c>
      <c r="Y4802">
        <v>0.1126482</v>
      </c>
      <c r="Z4802">
        <v>-4.5856500000000003E-4</v>
      </c>
      <c r="AA4802">
        <v>0.99363480000000004</v>
      </c>
      <c r="AB4802">
        <v>18</v>
      </c>
      <c r="AC4802">
        <v>-3.0107879999999998</v>
      </c>
      <c r="AD4802">
        <v>9.229302E-3</v>
      </c>
      <c r="AE4802">
        <v>5.8380130000000002E-2</v>
      </c>
      <c r="AF4802">
        <v>0.33922326821576498</v>
      </c>
      <c r="AG4802">
        <v>9.229302E-3</v>
      </c>
      <c r="AH4802">
        <v>2.9921580568535</v>
      </c>
      <c r="AI4802">
        <v>89.824396808753804</v>
      </c>
      <c r="AJ4802">
        <v>83.531950047285505</v>
      </c>
      <c r="AK4802">
        <v>3.0113398086080698</v>
      </c>
      <c r="AL4802">
        <v>90.066363937084802</v>
      </c>
      <c r="AM4802">
        <v>88.206697702781199</v>
      </c>
      <c r="AN4802">
        <v>1.00000004512822</v>
      </c>
    </row>
    <row r="4803" spans="1:40" x14ac:dyDescent="0.25">
      <c r="A4803" t="str">
        <f>"20190312160738869"</f>
        <v>20190312160738869</v>
      </c>
      <c r="B4803" t="str">
        <f>"1552378058860287"</f>
        <v>1552378058860287</v>
      </c>
      <c r="C4803" t="s">
        <v>40</v>
      </c>
      <c r="D4803">
        <v>6.2767860000000004</v>
      </c>
      <c r="E4803">
        <v>0.48459600000000003</v>
      </c>
      <c r="F4803" t="s">
        <v>47</v>
      </c>
      <c r="G4803">
        <v>-244.8682</v>
      </c>
      <c r="H4803" s="1">
        <v>-2.1921379999999999E-6</v>
      </c>
      <c r="I4803">
        <v>139.56950000000001</v>
      </c>
      <c r="J4803">
        <v>-213.42099999999999</v>
      </c>
      <c r="K4803">
        <v>1.108176</v>
      </c>
      <c r="L4803">
        <v>142.99860000000001</v>
      </c>
      <c r="M4803">
        <v>-0.99594059999999995</v>
      </c>
      <c r="N4803">
        <v>0</v>
      </c>
      <c r="O4803">
        <v>-8.8876949999999996E-2</v>
      </c>
      <c r="P4803">
        <v>-0.99816700000000003</v>
      </c>
      <c r="Q4803">
        <v>-1.4565710000000001E-2</v>
      </c>
      <c r="R4803">
        <v>-5.8740180000000003E-2</v>
      </c>
      <c r="S4803">
        <v>-2.9843289999999998</v>
      </c>
      <c r="T4803">
        <v>-0.1045396</v>
      </c>
      <c r="U4803">
        <v>-0.3246155</v>
      </c>
      <c r="V4803">
        <v>3.0213569999999999E-2</v>
      </c>
      <c r="W4803">
        <v>-4.5427249999999998E-4</v>
      </c>
      <c r="X4803">
        <v>0.99954339999999997</v>
      </c>
      <c r="Y4803">
        <v>-1.9384660000000001E-2</v>
      </c>
      <c r="Z4803">
        <v>2.7583099999999999E-3</v>
      </c>
      <c r="AA4803">
        <v>0.99980829999999998</v>
      </c>
      <c r="AB4803">
        <v>18</v>
      </c>
      <c r="AC4803">
        <v>-31.447199999999999</v>
      </c>
      <c r="AD4803">
        <v>-1.1081781921380001</v>
      </c>
      <c r="AE4803">
        <v>-3.4291</v>
      </c>
      <c r="AF4803">
        <v>-0.61955139439595597</v>
      </c>
      <c r="AG4803">
        <v>-1.1081781921380001</v>
      </c>
      <c r="AH4803">
        <v>31.588758551267201</v>
      </c>
      <c r="AI4803">
        <v>92.008806753727299</v>
      </c>
      <c r="AJ4803">
        <v>91.1236000122978</v>
      </c>
      <c r="AK4803">
        <v>31.614262124017401</v>
      </c>
      <c r="AL4803">
        <v>90.0260278969224</v>
      </c>
      <c r="AM4803">
        <v>88.268626355878496</v>
      </c>
      <c r="AN4803">
        <v>1.0000000373296001</v>
      </c>
    </row>
    <row r="4804" spans="1:40" x14ac:dyDescent="0.25">
      <c r="A4804" t="str">
        <f>"20190312160738891"</f>
        <v>20190312160738891</v>
      </c>
      <c r="B4804" t="str">
        <f>"1552378058879806"</f>
        <v>1552378058879806</v>
      </c>
      <c r="C4804" t="s">
        <v>40</v>
      </c>
      <c r="D4804">
        <v>6.3252920000000001</v>
      </c>
      <c r="E4804">
        <v>0.48562840000000002</v>
      </c>
      <c r="F4804" t="s">
        <v>47</v>
      </c>
      <c r="G4804">
        <v>-251.2209</v>
      </c>
      <c r="H4804" s="1">
        <v>-3.814859E-6</v>
      </c>
      <c r="I4804">
        <v>139.2423</v>
      </c>
      <c r="J4804">
        <v>-213.59989999999999</v>
      </c>
      <c r="K4804">
        <v>1.1083130000000001</v>
      </c>
      <c r="L4804">
        <v>142.98769999999999</v>
      </c>
      <c r="M4804">
        <v>-0.99629840000000003</v>
      </c>
      <c r="N4804">
        <v>0</v>
      </c>
      <c r="O4804">
        <v>-8.4781179999999998E-2</v>
      </c>
      <c r="P4804">
        <v>-0.99835090000000004</v>
      </c>
      <c r="Q4804">
        <v>-1.4159039999999999E-2</v>
      </c>
      <c r="R4804">
        <v>-5.5635740000000003E-2</v>
      </c>
      <c r="S4804">
        <v>-2.9867710000000001</v>
      </c>
      <c r="T4804">
        <v>-8.7563279999999993E-2</v>
      </c>
      <c r="U4804">
        <v>-0.29679870000000003</v>
      </c>
      <c r="V4804">
        <v>2.9214540000000001E-2</v>
      </c>
      <c r="W4804" s="1">
        <v>-8.0804809999999997E-5</v>
      </c>
      <c r="X4804">
        <v>0.99957320000000005</v>
      </c>
      <c r="Y4804">
        <v>-1.418373E-2</v>
      </c>
      <c r="Z4804">
        <v>2.2669560000000001E-3</v>
      </c>
      <c r="AA4804">
        <v>0.99989680000000003</v>
      </c>
      <c r="AB4804">
        <v>18</v>
      </c>
      <c r="AC4804">
        <v>-37.621000000000002</v>
      </c>
      <c r="AD4804">
        <v>-1.1083168148589999</v>
      </c>
      <c r="AE4804">
        <v>-3.7453999999999801</v>
      </c>
      <c r="AF4804">
        <v>-0.54157249309744704</v>
      </c>
      <c r="AG4804">
        <v>-1.1083168148589999</v>
      </c>
      <c r="AH4804">
        <v>37.770633994358199</v>
      </c>
      <c r="AI4804">
        <v>91.680594995142201</v>
      </c>
      <c r="AJ4804">
        <v>90.821476598335806</v>
      </c>
      <c r="AK4804">
        <v>37.790772144309798</v>
      </c>
      <c r="AL4804">
        <v>90.004629774401707</v>
      </c>
      <c r="AM4804">
        <v>88.325892020946199</v>
      </c>
      <c r="AN4804">
        <v>1.0000000390175301</v>
      </c>
    </row>
    <row r="4805" spans="1:40" x14ac:dyDescent="0.25">
      <c r="A4805" t="str">
        <f>"20190312160738912"</f>
        <v>20190312160738912</v>
      </c>
      <c r="B4805" t="str">
        <f>"1552378058900306"</f>
        <v>1552378058900306</v>
      </c>
      <c r="C4805" t="s">
        <v>40</v>
      </c>
      <c r="D4805">
        <v>6.3194499999999998</v>
      </c>
      <c r="E4805">
        <v>0.48709340000000001</v>
      </c>
      <c r="F4805" t="s">
        <v>47</v>
      </c>
      <c r="G4805">
        <v>-258.38679999999999</v>
      </c>
      <c r="H4805" s="1">
        <v>-8.2065090000000002E-7</v>
      </c>
      <c r="I4805">
        <v>138.79159999999999</v>
      </c>
      <c r="J4805">
        <v>-213.7629</v>
      </c>
      <c r="K4805">
        <v>1.108444</v>
      </c>
      <c r="L4805">
        <v>142.97810000000001</v>
      </c>
      <c r="M4805">
        <v>-0.99659140000000002</v>
      </c>
      <c r="N4805">
        <v>0</v>
      </c>
      <c r="O4805">
        <v>-8.1274189999999996E-2</v>
      </c>
      <c r="P4805">
        <v>-0.99848720000000002</v>
      </c>
      <c r="Q4805">
        <v>-1.377128E-2</v>
      </c>
      <c r="R4805">
        <v>-5.3232090000000003E-2</v>
      </c>
      <c r="S4805">
        <v>-2.9883120000000001</v>
      </c>
      <c r="T4805">
        <v>-7.3950050000000003E-2</v>
      </c>
      <c r="U4805">
        <v>-0.2799683</v>
      </c>
      <c r="V4805">
        <v>2.810474E-2</v>
      </c>
      <c r="W4805">
        <v>2.6303919999999997E-4</v>
      </c>
      <c r="X4805">
        <v>0.99960490000000002</v>
      </c>
      <c r="Y4805">
        <v>-1.206364E-2</v>
      </c>
      <c r="Z4805">
        <v>1.854266E-3</v>
      </c>
      <c r="AA4805">
        <v>0.99992550000000002</v>
      </c>
      <c r="AB4805">
        <v>18</v>
      </c>
      <c r="AC4805">
        <v>-44.6238999999999</v>
      </c>
      <c r="AD4805">
        <v>-1.1084448206509001</v>
      </c>
      <c r="AE4805">
        <v>-4.1865000000000201</v>
      </c>
      <c r="AF4805">
        <v>-0.545179699742945</v>
      </c>
      <c r="AG4805">
        <v>-1.1084448206509001</v>
      </c>
      <c r="AH4805">
        <v>44.789138921247499</v>
      </c>
      <c r="AI4805">
        <v>91.417565713020096</v>
      </c>
      <c r="AJ4805">
        <v>90.69737784838</v>
      </c>
      <c r="AK4805">
        <v>44.806169621294799</v>
      </c>
      <c r="AL4805">
        <v>89.984928963079</v>
      </c>
      <c r="AM4805">
        <v>88.389504815975201</v>
      </c>
      <c r="AN4805">
        <v>0.99999995085204796</v>
      </c>
    </row>
    <row r="4806" spans="1:40" x14ac:dyDescent="0.25">
      <c r="A4806" t="str">
        <f>"20190312160738935"</f>
        <v>20190312160738935</v>
      </c>
      <c r="B4806" t="str">
        <f>"1552378058929582"</f>
        <v>1552378058929582</v>
      </c>
      <c r="C4806" t="s">
        <v>40</v>
      </c>
      <c r="D4806">
        <v>5.7010969999999999</v>
      </c>
      <c r="E4806">
        <v>0.4865794</v>
      </c>
      <c r="F4806" t="s">
        <v>47</v>
      </c>
      <c r="G4806">
        <v>-252.8152</v>
      </c>
      <c r="H4806" s="1">
        <v>-3.0718119999999999E-6</v>
      </c>
      <c r="I4806">
        <v>139.5753</v>
      </c>
      <c r="J4806">
        <v>-213.93969999999999</v>
      </c>
      <c r="K4806">
        <v>1.108595</v>
      </c>
      <c r="L4806">
        <v>142.96809999999999</v>
      </c>
      <c r="M4806">
        <v>-0.99687579999999998</v>
      </c>
      <c r="N4806">
        <v>0</v>
      </c>
      <c r="O4806">
        <v>-7.7722559999999996E-2</v>
      </c>
      <c r="P4806">
        <v>-0.99861759999999999</v>
      </c>
      <c r="Q4806">
        <v>-1.3227650000000001E-2</v>
      </c>
      <c r="R4806">
        <v>-5.087208E-2</v>
      </c>
      <c r="S4806">
        <v>-2.989471</v>
      </c>
      <c r="T4806">
        <v>-8.4852220000000006E-2</v>
      </c>
      <c r="U4806">
        <v>-0.26048280000000001</v>
      </c>
      <c r="V4806">
        <v>2.6907360000000002E-2</v>
      </c>
      <c r="W4806">
        <v>7.4464479999999998E-4</v>
      </c>
      <c r="X4806">
        <v>0.99963769999999996</v>
      </c>
      <c r="Y4806">
        <v>-9.1323410000000004E-3</v>
      </c>
      <c r="Z4806">
        <v>2.0688E-3</v>
      </c>
      <c r="AA4806">
        <v>0.99995610000000001</v>
      </c>
      <c r="AB4806">
        <v>18</v>
      </c>
      <c r="AC4806">
        <v>-38.875500000000002</v>
      </c>
      <c r="AD4806">
        <v>-1.1085980718119901</v>
      </c>
      <c r="AE4806">
        <v>-3.39279999999999</v>
      </c>
      <c r="AF4806">
        <v>-0.36044162419946901</v>
      </c>
      <c r="AG4806">
        <v>-1.1085980718119901</v>
      </c>
      <c r="AH4806">
        <v>38.990135507957298</v>
      </c>
      <c r="AI4806">
        <v>91.628570148522599</v>
      </c>
      <c r="AJ4806">
        <v>90.529651802731607</v>
      </c>
      <c r="AK4806">
        <v>39.007557918666897</v>
      </c>
      <c r="AL4806">
        <v>89.957334993738499</v>
      </c>
      <c r="AM4806">
        <v>88.458135386003306</v>
      </c>
      <c r="AN4806">
        <v>1.0000000458896601</v>
      </c>
    </row>
    <row r="4807" spans="1:40" x14ac:dyDescent="0.25">
      <c r="A4807" t="str">
        <f>"20190312160738958"</f>
        <v>20190312160738958</v>
      </c>
      <c r="B4807" t="str">
        <f>"1552378058950078"</f>
        <v>1552378058950078</v>
      </c>
      <c r="C4807" t="s">
        <v>40</v>
      </c>
      <c r="D4807">
        <v>6.1965260000000004</v>
      </c>
      <c r="E4807">
        <v>0.48643209999999998</v>
      </c>
      <c r="F4807" t="s">
        <v>47</v>
      </c>
      <c r="G4807">
        <v>-256.13499999999999</v>
      </c>
      <c r="H4807" s="1">
        <v>-1.6911749999999999E-6</v>
      </c>
      <c r="I4807">
        <v>139.32990000000001</v>
      </c>
      <c r="J4807">
        <v>-214.1311</v>
      </c>
      <c r="K4807">
        <v>1.108752</v>
      </c>
      <c r="L4807">
        <v>142.95760000000001</v>
      </c>
      <c r="M4807">
        <v>-0.99714460000000005</v>
      </c>
      <c r="N4807">
        <v>0</v>
      </c>
      <c r="O4807">
        <v>-7.4212550000000002E-2</v>
      </c>
      <c r="P4807">
        <v>-0.99875630000000004</v>
      </c>
      <c r="Q4807">
        <v>-1.208882E-2</v>
      </c>
      <c r="R4807">
        <v>-4.8369820000000001E-2</v>
      </c>
      <c r="S4807">
        <v>-2.9899749999999998</v>
      </c>
      <c r="T4807">
        <v>-7.855558E-2</v>
      </c>
      <c r="U4807">
        <v>-0.2577972</v>
      </c>
      <c r="V4807">
        <v>2.589661E-2</v>
      </c>
      <c r="W4807">
        <v>1.799408E-3</v>
      </c>
      <c r="X4807">
        <v>0.99966299999999997</v>
      </c>
      <c r="Y4807">
        <v>-1.1740789999999999E-2</v>
      </c>
      <c r="Z4807">
        <v>1.7892159999999999E-3</v>
      </c>
      <c r="AA4807">
        <v>0.99992950000000003</v>
      </c>
      <c r="AB4807">
        <v>18</v>
      </c>
      <c r="AC4807">
        <v>-42.003899999999902</v>
      </c>
      <c r="AD4807">
        <v>-1.108753691175</v>
      </c>
      <c r="AE4807">
        <v>-3.6276999999999999</v>
      </c>
      <c r="AF4807">
        <v>-0.499828053958221</v>
      </c>
      <c r="AG4807">
        <v>-1.108753691175</v>
      </c>
      <c r="AH4807">
        <v>42.128160098025802</v>
      </c>
      <c r="AI4807">
        <v>91.507489946145895</v>
      </c>
      <c r="AJ4807">
        <v>90.679751839897705</v>
      </c>
      <c r="AK4807">
        <v>42.145711953603403</v>
      </c>
      <c r="AL4807">
        <v>89.896901459611698</v>
      </c>
      <c r="AM4807">
        <v>88.516065235658601</v>
      </c>
      <c r="AN4807">
        <v>0.99999999292382102</v>
      </c>
    </row>
    <row r="4808" spans="1:40" x14ac:dyDescent="0.25">
      <c r="A4808" t="str">
        <f>"20190312160738983"</f>
        <v>20190312160738983</v>
      </c>
      <c r="B4808" t="str">
        <f>"1552378058969598"</f>
        <v>1552378058969598</v>
      </c>
      <c r="C4808" t="s">
        <v>40</v>
      </c>
      <c r="D4808">
        <v>6.3085230000000001</v>
      </c>
      <c r="E4808">
        <v>0.4864947</v>
      </c>
      <c r="F4808" t="s">
        <v>47</v>
      </c>
      <c r="G4808">
        <v>-258.18310000000002</v>
      </c>
      <c r="H4808" s="1">
        <v>-8.2610759999999995E-7</v>
      </c>
      <c r="I4808">
        <v>139.2534</v>
      </c>
      <c r="J4808">
        <v>-214.3212</v>
      </c>
      <c r="K4808">
        <v>1.1088690000000001</v>
      </c>
      <c r="L4808">
        <v>142.94739999999999</v>
      </c>
      <c r="M4808">
        <v>-0.99738150000000003</v>
      </c>
      <c r="N4808">
        <v>0</v>
      </c>
      <c r="O4808">
        <v>-7.0978600000000003E-2</v>
      </c>
      <c r="P4808">
        <v>-0.99886589999999997</v>
      </c>
      <c r="Q4808">
        <v>-1.1594119999999999E-2</v>
      </c>
      <c r="R4808">
        <v>-4.6182220000000003E-2</v>
      </c>
      <c r="S4808">
        <v>-2.9906459999999999</v>
      </c>
      <c r="T4808">
        <v>-7.5272199999999997E-2</v>
      </c>
      <c r="U4808">
        <v>-0.25146479999999999</v>
      </c>
      <c r="V4808">
        <v>2.4845369999999999E-2</v>
      </c>
      <c r="W4808">
        <v>2.2028109999999998E-3</v>
      </c>
      <c r="X4808">
        <v>0.99968889999999999</v>
      </c>
      <c r="Y4808">
        <v>-1.285916E-2</v>
      </c>
      <c r="Z4808">
        <v>1.61925E-3</v>
      </c>
      <c r="AA4808">
        <v>0.99991600000000003</v>
      </c>
      <c r="AB4808">
        <v>18</v>
      </c>
      <c r="AC4808">
        <v>-43.861899999999999</v>
      </c>
      <c r="AD4808">
        <v>-1.1088698261076</v>
      </c>
      <c r="AE4808">
        <v>-3.69399999999998</v>
      </c>
      <c r="AF4808">
        <v>-0.57076366775930398</v>
      </c>
      <c r="AG4808">
        <v>-1.1088698261076</v>
      </c>
      <c r="AH4808">
        <v>43.985557753329701</v>
      </c>
      <c r="AI4808">
        <v>91.443991284526106</v>
      </c>
      <c r="AJ4808">
        <v>90.743437519851497</v>
      </c>
      <c r="AK4808">
        <v>44.003234589370599</v>
      </c>
      <c r="AL4808">
        <v>89.873788127186899</v>
      </c>
      <c r="AM4808">
        <v>88.576315236407297</v>
      </c>
      <c r="AN4808">
        <v>1.00000002078497</v>
      </c>
    </row>
    <row r="4809" spans="1:40" x14ac:dyDescent="0.25">
      <c r="A4809" t="str">
        <f>"20190312160739024"</f>
        <v>20190312160739024</v>
      </c>
      <c r="B4809" t="str">
        <f>"1552378059020351"</f>
        <v>1552378059020351</v>
      </c>
      <c r="C4809" t="s">
        <v>40</v>
      </c>
      <c r="D4809">
        <v>6.2493879999999997</v>
      </c>
      <c r="E4809">
        <v>0.48678860000000002</v>
      </c>
      <c r="F4809" t="s">
        <v>47</v>
      </c>
      <c r="G4809">
        <v>-254.51130000000001</v>
      </c>
      <c r="H4809" s="1">
        <v>-2.3510009999999998E-6</v>
      </c>
      <c r="I4809">
        <v>139.66909999999999</v>
      </c>
      <c r="J4809">
        <v>-214.64420000000001</v>
      </c>
      <c r="K4809">
        <v>1.108997</v>
      </c>
      <c r="L4809">
        <v>142.93090000000001</v>
      </c>
      <c r="M4809">
        <v>-0.99772240000000001</v>
      </c>
      <c r="N4809">
        <v>0</v>
      </c>
      <c r="O4809">
        <v>-6.6050639999999994E-2</v>
      </c>
      <c r="P4809">
        <v>-0.99906059999999997</v>
      </c>
      <c r="Q4809">
        <v>-1.1155460000000001E-2</v>
      </c>
      <c r="R4809">
        <v>-4.1876129999999998E-2</v>
      </c>
      <c r="S4809">
        <v>-2.9911799999999999</v>
      </c>
      <c r="T4809">
        <v>-8.2528589999999999E-2</v>
      </c>
      <c r="U4809">
        <v>-0.24398800000000001</v>
      </c>
      <c r="V4809">
        <v>2.4215899999999999E-2</v>
      </c>
      <c r="W4809">
        <v>2.4727E-3</v>
      </c>
      <c r="X4809">
        <v>0.99970369999999997</v>
      </c>
      <c r="Y4809">
        <v>-1.530254E-2</v>
      </c>
      <c r="Z4809">
        <v>1.606255E-3</v>
      </c>
      <c r="AA4809">
        <v>0.99988160000000004</v>
      </c>
      <c r="AB4809">
        <v>18</v>
      </c>
      <c r="AC4809">
        <v>-39.867099999999901</v>
      </c>
      <c r="AD4809">
        <v>-1.1089993510009899</v>
      </c>
      <c r="AE4809">
        <v>-3.26180000000002</v>
      </c>
      <c r="AF4809">
        <v>-0.62070452625376005</v>
      </c>
      <c r="AG4809">
        <v>-1.1089993510009899</v>
      </c>
      <c r="AH4809">
        <v>39.964769505201197</v>
      </c>
      <c r="AI4809">
        <v>91.589325415443597</v>
      </c>
      <c r="AJ4809">
        <v>90.889805970561</v>
      </c>
      <c r="AK4809">
        <v>39.984971617762703</v>
      </c>
      <c r="AL4809">
        <v>89.858324582464206</v>
      </c>
      <c r="AM4809">
        <v>88.612391258164607</v>
      </c>
      <c r="AN4809">
        <v>1.00000000592589</v>
      </c>
    </row>
    <row r="4810" spans="1:40" x14ac:dyDescent="0.25">
      <c r="A4810" t="str">
        <f>"20190312160739047"</f>
        <v>20190312160739047</v>
      </c>
      <c r="B4810" t="str">
        <f>"1552378059039871"</f>
        <v>1552378059039871</v>
      </c>
      <c r="C4810" t="s">
        <v>40</v>
      </c>
      <c r="D4810">
        <v>6.1550989999999999</v>
      </c>
      <c r="E4810">
        <v>0.48648750000000002</v>
      </c>
      <c r="F4810" t="s">
        <v>47</v>
      </c>
      <c r="G4810">
        <v>-248.6601</v>
      </c>
      <c r="H4810" s="1">
        <v>-7.4905169999999997E-7</v>
      </c>
      <c r="I4810">
        <v>140.33750000000001</v>
      </c>
      <c r="J4810">
        <v>-214.83199999999999</v>
      </c>
      <c r="K4810">
        <v>1.109064</v>
      </c>
      <c r="L4810">
        <v>142.92169999999999</v>
      </c>
      <c r="M4810">
        <v>-0.99788889999999997</v>
      </c>
      <c r="N4810">
        <v>0</v>
      </c>
      <c r="O4810">
        <v>-6.3506759999999995E-2</v>
      </c>
      <c r="P4810">
        <v>-0.99914009999999998</v>
      </c>
      <c r="Q4810">
        <v>-1.08527E-2</v>
      </c>
      <c r="R4810">
        <v>-4.0016759999999998E-2</v>
      </c>
      <c r="S4810">
        <v>-2.9921720000000001</v>
      </c>
      <c r="T4810">
        <v>-9.7551940000000004E-2</v>
      </c>
      <c r="U4810">
        <v>-0.22811890000000001</v>
      </c>
      <c r="V4810">
        <v>2.352798E-2</v>
      </c>
      <c r="W4810">
        <v>2.676309E-3</v>
      </c>
      <c r="X4810">
        <v>0.99971960000000004</v>
      </c>
      <c r="Y4810">
        <v>-1.2562479999999999E-2</v>
      </c>
      <c r="Z4810">
        <v>1.8603910000000001E-3</v>
      </c>
      <c r="AA4810">
        <v>0.99991940000000001</v>
      </c>
      <c r="AB4810">
        <v>18</v>
      </c>
      <c r="AC4810">
        <v>-33.828099999999999</v>
      </c>
      <c r="AD4810">
        <v>-1.1090647490516901</v>
      </c>
      <c r="AE4810">
        <v>-2.5841999999999801</v>
      </c>
      <c r="AF4810">
        <v>-0.43001168143274998</v>
      </c>
      <c r="AG4810">
        <v>-1.1090647490516901</v>
      </c>
      <c r="AH4810">
        <v>33.887717800389403</v>
      </c>
      <c r="AI4810">
        <v>91.874335323495004</v>
      </c>
      <c r="AJ4810">
        <v>90.727004762508898</v>
      </c>
      <c r="AK4810">
        <v>33.908588180320699</v>
      </c>
      <c r="AL4810">
        <v>89.846658607116197</v>
      </c>
      <c r="AM4810">
        <v>88.651816817385495</v>
      </c>
      <c r="AN4810">
        <v>1.00000000354845</v>
      </c>
    </row>
    <row r="4811" spans="1:40" x14ac:dyDescent="0.25">
      <c r="A4811" t="str">
        <f>"20190312160739070"</f>
        <v>20190312160739070</v>
      </c>
      <c r="B4811" t="str">
        <f>"1552378059060370"</f>
        <v>1552378059060370</v>
      </c>
      <c r="C4811" t="s">
        <v>40</v>
      </c>
      <c r="D4811">
        <v>6.1680039999999998</v>
      </c>
      <c r="E4811">
        <v>0.48182930000000002</v>
      </c>
      <c r="F4811" t="s">
        <v>47</v>
      </c>
      <c r="G4811">
        <v>-246.61660000000001</v>
      </c>
      <c r="H4811" s="1">
        <v>-1.6788740000000001E-6</v>
      </c>
      <c r="I4811">
        <v>140.53739999999999</v>
      </c>
      <c r="J4811">
        <v>-215.00710000000001</v>
      </c>
      <c r="K4811">
        <v>1.1091260000000001</v>
      </c>
      <c r="L4811">
        <v>142.91329999999999</v>
      </c>
      <c r="M4811">
        <v>-0.99802670000000004</v>
      </c>
      <c r="N4811">
        <v>0</v>
      </c>
      <c r="O4811">
        <v>-6.132377E-2</v>
      </c>
      <c r="P4811">
        <v>-0.9992065</v>
      </c>
      <c r="Q4811">
        <v>-1.0452070000000001E-2</v>
      </c>
      <c r="R4811">
        <v>-3.8431840000000002E-2</v>
      </c>
      <c r="S4811">
        <v>-2.9924620000000002</v>
      </c>
      <c r="T4811">
        <v>-0.10441640000000001</v>
      </c>
      <c r="U4811">
        <v>-0.224472</v>
      </c>
      <c r="V4811">
        <v>2.2927030000000001E-2</v>
      </c>
      <c r="W4811">
        <v>2.9833910000000002E-3</v>
      </c>
      <c r="X4811">
        <v>0.99973270000000003</v>
      </c>
      <c r="Y4811">
        <v>-1.3532850000000001E-2</v>
      </c>
      <c r="Z4811">
        <v>1.898393E-3</v>
      </c>
      <c r="AA4811">
        <v>0.99990659999999998</v>
      </c>
      <c r="AB4811">
        <v>18</v>
      </c>
      <c r="AC4811">
        <v>-31.609500000000001</v>
      </c>
      <c r="AD4811">
        <v>-1.1091276788740001</v>
      </c>
      <c r="AE4811">
        <v>-2.3759000000000001</v>
      </c>
      <c r="AF4811">
        <v>-0.43230807404826299</v>
      </c>
      <c r="AG4811">
        <v>-1.1091276788740001</v>
      </c>
      <c r="AH4811">
        <v>31.656953157388902</v>
      </c>
      <c r="AI4811">
        <v>92.006397593633906</v>
      </c>
      <c r="AJ4811">
        <v>90.782383838912395</v>
      </c>
      <c r="AK4811">
        <v>31.6793266609006</v>
      </c>
      <c r="AL4811">
        <v>89.829064035264906</v>
      </c>
      <c r="AM4811">
        <v>88.686256999090901</v>
      </c>
      <c r="AN4811">
        <v>1.0000000103878799</v>
      </c>
    </row>
    <row r="4812" spans="1:40" x14ac:dyDescent="0.25">
      <c r="A4812" t="str">
        <f>"20190312160739091"</f>
        <v>20190312160739091</v>
      </c>
      <c r="B4812" t="str">
        <f>"1552378059079886"</f>
        <v>1552378059079886</v>
      </c>
      <c r="C4812" t="s">
        <v>40</v>
      </c>
      <c r="D4812">
        <v>6.2947350000000002</v>
      </c>
      <c r="E4812">
        <v>0.48295440000000001</v>
      </c>
      <c r="F4812" t="s">
        <v>44</v>
      </c>
      <c r="G4812">
        <v>-215.77529999999999</v>
      </c>
      <c r="H4812">
        <v>1.034036</v>
      </c>
      <c r="I4812">
        <v>142.84960000000001</v>
      </c>
      <c r="J4812">
        <v>-215.1789</v>
      </c>
      <c r="K4812">
        <v>1.109216</v>
      </c>
      <c r="L4812">
        <v>142.90530000000001</v>
      </c>
      <c r="M4812">
        <v>-0.99814559999999997</v>
      </c>
      <c r="N4812">
        <v>0</v>
      </c>
      <c r="O4812">
        <v>-5.9384699999999999E-2</v>
      </c>
      <c r="P4812">
        <v>-0.9992664</v>
      </c>
      <c r="Q4812">
        <v>-1.1597700000000001E-2</v>
      </c>
      <c r="R4812">
        <v>-3.6501520000000003E-2</v>
      </c>
      <c r="S4812">
        <v>-2.9898069999999999</v>
      </c>
      <c r="T4812">
        <v>-0.29227809999999999</v>
      </c>
      <c r="U4812">
        <v>-0.24774170000000001</v>
      </c>
      <c r="V4812">
        <v>2.2912399999999999E-2</v>
      </c>
      <c r="W4812">
        <v>1.735035E-3</v>
      </c>
      <c r="X4812">
        <v>0.99973599999999996</v>
      </c>
      <c r="Y4812">
        <v>-2.3416030000000001E-2</v>
      </c>
      <c r="Z4812">
        <v>4.6362240000000004E-3</v>
      </c>
      <c r="AA4812">
        <v>0.99971500000000002</v>
      </c>
      <c r="AB4812">
        <v>17</v>
      </c>
      <c r="AC4812">
        <v>-0.59639999999998805</v>
      </c>
      <c r="AD4812">
        <v>-7.5179999999999997E-2</v>
      </c>
      <c r="AE4812">
        <v>-5.5700000000001602E-2</v>
      </c>
      <c r="AF4812">
        <v>-1.9868494936912999E-2</v>
      </c>
      <c r="AG4812">
        <v>-7.5179999999999997E-2</v>
      </c>
      <c r="AH4812">
        <v>0.58937104805739504</v>
      </c>
      <c r="AI4812">
        <v>97.265291798675094</v>
      </c>
      <c r="AJ4812">
        <v>91.930787002633295</v>
      </c>
      <c r="AK4812">
        <v>0.59447878160564405</v>
      </c>
      <c r="AL4812">
        <v>89.900589770204604</v>
      </c>
      <c r="AM4812">
        <v>88.687099352220599</v>
      </c>
      <c r="AN4812">
        <v>1.0000000290580999</v>
      </c>
    </row>
    <row r="4813" spans="1:40" x14ac:dyDescent="0.25">
      <c r="A4813" t="str">
        <f>"20190312160739115"</f>
        <v>20190312160739115</v>
      </c>
      <c r="B4813" t="str">
        <f>"1552378059110143"</f>
        <v>1552378059110143</v>
      </c>
      <c r="C4813" t="s">
        <v>40</v>
      </c>
      <c r="D4813">
        <v>6.264005</v>
      </c>
      <c r="E4813">
        <v>0.4826976</v>
      </c>
      <c r="F4813" t="s">
        <v>47</v>
      </c>
      <c r="G4813">
        <v>-229.1096</v>
      </c>
      <c r="H4813" s="1">
        <v>-9.4703519999999999E-7</v>
      </c>
      <c r="I4813">
        <v>141.8064</v>
      </c>
      <c r="J4813">
        <v>-215.35499999999999</v>
      </c>
      <c r="K4813">
        <v>1.1093249999999999</v>
      </c>
      <c r="L4813">
        <v>142.89699999999999</v>
      </c>
      <c r="M4813">
        <v>-0.99825140000000001</v>
      </c>
      <c r="N4813">
        <v>0</v>
      </c>
      <c r="O4813">
        <v>-5.7608909999999999E-2</v>
      </c>
      <c r="P4813">
        <v>-0.99933839999999996</v>
      </c>
      <c r="Q4813">
        <v>-1.1499530000000001E-2</v>
      </c>
      <c r="R4813">
        <v>-3.4509140000000001E-2</v>
      </c>
      <c r="S4813">
        <v>-2.9908290000000002</v>
      </c>
      <c r="T4813">
        <v>-0.2381423</v>
      </c>
      <c r="U4813">
        <v>-0.23591609999999999</v>
      </c>
      <c r="V4813">
        <v>2.3126540000000001E-2</v>
      </c>
      <c r="W4813">
        <v>1.714531E-3</v>
      </c>
      <c r="X4813">
        <v>0.99973109999999998</v>
      </c>
      <c r="Y4813">
        <v>-2.1183710000000001E-2</v>
      </c>
      <c r="Z4813">
        <v>3.7279190000000001E-3</v>
      </c>
      <c r="AA4813">
        <v>0.99976869999999995</v>
      </c>
      <c r="AB4813">
        <v>17</v>
      </c>
      <c r="AC4813">
        <v>-13.7546</v>
      </c>
      <c r="AD4813">
        <v>-1.1093259470351999</v>
      </c>
      <c r="AE4813">
        <v>-1.09060000000002</v>
      </c>
      <c r="AF4813">
        <v>-0.294428265184488</v>
      </c>
      <c r="AG4813">
        <v>-1.1093259470351999</v>
      </c>
      <c r="AH4813">
        <v>13.7059911429648</v>
      </c>
      <c r="AI4813">
        <v>94.626216552954403</v>
      </c>
      <c r="AJ4813">
        <v>91.230622624554201</v>
      </c>
      <c r="AK4813">
        <v>13.753962529799701</v>
      </c>
      <c r="AL4813">
        <v>89.901764564122303</v>
      </c>
      <c r="AM4813">
        <v>88.674826804506395</v>
      </c>
      <c r="AN4813">
        <v>1.00000002438806</v>
      </c>
    </row>
    <row r="4814" spans="1:40" x14ac:dyDescent="0.25">
      <c r="A4814" t="str">
        <f>"20190312160739135"</f>
        <v>20190312160739135</v>
      </c>
      <c r="B4814" t="str">
        <f>"1552378059130639"</f>
        <v>1552378059130639</v>
      </c>
      <c r="C4814" t="s">
        <v>40</v>
      </c>
      <c r="D4814">
        <v>6.1338629999999998</v>
      </c>
      <c r="E4814">
        <v>0.48174289999999997</v>
      </c>
      <c r="F4814" t="s">
        <v>47</v>
      </c>
      <c r="G4814">
        <v>-231.3475</v>
      </c>
      <c r="H4814" s="1">
        <v>-4.1779719999999997E-6</v>
      </c>
      <c r="I4814">
        <v>141.64859999999999</v>
      </c>
      <c r="J4814">
        <v>-215.5164</v>
      </c>
      <c r="K4814">
        <v>1.109426</v>
      </c>
      <c r="L4814">
        <v>142.8895</v>
      </c>
      <c r="M4814">
        <v>-0.99833430000000001</v>
      </c>
      <c r="N4814">
        <v>0</v>
      </c>
      <c r="O4814">
        <v>-5.6182200000000002E-2</v>
      </c>
      <c r="P4814">
        <v>-0.99937500000000001</v>
      </c>
      <c r="Q4814">
        <v>-1.119538E-2</v>
      </c>
      <c r="R4814">
        <v>-3.3532569999999998E-2</v>
      </c>
      <c r="S4814">
        <v>-2.9915310000000002</v>
      </c>
      <c r="T4814">
        <v>-0.20751020000000001</v>
      </c>
      <c r="U4814">
        <v>-0.23352049999999999</v>
      </c>
      <c r="V4814">
        <v>2.2674469999999999E-2</v>
      </c>
      <c r="W4814">
        <v>1.904312E-3</v>
      </c>
      <c r="X4814">
        <v>0.99974110000000005</v>
      </c>
      <c r="Y4814">
        <v>-2.1766219999999999E-2</v>
      </c>
      <c r="Z4814">
        <v>3.130365E-3</v>
      </c>
      <c r="AA4814">
        <v>0.99975820000000004</v>
      </c>
      <c r="AB4814">
        <v>17</v>
      </c>
      <c r="AC4814">
        <v>-15.8310999999999</v>
      </c>
      <c r="AD4814">
        <v>-1.1094301779719999</v>
      </c>
      <c r="AE4814">
        <v>-1.2409000000000101</v>
      </c>
      <c r="AF4814">
        <v>-0.34773973968385702</v>
      </c>
      <c r="AG4814">
        <v>-1.1094301779719999</v>
      </c>
      <c r="AH4814">
        <v>15.7986984702399</v>
      </c>
      <c r="AI4814">
        <v>94.015911324108103</v>
      </c>
      <c r="AJ4814">
        <v>91.260914176051401</v>
      </c>
      <c r="AK4814">
        <v>15.8414213882439</v>
      </c>
      <c r="AL4814">
        <v>89.890890894943297</v>
      </c>
      <c r="AM4814">
        <v>88.700734878097705</v>
      </c>
      <c r="AN4814">
        <v>1.00000001251159</v>
      </c>
    </row>
    <row r="4815" spans="1:40" x14ac:dyDescent="0.25">
      <c r="A4815" t="str">
        <f>"20190312160739159"</f>
        <v>20190312160739159</v>
      </c>
      <c r="B4815" t="str">
        <f>"1552378059150158"</f>
        <v>1552378059150158</v>
      </c>
      <c r="C4815" t="s">
        <v>40</v>
      </c>
      <c r="D4815">
        <v>6.2396469999999997</v>
      </c>
      <c r="E4815">
        <v>0.4809715</v>
      </c>
      <c r="F4815" t="s">
        <v>47</v>
      </c>
      <c r="G4815">
        <v>-231.03370000000001</v>
      </c>
      <c r="H4815" s="1">
        <v>-4.2860769999999999E-6</v>
      </c>
      <c r="I4815">
        <v>141.65610000000001</v>
      </c>
      <c r="J4815">
        <v>-215.71260000000001</v>
      </c>
      <c r="K4815">
        <v>1.109526</v>
      </c>
      <c r="L4815">
        <v>142.88040000000001</v>
      </c>
      <c r="M4815">
        <v>-0.9984189</v>
      </c>
      <c r="N4815">
        <v>0</v>
      </c>
      <c r="O4815">
        <v>-5.4692020000000001E-2</v>
      </c>
      <c r="P4815">
        <v>-0.9994227</v>
      </c>
      <c r="Q4815">
        <v>-1.1100230000000001E-2</v>
      </c>
      <c r="R4815">
        <v>-3.2108150000000002E-2</v>
      </c>
      <c r="S4815">
        <v>-2.9914860000000001</v>
      </c>
      <c r="T4815">
        <v>-0.21388070000000001</v>
      </c>
      <c r="U4815">
        <v>-0.23777770000000001</v>
      </c>
      <c r="V4815">
        <v>2.2606419999999999E-2</v>
      </c>
      <c r="W4815">
        <v>1.8556740000000001E-3</v>
      </c>
      <c r="X4815">
        <v>0.99974269999999998</v>
      </c>
      <c r="Y4815">
        <v>-2.4667640000000001E-2</v>
      </c>
      <c r="Z4815">
        <v>3.016613E-3</v>
      </c>
      <c r="AA4815">
        <v>0.99969110000000005</v>
      </c>
      <c r="AB4815">
        <v>17</v>
      </c>
      <c r="AC4815">
        <v>-15.321099999999999</v>
      </c>
      <c r="AD4815">
        <v>-1.109530286077</v>
      </c>
      <c r="AE4815">
        <v>-1.22429999999999</v>
      </c>
      <c r="AF4815">
        <v>-0.38246167273252202</v>
      </c>
      <c r="AG4815">
        <v>-1.109530286077</v>
      </c>
      <c r="AH4815">
        <v>15.2854746964674</v>
      </c>
      <c r="AI4815">
        <v>94.150366191567898</v>
      </c>
      <c r="AJ4815">
        <v>91.433312917080798</v>
      </c>
      <c r="AK4815">
        <v>15.3304621940493</v>
      </c>
      <c r="AL4815">
        <v>89.893677648498297</v>
      </c>
      <c r="AM4815">
        <v>88.704634938909393</v>
      </c>
      <c r="AN4815">
        <v>0.99999997997724999</v>
      </c>
    </row>
    <row r="4816" spans="1:40" x14ac:dyDescent="0.25">
      <c r="A4816" t="str">
        <f>"20190312160739182"</f>
        <v>20190312160739182</v>
      </c>
      <c r="B4816" t="str">
        <f>"1552378059170654"</f>
        <v>1552378059170654</v>
      </c>
      <c r="C4816" t="s">
        <v>40</v>
      </c>
      <c r="D4816">
        <v>6.1566939999999999</v>
      </c>
      <c r="E4816">
        <v>0.48047489999999998</v>
      </c>
      <c r="F4816" t="s">
        <v>47</v>
      </c>
      <c r="G4816">
        <v>-232.16460000000001</v>
      </c>
      <c r="H4816" s="1">
        <v>-3.8603829999999997E-6</v>
      </c>
      <c r="I4816">
        <v>141.5583</v>
      </c>
      <c r="J4816">
        <v>-215.88829999999999</v>
      </c>
      <c r="K4816">
        <v>1.10958</v>
      </c>
      <c r="L4816">
        <v>142.87209999999999</v>
      </c>
      <c r="M4816">
        <v>-0.99848349999999997</v>
      </c>
      <c r="N4816">
        <v>0</v>
      </c>
      <c r="O4816">
        <v>-5.353285E-2</v>
      </c>
      <c r="P4816">
        <v>-0.99946610000000002</v>
      </c>
      <c r="Q4816">
        <v>-1.0588159999999999E-2</v>
      </c>
      <c r="R4816">
        <v>-3.0914009999999999E-2</v>
      </c>
      <c r="S4816">
        <v>-2.9917600000000002</v>
      </c>
      <c r="T4816">
        <v>-0.2017658</v>
      </c>
      <c r="U4816">
        <v>-0.24040220000000001</v>
      </c>
      <c r="V4816">
        <v>2.2640560000000001E-2</v>
      </c>
      <c r="W4816">
        <v>2.2395280000000002E-3</v>
      </c>
      <c r="X4816">
        <v>0.99974110000000005</v>
      </c>
      <c r="Y4816">
        <v>-2.667694E-2</v>
      </c>
      <c r="Z4816">
        <v>2.7003869999999998E-3</v>
      </c>
      <c r="AA4816">
        <v>0.99964050000000004</v>
      </c>
      <c r="AB4816">
        <v>17</v>
      </c>
      <c r="AC4816">
        <v>-16.276299999999999</v>
      </c>
      <c r="AD4816">
        <v>-1.1095838603829999</v>
      </c>
      <c r="AE4816">
        <v>-1.3137999999999801</v>
      </c>
      <c r="AF4816">
        <v>-0.43850252707161602</v>
      </c>
      <c r="AG4816">
        <v>-1.1095838603829999</v>
      </c>
      <c r="AH4816">
        <v>16.2482714382921</v>
      </c>
      <c r="AI4816">
        <v>93.905208700958596</v>
      </c>
      <c r="AJ4816">
        <v>91.545902728089402</v>
      </c>
      <c r="AK4816">
        <v>16.2920160060653</v>
      </c>
      <c r="AL4816">
        <v>89.871684382376401</v>
      </c>
      <c r="AM4816">
        <v>88.702677283452303</v>
      </c>
      <c r="AN4816">
        <v>0.99999993873599102</v>
      </c>
    </row>
    <row r="4817" spans="1:40" x14ac:dyDescent="0.25">
      <c r="A4817" t="str">
        <f>"20190312160739203"</f>
        <v>20190312160739203</v>
      </c>
      <c r="B4817" t="str">
        <f>"1552378059199934"</f>
        <v>1552378059199934</v>
      </c>
      <c r="C4817" t="s">
        <v>40</v>
      </c>
      <c r="D4817">
        <v>6.2376290000000001</v>
      </c>
      <c r="E4817">
        <v>0.4797804</v>
      </c>
      <c r="F4817" t="s">
        <v>47</v>
      </c>
      <c r="G4817">
        <v>-233.249</v>
      </c>
      <c r="H4817" s="1">
        <v>-3.3724320000000001E-6</v>
      </c>
      <c r="I4817">
        <v>141.47280000000001</v>
      </c>
      <c r="J4817">
        <v>-216.05350000000001</v>
      </c>
      <c r="K4817">
        <v>1.109607</v>
      </c>
      <c r="L4817">
        <v>142.86449999999999</v>
      </c>
      <c r="M4817">
        <v>-0.99853530000000001</v>
      </c>
      <c r="N4817">
        <v>0</v>
      </c>
      <c r="O4817">
        <v>-5.258881E-2</v>
      </c>
      <c r="P4817">
        <v>-0.9994866</v>
      </c>
      <c r="Q4817">
        <v>-1.0958529999999999E-2</v>
      </c>
      <c r="R4817">
        <v>-3.0111510000000001E-2</v>
      </c>
      <c r="S4817">
        <v>-2.992111</v>
      </c>
      <c r="T4817">
        <v>-0.19123580000000001</v>
      </c>
      <c r="U4817">
        <v>-0.2411652</v>
      </c>
      <c r="V4817">
        <v>2.249723E-2</v>
      </c>
      <c r="W4817">
        <v>1.7517240000000001E-3</v>
      </c>
      <c r="X4817">
        <v>0.99974540000000001</v>
      </c>
      <c r="Y4817">
        <v>-2.785557E-2</v>
      </c>
      <c r="Z4817">
        <v>2.461792E-3</v>
      </c>
      <c r="AA4817">
        <v>0.99960890000000002</v>
      </c>
      <c r="AB4817">
        <v>17</v>
      </c>
      <c r="AC4817">
        <v>-17.195499999999999</v>
      </c>
      <c r="AD4817">
        <v>-1.1096103724319999</v>
      </c>
      <c r="AE4817">
        <v>-1.39169999999998</v>
      </c>
      <c r="AF4817">
        <v>-0.48341011138119899</v>
      </c>
      <c r="AG4817">
        <v>-1.1096103724319999</v>
      </c>
      <c r="AH4817">
        <v>17.173849018695599</v>
      </c>
      <c r="AI4817">
        <v>93.695309036222199</v>
      </c>
      <c r="AJ4817">
        <v>91.6123378992677</v>
      </c>
      <c r="AK4817">
        <v>17.216445934958401</v>
      </c>
      <c r="AL4817">
        <v>89.899633559544995</v>
      </c>
      <c r="AM4817">
        <v>88.710892972885205</v>
      </c>
      <c r="AN4817">
        <v>1.0000000293579001</v>
      </c>
    </row>
    <row r="4818" spans="1:40" x14ac:dyDescent="0.25">
      <c r="A4818" t="str">
        <f>"20190312160739225"</f>
        <v>20190312160739225</v>
      </c>
      <c r="B4818" t="str">
        <f>"1552378059220432"</f>
        <v>1552378059220432</v>
      </c>
      <c r="C4818" t="s">
        <v>40</v>
      </c>
      <c r="D4818">
        <v>6.1865790000000001</v>
      </c>
      <c r="E4818">
        <v>0.47927979999999998</v>
      </c>
      <c r="F4818" t="s">
        <v>47</v>
      </c>
      <c r="G4818">
        <v>-233.92009999999999</v>
      </c>
      <c r="H4818" s="1">
        <v>-3.0661390000000002E-6</v>
      </c>
      <c r="I4818">
        <v>141.40369999999999</v>
      </c>
      <c r="J4818">
        <v>-216.2217</v>
      </c>
      <c r="K4818">
        <v>1.1096269999999999</v>
      </c>
      <c r="L4818">
        <v>142.85669999999999</v>
      </c>
      <c r="M4818">
        <v>-0.99857969999999896</v>
      </c>
      <c r="N4818">
        <v>0</v>
      </c>
      <c r="O4818">
        <v>-5.1768090000000003E-2</v>
      </c>
      <c r="P4818">
        <v>-0.99950050000000001</v>
      </c>
      <c r="Q4818">
        <v>-1.094035E-2</v>
      </c>
      <c r="R4818">
        <v>-2.9651750000000001E-2</v>
      </c>
      <c r="S4818">
        <v>-2.9921570000000002</v>
      </c>
      <c r="T4818">
        <v>-0.1858283</v>
      </c>
      <c r="U4818">
        <v>-0.24462890000000001</v>
      </c>
      <c r="V4818">
        <v>2.213503E-2</v>
      </c>
      <c r="W4818">
        <v>1.653973E-3</v>
      </c>
      <c r="X4818">
        <v>0.99975360000000002</v>
      </c>
      <c r="Y4818">
        <v>-2.9817420000000001E-2</v>
      </c>
      <c r="Z4818">
        <v>2.2806430000000002E-3</v>
      </c>
      <c r="AA4818">
        <v>0.99955280000000002</v>
      </c>
      <c r="AB4818">
        <v>17</v>
      </c>
      <c r="AC4818">
        <v>-17.6983999999999</v>
      </c>
      <c r="AD4818">
        <v>-1.1096300661389999</v>
      </c>
      <c r="AE4818">
        <v>-1.4530000000000001</v>
      </c>
      <c r="AF4818">
        <v>-0.53268646011017495</v>
      </c>
      <c r="AG4818">
        <v>-1.1096300661389999</v>
      </c>
      <c r="AH4818">
        <v>17.680854249140602</v>
      </c>
      <c r="AI4818">
        <v>93.589482961569701</v>
      </c>
      <c r="AJ4818">
        <v>91.725677738132006</v>
      </c>
      <c r="AK4818">
        <v>17.723646372228799</v>
      </c>
      <c r="AL4818">
        <v>89.905234282374096</v>
      </c>
      <c r="AM4818">
        <v>88.731650850943794</v>
      </c>
      <c r="AN4818">
        <v>0.99999997794637197</v>
      </c>
    </row>
    <row r="4819" spans="1:40" x14ac:dyDescent="0.25">
      <c r="A4819" t="str">
        <f>"20190312160739248"</f>
        <v>20190312160739248</v>
      </c>
      <c r="B4819" t="str">
        <f>"1552378059239951"</f>
        <v>1552378059239951</v>
      </c>
      <c r="C4819" t="s">
        <v>40</v>
      </c>
      <c r="D4819">
        <v>6.19252</v>
      </c>
      <c r="E4819">
        <v>0.4789503</v>
      </c>
      <c r="F4819" t="s">
        <v>47</v>
      </c>
      <c r="G4819">
        <v>-234.79060000000001</v>
      </c>
      <c r="H4819" s="1">
        <v>-2.6704619999999999E-6</v>
      </c>
      <c r="I4819">
        <v>141.32</v>
      </c>
      <c r="J4819">
        <v>-216.40950000000001</v>
      </c>
      <c r="K4819">
        <v>1.109639</v>
      </c>
      <c r="L4819">
        <v>142.84799999999899</v>
      </c>
      <c r="M4819">
        <v>-0.99862099999999998</v>
      </c>
      <c r="N4819">
        <v>0</v>
      </c>
      <c r="O4819">
        <v>-5.0997269999999997E-2</v>
      </c>
      <c r="P4819">
        <v>-0.99950830000000002</v>
      </c>
      <c r="Q4819">
        <v>-1.142132E-2</v>
      </c>
      <c r="R4819">
        <v>-2.920435E-2</v>
      </c>
      <c r="S4819">
        <v>-2.9922029999999999</v>
      </c>
      <c r="T4819">
        <v>-0.17880650000000001</v>
      </c>
      <c r="U4819">
        <v>-0.2476044</v>
      </c>
      <c r="V4819">
        <v>2.1810139999999999E-2</v>
      </c>
      <c r="W4819">
        <v>1.0436219999999999E-3</v>
      </c>
      <c r="X4819">
        <v>0.99976160000000003</v>
      </c>
      <c r="Y4819">
        <v>-3.1567499999999998E-2</v>
      </c>
      <c r="Z4819">
        <v>2.0964680000000002E-3</v>
      </c>
      <c r="AA4819">
        <v>0.99949940000000004</v>
      </c>
      <c r="AB4819">
        <v>17</v>
      </c>
      <c r="AC4819">
        <v>-18.3811</v>
      </c>
      <c r="AD4819">
        <v>-1.109641670462</v>
      </c>
      <c r="AE4819">
        <v>-1.52799999999999</v>
      </c>
      <c r="AF4819">
        <v>-0.58643019237408101</v>
      </c>
      <c r="AG4819">
        <v>-1.109641670462</v>
      </c>
      <c r="AH4819">
        <v>18.368625885967901</v>
      </c>
      <c r="AI4819">
        <v>93.455258812908596</v>
      </c>
      <c r="AJ4819">
        <v>91.828583511491004</v>
      </c>
      <c r="AK4819">
        <v>18.411453553318498</v>
      </c>
      <c r="AL4819">
        <v>89.940204853981399</v>
      </c>
      <c r="AM4819">
        <v>88.750271272092505</v>
      </c>
      <c r="AN4819">
        <v>1.0000000140941201</v>
      </c>
    </row>
    <row r="4820" spans="1:40" x14ac:dyDescent="0.25">
      <c r="A4820" t="str">
        <f>"20190312160739270"</f>
        <v>20190312160739270</v>
      </c>
      <c r="B4820" t="str">
        <f>"1552378059260450"</f>
        <v>1552378059260450</v>
      </c>
      <c r="C4820" t="s">
        <v>40</v>
      </c>
      <c r="D4820">
        <v>6.1919849999999999</v>
      </c>
      <c r="E4820">
        <v>0.4785626</v>
      </c>
      <c r="F4820" t="s">
        <v>47</v>
      </c>
      <c r="G4820">
        <v>-235.0746</v>
      </c>
      <c r="H4820" s="1">
        <v>-2.5418209999999999E-6</v>
      </c>
      <c r="I4820">
        <v>141.2945</v>
      </c>
      <c r="J4820">
        <v>-216.57740000000001</v>
      </c>
      <c r="K4820">
        <v>1.1096569999999999</v>
      </c>
      <c r="L4820">
        <v>142.84020000000001</v>
      </c>
      <c r="M4820">
        <v>-0.99865199999999998</v>
      </c>
      <c r="N4820">
        <v>0</v>
      </c>
      <c r="O4820">
        <v>-5.0415269999999998E-2</v>
      </c>
      <c r="P4820">
        <v>-0.9995077</v>
      </c>
      <c r="Q4820">
        <v>-1.2042840000000001E-2</v>
      </c>
      <c r="R4820">
        <v>-2.8970920000000001E-2</v>
      </c>
      <c r="S4820">
        <v>-2.9921720000000001</v>
      </c>
      <c r="T4820">
        <v>-0.1778843</v>
      </c>
      <c r="U4820">
        <v>-0.24902340000000001</v>
      </c>
      <c r="V4820">
        <v>2.1460239999999998E-2</v>
      </c>
      <c r="W4820">
        <v>3.0023259999999998E-4</v>
      </c>
      <c r="X4820">
        <v>0.99976960000000004</v>
      </c>
      <c r="Y4820">
        <v>-3.2618479999999998E-2</v>
      </c>
      <c r="Z4820">
        <v>2.0200389999999999E-3</v>
      </c>
      <c r="AA4820">
        <v>0.99946579999999996</v>
      </c>
      <c r="AB4820">
        <v>17</v>
      </c>
      <c r="AC4820">
        <v>-18.4971999999999</v>
      </c>
      <c r="AD4820">
        <v>-1.10965954182099</v>
      </c>
      <c r="AE4820">
        <v>-1.5457000000000101</v>
      </c>
      <c r="AF4820">
        <v>-0.60894533409321605</v>
      </c>
      <c r="AG4820">
        <v>-1.10965954182099</v>
      </c>
      <c r="AH4820">
        <v>18.485541184302001</v>
      </c>
      <c r="AI4820">
        <v>93.433400227116195</v>
      </c>
      <c r="AJ4820">
        <v>91.886738672910894</v>
      </c>
      <c r="AK4820">
        <v>18.528825963756901</v>
      </c>
      <c r="AL4820">
        <v>89.982797937901196</v>
      </c>
      <c r="AM4820">
        <v>88.770324296084695</v>
      </c>
      <c r="AN4820">
        <v>0.99999994256231395</v>
      </c>
    </row>
    <row r="4821" spans="1:40" x14ac:dyDescent="0.25">
      <c r="A4821" t="str">
        <f>"20190312160739291"</f>
        <v>20190312160739291</v>
      </c>
      <c r="B4821" t="str">
        <f>"1552378059279966"</f>
        <v>1552378059279966</v>
      </c>
      <c r="C4821" t="s">
        <v>40</v>
      </c>
      <c r="D4821">
        <v>6.1368660000000004</v>
      </c>
      <c r="E4821">
        <v>0.47842059999999997</v>
      </c>
      <c r="F4821" t="s">
        <v>47</v>
      </c>
      <c r="G4821">
        <v>-235.21090000000001</v>
      </c>
      <c r="H4821" s="1">
        <v>-2.477778E-6</v>
      </c>
      <c r="I4821">
        <v>141.27350000000001</v>
      </c>
      <c r="J4821">
        <v>-216.7449</v>
      </c>
      <c r="K4821">
        <v>1.109683</v>
      </c>
      <c r="L4821">
        <v>142.83240000000001</v>
      </c>
      <c r="M4821">
        <v>-0.99867839999999997</v>
      </c>
      <c r="N4821">
        <v>0</v>
      </c>
      <c r="O4821">
        <v>-4.9920249999999999E-2</v>
      </c>
      <c r="P4821">
        <v>-0.99951330000000005</v>
      </c>
      <c r="Q4821">
        <v>-1.235928E-2</v>
      </c>
      <c r="R4821">
        <v>-2.8644409999999999E-2</v>
      </c>
      <c r="S4821">
        <v>-2.9920499999999999</v>
      </c>
      <c r="T4821">
        <v>-0.17818200000000001</v>
      </c>
      <c r="U4821">
        <v>-0.25155640000000001</v>
      </c>
      <c r="V4821">
        <v>2.1291000000000001E-2</v>
      </c>
      <c r="W4821">
        <v>-1.429825E-4</v>
      </c>
      <c r="X4821">
        <v>0.99977329999999998</v>
      </c>
      <c r="Y4821">
        <v>-3.3954419999999999E-2</v>
      </c>
      <c r="Z4821">
        <v>1.9543849999999999E-3</v>
      </c>
      <c r="AA4821">
        <v>0.99942149999999996</v>
      </c>
      <c r="AB4821">
        <v>18</v>
      </c>
      <c r="AC4821">
        <v>-18.466000000000001</v>
      </c>
      <c r="AD4821">
        <v>-1.1096854777779901</v>
      </c>
      <c r="AE4821">
        <v>-1.55889999999999</v>
      </c>
      <c r="AF4821">
        <v>-0.63279089125483101</v>
      </c>
      <c r="AG4821">
        <v>-1.1096854777779901</v>
      </c>
      <c r="AH4821">
        <v>18.454627612762</v>
      </c>
      <c r="AI4821">
        <v>93.439062745253295</v>
      </c>
      <c r="AJ4821">
        <v>91.963846082350997</v>
      </c>
      <c r="AK4821">
        <v>18.498786622299399</v>
      </c>
      <c r="AL4821">
        <v>90.008192293910099</v>
      </c>
      <c r="AM4821">
        <v>88.780023350375401</v>
      </c>
      <c r="AN4821">
        <v>0.99999998925894196</v>
      </c>
    </row>
    <row r="4822" spans="1:40" x14ac:dyDescent="0.25">
      <c r="A4822" t="str">
        <f>"20190312160739315"</f>
        <v>20190312160739315</v>
      </c>
      <c r="B4822" t="str">
        <f>"1552378059310223"</f>
        <v>1552378059310223</v>
      </c>
      <c r="C4822" t="s">
        <v>40</v>
      </c>
      <c r="D4822">
        <v>6.117407</v>
      </c>
      <c r="E4822">
        <v>0.47791790000000001</v>
      </c>
      <c r="F4822" t="s">
        <v>47</v>
      </c>
      <c r="G4822">
        <v>-235.15719999999999</v>
      </c>
      <c r="H4822" s="1">
        <v>-2.5034789999999999E-6</v>
      </c>
      <c r="I4822">
        <v>141.2835</v>
      </c>
      <c r="J4822">
        <v>-216.9237</v>
      </c>
      <c r="K4822">
        <v>1.1097170000000001</v>
      </c>
      <c r="L4822">
        <v>142.82399999999899</v>
      </c>
      <c r="M4822">
        <v>-0.99870190000000003</v>
      </c>
      <c r="N4822">
        <v>0</v>
      </c>
      <c r="O4822">
        <v>-4.9482390000000001E-2</v>
      </c>
      <c r="P4822">
        <v>-0.99949540000000003</v>
      </c>
      <c r="Q4822">
        <v>-1.258426E-2</v>
      </c>
      <c r="R4822">
        <v>-2.9168340000000001E-2</v>
      </c>
      <c r="S4822">
        <v>-2.9920040000000001</v>
      </c>
      <c r="T4822">
        <v>-0.18032519999999999</v>
      </c>
      <c r="U4822">
        <v>-0.25169370000000002</v>
      </c>
      <c r="V4822">
        <v>2.0328510000000001E-2</v>
      </c>
      <c r="W4822">
        <v>-5.0328190000000004E-4</v>
      </c>
      <c r="X4822">
        <v>0.99979320000000005</v>
      </c>
      <c r="Y4822">
        <v>-3.4438530000000002E-2</v>
      </c>
      <c r="Z4822">
        <v>1.937051E-3</v>
      </c>
      <c r="AA4822">
        <v>0.99940499999999999</v>
      </c>
      <c r="AB4822">
        <v>18</v>
      </c>
      <c r="AC4822">
        <v>-18.2334999999999</v>
      </c>
      <c r="AD4822">
        <v>-1.1097195034789999</v>
      </c>
      <c r="AE4822">
        <v>-1.54049999999998</v>
      </c>
      <c r="AF4822">
        <v>-0.63397788040199698</v>
      </c>
      <c r="AG4822">
        <v>-1.1097195034789999</v>
      </c>
      <c r="AH4822">
        <v>18.220381476204899</v>
      </c>
      <c r="AI4822">
        <v>93.483213980600794</v>
      </c>
      <c r="AJ4822">
        <v>91.992801763749</v>
      </c>
      <c r="AK4822">
        <v>18.265150053248199</v>
      </c>
      <c r="AL4822">
        <v>90.0288359307946</v>
      </c>
      <c r="AM4822">
        <v>88.835181757357603</v>
      </c>
      <c r="AN4822">
        <v>0.99999997218886505</v>
      </c>
    </row>
    <row r="4823" spans="1:40" x14ac:dyDescent="0.25">
      <c r="A4823" t="str">
        <f>"20190312160739337"</f>
        <v>20190312160739337</v>
      </c>
      <c r="B4823" t="str">
        <f>"1552378059329743"</f>
        <v>1552378059329743</v>
      </c>
      <c r="C4823" t="s">
        <v>40</v>
      </c>
      <c r="D4823">
        <v>6.2067139999999998</v>
      </c>
      <c r="E4823">
        <v>0.4774891</v>
      </c>
      <c r="F4823" t="s">
        <v>47</v>
      </c>
      <c r="G4823">
        <v>-235.68719999999999</v>
      </c>
      <c r="H4823" s="1">
        <v>-2.2565400000000002E-6</v>
      </c>
      <c r="I4823">
        <v>141.2099</v>
      </c>
      <c r="J4823">
        <v>-217.10140000000001</v>
      </c>
      <c r="K4823">
        <v>1.1097459999999999</v>
      </c>
      <c r="L4823">
        <v>142.81559999999999</v>
      </c>
      <c r="M4823">
        <v>-0.99871989999999999</v>
      </c>
      <c r="N4823">
        <v>0</v>
      </c>
      <c r="O4823">
        <v>-4.9151859999999999E-2</v>
      </c>
      <c r="P4823">
        <v>-0.99945720000000005</v>
      </c>
      <c r="Q4823">
        <v>-1.310527E-2</v>
      </c>
      <c r="R4823">
        <v>-3.0232019999999998E-2</v>
      </c>
      <c r="S4823">
        <v>-2.9917760000000002</v>
      </c>
      <c r="T4823">
        <v>-0.17694119999999999</v>
      </c>
      <c r="U4823">
        <v>-0.25735469999999999</v>
      </c>
      <c r="V4823">
        <v>1.89334E-2</v>
      </c>
      <c r="W4823">
        <v>-1.15409E-3</v>
      </c>
      <c r="X4823">
        <v>0.99982009999999999</v>
      </c>
      <c r="Y4823">
        <v>-3.6647760000000001E-2</v>
      </c>
      <c r="Z4823">
        <v>1.816107E-3</v>
      </c>
      <c r="AA4823">
        <v>0.99932659999999995</v>
      </c>
      <c r="AB4823">
        <v>18</v>
      </c>
      <c r="AC4823">
        <v>-18.5857999999999</v>
      </c>
      <c r="AD4823">
        <v>-1.1097482565400001</v>
      </c>
      <c r="AE4823">
        <v>-1.6056999999999799</v>
      </c>
      <c r="AF4823">
        <v>-0.68773337787101396</v>
      </c>
      <c r="AG4823">
        <v>-1.1097482565400001</v>
      </c>
      <c r="AH4823">
        <v>18.576522486381599</v>
      </c>
      <c r="AI4823">
        <v>93.416411188566002</v>
      </c>
      <c r="AJ4823">
        <v>92.120215573177106</v>
      </c>
      <c r="AK4823">
        <v>18.622344269156201</v>
      </c>
      <c r="AL4823">
        <v>90.066124499603205</v>
      </c>
      <c r="AM4823">
        <v>88.915130563447804</v>
      </c>
      <c r="AN4823">
        <v>1.00000001896164</v>
      </c>
    </row>
    <row r="4824" spans="1:40" x14ac:dyDescent="0.25">
      <c r="A4824" t="str">
        <f>"20190312160739362"</f>
        <v>20190312160739362</v>
      </c>
      <c r="B4824" t="str">
        <f>"1552378059350238"</f>
        <v>1552378059350238</v>
      </c>
      <c r="C4824" t="s">
        <v>40</v>
      </c>
      <c r="D4824">
        <v>6.1331030000000002</v>
      </c>
      <c r="E4824">
        <v>0.47747260000000002</v>
      </c>
      <c r="F4824" t="s">
        <v>47</v>
      </c>
      <c r="G4824">
        <v>-235.6413</v>
      </c>
      <c r="H4824" s="1">
        <v>-2.2681459999999999E-6</v>
      </c>
      <c r="I4824">
        <v>141.17959999999999</v>
      </c>
      <c r="J4824">
        <v>-217.30080000000001</v>
      </c>
      <c r="K4824">
        <v>1.1097589999999999</v>
      </c>
      <c r="L4824">
        <v>142.80619999999999</v>
      </c>
      <c r="M4824">
        <v>-0.99873500000000004</v>
      </c>
      <c r="N4824">
        <v>0</v>
      </c>
      <c r="O4824">
        <v>-4.8879110000000003E-2</v>
      </c>
      <c r="P4824">
        <v>-0.99944960000000005</v>
      </c>
      <c r="Q4824">
        <v>-1.319735E-2</v>
      </c>
      <c r="R4824">
        <v>-3.0443850000000001E-2</v>
      </c>
      <c r="S4824">
        <v>-2.9913020000000001</v>
      </c>
      <c r="T4824">
        <v>-0.17905199999999999</v>
      </c>
      <c r="U4824">
        <v>-0.26396180000000002</v>
      </c>
      <c r="V4824">
        <v>1.8448470000000002E-2</v>
      </c>
      <c r="W4824">
        <v>-1.3852549999999999E-3</v>
      </c>
      <c r="X4824">
        <v>0.99982890000000002</v>
      </c>
      <c r="Y4824">
        <v>-3.9120410000000001E-2</v>
      </c>
      <c r="Z4824">
        <v>1.7477599999999999E-3</v>
      </c>
      <c r="AA4824">
        <v>0.99923289999999998</v>
      </c>
      <c r="AB4824">
        <v>18</v>
      </c>
      <c r="AC4824">
        <v>-18.340499999999899</v>
      </c>
      <c r="AD4824">
        <v>-1.1097612681459901</v>
      </c>
      <c r="AE4824">
        <v>-1.6265999999999901</v>
      </c>
      <c r="AF4824">
        <v>-0.72549020912817597</v>
      </c>
      <c r="AG4824">
        <v>-1.1097612681459901</v>
      </c>
      <c r="AH4824">
        <v>18.331493360330001</v>
      </c>
      <c r="AI4824">
        <v>93.461669660486294</v>
      </c>
      <c r="AJ4824">
        <v>92.266364479247102</v>
      </c>
      <c r="AK4824">
        <v>18.379378524195101</v>
      </c>
      <c r="AL4824">
        <v>90.079369286693094</v>
      </c>
      <c r="AM4824">
        <v>88.942919598082298</v>
      </c>
      <c r="AN4824">
        <v>1.00000004712598</v>
      </c>
    </row>
    <row r="4825" spans="1:40" x14ac:dyDescent="0.25">
      <c r="A4825" t="str">
        <f>"20190312160739383"</f>
        <v>20190312160739383</v>
      </c>
      <c r="B4825" t="str">
        <f>"1552378059380495"</f>
        <v>1552378059380495</v>
      </c>
      <c r="C4825" t="s">
        <v>40</v>
      </c>
      <c r="D4825">
        <v>6.1495499999999996</v>
      </c>
      <c r="E4825">
        <v>0.47766720000000001</v>
      </c>
      <c r="F4825" t="s">
        <v>47</v>
      </c>
      <c r="G4825">
        <v>-236.7259</v>
      </c>
      <c r="H4825" s="1">
        <v>-1.777317E-6</v>
      </c>
      <c r="I4825">
        <v>141.08359999999999</v>
      </c>
      <c r="J4825">
        <v>-217.46090000000001</v>
      </c>
      <c r="K4825">
        <v>1.1097619999999999</v>
      </c>
      <c r="L4825">
        <v>142.79849999999999</v>
      </c>
      <c r="M4825">
        <v>-0.99874370000000001</v>
      </c>
      <c r="N4825">
        <v>0</v>
      </c>
      <c r="O4825">
        <v>-4.8727270000000003E-2</v>
      </c>
      <c r="P4825">
        <v>-0.99943689999999996</v>
      </c>
      <c r="Q4825">
        <v>-1.370437E-2</v>
      </c>
      <c r="R4825">
        <v>-3.0633359999999998E-2</v>
      </c>
      <c r="S4825">
        <v>-2.9913180000000001</v>
      </c>
      <c r="T4825">
        <v>-0.17089470000000001</v>
      </c>
      <c r="U4825">
        <v>-0.26524350000000002</v>
      </c>
      <c r="V4825">
        <v>1.8106520000000001E-2</v>
      </c>
      <c r="W4825">
        <v>-1.999982E-3</v>
      </c>
      <c r="X4825">
        <v>0.99983409999999995</v>
      </c>
      <c r="Y4825">
        <v>-3.9694069999999998E-2</v>
      </c>
      <c r="Z4825">
        <v>1.6432420000000001E-3</v>
      </c>
      <c r="AA4825">
        <v>0.9992105</v>
      </c>
      <c r="AB4825">
        <v>18</v>
      </c>
      <c r="AC4825">
        <v>-19.264999999999901</v>
      </c>
      <c r="AD4825">
        <v>-1.1097637773169999</v>
      </c>
      <c r="AE4825">
        <v>-1.7149000000000001</v>
      </c>
      <c r="AF4825">
        <v>-0.77152753796714402</v>
      </c>
      <c r="AG4825">
        <v>-1.1097637773169999</v>
      </c>
      <c r="AH4825">
        <v>19.262263933473299</v>
      </c>
      <c r="AI4825">
        <v>93.294721390999698</v>
      </c>
      <c r="AJ4825">
        <v>92.293689617008596</v>
      </c>
      <c r="AK4825">
        <v>19.309625636611202</v>
      </c>
      <c r="AL4825">
        <v>90.114590599882305</v>
      </c>
      <c r="AM4825">
        <v>88.962514090873697</v>
      </c>
      <c r="AN4825">
        <v>1.0000000367586499</v>
      </c>
    </row>
    <row r="4826" spans="1:40" x14ac:dyDescent="0.25">
      <c r="A4826" t="str">
        <f>"20190312160739436"</f>
        <v>20190312160739436</v>
      </c>
      <c r="B4826" t="str">
        <f>"1552378059430270"</f>
        <v>1552378059430270</v>
      </c>
      <c r="C4826" t="s">
        <v>40</v>
      </c>
      <c r="D4826">
        <v>6.1706269999999996</v>
      </c>
      <c r="E4826">
        <v>0.47771069999999999</v>
      </c>
      <c r="F4826" t="s">
        <v>47</v>
      </c>
      <c r="G4826">
        <v>-237.83609999999999</v>
      </c>
      <c r="H4826" s="1">
        <v>-1.2775419999999999E-6</v>
      </c>
      <c r="I4826">
        <v>140.99529999999999</v>
      </c>
      <c r="J4826">
        <v>-217.8708</v>
      </c>
      <c r="K4826">
        <v>1.1097429999999999</v>
      </c>
      <c r="L4826">
        <v>142.77869999999999</v>
      </c>
      <c r="M4826">
        <v>-0.99875380000000002</v>
      </c>
      <c r="N4826">
        <v>0</v>
      </c>
      <c r="O4826">
        <v>-4.8584250000000002E-2</v>
      </c>
      <c r="P4826">
        <v>-0.99942920000000002</v>
      </c>
      <c r="Q4826">
        <v>-1.406838E-2</v>
      </c>
      <c r="R4826">
        <v>-3.0721249999999999E-2</v>
      </c>
      <c r="S4826">
        <v>-2.9913479999999999</v>
      </c>
      <c r="T4826">
        <v>-0.16292760000000001</v>
      </c>
      <c r="U4826">
        <v>-0.26472469999999998</v>
      </c>
      <c r="V4826">
        <v>1.7875169999999999E-2</v>
      </c>
      <c r="W4826">
        <v>-2.6382929999999999E-3</v>
      </c>
      <c r="X4826">
        <v>0.99983670000000002</v>
      </c>
      <c r="Y4826">
        <v>-3.9662959999999997E-2</v>
      </c>
      <c r="Z4826">
        <v>1.5598299999999999E-3</v>
      </c>
      <c r="AA4826">
        <v>0.99921190000000004</v>
      </c>
      <c r="AB4826">
        <v>18</v>
      </c>
      <c r="AC4826">
        <v>-19.9652999999999</v>
      </c>
      <c r="AD4826">
        <v>-1.1097442775419999</v>
      </c>
      <c r="AE4826">
        <v>-1.7834000000000001</v>
      </c>
      <c r="AF4826">
        <v>-0.80875240576457197</v>
      </c>
      <c r="AG4826">
        <v>-1.1097442775419999</v>
      </c>
      <c r="AH4826">
        <v>19.967169369450101</v>
      </c>
      <c r="AI4826">
        <v>93.1785367955205</v>
      </c>
      <c r="AJ4826">
        <v>92.319446641735794</v>
      </c>
      <c r="AK4826">
        <v>20.014331501293601</v>
      </c>
      <c r="AL4826">
        <v>90.151163236264495</v>
      </c>
      <c r="AM4826">
        <v>88.975770040587904</v>
      </c>
      <c r="AN4826">
        <v>0.99999995447968504</v>
      </c>
    </row>
    <row r="4827" spans="1:40" x14ac:dyDescent="0.25">
      <c r="A4827" t="str">
        <f>"20190312160739471"</f>
        <v>20190312160739471</v>
      </c>
      <c r="B4827" t="str">
        <f>"1552378059460530"</f>
        <v>1552378059460530</v>
      </c>
      <c r="C4827" t="s">
        <v>40</v>
      </c>
      <c r="D4827">
        <v>6.2731029999999999</v>
      </c>
      <c r="E4827">
        <v>0.47768240000000001</v>
      </c>
      <c r="F4827" t="s">
        <v>47</v>
      </c>
      <c r="G4827">
        <v>-238.97210000000001</v>
      </c>
      <c r="H4827" s="1">
        <v>-7.6766569999999996E-7</v>
      </c>
      <c r="I4827">
        <v>140.91050000000001</v>
      </c>
      <c r="J4827">
        <v>-218.15549999999999</v>
      </c>
      <c r="K4827">
        <v>1.1097170000000001</v>
      </c>
      <c r="L4827">
        <v>142.76490000000001</v>
      </c>
      <c r="M4827">
        <v>-0.99875440000000004</v>
      </c>
      <c r="N4827">
        <v>0</v>
      </c>
      <c r="O4827">
        <v>-4.8616850000000003E-2</v>
      </c>
      <c r="P4827">
        <v>-0.99943959999999998</v>
      </c>
      <c r="Q4827">
        <v>-1.512019E-2</v>
      </c>
      <c r="R4827">
        <v>-2.987511E-2</v>
      </c>
      <c r="S4827">
        <v>-2.9913479999999999</v>
      </c>
      <c r="T4827">
        <v>-0.15731919999999999</v>
      </c>
      <c r="U4827">
        <v>-0.2648315</v>
      </c>
      <c r="V4827">
        <v>1.8753929999999999E-2</v>
      </c>
      <c r="W4827">
        <v>-3.8816699999999998E-3</v>
      </c>
      <c r="X4827">
        <v>0.99981660000000006</v>
      </c>
      <c r="Y4827">
        <v>-3.9665020000000002E-2</v>
      </c>
      <c r="Z4827">
        <v>1.507855E-3</v>
      </c>
      <c r="AA4827">
        <v>0.99921190000000004</v>
      </c>
      <c r="AB4827">
        <v>18</v>
      </c>
      <c r="AC4827">
        <v>-20.816600000000001</v>
      </c>
      <c r="AD4827">
        <v>-1.1097177676657</v>
      </c>
      <c r="AE4827">
        <v>-1.8543999999999901</v>
      </c>
      <c r="AF4827">
        <v>-0.83774356819074103</v>
      </c>
      <c r="AG4827">
        <v>-1.1097177676657</v>
      </c>
      <c r="AH4827">
        <v>20.823430336922801</v>
      </c>
      <c r="AI4827">
        <v>93.048047695882403</v>
      </c>
      <c r="AJ4827">
        <v>92.303813505563497</v>
      </c>
      <c r="AK4827">
        <v>20.8697996829533</v>
      </c>
      <c r="AL4827">
        <v>90.222403865760697</v>
      </c>
      <c r="AM4827">
        <v>88.9254078743691</v>
      </c>
      <c r="AN4827">
        <v>1.0000000054439899</v>
      </c>
    </row>
    <row r="4828" spans="1:40" x14ac:dyDescent="0.25">
      <c r="A4828" t="str">
        <f>"20190312160739987"</f>
        <v>20190312160739987</v>
      </c>
      <c r="B4828" t="str">
        <f>"1552378059980268"</f>
        <v>1552378059980268</v>
      </c>
      <c r="C4828" t="s">
        <v>40</v>
      </c>
      <c r="D4828">
        <v>6.1722679999999999</v>
      </c>
      <c r="E4828">
        <v>0.47735319999999998</v>
      </c>
      <c r="F4828" t="s">
        <v>47</v>
      </c>
      <c r="G4828">
        <v>-239.4051</v>
      </c>
      <c r="H4828" s="1">
        <v>-5.7847250000000003E-7</v>
      </c>
      <c r="I4828">
        <v>140.89769999999999</v>
      </c>
      <c r="J4828">
        <v>-222.34809999999999</v>
      </c>
      <c r="K4828">
        <v>1.1092869999999999</v>
      </c>
      <c r="L4828">
        <v>142.55699999999999</v>
      </c>
      <c r="M4828">
        <v>-0.998726</v>
      </c>
      <c r="N4828">
        <v>0</v>
      </c>
      <c r="O4828">
        <v>-4.9625830000000003E-2</v>
      </c>
      <c r="P4828">
        <v>-0.9993668</v>
      </c>
      <c r="Q4828">
        <v>-1.778122E-2</v>
      </c>
      <c r="R4828">
        <v>-3.0824270000000001E-2</v>
      </c>
      <c r="S4828">
        <v>-2.9914860000000001</v>
      </c>
      <c r="T4828">
        <v>-0.1562239</v>
      </c>
      <c r="U4828">
        <v>-0.26284790000000002</v>
      </c>
      <c r="V4828">
        <v>1.8809659999999999E-2</v>
      </c>
      <c r="W4828">
        <v>-8.6272080000000008E-3</v>
      </c>
      <c r="X4828">
        <v>0.99978579999999995</v>
      </c>
      <c r="Y4828">
        <v>-3.7998499999999998E-2</v>
      </c>
      <c r="Z4828">
        <v>1.593159E-3</v>
      </c>
      <c r="AA4828">
        <v>0.99927650000000001</v>
      </c>
      <c r="AB4828">
        <v>19</v>
      </c>
      <c r="AC4828">
        <v>-17.056999999999999</v>
      </c>
      <c r="AD4828">
        <v>-1.1092875784725</v>
      </c>
      <c r="AE4828">
        <v>-1.65930000000003</v>
      </c>
      <c r="AF4828">
        <v>-0.80736947146041405</v>
      </c>
      <c r="AG4828">
        <v>-1.1092875784725</v>
      </c>
      <c r="AH4828">
        <v>17.046906554094701</v>
      </c>
      <c r="AI4828">
        <v>93.718982614478193</v>
      </c>
      <c r="AJ4828">
        <v>92.711595878946497</v>
      </c>
      <c r="AK4828">
        <v>17.102028752730899</v>
      </c>
      <c r="AL4828">
        <v>90.494308769481194</v>
      </c>
      <c r="AM4828">
        <v>88.922182126413901</v>
      </c>
      <c r="AN4828">
        <v>0.99999993895441297</v>
      </c>
    </row>
    <row r="4829" spans="1:40" x14ac:dyDescent="0.25">
      <c r="A4829" t="str">
        <f>"20190312160740009"</f>
        <v>20190312160740009</v>
      </c>
      <c r="B4829" t="str">
        <f>"1552378060000295"</f>
        <v>1552378060000295</v>
      </c>
      <c r="C4829" t="s">
        <v>40</v>
      </c>
      <c r="D4829">
        <v>6.0028649999999999</v>
      </c>
      <c r="E4829">
        <v>0.47818359999999899</v>
      </c>
      <c r="F4829" t="s">
        <v>47</v>
      </c>
      <c r="G4829">
        <v>-243.0949</v>
      </c>
      <c r="H4829" s="1">
        <v>-3.2313010000000001E-6</v>
      </c>
      <c r="I4829">
        <v>140.69380000000001</v>
      </c>
      <c r="J4829">
        <v>-222.5292</v>
      </c>
      <c r="K4829">
        <v>1.109272</v>
      </c>
      <c r="L4829">
        <v>142.548</v>
      </c>
      <c r="M4829">
        <v>-0.99872700000000003</v>
      </c>
      <c r="N4829">
        <v>0</v>
      </c>
      <c r="O4829">
        <v>-4.9617179999999997E-2</v>
      </c>
      <c r="P4829">
        <v>-0.99939730000000004</v>
      </c>
      <c r="Q4829">
        <v>-1.8456799999999999E-2</v>
      </c>
      <c r="R4829">
        <v>-2.9407050000000001E-2</v>
      </c>
      <c r="S4829">
        <v>-2.9907840000000001</v>
      </c>
      <c r="T4829">
        <v>-0.15991159999999999</v>
      </c>
      <c r="U4829">
        <v>-0.26858520000000002</v>
      </c>
      <c r="V4829">
        <v>2.0218E-2</v>
      </c>
      <c r="W4829">
        <v>-9.3711799999999998E-3</v>
      </c>
      <c r="X4829">
        <v>0.99975170000000002</v>
      </c>
      <c r="Y4829">
        <v>-3.9927490000000003E-2</v>
      </c>
      <c r="Z4829">
        <v>1.579032E-3</v>
      </c>
      <c r="AA4829">
        <v>0.99920140000000002</v>
      </c>
      <c r="AB4829">
        <v>19</v>
      </c>
      <c r="AC4829">
        <v>-20.5657</v>
      </c>
      <c r="AD4829">
        <v>-1.1092752313009999</v>
      </c>
      <c r="AE4829">
        <v>-1.8541999999999901</v>
      </c>
      <c r="AF4829">
        <v>-0.82906928949771796</v>
      </c>
      <c r="AG4829">
        <v>-1.1092752313009999</v>
      </c>
      <c r="AH4829">
        <v>20.573000447423201</v>
      </c>
      <c r="AI4829">
        <v>93.083843234445993</v>
      </c>
      <c r="AJ4829">
        <v>92.307708194080007</v>
      </c>
      <c r="AK4829">
        <v>20.6195585509303</v>
      </c>
      <c r="AL4829">
        <v>90.536936909193201</v>
      </c>
      <c r="AM4829">
        <v>88.841464144618698</v>
      </c>
      <c r="AN4829">
        <v>1.0000000240957401</v>
      </c>
    </row>
    <row r="4830" spans="1:40" x14ac:dyDescent="0.25">
      <c r="A4830" t="str">
        <f>"20190312160740030"</f>
        <v>20190312160740030</v>
      </c>
      <c r="B4830" t="str">
        <f>"1552378060019814"</f>
        <v>1552378060019814</v>
      </c>
      <c r="C4830" t="s">
        <v>40</v>
      </c>
      <c r="D4830">
        <v>5.7842560000000001</v>
      </c>
      <c r="E4830">
        <v>0.47830519999999999</v>
      </c>
      <c r="F4830" t="s">
        <v>47</v>
      </c>
      <c r="G4830">
        <v>-241.9375</v>
      </c>
      <c r="H4830" s="1">
        <v>-3.7767319999999998E-6</v>
      </c>
      <c r="I4830">
        <v>140.87780000000001</v>
      </c>
      <c r="J4830">
        <v>-222.71170000000001</v>
      </c>
      <c r="K4830">
        <v>1.109256</v>
      </c>
      <c r="L4830">
        <v>142.53899999999999</v>
      </c>
      <c r="M4830">
        <v>-0.99872850000000002</v>
      </c>
      <c r="N4830">
        <v>0</v>
      </c>
      <c r="O4830">
        <v>-4.9596830000000001E-2</v>
      </c>
      <c r="P4830">
        <v>-0.99943720000000003</v>
      </c>
      <c r="Q4830">
        <v>-1.7761510000000001E-2</v>
      </c>
      <c r="R4830">
        <v>-2.8456430000000001E-2</v>
      </c>
      <c r="S4830">
        <v>-2.9910890000000001</v>
      </c>
      <c r="T4830">
        <v>-0.17095479999999999</v>
      </c>
      <c r="U4830">
        <v>-0.25740049999999998</v>
      </c>
      <c r="V4830">
        <v>2.1148839999999999E-2</v>
      </c>
      <c r="W4830">
        <v>-8.7436110000000001E-3</v>
      </c>
      <c r="X4830">
        <v>0.99973809999999996</v>
      </c>
      <c r="Y4830">
        <v>-3.623875E-2</v>
      </c>
      <c r="Z4830">
        <v>1.7920519999999999E-3</v>
      </c>
      <c r="AA4830">
        <v>0.99934149999999999</v>
      </c>
      <c r="AB4830">
        <v>19</v>
      </c>
      <c r="AC4830">
        <v>-19.2257999999999</v>
      </c>
      <c r="AD4830">
        <v>-1.109259776732</v>
      </c>
      <c r="AE4830">
        <v>-1.66119999999997</v>
      </c>
      <c r="AF4830">
        <v>-0.70325411824962902</v>
      </c>
      <c r="AG4830">
        <v>-1.109259776732</v>
      </c>
      <c r="AH4830">
        <v>19.221020622394899</v>
      </c>
      <c r="AI4830">
        <v>93.300715960921394</v>
      </c>
      <c r="AJ4830">
        <v>92.0953896413546</v>
      </c>
      <c r="AK4830">
        <v>19.265841725023101</v>
      </c>
      <c r="AL4830">
        <v>90.500978393317297</v>
      </c>
      <c r="AM4830">
        <v>88.788124041833001</v>
      </c>
      <c r="AN4830">
        <v>0.99999999637913695</v>
      </c>
    </row>
    <row r="4831" spans="1:40" x14ac:dyDescent="0.25">
      <c r="A4831" t="str">
        <f>"20190312160740052"</f>
        <v>20190312160740052</v>
      </c>
      <c r="B4831" t="str">
        <f>"1552378060050071"</f>
        <v>1552378060050071</v>
      </c>
      <c r="C4831" t="s">
        <v>40</v>
      </c>
      <c r="D4831">
        <v>5.8682569999999998</v>
      </c>
      <c r="E4831">
        <v>0.47865360000000001</v>
      </c>
      <c r="F4831" t="s">
        <v>47</v>
      </c>
      <c r="G4831">
        <v>-242.11770000000001</v>
      </c>
      <c r="H4831" s="1">
        <v>-3.7041229999999998E-6</v>
      </c>
      <c r="I4831">
        <v>140.8954</v>
      </c>
      <c r="J4831">
        <v>-222.8973</v>
      </c>
      <c r="K4831">
        <v>1.1092470000000001</v>
      </c>
      <c r="L4831">
        <v>142.52979999999999</v>
      </c>
      <c r="M4831">
        <v>-0.99873100000000004</v>
      </c>
      <c r="N4831">
        <v>0</v>
      </c>
      <c r="O4831">
        <v>-4.9561910000000001E-2</v>
      </c>
      <c r="P4831">
        <v>-0.99945980000000001</v>
      </c>
      <c r="Q4831">
        <v>-1.7196179999999998E-2</v>
      </c>
      <c r="R4831">
        <v>-2.8008930000000001E-2</v>
      </c>
      <c r="S4831">
        <v>-2.9914550000000002</v>
      </c>
      <c r="T4831">
        <v>-0.1709936</v>
      </c>
      <c r="U4831">
        <v>-0.2533569</v>
      </c>
      <c r="V4831">
        <v>2.1561670000000002E-2</v>
      </c>
      <c r="W4831">
        <v>-8.2438559999999904E-3</v>
      </c>
      <c r="X4831">
        <v>0.99973350000000005</v>
      </c>
      <c r="Y4831">
        <v>-3.492427E-2</v>
      </c>
      <c r="Z4831">
        <v>1.8278459999999999E-3</v>
      </c>
      <c r="AA4831">
        <v>0.99938830000000001</v>
      </c>
      <c r="AB4831">
        <v>19</v>
      </c>
      <c r="AC4831">
        <v>-19.220400000000001</v>
      </c>
      <c r="AD4831">
        <v>-1.109250704123</v>
      </c>
      <c r="AE4831">
        <v>-1.6343999999999901</v>
      </c>
      <c r="AF4831">
        <v>-0.677513016649541</v>
      </c>
      <c r="AG4831">
        <v>-1.109250704123</v>
      </c>
      <c r="AH4831">
        <v>19.214247165781799</v>
      </c>
      <c r="AI4831">
        <v>93.302006850414898</v>
      </c>
      <c r="AJ4831">
        <v>92.019468151506203</v>
      </c>
      <c r="AK4831">
        <v>19.258160741879799</v>
      </c>
      <c r="AL4831">
        <v>90.472343520676404</v>
      </c>
      <c r="AM4831">
        <v>88.764469536516302</v>
      </c>
      <c r="AN4831">
        <v>0.99999996889859299</v>
      </c>
    </row>
    <row r="4832" spans="1:40" x14ac:dyDescent="0.25">
      <c r="A4832" t="str">
        <f>"20190312160740073"</f>
        <v>20190312160740073</v>
      </c>
      <c r="B4832" t="str">
        <f>"1552378060070567"</f>
        <v>1552378060070567</v>
      </c>
      <c r="C4832" t="s">
        <v>40</v>
      </c>
      <c r="D4832">
        <v>7.8709210000000001</v>
      </c>
      <c r="E4832">
        <v>0.4786839</v>
      </c>
      <c r="F4832" t="s">
        <v>47</v>
      </c>
      <c r="G4832">
        <v>-241.92089999999999</v>
      </c>
      <c r="H4832" s="1">
        <v>-3.802309E-6</v>
      </c>
      <c r="I4832">
        <v>140.94710000000001</v>
      </c>
      <c r="J4832">
        <v>-223.07579999999999</v>
      </c>
      <c r="K4832">
        <v>1.109227</v>
      </c>
      <c r="L4832">
        <v>142.52099999999999</v>
      </c>
      <c r="M4832">
        <v>-0.9987338</v>
      </c>
      <c r="N4832">
        <v>0</v>
      </c>
      <c r="O4832">
        <v>-4.9513750000000002E-2</v>
      </c>
      <c r="P4832">
        <v>-0.99946060000000003</v>
      </c>
      <c r="Q4832">
        <v>-1.7542760000000001E-2</v>
      </c>
      <c r="R4832">
        <v>-2.7765709999999999E-2</v>
      </c>
      <c r="S4832">
        <v>-2.991638</v>
      </c>
      <c r="T4832">
        <v>-0.17444029999999999</v>
      </c>
      <c r="U4832">
        <v>-0.2488861</v>
      </c>
      <c r="V4832">
        <v>2.175641E-2</v>
      </c>
      <c r="W4832">
        <v>-8.6508929999999998E-3</v>
      </c>
      <c r="X4832">
        <v>0.99972589999999995</v>
      </c>
      <c r="Y4832">
        <v>-3.3487540000000003E-2</v>
      </c>
      <c r="Z4832">
        <v>1.903641E-3</v>
      </c>
      <c r="AA4832">
        <v>0.99943729999999997</v>
      </c>
      <c r="AB4832">
        <v>19</v>
      </c>
      <c r="AC4832">
        <v>-18.845099999999999</v>
      </c>
      <c r="AD4832">
        <v>-1.1092308023090001</v>
      </c>
      <c r="AE4832">
        <v>-1.5739000000000001</v>
      </c>
      <c r="AF4832">
        <v>-0.63665042249344905</v>
      </c>
      <c r="AG4832">
        <v>-1.1092308023090001</v>
      </c>
      <c r="AH4832">
        <v>18.835113145376699</v>
      </c>
      <c r="AI4832">
        <v>93.368430667346601</v>
      </c>
      <c r="AJ4832">
        <v>91.935932073504404</v>
      </c>
      <c r="AK4832">
        <v>18.8784852128659</v>
      </c>
      <c r="AL4832">
        <v>90.495665826989693</v>
      </c>
      <c r="AM4832">
        <v>88.753304543688401</v>
      </c>
      <c r="AN4832">
        <v>1.0000000272282901</v>
      </c>
    </row>
    <row r="4833" spans="1:40" x14ac:dyDescent="0.25">
      <c r="A4833" t="str">
        <f>"20190312160740096"</f>
        <v>20190312160740096</v>
      </c>
      <c r="B4833" t="str">
        <f>"1552378060090087"</f>
        <v>1552378060090087</v>
      </c>
      <c r="C4833" t="s">
        <v>40</v>
      </c>
      <c r="D4833">
        <v>5.9136819999999997</v>
      </c>
      <c r="E4833">
        <v>0.47869240000000002</v>
      </c>
      <c r="F4833" t="s">
        <v>47</v>
      </c>
      <c r="G4833">
        <v>-242.0993</v>
      </c>
      <c r="H4833" s="1">
        <v>-3.7248229999999999E-6</v>
      </c>
      <c r="I4833">
        <v>140.9435</v>
      </c>
      <c r="J4833">
        <v>-223.2758</v>
      </c>
      <c r="K4833">
        <v>1.109202</v>
      </c>
      <c r="L4833">
        <v>142.5111</v>
      </c>
      <c r="M4833">
        <v>-0.99873800000000001</v>
      </c>
      <c r="N4833">
        <v>0</v>
      </c>
      <c r="O4833">
        <v>-4.9441449999999998E-2</v>
      </c>
      <c r="P4833">
        <v>-0.99943170000000003</v>
      </c>
      <c r="Q4833">
        <v>-1.774821E-2</v>
      </c>
      <c r="R4833">
        <v>-2.865964E-2</v>
      </c>
      <c r="S4833">
        <v>-2.9916529999999999</v>
      </c>
      <c r="T4833">
        <v>-0.17443839999999999</v>
      </c>
      <c r="U4833">
        <v>-0.24806210000000001</v>
      </c>
      <c r="V4833">
        <v>2.078934E-2</v>
      </c>
      <c r="W4833">
        <v>-8.9214099999999994E-3</v>
      </c>
      <c r="X4833">
        <v>0.99974410000000002</v>
      </c>
      <c r="Y4833">
        <v>-3.3286330000000003E-2</v>
      </c>
      <c r="Z4833">
        <v>1.9052889999999999E-3</v>
      </c>
      <c r="AA4833">
        <v>0.99944409999999895</v>
      </c>
      <c r="AB4833">
        <v>19</v>
      </c>
      <c r="AC4833">
        <v>-18.823499999999999</v>
      </c>
      <c r="AD4833">
        <v>-1.1092057248230001</v>
      </c>
      <c r="AE4833">
        <v>-1.5675999999999899</v>
      </c>
      <c r="AF4833">
        <v>-0.63280312440891695</v>
      </c>
      <c r="AG4833">
        <v>-1.1092057248230001</v>
      </c>
      <c r="AH4833">
        <v>18.8131091920818</v>
      </c>
      <c r="AI4833">
        <v>93.372303948919793</v>
      </c>
      <c r="AJ4833">
        <v>91.926490910956304</v>
      </c>
      <c r="AK4833">
        <v>18.856400892202</v>
      </c>
      <c r="AL4833">
        <v>90.511165907482393</v>
      </c>
      <c r="AM4833">
        <v>88.808725357734801</v>
      </c>
      <c r="AN4833">
        <v>1.00000002684941</v>
      </c>
    </row>
    <row r="4834" spans="1:40" x14ac:dyDescent="0.25">
      <c r="A4834" t="str">
        <f>"20190312160740119"</f>
        <v>20190312160740119</v>
      </c>
      <c r="B4834" t="str">
        <f>"1552378060110583"</f>
        <v>1552378060110583</v>
      </c>
      <c r="C4834" t="s">
        <v>40</v>
      </c>
      <c r="D4834">
        <v>5.2311690000000004</v>
      </c>
      <c r="E4834">
        <v>0.4785238</v>
      </c>
      <c r="F4834" t="s">
        <v>47</v>
      </c>
      <c r="G4834">
        <v>-242.178</v>
      </c>
      <c r="H4834" s="1">
        <v>-3.6867939999999998E-6</v>
      </c>
      <c r="I4834">
        <v>140.92740000000001</v>
      </c>
      <c r="J4834">
        <v>-223.4683</v>
      </c>
      <c r="K4834">
        <v>1.1091789999999999</v>
      </c>
      <c r="L4834">
        <v>142.5017</v>
      </c>
      <c r="M4834">
        <v>-0.99874289999999999</v>
      </c>
      <c r="N4834">
        <v>0</v>
      </c>
      <c r="O4834">
        <v>-4.9352E-2</v>
      </c>
      <c r="P4834">
        <v>-0.99941369999999896</v>
      </c>
      <c r="Q4834">
        <v>-1.7275450000000001E-2</v>
      </c>
      <c r="R4834">
        <v>-2.9560820000000002E-2</v>
      </c>
      <c r="S4834">
        <v>-2.991409</v>
      </c>
      <c r="T4834">
        <v>-0.17553959999999999</v>
      </c>
      <c r="U4834">
        <v>-0.2506256</v>
      </c>
      <c r="V4834">
        <v>1.9798570000000001E-2</v>
      </c>
      <c r="W4834">
        <v>-8.5068060000000004E-3</v>
      </c>
      <c r="X4834">
        <v>0.99976779999999998</v>
      </c>
      <c r="Y4834">
        <v>-3.4231699999999997E-2</v>
      </c>
      <c r="Z4834">
        <v>1.8844770000000001E-3</v>
      </c>
      <c r="AA4834">
        <v>0.99941210000000003</v>
      </c>
      <c r="AB4834">
        <v>19</v>
      </c>
      <c r="AC4834">
        <v>-18.709700000000002</v>
      </c>
      <c r="AD4834">
        <v>-1.109182686794</v>
      </c>
      <c r="AE4834">
        <v>-1.57429999999999</v>
      </c>
      <c r="AF4834">
        <v>-0.64672782731334699</v>
      </c>
      <c r="AG4834">
        <v>-1.109182686794</v>
      </c>
      <c r="AH4834">
        <v>18.699339190235701</v>
      </c>
      <c r="AI4834">
        <v>93.392594063553801</v>
      </c>
      <c r="AJ4834">
        <v>91.980819252076898</v>
      </c>
      <c r="AK4834">
        <v>18.7433676074175</v>
      </c>
      <c r="AL4834">
        <v>90.487409958947396</v>
      </c>
      <c r="AM4834">
        <v>88.865510322725299</v>
      </c>
      <c r="AN4834">
        <v>1.0000000015196</v>
      </c>
    </row>
    <row r="4835" spans="1:40" x14ac:dyDescent="0.25">
      <c r="A4835" t="str">
        <f>"20190312160740185"</f>
        <v>20190312160740185</v>
      </c>
      <c r="B4835" t="str">
        <f>"1552378060179878"</f>
        <v>1552378060179878</v>
      </c>
      <c r="C4835" t="s">
        <v>40</v>
      </c>
      <c r="D4835">
        <v>6.1079270000000001</v>
      </c>
      <c r="E4835">
        <v>0.50360349999999998</v>
      </c>
      <c r="F4835" t="s">
        <v>47</v>
      </c>
      <c r="G4835">
        <v>-241.92660000000001</v>
      </c>
      <c r="H4835" s="1">
        <v>-3.7956149999999999E-6</v>
      </c>
      <c r="I4835">
        <v>140.93100000000001</v>
      </c>
      <c r="J4835">
        <v>-224.0412</v>
      </c>
      <c r="K4835">
        <v>1.1091279999999999</v>
      </c>
      <c r="L4835">
        <v>142.47389999999999</v>
      </c>
      <c r="M4835">
        <v>-0.99876359999999997</v>
      </c>
      <c r="N4835">
        <v>0</v>
      </c>
      <c r="O4835">
        <v>-4.8959580000000003E-2</v>
      </c>
      <c r="P4835">
        <v>-0.99938320000000003</v>
      </c>
      <c r="Q4835">
        <v>-1.7688800000000001E-2</v>
      </c>
      <c r="R4835">
        <v>-3.0338179999999999E-2</v>
      </c>
      <c r="S4835">
        <v>-2.9911189999999999</v>
      </c>
      <c r="T4835">
        <v>-0.1797407</v>
      </c>
      <c r="U4835">
        <v>-0.25451659999999998</v>
      </c>
      <c r="V4835">
        <v>1.8626859999999999E-2</v>
      </c>
      <c r="W4835">
        <v>-9.0633339999999993E-3</v>
      </c>
      <c r="X4835">
        <v>0.99978540000000005</v>
      </c>
      <c r="Y4835">
        <v>-3.5920859999999999E-2</v>
      </c>
      <c r="Z4835">
        <v>1.8554629999999999E-3</v>
      </c>
      <c r="AA4835">
        <v>0.99935289999999999</v>
      </c>
      <c r="AB4835">
        <v>19</v>
      </c>
      <c r="AC4835">
        <v>-17.885400000000001</v>
      </c>
      <c r="AD4835">
        <v>-1.109131795615</v>
      </c>
      <c r="AE4835">
        <v>-1.54289999999997</v>
      </c>
      <c r="AF4835">
        <v>-0.66282522131597299</v>
      </c>
      <c r="AG4835">
        <v>-1.109131795615</v>
      </c>
      <c r="AH4835">
        <v>17.871273201482602</v>
      </c>
      <c r="AI4835">
        <v>93.548917408210102</v>
      </c>
      <c r="AJ4835">
        <v>92.124061789581205</v>
      </c>
      <c r="AK4835">
        <v>17.917921655596299</v>
      </c>
      <c r="AL4835">
        <v>90.519297909204695</v>
      </c>
      <c r="AM4835">
        <v>88.932653941123306</v>
      </c>
      <c r="AN4835">
        <v>0.999999974994907</v>
      </c>
    </row>
    <row r="4836" spans="1:40" x14ac:dyDescent="0.25">
      <c r="A4836" t="str">
        <f>"20190312160740210"</f>
        <v>20190312160740210</v>
      </c>
      <c r="B4836" t="str">
        <f>"1552378060200375"</f>
        <v>1552378060200375</v>
      </c>
      <c r="C4836" t="s">
        <v>40</v>
      </c>
      <c r="D4836">
        <v>6.0179179999999999</v>
      </c>
      <c r="E4836">
        <v>0.50186409999999904</v>
      </c>
      <c r="F4836" t="s">
        <v>44</v>
      </c>
      <c r="G4836">
        <v>-224.73159999999999</v>
      </c>
      <c r="H4836">
        <v>0.79322340000000002</v>
      </c>
      <c r="I4836">
        <v>142.47280000000001</v>
      </c>
      <c r="J4836">
        <v>-224.24870000000001</v>
      </c>
      <c r="K4836">
        <v>1.1091059999999999</v>
      </c>
      <c r="L4836">
        <v>142.4639</v>
      </c>
      <c r="M4836">
        <v>-0.99877329999999998</v>
      </c>
      <c r="N4836">
        <v>0</v>
      </c>
      <c r="O4836">
        <v>-4.8766259999999999E-2</v>
      </c>
      <c r="P4836">
        <v>-0.99941199999999997</v>
      </c>
      <c r="Q4836">
        <v>-1.7592569999999998E-2</v>
      </c>
      <c r="R4836">
        <v>-2.9430680000000001E-2</v>
      </c>
      <c r="S4836">
        <v>-2.9775849999999999</v>
      </c>
      <c r="T4836">
        <v>-1.362409</v>
      </c>
      <c r="U4836">
        <v>-5.4016109999999997E-3</v>
      </c>
      <c r="V4836">
        <v>1.9341009999999999E-2</v>
      </c>
      <c r="W4836">
        <v>-9.0148329999999999E-3</v>
      </c>
      <c r="X4836">
        <v>0.99977229999999995</v>
      </c>
      <c r="Y4836">
        <v>3.8279970000000003E-2</v>
      </c>
      <c r="Z4836">
        <v>2.9589310000000001E-2</v>
      </c>
      <c r="AA4836">
        <v>0.99882890000000002</v>
      </c>
      <c r="AB4836">
        <v>19</v>
      </c>
      <c r="AC4836">
        <v>-0.48289999999997202</v>
      </c>
      <c r="AD4836">
        <v>-0.31588259999999901</v>
      </c>
      <c r="AE4836">
        <v>8.9000000000112305E-3</v>
      </c>
      <c r="AF4836">
        <v>2.27207263490843E-2</v>
      </c>
      <c r="AG4836">
        <v>-0.31588259999999901</v>
      </c>
      <c r="AH4836">
        <v>0.33751815629050003</v>
      </c>
      <c r="AI4836">
        <v>133.038885074815</v>
      </c>
      <c r="AJ4836">
        <v>86.148827481051697</v>
      </c>
      <c r="AK4836">
        <v>0.46283534244299901</v>
      </c>
      <c r="AL4836">
        <v>90.5165188817043</v>
      </c>
      <c r="AM4836">
        <v>88.891727611747001</v>
      </c>
      <c r="AN4836">
        <v>0.99999999686456298</v>
      </c>
    </row>
    <row r="4837" spans="1:40" x14ac:dyDescent="0.25">
      <c r="A4837" t="str">
        <f>"20190312160740230"</f>
        <v>20190312160740230</v>
      </c>
      <c r="B4837" t="str">
        <f>"1552378060219894"</f>
        <v>1552378060219894</v>
      </c>
      <c r="C4837" t="s">
        <v>40</v>
      </c>
      <c r="D4837">
        <v>6.1299479999999997</v>
      </c>
      <c r="E4837">
        <v>0.49985970000000002</v>
      </c>
      <c r="F4837" t="s">
        <v>44</v>
      </c>
      <c r="G4837">
        <v>-224.9667</v>
      </c>
      <c r="H4837">
        <v>0.94121250000000001</v>
      </c>
      <c r="I4837">
        <v>142.45320000000001</v>
      </c>
      <c r="J4837">
        <v>-224.42850000000001</v>
      </c>
      <c r="K4837">
        <v>1.1090899999999999</v>
      </c>
      <c r="L4837">
        <v>142.4554</v>
      </c>
      <c r="M4837">
        <v>-0.99878290000000003</v>
      </c>
      <c r="N4837">
        <v>0</v>
      </c>
      <c r="O4837">
        <v>-4.8578959999999997E-2</v>
      </c>
      <c r="P4837">
        <v>-0.99945530000000005</v>
      </c>
      <c r="Q4837">
        <v>-1.7110879999999998E-2</v>
      </c>
      <c r="R4837">
        <v>-2.8228489999999998E-2</v>
      </c>
      <c r="S4837">
        <v>-2.9881440000000001</v>
      </c>
      <c r="T4837">
        <v>-0.69880520000000002</v>
      </c>
      <c r="U4837">
        <v>-4.5562739999999997E-2</v>
      </c>
      <c r="V4837">
        <v>2.0356389999999999E-2</v>
      </c>
      <c r="W4837">
        <v>-8.5738250000000002E-3</v>
      </c>
      <c r="X4837">
        <v>0.99975599999999998</v>
      </c>
      <c r="Y4837">
        <v>3.119622E-2</v>
      </c>
      <c r="Z4837">
        <v>1.480383E-2</v>
      </c>
      <c r="AA4837">
        <v>0.99940370000000001</v>
      </c>
      <c r="AB4837">
        <v>19</v>
      </c>
      <c r="AC4837">
        <v>-0.53819999999998902</v>
      </c>
      <c r="AD4837">
        <v>-0.16787749999999901</v>
      </c>
      <c r="AE4837">
        <v>-2.1999999999877599E-3</v>
      </c>
      <c r="AF4837">
        <v>2.1825258075755201E-2</v>
      </c>
      <c r="AG4837">
        <v>-0.16787749999999901</v>
      </c>
      <c r="AH4837">
        <v>0.48999714998934102</v>
      </c>
      <c r="AI4837">
        <v>108.89452545659201</v>
      </c>
      <c r="AJ4837">
        <v>87.449639895930204</v>
      </c>
      <c r="AK4837">
        <v>0.51841721026023002</v>
      </c>
      <c r="AL4837">
        <v>90.491250017216103</v>
      </c>
      <c r="AM4837">
        <v>88.833541292532004</v>
      </c>
      <c r="AN4837">
        <v>0.99999997631248005</v>
      </c>
    </row>
    <row r="4838" spans="1:40" x14ac:dyDescent="0.25">
      <c r="A4838" t="str">
        <f>"20190312160740252"</f>
        <v>20190312160740252</v>
      </c>
      <c r="B4838" t="str">
        <f>"1552378060240391"</f>
        <v>1552378060240391</v>
      </c>
      <c r="C4838" t="s">
        <v>40</v>
      </c>
      <c r="D4838">
        <v>5.9328370000000001</v>
      </c>
      <c r="E4838">
        <v>0.50114009999999998</v>
      </c>
      <c r="F4838" t="s">
        <v>44</v>
      </c>
      <c r="G4838">
        <v>-225.16079999999999</v>
      </c>
      <c r="H4838">
        <v>0.98326709999999995</v>
      </c>
      <c r="I4838">
        <v>142.4391</v>
      </c>
      <c r="J4838">
        <v>-224.61490000000001</v>
      </c>
      <c r="K4838">
        <v>1.1090719999999901</v>
      </c>
      <c r="L4838">
        <v>142.44649999999999</v>
      </c>
      <c r="M4838">
        <v>-0.99879340000000005</v>
      </c>
      <c r="N4838">
        <v>0</v>
      </c>
      <c r="O4838">
        <v>-4.8369469999999998E-2</v>
      </c>
      <c r="P4838">
        <v>-0.9994883</v>
      </c>
      <c r="Q4838">
        <v>-1.7119510000000001E-2</v>
      </c>
      <c r="R4838">
        <v>-2.7022770000000002E-2</v>
      </c>
      <c r="S4838">
        <v>-2.9909669999999999</v>
      </c>
      <c r="T4838">
        <v>-0.5138952</v>
      </c>
      <c r="U4838">
        <v>-6.622314E-2</v>
      </c>
      <c r="V4838">
        <v>2.135219E-2</v>
      </c>
      <c r="W4838">
        <v>-8.627483E-3</v>
      </c>
      <c r="X4838">
        <v>0.99973480000000003</v>
      </c>
      <c r="Y4838">
        <v>2.5173230000000001E-2</v>
      </c>
      <c r="Z4838">
        <v>1.039256E-2</v>
      </c>
      <c r="AA4838">
        <v>0.99962910000000005</v>
      </c>
      <c r="AB4838">
        <v>19</v>
      </c>
      <c r="AC4838">
        <v>-0.54589999999998895</v>
      </c>
      <c r="AD4838">
        <v>-0.125804899999999</v>
      </c>
      <c r="AE4838">
        <v>-7.3999999999898496E-3</v>
      </c>
      <c r="AF4838">
        <v>1.8055759441592201E-2</v>
      </c>
      <c r="AG4838">
        <v>-0.125804899999999</v>
      </c>
      <c r="AH4838">
        <v>0.518107751522348</v>
      </c>
      <c r="AI4838">
        <v>103.64022733633099</v>
      </c>
      <c r="AJ4838">
        <v>88.004082525227801</v>
      </c>
      <c r="AK4838">
        <v>0.53346839222260001</v>
      </c>
      <c r="AL4838">
        <v>90.494324491333998</v>
      </c>
      <c r="AM4838">
        <v>88.776471118623505</v>
      </c>
      <c r="AN4838">
        <v>1.0000000099058699</v>
      </c>
    </row>
    <row r="4839" spans="1:40" x14ac:dyDescent="0.25">
      <c r="A4839" t="str">
        <f>"20190312160740275"</f>
        <v>20190312160740275</v>
      </c>
      <c r="B4839" t="str">
        <f>"1552378060270646"</f>
        <v>1552378060270646</v>
      </c>
      <c r="C4839" t="s">
        <v>40</v>
      </c>
      <c r="D4839">
        <v>6.088654</v>
      </c>
      <c r="E4839">
        <v>0.49927100000000002</v>
      </c>
      <c r="F4839" t="s">
        <v>44</v>
      </c>
      <c r="G4839">
        <v>-225.34630000000001</v>
      </c>
      <c r="H4839">
        <v>1.0056</v>
      </c>
      <c r="I4839">
        <v>142.43299999999999</v>
      </c>
      <c r="J4839">
        <v>-224.8167</v>
      </c>
      <c r="K4839">
        <v>1.109056</v>
      </c>
      <c r="L4839">
        <v>142.43700000000001</v>
      </c>
      <c r="M4839">
        <v>-0.99880550000000001</v>
      </c>
      <c r="N4839">
        <v>0</v>
      </c>
      <c r="O4839">
        <v>-4.8130180000000002E-2</v>
      </c>
      <c r="P4839">
        <v>-0.99951780000000001</v>
      </c>
      <c r="Q4839">
        <v>-1.6303459999999999E-2</v>
      </c>
      <c r="R4839">
        <v>-2.6438900000000001E-2</v>
      </c>
      <c r="S4839">
        <v>-2.9927670000000002</v>
      </c>
      <c r="T4839">
        <v>-0.42340800000000001</v>
      </c>
      <c r="U4839">
        <v>-5.59845E-2</v>
      </c>
      <c r="V4839">
        <v>2.1697589999999999E-2</v>
      </c>
      <c r="W4839">
        <v>-7.8632029999999992E-3</v>
      </c>
      <c r="X4839">
        <v>0.99973369999999995</v>
      </c>
      <c r="Y4839">
        <v>2.8677649999999999E-2</v>
      </c>
      <c r="Z4839">
        <v>8.7908969999999902E-3</v>
      </c>
      <c r="AA4839">
        <v>0.99955000000000005</v>
      </c>
      <c r="AB4839">
        <v>19</v>
      </c>
      <c r="AC4839">
        <v>-0.52960000000001595</v>
      </c>
      <c r="AD4839">
        <v>-0.10345600000000001</v>
      </c>
      <c r="AE4839">
        <v>-4.0000000000190898E-3</v>
      </c>
      <c r="AF4839">
        <v>2.07052066229945E-2</v>
      </c>
      <c r="AG4839">
        <v>-0.10345600000000001</v>
      </c>
      <c r="AH4839">
        <v>0.50972827814382604</v>
      </c>
      <c r="AI4839">
        <v>101.463875899583</v>
      </c>
      <c r="AJ4839">
        <v>87.673919269655102</v>
      </c>
      <c r="AK4839">
        <v>0.52053315653930299</v>
      </c>
      <c r="AL4839">
        <v>90.450532968737093</v>
      </c>
      <c r="AM4839">
        <v>88.7566837114544</v>
      </c>
      <c r="AN4839">
        <v>1.00000004314445</v>
      </c>
    </row>
    <row r="4840" spans="1:40" x14ac:dyDescent="0.25">
      <c r="A4840" t="str">
        <f>"20190312160740298"</f>
        <v>20190312160740298</v>
      </c>
      <c r="B4840" t="str">
        <f>"1552378060290168"</f>
        <v>1552378060290168</v>
      </c>
      <c r="C4840" t="s">
        <v>40</v>
      </c>
      <c r="D4840">
        <v>6.2601060000000004</v>
      </c>
      <c r="E4840">
        <v>0.49571379999999998</v>
      </c>
      <c r="F4840" t="s">
        <v>44</v>
      </c>
      <c r="G4840">
        <v>-225.69829999999999</v>
      </c>
      <c r="H4840">
        <v>1.007172</v>
      </c>
      <c r="I4840">
        <v>142.416</v>
      </c>
      <c r="J4840">
        <v>-225.02780000000001</v>
      </c>
      <c r="K4840">
        <v>1.1090439999999999</v>
      </c>
      <c r="L4840">
        <v>142.4272</v>
      </c>
      <c r="M4840">
        <v>-0.99881830000000005</v>
      </c>
      <c r="N4840">
        <v>0</v>
      </c>
      <c r="O4840">
        <v>-4.7870429999999999E-2</v>
      </c>
      <c r="P4840">
        <v>-0.99952839999999998</v>
      </c>
      <c r="Q4840">
        <v>-1.5731019999999998E-2</v>
      </c>
      <c r="R4840">
        <v>-2.6378749999999999E-2</v>
      </c>
      <c r="S4840">
        <v>-2.9938959999999999</v>
      </c>
      <c r="T4840">
        <v>-0.3460741</v>
      </c>
      <c r="U4840">
        <v>-7.2296139999999995E-2</v>
      </c>
      <c r="V4840">
        <v>2.1498179999999999E-2</v>
      </c>
      <c r="W4840">
        <v>-7.3433150000000004E-3</v>
      </c>
      <c r="X4840">
        <v>0.99974189999999996</v>
      </c>
      <c r="Y4840">
        <v>2.327191E-2</v>
      </c>
      <c r="Z4840">
        <v>6.8525340000000004E-3</v>
      </c>
      <c r="AA4840">
        <v>0.99970570000000003</v>
      </c>
      <c r="AB4840">
        <v>20</v>
      </c>
      <c r="AC4840">
        <v>-0.670499999999975</v>
      </c>
      <c r="AD4840">
        <v>-0.101872</v>
      </c>
      <c r="AE4840">
        <v>-1.12000000000023E-2</v>
      </c>
      <c r="AF4840">
        <v>2.04394020368407E-2</v>
      </c>
      <c r="AG4840">
        <v>-0.101872</v>
      </c>
      <c r="AH4840">
        <v>0.65514816369847895</v>
      </c>
      <c r="AI4840">
        <v>98.834174041079095</v>
      </c>
      <c r="AJ4840">
        <v>88.213058039832504</v>
      </c>
      <c r="AK4840">
        <v>0.66333610631196005</v>
      </c>
      <c r="AL4840">
        <v>90.420744746446204</v>
      </c>
      <c r="AM4840">
        <v>88.768116875869595</v>
      </c>
      <c r="AN4840">
        <v>0.99999998131705503</v>
      </c>
    </row>
    <row r="4841" spans="1:40" x14ac:dyDescent="0.25">
      <c r="A4841" t="str">
        <f>"20190312160740320"</f>
        <v>20190312160740320</v>
      </c>
      <c r="B4841" t="str">
        <f>"1552378060310664"</f>
        <v>1552378060310664</v>
      </c>
      <c r="C4841" t="s">
        <v>40</v>
      </c>
      <c r="D4841">
        <v>5.3565779999999998</v>
      </c>
      <c r="E4841">
        <v>0.49195280000000002</v>
      </c>
      <c r="F4841" t="s">
        <v>44</v>
      </c>
      <c r="G4841">
        <v>-225.8888</v>
      </c>
      <c r="H4841">
        <v>1.0366569999999999</v>
      </c>
      <c r="I4841">
        <v>142.3972</v>
      </c>
      <c r="J4841">
        <v>-225.21780000000001</v>
      </c>
      <c r="K4841">
        <v>1.1090359999999999</v>
      </c>
      <c r="L4841">
        <v>142.41839999999999</v>
      </c>
      <c r="M4841">
        <v>-0.99883</v>
      </c>
      <c r="N4841">
        <v>0</v>
      </c>
      <c r="O4841">
        <v>-4.7632809999999998E-2</v>
      </c>
      <c r="P4841">
        <v>-0.99953990000000004</v>
      </c>
      <c r="Q4841">
        <v>-1.529519E-2</v>
      </c>
      <c r="R4841">
        <v>-2.6196000000000001E-2</v>
      </c>
      <c r="S4841">
        <v>-2.9946899999999999</v>
      </c>
      <c r="T4841">
        <v>-0.25181350000000002</v>
      </c>
      <c r="U4841">
        <v>-0.1045532</v>
      </c>
      <c r="V4841">
        <v>2.1443540000000001E-2</v>
      </c>
      <c r="W4841">
        <v>-6.950253E-3</v>
      </c>
      <c r="X4841">
        <v>0.99974589999999997</v>
      </c>
      <c r="Y4841">
        <v>1.254154E-2</v>
      </c>
      <c r="Z4841">
        <v>4.5213919999999999E-3</v>
      </c>
      <c r="AA4841">
        <v>0.99991110000000005</v>
      </c>
      <c r="AB4841">
        <v>20</v>
      </c>
      <c r="AC4841">
        <v>-0.67099999999999205</v>
      </c>
      <c r="AD4841">
        <v>-7.2379000000000193E-2</v>
      </c>
      <c r="AE4841">
        <v>-2.11999999999932E-2</v>
      </c>
      <c r="AF4841">
        <v>1.06628531904057E-2</v>
      </c>
      <c r="AG4841">
        <v>-7.2379000000000193E-2</v>
      </c>
      <c r="AH4841">
        <v>0.66353537549341401</v>
      </c>
      <c r="AI4841">
        <v>96.224461930459697</v>
      </c>
      <c r="AJ4841">
        <v>89.079349907695601</v>
      </c>
      <c r="AK4841">
        <v>0.66755644750863297</v>
      </c>
      <c r="AL4841">
        <v>90.398223370387598</v>
      </c>
      <c r="AM4841">
        <v>88.771251796572002</v>
      </c>
      <c r="AN4841">
        <v>0.99999999799565198</v>
      </c>
    </row>
    <row r="4842" spans="1:40" x14ac:dyDescent="0.25">
      <c r="A4842" t="str">
        <f>"20190312160740340"</f>
        <v>20190312160740340</v>
      </c>
      <c r="B4842" t="str">
        <f>"1552378060330187"</f>
        <v>1552378060330187</v>
      </c>
      <c r="C4842" t="s">
        <v>40</v>
      </c>
      <c r="D4842">
        <v>5.7026450000000004</v>
      </c>
      <c r="E4842">
        <v>0.49005670000000001</v>
      </c>
      <c r="F4842" t="s">
        <v>47</v>
      </c>
      <c r="G4842">
        <v>-241.25909999999999</v>
      </c>
      <c r="H4842" s="1">
        <v>-4.215296E-6</v>
      </c>
      <c r="I4842">
        <v>141.68940000000001</v>
      </c>
      <c r="J4842">
        <v>-225.40389999999999</v>
      </c>
      <c r="K4842">
        <v>1.1090329999999999</v>
      </c>
      <c r="L4842">
        <v>142.40969999999999</v>
      </c>
      <c r="M4842">
        <v>-0.99884150000000005</v>
      </c>
      <c r="N4842">
        <v>0</v>
      </c>
      <c r="O4842">
        <v>-4.7399530000000002E-2</v>
      </c>
      <c r="P4842">
        <v>-0.99954379999999998</v>
      </c>
      <c r="Q4842">
        <v>-1.4358569999999999E-2</v>
      </c>
      <c r="R4842">
        <v>-2.6575640000000001E-2</v>
      </c>
      <c r="S4842">
        <v>-2.9946290000000002</v>
      </c>
      <c r="T4842">
        <v>-0.2070391</v>
      </c>
      <c r="U4842">
        <v>-0.1360779</v>
      </c>
      <c r="V4842">
        <v>2.0831499999999999E-2</v>
      </c>
      <c r="W4842">
        <v>-6.0499560000000004E-3</v>
      </c>
      <c r="X4842">
        <v>0.99976469999999995</v>
      </c>
      <c r="Y4842">
        <v>1.8922190000000001E-3</v>
      </c>
      <c r="Z4842">
        <v>3.3350760000000002E-3</v>
      </c>
      <c r="AA4842">
        <v>0.99999269999999996</v>
      </c>
      <c r="AB4842">
        <v>20</v>
      </c>
      <c r="AC4842">
        <v>-15.8551999999999</v>
      </c>
      <c r="AD4842">
        <v>-1.109037215296</v>
      </c>
      <c r="AE4842">
        <v>-0.72029999999997996</v>
      </c>
      <c r="AF4842">
        <v>3.1908802210497703E-2</v>
      </c>
      <c r="AG4842">
        <v>-1.109037215296</v>
      </c>
      <c r="AH4842">
        <v>15.7944026048335</v>
      </c>
      <c r="AI4842">
        <v>94.016543089771005</v>
      </c>
      <c r="AJ4842">
        <v>89.884247777238699</v>
      </c>
      <c r="AK4842">
        <v>15.8333235727734</v>
      </c>
      <c r="AL4842">
        <v>90.346639058161301</v>
      </c>
      <c r="AM4842">
        <v>88.806334784522505</v>
      </c>
      <c r="AN4842">
        <v>1.00000000436297</v>
      </c>
    </row>
    <row r="4843" spans="1:40" x14ac:dyDescent="0.25">
      <c r="A4843" t="str">
        <f>"20190312160740378"</f>
        <v>20190312160740378</v>
      </c>
      <c r="B4843" t="str">
        <f>"1552378060370199"</f>
        <v>1552378060370199</v>
      </c>
      <c r="C4843" t="s">
        <v>40</v>
      </c>
      <c r="D4843">
        <v>6.1735419999999896</v>
      </c>
      <c r="E4843">
        <v>0.48693839999999999</v>
      </c>
      <c r="F4843" t="s">
        <v>47</v>
      </c>
      <c r="G4843">
        <v>-245.6961</v>
      </c>
      <c r="H4843" s="1">
        <v>-2.2940899999999999E-6</v>
      </c>
      <c r="I4843">
        <v>141.3655</v>
      </c>
      <c r="J4843">
        <v>-225.72329999999999</v>
      </c>
      <c r="K4843">
        <v>1.109029</v>
      </c>
      <c r="L4843">
        <v>142.39510000000001</v>
      </c>
      <c r="M4843">
        <v>-0.99886059999999999</v>
      </c>
      <c r="N4843">
        <v>0</v>
      </c>
      <c r="O4843">
        <v>-4.700385E-2</v>
      </c>
      <c r="P4843">
        <v>-0.99952540000000001</v>
      </c>
      <c r="Q4843">
        <v>-1.3762740000000001E-2</v>
      </c>
      <c r="R4843">
        <v>-2.7560689999999999E-2</v>
      </c>
      <c r="S4843">
        <v>-2.9949340000000002</v>
      </c>
      <c r="T4843">
        <v>-0.1636831</v>
      </c>
      <c r="U4843">
        <v>-0.1541138</v>
      </c>
      <c r="V4843">
        <v>1.9450740000000001E-2</v>
      </c>
      <c r="W4843">
        <v>-5.505533E-3</v>
      </c>
      <c r="X4843">
        <v>0.99979569999999995</v>
      </c>
      <c r="Y4843">
        <v>-4.453266E-3</v>
      </c>
      <c r="Z4843">
        <v>2.4423890000000001E-3</v>
      </c>
      <c r="AA4843">
        <v>0.99998710000000002</v>
      </c>
      <c r="AB4843">
        <v>20</v>
      </c>
      <c r="AC4843">
        <v>-19.972799999999999</v>
      </c>
      <c r="AD4843">
        <v>-1.10903129409</v>
      </c>
      <c r="AE4843">
        <v>-1.0296000000000101</v>
      </c>
      <c r="AF4843">
        <v>-8.9356652964180203E-2</v>
      </c>
      <c r="AG4843">
        <v>-1.10903129409</v>
      </c>
      <c r="AH4843">
        <v>19.937809077931401</v>
      </c>
      <c r="AI4843">
        <v>93.183738080778596</v>
      </c>
      <c r="AJ4843">
        <v>90.256784724326494</v>
      </c>
      <c r="AK4843">
        <v>19.968829856823</v>
      </c>
      <c r="AL4843">
        <v>90.315445385219604</v>
      </c>
      <c r="AM4843">
        <v>88.885467559315003</v>
      </c>
      <c r="AN4843">
        <v>1.00000004195932</v>
      </c>
    </row>
    <row r="4844" spans="1:40" x14ac:dyDescent="0.25">
      <c r="A4844" t="str">
        <f>"20190312160740399"</f>
        <v>20190312160740399</v>
      </c>
      <c r="B4844" t="str">
        <f>"1552378060389719"</f>
        <v>1552378060389719</v>
      </c>
      <c r="C4844" t="s">
        <v>40</v>
      </c>
      <c r="D4844">
        <v>6.1348500000000001</v>
      </c>
      <c r="E4844">
        <v>0.48517270000000001</v>
      </c>
      <c r="F4844" t="s">
        <v>47</v>
      </c>
      <c r="G4844">
        <v>-251.44220000000001</v>
      </c>
      <c r="H4844" s="1">
        <v>-3.9741019999999901E-6</v>
      </c>
      <c r="I4844">
        <v>140.82079999999999</v>
      </c>
      <c r="J4844">
        <v>-225.91890000000001</v>
      </c>
      <c r="K4844">
        <v>1.1090310000000001</v>
      </c>
      <c r="L4844">
        <v>142.3861</v>
      </c>
      <c r="M4844">
        <v>-0.99887190000000003</v>
      </c>
      <c r="N4844">
        <v>0</v>
      </c>
      <c r="O4844">
        <v>-4.6767160000000002E-2</v>
      </c>
      <c r="P4844">
        <v>-0.99952010000000002</v>
      </c>
      <c r="Q4844">
        <v>-1.417265E-2</v>
      </c>
      <c r="R4844">
        <v>-2.754674E-2</v>
      </c>
      <c r="S4844">
        <v>-2.9946139999999999</v>
      </c>
      <c r="T4844">
        <v>-0.12913169999999999</v>
      </c>
      <c r="U4844">
        <v>-0.1832886</v>
      </c>
      <c r="V4844">
        <v>1.9227540000000001E-2</v>
      </c>
      <c r="W4844">
        <v>-5.9408880000000001E-3</v>
      </c>
      <c r="X4844">
        <v>0.99979750000000001</v>
      </c>
      <c r="Y4844">
        <v>-1.4373469999999999E-2</v>
      </c>
      <c r="Z4844">
        <v>1.7031730000000001E-3</v>
      </c>
      <c r="AA4844">
        <v>0.99989530000000004</v>
      </c>
      <c r="AB4844">
        <v>20</v>
      </c>
      <c r="AC4844">
        <v>-25.523299999999999</v>
      </c>
      <c r="AD4844">
        <v>-1.10903497410199</v>
      </c>
      <c r="AE4844">
        <v>-1.5652999999999999</v>
      </c>
      <c r="AF4844">
        <v>-0.36920000105565198</v>
      </c>
      <c r="AG4844">
        <v>-1.10903497410199</v>
      </c>
      <c r="AH4844">
        <v>25.520574140176201</v>
      </c>
      <c r="AI4844">
        <v>92.488048772493002</v>
      </c>
      <c r="AJ4844">
        <v>90.828826428446703</v>
      </c>
      <c r="AK4844">
        <v>25.547328072790499</v>
      </c>
      <c r="AL4844">
        <v>90.340389805581495</v>
      </c>
      <c r="AM4844">
        <v>88.898255789472103</v>
      </c>
      <c r="AN4844">
        <v>1.0000000167254599</v>
      </c>
    </row>
    <row r="4845" spans="1:40" x14ac:dyDescent="0.25">
      <c r="A4845" t="str">
        <f>"20190312160740421"</f>
        <v>20190312160740421</v>
      </c>
      <c r="B4845" t="str">
        <f>"1552378060410215"</f>
        <v>1552378060410215</v>
      </c>
      <c r="C4845" t="s">
        <v>40</v>
      </c>
      <c r="D4845">
        <v>5.9654360000000004</v>
      </c>
      <c r="E4845">
        <v>0.48344769999999998</v>
      </c>
      <c r="F4845" t="s">
        <v>47</v>
      </c>
      <c r="G4845">
        <v>-254.50470000000001</v>
      </c>
      <c r="H4845" s="1">
        <v>-2.5742190000000002E-6</v>
      </c>
      <c r="I4845">
        <v>140.4973</v>
      </c>
      <c r="J4845">
        <v>-226.11859999999999</v>
      </c>
      <c r="K4845">
        <v>1.10903</v>
      </c>
      <c r="L4845">
        <v>142.37700000000001</v>
      </c>
      <c r="M4845">
        <v>-0.99888319999999997</v>
      </c>
      <c r="N4845">
        <v>0</v>
      </c>
      <c r="O4845">
        <v>-4.6529510000000003E-2</v>
      </c>
      <c r="P4845">
        <v>-0.99951049999999997</v>
      </c>
      <c r="Q4845">
        <v>-1.453636E-2</v>
      </c>
      <c r="R4845">
        <v>-2.7711329999999999E-2</v>
      </c>
      <c r="S4845">
        <v>-2.9943240000000002</v>
      </c>
      <c r="T4845">
        <v>-0.11616989999999899</v>
      </c>
      <c r="U4845">
        <v>-0.19784550000000001</v>
      </c>
      <c r="V4845">
        <v>1.8824960000000002E-2</v>
      </c>
      <c r="W4845">
        <v>-6.3260520000000004E-3</v>
      </c>
      <c r="X4845">
        <v>0.99980279999999999</v>
      </c>
      <c r="Y4845">
        <v>-1.9448739999999999E-2</v>
      </c>
      <c r="Z4845">
        <v>1.42471E-3</v>
      </c>
      <c r="AA4845">
        <v>0.99980990000000003</v>
      </c>
      <c r="AB4845">
        <v>20</v>
      </c>
      <c r="AC4845">
        <v>-28.386099999999999</v>
      </c>
      <c r="AD4845">
        <v>-1.1090325742189999</v>
      </c>
      <c r="AE4845">
        <v>-1.8797000000000099</v>
      </c>
      <c r="AF4845">
        <v>-0.55598321598823297</v>
      </c>
      <c r="AG4845">
        <v>-1.1090325742189999</v>
      </c>
      <c r="AH4845">
        <v>28.399657002272999</v>
      </c>
      <c r="AI4845">
        <v>92.235888276851597</v>
      </c>
      <c r="AJ4845">
        <v>91.1215425246004</v>
      </c>
      <c r="AK4845">
        <v>28.426740728298299</v>
      </c>
      <c r="AL4845">
        <v>90.362458491446603</v>
      </c>
      <c r="AM4845">
        <v>88.921323960756595</v>
      </c>
      <c r="AN4845">
        <v>1.0000000184703699</v>
      </c>
    </row>
    <row r="4846" spans="1:40" x14ac:dyDescent="0.25">
      <c r="A4846" t="str">
        <f>"20190312160740442"</f>
        <v>20190312160740442</v>
      </c>
      <c r="B4846" t="str">
        <f>"1552378060430711"</f>
        <v>1552378060430711</v>
      </c>
      <c r="C4846" t="s">
        <v>40</v>
      </c>
      <c r="D4846">
        <v>6.1060970000000001</v>
      </c>
      <c r="E4846">
        <v>0.4263731</v>
      </c>
      <c r="F4846" t="s">
        <v>47</v>
      </c>
      <c r="G4846">
        <v>-253.04419999999999</v>
      </c>
      <c r="H4846" s="1">
        <v>-3.1938389999999998E-6</v>
      </c>
      <c r="I4846">
        <v>140.47120000000001</v>
      </c>
      <c r="J4846">
        <v>-226.31100000000001</v>
      </c>
      <c r="K4846">
        <v>1.10903</v>
      </c>
      <c r="L4846">
        <v>142.3683</v>
      </c>
      <c r="M4846">
        <v>-0.99889380000000005</v>
      </c>
      <c r="N4846">
        <v>0</v>
      </c>
      <c r="O4846">
        <v>-4.6303560000000001E-2</v>
      </c>
      <c r="P4846">
        <v>-0.99950499999999998</v>
      </c>
      <c r="Q4846">
        <v>-1.47951E-2</v>
      </c>
      <c r="R4846">
        <v>-2.777106E-2</v>
      </c>
      <c r="S4846">
        <v>-2.9938349999999998</v>
      </c>
      <c r="T4846">
        <v>-0.12331259999999999</v>
      </c>
      <c r="U4846">
        <v>-0.2118988</v>
      </c>
      <c r="V4846">
        <v>1.853863E-2</v>
      </c>
      <c r="W4846">
        <v>-6.6017030000000004E-3</v>
      </c>
      <c r="X4846">
        <v>0.99980630000000004</v>
      </c>
      <c r="Y4846">
        <v>-2.435495E-2</v>
      </c>
      <c r="Z4846">
        <v>1.40204E-3</v>
      </c>
      <c r="AA4846">
        <v>0.99970239999999999</v>
      </c>
      <c r="AB4846">
        <v>20</v>
      </c>
      <c r="AC4846">
        <v>-26.7332</v>
      </c>
      <c r="AD4846">
        <v>-1.1090331938389999</v>
      </c>
      <c r="AE4846">
        <v>-1.89709999999999</v>
      </c>
      <c r="AF4846">
        <v>-0.65605773092614394</v>
      </c>
      <c r="AG4846">
        <v>-1.1090331938389999</v>
      </c>
      <c r="AH4846">
        <v>26.746569009624</v>
      </c>
      <c r="AI4846">
        <v>92.373667748521896</v>
      </c>
      <c r="AJ4846">
        <v>91.405107443638798</v>
      </c>
      <c r="AK4846">
        <v>26.777589887029102</v>
      </c>
      <c r="AL4846">
        <v>90.378252485823793</v>
      </c>
      <c r="AM4846">
        <v>88.937730687755206</v>
      </c>
      <c r="AN4846">
        <v>0.999999950402232</v>
      </c>
    </row>
    <row r="4847" spans="1:40" x14ac:dyDescent="0.25">
      <c r="A4847" t="str">
        <f>"20190312160740464"</f>
        <v>20190312160740464</v>
      </c>
      <c r="B4847" t="str">
        <f>"1552378060459993"</f>
        <v>1552378060459993</v>
      </c>
      <c r="C4847" t="s">
        <v>40</v>
      </c>
      <c r="D4847">
        <v>6.0427839999999904</v>
      </c>
      <c r="E4847">
        <v>0.42631669999999999</v>
      </c>
      <c r="F4847" t="s">
        <v>47</v>
      </c>
      <c r="G4847">
        <v>-243.9008</v>
      </c>
      <c r="H4847" s="1">
        <v>-2.8066860000000002E-6</v>
      </c>
      <c r="I4847">
        <v>138.44450000000001</v>
      </c>
      <c r="J4847">
        <v>-226.51159999999999</v>
      </c>
      <c r="K4847">
        <v>1.10903</v>
      </c>
      <c r="L4847">
        <v>142.35929999999999</v>
      </c>
      <c r="M4847">
        <v>-0.99890469999999998</v>
      </c>
      <c r="N4847">
        <v>0</v>
      </c>
      <c r="O4847">
        <v>-4.6069739999999998E-2</v>
      </c>
      <c r="P4847">
        <v>-0.99952039999999998</v>
      </c>
      <c r="Q4847">
        <v>-1.47572999999999E-2</v>
      </c>
      <c r="R4847">
        <v>-2.723097E-2</v>
      </c>
      <c r="S4847">
        <v>-2.9802550000000001</v>
      </c>
      <c r="T4847">
        <v>-0.18790480000000001</v>
      </c>
      <c r="U4847">
        <v>-0.66481020000000002</v>
      </c>
      <c r="V4847">
        <v>1.8844739999999999E-2</v>
      </c>
      <c r="W4847">
        <v>-6.5783339999999999E-3</v>
      </c>
      <c r="X4847">
        <v>0.99980080000000005</v>
      </c>
      <c r="Y4847">
        <v>-0.17228489999999999</v>
      </c>
      <c r="Z4847">
        <v>-2.4978130000000002E-3</v>
      </c>
      <c r="AA4847">
        <v>0.98504400000000003</v>
      </c>
      <c r="AB4847">
        <v>20</v>
      </c>
      <c r="AC4847">
        <v>-17.389199999999999</v>
      </c>
      <c r="AD4847">
        <v>-1.109032806686</v>
      </c>
      <c r="AE4847">
        <v>-3.9147999999999801</v>
      </c>
      <c r="AF4847">
        <v>-3.0975089163230201</v>
      </c>
      <c r="AG4847">
        <v>-1.109032806686</v>
      </c>
      <c r="AH4847">
        <v>17.483411505785799</v>
      </c>
      <c r="AI4847">
        <v>93.574092971953405</v>
      </c>
      <c r="AJ4847">
        <v>100.046752109287</v>
      </c>
      <c r="AK4847">
        <v>17.790283672096098</v>
      </c>
      <c r="AL4847">
        <v>90.376913485682607</v>
      </c>
      <c r="AM4847">
        <v>88.920188669306697</v>
      </c>
      <c r="AN4847">
        <v>1.00000001919226</v>
      </c>
    </row>
    <row r="4848" spans="1:40" x14ac:dyDescent="0.25">
      <c r="A4848" t="str">
        <f>"20190312160740487"</f>
        <v>20190312160740487</v>
      </c>
      <c r="B4848" t="str">
        <f>"1552378060480487"</f>
        <v>1552378060480487</v>
      </c>
      <c r="C4848" t="s">
        <v>40</v>
      </c>
      <c r="D4848">
        <v>6.0332790000000003</v>
      </c>
      <c r="E4848">
        <v>0.42633169999999998</v>
      </c>
      <c r="F4848" t="s">
        <v>47</v>
      </c>
      <c r="G4848">
        <v>-245.08439999999999</v>
      </c>
      <c r="H4848" s="1">
        <v>-2.3385129999999999E-6</v>
      </c>
      <c r="I4848">
        <v>138.22149999999999</v>
      </c>
      <c r="J4848">
        <v>-226.71719999999999</v>
      </c>
      <c r="K4848">
        <v>1.1090169999999999</v>
      </c>
      <c r="L4848">
        <v>142.3501</v>
      </c>
      <c r="M4848">
        <v>-0.99891589999999997</v>
      </c>
      <c r="N4848">
        <v>0</v>
      </c>
      <c r="O4848">
        <v>-4.5830570000000001E-2</v>
      </c>
      <c r="P4848">
        <v>-0.9995233</v>
      </c>
      <c r="Q4848">
        <v>-1.5289270000000001E-2</v>
      </c>
      <c r="R4848">
        <v>-2.6826240000000001E-2</v>
      </c>
      <c r="S4848">
        <v>-2.9807429999999999</v>
      </c>
      <c r="T4848">
        <v>-0.17798849999999999</v>
      </c>
      <c r="U4848">
        <v>-0.66407780000000005</v>
      </c>
      <c r="V4848">
        <v>1.9009660000000001E-2</v>
      </c>
      <c r="W4848">
        <v>-7.1218699999999998E-3</v>
      </c>
      <c r="X4848">
        <v>0.99979390000000001</v>
      </c>
      <c r="Y4848">
        <v>-0.17227999999999999</v>
      </c>
      <c r="Z4848">
        <v>-2.379815E-3</v>
      </c>
      <c r="AA4848">
        <v>0.98504510000000001</v>
      </c>
      <c r="AB4848">
        <v>20</v>
      </c>
      <c r="AC4848">
        <v>-18.3672</v>
      </c>
      <c r="AD4848">
        <v>-1.1090193385129901</v>
      </c>
      <c r="AE4848">
        <v>-4.1285999999999996</v>
      </c>
      <c r="AF4848">
        <v>-3.271102037016</v>
      </c>
      <c r="AG4848">
        <v>-1.1090193385129901</v>
      </c>
      <c r="AH4848">
        <v>18.4730117640202</v>
      </c>
      <c r="AI4848">
        <v>93.383099241278003</v>
      </c>
      <c r="AJ4848">
        <v>100.041541076491</v>
      </c>
      <c r="AK4848">
        <v>18.793142261564299</v>
      </c>
      <c r="AL4848">
        <v>90.408056556941403</v>
      </c>
      <c r="AM4848">
        <v>88.910733436973999</v>
      </c>
      <c r="AN4848">
        <v>0.99999996534141</v>
      </c>
    </row>
    <row r="4849" spans="1:40" x14ac:dyDescent="0.25">
      <c r="A4849" t="str">
        <f>"20190312160740509"</f>
        <v>20190312160740509</v>
      </c>
      <c r="B4849" t="str">
        <f>"1552378060500007"</f>
        <v>1552378060500007</v>
      </c>
      <c r="C4849" t="s">
        <v>40</v>
      </c>
      <c r="D4849">
        <v>6.0153249999999998</v>
      </c>
      <c r="E4849">
        <v>0.42626920000000001</v>
      </c>
      <c r="F4849" t="s">
        <v>47</v>
      </c>
      <c r="G4849">
        <v>-245.2396</v>
      </c>
      <c r="H4849" s="1">
        <v>-2.2701099999999999E-6</v>
      </c>
      <c r="I4849">
        <v>138.23159999999999</v>
      </c>
      <c r="J4849">
        <v>-226.92150000000001</v>
      </c>
      <c r="K4849">
        <v>1.1090120000000001</v>
      </c>
      <c r="L4849">
        <v>142.34100000000001</v>
      </c>
      <c r="M4849">
        <v>-0.99892669999999995</v>
      </c>
      <c r="N4849">
        <v>0</v>
      </c>
      <c r="O4849">
        <v>-4.5593080000000001E-2</v>
      </c>
      <c r="P4849">
        <v>-0.99953190000000003</v>
      </c>
      <c r="Q4849">
        <v>-1.541327E-2</v>
      </c>
      <c r="R4849">
        <v>-2.6428900000000002E-2</v>
      </c>
      <c r="S4849">
        <v>-2.9809109999999999</v>
      </c>
      <c r="T4849">
        <v>-0.17848039999999901</v>
      </c>
      <c r="U4849">
        <v>-0.66281129999999999</v>
      </c>
      <c r="V4849">
        <v>1.9169289999999999E-2</v>
      </c>
      <c r="W4849">
        <v>-7.2545480000000004E-3</v>
      </c>
      <c r="X4849">
        <v>0.99978999999999996</v>
      </c>
      <c r="Y4849">
        <v>-0.17210230000000001</v>
      </c>
      <c r="Z4849">
        <v>-2.3950909999999998E-3</v>
      </c>
      <c r="AA4849">
        <v>0.98507619999999896</v>
      </c>
      <c r="AB4849">
        <v>20</v>
      </c>
      <c r="AC4849">
        <v>-18.318099999999902</v>
      </c>
      <c r="AD4849">
        <v>-1.1090142701100001</v>
      </c>
      <c r="AE4849">
        <v>-4.1094000000000204</v>
      </c>
      <c r="AF4849">
        <v>-3.25854848328312</v>
      </c>
      <c r="AG4849">
        <v>-1.1090142701100001</v>
      </c>
      <c r="AH4849">
        <v>18.422128240439399</v>
      </c>
      <c r="AI4849">
        <v>93.392518107380894</v>
      </c>
      <c r="AJ4849">
        <v>100.030855313732</v>
      </c>
      <c r="AK4849">
        <v>18.740940738831899</v>
      </c>
      <c r="AL4849">
        <v>90.415658600741395</v>
      </c>
      <c r="AM4849">
        <v>88.901584476418805</v>
      </c>
      <c r="AN4849">
        <v>1.0000000671228899</v>
      </c>
    </row>
    <row r="4850" spans="1:40" x14ac:dyDescent="0.25">
      <c r="A4850" t="str">
        <f>"20190312160740532"</f>
        <v>20190312160740532</v>
      </c>
      <c r="B4850" t="str">
        <f>"1552378060520520"</f>
        <v>1552378060520520</v>
      </c>
      <c r="C4850" t="s">
        <v>40</v>
      </c>
      <c r="D4850">
        <v>6.0219659999999999</v>
      </c>
      <c r="E4850">
        <v>0.42629250000000002</v>
      </c>
      <c r="F4850" t="s">
        <v>47</v>
      </c>
      <c r="G4850">
        <v>-245.45009999999999</v>
      </c>
      <c r="H4850" s="1">
        <v>-2.1808040000000001E-6</v>
      </c>
      <c r="I4850">
        <v>138.226</v>
      </c>
      <c r="J4850">
        <v>-227.1251</v>
      </c>
      <c r="K4850">
        <v>1.109011</v>
      </c>
      <c r="L4850">
        <v>142.33199999999999</v>
      </c>
      <c r="M4850">
        <v>-0.99893759999999998</v>
      </c>
      <c r="N4850">
        <v>0</v>
      </c>
      <c r="O4850">
        <v>-4.5356420000000001E-2</v>
      </c>
      <c r="P4850">
        <v>-0.99953440000000005</v>
      </c>
      <c r="Q4850">
        <v>-1.5486359999999999E-2</v>
      </c>
      <c r="R4850">
        <v>-2.6293759999999999E-2</v>
      </c>
      <c r="S4850">
        <v>-2.9811100000000001</v>
      </c>
      <c r="T4850">
        <v>-0.1784317</v>
      </c>
      <c r="U4850">
        <v>-0.66206359999999997</v>
      </c>
      <c r="V4850">
        <v>1.9067489999999999E-2</v>
      </c>
      <c r="W4850">
        <v>-7.3336139999999996E-3</v>
      </c>
      <c r="X4850">
        <v>0.99979130000000005</v>
      </c>
      <c r="Y4850">
        <v>-0.17208609999999999</v>
      </c>
      <c r="Z4850">
        <v>-2.407803E-3</v>
      </c>
      <c r="AA4850">
        <v>0.98507900000000004</v>
      </c>
      <c r="AB4850">
        <v>20</v>
      </c>
      <c r="AC4850">
        <v>-18.3249999999999</v>
      </c>
      <c r="AD4850">
        <v>-1.109013180804</v>
      </c>
      <c r="AE4850">
        <v>-4.1059999999999901</v>
      </c>
      <c r="AF4850">
        <v>-3.2592236190795898</v>
      </c>
      <c r="AG4850">
        <v>-1.109013180804</v>
      </c>
      <c r="AH4850">
        <v>18.428111954358201</v>
      </c>
      <c r="AI4850">
        <v>93.391427854714294</v>
      </c>
      <c r="AJ4850">
        <v>100.029699795626</v>
      </c>
      <c r="AK4850">
        <v>18.746939991281799</v>
      </c>
      <c r="AL4850">
        <v>90.420188898390506</v>
      </c>
      <c r="AM4850">
        <v>88.907417699711203</v>
      </c>
      <c r="AN4850">
        <v>0.99999999731244504</v>
      </c>
    </row>
    <row r="4851" spans="1:40" x14ac:dyDescent="0.25">
      <c r="A4851" t="str">
        <f>"20190312160740553"</f>
        <v>20190312160740553</v>
      </c>
      <c r="B4851" t="str">
        <f>"1552378060549783"</f>
        <v>1552378060549783</v>
      </c>
      <c r="C4851" t="s">
        <v>40</v>
      </c>
      <c r="D4851">
        <v>6.007377</v>
      </c>
      <c r="E4851">
        <v>0.42633749999999998</v>
      </c>
      <c r="F4851" t="s">
        <v>47</v>
      </c>
      <c r="G4851">
        <v>-245.71690000000001</v>
      </c>
      <c r="H4851" s="1">
        <v>-2.0696270000000002E-6</v>
      </c>
      <c r="I4851">
        <v>138.20760000000001</v>
      </c>
      <c r="J4851">
        <v>-227.32069999999999</v>
      </c>
      <c r="K4851">
        <v>1.109003</v>
      </c>
      <c r="L4851">
        <v>142.32339999999999</v>
      </c>
      <c r="M4851">
        <v>-0.99894799999999995</v>
      </c>
      <c r="N4851">
        <v>0</v>
      </c>
      <c r="O4851">
        <v>-4.5128599999999998E-2</v>
      </c>
      <c r="P4851">
        <v>-0.99953789999999998</v>
      </c>
      <c r="Q4851">
        <v>-1.5718240000000001E-2</v>
      </c>
      <c r="R4851">
        <v>-2.6024080000000002E-2</v>
      </c>
      <c r="S4851">
        <v>-2.9812620000000001</v>
      </c>
      <c r="T4851">
        <v>-0.1778344</v>
      </c>
      <c r="U4851">
        <v>-0.66136169999999905</v>
      </c>
      <c r="V4851">
        <v>1.9108940000000001E-2</v>
      </c>
      <c r="W4851">
        <v>-7.569246E-3</v>
      </c>
      <c r="X4851">
        <v>0.99978880000000003</v>
      </c>
      <c r="Y4851">
        <v>-0.17208019999999999</v>
      </c>
      <c r="Z4851">
        <v>-2.4128909999999999E-3</v>
      </c>
      <c r="AA4851">
        <v>0.98507999999999996</v>
      </c>
      <c r="AB4851">
        <v>20</v>
      </c>
      <c r="AC4851">
        <v>-18.3962</v>
      </c>
      <c r="AD4851">
        <v>-1.109005069627</v>
      </c>
      <c r="AE4851">
        <v>-4.1157999999999699</v>
      </c>
      <c r="AF4851">
        <v>-3.2700665905195501</v>
      </c>
      <c r="AG4851">
        <v>-1.109005069627</v>
      </c>
      <c r="AH4851">
        <v>18.499177692304499</v>
      </c>
      <c r="AI4851">
        <v>93.378458971464198</v>
      </c>
      <c r="AJ4851">
        <v>100.02451661252999</v>
      </c>
      <c r="AK4851">
        <v>18.818682287619001</v>
      </c>
      <c r="AL4851">
        <v>90.433689971785299</v>
      </c>
      <c r="AM4851">
        <v>88.905040422148403</v>
      </c>
      <c r="AN4851">
        <v>1.0000000448391799</v>
      </c>
    </row>
    <row r="4852" spans="1:40" x14ac:dyDescent="0.25">
      <c r="A4852" t="str">
        <f>"20190312160740578"</f>
        <v>20190312160740578</v>
      </c>
      <c r="B4852" t="str">
        <f>"1552378060570280"</f>
        <v>1552378060570280</v>
      </c>
      <c r="C4852" t="s">
        <v>40</v>
      </c>
      <c r="D4852">
        <v>5.9997819999999997</v>
      </c>
      <c r="E4852">
        <v>0.42631999999999998</v>
      </c>
      <c r="F4852" t="s">
        <v>47</v>
      </c>
      <c r="G4852">
        <v>-246.06229999999999</v>
      </c>
      <c r="H4852" s="1">
        <v>-1.927754E-6</v>
      </c>
      <c r="I4852">
        <v>138.172</v>
      </c>
      <c r="J4852">
        <v>-227.54069999999999</v>
      </c>
      <c r="K4852">
        <v>1.1089990000000001</v>
      </c>
      <c r="L4852">
        <v>142.31379999999999</v>
      </c>
      <c r="M4852">
        <v>-0.9989595</v>
      </c>
      <c r="N4852">
        <v>0</v>
      </c>
      <c r="O4852">
        <v>-4.487157E-2</v>
      </c>
      <c r="P4852">
        <v>-0.99955340000000004</v>
      </c>
      <c r="Q4852">
        <v>-1.6290180000000001E-2</v>
      </c>
      <c r="R4852">
        <v>-2.5050780000000002E-2</v>
      </c>
      <c r="S4852">
        <v>-2.9814150000000001</v>
      </c>
      <c r="T4852">
        <v>-0.17642089999999999</v>
      </c>
      <c r="U4852">
        <v>-0.6604004</v>
      </c>
      <c r="V4852">
        <v>1.982453E-2</v>
      </c>
      <c r="W4852">
        <v>-8.1442040000000004E-3</v>
      </c>
      <c r="X4852">
        <v>0.9997703</v>
      </c>
      <c r="Y4852">
        <v>-0.17202329999999999</v>
      </c>
      <c r="Z4852">
        <v>-2.4070070000000001E-3</v>
      </c>
      <c r="AA4852">
        <v>0.98509000000000002</v>
      </c>
      <c r="AB4852">
        <v>20</v>
      </c>
      <c r="AC4852">
        <v>-18.521599999999999</v>
      </c>
      <c r="AD4852">
        <v>-1.1090009277540001</v>
      </c>
      <c r="AE4852">
        <v>-4.1417999999999804</v>
      </c>
      <c r="AF4852">
        <v>-3.2952557237553699</v>
      </c>
      <c r="AG4852">
        <v>-1.1090009277540001</v>
      </c>
      <c r="AH4852">
        <v>18.625204381388102</v>
      </c>
      <c r="AI4852">
        <v>93.355548929555496</v>
      </c>
      <c r="AJ4852">
        <v>100.033201856527</v>
      </c>
      <c r="AK4852">
        <v>18.9469478172919</v>
      </c>
      <c r="AL4852">
        <v>90.466633676952199</v>
      </c>
      <c r="AM4852">
        <v>88.864026002662996</v>
      </c>
      <c r="AN4852">
        <v>0.99999999640530202</v>
      </c>
    </row>
    <row r="4853" spans="1:40" x14ac:dyDescent="0.25">
      <c r="A4853" t="str">
        <f>"20190312160740601"</f>
        <v>20190312160740601</v>
      </c>
      <c r="B4853" t="str">
        <f>"1552378060589799"</f>
        <v>1552378060589799</v>
      </c>
      <c r="C4853" t="s">
        <v>40</v>
      </c>
      <c r="D4853">
        <v>5.9770899999999996</v>
      </c>
      <c r="E4853">
        <v>0.42611850000000001</v>
      </c>
      <c r="F4853" t="s">
        <v>47</v>
      </c>
      <c r="G4853">
        <v>-246.0309</v>
      </c>
      <c r="H4853" s="1">
        <v>-1.9300020000000002E-6</v>
      </c>
      <c r="I4853">
        <v>138.23519999999999</v>
      </c>
      <c r="J4853">
        <v>-227.75470000000001</v>
      </c>
      <c r="K4853">
        <v>1.1089960000000001</v>
      </c>
      <c r="L4853">
        <v>142.30439999999999</v>
      </c>
      <c r="M4853">
        <v>-0.99897069999999999</v>
      </c>
      <c r="N4853">
        <v>0</v>
      </c>
      <c r="O4853">
        <v>-4.4621689999999999E-2</v>
      </c>
      <c r="P4853">
        <v>-0.99955680000000002</v>
      </c>
      <c r="Q4853">
        <v>-1.6471980000000001E-2</v>
      </c>
      <c r="R4853">
        <v>-2.4804389999999999E-2</v>
      </c>
      <c r="S4853">
        <v>-2.9819490000000002</v>
      </c>
      <c r="T4853">
        <v>-0.1788507</v>
      </c>
      <c r="U4853">
        <v>-0.65774540000000004</v>
      </c>
      <c r="V4853">
        <v>1.9820689999999998E-2</v>
      </c>
      <c r="W4853">
        <v>-8.3312560000000004E-3</v>
      </c>
      <c r="X4853">
        <v>0.99976889999999996</v>
      </c>
      <c r="Y4853">
        <v>-0.17139099999999999</v>
      </c>
      <c r="Z4853">
        <v>-2.4359210000000002E-3</v>
      </c>
      <c r="AA4853">
        <v>0.98520010000000002</v>
      </c>
      <c r="AB4853">
        <v>21</v>
      </c>
      <c r="AC4853">
        <v>-18.2761999999999</v>
      </c>
      <c r="AD4853">
        <v>-1.1089979300020001</v>
      </c>
      <c r="AE4853">
        <v>-4.0691999999999897</v>
      </c>
      <c r="AF4853">
        <v>-3.23824438798975</v>
      </c>
      <c r="AG4853">
        <v>-1.1089979300020001</v>
      </c>
      <c r="AH4853">
        <v>18.375113033756001</v>
      </c>
      <c r="AI4853">
        <v>93.401507022832405</v>
      </c>
      <c r="AJ4853">
        <v>99.994605487934507</v>
      </c>
      <c r="AK4853">
        <v>18.691197985372799</v>
      </c>
      <c r="AL4853">
        <v>90.477351299742693</v>
      </c>
      <c r="AM4853">
        <v>88.8642443925213</v>
      </c>
      <c r="AN4853">
        <v>1.0000000614929001</v>
      </c>
    </row>
    <row r="4854" spans="1:40" x14ac:dyDescent="0.25">
      <c r="A4854" t="str">
        <f>"20190312160740645"</f>
        <v>20190312160740645</v>
      </c>
      <c r="B4854" t="str">
        <f>"1552378060640552"</f>
        <v>1552378060640552</v>
      </c>
      <c r="C4854" t="s">
        <v>40</v>
      </c>
      <c r="D4854">
        <v>5.9713279999999997</v>
      </c>
      <c r="E4854">
        <v>0.42573519999999998</v>
      </c>
      <c r="F4854" t="s">
        <v>47</v>
      </c>
      <c r="G4854">
        <v>-246.3819</v>
      </c>
      <c r="H4854" s="1">
        <v>-1.7875710000000001E-6</v>
      </c>
      <c r="I4854">
        <v>138.1893</v>
      </c>
      <c r="J4854">
        <v>-228.17</v>
      </c>
      <c r="K4854">
        <v>1.1089929999999999</v>
      </c>
      <c r="L4854">
        <v>142.28649999999999</v>
      </c>
      <c r="M4854">
        <v>-0.99899260000000001</v>
      </c>
      <c r="N4854">
        <v>0</v>
      </c>
      <c r="O4854">
        <v>-4.4135239999999999E-2</v>
      </c>
      <c r="P4854">
        <v>-0.99959330000000002</v>
      </c>
      <c r="Q4854">
        <v>-1.554845E-2</v>
      </c>
      <c r="R4854">
        <v>-2.3918350000000001E-2</v>
      </c>
      <c r="S4854">
        <v>-2.982056</v>
      </c>
      <c r="T4854">
        <v>-0.17754159999999999</v>
      </c>
      <c r="U4854">
        <v>-0.65878300000000001</v>
      </c>
      <c r="V4854">
        <v>2.022117E-2</v>
      </c>
      <c r="W4854">
        <v>-7.4253499999999998E-3</v>
      </c>
      <c r="X4854">
        <v>0.99976799999999999</v>
      </c>
      <c r="Y4854">
        <v>-0.17219110000000001</v>
      </c>
      <c r="Z4854">
        <v>-2.4699710000000001E-3</v>
      </c>
      <c r="AA4854">
        <v>0.98506050000000001</v>
      </c>
      <c r="AB4854">
        <v>21</v>
      </c>
      <c r="AC4854">
        <v>-18.2119</v>
      </c>
      <c r="AD4854">
        <v>-1.108994787571</v>
      </c>
      <c r="AE4854">
        <v>-4.0971999999999804</v>
      </c>
      <c r="AF4854">
        <v>-3.2778253507249802</v>
      </c>
      <c r="AG4854">
        <v>-1.108994787571</v>
      </c>
      <c r="AH4854">
        <v>18.310364080934001</v>
      </c>
      <c r="AI4854">
        <v>93.411864771932599</v>
      </c>
      <c r="AJ4854">
        <v>100.14928558931101</v>
      </c>
      <c r="AK4854">
        <v>18.63446916993</v>
      </c>
      <c r="AL4854">
        <v>90.425445107854102</v>
      </c>
      <c r="AM4854">
        <v>88.8413014324953</v>
      </c>
      <c r="AN4854">
        <v>1.00000004268139</v>
      </c>
    </row>
    <row r="4855" spans="1:40" x14ac:dyDescent="0.25">
      <c r="A4855" t="str">
        <f>"20190312160740665"</f>
        <v>20190312160740665</v>
      </c>
      <c r="B4855" t="str">
        <f>"1552378060660071"</f>
        <v>1552378060660071</v>
      </c>
      <c r="C4855" t="s">
        <v>40</v>
      </c>
      <c r="D4855">
        <v>5.9622270000000004</v>
      </c>
      <c r="E4855">
        <v>0.4254135</v>
      </c>
      <c r="F4855" t="s">
        <v>47</v>
      </c>
      <c r="G4855">
        <v>-246.93770000000001</v>
      </c>
      <c r="H4855" s="1">
        <v>-1.557972E-6</v>
      </c>
      <c r="I4855">
        <v>138.1395</v>
      </c>
      <c r="J4855">
        <v>-228.35830000000001</v>
      </c>
      <c r="K4855">
        <v>1.108992</v>
      </c>
      <c r="L4855">
        <v>142.27850000000001</v>
      </c>
      <c r="M4855">
        <v>-0.99900239999999996</v>
      </c>
      <c r="N4855">
        <v>0</v>
      </c>
      <c r="O4855">
        <v>-4.3914790000000002E-2</v>
      </c>
      <c r="P4855">
        <v>-0.99959779999999998</v>
      </c>
      <c r="Q4855">
        <v>-1.618617E-2</v>
      </c>
      <c r="R4855">
        <v>-2.3291510000000001E-2</v>
      </c>
      <c r="S4855">
        <v>-2.9826969999999999</v>
      </c>
      <c r="T4855">
        <v>-0.17624899999999999</v>
      </c>
      <c r="U4855">
        <v>-0.65907289999999996</v>
      </c>
      <c r="V4855">
        <v>2.0626530000000001E-2</v>
      </c>
      <c r="W4855">
        <v>-8.0726169999999903E-3</v>
      </c>
      <c r="X4855">
        <v>0.9997547</v>
      </c>
      <c r="Y4855">
        <v>-0.17245759999999999</v>
      </c>
      <c r="Z4855">
        <v>-2.4720749999999998E-3</v>
      </c>
      <c r="AA4855">
        <v>0.98501380000000005</v>
      </c>
      <c r="AB4855">
        <v>21</v>
      </c>
      <c r="AC4855">
        <v>-18.5794</v>
      </c>
      <c r="AD4855">
        <v>-1.1089935579719901</v>
      </c>
      <c r="AE4855">
        <v>-4.1390000000000002</v>
      </c>
      <c r="AF4855">
        <v>-3.3078414715881701</v>
      </c>
      <c r="AG4855">
        <v>-1.1089935579719901</v>
      </c>
      <c r="AH4855">
        <v>18.6798379051815</v>
      </c>
      <c r="AI4855">
        <v>93.345645444544203</v>
      </c>
      <c r="AJ4855">
        <v>100.041885372214</v>
      </c>
      <c r="AK4855">
        <v>19.002842578852199</v>
      </c>
      <c r="AL4855">
        <v>90.462531888719496</v>
      </c>
      <c r="AM4855">
        <v>88.818064597958497</v>
      </c>
      <c r="AN4855">
        <v>1.0000000405285701</v>
      </c>
    </row>
    <row r="4856" spans="1:40" x14ac:dyDescent="0.25">
      <c r="A4856" t="str">
        <f>"20190312160740689"</f>
        <v>20190312160740689</v>
      </c>
      <c r="B4856" t="str">
        <f>"1552378060680567"</f>
        <v>1552378060680567</v>
      </c>
      <c r="C4856" t="s">
        <v>40</v>
      </c>
      <c r="D4856">
        <v>5.9657839999999904</v>
      </c>
      <c r="E4856">
        <v>0.42511339999999997</v>
      </c>
      <c r="F4856" t="s">
        <v>47</v>
      </c>
      <c r="G4856">
        <v>-246.99680000000001</v>
      </c>
      <c r="H4856" s="1">
        <v>-1.5298289999999999E-6</v>
      </c>
      <c r="I4856">
        <v>138.15520000000001</v>
      </c>
      <c r="J4856">
        <v>-228.57820000000001</v>
      </c>
      <c r="K4856">
        <v>1.108984</v>
      </c>
      <c r="L4856">
        <v>142.26910000000001</v>
      </c>
      <c r="M4856">
        <v>-0.9990137</v>
      </c>
      <c r="N4856">
        <v>0</v>
      </c>
      <c r="O4856">
        <v>-4.3656639999999997E-2</v>
      </c>
      <c r="P4856">
        <v>-0.99959880000000001</v>
      </c>
      <c r="Q4856">
        <v>-1.6542890000000001E-2</v>
      </c>
      <c r="R4856">
        <v>-2.299081E-2</v>
      </c>
      <c r="S4856">
        <v>-2.982971</v>
      </c>
      <c r="T4856">
        <v>-0.17748710000000001</v>
      </c>
      <c r="U4856">
        <v>-0.65989690000000001</v>
      </c>
      <c r="V4856">
        <v>2.0668539999999999E-2</v>
      </c>
      <c r="W4856">
        <v>-8.4432889999999997E-3</v>
      </c>
      <c r="X4856">
        <v>0.99975069999999999</v>
      </c>
      <c r="Y4856">
        <v>-0.1729482</v>
      </c>
      <c r="Z4856">
        <v>-2.5186430000000001E-3</v>
      </c>
      <c r="AA4856">
        <v>0.98492769999999996</v>
      </c>
      <c r="AB4856">
        <v>21</v>
      </c>
      <c r="AC4856">
        <v>-18.418600000000001</v>
      </c>
      <c r="AD4856">
        <v>-1.1089855298289999</v>
      </c>
      <c r="AE4856">
        <v>-4.1139000000000001</v>
      </c>
      <c r="AF4856">
        <v>-3.2944810927149399</v>
      </c>
      <c r="AG4856">
        <v>-1.1089855298289999</v>
      </c>
      <c r="AH4856">
        <v>18.516705356616999</v>
      </c>
      <c r="AI4856">
        <v>93.3745425857052</v>
      </c>
      <c r="AJ4856">
        <v>100.088463511399</v>
      </c>
      <c r="AK4856">
        <v>18.840165387793</v>
      </c>
      <c r="AL4856">
        <v>90.483770587511501</v>
      </c>
      <c r="AM4856">
        <v>88.8156533009508</v>
      </c>
      <c r="AN4856">
        <v>0.99999996991267903</v>
      </c>
    </row>
    <row r="4857" spans="1:40" x14ac:dyDescent="0.25">
      <c r="A4857" t="str">
        <f>"20190312160740710"</f>
        <v>20190312160740710</v>
      </c>
      <c r="B4857" t="str">
        <f>"1552378060700087"</f>
        <v>1552378060700087</v>
      </c>
      <c r="C4857" t="s">
        <v>40</v>
      </c>
      <c r="D4857">
        <v>5.9300009999999999</v>
      </c>
      <c r="E4857">
        <v>0.42478630000000001</v>
      </c>
      <c r="F4857" t="s">
        <v>47</v>
      </c>
      <c r="G4857">
        <v>-247.10409999999999</v>
      </c>
      <c r="H4857" s="1">
        <v>-1.4827100000000001E-6</v>
      </c>
      <c r="I4857">
        <v>138.16130000000001</v>
      </c>
      <c r="J4857">
        <v>-228.77850000000001</v>
      </c>
      <c r="K4857">
        <v>1.1089789999999999</v>
      </c>
      <c r="L4857">
        <v>142.26060000000001</v>
      </c>
      <c r="M4857">
        <v>-0.99902400000000002</v>
      </c>
      <c r="N4857">
        <v>0</v>
      </c>
      <c r="O4857">
        <v>-4.3422099999999998E-2</v>
      </c>
      <c r="P4857">
        <v>-0.99960099999999996</v>
      </c>
      <c r="Q4857">
        <v>-1.6248080000000002E-2</v>
      </c>
      <c r="R4857">
        <v>-2.3108389999999999E-2</v>
      </c>
      <c r="S4857">
        <v>-2.9830320000000001</v>
      </c>
      <c r="T4857">
        <v>-0.17856820000000001</v>
      </c>
      <c r="U4857">
        <v>-0.66142270000000003</v>
      </c>
      <c r="V4857">
        <v>2.0316600000000001E-2</v>
      </c>
      <c r="W4857">
        <v>-8.1631369999999905E-3</v>
      </c>
      <c r="X4857">
        <v>0.99976030000000005</v>
      </c>
      <c r="Y4857">
        <v>-0.17365120000000001</v>
      </c>
      <c r="Z4857">
        <v>-2.568365E-3</v>
      </c>
      <c r="AA4857">
        <v>0.98480389999999995</v>
      </c>
      <c r="AB4857">
        <v>21</v>
      </c>
      <c r="AC4857">
        <v>-18.325599999999898</v>
      </c>
      <c r="AD4857">
        <v>-1.10898048271</v>
      </c>
      <c r="AE4857">
        <v>-4.0993000000000004</v>
      </c>
      <c r="AF4857">
        <v>-3.2882033002550299</v>
      </c>
      <c r="AG4857">
        <v>-1.10898048271</v>
      </c>
      <c r="AH4857">
        <v>18.4220717467242</v>
      </c>
      <c r="AI4857">
        <v>93.391486740194793</v>
      </c>
      <c r="AJ4857">
        <v>100.120294070876</v>
      </c>
      <c r="AK4857">
        <v>18.746062149056598</v>
      </c>
      <c r="AL4857">
        <v>90.467718478649104</v>
      </c>
      <c r="AM4857">
        <v>88.835825710634793</v>
      </c>
      <c r="AN4857">
        <v>1.0000000292486599</v>
      </c>
    </row>
    <row r="4858" spans="1:40" x14ac:dyDescent="0.25">
      <c r="A4858" t="str">
        <f>"20190312160740733"</f>
        <v>20190312160740733</v>
      </c>
      <c r="B4858" t="str">
        <f>"1552378060720587"</f>
        <v>1552378060720587</v>
      </c>
      <c r="C4858" t="s">
        <v>40</v>
      </c>
      <c r="D4858">
        <v>5.3696510000000002</v>
      </c>
      <c r="E4858">
        <v>0.42446230000000001</v>
      </c>
      <c r="F4858" t="s">
        <v>47</v>
      </c>
      <c r="G4858">
        <v>-247.39340000000001</v>
      </c>
      <c r="H4858" s="1">
        <v>-1.3667500000000001E-6</v>
      </c>
      <c r="I4858">
        <v>138.1155</v>
      </c>
      <c r="J4858">
        <v>-228.98580000000001</v>
      </c>
      <c r="K4858">
        <v>1.1089739999999999</v>
      </c>
      <c r="L4858">
        <v>142.25190000000001</v>
      </c>
      <c r="M4858">
        <v>-0.99903470000000005</v>
      </c>
      <c r="N4858">
        <v>0</v>
      </c>
      <c r="O4858">
        <v>-4.3179330000000002E-2</v>
      </c>
      <c r="P4858">
        <v>-0.99958990000000003</v>
      </c>
      <c r="Q4858">
        <v>-1.5914370000000001E-2</v>
      </c>
      <c r="R4858">
        <v>-2.3806910000000001E-2</v>
      </c>
      <c r="S4858">
        <v>-2.9829560000000002</v>
      </c>
      <c r="T4858">
        <v>-0.17770920000000001</v>
      </c>
      <c r="U4858">
        <v>-0.66423030000000005</v>
      </c>
      <c r="V4858">
        <v>1.9375380000000001E-2</v>
      </c>
      <c r="W4858">
        <v>-7.8438999999999991E-3</v>
      </c>
      <c r="X4858">
        <v>0.99978149999999999</v>
      </c>
      <c r="Y4858">
        <v>-0.17477879999999901</v>
      </c>
      <c r="Z4858">
        <v>-2.6032389999999998E-3</v>
      </c>
      <c r="AA4858">
        <v>0.98460429999999999</v>
      </c>
      <c r="AB4858">
        <v>21</v>
      </c>
      <c r="AC4858">
        <v>-18.407599999999999</v>
      </c>
      <c r="AD4858">
        <v>-1.10897536675</v>
      </c>
      <c r="AE4858">
        <v>-4.1364000000000001</v>
      </c>
      <c r="AF4858">
        <v>-3.3261959310523301</v>
      </c>
      <c r="AG4858">
        <v>-1.10897536675</v>
      </c>
      <c r="AH4858">
        <v>18.505107389950901</v>
      </c>
      <c r="AI4858">
        <v>93.3755563567574</v>
      </c>
      <c r="AJ4858">
        <v>100.18980740355801</v>
      </c>
      <c r="AK4858">
        <v>18.834341115351599</v>
      </c>
      <c r="AL4858">
        <v>90.449426978160304</v>
      </c>
      <c r="AM4858">
        <v>88.8897688593852</v>
      </c>
      <c r="AN4858">
        <v>0.99999998992980199</v>
      </c>
    </row>
    <row r="4859" spans="1:40" x14ac:dyDescent="0.25">
      <c r="A4859" t="str">
        <f>"20190312160740755"</f>
        <v>20190312160740755</v>
      </c>
      <c r="B4859" t="str">
        <f>"1552378060749863"</f>
        <v>1552378060749863</v>
      </c>
      <c r="C4859" t="s">
        <v>40</v>
      </c>
      <c r="D4859">
        <v>5.8946690000000004</v>
      </c>
      <c r="E4859">
        <v>0.42394219999999999</v>
      </c>
      <c r="F4859" t="s">
        <v>47</v>
      </c>
      <c r="G4859">
        <v>-247.88980000000001</v>
      </c>
      <c r="H4859" s="1">
        <v>-1.1723199999999999E-6</v>
      </c>
      <c r="I4859">
        <v>138.0111</v>
      </c>
      <c r="J4859">
        <v>-229.19800000000001</v>
      </c>
      <c r="K4859">
        <v>1.108973</v>
      </c>
      <c r="L4859">
        <v>142.24299999999999</v>
      </c>
      <c r="M4859">
        <v>-0.99904559999999998</v>
      </c>
      <c r="N4859">
        <v>0</v>
      </c>
      <c r="O4859">
        <v>-4.2931560000000001E-2</v>
      </c>
      <c r="P4859">
        <v>-0.99957589999999996</v>
      </c>
      <c r="Q4859">
        <v>-1.643876E-2</v>
      </c>
      <c r="R4859">
        <v>-2.4047840000000001E-2</v>
      </c>
      <c r="S4859">
        <v>-2.9824980000000001</v>
      </c>
      <c r="T4859">
        <v>-0.17496400000000001</v>
      </c>
      <c r="U4859">
        <v>-0.66906739999999998</v>
      </c>
      <c r="V4859">
        <v>1.8885909999999999E-2</v>
      </c>
      <c r="W4859">
        <v>-8.3812209999999995E-3</v>
      </c>
      <c r="X4859">
        <v>0.99978650000000002</v>
      </c>
      <c r="Y4859">
        <v>-0.17657909999999999</v>
      </c>
      <c r="Z4859">
        <v>-2.629466E-3</v>
      </c>
      <c r="AA4859">
        <v>0.98428289999999996</v>
      </c>
      <c r="AB4859">
        <v>21</v>
      </c>
      <c r="AC4859">
        <v>-18.691800000000001</v>
      </c>
      <c r="AD4859">
        <v>-1.10897417232</v>
      </c>
      <c r="AE4859">
        <v>-4.2318999999999898</v>
      </c>
      <c r="AF4859">
        <v>-3.41407236641595</v>
      </c>
      <c r="AG4859">
        <v>-1.10897417232</v>
      </c>
      <c r="AH4859">
        <v>18.793326635233299</v>
      </c>
      <c r="AI4859">
        <v>93.322787679131295</v>
      </c>
      <c r="AJ4859">
        <v>100.29629931407</v>
      </c>
      <c r="AK4859">
        <v>19.133082340714601</v>
      </c>
      <c r="AL4859">
        <v>90.480214220348401</v>
      </c>
      <c r="AM4859">
        <v>88.917814697157098</v>
      </c>
      <c r="AN4859">
        <v>0.99999998402211399</v>
      </c>
    </row>
    <row r="4860" spans="1:40" x14ac:dyDescent="0.25">
      <c r="A4860" t="str">
        <f>"20190312160740780"</f>
        <v>20190312160740780</v>
      </c>
      <c r="B4860" t="str">
        <f>"1552378060770360"</f>
        <v>1552378060770360</v>
      </c>
      <c r="C4860" t="s">
        <v>40</v>
      </c>
      <c r="D4860">
        <v>5.8427449999999999</v>
      </c>
      <c r="E4860">
        <v>0.42379909999999998</v>
      </c>
      <c r="F4860" t="s">
        <v>47</v>
      </c>
      <c r="G4860">
        <v>-248.46260000000001</v>
      </c>
      <c r="H4860" s="1">
        <v>-9.6918639999999998E-7</v>
      </c>
      <c r="I4860">
        <v>137.88759999999999</v>
      </c>
      <c r="J4860">
        <v>-229.42850000000001</v>
      </c>
      <c r="K4860">
        <v>1.1089719999999901</v>
      </c>
      <c r="L4860">
        <v>142.23339999999999</v>
      </c>
      <c r="M4860">
        <v>-0.99905730000000004</v>
      </c>
      <c r="N4860">
        <v>0</v>
      </c>
      <c r="O4860">
        <v>-4.2660299999999998E-2</v>
      </c>
      <c r="P4860">
        <v>-0.99957779999999996</v>
      </c>
      <c r="Q4860">
        <v>-1.646717E-2</v>
      </c>
      <c r="R4860">
        <v>-2.3951879999999998E-2</v>
      </c>
      <c r="S4860">
        <v>-2.9822389999999999</v>
      </c>
      <c r="T4860">
        <v>-0.17167349999999901</v>
      </c>
      <c r="U4860">
        <v>-0.67422490000000002</v>
      </c>
      <c r="V4860">
        <v>1.8710540000000001E-2</v>
      </c>
      <c r="W4860">
        <v>-8.4206469999999999E-3</v>
      </c>
      <c r="X4860">
        <v>0.9997895</v>
      </c>
      <c r="Y4860">
        <v>-0.17848910000000001</v>
      </c>
      <c r="Z4860">
        <v>-2.6494600000000002E-3</v>
      </c>
      <c r="AA4860">
        <v>0.98393830000000004</v>
      </c>
      <c r="AB4860">
        <v>21</v>
      </c>
      <c r="AC4860">
        <v>-19.034099999999899</v>
      </c>
      <c r="AD4860">
        <v>-1.1089729691864001</v>
      </c>
      <c r="AE4860">
        <v>-4.3457999999999899</v>
      </c>
      <c r="AF4860">
        <v>-3.51846510975848</v>
      </c>
      <c r="AG4860">
        <v>-1.1089729691864001</v>
      </c>
      <c r="AH4860">
        <v>19.140416767808102</v>
      </c>
      <c r="AI4860">
        <v>93.261417284703199</v>
      </c>
      <c r="AJ4860">
        <v>100.416046101281</v>
      </c>
      <c r="AK4860">
        <v>19.4926902150617</v>
      </c>
      <c r="AL4860">
        <v>90.482473227132303</v>
      </c>
      <c r="AM4860">
        <v>88.9278644683246</v>
      </c>
      <c r="AN4860">
        <v>1.00000001795662</v>
      </c>
    </row>
    <row r="4861" spans="1:40" x14ac:dyDescent="0.25">
      <c r="A4861" t="str">
        <f>"20190312160740801"</f>
        <v>20190312160740801</v>
      </c>
      <c r="B4861" t="str">
        <f>"1552378060789879"</f>
        <v>1552378060789879</v>
      </c>
      <c r="C4861" t="s">
        <v>40</v>
      </c>
      <c r="D4861">
        <v>5.8381480000000003</v>
      </c>
      <c r="E4861">
        <v>0.41874260000000002</v>
      </c>
      <c r="F4861" t="s">
        <v>47</v>
      </c>
      <c r="G4861">
        <v>-248.87629999999999</v>
      </c>
      <c r="H4861" s="1">
        <v>-8.4362439999999995E-7</v>
      </c>
      <c r="I4861">
        <v>137.8305</v>
      </c>
      <c r="J4861">
        <v>-229.63640000000001</v>
      </c>
      <c r="K4861">
        <v>1.1089629999999999</v>
      </c>
      <c r="L4861">
        <v>142.22479999999999</v>
      </c>
      <c r="M4861">
        <v>-0.99906779999999995</v>
      </c>
      <c r="N4861">
        <v>0</v>
      </c>
      <c r="O4861">
        <v>-4.2413609999999997E-2</v>
      </c>
      <c r="P4861">
        <v>-0.99959299999999995</v>
      </c>
      <c r="Q4861">
        <v>-1.6544570000000001E-2</v>
      </c>
      <c r="R4861">
        <v>-2.3243710000000001E-2</v>
      </c>
      <c r="S4861">
        <v>-2.9822690000000001</v>
      </c>
      <c r="T4861">
        <v>-0.17005909999999999</v>
      </c>
      <c r="U4861">
        <v>-0.67517090000000002</v>
      </c>
      <c r="V4861">
        <v>1.9171549999999999E-2</v>
      </c>
      <c r="W4861">
        <v>-8.5073010000000001E-3</v>
      </c>
      <c r="X4861">
        <v>0.99978</v>
      </c>
      <c r="Y4861">
        <v>-0.17902960000000001</v>
      </c>
      <c r="Z4861">
        <v>-2.6535170000000002E-3</v>
      </c>
      <c r="AA4861">
        <v>0.9838401</v>
      </c>
      <c r="AB4861">
        <v>21</v>
      </c>
      <c r="AC4861">
        <v>-19.239899999999899</v>
      </c>
      <c r="AD4861">
        <v>-1.10896384362439</v>
      </c>
      <c r="AE4861">
        <v>-4.3942999999999799</v>
      </c>
      <c r="AF4861">
        <v>-3.5630351588150901</v>
      </c>
      <c r="AG4861">
        <v>-1.10896384362439</v>
      </c>
      <c r="AH4861">
        <v>19.347878535912098</v>
      </c>
      <c r="AI4861">
        <v>93.226303303848098</v>
      </c>
      <c r="AJ4861">
        <v>100.434474461801</v>
      </c>
      <c r="AK4861">
        <v>19.704451887576699</v>
      </c>
      <c r="AL4861">
        <v>90.487438329217795</v>
      </c>
      <c r="AM4861">
        <v>88.901444023184396</v>
      </c>
      <c r="AN4861">
        <v>0.99999998544985302</v>
      </c>
    </row>
    <row r="4862" spans="1:40" x14ac:dyDescent="0.25">
      <c r="A4862" t="str">
        <f>"20190312160740824"</f>
        <v>20190312160740824</v>
      </c>
      <c r="B4862" t="str">
        <f>"1552378060820135"</f>
        <v>1552378060820135</v>
      </c>
      <c r="C4862" t="s">
        <v>40</v>
      </c>
      <c r="D4862">
        <v>5.779954</v>
      </c>
      <c r="E4862">
        <v>0.41909879999999999</v>
      </c>
      <c r="F4862" t="s">
        <v>47</v>
      </c>
      <c r="G4862">
        <v>-258.6198</v>
      </c>
      <c r="H4862" s="1">
        <v>-1.6118960000000001E-6</v>
      </c>
      <c r="I4862">
        <v>135.27099999999999</v>
      </c>
      <c r="J4862">
        <v>-229.84809999999999</v>
      </c>
      <c r="K4862">
        <v>1.1089580000000001</v>
      </c>
      <c r="L4862">
        <v>142.21610000000001</v>
      </c>
      <c r="M4862">
        <v>-0.99907889999999999</v>
      </c>
      <c r="N4862">
        <v>0</v>
      </c>
      <c r="O4862">
        <v>-4.2156880000000001E-2</v>
      </c>
      <c r="P4862">
        <v>-0.99960459999999995</v>
      </c>
      <c r="Q4862">
        <v>-1.6793700000000002E-2</v>
      </c>
      <c r="R4862">
        <v>-2.2561540000000001E-2</v>
      </c>
      <c r="S4862">
        <v>-2.9826809999999999</v>
      </c>
      <c r="T4862">
        <v>-0.11412369999999999</v>
      </c>
      <c r="U4862">
        <v>-0.71560669999999904</v>
      </c>
      <c r="V4862">
        <v>1.9596659999999998E-2</v>
      </c>
      <c r="W4862">
        <v>-8.7681719999999994E-3</v>
      </c>
      <c r="X4862">
        <v>0.99976949999999998</v>
      </c>
      <c r="Y4862">
        <v>-0.1919942</v>
      </c>
      <c r="Z4862">
        <v>-2.0327869999999999E-3</v>
      </c>
      <c r="AA4862">
        <v>0.98139390000000004</v>
      </c>
      <c r="AB4862">
        <v>21</v>
      </c>
      <c r="AC4862">
        <v>-28.771699999999999</v>
      </c>
      <c r="AD4862">
        <v>-1.1089596118959999</v>
      </c>
      <c r="AE4862">
        <v>-6.9450999999999903</v>
      </c>
      <c r="AF4862">
        <v>-5.7179345927593301</v>
      </c>
      <c r="AG4862">
        <v>-1.1089596118959999</v>
      </c>
      <c r="AH4862">
        <v>28.998205901655101</v>
      </c>
      <c r="AI4862">
        <v>92.148724264192893</v>
      </c>
      <c r="AJ4862">
        <v>101.154618847267</v>
      </c>
      <c r="AK4862">
        <v>29.577364874895</v>
      </c>
      <c r="AL4862">
        <v>90.502385696371505</v>
      </c>
      <c r="AM4862">
        <v>88.877079019345601</v>
      </c>
      <c r="AN4862">
        <v>0.99999998152681302</v>
      </c>
    </row>
    <row r="4863" spans="1:40" x14ac:dyDescent="0.25">
      <c r="A4863" t="str">
        <f>"20190312160740844"</f>
        <v>20190312160740844</v>
      </c>
      <c r="B4863" t="str">
        <f>"1552378060840631"</f>
        <v>1552378060840631</v>
      </c>
      <c r="C4863" t="s">
        <v>40</v>
      </c>
      <c r="D4863">
        <v>5.7802949999999997</v>
      </c>
      <c r="E4863">
        <v>0.41933359999999897</v>
      </c>
      <c r="F4863" t="s">
        <v>47</v>
      </c>
      <c r="G4863">
        <v>-257.89049999999997</v>
      </c>
      <c r="H4863" s="1">
        <v>-1.789394E-6</v>
      </c>
      <c r="I4863">
        <v>135.5367</v>
      </c>
      <c r="J4863">
        <v>-230.04580000000001</v>
      </c>
      <c r="K4863">
        <v>1.1089359999999999</v>
      </c>
      <c r="L4863">
        <v>142.208</v>
      </c>
      <c r="M4863">
        <v>-0.99908940000000002</v>
      </c>
      <c r="N4863">
        <v>0</v>
      </c>
      <c r="O4863">
        <v>-4.190762E-2</v>
      </c>
      <c r="P4863">
        <v>-0.99962229999999996</v>
      </c>
      <c r="Q4863">
        <v>-1.5819099999999999E-2</v>
      </c>
      <c r="R4863">
        <v>-2.2484339999999998E-2</v>
      </c>
      <c r="S4863">
        <v>-2.9832000000000001</v>
      </c>
      <c r="T4863">
        <v>-0.1179736</v>
      </c>
      <c r="U4863">
        <v>-0.71055599999999997</v>
      </c>
      <c r="V4863">
        <v>1.9425399999999999E-2</v>
      </c>
      <c r="W4863">
        <v>-7.8061409999999999E-3</v>
      </c>
      <c r="X4863">
        <v>0.99978080000000003</v>
      </c>
      <c r="Y4863">
        <v>-0.19062219999999999</v>
      </c>
      <c r="Z4863">
        <v>-2.0842899999999999E-3</v>
      </c>
      <c r="AA4863">
        <v>0.98166129999999996</v>
      </c>
      <c r="AB4863">
        <v>21</v>
      </c>
      <c r="AC4863">
        <v>-27.8446999999999</v>
      </c>
      <c r="AD4863">
        <v>-1.108937789394</v>
      </c>
      <c r="AE4863">
        <v>-6.6712999999999996</v>
      </c>
      <c r="AF4863">
        <v>-5.4902609558537598</v>
      </c>
      <c r="AG4863">
        <v>-1.108937789394</v>
      </c>
      <c r="AH4863">
        <v>28.057737491446701</v>
      </c>
      <c r="AI4863">
        <v>92.221264433368304</v>
      </c>
      <c r="AJ4863">
        <v>101.071586437653</v>
      </c>
      <c r="AK4863">
        <v>28.611349872437899</v>
      </c>
      <c r="AL4863">
        <v>90.447263491701307</v>
      </c>
      <c r="AM4863">
        <v>88.886902597976302</v>
      </c>
      <c r="AN4863">
        <v>0.99999996502555499</v>
      </c>
    </row>
    <row r="4864" spans="1:40" x14ac:dyDescent="0.25">
      <c r="A4864" t="str">
        <f>"20190312160740866"</f>
        <v>20190312160740866</v>
      </c>
      <c r="B4864" t="str">
        <f>"1552378060860152"</f>
        <v>1552378060860152</v>
      </c>
      <c r="C4864" t="s">
        <v>40</v>
      </c>
      <c r="D4864">
        <v>5.8013079999999997</v>
      </c>
      <c r="E4864">
        <v>0.4259425</v>
      </c>
      <c r="F4864" t="s">
        <v>47</v>
      </c>
      <c r="G4864">
        <v>-259.0231</v>
      </c>
      <c r="H4864" s="1">
        <v>-1.459907E-6</v>
      </c>
      <c r="I4864">
        <v>135.32640000000001</v>
      </c>
      <c r="J4864">
        <v>-230.26410000000001</v>
      </c>
      <c r="K4864">
        <v>1.1089150000000001</v>
      </c>
      <c r="L4864">
        <v>142.19919999999999</v>
      </c>
      <c r="M4864">
        <v>-0.99910160000000003</v>
      </c>
      <c r="N4864">
        <v>0</v>
      </c>
      <c r="O4864">
        <v>-4.161492E-2</v>
      </c>
      <c r="P4864">
        <v>-0.99962759999999995</v>
      </c>
      <c r="Q4864">
        <v>-1.5473249999999999E-2</v>
      </c>
      <c r="R4864">
        <v>-2.247652E-2</v>
      </c>
      <c r="S4864">
        <v>-2.9833980000000002</v>
      </c>
      <c r="T4864">
        <v>-0.1141723</v>
      </c>
      <c r="U4864">
        <v>-0.70849609999999996</v>
      </c>
      <c r="V4864">
        <v>1.914035E-2</v>
      </c>
      <c r="W4864">
        <v>-7.4743069999999899E-3</v>
      </c>
      <c r="X4864">
        <v>0.99978889999999998</v>
      </c>
      <c r="Y4864">
        <v>-0.1902605</v>
      </c>
      <c r="Z4864">
        <v>-2.021391E-3</v>
      </c>
      <c r="AA4864">
        <v>0.98173149999999998</v>
      </c>
      <c r="AB4864">
        <v>21</v>
      </c>
      <c r="AC4864">
        <v>-28.758999999999901</v>
      </c>
      <c r="AD4864">
        <v>-1.1089164599069901</v>
      </c>
      <c r="AE4864">
        <v>-6.8727999999999803</v>
      </c>
      <c r="AF4864">
        <v>-5.6620405053212499</v>
      </c>
      <c r="AG4864">
        <v>-1.1089164599069901</v>
      </c>
      <c r="AH4864">
        <v>28.979346880007</v>
      </c>
      <c r="AI4864">
        <v>92.150768758517799</v>
      </c>
      <c r="AJ4864">
        <v>101.05528843266499</v>
      </c>
      <c r="AK4864">
        <v>29.548112359179999</v>
      </c>
      <c r="AL4864">
        <v>90.428250219880695</v>
      </c>
      <c r="AM4864">
        <v>88.903241149623497</v>
      </c>
      <c r="AN4864">
        <v>1.00000003141323</v>
      </c>
    </row>
    <row r="4865" spans="1:40" x14ac:dyDescent="0.25">
      <c r="A4865" t="str">
        <f>"20190312160740889"</f>
        <v>20190312160740889</v>
      </c>
      <c r="B4865" t="str">
        <f>"1552378060880648"</f>
        <v>1552378060880648</v>
      </c>
      <c r="C4865" t="s">
        <v>40</v>
      </c>
      <c r="D4865">
        <v>5.7048189999999996</v>
      </c>
      <c r="E4865">
        <v>0.49354300000000001</v>
      </c>
      <c r="F4865" t="s">
        <v>47</v>
      </c>
      <c r="G4865">
        <v>-259.58429999999998</v>
      </c>
      <c r="H4865" s="1">
        <v>-1.1542709999999999E-6</v>
      </c>
      <c r="I4865">
        <v>135.75739999999999</v>
      </c>
      <c r="J4865">
        <v>-230.4855</v>
      </c>
      <c r="K4865">
        <v>1.108886</v>
      </c>
      <c r="L4865">
        <v>142.19030000000001</v>
      </c>
      <c r="M4865">
        <v>-0.99911519999999998</v>
      </c>
      <c r="N4865">
        <v>0</v>
      </c>
      <c r="O4865">
        <v>-4.1290939999999998E-2</v>
      </c>
      <c r="P4865">
        <v>-0.99961800000000001</v>
      </c>
      <c r="Q4865">
        <v>-1.5953620000000002E-2</v>
      </c>
      <c r="R4865">
        <v>-2.2571399999999998E-2</v>
      </c>
      <c r="S4865">
        <v>-2.9846339999999998</v>
      </c>
      <c r="T4865">
        <v>-0.1128818</v>
      </c>
      <c r="U4865">
        <v>-0.65573119999999996</v>
      </c>
      <c r="V4865">
        <v>1.872033E-2</v>
      </c>
      <c r="W4865">
        <v>-7.9671759999999994E-3</v>
      </c>
      <c r="X4865">
        <v>0.99979300000000004</v>
      </c>
      <c r="Y4865">
        <v>-0.17398079999999999</v>
      </c>
      <c r="Z4865">
        <v>-1.7094460000000001E-3</v>
      </c>
      <c r="AA4865">
        <v>0.9847475</v>
      </c>
      <c r="AB4865">
        <v>21</v>
      </c>
      <c r="AC4865">
        <v>-29.098799999999901</v>
      </c>
      <c r="AD4865">
        <v>-1.1088871542709999</v>
      </c>
      <c r="AE4865">
        <v>-6.4329000000000098</v>
      </c>
      <c r="AF4865">
        <v>-5.2186329237800697</v>
      </c>
      <c r="AG4865">
        <v>-1.1088871542709999</v>
      </c>
      <c r="AH4865">
        <v>29.299045560891901</v>
      </c>
      <c r="AI4865">
        <v>92.133897690656397</v>
      </c>
      <c r="AJ4865">
        <v>100.099389716861</v>
      </c>
      <c r="AK4865">
        <v>29.7808299262006</v>
      </c>
      <c r="AL4865">
        <v>90.456490395842806</v>
      </c>
      <c r="AM4865">
        <v>88.927307375409995</v>
      </c>
      <c r="AN4865">
        <v>0.99999998474886098</v>
      </c>
    </row>
    <row r="4866" spans="1:40" x14ac:dyDescent="0.25">
      <c r="A4866" t="str">
        <f>"20190312160740911"</f>
        <v>20190312160740911</v>
      </c>
      <c r="B4866" t="str">
        <f>"1552378060900171"</f>
        <v>1552378060900171</v>
      </c>
      <c r="C4866" t="s">
        <v>40</v>
      </c>
      <c r="D4866">
        <v>5.9269540000000003</v>
      </c>
      <c r="E4866">
        <v>0.4951912</v>
      </c>
      <c r="F4866" t="s">
        <v>47</v>
      </c>
      <c r="G4866">
        <v>-262.39550000000003</v>
      </c>
      <c r="H4866" s="1">
        <v>-3.5981470000000001E-6</v>
      </c>
      <c r="I4866">
        <v>140.94489999999999</v>
      </c>
      <c r="J4866">
        <v>-230.7004</v>
      </c>
      <c r="K4866">
        <v>1.108857</v>
      </c>
      <c r="L4866">
        <v>142.18180000000001</v>
      </c>
      <c r="M4866">
        <v>-0.99912959999999995</v>
      </c>
      <c r="N4866">
        <v>0</v>
      </c>
      <c r="O4866">
        <v>-4.0940440000000002E-2</v>
      </c>
      <c r="P4866">
        <v>-0.99961659999999997</v>
      </c>
      <c r="Q4866">
        <v>-1.621769E-2</v>
      </c>
      <c r="R4866">
        <v>-2.2446029999999999E-2</v>
      </c>
      <c r="S4866">
        <v>-2.9968569999999999</v>
      </c>
      <c r="T4866">
        <v>-0.1041424</v>
      </c>
      <c r="U4866">
        <v>-0.1169586</v>
      </c>
      <c r="V4866">
        <v>1.8494469999999999E-2</v>
      </c>
      <c r="W4866">
        <v>-8.2413590000000002E-3</v>
      </c>
      <c r="X4866">
        <v>0.99979499999999999</v>
      </c>
      <c r="Y4866">
        <v>1.9200840000000001E-3</v>
      </c>
      <c r="Z4866">
        <v>1.454536E-3</v>
      </c>
      <c r="AA4866">
        <v>0.99999709999999997</v>
      </c>
      <c r="AB4866">
        <v>22</v>
      </c>
      <c r="AC4866">
        <v>-31.6951</v>
      </c>
      <c r="AD4866">
        <v>-1.1088605981470001</v>
      </c>
      <c r="AE4866">
        <v>-1.2369000000000201</v>
      </c>
      <c r="AF4866">
        <v>6.1714490899911802E-2</v>
      </c>
      <c r="AG4866">
        <v>-1.1088605981470001</v>
      </c>
      <c r="AH4866">
        <v>31.680448765048599</v>
      </c>
      <c r="AI4866">
        <v>92.004611320735805</v>
      </c>
      <c r="AJ4866">
        <v>89.888386196269096</v>
      </c>
      <c r="AK4866">
        <v>31.699908745284699</v>
      </c>
      <c r="AL4866">
        <v>90.472200431806201</v>
      </c>
      <c r="AM4866">
        <v>88.940248517077507</v>
      </c>
      <c r="AN4866">
        <v>1.0000000037218699</v>
      </c>
    </row>
    <row r="4867" spans="1:40" x14ac:dyDescent="0.25">
      <c r="A4867" t="str">
        <f>"20190312160740934"</f>
        <v>20190312160740934</v>
      </c>
      <c r="B4867" t="str">
        <f>"1552378060930423"</f>
        <v>1552378060930423</v>
      </c>
      <c r="C4867" t="s">
        <v>40</v>
      </c>
      <c r="D4867">
        <v>5.6904209999999997</v>
      </c>
      <c r="E4867">
        <v>0.49652960000000002</v>
      </c>
      <c r="F4867" t="s">
        <v>47</v>
      </c>
      <c r="G4867">
        <v>-273.69420000000002</v>
      </c>
      <c r="H4867" s="1">
        <v>-2.9710879999999999E-6</v>
      </c>
      <c r="I4867">
        <v>140.68209999999999</v>
      </c>
      <c r="J4867">
        <v>-230.91579999999999</v>
      </c>
      <c r="K4867">
        <v>1.10883</v>
      </c>
      <c r="L4867">
        <v>142.17339999999999</v>
      </c>
      <c r="M4867">
        <v>-0.99914590000000003</v>
      </c>
      <c r="N4867">
        <v>0</v>
      </c>
      <c r="O4867">
        <v>-4.0546510000000001E-2</v>
      </c>
      <c r="P4867">
        <v>-0.99964569999999997</v>
      </c>
      <c r="Q4867">
        <v>-1.526272E-2</v>
      </c>
      <c r="R4867">
        <v>-2.1811879999999999E-2</v>
      </c>
      <c r="S4867">
        <v>-2.9975740000000002</v>
      </c>
      <c r="T4867">
        <v>-7.7310920000000005E-2</v>
      </c>
      <c r="U4867">
        <v>-0.1045532</v>
      </c>
      <c r="V4867">
        <v>1.8734790000000001E-2</v>
      </c>
      <c r="W4867">
        <v>-7.2950089999999999E-3</v>
      </c>
      <c r="X4867">
        <v>0.99979790000000002</v>
      </c>
      <c r="Y4867">
        <v>5.6783850000000002E-3</v>
      </c>
      <c r="Z4867">
        <v>1.1180750000000001E-3</v>
      </c>
      <c r="AA4867">
        <v>0.99998330000000002</v>
      </c>
      <c r="AB4867">
        <v>22</v>
      </c>
      <c r="AC4867">
        <v>-42.778399999999998</v>
      </c>
      <c r="AD4867">
        <v>-1.1088329710879901</v>
      </c>
      <c r="AE4867">
        <v>-1.4912999999999901</v>
      </c>
      <c r="AF4867">
        <v>0.24433234007798599</v>
      </c>
      <c r="AG4867">
        <v>-1.1088329710879901</v>
      </c>
      <c r="AH4867">
        <v>42.774983761810901</v>
      </c>
      <c r="AI4867">
        <v>91.484891012672307</v>
      </c>
      <c r="AJ4867">
        <v>89.672727879607805</v>
      </c>
      <c r="AK4867">
        <v>42.7900507673614</v>
      </c>
      <c r="AL4867">
        <v>90.417976923998907</v>
      </c>
      <c r="AM4867">
        <v>88.926484257639103</v>
      </c>
      <c r="AN4867">
        <v>1.0000000251785299</v>
      </c>
    </row>
    <row r="4868" spans="1:40" x14ac:dyDescent="0.25">
      <c r="A4868" t="str">
        <f>"20190312160740956"</f>
        <v>20190312160740956</v>
      </c>
      <c r="B4868" t="str">
        <f>"1552378060949944"</f>
        <v>1552378060949944</v>
      </c>
      <c r="C4868" t="s">
        <v>40</v>
      </c>
      <c r="D4868">
        <v>5.8034339999999904</v>
      </c>
      <c r="E4868">
        <v>0.49734060000000002</v>
      </c>
      <c r="F4868" t="s">
        <v>89</v>
      </c>
      <c r="G4868">
        <v>-302.85399999999998</v>
      </c>
      <c r="H4868" s="1">
        <v>-8.5617649999999992E-6</v>
      </c>
      <c r="I4868">
        <v>139.93719999999999</v>
      </c>
      <c r="J4868">
        <v>-231.13059999999999</v>
      </c>
      <c r="K4868">
        <v>1.1088</v>
      </c>
      <c r="L4868">
        <v>142.1652</v>
      </c>
      <c r="M4868">
        <v>-0.99916389999999999</v>
      </c>
      <c r="N4868">
        <v>0</v>
      </c>
      <c r="O4868">
        <v>-4.0098420000000003E-2</v>
      </c>
      <c r="P4868">
        <v>-0.99967609999999996</v>
      </c>
      <c r="Q4868">
        <v>-1.401617E-2</v>
      </c>
      <c r="R4868">
        <v>-2.1241599999999999E-2</v>
      </c>
      <c r="S4868">
        <v>-2.9983059999999999</v>
      </c>
      <c r="T4868">
        <v>-4.6215180000000002E-2</v>
      </c>
      <c r="U4868">
        <v>-9.3200679999999994E-2</v>
      </c>
      <c r="V4868">
        <v>1.8857700000000002E-2</v>
      </c>
      <c r="W4868">
        <v>-6.0548210000000002E-3</v>
      </c>
      <c r="X4868">
        <v>0.99980380000000002</v>
      </c>
      <c r="Y4868">
        <v>9.0300580000000005E-3</v>
      </c>
      <c r="Z4868">
        <v>6.8725329999999997E-4</v>
      </c>
      <c r="AA4868">
        <v>0.99995900000000004</v>
      </c>
      <c r="AB4868">
        <v>22</v>
      </c>
      <c r="AC4868">
        <v>-71.723399999999998</v>
      </c>
      <c r="AD4868">
        <v>-1.1088085617649901</v>
      </c>
      <c r="AE4868">
        <v>-2.2280000000000002</v>
      </c>
      <c r="AF4868">
        <v>0.64972338815809705</v>
      </c>
      <c r="AG4868">
        <v>-1.1088085617649901</v>
      </c>
      <c r="AH4868">
        <v>71.737925246013305</v>
      </c>
      <c r="AI4868">
        <v>90.885478461489996</v>
      </c>
      <c r="AJ4868">
        <v>89.481091904289002</v>
      </c>
      <c r="AK4868">
        <v>71.749435645936302</v>
      </c>
      <c r="AL4868">
        <v>90.346917823976199</v>
      </c>
      <c r="AM4868">
        <v>88.919449473530705</v>
      </c>
      <c r="AN4868">
        <v>0.99999995610053505</v>
      </c>
    </row>
    <row r="4869" spans="1:40" x14ac:dyDescent="0.25">
      <c r="A4869" t="str">
        <f>"20190312160740979"</f>
        <v>20190312160740979</v>
      </c>
      <c r="B4869" t="str">
        <f>"1552378060970442"</f>
        <v>1552378060970442</v>
      </c>
      <c r="C4869" t="s">
        <v>40</v>
      </c>
      <c r="D4869">
        <v>5.712377</v>
      </c>
      <c r="E4869">
        <v>0.49734679999999998</v>
      </c>
      <c r="F4869" t="s">
        <v>89</v>
      </c>
      <c r="G4869">
        <v>-294.34429999999998</v>
      </c>
      <c r="H4869" s="1">
        <v>-8.7455029999999994E-6</v>
      </c>
      <c r="I4869">
        <v>140.38239999999999</v>
      </c>
      <c r="J4869">
        <v>-231.3561</v>
      </c>
      <c r="K4869">
        <v>1.108765</v>
      </c>
      <c r="L4869">
        <v>142.1567</v>
      </c>
      <c r="M4869">
        <v>-0.99918510000000005</v>
      </c>
      <c r="N4869">
        <v>0</v>
      </c>
      <c r="O4869">
        <v>-3.9568539999999999E-2</v>
      </c>
      <c r="P4869">
        <v>-0.99971010000000005</v>
      </c>
      <c r="Q4869">
        <v>-1.342407E-2</v>
      </c>
      <c r="R4869">
        <v>-1.9990049999999999E-2</v>
      </c>
      <c r="S4869">
        <v>-2.9984440000000001</v>
      </c>
      <c r="T4869">
        <v>-5.2594660000000001E-2</v>
      </c>
      <c r="U4869">
        <v>-8.4564210000000001E-2</v>
      </c>
      <c r="V4869">
        <v>1.957938E-2</v>
      </c>
      <c r="W4869">
        <v>-5.4679169999999897E-3</v>
      </c>
      <c r="X4869">
        <v>0.99979340000000005</v>
      </c>
      <c r="Y4869">
        <v>1.1376829999999999E-2</v>
      </c>
      <c r="Z4869">
        <v>7.9340710000000002E-4</v>
      </c>
      <c r="AA4869">
        <v>0.99993500000000002</v>
      </c>
      <c r="AB4869">
        <v>22</v>
      </c>
      <c r="AC4869">
        <v>-62.9881999999999</v>
      </c>
      <c r="AD4869">
        <v>-1.108773745503</v>
      </c>
      <c r="AE4869">
        <v>-1.77430000000001</v>
      </c>
      <c r="AF4869">
        <v>0.71929711569610399</v>
      </c>
      <c r="AG4869">
        <v>-1.108773745503</v>
      </c>
      <c r="AH4869">
        <v>62.989574330884999</v>
      </c>
      <c r="AI4869">
        <v>91.008378866574503</v>
      </c>
      <c r="AJ4869">
        <v>89.345750496998704</v>
      </c>
      <c r="AK4869">
        <v>63.003438334312001</v>
      </c>
      <c r="AL4869">
        <v>90.313290113416002</v>
      </c>
      <c r="AM4869">
        <v>88.878095751520206</v>
      </c>
      <c r="AN4869">
        <v>1.0000000464605301</v>
      </c>
    </row>
    <row r="4870" spans="1:40" x14ac:dyDescent="0.25">
      <c r="A4870" t="str">
        <f>"20190312160741025"</f>
        <v>20190312160741025</v>
      </c>
      <c r="B4870" t="str">
        <f>"1552378061020216"</f>
        <v>1552378061020216</v>
      </c>
      <c r="C4870" t="s">
        <v>40</v>
      </c>
      <c r="D4870">
        <v>5.746251</v>
      </c>
      <c r="E4870">
        <v>0.49802560000000001</v>
      </c>
      <c r="F4870" t="s">
        <v>89</v>
      </c>
      <c r="G4870">
        <v>-302.5335</v>
      </c>
      <c r="H4870" s="1">
        <v>-8.6045060000000001E-6</v>
      </c>
      <c r="I4870">
        <v>140.23560000000001</v>
      </c>
      <c r="J4870">
        <v>-231.79990000000001</v>
      </c>
      <c r="K4870">
        <v>1.108708</v>
      </c>
      <c r="L4870">
        <v>142.14060000000001</v>
      </c>
      <c r="M4870">
        <v>-0.9992316</v>
      </c>
      <c r="N4870">
        <v>0</v>
      </c>
      <c r="O4870">
        <v>-3.8374329999999998E-2</v>
      </c>
      <c r="P4870">
        <v>-0.99978350000000005</v>
      </c>
      <c r="Q4870">
        <v>-1.2294589999999999E-2</v>
      </c>
      <c r="R4870">
        <v>-1.679756E-2</v>
      </c>
      <c r="S4870">
        <v>-2.9986109999999999</v>
      </c>
      <c r="T4870">
        <v>-4.6711210000000003E-2</v>
      </c>
      <c r="U4870">
        <v>-8.0932619999999997E-2</v>
      </c>
      <c r="V4870">
        <v>2.1577780000000001E-2</v>
      </c>
      <c r="W4870">
        <v>-4.3435519999999997E-3</v>
      </c>
      <c r="X4870">
        <v>0.99975780000000003</v>
      </c>
      <c r="Y4870">
        <v>1.1395219999999999E-2</v>
      </c>
      <c r="Z4870">
        <v>6.8620050000000004E-4</v>
      </c>
      <c r="AA4870">
        <v>0.99993489999999996</v>
      </c>
      <c r="AB4870">
        <v>22</v>
      </c>
      <c r="AC4870">
        <v>-70.733599999999996</v>
      </c>
      <c r="AD4870">
        <v>-1.108716604506</v>
      </c>
      <c r="AE4870">
        <v>-1.905</v>
      </c>
      <c r="AF4870">
        <v>0.81064508000131597</v>
      </c>
      <c r="AG4870">
        <v>-1.108716604506</v>
      </c>
      <c r="AH4870">
        <v>70.737235234299106</v>
      </c>
      <c r="AI4870">
        <v>90.897906325842797</v>
      </c>
      <c r="AJ4870">
        <v>89.343422053573605</v>
      </c>
      <c r="AK4870">
        <v>70.750567817844498</v>
      </c>
      <c r="AL4870">
        <v>90.248867964601303</v>
      </c>
      <c r="AM4870">
        <v>88.763576728807394</v>
      </c>
      <c r="AN4870">
        <v>1.0000000628472701</v>
      </c>
    </row>
    <row r="4871" spans="1:40" x14ac:dyDescent="0.25">
      <c r="A4871" t="str">
        <f>"20190312160741047"</f>
        <v>20190312160741047</v>
      </c>
      <c r="B4871" t="str">
        <f>"1552378061040712"</f>
        <v>1552378061040712</v>
      </c>
      <c r="C4871" t="s">
        <v>40</v>
      </c>
      <c r="D4871">
        <v>6.0176040000000004</v>
      </c>
      <c r="E4871">
        <v>0.49786000000000002</v>
      </c>
      <c r="F4871" t="s">
        <v>89</v>
      </c>
      <c r="G4871">
        <v>-293.86419999999998</v>
      </c>
      <c r="H4871" s="1">
        <v>-8.8939999999999999E-6</v>
      </c>
      <c r="I4871">
        <v>140.78559999999999</v>
      </c>
      <c r="J4871">
        <v>-232.0273</v>
      </c>
      <c r="K4871">
        <v>1.1086750000000001</v>
      </c>
      <c r="L4871">
        <v>142.1327</v>
      </c>
      <c r="M4871">
        <v>-0.99925810000000004</v>
      </c>
      <c r="N4871">
        <v>0</v>
      </c>
      <c r="O4871">
        <v>-3.7680039999999998E-2</v>
      </c>
      <c r="P4871">
        <v>-0.99981379999999997</v>
      </c>
      <c r="Q4871">
        <v>-1.127299E-2</v>
      </c>
      <c r="R4871">
        <v>-1.5669499999999999E-2</v>
      </c>
      <c r="S4871">
        <v>-2.9988860000000002</v>
      </c>
      <c r="T4871">
        <v>-5.3572179999999997E-2</v>
      </c>
      <c r="U4871">
        <v>-6.5475459999999999E-2</v>
      </c>
      <c r="V4871">
        <v>2.2012420000000001E-2</v>
      </c>
      <c r="W4871">
        <v>-3.3215139999999998E-3</v>
      </c>
      <c r="X4871">
        <v>0.99975219999999998</v>
      </c>
      <c r="Y4871">
        <v>1.5851170000000001E-2</v>
      </c>
      <c r="Z4871">
        <v>8.1437070000000005E-4</v>
      </c>
      <c r="AA4871">
        <v>0.99987409999999999</v>
      </c>
      <c r="AB4871">
        <v>22</v>
      </c>
      <c r="AC4871">
        <v>-61.836899999999901</v>
      </c>
      <c r="AD4871">
        <v>-1.1086838939999999</v>
      </c>
      <c r="AE4871">
        <v>-1.34710000000001</v>
      </c>
      <c r="AF4871">
        <v>0.98363145899506299</v>
      </c>
      <c r="AG4871">
        <v>-1.1086838939999999</v>
      </c>
      <c r="AH4871">
        <v>61.823880285269901</v>
      </c>
      <c r="AI4871">
        <v>91.027241636770498</v>
      </c>
      <c r="AJ4871">
        <v>89.088488521435906</v>
      </c>
      <c r="AK4871">
        <v>61.8416436097176</v>
      </c>
      <c r="AL4871">
        <v>90.190309079870801</v>
      </c>
      <c r="AM4871">
        <v>88.738672428326893</v>
      </c>
      <c r="AN4871">
        <v>1.0000000202471699</v>
      </c>
    </row>
    <row r="4872" spans="1:40" x14ac:dyDescent="0.25">
      <c r="A4872" t="str">
        <f>"20190312160741069"</f>
        <v>20190312160741069</v>
      </c>
      <c r="B4872" t="str">
        <f>"1552378061060232"</f>
        <v>1552378061060232</v>
      </c>
      <c r="C4872" t="s">
        <v>40</v>
      </c>
      <c r="D4872">
        <v>5.7545129999999904</v>
      </c>
      <c r="E4872">
        <v>0.4975811</v>
      </c>
      <c r="F4872" t="s">
        <v>89</v>
      </c>
      <c r="G4872">
        <v>-290.77789999999999</v>
      </c>
      <c r="H4872" s="1">
        <v>-9.1986179999999996E-6</v>
      </c>
      <c r="I4872">
        <v>140.89510000000001</v>
      </c>
      <c r="J4872">
        <v>-232.24449999999999</v>
      </c>
      <c r="K4872">
        <v>1.1086450000000001</v>
      </c>
      <c r="L4872">
        <v>142.12530000000001</v>
      </c>
      <c r="M4872">
        <v>-0.99928470000000003</v>
      </c>
      <c r="N4872">
        <v>0</v>
      </c>
      <c r="O4872">
        <v>-3.6963469999999998E-2</v>
      </c>
      <c r="P4872">
        <v>-0.99983759999999999</v>
      </c>
      <c r="Q4872">
        <v>-1.1218240000000001E-2</v>
      </c>
      <c r="R4872">
        <v>-1.410263E-2</v>
      </c>
      <c r="S4872">
        <v>-2.9989319999999999</v>
      </c>
      <c r="T4872">
        <v>-5.6592940000000001E-2</v>
      </c>
      <c r="U4872">
        <v>-6.3171389999999994E-2</v>
      </c>
      <c r="V4872">
        <v>2.2861989999999999E-2</v>
      </c>
      <c r="W4872">
        <v>-3.26589E-3</v>
      </c>
      <c r="X4872">
        <v>0.99973330000000005</v>
      </c>
      <c r="Y4872">
        <v>1.5901479999999999E-2</v>
      </c>
      <c r="Z4872">
        <v>8.4724339999999896E-4</v>
      </c>
      <c r="AA4872">
        <v>0.99987320000000002</v>
      </c>
      <c r="AB4872">
        <v>22</v>
      </c>
      <c r="AC4872">
        <v>-58.5334</v>
      </c>
      <c r="AD4872">
        <v>-1.1086541986180001</v>
      </c>
      <c r="AE4872">
        <v>-1.23019999999999</v>
      </c>
      <c r="AF4872">
        <v>0.93397242815558001</v>
      </c>
      <c r="AG4872">
        <v>-1.1086541986180001</v>
      </c>
      <c r="AH4872">
        <v>58.517886978559197</v>
      </c>
      <c r="AI4872">
        <v>91.085232658333794</v>
      </c>
      <c r="AJ4872">
        <v>89.085610607318202</v>
      </c>
      <c r="AK4872">
        <v>58.535839577681699</v>
      </c>
      <c r="AL4872">
        <v>90.187122045271394</v>
      </c>
      <c r="AM4872">
        <v>88.689983345071099</v>
      </c>
      <c r="AN4872">
        <v>1.00000000387657</v>
      </c>
    </row>
    <row r="4873" spans="1:40" x14ac:dyDescent="0.25">
      <c r="A4873" t="str">
        <f>"20190312160741091"</f>
        <v>20190312160741091</v>
      </c>
      <c r="B4873" t="str">
        <f>"1552378061080727"</f>
        <v>1552378061080727</v>
      </c>
      <c r="C4873" t="s">
        <v>40</v>
      </c>
      <c r="D4873">
        <v>5.7532839999999998</v>
      </c>
      <c r="E4873">
        <v>0.49735020000000002</v>
      </c>
      <c r="F4873" t="s">
        <v>89</v>
      </c>
      <c r="G4873">
        <v>-292.97649999999999</v>
      </c>
      <c r="H4873" s="1">
        <v>-9.0006300000000003E-6</v>
      </c>
      <c r="I4873">
        <v>140.89420000000001</v>
      </c>
      <c r="J4873">
        <v>-232.46129999999999</v>
      </c>
      <c r="K4873">
        <v>1.108611</v>
      </c>
      <c r="L4873">
        <v>142.1181</v>
      </c>
      <c r="M4873">
        <v>-0.9993128</v>
      </c>
      <c r="N4873">
        <v>0</v>
      </c>
      <c r="O4873">
        <v>-3.6198370000000001E-2</v>
      </c>
      <c r="P4873">
        <v>-0.99985800000000002</v>
      </c>
      <c r="Q4873">
        <v>-1.1343809999999999E-2</v>
      </c>
      <c r="R4873">
        <v>-1.245693E-2</v>
      </c>
      <c r="S4873">
        <v>-2.9990230000000002</v>
      </c>
      <c r="T4873">
        <v>-5.4746749999999997E-2</v>
      </c>
      <c r="U4873">
        <v>-6.0791020000000001E-2</v>
      </c>
      <c r="V4873">
        <v>2.3741459999999999E-2</v>
      </c>
      <c r="W4873">
        <v>-3.389698E-3</v>
      </c>
      <c r="X4873">
        <v>0.99971239999999995</v>
      </c>
      <c r="Y4873">
        <v>1.5930590000000001E-2</v>
      </c>
      <c r="Z4873">
        <v>8.0590369999999998E-4</v>
      </c>
      <c r="AA4873">
        <v>0.99987280000000001</v>
      </c>
      <c r="AB4873">
        <v>22</v>
      </c>
      <c r="AC4873">
        <v>-60.515199999999901</v>
      </c>
      <c r="AD4873">
        <v>-1.10862000063</v>
      </c>
      <c r="AE4873">
        <v>-1.22389999999998</v>
      </c>
      <c r="AF4873">
        <v>0.96719896472243805</v>
      </c>
      <c r="AG4873">
        <v>-1.10862000063</v>
      </c>
      <c r="AH4873">
        <v>60.499545851015903</v>
      </c>
      <c r="AI4873">
        <v>91.049661203260101</v>
      </c>
      <c r="AJ4873">
        <v>89.084097286070502</v>
      </c>
      <c r="AK4873">
        <v>60.5174318715057</v>
      </c>
      <c r="AL4873">
        <v>90.194215758266907</v>
      </c>
      <c r="AM4873">
        <v>88.639578924097293</v>
      </c>
      <c r="AN4873">
        <v>1.00000001484461</v>
      </c>
    </row>
    <row r="4874" spans="1:40" x14ac:dyDescent="0.25">
      <c r="A4874" t="str">
        <f>"20190312160741112"</f>
        <v>20190312160741112</v>
      </c>
      <c r="B4874" t="str">
        <f>"1552378061110008"</f>
        <v>1552378061110008</v>
      </c>
      <c r="C4874" t="s">
        <v>40</v>
      </c>
      <c r="D4874">
        <v>5.7125620000000001</v>
      </c>
      <c r="E4874">
        <v>0.49747829999999899</v>
      </c>
      <c r="F4874" t="s">
        <v>89</v>
      </c>
      <c r="G4874">
        <v>-292.93650000000002</v>
      </c>
      <c r="H4874" s="1">
        <v>-9.0202689999999992E-6</v>
      </c>
      <c r="I4874">
        <v>140.9554</v>
      </c>
      <c r="J4874">
        <v>-232.68119999999999</v>
      </c>
      <c r="K4874">
        <v>1.1085719999999999</v>
      </c>
      <c r="L4874">
        <v>142.11099999999999</v>
      </c>
      <c r="M4874">
        <v>-0.99934230000000002</v>
      </c>
      <c r="N4874">
        <v>0</v>
      </c>
      <c r="O4874">
        <v>-3.5375219999999999E-2</v>
      </c>
      <c r="P4874">
        <v>-0.99987789999999999</v>
      </c>
      <c r="Q4874">
        <v>-1.1031559999999999E-2</v>
      </c>
      <c r="R4874">
        <v>-1.109015E-2</v>
      </c>
      <c r="S4874">
        <v>-2.9990839999999999</v>
      </c>
      <c r="T4874">
        <v>-5.4978730000000003E-2</v>
      </c>
      <c r="U4874">
        <v>-5.7662959999999999E-2</v>
      </c>
      <c r="V4874">
        <v>2.4284839999999999E-2</v>
      </c>
      <c r="W4874">
        <v>-3.0743620000000002E-3</v>
      </c>
      <c r="X4874">
        <v>0.99970040000000004</v>
      </c>
      <c r="Y4874">
        <v>1.614989E-2</v>
      </c>
      <c r="Z4874">
        <v>7.9624479999999896E-4</v>
      </c>
      <c r="AA4874">
        <v>0.99986929999999996</v>
      </c>
      <c r="AB4874">
        <v>22</v>
      </c>
      <c r="AC4874">
        <v>-60.255299999999998</v>
      </c>
      <c r="AD4874">
        <v>-1.1085810202690001</v>
      </c>
      <c r="AE4874">
        <v>-1.15559999999999</v>
      </c>
      <c r="AF4874">
        <v>0.97640519278526205</v>
      </c>
      <c r="AG4874">
        <v>-1.1085810202690001</v>
      </c>
      <c r="AH4874">
        <v>60.2380823526996</v>
      </c>
      <c r="AI4874">
        <v>91.054175405094597</v>
      </c>
      <c r="AJ4874">
        <v>89.071368214990201</v>
      </c>
      <c r="AK4874">
        <v>60.256193743959798</v>
      </c>
      <c r="AL4874">
        <v>90.176148236419905</v>
      </c>
      <c r="AM4874">
        <v>88.608437848292795</v>
      </c>
      <c r="AN4874">
        <v>1.0000000474578401</v>
      </c>
    </row>
    <row r="4875" spans="1:40" x14ac:dyDescent="0.25">
      <c r="A4875" t="str">
        <f>"20190312160741134"</f>
        <v>20190312160741134</v>
      </c>
      <c r="B4875" t="str">
        <f>"1552378061130503"</f>
        <v>1552378061130503</v>
      </c>
      <c r="C4875" t="s">
        <v>40</v>
      </c>
      <c r="D4875">
        <v>5.6619699999999904</v>
      </c>
      <c r="E4875">
        <v>0.49765490000000001</v>
      </c>
      <c r="F4875" t="s">
        <v>89</v>
      </c>
      <c r="G4875">
        <v>-284.51139999999998</v>
      </c>
      <c r="H4875" s="1">
        <v>-6.1333389999999901E-6</v>
      </c>
      <c r="I4875">
        <v>141.20840000000001</v>
      </c>
      <c r="J4875">
        <v>-232.8938</v>
      </c>
      <c r="K4875">
        <v>1.108536</v>
      </c>
      <c r="L4875">
        <v>142.1044</v>
      </c>
      <c r="M4875">
        <v>-0.99937129999999996</v>
      </c>
      <c r="N4875">
        <v>0</v>
      </c>
      <c r="O4875">
        <v>-3.453647E-2</v>
      </c>
      <c r="P4875">
        <v>-0.9998901</v>
      </c>
      <c r="Q4875">
        <v>-1.0839649999999999E-2</v>
      </c>
      <c r="R4875">
        <v>-1.0100909999999999E-2</v>
      </c>
      <c r="S4875">
        <v>-2.9990999999999999</v>
      </c>
      <c r="T4875">
        <v>-6.4146759999999997E-2</v>
      </c>
      <c r="U4875">
        <v>-5.2230829999999999E-2</v>
      </c>
      <c r="V4875">
        <v>2.4434939999999999E-2</v>
      </c>
      <c r="W4875">
        <v>-2.8780530000000002E-3</v>
      </c>
      <c r="X4875">
        <v>0.99969730000000001</v>
      </c>
      <c r="Y4875">
        <v>1.7118060000000001E-2</v>
      </c>
      <c r="Z4875">
        <v>9.2143819999999997E-4</v>
      </c>
      <c r="AA4875">
        <v>0.99985310000000005</v>
      </c>
      <c r="AB4875">
        <v>22</v>
      </c>
      <c r="AC4875">
        <v>-51.617599999999896</v>
      </c>
      <c r="AD4875">
        <v>-1.108542133339</v>
      </c>
      <c r="AE4875">
        <v>-0.89599999999998603</v>
      </c>
      <c r="AF4875">
        <v>0.88687258688640702</v>
      </c>
      <c r="AG4875">
        <v>-1.108542133339</v>
      </c>
      <c r="AH4875">
        <v>51.593961567514</v>
      </c>
      <c r="AI4875">
        <v>91.230679628157901</v>
      </c>
      <c r="AJ4875">
        <v>89.015213200710903</v>
      </c>
      <c r="AK4875">
        <v>51.613489311195302</v>
      </c>
      <c r="AL4875">
        <v>90.164900514376299</v>
      </c>
      <c r="AM4875">
        <v>88.599835939254106</v>
      </c>
      <c r="AN4875">
        <v>1.00000002055458</v>
      </c>
    </row>
    <row r="4876" spans="1:40" x14ac:dyDescent="0.25">
      <c r="A4876" t="str">
        <f>"20190312160741547"</f>
        <v>20190312160741547</v>
      </c>
      <c r="B4876" t="str">
        <f>"1552378061540088"</f>
        <v>1552378061540088</v>
      </c>
      <c r="C4876" t="s">
        <v>40</v>
      </c>
      <c r="D4876">
        <v>5.9293199999999997</v>
      </c>
      <c r="E4876">
        <v>0.50357529999999995</v>
      </c>
      <c r="F4876" t="s">
        <v>89</v>
      </c>
      <c r="G4876">
        <v>-280.5659</v>
      </c>
      <c r="H4876" s="1">
        <v>-4.4288340000000004E-6</v>
      </c>
      <c r="I4876">
        <v>141.34790000000001</v>
      </c>
      <c r="J4876">
        <v>-237.16849999999999</v>
      </c>
      <c r="K4876">
        <v>1.1083909999999999</v>
      </c>
      <c r="L4876">
        <v>142.0164</v>
      </c>
      <c r="M4876">
        <v>-0.99984649999999997</v>
      </c>
      <c r="N4876">
        <v>0</v>
      </c>
      <c r="O4876">
        <v>-1.5575189999999999E-2</v>
      </c>
      <c r="P4876">
        <v>-0.99978270000000002</v>
      </c>
      <c r="Q4876">
        <v>-1.3129729999999999E-2</v>
      </c>
      <c r="R4876">
        <v>1.6196909999999998E-2</v>
      </c>
      <c r="S4876">
        <v>-2.9990839999999999</v>
      </c>
      <c r="T4876">
        <v>-6.9738980000000006E-2</v>
      </c>
      <c r="U4876">
        <v>-4.7592160000000001E-2</v>
      </c>
      <c r="V4876">
        <v>3.1758759999999997E-2</v>
      </c>
      <c r="W4876">
        <v>-5.1562450000000003E-3</v>
      </c>
      <c r="X4876">
        <v>0.99948230000000005</v>
      </c>
      <c r="Y4876">
        <v>-2.9537740000000002E-4</v>
      </c>
      <c r="Z4876">
        <v>3.586606E-4</v>
      </c>
      <c r="AA4876">
        <v>0.99999990000000005</v>
      </c>
      <c r="AB4876">
        <v>24</v>
      </c>
      <c r="AC4876">
        <v>-43.397399999999998</v>
      </c>
      <c r="AD4876">
        <v>-1.1083954288340001</v>
      </c>
      <c r="AE4876">
        <v>-0.66849999999999399</v>
      </c>
      <c r="AF4876">
        <v>7.5207027903482198E-3</v>
      </c>
      <c r="AG4876">
        <v>-1.1083954288340001</v>
      </c>
      <c r="AH4876">
        <v>43.374260606364501</v>
      </c>
      <c r="AI4876">
        <v>91.463830393154794</v>
      </c>
      <c r="AJ4876">
        <v>89.990065432389699</v>
      </c>
      <c r="AK4876">
        <v>43.388421037604601</v>
      </c>
      <c r="AL4876">
        <v>90.295432374859999</v>
      </c>
      <c r="AM4876">
        <v>88.180026927938798</v>
      </c>
      <c r="AN4876">
        <v>1.00000003685626</v>
      </c>
    </row>
    <row r="4877" spans="1:40" x14ac:dyDescent="0.25">
      <c r="A4877" t="str">
        <f>"20190312160741571"</f>
        <v>20190312160741571</v>
      </c>
      <c r="B4877" t="str">
        <f>"1552378061560584"</f>
        <v>1552378061560584</v>
      </c>
      <c r="C4877" t="s">
        <v>40</v>
      </c>
      <c r="D4877">
        <v>6.034357</v>
      </c>
      <c r="E4877">
        <v>0.51653209999999905</v>
      </c>
      <c r="F4877" t="s">
        <v>44</v>
      </c>
      <c r="G4877">
        <v>-237.9051</v>
      </c>
      <c r="H4877">
        <v>0.9211395</v>
      </c>
      <c r="I4877">
        <v>142.04159999999999</v>
      </c>
      <c r="J4877">
        <v>-237.41560000000001</v>
      </c>
      <c r="K4877">
        <v>1.108387</v>
      </c>
      <c r="L4877">
        <v>142.0137</v>
      </c>
      <c r="M4877">
        <v>-0.99986299999999995</v>
      </c>
      <c r="N4877">
        <v>0</v>
      </c>
      <c r="O4877">
        <v>-1.447976E-2</v>
      </c>
      <c r="P4877">
        <v>-0.99977819999999995</v>
      </c>
      <c r="Q4877">
        <v>-1.1989110000000001E-2</v>
      </c>
      <c r="R4877">
        <v>1.732127E-2</v>
      </c>
      <c r="S4877">
        <v>-2.988998</v>
      </c>
      <c r="T4877">
        <v>-0.75980639999999999</v>
      </c>
      <c r="U4877">
        <v>0.1021881</v>
      </c>
      <c r="V4877">
        <v>3.178976E-2</v>
      </c>
      <c r="W4877">
        <v>-4.0145739999999999E-3</v>
      </c>
      <c r="X4877">
        <v>0.99948650000000006</v>
      </c>
      <c r="Y4877">
        <v>4.6692820000000003E-2</v>
      </c>
      <c r="Z4877">
        <v>9.462547E-3</v>
      </c>
      <c r="AA4877">
        <v>0.99886450000000004</v>
      </c>
      <c r="AB4877">
        <v>24</v>
      </c>
      <c r="AC4877">
        <v>-0.489499999999992</v>
      </c>
      <c r="AD4877">
        <v>-0.18724749999999901</v>
      </c>
      <c r="AE4877">
        <v>2.7899999999988202E-2</v>
      </c>
      <c r="AF4877">
        <v>3.05319421448236E-2</v>
      </c>
      <c r="AG4877">
        <v>-0.18724749999999901</v>
      </c>
      <c r="AH4877">
        <v>0.42679496559383101</v>
      </c>
      <c r="AI4877">
        <v>113.634718561116</v>
      </c>
      <c r="AJ4877">
        <v>85.908160806816198</v>
      </c>
      <c r="AK4877">
        <v>0.46706291696475299</v>
      </c>
      <c r="AL4877">
        <v>90.230018768134599</v>
      </c>
      <c r="AM4877">
        <v>88.178259283092203</v>
      </c>
      <c r="AN4877">
        <v>0.99999998466375395</v>
      </c>
    </row>
    <row r="4878" spans="1:40" x14ac:dyDescent="0.25">
      <c r="A4878" t="str">
        <f>"20190312160741593"</f>
        <v>20190312160741593</v>
      </c>
      <c r="B4878" t="str">
        <f>"1552378061589865"</f>
        <v>1552378061589865</v>
      </c>
      <c r="C4878" t="s">
        <v>40</v>
      </c>
      <c r="D4878">
        <v>5.9978759999999998</v>
      </c>
      <c r="E4878">
        <v>0.52258009999999999</v>
      </c>
      <c r="F4878" t="s">
        <v>44</v>
      </c>
      <c r="G4878">
        <v>-238.1386</v>
      </c>
      <c r="H4878">
        <v>0.96488189999999996</v>
      </c>
      <c r="I4878">
        <v>142.06299999999999</v>
      </c>
      <c r="J4878">
        <v>-237.65049999999999</v>
      </c>
      <c r="K4878">
        <v>1.108387</v>
      </c>
      <c r="L4878">
        <v>142.01150000000001</v>
      </c>
      <c r="M4878">
        <v>-0.99987760000000003</v>
      </c>
      <c r="N4878">
        <v>0</v>
      </c>
      <c r="O4878">
        <v>-1.343858E-2</v>
      </c>
      <c r="P4878">
        <v>-0.99977169999999904</v>
      </c>
      <c r="Q4878">
        <v>-1.1222269999999999E-2</v>
      </c>
      <c r="R4878">
        <v>1.8197459999999999E-2</v>
      </c>
      <c r="S4878">
        <v>-2.990021</v>
      </c>
      <c r="T4878">
        <v>-0.59346529999999997</v>
      </c>
      <c r="U4878">
        <v>0.20356750000000001</v>
      </c>
      <c r="V4878">
        <v>3.1626439999999999E-2</v>
      </c>
      <c r="W4878">
        <v>-3.244809E-3</v>
      </c>
      <c r="X4878">
        <v>0.99949449999999995</v>
      </c>
      <c r="Y4878">
        <v>7.9521380000000003E-2</v>
      </c>
      <c r="Z4878">
        <v>1.0445680000000001E-2</v>
      </c>
      <c r="AA4878">
        <v>0.99677839999999995</v>
      </c>
      <c r="AB4878">
        <v>24</v>
      </c>
      <c r="AC4878">
        <v>-0.48810000000000198</v>
      </c>
      <c r="AD4878">
        <v>-0.1435051</v>
      </c>
      <c r="AE4878">
        <v>5.1499999999975898E-2</v>
      </c>
      <c r="AF4878">
        <v>5.3482756837364698E-2</v>
      </c>
      <c r="AG4878">
        <v>-0.1435051</v>
      </c>
      <c r="AH4878">
        <v>0.44898099045963602</v>
      </c>
      <c r="AI4878">
        <v>107.608406313316</v>
      </c>
      <c r="AJ4878">
        <v>83.206918516699702</v>
      </c>
      <c r="AK4878">
        <v>0.474381754285566</v>
      </c>
      <c r="AL4878">
        <v>90.185914185779296</v>
      </c>
      <c r="AM4878">
        <v>88.187626720965497</v>
      </c>
      <c r="AN4878">
        <v>1.00000000801138</v>
      </c>
    </row>
    <row r="4879" spans="1:40" x14ac:dyDescent="0.25">
      <c r="A4879" t="str">
        <f>"20190312160741616"</f>
        <v>20190312160741616</v>
      </c>
      <c r="B4879" t="str">
        <f>"1552378061609894"</f>
        <v>1552378061609894</v>
      </c>
      <c r="C4879" t="s">
        <v>40</v>
      </c>
      <c r="D4879">
        <v>5.8136539999999997</v>
      </c>
      <c r="E4879">
        <v>0.51925770000000004</v>
      </c>
      <c r="F4879" t="s">
        <v>81</v>
      </c>
      <c r="G4879">
        <v>-510.17599999999999</v>
      </c>
      <c r="H4879">
        <v>6.6799429999999997</v>
      </c>
      <c r="I4879">
        <v>163.04230000000001</v>
      </c>
      <c r="J4879">
        <v>-237.898</v>
      </c>
      <c r="K4879">
        <v>1.1083829999999999</v>
      </c>
      <c r="L4879">
        <v>142.0094</v>
      </c>
      <c r="M4879">
        <v>-0.99989150000000004</v>
      </c>
      <c r="N4879">
        <v>0</v>
      </c>
      <c r="O4879">
        <v>-1.234174E-2</v>
      </c>
      <c r="P4879">
        <v>-0.99976659999999995</v>
      </c>
      <c r="Q4879">
        <v>-1.051731E-2</v>
      </c>
      <c r="R4879">
        <v>1.887585E-2</v>
      </c>
      <c r="S4879">
        <v>-2.9971770000000002</v>
      </c>
      <c r="T4879">
        <v>6.1275240000000002E-2</v>
      </c>
      <c r="U4879">
        <v>0.23129269999999999</v>
      </c>
      <c r="V4879">
        <v>3.1209489999999999E-2</v>
      </c>
      <c r="W4879">
        <v>-2.5348039999999999E-3</v>
      </c>
      <c r="X4879">
        <v>0.9995096</v>
      </c>
      <c r="Y4879">
        <v>8.9220019999999997E-2</v>
      </c>
      <c r="Z4879">
        <v>-1.1625239999999901E-3</v>
      </c>
      <c r="AA4879">
        <v>0.99601130000000004</v>
      </c>
      <c r="AB4879">
        <v>24</v>
      </c>
      <c r="AC4879">
        <v>-272.27800000000002</v>
      </c>
      <c r="AD4879">
        <v>5.5715599999999998</v>
      </c>
      <c r="AE4879">
        <v>21.032900000000001</v>
      </c>
      <c r="AF4879">
        <v>24.3816422963578</v>
      </c>
      <c r="AG4879">
        <v>5.5715599999999998</v>
      </c>
      <c r="AH4879">
        <v>271.8845009657</v>
      </c>
      <c r="AI4879">
        <v>88.830728372943099</v>
      </c>
      <c r="AJ4879">
        <v>84.875623933247198</v>
      </c>
      <c r="AK4879">
        <v>273.03239483121598</v>
      </c>
      <c r="AL4879">
        <v>90.145233734027499</v>
      </c>
      <c r="AM4879">
        <v>88.2115316865968</v>
      </c>
      <c r="AN4879">
        <v>0.99999994899476796</v>
      </c>
    </row>
    <row r="4880" spans="1:40" x14ac:dyDescent="0.25">
      <c r="A4880" t="str">
        <f>"20190312160741640"</f>
        <v>20190312160741640</v>
      </c>
      <c r="B4880" t="str">
        <f>"1552378061630389"</f>
        <v>1552378061630389</v>
      </c>
      <c r="C4880" t="s">
        <v>40</v>
      </c>
      <c r="D4880">
        <v>6.2325179999999998</v>
      </c>
      <c r="E4880">
        <v>0.52252759999999998</v>
      </c>
      <c r="F4880" t="s">
        <v>81</v>
      </c>
      <c r="G4880">
        <v>-511.92840000000001</v>
      </c>
      <c r="H4880">
        <v>9.6917980000000004</v>
      </c>
      <c r="I4880">
        <v>160.8116</v>
      </c>
      <c r="J4880">
        <v>-238.14699999999999</v>
      </c>
      <c r="K4880">
        <v>1.108379</v>
      </c>
      <c r="L4880">
        <v>142.0076</v>
      </c>
      <c r="M4880">
        <v>-0.99990460000000003</v>
      </c>
      <c r="N4880">
        <v>0</v>
      </c>
      <c r="O4880">
        <v>-1.123882E-2</v>
      </c>
      <c r="P4880">
        <v>-0.9997743</v>
      </c>
      <c r="Q4880">
        <v>-9.7014079999999999E-3</v>
      </c>
      <c r="R4880">
        <v>1.8907489999999999E-2</v>
      </c>
      <c r="S4880">
        <v>-2.9977870000000002</v>
      </c>
      <c r="T4880">
        <v>9.3899730000000001E-2</v>
      </c>
      <c r="U4880">
        <v>0.2056885</v>
      </c>
      <c r="V4880">
        <v>3.0140070000000001E-2</v>
      </c>
      <c r="W4880">
        <v>-1.7112679999999999E-3</v>
      </c>
      <c r="X4880">
        <v>0.99954419999999999</v>
      </c>
      <c r="Y4880">
        <v>7.9616629999999994E-2</v>
      </c>
      <c r="Z4880">
        <v>-1.5967220000000001E-3</v>
      </c>
      <c r="AA4880">
        <v>0.9968243</v>
      </c>
      <c r="AB4880">
        <v>24</v>
      </c>
      <c r="AC4880">
        <v>-273.78140000000002</v>
      </c>
      <c r="AD4880">
        <v>8.5834189999999992</v>
      </c>
      <c r="AE4880">
        <v>18.803999999999998</v>
      </c>
      <c r="AF4880">
        <v>21.858507368473798</v>
      </c>
      <c r="AG4880">
        <v>8.5834189999999992</v>
      </c>
      <c r="AH4880">
        <v>273.285412782744</v>
      </c>
      <c r="AI4880">
        <v>88.206753930426402</v>
      </c>
      <c r="AJ4880">
        <v>85.426979871021203</v>
      </c>
      <c r="AK4880">
        <v>274.29251952239298</v>
      </c>
      <c r="AL4880">
        <v>90.098048483830993</v>
      </c>
      <c r="AM4880">
        <v>88.272837064239297</v>
      </c>
      <c r="AN4880">
        <v>0.999999980005706</v>
      </c>
    </row>
    <row r="4881" spans="1:40" x14ac:dyDescent="0.25">
      <c r="A4881" t="str">
        <f>"20190312160741727"</f>
        <v>20190312160741727</v>
      </c>
      <c r="B4881" t="str">
        <f>"1552378061720629"</f>
        <v>1552378061720629</v>
      </c>
      <c r="C4881" t="s">
        <v>40</v>
      </c>
      <c r="D4881">
        <v>6.0302429999999996</v>
      </c>
      <c r="E4881">
        <v>0.56303639999999999</v>
      </c>
      <c r="F4881" t="s">
        <v>81</v>
      </c>
      <c r="G4881">
        <v>-511.92790000000002</v>
      </c>
      <c r="H4881">
        <v>8.0210179999999998</v>
      </c>
      <c r="I4881">
        <v>163.2509</v>
      </c>
      <c r="J4881">
        <v>-239.09700000000001</v>
      </c>
      <c r="K4881">
        <v>1.108376</v>
      </c>
      <c r="L4881">
        <v>142.00299999999999</v>
      </c>
      <c r="M4881">
        <v>-0.99994269999999996</v>
      </c>
      <c r="N4881">
        <v>0</v>
      </c>
      <c r="O4881">
        <v>-7.0342369999999996E-3</v>
      </c>
      <c r="P4881">
        <v>-0.99975480000000005</v>
      </c>
      <c r="Q4881">
        <v>-8.5717940000000006E-3</v>
      </c>
      <c r="R4881">
        <v>2.0425059999999998E-2</v>
      </c>
      <c r="S4881">
        <v>-2.9969939999999999</v>
      </c>
      <c r="T4881">
        <v>7.5670959999999995E-2</v>
      </c>
      <c r="U4881">
        <v>0.2325439</v>
      </c>
      <c r="V4881">
        <v>2.745649E-2</v>
      </c>
      <c r="W4881">
        <v>-5.4625530000000004E-4</v>
      </c>
      <c r="X4881">
        <v>0.99962280000000003</v>
      </c>
      <c r="Y4881">
        <v>8.4342379999999995E-2</v>
      </c>
      <c r="Z4881">
        <v>-1.2403410000000001E-3</v>
      </c>
      <c r="AA4881">
        <v>0.99643610000000005</v>
      </c>
      <c r="AB4881">
        <v>24</v>
      </c>
      <c r="AC4881">
        <v>-272.83089999999999</v>
      </c>
      <c r="AD4881">
        <v>6.912642</v>
      </c>
      <c r="AE4881">
        <v>21.247900000000001</v>
      </c>
      <c r="AF4881">
        <v>23.151821273694299</v>
      </c>
      <c r="AG4881">
        <v>6.912642</v>
      </c>
      <c r="AH4881">
        <v>272.50080472451998</v>
      </c>
      <c r="AI4881">
        <v>88.552079750268206</v>
      </c>
      <c r="AJ4881">
        <v>85.143780560999204</v>
      </c>
      <c r="AK4881">
        <v>273.56988142560601</v>
      </c>
      <c r="AL4881">
        <v>90.031298126355594</v>
      </c>
      <c r="AM4881">
        <v>88.426660967436405</v>
      </c>
      <c r="AN4881">
        <v>0.99999994975890505</v>
      </c>
    </row>
    <row r="4882" spans="1:40" x14ac:dyDescent="0.25">
      <c r="A4882" t="str">
        <f>"20190312160741748"</f>
        <v>20190312160741748</v>
      </c>
      <c r="B4882" t="str">
        <f>"1552378061740149"</f>
        <v>1552378061740149</v>
      </c>
      <c r="C4882" t="s">
        <v>40</v>
      </c>
      <c r="D4882">
        <v>6.2958610000000004</v>
      </c>
      <c r="E4882">
        <v>0.55470719999999996</v>
      </c>
      <c r="F4882" t="s">
        <v>44</v>
      </c>
      <c r="G4882">
        <v>-239.7962</v>
      </c>
      <c r="H4882">
        <v>0.80088499999999996</v>
      </c>
      <c r="I4882">
        <v>142.14789999999999</v>
      </c>
      <c r="J4882">
        <v>-239.33969999999999</v>
      </c>
      <c r="K4882">
        <v>1.108371</v>
      </c>
      <c r="L4882">
        <v>142.0025</v>
      </c>
      <c r="M4882">
        <v>-0.99994959999999999</v>
      </c>
      <c r="N4882">
        <v>0</v>
      </c>
      <c r="O4882">
        <v>-5.9643630000000003E-3</v>
      </c>
      <c r="P4882">
        <v>-0.99974859999999999</v>
      </c>
      <c r="Q4882">
        <v>-7.2657709999999999E-3</v>
      </c>
      <c r="R4882">
        <v>2.1223740000000001E-2</v>
      </c>
      <c r="S4882">
        <v>-2.9769290000000002</v>
      </c>
      <c r="T4882">
        <v>-1.3090219999999999</v>
      </c>
      <c r="U4882">
        <v>0.61653139999999995</v>
      </c>
      <c r="V4882">
        <v>2.718798E-2</v>
      </c>
      <c r="W4882">
        <v>7.7039399999999998E-4</v>
      </c>
      <c r="X4882">
        <v>0.99963000000000002</v>
      </c>
      <c r="Y4882">
        <v>0.1911359</v>
      </c>
      <c r="Z4882">
        <v>4.2281520000000003E-2</v>
      </c>
      <c r="AA4882">
        <v>0.98065250000000004</v>
      </c>
      <c r="AB4882">
        <v>24</v>
      </c>
      <c r="AC4882">
        <v>-0.45650000000000501</v>
      </c>
      <c r="AD4882">
        <v>-0.30748599999999898</v>
      </c>
      <c r="AE4882">
        <v>0.14539999999999501</v>
      </c>
      <c r="AF4882">
        <v>0.104907529784296</v>
      </c>
      <c r="AG4882">
        <v>-0.30748599999999898</v>
      </c>
      <c r="AH4882">
        <v>0.32270037276728702</v>
      </c>
      <c r="AI4882">
        <v>132.181955465008</v>
      </c>
      <c r="AJ4882">
        <v>71.991035532466597</v>
      </c>
      <c r="AK4882">
        <v>0.45791785353443998</v>
      </c>
      <c r="AL4882">
        <v>89.955859669032293</v>
      </c>
      <c r="AM4882">
        <v>88.442050989241906</v>
      </c>
      <c r="AN4882">
        <v>0.99999995833169697</v>
      </c>
    </row>
    <row r="4883" spans="1:40" x14ac:dyDescent="0.25">
      <c r="A4883" t="str">
        <f>"20190312160741771"</f>
        <v>20190312160741771</v>
      </c>
      <c r="B4883" t="str">
        <f>"1552378061760648"</f>
        <v>1552378061760648</v>
      </c>
      <c r="C4883" t="s">
        <v>40</v>
      </c>
      <c r="D4883">
        <v>6.2820039999999997</v>
      </c>
      <c r="E4883">
        <v>0.55417119999999997</v>
      </c>
      <c r="F4883" t="s">
        <v>44</v>
      </c>
      <c r="G4883">
        <v>-240.1061</v>
      </c>
      <c r="H4883">
        <v>1.0110870000000001</v>
      </c>
      <c r="I4883">
        <v>142.13470000000001</v>
      </c>
      <c r="J4883">
        <v>-239.5772</v>
      </c>
      <c r="K4883">
        <v>1.1083780000000001</v>
      </c>
      <c r="L4883">
        <v>142.00219999999999</v>
      </c>
      <c r="M4883">
        <v>-0.99995509999999999</v>
      </c>
      <c r="N4883">
        <v>0</v>
      </c>
      <c r="O4883">
        <v>-4.9261050000000001E-3</v>
      </c>
      <c r="P4883">
        <v>-0.99972240000000001</v>
      </c>
      <c r="Q4883">
        <v>-6.7437869999999898E-3</v>
      </c>
      <c r="R4883">
        <v>2.258166E-2</v>
      </c>
      <c r="S4883">
        <v>-2.9870909999999999</v>
      </c>
      <c r="T4883">
        <v>-0.3791716</v>
      </c>
      <c r="U4883">
        <v>0.51470950000000004</v>
      </c>
      <c r="V4883">
        <v>2.7508700000000001E-2</v>
      </c>
      <c r="W4883">
        <v>1.30159E-3</v>
      </c>
      <c r="X4883">
        <v>0.99962070000000003</v>
      </c>
      <c r="Y4883">
        <v>0.17327229999999999</v>
      </c>
      <c r="Z4883">
        <v>1.1492570000000001E-2</v>
      </c>
      <c r="AA4883">
        <v>0.98480690000000004</v>
      </c>
      <c r="AB4883">
        <v>24</v>
      </c>
      <c r="AC4883">
        <v>-0.52889999999999304</v>
      </c>
      <c r="AD4883">
        <v>-9.7291000000000002E-2</v>
      </c>
      <c r="AE4883">
        <v>0.13250000000002099</v>
      </c>
      <c r="AF4883">
        <v>0.130935020980466</v>
      </c>
      <c r="AG4883">
        <v>-9.7291000000000002E-2</v>
      </c>
      <c r="AH4883">
        <v>0.51194103080485798</v>
      </c>
      <c r="AI4883">
        <v>100.43228322988701</v>
      </c>
      <c r="AJ4883">
        <v>75.653466174370905</v>
      </c>
      <c r="AK4883">
        <v>0.53730171916875102</v>
      </c>
      <c r="AL4883">
        <v>89.925424364040495</v>
      </c>
      <c r="AM4883">
        <v>88.423667376368599</v>
      </c>
      <c r="AN4883">
        <v>0.999999983290353</v>
      </c>
    </row>
    <row r="4884" spans="1:40" x14ac:dyDescent="0.25">
      <c r="A4884" t="str">
        <f>"20190312160741792"</f>
        <v>20190312160741792</v>
      </c>
      <c r="B4884" t="str">
        <f>"1552378061789925"</f>
        <v>1552378061789925</v>
      </c>
      <c r="C4884" t="s">
        <v>40</v>
      </c>
      <c r="D4884">
        <v>6.0990169999999999</v>
      </c>
      <c r="E4884">
        <v>0.55334589999999995</v>
      </c>
      <c r="F4884" t="s">
        <v>47</v>
      </c>
      <c r="G4884">
        <v>-253.97989999999999</v>
      </c>
      <c r="H4884" s="1">
        <v>-3.7794219999999999E-6</v>
      </c>
      <c r="I4884">
        <v>144.45189999999999</v>
      </c>
      <c r="J4884">
        <v>-239.8203</v>
      </c>
      <c r="K4884">
        <v>1.1083909999999999</v>
      </c>
      <c r="L4884">
        <v>142.00219999999999</v>
      </c>
      <c r="M4884">
        <v>-0.99995959999999995</v>
      </c>
      <c r="N4884">
        <v>0</v>
      </c>
      <c r="O4884">
        <v>-3.877873E-3</v>
      </c>
      <c r="P4884">
        <v>-0.99970199999999998</v>
      </c>
      <c r="Q4884">
        <v>-6.2511969999999896E-3</v>
      </c>
      <c r="R4884">
        <v>2.3599620000000002E-2</v>
      </c>
      <c r="S4884">
        <v>-2.9878230000000001</v>
      </c>
      <c r="T4884">
        <v>-0.22993350000000001</v>
      </c>
      <c r="U4884">
        <v>0.50819399999999904</v>
      </c>
      <c r="V4884">
        <v>2.7479360000000001E-2</v>
      </c>
      <c r="W4884">
        <v>1.8056070000000001E-3</v>
      </c>
      <c r="X4884">
        <v>0.99962070000000003</v>
      </c>
      <c r="Y4884">
        <v>0.17099929999999999</v>
      </c>
      <c r="Z4884">
        <v>6.8193400000000001E-3</v>
      </c>
      <c r="AA4884">
        <v>0.9852476</v>
      </c>
      <c r="AB4884">
        <v>24</v>
      </c>
      <c r="AC4884">
        <v>-14.1595999999999</v>
      </c>
      <c r="AD4884">
        <v>-1.1083947794219999</v>
      </c>
      <c r="AE4884">
        <v>2.4497</v>
      </c>
      <c r="AF4884">
        <v>2.48977962972684</v>
      </c>
      <c r="AG4884">
        <v>-1.1083947794219999</v>
      </c>
      <c r="AH4884">
        <v>14.066306427242999</v>
      </c>
      <c r="AI4884">
        <v>94.436790238696304</v>
      </c>
      <c r="AJ4884">
        <v>79.962434527279797</v>
      </c>
      <c r="AK4884">
        <v>14.327893009677</v>
      </c>
      <c r="AL4884">
        <v>89.896546279053297</v>
      </c>
      <c r="AM4884">
        <v>88.425347801173004</v>
      </c>
      <c r="AN4884">
        <v>0.99999995965556798</v>
      </c>
    </row>
    <row r="4885" spans="1:40" x14ac:dyDescent="0.25">
      <c r="A4885" t="str">
        <f>"20190312160741818"</f>
        <v>20190312160741818</v>
      </c>
      <c r="B4885" t="str">
        <f>"1552378061810421"</f>
        <v>1552378061810421</v>
      </c>
      <c r="C4885" t="s">
        <v>40</v>
      </c>
      <c r="D4885">
        <v>6.0179199999999904</v>
      </c>
      <c r="E4885">
        <v>0.55321430000000005</v>
      </c>
      <c r="F4885" t="s">
        <v>47</v>
      </c>
      <c r="G4885">
        <v>-275.7747</v>
      </c>
      <c r="H4885" s="1">
        <v>-3.7996579999999999E-6</v>
      </c>
      <c r="I4885">
        <v>148.00909999999999</v>
      </c>
      <c r="J4885">
        <v>-240.08869999999999</v>
      </c>
      <c r="K4885">
        <v>1.1084000000000001</v>
      </c>
      <c r="L4885">
        <v>142.00239999999999</v>
      </c>
      <c r="M4885">
        <v>-0.9999633</v>
      </c>
      <c r="N4885">
        <v>0</v>
      </c>
      <c r="O4885">
        <v>-2.7452980000000002E-3</v>
      </c>
      <c r="P4885">
        <v>-0.99967309999999998</v>
      </c>
      <c r="Q4885">
        <v>-5.7967359999999898E-3</v>
      </c>
      <c r="R4885">
        <v>2.4901779999999998E-2</v>
      </c>
      <c r="S4885">
        <v>-2.9885250000000001</v>
      </c>
      <c r="T4885">
        <v>-9.2129710000000004E-2</v>
      </c>
      <c r="U4885">
        <v>0.49929810000000002</v>
      </c>
      <c r="V4885">
        <v>2.7649980000000001E-2</v>
      </c>
      <c r="W4885">
        <v>2.2733829999999999E-3</v>
      </c>
      <c r="X4885">
        <v>0.99961509999999998</v>
      </c>
      <c r="Y4885">
        <v>0.16741629999999999</v>
      </c>
      <c r="Z4885">
        <v>2.646219E-3</v>
      </c>
      <c r="AA4885">
        <v>0.98588279999999995</v>
      </c>
      <c r="AB4885">
        <v>24</v>
      </c>
      <c r="AC4885">
        <v>-35.686</v>
      </c>
      <c r="AD4885">
        <v>-1.1084037996580001</v>
      </c>
      <c r="AE4885">
        <v>6.0066999999999897</v>
      </c>
      <c r="AF4885">
        <v>6.0989276553218597</v>
      </c>
      <c r="AG4885">
        <v>-1.1084037996580001</v>
      </c>
      <c r="AH4885">
        <v>35.635943340037301</v>
      </c>
      <c r="AI4885">
        <v>91.756011417276795</v>
      </c>
      <c r="AJ4885">
        <v>80.2881837194669</v>
      </c>
      <c r="AK4885">
        <v>36.171064889802402</v>
      </c>
      <c r="AL4885">
        <v>89.869744639146504</v>
      </c>
      <c r="AM4885">
        <v>88.415566844831503</v>
      </c>
      <c r="AN4885">
        <v>1.00000001890613</v>
      </c>
    </row>
    <row r="4886" spans="1:40" x14ac:dyDescent="0.25">
      <c r="A4886" t="str">
        <f>"20190312160741840"</f>
        <v>20190312160741840</v>
      </c>
      <c r="B4886" t="str">
        <f>"1552378061829941"</f>
        <v>1552378061829941</v>
      </c>
      <c r="C4886" t="s">
        <v>40</v>
      </c>
      <c r="D4886">
        <v>6.1346400000000001</v>
      </c>
      <c r="E4886">
        <v>0.55337250000000004</v>
      </c>
      <c r="F4886" t="s">
        <v>89</v>
      </c>
      <c r="G4886">
        <v>-292.96600000000001</v>
      </c>
      <c r="H4886" s="1">
        <v>-1.164537E-5</v>
      </c>
      <c r="I4886">
        <v>150.87029999999999</v>
      </c>
      <c r="J4886">
        <v>-240.33430000000001</v>
      </c>
      <c r="K4886">
        <v>1.1084160000000001</v>
      </c>
      <c r="L4886">
        <v>142.00290000000001</v>
      </c>
      <c r="M4886">
        <v>-0.99996549999999995</v>
      </c>
      <c r="N4886">
        <v>0</v>
      </c>
      <c r="O4886">
        <v>-1.733495E-3</v>
      </c>
      <c r="P4886">
        <v>-0.99964260000000005</v>
      </c>
      <c r="Q4886">
        <v>-5.4285189999999997E-3</v>
      </c>
      <c r="R4886">
        <v>2.6188349999999999E-2</v>
      </c>
      <c r="S4886">
        <v>-2.9881289999999998</v>
      </c>
      <c r="T4886">
        <v>-6.263697E-2</v>
      </c>
      <c r="U4886">
        <v>0.50112920000000005</v>
      </c>
      <c r="V4886">
        <v>2.7925789999999999E-2</v>
      </c>
      <c r="W4886">
        <v>2.653421E-3</v>
      </c>
      <c r="X4886">
        <v>0.99960649999999995</v>
      </c>
      <c r="Y4886">
        <v>0.1670702</v>
      </c>
      <c r="Z4886">
        <v>1.7748130000000001E-3</v>
      </c>
      <c r="AA4886">
        <v>0.98594340000000003</v>
      </c>
      <c r="AB4886">
        <v>25</v>
      </c>
      <c r="AC4886">
        <v>-52.631700000000002</v>
      </c>
      <c r="AD4886">
        <v>-1.1084276453699999</v>
      </c>
      <c r="AE4886">
        <v>8.8673999999999698</v>
      </c>
      <c r="AF4886">
        <v>8.9547644235484096</v>
      </c>
      <c r="AG4886">
        <v>-1.1084276453699999</v>
      </c>
      <c r="AH4886">
        <v>52.593566021036096</v>
      </c>
      <c r="AI4886">
        <v>91.190225857488301</v>
      </c>
      <c r="AJ4886">
        <v>80.337282162420294</v>
      </c>
      <c r="AK4886">
        <v>53.361967772331603</v>
      </c>
      <c r="AL4886">
        <v>89.847970000468393</v>
      </c>
      <c r="AM4886">
        <v>88.399756457950502</v>
      </c>
      <c r="AN4886">
        <v>1.00000002261618</v>
      </c>
    </row>
    <row r="4887" spans="1:40" x14ac:dyDescent="0.25">
      <c r="A4887" t="str">
        <f>"20190312160741862"</f>
        <v>20190312160741862</v>
      </c>
      <c r="B4887" t="str">
        <f>"1552378061850437"</f>
        <v>1552378061850437</v>
      </c>
      <c r="C4887" t="s">
        <v>40</v>
      </c>
      <c r="D4887">
        <v>6.0653329999999999</v>
      </c>
      <c r="E4887">
        <v>0.55252380000000001</v>
      </c>
      <c r="F4887" t="s">
        <v>89</v>
      </c>
      <c r="G4887">
        <v>-300.72160000000002</v>
      </c>
      <c r="H4887" s="1">
        <v>-1.194406E-5</v>
      </c>
      <c r="I4887">
        <v>152.2295</v>
      </c>
      <c r="J4887">
        <v>-240.57730000000001</v>
      </c>
      <c r="K4887">
        <v>1.1084320000000001</v>
      </c>
      <c r="L4887">
        <v>142.00360000000001</v>
      </c>
      <c r="M4887">
        <v>-0.99996669999999999</v>
      </c>
      <c r="N4887">
        <v>0</v>
      </c>
      <c r="O4887">
        <v>-7.5327969999999995E-4</v>
      </c>
      <c r="P4887">
        <v>-0.99961860000000002</v>
      </c>
      <c r="Q4887">
        <v>-5.3920579999999999E-3</v>
      </c>
      <c r="R4887">
        <v>2.709056E-2</v>
      </c>
      <c r="S4887">
        <v>-2.9875180000000001</v>
      </c>
      <c r="T4887">
        <v>-5.4836870000000003E-2</v>
      </c>
      <c r="U4887">
        <v>0.50593569999999999</v>
      </c>
      <c r="V4887">
        <v>2.784816E-2</v>
      </c>
      <c r="W4887">
        <v>2.7025349999999998E-3</v>
      </c>
      <c r="X4887">
        <v>0.99960850000000001</v>
      </c>
      <c r="Y4887">
        <v>0.16768749999999999</v>
      </c>
      <c r="Z4887">
        <v>1.541703E-3</v>
      </c>
      <c r="AA4887">
        <v>0.98583900000000002</v>
      </c>
      <c r="AB4887">
        <v>25</v>
      </c>
      <c r="AC4887">
        <v>-60.144300000000001</v>
      </c>
      <c r="AD4887">
        <v>-1.10844394405999</v>
      </c>
      <c r="AE4887">
        <v>10.2258999999999</v>
      </c>
      <c r="AF4887">
        <v>10.267814539852701</v>
      </c>
      <c r="AG4887">
        <v>-1.10844394405999</v>
      </c>
      <c r="AH4887">
        <v>60.116734426963703</v>
      </c>
      <c r="AI4887">
        <v>91.041236071000696</v>
      </c>
      <c r="AJ4887">
        <v>80.307525981403501</v>
      </c>
      <c r="AK4887">
        <v>60.997364054228001</v>
      </c>
      <c r="AL4887">
        <v>89.845155960242195</v>
      </c>
      <c r="AM4887">
        <v>88.404205811003195</v>
      </c>
      <c r="AN4887">
        <v>0.99999998849153005</v>
      </c>
    </row>
    <row r="4888" spans="1:40" x14ac:dyDescent="0.25">
      <c r="A4888" t="str">
        <f>"20190312160741882"</f>
        <v>20190312160741882</v>
      </c>
      <c r="B4888" t="str">
        <f>"1552378061880693"</f>
        <v>1552378061880693</v>
      </c>
      <c r="C4888" t="s">
        <v>40</v>
      </c>
      <c r="D4888">
        <v>6.4581140000000001</v>
      </c>
      <c r="E4888">
        <v>0.55020659999999999</v>
      </c>
      <c r="F4888" t="s">
        <v>89</v>
      </c>
      <c r="G4888">
        <v>-296.23020000000002</v>
      </c>
      <c r="H4888" s="1">
        <v>-1.1431840000000001E-5</v>
      </c>
      <c r="I4888">
        <v>151.3571</v>
      </c>
      <c r="J4888">
        <v>-240.8117</v>
      </c>
      <c r="K4888">
        <v>1.1084419999999999</v>
      </c>
      <c r="L4888">
        <v>142.0044</v>
      </c>
      <c r="M4888">
        <v>-0.99996680000000004</v>
      </c>
      <c r="N4888">
        <v>0</v>
      </c>
      <c r="O4888">
        <v>1.6948709999999999E-4</v>
      </c>
      <c r="P4888">
        <v>-0.99959430000000005</v>
      </c>
      <c r="Q4888">
        <v>-4.799139E-3</v>
      </c>
      <c r="R4888">
        <v>2.8081979999999999E-2</v>
      </c>
      <c r="S4888">
        <v>-2.987228</v>
      </c>
      <c r="T4888">
        <v>-5.9496880000000002E-2</v>
      </c>
      <c r="U4888">
        <v>0.5020599</v>
      </c>
      <c r="V4888">
        <v>2.791797E-2</v>
      </c>
      <c r="W4888">
        <v>3.3081149999999999E-3</v>
      </c>
      <c r="X4888">
        <v>0.99960479999999996</v>
      </c>
      <c r="Y4888">
        <v>0.1655452</v>
      </c>
      <c r="Z4888">
        <v>1.63359799999999E-3</v>
      </c>
      <c r="AA4888">
        <v>0.98620090000000005</v>
      </c>
      <c r="AB4888">
        <v>25</v>
      </c>
      <c r="AC4888">
        <v>-55.418500000000002</v>
      </c>
      <c r="AD4888">
        <v>-1.1084534318399999</v>
      </c>
      <c r="AE4888">
        <v>9.3527000000000005</v>
      </c>
      <c r="AF4888">
        <v>9.33967387361335</v>
      </c>
      <c r="AG4888">
        <v>-1.1084534318399999</v>
      </c>
      <c r="AH4888">
        <v>55.398535418351699</v>
      </c>
      <c r="AI4888">
        <v>91.130315304797307</v>
      </c>
      <c r="AJ4888">
        <v>80.430455828934697</v>
      </c>
      <c r="AK4888">
        <v>56.191244011628498</v>
      </c>
      <c r="AL4888">
        <v>89.810458637338897</v>
      </c>
      <c r="AM4888">
        <v>88.400201618554405</v>
      </c>
      <c r="AN4888">
        <v>1.0000000564284</v>
      </c>
    </row>
    <row r="4889" spans="1:40" x14ac:dyDescent="0.25">
      <c r="A4889" t="str">
        <f>"20190312160741905"</f>
        <v>20190312160741905</v>
      </c>
      <c r="B4889" t="str">
        <f>"1552378061900213"</f>
        <v>1552378061900213</v>
      </c>
      <c r="C4889" t="s">
        <v>40</v>
      </c>
      <c r="D4889">
        <v>6.4449430000000003</v>
      </c>
      <c r="E4889">
        <v>0.54879650000000002</v>
      </c>
      <c r="F4889" t="s">
        <v>47</v>
      </c>
      <c r="G4889">
        <v>-277.90320000000003</v>
      </c>
      <c r="H4889" s="1">
        <v>-3.0847190000000002E-6</v>
      </c>
      <c r="I4889">
        <v>148.06209999999999</v>
      </c>
      <c r="J4889">
        <v>-241.05719999999999</v>
      </c>
      <c r="K4889">
        <v>1.1084499999999999</v>
      </c>
      <c r="L4889">
        <v>142.00550000000001</v>
      </c>
      <c r="M4889">
        <v>-0.99996609999999997</v>
      </c>
      <c r="N4889">
        <v>0</v>
      </c>
      <c r="O4889">
        <v>1.110249E-3</v>
      </c>
      <c r="P4889">
        <v>-0.99958360000000002</v>
      </c>
      <c r="Q4889">
        <v>-4.7071889999999996E-3</v>
      </c>
      <c r="R4889">
        <v>2.8474960000000001E-2</v>
      </c>
      <c r="S4889">
        <v>-2.9870909999999999</v>
      </c>
      <c r="T4889">
        <v>-8.9266540000000005E-2</v>
      </c>
      <c r="U4889">
        <v>0.48785400000000001</v>
      </c>
      <c r="V4889">
        <v>2.7370599999999998E-2</v>
      </c>
      <c r="W4889">
        <v>3.4144499999999999E-3</v>
      </c>
      <c r="X4889">
        <v>0.99961949999999999</v>
      </c>
      <c r="Y4889">
        <v>0.1600203</v>
      </c>
      <c r="Z4889">
        <v>2.3418219999999999E-3</v>
      </c>
      <c r="AA4889">
        <v>0.98711099999999996</v>
      </c>
      <c r="AB4889">
        <v>25</v>
      </c>
      <c r="AC4889">
        <v>-36.845999999999997</v>
      </c>
      <c r="AD4889">
        <v>-1.1084530847189999</v>
      </c>
      <c r="AE4889">
        <v>6.0565999999999702</v>
      </c>
      <c r="AF4889">
        <v>6.0103903053690004</v>
      </c>
      <c r="AG4889">
        <v>-1.1084530847189999</v>
      </c>
      <c r="AH4889">
        <v>36.820255780698197</v>
      </c>
      <c r="AI4889">
        <v>91.7018255847929</v>
      </c>
      <c r="AJ4889">
        <v>80.729035217878504</v>
      </c>
      <c r="AK4889">
        <v>37.324049828762298</v>
      </c>
      <c r="AL4889">
        <v>89.804366040910196</v>
      </c>
      <c r="AM4889">
        <v>88.431575084068797</v>
      </c>
      <c r="AN4889">
        <v>0.99999997649670602</v>
      </c>
    </row>
    <row r="4890" spans="1:40" x14ac:dyDescent="0.25">
      <c r="A4890" t="str">
        <f>"20190312160741928"</f>
        <v>20190312160741928</v>
      </c>
      <c r="B4890" t="str">
        <f>"1552378061920709"</f>
        <v>1552378061920709</v>
      </c>
      <c r="C4890" t="s">
        <v>40</v>
      </c>
      <c r="D4890">
        <v>6.3733930000000001</v>
      </c>
      <c r="E4890">
        <v>0.54706569999999899</v>
      </c>
      <c r="F4890" t="s">
        <v>47</v>
      </c>
      <c r="G4890">
        <v>-273.91840000000002</v>
      </c>
      <c r="H4890" s="1">
        <v>-4.2997039999999998E-6</v>
      </c>
      <c r="I4890">
        <v>147.267</v>
      </c>
      <c r="J4890">
        <v>-241.3167</v>
      </c>
      <c r="K4890">
        <v>1.10846</v>
      </c>
      <c r="L4890">
        <v>142.0069</v>
      </c>
      <c r="M4890">
        <v>-0.99996450000000003</v>
      </c>
      <c r="N4890">
        <v>0</v>
      </c>
      <c r="O4890">
        <v>2.0768100000000001E-3</v>
      </c>
      <c r="P4890">
        <v>-0.99955050000000001</v>
      </c>
      <c r="Q4890">
        <v>-5.8141999999999899E-3</v>
      </c>
      <c r="R4890">
        <v>2.941655E-2</v>
      </c>
      <c r="S4890">
        <v>-2.9871370000000002</v>
      </c>
      <c r="T4890">
        <v>-0.10076019999999999</v>
      </c>
      <c r="U4890">
        <v>0.47828670000000001</v>
      </c>
      <c r="V4890">
        <v>2.7344159999999999E-2</v>
      </c>
      <c r="W4890">
        <v>2.321067E-3</v>
      </c>
      <c r="X4890">
        <v>0.99962340000000005</v>
      </c>
      <c r="Y4890">
        <v>0.1559652</v>
      </c>
      <c r="Z4890">
        <v>2.5434939999999999E-3</v>
      </c>
      <c r="AA4890">
        <v>0.98775930000000001</v>
      </c>
      <c r="AB4890">
        <v>25</v>
      </c>
      <c r="AC4890">
        <v>-32.601700000000001</v>
      </c>
      <c r="AD4890">
        <v>-1.108464299704</v>
      </c>
      <c r="AE4890">
        <v>5.2600999999999898</v>
      </c>
      <c r="AF4890">
        <v>5.1865352763083399</v>
      </c>
      <c r="AG4890">
        <v>-1.108464299704</v>
      </c>
      <c r="AH4890">
        <v>32.575851598010999</v>
      </c>
      <c r="AI4890">
        <v>91.924639029653406</v>
      </c>
      <c r="AJ4890">
        <v>80.953632588735204</v>
      </c>
      <c r="AK4890">
        <v>33.004771603690003</v>
      </c>
      <c r="AL4890">
        <v>89.867012539669801</v>
      </c>
      <c r="AM4890">
        <v>88.433095537086999</v>
      </c>
      <c r="AN4890">
        <v>1.00000001613284</v>
      </c>
    </row>
    <row r="4891" spans="1:40" x14ac:dyDescent="0.25">
      <c r="A4891" t="str">
        <f>"20190312160741949"</f>
        <v>20190312160741949</v>
      </c>
      <c r="B4891" t="str">
        <f>"1552378061940233"</f>
        <v>1552378061940233</v>
      </c>
      <c r="C4891" t="s">
        <v>40</v>
      </c>
      <c r="D4891">
        <v>6.3918290000000004</v>
      </c>
      <c r="E4891">
        <v>0.54617859999999996</v>
      </c>
      <c r="F4891" t="s">
        <v>47</v>
      </c>
      <c r="G4891">
        <v>-271.29149999999998</v>
      </c>
      <c r="H4891" s="1">
        <v>-5.0926500000000003E-6</v>
      </c>
      <c r="I4891">
        <v>146.69759999999999</v>
      </c>
      <c r="J4891">
        <v>-241.56229999999999</v>
      </c>
      <c r="K4891">
        <v>1.1084750000000001</v>
      </c>
      <c r="L4891">
        <v>142.00839999999999</v>
      </c>
      <c r="M4891">
        <v>-0.99996209999999996</v>
      </c>
      <c r="N4891">
        <v>0</v>
      </c>
      <c r="O4891">
        <v>2.966846E-3</v>
      </c>
      <c r="P4891">
        <v>-0.99950850000000002</v>
      </c>
      <c r="Q4891">
        <v>-6.6403039999999997E-3</v>
      </c>
      <c r="R4891">
        <v>3.0643360000000001E-2</v>
      </c>
      <c r="S4891">
        <v>-2.9869690000000002</v>
      </c>
      <c r="T4891">
        <v>-0.110458</v>
      </c>
      <c r="U4891">
        <v>0.46743770000000001</v>
      </c>
      <c r="V4891">
        <v>2.7680159999999999E-2</v>
      </c>
      <c r="W4891">
        <v>1.508061E-3</v>
      </c>
      <c r="X4891">
        <v>0.9996157</v>
      </c>
      <c r="Y4891">
        <v>0.15157950000000001</v>
      </c>
      <c r="Z4891">
        <v>2.6758049999999999E-3</v>
      </c>
      <c r="AA4891">
        <v>0.98844149999999997</v>
      </c>
      <c r="AB4891">
        <v>25</v>
      </c>
      <c r="AC4891">
        <v>-29.729199999999899</v>
      </c>
      <c r="AD4891">
        <v>-1.10848009265</v>
      </c>
      <c r="AE4891">
        <v>4.6891999999999996</v>
      </c>
      <c r="AF4891">
        <v>4.5947417239963899</v>
      </c>
      <c r="AG4891">
        <v>-1.10848009265</v>
      </c>
      <c r="AH4891">
        <v>29.702690329063898</v>
      </c>
      <c r="AI4891">
        <v>92.112141262060902</v>
      </c>
      <c r="AJ4891">
        <v>81.206551471945005</v>
      </c>
      <c r="AK4891">
        <v>30.076405909122499</v>
      </c>
      <c r="AL4891">
        <v>89.913594437270305</v>
      </c>
      <c r="AM4891">
        <v>88.413839267921105</v>
      </c>
      <c r="AN4891">
        <v>1.0000000065960399</v>
      </c>
    </row>
    <row r="4892" spans="1:40" x14ac:dyDescent="0.25">
      <c r="A4892" t="str">
        <f>"20190312160741971"</f>
        <v>20190312160741971</v>
      </c>
      <c r="B4892" t="str">
        <f>"1552378061960729"</f>
        <v>1552378061960729</v>
      </c>
      <c r="C4892" t="s">
        <v>40</v>
      </c>
      <c r="D4892">
        <v>6.5130629999999998</v>
      </c>
      <c r="E4892">
        <v>0.54454829999999999</v>
      </c>
      <c r="F4892" t="s">
        <v>47</v>
      </c>
      <c r="G4892">
        <v>-268.35750000000002</v>
      </c>
      <c r="H4892" s="1">
        <v>-2.4322440000000001E-6</v>
      </c>
      <c r="I4892">
        <v>146.1756</v>
      </c>
      <c r="J4892">
        <v>-241.80330000000001</v>
      </c>
      <c r="K4892">
        <v>1.1084860000000001</v>
      </c>
      <c r="L4892">
        <v>142.01</v>
      </c>
      <c r="M4892">
        <v>-0.99995909999999999</v>
      </c>
      <c r="N4892">
        <v>0</v>
      </c>
      <c r="O4892">
        <v>3.8181389999999999E-3</v>
      </c>
      <c r="P4892">
        <v>-0.99947229999999998</v>
      </c>
      <c r="Q4892">
        <v>-6.7153550000000001E-3</v>
      </c>
      <c r="R4892">
        <v>3.1786349999999998E-2</v>
      </c>
      <c r="S4892">
        <v>-2.9864199999999999</v>
      </c>
      <c r="T4892">
        <v>-0.1235436</v>
      </c>
      <c r="U4892">
        <v>0.46446229999999999</v>
      </c>
      <c r="V4892">
        <v>2.7972150000000001E-2</v>
      </c>
      <c r="W4892">
        <v>1.445595E-3</v>
      </c>
      <c r="X4892">
        <v>0.99960769999999999</v>
      </c>
      <c r="Y4892">
        <v>0.14978139999999901</v>
      </c>
      <c r="Z4892">
        <v>2.9213759999999998E-3</v>
      </c>
      <c r="AA4892">
        <v>0.9887148</v>
      </c>
      <c r="AB4892">
        <v>25</v>
      </c>
      <c r="AC4892">
        <v>-26.554200000000002</v>
      </c>
      <c r="AD4892">
        <v>-1.1084884322440001</v>
      </c>
      <c r="AE4892">
        <v>4.1656000000000102</v>
      </c>
      <c r="AF4892">
        <v>4.0572782258341604</v>
      </c>
      <c r="AG4892">
        <v>-1.1084884322440001</v>
      </c>
      <c r="AH4892">
        <v>26.524800024452301</v>
      </c>
      <c r="AI4892">
        <v>92.365553025874405</v>
      </c>
      <c r="AJ4892">
        <v>81.303348678468396</v>
      </c>
      <c r="AK4892">
        <v>26.856196110831299</v>
      </c>
      <c r="AL4892">
        <v>89.917173482279694</v>
      </c>
      <c r="AM4892">
        <v>88.397103178934501</v>
      </c>
      <c r="AN4892">
        <v>1.0000000424099</v>
      </c>
    </row>
    <row r="4893" spans="1:40" x14ac:dyDescent="0.25">
      <c r="A4893" t="str">
        <f>"20190312160741996"</f>
        <v>20190312160741996</v>
      </c>
      <c r="B4893" t="str">
        <f>"1552378061990005"</f>
        <v>1552378061990005</v>
      </c>
      <c r="C4893" t="s">
        <v>40</v>
      </c>
      <c r="D4893">
        <v>6.3753659999999996</v>
      </c>
      <c r="E4893">
        <v>0.54324830000000002</v>
      </c>
      <c r="F4893" t="s">
        <v>47</v>
      </c>
      <c r="G4893">
        <v>-268.18849999999998</v>
      </c>
      <c r="H4893" s="1">
        <v>-2.4658659999999999E-6</v>
      </c>
      <c r="I4893">
        <v>146.02950000000001</v>
      </c>
      <c r="J4893">
        <v>-242.07400000000001</v>
      </c>
      <c r="K4893">
        <v>1.108503</v>
      </c>
      <c r="L4893">
        <v>142.0121</v>
      </c>
      <c r="M4893">
        <v>-0.99995500000000004</v>
      </c>
      <c r="N4893">
        <v>0</v>
      </c>
      <c r="O4893">
        <v>4.7477329999999996E-3</v>
      </c>
      <c r="P4893">
        <v>-0.99944049999999995</v>
      </c>
      <c r="Q4893">
        <v>-6.7383369999999996E-3</v>
      </c>
      <c r="R4893">
        <v>3.2761140000000001E-2</v>
      </c>
      <c r="S4893">
        <v>-2.9862519999999999</v>
      </c>
      <c r="T4893">
        <v>-0.12545780000000001</v>
      </c>
      <c r="U4893">
        <v>0.45492549999999998</v>
      </c>
      <c r="V4893">
        <v>2.801756E-2</v>
      </c>
      <c r="W4893">
        <v>1.4379659999999999E-3</v>
      </c>
      <c r="X4893">
        <v>0.99960640000000001</v>
      </c>
      <c r="Y4893">
        <v>0.14578550000000001</v>
      </c>
      <c r="Z4893">
        <v>2.845251E-3</v>
      </c>
      <c r="AA4893">
        <v>0.98931210000000003</v>
      </c>
      <c r="AB4893">
        <v>25</v>
      </c>
      <c r="AC4893">
        <v>-26.1144999999999</v>
      </c>
      <c r="AD4893">
        <v>-1.1085054658660001</v>
      </c>
      <c r="AE4893">
        <v>4.0174000000000003</v>
      </c>
      <c r="AF4893">
        <v>3.8865249294554398</v>
      </c>
      <c r="AG4893">
        <v>-1.1085054658660001</v>
      </c>
      <c r="AH4893">
        <v>26.087361722686101</v>
      </c>
      <c r="AI4893">
        <v>92.406621773775896</v>
      </c>
      <c r="AJ4893">
        <v>81.526334631009604</v>
      </c>
      <c r="AK4893">
        <v>26.398566287687</v>
      </c>
      <c r="AL4893">
        <v>89.917610588984203</v>
      </c>
      <c r="AM4893">
        <v>88.394500309488507</v>
      </c>
      <c r="AN4893">
        <v>1.0000000031677601</v>
      </c>
    </row>
    <row r="4894" spans="1:40" x14ac:dyDescent="0.25">
      <c r="A4894" t="str">
        <f>"20190312160742018"</f>
        <v>20190312160742018</v>
      </c>
      <c r="B4894" t="str">
        <f>"1552378062010501"</f>
        <v>1552378062010501</v>
      </c>
      <c r="C4894" t="s">
        <v>40</v>
      </c>
      <c r="D4894">
        <v>6.4468259999999997</v>
      </c>
      <c r="E4894">
        <v>0.54295119999999997</v>
      </c>
      <c r="F4894" t="s">
        <v>47</v>
      </c>
      <c r="G4894">
        <v>-267.21940000000001</v>
      </c>
      <c r="H4894" s="1">
        <v>-2.815847E-6</v>
      </c>
      <c r="I4894">
        <v>145.78229999999999</v>
      </c>
      <c r="J4894">
        <v>-242.3201</v>
      </c>
      <c r="K4894">
        <v>1.1085160000000001</v>
      </c>
      <c r="L4894">
        <v>142.01419999999999</v>
      </c>
      <c r="M4894">
        <v>-0.99995069999999997</v>
      </c>
      <c r="N4894">
        <v>0</v>
      </c>
      <c r="O4894">
        <v>5.5679689999999999E-3</v>
      </c>
      <c r="P4894">
        <v>-0.99941749999999996</v>
      </c>
      <c r="Q4894">
        <v>-6.3169489999999997E-3</v>
      </c>
      <c r="R4894">
        <v>3.3541910000000001E-2</v>
      </c>
      <c r="S4894">
        <v>-2.9861149999999999</v>
      </c>
      <c r="T4894">
        <v>-0.13163939999999999</v>
      </c>
      <c r="U4894">
        <v>0.44773859999999899</v>
      </c>
      <c r="V4894">
        <v>2.7979110000000001E-2</v>
      </c>
      <c r="W4894">
        <v>1.873317E-3</v>
      </c>
      <c r="X4894">
        <v>0.99960669999999996</v>
      </c>
      <c r="Y4894">
        <v>0.14264360000000001</v>
      </c>
      <c r="Z4894">
        <v>2.8812099999999999E-3</v>
      </c>
      <c r="AA4894">
        <v>0.98976989999999998</v>
      </c>
      <c r="AB4894">
        <v>25</v>
      </c>
      <c r="AC4894">
        <v>-24.8993</v>
      </c>
      <c r="AD4894">
        <v>-1.1085188158470001</v>
      </c>
      <c r="AE4894">
        <v>3.7681</v>
      </c>
      <c r="AF4894">
        <v>3.6223794243784999</v>
      </c>
      <c r="AG4894">
        <v>-1.1085188158470001</v>
      </c>
      <c r="AH4894">
        <v>24.871702437551701</v>
      </c>
      <c r="AI4894">
        <v>92.525346216840006</v>
      </c>
      <c r="AJ4894">
        <v>81.713555928396005</v>
      </c>
      <c r="AK4894">
        <v>25.1585378907711</v>
      </c>
      <c r="AL4894">
        <v>89.892666773775503</v>
      </c>
      <c r="AM4894">
        <v>88.396702952939194</v>
      </c>
      <c r="AN4894">
        <v>0.99999994729893005</v>
      </c>
    </row>
    <row r="4895" spans="1:40" x14ac:dyDescent="0.25">
      <c r="A4895" t="str">
        <f>"20190312160742041"</f>
        <v>20190312160742041</v>
      </c>
      <c r="B4895" t="str">
        <f>"1552378062030022"</f>
        <v>1552378062030022</v>
      </c>
      <c r="C4895" t="s">
        <v>40</v>
      </c>
      <c r="D4895">
        <v>6.230734</v>
      </c>
      <c r="E4895">
        <v>0.54280969999999995</v>
      </c>
      <c r="F4895" t="s">
        <v>47</v>
      </c>
      <c r="G4895">
        <v>-268.42320000000001</v>
      </c>
      <c r="H4895" s="1">
        <v>-2.3378080000000001E-6</v>
      </c>
      <c r="I4895">
        <v>145.92670000000001</v>
      </c>
      <c r="J4895">
        <v>-242.5883</v>
      </c>
      <c r="K4895">
        <v>1.108527</v>
      </c>
      <c r="L4895">
        <v>142.01669999999999</v>
      </c>
      <c r="M4895">
        <v>-0.99994530000000004</v>
      </c>
      <c r="N4895">
        <v>0</v>
      </c>
      <c r="O4895">
        <v>6.4408360000000001E-3</v>
      </c>
      <c r="P4895">
        <v>-0.99941060000000004</v>
      </c>
      <c r="Q4895">
        <v>-6.9069020000000004E-3</v>
      </c>
      <c r="R4895">
        <v>3.3626120000000002E-2</v>
      </c>
      <c r="S4895">
        <v>-2.9859309999999999</v>
      </c>
      <c r="T4895">
        <v>-0.1268032</v>
      </c>
      <c r="U4895">
        <v>0.44755549999999999</v>
      </c>
      <c r="V4895">
        <v>2.7189870000000001E-2</v>
      </c>
      <c r="W4895">
        <v>1.299206E-3</v>
      </c>
      <c r="X4895">
        <v>0.9996294</v>
      </c>
      <c r="Y4895">
        <v>0.14174</v>
      </c>
      <c r="Z4895">
        <v>2.7197269999999999E-3</v>
      </c>
      <c r="AA4895">
        <v>0.98990020000000001</v>
      </c>
      <c r="AB4895">
        <v>25</v>
      </c>
      <c r="AC4895">
        <v>-25.834900000000001</v>
      </c>
      <c r="AD4895">
        <v>-1.1085293378079999</v>
      </c>
      <c r="AE4895">
        <v>3.9100000000000201</v>
      </c>
      <c r="AF4895">
        <v>3.7367890882102301</v>
      </c>
      <c r="AG4895">
        <v>-1.1085293378079999</v>
      </c>
      <c r="AH4895">
        <v>25.8130879623561</v>
      </c>
      <c r="AI4895">
        <v>92.433688354721696</v>
      </c>
      <c r="AJ4895">
        <v>81.762893052778793</v>
      </c>
      <c r="AK4895">
        <v>26.105707041466701</v>
      </c>
      <c r="AL4895">
        <v>89.925560955351202</v>
      </c>
      <c r="AM4895">
        <v>88.441941805497905</v>
      </c>
      <c r="AN4895">
        <v>0.99999995715560197</v>
      </c>
    </row>
    <row r="4896" spans="1:40" x14ac:dyDescent="0.25">
      <c r="A4896" t="str">
        <f>"20190312160742063"</f>
        <v>20190312160742063</v>
      </c>
      <c r="B4896" t="str">
        <f>"1552378062050517"</f>
        <v>1552378062050517</v>
      </c>
      <c r="C4896" t="s">
        <v>40</v>
      </c>
      <c r="D4896">
        <v>6.3958969999999997</v>
      </c>
      <c r="E4896">
        <v>0.54310369999999997</v>
      </c>
      <c r="F4896" t="s">
        <v>47</v>
      </c>
      <c r="G4896">
        <v>-267.63959999999997</v>
      </c>
      <c r="H4896" s="1">
        <v>-2.6317539999999999E-6</v>
      </c>
      <c r="I4896">
        <v>145.7679</v>
      </c>
      <c r="J4896">
        <v>-242.8338</v>
      </c>
      <c r="K4896">
        <v>1.108536</v>
      </c>
      <c r="L4896">
        <v>142.01910000000001</v>
      </c>
      <c r="M4896">
        <v>-0.99993980000000005</v>
      </c>
      <c r="N4896">
        <v>0</v>
      </c>
      <c r="O4896">
        <v>7.2209209999999999E-3</v>
      </c>
      <c r="P4896">
        <v>-0.99939619999999996</v>
      </c>
      <c r="Q4896">
        <v>-7.8385859999999998E-3</v>
      </c>
      <c r="R4896">
        <v>3.3853229999999998E-2</v>
      </c>
      <c r="S4896">
        <v>-2.9858090000000002</v>
      </c>
      <c r="T4896">
        <v>-0.1321234</v>
      </c>
      <c r="U4896">
        <v>0.44711299999999998</v>
      </c>
      <c r="V4896">
        <v>2.663627E-2</v>
      </c>
      <c r="W4896">
        <v>3.8177179999999999E-4</v>
      </c>
      <c r="X4896">
        <v>0.99964509999999995</v>
      </c>
      <c r="Y4896">
        <v>0.14082159999999999</v>
      </c>
      <c r="Z4896">
        <v>2.7793729999999999E-3</v>
      </c>
      <c r="AA4896">
        <v>0.99003110000000005</v>
      </c>
      <c r="AB4896">
        <v>25</v>
      </c>
      <c r="AC4896">
        <v>-24.805799999999898</v>
      </c>
      <c r="AD4896">
        <v>-1.108538631754</v>
      </c>
      <c r="AE4896">
        <v>3.7487999999999801</v>
      </c>
      <c r="AF4896">
        <v>3.5626194583077302</v>
      </c>
      <c r="AG4896">
        <v>-1.108538631754</v>
      </c>
      <c r="AH4896">
        <v>24.783833867442301</v>
      </c>
      <c r="AI4896">
        <v>92.5350129859996</v>
      </c>
      <c r="AJ4896">
        <v>81.819898453674298</v>
      </c>
      <c r="AK4896">
        <v>25.063111069294301</v>
      </c>
      <c r="AL4896">
        <v>89.9781260861823</v>
      </c>
      <c r="AM4896">
        <v>88.473673485141404</v>
      </c>
      <c r="AN4896">
        <v>0.99999998129161405</v>
      </c>
    </row>
    <row r="4897" spans="1:40" x14ac:dyDescent="0.25">
      <c r="A4897" t="str">
        <f>"20190312160742084"</f>
        <v>20190312160742084</v>
      </c>
      <c r="B4897" t="str">
        <f>"1552378062080773"</f>
        <v>1552378062080773</v>
      </c>
      <c r="C4897" t="s">
        <v>40</v>
      </c>
      <c r="D4897">
        <v>6.2848199999999999</v>
      </c>
      <c r="E4897">
        <v>0.48512660000000002</v>
      </c>
      <c r="F4897" t="s">
        <v>47</v>
      </c>
      <c r="G4897">
        <v>-268.00150000000002</v>
      </c>
      <c r="H4897" s="1">
        <v>-2.488178E-6</v>
      </c>
      <c r="I4897">
        <v>145.81180000000001</v>
      </c>
      <c r="J4897">
        <v>-243.071</v>
      </c>
      <c r="K4897">
        <v>1.1085430000000001</v>
      </c>
      <c r="L4897">
        <v>142.02160000000001</v>
      </c>
      <c r="M4897">
        <v>-0.99993430000000005</v>
      </c>
      <c r="N4897">
        <v>0</v>
      </c>
      <c r="O4897">
        <v>7.9552289999999994E-3</v>
      </c>
      <c r="P4897">
        <v>-0.9993474</v>
      </c>
      <c r="Q4897">
        <v>-8.539207E-3</v>
      </c>
      <c r="R4897">
        <v>3.5104919999999998E-2</v>
      </c>
      <c r="S4897">
        <v>-2.985535</v>
      </c>
      <c r="T4897">
        <v>-0.13150120000000001</v>
      </c>
      <c r="U4897">
        <v>0.44992070000000001</v>
      </c>
      <c r="V4897">
        <v>2.715335E-2</v>
      </c>
      <c r="W4897">
        <v>-3.0621620000000001E-4</v>
      </c>
      <c r="X4897">
        <v>0.99963120000000005</v>
      </c>
      <c r="Y4897">
        <v>0.14102000000000001</v>
      </c>
      <c r="Z4897">
        <v>2.7385650000000001E-3</v>
      </c>
      <c r="AA4897">
        <v>0.99000290000000002</v>
      </c>
      <c r="AB4897">
        <v>25</v>
      </c>
      <c r="AC4897">
        <v>-24.930499999999999</v>
      </c>
      <c r="AD4897">
        <v>-1.1085454881779999</v>
      </c>
      <c r="AE4897">
        <v>3.7901999999999898</v>
      </c>
      <c r="AF4897">
        <v>3.58481777689396</v>
      </c>
      <c r="AG4897">
        <v>-1.1085454881779999</v>
      </c>
      <c r="AH4897">
        <v>24.9117218936447</v>
      </c>
      <c r="AI4897">
        <v>92.521977197720005</v>
      </c>
      <c r="AJ4897">
        <v>81.811302616493606</v>
      </c>
      <c r="AK4897">
        <v>25.192730683655402</v>
      </c>
      <c r="AL4897">
        <v>90.017544896729902</v>
      </c>
      <c r="AM4897">
        <v>88.444036278088305</v>
      </c>
      <c r="AN4897">
        <v>0.99999996709901096</v>
      </c>
    </row>
    <row r="4898" spans="1:40" x14ac:dyDescent="0.25">
      <c r="A4898" t="str">
        <f>"20190312160742107"</f>
        <v>20190312160742107</v>
      </c>
      <c r="B4898" t="str">
        <f>"1552378062100294"</f>
        <v>1552378062100294</v>
      </c>
      <c r="C4898" t="s">
        <v>40</v>
      </c>
      <c r="D4898">
        <v>6.2018990000000001</v>
      </c>
      <c r="E4898">
        <v>0.48268080000000002</v>
      </c>
      <c r="F4898" t="s">
        <v>47</v>
      </c>
      <c r="G4898">
        <v>-347.46809999999999</v>
      </c>
      <c r="H4898" s="1">
        <v>-1.5873170000000001E-6</v>
      </c>
      <c r="I4898">
        <v>141.56630000000001</v>
      </c>
      <c r="J4898">
        <v>-243.33</v>
      </c>
      <c r="K4898">
        <v>1.108557</v>
      </c>
      <c r="L4898">
        <v>142.02459999999999</v>
      </c>
      <c r="M4898">
        <v>-0.99992760000000003</v>
      </c>
      <c r="N4898">
        <v>0</v>
      </c>
      <c r="O4898">
        <v>8.729789E-3</v>
      </c>
      <c r="P4898">
        <v>-0.99929480000000004</v>
      </c>
      <c r="Q4898">
        <v>-8.2745590000000008E-3</v>
      </c>
      <c r="R4898">
        <v>3.6629759999999997E-2</v>
      </c>
      <c r="S4898">
        <v>-3.002151</v>
      </c>
      <c r="T4898">
        <v>-3.1878469999999999E-2</v>
      </c>
      <c r="U4898">
        <v>-1.3092039999999999E-2</v>
      </c>
      <c r="V4898">
        <v>2.7904450000000001E-2</v>
      </c>
      <c r="W4898" s="1">
        <v>-2.801802E-5</v>
      </c>
      <c r="X4898">
        <v>0.99961060000000002</v>
      </c>
      <c r="Y4898">
        <v>-1.3089450000000001E-2</v>
      </c>
      <c r="Z4898">
        <v>-1.621905E-4</v>
      </c>
      <c r="AA4898">
        <v>0.99991430000000003</v>
      </c>
      <c r="AB4898">
        <v>25</v>
      </c>
      <c r="AC4898">
        <v>-104.138099999999</v>
      </c>
      <c r="AD4898">
        <v>-1.1085585873170001</v>
      </c>
      <c r="AE4898">
        <v>-0.45829999999998</v>
      </c>
      <c r="AF4898">
        <v>-1.3672624201538099</v>
      </c>
      <c r="AG4898">
        <v>-1.1085585873170001</v>
      </c>
      <c r="AH4898">
        <v>104.118332282982</v>
      </c>
      <c r="AI4898">
        <v>90.609958419061996</v>
      </c>
      <c r="AJ4898">
        <v>90.752354190689502</v>
      </c>
      <c r="AK4898">
        <v>104.133210005533</v>
      </c>
      <c r="AL4898">
        <v>90.001605314287801</v>
      </c>
      <c r="AM4898">
        <v>88.400985233170601</v>
      </c>
      <c r="AN4898">
        <v>1.00000000537358</v>
      </c>
    </row>
    <row r="4899" spans="1:40" x14ac:dyDescent="0.25">
      <c r="A4899" t="str">
        <f>"20190312160742129"</f>
        <v>20190312160742129</v>
      </c>
      <c r="B4899" t="str">
        <f>"1552378062120790"</f>
        <v>1552378062120790</v>
      </c>
      <c r="C4899" t="s">
        <v>40</v>
      </c>
      <c r="D4899">
        <v>6.1830949999999998</v>
      </c>
      <c r="E4899">
        <v>0.48053849999999998</v>
      </c>
      <c r="F4899" t="s">
        <v>47</v>
      </c>
      <c r="G4899">
        <v>-271.50549999999998</v>
      </c>
      <c r="H4899" s="1">
        <v>-4.1500379999999999E-6</v>
      </c>
      <c r="I4899">
        <v>141.79409999999999</v>
      </c>
      <c r="J4899">
        <v>-243.59030000000001</v>
      </c>
      <c r="K4899">
        <v>1.1085750000000001</v>
      </c>
      <c r="L4899">
        <v>142.02770000000001</v>
      </c>
      <c r="M4899">
        <v>-0.9999207</v>
      </c>
      <c r="N4899">
        <v>0</v>
      </c>
      <c r="O4899">
        <v>9.4740199999999997E-3</v>
      </c>
      <c r="P4899">
        <v>-0.99924219999999997</v>
      </c>
      <c r="Q4899">
        <v>-7.8255809999999999E-3</v>
      </c>
      <c r="R4899">
        <v>3.8129990000000002E-2</v>
      </c>
      <c r="S4899">
        <v>-3.0020449999999999</v>
      </c>
      <c r="T4899">
        <v>-0.1181155</v>
      </c>
      <c r="U4899">
        <v>-2.4551389999999999E-2</v>
      </c>
      <c r="V4899">
        <v>2.8661820000000001E-2</v>
      </c>
      <c r="W4899">
        <v>4.3517749999999998E-4</v>
      </c>
      <c r="X4899">
        <v>0.99958910000000001</v>
      </c>
      <c r="Y4899">
        <v>-1.763064E-2</v>
      </c>
      <c r="Z4899">
        <v>-7.193166E-4</v>
      </c>
      <c r="AA4899">
        <v>0.99984430000000002</v>
      </c>
      <c r="AB4899">
        <v>25</v>
      </c>
      <c r="AC4899">
        <v>-27.915199999999899</v>
      </c>
      <c r="AD4899">
        <v>-1.108579150038</v>
      </c>
      <c r="AE4899">
        <v>-0.23360000000002301</v>
      </c>
      <c r="AF4899">
        <v>-0.49728358374915099</v>
      </c>
      <c r="AG4899">
        <v>-1.108579150038</v>
      </c>
      <c r="AH4899">
        <v>27.867787414654501</v>
      </c>
      <c r="AI4899">
        <v>92.277659836619094</v>
      </c>
      <c r="AJ4899">
        <v>91.022299565295199</v>
      </c>
      <c r="AK4899">
        <v>27.894261310938798</v>
      </c>
      <c r="AL4899">
        <v>89.975066165848801</v>
      </c>
      <c r="AM4899">
        <v>88.357573645164095</v>
      </c>
      <c r="AN4899">
        <v>1.0000000290719799</v>
      </c>
    </row>
    <row r="4900" spans="1:40" x14ac:dyDescent="0.25">
      <c r="A4900" t="str">
        <f>"20190312160742152"</f>
        <v>20190312160742152</v>
      </c>
      <c r="B4900" t="str">
        <f>"1552378062140314"</f>
        <v>1552378062140314</v>
      </c>
      <c r="C4900" t="s">
        <v>40</v>
      </c>
      <c r="D4900">
        <v>6.0817459999999999</v>
      </c>
      <c r="E4900">
        <v>0.47899039999999998</v>
      </c>
      <c r="F4900" t="s">
        <v>47</v>
      </c>
      <c r="G4900">
        <v>-276.43770000000001</v>
      </c>
      <c r="H4900" s="1">
        <v>-2.042272E-6</v>
      </c>
      <c r="I4900">
        <v>141.6147</v>
      </c>
      <c r="J4900">
        <v>-243.84569999999999</v>
      </c>
      <c r="K4900">
        <v>1.1086069999999999</v>
      </c>
      <c r="L4900">
        <v>142.0309</v>
      </c>
      <c r="M4900">
        <v>-0.99991390000000002</v>
      </c>
      <c r="N4900">
        <v>0</v>
      </c>
      <c r="O4900">
        <v>1.0162050000000001E-2</v>
      </c>
      <c r="P4900">
        <v>-0.99918839999999998</v>
      </c>
      <c r="Q4900">
        <v>-7.6348350000000004E-3</v>
      </c>
      <c r="R4900">
        <v>3.9555460000000001E-2</v>
      </c>
      <c r="S4900">
        <v>-3.0029300000000001</v>
      </c>
      <c r="T4900">
        <v>-0.1013469</v>
      </c>
      <c r="U4900">
        <v>-3.7750239999999997E-2</v>
      </c>
      <c r="V4900">
        <v>2.940019E-2</v>
      </c>
      <c r="W4900">
        <v>6.4021749999999995E-4</v>
      </c>
      <c r="X4900">
        <v>0.99956750000000005</v>
      </c>
      <c r="Y4900">
        <v>-2.2712380000000001E-2</v>
      </c>
      <c r="Z4900">
        <v>-7.2600349999999998E-4</v>
      </c>
      <c r="AA4900">
        <v>0.99974180000000001</v>
      </c>
      <c r="AB4900">
        <v>25</v>
      </c>
      <c r="AC4900">
        <v>-32.591999999999999</v>
      </c>
      <c r="AD4900">
        <v>-1.1086090422720001</v>
      </c>
      <c r="AE4900">
        <v>-0.41620000000000301</v>
      </c>
      <c r="AF4900">
        <v>-0.74652786153170303</v>
      </c>
      <c r="AG4900">
        <v>-1.1086090422720001</v>
      </c>
      <c r="AH4900">
        <v>32.548434881447101</v>
      </c>
      <c r="AI4900">
        <v>91.950244078266195</v>
      </c>
      <c r="AJ4900">
        <v>91.313900283279594</v>
      </c>
      <c r="AK4900">
        <v>32.575864241619897</v>
      </c>
      <c r="AL4900">
        <v>89.963318236188798</v>
      </c>
      <c r="AM4900">
        <v>88.315250056245304</v>
      </c>
      <c r="AN4900">
        <v>0.99999998405336599</v>
      </c>
    </row>
    <row r="4901" spans="1:40" x14ac:dyDescent="0.25">
      <c r="A4901" t="str">
        <f>"20190312160742174"</f>
        <v>20190312160742174</v>
      </c>
      <c r="B4901" t="str">
        <f>"1552378062170565"</f>
        <v>1552378062170565</v>
      </c>
      <c r="C4901" t="s">
        <v>40</v>
      </c>
      <c r="D4901">
        <v>6.0738799999999999</v>
      </c>
      <c r="E4901">
        <v>0.4782457</v>
      </c>
      <c r="F4901" t="s">
        <v>89</v>
      </c>
      <c r="G4901">
        <v>-281.11950000000002</v>
      </c>
      <c r="H4901" s="1">
        <v>-4.7094150000000004E-6</v>
      </c>
      <c r="I4901">
        <v>141.4564</v>
      </c>
      <c r="J4901">
        <v>-244.09190000000001</v>
      </c>
      <c r="K4901">
        <v>1.1086389999999999</v>
      </c>
      <c r="L4901">
        <v>142.0341</v>
      </c>
      <c r="M4901">
        <v>-0.9999074</v>
      </c>
      <c r="N4901">
        <v>0</v>
      </c>
      <c r="O4901">
        <v>1.077814E-2</v>
      </c>
      <c r="P4901">
        <v>-0.99911830000000001</v>
      </c>
      <c r="Q4901">
        <v>-7.8469239999999999E-3</v>
      </c>
      <c r="R4901">
        <v>4.1245110000000001E-2</v>
      </c>
      <c r="S4901">
        <v>-3.0035859999999999</v>
      </c>
      <c r="T4901">
        <v>-8.9333889999999999E-2</v>
      </c>
      <c r="U4901">
        <v>-4.6295169999999997E-2</v>
      </c>
      <c r="V4901">
        <v>3.04742E-2</v>
      </c>
      <c r="W4901">
        <v>4.4233009999999998E-4</v>
      </c>
      <c r="X4901">
        <v>0.99953539999999996</v>
      </c>
      <c r="Y4901">
        <v>-2.6171469999999999E-2</v>
      </c>
      <c r="Z4901">
        <v>-7.0958339999999999E-4</v>
      </c>
      <c r="AA4901">
        <v>0.99965720000000002</v>
      </c>
      <c r="AB4901">
        <v>26</v>
      </c>
      <c r="AC4901">
        <v>-37.0276</v>
      </c>
      <c r="AD4901">
        <v>-1.1086437094149999</v>
      </c>
      <c r="AE4901">
        <v>-0.577699999999992</v>
      </c>
      <c r="AF4901">
        <v>-0.97589423087628802</v>
      </c>
      <c r="AG4901">
        <v>-1.1086437094149999</v>
      </c>
      <c r="AH4901">
        <v>36.986073710377099</v>
      </c>
      <c r="AI4901">
        <v>91.716308479259695</v>
      </c>
      <c r="AJ4901">
        <v>91.511424293498607</v>
      </c>
      <c r="AK4901">
        <v>37.015552257581298</v>
      </c>
      <c r="AL4901">
        <v>89.974656349877407</v>
      </c>
      <c r="AM4901">
        <v>88.253686322942499</v>
      </c>
      <c r="AN4901">
        <v>0.99999994418735705</v>
      </c>
    </row>
    <row r="4902" spans="1:40" x14ac:dyDescent="0.25">
      <c r="A4902" t="str">
        <f>"20190312160742196"</f>
        <v>20190312160742196</v>
      </c>
      <c r="B4902" t="str">
        <f>"1552378062190086"</f>
        <v>1552378062190086</v>
      </c>
      <c r="C4902" t="s">
        <v>40</v>
      </c>
      <c r="D4902">
        <v>6.0687089999999904</v>
      </c>
      <c r="E4902">
        <v>0.4781106</v>
      </c>
      <c r="F4902" t="s">
        <v>89</v>
      </c>
      <c r="G4902">
        <v>-283.4239</v>
      </c>
      <c r="H4902" s="1">
        <v>-5.7175279999999998E-6</v>
      </c>
      <c r="I4902">
        <v>141.41370000000001</v>
      </c>
      <c r="J4902">
        <v>-244.35589999999999</v>
      </c>
      <c r="K4902">
        <v>1.108679</v>
      </c>
      <c r="L4902">
        <v>142.0376</v>
      </c>
      <c r="M4902">
        <v>-0.99990060000000003</v>
      </c>
      <c r="N4902">
        <v>0</v>
      </c>
      <c r="O4902">
        <v>1.137406E-2</v>
      </c>
      <c r="P4902">
        <v>-0.9990907</v>
      </c>
      <c r="Q4902">
        <v>-7.3654100000000002E-3</v>
      </c>
      <c r="R4902">
        <v>4.1998029999999999E-2</v>
      </c>
      <c r="S4902">
        <v>-3.0039370000000001</v>
      </c>
      <c r="T4902">
        <v>-8.4671620000000003E-2</v>
      </c>
      <c r="U4902">
        <v>-4.7378539999999997E-2</v>
      </c>
      <c r="V4902">
        <v>3.0632260000000001E-2</v>
      </c>
      <c r="W4902">
        <v>9.4014800000000003E-4</v>
      </c>
      <c r="X4902">
        <v>0.99953029999999998</v>
      </c>
      <c r="Y4902">
        <v>-2.7126919999999999E-2</v>
      </c>
      <c r="Z4902">
        <v>-7.0274080000000004E-4</v>
      </c>
      <c r="AA4902">
        <v>0.99963179999999996</v>
      </c>
      <c r="AB4902">
        <v>26</v>
      </c>
      <c r="AC4902">
        <v>-39.067999999999998</v>
      </c>
      <c r="AD4902">
        <v>-1.1086847175279999</v>
      </c>
      <c r="AE4902">
        <v>-0.62389999999999102</v>
      </c>
      <c r="AF4902">
        <v>-1.06737746832544</v>
      </c>
      <c r="AG4902">
        <v>-1.1086847175279999</v>
      </c>
      <c r="AH4902">
        <v>39.026954565958803</v>
      </c>
      <c r="AI4902">
        <v>91.626623201770002</v>
      </c>
      <c r="AJ4902">
        <v>91.566634730706397</v>
      </c>
      <c r="AK4902">
        <v>39.057286889339601</v>
      </c>
      <c r="AL4902">
        <v>89.946133480620304</v>
      </c>
      <c r="AM4902">
        <v>88.244625449456393</v>
      </c>
      <c r="AN4902">
        <v>1.00000001992452</v>
      </c>
    </row>
    <row r="4903" spans="1:40" x14ac:dyDescent="0.25">
      <c r="A4903" t="str">
        <f>"20190312160742219"</f>
        <v>20190312160742219</v>
      </c>
      <c r="B4903" t="str">
        <f>"1552378062210582"</f>
        <v>1552378062210582</v>
      </c>
      <c r="C4903" t="s">
        <v>40</v>
      </c>
      <c r="D4903">
        <v>6.1581640000000002</v>
      </c>
      <c r="E4903">
        <v>0.4780124</v>
      </c>
      <c r="F4903" t="s">
        <v>89</v>
      </c>
      <c r="G4903">
        <v>-281.45389999999998</v>
      </c>
      <c r="H4903" s="1">
        <v>-4.8618840000000004E-6</v>
      </c>
      <c r="I4903">
        <v>141.4693</v>
      </c>
      <c r="J4903">
        <v>-244.61539999999999</v>
      </c>
      <c r="K4903">
        <v>1.1087279999999999</v>
      </c>
      <c r="L4903">
        <v>142.0412</v>
      </c>
      <c r="M4903">
        <v>-0.99989459999999997</v>
      </c>
      <c r="N4903">
        <v>0</v>
      </c>
      <c r="O4903">
        <v>1.1893529999999999E-2</v>
      </c>
      <c r="P4903">
        <v>-0.99909539999999997</v>
      </c>
      <c r="Q4903">
        <v>-6.6312419999999999E-3</v>
      </c>
      <c r="R4903">
        <v>4.2011310000000003E-2</v>
      </c>
      <c r="S4903">
        <v>-3.0039829999999998</v>
      </c>
      <c r="T4903">
        <v>-8.9774850000000003E-2</v>
      </c>
      <c r="U4903">
        <v>-4.6020510000000001E-2</v>
      </c>
      <c r="V4903">
        <v>3.012683E-2</v>
      </c>
      <c r="W4903">
        <v>1.6916429999999901E-3</v>
      </c>
      <c r="X4903">
        <v>0.99954469999999995</v>
      </c>
      <c r="Y4903">
        <v>-2.7192049999999999E-2</v>
      </c>
      <c r="Z4903">
        <v>-7.6156170000000003E-4</v>
      </c>
      <c r="AA4903">
        <v>0.99962989999999996</v>
      </c>
      <c r="AB4903">
        <v>26</v>
      </c>
      <c r="AC4903">
        <v>-36.838499999999897</v>
      </c>
      <c r="AD4903">
        <v>-1.108732861884</v>
      </c>
      <c r="AE4903">
        <v>-0.57189999999999896</v>
      </c>
      <c r="AF4903">
        <v>-1.0091006805495999</v>
      </c>
      <c r="AG4903">
        <v>-1.108732861884</v>
      </c>
      <c r="AH4903">
        <v>36.795769136271502</v>
      </c>
      <c r="AI4903">
        <v>91.725270216265699</v>
      </c>
      <c r="AJ4903">
        <v>91.570906745467497</v>
      </c>
      <c r="AK4903">
        <v>36.8262976563256</v>
      </c>
      <c r="AL4903">
        <v>89.903075954025994</v>
      </c>
      <c r="AM4903">
        <v>88.273596180218206</v>
      </c>
      <c r="AN4903">
        <v>1.0000000474199799</v>
      </c>
    </row>
    <row r="4904" spans="1:40" x14ac:dyDescent="0.25">
      <c r="A4904" t="str">
        <f>"20190312160742264"</f>
        <v>20190312160742264</v>
      </c>
      <c r="B4904" t="str">
        <f>"1552378062260358"</f>
        <v>1552378062260358</v>
      </c>
      <c r="C4904" t="s">
        <v>40</v>
      </c>
      <c r="D4904">
        <v>5.9959819999999997</v>
      </c>
      <c r="E4904">
        <v>0.4777595</v>
      </c>
      <c r="F4904" t="s">
        <v>89</v>
      </c>
      <c r="G4904">
        <v>-280.5659</v>
      </c>
      <c r="H4904" s="1">
        <v>-4.4731749999999997E-6</v>
      </c>
      <c r="I4904">
        <v>141.48500000000001</v>
      </c>
      <c r="J4904">
        <v>-245.13560000000001</v>
      </c>
      <c r="K4904">
        <v>1.1088119999999999</v>
      </c>
      <c r="L4904">
        <v>142.04849999999999</v>
      </c>
      <c r="M4904">
        <v>-0.99988350000000004</v>
      </c>
      <c r="N4904">
        <v>0</v>
      </c>
      <c r="O4904">
        <v>1.2761049999999999E-2</v>
      </c>
      <c r="P4904">
        <v>-0.99911740000000004</v>
      </c>
      <c r="Q4904">
        <v>-6.9083950000000003E-3</v>
      </c>
      <c r="R4904">
        <v>4.1434169999999999E-2</v>
      </c>
      <c r="S4904">
        <v>-3.0040589999999998</v>
      </c>
      <c r="T4904">
        <v>-9.2646720000000002E-2</v>
      </c>
      <c r="U4904">
        <v>-4.6478270000000002E-2</v>
      </c>
      <c r="V4904">
        <v>2.8681539999999998E-2</v>
      </c>
      <c r="W4904">
        <v>1.4494099999999999E-3</v>
      </c>
      <c r="X4904">
        <v>0.99958749999999996</v>
      </c>
      <c r="Y4904">
        <v>-2.82092E-2</v>
      </c>
      <c r="Z4904">
        <v>-8.2831949999999995E-4</v>
      </c>
      <c r="AA4904">
        <v>0.99960170000000004</v>
      </c>
      <c r="AB4904">
        <v>26</v>
      </c>
      <c r="AC4904">
        <v>-35.430299999999903</v>
      </c>
      <c r="AD4904">
        <v>-1.1088164731749901</v>
      </c>
      <c r="AE4904">
        <v>-0.56349999999997602</v>
      </c>
      <c r="AF4904">
        <v>-1.0146043266396201</v>
      </c>
      <c r="AG4904">
        <v>-1.1088164731749901</v>
      </c>
      <c r="AH4904">
        <v>35.385575131049002</v>
      </c>
      <c r="AI4904">
        <v>91.794054474246394</v>
      </c>
      <c r="AJ4904">
        <v>91.642381749600901</v>
      </c>
      <c r="AK4904">
        <v>35.417479064240801</v>
      </c>
      <c r="AL4904">
        <v>89.916954891056804</v>
      </c>
      <c r="AM4904">
        <v>88.356441607815597</v>
      </c>
      <c r="AN4904">
        <v>0.99999995084118298</v>
      </c>
    </row>
    <row r="4905" spans="1:40" x14ac:dyDescent="0.25">
      <c r="A4905" t="str">
        <f>"20190312160742285"</f>
        <v>20190312160742285</v>
      </c>
      <c r="B4905" t="str">
        <f>"1552378062279878"</f>
        <v>1552378062279878</v>
      </c>
      <c r="C4905" t="s">
        <v>40</v>
      </c>
      <c r="D4905">
        <v>5.9983069999999996</v>
      </c>
      <c r="E4905">
        <v>0.47760370000000002</v>
      </c>
      <c r="F4905" t="s">
        <v>47</v>
      </c>
      <c r="G4905">
        <v>-279.29360000000003</v>
      </c>
      <c r="H4905" s="1">
        <v>-7.8055669999999898E-7</v>
      </c>
      <c r="I4905">
        <v>141.47720000000001</v>
      </c>
      <c r="J4905">
        <v>-245.3844</v>
      </c>
      <c r="K4905">
        <v>1.1088519999999999</v>
      </c>
      <c r="L4905">
        <v>142.05199999999999</v>
      </c>
      <c r="M4905">
        <v>-0.99987910000000002</v>
      </c>
      <c r="N4905">
        <v>0</v>
      </c>
      <c r="O4905">
        <v>1.308608E-2</v>
      </c>
      <c r="P4905">
        <v>-0.99911280000000002</v>
      </c>
      <c r="Q4905">
        <v>-6.896424E-3</v>
      </c>
      <c r="R4905">
        <v>4.1548330000000001E-2</v>
      </c>
      <c r="S4905">
        <v>-3.0040589999999998</v>
      </c>
      <c r="T4905">
        <v>-9.7515820000000003E-2</v>
      </c>
      <c r="U4905">
        <v>-5.0231930000000001E-2</v>
      </c>
      <c r="V4905">
        <v>2.84709E-2</v>
      </c>
      <c r="W4905">
        <v>1.47754299999999E-3</v>
      </c>
      <c r="X4905">
        <v>0.99959359999999997</v>
      </c>
      <c r="Y4905">
        <v>-2.9779719999999999E-2</v>
      </c>
      <c r="Z4905">
        <v>-9.0785189999999997E-4</v>
      </c>
      <c r="AA4905">
        <v>0.99955609999999995</v>
      </c>
      <c r="AB4905">
        <v>26</v>
      </c>
      <c r="AC4905">
        <v>-33.909199999999998</v>
      </c>
      <c r="AD4905">
        <v>-1.1088527805566999</v>
      </c>
      <c r="AE4905">
        <v>-0.57480000000000997</v>
      </c>
      <c r="AF4905">
        <v>-1.0174172892028199</v>
      </c>
      <c r="AG4905">
        <v>-1.1088527805566999</v>
      </c>
      <c r="AH4905">
        <v>33.862574184822499</v>
      </c>
      <c r="AI4905">
        <v>91.874673323079307</v>
      </c>
      <c r="AJ4905">
        <v>91.720961456527206</v>
      </c>
      <c r="AK4905">
        <v>33.895997150871999</v>
      </c>
      <c r="AL4905">
        <v>89.915342997192596</v>
      </c>
      <c r="AM4905">
        <v>88.368515462456301</v>
      </c>
      <c r="AN4905">
        <v>1.00000007022054</v>
      </c>
    </row>
    <row r="4906" spans="1:40" x14ac:dyDescent="0.25">
      <c r="A4906" t="str">
        <f>"20190312160742309"</f>
        <v>20190312160742309</v>
      </c>
      <c r="B4906" t="str">
        <f>"1552378062300374"</f>
        <v>1552378062300374</v>
      </c>
      <c r="C4906" t="s">
        <v>40</v>
      </c>
      <c r="D4906">
        <v>5.984648</v>
      </c>
      <c r="E4906">
        <v>0.4775237</v>
      </c>
      <c r="F4906" t="s">
        <v>47</v>
      </c>
      <c r="G4906">
        <v>-279.65989999999999</v>
      </c>
      <c r="H4906" s="1">
        <v>-6.2107900000000003E-7</v>
      </c>
      <c r="I4906">
        <v>141.4684</v>
      </c>
      <c r="J4906">
        <v>-245.66589999999999</v>
      </c>
      <c r="K4906">
        <v>1.108895</v>
      </c>
      <c r="L4906">
        <v>142.05609999999999</v>
      </c>
      <c r="M4906">
        <v>-0.99987510000000002</v>
      </c>
      <c r="N4906">
        <v>0</v>
      </c>
      <c r="O4906">
        <v>1.3384999999999999E-2</v>
      </c>
      <c r="P4906">
        <v>-0.99908710000000001</v>
      </c>
      <c r="Q4906">
        <v>-6.7566700000000002E-3</v>
      </c>
      <c r="R4906">
        <v>4.2185239999999999E-2</v>
      </c>
      <c r="S4906">
        <v>-3.0041350000000002</v>
      </c>
      <c r="T4906">
        <v>-9.7187519999999999E-2</v>
      </c>
      <c r="U4906">
        <v>-5.1147459999999999E-2</v>
      </c>
      <c r="V4906">
        <v>2.8809129999999999E-2</v>
      </c>
      <c r="W4906">
        <v>1.634899E-3</v>
      </c>
      <c r="X4906">
        <v>0.99958360000000002</v>
      </c>
      <c r="Y4906">
        <v>-3.0382329999999999E-2</v>
      </c>
      <c r="Z4906">
        <v>-9.2418380000000003E-4</v>
      </c>
      <c r="AA4906">
        <v>0.99953789999999998</v>
      </c>
      <c r="AB4906">
        <v>26</v>
      </c>
      <c r="AC4906">
        <v>-33.994</v>
      </c>
      <c r="AD4906">
        <v>-1.108895621079</v>
      </c>
      <c r="AE4906">
        <v>-0.58769999999998301</v>
      </c>
      <c r="AF4906">
        <v>-1.0415651230507199</v>
      </c>
      <c r="AG4906">
        <v>-1.108895621079</v>
      </c>
      <c r="AH4906">
        <v>33.946976139491497</v>
      </c>
      <c r="AI4906">
        <v>91.870051764833406</v>
      </c>
      <c r="AJ4906">
        <v>91.757404529458697</v>
      </c>
      <c r="AK4906">
        <v>33.9810490776729</v>
      </c>
      <c r="AL4906">
        <v>89.906327146214096</v>
      </c>
      <c r="AM4906">
        <v>88.349127828051394</v>
      </c>
      <c r="AN4906">
        <v>1.00000000612752</v>
      </c>
    </row>
    <row r="4907" spans="1:40" x14ac:dyDescent="0.25">
      <c r="A4907" t="str">
        <f>"20190312160742331"</f>
        <v>20190312160742331</v>
      </c>
      <c r="B4907" t="str">
        <f>"1552378062319893"</f>
        <v>1552378062319893</v>
      </c>
      <c r="C4907" t="s">
        <v>40</v>
      </c>
      <c r="D4907">
        <v>5.9703989999999996</v>
      </c>
      <c r="E4907">
        <v>0.47773769999999999</v>
      </c>
      <c r="F4907" t="s">
        <v>89</v>
      </c>
      <c r="G4907">
        <v>-280.2097</v>
      </c>
      <c r="H4907" s="1">
        <v>-4.3143450000000001E-6</v>
      </c>
      <c r="I4907">
        <v>141.48230000000001</v>
      </c>
      <c r="J4907">
        <v>-245.92089999999999</v>
      </c>
      <c r="K4907">
        <v>1.1089290000000001</v>
      </c>
      <c r="L4907">
        <v>142.05969999999999</v>
      </c>
      <c r="M4907">
        <v>-0.99987210000000004</v>
      </c>
      <c r="N4907">
        <v>0</v>
      </c>
      <c r="O4907">
        <v>1.3597410000000001E-2</v>
      </c>
      <c r="P4907">
        <v>-0.99906079999999997</v>
      </c>
      <c r="Q4907">
        <v>-7.0704740000000002E-3</v>
      </c>
      <c r="R4907">
        <v>4.2751589999999999E-2</v>
      </c>
      <c r="S4907">
        <v>-3.0041959999999999</v>
      </c>
      <c r="T4907">
        <v>-9.6438650000000001E-2</v>
      </c>
      <c r="U4907">
        <v>-4.9896240000000001E-2</v>
      </c>
      <c r="V4907">
        <v>2.9163069999999999E-2</v>
      </c>
      <c r="W4907">
        <v>1.3368760000000001E-3</v>
      </c>
      <c r="X4907">
        <v>0.99957379999999996</v>
      </c>
      <c r="Y4907">
        <v>-3.0178489999999999E-2</v>
      </c>
      <c r="Z4907">
        <v>-9.2059640000000001E-4</v>
      </c>
      <c r="AA4907">
        <v>0.99954410000000005</v>
      </c>
      <c r="AB4907">
        <v>26</v>
      </c>
      <c r="AC4907">
        <v>-34.288800000000002</v>
      </c>
      <c r="AD4907">
        <v>-1.108933314345</v>
      </c>
      <c r="AE4907">
        <v>-0.57739999999998204</v>
      </c>
      <c r="AF4907">
        <v>-1.0425119212131</v>
      </c>
      <c r="AG4907">
        <v>-1.108933314345</v>
      </c>
      <c r="AH4907">
        <v>34.241973528325602</v>
      </c>
      <c r="AI4907">
        <v>91.854028773281598</v>
      </c>
      <c r="AJ4907">
        <v>91.743856493544698</v>
      </c>
      <c r="AK4907">
        <v>34.275783219586501</v>
      </c>
      <c r="AL4907">
        <v>89.923402626701701</v>
      </c>
      <c r="AM4907">
        <v>88.328840782852595</v>
      </c>
      <c r="AN4907">
        <v>1.0000000267678499</v>
      </c>
    </row>
    <row r="4908" spans="1:40" x14ac:dyDescent="0.25">
      <c r="A4908" t="str">
        <f>"20190312160742353"</f>
        <v>20190312160742353</v>
      </c>
      <c r="B4908" t="str">
        <f>"1552378062340410"</f>
        <v>1552378062340410</v>
      </c>
      <c r="C4908" t="s">
        <v>40</v>
      </c>
      <c r="D4908">
        <v>5.9448800000000004</v>
      </c>
      <c r="E4908">
        <v>0.47783160000000002</v>
      </c>
      <c r="F4908" t="s">
        <v>47</v>
      </c>
      <c r="G4908">
        <v>-278.45229999999998</v>
      </c>
      <c r="H4908" s="1">
        <v>-1.163411E-6</v>
      </c>
      <c r="I4908">
        <v>141.55959999999999</v>
      </c>
      <c r="J4908">
        <v>-246.16720000000001</v>
      </c>
      <c r="K4908">
        <v>1.1089629999999999</v>
      </c>
      <c r="L4908">
        <v>142.0633</v>
      </c>
      <c r="M4908">
        <v>-0.99986980000000003</v>
      </c>
      <c r="N4908">
        <v>0</v>
      </c>
      <c r="O4908">
        <v>1.375621E-2</v>
      </c>
      <c r="P4908">
        <v>-0.99903319999999995</v>
      </c>
      <c r="Q4908">
        <v>-7.8131109999999993E-3</v>
      </c>
      <c r="R4908">
        <v>4.3262879999999997E-2</v>
      </c>
      <c r="S4908">
        <v>-3.0040589999999998</v>
      </c>
      <c r="T4908">
        <v>-0.1024027</v>
      </c>
      <c r="U4908">
        <v>-4.6173100000000002E-2</v>
      </c>
      <c r="V4908">
        <v>2.9515509999999998E-2</v>
      </c>
      <c r="W4908">
        <v>6.0969989999999999E-4</v>
      </c>
      <c r="X4908">
        <v>0.99956409999999996</v>
      </c>
      <c r="Y4908">
        <v>-2.909716E-2</v>
      </c>
      <c r="Z4908">
        <v>-9.6453770000000003E-4</v>
      </c>
      <c r="AA4908">
        <v>0.99957620000000003</v>
      </c>
      <c r="AB4908">
        <v>26</v>
      </c>
      <c r="AC4908">
        <v>-32.2850999999999</v>
      </c>
      <c r="AD4908">
        <v>-1.1089641634109999</v>
      </c>
      <c r="AE4908">
        <v>-0.50370000000000903</v>
      </c>
      <c r="AF4908">
        <v>-0.94667208237036804</v>
      </c>
      <c r="AG4908">
        <v>-1.1089641634109999</v>
      </c>
      <c r="AH4908">
        <v>32.237089659688799</v>
      </c>
      <c r="AI4908">
        <v>91.969364310100801</v>
      </c>
      <c r="AJ4908">
        <v>91.6820603850488</v>
      </c>
      <c r="AK4908">
        <v>32.270047091290103</v>
      </c>
      <c r="AL4908">
        <v>89.965066765522295</v>
      </c>
      <c r="AM4908">
        <v>88.308639834362793</v>
      </c>
      <c r="AN4908">
        <v>0.99999996353666798</v>
      </c>
    </row>
    <row r="4909" spans="1:40" x14ac:dyDescent="0.25">
      <c r="A4909" t="str">
        <f>"20190312160742374"</f>
        <v>20190312160742374</v>
      </c>
      <c r="B4909" t="str">
        <f>"1552378062370645"</f>
        <v>1552378062370645</v>
      </c>
      <c r="C4909" t="s">
        <v>40</v>
      </c>
      <c r="D4909">
        <v>5.8861420000000004</v>
      </c>
      <c r="E4909">
        <v>0.47796840000000002</v>
      </c>
      <c r="F4909" t="s">
        <v>47</v>
      </c>
      <c r="G4909">
        <v>-275.42070000000001</v>
      </c>
      <c r="H4909" s="1">
        <v>-2.4850660000000001E-6</v>
      </c>
      <c r="I4909">
        <v>141.63910000000001</v>
      </c>
      <c r="J4909">
        <v>-246.42400000000001</v>
      </c>
      <c r="K4909">
        <v>1.1089929999999999</v>
      </c>
      <c r="L4909">
        <v>142.0669</v>
      </c>
      <c r="M4909">
        <v>-0.99986799999999998</v>
      </c>
      <c r="N4909">
        <v>0</v>
      </c>
      <c r="O4909">
        <v>1.3879860000000001E-2</v>
      </c>
      <c r="P4909">
        <v>-0.999027</v>
      </c>
      <c r="Q4909">
        <v>-8.1381019999999995E-3</v>
      </c>
      <c r="R4909">
        <v>4.3346549999999998E-2</v>
      </c>
      <c r="S4909">
        <v>-3.0038909999999999</v>
      </c>
      <c r="T4909">
        <v>-0.1138738</v>
      </c>
      <c r="U4909">
        <v>-4.3548580000000003E-2</v>
      </c>
      <c r="V4909">
        <v>2.9475560000000001E-2</v>
      </c>
      <c r="W4909">
        <v>3.0118620000000001E-4</v>
      </c>
      <c r="X4909">
        <v>0.9995655</v>
      </c>
      <c r="Y4909">
        <v>-2.8343050000000002E-2</v>
      </c>
      <c r="Z4909">
        <v>-1.062976E-3</v>
      </c>
      <c r="AA4909">
        <v>0.99959770000000003</v>
      </c>
      <c r="AB4909">
        <v>26</v>
      </c>
      <c r="AC4909">
        <v>-28.996700000000001</v>
      </c>
      <c r="AD4909">
        <v>-1.108995485066</v>
      </c>
      <c r="AE4909">
        <v>-0.42779999999999002</v>
      </c>
      <c r="AF4909">
        <v>-0.82903089931900198</v>
      </c>
      <c r="AG4909">
        <v>-1.108995485066</v>
      </c>
      <c r="AH4909">
        <v>28.9456382678914</v>
      </c>
      <c r="AI4909">
        <v>92.193204035937896</v>
      </c>
      <c r="AJ4909">
        <v>91.640557703961903</v>
      </c>
      <c r="AK4909">
        <v>28.978735961969502</v>
      </c>
      <c r="AL4909">
        <v>89.982743302391995</v>
      </c>
      <c r="AM4909">
        <v>88.310930171066502</v>
      </c>
      <c r="AN4909">
        <v>1.00000004407034</v>
      </c>
    </row>
    <row r="4910" spans="1:40" x14ac:dyDescent="0.25">
      <c r="A4910" t="str">
        <f>"20190312160742397"</f>
        <v>20190312160742397</v>
      </c>
      <c r="B4910" t="str">
        <f>"1552378062390166"</f>
        <v>1552378062390166</v>
      </c>
      <c r="C4910" t="s">
        <v>40</v>
      </c>
      <c r="D4910">
        <v>5.8566089999999997</v>
      </c>
      <c r="E4910">
        <v>0.47799150000000001</v>
      </c>
      <c r="F4910" t="s">
        <v>47</v>
      </c>
      <c r="G4910">
        <v>-274.15260000000001</v>
      </c>
      <c r="H4910" s="1">
        <v>-3.039964E-6</v>
      </c>
      <c r="I4910">
        <v>141.68010000000001</v>
      </c>
      <c r="J4910">
        <v>-246.69649999999999</v>
      </c>
      <c r="K4910">
        <v>1.109011</v>
      </c>
      <c r="L4910">
        <v>142.07079999999999</v>
      </c>
      <c r="M4910">
        <v>-0.99986649999999999</v>
      </c>
      <c r="N4910">
        <v>0</v>
      </c>
      <c r="O4910">
        <v>1.3968100000000001E-2</v>
      </c>
      <c r="P4910">
        <v>-0.99903030000000004</v>
      </c>
      <c r="Q4910">
        <v>-8.2871160000000006E-3</v>
      </c>
      <c r="R4910">
        <v>4.324165E-2</v>
      </c>
      <c r="S4910">
        <v>-3.0037379999999998</v>
      </c>
      <c r="T4910">
        <v>-0.1201333</v>
      </c>
      <c r="U4910">
        <v>-4.1900630000000001E-2</v>
      </c>
      <c r="V4910">
        <v>2.9282430000000002E-2</v>
      </c>
      <c r="W4910">
        <v>1.6814869999999901E-4</v>
      </c>
      <c r="X4910">
        <v>0.99957110000000005</v>
      </c>
      <c r="Y4910">
        <v>-2.788057E-2</v>
      </c>
      <c r="Z4910">
        <v>-1.1157039999999999E-3</v>
      </c>
      <c r="AA4910">
        <v>0.99961069999999996</v>
      </c>
      <c r="AB4910">
        <v>26</v>
      </c>
      <c r="AC4910">
        <v>-27.456099999999999</v>
      </c>
      <c r="AD4910">
        <v>-1.1090140399640001</v>
      </c>
      <c r="AE4910">
        <v>-0.39069999999998101</v>
      </c>
      <c r="AF4910">
        <v>-0.77292441656375399</v>
      </c>
      <c r="AG4910">
        <v>-1.1090140399640001</v>
      </c>
      <c r="AH4910">
        <v>27.403263362531099</v>
      </c>
      <c r="AI4910">
        <v>92.316583529628502</v>
      </c>
      <c r="AJ4910">
        <v>91.615631254897707</v>
      </c>
      <c r="AK4910">
        <v>27.4365844669266</v>
      </c>
      <c r="AL4910">
        <v>89.990365788501904</v>
      </c>
      <c r="AM4910">
        <v>88.322000355353396</v>
      </c>
      <c r="AN4910">
        <v>0.99999993646794805</v>
      </c>
    </row>
    <row r="4911" spans="1:40" x14ac:dyDescent="0.25">
      <c r="A4911" t="str">
        <f>"20190312160742421"</f>
        <v>20190312160742421</v>
      </c>
      <c r="B4911" t="str">
        <f>"1552378062410665"</f>
        <v>1552378062410665</v>
      </c>
      <c r="C4911" t="s">
        <v>40</v>
      </c>
      <c r="D4911">
        <v>5.896617</v>
      </c>
      <c r="E4911">
        <v>0.4779197</v>
      </c>
      <c r="F4911" t="s">
        <v>47</v>
      </c>
      <c r="G4911">
        <v>-273.66050000000001</v>
      </c>
      <c r="H4911" s="1">
        <v>-3.2546460000000001E-6</v>
      </c>
      <c r="I4911">
        <v>141.6934</v>
      </c>
      <c r="J4911">
        <v>-246.9753</v>
      </c>
      <c r="K4911">
        <v>1.109032</v>
      </c>
      <c r="L4911">
        <v>142.07480000000001</v>
      </c>
      <c r="M4911">
        <v>-0.99986580000000003</v>
      </c>
      <c r="N4911">
        <v>0</v>
      </c>
      <c r="O4911">
        <v>1.4029120000000001E-2</v>
      </c>
      <c r="P4911">
        <v>-0.99905659999999996</v>
      </c>
      <c r="Q4911">
        <v>-8.2301869999999999E-3</v>
      </c>
      <c r="R4911">
        <v>4.2644790000000002E-2</v>
      </c>
      <c r="S4911">
        <v>-3.0036770000000002</v>
      </c>
      <c r="T4911">
        <v>-0.12353989999999999</v>
      </c>
      <c r="U4911">
        <v>-4.2037959999999999E-2</v>
      </c>
      <c r="V4911">
        <v>2.8624340000000002E-2</v>
      </c>
      <c r="W4911">
        <v>2.420585E-4</v>
      </c>
      <c r="X4911">
        <v>0.99959019999999998</v>
      </c>
      <c r="Y4911">
        <v>-2.798548E-2</v>
      </c>
      <c r="Z4911">
        <v>-1.1520040000000001E-3</v>
      </c>
      <c r="AA4911">
        <v>0.99960769999999999</v>
      </c>
      <c r="AB4911">
        <v>26</v>
      </c>
      <c r="AC4911">
        <v>-26.685199999999998</v>
      </c>
      <c r="AD4911">
        <v>-1.1090352546460001</v>
      </c>
      <c r="AE4911">
        <v>-0.38140000000001301</v>
      </c>
      <c r="AF4911">
        <v>-0.75444290329666397</v>
      </c>
      <c r="AG4911">
        <v>-1.1090352546460001</v>
      </c>
      <c r="AH4911">
        <v>26.631233914965001</v>
      </c>
      <c r="AI4911">
        <v>92.383701267710293</v>
      </c>
      <c r="AJ4911">
        <v>91.622712496755895</v>
      </c>
      <c r="AK4911">
        <v>26.664991339281599</v>
      </c>
      <c r="AL4911">
        <v>89.986131069276198</v>
      </c>
      <c r="AM4911">
        <v>88.359722015242696</v>
      </c>
      <c r="AN4911">
        <v>0.99999998968439596</v>
      </c>
    </row>
    <row r="4912" spans="1:40" x14ac:dyDescent="0.25">
      <c r="A4912" t="str">
        <f>"20190312160742442"</f>
        <v>20190312160742442</v>
      </c>
      <c r="B4912" t="str">
        <f>"1552378062430182"</f>
        <v>1552378062430182</v>
      </c>
      <c r="C4912" t="s">
        <v>40</v>
      </c>
      <c r="D4912">
        <v>5.8461410000000003</v>
      </c>
      <c r="E4912">
        <v>0.4777923</v>
      </c>
      <c r="F4912" t="s">
        <v>47</v>
      </c>
      <c r="G4912">
        <v>-274.06830000000002</v>
      </c>
      <c r="H4912" s="1">
        <v>-3.0748059999999999E-6</v>
      </c>
      <c r="I4912">
        <v>141.67500000000001</v>
      </c>
      <c r="J4912">
        <v>-247.22630000000001</v>
      </c>
      <c r="K4912">
        <v>1.1090420000000001</v>
      </c>
      <c r="L4912">
        <v>142.07839999999999</v>
      </c>
      <c r="M4912">
        <v>-0.999865</v>
      </c>
      <c r="N4912">
        <v>0</v>
      </c>
      <c r="O4912">
        <v>1.40641E-2</v>
      </c>
      <c r="P4912">
        <v>-0.99907559999999995</v>
      </c>
      <c r="Q4912">
        <v>-7.9255619999999902E-3</v>
      </c>
      <c r="R4912">
        <v>4.2253409999999998E-2</v>
      </c>
      <c r="S4912">
        <v>-3.0036930000000002</v>
      </c>
      <c r="T4912">
        <v>-0.1229542</v>
      </c>
      <c r="U4912">
        <v>-4.431152E-2</v>
      </c>
      <c r="V4912">
        <v>2.8197670000000001E-2</v>
      </c>
      <c r="W4912">
        <v>5.6106250000000004E-4</v>
      </c>
      <c r="X4912">
        <v>0.9996022</v>
      </c>
      <c r="Y4912">
        <v>-2.8776489999999998E-2</v>
      </c>
      <c r="Z4912">
        <v>-1.164149E-3</v>
      </c>
      <c r="AA4912">
        <v>0.99958519999999895</v>
      </c>
      <c r="AB4912">
        <v>26</v>
      </c>
      <c r="AC4912">
        <v>-26.841999999999999</v>
      </c>
      <c r="AD4912">
        <v>-1.1090450748059999</v>
      </c>
      <c r="AE4912">
        <v>-0.403399999999976</v>
      </c>
      <c r="AF4912">
        <v>-0.77955179482159598</v>
      </c>
      <c r="AG4912">
        <v>-1.1090450748059999</v>
      </c>
      <c r="AH4912">
        <v>26.787950950412601</v>
      </c>
      <c r="AI4912">
        <v>92.369740449000801</v>
      </c>
      <c r="AJ4912">
        <v>91.666884709387105</v>
      </c>
      <c r="AK4912">
        <v>26.822229551259799</v>
      </c>
      <c r="AL4912">
        <v>89.967853484725097</v>
      </c>
      <c r="AM4912">
        <v>88.384178073788604</v>
      </c>
      <c r="AN4912">
        <v>0.99999999081469804</v>
      </c>
    </row>
    <row r="4913" spans="1:40" x14ac:dyDescent="0.25">
      <c r="A4913" t="str">
        <f>"20190312160742465"</f>
        <v>20190312160742465</v>
      </c>
      <c r="B4913" t="str">
        <f>"1552378062460439"</f>
        <v>1552378062460439</v>
      </c>
      <c r="C4913" t="s">
        <v>40</v>
      </c>
      <c r="D4913">
        <v>5.8462759999999996</v>
      </c>
      <c r="E4913">
        <v>0.47783599999999998</v>
      </c>
      <c r="F4913" t="s">
        <v>47</v>
      </c>
      <c r="G4913">
        <v>-274.57209999999998</v>
      </c>
      <c r="H4913" s="1">
        <v>-2.8533249999999999E-6</v>
      </c>
      <c r="I4913">
        <v>141.6549</v>
      </c>
      <c r="J4913">
        <v>-247.4905</v>
      </c>
      <c r="K4913">
        <v>1.1090599999999999</v>
      </c>
      <c r="L4913">
        <v>142.0822</v>
      </c>
      <c r="M4913">
        <v>-0.9998648</v>
      </c>
      <c r="N4913">
        <v>0</v>
      </c>
      <c r="O4913">
        <v>1.408301E-2</v>
      </c>
      <c r="P4913">
        <v>-0.99907420000000002</v>
      </c>
      <c r="Q4913">
        <v>-8.2707030000000008E-3</v>
      </c>
      <c r="R4913">
        <v>4.2224150000000002E-2</v>
      </c>
      <c r="S4913">
        <v>-3.003784</v>
      </c>
      <c r="T4913">
        <v>-0.1218225</v>
      </c>
      <c r="U4913">
        <v>-4.6508790000000001E-2</v>
      </c>
      <c r="V4913">
        <v>2.8149549999999999E-2</v>
      </c>
      <c r="W4913">
        <v>2.306144E-4</v>
      </c>
      <c r="X4913">
        <v>0.99960369999999998</v>
      </c>
      <c r="Y4913">
        <v>-2.9526E-2</v>
      </c>
      <c r="Z4913">
        <v>-1.1693599999999999E-3</v>
      </c>
      <c r="AA4913">
        <v>0.99956330000000004</v>
      </c>
      <c r="AB4913">
        <v>26</v>
      </c>
      <c r="AC4913">
        <v>-27.081599999999899</v>
      </c>
      <c r="AD4913">
        <v>-1.109062853325</v>
      </c>
      <c r="AE4913">
        <v>-0.42730000000000201</v>
      </c>
      <c r="AF4913">
        <v>-0.80730819114419505</v>
      </c>
      <c r="AG4913">
        <v>-1.109062853325</v>
      </c>
      <c r="AH4913">
        <v>27.0275790598218</v>
      </c>
      <c r="AI4913">
        <v>92.348738287621003</v>
      </c>
      <c r="AJ4913">
        <v>91.710904367882193</v>
      </c>
      <c r="AK4913">
        <v>27.062368646573201</v>
      </c>
      <c r="AL4913">
        <v>89.986786768116801</v>
      </c>
      <c r="AM4913">
        <v>88.386936473870094</v>
      </c>
      <c r="AN4913">
        <v>1.00000000370094</v>
      </c>
    </row>
    <row r="4914" spans="1:40" x14ac:dyDescent="0.25">
      <c r="A4914" t="str">
        <f>"20190312160742498"</f>
        <v>20190312160742498</v>
      </c>
      <c r="B4914" t="str">
        <f>"1552378062490696"</f>
        <v>1552378062490696</v>
      </c>
      <c r="C4914" t="s">
        <v>40</v>
      </c>
      <c r="D4914">
        <v>5.8233829999999998</v>
      </c>
      <c r="E4914">
        <v>0.4778464</v>
      </c>
      <c r="F4914" t="s">
        <v>47</v>
      </c>
      <c r="G4914">
        <v>-273.78160000000003</v>
      </c>
      <c r="H4914" s="1">
        <v>-3.1985949999999998E-6</v>
      </c>
      <c r="I4914">
        <v>141.6781</v>
      </c>
      <c r="J4914">
        <v>-247.88460000000001</v>
      </c>
      <c r="K4914">
        <v>1.109076</v>
      </c>
      <c r="L4914">
        <v>142.08770000000001</v>
      </c>
      <c r="M4914">
        <v>-0.99986450000000004</v>
      </c>
      <c r="N4914">
        <v>0</v>
      </c>
      <c r="O4914">
        <v>1.4091019999999999E-2</v>
      </c>
      <c r="P4914">
        <v>-0.99911550000000005</v>
      </c>
      <c r="Q4914">
        <v>-7.3074899999999998E-3</v>
      </c>
      <c r="R4914">
        <v>4.1414409999999999E-2</v>
      </c>
      <c r="S4914">
        <v>-3.0036770000000002</v>
      </c>
      <c r="T4914">
        <v>-0.12670699999999999</v>
      </c>
      <c r="U4914">
        <v>-4.6157839999999999E-2</v>
      </c>
      <c r="V4914">
        <v>2.733141E-2</v>
      </c>
      <c r="W4914">
        <v>1.216237E-3</v>
      </c>
      <c r="X4914">
        <v>0.99962569999999995</v>
      </c>
      <c r="Y4914">
        <v>-2.9414949999999999E-2</v>
      </c>
      <c r="Z4914">
        <v>-1.2142450000000001E-3</v>
      </c>
      <c r="AA4914">
        <v>0.99956659999999997</v>
      </c>
      <c r="AB4914">
        <v>26</v>
      </c>
      <c r="AC4914">
        <v>-25.896999999999998</v>
      </c>
      <c r="AD4914">
        <v>-1.1090791985949999</v>
      </c>
      <c r="AE4914">
        <v>-0.40960000000001101</v>
      </c>
      <c r="AF4914">
        <v>-0.77307014693033005</v>
      </c>
      <c r="AG4914">
        <v>-1.1090791985949999</v>
      </c>
      <c r="AH4914">
        <v>25.841272808492</v>
      </c>
      <c r="AI4914">
        <v>92.4564663905294</v>
      </c>
      <c r="AJ4914">
        <v>91.7135552969158</v>
      </c>
      <c r="AK4914">
        <v>25.876612500165798</v>
      </c>
      <c r="AL4914">
        <v>89.930314736713896</v>
      </c>
      <c r="AM4914">
        <v>88.433829389081396</v>
      </c>
      <c r="AN4914">
        <v>1.00000001265275</v>
      </c>
    </row>
    <row r="4915" spans="1:40" x14ac:dyDescent="0.25">
      <c r="A4915" t="str">
        <f>"20190312160742520"</f>
        <v>20190312160742520</v>
      </c>
      <c r="B4915" t="str">
        <f>"1552378062510229"</f>
        <v>1552378062510229</v>
      </c>
      <c r="C4915" t="s">
        <v>40</v>
      </c>
      <c r="D4915">
        <v>5.7789619999999999</v>
      </c>
      <c r="E4915">
        <v>0.47784339999999997</v>
      </c>
      <c r="F4915" t="s">
        <v>47</v>
      </c>
      <c r="G4915">
        <v>-274.63459999999998</v>
      </c>
      <c r="H4915" s="1">
        <v>-2.8270720000000001E-6</v>
      </c>
      <c r="I4915">
        <v>141.65690000000001</v>
      </c>
      <c r="J4915">
        <v>-248.1567</v>
      </c>
      <c r="K4915">
        <v>1.1090819999999999</v>
      </c>
      <c r="L4915">
        <v>142.0916</v>
      </c>
      <c r="M4915">
        <v>-0.99986419999999998</v>
      </c>
      <c r="N4915">
        <v>0</v>
      </c>
      <c r="O4915">
        <v>1.4089519999999999E-2</v>
      </c>
      <c r="P4915">
        <v>-0.99914250000000004</v>
      </c>
      <c r="Q4915">
        <v>-6.5523090000000001E-3</v>
      </c>
      <c r="R4915">
        <v>4.0882000000000002E-2</v>
      </c>
      <c r="S4915">
        <v>-3.0037379999999998</v>
      </c>
      <c r="T4915">
        <v>-0.1245382</v>
      </c>
      <c r="U4915">
        <v>-4.8370360000000001E-2</v>
      </c>
      <c r="V4915">
        <v>2.6800149999999998E-2</v>
      </c>
      <c r="W4915">
        <v>1.9858509999999998E-3</v>
      </c>
      <c r="X4915">
        <v>0.9996389</v>
      </c>
      <c r="Y4915">
        <v>-3.0149909999999999E-2</v>
      </c>
      <c r="Z4915">
        <v>-1.208616E-3</v>
      </c>
      <c r="AA4915">
        <v>0.99954469999999995</v>
      </c>
      <c r="AB4915">
        <v>27</v>
      </c>
      <c r="AC4915">
        <v>-26.477899999999899</v>
      </c>
      <c r="AD4915">
        <v>-1.109084827072</v>
      </c>
      <c r="AE4915">
        <v>-0.43469999999999198</v>
      </c>
      <c r="AF4915">
        <v>-0.80631704750656596</v>
      </c>
      <c r="AG4915">
        <v>-1.109084827072</v>
      </c>
      <c r="AH4915">
        <v>26.422799336293501</v>
      </c>
      <c r="AI4915">
        <v>92.402435999628295</v>
      </c>
      <c r="AJ4915">
        <v>91.747893203570698</v>
      </c>
      <c r="AK4915">
        <v>26.4583548449402</v>
      </c>
      <c r="AL4915">
        <v>89.886219051116299</v>
      </c>
      <c r="AM4915">
        <v>88.464277704215107</v>
      </c>
      <c r="AN4915">
        <v>1.0000000610187101</v>
      </c>
    </row>
    <row r="4916" spans="1:40" x14ac:dyDescent="0.25">
      <c r="A4916" t="str">
        <f>"20190312160742541"</f>
        <v>20190312160742541</v>
      </c>
      <c r="B4916" t="str">
        <f>"1552378062530713"</f>
        <v>1552378062530713</v>
      </c>
      <c r="C4916" t="s">
        <v>40</v>
      </c>
      <c r="D4916">
        <v>5.7899949999999896</v>
      </c>
      <c r="E4916">
        <v>0.47788659999999999</v>
      </c>
      <c r="F4916" t="s">
        <v>47</v>
      </c>
      <c r="G4916">
        <v>-275.11720000000003</v>
      </c>
      <c r="H4916" s="1">
        <v>-2.6162189999999999E-6</v>
      </c>
      <c r="I4916">
        <v>141.64269999999999</v>
      </c>
      <c r="J4916">
        <v>-248.40260000000001</v>
      </c>
      <c r="K4916">
        <v>1.1090869999999999</v>
      </c>
      <c r="L4916">
        <v>142.095</v>
      </c>
      <c r="M4916">
        <v>-0.99986419999999998</v>
      </c>
      <c r="N4916">
        <v>0</v>
      </c>
      <c r="O4916">
        <v>1.4086100000000001E-2</v>
      </c>
      <c r="P4916">
        <v>-0.99912900000000004</v>
      </c>
      <c r="Q4916">
        <v>-5.7288319999999997E-3</v>
      </c>
      <c r="R4916">
        <v>4.1337140000000001E-2</v>
      </c>
      <c r="S4916">
        <v>-3.0037989999999999</v>
      </c>
      <c r="T4916">
        <v>-0.12356830000000001</v>
      </c>
      <c r="U4916">
        <v>-5.000305E-2</v>
      </c>
      <c r="V4916">
        <v>2.7258950000000001E-2</v>
      </c>
      <c r="W4916">
        <v>2.8226969999999999E-3</v>
      </c>
      <c r="X4916">
        <v>0.99962439999999997</v>
      </c>
      <c r="Y4916">
        <v>-3.068945E-2</v>
      </c>
      <c r="Z4916">
        <v>-1.2101340000000001E-3</v>
      </c>
      <c r="AA4916">
        <v>0.99952819999999998</v>
      </c>
      <c r="AB4916">
        <v>27</v>
      </c>
      <c r="AC4916">
        <v>-26.714600000000001</v>
      </c>
      <c r="AD4916">
        <v>-1.109089616219</v>
      </c>
      <c r="AE4916">
        <v>-0.45230000000000797</v>
      </c>
      <c r="AF4916">
        <v>-0.82714815370682404</v>
      </c>
      <c r="AG4916">
        <v>-1.109089616219</v>
      </c>
      <c r="AH4916">
        <v>26.659640637419599</v>
      </c>
      <c r="AI4916">
        <v>92.381090660523</v>
      </c>
      <c r="AJ4916">
        <v>91.777101975612098</v>
      </c>
      <c r="AK4916">
        <v>26.695518214886601</v>
      </c>
      <c r="AL4916">
        <v>89.838271156978095</v>
      </c>
      <c r="AM4916">
        <v>88.437977471164004</v>
      </c>
      <c r="AN4916">
        <v>0.999999979524407</v>
      </c>
    </row>
    <row r="4917" spans="1:40" x14ac:dyDescent="0.25">
      <c r="A4917" t="str">
        <f>"20190312160742564"</f>
        <v>20190312160742564</v>
      </c>
      <c r="B4917" t="str">
        <f>"1552378062559990"</f>
        <v>1552378062559990</v>
      </c>
      <c r="C4917" t="s">
        <v>40</v>
      </c>
      <c r="D4917">
        <v>5.9245469999999996</v>
      </c>
      <c r="E4917">
        <v>0.47767280000000001</v>
      </c>
      <c r="F4917" t="s">
        <v>47</v>
      </c>
      <c r="G4917">
        <v>-275.38499999999999</v>
      </c>
      <c r="H4917" s="1">
        <v>-2.5059480000000001E-6</v>
      </c>
      <c r="I4917">
        <v>141.65989999999999</v>
      </c>
      <c r="J4917">
        <v>-248.678</v>
      </c>
      <c r="K4917">
        <v>1.109092</v>
      </c>
      <c r="L4917">
        <v>142.09889999999999</v>
      </c>
      <c r="M4917">
        <v>-0.99986430000000004</v>
      </c>
      <c r="N4917">
        <v>0</v>
      </c>
      <c r="O4917">
        <v>1.408132E-2</v>
      </c>
      <c r="P4917">
        <v>-0.99914809999999998</v>
      </c>
      <c r="Q4917">
        <v>-4.6889389999999996E-3</v>
      </c>
      <c r="R4917">
        <v>4.1008169999999997E-2</v>
      </c>
      <c r="S4917">
        <v>-3.0039220000000002</v>
      </c>
      <c r="T4917">
        <v>-0.1234741</v>
      </c>
      <c r="U4917">
        <v>-4.8431399999999999E-2</v>
      </c>
      <c r="V4917">
        <v>2.6934469999999999E-2</v>
      </c>
      <c r="W4917">
        <v>3.876979E-3</v>
      </c>
      <c r="X4917">
        <v>0.99962969999999896</v>
      </c>
      <c r="Y4917">
        <v>-3.016168E-2</v>
      </c>
      <c r="Z4917">
        <v>-1.1981299999999999E-3</v>
      </c>
      <c r="AA4917">
        <v>0.99954430000000005</v>
      </c>
      <c r="AB4917">
        <v>27</v>
      </c>
      <c r="AC4917">
        <v>-26.706999999999901</v>
      </c>
      <c r="AD4917">
        <v>-1.109094505948</v>
      </c>
      <c r="AE4917">
        <v>-0.43899999999999201</v>
      </c>
      <c r="AF4917">
        <v>-0.81363721548408796</v>
      </c>
      <c r="AG4917">
        <v>-1.109094505948</v>
      </c>
      <c r="AH4917">
        <v>26.652218127998001</v>
      </c>
      <c r="AI4917">
        <v>92.381799957841906</v>
      </c>
      <c r="AJ4917">
        <v>91.748578839468806</v>
      </c>
      <c r="AK4917">
        <v>26.687690557332399</v>
      </c>
      <c r="AL4917">
        <v>89.777864913302494</v>
      </c>
      <c r="AM4917">
        <v>88.456570314653703</v>
      </c>
      <c r="AN4917">
        <v>1.00000001688121</v>
      </c>
    </row>
    <row r="4918" spans="1:40" x14ac:dyDescent="0.25">
      <c r="A4918" t="str">
        <f>"20190312160742588"</f>
        <v>20190312160742588</v>
      </c>
      <c r="B4918" t="str">
        <f>"1552378062580486"</f>
        <v>1552378062580486</v>
      </c>
      <c r="C4918" t="s">
        <v>40</v>
      </c>
      <c r="D4918">
        <v>5.7573970000000001</v>
      </c>
      <c r="E4918">
        <v>0.47770570000000001</v>
      </c>
      <c r="F4918" t="s">
        <v>47</v>
      </c>
      <c r="G4918">
        <v>-276.3023</v>
      </c>
      <c r="H4918" s="1">
        <v>-2.1047220000000001E-6</v>
      </c>
      <c r="I4918">
        <v>141.631</v>
      </c>
      <c r="J4918">
        <v>-248.9622</v>
      </c>
      <c r="K4918">
        <v>1.1090930000000001</v>
      </c>
      <c r="L4918">
        <v>142.10290000000001</v>
      </c>
      <c r="M4918">
        <v>-0.99986419999999998</v>
      </c>
      <c r="N4918">
        <v>0</v>
      </c>
      <c r="O4918">
        <v>1.407422E-2</v>
      </c>
      <c r="P4918">
        <v>-0.99916660000000002</v>
      </c>
      <c r="Q4918">
        <v>-4.7710540000000003E-3</v>
      </c>
      <c r="R4918">
        <v>4.0541210000000001E-2</v>
      </c>
      <c r="S4918">
        <v>-3.004105</v>
      </c>
      <c r="T4918">
        <v>-0.1206127</v>
      </c>
      <c r="U4918">
        <v>-5.0872800000000003E-2</v>
      </c>
      <c r="V4918">
        <v>2.6474279999999999E-2</v>
      </c>
      <c r="W4918">
        <v>3.8097449999999998E-3</v>
      </c>
      <c r="X4918">
        <v>0.99964229999999998</v>
      </c>
      <c r="Y4918">
        <v>-3.0966770000000001E-2</v>
      </c>
      <c r="Z4918">
        <v>-1.186178E-3</v>
      </c>
      <c r="AA4918">
        <v>0.99951970000000001</v>
      </c>
      <c r="AB4918">
        <v>27</v>
      </c>
      <c r="AC4918">
        <v>-27.3401</v>
      </c>
      <c r="AD4918">
        <v>-1.1090951047219999</v>
      </c>
      <c r="AE4918">
        <v>-0.47190000000000498</v>
      </c>
      <c r="AF4918">
        <v>-0.85525095580962296</v>
      </c>
      <c r="AG4918">
        <v>-1.1090951047219999</v>
      </c>
      <c r="AH4918">
        <v>27.285860391831001</v>
      </c>
      <c r="AI4918">
        <v>92.326493058501399</v>
      </c>
      <c r="AJ4918">
        <v>91.795297324853095</v>
      </c>
      <c r="AK4918">
        <v>27.321781118207198</v>
      </c>
      <c r="AL4918">
        <v>89.781717176590504</v>
      </c>
      <c r="AM4918">
        <v>88.482947328897694</v>
      </c>
      <c r="AN4918">
        <v>1.00000006480388</v>
      </c>
    </row>
    <row r="4919" spans="1:40" x14ac:dyDescent="0.25">
      <c r="A4919" t="str">
        <f>"20190312160742611"</f>
        <v>20190312160742611</v>
      </c>
      <c r="B4919" t="str">
        <f>"1552378062600006"</f>
        <v>1552378062600006</v>
      </c>
      <c r="C4919" t="s">
        <v>40</v>
      </c>
      <c r="D4919">
        <v>5.7830769999999996</v>
      </c>
      <c r="E4919">
        <v>0.47765449999999998</v>
      </c>
      <c r="F4919" t="s">
        <v>47</v>
      </c>
      <c r="G4919">
        <v>-276.4298</v>
      </c>
      <c r="H4919" s="1">
        <v>-2.049201E-6</v>
      </c>
      <c r="I4919">
        <v>141.62790000000001</v>
      </c>
      <c r="J4919">
        <v>-249.23650000000001</v>
      </c>
      <c r="K4919">
        <v>1.1090949999999999</v>
      </c>
      <c r="L4919">
        <v>142.10679999999999</v>
      </c>
      <c r="M4919">
        <v>-0.99986419999999998</v>
      </c>
      <c r="N4919">
        <v>0</v>
      </c>
      <c r="O4919">
        <v>1.4060599999999999E-2</v>
      </c>
      <c r="P4919">
        <v>-0.99913129999999994</v>
      </c>
      <c r="Q4919">
        <v>-5.5694489999999998E-3</v>
      </c>
      <c r="R4919">
        <v>4.130437E-2</v>
      </c>
      <c r="S4919">
        <v>-3.0040279999999999</v>
      </c>
      <c r="T4919">
        <v>-0.1212975</v>
      </c>
      <c r="U4919">
        <v>-5.1940920000000002E-2</v>
      </c>
      <c r="V4919">
        <v>2.725166E-2</v>
      </c>
      <c r="W4919">
        <v>3.0258300000000002E-3</v>
      </c>
      <c r="X4919">
        <v>0.99962399999999996</v>
      </c>
      <c r="Y4919">
        <v>-3.130819E-2</v>
      </c>
      <c r="Z4919">
        <v>-1.199274E-3</v>
      </c>
      <c r="AA4919">
        <v>0.99950899999999998</v>
      </c>
      <c r="AB4919">
        <v>27</v>
      </c>
      <c r="AC4919">
        <v>-27.193299999999901</v>
      </c>
      <c r="AD4919">
        <v>-1.1090970492009999</v>
      </c>
      <c r="AE4919">
        <v>-0.47889999999998101</v>
      </c>
      <c r="AF4919">
        <v>-0.85979109967475598</v>
      </c>
      <c r="AG4919">
        <v>-1.1090970492009999</v>
      </c>
      <c r="AH4919">
        <v>27.1387472084241</v>
      </c>
      <c r="AI4919">
        <v>92.339069788762899</v>
      </c>
      <c r="AJ4919">
        <v>91.814598484118804</v>
      </c>
      <c r="AK4919">
        <v>27.175005741349398</v>
      </c>
      <c r="AL4919">
        <v>89.826632442591901</v>
      </c>
      <c r="AM4919">
        <v>88.438394379372895</v>
      </c>
      <c r="AN4919">
        <v>0.999999974997971</v>
      </c>
    </row>
    <row r="4920" spans="1:40" x14ac:dyDescent="0.25">
      <c r="A4920" t="str">
        <f>"20190312160742634"</f>
        <v>20190312160742634</v>
      </c>
      <c r="B4920" t="str">
        <f>"1552378062630290"</f>
        <v>1552378062630290</v>
      </c>
      <c r="C4920" t="s">
        <v>40</v>
      </c>
      <c r="D4920">
        <v>5.7828929999999996</v>
      </c>
      <c r="E4920">
        <v>0.47764649999999997</v>
      </c>
      <c r="F4920" t="s">
        <v>47</v>
      </c>
      <c r="G4920">
        <v>-276.18299999999999</v>
      </c>
      <c r="H4920" s="1">
        <v>-2.1626900000000002E-6</v>
      </c>
      <c r="I4920">
        <v>141.65649999999999</v>
      </c>
      <c r="J4920">
        <v>-249.50710000000001</v>
      </c>
      <c r="K4920">
        <v>1.109105</v>
      </c>
      <c r="L4920">
        <v>142.11060000000001</v>
      </c>
      <c r="M4920">
        <v>-0.99986450000000004</v>
      </c>
      <c r="N4920">
        <v>0</v>
      </c>
      <c r="O4920">
        <v>1.4035850000000001E-2</v>
      </c>
      <c r="P4920">
        <v>-0.99913689999999999</v>
      </c>
      <c r="Q4920">
        <v>-5.2375349999999998E-3</v>
      </c>
      <c r="R4920">
        <v>4.121126E-2</v>
      </c>
      <c r="S4920">
        <v>-3.0039980000000002</v>
      </c>
      <c r="T4920">
        <v>-0.12364260000000001</v>
      </c>
      <c r="U4920">
        <v>-5.018616E-2</v>
      </c>
      <c r="V4920">
        <v>2.718303E-2</v>
      </c>
      <c r="W4920">
        <v>3.3724879999999999E-3</v>
      </c>
      <c r="X4920">
        <v>0.99962479999999998</v>
      </c>
      <c r="Y4920">
        <v>-3.0699029999999999E-2</v>
      </c>
      <c r="Z4920">
        <v>-1.2089100000000001E-3</v>
      </c>
      <c r="AA4920">
        <v>0.99952790000000002</v>
      </c>
      <c r="AB4920">
        <v>27</v>
      </c>
      <c r="AC4920">
        <v>-26.675899999999899</v>
      </c>
      <c r="AD4920">
        <v>-1.10910716269</v>
      </c>
      <c r="AE4920">
        <v>-0.45410000000001099</v>
      </c>
      <c r="AF4920">
        <v>-0.827058758543322</v>
      </c>
      <c r="AG4920">
        <v>-1.10910716269</v>
      </c>
      <c r="AH4920">
        <v>26.620893051926</v>
      </c>
      <c r="AI4920">
        <v>92.384587011908494</v>
      </c>
      <c r="AJ4920">
        <v>91.779494725363904</v>
      </c>
      <c r="AK4920">
        <v>26.656820736361201</v>
      </c>
      <c r="AL4920">
        <v>89.8067703079018</v>
      </c>
      <c r="AM4920">
        <v>88.442326399734497</v>
      </c>
      <c r="AN4920">
        <v>1.0000000157851601</v>
      </c>
    </row>
    <row r="4921" spans="1:40" x14ac:dyDescent="0.25">
      <c r="A4921" t="str">
        <f>"20190312160742656"</f>
        <v>20190312160742656</v>
      </c>
      <c r="B4921" t="str">
        <f>"1552378062650786"</f>
        <v>1552378062650786</v>
      </c>
      <c r="C4921" t="s">
        <v>40</v>
      </c>
      <c r="D4921">
        <v>5.7838279999999997</v>
      </c>
      <c r="E4921">
        <v>0.47767369999999998</v>
      </c>
      <c r="F4921" t="s">
        <v>47</v>
      </c>
      <c r="G4921">
        <v>-276.68819999999999</v>
      </c>
      <c r="H4921" s="1">
        <v>-1.9449810000000001E-6</v>
      </c>
      <c r="I4921">
        <v>141.65280000000001</v>
      </c>
      <c r="J4921">
        <v>-249.7731</v>
      </c>
      <c r="K4921">
        <v>1.109116</v>
      </c>
      <c r="L4921">
        <v>142.11429999999999</v>
      </c>
      <c r="M4921">
        <v>-0.99986489999999995</v>
      </c>
      <c r="N4921">
        <v>0</v>
      </c>
      <c r="O4921">
        <v>1.3997519999999999E-2</v>
      </c>
      <c r="P4921">
        <v>-0.99915449999999995</v>
      </c>
      <c r="Q4921">
        <v>-4.9882959999999997E-3</v>
      </c>
      <c r="R4921">
        <v>4.0812359999999999E-2</v>
      </c>
      <c r="S4921">
        <v>-3.0040279999999999</v>
      </c>
      <c r="T4921">
        <v>-0.1225778</v>
      </c>
      <c r="U4921">
        <v>-5.0582889999999998E-2</v>
      </c>
      <c r="V4921">
        <v>2.6822169999999999E-2</v>
      </c>
      <c r="W4921">
        <v>3.6376080000000001E-3</v>
      </c>
      <c r="X4921">
        <v>0.99963360000000001</v>
      </c>
      <c r="Y4921">
        <v>-3.0793109999999999E-2</v>
      </c>
      <c r="Z4921">
        <v>-1.19885E-3</v>
      </c>
      <c r="AA4921">
        <v>0.99952510000000006</v>
      </c>
      <c r="AB4921">
        <v>27</v>
      </c>
      <c r="AC4921">
        <v>-26.915099999999899</v>
      </c>
      <c r="AD4921">
        <v>-1.109117944981</v>
      </c>
      <c r="AE4921">
        <v>-0.46149999999997199</v>
      </c>
      <c r="AF4921">
        <v>-0.83679288062465396</v>
      </c>
      <c r="AG4921">
        <v>-1.109117944981</v>
      </c>
      <c r="AH4921">
        <v>26.860404565632798</v>
      </c>
      <c r="AI4921">
        <v>92.363364794758695</v>
      </c>
      <c r="AJ4921">
        <v>91.784381118969506</v>
      </c>
      <c r="AK4921">
        <v>26.896313843543901</v>
      </c>
      <c r="AL4921">
        <v>89.791579953937301</v>
      </c>
      <c r="AM4921">
        <v>88.463008357568398</v>
      </c>
      <c r="AN4921">
        <v>0.99999999762221503</v>
      </c>
    </row>
    <row r="4922" spans="1:40" x14ac:dyDescent="0.25">
      <c r="A4922" t="str">
        <f>"20190312160742678"</f>
        <v>20190312160742678</v>
      </c>
      <c r="B4922" t="str">
        <f>"1552378062670306"</f>
        <v>1552378062670306</v>
      </c>
      <c r="C4922" t="s">
        <v>40</v>
      </c>
      <c r="D4922">
        <v>5.7758510000000003</v>
      </c>
      <c r="E4922">
        <v>0.47771459999999999</v>
      </c>
      <c r="F4922" t="s">
        <v>47</v>
      </c>
      <c r="G4922">
        <v>-276.87389999999999</v>
      </c>
      <c r="H4922" s="1">
        <v>-1.8646450000000001E-6</v>
      </c>
      <c r="I4922">
        <v>141.65029999999999</v>
      </c>
      <c r="J4922">
        <v>-250.03989999999999</v>
      </c>
      <c r="K4922">
        <v>1.1091310000000001</v>
      </c>
      <c r="L4922">
        <v>142.11789999999999</v>
      </c>
      <c r="M4922">
        <v>-0.99986540000000002</v>
      </c>
      <c r="N4922">
        <v>0</v>
      </c>
      <c r="O4922">
        <v>1.394476E-2</v>
      </c>
      <c r="P4922">
        <v>-0.99913890000000005</v>
      </c>
      <c r="Q4922">
        <v>-5.3743829999999999E-3</v>
      </c>
      <c r="R4922">
        <v>4.114222E-2</v>
      </c>
      <c r="S4922">
        <v>-3.0040589999999998</v>
      </c>
      <c r="T4922">
        <v>-0.12294330000000001</v>
      </c>
      <c r="U4922">
        <v>-5.1422120000000002E-2</v>
      </c>
      <c r="V4922">
        <v>2.7204840000000001E-2</v>
      </c>
      <c r="W4922">
        <v>3.2661539999999998E-3</v>
      </c>
      <c r="X4922">
        <v>0.99962459999999997</v>
      </c>
      <c r="Y4922">
        <v>-3.1018980000000002E-2</v>
      </c>
      <c r="Z4922">
        <v>-1.204868E-3</v>
      </c>
      <c r="AA4922">
        <v>0.99951809999999996</v>
      </c>
      <c r="AB4922">
        <v>27</v>
      </c>
      <c r="AC4922">
        <v>-26.834</v>
      </c>
      <c r="AD4922">
        <v>-1.1091328646449901</v>
      </c>
      <c r="AE4922">
        <v>-0.46760000000000401</v>
      </c>
      <c r="AF4922">
        <v>-0.84032700086755496</v>
      </c>
      <c r="AG4922">
        <v>-1.1091328646449901</v>
      </c>
      <c r="AH4922">
        <v>26.779133548838701</v>
      </c>
      <c r="AI4922">
        <v>92.370544212198197</v>
      </c>
      <c r="AJ4922">
        <v>91.7973470389894</v>
      </c>
      <c r="AK4922">
        <v>26.815262795772899</v>
      </c>
      <c r="AL4922">
        <v>89.812862838317002</v>
      </c>
      <c r="AM4922">
        <v>88.441076922465996</v>
      </c>
      <c r="AN4922">
        <v>1.00000005600326</v>
      </c>
    </row>
    <row r="4923" spans="1:40" x14ac:dyDescent="0.25">
      <c r="A4923" t="str">
        <f>"20190312160742699"</f>
        <v>20190312160742699</v>
      </c>
      <c r="B4923" t="str">
        <f>"1552378062690802"</f>
        <v>1552378062690802</v>
      </c>
      <c r="C4923" t="s">
        <v>40</v>
      </c>
      <c r="D4923">
        <v>5.7591619999999999</v>
      </c>
      <c r="E4923">
        <v>0.47775990000000002</v>
      </c>
      <c r="F4923" t="s">
        <v>47</v>
      </c>
      <c r="G4923">
        <v>-276.60180000000003</v>
      </c>
      <c r="H4923" s="1">
        <v>-1.987866E-6</v>
      </c>
      <c r="I4923">
        <v>141.6748</v>
      </c>
      <c r="J4923">
        <v>-250.3048</v>
      </c>
      <c r="K4923">
        <v>1.1091500000000001</v>
      </c>
      <c r="L4923">
        <v>142.1216</v>
      </c>
      <c r="M4923">
        <v>-0.99986629999999999</v>
      </c>
      <c r="N4923">
        <v>0</v>
      </c>
      <c r="O4923">
        <v>1.388008E-2</v>
      </c>
      <c r="P4923">
        <v>-0.99909300000000001</v>
      </c>
      <c r="Q4923">
        <v>-5.7576930000000004E-3</v>
      </c>
      <c r="R4923">
        <v>4.2193219999999997E-2</v>
      </c>
      <c r="S4923">
        <v>-3.0039669999999998</v>
      </c>
      <c r="T4923">
        <v>-0.1254354</v>
      </c>
      <c r="U4923">
        <v>-5.0109859999999999E-2</v>
      </c>
      <c r="V4923">
        <v>2.832084E-2</v>
      </c>
      <c r="W4923">
        <v>2.8970839999999999E-3</v>
      </c>
      <c r="X4923">
        <v>0.99959469999999995</v>
      </c>
      <c r="Y4923">
        <v>-3.0517289999999999E-2</v>
      </c>
      <c r="Z4923">
        <v>-1.216143E-3</v>
      </c>
      <c r="AA4923">
        <v>0.99953349999999996</v>
      </c>
      <c r="AB4923">
        <v>27</v>
      </c>
      <c r="AC4923">
        <v>-26.297000000000001</v>
      </c>
      <c r="AD4923">
        <v>-1.1091519878659899</v>
      </c>
      <c r="AE4923">
        <v>-0.44679999999999598</v>
      </c>
      <c r="AF4923">
        <v>-0.81033391002121202</v>
      </c>
      <c r="AG4923">
        <v>-1.1091519878659899</v>
      </c>
      <c r="AH4923">
        <v>26.241595036985899</v>
      </c>
      <c r="AI4923">
        <v>92.419125088813004</v>
      </c>
      <c r="AJ4923">
        <v>91.768717332425695</v>
      </c>
      <c r="AK4923">
        <v>26.2775221294376</v>
      </c>
      <c r="AL4923">
        <v>89.834009083977506</v>
      </c>
      <c r="AM4923">
        <v>88.377111612139402</v>
      </c>
      <c r="AN4923">
        <v>1.0000000136710401</v>
      </c>
    </row>
    <row r="4924" spans="1:40" x14ac:dyDescent="0.25">
      <c r="A4924" t="str">
        <f>"20190312160742721"</f>
        <v>20190312160742721</v>
      </c>
      <c r="B4924" t="str">
        <f>"1552378062710326"</f>
        <v>1552378062710326</v>
      </c>
      <c r="C4924" t="s">
        <v>40</v>
      </c>
      <c r="D4924">
        <v>5.8118509999999999</v>
      </c>
      <c r="E4924">
        <v>0.47775699999999999</v>
      </c>
      <c r="F4924" t="s">
        <v>47</v>
      </c>
      <c r="G4924">
        <v>-276.35629999999998</v>
      </c>
      <c r="H4924" s="1">
        <v>-2.1041479999999999E-6</v>
      </c>
      <c r="I4924">
        <v>141.7159</v>
      </c>
      <c r="J4924">
        <v>-250.56440000000001</v>
      </c>
      <c r="K4924">
        <v>1.109156</v>
      </c>
      <c r="L4924">
        <v>142.1251</v>
      </c>
      <c r="M4924">
        <v>-0.99986719999999896</v>
      </c>
      <c r="N4924">
        <v>0</v>
      </c>
      <c r="O4924">
        <v>1.380579E-2</v>
      </c>
      <c r="P4924">
        <v>-0.99911850000000002</v>
      </c>
      <c r="Q4924">
        <v>-5.6955139999999996E-3</v>
      </c>
      <c r="R4924">
        <v>4.1594300000000001E-2</v>
      </c>
      <c r="S4924">
        <v>-3.0039669999999998</v>
      </c>
      <c r="T4924">
        <v>-0.12789510000000001</v>
      </c>
      <c r="U4924">
        <v>-4.6768190000000001E-2</v>
      </c>
      <c r="V4924">
        <v>2.7795859999999999E-2</v>
      </c>
      <c r="W4924">
        <v>2.9738550000000001E-3</v>
      </c>
      <c r="X4924">
        <v>0.99960919999999998</v>
      </c>
      <c r="Y4924">
        <v>-2.9330990000000001E-2</v>
      </c>
      <c r="Z4924">
        <v>-1.211578E-3</v>
      </c>
      <c r="AA4924">
        <v>0.99956900000000004</v>
      </c>
      <c r="AB4924">
        <v>27</v>
      </c>
      <c r="AC4924">
        <v>-25.791899999999899</v>
      </c>
      <c r="AD4924">
        <v>-1.1091581041480001</v>
      </c>
      <c r="AE4924">
        <v>-0.40919999999999801</v>
      </c>
      <c r="AF4924">
        <v>-0.76383964909327795</v>
      </c>
      <c r="AG4924">
        <v>-1.1091581041480001</v>
      </c>
      <c r="AH4924">
        <v>25.736208787323999</v>
      </c>
      <c r="AI4924">
        <v>92.466674778306796</v>
      </c>
      <c r="AJ4924">
        <v>91.700015134408801</v>
      </c>
      <c r="AK4924">
        <v>25.771420710823399</v>
      </c>
      <c r="AL4924">
        <v>89.829610409009305</v>
      </c>
      <c r="AM4924">
        <v>88.407202348241896</v>
      </c>
      <c r="AN4924">
        <v>1.00000000318567</v>
      </c>
    </row>
    <row r="4925" spans="1:40" x14ac:dyDescent="0.25">
      <c r="A4925" t="str">
        <f>"20190312160742742"</f>
        <v>20190312160742742</v>
      </c>
      <c r="B4925" t="str">
        <f>"1552378062729842"</f>
        <v>1552378062729842</v>
      </c>
      <c r="C4925" t="s">
        <v>40</v>
      </c>
      <c r="D4925">
        <v>5.7667659999999996</v>
      </c>
      <c r="E4925">
        <v>0.47776449999999998</v>
      </c>
      <c r="F4925" t="s">
        <v>47</v>
      </c>
      <c r="G4925">
        <v>-276.63220000000001</v>
      </c>
      <c r="H4925" s="1">
        <v>-1.9827020000000001E-6</v>
      </c>
      <c r="I4925">
        <v>141.70429999999999</v>
      </c>
      <c r="J4925">
        <v>-250.82589999999999</v>
      </c>
      <c r="K4925">
        <v>1.1091610000000001</v>
      </c>
      <c r="L4925">
        <v>142.12860000000001</v>
      </c>
      <c r="M4925">
        <v>-0.99986819999999998</v>
      </c>
      <c r="N4925">
        <v>0</v>
      </c>
      <c r="O4925">
        <v>1.372133E-2</v>
      </c>
      <c r="P4925">
        <v>-0.99914760000000002</v>
      </c>
      <c r="Q4925">
        <v>-5.5666509999999997E-3</v>
      </c>
      <c r="R4925">
        <v>4.0903780000000001E-2</v>
      </c>
      <c r="S4925">
        <v>-3.0039370000000001</v>
      </c>
      <c r="T4925">
        <v>-0.1278147</v>
      </c>
      <c r="U4925">
        <v>-4.847717E-2</v>
      </c>
      <c r="V4925">
        <v>2.7189359999999999E-2</v>
      </c>
      <c r="W4925">
        <v>3.1169050000000001E-3</v>
      </c>
      <c r="X4925">
        <v>0.9996254</v>
      </c>
      <c r="Y4925">
        <v>-2.981493E-2</v>
      </c>
      <c r="Z4925">
        <v>-1.217522E-3</v>
      </c>
      <c r="AA4925">
        <v>0.99955470000000002</v>
      </c>
      <c r="AB4925">
        <v>27</v>
      </c>
      <c r="AC4925">
        <v>-25.8063</v>
      </c>
      <c r="AD4925">
        <v>-1.109162982702</v>
      </c>
      <c r="AE4925">
        <v>-0.424300000000016</v>
      </c>
      <c r="AF4925">
        <v>-0.77693529413467499</v>
      </c>
      <c r="AG4925">
        <v>-1.109162982702</v>
      </c>
      <c r="AH4925">
        <v>25.7504919565832</v>
      </c>
      <c r="AI4925">
        <v>92.465282865185102</v>
      </c>
      <c r="AJ4925">
        <v>91.728184958530406</v>
      </c>
      <c r="AK4925">
        <v>25.786075835216302</v>
      </c>
      <c r="AL4925">
        <v>89.821414201756497</v>
      </c>
      <c r="AM4925">
        <v>88.441964784189906</v>
      </c>
      <c r="AN4925">
        <v>0.999999958359573</v>
      </c>
    </row>
    <row r="4926" spans="1:40" x14ac:dyDescent="0.25">
      <c r="A4926" t="str">
        <f>"20190312160742765"</f>
        <v>20190312160742765</v>
      </c>
      <c r="B4926" t="str">
        <f>"1552378062760098"</f>
        <v>1552378062760098</v>
      </c>
      <c r="C4926" t="s">
        <v>40</v>
      </c>
      <c r="D4926">
        <v>5.7665759999999997</v>
      </c>
      <c r="E4926">
        <v>0.47770319999999999</v>
      </c>
      <c r="F4926" t="s">
        <v>47</v>
      </c>
      <c r="G4926">
        <v>-276.87020000000001</v>
      </c>
      <c r="H4926" s="1">
        <v>-1.877163E-6</v>
      </c>
      <c r="I4926">
        <v>141.69139999999999</v>
      </c>
      <c r="J4926">
        <v>-251.1086</v>
      </c>
      <c r="K4926">
        <v>1.109162</v>
      </c>
      <c r="L4926">
        <v>142.13239999999999</v>
      </c>
      <c r="M4926">
        <v>-0.99986940000000002</v>
      </c>
      <c r="N4926">
        <v>0</v>
      </c>
      <c r="O4926">
        <v>1.3622759999999999E-2</v>
      </c>
      <c r="P4926">
        <v>-0.99916819999999895</v>
      </c>
      <c r="Q4926">
        <v>-5.9562469999999996E-3</v>
      </c>
      <c r="R4926">
        <v>4.0342429999999999E-2</v>
      </c>
      <c r="S4926">
        <v>-3.0039220000000002</v>
      </c>
      <c r="T4926">
        <v>-0.1279294</v>
      </c>
      <c r="U4926">
        <v>-5.0415040000000001E-2</v>
      </c>
      <c r="V4926">
        <v>2.6726360000000001E-2</v>
      </c>
      <c r="W4926">
        <v>2.7425890000000001E-3</v>
      </c>
      <c r="X4926">
        <v>0.99963900000000006</v>
      </c>
      <c r="Y4926">
        <v>-3.0360649999999999E-2</v>
      </c>
      <c r="Z4926">
        <v>-1.226034E-3</v>
      </c>
      <c r="AA4926">
        <v>0.99953820000000004</v>
      </c>
      <c r="AB4926">
        <v>27</v>
      </c>
      <c r="AC4926">
        <v>-25.761600000000001</v>
      </c>
      <c r="AD4926">
        <v>-1.1091638771629999</v>
      </c>
      <c r="AE4926">
        <v>-0.441000000000002</v>
      </c>
      <c r="AF4926">
        <v>-0.79045158359514001</v>
      </c>
      <c r="AG4926">
        <v>-1.1091638771629999</v>
      </c>
      <c r="AH4926">
        <v>25.7055642923502</v>
      </c>
      <c r="AI4926">
        <v>92.469544868633903</v>
      </c>
      <c r="AJ4926">
        <v>91.761302429819494</v>
      </c>
      <c r="AK4926">
        <v>25.741621817604301</v>
      </c>
      <c r="AL4926">
        <v>89.842861024471702</v>
      </c>
      <c r="AM4926">
        <v>88.468504210740207</v>
      </c>
      <c r="AN4926">
        <v>0.99999997521713502</v>
      </c>
    </row>
    <row r="4927" spans="1:40" x14ac:dyDescent="0.25">
      <c r="A4927" t="str">
        <f>"20190312160742788"</f>
        <v>20190312160742788</v>
      </c>
      <c r="B4927" t="str">
        <f>"1552378062780594"</f>
        <v>1552378062780594</v>
      </c>
      <c r="C4927" t="s">
        <v>40</v>
      </c>
      <c r="D4927">
        <v>5.8233470000000001</v>
      </c>
      <c r="E4927">
        <v>0.47766750000000002</v>
      </c>
      <c r="F4927" t="s">
        <v>47</v>
      </c>
      <c r="G4927">
        <v>-277.18560000000002</v>
      </c>
      <c r="H4927" s="1">
        <v>-1.737512E-6</v>
      </c>
      <c r="I4927">
        <v>141.67509999999999</v>
      </c>
      <c r="J4927">
        <v>-251.38339999999999</v>
      </c>
      <c r="K4927">
        <v>1.109162</v>
      </c>
      <c r="L4927">
        <v>142.136</v>
      </c>
      <c r="M4927">
        <v>-0.9998707</v>
      </c>
      <c r="N4927">
        <v>0</v>
      </c>
      <c r="O4927">
        <v>1.3523550000000001E-2</v>
      </c>
      <c r="P4927">
        <v>-0.99917540000000005</v>
      </c>
      <c r="Q4927">
        <v>-6.4490600000000004E-3</v>
      </c>
      <c r="R4927">
        <v>4.0087530000000003E-2</v>
      </c>
      <c r="S4927">
        <v>-3.0038909999999999</v>
      </c>
      <c r="T4927">
        <v>-0.1277683</v>
      </c>
      <c r="U4927">
        <v>-5.2673339999999999E-2</v>
      </c>
      <c r="V4927">
        <v>2.657064E-2</v>
      </c>
      <c r="W4927">
        <v>2.2643229999999999E-3</v>
      </c>
      <c r="X4927">
        <v>0.99964439999999999</v>
      </c>
      <c r="Y4927">
        <v>-3.101247E-2</v>
      </c>
      <c r="Z4927">
        <v>-1.234134E-3</v>
      </c>
      <c r="AA4927">
        <v>0.99951820000000002</v>
      </c>
      <c r="AB4927">
        <v>27</v>
      </c>
      <c r="AC4927">
        <v>-25.802199999999999</v>
      </c>
      <c r="AD4927">
        <v>-1.109163737512</v>
      </c>
      <c r="AE4927">
        <v>-0.46090000000000902</v>
      </c>
      <c r="AF4927">
        <v>-0.808315190929908</v>
      </c>
      <c r="AG4927">
        <v>-1.109163737512</v>
      </c>
      <c r="AH4927">
        <v>25.7460461619673</v>
      </c>
      <c r="AI4927">
        <v>92.465617013320298</v>
      </c>
      <c r="AJ4927">
        <v>91.798250530863896</v>
      </c>
      <c r="AK4927">
        <v>25.782600928119098</v>
      </c>
      <c r="AL4927">
        <v>89.870263741189206</v>
      </c>
      <c r="AM4927">
        <v>88.477431414192395</v>
      </c>
      <c r="AN4927">
        <v>1.00000002626</v>
      </c>
    </row>
    <row r="4928" spans="1:40" x14ac:dyDescent="0.25">
      <c r="A4928" t="str">
        <f>"20190312160742810"</f>
        <v>20190312160742810</v>
      </c>
      <c r="B4928" t="str">
        <f>"1552378062800114"</f>
        <v>1552378062800114</v>
      </c>
      <c r="C4928" t="s">
        <v>40</v>
      </c>
      <c r="D4928">
        <v>5.7385299999999999</v>
      </c>
      <c r="E4928">
        <v>0.47764810000000002</v>
      </c>
      <c r="F4928" t="s">
        <v>47</v>
      </c>
      <c r="G4928">
        <v>-277.3152</v>
      </c>
      <c r="H4928" s="1">
        <v>-1.6809489999999999E-6</v>
      </c>
      <c r="I4928">
        <v>141.67150000000001</v>
      </c>
      <c r="J4928">
        <v>-251.66650000000001</v>
      </c>
      <c r="K4928">
        <v>1.109164</v>
      </c>
      <c r="L4928">
        <v>142.1397</v>
      </c>
      <c r="M4928">
        <v>-0.99987190000000004</v>
      </c>
      <c r="N4928">
        <v>0</v>
      </c>
      <c r="O4928">
        <v>1.342048E-2</v>
      </c>
      <c r="P4928">
        <v>-0.99921510000000002</v>
      </c>
      <c r="Q4928">
        <v>-5.7798700000000003E-3</v>
      </c>
      <c r="R4928">
        <v>3.9190419999999997E-2</v>
      </c>
      <c r="S4928">
        <v>-3.0037989999999999</v>
      </c>
      <c r="T4928">
        <v>-0.12847939999999999</v>
      </c>
      <c r="U4928">
        <v>-5.3802490000000001E-2</v>
      </c>
      <c r="V4928">
        <v>2.5776139999999999E-2</v>
      </c>
      <c r="W4928">
        <v>2.9481049999999999E-3</v>
      </c>
      <c r="X4928">
        <v>0.99966339999999998</v>
      </c>
      <c r="Y4928">
        <v>-3.1284979999999997E-2</v>
      </c>
      <c r="Z4928">
        <v>-1.2424479999999999E-3</v>
      </c>
      <c r="AA4928">
        <v>0.9995098</v>
      </c>
      <c r="AB4928">
        <v>27</v>
      </c>
      <c r="AC4928">
        <v>-25.648699999999899</v>
      </c>
      <c r="AD4928">
        <v>-1.109165680949</v>
      </c>
      <c r="AE4928">
        <v>-0.46819999999999601</v>
      </c>
      <c r="AF4928">
        <v>-0.81087289165917398</v>
      </c>
      <c r="AG4928">
        <v>-1.109165680949</v>
      </c>
      <c r="AH4928">
        <v>25.592262378126499</v>
      </c>
      <c r="AI4928">
        <v>92.480396258735894</v>
      </c>
      <c r="AJ4928">
        <v>91.814769489182197</v>
      </c>
      <c r="AK4928">
        <v>25.629117366485598</v>
      </c>
      <c r="AL4928">
        <v>89.831085782440397</v>
      </c>
      <c r="AM4928">
        <v>88.522965966784</v>
      </c>
      <c r="AN4928">
        <v>1.00000000700797</v>
      </c>
    </row>
    <row r="4929" spans="1:40" x14ac:dyDescent="0.25">
      <c r="A4929" t="str">
        <f>"20190312160742834"</f>
        <v>20190312160742834</v>
      </c>
      <c r="B4929" t="str">
        <f>"1552378062830370"</f>
        <v>1552378062830370</v>
      </c>
      <c r="C4929" t="s">
        <v>40</v>
      </c>
      <c r="D4929">
        <v>5.7883319999999996</v>
      </c>
      <c r="E4929">
        <v>0.47764699999999999</v>
      </c>
      <c r="F4929" t="s">
        <v>47</v>
      </c>
      <c r="G4929">
        <v>-278.11680000000001</v>
      </c>
      <c r="H4929" s="1">
        <v>-1.328928E-6</v>
      </c>
      <c r="I4929">
        <v>141.64080000000001</v>
      </c>
      <c r="J4929">
        <v>-251.94220000000001</v>
      </c>
      <c r="K4929">
        <v>1.109165</v>
      </c>
      <c r="L4929">
        <v>142.14330000000001</v>
      </c>
      <c r="M4929">
        <v>-0.99987320000000002</v>
      </c>
      <c r="N4929">
        <v>0</v>
      </c>
      <c r="O4929">
        <v>1.332063E-2</v>
      </c>
      <c r="P4929">
        <v>-0.99925949999999997</v>
      </c>
      <c r="Q4929">
        <v>-5.2586029999999997E-3</v>
      </c>
      <c r="R4929">
        <v>3.812099E-2</v>
      </c>
      <c r="S4929">
        <v>-3.003876</v>
      </c>
      <c r="T4929">
        <v>-0.12596489999999999</v>
      </c>
      <c r="U4929">
        <v>-5.6655879999999999E-2</v>
      </c>
      <c r="V4929">
        <v>2.4805879999999999E-2</v>
      </c>
      <c r="W4929">
        <v>3.484067E-3</v>
      </c>
      <c r="X4929">
        <v>0.99968619999999997</v>
      </c>
      <c r="Y4929">
        <v>-3.2134740000000002E-2</v>
      </c>
      <c r="Z4929">
        <v>-1.231736E-3</v>
      </c>
      <c r="AA4929">
        <v>0.9994828</v>
      </c>
      <c r="AB4929">
        <v>27</v>
      </c>
      <c r="AC4929">
        <v>-26.174600000000002</v>
      </c>
      <c r="AD4929">
        <v>-1.109166328928</v>
      </c>
      <c r="AE4929">
        <v>-0.50249999999999695</v>
      </c>
      <c r="AF4929">
        <v>-0.84960577705529805</v>
      </c>
      <c r="AG4929">
        <v>-1.109166328928</v>
      </c>
      <c r="AH4929">
        <v>26.118699637462498</v>
      </c>
      <c r="AI4929">
        <v>92.430398706110296</v>
      </c>
      <c r="AJ4929">
        <v>91.863096847064099</v>
      </c>
      <c r="AK4929">
        <v>26.156042335827799</v>
      </c>
      <c r="AL4929">
        <v>89.800377258390398</v>
      </c>
      <c r="AM4929">
        <v>88.578573318470603</v>
      </c>
      <c r="AN4929">
        <v>0.99999998443793703</v>
      </c>
    </row>
    <row r="4930" spans="1:40" x14ac:dyDescent="0.25">
      <c r="A4930" t="str">
        <f>"20190312160742855"</f>
        <v>20190312160742855</v>
      </c>
      <c r="B4930" t="str">
        <f>"1552378062849890"</f>
        <v>1552378062849890</v>
      </c>
      <c r="C4930" t="s">
        <v>40</v>
      </c>
      <c r="D4930">
        <v>5.7905329999999999</v>
      </c>
      <c r="E4930">
        <v>0.47764469999999998</v>
      </c>
      <c r="F4930" t="s">
        <v>47</v>
      </c>
      <c r="G4930">
        <v>-278.6234</v>
      </c>
      <c r="H4930" s="1">
        <v>-1.104217E-6</v>
      </c>
      <c r="I4930">
        <v>141.61320000000001</v>
      </c>
      <c r="J4930">
        <v>-252.2071</v>
      </c>
      <c r="K4930">
        <v>1.109162</v>
      </c>
      <c r="L4930">
        <v>142.14680000000001</v>
      </c>
      <c r="M4930">
        <v>-0.99987429999999999</v>
      </c>
      <c r="N4930">
        <v>0</v>
      </c>
      <c r="O4930">
        <v>1.322627E-2</v>
      </c>
      <c r="P4930">
        <v>-0.99926760000000003</v>
      </c>
      <c r="Q4930">
        <v>-5.7641659999999898E-3</v>
      </c>
      <c r="R4930">
        <v>3.7833499999999999E-2</v>
      </c>
      <c r="S4930">
        <v>-3.0038450000000001</v>
      </c>
      <c r="T4930">
        <v>-0.124873</v>
      </c>
      <c r="U4930">
        <v>-5.967712E-2</v>
      </c>
      <c r="V4930">
        <v>2.4612740000000001E-2</v>
      </c>
      <c r="W4930">
        <v>2.9919740000000001E-3</v>
      </c>
      <c r="X4930">
        <v>0.99969260000000004</v>
      </c>
      <c r="Y4930">
        <v>-3.304547E-2</v>
      </c>
      <c r="Z4930">
        <v>-1.236069E-3</v>
      </c>
      <c r="AA4930">
        <v>0.99945309999999998</v>
      </c>
      <c r="AB4930">
        <v>27</v>
      </c>
      <c r="AC4930">
        <v>-26.4163</v>
      </c>
      <c r="AD4930">
        <v>-1.109163104217</v>
      </c>
      <c r="AE4930">
        <v>-0.53360000000000696</v>
      </c>
      <c r="AF4930">
        <v>-0.88140253493745802</v>
      </c>
      <c r="AG4930">
        <v>-1.109163104217</v>
      </c>
      <c r="AH4930">
        <v>26.360477374426601</v>
      </c>
      <c r="AI4930">
        <v>92.408054567129497</v>
      </c>
      <c r="AJ4930">
        <v>91.915057807321105</v>
      </c>
      <c r="AK4930">
        <v>26.3985204249785</v>
      </c>
      <c r="AL4930">
        <v>89.828572264479405</v>
      </c>
      <c r="AM4930">
        <v>88.5896451657363</v>
      </c>
      <c r="AN4930">
        <v>1.00000001668674</v>
      </c>
    </row>
    <row r="4931" spans="1:40" x14ac:dyDescent="0.25">
      <c r="A4931" t="str">
        <f>"20190312160742879"</f>
        <v>20190312160742879</v>
      </c>
      <c r="B4931" t="str">
        <f>"1552378062870386"</f>
        <v>1552378062870386</v>
      </c>
      <c r="C4931" t="s">
        <v>40</v>
      </c>
      <c r="D4931">
        <v>5.7717650000000003</v>
      </c>
      <c r="E4931">
        <v>0.47765010000000002</v>
      </c>
      <c r="F4931" t="s">
        <v>47</v>
      </c>
      <c r="G4931">
        <v>-278.78149999999999</v>
      </c>
      <c r="H4931" s="1">
        <v>-1.0355019999999999E-6</v>
      </c>
      <c r="I4931">
        <v>141.60980000000001</v>
      </c>
      <c r="J4931">
        <v>-252.49529999999999</v>
      </c>
      <c r="K4931">
        <v>1.1091599999999999</v>
      </c>
      <c r="L4931">
        <v>142.15049999999999</v>
      </c>
      <c r="M4931">
        <v>-0.99987539999999997</v>
      </c>
      <c r="N4931">
        <v>0</v>
      </c>
      <c r="O4931">
        <v>1.312439E-2</v>
      </c>
      <c r="P4931">
        <v>-0.99925969999999997</v>
      </c>
      <c r="Q4931">
        <v>-6.5224649999999999E-3</v>
      </c>
      <c r="R4931">
        <v>3.7914110000000001E-2</v>
      </c>
      <c r="S4931">
        <v>-3.0037690000000001</v>
      </c>
      <c r="T4931">
        <v>-0.12537129999999999</v>
      </c>
      <c r="U4931">
        <v>-6.0684200000000001E-2</v>
      </c>
      <c r="V4931">
        <v>2.4795399999999999E-2</v>
      </c>
      <c r="W4931">
        <v>2.2485880000000001E-3</v>
      </c>
      <c r="X4931">
        <v>0.99968999999999997</v>
      </c>
      <c r="Y4931">
        <v>-3.3278660000000002E-2</v>
      </c>
      <c r="Z4931">
        <v>-1.2416389999999999E-3</v>
      </c>
      <c r="AA4931">
        <v>0.99944529999999998</v>
      </c>
      <c r="AB4931">
        <v>28</v>
      </c>
      <c r="AC4931">
        <v>-26.286200000000001</v>
      </c>
      <c r="AD4931">
        <v>-1.1091610355020001</v>
      </c>
      <c r="AE4931">
        <v>-0.54069999999998597</v>
      </c>
      <c r="AF4931">
        <v>-0.88408362403568796</v>
      </c>
      <c r="AG4931">
        <v>-1.1091610355020001</v>
      </c>
      <c r="AH4931">
        <v>26.230157062620702</v>
      </c>
      <c r="AI4931">
        <v>92.419978151959896</v>
      </c>
      <c r="AJ4931">
        <v>91.930415131183395</v>
      </c>
      <c r="AK4931">
        <v>26.268478859399401</v>
      </c>
      <c r="AL4931">
        <v>89.871165286856197</v>
      </c>
      <c r="AM4931">
        <v>88.579178995877697</v>
      </c>
      <c r="AN4931">
        <v>0.99999998205457596</v>
      </c>
    </row>
    <row r="4932" spans="1:40" x14ac:dyDescent="0.25">
      <c r="A4932" t="str">
        <f>"20190312160742900"</f>
        <v>20190312160742900</v>
      </c>
      <c r="B4932" t="str">
        <f>"1552378062889906"</f>
        <v>1552378062889906</v>
      </c>
      <c r="C4932" t="s">
        <v>40</v>
      </c>
      <c r="D4932">
        <v>5.8056559999999999</v>
      </c>
      <c r="E4932">
        <v>0.47772720000000002</v>
      </c>
      <c r="F4932" t="s">
        <v>47</v>
      </c>
      <c r="G4932">
        <v>-278.77030000000002</v>
      </c>
      <c r="H4932" s="1">
        <v>-1.0430729999999999E-6</v>
      </c>
      <c r="I4932">
        <v>141.62010000000001</v>
      </c>
      <c r="J4932">
        <v>-252.76349999999999</v>
      </c>
      <c r="K4932">
        <v>1.1091610000000001</v>
      </c>
      <c r="L4932">
        <v>142.15389999999999</v>
      </c>
      <c r="M4932">
        <v>-0.99987669999999995</v>
      </c>
      <c r="N4932">
        <v>0</v>
      </c>
      <c r="O4932">
        <v>1.303003E-2</v>
      </c>
      <c r="P4932">
        <v>-0.99925850000000005</v>
      </c>
      <c r="Q4932">
        <v>-6.3703659999999997E-3</v>
      </c>
      <c r="R4932">
        <v>3.7976349999999999E-2</v>
      </c>
      <c r="S4932">
        <v>-3.0036930000000002</v>
      </c>
      <c r="T4932">
        <v>-0.12679679999999999</v>
      </c>
      <c r="U4932">
        <v>-6.0623169999999997E-2</v>
      </c>
      <c r="V4932">
        <v>2.4951890000000001E-2</v>
      </c>
      <c r="W4932">
        <v>2.4145270000000001E-3</v>
      </c>
      <c r="X4932">
        <v>0.99968579999999996</v>
      </c>
      <c r="Y4932">
        <v>-3.3163810000000002E-2</v>
      </c>
      <c r="Z4932">
        <v>-1.2493719999999999E-3</v>
      </c>
      <c r="AA4932">
        <v>0.99944909999999998</v>
      </c>
      <c r="AB4932">
        <v>28</v>
      </c>
      <c r="AC4932">
        <v>-26.006799999999998</v>
      </c>
      <c r="AD4932">
        <v>-1.109162043073</v>
      </c>
      <c r="AE4932">
        <v>-0.53379999999998495</v>
      </c>
      <c r="AF4932">
        <v>-0.871053359407573</v>
      </c>
      <c r="AG4932">
        <v>-1.109162043073</v>
      </c>
      <c r="AH4932">
        <v>25.9504540992728</v>
      </c>
      <c r="AI4932">
        <v>92.446043616197301</v>
      </c>
      <c r="AJ4932">
        <v>91.922469271951897</v>
      </c>
      <c r="AK4932">
        <v>25.988748379850701</v>
      </c>
      <c r="AL4932">
        <v>89.861657667637502</v>
      </c>
      <c r="AM4932">
        <v>88.570209543591403</v>
      </c>
      <c r="AN4932">
        <v>1.00000006273842</v>
      </c>
    </row>
    <row r="4933" spans="1:40" x14ac:dyDescent="0.25">
      <c r="A4933" t="str">
        <f>"20190312160742921"</f>
        <v>20190312160742921</v>
      </c>
      <c r="B4933" t="str">
        <f>"1552378062910406"</f>
        <v>1552378062910406</v>
      </c>
      <c r="C4933" t="s">
        <v>40</v>
      </c>
      <c r="D4933">
        <v>5.7637419999999997</v>
      </c>
      <c r="E4933">
        <v>0.47772720000000002</v>
      </c>
      <c r="F4933" t="s">
        <v>47</v>
      </c>
      <c r="G4933">
        <v>-278.86739999999998</v>
      </c>
      <c r="H4933" s="1">
        <v>-1.004943E-6</v>
      </c>
      <c r="I4933">
        <v>141.6335</v>
      </c>
      <c r="J4933">
        <v>-253.0231</v>
      </c>
      <c r="K4933">
        <v>1.1091679999999999</v>
      </c>
      <c r="L4933">
        <v>142.15719999999999</v>
      </c>
      <c r="M4933">
        <v>-0.99987769999999998</v>
      </c>
      <c r="N4933">
        <v>0</v>
      </c>
      <c r="O4933">
        <v>1.29392E-2</v>
      </c>
      <c r="P4933">
        <v>-0.99928740000000005</v>
      </c>
      <c r="Q4933">
        <v>-5.8895249999999996E-3</v>
      </c>
      <c r="R4933">
        <v>3.7286E-2</v>
      </c>
      <c r="S4933">
        <v>-3.0036770000000002</v>
      </c>
      <c r="T4933">
        <v>-0.1276273</v>
      </c>
      <c r="U4933">
        <v>-5.9875490000000003E-2</v>
      </c>
      <c r="V4933">
        <v>2.4352100000000002E-2</v>
      </c>
      <c r="W4933">
        <v>2.9085280000000001E-3</v>
      </c>
      <c r="X4933">
        <v>0.99969920000000001</v>
      </c>
      <c r="Y4933">
        <v>-3.2824270000000003E-2</v>
      </c>
      <c r="Z4933">
        <v>-1.2464889999999999E-3</v>
      </c>
      <c r="AA4933">
        <v>0.99946029999999997</v>
      </c>
      <c r="AB4933">
        <v>28</v>
      </c>
      <c r="AC4933">
        <v>-25.844299999999901</v>
      </c>
      <c r="AD4933">
        <v>-1.1091690049430001</v>
      </c>
      <c r="AE4933">
        <v>-0.52369999999999095</v>
      </c>
      <c r="AF4933">
        <v>-0.85649669087622704</v>
      </c>
      <c r="AG4933">
        <v>-1.1091690049430001</v>
      </c>
      <c r="AH4933">
        <v>25.787880572564699</v>
      </c>
      <c r="AI4933">
        <v>92.461489570511006</v>
      </c>
      <c r="AJ4933">
        <v>91.902273928815703</v>
      </c>
      <c r="AK4933">
        <v>25.8259293518717</v>
      </c>
      <c r="AL4933">
        <v>89.833353383944399</v>
      </c>
      <c r="AM4933">
        <v>88.604583584647003</v>
      </c>
      <c r="AN4933">
        <v>0.999999987395088</v>
      </c>
    </row>
    <row r="4934" spans="1:40" x14ac:dyDescent="0.25">
      <c r="A4934" t="str">
        <f>"20190312160742943"</f>
        <v>20190312160742943</v>
      </c>
      <c r="B4934" t="str">
        <f>"1552378062929922"</f>
        <v>1552378062929922</v>
      </c>
      <c r="C4934" t="s">
        <v>40</v>
      </c>
      <c r="D4934">
        <v>5.7917909999999999</v>
      </c>
      <c r="E4934">
        <v>0.51877180000000001</v>
      </c>
      <c r="F4934" t="s">
        <v>47</v>
      </c>
      <c r="G4934">
        <v>-279.40449999999998</v>
      </c>
      <c r="H4934" s="1">
        <v>-7.6923740000000002E-7</v>
      </c>
      <c r="I4934">
        <v>141.61349999999999</v>
      </c>
      <c r="J4934">
        <v>-253.29920000000001</v>
      </c>
      <c r="K4934">
        <v>1.1091690000000001</v>
      </c>
      <c r="L4934">
        <v>142.16059999999999</v>
      </c>
      <c r="M4934">
        <v>-0.99987879999999996</v>
      </c>
      <c r="N4934">
        <v>0</v>
      </c>
      <c r="O4934">
        <v>1.2842269999999999E-2</v>
      </c>
      <c r="P4934">
        <v>-0.99933430000000001</v>
      </c>
      <c r="Q4934">
        <v>-5.4726159999999996E-3</v>
      </c>
      <c r="R4934">
        <v>3.6074139999999998E-2</v>
      </c>
      <c r="S4934">
        <v>-3.0036619999999998</v>
      </c>
      <c r="T4934">
        <v>-0.12628499999999901</v>
      </c>
      <c r="U4934">
        <v>-6.1889649999999997E-2</v>
      </c>
      <c r="V4934">
        <v>2.3236389999999999E-2</v>
      </c>
      <c r="W4934">
        <v>3.3391089999999998E-3</v>
      </c>
      <c r="X4934">
        <v>0.99972439999999996</v>
      </c>
      <c r="Y4934">
        <v>-3.3397870000000003E-2</v>
      </c>
      <c r="Z4934">
        <v>-1.2413680000000001E-3</v>
      </c>
      <c r="AA4934">
        <v>0.99944140000000004</v>
      </c>
      <c r="AB4934">
        <v>28</v>
      </c>
      <c r="AC4934">
        <v>-26.1052999999999</v>
      </c>
      <c r="AD4934">
        <v>-1.1091697692373901</v>
      </c>
      <c r="AE4934">
        <v>-0.54710000000000003</v>
      </c>
      <c r="AF4934">
        <v>-0.88072993150190504</v>
      </c>
      <c r="AG4934">
        <v>-1.1091697692373901</v>
      </c>
      <c r="AH4934">
        <v>26.0491161080203</v>
      </c>
      <c r="AI4934">
        <v>92.436787264960302</v>
      </c>
      <c r="AJ4934">
        <v>91.936453141505694</v>
      </c>
      <c r="AK4934">
        <v>26.087590781794301</v>
      </c>
      <c r="AL4934">
        <v>89.8086827871807</v>
      </c>
      <c r="AM4934">
        <v>88.668525633322801</v>
      </c>
      <c r="AN4934">
        <v>0.99999997771225202</v>
      </c>
    </row>
    <row r="4935" spans="1:40" x14ac:dyDescent="0.25">
      <c r="A4935" t="str">
        <f>"20190312160742966"</f>
        <v>20190312160742966</v>
      </c>
      <c r="B4935" t="str">
        <f>"1552378062960178"</f>
        <v>1552378062960178</v>
      </c>
      <c r="C4935" t="s">
        <v>40</v>
      </c>
      <c r="D4935">
        <v>5.7916129999999999</v>
      </c>
      <c r="E4935">
        <v>0.52051999999999998</v>
      </c>
      <c r="F4935" t="s">
        <v>44</v>
      </c>
      <c r="G4935">
        <v>-254.1208</v>
      </c>
      <c r="H4935">
        <v>0.96382060000000003</v>
      </c>
      <c r="I4935">
        <v>142.23679999999999</v>
      </c>
      <c r="J4935">
        <v>-253.58330000000001</v>
      </c>
      <c r="K4935">
        <v>1.109167</v>
      </c>
      <c r="L4935">
        <v>142.16419999999999</v>
      </c>
      <c r="M4935">
        <v>-0.99987999999999999</v>
      </c>
      <c r="N4935">
        <v>0</v>
      </c>
      <c r="O4935">
        <v>1.274291E-2</v>
      </c>
      <c r="P4935">
        <v>-0.99933700000000003</v>
      </c>
      <c r="Q4935">
        <v>-6.4321400000000003E-3</v>
      </c>
      <c r="R4935">
        <v>3.5841159999999997E-2</v>
      </c>
      <c r="S4935">
        <v>-2.9891359999999998</v>
      </c>
      <c r="T4935">
        <v>-0.5288543</v>
      </c>
      <c r="U4935">
        <v>0.27651979999999998</v>
      </c>
      <c r="V4935">
        <v>2.3102979999999999E-2</v>
      </c>
      <c r="W4935">
        <v>2.3940229999999999E-3</v>
      </c>
      <c r="X4935">
        <v>0.99973020000000001</v>
      </c>
      <c r="Y4935">
        <v>7.8407350000000001E-2</v>
      </c>
      <c r="Z4935">
        <v>4.6361249999999996E-3</v>
      </c>
      <c r="AA4935">
        <v>0.99691059999999998</v>
      </c>
      <c r="AB4935">
        <v>28</v>
      </c>
      <c r="AC4935">
        <v>-0.53749999999999398</v>
      </c>
      <c r="AD4935">
        <v>-0.14534639999999999</v>
      </c>
      <c r="AE4935">
        <v>7.2599999999994197E-2</v>
      </c>
      <c r="AF4935">
        <v>6.1339578644283001E-2</v>
      </c>
      <c r="AG4935">
        <v>-0.14534639999999999</v>
      </c>
      <c r="AH4935">
        <v>0.50230944675735101</v>
      </c>
      <c r="AI4935">
        <v>106.02526560809601</v>
      </c>
      <c r="AJ4935">
        <v>83.037789491264803</v>
      </c>
      <c r="AK4935">
        <v>0.52650061747626997</v>
      </c>
      <c r="AL4935">
        <v>89.862832451712606</v>
      </c>
      <c r="AM4935">
        <v>88.676175143384299</v>
      </c>
      <c r="AN4935">
        <v>0.99999997591152201</v>
      </c>
    </row>
    <row r="4936" spans="1:40" x14ac:dyDescent="0.25">
      <c r="A4936" t="str">
        <f>"20190312160743000"</f>
        <v>20190312160743000</v>
      </c>
      <c r="B4936" t="str">
        <f>"1552378062990435"</f>
        <v>1552378062990435</v>
      </c>
      <c r="C4936" t="s">
        <v>40</v>
      </c>
      <c r="D4936">
        <v>5.8533359999999997</v>
      </c>
      <c r="E4936">
        <v>0.5213082</v>
      </c>
      <c r="F4936" t="s">
        <v>44</v>
      </c>
      <c r="G4936">
        <v>-254.3777</v>
      </c>
      <c r="H4936">
        <v>0.98036290000000004</v>
      </c>
      <c r="I4936">
        <v>142.24109999999999</v>
      </c>
      <c r="J4936">
        <v>-254.00540000000001</v>
      </c>
      <c r="K4936">
        <v>1.1091660000000001</v>
      </c>
      <c r="L4936">
        <v>142.1694</v>
      </c>
      <c r="M4936">
        <v>-0.99988160000000004</v>
      </c>
      <c r="N4936">
        <v>0</v>
      </c>
      <c r="O4936">
        <v>1.25957E-2</v>
      </c>
      <c r="P4936">
        <v>-0.99935700000000005</v>
      </c>
      <c r="Q4936">
        <v>-7.2446740000000004E-3</v>
      </c>
      <c r="R4936">
        <v>3.5116550000000003E-2</v>
      </c>
      <c r="S4936">
        <v>-2.9885250000000001</v>
      </c>
      <c r="T4936">
        <v>-0.4846665</v>
      </c>
      <c r="U4936">
        <v>0.28813169999999999</v>
      </c>
      <c r="V4936">
        <v>2.2525389999999999E-2</v>
      </c>
      <c r="W4936">
        <v>1.602951E-3</v>
      </c>
      <c r="X4936">
        <v>0.99974499999999999</v>
      </c>
      <c r="Y4936">
        <v>8.2517110000000005E-2</v>
      </c>
      <c r="Z4936">
        <v>4.6080409999999898E-3</v>
      </c>
      <c r="AA4936">
        <v>0.99657899999999999</v>
      </c>
      <c r="AB4936">
        <v>28</v>
      </c>
      <c r="AC4936">
        <v>-0.37229999999999502</v>
      </c>
      <c r="AD4936">
        <v>-0.1288031</v>
      </c>
      <c r="AE4936">
        <v>7.16999999999927E-2</v>
      </c>
      <c r="AF4936">
        <v>6.0071758570653999E-2</v>
      </c>
      <c r="AG4936">
        <v>-0.1288031</v>
      </c>
      <c r="AH4936">
        <v>0.334561284876707</v>
      </c>
      <c r="AI4936">
        <v>110.753261872916</v>
      </c>
      <c r="AJ4936">
        <v>79.820789840655607</v>
      </c>
      <c r="AK4936">
        <v>0.36349705375110603</v>
      </c>
      <c r="AL4936">
        <v>89.908157634873604</v>
      </c>
      <c r="AM4936">
        <v>88.709279414440601</v>
      </c>
      <c r="AN4936">
        <v>1.0000000138357801</v>
      </c>
    </row>
    <row r="4937" spans="1:40" x14ac:dyDescent="0.25">
      <c r="A4937" t="str">
        <f>"20190312160743022"</f>
        <v>20190312160743022</v>
      </c>
      <c r="B4937" t="str">
        <f>"1552378063010573"</f>
        <v>1552378063010573</v>
      </c>
      <c r="C4937" t="s">
        <v>40</v>
      </c>
      <c r="D4937">
        <v>6.0921310000000002</v>
      </c>
      <c r="E4937">
        <v>0.5408347</v>
      </c>
      <c r="F4937" t="s">
        <v>44</v>
      </c>
      <c r="G4937">
        <v>-254.87190000000001</v>
      </c>
      <c r="H4937">
        <v>0.97088249999999998</v>
      </c>
      <c r="I4937">
        <v>142.2543</v>
      </c>
      <c r="J4937">
        <v>-254.2748</v>
      </c>
      <c r="K4937">
        <v>1.109167</v>
      </c>
      <c r="L4937">
        <v>142.17259999999999</v>
      </c>
      <c r="M4937">
        <v>-0.99988279999999996</v>
      </c>
      <c r="N4937">
        <v>0</v>
      </c>
      <c r="O4937">
        <v>1.2501699999999999E-2</v>
      </c>
      <c r="P4937">
        <v>-0.99935450000000003</v>
      </c>
      <c r="Q4937">
        <v>-7.6916060000000001E-3</v>
      </c>
      <c r="R4937">
        <v>3.5099119999999998E-2</v>
      </c>
      <c r="S4937">
        <v>-2.9882200000000001</v>
      </c>
      <c r="T4937">
        <v>-0.47690579999999999</v>
      </c>
      <c r="U4937">
        <v>0.29217530000000003</v>
      </c>
      <c r="V4937">
        <v>2.2602239999999999E-2</v>
      </c>
      <c r="W4937">
        <v>1.1690299999999999E-3</v>
      </c>
      <c r="X4937">
        <v>0.99974390000000002</v>
      </c>
      <c r="Y4937">
        <v>8.3965579999999998E-2</v>
      </c>
      <c r="Z4937">
        <v>4.6648030000000004E-3</v>
      </c>
      <c r="AA4937">
        <v>0.99645779999999995</v>
      </c>
      <c r="AB4937">
        <v>28</v>
      </c>
      <c r="AC4937">
        <v>-0.59710000000001096</v>
      </c>
      <c r="AD4937">
        <v>-0.13828449999999901</v>
      </c>
      <c r="AE4937">
        <v>8.1700000000012096E-2</v>
      </c>
      <c r="AF4937">
        <v>7.0515905575443294E-2</v>
      </c>
      <c r="AG4937">
        <v>-0.13828449999999901</v>
      </c>
      <c r="AH4937">
        <v>0.56816115675104994</v>
      </c>
      <c r="AI4937">
        <v>103.578937879935</v>
      </c>
      <c r="AJ4937">
        <v>82.925056406369706</v>
      </c>
      <c r="AK4937">
        <v>0.58898403706727598</v>
      </c>
      <c r="AL4937">
        <v>89.9330195027499</v>
      </c>
      <c r="AM4937">
        <v>88.704875928521403</v>
      </c>
      <c r="AN4937">
        <v>1.00000004673568</v>
      </c>
    </row>
    <row r="4938" spans="1:40" x14ac:dyDescent="0.25">
      <c r="A4938" t="str">
        <f>"20190312160743045"</f>
        <v>20190312160743045</v>
      </c>
      <c r="B4938" t="str">
        <f>"1552378063040828"</f>
        <v>1552378063040828</v>
      </c>
      <c r="C4938" t="s">
        <v>40</v>
      </c>
      <c r="D4938">
        <v>5.8815489999999997</v>
      </c>
      <c r="E4938">
        <v>0.54207499999999997</v>
      </c>
      <c r="F4938" t="s">
        <v>44</v>
      </c>
      <c r="G4938">
        <v>-255.09460000000001</v>
      </c>
      <c r="H4938">
        <v>0.91152860000000002</v>
      </c>
      <c r="I4938">
        <v>142.29830000000001</v>
      </c>
      <c r="J4938">
        <v>-254.57320000000001</v>
      </c>
      <c r="K4938">
        <v>1.109167</v>
      </c>
      <c r="L4938">
        <v>142.1763</v>
      </c>
      <c r="M4938">
        <v>-0.99988379999999999</v>
      </c>
      <c r="N4938">
        <v>0</v>
      </c>
      <c r="O4938">
        <v>1.2397740000000001E-2</v>
      </c>
      <c r="P4938">
        <v>-0.99935660000000004</v>
      </c>
      <c r="Q4938">
        <v>-7.52594099999999E-3</v>
      </c>
      <c r="R4938">
        <v>3.5068759999999997E-2</v>
      </c>
      <c r="S4938">
        <v>-2.9803769999999998</v>
      </c>
      <c r="T4938">
        <v>-0.71851480000000001</v>
      </c>
      <c r="U4938">
        <v>0.45628360000000001</v>
      </c>
      <c r="V4938">
        <v>2.2675609999999999E-2</v>
      </c>
      <c r="W4938">
        <v>1.3497509999999999E-3</v>
      </c>
      <c r="X4938">
        <v>0.99974200000000002</v>
      </c>
      <c r="Y4938">
        <v>0.13561679999999901</v>
      </c>
      <c r="Z4938">
        <v>1.3097330000000001E-2</v>
      </c>
      <c r="AA4938">
        <v>0.99067479999999997</v>
      </c>
      <c r="AB4938">
        <v>28</v>
      </c>
      <c r="AC4938">
        <v>-0.52139999999999898</v>
      </c>
      <c r="AD4938">
        <v>-0.19763839999999999</v>
      </c>
      <c r="AE4938">
        <v>0.122000000000014</v>
      </c>
      <c r="AF4938">
        <v>0.10167560074241699</v>
      </c>
      <c r="AG4938">
        <v>-0.19763839999999999</v>
      </c>
      <c r="AH4938">
        <v>0.46018463684386601</v>
      </c>
      <c r="AI4938">
        <v>112.751340447422</v>
      </c>
      <c r="AJ4938">
        <v>77.540934225534301</v>
      </c>
      <c r="AK4938">
        <v>0.51104673458306404</v>
      </c>
      <c r="AL4938">
        <v>89.922664943596203</v>
      </c>
      <c r="AM4938">
        <v>88.700670746884398</v>
      </c>
      <c r="AN4938">
        <v>1.0000000358403101</v>
      </c>
    </row>
    <row r="4939" spans="1:40" x14ac:dyDescent="0.25">
      <c r="A4939" t="str">
        <f>"20190312160743069"</f>
        <v>20190312160743069</v>
      </c>
      <c r="B4939" t="str">
        <f>"1552378063060349"</f>
        <v>1552378063060349</v>
      </c>
      <c r="C4939" t="s">
        <v>40</v>
      </c>
      <c r="D4939">
        <v>5.9027269999999996</v>
      </c>
      <c r="E4939">
        <v>0.53918769999999905</v>
      </c>
      <c r="F4939" t="s">
        <v>44</v>
      </c>
      <c r="G4939">
        <v>-255.35429999999999</v>
      </c>
      <c r="H4939">
        <v>0.93184140000000004</v>
      </c>
      <c r="I4939">
        <v>142.29820000000001</v>
      </c>
      <c r="J4939">
        <v>-254.86359999999999</v>
      </c>
      <c r="K4939">
        <v>1.1091679999999999</v>
      </c>
      <c r="L4939">
        <v>142.1798</v>
      </c>
      <c r="M4939">
        <v>-0.99988500000000002</v>
      </c>
      <c r="N4939">
        <v>0</v>
      </c>
      <c r="O4939">
        <v>1.229629E-2</v>
      </c>
      <c r="P4939">
        <v>-0.99936100000000005</v>
      </c>
      <c r="Q4939">
        <v>-7.4345390000000004E-3</v>
      </c>
      <c r="R4939">
        <v>3.4962130000000001E-2</v>
      </c>
      <c r="S4939">
        <v>-2.9805299999999999</v>
      </c>
      <c r="T4939">
        <v>-0.67668130000000004</v>
      </c>
      <c r="U4939">
        <v>0.4642944</v>
      </c>
      <c r="V4939">
        <v>2.2670340000000001E-2</v>
      </c>
      <c r="W4939">
        <v>1.4556090000000001E-3</v>
      </c>
      <c r="X4939">
        <v>0.99974189999999996</v>
      </c>
      <c r="Y4939">
        <v>0.13861960000000001</v>
      </c>
      <c r="Z4939">
        <v>1.270815E-2</v>
      </c>
      <c r="AA4939">
        <v>0.99026420000000004</v>
      </c>
      <c r="AB4939">
        <v>28</v>
      </c>
      <c r="AC4939">
        <v>-0.49070000000000302</v>
      </c>
      <c r="AD4939">
        <v>-0.177326599999999</v>
      </c>
      <c r="AE4939">
        <v>0.118400000000008</v>
      </c>
      <c r="AF4939">
        <v>0.100014529235918</v>
      </c>
      <c r="AG4939">
        <v>-0.177326599999999</v>
      </c>
      <c r="AH4939">
        <v>0.43805926398895001</v>
      </c>
      <c r="AI4939">
        <v>111.53644043272401</v>
      </c>
      <c r="AJ4939">
        <v>77.139082794832802</v>
      </c>
      <c r="AK4939">
        <v>0.48305646449704298</v>
      </c>
      <c r="AL4939">
        <v>89.916599715296996</v>
      </c>
      <c r="AM4939">
        <v>88.700972488412205</v>
      </c>
      <c r="AN4939">
        <v>0.99999996486444198</v>
      </c>
    </row>
    <row r="4940" spans="1:40" x14ac:dyDescent="0.25">
      <c r="A4940" t="str">
        <f>"20190312160743089"</f>
        <v>20190312160743089</v>
      </c>
      <c r="B4940" t="str">
        <f>"1552378063079869"</f>
        <v>1552378063079869</v>
      </c>
      <c r="C4940" t="s">
        <v>40</v>
      </c>
      <c r="D4940">
        <v>5.6127419999999999</v>
      </c>
      <c r="E4940">
        <v>0.53806519999999902</v>
      </c>
      <c r="F4940" t="s">
        <v>44</v>
      </c>
      <c r="G4940">
        <v>-255.61580000000001</v>
      </c>
      <c r="H4940">
        <v>0.95454260000000002</v>
      </c>
      <c r="I4940">
        <v>142.29069999999999</v>
      </c>
      <c r="J4940">
        <v>-255.13059999999999</v>
      </c>
      <c r="K4940">
        <v>1.109164</v>
      </c>
      <c r="L4940">
        <v>142.18299999999999</v>
      </c>
      <c r="M4940">
        <v>-0.99988589999999999</v>
      </c>
      <c r="N4940">
        <v>0</v>
      </c>
      <c r="O4940">
        <v>1.2203240000000001E-2</v>
      </c>
      <c r="P4940">
        <v>-0.99935529999999995</v>
      </c>
      <c r="Q4940">
        <v>-8.5042399999999997E-3</v>
      </c>
      <c r="R4940">
        <v>3.4883490000000003E-2</v>
      </c>
      <c r="S4940">
        <v>-2.981995</v>
      </c>
      <c r="T4940">
        <v>-0.61295189999999999</v>
      </c>
      <c r="U4940">
        <v>0.43943789999999999</v>
      </c>
      <c r="V4940">
        <v>2.268504E-2</v>
      </c>
      <c r="W4940">
        <v>3.9941469999999998E-4</v>
      </c>
      <c r="X4940">
        <v>0.99974260000000004</v>
      </c>
      <c r="Y4940">
        <v>0.1312692</v>
      </c>
      <c r="Z4940">
        <v>1.0813130000000001E-2</v>
      </c>
      <c r="AA4940">
        <v>0.99128780000000005</v>
      </c>
      <c r="AB4940">
        <v>28</v>
      </c>
      <c r="AC4940">
        <v>-0.48520000000002</v>
      </c>
      <c r="AD4940">
        <v>-0.15462139999999999</v>
      </c>
      <c r="AE4940">
        <v>0.10769999999999399</v>
      </c>
      <c r="AF4940">
        <v>9.2790011140442302E-2</v>
      </c>
      <c r="AG4940">
        <v>-0.15462139999999999</v>
      </c>
      <c r="AH4940">
        <v>0.44354911368932698</v>
      </c>
      <c r="AI4940">
        <v>108.840353342329</v>
      </c>
      <c r="AJ4940">
        <v>78.184185897734395</v>
      </c>
      <c r="AK4940">
        <v>0.47880432303811798</v>
      </c>
      <c r="AL4940">
        <v>89.977115223227401</v>
      </c>
      <c r="AM4940">
        <v>88.700131366105694</v>
      </c>
      <c r="AN4940">
        <v>1.00000001841333</v>
      </c>
    </row>
    <row r="4941" spans="1:40" x14ac:dyDescent="0.25">
      <c r="A4941" t="str">
        <f>"20190312160743112"</f>
        <v>20190312160743112</v>
      </c>
      <c r="B4941" t="str">
        <f>"1552378063100368"</f>
        <v>1552378063100368</v>
      </c>
      <c r="C4941" t="s">
        <v>40</v>
      </c>
      <c r="D4941">
        <v>5.7509119999999996</v>
      </c>
      <c r="E4941">
        <v>0.53641689999999997</v>
      </c>
      <c r="F4941" t="s">
        <v>44</v>
      </c>
      <c r="G4941">
        <v>-255.87190000000001</v>
      </c>
      <c r="H4941">
        <v>0.96412430000000005</v>
      </c>
      <c r="I4941">
        <v>142.2901</v>
      </c>
      <c r="J4941">
        <v>-255.4117</v>
      </c>
      <c r="K4941">
        <v>1.1091610000000001</v>
      </c>
      <c r="L4941">
        <v>142.18629999999999</v>
      </c>
      <c r="M4941">
        <v>-0.99988699999999997</v>
      </c>
      <c r="N4941">
        <v>0</v>
      </c>
      <c r="O4941">
        <v>1.210549E-2</v>
      </c>
      <c r="P4941">
        <v>-0.99933559999999999</v>
      </c>
      <c r="Q4941">
        <v>-9.1684899999999996E-3</v>
      </c>
      <c r="R4941">
        <v>3.5275670000000002E-2</v>
      </c>
      <c r="S4941">
        <v>-2.981995</v>
      </c>
      <c r="T4941">
        <v>-0.58359499999999997</v>
      </c>
      <c r="U4941">
        <v>0.4291992</v>
      </c>
      <c r="V4941">
        <v>2.3175290000000001E-2</v>
      </c>
      <c r="W4941">
        <v>-2.5109919999999998E-4</v>
      </c>
      <c r="X4941">
        <v>0.99973140000000005</v>
      </c>
      <c r="Y4941">
        <v>0.12831010000000001</v>
      </c>
      <c r="Z4941">
        <v>1.004086E-2</v>
      </c>
      <c r="AA4941">
        <v>0.99168319999999999</v>
      </c>
      <c r="AB4941">
        <v>28</v>
      </c>
      <c r="AC4941">
        <v>-0.46020000000001399</v>
      </c>
      <c r="AD4941">
        <v>-0.14503669999999999</v>
      </c>
      <c r="AE4941">
        <v>0.103800000000006</v>
      </c>
      <c r="AF4941">
        <v>8.9739302058336398E-2</v>
      </c>
      <c r="AG4941">
        <v>-0.14503669999999999</v>
      </c>
      <c r="AH4941">
        <v>0.42157656417957701</v>
      </c>
      <c r="AI4941">
        <v>108.597824371291</v>
      </c>
      <c r="AJ4941">
        <v>77.983039886993396</v>
      </c>
      <c r="AK4941">
        <v>0.45476981666142302</v>
      </c>
      <c r="AL4941">
        <v>90.014386924339803</v>
      </c>
      <c r="AM4941">
        <v>88.672034779770399</v>
      </c>
      <c r="AN4941">
        <v>1.0000000146316701</v>
      </c>
    </row>
    <row r="4942" spans="1:40" x14ac:dyDescent="0.25">
      <c r="A4942" t="str">
        <f>"20190312160743134"</f>
        <v>20190312160743134</v>
      </c>
      <c r="B4942" t="str">
        <f>"1552378063130621"</f>
        <v>1552378063130621</v>
      </c>
      <c r="C4942" t="s">
        <v>40</v>
      </c>
      <c r="D4942">
        <v>5.8433580000000003</v>
      </c>
      <c r="E4942">
        <v>0.53709640000000003</v>
      </c>
      <c r="F4942" t="s">
        <v>44</v>
      </c>
      <c r="G4942">
        <v>-256.12830000000002</v>
      </c>
      <c r="H4942">
        <v>0.97329949999999998</v>
      </c>
      <c r="I4942">
        <v>142.28649999999999</v>
      </c>
      <c r="J4942">
        <v>-255.68340000000001</v>
      </c>
      <c r="K4942">
        <v>1.1091580000000001</v>
      </c>
      <c r="L4942">
        <v>142.18950000000001</v>
      </c>
      <c r="M4942">
        <v>-0.99988809999999995</v>
      </c>
      <c r="N4942">
        <v>0</v>
      </c>
      <c r="O4942">
        <v>1.2010949999999999E-2</v>
      </c>
      <c r="P4942">
        <v>-0.99934540000000005</v>
      </c>
      <c r="Q4942">
        <v>-9.0118249999999993E-3</v>
      </c>
      <c r="R4942">
        <v>3.5042329999999997E-2</v>
      </c>
      <c r="S4942">
        <v>-2.9821170000000001</v>
      </c>
      <c r="T4942">
        <v>-0.56549490000000002</v>
      </c>
      <c r="U4942">
        <v>0.41627500000000001</v>
      </c>
      <c r="V4942">
        <v>2.303645E-2</v>
      </c>
      <c r="W4942" s="1">
        <v>-8.0911359999999996E-5</v>
      </c>
      <c r="X4942">
        <v>0.99973460000000003</v>
      </c>
      <c r="Y4942">
        <v>0.1243802</v>
      </c>
      <c r="Z4942">
        <v>9.3874660000000006E-3</v>
      </c>
      <c r="AA4942">
        <v>0.99219020000000002</v>
      </c>
      <c r="AB4942">
        <v>28</v>
      </c>
      <c r="AC4942">
        <v>-0.444900000000018</v>
      </c>
      <c r="AD4942">
        <v>-0.13585849999999999</v>
      </c>
      <c r="AE4942">
        <v>9.6999999999980005E-2</v>
      </c>
      <c r="AF4942">
        <v>8.4157543928584003E-2</v>
      </c>
      <c r="AG4942">
        <v>-0.13585849999999999</v>
      </c>
      <c r="AH4942">
        <v>0.40957342115136403</v>
      </c>
      <c r="AI4942">
        <v>107.99996981499299</v>
      </c>
      <c r="AJ4942">
        <v>78.388698567442404</v>
      </c>
      <c r="AK4942">
        <v>0.43964805417057601</v>
      </c>
      <c r="AL4942">
        <v>90.004635879551998</v>
      </c>
      <c r="AM4942">
        <v>88.679991838572704</v>
      </c>
      <c r="AN4942">
        <v>0.99999997750620495</v>
      </c>
    </row>
    <row r="4943" spans="1:40" x14ac:dyDescent="0.25">
      <c r="A4943" t="str">
        <f>"20190312160743156"</f>
        <v>20190312160743156</v>
      </c>
      <c r="B4943" t="str">
        <f>"1552378063150141"</f>
        <v>1552378063150141</v>
      </c>
      <c r="C4943" t="s">
        <v>40</v>
      </c>
      <c r="D4943">
        <v>5.9798349999999996</v>
      </c>
      <c r="E4943">
        <v>0.53638260000000004</v>
      </c>
      <c r="F4943" t="s">
        <v>44</v>
      </c>
      <c r="G4943">
        <v>-256.38299999999998</v>
      </c>
      <c r="H4943">
        <v>0.97821219999999998</v>
      </c>
      <c r="I4943">
        <v>142.2885</v>
      </c>
      <c r="J4943">
        <v>-255.97020000000001</v>
      </c>
      <c r="K4943">
        <v>1.1091580000000001</v>
      </c>
      <c r="L4943">
        <v>142.19280000000001</v>
      </c>
      <c r="M4943">
        <v>-0.99988889999999997</v>
      </c>
      <c r="N4943">
        <v>0</v>
      </c>
      <c r="O4943">
        <v>1.191132E-2</v>
      </c>
      <c r="P4943">
        <v>-0.9993727</v>
      </c>
      <c r="Q4943">
        <v>-8.9919379999999997E-3</v>
      </c>
      <c r="R4943">
        <v>3.425504E-2</v>
      </c>
      <c r="S4943">
        <v>-2.9821620000000002</v>
      </c>
      <c r="T4943">
        <v>-0.55824180000000001</v>
      </c>
      <c r="U4943">
        <v>0.42077639999999999</v>
      </c>
      <c r="V4943">
        <v>2.2348349999999999E-2</v>
      </c>
      <c r="W4943" s="1">
        <v>-4.2354079999999899E-5</v>
      </c>
      <c r="X4943">
        <v>0.99975029999999998</v>
      </c>
      <c r="Y4943">
        <v>0.125967</v>
      </c>
      <c r="Z4943">
        <v>9.4329440000000004E-3</v>
      </c>
      <c r="AA4943">
        <v>0.99198960000000003</v>
      </c>
      <c r="AB4943">
        <v>28</v>
      </c>
      <c r="AC4943">
        <v>-0.41279999999997502</v>
      </c>
      <c r="AD4943">
        <v>-0.1309458</v>
      </c>
      <c r="AE4943">
        <v>9.5699999999993596E-2</v>
      </c>
      <c r="AF4943">
        <v>8.2863227736028597E-2</v>
      </c>
      <c r="AG4943">
        <v>-0.1309458</v>
      </c>
      <c r="AH4943">
        <v>0.37783077824656702</v>
      </c>
      <c r="AI4943">
        <v>108.70234532850201</v>
      </c>
      <c r="AJ4943">
        <v>77.630128101716295</v>
      </c>
      <c r="AK4943">
        <v>0.40837386551893801</v>
      </c>
      <c r="AL4943">
        <v>90.002426709892902</v>
      </c>
      <c r="AM4943">
        <v>88.719427325234193</v>
      </c>
      <c r="AN4943">
        <v>1.00000005644583</v>
      </c>
    </row>
    <row r="4944" spans="1:40" x14ac:dyDescent="0.25">
      <c r="A4944" t="str">
        <f>"20190312160743179"</f>
        <v>20190312160743179</v>
      </c>
      <c r="B4944" t="str">
        <f>"1552378063170637"</f>
        <v>1552378063170637</v>
      </c>
      <c r="C4944" t="s">
        <v>40</v>
      </c>
      <c r="D4944">
        <v>5.8220929999999997</v>
      </c>
      <c r="E4944">
        <v>0.5358984</v>
      </c>
      <c r="F4944" t="s">
        <v>44</v>
      </c>
      <c r="G4944">
        <v>-256.87299999999999</v>
      </c>
      <c r="H4944">
        <v>0.94421409999999995</v>
      </c>
      <c r="I4944">
        <v>142.31790000000001</v>
      </c>
      <c r="J4944">
        <v>-256.25900000000001</v>
      </c>
      <c r="K4944">
        <v>1.1091599999999999</v>
      </c>
      <c r="L4944">
        <v>142.1961</v>
      </c>
      <c r="M4944">
        <v>-0.9998901</v>
      </c>
      <c r="N4944">
        <v>0</v>
      </c>
      <c r="O4944">
        <v>1.1810630000000001E-2</v>
      </c>
      <c r="P4944">
        <v>-0.99939619999999996</v>
      </c>
      <c r="Q4944">
        <v>-9.4376570000000003E-3</v>
      </c>
      <c r="R4944">
        <v>3.3447020000000001E-2</v>
      </c>
      <c r="S4944">
        <v>-2.9828489999999999</v>
      </c>
      <c r="T4944">
        <v>-0.54498269999999904</v>
      </c>
      <c r="U4944">
        <v>0.41267399999999999</v>
      </c>
      <c r="V4944">
        <v>2.1640880000000001E-2</v>
      </c>
      <c r="W4944">
        <v>-4.5737019999999998E-4</v>
      </c>
      <c r="X4944">
        <v>0.99976569999999998</v>
      </c>
      <c r="Y4944">
        <v>0.1235204</v>
      </c>
      <c r="Z4944">
        <v>9.0096550000000001E-3</v>
      </c>
      <c r="AA4944">
        <v>0.99230110000000005</v>
      </c>
      <c r="AB4944">
        <v>28</v>
      </c>
      <c r="AC4944">
        <v>-0.61399999999997501</v>
      </c>
      <c r="AD4944">
        <v>-0.16494590000000001</v>
      </c>
      <c r="AE4944">
        <v>0.121800000000007</v>
      </c>
      <c r="AF4944">
        <v>0.107102714027884</v>
      </c>
      <c r="AG4944">
        <v>-0.16494590000000001</v>
      </c>
      <c r="AH4944">
        <v>0.57543960417048901</v>
      </c>
      <c r="AI4944">
        <v>105.738034753478</v>
      </c>
      <c r="AJ4944">
        <v>79.456564261935</v>
      </c>
      <c r="AK4944">
        <v>0.60811913251174499</v>
      </c>
      <c r="AL4944">
        <v>90.026205383156494</v>
      </c>
      <c r="AM4944">
        <v>88.759971973483104</v>
      </c>
      <c r="AN4944">
        <v>0.99999999588558197</v>
      </c>
    </row>
    <row r="4945" spans="1:40" x14ac:dyDescent="0.25">
      <c r="A4945" t="str">
        <f>"20190312160743200"</f>
        <v>20190312160743200</v>
      </c>
      <c r="B4945" t="str">
        <f>"1552378063190157"</f>
        <v>1552378063190157</v>
      </c>
      <c r="C4945" t="s">
        <v>40</v>
      </c>
      <c r="D4945">
        <v>5.7933089999999998</v>
      </c>
      <c r="E4945">
        <v>0.54809240000000004</v>
      </c>
      <c r="F4945" t="s">
        <v>44</v>
      </c>
      <c r="G4945">
        <v>-257.12970000000001</v>
      </c>
      <c r="H4945">
        <v>0.95106820000000003</v>
      </c>
      <c r="I4945">
        <v>142.31469999999999</v>
      </c>
      <c r="J4945">
        <v>-256.53160000000003</v>
      </c>
      <c r="K4945">
        <v>1.109165</v>
      </c>
      <c r="L4945">
        <v>142.19919999999999</v>
      </c>
      <c r="M4945">
        <v>-0.99989079999999997</v>
      </c>
      <c r="N4945">
        <v>0</v>
      </c>
      <c r="O4945">
        <v>1.171591E-2</v>
      </c>
      <c r="P4945">
        <v>-0.99941210000000003</v>
      </c>
      <c r="Q4945">
        <v>-9.6791789999999996E-3</v>
      </c>
      <c r="R4945">
        <v>3.2894300000000001E-2</v>
      </c>
      <c r="S4945">
        <v>-2.9830930000000002</v>
      </c>
      <c r="T4945">
        <v>-0.54161669999999995</v>
      </c>
      <c r="U4945">
        <v>0.40617370000000003</v>
      </c>
      <c r="V4945">
        <v>2.1182590000000001E-2</v>
      </c>
      <c r="W4945">
        <v>-6.6038849999999999E-4</v>
      </c>
      <c r="X4945">
        <v>0.99977539999999998</v>
      </c>
      <c r="Y4945">
        <v>0.121533</v>
      </c>
      <c r="Z4945">
        <v>8.794283E-3</v>
      </c>
      <c r="AA4945">
        <v>0.9925484</v>
      </c>
      <c r="AB4945">
        <v>28</v>
      </c>
      <c r="AC4945">
        <v>-0.59809999999998797</v>
      </c>
      <c r="AD4945">
        <v>-0.15809680000000001</v>
      </c>
      <c r="AE4945">
        <v>0.11549999999999699</v>
      </c>
      <c r="AF4945">
        <v>0.101638223568692</v>
      </c>
      <c r="AG4945">
        <v>-0.15809680000000001</v>
      </c>
      <c r="AH4945">
        <v>0.56158427156162605</v>
      </c>
      <c r="AI4945">
        <v>105.48373673345699</v>
      </c>
      <c r="AJ4945">
        <v>79.741380944438106</v>
      </c>
      <c r="AK4945">
        <v>0.59220082803542395</v>
      </c>
      <c r="AL4945">
        <v>90.037837476853397</v>
      </c>
      <c r="AM4945">
        <v>88.786235940989599</v>
      </c>
      <c r="AN4945">
        <v>0.99999999433861897</v>
      </c>
    </row>
    <row r="4946" spans="1:40" x14ac:dyDescent="0.25">
      <c r="A4946" t="str">
        <f>"20190312160743222"</f>
        <v>20190312160743222</v>
      </c>
      <c r="B4946" t="str">
        <f>"1552378063210653"</f>
        <v>1552378063210653</v>
      </c>
      <c r="C4946" t="s">
        <v>40</v>
      </c>
      <c r="D4946">
        <v>5.8904239999999897</v>
      </c>
      <c r="E4946">
        <v>0.5484812</v>
      </c>
      <c r="F4946" t="s">
        <v>44</v>
      </c>
      <c r="G4946">
        <v>-257.363</v>
      </c>
      <c r="H4946">
        <v>0.90362580000000003</v>
      </c>
      <c r="I4946">
        <v>142.3417</v>
      </c>
      <c r="J4946">
        <v>-256.80650000000003</v>
      </c>
      <c r="K4946">
        <v>1.1091679999999999</v>
      </c>
      <c r="L4946">
        <v>142.20240000000001</v>
      </c>
      <c r="M4946">
        <v>-0.99989159999999999</v>
      </c>
      <c r="N4946">
        <v>0</v>
      </c>
      <c r="O4946">
        <v>1.162003E-2</v>
      </c>
      <c r="P4946">
        <v>-0.99943879999999996</v>
      </c>
      <c r="Q4946">
        <v>-9.8191259999999992E-3</v>
      </c>
      <c r="R4946">
        <v>3.2029670000000003E-2</v>
      </c>
      <c r="S4946">
        <v>-2.977875</v>
      </c>
      <c r="T4946">
        <v>-0.7361299</v>
      </c>
      <c r="U4946">
        <v>0.50918580000000002</v>
      </c>
      <c r="V4946">
        <v>2.041362E-2</v>
      </c>
      <c r="W4946">
        <v>-7.5296390000000003E-4</v>
      </c>
      <c r="X4946">
        <v>0.99979130000000005</v>
      </c>
      <c r="Y4946">
        <v>0.1529451</v>
      </c>
      <c r="Z4946">
        <v>1.5685540000000001E-2</v>
      </c>
      <c r="AA4946">
        <v>0.98811020000000005</v>
      </c>
      <c r="AB4946">
        <v>28</v>
      </c>
      <c r="AC4946">
        <v>-0.55649999999997102</v>
      </c>
      <c r="AD4946">
        <v>-0.20554219999999901</v>
      </c>
      <c r="AE4946">
        <v>0.13929999999999099</v>
      </c>
      <c r="AF4946">
        <v>0.117712510618289</v>
      </c>
      <c r="AG4946">
        <v>-0.20554219999999901</v>
      </c>
      <c r="AH4946">
        <v>0.49458864196347102</v>
      </c>
      <c r="AI4946">
        <v>112.012965229039</v>
      </c>
      <c r="AJ4946">
        <v>76.612620983935798</v>
      </c>
      <c r="AK4946">
        <v>0.548381031670654</v>
      </c>
      <c r="AL4946">
        <v>90.043141659260002</v>
      </c>
      <c r="AM4946">
        <v>88.830304106688502</v>
      </c>
      <c r="AN4946">
        <v>0.999999963195913</v>
      </c>
    </row>
    <row r="4947" spans="1:40" x14ac:dyDescent="0.25">
      <c r="A4947" t="str">
        <f>"20190312160743246"</f>
        <v>20190312160743246</v>
      </c>
      <c r="B4947" t="str">
        <f>"1552378063240909"</f>
        <v>1552378063240909</v>
      </c>
      <c r="C4947" t="s">
        <v>40</v>
      </c>
      <c r="D4947">
        <v>7.4742829999999998</v>
      </c>
      <c r="E4947">
        <v>0.53243619999999903</v>
      </c>
      <c r="F4947" t="s">
        <v>44</v>
      </c>
      <c r="G4947">
        <v>-257.61630000000002</v>
      </c>
      <c r="H4947">
        <v>0.90139009999999997</v>
      </c>
      <c r="I4947">
        <v>142.3416</v>
      </c>
      <c r="J4947">
        <v>-257.11059999999998</v>
      </c>
      <c r="K4947">
        <v>1.1091799999999901</v>
      </c>
      <c r="L4947">
        <v>142.20580000000001</v>
      </c>
      <c r="M4947">
        <v>-0.99989220000000001</v>
      </c>
      <c r="N4947">
        <v>0</v>
      </c>
      <c r="O4947">
        <v>1.1514470000000001E-2</v>
      </c>
      <c r="P4947">
        <v>-0.99946109999999999</v>
      </c>
      <c r="Q4947">
        <v>-9.8918840000000001E-3</v>
      </c>
      <c r="R4947">
        <v>3.1306519999999997E-2</v>
      </c>
      <c r="S4947">
        <v>-2.977814</v>
      </c>
      <c r="T4947">
        <v>-0.76410100000000003</v>
      </c>
      <c r="U4947">
        <v>0.51097109999999901</v>
      </c>
      <c r="V4947">
        <v>1.9795900000000002E-2</v>
      </c>
      <c r="W4947">
        <v>-7.6324179999999995E-4</v>
      </c>
      <c r="X4947">
        <v>0.99980369999999996</v>
      </c>
      <c r="Y4947">
        <v>0.15329899999999999</v>
      </c>
      <c r="Z4947">
        <v>1.6333899999999998E-2</v>
      </c>
      <c r="AA4947">
        <v>0.9880449</v>
      </c>
      <c r="AB4947">
        <v>28</v>
      </c>
      <c r="AC4947">
        <v>-0.505700000000047</v>
      </c>
      <c r="AD4947">
        <v>-0.207789899999999</v>
      </c>
      <c r="AE4947">
        <v>0.13579999999998901</v>
      </c>
      <c r="AF4947">
        <v>0.112285318144173</v>
      </c>
      <c r="AG4947">
        <v>-0.207789899999999</v>
      </c>
      <c r="AH4947">
        <v>0.43821982326708497</v>
      </c>
      <c r="AI4947">
        <v>114.670711864298</v>
      </c>
      <c r="AJ4947">
        <v>75.628265607403605</v>
      </c>
      <c r="AK4947">
        <v>0.49781648096159198</v>
      </c>
      <c r="AL4947">
        <v>90.043730540348093</v>
      </c>
      <c r="AM4947">
        <v>88.865703998053107</v>
      </c>
      <c r="AN4947">
        <v>0.99999994936427095</v>
      </c>
    </row>
    <row r="4948" spans="1:40" x14ac:dyDescent="0.25">
      <c r="A4948" t="str">
        <f>"20190312160743270"</f>
        <v>20190312160743270</v>
      </c>
      <c r="B4948" t="str">
        <f>"1552378063260429"</f>
        <v>1552378063260429</v>
      </c>
      <c r="C4948" t="s">
        <v>40</v>
      </c>
      <c r="D4948">
        <v>5.8225119999999997</v>
      </c>
      <c r="E4948">
        <v>0.53361800000000004</v>
      </c>
      <c r="F4948" t="s">
        <v>44</v>
      </c>
      <c r="G4948">
        <v>-257.90429999999998</v>
      </c>
      <c r="H4948">
        <v>0.97554870000000005</v>
      </c>
      <c r="I4948">
        <v>142.3047</v>
      </c>
      <c r="J4948">
        <v>-257.40370000000001</v>
      </c>
      <c r="K4948">
        <v>1.1091879999999901</v>
      </c>
      <c r="L4948">
        <v>142.209</v>
      </c>
      <c r="M4948">
        <v>-0.99989269999999997</v>
      </c>
      <c r="N4948">
        <v>0</v>
      </c>
      <c r="O4948">
        <v>1.141287E-2</v>
      </c>
      <c r="P4948">
        <v>-0.99947560000000002</v>
      </c>
      <c r="Q4948">
        <v>-9.6862040000000003E-3</v>
      </c>
      <c r="R4948">
        <v>3.0899599999999999E-2</v>
      </c>
      <c r="S4948">
        <v>-2.9850159999999999</v>
      </c>
      <c r="T4948">
        <v>-0.50255939999999999</v>
      </c>
      <c r="U4948">
        <v>0.37139889999999998</v>
      </c>
      <c r="V4948">
        <v>1.9490279999999999E-2</v>
      </c>
      <c r="W4948">
        <v>-4.8711209999999997E-4</v>
      </c>
      <c r="X4948">
        <v>0.99980990000000003</v>
      </c>
      <c r="Y4948">
        <v>0.1107585</v>
      </c>
      <c r="Z4948">
        <v>7.3231260000000001E-3</v>
      </c>
      <c r="AA4948">
        <v>0.99382040000000005</v>
      </c>
      <c r="AB4948">
        <v>28</v>
      </c>
      <c r="AC4948">
        <v>-0.50059999999996296</v>
      </c>
      <c r="AD4948">
        <v>-0.13363929999999899</v>
      </c>
      <c r="AE4948">
        <v>9.5699999999993596E-2</v>
      </c>
      <c r="AF4948">
        <v>8.4191724348346306E-2</v>
      </c>
      <c r="AG4948">
        <v>-0.13363929999999899</v>
      </c>
      <c r="AH4948">
        <v>0.46938738648452899</v>
      </c>
      <c r="AI4948">
        <v>105.654882061322</v>
      </c>
      <c r="AJ4948">
        <v>79.831264591552696</v>
      </c>
      <c r="AK4948">
        <v>0.49524966183129698</v>
      </c>
      <c r="AL4948">
        <v>90.027909469358903</v>
      </c>
      <c r="AM4948">
        <v>88.883218337829305</v>
      </c>
      <c r="AN4948">
        <v>0.99999997221534198</v>
      </c>
    </row>
    <row r="4949" spans="1:40" x14ac:dyDescent="0.25">
      <c r="A4949" t="str">
        <f>"20190312160743290"</f>
        <v>20190312160743290</v>
      </c>
      <c r="B4949" t="str">
        <f>"1552378063279949"</f>
        <v>1552378063279949</v>
      </c>
      <c r="C4949" t="s">
        <v>40</v>
      </c>
      <c r="D4949">
        <v>5.9522110000000001</v>
      </c>
      <c r="E4949">
        <v>0.53360229999999997</v>
      </c>
      <c r="F4949" t="s">
        <v>44</v>
      </c>
      <c r="G4949">
        <v>-258.16210000000001</v>
      </c>
      <c r="H4949">
        <v>0.9813828</v>
      </c>
      <c r="I4949">
        <v>142.3056</v>
      </c>
      <c r="J4949">
        <v>-257.67140000000001</v>
      </c>
      <c r="K4949">
        <v>1.109208</v>
      </c>
      <c r="L4949">
        <v>142.21199999999999</v>
      </c>
      <c r="M4949">
        <v>-0.99989309999999998</v>
      </c>
      <c r="N4949">
        <v>0</v>
      </c>
      <c r="O4949">
        <v>1.132001E-2</v>
      </c>
      <c r="P4949">
        <v>-0.99947750000000002</v>
      </c>
      <c r="Q4949">
        <v>-9.6811580000000005E-3</v>
      </c>
      <c r="R4949">
        <v>3.0845629999999999E-2</v>
      </c>
      <c r="S4949">
        <v>-2.984985</v>
      </c>
      <c r="T4949">
        <v>-0.50305069999999996</v>
      </c>
      <c r="U4949">
        <v>0.3791351</v>
      </c>
      <c r="V4949">
        <v>1.952928E-2</v>
      </c>
      <c r="W4949">
        <v>-4.0690810000000002E-4</v>
      </c>
      <c r="X4949">
        <v>0.99980919999999895</v>
      </c>
      <c r="Y4949">
        <v>0.1133479</v>
      </c>
      <c r="Z4949">
        <v>7.5603980000000003E-3</v>
      </c>
      <c r="AA4949">
        <v>0.99352660000000004</v>
      </c>
      <c r="AB4949">
        <v>28</v>
      </c>
      <c r="AC4949">
        <v>-0.49070000000000302</v>
      </c>
      <c r="AD4949">
        <v>-0.127825199999999</v>
      </c>
      <c r="AE4949">
        <v>9.3599999999980796E-2</v>
      </c>
      <c r="AF4949">
        <v>8.2628857206362302E-2</v>
      </c>
      <c r="AG4949">
        <v>-0.127825199999999</v>
      </c>
      <c r="AH4949">
        <v>0.46151045717160699</v>
      </c>
      <c r="AI4949">
        <v>105.250259153659</v>
      </c>
      <c r="AJ4949">
        <v>79.849309929304397</v>
      </c>
      <c r="AK4949">
        <v>0.48596163621937799</v>
      </c>
      <c r="AL4949">
        <v>90.023314117484105</v>
      </c>
      <c r="AM4949">
        <v>88.880983444997199</v>
      </c>
      <c r="AN4949">
        <v>0.99999999737807899</v>
      </c>
    </row>
    <row r="4950" spans="1:40" x14ac:dyDescent="0.25">
      <c r="A4950" t="str">
        <f>"20190312160743313"</f>
        <v>20190312160743313</v>
      </c>
      <c r="B4950" t="str">
        <f>"1552378063300445"</f>
        <v>1552378063300445</v>
      </c>
      <c r="C4950" t="s">
        <v>40</v>
      </c>
      <c r="D4950">
        <v>5.7903979999999997</v>
      </c>
      <c r="E4950">
        <v>0.54582900000000001</v>
      </c>
      <c r="F4950" t="s">
        <v>44</v>
      </c>
      <c r="G4950">
        <v>-258.41820000000001</v>
      </c>
      <c r="H4950">
        <v>0.9829968</v>
      </c>
      <c r="I4950">
        <v>142.30690000000001</v>
      </c>
      <c r="J4950">
        <v>-257.9599</v>
      </c>
      <c r="K4950">
        <v>1.1092249999999999</v>
      </c>
      <c r="L4950">
        <v>142.21510000000001</v>
      </c>
      <c r="M4950">
        <v>-0.99989320000000004</v>
      </c>
      <c r="N4950">
        <v>0</v>
      </c>
      <c r="O4950">
        <v>1.122014E-2</v>
      </c>
      <c r="P4950">
        <v>-0.99946599999999997</v>
      </c>
      <c r="Q4950">
        <v>-9.2590710000000007E-3</v>
      </c>
      <c r="R4950">
        <v>3.1340260000000002E-2</v>
      </c>
      <c r="S4950">
        <v>-2.984985</v>
      </c>
      <c r="T4950">
        <v>-0.50451329999999905</v>
      </c>
      <c r="U4950">
        <v>0.37852479999999999</v>
      </c>
      <c r="V4950">
        <v>2.0123749999999999E-2</v>
      </c>
      <c r="W4950">
        <v>1.0806719999999999E-4</v>
      </c>
      <c r="X4950">
        <v>0.99979750000000001</v>
      </c>
      <c r="Y4950">
        <v>0.1132391</v>
      </c>
      <c r="Z4950">
        <v>7.5897580000000003E-3</v>
      </c>
      <c r="AA4950">
        <v>0.99353880000000006</v>
      </c>
      <c r="AB4950">
        <v>29</v>
      </c>
      <c r="AC4950">
        <v>-0.45830000000000798</v>
      </c>
      <c r="AD4950">
        <v>-0.12622819999999901</v>
      </c>
      <c r="AE4950">
        <v>9.1800000000006293E-2</v>
      </c>
      <c r="AF4950">
        <v>8.0761560181250802E-2</v>
      </c>
      <c r="AG4950">
        <v>-0.12622819999999901</v>
      </c>
      <c r="AH4950">
        <v>0.42807973370075703</v>
      </c>
      <c r="AI4950">
        <v>106.159432106455</v>
      </c>
      <c r="AJ4950">
        <v>79.316147509329696</v>
      </c>
      <c r="AK4950">
        <v>0.45355070993601199</v>
      </c>
      <c r="AL4950">
        <v>89.993808205579796</v>
      </c>
      <c r="AM4950">
        <v>88.846916225247199</v>
      </c>
      <c r="AN4950">
        <v>1.0000000089994101</v>
      </c>
    </row>
    <row r="4951" spans="1:40" x14ac:dyDescent="0.25">
      <c r="A4951" t="str">
        <f>"20190312160743334"</f>
        <v>20190312160743334</v>
      </c>
      <c r="B4951" t="str">
        <f>"1552378063319965"</f>
        <v>1552378063319965</v>
      </c>
      <c r="C4951" t="s">
        <v>40</v>
      </c>
      <c r="D4951">
        <v>5.9272519999999904</v>
      </c>
      <c r="E4951">
        <v>0.54622819999999905</v>
      </c>
      <c r="F4951" t="s">
        <v>44</v>
      </c>
      <c r="G4951">
        <v>-258.66129999999998</v>
      </c>
      <c r="H4951">
        <v>0.95712969999999997</v>
      </c>
      <c r="I4951">
        <v>142.3289</v>
      </c>
      <c r="J4951">
        <v>-258.23039999999997</v>
      </c>
      <c r="K4951">
        <v>1.10924</v>
      </c>
      <c r="L4951">
        <v>142.21809999999999</v>
      </c>
      <c r="M4951">
        <v>-0.99989349999999999</v>
      </c>
      <c r="N4951">
        <v>0</v>
      </c>
      <c r="O4951">
        <v>1.1126469999999999E-2</v>
      </c>
      <c r="P4951">
        <v>-0.99944219999999895</v>
      </c>
      <c r="Q4951">
        <v>-9.5045979999999995E-3</v>
      </c>
      <c r="R4951">
        <v>3.2018829999999998E-2</v>
      </c>
      <c r="S4951">
        <v>-2.9804689999999998</v>
      </c>
      <c r="T4951">
        <v>-0.64633640000000003</v>
      </c>
      <c r="U4951">
        <v>0.48291020000000001</v>
      </c>
      <c r="V4951">
        <v>2.0896029999999999E-2</v>
      </c>
      <c r="W4951" s="1">
        <v>-4.4132670000000003E-5</v>
      </c>
      <c r="X4951">
        <v>0.9997817</v>
      </c>
      <c r="Y4951">
        <v>0.14589369999999999</v>
      </c>
      <c r="Z4951">
        <v>1.316967E-2</v>
      </c>
      <c r="AA4951">
        <v>0.9892126</v>
      </c>
      <c r="AB4951">
        <v>29</v>
      </c>
      <c r="AC4951">
        <v>-0.430900000000008</v>
      </c>
      <c r="AD4951">
        <v>-0.1521103</v>
      </c>
      <c r="AE4951">
        <v>0.110800000000011</v>
      </c>
      <c r="AF4951">
        <v>9.4905506559406397E-2</v>
      </c>
      <c r="AG4951">
        <v>-0.1521103</v>
      </c>
      <c r="AH4951">
        <v>0.38688514528788298</v>
      </c>
      <c r="AI4951">
        <v>110.899133193159</v>
      </c>
      <c r="AJ4951">
        <v>76.217124577581004</v>
      </c>
      <c r="AK4951">
        <v>0.42640909252244402</v>
      </c>
      <c r="AL4951">
        <v>90.002528615611993</v>
      </c>
      <c r="AM4951">
        <v>88.802658581217301</v>
      </c>
      <c r="AN4951">
        <v>1.0000000468361701</v>
      </c>
    </row>
    <row r="4952" spans="1:40" x14ac:dyDescent="0.25">
      <c r="A4952" t="str">
        <f>"20190312160743358"</f>
        <v>20190312160743358</v>
      </c>
      <c r="B4952" t="str">
        <f>"1552378063350221"</f>
        <v>1552378063350221</v>
      </c>
      <c r="C4952" t="s">
        <v>40</v>
      </c>
      <c r="D4952">
        <v>5.835515</v>
      </c>
      <c r="E4952">
        <v>0.54521409999999904</v>
      </c>
      <c r="F4952" t="s">
        <v>44</v>
      </c>
      <c r="G4952">
        <v>-258.91500000000002</v>
      </c>
      <c r="H4952">
        <v>0.95282979999999995</v>
      </c>
      <c r="I4952">
        <v>142.33070000000001</v>
      </c>
      <c r="J4952">
        <v>-258.52789999999999</v>
      </c>
      <c r="K4952">
        <v>1.1092500000000001</v>
      </c>
      <c r="L4952">
        <v>142.22130000000001</v>
      </c>
      <c r="M4952">
        <v>-0.9998937</v>
      </c>
      <c r="N4952">
        <v>0</v>
      </c>
      <c r="O4952">
        <v>1.1023389999999999E-2</v>
      </c>
      <c r="P4952">
        <v>-0.99942929999999996</v>
      </c>
      <c r="Q4952">
        <v>-9.8145899999999998E-3</v>
      </c>
      <c r="R4952">
        <v>3.232637E-2</v>
      </c>
      <c r="S4952">
        <v>-2.9795229999999999</v>
      </c>
      <c r="T4952">
        <v>-0.68079330000000005</v>
      </c>
      <c r="U4952">
        <v>0.48941040000000002</v>
      </c>
      <c r="V4952">
        <v>2.1306909999999998E-2</v>
      </c>
      <c r="W4952">
        <v>-2.5287630000000002E-4</v>
      </c>
      <c r="X4952">
        <v>0.99977300000000002</v>
      </c>
      <c r="Y4952">
        <v>0.14776689999999901</v>
      </c>
      <c r="Z4952">
        <v>1.40898E-2</v>
      </c>
      <c r="AA4952">
        <v>0.98892179999999996</v>
      </c>
      <c r="AB4952">
        <v>29</v>
      </c>
      <c r="AC4952">
        <v>-0.38710000000003197</v>
      </c>
      <c r="AD4952">
        <v>-0.15642020000000001</v>
      </c>
      <c r="AE4952">
        <v>0.109399999999993</v>
      </c>
      <c r="AF4952">
        <v>9.1318193069441306E-2</v>
      </c>
      <c r="AG4952">
        <v>-0.15642020000000001</v>
      </c>
      <c r="AH4952">
        <v>0.337283395977103</v>
      </c>
      <c r="AI4952">
        <v>114.1155782254</v>
      </c>
      <c r="AJ4952">
        <v>74.850584001373704</v>
      </c>
      <c r="AK4952">
        <v>0.38283988892924298</v>
      </c>
      <c r="AL4952">
        <v>90.014488744159607</v>
      </c>
      <c r="AM4952">
        <v>88.779111615209501</v>
      </c>
      <c r="AN4952">
        <v>1.00000004994458</v>
      </c>
    </row>
    <row r="4953" spans="1:40" x14ac:dyDescent="0.25">
      <c r="A4953" t="str">
        <f>"20190312160743380"</f>
        <v>20190312160743380</v>
      </c>
      <c r="B4953" t="str">
        <f>"1552378063370717"</f>
        <v>1552378063370717</v>
      </c>
      <c r="C4953" t="s">
        <v>40</v>
      </c>
      <c r="D4953">
        <v>5.2445550000000001</v>
      </c>
      <c r="E4953">
        <v>0.54426799999999997</v>
      </c>
      <c r="F4953" t="s">
        <v>44</v>
      </c>
      <c r="G4953">
        <v>-259.40269999999998</v>
      </c>
      <c r="H4953">
        <v>0.89636109999999902</v>
      </c>
      <c r="I4953">
        <v>142.36359999999999</v>
      </c>
      <c r="J4953">
        <v>-258.82100000000003</v>
      </c>
      <c r="K4953">
        <v>1.1092610000000001</v>
      </c>
      <c r="L4953">
        <v>142.2244</v>
      </c>
      <c r="M4953">
        <v>-0.9998937</v>
      </c>
      <c r="N4953">
        <v>0</v>
      </c>
      <c r="O4953">
        <v>1.092196E-2</v>
      </c>
      <c r="P4953">
        <v>-0.99941979999999997</v>
      </c>
      <c r="Q4953">
        <v>-9.8731459999999993E-3</v>
      </c>
      <c r="R4953">
        <v>3.2601199999999997E-2</v>
      </c>
      <c r="S4953">
        <v>-2.9789729999999999</v>
      </c>
      <c r="T4953">
        <v>-0.72501110000000002</v>
      </c>
      <c r="U4953">
        <v>0.48391719999999999</v>
      </c>
      <c r="V4953">
        <v>2.1683319999999999E-2</v>
      </c>
      <c r="W4953">
        <v>-2.1709680000000001E-4</v>
      </c>
      <c r="X4953">
        <v>0.99976489999999996</v>
      </c>
      <c r="Y4953">
        <v>0.1457186</v>
      </c>
      <c r="Z4953">
        <v>1.476501E-2</v>
      </c>
      <c r="AA4953">
        <v>0.98921590000000004</v>
      </c>
      <c r="AB4953">
        <v>29</v>
      </c>
      <c r="AC4953">
        <v>-0.58170000000001199</v>
      </c>
      <c r="AD4953">
        <v>-0.2128999</v>
      </c>
      <c r="AE4953">
        <v>0.139199999999988</v>
      </c>
      <c r="AF4953">
        <v>0.11790036705153201</v>
      </c>
      <c r="AG4953">
        <v>-0.2128999</v>
      </c>
      <c r="AH4953">
        <v>0.51760610225886206</v>
      </c>
      <c r="AI4953">
        <v>111.852964818719</v>
      </c>
      <c r="AJ4953">
        <v>77.168094748884897</v>
      </c>
      <c r="AK4953">
        <v>0.57196410819780297</v>
      </c>
      <c r="AL4953">
        <v>90.012438730055806</v>
      </c>
      <c r="AM4953">
        <v>88.757539918148495</v>
      </c>
      <c r="AN4953">
        <v>1.00000003438462</v>
      </c>
    </row>
    <row r="4954" spans="1:40" x14ac:dyDescent="0.25">
      <c r="A4954" t="str">
        <f>"20190312160743400"</f>
        <v>20190312160743400</v>
      </c>
      <c r="B4954" t="str">
        <f>"1552378063390237"</f>
        <v>1552378063390237</v>
      </c>
      <c r="C4954" t="s">
        <v>40</v>
      </c>
      <c r="D4954">
        <v>5.7884270000000004</v>
      </c>
      <c r="E4954">
        <v>0.54313259999999997</v>
      </c>
      <c r="F4954" t="s">
        <v>44</v>
      </c>
      <c r="G4954">
        <v>-259.66629999999998</v>
      </c>
      <c r="H4954">
        <v>0.91356720000000002</v>
      </c>
      <c r="I4954">
        <v>142.3596</v>
      </c>
      <c r="J4954">
        <v>-259.08640000000003</v>
      </c>
      <c r="K4954">
        <v>1.10927</v>
      </c>
      <c r="L4954">
        <v>142.22720000000001</v>
      </c>
      <c r="M4954">
        <v>-0.99989410000000001</v>
      </c>
      <c r="N4954">
        <v>0</v>
      </c>
      <c r="O4954">
        <v>1.082989E-2</v>
      </c>
      <c r="P4954">
        <v>-0.99940519999999999</v>
      </c>
      <c r="Q4954">
        <v>-9.9536179999999991E-3</v>
      </c>
      <c r="R4954">
        <v>3.3022660000000002E-2</v>
      </c>
      <c r="S4954">
        <v>-2.9794010000000002</v>
      </c>
      <c r="T4954">
        <v>-0.68977549999999999</v>
      </c>
      <c r="U4954">
        <v>0.4759216</v>
      </c>
      <c r="V4954">
        <v>2.2196799999999999E-2</v>
      </c>
      <c r="W4954">
        <v>-2.1835109999999999E-4</v>
      </c>
      <c r="X4954">
        <v>0.99975360000000002</v>
      </c>
      <c r="Y4954">
        <v>0.1436094</v>
      </c>
      <c r="Z4954">
        <v>1.3848330000000001E-2</v>
      </c>
      <c r="AA4954">
        <v>0.98953749999999996</v>
      </c>
      <c r="AB4954">
        <v>29</v>
      </c>
      <c r="AC4954">
        <v>-0.57989999999995201</v>
      </c>
      <c r="AD4954">
        <v>-0.19570280000000001</v>
      </c>
      <c r="AE4954">
        <v>0.132399999999989</v>
      </c>
      <c r="AF4954">
        <v>0.113793753583307</v>
      </c>
      <c r="AG4954">
        <v>-0.19570280000000001</v>
      </c>
      <c r="AH4954">
        <v>0.52452159038615898</v>
      </c>
      <c r="AI4954">
        <v>110.033125646009</v>
      </c>
      <c r="AJ4954">
        <v>77.759498102591905</v>
      </c>
      <c r="AK4954">
        <v>0.57128933393127801</v>
      </c>
      <c r="AL4954">
        <v>90.012510596541901</v>
      </c>
      <c r="AM4954">
        <v>88.728112557699205</v>
      </c>
      <c r="AN4954">
        <v>1.0000000031602001</v>
      </c>
    </row>
    <row r="4955" spans="1:40" x14ac:dyDescent="0.25">
      <c r="A4955" t="str">
        <f>"20190312160743423"</f>
        <v>20190312160743423</v>
      </c>
      <c r="B4955" t="str">
        <f>"1552378063410733"</f>
        <v>1552378063410733</v>
      </c>
      <c r="C4955" t="s">
        <v>40</v>
      </c>
      <c r="D4955">
        <v>5.9637089999999997</v>
      </c>
      <c r="E4955">
        <v>0.54384200000000005</v>
      </c>
      <c r="F4955" t="s">
        <v>44</v>
      </c>
      <c r="G4955">
        <v>-259.92630000000003</v>
      </c>
      <c r="H4955">
        <v>0.92153099999999999</v>
      </c>
      <c r="I4955">
        <v>142.35890000000001</v>
      </c>
      <c r="J4955">
        <v>-259.37580000000003</v>
      </c>
      <c r="K4955">
        <v>1.1092759999999999</v>
      </c>
      <c r="L4955">
        <v>142.2303</v>
      </c>
      <c r="M4955">
        <v>-0.99989430000000001</v>
      </c>
      <c r="N4955">
        <v>0</v>
      </c>
      <c r="O4955">
        <v>1.0729890000000001E-2</v>
      </c>
      <c r="P4955">
        <v>-0.9994073</v>
      </c>
      <c r="Q4955">
        <v>-1.0115509999999999E-2</v>
      </c>
      <c r="R4955">
        <v>3.2907270000000002E-2</v>
      </c>
      <c r="S4955">
        <v>-2.9797060000000002</v>
      </c>
      <c r="T4955">
        <v>-0.66606560000000004</v>
      </c>
      <c r="U4955">
        <v>0.46640009999999998</v>
      </c>
      <c r="V4955">
        <v>2.2181389999999999E-2</v>
      </c>
      <c r="W4955">
        <v>-3.007369E-4</v>
      </c>
      <c r="X4955">
        <v>0.99975389999999997</v>
      </c>
      <c r="Y4955">
        <v>0.1408972</v>
      </c>
      <c r="Z4955">
        <v>1.3109900000000001E-2</v>
      </c>
      <c r="AA4955">
        <v>0.98993739999999997</v>
      </c>
      <c r="AB4955">
        <v>29</v>
      </c>
      <c r="AC4955">
        <v>-0.55049999999999899</v>
      </c>
      <c r="AD4955">
        <v>-0.187744999999999</v>
      </c>
      <c r="AE4955">
        <v>0.12860000000000499</v>
      </c>
      <c r="AF4955">
        <v>0.110498365615275</v>
      </c>
      <c r="AG4955">
        <v>-0.187744999999999</v>
      </c>
      <c r="AH4955">
        <v>0.49702959619652498</v>
      </c>
      <c r="AI4955">
        <v>110.24052683074601</v>
      </c>
      <c r="AJ4955">
        <v>77.465991554382995</v>
      </c>
      <c r="AK4955">
        <v>0.54267531114279299</v>
      </c>
      <c r="AL4955">
        <v>90.017230955674506</v>
      </c>
      <c r="AM4955">
        <v>88.728995649716595</v>
      </c>
      <c r="AN4955">
        <v>0.99999998253511202</v>
      </c>
    </row>
    <row r="4956" spans="1:40" x14ac:dyDescent="0.25">
      <c r="A4956" t="str">
        <f>"20190312160743447"</f>
        <v>20190312160743447</v>
      </c>
      <c r="B4956" t="str">
        <f>"1552378063440013"</f>
        <v>1552378063440013</v>
      </c>
      <c r="C4956" t="s">
        <v>40</v>
      </c>
      <c r="D4956">
        <v>5.6607659999999997</v>
      </c>
      <c r="E4956">
        <v>0.54179330000000003</v>
      </c>
      <c r="F4956" t="s">
        <v>44</v>
      </c>
      <c r="G4956">
        <v>-260.18470000000002</v>
      </c>
      <c r="H4956">
        <v>0.92491869999999998</v>
      </c>
      <c r="I4956">
        <v>142.35830000000001</v>
      </c>
      <c r="J4956">
        <v>-259.6814</v>
      </c>
      <c r="K4956">
        <v>1.1092850000000001</v>
      </c>
      <c r="L4956">
        <v>142.23339999999999</v>
      </c>
      <c r="M4956">
        <v>-0.99989470000000003</v>
      </c>
      <c r="N4956">
        <v>0</v>
      </c>
      <c r="O4956">
        <v>1.062401E-2</v>
      </c>
      <c r="P4956">
        <v>-0.99940469999999904</v>
      </c>
      <c r="Q4956">
        <v>-1.0485700000000001E-2</v>
      </c>
      <c r="R4956">
        <v>3.2871490000000003E-2</v>
      </c>
      <c r="S4956">
        <v>-2.9793699999999999</v>
      </c>
      <c r="T4956">
        <v>-0.67896259999999997</v>
      </c>
      <c r="U4956">
        <v>0.47166439999999998</v>
      </c>
      <c r="V4956">
        <v>2.2251489999999999E-2</v>
      </c>
      <c r="W4956">
        <v>-5.950816E-4</v>
      </c>
      <c r="X4956">
        <v>0.99975219999999998</v>
      </c>
      <c r="Y4956">
        <v>0.14256079999999999</v>
      </c>
      <c r="Z4956">
        <v>1.3566959999999999E-2</v>
      </c>
      <c r="AA4956">
        <v>0.98969300000000004</v>
      </c>
      <c r="AB4956">
        <v>29</v>
      </c>
      <c r="AC4956">
        <v>-0.50330000000002395</v>
      </c>
      <c r="AD4956">
        <v>-0.18436630000000001</v>
      </c>
      <c r="AE4956">
        <v>0.124900000000025</v>
      </c>
      <c r="AF4956">
        <v>0.10613049551124799</v>
      </c>
      <c r="AG4956">
        <v>-0.18436630000000001</v>
      </c>
      <c r="AH4956">
        <v>0.44797372654968398</v>
      </c>
      <c r="AI4956">
        <v>111.824658810656</v>
      </c>
      <c r="AJ4956">
        <v>76.671659391741102</v>
      </c>
      <c r="AK4956">
        <v>0.49591841499581801</v>
      </c>
      <c r="AL4956">
        <v>90.034095667107195</v>
      </c>
      <c r="AM4956">
        <v>88.724978042408793</v>
      </c>
      <c r="AN4956">
        <v>0.99999997216708403</v>
      </c>
    </row>
    <row r="4957" spans="1:40" x14ac:dyDescent="0.25">
      <c r="A4957" t="str">
        <f>"20190312160743470"</f>
        <v>20190312160743470</v>
      </c>
      <c r="B4957" t="str">
        <f>"1552378063460510"</f>
        <v>1552378063460510</v>
      </c>
      <c r="C4957" t="s">
        <v>40</v>
      </c>
      <c r="D4957">
        <v>5.987114</v>
      </c>
      <c r="E4957">
        <v>0.54069509999999998</v>
      </c>
      <c r="F4957" t="s">
        <v>44</v>
      </c>
      <c r="G4957">
        <v>-260.45010000000002</v>
      </c>
      <c r="H4957">
        <v>0.94287849999999995</v>
      </c>
      <c r="I4957">
        <v>142.3509</v>
      </c>
      <c r="J4957">
        <v>-259.97890000000001</v>
      </c>
      <c r="K4957">
        <v>1.1092900000000001</v>
      </c>
      <c r="L4957">
        <v>142.23650000000001</v>
      </c>
      <c r="M4957">
        <v>-0.99989519999999998</v>
      </c>
      <c r="N4957">
        <v>0</v>
      </c>
      <c r="O4957">
        <v>1.052092E-2</v>
      </c>
      <c r="P4957">
        <v>-0.99939739999999999</v>
      </c>
      <c r="Q4957">
        <v>-1.091111E-2</v>
      </c>
      <c r="R4957">
        <v>3.295323E-2</v>
      </c>
      <c r="S4957">
        <v>-2.9800719999999998</v>
      </c>
      <c r="T4957">
        <v>-0.64508449999999995</v>
      </c>
      <c r="U4957">
        <v>0.45449830000000002</v>
      </c>
      <c r="V4957">
        <v>2.2436370000000001E-2</v>
      </c>
      <c r="W4957">
        <v>-9.5436920000000001E-4</v>
      </c>
      <c r="X4957">
        <v>0.99974779999999996</v>
      </c>
      <c r="Y4957">
        <v>0.13748629999999901</v>
      </c>
      <c r="Z4957">
        <v>1.239E-2</v>
      </c>
      <c r="AA4957">
        <v>0.99042620000000003</v>
      </c>
      <c r="AB4957">
        <v>29</v>
      </c>
      <c r="AC4957">
        <v>-0.47120000000001</v>
      </c>
      <c r="AD4957">
        <v>-0.16641149999999899</v>
      </c>
      <c r="AE4957">
        <v>0.114399999999989</v>
      </c>
      <c r="AF4957">
        <v>9.7904472112964699E-2</v>
      </c>
      <c r="AG4957">
        <v>-0.16641149999999899</v>
      </c>
      <c r="AH4957">
        <v>0.42260217370166703</v>
      </c>
      <c r="AI4957">
        <v>110.987715695096</v>
      </c>
      <c r="AJ4957">
        <v>76.956362973563699</v>
      </c>
      <c r="AK4957">
        <v>0.46461884401016501</v>
      </c>
      <c r="AL4957">
        <v>90.054681336511607</v>
      </c>
      <c r="AM4957">
        <v>88.714382206725006</v>
      </c>
      <c r="AN4957">
        <v>0.99999998256209299</v>
      </c>
    </row>
    <row r="4958" spans="1:40" x14ac:dyDescent="0.25">
      <c r="A4958" t="str">
        <f>"20190312160743490"</f>
        <v>20190312160743490</v>
      </c>
      <c r="B4958" t="str">
        <f>"1552378063480029"</f>
        <v>1552378063480029</v>
      </c>
      <c r="C4958" t="s">
        <v>40</v>
      </c>
      <c r="D4958">
        <v>5.8703620000000001</v>
      </c>
      <c r="E4958">
        <v>0.54048099999999999</v>
      </c>
      <c r="F4958" t="s">
        <v>44</v>
      </c>
      <c r="G4958">
        <v>-260.71300000000002</v>
      </c>
      <c r="H4958">
        <v>0.95443259999999996</v>
      </c>
      <c r="I4958">
        <v>142.34639999999999</v>
      </c>
      <c r="J4958">
        <v>-260.24329999999998</v>
      </c>
      <c r="K4958">
        <v>1.109289</v>
      </c>
      <c r="L4958">
        <v>142.23920000000001</v>
      </c>
      <c r="M4958">
        <v>-0.9998956</v>
      </c>
      <c r="N4958">
        <v>0</v>
      </c>
      <c r="O4958">
        <v>1.0429580000000001E-2</v>
      </c>
      <c r="P4958">
        <v>-0.99937710000000002</v>
      </c>
      <c r="Q4958">
        <v>-1.117872E-2</v>
      </c>
      <c r="R4958">
        <v>3.3480139999999999E-2</v>
      </c>
      <c r="S4958">
        <v>-2.980286</v>
      </c>
      <c r="T4958">
        <v>-0.62877810000000001</v>
      </c>
      <c r="U4958">
        <v>0.44525150000000002</v>
      </c>
      <c r="V4958">
        <v>2.3054930000000001E-2</v>
      </c>
      <c r="W4958">
        <v>-1.169509E-3</v>
      </c>
      <c r="X4958">
        <v>0.99973350000000005</v>
      </c>
      <c r="Y4958">
        <v>0.13475860000000001</v>
      </c>
      <c r="Z4958">
        <v>1.182123E-2</v>
      </c>
      <c r="AA4958">
        <v>0.99080800000000002</v>
      </c>
      <c r="AB4958">
        <v>29</v>
      </c>
      <c r="AC4958">
        <v>-0.46969999999998802</v>
      </c>
      <c r="AD4958">
        <v>-0.15485639999999901</v>
      </c>
      <c r="AE4958">
        <v>0.10719999999997699</v>
      </c>
      <c r="AF4958">
        <v>9.2716153861910303E-2</v>
      </c>
      <c r="AG4958">
        <v>-0.15485639999999901</v>
      </c>
      <c r="AH4958">
        <v>0.42670718155624199</v>
      </c>
      <c r="AI4958">
        <v>109.52630194117</v>
      </c>
      <c r="AJ4958">
        <v>77.741159796428093</v>
      </c>
      <c r="AK4958">
        <v>0.46330962498050599</v>
      </c>
      <c r="AL4958">
        <v>90.067007946130602</v>
      </c>
      <c r="AM4958">
        <v>88.678931840930304</v>
      </c>
      <c r="AN4958">
        <v>0.99999998428542702</v>
      </c>
    </row>
    <row r="4959" spans="1:40" x14ac:dyDescent="0.25">
      <c r="A4959" t="str">
        <f>"20190312160743513"</f>
        <v>20190312160743513</v>
      </c>
      <c r="B4959" t="str">
        <f>"1552378063500525"</f>
        <v>1552378063500525</v>
      </c>
      <c r="C4959" t="s">
        <v>40</v>
      </c>
      <c r="D4959">
        <v>5.9684999999999997</v>
      </c>
      <c r="E4959">
        <v>0.53988590000000003</v>
      </c>
      <c r="F4959" t="s">
        <v>44</v>
      </c>
      <c r="G4959">
        <v>-260.97089999999997</v>
      </c>
      <c r="H4959">
        <v>0.95495870000000005</v>
      </c>
      <c r="I4959">
        <v>142.34799999999899</v>
      </c>
      <c r="J4959">
        <v>-260.53230000000002</v>
      </c>
      <c r="K4959">
        <v>1.1092919999999999</v>
      </c>
      <c r="L4959">
        <v>142.24209999999999</v>
      </c>
      <c r="M4959">
        <v>-0.99989620000000001</v>
      </c>
      <c r="N4959">
        <v>0</v>
      </c>
      <c r="O4959">
        <v>1.0329710000000001E-2</v>
      </c>
      <c r="P4959">
        <v>-0.99936840000000005</v>
      </c>
      <c r="Q4959">
        <v>-1.111559E-2</v>
      </c>
      <c r="R4959">
        <v>3.3752949999999997E-2</v>
      </c>
      <c r="S4959">
        <v>-2.979889</v>
      </c>
      <c r="T4959">
        <v>-0.63209630000000006</v>
      </c>
      <c r="U4959">
        <v>0.44477840000000002</v>
      </c>
      <c r="V4959">
        <v>2.3427549999999998E-2</v>
      </c>
      <c r="W4959">
        <v>-1.0550399999999999E-3</v>
      </c>
      <c r="X4959">
        <v>0.99972499999999997</v>
      </c>
      <c r="Y4959">
        <v>0.13469339999999999</v>
      </c>
      <c r="Z4959">
        <v>1.1897970000000001E-2</v>
      </c>
      <c r="AA4959">
        <v>0.99081589999999997</v>
      </c>
      <c r="AB4959">
        <v>29</v>
      </c>
      <c r="AC4959">
        <v>-0.43859999999995097</v>
      </c>
      <c r="AD4959">
        <v>-0.15433329999999901</v>
      </c>
      <c r="AE4959">
        <v>0.105899999999991</v>
      </c>
      <c r="AF4959">
        <v>9.0746463741602404E-2</v>
      </c>
      <c r="AG4959">
        <v>-0.15433329999999901</v>
      </c>
      <c r="AH4959">
        <v>0.39361846592407701</v>
      </c>
      <c r="AI4959">
        <v>110.910180487896</v>
      </c>
      <c r="AJ4959">
        <v>77.017623915124304</v>
      </c>
      <c r="AK4959">
        <v>0.43242246112675498</v>
      </c>
      <c r="AL4959">
        <v>90.060449349258207</v>
      </c>
      <c r="AM4959">
        <v>88.657576722242595</v>
      </c>
      <c r="AN4959">
        <v>1.0000000194167</v>
      </c>
    </row>
    <row r="4960" spans="1:40" x14ac:dyDescent="0.25">
      <c r="A4960" t="str">
        <f>"20190312160743536"</f>
        <v>20190312160743536</v>
      </c>
      <c r="B4960" t="str">
        <f>"1552378063530781"</f>
        <v>1552378063530781</v>
      </c>
      <c r="C4960" t="s">
        <v>40</v>
      </c>
      <c r="D4960">
        <v>7.4481630000000001</v>
      </c>
      <c r="E4960">
        <v>0.53916239999999904</v>
      </c>
      <c r="F4960" t="s">
        <v>44</v>
      </c>
      <c r="G4960">
        <v>-261.23289999999997</v>
      </c>
      <c r="H4960">
        <v>0.96338060000000003</v>
      </c>
      <c r="I4960">
        <v>142.3458</v>
      </c>
      <c r="J4960">
        <v>-260.82369999999997</v>
      </c>
      <c r="K4960">
        <v>1.1092949999999999</v>
      </c>
      <c r="L4960">
        <v>142.245</v>
      </c>
      <c r="M4960">
        <v>-0.99989660000000002</v>
      </c>
      <c r="N4960">
        <v>0</v>
      </c>
      <c r="O4960">
        <v>1.0229159999999999E-2</v>
      </c>
      <c r="P4960">
        <v>-0.99939319999999998</v>
      </c>
      <c r="Q4960">
        <v>-1.05327999999999E-2</v>
      </c>
      <c r="R4960">
        <v>3.3202860000000001E-2</v>
      </c>
      <c r="S4960">
        <v>-2.9801030000000002</v>
      </c>
      <c r="T4960">
        <v>-0.62058649999999904</v>
      </c>
      <c r="U4960">
        <v>0.44026179999999898</v>
      </c>
      <c r="V4960">
        <v>2.2977750000000002E-2</v>
      </c>
      <c r="W4960">
        <v>-4.2642599999999999E-4</v>
      </c>
      <c r="X4960">
        <v>0.99973590000000001</v>
      </c>
      <c r="Y4960">
        <v>0.13343389999999999</v>
      </c>
      <c r="Z4960">
        <v>1.1577809999999999E-2</v>
      </c>
      <c r="AA4960">
        <v>0.99099009999999998</v>
      </c>
      <c r="AB4960">
        <v>29</v>
      </c>
      <c r="AC4960">
        <v>-0.40919999999999801</v>
      </c>
      <c r="AD4960">
        <v>-0.1459144</v>
      </c>
      <c r="AE4960">
        <v>0.10079999999999199</v>
      </c>
      <c r="AF4960">
        <v>8.6267180063574395E-2</v>
      </c>
      <c r="AG4960">
        <v>-0.1459144</v>
      </c>
      <c r="AH4960">
        <v>0.36629851211004</v>
      </c>
      <c r="AI4960">
        <v>111.19332321525501</v>
      </c>
      <c r="AJ4960">
        <v>76.7477281450047</v>
      </c>
      <c r="AK4960">
        <v>0.40361818400254201</v>
      </c>
      <c r="AL4960">
        <v>90.024432410465906</v>
      </c>
      <c r="AM4960">
        <v>88.683355924425499</v>
      </c>
      <c r="AN4960">
        <v>1.0000000142915</v>
      </c>
    </row>
    <row r="4961" spans="1:40" x14ac:dyDescent="0.25">
      <c r="A4961" t="str">
        <f>"20190312160743569"</f>
        <v>20190312160743569</v>
      </c>
      <c r="B4961" t="str">
        <f>"1552378063560061"</f>
        <v>1552378063560061</v>
      </c>
      <c r="C4961" t="s">
        <v>40</v>
      </c>
      <c r="D4961">
        <v>6.1175819999999996</v>
      </c>
      <c r="E4961">
        <v>0.53876329999999995</v>
      </c>
      <c r="F4961" t="s">
        <v>44</v>
      </c>
      <c r="G4961">
        <v>-261.7321</v>
      </c>
      <c r="H4961">
        <v>0.92532190000000003</v>
      </c>
      <c r="I4961">
        <v>142.37700000000001</v>
      </c>
      <c r="J4961">
        <v>-261.26600000000002</v>
      </c>
      <c r="K4961">
        <v>1.1093</v>
      </c>
      <c r="L4961">
        <v>142.24930000000001</v>
      </c>
      <c r="M4961">
        <v>-0.99989760000000005</v>
      </c>
      <c r="N4961">
        <v>0</v>
      </c>
      <c r="O4961">
        <v>1.007621E-2</v>
      </c>
      <c r="P4961">
        <v>-0.99942200000000003</v>
      </c>
      <c r="Q4961">
        <v>-1.0438650000000001E-2</v>
      </c>
      <c r="R4961">
        <v>3.2352249999999999E-2</v>
      </c>
      <c r="S4961">
        <v>-2.9811100000000001</v>
      </c>
      <c r="T4961">
        <v>-0.60377819999999904</v>
      </c>
      <c r="U4961">
        <v>0.43266300000000002</v>
      </c>
      <c r="V4961">
        <v>2.2279710000000001E-2</v>
      </c>
      <c r="W4961">
        <v>-2.7241229999999997E-4</v>
      </c>
      <c r="X4961">
        <v>0.99975170000000002</v>
      </c>
      <c r="Y4961">
        <v>0.13124149999999901</v>
      </c>
      <c r="Z4961">
        <v>1.108059E-2</v>
      </c>
      <c r="AA4961">
        <v>0.99128850000000002</v>
      </c>
      <c r="AB4961">
        <v>29</v>
      </c>
      <c r="AC4961">
        <v>-0.46610000000003898</v>
      </c>
      <c r="AD4961">
        <v>-0.18397809999999901</v>
      </c>
      <c r="AE4961">
        <v>0.127700000000004</v>
      </c>
      <c r="AF4961">
        <v>0.107427875493065</v>
      </c>
      <c r="AG4961">
        <v>-0.18397809999999901</v>
      </c>
      <c r="AH4961">
        <v>0.40820450568102201</v>
      </c>
      <c r="AI4961">
        <v>113.550451221581</v>
      </c>
      <c r="AJ4961">
        <v>75.255697177859503</v>
      </c>
      <c r="AK4961">
        <v>0.46045586994939203</v>
      </c>
      <c r="AL4961">
        <v>90.015608075884302</v>
      </c>
      <c r="AM4961">
        <v>88.723360918262102</v>
      </c>
      <c r="AN4961">
        <v>0.99999996066951602</v>
      </c>
    </row>
    <row r="4962" spans="1:40" x14ac:dyDescent="0.25">
      <c r="A4962" t="str">
        <f>"20190312160743592"</f>
        <v>20190312160743592</v>
      </c>
      <c r="B4962" t="str">
        <f>"1552378063580557"</f>
        <v>1552378063580557</v>
      </c>
      <c r="C4962" t="s">
        <v>40</v>
      </c>
      <c r="D4962">
        <v>5.8800919999999897</v>
      </c>
      <c r="E4962">
        <v>0.53873450000000001</v>
      </c>
      <c r="F4962" t="s">
        <v>44</v>
      </c>
      <c r="G4962">
        <v>-262.00659999999999</v>
      </c>
      <c r="H4962">
        <v>0.95981620000000001</v>
      </c>
      <c r="I4962">
        <v>142.35550000000001</v>
      </c>
      <c r="J4962">
        <v>-261.55009999999999</v>
      </c>
      <c r="K4962">
        <v>1.1093010000000001</v>
      </c>
      <c r="L4962">
        <v>142.25210000000001</v>
      </c>
      <c r="M4962">
        <v>-0.99989830000000002</v>
      </c>
      <c r="N4962">
        <v>0</v>
      </c>
      <c r="O4962">
        <v>9.9779220000000002E-3</v>
      </c>
      <c r="P4962">
        <v>-0.99943899999999997</v>
      </c>
      <c r="Q4962">
        <v>-1.058309E-2</v>
      </c>
      <c r="R4962">
        <v>3.1783169999999999E-2</v>
      </c>
      <c r="S4962">
        <v>-2.9816280000000002</v>
      </c>
      <c r="T4962">
        <v>-0.60183640000000005</v>
      </c>
      <c r="U4962">
        <v>0.42662050000000001</v>
      </c>
      <c r="V4962">
        <v>2.1808939999999999E-2</v>
      </c>
      <c r="W4962">
        <v>-3.8336389999999999E-4</v>
      </c>
      <c r="X4962">
        <v>0.99976209999999999</v>
      </c>
      <c r="Y4962">
        <v>0.12939589999999901</v>
      </c>
      <c r="Z4962">
        <v>1.088136E-2</v>
      </c>
      <c r="AA4962">
        <v>0.99153329999999995</v>
      </c>
      <c r="AB4962">
        <v>29</v>
      </c>
      <c r="AC4962">
        <v>-0.45650000000000501</v>
      </c>
      <c r="AD4962">
        <v>-0.1494848</v>
      </c>
      <c r="AE4962">
        <v>0.103399999999993</v>
      </c>
      <c r="AF4962">
        <v>8.96915058576533E-2</v>
      </c>
      <c r="AG4962">
        <v>-0.1494848</v>
      </c>
      <c r="AH4962">
        <v>0.41516392131919599</v>
      </c>
      <c r="AI4962">
        <v>109.38914769867399</v>
      </c>
      <c r="AJ4962">
        <v>77.809244088824997</v>
      </c>
      <c r="AK4962">
        <v>0.45027919474386702</v>
      </c>
      <c r="AL4962">
        <v>90.021965133658497</v>
      </c>
      <c r="AM4962">
        <v>88.750340635491995</v>
      </c>
      <c r="AN4962">
        <v>1.0000000167141001</v>
      </c>
    </row>
    <row r="4963" spans="1:40" x14ac:dyDescent="0.25">
      <c r="A4963" t="str">
        <f>"20190312160743614"</f>
        <v>20190312160743614</v>
      </c>
      <c r="B4963" t="str">
        <f>"1552378063609838"</f>
        <v>1552378063609838</v>
      </c>
      <c r="C4963" t="s">
        <v>40</v>
      </c>
      <c r="D4963">
        <v>5.8454420000000002</v>
      </c>
      <c r="E4963">
        <v>0.49031049999999998</v>
      </c>
      <c r="F4963" t="s">
        <v>44</v>
      </c>
      <c r="G4963">
        <v>-262.26710000000003</v>
      </c>
      <c r="H4963">
        <v>0.96328449999999999</v>
      </c>
      <c r="I4963">
        <v>142.3544</v>
      </c>
      <c r="J4963">
        <v>-261.83580000000001</v>
      </c>
      <c r="K4963">
        <v>1.1093010000000001</v>
      </c>
      <c r="L4963">
        <v>142.25479999999999</v>
      </c>
      <c r="M4963">
        <v>-0.99989899999999998</v>
      </c>
      <c r="N4963">
        <v>0</v>
      </c>
      <c r="O4963">
        <v>9.8792989999999994E-3</v>
      </c>
      <c r="P4963">
        <v>-0.99945640000000002</v>
      </c>
      <c r="Q4963">
        <v>-1.0292600000000001E-2</v>
      </c>
      <c r="R4963">
        <v>3.132128E-2</v>
      </c>
      <c r="S4963">
        <v>-2.9817809999999998</v>
      </c>
      <c r="T4963">
        <v>-0.60730989999999996</v>
      </c>
      <c r="U4963">
        <v>0.4249115</v>
      </c>
      <c r="V4963">
        <v>2.1445260000000001E-2</v>
      </c>
      <c r="W4963" s="1">
        <v>-6.2850539999999993E-5</v>
      </c>
      <c r="X4963">
        <v>0.99977000000000005</v>
      </c>
      <c r="Y4963">
        <v>0.12889500000000001</v>
      </c>
      <c r="Z4963">
        <v>1.0947790000000001E-2</v>
      </c>
      <c r="AA4963">
        <v>0.99159779999999997</v>
      </c>
      <c r="AB4963">
        <v>29</v>
      </c>
      <c r="AC4963">
        <v>-0.431300000000021</v>
      </c>
      <c r="AD4963">
        <v>-0.14601649999999999</v>
      </c>
      <c r="AE4963">
        <v>9.9600000000009403E-2</v>
      </c>
      <c r="AF4963">
        <v>8.5978400366926999E-2</v>
      </c>
      <c r="AG4963">
        <v>-0.14601649999999999</v>
      </c>
      <c r="AH4963">
        <v>0.38984296602297402</v>
      </c>
      <c r="AI4963">
        <v>110.090612334873</v>
      </c>
      <c r="AJ4963">
        <v>77.562732503034894</v>
      </c>
      <c r="AK4963">
        <v>0.42507721858445302</v>
      </c>
      <c r="AL4963">
        <v>90.003601070763594</v>
      </c>
      <c r="AM4963">
        <v>88.771182881052695</v>
      </c>
      <c r="AN4963">
        <v>0.99999997801332796</v>
      </c>
    </row>
    <row r="4964" spans="1:40" x14ac:dyDescent="0.25">
      <c r="A4964" t="str">
        <f>"20190312160743637"</f>
        <v>20190312160743637</v>
      </c>
      <c r="B4964" t="str">
        <f>"1552378063630334"</f>
        <v>1552378063630334</v>
      </c>
      <c r="C4964" t="s">
        <v>40</v>
      </c>
      <c r="D4964">
        <v>5.844462</v>
      </c>
      <c r="E4964">
        <v>0.48468</v>
      </c>
      <c r="F4964" t="s">
        <v>44</v>
      </c>
      <c r="G4964">
        <v>-262.55579999999998</v>
      </c>
      <c r="H4964">
        <v>1.0202800000000001</v>
      </c>
      <c r="I4964">
        <v>142.262</v>
      </c>
      <c r="J4964">
        <v>-262.13189999999997</v>
      </c>
      <c r="K4964">
        <v>1.1093040000000001</v>
      </c>
      <c r="L4964">
        <v>142.2576</v>
      </c>
      <c r="M4964">
        <v>-0.9998996</v>
      </c>
      <c r="N4964">
        <v>0</v>
      </c>
      <c r="O4964">
        <v>9.7769959999999996E-3</v>
      </c>
      <c r="P4964">
        <v>-0.99948099999999995</v>
      </c>
      <c r="Q4964">
        <v>-9.7496370000000002E-3</v>
      </c>
      <c r="R4964">
        <v>3.0705400000000001E-2</v>
      </c>
      <c r="S4964">
        <v>-2.9968870000000001</v>
      </c>
      <c r="T4964">
        <v>-0.37061500000000003</v>
      </c>
      <c r="U4964">
        <v>2.8900149999999999E-2</v>
      </c>
      <c r="V4964">
        <v>2.0931399999999999E-2</v>
      </c>
      <c r="W4964">
        <v>5.0717999999999998E-4</v>
      </c>
      <c r="X4964">
        <v>0.99978080000000003</v>
      </c>
      <c r="Y4964" s="1">
        <v>-5.9649430000000001E-5</v>
      </c>
      <c r="Z4964">
        <v>-1.2081819999999999E-3</v>
      </c>
      <c r="AA4964">
        <v>0.99999930000000004</v>
      </c>
      <c r="AB4964">
        <v>29</v>
      </c>
      <c r="AC4964">
        <v>-0.423900000000003</v>
      </c>
      <c r="AD4964">
        <v>-8.90240000000002E-2</v>
      </c>
      <c r="AE4964">
        <v>4.4000000000039502E-3</v>
      </c>
      <c r="AF4964">
        <v>2.4432813415444302E-4</v>
      </c>
      <c r="AG4964">
        <v>-8.90240000000002E-2</v>
      </c>
      <c r="AH4964">
        <v>0.40601731240008099</v>
      </c>
      <c r="AI4964">
        <v>102.367055296705</v>
      </c>
      <c r="AJ4964">
        <v>89.965521250483505</v>
      </c>
      <c r="AK4964">
        <v>0.41566259182276999</v>
      </c>
      <c r="AL4964">
        <v>89.970940725718904</v>
      </c>
      <c r="AM4964">
        <v>88.800631394224297</v>
      </c>
      <c r="AN4964">
        <v>1.0000000143930701</v>
      </c>
    </row>
    <row r="4965" spans="1:40" x14ac:dyDescent="0.25">
      <c r="A4965" t="str">
        <f>"20190312160743659"</f>
        <v>20190312160743659</v>
      </c>
      <c r="B4965" t="str">
        <f>"1552378063649853"</f>
        <v>1552378063649853</v>
      </c>
      <c r="C4965" t="s">
        <v>40</v>
      </c>
      <c r="D4965">
        <v>5.8703339999999997</v>
      </c>
      <c r="E4965">
        <v>0.48340309999999997</v>
      </c>
      <c r="F4965" t="s">
        <v>44</v>
      </c>
      <c r="G4965">
        <v>-263.07279999999997</v>
      </c>
      <c r="H4965">
        <v>1.0152129999999999</v>
      </c>
      <c r="I4965">
        <v>142.25149999999999</v>
      </c>
      <c r="J4965">
        <v>-262.42910000000001</v>
      </c>
      <c r="K4965">
        <v>1.1093040000000001</v>
      </c>
      <c r="L4965">
        <v>142.2604</v>
      </c>
      <c r="M4965">
        <v>-0.99990040000000002</v>
      </c>
      <c r="N4965">
        <v>0</v>
      </c>
      <c r="O4965">
        <v>9.6743690000000004E-3</v>
      </c>
      <c r="P4965">
        <v>-0.99946999999999997</v>
      </c>
      <c r="Q4965">
        <v>-9.8789640000000005E-3</v>
      </c>
      <c r="R4965">
        <v>3.1022029999999999E-2</v>
      </c>
      <c r="S4965">
        <v>-2.9992679999999998</v>
      </c>
      <c r="T4965">
        <v>-0.29996070000000002</v>
      </c>
      <c r="U4965">
        <v>-2.0187380000000001E-2</v>
      </c>
      <c r="V4965">
        <v>2.1350879999999999E-2</v>
      </c>
      <c r="W4965">
        <v>3.9846100000000002E-4</v>
      </c>
      <c r="X4965">
        <v>0.99977199999999999</v>
      </c>
      <c r="Y4965">
        <v>-1.627551E-2</v>
      </c>
      <c r="Z4965">
        <v>-1.777009E-3</v>
      </c>
      <c r="AA4965">
        <v>0.99986589999999997</v>
      </c>
      <c r="AB4965">
        <v>29</v>
      </c>
      <c r="AC4965">
        <v>-0.64369999999996697</v>
      </c>
      <c r="AD4965">
        <v>-9.4091000000000105E-2</v>
      </c>
      <c r="AE4965">
        <v>-8.9000000000112305E-3</v>
      </c>
      <c r="AF4965">
        <v>-1.48109098684488E-2</v>
      </c>
      <c r="AG4965">
        <v>-9.4091000000000105E-2</v>
      </c>
      <c r="AH4965">
        <v>0.63012294925947598</v>
      </c>
      <c r="AI4965">
        <v>98.490439768528802</v>
      </c>
      <c r="AJ4965">
        <v>91.346477543239004</v>
      </c>
      <c r="AK4965">
        <v>0.637281264839624</v>
      </c>
      <c r="AL4965">
        <v>89.977169866603802</v>
      </c>
      <c r="AM4965">
        <v>88.776591670802006</v>
      </c>
      <c r="AN4965">
        <v>1.0000000354159699</v>
      </c>
    </row>
    <row r="4966" spans="1:40" x14ac:dyDescent="0.25">
      <c r="A4966" t="str">
        <f>"20190312160743682"</f>
        <v>20190312160743682</v>
      </c>
      <c r="B4966" t="str">
        <f>"1552378063670349"</f>
        <v>1552378063670349</v>
      </c>
      <c r="C4966" t="s">
        <v>40</v>
      </c>
      <c r="D4966">
        <v>5.8969469999999999</v>
      </c>
      <c r="E4966">
        <v>0.48245060000000001</v>
      </c>
      <c r="F4966" t="s">
        <v>44</v>
      </c>
      <c r="G4966">
        <v>-263.34010000000001</v>
      </c>
      <c r="H4966">
        <v>1.027596</v>
      </c>
      <c r="I4966">
        <v>142.25120000000001</v>
      </c>
      <c r="J4966">
        <v>-262.71449999999999</v>
      </c>
      <c r="K4966">
        <v>1.1093029999999999</v>
      </c>
      <c r="L4966">
        <v>142.26310000000001</v>
      </c>
      <c r="M4966">
        <v>-0.99990140000000005</v>
      </c>
      <c r="N4966">
        <v>0</v>
      </c>
      <c r="O4966">
        <v>9.5756520000000005E-3</v>
      </c>
      <c r="P4966">
        <v>-0.99946159999999995</v>
      </c>
      <c r="Q4966">
        <v>-1.0239450000000001E-2</v>
      </c>
      <c r="R4966">
        <v>3.1175049999999999E-2</v>
      </c>
      <c r="S4966">
        <v>-2.9998469999999999</v>
      </c>
      <c r="T4966">
        <v>-0.26907160000000002</v>
      </c>
      <c r="U4966">
        <v>-3.074646E-2</v>
      </c>
      <c r="V4966">
        <v>2.1602570000000001E-2</v>
      </c>
      <c r="W4966" s="1">
        <v>5.1404669999999997E-5</v>
      </c>
      <c r="X4966">
        <v>0.99976659999999995</v>
      </c>
      <c r="Y4966">
        <v>-1.9706439999999999E-2</v>
      </c>
      <c r="Z4966">
        <v>-1.739184E-3</v>
      </c>
      <c r="AA4966">
        <v>0.99980429999999998</v>
      </c>
      <c r="AB4966">
        <v>29</v>
      </c>
      <c r="AC4966">
        <v>-0.62560000000001903</v>
      </c>
      <c r="AD4966">
        <v>-8.1707000000000196E-2</v>
      </c>
      <c r="AE4966">
        <v>-1.18999999999971E-2</v>
      </c>
      <c r="AF4966">
        <v>-1.7590352670698899E-2</v>
      </c>
      <c r="AG4966">
        <v>-8.1707000000000196E-2</v>
      </c>
      <c r="AH4966">
        <v>0.61497105040525202</v>
      </c>
      <c r="AI4966">
        <v>97.565115352464503</v>
      </c>
      <c r="AJ4966">
        <v>91.638415726641696</v>
      </c>
      <c r="AK4966">
        <v>0.62062456218926698</v>
      </c>
      <c r="AL4966">
        <v>89.9970547292546</v>
      </c>
      <c r="AM4966">
        <v>88.762167576766501</v>
      </c>
      <c r="AN4966">
        <v>0.99999996407430103</v>
      </c>
    </row>
    <row r="4967" spans="1:40" x14ac:dyDescent="0.25">
      <c r="A4967" t="str">
        <f>"20190312160743702"</f>
        <v>20190312160743702</v>
      </c>
      <c r="B4967" t="str">
        <f>"1552378063689869"</f>
        <v>1552378063689869</v>
      </c>
      <c r="C4967" t="s">
        <v>40</v>
      </c>
      <c r="D4967">
        <v>5.9609740000000002</v>
      </c>
      <c r="E4967">
        <v>0.48110510000000001</v>
      </c>
      <c r="F4967" t="s">
        <v>44</v>
      </c>
      <c r="G4967">
        <v>-263.60489999999999</v>
      </c>
      <c r="H4967">
        <v>1.0328079999999999</v>
      </c>
      <c r="I4967">
        <v>142.25190000000001</v>
      </c>
      <c r="J4967">
        <v>-262.98610000000002</v>
      </c>
      <c r="K4967">
        <v>1.109302</v>
      </c>
      <c r="L4967">
        <v>142.26560000000001</v>
      </c>
      <c r="M4967">
        <v>-0.99990199999999996</v>
      </c>
      <c r="N4967">
        <v>0</v>
      </c>
      <c r="O4967">
        <v>9.481962E-3</v>
      </c>
      <c r="P4967">
        <v>-0.99944529999999998</v>
      </c>
      <c r="Q4967">
        <v>-1.0151550000000001E-2</v>
      </c>
      <c r="R4967">
        <v>3.1714590000000001E-2</v>
      </c>
      <c r="S4967">
        <v>-3.0001829999999998</v>
      </c>
      <c r="T4967">
        <v>-0.25776929999999998</v>
      </c>
      <c r="U4967">
        <v>-3.8391109999999999E-2</v>
      </c>
      <c r="V4967">
        <v>2.2235789999999998E-2</v>
      </c>
      <c r="W4967">
        <v>1.4907519999999999E-4</v>
      </c>
      <c r="X4967">
        <v>0.9997528</v>
      </c>
      <c r="Y4967">
        <v>-2.2159760000000001E-2</v>
      </c>
      <c r="Z4967">
        <v>-1.763356E-3</v>
      </c>
      <c r="AA4967">
        <v>0.99975290000000006</v>
      </c>
      <c r="AB4967">
        <v>29</v>
      </c>
      <c r="AC4967">
        <v>-0.61879999999996405</v>
      </c>
      <c r="AD4967">
        <v>-7.6494000000000006E-2</v>
      </c>
      <c r="AE4967">
        <v>-1.37E-2</v>
      </c>
      <c r="AF4967">
        <v>-1.9272768887899701E-2</v>
      </c>
      <c r="AG4967">
        <v>-7.6494000000000006E-2</v>
      </c>
      <c r="AH4967">
        <v>0.60933552437550498</v>
      </c>
      <c r="AI4967">
        <v>97.151755229551</v>
      </c>
      <c r="AJ4967">
        <v>91.811613244594199</v>
      </c>
      <c r="AK4967">
        <v>0.61442050171082196</v>
      </c>
      <c r="AL4967">
        <v>89.991458620663806</v>
      </c>
      <c r="AM4967">
        <v>88.725878128333306</v>
      </c>
      <c r="AN4967">
        <v>1.0000000568440801</v>
      </c>
    </row>
    <row r="4968" spans="1:40" x14ac:dyDescent="0.25">
      <c r="A4968" t="str">
        <f>"20190312160743725"</f>
        <v>20190312160743725</v>
      </c>
      <c r="B4968" t="str">
        <f>"1552378063720125"</f>
        <v>1552378063720125</v>
      </c>
      <c r="C4968" t="s">
        <v>40</v>
      </c>
      <c r="D4968">
        <v>5.8717160000000002</v>
      </c>
      <c r="E4968">
        <v>0.47996440000000001</v>
      </c>
      <c r="F4968" t="s">
        <v>47</v>
      </c>
      <c r="G4968">
        <v>-276.6705</v>
      </c>
      <c r="H4968" s="1">
        <v>-2.0572719999999998E-6</v>
      </c>
      <c r="I4968">
        <v>142.04640000000001</v>
      </c>
      <c r="J4968">
        <v>-263.28379999999999</v>
      </c>
      <c r="K4968">
        <v>1.1093029999999999</v>
      </c>
      <c r="L4968">
        <v>142.26830000000001</v>
      </c>
      <c r="M4968">
        <v>-0.99990299999999999</v>
      </c>
      <c r="N4968">
        <v>0</v>
      </c>
      <c r="O4968">
        <v>9.3790999999999996E-3</v>
      </c>
      <c r="P4968">
        <v>-0.99944080000000002</v>
      </c>
      <c r="Q4968">
        <v>-9.6317590000000002E-3</v>
      </c>
      <c r="R4968">
        <v>3.2024919999999998E-2</v>
      </c>
      <c r="S4968">
        <v>-3.0007320000000002</v>
      </c>
      <c r="T4968">
        <v>-0.2432503</v>
      </c>
      <c r="U4968">
        <v>-4.8049929999999998E-2</v>
      </c>
      <c r="V4968">
        <v>2.2649099999999998E-2</v>
      </c>
      <c r="W4968">
        <v>6.7741069999999995E-4</v>
      </c>
      <c r="X4968">
        <v>0.99974320000000005</v>
      </c>
      <c r="Y4968">
        <v>-2.5274720000000001E-2</v>
      </c>
      <c r="Z4968">
        <v>-1.781744E-3</v>
      </c>
      <c r="AA4968">
        <v>0.99967899999999998</v>
      </c>
      <c r="AB4968">
        <v>29</v>
      </c>
      <c r="AC4968">
        <v>-13.386699999999999</v>
      </c>
      <c r="AD4968">
        <v>-1.109305057272</v>
      </c>
      <c r="AE4968">
        <v>-0.22190000000000501</v>
      </c>
      <c r="AF4968">
        <v>-0.34508312437969302</v>
      </c>
      <c r="AG4968">
        <v>-1.109305057272</v>
      </c>
      <c r="AH4968">
        <v>13.2927759241221</v>
      </c>
      <c r="AI4968">
        <v>94.768778852352298</v>
      </c>
      <c r="AJ4968">
        <v>91.487075904869997</v>
      </c>
      <c r="AK4968">
        <v>13.3434452763048</v>
      </c>
      <c r="AL4968">
        <v>89.961187221111203</v>
      </c>
      <c r="AM4968">
        <v>88.702190826930405</v>
      </c>
      <c r="AN4968">
        <v>0.99999995328115199</v>
      </c>
    </row>
    <row r="4969" spans="1:40" x14ac:dyDescent="0.25">
      <c r="A4969" t="str">
        <f>"20190312160743748"</f>
        <v>20190312160743748</v>
      </c>
      <c r="B4969" t="str">
        <f>"1552378063740621"</f>
        <v>1552378063740621</v>
      </c>
      <c r="C4969" t="s">
        <v>40</v>
      </c>
      <c r="D4969">
        <v>5.9271409999999998</v>
      </c>
      <c r="E4969">
        <v>0.47997020000000001</v>
      </c>
      <c r="F4969" t="s">
        <v>47</v>
      </c>
      <c r="G4969">
        <v>-278.3492</v>
      </c>
      <c r="H4969" s="1">
        <v>-1.320206E-6</v>
      </c>
      <c r="I4969">
        <v>141.98269999999999</v>
      </c>
      <c r="J4969">
        <v>-263.58260000000001</v>
      </c>
      <c r="K4969">
        <v>1.1093029999999999</v>
      </c>
      <c r="L4969">
        <v>142.27099999999999</v>
      </c>
      <c r="M4969">
        <v>-0.99990380000000001</v>
      </c>
      <c r="N4969">
        <v>0</v>
      </c>
      <c r="O4969">
        <v>9.2758389999999993E-3</v>
      </c>
      <c r="P4969">
        <v>-0.99942880000000001</v>
      </c>
      <c r="Q4969">
        <v>-9.5411109999999997E-3</v>
      </c>
      <c r="R4969">
        <v>3.2418429999999998E-2</v>
      </c>
      <c r="S4969">
        <v>-3.001404</v>
      </c>
      <c r="T4969">
        <v>-0.22100230000000001</v>
      </c>
      <c r="U4969">
        <v>-5.6884770000000001E-2</v>
      </c>
      <c r="V4969">
        <v>2.3145829999999999E-2</v>
      </c>
      <c r="W4969">
        <v>7.7277819999999997E-4</v>
      </c>
      <c r="X4969">
        <v>0.99973179999999995</v>
      </c>
      <c r="Y4969">
        <v>-2.8121960000000001E-2</v>
      </c>
      <c r="Z4969">
        <v>-1.7159269999999999E-3</v>
      </c>
      <c r="AA4969">
        <v>0.99960300000000002</v>
      </c>
      <c r="AB4969">
        <v>29</v>
      </c>
      <c r="AC4969">
        <v>-14.766599999999899</v>
      </c>
      <c r="AD4969">
        <v>-1.109304320206</v>
      </c>
      <c r="AE4969">
        <v>-0.28830000000001998</v>
      </c>
      <c r="AF4969">
        <v>-0.42288190387274599</v>
      </c>
      <c r="AG4969">
        <v>-1.109304320206</v>
      </c>
      <c r="AH4969">
        <v>14.680474149378499</v>
      </c>
      <c r="AI4969">
        <v>94.319458318503493</v>
      </c>
      <c r="AJ4969">
        <v>91.649990988859599</v>
      </c>
      <c r="AK4969">
        <v>14.7283979587062</v>
      </c>
      <c r="AL4969">
        <v>89.9557230662015</v>
      </c>
      <c r="AM4969">
        <v>88.673722791728395</v>
      </c>
      <c r="AN4969">
        <v>0.99999999928188699</v>
      </c>
    </row>
    <row r="4970" spans="1:40" x14ac:dyDescent="0.25">
      <c r="A4970" t="str">
        <f>"20190312160743770"</f>
        <v>20190312160743770</v>
      </c>
      <c r="B4970" t="str">
        <f>"1552378063760141"</f>
        <v>1552378063760141</v>
      </c>
      <c r="C4970" t="s">
        <v>40</v>
      </c>
      <c r="D4970">
        <v>5.9152909999999999</v>
      </c>
      <c r="E4970">
        <v>0.479798</v>
      </c>
      <c r="F4970" t="s">
        <v>47</v>
      </c>
      <c r="G4970">
        <v>-278.53070000000002</v>
      </c>
      <c r="H4970" s="1">
        <v>-1.2454139999999999E-6</v>
      </c>
      <c r="I4970">
        <v>141.99420000000001</v>
      </c>
      <c r="J4970">
        <v>-263.87360000000001</v>
      </c>
      <c r="K4970">
        <v>1.109305</v>
      </c>
      <c r="L4970">
        <v>142.27359999999999</v>
      </c>
      <c r="M4970">
        <v>-0.99990480000000004</v>
      </c>
      <c r="N4970">
        <v>0</v>
      </c>
      <c r="O4970">
        <v>9.1751660000000002E-3</v>
      </c>
      <c r="P4970">
        <v>-0.99942710000000001</v>
      </c>
      <c r="Q4970">
        <v>-9.6751340000000002E-3</v>
      </c>
      <c r="R4970">
        <v>3.243513E-2</v>
      </c>
      <c r="S4970">
        <v>-3.001404</v>
      </c>
      <c r="T4970">
        <v>-0.22273599999999999</v>
      </c>
      <c r="U4970">
        <v>-5.5557250000000002E-2</v>
      </c>
      <c r="V4970">
        <v>2.3263209999999999E-2</v>
      </c>
      <c r="W4970">
        <v>6.3926369999999996E-4</v>
      </c>
      <c r="X4970">
        <v>0.99972919999999998</v>
      </c>
      <c r="Y4970">
        <v>-2.757952E-2</v>
      </c>
      <c r="Z4970">
        <v>-1.7017989999999999E-3</v>
      </c>
      <c r="AA4970">
        <v>0.99961820000000001</v>
      </c>
      <c r="AB4970">
        <v>29</v>
      </c>
      <c r="AC4970">
        <v>-14.6571</v>
      </c>
      <c r="AD4970">
        <v>-1.1093062454139999</v>
      </c>
      <c r="AE4970">
        <v>-0.279399999999981</v>
      </c>
      <c r="AF4970">
        <v>-0.41152035264925102</v>
      </c>
      <c r="AG4970">
        <v>-1.1093062454139999</v>
      </c>
      <c r="AH4970">
        <v>14.570489123334299</v>
      </c>
      <c r="AI4970">
        <v>94.352015867773702</v>
      </c>
      <c r="AJ4970">
        <v>91.617798330182893</v>
      </c>
      <c r="AK4970">
        <v>14.6184493924617</v>
      </c>
      <c r="AL4970">
        <v>89.963372886578597</v>
      </c>
      <c r="AM4970">
        <v>88.666995765658697</v>
      </c>
      <c r="AN4970">
        <v>1.0000000294651099</v>
      </c>
    </row>
    <row r="4971" spans="1:40" x14ac:dyDescent="0.25">
      <c r="A4971" t="str">
        <f>"20190312160743793"</f>
        <v>20190312160743793</v>
      </c>
      <c r="B4971" t="str">
        <f>"1552378063780638"</f>
        <v>1552378063780638</v>
      </c>
      <c r="C4971" t="s">
        <v>40</v>
      </c>
      <c r="D4971">
        <v>5.9304589999999999</v>
      </c>
      <c r="E4971">
        <v>0.4796569</v>
      </c>
      <c r="F4971" t="s">
        <v>47</v>
      </c>
      <c r="G4971">
        <v>-278.97219999999999</v>
      </c>
      <c r="H4971" s="1">
        <v>-1.053878E-6</v>
      </c>
      <c r="I4971">
        <v>141.9862</v>
      </c>
      <c r="J4971">
        <v>-264.16230000000002</v>
      </c>
      <c r="K4971">
        <v>1.1092959999999901</v>
      </c>
      <c r="L4971">
        <v>142.27619999999999</v>
      </c>
      <c r="M4971">
        <v>-0.99990559999999995</v>
      </c>
      <c r="N4971">
        <v>0</v>
      </c>
      <c r="O4971">
        <v>9.0755230000000003E-3</v>
      </c>
      <c r="P4971">
        <v>-0.99942739999999997</v>
      </c>
      <c r="Q4971">
        <v>-9.8322240000000005E-3</v>
      </c>
      <c r="R4971">
        <v>3.2377660000000003E-2</v>
      </c>
      <c r="S4971">
        <v>-3.001465</v>
      </c>
      <c r="T4971">
        <v>-0.2205213</v>
      </c>
      <c r="U4971">
        <v>-5.7113650000000002E-2</v>
      </c>
      <c r="V4971">
        <v>2.330544E-2</v>
      </c>
      <c r="W4971">
        <v>4.7952329999999998E-4</v>
      </c>
      <c r="X4971">
        <v>0.99972830000000001</v>
      </c>
      <c r="Y4971">
        <v>-2.7998829999999999E-2</v>
      </c>
      <c r="Z4971">
        <v>-1.692952E-3</v>
      </c>
      <c r="AA4971">
        <v>0.99960649999999995</v>
      </c>
      <c r="AB4971">
        <v>29</v>
      </c>
      <c r="AC4971">
        <v>-14.809899999999899</v>
      </c>
      <c r="AD4971">
        <v>-1.10929705387799</v>
      </c>
      <c r="AE4971">
        <v>-0.28999999999999199</v>
      </c>
      <c r="AF4971">
        <v>-0.422035926458116</v>
      </c>
      <c r="AG4971">
        <v>-1.10929705387799</v>
      </c>
      <c r="AH4971">
        <v>14.7240820922088</v>
      </c>
      <c r="AI4971">
        <v>94.306703172744605</v>
      </c>
      <c r="AJ4971">
        <v>91.6418176996564</v>
      </c>
      <c r="AK4971">
        <v>14.771839686886199</v>
      </c>
      <c r="AL4971">
        <v>89.972525338328595</v>
      </c>
      <c r="AM4971">
        <v>88.664575619877397</v>
      </c>
      <c r="AN4971">
        <v>1.00000002364853</v>
      </c>
    </row>
    <row r="4972" spans="1:40" x14ac:dyDescent="0.25">
      <c r="A4972" t="str">
        <f>"20190312160743815"</f>
        <v>20190312160743815</v>
      </c>
      <c r="B4972" t="str">
        <f>"1552378063810893"</f>
        <v>1552378063810893</v>
      </c>
      <c r="C4972" t="s">
        <v>40</v>
      </c>
      <c r="D4972">
        <v>5.9895880000000004</v>
      </c>
      <c r="E4972">
        <v>0.47968559999999999</v>
      </c>
      <c r="F4972" t="s">
        <v>47</v>
      </c>
      <c r="G4972">
        <v>-279.55680000000001</v>
      </c>
      <c r="H4972" s="1">
        <v>-8.0017389999999996E-7</v>
      </c>
      <c r="I4972">
        <v>141.9753</v>
      </c>
      <c r="J4972">
        <v>-264.46039999999999</v>
      </c>
      <c r="K4972">
        <v>1.109297</v>
      </c>
      <c r="L4972">
        <v>142.27869999999999</v>
      </c>
      <c r="M4972">
        <v>-0.99990670000000004</v>
      </c>
      <c r="N4972">
        <v>0</v>
      </c>
      <c r="O4972">
        <v>8.9726670000000001E-3</v>
      </c>
      <c r="P4972">
        <v>-0.9994324</v>
      </c>
      <c r="Q4972">
        <v>-9.2193650000000002E-3</v>
      </c>
      <c r="R4972">
        <v>3.2403040000000001E-2</v>
      </c>
      <c r="S4972">
        <v>-3.0014949999999998</v>
      </c>
      <c r="T4972">
        <v>-0.2162818</v>
      </c>
      <c r="U4972">
        <v>-5.8639530000000002E-2</v>
      </c>
      <c r="V4972">
        <v>2.3433659999999999E-2</v>
      </c>
      <c r="W4972">
        <v>1.088444E-3</v>
      </c>
      <c r="X4972">
        <v>0.99972479999999997</v>
      </c>
      <c r="Y4972">
        <v>-2.8406810000000001E-2</v>
      </c>
      <c r="Z4972">
        <v>-1.667743E-3</v>
      </c>
      <c r="AA4972">
        <v>0.99959500000000001</v>
      </c>
      <c r="AB4972">
        <v>29</v>
      </c>
      <c r="AC4972">
        <v>-15.096399999999999</v>
      </c>
      <c r="AD4972">
        <v>-1.10929780017389</v>
      </c>
      <c r="AE4972">
        <v>-0.30339999999998202</v>
      </c>
      <c r="AF4972">
        <v>-0.43649406439158001</v>
      </c>
      <c r="AG4972">
        <v>-1.10929780017389</v>
      </c>
      <c r="AH4972">
        <v>15.012045713497301</v>
      </c>
      <c r="AI4972">
        <v>94.224345881626405</v>
      </c>
      <c r="AJ4972">
        <v>91.665477435406999</v>
      </c>
      <c r="AK4972">
        <v>15.059302280711799</v>
      </c>
      <c r="AL4972">
        <v>89.9376367401522</v>
      </c>
      <c r="AM4972">
        <v>88.657226472444904</v>
      </c>
      <c r="AN4972">
        <v>0.99999999843318799</v>
      </c>
    </row>
    <row r="4973" spans="1:40" x14ac:dyDescent="0.25">
      <c r="A4973" t="str">
        <f>"20190312160743837"</f>
        <v>20190312160743837</v>
      </c>
      <c r="B4973" t="str">
        <f>"1552378063830413"</f>
        <v>1552378063830413</v>
      </c>
      <c r="C4973" t="s">
        <v>40</v>
      </c>
      <c r="D4973">
        <v>5.9090379999999998</v>
      </c>
      <c r="E4973">
        <v>0.4794505</v>
      </c>
      <c r="F4973" t="s">
        <v>47</v>
      </c>
      <c r="G4973">
        <v>-279.85739999999998</v>
      </c>
      <c r="H4973" s="1">
        <v>-6.7235409999999995E-7</v>
      </c>
      <c r="I4973">
        <v>141.9795</v>
      </c>
      <c r="J4973">
        <v>-264.74869999999999</v>
      </c>
      <c r="K4973">
        <v>1.109299</v>
      </c>
      <c r="L4973">
        <v>142.28120000000001</v>
      </c>
      <c r="M4973">
        <v>-0.99990760000000001</v>
      </c>
      <c r="N4973">
        <v>0</v>
      </c>
      <c r="O4973">
        <v>8.8731490000000003E-3</v>
      </c>
      <c r="P4973">
        <v>-0.99944650000000002</v>
      </c>
      <c r="Q4973">
        <v>-9.0304349999999999E-3</v>
      </c>
      <c r="R4973">
        <v>3.2016419999999997E-2</v>
      </c>
      <c r="S4973">
        <v>-3.001617</v>
      </c>
      <c r="T4973">
        <v>-0.21625710000000001</v>
      </c>
      <c r="U4973">
        <v>-5.8319089999999997E-2</v>
      </c>
      <c r="V4973">
        <v>2.3146139999999999E-2</v>
      </c>
      <c r="W4973">
        <v>1.2729799999999999E-3</v>
      </c>
      <c r="X4973">
        <v>0.99973129999999999</v>
      </c>
      <c r="Y4973">
        <v>-2.8200670000000001E-2</v>
      </c>
      <c r="Z4973">
        <v>-1.652911E-3</v>
      </c>
      <c r="AA4973">
        <v>0.99960090000000001</v>
      </c>
      <c r="AB4973">
        <v>29</v>
      </c>
      <c r="AC4973">
        <v>-15.108700000000001</v>
      </c>
      <c r="AD4973">
        <v>-1.1092996723541</v>
      </c>
      <c r="AE4973">
        <v>-0.30170000000001002</v>
      </c>
      <c r="AF4973">
        <v>-0.433421472430702</v>
      </c>
      <c r="AG4973">
        <v>-1.1092996723541</v>
      </c>
      <c r="AH4973">
        <v>15.0244681576398</v>
      </c>
      <c r="AI4973">
        <v>94.2209006728134</v>
      </c>
      <c r="AJ4973">
        <v>91.652393658314196</v>
      </c>
      <c r="AK4973">
        <v>15.0715972397016</v>
      </c>
      <c r="AL4973">
        <v>89.927063600226901</v>
      </c>
      <c r="AM4973">
        <v>88.673704371701106</v>
      </c>
      <c r="AN4973">
        <v>1.0000000182373301</v>
      </c>
    </row>
    <row r="4974" spans="1:40" x14ac:dyDescent="0.25">
      <c r="A4974" t="str">
        <f>"20190312160743861"</f>
        <v>20190312160743861</v>
      </c>
      <c r="B4974" t="str">
        <f>"1552378063850909"</f>
        <v>1552378063850909</v>
      </c>
      <c r="C4974" t="s">
        <v>40</v>
      </c>
      <c r="D4974">
        <v>5.9045319999999997</v>
      </c>
      <c r="E4974">
        <v>0.47930250000000002</v>
      </c>
      <c r="F4974" t="s">
        <v>89</v>
      </c>
      <c r="G4974">
        <v>-280.10210000000001</v>
      </c>
      <c r="H4974" s="1">
        <v>-4.4237340000000002E-6</v>
      </c>
      <c r="I4974">
        <v>141.96789999999999</v>
      </c>
      <c r="J4974">
        <v>-265.05709999999999</v>
      </c>
      <c r="K4974">
        <v>1.1093010000000001</v>
      </c>
      <c r="L4974">
        <v>142.28380000000001</v>
      </c>
      <c r="M4974">
        <v>-0.99990860000000004</v>
      </c>
      <c r="N4974">
        <v>0</v>
      </c>
      <c r="O4974">
        <v>8.7665940000000008E-3</v>
      </c>
      <c r="P4974">
        <v>-0.99946190000000001</v>
      </c>
      <c r="Q4974">
        <v>-8.5948239999999992E-3</v>
      </c>
      <c r="R4974">
        <v>3.1658230000000002E-2</v>
      </c>
      <c r="S4974">
        <v>-3.0016780000000001</v>
      </c>
      <c r="T4974">
        <v>-0.2168756</v>
      </c>
      <c r="U4974">
        <v>-6.1264039999999999E-2</v>
      </c>
      <c r="V4974">
        <v>2.289443E-2</v>
      </c>
      <c r="W4974">
        <v>1.7054710000000001E-3</v>
      </c>
      <c r="X4974">
        <v>0.99973639999999997</v>
      </c>
      <c r="Y4974">
        <v>-2.9071530000000002E-2</v>
      </c>
      <c r="Z4974">
        <v>-1.681304E-3</v>
      </c>
      <c r="AA4974">
        <v>0.99957589999999996</v>
      </c>
      <c r="AB4974">
        <v>29</v>
      </c>
      <c r="AC4974">
        <v>-15.045</v>
      </c>
      <c r="AD4974">
        <v>-1.1093054237340001</v>
      </c>
      <c r="AE4974">
        <v>-0.31590000000002699</v>
      </c>
      <c r="AF4974">
        <v>-0.44536808488093499</v>
      </c>
      <c r="AG4974">
        <v>-1.1093054237340001</v>
      </c>
      <c r="AH4974">
        <v>14.9603564310476</v>
      </c>
      <c r="AI4974">
        <v>94.238831146258903</v>
      </c>
      <c r="AJ4974">
        <v>91.705185126670699</v>
      </c>
      <c r="AK4974">
        <v>15.008037040137699</v>
      </c>
      <c r="AL4974">
        <v>89.902283658976302</v>
      </c>
      <c r="AM4974">
        <v>88.688129213728701</v>
      </c>
      <c r="AN4974">
        <v>0.99999996652065704</v>
      </c>
    </row>
    <row r="4975" spans="1:40" x14ac:dyDescent="0.25">
      <c r="A4975" t="str">
        <f>"20190312160743883"</f>
        <v>20190312160743883</v>
      </c>
      <c r="B4975" t="str">
        <f>"1552378063870430"</f>
        <v>1552378063870430</v>
      </c>
      <c r="C4975" t="s">
        <v>40</v>
      </c>
      <c r="D4975">
        <v>5.9339370000000002</v>
      </c>
      <c r="E4975">
        <v>0.47923680000000002</v>
      </c>
      <c r="F4975" t="s">
        <v>89</v>
      </c>
      <c r="G4975">
        <v>-280.39179999999999</v>
      </c>
      <c r="H4975" s="1">
        <v>-4.5499560000000001E-6</v>
      </c>
      <c r="I4975">
        <v>141.96090000000001</v>
      </c>
      <c r="J4975">
        <v>-265.34199999999998</v>
      </c>
      <c r="K4975">
        <v>1.1093029999999999</v>
      </c>
      <c r="L4975">
        <v>142.28620000000001</v>
      </c>
      <c r="M4975">
        <v>-0.99990950000000001</v>
      </c>
      <c r="N4975">
        <v>0</v>
      </c>
      <c r="O4975">
        <v>8.668439E-3</v>
      </c>
      <c r="P4975">
        <v>-0.99948110000000001</v>
      </c>
      <c r="Q4975">
        <v>-8.5708160000000002E-3</v>
      </c>
      <c r="R4975">
        <v>3.1056E-2</v>
      </c>
      <c r="S4975">
        <v>-3.001709</v>
      </c>
      <c r="T4975">
        <v>-0.21714320000000001</v>
      </c>
      <c r="U4975">
        <v>-6.3217159999999994E-2</v>
      </c>
      <c r="V4975">
        <v>2.2390340000000002E-2</v>
      </c>
      <c r="W4975">
        <v>1.726928E-3</v>
      </c>
      <c r="X4975">
        <v>0.99974779999999996</v>
      </c>
      <c r="Y4975">
        <v>-2.9621890000000001E-2</v>
      </c>
      <c r="Z4975">
        <v>-1.6961329999999901E-3</v>
      </c>
      <c r="AA4975">
        <v>0.9995598</v>
      </c>
      <c r="AB4975">
        <v>29</v>
      </c>
      <c r="AC4975">
        <v>-15.049799999999999</v>
      </c>
      <c r="AD4975">
        <v>-1.1093075499559999</v>
      </c>
      <c r="AE4975">
        <v>-0.32529999999999798</v>
      </c>
      <c r="AF4975">
        <v>-0.45329135735501103</v>
      </c>
      <c r="AG4975">
        <v>-1.1093075499559999</v>
      </c>
      <c r="AH4975">
        <v>14.965146311575699</v>
      </c>
      <c r="AI4975">
        <v>94.2374216031467</v>
      </c>
      <c r="AJ4975">
        <v>91.734947505977402</v>
      </c>
      <c r="AK4975">
        <v>15.013049004846099</v>
      </c>
      <c r="AL4975">
        <v>89.901054263570899</v>
      </c>
      <c r="AM4975">
        <v>88.717018871537306</v>
      </c>
      <c r="AN4975">
        <v>0.99999998660523604</v>
      </c>
    </row>
    <row r="4976" spans="1:40" x14ac:dyDescent="0.25">
      <c r="A4976" t="str">
        <f>"20190312160743903"</f>
        <v>20190312160743903</v>
      </c>
      <c r="B4976" t="str">
        <f>"1552378063900685"</f>
        <v>1552378063900685</v>
      </c>
      <c r="C4976" t="s">
        <v>40</v>
      </c>
      <c r="D4976">
        <v>5.8861739999999996</v>
      </c>
      <c r="E4976">
        <v>0.45914579999999999</v>
      </c>
      <c r="F4976" t="s">
        <v>89</v>
      </c>
      <c r="G4976">
        <v>-280.37459999999999</v>
      </c>
      <c r="H4976" s="1">
        <v>-4.5418460000000003E-6</v>
      </c>
      <c r="I4976">
        <v>141.95930000000001</v>
      </c>
      <c r="J4976">
        <v>-265.61579999999998</v>
      </c>
      <c r="K4976">
        <v>1.1093059999999999</v>
      </c>
      <c r="L4976">
        <v>142.2885</v>
      </c>
      <c r="M4976">
        <v>-0.99991039999999998</v>
      </c>
      <c r="N4976">
        <v>0</v>
      </c>
      <c r="O4976">
        <v>8.5739219999999994E-3</v>
      </c>
      <c r="P4976">
        <v>-0.99948539999999997</v>
      </c>
      <c r="Q4976">
        <v>-9.2738309999999997E-3</v>
      </c>
      <c r="R4976">
        <v>3.071022E-2</v>
      </c>
      <c r="S4976">
        <v>-3.0016780000000001</v>
      </c>
      <c r="T4976">
        <v>-0.2215046</v>
      </c>
      <c r="U4976">
        <v>-6.5277099999999894E-2</v>
      </c>
      <c r="V4976">
        <v>2.2138979999999999E-2</v>
      </c>
      <c r="W4976">
        <v>1.02121E-3</v>
      </c>
      <c r="X4976">
        <v>0.99975440000000004</v>
      </c>
      <c r="Y4976">
        <v>-3.0207870000000001E-2</v>
      </c>
      <c r="Z4976">
        <v>-1.74473799999999E-3</v>
      </c>
      <c r="AA4976">
        <v>0.99954209999999999</v>
      </c>
      <c r="AB4976">
        <v>29</v>
      </c>
      <c r="AC4976">
        <v>-14.758800000000001</v>
      </c>
      <c r="AD4976">
        <v>-1.1093105418460001</v>
      </c>
      <c r="AE4976">
        <v>-0.329199999999985</v>
      </c>
      <c r="AF4976">
        <v>-0.45317647235552599</v>
      </c>
      <c r="AG4976">
        <v>-1.1093105418460001</v>
      </c>
      <c r="AH4976">
        <v>14.6725843404584</v>
      </c>
      <c r="AI4976">
        <v>94.321529290438207</v>
      </c>
      <c r="AJ4976">
        <v>91.769071280867095</v>
      </c>
      <c r="AK4976">
        <v>14.7214357323331</v>
      </c>
      <c r="AL4976">
        <v>89.941488967934205</v>
      </c>
      <c r="AM4976">
        <v>88.731425602548299</v>
      </c>
      <c r="AN4976">
        <v>1.0000000188123299</v>
      </c>
    </row>
    <row r="4977" spans="1:40" x14ac:dyDescent="0.25">
      <c r="A4977" t="str">
        <f>"20190312160743927"</f>
        <v>20190312160743927</v>
      </c>
      <c r="B4977" t="str">
        <f>"1552378063920205"</f>
        <v>1552378063920205</v>
      </c>
      <c r="C4977" t="s">
        <v>40</v>
      </c>
      <c r="D4977">
        <v>5.8438339999999904</v>
      </c>
      <c r="E4977">
        <v>0.45528669999999999</v>
      </c>
      <c r="F4977" t="s">
        <v>89</v>
      </c>
      <c r="G4977">
        <v>-284.1891</v>
      </c>
      <c r="H4977" s="1">
        <v>-5.8833780000000001E-6</v>
      </c>
      <c r="I4977">
        <v>140.8776</v>
      </c>
      <c r="J4977">
        <v>-265.92660000000001</v>
      </c>
      <c r="K4977">
        <v>1.109308</v>
      </c>
      <c r="L4977">
        <v>142.2911</v>
      </c>
      <c r="M4977">
        <v>-0.9999112</v>
      </c>
      <c r="N4977">
        <v>0</v>
      </c>
      <c r="O4977">
        <v>8.4668460000000001E-3</v>
      </c>
      <c r="P4977">
        <v>-0.99948890000000001</v>
      </c>
      <c r="Q4977">
        <v>-9.2957690000000006E-3</v>
      </c>
      <c r="R4977">
        <v>3.05857E-2</v>
      </c>
      <c r="S4977">
        <v>-3.0068969999999999</v>
      </c>
      <c r="T4977">
        <v>-0.17959049999999999</v>
      </c>
      <c r="U4977">
        <v>-0.22842409999999999</v>
      </c>
      <c r="V4977">
        <v>2.2121470000000001E-2</v>
      </c>
      <c r="W4977">
        <v>9.9212330000000002E-4</v>
      </c>
      <c r="X4977">
        <v>0.99975480000000005</v>
      </c>
      <c r="Y4977">
        <v>-8.4024790000000002E-2</v>
      </c>
      <c r="Z4977">
        <v>-3.007989E-3</v>
      </c>
      <c r="AA4977">
        <v>0.99645910000000004</v>
      </c>
      <c r="AB4977">
        <v>29</v>
      </c>
      <c r="AC4977">
        <v>-18.2624999999999</v>
      </c>
      <c r="AD4977">
        <v>-1.1093138833780001</v>
      </c>
      <c r="AE4977">
        <v>-1.41349999999999</v>
      </c>
      <c r="AF4977">
        <v>-1.56235304055708</v>
      </c>
      <c r="AG4977">
        <v>-1.1093138833780001</v>
      </c>
      <c r="AH4977">
        <v>18.1831862215335</v>
      </c>
      <c r="AI4977">
        <v>93.478370475354694</v>
      </c>
      <c r="AJ4977">
        <v>94.910960754623304</v>
      </c>
      <c r="AK4977">
        <v>18.283866808806</v>
      </c>
      <c r="AL4977">
        <v>89.943155512937807</v>
      </c>
      <c r="AM4977">
        <v>88.732429113633998</v>
      </c>
      <c r="AN4977">
        <v>1.0000000019333199</v>
      </c>
    </row>
    <row r="4978" spans="1:40" x14ac:dyDescent="0.25">
      <c r="A4978" t="str">
        <f>"20190312160743949"</f>
        <v>20190312160743949</v>
      </c>
      <c r="B4978" t="str">
        <f>"1552378063940701"</f>
        <v>1552378063940701</v>
      </c>
      <c r="C4978" t="s">
        <v>40</v>
      </c>
      <c r="D4978">
        <v>5.8586650000000002</v>
      </c>
      <c r="E4978">
        <v>0.45420250000000001</v>
      </c>
      <c r="F4978" t="s">
        <v>89</v>
      </c>
      <c r="G4978">
        <v>-284.96559999999999</v>
      </c>
      <c r="H4978" s="1">
        <v>-6.1543209999999996E-6</v>
      </c>
      <c r="I4978">
        <v>140.6464</v>
      </c>
      <c r="J4978">
        <v>-266.2176</v>
      </c>
      <c r="K4978">
        <v>1.109297</v>
      </c>
      <c r="L4978">
        <v>142.29339999999999</v>
      </c>
      <c r="M4978">
        <v>-0.99991220000000003</v>
      </c>
      <c r="N4978">
        <v>0</v>
      </c>
      <c r="O4978">
        <v>8.3665149999999997E-3</v>
      </c>
      <c r="P4978">
        <v>-0.99949869999999996</v>
      </c>
      <c r="Q4978">
        <v>-9.2303209999999997E-3</v>
      </c>
      <c r="R4978">
        <v>3.028552E-2</v>
      </c>
      <c r="S4978">
        <v>-3.0078429999999998</v>
      </c>
      <c r="T4978">
        <v>-0.1752533</v>
      </c>
      <c r="U4978">
        <v>-0.25982670000000002</v>
      </c>
      <c r="V4978">
        <v>2.192144E-2</v>
      </c>
      <c r="W4978">
        <v>1.0498199999999999E-3</v>
      </c>
      <c r="X4978">
        <v>0.99975910000000001</v>
      </c>
      <c r="Y4978">
        <v>-9.4222719999999996E-2</v>
      </c>
      <c r="Z4978">
        <v>-3.2237810000000002E-3</v>
      </c>
      <c r="AA4978">
        <v>0.99554589999999998</v>
      </c>
      <c r="AB4978">
        <v>29</v>
      </c>
      <c r="AC4978">
        <v>-18.747999999999902</v>
      </c>
      <c r="AD4978">
        <v>-1.1093031543209999</v>
      </c>
      <c r="AE4978">
        <v>-1.64699999999999</v>
      </c>
      <c r="AF4978">
        <v>-1.7975610113251901</v>
      </c>
      <c r="AG4978">
        <v>-1.1093031543209999</v>
      </c>
      <c r="AH4978">
        <v>18.668705010209798</v>
      </c>
      <c r="AI4978">
        <v>93.384925075344498</v>
      </c>
      <c r="AJ4978">
        <v>95.499906264045805</v>
      </c>
      <c r="AK4978">
        <v>18.787823871748799</v>
      </c>
      <c r="AL4978">
        <v>89.939849730986495</v>
      </c>
      <c r="AM4978">
        <v>88.743892640841906</v>
      </c>
      <c r="AN4978">
        <v>0.99999995484325699</v>
      </c>
    </row>
    <row r="4979" spans="1:40" x14ac:dyDescent="0.25">
      <c r="A4979" t="str">
        <f>"20190312160743970"</f>
        <v>20190312160743970</v>
      </c>
      <c r="B4979" t="str">
        <f>"1552378063960221"</f>
        <v>1552378063960221</v>
      </c>
      <c r="C4979" t="s">
        <v>40</v>
      </c>
      <c r="D4979">
        <v>5.8231039999999998</v>
      </c>
      <c r="E4979">
        <v>0.45345570000000002</v>
      </c>
      <c r="F4979" t="s">
        <v>89</v>
      </c>
      <c r="G4979">
        <v>-286.3272</v>
      </c>
      <c r="H4979" s="1">
        <v>-6.95177199999999E-6</v>
      </c>
      <c r="I4979">
        <v>140.49119999999999</v>
      </c>
      <c r="J4979">
        <v>-266.50009999999997</v>
      </c>
      <c r="K4979">
        <v>1.109291</v>
      </c>
      <c r="L4979">
        <v>142.29570000000001</v>
      </c>
      <c r="M4979">
        <v>-0.9999131</v>
      </c>
      <c r="N4979">
        <v>0</v>
      </c>
      <c r="O4979">
        <v>8.2692229999999992E-3</v>
      </c>
      <c r="P4979">
        <v>-0.99949200000000005</v>
      </c>
      <c r="Q4979">
        <v>-9.1907059999999999E-3</v>
      </c>
      <c r="R4979">
        <v>3.0516149999999999E-2</v>
      </c>
      <c r="S4979">
        <v>-3.0082089999999999</v>
      </c>
      <c r="T4979">
        <v>-0.16594110000000001</v>
      </c>
      <c r="U4979">
        <v>-0.26959229999999901</v>
      </c>
      <c r="V4979">
        <v>2.224953E-2</v>
      </c>
      <c r="W4979">
        <v>1.081769E-3</v>
      </c>
      <c r="X4979">
        <v>0.99975190000000003</v>
      </c>
      <c r="Y4979">
        <v>-9.7335430000000001E-2</v>
      </c>
      <c r="Z4979">
        <v>-3.132213E-3</v>
      </c>
      <c r="AA4979">
        <v>0.99524670000000004</v>
      </c>
      <c r="AB4979">
        <v>29</v>
      </c>
      <c r="AC4979">
        <v>-19.827100000000002</v>
      </c>
      <c r="AD4979">
        <v>-1.1092979517720001</v>
      </c>
      <c r="AE4979">
        <v>-1.80450000000001</v>
      </c>
      <c r="AF4979">
        <v>-1.9623096057412801</v>
      </c>
      <c r="AG4979">
        <v>-1.1092979517720001</v>
      </c>
      <c r="AH4979">
        <v>19.750184436528102</v>
      </c>
      <c r="AI4979">
        <v>93.199005396634007</v>
      </c>
      <c r="AJ4979">
        <v>95.674087195864701</v>
      </c>
      <c r="AK4979">
        <v>19.8784050218188</v>
      </c>
      <c r="AL4979">
        <v>89.938019192076794</v>
      </c>
      <c r="AM4979">
        <v>88.725089931918106</v>
      </c>
      <c r="AN4979">
        <v>1.0000000366814901</v>
      </c>
    </row>
    <row r="4980" spans="1:40" x14ac:dyDescent="0.25">
      <c r="A4980" t="str">
        <f>"20190312160743993"</f>
        <v>20190312160743993</v>
      </c>
      <c r="B4980" t="str">
        <f>"1552378063980719"</f>
        <v>1552378063980719</v>
      </c>
      <c r="C4980" t="s">
        <v>40</v>
      </c>
      <c r="D4980">
        <v>5.8130769999999998</v>
      </c>
      <c r="E4980">
        <v>0.45325090000000001</v>
      </c>
      <c r="F4980" t="s">
        <v>89</v>
      </c>
      <c r="G4980">
        <v>-287.4957</v>
      </c>
      <c r="H4980" s="1">
        <v>-7.6416449999999996E-6</v>
      </c>
      <c r="I4980">
        <v>140.37520000000001</v>
      </c>
      <c r="J4980">
        <v>-266.79969999999997</v>
      </c>
      <c r="K4980">
        <v>1.1092900000000001</v>
      </c>
      <c r="L4980">
        <v>142.298</v>
      </c>
      <c r="M4980">
        <v>-0.99991390000000002</v>
      </c>
      <c r="N4980">
        <v>0</v>
      </c>
      <c r="O4980">
        <v>8.1657910000000004E-3</v>
      </c>
      <c r="P4980">
        <v>-0.99949909999999997</v>
      </c>
      <c r="Q4980">
        <v>-9.1098610000000003E-3</v>
      </c>
      <c r="R4980">
        <v>3.0307790000000001E-2</v>
      </c>
      <c r="S4980">
        <v>-3.0084529999999998</v>
      </c>
      <c r="T4980">
        <v>-0.15895100000000001</v>
      </c>
      <c r="U4980">
        <v>-0.275177</v>
      </c>
      <c r="V4980">
        <v>2.2144540000000001E-2</v>
      </c>
      <c r="W4980">
        <v>1.1547249999999999E-3</v>
      </c>
      <c r="X4980">
        <v>0.99975409999999998</v>
      </c>
      <c r="Y4980">
        <v>-9.906856E-2</v>
      </c>
      <c r="Z4980">
        <v>-3.0401740000000001E-3</v>
      </c>
      <c r="AA4980">
        <v>0.99507590000000001</v>
      </c>
      <c r="AB4980">
        <v>29</v>
      </c>
      <c r="AC4980">
        <v>-20.696000000000002</v>
      </c>
      <c r="AD4980">
        <v>-1.10929764164499</v>
      </c>
      <c r="AE4980">
        <v>-1.9227999999999901</v>
      </c>
      <c r="AF4980">
        <v>-2.0858029517576</v>
      </c>
      <c r="AG4980">
        <v>-1.10929764164499</v>
      </c>
      <c r="AH4980">
        <v>20.620872788329098</v>
      </c>
      <c r="AI4980">
        <v>93.063649541379505</v>
      </c>
      <c r="AJ4980">
        <v>95.775828041858205</v>
      </c>
      <c r="AK4980">
        <v>20.755758472379899</v>
      </c>
      <c r="AL4980">
        <v>89.933839115455399</v>
      </c>
      <c r="AM4980">
        <v>88.7311067353357</v>
      </c>
      <c r="AN4980">
        <v>0.99999998725422301</v>
      </c>
    </row>
    <row r="4981" spans="1:40" x14ac:dyDescent="0.25">
      <c r="A4981" t="str">
        <f>"20190312160744015"</f>
        <v>20190312160744015</v>
      </c>
      <c r="B4981" t="str">
        <f>"1552378064009998"</f>
        <v>1552378064009998</v>
      </c>
      <c r="C4981" t="s">
        <v>40</v>
      </c>
      <c r="D4981">
        <v>5.7878230000000004</v>
      </c>
      <c r="E4981">
        <v>0.45313720000000002</v>
      </c>
      <c r="F4981" t="s">
        <v>89</v>
      </c>
      <c r="G4981">
        <v>-288.17500000000001</v>
      </c>
      <c r="H4981" s="1">
        <v>-8.0489100000000008E-6</v>
      </c>
      <c r="I4981">
        <v>140.32679999999999</v>
      </c>
      <c r="J4981">
        <v>-267.09739999999999</v>
      </c>
      <c r="K4981">
        <v>1.1092900000000001</v>
      </c>
      <c r="L4981">
        <v>142.3004</v>
      </c>
      <c r="M4981">
        <v>-0.99991479999999999</v>
      </c>
      <c r="N4981">
        <v>0</v>
      </c>
      <c r="O4981">
        <v>8.0632459999999996E-3</v>
      </c>
      <c r="P4981">
        <v>-0.99949219999999905</v>
      </c>
      <c r="Q4981">
        <v>-9.4201779999999995E-3</v>
      </c>
      <c r="R4981">
        <v>3.0436879999999999E-2</v>
      </c>
      <c r="S4981">
        <v>-3.0084840000000002</v>
      </c>
      <c r="T4981">
        <v>-0.15612860000000001</v>
      </c>
      <c r="U4981">
        <v>-0.2774353</v>
      </c>
      <c r="V4981">
        <v>2.2376170000000001E-2</v>
      </c>
      <c r="W4981">
        <v>8.3810489999999998E-4</v>
      </c>
      <c r="X4981">
        <v>0.9997492</v>
      </c>
      <c r="Y4981">
        <v>-9.9710809999999997E-2</v>
      </c>
      <c r="Z4981">
        <v>-2.9974440000000001E-3</v>
      </c>
      <c r="AA4981">
        <v>0.99501189999999995</v>
      </c>
      <c r="AB4981">
        <v>30</v>
      </c>
      <c r="AC4981">
        <v>-21.0776</v>
      </c>
      <c r="AD4981">
        <v>-1.1092980489099999</v>
      </c>
      <c r="AE4981">
        <v>-1.9736</v>
      </c>
      <c r="AF4981">
        <v>-2.13762923972283</v>
      </c>
      <c r="AG4981">
        <v>-1.1092980489099999</v>
      </c>
      <c r="AH4981">
        <v>21.003330092656</v>
      </c>
      <c r="AI4981">
        <v>93.007778278806498</v>
      </c>
      <c r="AJ4981">
        <v>95.811309781115796</v>
      </c>
      <c r="AK4981">
        <v>21.140952578086502</v>
      </c>
      <c r="AL4981">
        <v>89.951980117416895</v>
      </c>
      <c r="AM4981">
        <v>88.717832345564602</v>
      </c>
      <c r="AN4981">
        <v>0.99999992915216296</v>
      </c>
    </row>
    <row r="4982" spans="1:40" x14ac:dyDescent="0.25">
      <c r="A4982" t="str">
        <f>"20190312160744039"</f>
        <v>20190312160744039</v>
      </c>
      <c r="B4982" t="str">
        <f>"1552378064030493"</f>
        <v>1552378064030493</v>
      </c>
      <c r="C4982" t="s">
        <v>40</v>
      </c>
      <c r="D4982">
        <v>5.7546749999999998</v>
      </c>
      <c r="E4982">
        <v>0.45224910000000001</v>
      </c>
      <c r="F4982" t="s">
        <v>89</v>
      </c>
      <c r="G4982">
        <v>-288.43959999999998</v>
      </c>
      <c r="H4982" s="1">
        <v>-8.2142250000000001E-6</v>
      </c>
      <c r="I4982">
        <v>140.3288</v>
      </c>
      <c r="J4982">
        <v>-267.40620000000001</v>
      </c>
      <c r="K4982">
        <v>1.1092879999999901</v>
      </c>
      <c r="L4982">
        <v>142.30269999999999</v>
      </c>
      <c r="M4982">
        <v>-0.99991580000000002</v>
      </c>
      <c r="N4982">
        <v>0</v>
      </c>
      <c r="O4982">
        <v>7.9568199999999999E-3</v>
      </c>
      <c r="P4982">
        <v>-0.99949010000000005</v>
      </c>
      <c r="Q4982">
        <v>-9.6796409999999992E-3</v>
      </c>
      <c r="R4982">
        <v>3.042512E-2</v>
      </c>
      <c r="S4982">
        <v>-3.0085139999999999</v>
      </c>
      <c r="T4982">
        <v>-0.15637279999999901</v>
      </c>
      <c r="U4982">
        <v>-0.27792359999999999</v>
      </c>
      <c r="V4982">
        <v>2.2470810000000001E-2</v>
      </c>
      <c r="W4982">
        <v>5.7298339999999905E-4</v>
      </c>
      <c r="X4982">
        <v>0.99974730000000001</v>
      </c>
      <c r="Y4982">
        <v>-9.9763729999999995E-2</v>
      </c>
      <c r="Z4982">
        <v>-2.9979260000000001E-3</v>
      </c>
      <c r="AA4982">
        <v>0.99500659999999996</v>
      </c>
      <c r="AB4982">
        <v>30</v>
      </c>
      <c r="AC4982">
        <v>-21.033399999999901</v>
      </c>
      <c r="AD4982">
        <v>-1.10929621422499</v>
      </c>
      <c r="AE4982">
        <v>-1.97389999999998</v>
      </c>
      <c r="AF4982">
        <v>-2.1353177850371599</v>
      </c>
      <c r="AG4982">
        <v>-1.10929621422499</v>
      </c>
      <c r="AH4982">
        <v>20.959238530225999</v>
      </c>
      <c r="AI4982">
        <v>93.014057576616295</v>
      </c>
      <c r="AJ4982">
        <v>95.817197205148602</v>
      </c>
      <c r="AK4982">
        <v>21.096914463989801</v>
      </c>
      <c r="AL4982">
        <v>89.967170466494807</v>
      </c>
      <c r="AM4982">
        <v>88.712408793654703</v>
      </c>
      <c r="AN4982">
        <v>0.99999996473466002</v>
      </c>
    </row>
    <row r="4983" spans="1:40" x14ac:dyDescent="0.25">
      <c r="A4983" t="str">
        <f>"20190312160744061"</f>
        <v>20190312160744061</v>
      </c>
      <c r="B4983" t="str">
        <f>"1552378064050013"</f>
        <v>1552378064050013</v>
      </c>
      <c r="C4983" t="s">
        <v>40</v>
      </c>
      <c r="D4983">
        <v>5.7646459999999999</v>
      </c>
      <c r="E4983">
        <v>0.4550247</v>
      </c>
      <c r="F4983" t="s">
        <v>89</v>
      </c>
      <c r="G4983">
        <v>-304.53039999999999</v>
      </c>
      <c r="H4983" s="1">
        <v>-8.4320270000000004E-6</v>
      </c>
      <c r="I4983">
        <v>138.75659999999999</v>
      </c>
      <c r="J4983">
        <v>-267.69920000000002</v>
      </c>
      <c r="K4983">
        <v>1.1092869999999999</v>
      </c>
      <c r="L4983">
        <v>142.30500000000001</v>
      </c>
      <c r="M4983">
        <v>-0.99991669999999999</v>
      </c>
      <c r="N4983">
        <v>0</v>
      </c>
      <c r="O4983">
        <v>7.8559289999999993E-3</v>
      </c>
      <c r="P4983">
        <v>-0.99950209999999995</v>
      </c>
      <c r="Q4983">
        <v>-9.4271130000000009E-3</v>
      </c>
      <c r="R4983">
        <v>3.0114999999999999E-2</v>
      </c>
      <c r="S4983">
        <v>-3.0093990000000002</v>
      </c>
      <c r="T4983">
        <v>-8.9922899999999903E-2</v>
      </c>
      <c r="U4983">
        <v>-0.2874603</v>
      </c>
      <c r="V4983">
        <v>2.2261510000000002E-2</v>
      </c>
      <c r="W4983">
        <v>8.2189229999999995E-4</v>
      </c>
      <c r="X4983">
        <v>0.99975190000000003</v>
      </c>
      <c r="Y4983">
        <v>-0.1028569</v>
      </c>
      <c r="Z4983">
        <v>-1.7670749999999999E-3</v>
      </c>
      <c r="AA4983">
        <v>0.99469459999999998</v>
      </c>
      <c r="AB4983">
        <v>30</v>
      </c>
      <c r="AC4983">
        <v>-36.831199999999903</v>
      </c>
      <c r="AD4983">
        <v>-1.1092954320270001</v>
      </c>
      <c r="AE4983">
        <v>-3.5484000000000102</v>
      </c>
      <c r="AF4983">
        <v>-3.8342028772046399</v>
      </c>
      <c r="AG4983">
        <v>-1.1092954320270001</v>
      </c>
      <c r="AH4983">
        <v>36.769138765195201</v>
      </c>
      <c r="AI4983">
        <v>91.718729870601194</v>
      </c>
      <c r="AJ4983">
        <v>95.953158987381002</v>
      </c>
      <c r="AK4983">
        <v>36.985148554430097</v>
      </c>
      <c r="AL4983">
        <v>89.952909037328396</v>
      </c>
      <c r="AM4983">
        <v>88.724403698206501</v>
      </c>
      <c r="AN4983">
        <v>1.0000000559440101</v>
      </c>
    </row>
    <row r="4984" spans="1:40" x14ac:dyDescent="0.25">
      <c r="A4984" t="str">
        <f>"20190312160744106"</f>
        <v>20190312160744106</v>
      </c>
      <c r="B4984" t="str">
        <f>"1552378064100766"</f>
        <v>1552378064100766</v>
      </c>
      <c r="C4984" t="s">
        <v>40</v>
      </c>
      <c r="D4984">
        <v>5.7114750000000001</v>
      </c>
      <c r="E4984">
        <v>0.4569281</v>
      </c>
      <c r="F4984" t="s">
        <v>89</v>
      </c>
      <c r="G4984">
        <v>-285.80439999999999</v>
      </c>
      <c r="H4984" s="1">
        <v>-6.7011579999999996E-6</v>
      </c>
      <c r="I4984">
        <v>140.7226</v>
      </c>
      <c r="J4984">
        <v>-268.2996</v>
      </c>
      <c r="K4984">
        <v>1.1092949999999999</v>
      </c>
      <c r="L4984">
        <v>142.30940000000001</v>
      </c>
      <c r="M4984">
        <v>-0.99991819999999998</v>
      </c>
      <c r="N4984">
        <v>0</v>
      </c>
      <c r="O4984">
        <v>7.6492390000000004E-3</v>
      </c>
      <c r="P4984">
        <v>-0.99952470000000004</v>
      </c>
      <c r="Q4984">
        <v>-8.3287480000000004E-3</v>
      </c>
      <c r="R4984">
        <v>2.9682969999999999E-2</v>
      </c>
      <c r="S4984">
        <v>-3.0076900000000002</v>
      </c>
      <c r="T4984">
        <v>-0.18427940000000001</v>
      </c>
      <c r="U4984">
        <v>-0.26286320000000002</v>
      </c>
      <c r="V4984">
        <v>2.203565E-2</v>
      </c>
      <c r="W4984">
        <v>1.9171870000000001E-3</v>
      </c>
      <c r="X4984">
        <v>0.99975530000000001</v>
      </c>
      <c r="Y4984">
        <v>-9.4493060000000004E-2</v>
      </c>
      <c r="Z4984">
        <v>-3.3539669999999998E-3</v>
      </c>
      <c r="AA4984">
        <v>0.99551990000000001</v>
      </c>
      <c r="AB4984">
        <v>30</v>
      </c>
      <c r="AC4984">
        <v>-17.5047999999999</v>
      </c>
      <c r="AD4984">
        <v>-1.109301701158</v>
      </c>
      <c r="AE4984">
        <v>-1.58680000000001</v>
      </c>
      <c r="AF4984">
        <v>-1.71383248803748</v>
      </c>
      <c r="AG4984">
        <v>-1.109301701158</v>
      </c>
      <c r="AH4984">
        <v>17.422751269223799</v>
      </c>
      <c r="AI4984">
        <v>93.625636856626897</v>
      </c>
      <c r="AJ4984">
        <v>95.617968987955805</v>
      </c>
      <c r="AK4984">
        <v>17.541950685442099</v>
      </c>
      <c r="AL4984">
        <v>89.890153203872103</v>
      </c>
      <c r="AM4984">
        <v>88.737345677171106</v>
      </c>
      <c r="AN4984">
        <v>0.99999995267750097</v>
      </c>
    </row>
    <row r="4985" spans="1:40" x14ac:dyDescent="0.25">
      <c r="A4985" t="str">
        <f>"20190312160744128"</f>
        <v>20190312160744128</v>
      </c>
      <c r="B4985" t="str">
        <f>"1552378064120285"</f>
        <v>1552378064120285</v>
      </c>
      <c r="C4985" t="s">
        <v>40</v>
      </c>
      <c r="D4985">
        <v>5.7083839999999997</v>
      </c>
      <c r="E4985">
        <v>0.45692959999999999</v>
      </c>
      <c r="F4985" t="s">
        <v>89</v>
      </c>
      <c r="G4985">
        <v>-287.0659</v>
      </c>
      <c r="H4985" s="1">
        <v>-7.4971959999999999E-6</v>
      </c>
      <c r="I4985">
        <v>140.75569999999999</v>
      </c>
      <c r="J4985">
        <v>-268.58120000000002</v>
      </c>
      <c r="K4985">
        <v>1.109299</v>
      </c>
      <c r="L4985">
        <v>142.3115</v>
      </c>
      <c r="M4985">
        <v>-0.99991909999999895</v>
      </c>
      <c r="N4985">
        <v>0</v>
      </c>
      <c r="O4985">
        <v>7.5520240000000001E-3</v>
      </c>
      <c r="P4985">
        <v>-0.99953720000000001</v>
      </c>
      <c r="Q4985">
        <v>-7.9118239999999996E-3</v>
      </c>
      <c r="R4985">
        <v>2.937845E-2</v>
      </c>
      <c r="S4985">
        <v>-3.007355</v>
      </c>
      <c r="T4985">
        <v>-0.1777686</v>
      </c>
      <c r="U4985">
        <v>-0.24899289999999999</v>
      </c>
      <c r="V4985">
        <v>2.1828299999999998E-2</v>
      </c>
      <c r="W4985">
        <v>2.333941E-3</v>
      </c>
      <c r="X4985">
        <v>0.99975899999999995</v>
      </c>
      <c r="Y4985">
        <v>-8.9867740000000002E-2</v>
      </c>
      <c r="Z4985">
        <v>-3.0945780000000002E-3</v>
      </c>
      <c r="AA4985">
        <v>0.99594890000000003</v>
      </c>
      <c r="AB4985">
        <v>30</v>
      </c>
      <c r="AC4985">
        <v>-18.484699999999901</v>
      </c>
      <c r="AD4985">
        <v>-1.1093064971960001</v>
      </c>
      <c r="AE4985">
        <v>-1.5558000000000001</v>
      </c>
      <c r="AF4985">
        <v>-1.68931862645693</v>
      </c>
      <c r="AG4985">
        <v>-1.1093064971960001</v>
      </c>
      <c r="AH4985">
        <v>18.406598483844199</v>
      </c>
      <c r="AI4985">
        <v>93.434461449888403</v>
      </c>
      <c r="AJ4985">
        <v>95.243795082964496</v>
      </c>
      <c r="AK4985">
        <v>18.517214317274298</v>
      </c>
      <c r="AL4985">
        <v>89.866274908326503</v>
      </c>
      <c r="AM4985">
        <v>88.749227776348206</v>
      </c>
      <c r="AN4985">
        <v>0.99999999002123996</v>
      </c>
    </row>
    <row r="4986" spans="1:40" x14ac:dyDescent="0.25">
      <c r="A4986" t="str">
        <f>"20190312160744149"</f>
        <v>20190312160744149</v>
      </c>
      <c r="B4986" t="str">
        <f>"1552378064140782"</f>
        <v>1552378064140782</v>
      </c>
      <c r="C4986" t="s">
        <v>40</v>
      </c>
      <c r="D4986">
        <v>5.6970720000000004</v>
      </c>
      <c r="E4986">
        <v>0.45688469999999998</v>
      </c>
      <c r="F4986" t="s">
        <v>89</v>
      </c>
      <c r="G4986">
        <v>-288.07459999999998</v>
      </c>
      <c r="H4986" s="1">
        <v>-8.1040639999999906E-6</v>
      </c>
      <c r="I4986">
        <v>140.69040000000001</v>
      </c>
      <c r="J4986">
        <v>-268.87459999999999</v>
      </c>
      <c r="K4986">
        <v>1.109302</v>
      </c>
      <c r="L4986">
        <v>142.31360000000001</v>
      </c>
      <c r="M4986">
        <v>-0.99991969999999997</v>
      </c>
      <c r="N4986">
        <v>0</v>
      </c>
      <c r="O4986">
        <v>7.4510499999999999E-3</v>
      </c>
      <c r="P4986">
        <v>-0.99954270000000001</v>
      </c>
      <c r="Q4986">
        <v>-7.7275879999999996E-3</v>
      </c>
      <c r="R4986">
        <v>2.9232979999999999E-2</v>
      </c>
      <c r="S4986">
        <v>-3.0073850000000002</v>
      </c>
      <c r="T4986">
        <v>-0.1711406</v>
      </c>
      <c r="U4986">
        <v>-0.25009160000000002</v>
      </c>
      <c r="V4986">
        <v>2.178368E-2</v>
      </c>
      <c r="W4986">
        <v>2.518953E-3</v>
      </c>
      <c r="X4986">
        <v>0.99975959999999997</v>
      </c>
      <c r="Y4986">
        <v>-9.0139750000000005E-2</v>
      </c>
      <c r="Z4986">
        <v>-2.9812990000000002E-3</v>
      </c>
      <c r="AA4986">
        <v>0.9959247</v>
      </c>
      <c r="AB4986">
        <v>30</v>
      </c>
      <c r="AC4986">
        <v>-19.1999999999999</v>
      </c>
      <c r="AD4986">
        <v>-1.1093101040639901</v>
      </c>
      <c r="AE4986">
        <v>-1.62319999999999</v>
      </c>
      <c r="AF4986">
        <v>-1.7603879082437299</v>
      </c>
      <c r="AG4986">
        <v>-1.1093101040639901</v>
      </c>
      <c r="AH4986">
        <v>19.123986429026001</v>
      </c>
      <c r="AI4986">
        <v>93.305846145889006</v>
      </c>
      <c r="AJ4986">
        <v>95.259329818082506</v>
      </c>
      <c r="AK4986">
        <v>19.236849831301399</v>
      </c>
      <c r="AL4986">
        <v>89.855674481179506</v>
      </c>
      <c r="AM4986">
        <v>88.751784463239005</v>
      </c>
      <c r="AN4986">
        <v>1.0000000658153501</v>
      </c>
    </row>
    <row r="4987" spans="1:40" x14ac:dyDescent="0.25">
      <c r="A4987" t="str">
        <f>"20190312160744172"</f>
        <v>20190312160744172</v>
      </c>
      <c r="B4987" t="str">
        <f>"1552378064160302"</f>
        <v>1552378064160302</v>
      </c>
      <c r="C4987" t="s">
        <v>40</v>
      </c>
      <c r="D4987">
        <v>5.6828139999999996</v>
      </c>
      <c r="E4987">
        <v>0.45695770000000002</v>
      </c>
      <c r="F4987" t="s">
        <v>89</v>
      </c>
      <c r="G4987">
        <v>-289.05439999999999</v>
      </c>
      <c r="H4987" s="1">
        <v>-8.6938329999999999E-6</v>
      </c>
      <c r="I4987">
        <v>140.62809999999999</v>
      </c>
      <c r="J4987">
        <v>-269.16750000000002</v>
      </c>
      <c r="K4987">
        <v>1.1093059999999999</v>
      </c>
      <c r="L4987">
        <v>142.31569999999999</v>
      </c>
      <c r="M4987">
        <v>-0.99992049999999999</v>
      </c>
      <c r="N4987">
        <v>0</v>
      </c>
      <c r="O4987">
        <v>7.3502489999999997E-3</v>
      </c>
      <c r="P4987">
        <v>-0.99954849999999995</v>
      </c>
      <c r="Q4987">
        <v>-7.1571539999999998E-3</v>
      </c>
      <c r="R4987">
        <v>2.9182880000000001E-2</v>
      </c>
      <c r="S4987">
        <v>-3.0074459999999998</v>
      </c>
      <c r="T4987">
        <v>-0.16532339999999901</v>
      </c>
      <c r="U4987">
        <v>-0.25119019999999997</v>
      </c>
      <c r="V4987">
        <v>2.1834159999999998E-2</v>
      </c>
      <c r="W4987">
        <v>3.0916329999999999E-3</v>
      </c>
      <c r="X4987">
        <v>0.9997568</v>
      </c>
      <c r="Y4987">
        <v>-9.0409229999999993E-2</v>
      </c>
      <c r="Z4987">
        <v>-2.8818749999999999E-3</v>
      </c>
      <c r="AA4987">
        <v>0.99590049999999997</v>
      </c>
      <c r="AB4987">
        <v>30</v>
      </c>
      <c r="AC4987">
        <v>-19.886899999999901</v>
      </c>
      <c r="AD4987">
        <v>-1.1093146938330001</v>
      </c>
      <c r="AE4987">
        <v>-1.6876</v>
      </c>
      <c r="AF4987">
        <v>-1.8280882460711501</v>
      </c>
      <c r="AG4987">
        <v>-1.1093146938330001</v>
      </c>
      <c r="AH4987">
        <v>19.8127504051477</v>
      </c>
      <c r="AI4987">
        <v>93.1911146096907</v>
      </c>
      <c r="AJ4987">
        <v>95.271656421956806</v>
      </c>
      <c r="AK4987">
        <v>19.927808819387501</v>
      </c>
      <c r="AL4987">
        <v>89.822862190493694</v>
      </c>
      <c r="AM4987">
        <v>88.7488893499727</v>
      </c>
      <c r="AN4987">
        <v>0.99999997394187501</v>
      </c>
    </row>
    <row r="4988" spans="1:40" x14ac:dyDescent="0.25">
      <c r="A4988" t="str">
        <f>"20190312160744194"</f>
        <v>20190312160744194</v>
      </c>
      <c r="B4988" t="str">
        <f>"1552378064190562"</f>
        <v>1552378064190562</v>
      </c>
      <c r="C4988" t="s">
        <v>40</v>
      </c>
      <c r="D4988">
        <v>5.6787710000000002</v>
      </c>
      <c r="E4988">
        <v>0.45703630000000001</v>
      </c>
      <c r="F4988" t="s">
        <v>89</v>
      </c>
      <c r="G4988">
        <v>-289.8374</v>
      </c>
      <c r="H4988" s="1">
        <v>-9.133012E-6</v>
      </c>
      <c r="I4988">
        <v>140.59200000000001</v>
      </c>
      <c r="J4988">
        <v>-269.46530000000001</v>
      </c>
      <c r="K4988">
        <v>1.10931</v>
      </c>
      <c r="L4988">
        <v>142.3177</v>
      </c>
      <c r="M4988">
        <v>-0.99992130000000001</v>
      </c>
      <c r="N4988">
        <v>0</v>
      </c>
      <c r="O4988">
        <v>7.2474760000000001E-3</v>
      </c>
      <c r="P4988">
        <v>-0.99955760000000005</v>
      </c>
      <c r="Q4988">
        <v>-6.8521709999999998E-3</v>
      </c>
      <c r="R4988">
        <v>2.8948930000000001E-2</v>
      </c>
      <c r="S4988">
        <v>-3.0075069999999999</v>
      </c>
      <c r="T4988">
        <v>-0.16140689999999999</v>
      </c>
      <c r="U4988">
        <v>-0.2507935</v>
      </c>
      <c r="V4988">
        <v>2.1703009999999998E-2</v>
      </c>
      <c r="W4988">
        <v>3.3991910000000002E-3</v>
      </c>
      <c r="X4988">
        <v>0.9997587</v>
      </c>
      <c r="Y4988">
        <v>-9.018205E-2</v>
      </c>
      <c r="Z4988">
        <v>-2.8020779999999999E-3</v>
      </c>
      <c r="AA4988">
        <v>0.99592139999999996</v>
      </c>
      <c r="AB4988">
        <v>30</v>
      </c>
      <c r="AC4988">
        <v>-20.3720999999999</v>
      </c>
      <c r="AD4988">
        <v>-1.109319133012</v>
      </c>
      <c r="AE4988">
        <v>-1.72569999999998</v>
      </c>
      <c r="AF4988">
        <v>-1.8678099086492499</v>
      </c>
      <c r="AG4988">
        <v>-1.109319133012</v>
      </c>
      <c r="AH4988">
        <v>20.299296371621999</v>
      </c>
      <c r="AI4988">
        <v>93.114865265053496</v>
      </c>
      <c r="AJ4988">
        <v>95.257183626421494</v>
      </c>
      <c r="AK4988">
        <v>20.415208448033599</v>
      </c>
      <c r="AL4988">
        <v>89.8052403301309</v>
      </c>
      <c r="AM4988">
        <v>88.756404320300504</v>
      </c>
      <c r="AN4988">
        <v>1.0000000166841001</v>
      </c>
    </row>
    <row r="4989" spans="1:40" x14ac:dyDescent="0.25">
      <c r="A4989" t="str">
        <f>"20190312160744216"</f>
        <v>20190312160744216</v>
      </c>
      <c r="B4989" t="str">
        <f>"1552378064210078"</f>
        <v>1552378064210078</v>
      </c>
      <c r="C4989" t="s">
        <v>40</v>
      </c>
      <c r="D4989">
        <v>5.7082430000000004</v>
      </c>
      <c r="E4989">
        <v>0.4571325</v>
      </c>
      <c r="F4989" t="s">
        <v>89</v>
      </c>
      <c r="G4989">
        <v>-290.23430000000002</v>
      </c>
      <c r="H4989" s="1">
        <v>-9.1669080000000005E-6</v>
      </c>
      <c r="I4989">
        <v>140.5849</v>
      </c>
      <c r="J4989">
        <v>-269.76749999999998</v>
      </c>
      <c r="K4989">
        <v>1.10931</v>
      </c>
      <c r="L4989">
        <v>142.31979999999999</v>
      </c>
      <c r="M4989">
        <v>-0.99992199999999998</v>
      </c>
      <c r="N4989">
        <v>0</v>
      </c>
      <c r="O4989">
        <v>7.1434469999999998E-3</v>
      </c>
      <c r="P4989">
        <v>-0.99954430000000005</v>
      </c>
      <c r="Q4989">
        <v>-6.9250450000000003E-3</v>
      </c>
      <c r="R4989">
        <v>2.9383139999999999E-2</v>
      </c>
      <c r="S4989">
        <v>-3.0075069999999999</v>
      </c>
      <c r="T4989">
        <v>-0.160638</v>
      </c>
      <c r="U4989">
        <v>-0.25093080000000001</v>
      </c>
      <c r="V4989">
        <v>2.2241199999999999E-2</v>
      </c>
      <c r="W4989">
        <v>3.3300500000000002E-3</v>
      </c>
      <c r="X4989">
        <v>0.9997471</v>
      </c>
      <c r="Y4989">
        <v>-9.0125159999999996E-2</v>
      </c>
      <c r="Z4989">
        <v>-2.7816830000000001E-3</v>
      </c>
      <c r="AA4989">
        <v>0.9959266</v>
      </c>
      <c r="AB4989">
        <v>30</v>
      </c>
      <c r="AC4989">
        <v>-20.466799999999999</v>
      </c>
      <c r="AD4989">
        <v>-1.109319166908</v>
      </c>
      <c r="AE4989">
        <v>-1.7348999999999799</v>
      </c>
      <c r="AF4989">
        <v>-1.8755962023599499</v>
      </c>
      <c r="AG4989">
        <v>-1.109319166908</v>
      </c>
      <c r="AH4989">
        <v>20.394397942965</v>
      </c>
      <c r="AI4989">
        <v>93.100382111463901</v>
      </c>
      <c r="AJ4989">
        <v>95.254497161214402</v>
      </c>
      <c r="AK4989">
        <v>20.510483114358699</v>
      </c>
      <c r="AL4989">
        <v>89.809201839102798</v>
      </c>
      <c r="AM4989">
        <v>88.725560971154195</v>
      </c>
      <c r="AN4989">
        <v>1.0000000120844199</v>
      </c>
    </row>
    <row r="4990" spans="1:40" x14ac:dyDescent="0.25">
      <c r="A4990" t="str">
        <f>"20190312160744239"</f>
        <v>20190312160744239</v>
      </c>
      <c r="B4990" t="str">
        <f>"1552378064230578"</f>
        <v>1552378064230578</v>
      </c>
      <c r="C4990" t="s">
        <v>40</v>
      </c>
      <c r="D4990">
        <v>5.6795450000000001</v>
      </c>
      <c r="E4990">
        <v>0.45722429999999997</v>
      </c>
      <c r="F4990" t="s">
        <v>89</v>
      </c>
      <c r="G4990">
        <v>-290.25920000000002</v>
      </c>
      <c r="H4990" s="1">
        <v>-9.1754270000000008E-6</v>
      </c>
      <c r="I4990">
        <v>140.6249</v>
      </c>
      <c r="J4990">
        <v>-270.0754</v>
      </c>
      <c r="K4990">
        <v>1.1093109999999999</v>
      </c>
      <c r="L4990">
        <v>142.3219</v>
      </c>
      <c r="M4990">
        <v>-0.9999228</v>
      </c>
      <c r="N4990">
        <v>0</v>
      </c>
      <c r="O4990">
        <v>7.0372680000000002E-3</v>
      </c>
      <c r="P4990">
        <v>-0.99952790000000002</v>
      </c>
      <c r="Q4990">
        <v>-7.3536790000000001E-3</v>
      </c>
      <c r="R4990">
        <v>2.9835739999999999E-2</v>
      </c>
      <c r="S4990">
        <v>-3.007568</v>
      </c>
      <c r="T4990">
        <v>-0.1628145</v>
      </c>
      <c r="U4990">
        <v>-0.24876400000000001</v>
      </c>
      <c r="V4990">
        <v>2.2800330000000001E-2</v>
      </c>
      <c r="W4990">
        <v>2.9061439999999998E-3</v>
      </c>
      <c r="X4990">
        <v>0.99973579999999995</v>
      </c>
      <c r="Y4990">
        <v>-8.9302720000000002E-2</v>
      </c>
      <c r="Z4990">
        <v>-2.7914020000000001E-3</v>
      </c>
      <c r="AA4990">
        <v>0.99600060000000001</v>
      </c>
      <c r="AB4990">
        <v>30</v>
      </c>
      <c r="AC4990">
        <v>-20.183800000000002</v>
      </c>
      <c r="AD4990">
        <v>-1.1093201754269999</v>
      </c>
      <c r="AE4990">
        <v>-1.6970000000000001</v>
      </c>
      <c r="AF4990">
        <v>-1.83350463758263</v>
      </c>
      <c r="AG4990">
        <v>-1.1093201754269999</v>
      </c>
      <c r="AH4990">
        <v>20.1110342606136</v>
      </c>
      <c r="AI4990">
        <v>93.1442093311327</v>
      </c>
      <c r="AJ4990">
        <v>95.209203151146099</v>
      </c>
      <c r="AK4990">
        <v>20.224886391256199</v>
      </c>
      <c r="AL4990">
        <v>89.833489977306499</v>
      </c>
      <c r="AM4990">
        <v>88.693518569184306</v>
      </c>
      <c r="AN4990">
        <v>0.99999998526134803</v>
      </c>
    </row>
    <row r="4991" spans="1:40" x14ac:dyDescent="0.25">
      <c r="A4991" t="str">
        <f>"20190312160744261"</f>
        <v>20190312160744261</v>
      </c>
      <c r="B4991" t="str">
        <f>"1552378064250094"</f>
        <v>1552378064250094</v>
      </c>
      <c r="C4991" t="s">
        <v>40</v>
      </c>
      <c r="D4991">
        <v>5.8932089999999997</v>
      </c>
      <c r="E4991">
        <v>0.47442119999999999</v>
      </c>
      <c r="F4991" t="s">
        <v>89</v>
      </c>
      <c r="G4991">
        <v>-290.30560000000003</v>
      </c>
      <c r="H4991" s="1">
        <v>-9.1810900000000002E-6</v>
      </c>
      <c r="I4991">
        <v>140.66220000000001</v>
      </c>
      <c r="J4991">
        <v>-270.37009999999998</v>
      </c>
      <c r="K4991">
        <v>1.1093029999999999</v>
      </c>
      <c r="L4991">
        <v>142.32390000000001</v>
      </c>
      <c r="M4991">
        <v>-0.99992340000000002</v>
      </c>
      <c r="N4991">
        <v>0</v>
      </c>
      <c r="O4991">
        <v>6.935915E-3</v>
      </c>
      <c r="P4991">
        <v>-0.99953440000000005</v>
      </c>
      <c r="Q4991">
        <v>-7.2391280000000001E-3</v>
      </c>
      <c r="R4991">
        <v>2.9650940000000001E-2</v>
      </c>
      <c r="S4991">
        <v>-3.007568</v>
      </c>
      <c r="T4991">
        <v>-0.1649197</v>
      </c>
      <c r="U4991">
        <v>-0.24674989999999999</v>
      </c>
      <c r="V4991">
        <v>2.2716799999999999E-2</v>
      </c>
      <c r="W4991">
        <v>3.0253519999999998E-3</v>
      </c>
      <c r="X4991">
        <v>0.9997374</v>
      </c>
      <c r="Y4991">
        <v>-8.8536840000000006E-2</v>
      </c>
      <c r="Z4991">
        <v>-2.8010270000000002E-3</v>
      </c>
      <c r="AA4991">
        <v>0.99606899999999998</v>
      </c>
      <c r="AB4991">
        <v>30</v>
      </c>
      <c r="AC4991">
        <v>-19.935500000000001</v>
      </c>
      <c r="AD4991">
        <v>-1.10931218109</v>
      </c>
      <c r="AE4991">
        <v>-1.66169999999999</v>
      </c>
      <c r="AF4991">
        <v>-1.7944203671739301</v>
      </c>
      <c r="AG4991">
        <v>-1.10931218109</v>
      </c>
      <c r="AH4991">
        <v>19.862417309134301</v>
      </c>
      <c r="AI4991">
        <v>93.1836982950703</v>
      </c>
      <c r="AJ4991">
        <v>95.1622298945544</v>
      </c>
      <c r="AK4991">
        <v>19.974136760607198</v>
      </c>
      <c r="AL4991">
        <v>89.826659840910096</v>
      </c>
      <c r="AM4991">
        <v>88.698305353405402</v>
      </c>
      <c r="AN4991">
        <v>1.0000000373578599</v>
      </c>
    </row>
    <row r="4992" spans="1:40" x14ac:dyDescent="0.25">
      <c r="A4992" t="str">
        <f>"20190312160744284"</f>
        <v>20190312160744284</v>
      </c>
      <c r="B4992" t="str">
        <f>"1552378064280349"</f>
        <v>1552378064280349</v>
      </c>
      <c r="C4992" t="s">
        <v>40</v>
      </c>
      <c r="D4992">
        <v>7.0631449999999996</v>
      </c>
      <c r="E4992">
        <v>0.54045980000000005</v>
      </c>
      <c r="F4992" t="s">
        <v>89</v>
      </c>
      <c r="G4992">
        <v>-283.28879999999998</v>
      </c>
      <c r="H4992" s="1">
        <v>-5.803445E-6</v>
      </c>
      <c r="I4992">
        <v>141.86429999999999</v>
      </c>
      <c r="J4992">
        <v>-270.67250000000001</v>
      </c>
      <c r="K4992">
        <v>1.109305</v>
      </c>
      <c r="L4992">
        <v>142.32589999999999</v>
      </c>
      <c r="M4992">
        <v>-0.99992389999999998</v>
      </c>
      <c r="N4992">
        <v>0</v>
      </c>
      <c r="O4992">
        <v>6.8319359999999899E-3</v>
      </c>
      <c r="P4992">
        <v>-0.99954609999999999</v>
      </c>
      <c r="Q4992">
        <v>-6.460805E-3</v>
      </c>
      <c r="R4992">
        <v>2.9430129999999999E-2</v>
      </c>
      <c r="S4992">
        <v>-3.0026860000000002</v>
      </c>
      <c r="T4992">
        <v>-0.25783509999999998</v>
      </c>
      <c r="U4992">
        <v>-0.1068115</v>
      </c>
      <c r="V4992">
        <v>2.259978E-2</v>
      </c>
      <c r="W4992">
        <v>3.8087910000000002E-3</v>
      </c>
      <c r="X4992">
        <v>0.99973730000000005</v>
      </c>
      <c r="Y4992">
        <v>-4.2196459999999998E-2</v>
      </c>
      <c r="Z4992">
        <v>-2.3931999999999998E-3</v>
      </c>
      <c r="AA4992">
        <v>0.99910650000000001</v>
      </c>
      <c r="AB4992">
        <v>30</v>
      </c>
      <c r="AC4992">
        <v>-12.616299999999899</v>
      </c>
      <c r="AD4992">
        <v>-1.1093108034450001</v>
      </c>
      <c r="AE4992">
        <v>-0.46160000000000401</v>
      </c>
      <c r="AF4992">
        <v>-0.54359058180586095</v>
      </c>
      <c r="AG4992">
        <v>-1.1093108034450001</v>
      </c>
      <c r="AH4992">
        <v>12.5162167171198</v>
      </c>
      <c r="AI4992">
        <v>95.060138546413199</v>
      </c>
      <c r="AJ4992">
        <v>92.486844573531499</v>
      </c>
      <c r="AK4992">
        <v>12.5770323244069</v>
      </c>
      <c r="AL4992">
        <v>89.781771814935794</v>
      </c>
      <c r="AM4992">
        <v>88.705008294006106</v>
      </c>
      <c r="AN4992">
        <v>0.999999962978109</v>
      </c>
    </row>
    <row r="4993" spans="1:40" x14ac:dyDescent="0.25">
      <c r="A4993" t="str">
        <f>"20190312160744307"</f>
        <v>20190312160744307</v>
      </c>
      <c r="B4993" t="str">
        <f>"1552378064300846"</f>
        <v>1552378064300846</v>
      </c>
      <c r="C4993" t="s">
        <v>40</v>
      </c>
      <c r="D4993">
        <v>6.9801710000000003</v>
      </c>
      <c r="E4993">
        <v>0.54287069999999904</v>
      </c>
      <c r="F4993" t="s">
        <v>44</v>
      </c>
      <c r="G4993">
        <v>-271.47789999999998</v>
      </c>
      <c r="H4993">
        <v>0.9285139</v>
      </c>
      <c r="I4993">
        <v>142.44319999999999</v>
      </c>
      <c r="J4993">
        <v>-270.98399999999998</v>
      </c>
      <c r="K4993">
        <v>1.1093040000000001</v>
      </c>
      <c r="L4993">
        <v>142.3279</v>
      </c>
      <c r="M4993">
        <v>-0.9999247</v>
      </c>
      <c r="N4993">
        <v>0</v>
      </c>
      <c r="O4993">
        <v>6.7246759999999997E-3</v>
      </c>
      <c r="P4993">
        <v>-0.99954779999999999</v>
      </c>
      <c r="Q4993">
        <v>-6.9548209999999999E-3</v>
      </c>
      <c r="R4993">
        <v>2.9258849999999999E-2</v>
      </c>
      <c r="S4993">
        <v>-2.9843139999999999</v>
      </c>
      <c r="T4993">
        <v>-0.66996420000000001</v>
      </c>
      <c r="U4993">
        <v>0.43389889999999998</v>
      </c>
      <c r="V4993">
        <v>2.2535619999999999E-2</v>
      </c>
      <c r="W4993">
        <v>3.3209899999999998E-3</v>
      </c>
      <c r="X4993">
        <v>0.99974050000000003</v>
      </c>
      <c r="Y4993">
        <v>0.13411699999999999</v>
      </c>
      <c r="Z4993">
        <v>1.3310819999999999E-2</v>
      </c>
      <c r="AA4993">
        <v>0.99087610000000004</v>
      </c>
      <c r="AB4993">
        <v>30</v>
      </c>
      <c r="AC4993">
        <v>-0.493899999999939</v>
      </c>
      <c r="AD4993">
        <v>-0.18079009999999901</v>
      </c>
      <c r="AE4993">
        <v>0.11529999999998999</v>
      </c>
      <c r="AF4993">
        <v>9.9351779783163105E-2</v>
      </c>
      <c r="AG4993">
        <v>-0.18079009999999901</v>
      </c>
      <c r="AH4993">
        <v>0.43889597033796801</v>
      </c>
      <c r="AI4993">
        <v>111.888057956683</v>
      </c>
      <c r="AJ4993">
        <v>77.245062313057502</v>
      </c>
      <c r="AK4993">
        <v>0.48495928610863598</v>
      </c>
      <c r="AL4993">
        <v>89.809720934718897</v>
      </c>
      <c r="AM4993">
        <v>88.708687616306506</v>
      </c>
      <c r="AN4993">
        <v>0.99999997524180695</v>
      </c>
    </row>
    <row r="4994" spans="1:40" x14ac:dyDescent="0.25">
      <c r="A4994" t="str">
        <f>"20190312160744330"</f>
        <v>20190312160744330</v>
      </c>
      <c r="B4994" t="str">
        <f>"1552378064320369"</f>
        <v>1552378064320369</v>
      </c>
      <c r="C4994" t="s">
        <v>40</v>
      </c>
      <c r="D4994">
        <v>5.7380680000000002</v>
      </c>
      <c r="E4994">
        <v>0.54327389999999998</v>
      </c>
      <c r="F4994" t="s">
        <v>44</v>
      </c>
      <c r="G4994">
        <v>-271.7559</v>
      </c>
      <c r="H4994">
        <v>0.94871209999999995</v>
      </c>
      <c r="I4994">
        <v>142.44450000000001</v>
      </c>
      <c r="J4994">
        <v>-271.28359999999998</v>
      </c>
      <c r="K4994">
        <v>1.109307</v>
      </c>
      <c r="L4994">
        <v>142.32980000000001</v>
      </c>
      <c r="M4994">
        <v>-0.99992519999999996</v>
      </c>
      <c r="N4994">
        <v>0</v>
      </c>
      <c r="O4994">
        <v>6.6218259999999999E-3</v>
      </c>
      <c r="P4994">
        <v>-0.99953130000000001</v>
      </c>
      <c r="Q4994">
        <v>-7.1516260000000003E-3</v>
      </c>
      <c r="R4994">
        <v>2.976854E-2</v>
      </c>
      <c r="S4994">
        <v>-2.9838559999999998</v>
      </c>
      <c r="T4994">
        <v>-0.620784</v>
      </c>
      <c r="U4994">
        <v>0.4505768</v>
      </c>
      <c r="V4994">
        <v>2.3148330000000002E-2</v>
      </c>
      <c r="W4994">
        <v>3.1302560000000001E-3</v>
      </c>
      <c r="X4994">
        <v>0.99972709999999998</v>
      </c>
      <c r="Y4994">
        <v>0.13996929999999999</v>
      </c>
      <c r="Z4994">
        <v>1.2971699999999999E-2</v>
      </c>
      <c r="AA4994">
        <v>0.99007089999999998</v>
      </c>
      <c r="AB4994">
        <v>30</v>
      </c>
      <c r="AC4994">
        <v>-0.47230000000001798</v>
      </c>
      <c r="AD4994">
        <v>-0.16059490000000001</v>
      </c>
      <c r="AE4994">
        <v>0.114699999999999</v>
      </c>
      <c r="AF4994">
        <v>0.100587725774772</v>
      </c>
      <c r="AG4994">
        <v>-0.16059490000000001</v>
      </c>
      <c r="AH4994">
        <v>0.42648575745193301</v>
      </c>
      <c r="AI4994">
        <v>110.12780513558199</v>
      </c>
      <c r="AJ4994">
        <v>76.729170033897105</v>
      </c>
      <c r="AK4994">
        <v>0.46668909757128502</v>
      </c>
      <c r="AL4994">
        <v>89.820649242169694</v>
      </c>
      <c r="AM4994">
        <v>88.673573356969101</v>
      </c>
      <c r="AN4994">
        <v>0.99999995907941097</v>
      </c>
    </row>
    <row r="4995" spans="1:40" x14ac:dyDescent="0.25">
      <c r="A4995" t="str">
        <f>"20190312160744350"</f>
        <v>20190312160744350</v>
      </c>
      <c r="B4995" t="str">
        <f>"1552378064340862"</f>
        <v>1552378064340862</v>
      </c>
      <c r="C4995" t="s">
        <v>40</v>
      </c>
      <c r="D4995">
        <v>5.9168209999999997</v>
      </c>
      <c r="E4995">
        <v>0.54508570000000001</v>
      </c>
      <c r="F4995" t="s">
        <v>44</v>
      </c>
      <c r="G4995">
        <v>-272.02940000000001</v>
      </c>
      <c r="H4995">
        <v>0.95899920000000005</v>
      </c>
      <c r="I4995">
        <v>142.4436</v>
      </c>
      <c r="J4995">
        <v>-271.5652</v>
      </c>
      <c r="K4995">
        <v>1.109305</v>
      </c>
      <c r="L4995">
        <v>142.33160000000001</v>
      </c>
      <c r="M4995">
        <v>-0.99992590000000003</v>
      </c>
      <c r="N4995">
        <v>0</v>
      </c>
      <c r="O4995">
        <v>6.5249979999999997E-3</v>
      </c>
      <c r="P4995">
        <v>-0.99952940000000001</v>
      </c>
      <c r="Q4995">
        <v>-7.0768510000000003E-3</v>
      </c>
      <c r="R4995">
        <v>2.985529E-2</v>
      </c>
      <c r="S4995">
        <v>-2.9835820000000002</v>
      </c>
      <c r="T4995">
        <v>-0.60137439999999998</v>
      </c>
      <c r="U4995">
        <v>0.45384219999999997</v>
      </c>
      <c r="V4995">
        <v>2.333203E-2</v>
      </c>
      <c r="W4995">
        <v>3.2113179999999999E-3</v>
      </c>
      <c r="X4995">
        <v>0.99972260000000002</v>
      </c>
      <c r="Y4995">
        <v>0.1412803</v>
      </c>
      <c r="Z4995">
        <v>1.272353E-2</v>
      </c>
      <c r="AA4995">
        <v>0.98988790000000004</v>
      </c>
      <c r="AB4995">
        <v>30</v>
      </c>
      <c r="AC4995">
        <v>-0.464200000000005</v>
      </c>
      <c r="AD4995">
        <v>-0.15030579999999899</v>
      </c>
      <c r="AE4995">
        <v>0.11199999999999399</v>
      </c>
      <c r="AF4995">
        <v>9.9145615570767606E-2</v>
      </c>
      <c r="AG4995">
        <v>-0.15030579999999899</v>
      </c>
      <c r="AH4995">
        <v>0.423010801777991</v>
      </c>
      <c r="AI4995">
        <v>109.082989274445</v>
      </c>
      <c r="AJ4995">
        <v>76.809073578127496</v>
      </c>
      <c r="AK4995">
        <v>0.459738866120111</v>
      </c>
      <c r="AL4995">
        <v>89.816004713209594</v>
      </c>
      <c r="AM4995">
        <v>88.6630449197513</v>
      </c>
      <c r="AN4995">
        <v>0.99999998656898803</v>
      </c>
    </row>
    <row r="4996" spans="1:40" x14ac:dyDescent="0.25">
      <c r="A4996" t="str">
        <f>"20190312160744373"</f>
        <v>20190312160744373</v>
      </c>
      <c r="B4996" t="str">
        <f>"1552378064360382"</f>
        <v>1552378064360382</v>
      </c>
      <c r="C4996" t="s">
        <v>40</v>
      </c>
      <c r="D4996">
        <v>5.9741280000000003</v>
      </c>
      <c r="E4996">
        <v>0.54445880000000002</v>
      </c>
      <c r="F4996" t="s">
        <v>44</v>
      </c>
      <c r="G4996">
        <v>-272.29829999999998</v>
      </c>
      <c r="H4996">
        <v>0.95876470000000003</v>
      </c>
      <c r="I4996">
        <v>142.4469</v>
      </c>
      <c r="J4996">
        <v>-271.85390000000001</v>
      </c>
      <c r="K4996">
        <v>1.10931</v>
      </c>
      <c r="L4996">
        <v>142.33340000000001</v>
      </c>
      <c r="M4996">
        <v>-0.99992650000000005</v>
      </c>
      <c r="N4996">
        <v>0</v>
      </c>
      <c r="O4996">
        <v>6.4256649999999997E-3</v>
      </c>
      <c r="P4996">
        <v>-0.99952549999999996</v>
      </c>
      <c r="Q4996">
        <v>-6.5719079999999996E-3</v>
      </c>
      <c r="R4996">
        <v>3.009469E-2</v>
      </c>
      <c r="S4996">
        <v>-2.983063</v>
      </c>
      <c r="T4996">
        <v>-0.61254529999999996</v>
      </c>
      <c r="U4996">
        <v>0.46911619999999998</v>
      </c>
      <c r="V4996">
        <v>2.3670440000000001E-2</v>
      </c>
      <c r="W4996">
        <v>3.7220069999999998E-3</v>
      </c>
      <c r="X4996">
        <v>0.99971290000000002</v>
      </c>
      <c r="Y4996">
        <v>0.14615449999999999</v>
      </c>
      <c r="Z4996">
        <v>1.346486E-2</v>
      </c>
      <c r="AA4996">
        <v>0.98917010000000005</v>
      </c>
      <c r="AB4996">
        <v>30</v>
      </c>
      <c r="AC4996">
        <v>-0.44439999999997298</v>
      </c>
      <c r="AD4996">
        <v>-0.15054529999999999</v>
      </c>
      <c r="AE4996">
        <v>0.113499999999987</v>
      </c>
      <c r="AF4996">
        <v>9.9881541047392303E-2</v>
      </c>
      <c r="AG4996">
        <v>-0.15054529999999999</v>
      </c>
      <c r="AH4996">
        <v>0.40183034650956401</v>
      </c>
      <c r="AI4996">
        <v>109.980514127359</v>
      </c>
      <c r="AJ4996">
        <v>76.0410876096539</v>
      </c>
      <c r="AK4996">
        <v>0.44057670951843098</v>
      </c>
      <c r="AL4996">
        <v>89.786744217914105</v>
      </c>
      <c r="AM4996">
        <v>88.6436476316631</v>
      </c>
      <c r="AN4996">
        <v>1.0000000127461499</v>
      </c>
    </row>
    <row r="4997" spans="1:40" x14ac:dyDescent="0.25">
      <c r="A4997" t="str">
        <f>"20190312160744396"</f>
        <v>20190312160744396</v>
      </c>
      <c r="B4997" t="str">
        <f>"1552378064390638"</f>
        <v>1552378064390638</v>
      </c>
      <c r="C4997" t="s">
        <v>40</v>
      </c>
      <c r="D4997">
        <v>5.9183029999999999</v>
      </c>
      <c r="E4997">
        <v>0.54385319999999904</v>
      </c>
      <c r="F4997" t="s">
        <v>44</v>
      </c>
      <c r="G4997">
        <v>-272.5711</v>
      </c>
      <c r="H4997">
        <v>0.966364</v>
      </c>
      <c r="I4997">
        <v>142.4453</v>
      </c>
      <c r="J4997">
        <v>-272.173</v>
      </c>
      <c r="K4997">
        <v>1.109316</v>
      </c>
      <c r="L4997">
        <v>142.33529999999999</v>
      </c>
      <c r="M4997">
        <v>-0.99992700000000001</v>
      </c>
      <c r="N4997">
        <v>0</v>
      </c>
      <c r="O4997">
        <v>6.316253E-3</v>
      </c>
      <c r="P4997">
        <v>-0.99952110000000005</v>
      </c>
      <c r="Q4997">
        <v>-6.2271669999999996E-3</v>
      </c>
      <c r="R4997">
        <v>3.0313799999999998E-2</v>
      </c>
      <c r="S4997">
        <v>-2.9835509999999998</v>
      </c>
      <c r="T4997">
        <v>-0.59472219999999998</v>
      </c>
      <c r="U4997">
        <v>0.46452329999999997</v>
      </c>
      <c r="V4997">
        <v>2.3999010000000001E-2</v>
      </c>
      <c r="W4997">
        <v>4.0739110000000004E-3</v>
      </c>
      <c r="X4997">
        <v>0.99970369999999997</v>
      </c>
      <c r="Y4997">
        <v>0.14493439999999999</v>
      </c>
      <c r="Z4997">
        <v>1.298179E-2</v>
      </c>
      <c r="AA4997">
        <v>0.98935609999999996</v>
      </c>
      <c r="AB4997">
        <v>30</v>
      </c>
      <c r="AC4997">
        <v>-0.39809999999999901</v>
      </c>
      <c r="AD4997">
        <v>-0.142952</v>
      </c>
      <c r="AE4997">
        <v>0.110000000000013</v>
      </c>
      <c r="AF4997">
        <v>9.5984580402269398E-2</v>
      </c>
      <c r="AG4997">
        <v>-0.142952</v>
      </c>
      <c r="AH4997">
        <v>0.35612450733622403</v>
      </c>
      <c r="AI4997">
        <v>111.185300418053</v>
      </c>
      <c r="AJ4997">
        <v>74.915775817818002</v>
      </c>
      <c r="AK4997">
        <v>0.39556665519791701</v>
      </c>
      <c r="AL4997">
        <v>89.766581452241297</v>
      </c>
      <c r="AM4997">
        <v>88.624814598565294</v>
      </c>
      <c r="AN4997">
        <v>1.00000001851275</v>
      </c>
    </row>
    <row r="4998" spans="1:40" x14ac:dyDescent="0.25">
      <c r="A4998" t="str">
        <f>"20190312160744418"</f>
        <v>20190312160744418</v>
      </c>
      <c r="B4998" t="str">
        <f>"1552378064410158"</f>
        <v>1552378064410158</v>
      </c>
      <c r="C4998" t="s">
        <v>40</v>
      </c>
      <c r="D4998">
        <v>5.8927769999999997</v>
      </c>
      <c r="E4998">
        <v>0.54258879999999998</v>
      </c>
      <c r="F4998" t="s">
        <v>44</v>
      </c>
      <c r="G4998">
        <v>-273.09379999999999</v>
      </c>
      <c r="H4998">
        <v>0.9298341</v>
      </c>
      <c r="I4998">
        <v>142.47749999999999</v>
      </c>
      <c r="J4998">
        <v>-272.48489999999998</v>
      </c>
      <c r="K4998">
        <v>1.1093189999999999</v>
      </c>
      <c r="L4998">
        <v>142.33709999999999</v>
      </c>
      <c r="M4998">
        <v>-0.99992769999999997</v>
      </c>
      <c r="N4998">
        <v>0</v>
      </c>
      <c r="O4998">
        <v>6.209165E-3</v>
      </c>
      <c r="P4998">
        <v>-0.99952209999999997</v>
      </c>
      <c r="Q4998">
        <v>-5.9981039999999998E-3</v>
      </c>
      <c r="R4998">
        <v>3.0327119999999999E-2</v>
      </c>
      <c r="S4998">
        <v>-2.9838559999999998</v>
      </c>
      <c r="T4998">
        <v>-0.58163290000000001</v>
      </c>
      <c r="U4998">
        <v>0.45973209999999998</v>
      </c>
      <c r="V4998">
        <v>2.41192E-2</v>
      </c>
      <c r="W4998">
        <v>4.3104199999999997E-3</v>
      </c>
      <c r="X4998">
        <v>0.99969980000000003</v>
      </c>
      <c r="Y4998">
        <v>0.1436103</v>
      </c>
      <c r="Z4998">
        <v>1.259501E-2</v>
      </c>
      <c r="AA4998">
        <v>0.98955420000000005</v>
      </c>
      <c r="AB4998">
        <v>30</v>
      </c>
      <c r="AC4998">
        <v>-0.60890000000000499</v>
      </c>
      <c r="AD4998">
        <v>-0.179484899999999</v>
      </c>
      <c r="AE4998">
        <v>0.140399999999999</v>
      </c>
      <c r="AF4998">
        <v>0.12620418284925</v>
      </c>
      <c r="AG4998">
        <v>-0.179484899999999</v>
      </c>
      <c r="AH4998">
        <v>0.56328749749847096</v>
      </c>
      <c r="AI4998">
        <v>107.272020445615</v>
      </c>
      <c r="AJ4998">
        <v>77.371472135307599</v>
      </c>
      <c r="AK4998">
        <v>0.60451230751304597</v>
      </c>
      <c r="AL4998">
        <v>89.753030361993595</v>
      </c>
      <c r="AM4998">
        <v>88.617924775546797</v>
      </c>
      <c r="AN4998">
        <v>1.0000000028246201</v>
      </c>
    </row>
    <row r="4999" spans="1:40" x14ac:dyDescent="0.25">
      <c r="A4999" t="str">
        <f>"20190312160744439"</f>
        <v>20190312160744439</v>
      </c>
      <c r="B4999" t="str">
        <f>"1552378064430658"</f>
        <v>1552378064430658</v>
      </c>
      <c r="C4999" t="s">
        <v>40</v>
      </c>
      <c r="D4999">
        <v>5.9500479999999998</v>
      </c>
      <c r="E4999">
        <v>0.54290419999999995</v>
      </c>
      <c r="F4999" t="s">
        <v>44</v>
      </c>
      <c r="G4999">
        <v>-273.36790000000002</v>
      </c>
      <c r="H4999">
        <v>0.93909339999999997</v>
      </c>
      <c r="I4999">
        <v>142.47020000000001</v>
      </c>
      <c r="J4999">
        <v>-272.7636</v>
      </c>
      <c r="K4999">
        <v>1.1093189999999999</v>
      </c>
      <c r="L4999">
        <v>142.33879999999999</v>
      </c>
      <c r="M4999">
        <v>-0.99992809999999999</v>
      </c>
      <c r="N4999">
        <v>0</v>
      </c>
      <c r="O4999">
        <v>6.1134659999999997E-3</v>
      </c>
      <c r="P4999">
        <v>-0.99953060000000005</v>
      </c>
      <c r="Q4999">
        <v>-5.5403090000000002E-3</v>
      </c>
      <c r="R4999">
        <v>3.012892E-2</v>
      </c>
      <c r="S4999">
        <v>-2.9843139999999999</v>
      </c>
      <c r="T4999">
        <v>-0.57535769999999997</v>
      </c>
      <c r="U4999">
        <v>0.44940190000000002</v>
      </c>
      <c r="V4999">
        <v>2.4016559999999999E-2</v>
      </c>
      <c r="W4999">
        <v>4.7743780000000001E-3</v>
      </c>
      <c r="X4999">
        <v>0.99970020000000004</v>
      </c>
      <c r="Y4999">
        <v>0.14044189999999901</v>
      </c>
      <c r="Z4999">
        <v>1.218003E-2</v>
      </c>
      <c r="AA4999">
        <v>0.99001399999999995</v>
      </c>
      <c r="AB4999">
        <v>30</v>
      </c>
      <c r="AC4999">
        <v>-0.60430000000002304</v>
      </c>
      <c r="AD4999">
        <v>-0.17022559999999901</v>
      </c>
      <c r="AE4999">
        <v>0.13140000000001301</v>
      </c>
      <c r="AF4999">
        <v>0.118708747659651</v>
      </c>
      <c r="AG4999">
        <v>-0.17022559999999901</v>
      </c>
      <c r="AH4999">
        <v>0.56247489588668298</v>
      </c>
      <c r="AI4999">
        <v>106.494761217448</v>
      </c>
      <c r="AJ4999">
        <v>78.082767513431406</v>
      </c>
      <c r="AK4999">
        <v>0.59953859773080298</v>
      </c>
      <c r="AL4999">
        <v>89.726447262438796</v>
      </c>
      <c r="AM4999">
        <v>88.623804523094407</v>
      </c>
      <c r="AN4999">
        <v>1.0000000398597699</v>
      </c>
    </row>
    <row r="5000" spans="1:40" x14ac:dyDescent="0.25">
      <c r="A5000" t="str">
        <f>"20190312160744461"</f>
        <v>20190312160744461</v>
      </c>
      <c r="B5000" t="str">
        <f>"1552378064450174"</f>
        <v>1552378064450174</v>
      </c>
      <c r="C5000" t="s">
        <v>40</v>
      </c>
      <c r="D5000">
        <v>5.3161800000000001</v>
      </c>
      <c r="E5000">
        <v>0.54181239999999997</v>
      </c>
      <c r="F5000" t="s">
        <v>44</v>
      </c>
      <c r="G5000">
        <v>-273.63839999999999</v>
      </c>
      <c r="H5000">
        <v>0.93975759999999997</v>
      </c>
      <c r="I5000">
        <v>142.4716</v>
      </c>
      <c r="J5000">
        <v>-273.06799999999998</v>
      </c>
      <c r="K5000">
        <v>1.109318</v>
      </c>
      <c r="L5000">
        <v>142.34049999999999</v>
      </c>
      <c r="M5000">
        <v>-0.9999287</v>
      </c>
      <c r="N5000">
        <v>0</v>
      </c>
      <c r="O5000">
        <v>6.0090600000000001E-3</v>
      </c>
      <c r="P5000">
        <v>-0.99953619999999999</v>
      </c>
      <c r="Q5000">
        <v>-5.6604999999999997E-3</v>
      </c>
      <c r="R5000">
        <v>2.9927470000000001E-2</v>
      </c>
      <c r="S5000">
        <v>-2.9845890000000002</v>
      </c>
      <c r="T5000">
        <v>-0.57859930000000004</v>
      </c>
      <c r="U5000">
        <v>0.45175169999999998</v>
      </c>
      <c r="V5000">
        <v>2.3919599999999999E-2</v>
      </c>
      <c r="W5000">
        <v>4.6618459999999999E-3</v>
      </c>
      <c r="X5000">
        <v>0.99970300000000001</v>
      </c>
      <c r="Y5000">
        <v>0.14125099999999999</v>
      </c>
      <c r="Z5000">
        <v>1.2342840000000001E-2</v>
      </c>
      <c r="AA5000">
        <v>0.98989689999999997</v>
      </c>
      <c r="AB5000">
        <v>30</v>
      </c>
      <c r="AC5000">
        <v>-0.57040000000000601</v>
      </c>
      <c r="AD5000">
        <v>-0.1695604</v>
      </c>
      <c r="AE5000">
        <v>0.13110000000000299</v>
      </c>
      <c r="AF5000">
        <v>0.117783912737987</v>
      </c>
      <c r="AG5000">
        <v>-0.1695604</v>
      </c>
      <c r="AH5000">
        <v>0.52694905868743303</v>
      </c>
      <c r="AI5000">
        <v>107.43377745133699</v>
      </c>
      <c r="AJ5000">
        <v>77.400326931632307</v>
      </c>
      <c r="AK5000">
        <v>0.565949723738427</v>
      </c>
      <c r="AL5000">
        <v>89.732894927727401</v>
      </c>
      <c r="AM5000">
        <v>88.629362232911305</v>
      </c>
      <c r="AN5000">
        <v>0.99999998414064295</v>
      </c>
    </row>
    <row r="5001" spans="1:40" x14ac:dyDescent="0.25">
      <c r="A5001" t="str">
        <f>"20190312160744487"</f>
        <v>20190312160744487</v>
      </c>
      <c r="B5001" t="str">
        <f>"1552378064480430"</f>
        <v>1552378064480430</v>
      </c>
      <c r="C5001" t="s">
        <v>40</v>
      </c>
      <c r="D5001">
        <v>5.9601089999999903</v>
      </c>
      <c r="E5001">
        <v>0.55371769999999998</v>
      </c>
      <c r="F5001" t="s">
        <v>44</v>
      </c>
      <c r="G5001">
        <v>-273.9119</v>
      </c>
      <c r="H5001">
        <v>0.94681190000000004</v>
      </c>
      <c r="I5001">
        <v>142.46549999999999</v>
      </c>
      <c r="J5001">
        <v>-273.39789999999999</v>
      </c>
      <c r="K5001">
        <v>1.1093189999999999</v>
      </c>
      <c r="L5001">
        <v>142.3424</v>
      </c>
      <c r="M5001">
        <v>-0.99992930000000002</v>
      </c>
      <c r="N5001">
        <v>0</v>
      </c>
      <c r="O5001">
        <v>5.89589E-3</v>
      </c>
      <c r="P5001">
        <v>-0.99954219999999905</v>
      </c>
      <c r="Q5001">
        <v>-5.9013750000000004E-3</v>
      </c>
      <c r="R5001">
        <v>2.967614E-2</v>
      </c>
      <c r="S5001">
        <v>-2.9848940000000002</v>
      </c>
      <c r="T5001">
        <v>-0.57473459999999998</v>
      </c>
      <c r="U5001">
        <v>0.44219969999999997</v>
      </c>
      <c r="V5001">
        <v>2.3781360000000001E-2</v>
      </c>
      <c r="W5001">
        <v>4.4286739999999996E-3</v>
      </c>
      <c r="X5001">
        <v>0.99970740000000002</v>
      </c>
      <c r="Y5001">
        <v>0.13833099999999901</v>
      </c>
      <c r="Z5001">
        <v>1.200785E-2</v>
      </c>
      <c r="AA5001">
        <v>0.9903132</v>
      </c>
      <c r="AB5001">
        <v>30</v>
      </c>
      <c r="AC5001">
        <v>-0.51400000000001</v>
      </c>
      <c r="AD5001">
        <v>-0.16250709999999899</v>
      </c>
      <c r="AE5001">
        <v>0.12309999999999301</v>
      </c>
      <c r="AF5001">
        <v>0.10969691790257</v>
      </c>
      <c r="AG5001">
        <v>-0.16250709999999899</v>
      </c>
      <c r="AH5001">
        <v>0.470260412273307</v>
      </c>
      <c r="AI5001">
        <v>108.599810564582</v>
      </c>
      <c r="AJ5001">
        <v>76.869503286179395</v>
      </c>
      <c r="AK5001">
        <v>0.50949664051806398</v>
      </c>
      <c r="AL5001">
        <v>89.746254848077498</v>
      </c>
      <c r="AM5001">
        <v>88.637286642994397</v>
      </c>
      <c r="AN5001">
        <v>1.0000000259258</v>
      </c>
    </row>
    <row r="5002" spans="1:40" x14ac:dyDescent="0.25">
      <c r="A5002" t="str">
        <f>"20190312160744508"</f>
        <v>20190312160744508</v>
      </c>
      <c r="B5002" t="str">
        <f>"1552378064500926"</f>
        <v>1552378064500926</v>
      </c>
      <c r="C5002" t="s">
        <v>40</v>
      </c>
      <c r="D5002">
        <v>5.9378690000000001</v>
      </c>
      <c r="E5002">
        <v>0.55373229999999996</v>
      </c>
      <c r="F5002" t="s">
        <v>44</v>
      </c>
      <c r="G5002">
        <v>-274.1653</v>
      </c>
      <c r="H5002">
        <v>0.90673760000000003</v>
      </c>
      <c r="I5002">
        <v>142.48249999999999</v>
      </c>
      <c r="J5002">
        <v>-273.68810000000002</v>
      </c>
      <c r="K5002">
        <v>1.1093200000000001</v>
      </c>
      <c r="L5002">
        <v>142.34399999999999</v>
      </c>
      <c r="M5002">
        <v>-0.99992979999999998</v>
      </c>
      <c r="N5002">
        <v>0</v>
      </c>
      <c r="O5002">
        <v>5.7963729999999996E-3</v>
      </c>
      <c r="P5002">
        <v>-0.99954670000000001</v>
      </c>
      <c r="Q5002">
        <v>-5.6118820000000003E-3</v>
      </c>
      <c r="R5002">
        <v>2.9579339999999999E-2</v>
      </c>
      <c r="S5002">
        <v>-2.9805600000000001</v>
      </c>
      <c r="T5002">
        <v>-0.78688689999999994</v>
      </c>
      <c r="U5002">
        <v>0.54336549999999995</v>
      </c>
      <c r="V5002">
        <v>2.3784050000000001E-2</v>
      </c>
      <c r="W5002">
        <v>4.72574E-3</v>
      </c>
      <c r="X5002">
        <v>0.99970599999999998</v>
      </c>
      <c r="Y5002">
        <v>0.16825290000000001</v>
      </c>
      <c r="Z5002">
        <v>2.017335E-2</v>
      </c>
      <c r="AA5002">
        <v>0.98553740000000001</v>
      </c>
      <c r="AB5002">
        <v>30</v>
      </c>
      <c r="AC5002">
        <v>-0.47719999999998203</v>
      </c>
      <c r="AD5002">
        <v>-0.2025824</v>
      </c>
      <c r="AE5002">
        <v>0.13849999999999299</v>
      </c>
      <c r="AF5002">
        <v>0.116386018055538</v>
      </c>
      <c r="AG5002">
        <v>-0.2025824</v>
      </c>
      <c r="AH5002">
        <v>0.40986739031255998</v>
      </c>
      <c r="AI5002">
        <v>115.429482922418</v>
      </c>
      <c r="AJ5002">
        <v>74.147564807614401</v>
      </c>
      <c r="AK5002">
        <v>0.47178025777920501</v>
      </c>
      <c r="AL5002">
        <v>89.729234048649005</v>
      </c>
      <c r="AM5002">
        <v>88.637130651584698</v>
      </c>
      <c r="AN5002">
        <v>1.0000000500444699</v>
      </c>
    </row>
    <row r="5003" spans="1:40" x14ac:dyDescent="0.25">
      <c r="A5003" t="str">
        <f>"20190312160744530"</f>
        <v>20190312160744530</v>
      </c>
      <c r="B5003" t="str">
        <f>"1552378064520450"</f>
        <v>1552378064520450</v>
      </c>
      <c r="C5003" t="s">
        <v>40</v>
      </c>
      <c r="D5003">
        <v>6.0836639999999997</v>
      </c>
      <c r="E5003">
        <v>0.55373149999999904</v>
      </c>
      <c r="F5003" t="s">
        <v>44</v>
      </c>
      <c r="G5003">
        <v>-274.43740000000003</v>
      </c>
      <c r="H5003">
        <v>0.90974440000000001</v>
      </c>
      <c r="I5003">
        <v>142.48070000000001</v>
      </c>
      <c r="J5003">
        <v>-273.98700000000002</v>
      </c>
      <c r="K5003">
        <v>1.1093200000000001</v>
      </c>
      <c r="L5003">
        <v>142.34559999999999</v>
      </c>
      <c r="M5003">
        <v>-0.9999304</v>
      </c>
      <c r="N5003">
        <v>0</v>
      </c>
      <c r="O5003">
        <v>5.6938149999999996E-3</v>
      </c>
      <c r="P5003">
        <v>-0.99955899999999998</v>
      </c>
      <c r="Q5003">
        <v>-5.3330110000000003E-3</v>
      </c>
      <c r="R5003">
        <v>2.9217199999999999E-2</v>
      </c>
      <c r="S5003">
        <v>-2.9808349999999999</v>
      </c>
      <c r="T5003">
        <v>-0.79398550000000001</v>
      </c>
      <c r="U5003">
        <v>0.54341130000000004</v>
      </c>
      <c r="V5003">
        <v>2.352427E-2</v>
      </c>
      <c r="W5003">
        <v>5.0113629999999996E-3</v>
      </c>
      <c r="X5003">
        <v>0.99971069999999995</v>
      </c>
      <c r="Y5003">
        <v>0.16825399999999999</v>
      </c>
      <c r="Z5003">
        <v>2.037433E-2</v>
      </c>
      <c r="AA5003">
        <v>0.98553310000000005</v>
      </c>
      <c r="AB5003">
        <v>30</v>
      </c>
      <c r="AC5003">
        <v>-0.45040000000000102</v>
      </c>
      <c r="AD5003">
        <v>-0.19957559999999999</v>
      </c>
      <c r="AE5003">
        <v>0.13510000000002201</v>
      </c>
      <c r="AF5003">
        <v>0.11230324151526901</v>
      </c>
      <c r="AG5003">
        <v>-0.19957559999999999</v>
      </c>
      <c r="AH5003">
        <v>0.382296362566244</v>
      </c>
      <c r="AI5003">
        <v>116.60536008</v>
      </c>
      <c r="AJ5003">
        <v>73.629340689116304</v>
      </c>
      <c r="AK5003">
        <v>0.44563768579595903</v>
      </c>
      <c r="AL5003">
        <v>89.712868847042003</v>
      </c>
      <c r="AM5003">
        <v>88.652017330679797</v>
      </c>
      <c r="AN5003">
        <v>0.99999999436632003</v>
      </c>
    </row>
    <row r="5004" spans="1:40" x14ac:dyDescent="0.25">
      <c r="A5004" t="str">
        <f>"20190312160744551"</f>
        <v>20190312160744551</v>
      </c>
      <c r="B5004" t="str">
        <f>"1552378064540943"</f>
        <v>1552378064540943</v>
      </c>
      <c r="C5004" t="s">
        <v>40</v>
      </c>
      <c r="D5004">
        <v>6.0565800000000003</v>
      </c>
      <c r="E5004">
        <v>0.54085069999999902</v>
      </c>
      <c r="F5004" t="s">
        <v>44</v>
      </c>
      <c r="G5004">
        <v>-274.71010000000001</v>
      </c>
      <c r="H5004">
        <v>0.91363879999999997</v>
      </c>
      <c r="I5004">
        <v>142.4777</v>
      </c>
      <c r="J5004">
        <v>-274.274</v>
      </c>
      <c r="K5004">
        <v>1.1093189999999999</v>
      </c>
      <c r="L5004">
        <v>142.34719999999999</v>
      </c>
      <c r="M5004">
        <v>-0.99993089999999996</v>
      </c>
      <c r="N5004">
        <v>0</v>
      </c>
      <c r="O5004">
        <v>5.5952509999999999E-3</v>
      </c>
      <c r="P5004">
        <v>-0.99956129999999999</v>
      </c>
      <c r="Q5004">
        <v>-5.6734330000000003E-3</v>
      </c>
      <c r="R5004">
        <v>2.9075199999999999E-2</v>
      </c>
      <c r="S5004">
        <v>-2.9811399999999999</v>
      </c>
      <c r="T5004">
        <v>-0.80678490000000003</v>
      </c>
      <c r="U5004">
        <v>0.54315190000000002</v>
      </c>
      <c r="V5004">
        <v>2.3480790000000001E-2</v>
      </c>
      <c r="W5004">
        <v>4.6785350000000002E-3</v>
      </c>
      <c r="X5004">
        <v>0.99971339999999997</v>
      </c>
      <c r="Y5004">
        <v>0.16807859999999999</v>
      </c>
      <c r="Z5004">
        <v>2.0692700000000001E-2</v>
      </c>
      <c r="AA5004">
        <v>0.9855564</v>
      </c>
      <c r="AB5004">
        <v>30</v>
      </c>
      <c r="AC5004">
        <v>-0.43610000000000998</v>
      </c>
      <c r="AD5004">
        <v>-0.195680199999999</v>
      </c>
      <c r="AE5004">
        <v>0.130500000000012</v>
      </c>
      <c r="AF5004">
        <v>0.10808485890773301</v>
      </c>
      <c r="AG5004">
        <v>-0.195680199999999</v>
      </c>
      <c r="AH5004">
        <v>0.36869302531952403</v>
      </c>
      <c r="AI5004">
        <v>116.990021068516</v>
      </c>
      <c r="AJ5004">
        <v>73.661143384695905</v>
      </c>
      <c r="AK5004">
        <v>0.431170064262824</v>
      </c>
      <c r="AL5004">
        <v>89.731938728130999</v>
      </c>
      <c r="AM5004">
        <v>88.654511528118604</v>
      </c>
      <c r="AN5004">
        <v>1.00000005916416</v>
      </c>
    </row>
    <row r="5005" spans="1:40" x14ac:dyDescent="0.25">
      <c r="A5005" t="str">
        <f>"20190312160744575"</f>
        <v>20190312160744575</v>
      </c>
      <c r="B5005" t="str">
        <f>"1552378064570222"</f>
        <v>1552378064570222</v>
      </c>
      <c r="C5005" t="s">
        <v>40</v>
      </c>
      <c r="D5005">
        <v>5.8880509999999999</v>
      </c>
      <c r="E5005">
        <v>0.53972109999999995</v>
      </c>
      <c r="F5005" t="s">
        <v>44</v>
      </c>
      <c r="G5005">
        <v>-275.005</v>
      </c>
      <c r="H5005">
        <v>0.96563299999999996</v>
      </c>
      <c r="I5005">
        <v>142.45330000000001</v>
      </c>
      <c r="J5005">
        <v>-274.5926</v>
      </c>
      <c r="K5005">
        <v>1.1093170000000001</v>
      </c>
      <c r="L5005">
        <v>142.34880000000001</v>
      </c>
      <c r="M5005">
        <v>-0.99993140000000003</v>
      </c>
      <c r="N5005">
        <v>0</v>
      </c>
      <c r="O5005">
        <v>5.4859549999999998E-3</v>
      </c>
      <c r="P5005">
        <v>-0.99955769999999999</v>
      </c>
      <c r="Q5005">
        <v>-5.9287630000000001E-3</v>
      </c>
      <c r="R5005">
        <v>2.91434E-2</v>
      </c>
      <c r="S5005">
        <v>-2.9854129999999999</v>
      </c>
      <c r="T5005">
        <v>-0.58683439999999998</v>
      </c>
      <c r="U5005">
        <v>0.43244929999999898</v>
      </c>
      <c r="V5005">
        <v>2.365834E-2</v>
      </c>
      <c r="W5005">
        <v>4.4310579999999999E-3</v>
      </c>
      <c r="X5005">
        <v>0.99971030000000005</v>
      </c>
      <c r="Y5005">
        <v>0.13548949999999901</v>
      </c>
      <c r="Z5005">
        <v>1.2060929999999999E-2</v>
      </c>
      <c r="AA5005">
        <v>0.99070539999999996</v>
      </c>
      <c r="AB5005">
        <v>30</v>
      </c>
      <c r="AC5005">
        <v>-0.412399999999991</v>
      </c>
      <c r="AD5005">
        <v>-0.14368400000000001</v>
      </c>
      <c r="AE5005">
        <v>0.10450000000000099</v>
      </c>
      <c r="AF5005">
        <v>9.1768337747280895E-2</v>
      </c>
      <c r="AG5005">
        <v>-0.14368400000000001</v>
      </c>
      <c r="AH5005">
        <v>0.37068491143481203</v>
      </c>
      <c r="AI5005">
        <v>110.61925944436101</v>
      </c>
      <c r="AJ5005">
        <v>76.095179687915106</v>
      </c>
      <c r="AK5005">
        <v>0.40801203809977699</v>
      </c>
      <c r="AL5005">
        <v>89.746118251495304</v>
      </c>
      <c r="AM5005">
        <v>88.644337196917405</v>
      </c>
      <c r="AN5005">
        <v>1.00000001762632</v>
      </c>
    </row>
    <row r="5006" spans="1:40" x14ac:dyDescent="0.25">
      <c r="A5006" t="str">
        <f>"20190312160744597"</f>
        <v>20190312160744597</v>
      </c>
      <c r="B5006" t="str">
        <f>"1552378064590719"</f>
        <v>1552378064590719</v>
      </c>
      <c r="C5006" t="s">
        <v>40</v>
      </c>
      <c r="D5006">
        <v>5.9758279999999999</v>
      </c>
      <c r="E5006">
        <v>0.5397383</v>
      </c>
      <c r="F5006" t="s">
        <v>44</v>
      </c>
      <c r="G5006">
        <v>-275.5324</v>
      </c>
      <c r="H5006">
        <v>0.92990589999999995</v>
      </c>
      <c r="I5006">
        <v>142.4821</v>
      </c>
      <c r="J5006">
        <v>-274.90019999999998</v>
      </c>
      <c r="K5006">
        <v>1.1093109999999999</v>
      </c>
      <c r="L5006">
        <v>142.35040000000001</v>
      </c>
      <c r="M5006">
        <v>-0.99993189999999998</v>
      </c>
      <c r="N5006">
        <v>0</v>
      </c>
      <c r="O5006">
        <v>5.3802950000000002E-3</v>
      </c>
      <c r="P5006">
        <v>-0.99955799999999995</v>
      </c>
      <c r="Q5006">
        <v>-6.2858979999999998E-3</v>
      </c>
      <c r="R5006">
        <v>2.9058730000000001E-2</v>
      </c>
      <c r="S5006">
        <v>-2.9856569999999998</v>
      </c>
      <c r="T5006">
        <v>-0.56994609999999901</v>
      </c>
      <c r="U5006">
        <v>0.42306519999999997</v>
      </c>
      <c r="V5006">
        <v>2.3679349999999998E-2</v>
      </c>
      <c r="W5006">
        <v>4.0815399999999998E-3</v>
      </c>
      <c r="X5006">
        <v>0.99971129999999997</v>
      </c>
      <c r="Y5006">
        <v>0.13271429999999901</v>
      </c>
      <c r="Z5006">
        <v>1.1480219999999999E-2</v>
      </c>
      <c r="AA5006">
        <v>0.99108790000000002</v>
      </c>
      <c r="AB5006">
        <v>30</v>
      </c>
      <c r="AC5006">
        <v>-0.63220000000001098</v>
      </c>
      <c r="AD5006">
        <v>-0.17940510000000001</v>
      </c>
      <c r="AE5006">
        <v>0.13169999999999499</v>
      </c>
      <c r="AF5006">
        <v>0.11910391889449</v>
      </c>
      <c r="AG5006">
        <v>-0.17940510000000001</v>
      </c>
      <c r="AH5006">
        <v>0.58755160097381098</v>
      </c>
      <c r="AI5006">
        <v>106.660174816542</v>
      </c>
      <c r="AJ5006">
        <v>78.540721112531401</v>
      </c>
      <c r="AK5006">
        <v>0.62577057873387099</v>
      </c>
      <c r="AL5006">
        <v>89.766144341090296</v>
      </c>
      <c r="AM5006">
        <v>88.643135095088695</v>
      </c>
      <c r="AN5006">
        <v>1.00000002696644</v>
      </c>
    </row>
    <row r="5007" spans="1:40" x14ac:dyDescent="0.25">
      <c r="A5007" t="str">
        <f>"20190312160744629"</f>
        <v>20190312160744629</v>
      </c>
      <c r="B5007" t="str">
        <f>"1552378064619998"</f>
        <v>1552378064619998</v>
      </c>
      <c r="C5007" t="s">
        <v>40</v>
      </c>
      <c r="D5007">
        <v>5.8641120000000004</v>
      </c>
      <c r="E5007">
        <v>0.53963050000000001</v>
      </c>
      <c r="F5007" t="s">
        <v>44</v>
      </c>
      <c r="G5007">
        <v>-275.80770000000001</v>
      </c>
      <c r="H5007">
        <v>0.93667299999999998</v>
      </c>
      <c r="I5007">
        <v>142.47919999999999</v>
      </c>
      <c r="J5007">
        <v>-275.34820000000002</v>
      </c>
      <c r="K5007">
        <v>1.10931</v>
      </c>
      <c r="L5007">
        <v>142.3526</v>
      </c>
      <c r="M5007">
        <v>-0.99993259999999995</v>
      </c>
      <c r="N5007">
        <v>0</v>
      </c>
      <c r="O5007">
        <v>5.2267549999999996E-3</v>
      </c>
      <c r="P5007">
        <v>-0.99956250000000002</v>
      </c>
      <c r="Q5007">
        <v>-6.3657560000000002E-3</v>
      </c>
      <c r="R5007">
        <v>2.889019E-2</v>
      </c>
      <c r="S5007">
        <v>-2.9854430000000001</v>
      </c>
      <c r="T5007">
        <v>-0.5680231</v>
      </c>
      <c r="U5007">
        <v>0.4228363</v>
      </c>
      <c r="V5007">
        <v>2.3664330000000001E-2</v>
      </c>
      <c r="W5007">
        <v>4.0128759999999899E-3</v>
      </c>
      <c r="X5007">
        <v>0.99971189999999999</v>
      </c>
      <c r="Y5007">
        <v>0.13281209999999999</v>
      </c>
      <c r="Z5007">
        <v>1.1481E-2</v>
      </c>
      <c r="AA5007">
        <v>0.99107469999999998</v>
      </c>
      <c r="AB5007">
        <v>30</v>
      </c>
      <c r="AC5007">
        <v>-0.45949999999999103</v>
      </c>
      <c r="AD5007">
        <v>-0.17263700000000001</v>
      </c>
      <c r="AE5007">
        <v>0.12659999999999599</v>
      </c>
      <c r="AF5007">
        <v>0.109792144828933</v>
      </c>
      <c r="AG5007">
        <v>-0.17263700000000001</v>
      </c>
      <c r="AH5007">
        <v>0.406786639407826</v>
      </c>
      <c r="AI5007">
        <v>112.28041324270799</v>
      </c>
      <c r="AJ5007">
        <v>74.895708719212493</v>
      </c>
      <c r="AK5007">
        <v>0.45533857604627598</v>
      </c>
      <c r="AL5007">
        <v>89.770078522880098</v>
      </c>
      <c r="AM5007">
        <v>88.643996257372194</v>
      </c>
      <c r="AN5007">
        <v>0.99999999334487499</v>
      </c>
    </row>
    <row r="5008" spans="1:40" x14ac:dyDescent="0.25">
      <c r="A5008" t="str">
        <f>"20190312160744652"</f>
        <v>20190312160744652</v>
      </c>
      <c r="B5008" t="str">
        <f>"1552378064640495"</f>
        <v>1552378064640495</v>
      </c>
      <c r="C5008" t="s">
        <v>40</v>
      </c>
      <c r="D5008">
        <v>5.9237679999999999</v>
      </c>
      <c r="E5008">
        <v>0.53972629999999999</v>
      </c>
      <c r="F5008" t="s">
        <v>44</v>
      </c>
      <c r="G5008">
        <v>-276.09429999999998</v>
      </c>
      <c r="H5008">
        <v>0.96742589999999995</v>
      </c>
      <c r="I5008">
        <v>142.4581</v>
      </c>
      <c r="J5008">
        <v>-275.6413</v>
      </c>
      <c r="K5008">
        <v>1.10931</v>
      </c>
      <c r="L5008">
        <v>142.35409999999999</v>
      </c>
      <c r="M5008">
        <v>-0.99993299999999996</v>
      </c>
      <c r="N5008">
        <v>0</v>
      </c>
      <c r="O5008">
        <v>5.1262829999999997E-3</v>
      </c>
      <c r="P5008">
        <v>-0.9995579</v>
      </c>
      <c r="Q5008">
        <v>-6.5267270000000004E-3</v>
      </c>
      <c r="R5008">
        <v>2.9008860000000001E-2</v>
      </c>
      <c r="S5008">
        <v>-2.9855040000000002</v>
      </c>
      <c r="T5008">
        <v>-0.56780299999999995</v>
      </c>
      <c r="U5008">
        <v>0.4217072</v>
      </c>
      <c r="V5008">
        <v>2.3883479999999999E-2</v>
      </c>
      <c r="W5008">
        <v>3.8593360000000001E-3</v>
      </c>
      <c r="X5008">
        <v>0.99970729999999997</v>
      </c>
      <c r="Y5008">
        <v>0.13254589999999999</v>
      </c>
      <c r="Z5008">
        <v>1.1470579999999999E-2</v>
      </c>
      <c r="AA5008">
        <v>0.99111050000000001</v>
      </c>
      <c r="AB5008">
        <v>30</v>
      </c>
      <c r="AC5008">
        <v>-0.45299999999997398</v>
      </c>
      <c r="AD5008">
        <v>-0.14188410000000001</v>
      </c>
      <c r="AE5008">
        <v>0.104000000000013</v>
      </c>
      <c r="AF5008">
        <v>9.3008918066569704E-2</v>
      </c>
      <c r="AG5008">
        <v>-0.14188410000000001</v>
      </c>
      <c r="AH5008">
        <v>0.41486633753452201</v>
      </c>
      <c r="AI5008">
        <v>108.454673030845</v>
      </c>
      <c r="AJ5008">
        <v>77.363793019313803</v>
      </c>
      <c r="AK5008">
        <v>0.44821405008325199</v>
      </c>
      <c r="AL5008">
        <v>89.778875786637798</v>
      </c>
      <c r="AM5008">
        <v>88.631437072965397</v>
      </c>
      <c r="AN5008">
        <v>1.00000000038228</v>
      </c>
    </row>
    <row r="5009" spans="1:40" x14ac:dyDescent="0.25">
      <c r="A5009" t="str">
        <f>"20190312160744674"</f>
        <v>20190312160744674</v>
      </c>
      <c r="B5009" t="str">
        <f>"1552378064670749"</f>
        <v>1552378064670749</v>
      </c>
      <c r="C5009" t="s">
        <v>40</v>
      </c>
      <c r="D5009">
        <v>5.8771370000000003</v>
      </c>
      <c r="E5009">
        <v>0.53954150000000001</v>
      </c>
      <c r="F5009" t="s">
        <v>44</v>
      </c>
      <c r="G5009">
        <v>-276.36860000000001</v>
      </c>
      <c r="H5009">
        <v>0.97083889999999995</v>
      </c>
      <c r="I5009">
        <v>142.45740000000001</v>
      </c>
      <c r="J5009">
        <v>-275.94869999999997</v>
      </c>
      <c r="K5009">
        <v>1.109308</v>
      </c>
      <c r="L5009">
        <v>142.35550000000001</v>
      </c>
      <c r="M5009">
        <v>-0.99993350000000003</v>
      </c>
      <c r="N5009">
        <v>0</v>
      </c>
      <c r="O5009">
        <v>5.0208759999999996E-3</v>
      </c>
      <c r="P5009">
        <v>-0.9995484</v>
      </c>
      <c r="Q5009">
        <v>-6.5710419999999896E-3</v>
      </c>
      <c r="R5009">
        <v>2.9327820000000001E-2</v>
      </c>
      <c r="S5009">
        <v>-2.9853519999999998</v>
      </c>
      <c r="T5009">
        <v>-0.56842469999999901</v>
      </c>
      <c r="U5009">
        <v>0.4228363</v>
      </c>
      <c r="V5009">
        <v>2.4307789999999999E-2</v>
      </c>
      <c r="W5009">
        <v>3.8202359999999999E-3</v>
      </c>
      <c r="X5009">
        <v>0.99969719999999995</v>
      </c>
      <c r="Y5009">
        <v>0.13300989999999999</v>
      </c>
      <c r="Z5009">
        <v>1.1546549999999999E-2</v>
      </c>
      <c r="AA5009">
        <v>0.99104740000000002</v>
      </c>
      <c r="AB5009">
        <v>30</v>
      </c>
      <c r="AC5009">
        <v>-0.41990000000004102</v>
      </c>
      <c r="AD5009">
        <v>-0.13846909999999901</v>
      </c>
      <c r="AE5009">
        <v>0.1019</v>
      </c>
      <c r="AF5009">
        <v>9.0496517774876606E-2</v>
      </c>
      <c r="AG5009">
        <v>-0.13846909999999901</v>
      </c>
      <c r="AH5009">
        <v>0.381252466961022</v>
      </c>
      <c r="AI5009">
        <v>109.46221548226799</v>
      </c>
      <c r="AJ5009">
        <v>76.647028878998796</v>
      </c>
      <c r="AK5009">
        <v>0.415592053518897</v>
      </c>
      <c r="AL5009">
        <v>89.7811160630731</v>
      </c>
      <c r="AM5009">
        <v>88.607118835742199</v>
      </c>
      <c r="AN5009">
        <v>0.99999997727280898</v>
      </c>
    </row>
    <row r="5010" spans="1:40" x14ac:dyDescent="0.25">
      <c r="A5010" t="str">
        <f>"20190312160744709"</f>
        <v>20190312160744709</v>
      </c>
      <c r="B5010" t="str">
        <f>"1552378064700030"</f>
        <v>1552378064700030</v>
      </c>
      <c r="C5010" t="s">
        <v>40</v>
      </c>
      <c r="D5010">
        <v>5.8276190000000003</v>
      </c>
      <c r="E5010">
        <v>0.5459792</v>
      </c>
      <c r="F5010" t="s">
        <v>44</v>
      </c>
      <c r="G5010">
        <v>-276.64449999999999</v>
      </c>
      <c r="H5010">
        <v>0.97706680000000001</v>
      </c>
      <c r="I5010">
        <v>142.4538</v>
      </c>
      <c r="J5010">
        <v>-276.42910000000001</v>
      </c>
      <c r="K5010">
        <v>1.1093010000000001</v>
      </c>
      <c r="L5010">
        <v>142.3578</v>
      </c>
      <c r="M5010">
        <v>-0.9999344</v>
      </c>
      <c r="N5010">
        <v>0</v>
      </c>
      <c r="O5010">
        <v>4.8561890000000003E-3</v>
      </c>
      <c r="P5010">
        <v>-0.9995465</v>
      </c>
      <c r="Q5010">
        <v>-7.0305489999999997E-3</v>
      </c>
      <c r="R5010">
        <v>2.928733E-2</v>
      </c>
      <c r="S5010">
        <v>-2.9852289999999999</v>
      </c>
      <c r="T5010">
        <v>-0.56737409999999999</v>
      </c>
      <c r="U5010">
        <v>0.42190549999999999</v>
      </c>
      <c r="V5010">
        <v>2.443209E-2</v>
      </c>
      <c r="W5010">
        <v>3.3610440000000001E-3</v>
      </c>
      <c r="X5010">
        <v>0.99969580000000002</v>
      </c>
      <c r="Y5010">
        <v>0.1328831</v>
      </c>
      <c r="Z5010">
        <v>1.154527E-2</v>
      </c>
      <c r="AA5010">
        <v>0.99106450000000001</v>
      </c>
      <c r="AB5010">
        <v>31</v>
      </c>
      <c r="AC5010">
        <v>-0.21539999999998799</v>
      </c>
      <c r="AD5010">
        <v>-0.1322342</v>
      </c>
      <c r="AE5010">
        <v>9.6000000000003596E-2</v>
      </c>
      <c r="AF5010">
        <v>7.2239311982838006E-2</v>
      </c>
      <c r="AG5010">
        <v>-0.1322342</v>
      </c>
      <c r="AH5010">
        <v>0.16422733765795</v>
      </c>
      <c r="AI5010">
        <v>126.391578177409</v>
      </c>
      <c r="AJ5010">
        <v>66.256561101342996</v>
      </c>
      <c r="AK5010">
        <v>0.22287893637491199</v>
      </c>
      <c r="AL5010">
        <v>89.807425993397402</v>
      </c>
      <c r="AM5010">
        <v>88.599997084349596</v>
      </c>
      <c r="AN5010">
        <v>0.99999995808808795</v>
      </c>
    </row>
    <row r="5011" spans="1:40" x14ac:dyDescent="0.25">
      <c r="A5011" t="str">
        <f>"20190312160744730"</f>
        <v>20190312160744730</v>
      </c>
      <c r="B5011" t="str">
        <f>"1552378064720530"</f>
        <v>1552378064720530</v>
      </c>
      <c r="C5011" t="s">
        <v>40</v>
      </c>
      <c r="D5011">
        <v>5.9336949999999904</v>
      </c>
      <c r="E5011">
        <v>0.54339579999999998</v>
      </c>
      <c r="F5011" t="s">
        <v>44</v>
      </c>
      <c r="G5011">
        <v>-277.17059999999998</v>
      </c>
      <c r="H5011">
        <v>0.93302390000000002</v>
      </c>
      <c r="I5011">
        <v>142.4769</v>
      </c>
      <c r="J5011">
        <v>-276.72160000000002</v>
      </c>
      <c r="K5011">
        <v>1.109297</v>
      </c>
      <c r="L5011">
        <v>142.35910000000001</v>
      </c>
      <c r="M5011">
        <v>-0.99993469999999995</v>
      </c>
      <c r="N5011">
        <v>0</v>
      </c>
      <c r="O5011">
        <v>4.7561790000000001E-3</v>
      </c>
      <c r="P5011">
        <v>-0.99956509999999998</v>
      </c>
      <c r="Q5011">
        <v>-6.2972310000000004E-3</v>
      </c>
      <c r="R5011">
        <v>2.8811469999999999E-2</v>
      </c>
      <c r="S5011">
        <v>-2.982361</v>
      </c>
      <c r="T5011">
        <v>-0.70909809999999995</v>
      </c>
      <c r="U5011">
        <v>0.47828670000000001</v>
      </c>
      <c r="V5011">
        <v>2.405612E-2</v>
      </c>
      <c r="W5011">
        <v>4.092984E-3</v>
      </c>
      <c r="X5011">
        <v>0.99970219999999999</v>
      </c>
      <c r="Y5011">
        <v>0.14971010000000001</v>
      </c>
      <c r="Z5011">
        <v>1.633772E-2</v>
      </c>
      <c r="AA5011">
        <v>0.98859490000000005</v>
      </c>
      <c r="AB5011">
        <v>31</v>
      </c>
      <c r="AC5011">
        <v>-0.44899999999995499</v>
      </c>
      <c r="AD5011">
        <v>-0.17627309999999999</v>
      </c>
      <c r="AE5011">
        <v>0.117799999999988</v>
      </c>
      <c r="AF5011">
        <v>0.10108624930900199</v>
      </c>
      <c r="AG5011">
        <v>-0.17627309999999999</v>
      </c>
      <c r="AH5011">
        <v>0.392898688854047</v>
      </c>
      <c r="AI5011">
        <v>113.484822292757</v>
      </c>
      <c r="AJ5011">
        <v>75.571682417071301</v>
      </c>
      <c r="AK5011">
        <v>0.442334732172594</v>
      </c>
      <c r="AL5011">
        <v>89.765488629149601</v>
      </c>
      <c r="AM5011">
        <v>88.621541288952201</v>
      </c>
      <c r="AN5011">
        <v>0.99999996905615796</v>
      </c>
    </row>
    <row r="5012" spans="1:40" x14ac:dyDescent="0.25">
      <c r="A5012" t="str">
        <f>"20190312160744751"</f>
        <v>20190312160744751</v>
      </c>
      <c r="B5012" t="str">
        <f>"1552378064740046"</f>
        <v>1552378064740046</v>
      </c>
      <c r="C5012" t="s">
        <v>40</v>
      </c>
      <c r="D5012">
        <v>5.9344619999999999</v>
      </c>
      <c r="E5012">
        <v>0.54094790000000004</v>
      </c>
      <c r="F5012" t="s">
        <v>44</v>
      </c>
      <c r="G5012">
        <v>-277.45150000000001</v>
      </c>
      <c r="H5012">
        <v>0.94866059999999996</v>
      </c>
      <c r="I5012">
        <v>142.4709</v>
      </c>
      <c r="J5012">
        <v>-277.01310000000001</v>
      </c>
      <c r="K5012">
        <v>1.1093010000000001</v>
      </c>
      <c r="L5012">
        <v>142.3604</v>
      </c>
      <c r="M5012">
        <v>-0.99993520000000002</v>
      </c>
      <c r="N5012">
        <v>0</v>
      </c>
      <c r="O5012">
        <v>4.6563029999999997E-3</v>
      </c>
      <c r="P5012">
        <v>-0.99957119999999999</v>
      </c>
      <c r="Q5012">
        <v>-6.9661259999999996E-3</v>
      </c>
      <c r="R5012">
        <v>2.844491E-2</v>
      </c>
      <c r="S5012">
        <v>-2.98407</v>
      </c>
      <c r="T5012">
        <v>-0.65681619999999996</v>
      </c>
      <c r="U5012">
        <v>0.45564270000000001</v>
      </c>
      <c r="V5012">
        <v>2.378951E-2</v>
      </c>
      <c r="W5012">
        <v>3.420172E-3</v>
      </c>
      <c r="X5012">
        <v>0.99971120000000002</v>
      </c>
      <c r="Y5012">
        <v>0.1430987</v>
      </c>
      <c r="Z5012">
        <v>1.446862E-2</v>
      </c>
      <c r="AA5012">
        <v>0.98960269999999995</v>
      </c>
      <c r="AB5012">
        <v>31</v>
      </c>
      <c r="AC5012">
        <v>-0.43840000000000101</v>
      </c>
      <c r="AD5012">
        <v>-0.16064039999999999</v>
      </c>
      <c r="AE5012">
        <v>0.110500000000001</v>
      </c>
      <c r="AF5012">
        <v>9.6299872103418394E-2</v>
      </c>
      <c r="AG5012">
        <v>-0.16064039999999999</v>
      </c>
      <c r="AH5012">
        <v>0.389710333078718</v>
      </c>
      <c r="AI5012">
        <v>111.809716912339</v>
      </c>
      <c r="AJ5012">
        <v>76.119907391450198</v>
      </c>
      <c r="AK5012">
        <v>0.43238078956819997</v>
      </c>
      <c r="AL5012">
        <v>89.804038209074506</v>
      </c>
      <c r="AM5012">
        <v>88.636824989608698</v>
      </c>
      <c r="AN5012">
        <v>1.0000000608839901</v>
      </c>
    </row>
    <row r="5013" spans="1:40" x14ac:dyDescent="0.25">
      <c r="A5013" t="str">
        <f>"20190312160744776"</f>
        <v>20190312160744776</v>
      </c>
      <c r="B5013" t="str">
        <f>"1552378064770303"</f>
        <v>1552378064770303</v>
      </c>
      <c r="C5013" t="s">
        <v>40</v>
      </c>
      <c r="D5013">
        <v>5.9256029999999997</v>
      </c>
      <c r="E5013">
        <v>0.54226370000000002</v>
      </c>
      <c r="F5013" t="s">
        <v>44</v>
      </c>
      <c r="G5013">
        <v>-277.73110000000003</v>
      </c>
      <c r="H5013">
        <v>0.96078490000000005</v>
      </c>
      <c r="I5013">
        <v>142.46459999999999</v>
      </c>
      <c r="J5013">
        <v>-277.33100000000002</v>
      </c>
      <c r="K5013">
        <v>1.109302</v>
      </c>
      <c r="L5013">
        <v>142.36170000000001</v>
      </c>
      <c r="M5013">
        <v>-0.99993589999999999</v>
      </c>
      <c r="N5013">
        <v>0</v>
      </c>
      <c r="O5013">
        <v>4.5475050000000003E-3</v>
      </c>
      <c r="P5013">
        <v>-0.99955640000000001</v>
      </c>
      <c r="Q5013">
        <v>-7.7963299999999998E-3</v>
      </c>
      <c r="R5013">
        <v>2.874523E-2</v>
      </c>
      <c r="S5013">
        <v>-2.9846499999999998</v>
      </c>
      <c r="T5013">
        <v>-0.61735629999999997</v>
      </c>
      <c r="U5013">
        <v>0.43295289999999997</v>
      </c>
      <c r="V5013">
        <v>2.4198810000000001E-2</v>
      </c>
      <c r="W5013">
        <v>2.5818960000000002E-3</v>
      </c>
      <c r="X5013">
        <v>0.99970380000000003</v>
      </c>
      <c r="Y5013">
        <v>0.1363231</v>
      </c>
      <c r="Z5013">
        <v>1.295469E-2</v>
      </c>
      <c r="AA5013">
        <v>0.99057969999999895</v>
      </c>
      <c r="AB5013">
        <v>31</v>
      </c>
      <c r="AC5013">
        <v>-0.40010000000006501</v>
      </c>
      <c r="AD5013">
        <v>-0.14851709999999901</v>
      </c>
      <c r="AE5013">
        <v>0.102899999999976</v>
      </c>
      <c r="AF5013">
        <v>8.9510915885856204E-2</v>
      </c>
      <c r="AG5013">
        <v>-0.14851709999999901</v>
      </c>
      <c r="AH5013">
        <v>0.35471957246716301</v>
      </c>
      <c r="AI5013">
        <v>112.095332362984</v>
      </c>
      <c r="AJ5013">
        <v>75.8374919842054</v>
      </c>
      <c r="AK5013">
        <v>0.39483605223740798</v>
      </c>
      <c r="AL5013">
        <v>89.852068086991295</v>
      </c>
      <c r="AM5013">
        <v>88.613370297932605</v>
      </c>
      <c r="AN5013">
        <v>0.99999996816340497</v>
      </c>
    </row>
    <row r="5014" spans="1:40" x14ac:dyDescent="0.25">
      <c r="A5014" t="str">
        <f>"20190312160744797"</f>
        <v>20190312160744797</v>
      </c>
      <c r="B5014" t="str">
        <f>"1552378064790799"</f>
        <v>1552378064790799</v>
      </c>
      <c r="C5014" t="s">
        <v>40</v>
      </c>
      <c r="D5014">
        <v>5.9134229999999999</v>
      </c>
      <c r="E5014">
        <v>0.54114619999999902</v>
      </c>
      <c r="F5014" t="s">
        <v>44</v>
      </c>
      <c r="G5014">
        <v>-278.25920000000002</v>
      </c>
      <c r="H5014">
        <v>0.91376210000000002</v>
      </c>
      <c r="I5014">
        <v>142.49979999999999</v>
      </c>
      <c r="J5014">
        <v>-277.64139999999998</v>
      </c>
      <c r="K5014">
        <v>1.1092979999999999</v>
      </c>
      <c r="L5014">
        <v>142.363</v>
      </c>
      <c r="M5014">
        <v>-0.9999363</v>
      </c>
      <c r="N5014">
        <v>0</v>
      </c>
      <c r="O5014">
        <v>4.4413990000000004E-3</v>
      </c>
      <c r="P5014">
        <v>-0.99956849999999997</v>
      </c>
      <c r="Q5014">
        <v>-7.0643219999999996E-3</v>
      </c>
      <c r="R5014">
        <v>2.8514560000000001E-2</v>
      </c>
      <c r="S5014">
        <v>-2.983673</v>
      </c>
      <c r="T5014">
        <v>-0.62855099999999997</v>
      </c>
      <c r="U5014">
        <v>0.44345089999999998</v>
      </c>
      <c r="V5014">
        <v>2.4074089999999999E-2</v>
      </c>
      <c r="W5014">
        <v>3.3043009999999999E-3</v>
      </c>
      <c r="X5014">
        <v>0.9997047</v>
      </c>
      <c r="Y5014">
        <v>0.13971120000000001</v>
      </c>
      <c r="Z5014">
        <v>1.355873E-2</v>
      </c>
      <c r="AA5014">
        <v>0.99009950000000002</v>
      </c>
      <c r="AB5014">
        <v>31</v>
      </c>
      <c r="AC5014">
        <v>-0.61780000000004498</v>
      </c>
      <c r="AD5014">
        <v>-0.19553590000000001</v>
      </c>
      <c r="AE5014">
        <v>0.13679999999999301</v>
      </c>
      <c r="AF5014">
        <v>0.12236927590319301</v>
      </c>
      <c r="AG5014">
        <v>-0.19553590000000001</v>
      </c>
      <c r="AH5014">
        <v>0.56449642733971195</v>
      </c>
      <c r="AI5014">
        <v>108.702361828552</v>
      </c>
      <c r="AJ5014">
        <v>77.768894168790197</v>
      </c>
      <c r="AK5014">
        <v>0.60980713701397404</v>
      </c>
      <c r="AL5014">
        <v>89.810677150856407</v>
      </c>
      <c r="AM5014">
        <v>88.620515421954295</v>
      </c>
      <c r="AN5014">
        <v>0.99999998370825804</v>
      </c>
    </row>
    <row r="5015" spans="1:40" x14ac:dyDescent="0.25">
      <c r="A5015" t="str">
        <f>"20190312160744820"</f>
        <v>20190312160744820</v>
      </c>
      <c r="B5015" t="str">
        <f>"1552378064810318"</f>
        <v>1552378064810318</v>
      </c>
      <c r="C5015" t="s">
        <v>40</v>
      </c>
      <c r="D5015">
        <v>6.0081110000000004</v>
      </c>
      <c r="E5015">
        <v>0.54084270000000001</v>
      </c>
      <c r="F5015" t="s">
        <v>44</v>
      </c>
      <c r="G5015">
        <v>-278.53859999999997</v>
      </c>
      <c r="H5015">
        <v>0.925095</v>
      </c>
      <c r="I5015">
        <v>142.49369999999999</v>
      </c>
      <c r="J5015">
        <v>-277.9468</v>
      </c>
      <c r="K5015">
        <v>1.109302</v>
      </c>
      <c r="L5015">
        <v>142.36429999999999</v>
      </c>
      <c r="M5015">
        <v>-0.99993699999999996</v>
      </c>
      <c r="N5015">
        <v>0</v>
      </c>
      <c r="O5015">
        <v>4.3366619999999998E-3</v>
      </c>
      <c r="P5015">
        <v>-0.99956239999999996</v>
      </c>
      <c r="Q5015">
        <v>-7.1511919999999998E-3</v>
      </c>
      <c r="R5015">
        <v>2.8705769999999999E-2</v>
      </c>
      <c r="S5015">
        <v>-2.9845890000000002</v>
      </c>
      <c r="T5015">
        <v>-0.61277630000000005</v>
      </c>
      <c r="U5015">
        <v>0.43374629999999997</v>
      </c>
      <c r="V5015">
        <v>2.4370010000000001E-2</v>
      </c>
      <c r="W5015">
        <v>3.2084570000000001E-3</v>
      </c>
      <c r="X5015">
        <v>0.99969790000000003</v>
      </c>
      <c r="Y5015">
        <v>0.1368183</v>
      </c>
      <c r="Z5015">
        <v>1.295321E-2</v>
      </c>
      <c r="AA5015">
        <v>0.99051149999999999</v>
      </c>
      <c r="AB5015">
        <v>31</v>
      </c>
      <c r="AC5015">
        <v>-0.59179999999997701</v>
      </c>
      <c r="AD5015">
        <v>-0.18420699999999901</v>
      </c>
      <c r="AE5015">
        <v>0.12940000000000301</v>
      </c>
      <c r="AF5015">
        <v>0.116097219481403</v>
      </c>
      <c r="AG5015">
        <v>-0.18420699999999901</v>
      </c>
      <c r="AH5015">
        <v>0.542219062499536</v>
      </c>
      <c r="AI5015">
        <v>108.376408788354</v>
      </c>
      <c r="AJ5015">
        <v>77.914596563396003</v>
      </c>
      <c r="AK5015">
        <v>0.58430496742556404</v>
      </c>
      <c r="AL5015">
        <v>89.816168647365501</v>
      </c>
      <c r="AM5015">
        <v>88.603555902445905</v>
      </c>
      <c r="AN5015">
        <v>1.00000004142406</v>
      </c>
    </row>
    <row r="5016" spans="1:40" x14ac:dyDescent="0.25">
      <c r="A5016" t="str">
        <f>"20190312160744842"</f>
        <v>20190312160744842</v>
      </c>
      <c r="B5016" t="str">
        <f>"1552378064830135"</f>
        <v>1552378064830135</v>
      </c>
      <c r="C5016" t="s">
        <v>40</v>
      </c>
      <c r="D5016">
        <v>5.9562049999999997</v>
      </c>
      <c r="E5016">
        <v>0.54092340000000005</v>
      </c>
      <c r="F5016" t="s">
        <v>44</v>
      </c>
      <c r="G5016">
        <v>-278.81740000000002</v>
      </c>
      <c r="H5016">
        <v>0.93349800000000005</v>
      </c>
      <c r="I5016">
        <v>142.4905</v>
      </c>
      <c r="J5016">
        <v>-278.25389999999999</v>
      </c>
      <c r="K5016">
        <v>1.1092949999999999</v>
      </c>
      <c r="L5016">
        <v>142.3655</v>
      </c>
      <c r="M5016">
        <v>-0.99993750000000003</v>
      </c>
      <c r="N5016">
        <v>0</v>
      </c>
      <c r="O5016">
        <v>4.2313840000000004E-3</v>
      </c>
      <c r="P5016">
        <v>-0.99954889999999996</v>
      </c>
      <c r="Q5016">
        <v>-7.7161299999999999E-3</v>
      </c>
      <c r="R5016">
        <v>2.9027850000000001E-2</v>
      </c>
      <c r="S5016">
        <v>-2.9845890000000002</v>
      </c>
      <c r="T5016">
        <v>-0.60269619999999902</v>
      </c>
      <c r="U5016">
        <v>0.4320679</v>
      </c>
      <c r="V5016">
        <v>2.4797329999999999E-2</v>
      </c>
      <c r="W5016">
        <v>2.635301E-3</v>
      </c>
      <c r="X5016">
        <v>0.99968900000000005</v>
      </c>
      <c r="Y5016">
        <v>0.13646900000000001</v>
      </c>
      <c r="Z5016">
        <v>1.2731009999999999E-2</v>
      </c>
      <c r="AA5016">
        <v>0.99056259999999996</v>
      </c>
      <c r="AB5016">
        <v>31</v>
      </c>
      <c r="AC5016">
        <v>-0.56350000000003297</v>
      </c>
      <c r="AD5016">
        <v>-0.17579700000000001</v>
      </c>
      <c r="AE5016">
        <v>0.125</v>
      </c>
      <c r="AF5016">
        <v>0.11220584470096499</v>
      </c>
      <c r="AG5016">
        <v>-0.17579700000000001</v>
      </c>
      <c r="AH5016">
        <v>0.51614488345085996</v>
      </c>
      <c r="AI5016">
        <v>108.408604322396</v>
      </c>
      <c r="AJ5016">
        <v>77.735180136023303</v>
      </c>
      <c r="AK5016">
        <v>0.55668687563706698</v>
      </c>
      <c r="AL5016">
        <v>89.849008196342595</v>
      </c>
      <c r="AM5016">
        <v>88.579067027954807</v>
      </c>
      <c r="AN5016">
        <v>0.99999997455374401</v>
      </c>
    </row>
    <row r="5017" spans="1:40" x14ac:dyDescent="0.25">
      <c r="A5017" t="str">
        <f>"20190312160744864"</f>
        <v>20190312160744864</v>
      </c>
      <c r="B5017" t="str">
        <f>"1552378064860391"</f>
        <v>1552378064860391</v>
      </c>
      <c r="C5017" t="s">
        <v>40</v>
      </c>
      <c r="D5017">
        <v>6.3890149999999997</v>
      </c>
      <c r="E5017">
        <v>0.54072659999999995</v>
      </c>
      <c r="F5017" t="s">
        <v>44</v>
      </c>
      <c r="G5017">
        <v>-279.096</v>
      </c>
      <c r="H5017">
        <v>0.94077180000000005</v>
      </c>
      <c r="I5017">
        <v>142.488</v>
      </c>
      <c r="J5017">
        <v>-278.54969999999997</v>
      </c>
      <c r="K5017">
        <v>1.109286</v>
      </c>
      <c r="L5017">
        <v>142.36660000000001</v>
      </c>
      <c r="M5017">
        <v>-0.99993799999999999</v>
      </c>
      <c r="N5017">
        <v>0</v>
      </c>
      <c r="O5017">
        <v>4.1301510000000003E-3</v>
      </c>
      <c r="P5017">
        <v>-0.99954219999999905</v>
      </c>
      <c r="Q5017">
        <v>-7.7550419999999898E-3</v>
      </c>
      <c r="R5017">
        <v>2.9246979999999999E-2</v>
      </c>
      <c r="S5017">
        <v>-2.9841310000000001</v>
      </c>
      <c r="T5017">
        <v>-0.59718070000000001</v>
      </c>
      <c r="U5017">
        <v>0.43344120000000003</v>
      </c>
      <c r="V5017">
        <v>2.5117770000000001E-2</v>
      </c>
      <c r="W5017">
        <v>2.5895250000000001E-3</v>
      </c>
      <c r="X5017">
        <v>0.99968120000000005</v>
      </c>
      <c r="Y5017">
        <v>0.1370702</v>
      </c>
      <c r="Z5017">
        <v>1.2697440000000001E-2</v>
      </c>
      <c r="AA5017">
        <v>0.99047989999999997</v>
      </c>
      <c r="AB5017">
        <v>31</v>
      </c>
      <c r="AC5017">
        <v>-0.54630000000002998</v>
      </c>
      <c r="AD5017">
        <v>-0.168514199999999</v>
      </c>
      <c r="AE5017">
        <v>0.121399999999994</v>
      </c>
      <c r="AF5017">
        <v>0.10923766487591401</v>
      </c>
      <c r="AG5017">
        <v>-0.168514199999999</v>
      </c>
      <c r="AH5017">
        <v>0.501338991518685</v>
      </c>
      <c r="AI5017">
        <v>108.181339979724</v>
      </c>
      <c r="AJ5017">
        <v>77.707845838720402</v>
      </c>
      <c r="AK5017">
        <v>0.54006544737295903</v>
      </c>
      <c r="AL5017">
        <v>89.851630988871705</v>
      </c>
      <c r="AM5017">
        <v>88.560701671058894</v>
      </c>
      <c r="AN5017">
        <v>1.00000005482146</v>
      </c>
    </row>
    <row r="5018" spans="1:40" x14ac:dyDescent="0.25">
      <c r="A5018" t="str">
        <f>"20190312160744888"</f>
        <v>20190312160744888</v>
      </c>
      <c r="B5018" t="str">
        <f>"1552378064880886"</f>
        <v>1552378064880886</v>
      </c>
      <c r="C5018" t="s">
        <v>40</v>
      </c>
      <c r="D5018">
        <v>5.9514129999999996</v>
      </c>
      <c r="E5018">
        <v>0.54187580000000002</v>
      </c>
      <c r="F5018" t="s">
        <v>44</v>
      </c>
      <c r="G5018">
        <v>-279.37400000000002</v>
      </c>
      <c r="H5018">
        <v>0.94585059999999999</v>
      </c>
      <c r="I5018">
        <v>142.4862</v>
      </c>
      <c r="J5018">
        <v>-278.88510000000002</v>
      </c>
      <c r="K5018">
        <v>1.1092879999999901</v>
      </c>
      <c r="L5018">
        <v>142.36789999999999</v>
      </c>
      <c r="M5018">
        <v>-0.99993860000000001</v>
      </c>
      <c r="N5018">
        <v>0</v>
      </c>
      <c r="O5018">
        <v>4.0150860000000002E-3</v>
      </c>
      <c r="P5018">
        <v>-0.99955769999999999</v>
      </c>
      <c r="Q5018">
        <v>-8.0514349999999991E-3</v>
      </c>
      <c r="R5018">
        <v>2.863717E-2</v>
      </c>
      <c r="S5018">
        <v>-2.9841609999999998</v>
      </c>
      <c r="T5018">
        <v>-0.59169380000000005</v>
      </c>
      <c r="U5018">
        <v>0.43218990000000002</v>
      </c>
      <c r="V5018">
        <v>2.4623079999999999E-2</v>
      </c>
      <c r="W5018">
        <v>2.2872109999999999E-3</v>
      </c>
      <c r="X5018">
        <v>0.99969419999999998</v>
      </c>
      <c r="Y5018">
        <v>0.136825</v>
      </c>
      <c r="Z5018">
        <v>1.2581760000000001E-2</v>
      </c>
      <c r="AA5018">
        <v>0.99051540000000005</v>
      </c>
      <c r="AB5018">
        <v>31</v>
      </c>
      <c r="AC5018">
        <v>-0.488900000000001</v>
      </c>
      <c r="AD5018">
        <v>-0.16343739999999901</v>
      </c>
      <c r="AE5018">
        <v>0.118300000000004</v>
      </c>
      <c r="AF5018">
        <v>0.10522688784598599</v>
      </c>
      <c r="AG5018">
        <v>-0.16343739999999901</v>
      </c>
      <c r="AH5018">
        <v>0.44264036570132897</v>
      </c>
      <c r="AI5018">
        <v>109.759404626265</v>
      </c>
      <c r="AJ5018">
        <v>76.627553609801197</v>
      </c>
      <c r="AK5018">
        <v>0.48344076678815301</v>
      </c>
      <c r="AL5018">
        <v>89.868952349955407</v>
      </c>
      <c r="AM5018">
        <v>88.589055161653405</v>
      </c>
      <c r="AN5018">
        <v>1.0000000104582401</v>
      </c>
    </row>
    <row r="5019" spans="1:40" x14ac:dyDescent="0.25">
      <c r="A5019" t="str">
        <f>"20190312160744911"</f>
        <v>20190312160744911</v>
      </c>
      <c r="B5019" t="str">
        <f>"1552378064900407"</f>
        <v>1552378064900407</v>
      </c>
      <c r="C5019" t="s">
        <v>40</v>
      </c>
      <c r="D5019">
        <v>5.914936</v>
      </c>
      <c r="E5019">
        <v>0.54655909999999996</v>
      </c>
      <c r="F5019" t="s">
        <v>44</v>
      </c>
      <c r="G5019">
        <v>-279.65469999999999</v>
      </c>
      <c r="H5019">
        <v>0.95637360000000005</v>
      </c>
      <c r="I5019">
        <v>142.48159999999999</v>
      </c>
      <c r="J5019">
        <v>-279.1893</v>
      </c>
      <c r="K5019">
        <v>1.1092879999999901</v>
      </c>
      <c r="L5019">
        <v>142.369</v>
      </c>
      <c r="M5019">
        <v>-0.99993900000000002</v>
      </c>
      <c r="N5019">
        <v>0</v>
      </c>
      <c r="O5019">
        <v>3.9111559999999998E-3</v>
      </c>
      <c r="P5019">
        <v>-0.99956489999999998</v>
      </c>
      <c r="Q5019">
        <v>-8.5278190000000007E-3</v>
      </c>
      <c r="R5019">
        <v>2.823496E-2</v>
      </c>
      <c r="S5019">
        <v>-2.9839479999999998</v>
      </c>
      <c r="T5019">
        <v>-0.59295050000000005</v>
      </c>
      <c r="U5019">
        <v>0.43983460000000002</v>
      </c>
      <c r="V5019">
        <v>2.432463E-2</v>
      </c>
      <c r="W5019">
        <v>1.8070370000000001E-3</v>
      </c>
      <c r="X5019">
        <v>0.99970250000000005</v>
      </c>
      <c r="Y5019">
        <v>0.13936179999999901</v>
      </c>
      <c r="Z5019">
        <v>1.287523E-2</v>
      </c>
      <c r="AA5019">
        <v>0.99015779999999998</v>
      </c>
      <c r="AB5019">
        <v>31</v>
      </c>
      <c r="AC5019">
        <v>-0.46539999999998799</v>
      </c>
      <c r="AD5019">
        <v>-0.15291439999999901</v>
      </c>
      <c r="AE5019">
        <v>0.112599999999986</v>
      </c>
      <c r="AF5019">
        <v>0.10052654233328</v>
      </c>
      <c r="AG5019">
        <v>-0.15291439999999901</v>
      </c>
      <c r="AH5019">
        <v>0.42272504490383001</v>
      </c>
      <c r="AI5019">
        <v>109.388034853585</v>
      </c>
      <c r="AJ5019">
        <v>76.623187571533194</v>
      </c>
      <c r="AK5019">
        <v>0.460635282007132</v>
      </c>
      <c r="AL5019">
        <v>89.896464352277704</v>
      </c>
      <c r="AM5019">
        <v>88.606161639914603</v>
      </c>
      <c r="AN5019">
        <v>1.0000000207568001</v>
      </c>
    </row>
    <row r="5020" spans="1:40" x14ac:dyDescent="0.25">
      <c r="A5020" t="str">
        <f>"20190312160744932"</f>
        <v>20190312160744932</v>
      </c>
      <c r="B5020" t="str">
        <f>"1552378064920434"</f>
        <v>1552378064920434</v>
      </c>
      <c r="C5020" t="s">
        <v>40</v>
      </c>
      <c r="D5020">
        <v>5.96434</v>
      </c>
      <c r="E5020">
        <v>0.547317099999999</v>
      </c>
      <c r="F5020" t="s">
        <v>44</v>
      </c>
      <c r="G5020">
        <v>-279.90870000000001</v>
      </c>
      <c r="H5020">
        <v>0.90811980000000003</v>
      </c>
      <c r="I5020">
        <v>142.48609999999999</v>
      </c>
      <c r="J5020">
        <v>-279.48590000000002</v>
      </c>
      <c r="K5020">
        <v>1.1092850000000001</v>
      </c>
      <c r="L5020">
        <v>142.37010000000001</v>
      </c>
      <c r="M5020">
        <v>-0.99993940000000003</v>
      </c>
      <c r="N5020">
        <v>0</v>
      </c>
      <c r="O5020">
        <v>3.8098540000000001E-3</v>
      </c>
      <c r="P5020">
        <v>-0.9995733</v>
      </c>
      <c r="Q5020">
        <v>-8.2188299999999999E-3</v>
      </c>
      <c r="R5020">
        <v>2.803139E-2</v>
      </c>
      <c r="S5020">
        <v>-2.9805299999999999</v>
      </c>
      <c r="T5020">
        <v>-0.83351209999999898</v>
      </c>
      <c r="U5020">
        <v>0.48428339999999998</v>
      </c>
      <c r="V5020">
        <v>2.4222400000000002E-2</v>
      </c>
      <c r="W5020">
        <v>2.1112589999999999E-3</v>
      </c>
      <c r="X5020">
        <v>0.99970440000000005</v>
      </c>
      <c r="Y5020">
        <v>0.1511094</v>
      </c>
      <c r="Z5020">
        <v>1.9564720000000001E-2</v>
      </c>
      <c r="AA5020">
        <v>0.98832339999999996</v>
      </c>
      <c r="AB5020">
        <v>31</v>
      </c>
      <c r="AC5020">
        <v>-0.42279999999999501</v>
      </c>
      <c r="AD5020">
        <v>-0.20116519999999999</v>
      </c>
      <c r="AE5020">
        <v>0.115999999999985</v>
      </c>
      <c r="AF5020">
        <v>9.4494270591467297E-2</v>
      </c>
      <c r="AG5020">
        <v>-0.20116519999999999</v>
      </c>
      <c r="AH5020">
        <v>0.34963071293665399</v>
      </c>
      <c r="AI5020">
        <v>119.049382858659</v>
      </c>
      <c r="AJ5020">
        <v>74.876071600199296</v>
      </c>
      <c r="AK5020">
        <v>0.414292457443104</v>
      </c>
      <c r="AL5020">
        <v>89.879033684175596</v>
      </c>
      <c r="AM5020">
        <v>88.612019915227094</v>
      </c>
      <c r="AN5020">
        <v>1.0000000347278399</v>
      </c>
    </row>
    <row r="5021" spans="1:40" x14ac:dyDescent="0.25">
      <c r="A5021" t="str">
        <f>"20190312160744953"</f>
        <v>20190312160744953</v>
      </c>
      <c r="B5021" t="str">
        <f>"1552378064940929"</f>
        <v>1552378064940929</v>
      </c>
      <c r="C5021" t="s">
        <v>40</v>
      </c>
      <c r="D5021">
        <v>6.0665040000000001</v>
      </c>
      <c r="E5021">
        <v>0.5440931</v>
      </c>
      <c r="F5021" t="s">
        <v>44</v>
      </c>
      <c r="G5021">
        <v>-280.1866</v>
      </c>
      <c r="H5021">
        <v>0.91182419999999997</v>
      </c>
      <c r="I5021">
        <v>142.4855</v>
      </c>
      <c r="J5021">
        <v>-279.78800000000001</v>
      </c>
      <c r="K5021">
        <v>1.1092850000000001</v>
      </c>
      <c r="L5021">
        <v>142.37110000000001</v>
      </c>
      <c r="M5021">
        <v>-0.99994000000000005</v>
      </c>
      <c r="N5021">
        <v>0</v>
      </c>
      <c r="O5021">
        <v>3.7062390000000001E-3</v>
      </c>
      <c r="P5021">
        <v>-0.99957779999999996</v>
      </c>
      <c r="Q5021">
        <v>-8.2026340000000003E-3</v>
      </c>
      <c r="R5021">
        <v>2.7877720000000002E-2</v>
      </c>
      <c r="S5021">
        <v>-2.9806819999999998</v>
      </c>
      <c r="T5021">
        <v>-0.83990940000000003</v>
      </c>
      <c r="U5021">
        <v>0.48968509999999998</v>
      </c>
      <c r="V5021">
        <v>2.4172300000000001E-2</v>
      </c>
      <c r="W5021">
        <v>2.1203189999999998E-3</v>
      </c>
      <c r="X5021">
        <v>0.99970559999999997</v>
      </c>
      <c r="Y5021">
        <v>0.15279909999999999</v>
      </c>
      <c r="Z5021">
        <v>1.996622E-2</v>
      </c>
      <c r="AA5021">
        <v>0.98805549999999998</v>
      </c>
      <c r="AB5021">
        <v>31</v>
      </c>
      <c r="AC5021">
        <v>-0.39859999999998702</v>
      </c>
      <c r="AD5021">
        <v>-0.19746079999999999</v>
      </c>
      <c r="AE5021">
        <v>0.114399999999989</v>
      </c>
      <c r="AF5021">
        <v>9.2051014700470196E-2</v>
      </c>
      <c r="AG5021">
        <v>-0.19746079999999999</v>
      </c>
      <c r="AH5021">
        <v>0.32527203938698002</v>
      </c>
      <c r="AI5021">
        <v>120.290207366161</v>
      </c>
      <c r="AJ5021">
        <v>74.198645525461799</v>
      </c>
      <c r="AK5021">
        <v>0.39149208989581302</v>
      </c>
      <c r="AL5021">
        <v>89.878514584062401</v>
      </c>
      <c r="AM5021">
        <v>88.6148912633018</v>
      </c>
      <c r="AN5021">
        <v>1.00000004125565</v>
      </c>
    </row>
    <row r="5022" spans="1:40" x14ac:dyDescent="0.25">
      <c r="A5022" t="str">
        <f>"20190312160744977"</f>
        <v>20190312160744977</v>
      </c>
      <c r="B5022" t="str">
        <f>"1552378064970210"</f>
        <v>1552378064970210</v>
      </c>
      <c r="C5022" t="s">
        <v>40</v>
      </c>
      <c r="D5022">
        <v>6.0340689999999997</v>
      </c>
      <c r="E5022">
        <v>0.5418885</v>
      </c>
      <c r="F5022" t="s">
        <v>44</v>
      </c>
      <c r="G5022">
        <v>-280.46660000000003</v>
      </c>
      <c r="H5022">
        <v>0.91995910000000003</v>
      </c>
      <c r="I5022">
        <v>142.47669999999999</v>
      </c>
      <c r="J5022">
        <v>-280.11149999999998</v>
      </c>
      <c r="K5022">
        <v>1.1092850000000001</v>
      </c>
      <c r="L5022">
        <v>142.37219999999999</v>
      </c>
      <c r="M5022">
        <v>-0.99994039999999995</v>
      </c>
      <c r="N5022">
        <v>0</v>
      </c>
      <c r="O5022">
        <v>3.5958969999999998E-3</v>
      </c>
      <c r="P5022">
        <v>-0.99959260000000005</v>
      </c>
      <c r="Q5022">
        <v>-7.6778599999999999E-3</v>
      </c>
      <c r="R5022">
        <v>2.7495510000000001E-2</v>
      </c>
      <c r="S5022">
        <v>-2.981506</v>
      </c>
      <c r="T5022">
        <v>-0.83184599999999898</v>
      </c>
      <c r="U5022">
        <v>0.46343990000000002</v>
      </c>
      <c r="V5022">
        <v>2.3900310000000001E-2</v>
      </c>
      <c r="W5022">
        <v>2.6367320000000001E-3</v>
      </c>
      <c r="X5022">
        <v>0.99971089999999996</v>
      </c>
      <c r="Y5022">
        <v>0.14477319999999999</v>
      </c>
      <c r="Z5022">
        <v>1.872681E-2</v>
      </c>
      <c r="AA5022">
        <v>0.98928760000000004</v>
      </c>
      <c r="AB5022">
        <v>31</v>
      </c>
      <c r="AC5022">
        <v>-0.35510000000004899</v>
      </c>
      <c r="AD5022">
        <v>-0.18932589999999999</v>
      </c>
      <c r="AE5022">
        <v>0.10450000000000099</v>
      </c>
      <c r="AF5022">
        <v>8.1818207169041798E-2</v>
      </c>
      <c r="AG5022">
        <v>-0.18932589999999999</v>
      </c>
      <c r="AH5022">
        <v>0.28176265219452401</v>
      </c>
      <c r="AI5022">
        <v>122.833318181897</v>
      </c>
      <c r="AJ5022">
        <v>73.807765601632994</v>
      </c>
      <c r="AK5022">
        <v>0.34918291425391801</v>
      </c>
      <c r="AL5022">
        <v>89.848926214228499</v>
      </c>
      <c r="AM5022">
        <v>88.630477983117601</v>
      </c>
      <c r="AN5022">
        <v>1.0000000303762699</v>
      </c>
    </row>
    <row r="5023" spans="1:40" x14ac:dyDescent="0.25">
      <c r="A5023" t="str">
        <f>"20190312160744999"</f>
        <v>20190312160744999</v>
      </c>
      <c r="B5023" t="str">
        <f>"1552378064990706"</f>
        <v>1552378064990706</v>
      </c>
      <c r="C5023" t="s">
        <v>40</v>
      </c>
      <c r="D5023">
        <v>6.0826969999999996</v>
      </c>
      <c r="E5023">
        <v>0.54221399999999997</v>
      </c>
      <c r="F5023" t="s">
        <v>44</v>
      </c>
      <c r="G5023">
        <v>-281.00639999999999</v>
      </c>
      <c r="H5023">
        <v>0.88403129999999996</v>
      </c>
      <c r="I5023">
        <v>142.5051</v>
      </c>
      <c r="J5023">
        <v>-280.42039999999997</v>
      </c>
      <c r="K5023">
        <v>1.1092839999999999</v>
      </c>
      <c r="L5023">
        <v>142.3732</v>
      </c>
      <c r="M5023">
        <v>-0.99994079999999996</v>
      </c>
      <c r="N5023">
        <v>0</v>
      </c>
      <c r="O5023">
        <v>3.490436E-3</v>
      </c>
      <c r="P5023">
        <v>-0.99960830000000001</v>
      </c>
      <c r="Q5023">
        <v>-6.5913819999999998E-3</v>
      </c>
      <c r="R5023">
        <v>2.7200120000000001E-2</v>
      </c>
      <c r="S5023">
        <v>-2.983276</v>
      </c>
      <c r="T5023">
        <v>-0.75091839999999999</v>
      </c>
      <c r="U5023">
        <v>0.4424438</v>
      </c>
      <c r="V5023">
        <v>2.3709999999999998E-2</v>
      </c>
      <c r="W5023">
        <v>3.715809E-3</v>
      </c>
      <c r="X5023">
        <v>0.99971200000000005</v>
      </c>
      <c r="Y5023">
        <v>0.1391096</v>
      </c>
      <c r="Z5023">
        <v>1.628858E-2</v>
      </c>
      <c r="AA5023">
        <v>0.990143</v>
      </c>
      <c r="AB5023">
        <v>31</v>
      </c>
      <c r="AC5023">
        <v>-0.58600000000001196</v>
      </c>
      <c r="AD5023">
        <v>-0.2252527</v>
      </c>
      <c r="AE5023">
        <v>0.13190000000000099</v>
      </c>
      <c r="AF5023">
        <v>0.113843730620257</v>
      </c>
      <c r="AG5023">
        <v>-0.2252527</v>
      </c>
      <c r="AH5023">
        <v>0.51415122403817504</v>
      </c>
      <c r="AI5023">
        <v>113.158614778627</v>
      </c>
      <c r="AJ5023">
        <v>77.514961719785006</v>
      </c>
      <c r="AK5023">
        <v>0.57275706459089704</v>
      </c>
      <c r="AL5023">
        <v>89.787099342671198</v>
      </c>
      <c r="AM5023">
        <v>88.641380409511299</v>
      </c>
      <c r="AN5023">
        <v>1.00000002714026</v>
      </c>
    </row>
    <row r="5024" spans="1:40" x14ac:dyDescent="0.25">
      <c r="A5024" t="str">
        <f>"20190312160745020"</f>
        <v>20190312160745020</v>
      </c>
      <c r="B5024" t="str">
        <f>"1552378065010226"</f>
        <v>1552378065010226</v>
      </c>
      <c r="C5024" t="s">
        <v>40</v>
      </c>
      <c r="D5024">
        <v>6.0529519999999897</v>
      </c>
      <c r="E5024">
        <v>0.49374770000000001</v>
      </c>
      <c r="F5024" t="s">
        <v>44</v>
      </c>
      <c r="G5024">
        <v>-281.28590000000003</v>
      </c>
      <c r="H5024">
        <v>0.88888409999999995</v>
      </c>
      <c r="I5024">
        <v>142.5026</v>
      </c>
      <c r="J5024">
        <v>-280.72109999999998</v>
      </c>
      <c r="K5024">
        <v>1.1092900000000001</v>
      </c>
      <c r="L5024">
        <v>142.3742</v>
      </c>
      <c r="M5024">
        <v>-0.99994130000000003</v>
      </c>
      <c r="N5024">
        <v>0</v>
      </c>
      <c r="O5024">
        <v>3.3874790000000001E-3</v>
      </c>
      <c r="P5024">
        <v>-0.99961540000000004</v>
      </c>
      <c r="Q5024">
        <v>-6.7046069999999996E-3</v>
      </c>
      <c r="R5024">
        <v>2.6911580000000001E-2</v>
      </c>
      <c r="S5024">
        <v>-2.9841000000000002</v>
      </c>
      <c r="T5024">
        <v>-0.75994709999999999</v>
      </c>
      <c r="U5024">
        <v>0.44494630000000002</v>
      </c>
      <c r="V5024">
        <v>2.352431E-2</v>
      </c>
      <c r="W5024">
        <v>3.5946929999999999E-3</v>
      </c>
      <c r="X5024">
        <v>0.99971679999999996</v>
      </c>
      <c r="Y5024">
        <v>0.13986170000000001</v>
      </c>
      <c r="Z5024">
        <v>1.6592599999999999E-2</v>
      </c>
      <c r="AA5024">
        <v>0.99003200000000002</v>
      </c>
      <c r="AB5024">
        <v>31</v>
      </c>
      <c r="AC5024">
        <v>-0.56480000000004704</v>
      </c>
      <c r="AD5024">
        <v>-0.22040589999999899</v>
      </c>
      <c r="AE5024">
        <v>0.12839999999999899</v>
      </c>
      <c r="AF5024">
        <v>0.110487217773702</v>
      </c>
      <c r="AG5024">
        <v>-0.22040589999999899</v>
      </c>
      <c r="AH5024">
        <v>0.493737839138297</v>
      </c>
      <c r="AI5024">
        <v>113.539319336945</v>
      </c>
      <c r="AJ5024">
        <v>77.386325181421498</v>
      </c>
      <c r="AK5024">
        <v>0.55187248512961595</v>
      </c>
      <c r="AL5024">
        <v>89.7940388183914</v>
      </c>
      <c r="AM5024">
        <v>88.652023261456904</v>
      </c>
      <c r="AN5024">
        <v>0.99999999759048996</v>
      </c>
    </row>
    <row r="5025" spans="1:40" x14ac:dyDescent="0.25">
      <c r="A5025" t="str">
        <f>"20190312160745042"</f>
        <v>20190312160745042</v>
      </c>
      <c r="B5025" t="str">
        <f>"1552378065030722"</f>
        <v>1552378065030722</v>
      </c>
      <c r="C5025" t="s">
        <v>40</v>
      </c>
      <c r="D5025">
        <v>6.0010349999999999</v>
      </c>
      <c r="E5025">
        <v>0.48401499999999997</v>
      </c>
      <c r="F5025" t="s">
        <v>44</v>
      </c>
      <c r="G5025">
        <v>-281.61959999999999</v>
      </c>
      <c r="H5025">
        <v>1.0087969999999999</v>
      </c>
      <c r="I5025">
        <v>142.38669999999999</v>
      </c>
      <c r="J5025">
        <v>-281.0197</v>
      </c>
      <c r="K5025">
        <v>1.109291</v>
      </c>
      <c r="L5025">
        <v>142.3751</v>
      </c>
      <c r="M5025">
        <v>-0.99994170000000004</v>
      </c>
      <c r="N5025">
        <v>0</v>
      </c>
      <c r="O5025">
        <v>3.2855459999999999E-3</v>
      </c>
      <c r="P5025">
        <v>-0.9996157</v>
      </c>
      <c r="Q5025">
        <v>-6.1420989999999998E-3</v>
      </c>
      <c r="R5025">
        <v>2.7036080000000001E-2</v>
      </c>
      <c r="S5025">
        <v>-2.9977420000000001</v>
      </c>
      <c r="T5025">
        <v>-0.3353429</v>
      </c>
      <c r="U5025">
        <v>4.1732789999999999E-2</v>
      </c>
      <c r="V5025">
        <v>2.3750790000000001E-2</v>
      </c>
      <c r="W5025">
        <v>4.14782E-3</v>
      </c>
      <c r="X5025">
        <v>0.99970930000000002</v>
      </c>
      <c r="Y5025">
        <v>1.0589039999999999E-2</v>
      </c>
      <c r="Z5025">
        <v>2.2400799999999999E-4</v>
      </c>
      <c r="AA5025">
        <v>0.9999439</v>
      </c>
      <c r="AB5025">
        <v>31</v>
      </c>
      <c r="AC5025">
        <v>-0.599899999999991</v>
      </c>
      <c r="AD5025">
        <v>-0.100494</v>
      </c>
      <c r="AE5025">
        <v>1.15999999999871E-2</v>
      </c>
      <c r="AF5025">
        <v>9.3660984707602205E-3</v>
      </c>
      <c r="AG5025">
        <v>-0.100494</v>
      </c>
      <c r="AH5025">
        <v>0.58356485212721099</v>
      </c>
      <c r="AI5025">
        <v>99.769670853199699</v>
      </c>
      <c r="AJ5025">
        <v>89.080493214349204</v>
      </c>
      <c r="AK5025">
        <v>0.59222859140269302</v>
      </c>
      <c r="AL5025">
        <v>89.762346737055395</v>
      </c>
      <c r="AM5025">
        <v>88.639040283608693</v>
      </c>
      <c r="AN5025">
        <v>0.99999999447143295</v>
      </c>
    </row>
    <row r="5026" spans="1:40" x14ac:dyDescent="0.25">
      <c r="A5026" t="str">
        <f>"20190312160745065"</f>
        <v>20190312160745065</v>
      </c>
      <c r="B5026" t="str">
        <f>"1552378065060003"</f>
        <v>1552378065060003</v>
      </c>
      <c r="C5026" t="s">
        <v>40</v>
      </c>
      <c r="D5026">
        <v>5.990183</v>
      </c>
      <c r="E5026">
        <v>0.47807500000000003</v>
      </c>
      <c r="F5026" t="s">
        <v>44</v>
      </c>
      <c r="G5026">
        <v>-281.90640000000002</v>
      </c>
      <c r="H5026">
        <v>1.0255590000000001</v>
      </c>
      <c r="I5026">
        <v>142.36429999999999</v>
      </c>
      <c r="J5026">
        <v>-281.34530000000001</v>
      </c>
      <c r="K5026">
        <v>1.109286</v>
      </c>
      <c r="L5026">
        <v>142.376</v>
      </c>
      <c r="M5026">
        <v>-0.9999422</v>
      </c>
      <c r="N5026">
        <v>0</v>
      </c>
      <c r="O5026">
        <v>3.1742099999999998E-3</v>
      </c>
      <c r="P5026">
        <v>-0.99961920000000004</v>
      </c>
      <c r="Q5026">
        <v>-5.5612739999999997E-3</v>
      </c>
      <c r="R5026">
        <v>2.7031969999999999E-2</v>
      </c>
      <c r="S5026">
        <v>-3.000397</v>
      </c>
      <c r="T5026">
        <v>-0.28344979999999997</v>
      </c>
      <c r="U5026">
        <v>-3.7307739999999999E-2</v>
      </c>
      <c r="V5026">
        <v>2.385775E-2</v>
      </c>
      <c r="W5026">
        <v>4.7166810000000003E-3</v>
      </c>
      <c r="X5026">
        <v>0.99970420000000004</v>
      </c>
      <c r="Y5026">
        <v>-1.5524140000000001E-2</v>
      </c>
      <c r="Z5026">
        <v>-1.030841E-3</v>
      </c>
      <c r="AA5026">
        <v>0.99987890000000001</v>
      </c>
      <c r="AB5026">
        <v>31</v>
      </c>
      <c r="AC5026">
        <v>-0.56110000000001004</v>
      </c>
      <c r="AD5026">
        <v>-8.3726999999999802E-2</v>
      </c>
      <c r="AE5026">
        <v>-1.17000000000189E-2</v>
      </c>
      <c r="AF5026">
        <v>-1.31875717808565E-2</v>
      </c>
      <c r="AG5026">
        <v>-8.3726999999999802E-2</v>
      </c>
      <c r="AH5026">
        <v>0.54884453753064699</v>
      </c>
      <c r="AI5026">
        <v>98.671214540712199</v>
      </c>
      <c r="AJ5026">
        <v>91.376431380441602</v>
      </c>
      <c r="AK5026">
        <v>0.555350744084948</v>
      </c>
      <c r="AL5026">
        <v>89.7297530734606</v>
      </c>
      <c r="AM5026">
        <v>88.632906647102502</v>
      </c>
      <c r="AN5026">
        <v>0.99999996340617803</v>
      </c>
    </row>
    <row r="5027" spans="1:40" x14ac:dyDescent="0.25">
      <c r="A5027" t="str">
        <f>"20190312160745088"</f>
        <v>20190312160745088</v>
      </c>
      <c r="B5027" t="str">
        <f>"1552378065080501"</f>
        <v>1552378065080501</v>
      </c>
      <c r="C5027" t="s">
        <v>40</v>
      </c>
      <c r="D5027">
        <v>6.0370860000000004</v>
      </c>
      <c r="E5027">
        <v>0.47613650000000002</v>
      </c>
      <c r="F5027" t="s">
        <v>89</v>
      </c>
      <c r="G5027">
        <v>-295.21710000000002</v>
      </c>
      <c r="H5027" s="1">
        <v>-9.0896610000000004E-6</v>
      </c>
      <c r="I5027">
        <v>141.97819999999999</v>
      </c>
      <c r="J5027">
        <v>-281.65300000000002</v>
      </c>
      <c r="K5027">
        <v>1.1092839999999999</v>
      </c>
      <c r="L5027">
        <v>142.37690000000001</v>
      </c>
      <c r="M5027">
        <v>-0.99994269999999996</v>
      </c>
      <c r="N5027">
        <v>0</v>
      </c>
      <c r="O5027">
        <v>3.0687129999999998E-3</v>
      </c>
      <c r="P5027">
        <v>-0.99960689999999996</v>
      </c>
      <c r="Q5027">
        <v>-5.8856759999999899E-3</v>
      </c>
      <c r="R5027">
        <v>2.7418850000000002E-2</v>
      </c>
      <c r="S5027">
        <v>-3.0021360000000001</v>
      </c>
      <c r="T5027">
        <v>-0.24007429999999999</v>
      </c>
      <c r="U5027">
        <v>-8.6105349999999997E-2</v>
      </c>
      <c r="V5027">
        <v>2.4350239999999999E-2</v>
      </c>
      <c r="W5027">
        <v>4.3805129999999999E-3</v>
      </c>
      <c r="X5027">
        <v>0.99969390000000002</v>
      </c>
      <c r="Y5027">
        <v>-3.1626380000000003E-2</v>
      </c>
      <c r="Z5027">
        <v>-1.5072449999999999E-3</v>
      </c>
      <c r="AA5027">
        <v>0.99949860000000001</v>
      </c>
      <c r="AB5027">
        <v>31</v>
      </c>
      <c r="AC5027">
        <v>-13.5640999999999</v>
      </c>
      <c r="AD5027">
        <v>-1.109293089661</v>
      </c>
      <c r="AE5027">
        <v>-0.39870000000001898</v>
      </c>
      <c r="AF5027">
        <v>-0.43740172744294797</v>
      </c>
      <c r="AG5027">
        <v>-1.109293089661</v>
      </c>
      <c r="AH5027">
        <v>13.4727814060738</v>
      </c>
      <c r="AI5027">
        <v>94.704412878315097</v>
      </c>
      <c r="AJ5027">
        <v>91.859487864021403</v>
      </c>
      <c r="AK5027">
        <v>13.525446027609799</v>
      </c>
      <c r="AL5027">
        <v>89.749014292409399</v>
      </c>
      <c r="AM5027">
        <v>88.604682729167095</v>
      </c>
      <c r="AN5027">
        <v>1.0000000083897</v>
      </c>
    </row>
    <row r="5028" spans="1:40" x14ac:dyDescent="0.25">
      <c r="A5028" t="str">
        <f>"20190312160745111"</f>
        <v>20190312160745111</v>
      </c>
      <c r="B5028" t="str">
        <f>"1552378065100018"</f>
        <v>1552378065100018</v>
      </c>
      <c r="C5028" t="s">
        <v>40</v>
      </c>
      <c r="D5028">
        <v>6.074802</v>
      </c>
      <c r="E5028">
        <v>0.47537800000000002</v>
      </c>
      <c r="F5028" t="s">
        <v>89</v>
      </c>
      <c r="G5028">
        <v>-296.25200000000001</v>
      </c>
      <c r="H5028" s="1">
        <v>-8.9747749999999907E-6</v>
      </c>
      <c r="I5028">
        <v>141.88720000000001</v>
      </c>
      <c r="J5028">
        <v>-281.98540000000003</v>
      </c>
      <c r="K5028">
        <v>1.1092789999999999</v>
      </c>
      <c r="L5028">
        <v>142.37780000000001</v>
      </c>
      <c r="M5028">
        <v>-0.99994309999999997</v>
      </c>
      <c r="N5028">
        <v>0</v>
      </c>
      <c r="O5028">
        <v>2.9550000000000002E-3</v>
      </c>
      <c r="P5028">
        <v>-0.99959370000000003</v>
      </c>
      <c r="Q5028">
        <v>-5.9549440000000002E-3</v>
      </c>
      <c r="R5028">
        <v>2.7874960000000001E-2</v>
      </c>
      <c r="S5028">
        <v>-3.0025940000000002</v>
      </c>
      <c r="T5028">
        <v>-0.22814889999999999</v>
      </c>
      <c r="U5028">
        <v>-0.10070800000000001</v>
      </c>
      <c r="V5028">
        <v>2.4920060000000001E-2</v>
      </c>
      <c r="W5028">
        <v>4.2975449999999998E-3</v>
      </c>
      <c r="X5028">
        <v>0.99968020000000002</v>
      </c>
      <c r="Y5028">
        <v>-3.6361619999999997E-2</v>
      </c>
      <c r="Z5028">
        <v>-1.603237E-3</v>
      </c>
      <c r="AA5028">
        <v>0.99933740000000004</v>
      </c>
      <c r="AB5028">
        <v>31</v>
      </c>
      <c r="AC5028">
        <v>-14.266599999999899</v>
      </c>
      <c r="AD5028">
        <v>-1.109287974775</v>
      </c>
      <c r="AE5028">
        <v>-0.49059999999999998</v>
      </c>
      <c r="AF5028">
        <v>-0.52956008797879195</v>
      </c>
      <c r="AG5028">
        <v>-1.109287974775</v>
      </c>
      <c r="AH5028">
        <v>14.1794641658154</v>
      </c>
      <c r="AI5028">
        <v>94.470149262363293</v>
      </c>
      <c r="AJ5028">
        <v>92.138829980637297</v>
      </c>
      <c r="AK5028">
        <v>14.2326440877092</v>
      </c>
      <c r="AL5028">
        <v>89.753768048895907</v>
      </c>
      <c r="AM5028">
        <v>88.572024711223605</v>
      </c>
      <c r="AN5028">
        <v>0.99999999027773501</v>
      </c>
    </row>
    <row r="5029" spans="1:40" x14ac:dyDescent="0.25">
      <c r="A5029" t="str">
        <f>"20190312160745133"</f>
        <v>20190312160745133</v>
      </c>
      <c r="B5029" t="str">
        <f>"1552378065120514"</f>
        <v>1552378065120514</v>
      </c>
      <c r="C5029" t="s">
        <v>40</v>
      </c>
      <c r="D5029">
        <v>6.0664099999999896</v>
      </c>
      <c r="E5029">
        <v>0.47446450000000001</v>
      </c>
      <c r="F5029" t="s">
        <v>89</v>
      </c>
      <c r="G5029">
        <v>-296.83929999999998</v>
      </c>
      <c r="H5029" s="1">
        <v>-8.9146710000000002E-6</v>
      </c>
      <c r="I5029">
        <v>141.85489999999999</v>
      </c>
      <c r="J5029">
        <v>-282.2808</v>
      </c>
      <c r="K5029">
        <v>1.1092709999999999</v>
      </c>
      <c r="L5029">
        <v>142.37860000000001</v>
      </c>
      <c r="M5029">
        <v>-0.99994369999999999</v>
      </c>
      <c r="N5029">
        <v>0</v>
      </c>
      <c r="O5029">
        <v>2.8538650000000001E-3</v>
      </c>
      <c r="P5029">
        <v>-0.99959980000000004</v>
      </c>
      <c r="Q5029">
        <v>-5.5363410000000002E-3</v>
      </c>
      <c r="R5029">
        <v>2.7748109999999999E-2</v>
      </c>
      <c r="S5029">
        <v>-3.0028380000000001</v>
      </c>
      <c r="T5029">
        <v>-0.2242516</v>
      </c>
      <c r="U5029">
        <v>-0.1056976</v>
      </c>
      <c r="V5029">
        <v>2.4894300000000001E-2</v>
      </c>
      <c r="W5029">
        <v>4.7018989999999998E-3</v>
      </c>
      <c r="X5029">
        <v>0.99967899999999998</v>
      </c>
      <c r="Y5029">
        <v>-3.7916169999999999E-2</v>
      </c>
      <c r="Z5029">
        <v>-1.6261610000000001E-3</v>
      </c>
      <c r="AA5029">
        <v>0.99927960000000005</v>
      </c>
      <c r="AB5029">
        <v>31</v>
      </c>
      <c r="AC5029">
        <v>-14.558499999999899</v>
      </c>
      <c r="AD5029">
        <v>-1.109279914671</v>
      </c>
      <c r="AE5029">
        <v>-0.52370000000001904</v>
      </c>
      <c r="AF5029">
        <v>-0.56198954625507602</v>
      </c>
      <c r="AG5029">
        <v>-1.109279914671</v>
      </c>
      <c r="AH5029">
        <v>14.4730296537466</v>
      </c>
      <c r="AI5029">
        <v>94.379557081083703</v>
      </c>
      <c r="AJ5029">
        <v>92.223685104076907</v>
      </c>
      <c r="AK5029">
        <v>14.526352657753501</v>
      </c>
      <c r="AL5029">
        <v>89.730600030477405</v>
      </c>
      <c r="AM5029">
        <v>88.573498495082902</v>
      </c>
      <c r="AN5029">
        <v>0.99999996853384698</v>
      </c>
    </row>
    <row r="5030" spans="1:40" x14ac:dyDescent="0.25">
      <c r="A5030" t="str">
        <f>"20190312160745154"</f>
        <v>20190312160745154</v>
      </c>
      <c r="B5030" t="str">
        <f>"1552378065150770"</f>
        <v>1552378065150770</v>
      </c>
      <c r="C5030" t="s">
        <v>40</v>
      </c>
      <c r="D5030">
        <v>6.0519990000000004</v>
      </c>
      <c r="E5030">
        <v>0.47399760000000002</v>
      </c>
      <c r="F5030" t="s">
        <v>89</v>
      </c>
      <c r="G5030">
        <v>-297.5403</v>
      </c>
      <c r="H5030" s="1">
        <v>-8.8391570000000007E-6</v>
      </c>
      <c r="I5030">
        <v>141.8021</v>
      </c>
      <c r="J5030">
        <v>-282.58580000000001</v>
      </c>
      <c r="K5030">
        <v>1.1092709999999999</v>
      </c>
      <c r="L5030">
        <v>142.3793</v>
      </c>
      <c r="M5030">
        <v>-0.99994400000000006</v>
      </c>
      <c r="N5030">
        <v>0</v>
      </c>
      <c r="O5030">
        <v>2.7502899999999999E-3</v>
      </c>
      <c r="P5030">
        <v>-0.99959549999999997</v>
      </c>
      <c r="Q5030">
        <v>-5.7990189999999999E-3</v>
      </c>
      <c r="R5030">
        <v>2.784209E-2</v>
      </c>
      <c r="S5030">
        <v>-3.003082</v>
      </c>
      <c r="T5030">
        <v>-0.21830830000000001</v>
      </c>
      <c r="U5030">
        <v>-0.1134491</v>
      </c>
      <c r="V5030">
        <v>2.5091789999999999E-2</v>
      </c>
      <c r="W5030">
        <v>4.423906E-3</v>
      </c>
      <c r="X5030">
        <v>0.99967530000000004</v>
      </c>
      <c r="Y5030">
        <v>-4.0385289999999997E-2</v>
      </c>
      <c r="Z5030">
        <v>-1.6650549999999999E-3</v>
      </c>
      <c r="AA5030">
        <v>0.99918280000000004</v>
      </c>
      <c r="AB5030">
        <v>31</v>
      </c>
      <c r="AC5030">
        <v>-14.9544999999999</v>
      </c>
      <c r="AD5030">
        <v>-1.10927983915699</v>
      </c>
      <c r="AE5030">
        <v>-0.57720000000000404</v>
      </c>
      <c r="AF5030">
        <v>-0.61495061211630297</v>
      </c>
      <c r="AG5030">
        <v>-1.10927983915699</v>
      </c>
      <c r="AH5030">
        <v>14.871153150999101</v>
      </c>
      <c r="AI5030">
        <v>94.262318776141797</v>
      </c>
      <c r="AJ5030">
        <v>92.367940919640702</v>
      </c>
      <c r="AK5030">
        <v>14.9251419442956</v>
      </c>
      <c r="AL5030">
        <v>89.746528014521004</v>
      </c>
      <c r="AM5030">
        <v>88.562181269375202</v>
      </c>
      <c r="AN5030">
        <v>0.99999993714989299</v>
      </c>
    </row>
    <row r="5031" spans="1:40" x14ac:dyDescent="0.25">
      <c r="A5031" t="str">
        <f>"20190312160745178"</f>
        <v>20190312160745178</v>
      </c>
      <c r="B5031" t="str">
        <f>"1552378065170290"</f>
        <v>1552378065170290</v>
      </c>
      <c r="C5031" t="s">
        <v>40</v>
      </c>
      <c r="D5031">
        <v>6.0631810000000002</v>
      </c>
      <c r="E5031">
        <v>0.47350500000000001</v>
      </c>
      <c r="F5031" t="s">
        <v>89</v>
      </c>
      <c r="G5031">
        <v>-297.75009999999997</v>
      </c>
      <c r="H5031" s="1">
        <v>-8.817246E-6</v>
      </c>
      <c r="I5031">
        <v>141.78890000000001</v>
      </c>
      <c r="J5031">
        <v>-282.91050000000001</v>
      </c>
      <c r="K5031">
        <v>1.109264</v>
      </c>
      <c r="L5031">
        <v>142.3801</v>
      </c>
      <c r="M5031">
        <v>-0.99994450000000001</v>
      </c>
      <c r="N5031">
        <v>0</v>
      </c>
      <c r="O5031">
        <v>2.6392249999999998E-3</v>
      </c>
      <c r="P5031">
        <v>-0.99958829999999999</v>
      </c>
      <c r="Q5031">
        <v>-6.2411339999999997E-3</v>
      </c>
      <c r="R5031">
        <v>2.800339E-2</v>
      </c>
      <c r="S5031">
        <v>-3.0032040000000002</v>
      </c>
      <c r="T5031">
        <v>-0.2196864</v>
      </c>
      <c r="U5031">
        <v>-0.11692809999999999</v>
      </c>
      <c r="V5031">
        <v>2.536424E-2</v>
      </c>
      <c r="W5031">
        <v>3.9632859999999999E-3</v>
      </c>
      <c r="X5031">
        <v>0.99967039999999996</v>
      </c>
      <c r="Y5031">
        <v>-4.142465E-2</v>
      </c>
      <c r="Z5031">
        <v>-1.705271E-3</v>
      </c>
      <c r="AA5031">
        <v>0.99914020000000003</v>
      </c>
      <c r="AB5031">
        <v>31</v>
      </c>
      <c r="AC5031">
        <v>-14.8395999999999</v>
      </c>
      <c r="AD5031">
        <v>-1.109272817246</v>
      </c>
      <c r="AE5031">
        <v>-0.59119999999998596</v>
      </c>
      <c r="AF5031">
        <v>-0.62686782861121104</v>
      </c>
      <c r="AG5031">
        <v>-1.109272817246</v>
      </c>
      <c r="AH5031">
        <v>14.755668465871601</v>
      </c>
      <c r="AI5031">
        <v>94.295323613727803</v>
      </c>
      <c r="AJ5031">
        <v>92.432644545676794</v>
      </c>
      <c r="AK5031">
        <v>14.8105773463544</v>
      </c>
      <c r="AL5031">
        <v>89.772919840277396</v>
      </c>
      <c r="AM5031">
        <v>88.546568781514594</v>
      </c>
      <c r="AN5031">
        <v>0.99999998047142702</v>
      </c>
    </row>
    <row r="5032" spans="1:40" x14ac:dyDescent="0.25">
      <c r="A5032" t="str">
        <f>"20190312160745200"</f>
        <v>20190312160745200</v>
      </c>
      <c r="B5032" t="str">
        <f>"1552378065190786"</f>
        <v>1552378065190786</v>
      </c>
      <c r="C5032" t="s">
        <v>40</v>
      </c>
      <c r="D5032">
        <v>6.0953330000000001</v>
      </c>
      <c r="E5032">
        <v>0.47328189999999998</v>
      </c>
      <c r="F5032" t="s">
        <v>89</v>
      </c>
      <c r="G5032">
        <v>-298.08710000000002</v>
      </c>
      <c r="H5032" s="1">
        <v>-8.7830119999999999E-6</v>
      </c>
      <c r="I5032">
        <v>141.7713</v>
      </c>
      <c r="J5032">
        <v>-283.22519999999997</v>
      </c>
      <c r="K5032">
        <v>1.1092630000000001</v>
      </c>
      <c r="L5032">
        <v>142.38079999999999</v>
      </c>
      <c r="M5032">
        <v>-0.99994499999999997</v>
      </c>
      <c r="N5032">
        <v>0</v>
      </c>
      <c r="O5032">
        <v>2.5316219999999999E-3</v>
      </c>
      <c r="P5032">
        <v>-0.99958429999999998</v>
      </c>
      <c r="Q5032">
        <v>-6.5896389999999996E-3</v>
      </c>
      <c r="R5032">
        <v>2.8073210000000001E-2</v>
      </c>
      <c r="S5032">
        <v>-3.0032350000000001</v>
      </c>
      <c r="T5032">
        <v>-0.2195095</v>
      </c>
      <c r="U5032">
        <v>-0.12046809999999999</v>
      </c>
      <c r="V5032">
        <v>2.55418E-2</v>
      </c>
      <c r="W5032">
        <v>3.59517E-3</v>
      </c>
      <c r="X5032">
        <v>0.99966730000000004</v>
      </c>
      <c r="Y5032">
        <v>-4.249025E-2</v>
      </c>
      <c r="Z5032">
        <v>-1.734869E-3</v>
      </c>
      <c r="AA5032">
        <v>0.99909539999999997</v>
      </c>
      <c r="AB5032">
        <v>31</v>
      </c>
      <c r="AC5032">
        <v>-14.8619</v>
      </c>
      <c r="AD5032">
        <v>-1.10927178301199</v>
      </c>
      <c r="AE5032">
        <v>-0.60949999999999704</v>
      </c>
      <c r="AF5032">
        <v>-0.64354558443721199</v>
      </c>
      <c r="AG5032">
        <v>-1.10927178301199</v>
      </c>
      <c r="AH5032">
        <v>14.7781197126866</v>
      </c>
      <c r="AI5032">
        <v>94.288623252235396</v>
      </c>
      <c r="AJ5032">
        <v>92.493494797055106</v>
      </c>
      <c r="AK5032">
        <v>14.8336595973594</v>
      </c>
      <c r="AL5032">
        <v>89.794011490630893</v>
      </c>
      <c r="AM5032">
        <v>88.536394045132496</v>
      </c>
      <c r="AN5032">
        <v>1.0000000097419199</v>
      </c>
    </row>
    <row r="5033" spans="1:40" x14ac:dyDescent="0.25">
      <c r="A5033" t="str">
        <f>"20190312160745221"</f>
        <v>20190312160745221</v>
      </c>
      <c r="B5033" t="str">
        <f>"1552378065210306"</f>
        <v>1552378065210306</v>
      </c>
      <c r="C5033" t="s">
        <v>40</v>
      </c>
      <c r="D5033">
        <v>6.0946530000000001</v>
      </c>
      <c r="E5033">
        <v>0.47268680000000002</v>
      </c>
      <c r="F5033" t="s">
        <v>89</v>
      </c>
      <c r="G5033">
        <v>-298.43950000000001</v>
      </c>
      <c r="H5033" s="1">
        <v>-8.7496869999999997E-6</v>
      </c>
      <c r="I5033">
        <v>141.76240000000001</v>
      </c>
      <c r="J5033">
        <v>-283.51859999999999</v>
      </c>
      <c r="K5033">
        <v>1.1092630000000001</v>
      </c>
      <c r="L5033">
        <v>142.38149999999999</v>
      </c>
      <c r="M5033">
        <v>-0.99994550000000004</v>
      </c>
      <c r="N5033">
        <v>0</v>
      </c>
      <c r="O5033">
        <v>2.4311630000000001E-3</v>
      </c>
      <c r="P5033">
        <v>-0.99958360000000002</v>
      </c>
      <c r="Q5033">
        <v>-6.4406659999999899E-3</v>
      </c>
      <c r="R5033">
        <v>2.8131940000000001E-2</v>
      </c>
      <c r="S5033">
        <v>-3.0032350000000001</v>
      </c>
      <c r="T5033">
        <v>-0.21896479999999999</v>
      </c>
      <c r="U5033">
        <v>-0.1220856</v>
      </c>
      <c r="V5033">
        <v>2.5700870000000001E-2</v>
      </c>
      <c r="W5033">
        <v>3.7262990000000002E-3</v>
      </c>
      <c r="X5033">
        <v>0.99966279999999996</v>
      </c>
      <c r="Y5033">
        <v>-4.2926770000000003E-2</v>
      </c>
      <c r="Z5033">
        <v>-1.73913E-3</v>
      </c>
      <c r="AA5033">
        <v>0.99907670000000004</v>
      </c>
      <c r="AB5033">
        <v>31</v>
      </c>
      <c r="AC5033">
        <v>-14.9209</v>
      </c>
      <c r="AD5033">
        <v>-1.1092717496869999</v>
      </c>
      <c r="AE5033">
        <v>-0.619099999999974</v>
      </c>
      <c r="AF5033">
        <v>-0.65177901844236796</v>
      </c>
      <c r="AG5033">
        <v>-1.1092717496869999</v>
      </c>
      <c r="AH5033">
        <v>14.837485525246001</v>
      </c>
      <c r="AI5033">
        <v>94.271456960449996</v>
      </c>
      <c r="AJ5033">
        <v>92.515264068799297</v>
      </c>
      <c r="AK5033">
        <v>14.893162069064401</v>
      </c>
      <c r="AL5033">
        <v>89.786498314280394</v>
      </c>
      <c r="AM5033">
        <v>88.5272763306928</v>
      </c>
      <c r="AN5033">
        <v>1.0000000668634099</v>
      </c>
    </row>
    <row r="5034" spans="1:40" x14ac:dyDescent="0.25">
      <c r="A5034" t="str">
        <f>"20190312160745244"</f>
        <v>20190312160745244</v>
      </c>
      <c r="B5034" t="str">
        <f>"1552378065230802"</f>
        <v>1552378065230802</v>
      </c>
      <c r="C5034" t="s">
        <v>40</v>
      </c>
      <c r="D5034">
        <v>6.1086619999999998</v>
      </c>
      <c r="E5034">
        <v>0.4722382</v>
      </c>
      <c r="F5034" t="s">
        <v>89</v>
      </c>
      <c r="G5034">
        <v>-299.09859999999998</v>
      </c>
      <c r="H5034" s="1">
        <v>-8.681614E-6</v>
      </c>
      <c r="I5034">
        <v>141.72380000000001</v>
      </c>
      <c r="J5034">
        <v>-283.839</v>
      </c>
      <c r="K5034">
        <v>1.109256</v>
      </c>
      <c r="L5034">
        <v>142.38210000000001</v>
      </c>
      <c r="M5034">
        <v>-0.99994570000000005</v>
      </c>
      <c r="N5034">
        <v>0</v>
      </c>
      <c r="O5034">
        <v>2.3220010000000002E-3</v>
      </c>
      <c r="P5034">
        <v>-0.99958849999999999</v>
      </c>
      <c r="Q5034">
        <v>-6.2140320000000004E-3</v>
      </c>
      <c r="R5034">
        <v>2.8003360000000001E-2</v>
      </c>
      <c r="S5034">
        <v>-3.0034480000000001</v>
      </c>
      <c r="T5034">
        <v>-0.2138399</v>
      </c>
      <c r="U5034">
        <v>-0.12678529999999999</v>
      </c>
      <c r="V5034">
        <v>2.5681530000000001E-2</v>
      </c>
      <c r="W5034">
        <v>3.9351530000000003E-3</v>
      </c>
      <c r="X5034">
        <v>0.99966250000000001</v>
      </c>
      <c r="Y5034">
        <v>-4.4377609999999998E-2</v>
      </c>
      <c r="Z5034">
        <v>-1.742155E-3</v>
      </c>
      <c r="AA5034">
        <v>0.99901329999999999</v>
      </c>
      <c r="AB5034">
        <v>31</v>
      </c>
      <c r="AC5034">
        <v>-15.259599999999899</v>
      </c>
      <c r="AD5034">
        <v>-1.1092646816139999</v>
      </c>
      <c r="AE5034">
        <v>-0.658299999999997</v>
      </c>
      <c r="AF5034">
        <v>-0.69009300420830899</v>
      </c>
      <c r="AG5034">
        <v>-1.1092646816139999</v>
      </c>
      <c r="AH5034">
        <v>15.1779748484562</v>
      </c>
      <c r="AI5034">
        <v>94.175665556319402</v>
      </c>
      <c r="AJ5034">
        <v>92.603259337119894</v>
      </c>
      <c r="AK5034">
        <v>15.234093901138399</v>
      </c>
      <c r="AL5034">
        <v>89.7745317752658</v>
      </c>
      <c r="AM5034">
        <v>88.528383631761201</v>
      </c>
      <c r="AN5034">
        <v>1.00000007015925</v>
      </c>
    </row>
    <row r="5035" spans="1:40" x14ac:dyDescent="0.25">
      <c r="A5035" t="str">
        <f>"20190312160745266"</f>
        <v>20190312160745266</v>
      </c>
      <c r="B5035" t="str">
        <f>"1552378065261058"</f>
        <v>1552378065261058</v>
      </c>
      <c r="C5035" t="s">
        <v>40</v>
      </c>
      <c r="D5035">
        <v>6.0849260000000003</v>
      </c>
      <c r="E5035">
        <v>0.47183130000000001</v>
      </c>
      <c r="F5035" t="s">
        <v>89</v>
      </c>
      <c r="G5035">
        <v>-299.46850000000001</v>
      </c>
      <c r="H5035" s="1">
        <v>-8.6432439999999992E-6</v>
      </c>
      <c r="I5035">
        <v>141.70150000000001</v>
      </c>
      <c r="J5035">
        <v>-284.15989999999999</v>
      </c>
      <c r="K5035">
        <v>1.1092519999999999</v>
      </c>
      <c r="L5035">
        <v>142.3828</v>
      </c>
      <c r="M5035">
        <v>-0.99994640000000001</v>
      </c>
      <c r="N5035">
        <v>0</v>
      </c>
      <c r="O5035">
        <v>2.2121129999999999E-3</v>
      </c>
      <c r="P5035">
        <v>-0.99959279999999995</v>
      </c>
      <c r="Q5035">
        <v>-6.7220919999999998E-3</v>
      </c>
      <c r="R5035">
        <v>2.773639E-2</v>
      </c>
      <c r="S5035">
        <v>-3.003571</v>
      </c>
      <c r="T5035">
        <v>-0.2131702</v>
      </c>
      <c r="U5035">
        <v>-0.13079830000000001</v>
      </c>
      <c r="V5035">
        <v>2.5524419999999999E-2</v>
      </c>
      <c r="W5035">
        <v>3.4115880000000001E-3</v>
      </c>
      <c r="X5035">
        <v>0.99966840000000001</v>
      </c>
      <c r="Y5035">
        <v>-4.5596390000000001E-2</v>
      </c>
      <c r="Z5035">
        <v>-1.7719820000000001E-3</v>
      </c>
      <c r="AA5035">
        <v>0.99895829999999997</v>
      </c>
      <c r="AB5035">
        <v>31</v>
      </c>
      <c r="AC5035">
        <v>-15.3086</v>
      </c>
      <c r="AD5035">
        <v>-1.109260643244</v>
      </c>
      <c r="AE5035">
        <v>-0.68129999999999302</v>
      </c>
      <c r="AF5035">
        <v>-0.71143644292966401</v>
      </c>
      <c r="AG5035">
        <v>-1.109260643244</v>
      </c>
      <c r="AH5035">
        <v>15.227263453823401</v>
      </c>
      <c r="AI5035">
        <v>94.161942651414904</v>
      </c>
      <c r="AJ5035">
        <v>92.674983908544505</v>
      </c>
      <c r="AK5035">
        <v>15.2841798366521</v>
      </c>
      <c r="AL5035">
        <v>89.804530031373304</v>
      </c>
      <c r="AM5035">
        <v>88.537391136472905</v>
      </c>
      <c r="AN5035">
        <v>1.0000000224537799</v>
      </c>
    </row>
    <row r="5036" spans="1:40" x14ac:dyDescent="0.25">
      <c r="A5036" t="str">
        <f>"20190312160745289"</f>
        <v>20190312160745289</v>
      </c>
      <c r="B5036" t="str">
        <f>"1552378065280578"</f>
        <v>1552378065280578</v>
      </c>
      <c r="C5036" t="s">
        <v>40</v>
      </c>
      <c r="D5036">
        <v>6.0553239999999997</v>
      </c>
      <c r="E5036">
        <v>0.47161639999999999</v>
      </c>
      <c r="F5036" t="s">
        <v>89</v>
      </c>
      <c r="G5036">
        <v>-299.8245</v>
      </c>
      <c r="H5036" s="1">
        <v>-8.6062329999999993E-6</v>
      </c>
      <c r="I5036">
        <v>141.6797</v>
      </c>
      <c r="J5036">
        <v>-284.4751</v>
      </c>
      <c r="K5036">
        <v>1.1092489999999999</v>
      </c>
      <c r="L5036">
        <v>142.38329999999999</v>
      </c>
      <c r="M5036">
        <v>-0.99994669999999997</v>
      </c>
      <c r="N5036">
        <v>0</v>
      </c>
      <c r="O5036">
        <v>2.104543E-3</v>
      </c>
      <c r="P5036">
        <v>-0.9996043</v>
      </c>
      <c r="Q5036">
        <v>-6.543086E-3</v>
      </c>
      <c r="R5036">
        <v>2.7361779999999999E-2</v>
      </c>
      <c r="S5036">
        <v>-3.003479</v>
      </c>
      <c r="T5036">
        <v>-0.2126864</v>
      </c>
      <c r="U5036">
        <v>-0.1347961</v>
      </c>
      <c r="V5036">
        <v>2.52572E-2</v>
      </c>
      <c r="W5036">
        <v>3.5756199999999998E-3</v>
      </c>
      <c r="X5036">
        <v>0.99967459999999997</v>
      </c>
      <c r="Y5036">
        <v>-4.6815049999999997E-2</v>
      </c>
      <c r="Z5036">
        <v>-1.803441E-3</v>
      </c>
      <c r="AA5036">
        <v>0.99890199999999996</v>
      </c>
      <c r="AB5036">
        <v>31</v>
      </c>
      <c r="AC5036">
        <v>-15.349399999999999</v>
      </c>
      <c r="AD5036">
        <v>-1.109257606233</v>
      </c>
      <c r="AE5036">
        <v>-0.70359999999999401</v>
      </c>
      <c r="AF5036">
        <v>-0.73208821896215304</v>
      </c>
      <c r="AG5036">
        <v>-1.109257606233</v>
      </c>
      <c r="AH5036">
        <v>15.268312949402</v>
      </c>
      <c r="AI5036">
        <v>94.150541247202199</v>
      </c>
      <c r="AJ5036">
        <v>92.745127433132893</v>
      </c>
      <c r="AK5036">
        <v>15.326049259943201</v>
      </c>
      <c r="AL5036">
        <v>89.795131630064603</v>
      </c>
      <c r="AM5036">
        <v>88.552705891555505</v>
      </c>
      <c r="AN5036">
        <v>1.0000000085476899</v>
      </c>
    </row>
    <row r="5037" spans="1:40" x14ac:dyDescent="0.25">
      <c r="A5037" t="str">
        <f>"20190312160745312"</f>
        <v>20190312160745312</v>
      </c>
      <c r="B5037" t="str">
        <f>"1552378065300097"</f>
        <v>1552378065300097</v>
      </c>
      <c r="C5037" t="s">
        <v>40</v>
      </c>
      <c r="D5037">
        <v>5.9915159999999998</v>
      </c>
      <c r="E5037">
        <v>0.47155770000000002</v>
      </c>
      <c r="F5037" t="s">
        <v>89</v>
      </c>
      <c r="G5037">
        <v>-300.23</v>
      </c>
      <c r="H5037" s="1">
        <v>-8.6379670000000007E-6</v>
      </c>
      <c r="I5037">
        <v>141.66130000000001</v>
      </c>
      <c r="J5037">
        <v>-284.80739999999997</v>
      </c>
      <c r="K5037">
        <v>1.109246</v>
      </c>
      <c r="L5037">
        <v>142.38390000000001</v>
      </c>
      <c r="M5037">
        <v>-0.99994700000000003</v>
      </c>
      <c r="N5037">
        <v>0</v>
      </c>
      <c r="O5037">
        <v>1.9913209999999999E-3</v>
      </c>
      <c r="P5037">
        <v>-0.99961889999999998</v>
      </c>
      <c r="Q5037">
        <v>-6.3222670000000003E-3</v>
      </c>
      <c r="R5037">
        <v>2.6872400000000001E-2</v>
      </c>
      <c r="S5037">
        <v>-3.0036010000000002</v>
      </c>
      <c r="T5037">
        <v>-0.2114753</v>
      </c>
      <c r="U5037">
        <v>-0.13764949999999901</v>
      </c>
      <c r="V5037">
        <v>2.4880840000000001E-2</v>
      </c>
      <c r="W5037">
        <v>3.779704E-3</v>
      </c>
      <c r="X5037">
        <v>0.99968330000000005</v>
      </c>
      <c r="Y5037">
        <v>-4.7646729999999998E-2</v>
      </c>
      <c r="Z5037">
        <v>-1.814354E-3</v>
      </c>
      <c r="AA5037">
        <v>0.99886260000000004</v>
      </c>
      <c r="AB5037">
        <v>31</v>
      </c>
      <c r="AC5037">
        <v>-15.422599999999999</v>
      </c>
      <c r="AD5037">
        <v>-1.1092546379670001</v>
      </c>
      <c r="AE5037">
        <v>-0.72259999999999902</v>
      </c>
      <c r="AF5037">
        <v>-0.74944306124865201</v>
      </c>
      <c r="AG5037">
        <v>-1.1092546379670001</v>
      </c>
      <c r="AH5037">
        <v>15.341939521997499</v>
      </c>
      <c r="AI5037">
        <v>94.130501633375999</v>
      </c>
      <c r="AJ5037">
        <v>92.796635846244499</v>
      </c>
      <c r="AK5037">
        <v>15.400234382974</v>
      </c>
      <c r="AL5037">
        <v>89.783438401969406</v>
      </c>
      <c r="AM5037">
        <v>88.574275596123201</v>
      </c>
      <c r="AN5037">
        <v>1.0000000213301601</v>
      </c>
    </row>
    <row r="5038" spans="1:40" x14ac:dyDescent="0.25">
      <c r="A5038" t="str">
        <f>"20190312160745335"</f>
        <v>20190312160745335</v>
      </c>
      <c r="B5038" t="str">
        <f>"1552378065330354"</f>
        <v>1552378065330354</v>
      </c>
      <c r="C5038" t="s">
        <v>40</v>
      </c>
      <c r="D5038">
        <v>5.9192830000000001</v>
      </c>
      <c r="E5038">
        <v>0.47148109999999999</v>
      </c>
      <c r="F5038" t="s">
        <v>89</v>
      </c>
      <c r="G5038">
        <v>-300.4853</v>
      </c>
      <c r="H5038" s="1">
        <v>-8.6818420000000004E-6</v>
      </c>
      <c r="I5038">
        <v>141.65600000000001</v>
      </c>
      <c r="J5038">
        <v>-285.11160000000001</v>
      </c>
      <c r="K5038">
        <v>1.1092489999999999</v>
      </c>
      <c r="L5038">
        <v>142.3844</v>
      </c>
      <c r="M5038">
        <v>-0.99994749999999999</v>
      </c>
      <c r="N5038">
        <v>0</v>
      </c>
      <c r="O5038">
        <v>1.8873309999999999E-3</v>
      </c>
      <c r="P5038">
        <v>-0.99963159999999895</v>
      </c>
      <c r="Q5038">
        <v>-6.3454790000000002E-3</v>
      </c>
      <c r="R5038">
        <v>2.6388169999999999E-2</v>
      </c>
      <c r="S5038">
        <v>-3.0035400000000001</v>
      </c>
      <c r="T5038">
        <v>-0.21250920000000001</v>
      </c>
      <c r="U5038">
        <v>-0.13945009999999999</v>
      </c>
      <c r="V5038">
        <v>2.4500500000000001E-2</v>
      </c>
      <c r="W5038">
        <v>3.7406039999999998E-3</v>
      </c>
      <c r="X5038">
        <v>0.99969280000000005</v>
      </c>
      <c r="Y5038">
        <v>-4.8139139999999997E-2</v>
      </c>
      <c r="Z5038">
        <v>-1.8332579999999999E-3</v>
      </c>
      <c r="AA5038">
        <v>0.99883900000000003</v>
      </c>
      <c r="AB5038">
        <v>32</v>
      </c>
      <c r="AC5038">
        <v>-15.3736999999999</v>
      </c>
      <c r="AD5038">
        <v>-1.1092576818419999</v>
      </c>
      <c r="AE5038">
        <v>-0.72839999999999305</v>
      </c>
      <c r="AF5038">
        <v>-0.75350145706716698</v>
      </c>
      <c r="AG5038">
        <v>-1.1092576818419999</v>
      </c>
      <c r="AH5038">
        <v>15.2928607850959</v>
      </c>
      <c r="AI5038">
        <v>94.143637395259404</v>
      </c>
      <c r="AJ5038">
        <v>92.820765094939901</v>
      </c>
      <c r="AK5038">
        <v>15.3515409012533</v>
      </c>
      <c r="AL5038">
        <v>89.785678673986396</v>
      </c>
      <c r="AM5038">
        <v>88.5960744230063</v>
      </c>
      <c r="AN5038">
        <v>0.99999998049518701</v>
      </c>
    </row>
    <row r="5039" spans="1:40" x14ac:dyDescent="0.25">
      <c r="A5039" t="str">
        <f>"20190312160745358"</f>
        <v>20190312160745358</v>
      </c>
      <c r="B5039" t="str">
        <f>"1552378065350850"</f>
        <v>1552378065350850</v>
      </c>
      <c r="C5039" t="s">
        <v>40</v>
      </c>
      <c r="D5039">
        <v>5.8691230000000001</v>
      </c>
      <c r="E5039">
        <v>0.47135579999999999</v>
      </c>
      <c r="F5039" t="s">
        <v>89</v>
      </c>
      <c r="G5039">
        <v>-301.01089999999999</v>
      </c>
      <c r="H5039" s="1">
        <v>-8.7694210000000002E-6</v>
      </c>
      <c r="I5039">
        <v>141.6345</v>
      </c>
      <c r="J5039">
        <v>-285.44540000000001</v>
      </c>
      <c r="K5039">
        <v>1.109245</v>
      </c>
      <c r="L5039">
        <v>142.38489999999999</v>
      </c>
      <c r="M5039">
        <v>-0.99994780000000005</v>
      </c>
      <c r="N5039">
        <v>0</v>
      </c>
      <c r="O5039">
        <v>1.773504E-3</v>
      </c>
      <c r="P5039">
        <v>-0.99964379999999997</v>
      </c>
      <c r="Q5039">
        <v>-6.3399989999999998E-3</v>
      </c>
      <c r="R5039">
        <v>2.5928969999999999E-2</v>
      </c>
      <c r="S5039">
        <v>-3.0035099999999999</v>
      </c>
      <c r="T5039">
        <v>-0.20954700000000001</v>
      </c>
      <c r="U5039">
        <v>-0.1416626</v>
      </c>
      <c r="V5039">
        <v>2.4155179999999998E-2</v>
      </c>
      <c r="W5039">
        <v>3.7310680000000001E-3</v>
      </c>
      <c r="X5039">
        <v>0.99970130000000001</v>
      </c>
      <c r="Y5039">
        <v>-4.8762300000000001E-2</v>
      </c>
      <c r="Z5039">
        <v>-1.821526E-3</v>
      </c>
      <c r="AA5039">
        <v>0.99880869999999999</v>
      </c>
      <c r="AB5039">
        <v>32</v>
      </c>
      <c r="AC5039">
        <v>-15.565499999999901</v>
      </c>
      <c r="AD5039">
        <v>-1.1092537694210001</v>
      </c>
      <c r="AE5039">
        <v>-0.75039999999998397</v>
      </c>
      <c r="AF5039">
        <v>-0.77408362365496897</v>
      </c>
      <c r="AG5039">
        <v>-1.1092537694210001</v>
      </c>
      <c r="AH5039">
        <v>15.485682888344501</v>
      </c>
      <c r="AI5039">
        <v>94.092059845294003</v>
      </c>
      <c r="AJ5039">
        <v>92.861665165114104</v>
      </c>
      <c r="AK5039">
        <v>15.544646149068599</v>
      </c>
      <c r="AL5039">
        <v>89.786225063384293</v>
      </c>
      <c r="AM5039">
        <v>88.615865931789202</v>
      </c>
      <c r="AN5039">
        <v>1.0000000414054699</v>
      </c>
    </row>
    <row r="5040" spans="1:40" x14ac:dyDescent="0.25">
      <c r="A5040" t="str">
        <f>"20190312160745380"</f>
        <v>20190312160745380</v>
      </c>
      <c r="B5040" t="str">
        <f>"1552378065370370"</f>
        <v>1552378065370370</v>
      </c>
      <c r="C5040" t="s">
        <v>40</v>
      </c>
      <c r="D5040">
        <v>5.8020579999999997</v>
      </c>
      <c r="E5040">
        <v>0.44334879999999999</v>
      </c>
      <c r="F5040" t="s">
        <v>89</v>
      </c>
      <c r="G5040">
        <v>-301.34960000000001</v>
      </c>
      <c r="H5040" s="1">
        <v>-8.8263129999999994E-6</v>
      </c>
      <c r="I5040">
        <v>141.6224</v>
      </c>
      <c r="J5040">
        <v>-285.75540000000001</v>
      </c>
      <c r="K5040">
        <v>1.1092390000000001</v>
      </c>
      <c r="L5040">
        <v>142.3854</v>
      </c>
      <c r="M5040">
        <v>-0.99994810000000001</v>
      </c>
      <c r="N5040">
        <v>0</v>
      </c>
      <c r="O5040">
        <v>1.6678280000000001E-3</v>
      </c>
      <c r="P5040">
        <v>-0.99964180000000002</v>
      </c>
      <c r="Q5040">
        <v>-6.5867699999999996E-3</v>
      </c>
      <c r="R5040">
        <v>2.5948789999999999E-2</v>
      </c>
      <c r="S5040">
        <v>-3.003479</v>
      </c>
      <c r="T5040">
        <v>-0.20948020000000001</v>
      </c>
      <c r="U5040">
        <v>-0.14399719999999999</v>
      </c>
      <c r="V5040">
        <v>2.4280920000000001E-2</v>
      </c>
      <c r="W5040">
        <v>3.4721460000000002E-3</v>
      </c>
      <c r="X5040">
        <v>0.99969909999999995</v>
      </c>
      <c r="Y5040">
        <v>-4.9430540000000002E-2</v>
      </c>
      <c r="Z5040">
        <v>-1.836835E-3</v>
      </c>
      <c r="AA5040">
        <v>0.99877590000000005</v>
      </c>
      <c r="AB5040">
        <v>32</v>
      </c>
      <c r="AC5040">
        <v>-15.594200000000001</v>
      </c>
      <c r="AD5040">
        <v>-1.1092478263129999</v>
      </c>
      <c r="AE5040">
        <v>-0.76300000000000501</v>
      </c>
      <c r="AF5040">
        <v>-0.78504602827172598</v>
      </c>
      <c r="AG5040">
        <v>-1.1092478263129999</v>
      </c>
      <c r="AH5040">
        <v>15.5145928651164</v>
      </c>
      <c r="AI5040">
        <v>94.084313431595405</v>
      </c>
      <c r="AJ5040">
        <v>92.896724037452501</v>
      </c>
      <c r="AK5040">
        <v>15.573994984492799</v>
      </c>
      <c r="AL5040">
        <v>89.801060279605295</v>
      </c>
      <c r="AM5040">
        <v>88.608660574008695</v>
      </c>
      <c r="AN5040">
        <v>0.99999995470734904</v>
      </c>
    </row>
    <row r="5041" spans="1:40" x14ac:dyDescent="0.25">
      <c r="A5041" t="str">
        <f>"20190312160745400"</f>
        <v>20190312160745400</v>
      </c>
      <c r="B5041" t="str">
        <f>"1552378065390866"</f>
        <v>1552378065390866</v>
      </c>
      <c r="C5041" t="s">
        <v>40</v>
      </c>
      <c r="D5041">
        <v>5.7759549999999997</v>
      </c>
      <c r="E5041">
        <v>0.44265179999999998</v>
      </c>
      <c r="F5041" t="s">
        <v>89</v>
      </c>
      <c r="G5041">
        <v>-309.85820000000001</v>
      </c>
      <c r="H5041" s="1">
        <v>-9.4117110000000001E-6</v>
      </c>
      <c r="I5041">
        <v>139.4237</v>
      </c>
      <c r="J5041">
        <v>-286.05579999999998</v>
      </c>
      <c r="K5041">
        <v>1.1092360000000001</v>
      </c>
      <c r="L5041">
        <v>142.38579999999999</v>
      </c>
      <c r="M5041">
        <v>-0.99994839999999996</v>
      </c>
      <c r="N5041">
        <v>0</v>
      </c>
      <c r="O5041">
        <v>1.5651199999999999E-3</v>
      </c>
      <c r="P5041">
        <v>-0.99964679999999995</v>
      </c>
      <c r="Q5041">
        <v>-6.2930019999999998E-3</v>
      </c>
      <c r="R5041">
        <v>2.5817819999999998E-2</v>
      </c>
      <c r="S5041">
        <v>-3.009735</v>
      </c>
      <c r="T5041">
        <v>-0.13851260000000001</v>
      </c>
      <c r="U5041">
        <v>-0.36982730000000003</v>
      </c>
      <c r="V5041">
        <v>2.4252360000000001E-2</v>
      </c>
      <c r="W5041">
        <v>3.7563399999999999E-3</v>
      </c>
      <c r="X5041">
        <v>0.9996988</v>
      </c>
      <c r="Y5041">
        <v>-0.1233828</v>
      </c>
      <c r="Z5041">
        <v>-2.898744E-3</v>
      </c>
      <c r="AA5041">
        <v>0.99235490000000004</v>
      </c>
      <c r="AB5041">
        <v>32</v>
      </c>
      <c r="AC5041">
        <v>-23.802399999999999</v>
      </c>
      <c r="AD5041">
        <v>-1.109245411711</v>
      </c>
      <c r="AE5041">
        <v>-2.9620999999999902</v>
      </c>
      <c r="AF5041">
        <v>-2.9929509883850201</v>
      </c>
      <c r="AG5041">
        <v>-1.109245411711</v>
      </c>
      <c r="AH5041">
        <v>23.746948176097</v>
      </c>
      <c r="AI5041">
        <v>92.653441916618604</v>
      </c>
      <c r="AJ5041">
        <v>97.183408089311399</v>
      </c>
      <c r="AK5041">
        <v>23.960503514753398</v>
      </c>
      <c r="AL5041">
        <v>89.784777063054506</v>
      </c>
      <c r="AM5041">
        <v>88.610296053219699</v>
      </c>
      <c r="AN5041">
        <v>0.99999998888860198</v>
      </c>
    </row>
    <row r="5042" spans="1:40" x14ac:dyDescent="0.25">
      <c r="A5042" t="str">
        <f>"20190312160745423"</f>
        <v>20190312160745423</v>
      </c>
      <c r="B5042" t="str">
        <f>"1552378065410387"</f>
        <v>1552378065410387</v>
      </c>
      <c r="C5042" t="s">
        <v>40</v>
      </c>
      <c r="D5042">
        <v>5.7208360000000003</v>
      </c>
      <c r="E5042">
        <v>0.44296239999999998</v>
      </c>
      <c r="F5042" t="s">
        <v>89</v>
      </c>
      <c r="G5042">
        <v>-313.45400000000001</v>
      </c>
      <c r="H5042" s="1">
        <v>-7.9685369999999996E-6</v>
      </c>
      <c r="I5042">
        <v>138.95959999999999</v>
      </c>
      <c r="J5042">
        <v>-286.36869999999999</v>
      </c>
      <c r="K5042">
        <v>1.1092360000000001</v>
      </c>
      <c r="L5042">
        <v>142.3862</v>
      </c>
      <c r="M5042">
        <v>-0.99994870000000002</v>
      </c>
      <c r="N5042">
        <v>0</v>
      </c>
      <c r="O5042">
        <v>1.4583479999999999E-3</v>
      </c>
      <c r="P5042">
        <v>-0.99964989999999998</v>
      </c>
      <c r="Q5042">
        <v>-6.6378289999999996E-3</v>
      </c>
      <c r="R5042">
        <v>2.5614310000000001E-2</v>
      </c>
      <c r="S5042">
        <v>-3.01004</v>
      </c>
      <c r="T5042">
        <v>-0.1218648</v>
      </c>
      <c r="U5042">
        <v>-0.37640380000000001</v>
      </c>
      <c r="V5042">
        <v>2.4155679999999999E-2</v>
      </c>
      <c r="W5042">
        <v>3.4034820000000002E-3</v>
      </c>
      <c r="X5042">
        <v>0.99970239999999999</v>
      </c>
      <c r="Y5042">
        <v>-0.1254277</v>
      </c>
      <c r="Z5042">
        <v>-2.5869600000000001E-3</v>
      </c>
      <c r="AA5042">
        <v>0.99209939999999996</v>
      </c>
      <c r="AB5042">
        <v>32</v>
      </c>
      <c r="AC5042">
        <v>-27.0853</v>
      </c>
      <c r="AD5042">
        <v>-1.1092439685369999</v>
      </c>
      <c r="AE5042">
        <v>-3.4266000000000001</v>
      </c>
      <c r="AF5042">
        <v>-3.4603857747303599</v>
      </c>
      <c r="AG5042">
        <v>-1.1092439685369999</v>
      </c>
      <c r="AH5042">
        <v>27.035643689130399</v>
      </c>
      <c r="AI5042">
        <v>92.330477144547004</v>
      </c>
      <c r="AJ5042">
        <v>97.293828042107506</v>
      </c>
      <c r="AK5042">
        <v>27.278759531498299</v>
      </c>
      <c r="AL5042">
        <v>89.8049944662596</v>
      </c>
      <c r="AM5042">
        <v>88.615838814500293</v>
      </c>
      <c r="AN5042">
        <v>0.99999998456587302</v>
      </c>
    </row>
    <row r="5043" spans="1:40" x14ac:dyDescent="0.25">
      <c r="A5043" t="str">
        <f>"20190312160745445"</f>
        <v>20190312160745445</v>
      </c>
      <c r="B5043" t="str">
        <f>"1552378065440644"</f>
        <v>1552378065440644</v>
      </c>
      <c r="C5043" t="s">
        <v>40</v>
      </c>
      <c r="D5043">
        <v>5.6750879999999997</v>
      </c>
      <c r="E5043">
        <v>0.4432257</v>
      </c>
      <c r="F5043" t="s">
        <v>89</v>
      </c>
      <c r="G5043">
        <v>-315.0265</v>
      </c>
      <c r="H5043" s="1">
        <v>-7.3183139999999998E-6</v>
      </c>
      <c r="I5043">
        <v>138.8177</v>
      </c>
      <c r="J5043">
        <v>-286.68970000000002</v>
      </c>
      <c r="K5043">
        <v>1.1092340000000001</v>
      </c>
      <c r="L5043">
        <v>142.38650000000001</v>
      </c>
      <c r="M5043">
        <v>-0.99994890000000003</v>
      </c>
      <c r="N5043">
        <v>0</v>
      </c>
      <c r="O5043">
        <v>1.348885E-3</v>
      </c>
      <c r="P5043">
        <v>-0.99963809999999997</v>
      </c>
      <c r="Q5043">
        <v>-6.8222029999999998E-3</v>
      </c>
      <c r="R5043">
        <v>2.6027479999999999E-2</v>
      </c>
      <c r="S5043">
        <v>-3.0098880000000001</v>
      </c>
      <c r="T5043">
        <v>-0.11650240000000001</v>
      </c>
      <c r="U5043">
        <v>-0.37478640000000002</v>
      </c>
      <c r="V5043">
        <v>2.4678470000000001E-2</v>
      </c>
      <c r="W5043">
        <v>3.213226E-3</v>
      </c>
      <c r="X5043">
        <v>0.99969030000000003</v>
      </c>
      <c r="Y5043">
        <v>-0.12480960000000001</v>
      </c>
      <c r="Z5043">
        <v>-2.45729E-3</v>
      </c>
      <c r="AA5043">
        <v>0.99217770000000005</v>
      </c>
      <c r="AB5043">
        <v>32</v>
      </c>
      <c r="AC5043">
        <v>-28.336799999999901</v>
      </c>
      <c r="AD5043">
        <v>-1.109241318314</v>
      </c>
      <c r="AE5043">
        <v>-3.5688</v>
      </c>
      <c r="AF5043">
        <v>-3.6015891256276298</v>
      </c>
      <c r="AG5043">
        <v>-1.109241318314</v>
      </c>
      <c r="AH5043">
        <v>28.289288565490899</v>
      </c>
      <c r="AI5043">
        <v>92.227492974750206</v>
      </c>
      <c r="AJ5043">
        <v>97.255455173595607</v>
      </c>
      <c r="AK5043">
        <v>28.539195995572602</v>
      </c>
      <c r="AL5043">
        <v>89.815895399152694</v>
      </c>
      <c r="AM5043">
        <v>88.585876992189895</v>
      </c>
      <c r="AN5043">
        <v>1.0000000238084701</v>
      </c>
    </row>
    <row r="5044" spans="1:40" x14ac:dyDescent="0.25">
      <c r="A5044" t="str">
        <f>"20190312160745468"</f>
        <v>20190312160745468</v>
      </c>
      <c r="B5044" t="str">
        <f>"1552378065460162"</f>
        <v>1552378065460162</v>
      </c>
      <c r="C5044" t="s">
        <v>40</v>
      </c>
      <c r="D5044">
        <v>5.6613220000000002</v>
      </c>
      <c r="E5044">
        <v>0.44317869999999998</v>
      </c>
      <c r="F5044" t="s">
        <v>89</v>
      </c>
      <c r="G5044">
        <v>-317.30680000000001</v>
      </c>
      <c r="H5044" s="1">
        <v>-6.2393599999999997E-6</v>
      </c>
      <c r="I5044">
        <v>138.60599999999999</v>
      </c>
      <c r="J5044">
        <v>-287.0172</v>
      </c>
      <c r="K5044">
        <v>1.1092360000000001</v>
      </c>
      <c r="L5044">
        <v>142.38679999999999</v>
      </c>
      <c r="M5044">
        <v>-0.99994899999999998</v>
      </c>
      <c r="N5044">
        <v>0</v>
      </c>
      <c r="O5044">
        <v>1.2372049999999999E-3</v>
      </c>
      <c r="P5044">
        <v>-0.99963440000000003</v>
      </c>
      <c r="Q5044">
        <v>-7.5561259999999998E-3</v>
      </c>
      <c r="R5044">
        <v>2.596652E-2</v>
      </c>
      <c r="S5044">
        <v>-3.01004</v>
      </c>
      <c r="T5044">
        <v>-0.10905189999999999</v>
      </c>
      <c r="U5044">
        <v>-0.37167359999999999</v>
      </c>
      <c r="V5044">
        <v>2.4729270000000001E-2</v>
      </c>
      <c r="W5044">
        <v>2.4755609999999998E-3</v>
      </c>
      <c r="X5044">
        <v>0.99969110000000005</v>
      </c>
      <c r="Y5044">
        <v>-0.1236944</v>
      </c>
      <c r="Z5044">
        <v>-2.2761280000000001E-3</v>
      </c>
      <c r="AA5044">
        <v>0.99231769999999997</v>
      </c>
      <c r="AB5044">
        <v>32</v>
      </c>
      <c r="AC5044">
        <v>-30.2896</v>
      </c>
      <c r="AD5044">
        <v>-1.1092422393600001</v>
      </c>
      <c r="AE5044">
        <v>-3.7807999999999899</v>
      </c>
      <c r="AF5044">
        <v>-3.81323790216166</v>
      </c>
      <c r="AG5044">
        <v>-1.1092422393600001</v>
      </c>
      <c r="AH5044">
        <v>30.244959293904</v>
      </c>
      <c r="AI5044">
        <v>92.0839144506905</v>
      </c>
      <c r="AJ5044">
        <v>97.185848845635405</v>
      </c>
      <c r="AK5044">
        <v>30.5045695648041</v>
      </c>
      <c r="AL5044">
        <v>89.858160655104697</v>
      </c>
      <c r="AM5044">
        <v>88.582968375271804</v>
      </c>
      <c r="AN5044">
        <v>0.999999980308103</v>
      </c>
    </row>
    <row r="5045" spans="1:40" x14ac:dyDescent="0.25">
      <c r="A5045" t="str">
        <f>"20190312160745490"</f>
        <v>20190312160745490</v>
      </c>
      <c r="B5045" t="str">
        <f>"1552378065480658"</f>
        <v>1552378065480658</v>
      </c>
      <c r="C5045" t="s">
        <v>40</v>
      </c>
      <c r="D5045">
        <v>5.7050519999999896</v>
      </c>
      <c r="E5045">
        <v>0.44308900000000001</v>
      </c>
      <c r="F5045" t="s">
        <v>89</v>
      </c>
      <c r="G5045">
        <v>-318.05270000000002</v>
      </c>
      <c r="H5045" s="1">
        <v>-5.8898860000000002E-6</v>
      </c>
      <c r="I5045">
        <v>138.54759999999999</v>
      </c>
      <c r="J5045">
        <v>-287.32530000000003</v>
      </c>
      <c r="K5045">
        <v>1.1092249999999999</v>
      </c>
      <c r="L5045">
        <v>142.3871</v>
      </c>
      <c r="M5045">
        <v>-0.99994910000000004</v>
      </c>
      <c r="N5045">
        <v>0</v>
      </c>
      <c r="O5045">
        <v>1.1324289999999999E-3</v>
      </c>
      <c r="P5045">
        <v>-0.99964090000000005</v>
      </c>
      <c r="Q5045">
        <v>-7.3480489999999997E-3</v>
      </c>
      <c r="R5045">
        <v>2.5770350000000001E-2</v>
      </c>
      <c r="S5045">
        <v>-3.0099179999999999</v>
      </c>
      <c r="T5045">
        <v>-0.1075776</v>
      </c>
      <c r="U5045">
        <v>-0.37234499999999998</v>
      </c>
      <c r="V5045">
        <v>2.463771E-2</v>
      </c>
      <c r="W5045">
        <v>2.6820310000000001E-3</v>
      </c>
      <c r="X5045">
        <v>0.9996929</v>
      </c>
      <c r="Y5045">
        <v>-0.1238155</v>
      </c>
      <c r="Z5045">
        <v>-2.2438599999999999E-3</v>
      </c>
      <c r="AA5045">
        <v>0.99230269999999998</v>
      </c>
      <c r="AB5045">
        <v>32</v>
      </c>
      <c r="AC5045">
        <v>-30.7273999999999</v>
      </c>
      <c r="AD5045">
        <v>-1.1092308898859999</v>
      </c>
      <c r="AE5045">
        <v>-3.8395000000000099</v>
      </c>
      <c r="AF5045">
        <v>-3.8693311085866302</v>
      </c>
      <c r="AG5045">
        <v>-1.1092308898859999</v>
      </c>
      <c r="AH5045">
        <v>30.683661605929299</v>
      </c>
      <c r="AI5045">
        <v>92.054117718441603</v>
      </c>
      <c r="AJ5045">
        <v>97.187286766932601</v>
      </c>
      <c r="AK5045">
        <v>30.946554023705598</v>
      </c>
      <c r="AL5045">
        <v>89.846330766963206</v>
      </c>
      <c r="AM5045">
        <v>88.588215341529306</v>
      </c>
      <c r="AN5045">
        <v>1.00000005217736</v>
      </c>
    </row>
    <row r="5046" spans="1:40" x14ac:dyDescent="0.25">
      <c r="A5046" t="str">
        <f>"20190312160745512"</f>
        <v>20190312160745512</v>
      </c>
      <c r="B5046" t="str">
        <f>"1552378065500178"</f>
        <v>1552378065500178</v>
      </c>
      <c r="C5046" t="s">
        <v>40</v>
      </c>
      <c r="D5046">
        <v>5.6613360000000004</v>
      </c>
      <c r="E5046">
        <v>0.44308560000000002</v>
      </c>
      <c r="F5046" t="s">
        <v>89</v>
      </c>
      <c r="G5046">
        <v>-319.52140000000003</v>
      </c>
      <c r="H5046" s="1">
        <v>-5.1653429999999996E-6</v>
      </c>
      <c r="I5046">
        <v>138.3887</v>
      </c>
      <c r="J5046">
        <v>-287.65109999999999</v>
      </c>
      <c r="K5046">
        <v>1.109227</v>
      </c>
      <c r="L5046">
        <v>142.38740000000001</v>
      </c>
      <c r="M5046">
        <v>-0.99994930000000004</v>
      </c>
      <c r="N5046">
        <v>0</v>
      </c>
      <c r="O5046">
        <v>1.02121E-3</v>
      </c>
      <c r="P5046">
        <v>-0.99964770000000003</v>
      </c>
      <c r="Q5046">
        <v>-7.2239929999999997E-3</v>
      </c>
      <c r="R5046">
        <v>2.5543130000000001E-2</v>
      </c>
      <c r="S5046">
        <v>-3.0099179999999999</v>
      </c>
      <c r="T5046">
        <v>-0.10369879999999999</v>
      </c>
      <c r="U5046">
        <v>-0.37379459999999998</v>
      </c>
      <c r="V5046">
        <v>2.4521649999999999E-2</v>
      </c>
      <c r="W5046">
        <v>2.805531E-3</v>
      </c>
      <c r="X5046">
        <v>0.99969540000000001</v>
      </c>
      <c r="Y5046">
        <v>-0.12418120000000001</v>
      </c>
      <c r="Z5046">
        <v>-2.1653990000000001E-3</v>
      </c>
      <c r="AA5046">
        <v>0.99225719999999995</v>
      </c>
      <c r="AB5046">
        <v>32</v>
      </c>
      <c r="AC5046">
        <v>-31.8703</v>
      </c>
      <c r="AD5046">
        <v>-1.109232165343</v>
      </c>
      <c r="AE5046">
        <v>-3.9987000000000101</v>
      </c>
      <c r="AF5046">
        <v>-4.0264439429029801</v>
      </c>
      <c r="AG5046">
        <v>-1.109232165343</v>
      </c>
      <c r="AH5046">
        <v>31.828241799149801</v>
      </c>
      <c r="AI5046">
        <v>91.980212718930602</v>
      </c>
      <c r="AJ5046">
        <v>97.209925734407904</v>
      </c>
      <c r="AK5046">
        <v>32.101084449705397</v>
      </c>
      <c r="AL5046">
        <v>89.839254709571605</v>
      </c>
      <c r="AM5046">
        <v>88.5948666261705</v>
      </c>
      <c r="AN5046">
        <v>1.0000000375520299</v>
      </c>
    </row>
    <row r="5047" spans="1:40" x14ac:dyDescent="0.25">
      <c r="A5047" t="str">
        <f>"20190312160745535"</f>
        <v>20190312160745535</v>
      </c>
      <c r="B5047" t="str">
        <f>"1552378065530434"</f>
        <v>1552378065530434</v>
      </c>
      <c r="C5047" t="s">
        <v>40</v>
      </c>
      <c r="D5047">
        <v>5.6559140000000001</v>
      </c>
      <c r="E5047">
        <v>0.44319609999999898</v>
      </c>
      <c r="F5047" t="s">
        <v>47</v>
      </c>
      <c r="G5047">
        <v>-321.33350000000002</v>
      </c>
      <c r="H5047" s="1">
        <v>-3.9524399999999999E-6</v>
      </c>
      <c r="I5047">
        <v>138.19450000000001</v>
      </c>
      <c r="J5047">
        <v>-287.96210000000002</v>
      </c>
      <c r="K5047">
        <v>1.1092249999999999</v>
      </c>
      <c r="L5047">
        <v>142.38759999999999</v>
      </c>
      <c r="M5047">
        <v>-0.99994919999999998</v>
      </c>
      <c r="N5047">
        <v>0</v>
      </c>
      <c r="O5047">
        <v>9.157023E-4</v>
      </c>
      <c r="P5047">
        <v>-0.99965700000000002</v>
      </c>
      <c r="Q5047">
        <v>-7.1897489999999996E-3</v>
      </c>
      <c r="R5047">
        <v>2.5186389999999999E-2</v>
      </c>
      <c r="S5047">
        <v>-3.0099179999999999</v>
      </c>
      <c r="T5047">
        <v>-9.9123119999999995E-2</v>
      </c>
      <c r="U5047">
        <v>-0.3746796</v>
      </c>
      <c r="V5047">
        <v>2.4270409999999999E-2</v>
      </c>
      <c r="W5047">
        <v>2.8412939999999999E-3</v>
      </c>
      <c r="X5047">
        <v>0.99970139999999996</v>
      </c>
      <c r="Y5047">
        <v>-0.1243701</v>
      </c>
      <c r="Z5047">
        <v>-2.0695029999999999E-3</v>
      </c>
      <c r="AA5047">
        <v>0.99223380000000005</v>
      </c>
      <c r="AB5047">
        <v>32</v>
      </c>
      <c r="AC5047">
        <v>-33.371399999999902</v>
      </c>
      <c r="AD5047">
        <v>-1.1092289524400001</v>
      </c>
      <c r="AE5047">
        <v>-4.1930999999999798</v>
      </c>
      <c r="AF5047">
        <v>-4.2190691640012297</v>
      </c>
      <c r="AG5047">
        <v>-1.1092289524400001</v>
      </c>
      <c r="AH5047">
        <v>33.331293286000999</v>
      </c>
      <c r="AI5047">
        <v>91.890959770904203</v>
      </c>
      <c r="AJ5047">
        <v>97.214123500656399</v>
      </c>
      <c r="AK5047">
        <v>33.615562550654602</v>
      </c>
      <c r="AL5047">
        <v>89.837205627619198</v>
      </c>
      <c r="AM5047">
        <v>88.609265777316395</v>
      </c>
      <c r="AN5047">
        <v>1.0000000074575599</v>
      </c>
    </row>
    <row r="5048" spans="1:40" x14ac:dyDescent="0.25">
      <c r="A5048" t="str">
        <f>"20190312160745556"</f>
        <v>20190312160745556</v>
      </c>
      <c r="B5048" t="str">
        <f>"1552378065550930"</f>
        <v>1552378065550930</v>
      </c>
      <c r="C5048" t="s">
        <v>40</v>
      </c>
      <c r="D5048">
        <v>5.563593</v>
      </c>
      <c r="E5048">
        <v>0.44328079999999997</v>
      </c>
      <c r="F5048" t="s">
        <v>47</v>
      </c>
      <c r="G5048">
        <v>-322.48840000000001</v>
      </c>
      <c r="H5048" s="1">
        <v>-3.476227E-6</v>
      </c>
      <c r="I5048">
        <v>138.08600000000001</v>
      </c>
      <c r="J5048">
        <v>-288.27519999999998</v>
      </c>
      <c r="K5048">
        <v>1.1092229999999901</v>
      </c>
      <c r="L5048">
        <v>142.3878</v>
      </c>
      <c r="M5048">
        <v>-0.99994950000000005</v>
      </c>
      <c r="N5048">
        <v>0</v>
      </c>
      <c r="O5048">
        <v>8.0905699999999996E-4</v>
      </c>
      <c r="P5048">
        <v>-0.99965300000000001</v>
      </c>
      <c r="Q5048">
        <v>-7.5934180000000002E-3</v>
      </c>
      <c r="R5048">
        <v>2.5224449999999999E-2</v>
      </c>
      <c r="S5048">
        <v>-3.009735</v>
      </c>
      <c r="T5048">
        <v>-9.6694230000000006E-2</v>
      </c>
      <c r="U5048">
        <v>-0.37496950000000001</v>
      </c>
      <c r="V5048">
        <v>2.4415139999999998E-2</v>
      </c>
      <c r="W5048">
        <v>2.439798E-3</v>
      </c>
      <c r="X5048">
        <v>0.99969889999999995</v>
      </c>
      <c r="Y5048">
        <v>-0.12436899999999999</v>
      </c>
      <c r="Z5048">
        <v>-2.015499E-3</v>
      </c>
      <c r="AA5048">
        <v>0.99223399999999995</v>
      </c>
      <c r="AB5048">
        <v>32</v>
      </c>
      <c r="AC5048">
        <v>-34.213200000000001</v>
      </c>
      <c r="AD5048">
        <v>-1.1092264762270001</v>
      </c>
      <c r="AE5048">
        <v>-4.3017999999999796</v>
      </c>
      <c r="AF5048">
        <v>-4.3250050547597896</v>
      </c>
      <c r="AG5048">
        <v>-1.1092264762270001</v>
      </c>
      <c r="AH5048">
        <v>34.174345878271502</v>
      </c>
      <c r="AI5048">
        <v>91.844345105621102</v>
      </c>
      <c r="AJ5048">
        <v>97.212840425501497</v>
      </c>
      <c r="AK5048">
        <v>34.464793170814097</v>
      </c>
      <c r="AL5048">
        <v>89.860209729018607</v>
      </c>
      <c r="AM5048">
        <v>88.600972300416799</v>
      </c>
      <c r="AN5048">
        <v>0.99999997116835404</v>
      </c>
    </row>
    <row r="5049" spans="1:40" x14ac:dyDescent="0.25">
      <c r="A5049" t="str">
        <f>"20190312160745580"</f>
        <v>20190312160745580</v>
      </c>
      <c r="B5049" t="str">
        <f>"1552378065570450"</f>
        <v>1552378065570450</v>
      </c>
      <c r="C5049" t="s">
        <v>40</v>
      </c>
      <c r="D5049">
        <v>5.5924480000000001</v>
      </c>
      <c r="E5049">
        <v>0.44335920000000001</v>
      </c>
      <c r="F5049" t="s">
        <v>47</v>
      </c>
      <c r="G5049">
        <v>-323.26620000000003</v>
      </c>
      <c r="H5049" s="1">
        <v>-3.151285E-6</v>
      </c>
      <c r="I5049">
        <v>138.0367</v>
      </c>
      <c r="J5049">
        <v>-288.60879999999997</v>
      </c>
      <c r="K5049">
        <v>1.1092229999999901</v>
      </c>
      <c r="L5049">
        <v>142.3879</v>
      </c>
      <c r="M5049">
        <v>-0.99994939999999999</v>
      </c>
      <c r="N5049">
        <v>0</v>
      </c>
      <c r="O5049">
        <v>6.9543039999999995E-4</v>
      </c>
      <c r="P5049">
        <v>-0.99965440000000005</v>
      </c>
      <c r="Q5049">
        <v>-7.4515390000000001E-3</v>
      </c>
      <c r="R5049">
        <v>2.521431E-2</v>
      </c>
      <c r="S5049">
        <v>-3.0097659999999999</v>
      </c>
      <c r="T5049">
        <v>-9.5410590000000003E-2</v>
      </c>
      <c r="U5049">
        <v>-0.37425229999999998</v>
      </c>
      <c r="V5049">
        <v>2.4518700000000001E-2</v>
      </c>
      <c r="W5049">
        <v>2.5861870000000002E-3</v>
      </c>
      <c r="X5049">
        <v>0.99969600000000003</v>
      </c>
      <c r="Y5049">
        <v>-0.1240241</v>
      </c>
      <c r="Z5049">
        <v>-1.979733E-3</v>
      </c>
      <c r="AA5049">
        <v>0.99227719999999997</v>
      </c>
      <c r="AB5049">
        <v>32</v>
      </c>
      <c r="AC5049">
        <v>-34.657400000000003</v>
      </c>
      <c r="AD5049">
        <v>-1.1092261512849999</v>
      </c>
      <c r="AE5049">
        <v>-4.3512000000000004</v>
      </c>
      <c r="AF5049">
        <v>-4.3708941258137299</v>
      </c>
      <c r="AG5049">
        <v>-1.1092261512849999</v>
      </c>
      <c r="AH5049">
        <v>34.619453386576097</v>
      </c>
      <c r="AI5049">
        <v>91.820715896064598</v>
      </c>
      <c r="AJ5049">
        <v>97.195829831152295</v>
      </c>
      <c r="AK5049">
        <v>34.911912736186203</v>
      </c>
      <c r="AL5049">
        <v>89.851822230795307</v>
      </c>
      <c r="AM5049">
        <v>88.595036441462298</v>
      </c>
      <c r="AN5049">
        <v>0.99999997371444405</v>
      </c>
    </row>
    <row r="5050" spans="1:40" x14ac:dyDescent="0.25">
      <c r="A5050" t="str">
        <f>"20190312160745601"</f>
        <v>20190312160745601</v>
      </c>
      <c r="B5050" t="str">
        <f>"1552378065589970"</f>
        <v>1552378065589970</v>
      </c>
      <c r="C5050" t="s">
        <v>40</v>
      </c>
      <c r="D5050">
        <v>5.6530849999999999</v>
      </c>
      <c r="E5050">
        <v>0.4433936</v>
      </c>
      <c r="F5050" t="s">
        <v>47</v>
      </c>
      <c r="G5050">
        <v>-323.88589999999999</v>
      </c>
      <c r="H5050" s="1">
        <v>-2.8903659999999998E-6</v>
      </c>
      <c r="I5050">
        <v>138.00899999999999</v>
      </c>
      <c r="J5050">
        <v>-288.91539999999998</v>
      </c>
      <c r="K5050">
        <v>1.1092219999999999</v>
      </c>
      <c r="L5050">
        <v>142.38800000000001</v>
      </c>
      <c r="M5050">
        <v>-0.99994939999999999</v>
      </c>
      <c r="N5050">
        <v>0</v>
      </c>
      <c r="O5050">
        <v>5.9109989999999997E-4</v>
      </c>
      <c r="P5050">
        <v>-0.99964839999999999</v>
      </c>
      <c r="Q5050">
        <v>-7.310235E-3</v>
      </c>
      <c r="R5050">
        <v>2.549179E-2</v>
      </c>
      <c r="S5050">
        <v>-3.0097659999999999</v>
      </c>
      <c r="T5050">
        <v>-9.4636919999999999E-2</v>
      </c>
      <c r="U5050">
        <v>-0.37359619999999999</v>
      </c>
      <c r="V5050">
        <v>2.4900459999999999E-2</v>
      </c>
      <c r="W5050">
        <v>2.7311449999999999E-3</v>
      </c>
      <c r="X5050">
        <v>0.99968619999999997</v>
      </c>
      <c r="Y5050">
        <v>-0.12370879999999999</v>
      </c>
      <c r="Z5050">
        <v>-1.9555089999999998E-3</v>
      </c>
      <c r="AA5050">
        <v>0.99231670000000005</v>
      </c>
      <c r="AB5050">
        <v>32</v>
      </c>
      <c r="AC5050">
        <v>-34.970500000000001</v>
      </c>
      <c r="AD5050">
        <v>-1.109224890366</v>
      </c>
      <c r="AE5050">
        <v>-4.3790000000000102</v>
      </c>
      <c r="AF5050">
        <v>-4.3953175322886899</v>
      </c>
      <c r="AG5050">
        <v>-1.109224890366</v>
      </c>
      <c r="AH5050">
        <v>34.933301973611698</v>
      </c>
      <c r="AI5050">
        <v>91.804464344974406</v>
      </c>
      <c r="AJ5050">
        <v>97.171286704567706</v>
      </c>
      <c r="AK5050">
        <v>35.226194555282198</v>
      </c>
      <c r="AL5050">
        <v>89.843516722981704</v>
      </c>
      <c r="AM5050">
        <v>88.573155930934703</v>
      </c>
      <c r="AN5050">
        <v>0.99999999526583105</v>
      </c>
    </row>
    <row r="5051" spans="1:40" x14ac:dyDescent="0.25">
      <c r="A5051" t="str">
        <f>"20190312160745625"</f>
        <v>20190312160745625</v>
      </c>
      <c r="B5051" t="str">
        <f>"1552378065620226"</f>
        <v>1552378065620226</v>
      </c>
      <c r="C5051" t="s">
        <v>40</v>
      </c>
      <c r="D5051">
        <v>5.6626519999999996</v>
      </c>
      <c r="E5051">
        <v>0.44355450000000002</v>
      </c>
      <c r="F5051" t="s">
        <v>47</v>
      </c>
      <c r="G5051">
        <v>-323.44110000000001</v>
      </c>
      <c r="H5051" s="1">
        <v>-3.0623380000000001E-6</v>
      </c>
      <c r="I5051">
        <v>138.11529999999999</v>
      </c>
      <c r="J5051">
        <v>-289.24130000000002</v>
      </c>
      <c r="K5051">
        <v>1.1092219999999999</v>
      </c>
      <c r="L5051">
        <v>142.38810000000001</v>
      </c>
      <c r="M5051">
        <v>-0.99994950000000005</v>
      </c>
      <c r="N5051">
        <v>0</v>
      </c>
      <c r="O5051">
        <v>4.7996859999999998E-4</v>
      </c>
      <c r="P5051">
        <v>-0.99964949999999997</v>
      </c>
      <c r="Q5051">
        <v>-7.0627149999999998E-3</v>
      </c>
      <c r="R5051">
        <v>2.5518989999999998E-2</v>
      </c>
      <c r="S5051">
        <v>-3.0098569999999998</v>
      </c>
      <c r="T5051">
        <v>-9.6699480000000004E-2</v>
      </c>
      <c r="U5051">
        <v>-0.37248229999999999</v>
      </c>
      <c r="V5051">
        <v>2.5038649999999999E-2</v>
      </c>
      <c r="W5051">
        <v>2.9848219999999998E-3</v>
      </c>
      <c r="X5051">
        <v>0.99968199999999996</v>
      </c>
      <c r="Y5051">
        <v>-0.1232307</v>
      </c>
      <c r="Z5051">
        <v>-1.9868870000000001E-3</v>
      </c>
      <c r="AA5051">
        <v>0.99237609999999998</v>
      </c>
      <c r="AB5051">
        <v>32</v>
      </c>
      <c r="AC5051">
        <v>-34.199799999999897</v>
      </c>
      <c r="AD5051">
        <v>-1.109225062338</v>
      </c>
      <c r="AE5051">
        <v>-4.2728000000000099</v>
      </c>
      <c r="AF5051">
        <v>-4.2847770979246098</v>
      </c>
      <c r="AG5051">
        <v>-1.109225062338</v>
      </c>
      <c r="AH5051">
        <v>34.1623606113981</v>
      </c>
      <c r="AI5051">
        <v>91.845248490067405</v>
      </c>
      <c r="AJ5051">
        <v>97.148930109722698</v>
      </c>
      <c r="AK5051">
        <v>34.447882047537</v>
      </c>
      <c r="AL5051">
        <v>89.828982038099198</v>
      </c>
      <c r="AM5051">
        <v>88.565234654523493</v>
      </c>
      <c r="AN5051">
        <v>0.99999997214009595</v>
      </c>
    </row>
    <row r="5052" spans="1:40" x14ac:dyDescent="0.25">
      <c r="A5052" t="str">
        <f>"20190312160745647"</f>
        <v>20190312160745647</v>
      </c>
      <c r="B5052" t="str">
        <f>"1552378065640170"</f>
        <v>1552378065640170</v>
      </c>
      <c r="C5052" t="s">
        <v>40</v>
      </c>
      <c r="D5052">
        <v>5.6558210000000004</v>
      </c>
      <c r="E5052">
        <v>0.44354250000000001</v>
      </c>
      <c r="F5052" t="s">
        <v>47</v>
      </c>
      <c r="G5052">
        <v>-324.78410000000002</v>
      </c>
      <c r="H5052" s="1">
        <v>-2.5057049999999999E-6</v>
      </c>
      <c r="I5052">
        <v>138.0051</v>
      </c>
      <c r="J5052">
        <v>-289.56959999999998</v>
      </c>
      <c r="K5052">
        <v>1.109219</v>
      </c>
      <c r="L5052">
        <v>142.38820000000001</v>
      </c>
      <c r="M5052">
        <v>-0.99994939999999999</v>
      </c>
      <c r="N5052">
        <v>0</v>
      </c>
      <c r="O5052">
        <v>3.6853370000000001E-4</v>
      </c>
      <c r="P5052">
        <v>-0.99966339999999998</v>
      </c>
      <c r="Q5052">
        <v>-6.9859450000000003E-3</v>
      </c>
      <c r="R5052">
        <v>2.499227E-2</v>
      </c>
      <c r="S5052">
        <v>-3.0098569999999998</v>
      </c>
      <c r="T5052">
        <v>-9.393203E-2</v>
      </c>
      <c r="U5052">
        <v>-0.37115480000000001</v>
      </c>
      <c r="V5052">
        <v>2.4623349999999999E-2</v>
      </c>
      <c r="W5052">
        <v>3.0677909999999998E-3</v>
      </c>
      <c r="X5052">
        <v>0.99969209999999997</v>
      </c>
      <c r="Y5052">
        <v>-0.12269289999999899</v>
      </c>
      <c r="Z5052">
        <v>-1.918281E-3</v>
      </c>
      <c r="AA5052">
        <v>0.99244279999999996</v>
      </c>
      <c r="AB5052">
        <v>32</v>
      </c>
      <c r="AC5052">
        <v>-35.214500000000001</v>
      </c>
      <c r="AD5052">
        <v>-1.1092215057050001</v>
      </c>
      <c r="AE5052">
        <v>-4.3831000000000104</v>
      </c>
      <c r="AF5052">
        <v>-4.39178709227137</v>
      </c>
      <c r="AG5052">
        <v>-1.1092215057050001</v>
      </c>
      <c r="AH5052">
        <v>35.178511040298503</v>
      </c>
      <c r="AI5052">
        <v>91.792105208941294</v>
      </c>
      <c r="AJ5052">
        <v>97.116153099338902</v>
      </c>
      <c r="AK5052">
        <v>35.468941416751697</v>
      </c>
      <c r="AL5052">
        <v>89.824228248926005</v>
      </c>
      <c r="AM5052">
        <v>88.589036733712106</v>
      </c>
      <c r="AN5052">
        <v>1.0000000077546201</v>
      </c>
    </row>
    <row r="5053" spans="1:40" x14ac:dyDescent="0.25">
      <c r="A5053" t="str">
        <f>"20190312160745669"</f>
        <v>20190312160745669</v>
      </c>
      <c r="B5053" t="str">
        <f>"1552378065660669"</f>
        <v>1552378065660669</v>
      </c>
      <c r="C5053" t="s">
        <v>40</v>
      </c>
      <c r="D5053">
        <v>5.6331150000000001</v>
      </c>
      <c r="E5053">
        <v>0.4435849</v>
      </c>
      <c r="F5053" t="s">
        <v>47</v>
      </c>
      <c r="G5053">
        <v>-325.31099999999998</v>
      </c>
      <c r="H5053" s="1">
        <v>-2.2875239999999999E-6</v>
      </c>
      <c r="I5053">
        <v>137.96080000000001</v>
      </c>
      <c r="J5053">
        <v>-289.89229999999998</v>
      </c>
      <c r="K5053">
        <v>1.1092169999999999</v>
      </c>
      <c r="L5053">
        <v>142.38820000000001</v>
      </c>
      <c r="M5053">
        <v>-0.99994950000000005</v>
      </c>
      <c r="N5053">
        <v>0</v>
      </c>
      <c r="O5053">
        <v>2.5876600000000001E-4</v>
      </c>
      <c r="P5053">
        <v>-0.99967600000000001</v>
      </c>
      <c r="Q5053">
        <v>-6.8096959999999996E-3</v>
      </c>
      <c r="R5053">
        <v>2.4529160000000001E-2</v>
      </c>
      <c r="S5053">
        <v>-3.0096440000000002</v>
      </c>
      <c r="T5053">
        <v>-9.3403340000000001E-2</v>
      </c>
      <c r="U5053">
        <v>-0.37280269999999999</v>
      </c>
      <c r="V5053">
        <v>2.426973E-2</v>
      </c>
      <c r="W5053">
        <v>3.2513720000000002E-3</v>
      </c>
      <c r="X5053">
        <v>0.99970020000000004</v>
      </c>
      <c r="Y5053">
        <v>-0.12312819999999999</v>
      </c>
      <c r="Z5053">
        <v>-1.9108949999999999E-3</v>
      </c>
      <c r="AA5053">
        <v>0.99238890000000002</v>
      </c>
      <c r="AB5053">
        <v>32</v>
      </c>
      <c r="AC5053">
        <v>-35.418700000000001</v>
      </c>
      <c r="AD5053">
        <v>-1.1092192875239999</v>
      </c>
      <c r="AE5053">
        <v>-4.4273999999999996</v>
      </c>
      <c r="AF5053">
        <v>-4.4322852729640898</v>
      </c>
      <c r="AG5053">
        <v>-1.1092192875239999</v>
      </c>
      <c r="AH5053">
        <v>35.383383850558197</v>
      </c>
      <c r="AI5053">
        <v>91.781639462206499</v>
      </c>
      <c r="AJ5053">
        <v>97.139942845933902</v>
      </c>
      <c r="AK5053">
        <v>35.677154775636097</v>
      </c>
      <c r="AL5053">
        <v>89.813709786100105</v>
      </c>
      <c r="AM5053">
        <v>88.609303058448006</v>
      </c>
      <c r="AN5053">
        <v>1.0000000405470899</v>
      </c>
    </row>
    <row r="5054" spans="1:40" x14ac:dyDescent="0.25">
      <c r="A5054" t="str">
        <f>"20190312160745701"</f>
        <v>20190312160745701</v>
      </c>
      <c r="B5054" t="str">
        <f>"1552378065690922"</f>
        <v>1552378065690922</v>
      </c>
      <c r="C5054" t="s">
        <v>40</v>
      </c>
      <c r="D5054">
        <v>5.6578939999999998</v>
      </c>
      <c r="E5054">
        <v>0.4436158</v>
      </c>
      <c r="F5054" t="s">
        <v>47</v>
      </c>
      <c r="G5054">
        <v>-326.0829</v>
      </c>
      <c r="H5054" s="1">
        <v>-1.9685860000000001E-6</v>
      </c>
      <c r="I5054">
        <v>137.892</v>
      </c>
      <c r="J5054">
        <v>-290.35019999999997</v>
      </c>
      <c r="K5054">
        <v>1.1092229999999901</v>
      </c>
      <c r="L5054">
        <v>142.38810000000001</v>
      </c>
      <c r="M5054">
        <v>-0.99994950000000005</v>
      </c>
      <c r="N5054">
        <v>0</v>
      </c>
      <c r="O5054">
        <v>1.033213E-4</v>
      </c>
      <c r="P5054">
        <v>-0.99967490000000003</v>
      </c>
      <c r="Q5054">
        <v>-7.8928209999999995E-3</v>
      </c>
      <c r="R5054">
        <v>2.4254319999999999E-2</v>
      </c>
      <c r="S5054">
        <v>-3.0095209999999999</v>
      </c>
      <c r="T5054">
        <v>-9.2239860000000007E-2</v>
      </c>
      <c r="U5054">
        <v>-0.3738861</v>
      </c>
      <c r="V5054">
        <v>2.4150749999999999E-2</v>
      </c>
      <c r="W5054">
        <v>2.1789689999999998E-3</v>
      </c>
      <c r="X5054">
        <v>0.99970599999999998</v>
      </c>
      <c r="Y5054">
        <v>-0.1233321</v>
      </c>
      <c r="Z5054">
        <v>-1.8855040000000001E-3</v>
      </c>
      <c r="AA5054">
        <v>0.99236369999999896</v>
      </c>
      <c r="AB5054">
        <v>32</v>
      </c>
      <c r="AC5054">
        <v>-35.732700000000001</v>
      </c>
      <c r="AD5054">
        <v>-1.1092249685859901</v>
      </c>
      <c r="AE5054">
        <v>-4.49610000000001</v>
      </c>
      <c r="AF5054">
        <v>-4.4955276291171904</v>
      </c>
      <c r="AG5054">
        <v>-1.1092249685859901</v>
      </c>
      <c r="AH5054">
        <v>35.698371570513501</v>
      </c>
      <c r="AI5054">
        <v>91.765792657688706</v>
      </c>
      <c r="AJ5054">
        <v>97.1775257140241</v>
      </c>
      <c r="AK5054">
        <v>35.997414927763103</v>
      </c>
      <c r="AL5054">
        <v>89.875154179626804</v>
      </c>
      <c r="AM5054">
        <v>88.6161261834351</v>
      </c>
      <c r="AN5054">
        <v>1.00000004653373</v>
      </c>
    </row>
    <row r="5055" spans="1:40" x14ac:dyDescent="0.25">
      <c r="A5055" t="str">
        <f>"20190312160745725"</f>
        <v>20190312160745725</v>
      </c>
      <c r="B5055" t="str">
        <f>"1552378065720202"</f>
        <v>1552378065720202</v>
      </c>
      <c r="C5055" t="s">
        <v>40</v>
      </c>
      <c r="D5055">
        <v>5.6932309999999999</v>
      </c>
      <c r="E5055">
        <v>0.44362839999999998</v>
      </c>
      <c r="F5055" t="s">
        <v>47</v>
      </c>
      <c r="G5055">
        <v>-326.06639999999999</v>
      </c>
      <c r="H5055" s="1">
        <v>-1.9669390000000002E-6</v>
      </c>
      <c r="I5055">
        <v>137.94120000000001</v>
      </c>
      <c r="J5055">
        <v>-290.68009999999998</v>
      </c>
      <c r="K5055">
        <v>1.109226</v>
      </c>
      <c r="L5055">
        <v>142.38800000000001</v>
      </c>
      <c r="M5055">
        <v>-0.99994930000000004</v>
      </c>
      <c r="N5055">
        <v>0</v>
      </c>
      <c r="O5055" s="1">
        <v>-8.8379199999999901E-6</v>
      </c>
      <c r="P5055">
        <v>-0.99967490000000003</v>
      </c>
      <c r="Q5055">
        <v>-7.525505E-3</v>
      </c>
      <c r="R5055">
        <v>2.436781E-2</v>
      </c>
      <c r="S5055">
        <v>-3.0093380000000001</v>
      </c>
      <c r="T5055">
        <v>-9.3459959999999995E-2</v>
      </c>
      <c r="U5055">
        <v>-0.3746796</v>
      </c>
      <c r="V5055">
        <v>2.4376129999999999E-2</v>
      </c>
      <c r="W5055">
        <v>2.5547159999999998E-3</v>
      </c>
      <c r="X5055">
        <v>0.99969960000000002</v>
      </c>
      <c r="Y5055">
        <v>-0.12348430000000001</v>
      </c>
      <c r="Z5055">
        <v>-1.9094019999999999E-3</v>
      </c>
      <c r="AA5055">
        <v>0.99234469999999997</v>
      </c>
      <c r="AB5055">
        <v>32</v>
      </c>
      <c r="AC5055">
        <v>-35.386299999999999</v>
      </c>
      <c r="AD5055">
        <v>-1.1092279669389999</v>
      </c>
      <c r="AE5055">
        <v>-4.4467999999999899</v>
      </c>
      <c r="AF5055">
        <v>-4.4421902573684804</v>
      </c>
      <c r="AG5055">
        <v>-1.1092279669389999</v>
      </c>
      <c r="AH5055">
        <v>35.352142738271297</v>
      </c>
      <c r="AI5055">
        <v>91.783140810578502</v>
      </c>
      <c r="AJ5055">
        <v>97.161991479106604</v>
      </c>
      <c r="AK5055">
        <v>35.647404353646998</v>
      </c>
      <c r="AL5055">
        <v>89.853625397041199</v>
      </c>
      <c r="AM5055">
        <v>88.603207729002804</v>
      </c>
      <c r="AN5055">
        <v>1.0000000062638801</v>
      </c>
    </row>
    <row r="5056" spans="1:40" x14ac:dyDescent="0.25">
      <c r="A5056" t="str">
        <f>"20190312160745747"</f>
        <v>20190312160745747</v>
      </c>
      <c r="B5056" t="str">
        <f>"1552378065740698"</f>
        <v>1552378065740698</v>
      </c>
      <c r="C5056" t="s">
        <v>40</v>
      </c>
      <c r="D5056">
        <v>5.7318629999999997</v>
      </c>
      <c r="E5056">
        <v>0.44371369999999999</v>
      </c>
      <c r="F5056" t="s">
        <v>47</v>
      </c>
      <c r="G5056">
        <v>-327.11739999999998</v>
      </c>
      <c r="H5056" s="1">
        <v>-1.530991E-6</v>
      </c>
      <c r="I5056">
        <v>137.8571</v>
      </c>
      <c r="J5056">
        <v>-291.01420000000002</v>
      </c>
      <c r="K5056">
        <v>1.1092310000000001</v>
      </c>
      <c r="L5056">
        <v>142.3879</v>
      </c>
      <c r="M5056">
        <v>-0.99994899999999998</v>
      </c>
      <c r="N5056">
        <v>0</v>
      </c>
      <c r="O5056">
        <v>-1.2254829999999999E-4</v>
      </c>
      <c r="P5056">
        <v>-0.99966960000000005</v>
      </c>
      <c r="Q5056">
        <v>-7.183849E-3</v>
      </c>
      <c r="R5056">
        <v>2.46812E-2</v>
      </c>
      <c r="S5056">
        <v>-3.0093990000000002</v>
      </c>
      <c r="T5056">
        <v>-9.1612700000000005E-2</v>
      </c>
      <c r="U5056">
        <v>-0.3742065</v>
      </c>
      <c r="V5056">
        <v>2.4803180000000001E-2</v>
      </c>
      <c r="W5056">
        <v>2.9051900000000002E-3</v>
      </c>
      <c r="X5056">
        <v>0.99968809999999997</v>
      </c>
      <c r="Y5056">
        <v>-0.1232178</v>
      </c>
      <c r="Z5056">
        <v>-1.8641720000000001E-3</v>
      </c>
      <c r="AA5056">
        <v>0.99237790000000003</v>
      </c>
      <c r="AB5056">
        <v>32</v>
      </c>
      <c r="AC5056">
        <v>-36.103199999999902</v>
      </c>
      <c r="AD5056">
        <v>-1.1092325309909901</v>
      </c>
      <c r="AE5056">
        <v>-4.5307999999999904</v>
      </c>
      <c r="AF5056">
        <v>-4.52217278930517</v>
      </c>
      <c r="AG5056">
        <v>-1.1092325309909901</v>
      </c>
      <c r="AH5056">
        <v>36.070234052409504</v>
      </c>
      <c r="AI5056">
        <v>91.747732543816298</v>
      </c>
      <c r="AJ5056">
        <v>97.145963046695201</v>
      </c>
      <c r="AK5056">
        <v>36.369523342212503</v>
      </c>
      <c r="AL5056">
        <v>89.833544634767605</v>
      </c>
      <c r="AM5056">
        <v>88.5787306705747</v>
      </c>
      <c r="AN5056">
        <v>0.99999996757432796</v>
      </c>
    </row>
    <row r="5057" spans="1:40" x14ac:dyDescent="0.25">
      <c r="A5057" t="str">
        <f>"20190312160745769"</f>
        <v>20190312160745769</v>
      </c>
      <c r="B5057" t="str">
        <f>"1552378065760219"</f>
        <v>1552378065760219</v>
      </c>
      <c r="C5057" t="s">
        <v>40</v>
      </c>
      <c r="D5057">
        <v>5.8056449999999904</v>
      </c>
      <c r="E5057">
        <v>0.44378590000000001</v>
      </c>
      <c r="F5057" t="s">
        <v>47</v>
      </c>
      <c r="G5057">
        <v>-327.49630000000002</v>
      </c>
      <c r="H5057" s="1">
        <v>-1.365782E-6</v>
      </c>
      <c r="I5057">
        <v>137.87209999999999</v>
      </c>
      <c r="J5057">
        <v>-291.33429999999998</v>
      </c>
      <c r="K5057">
        <v>1.1092299999999999</v>
      </c>
      <c r="L5057">
        <v>142.3878</v>
      </c>
      <c r="M5057">
        <v>-0.99994919999999998</v>
      </c>
      <c r="N5057">
        <v>0</v>
      </c>
      <c r="O5057">
        <v>-2.3143069999999999E-4</v>
      </c>
      <c r="P5057">
        <v>-0.99966390000000005</v>
      </c>
      <c r="Q5057">
        <v>-7.5409199999999996E-3</v>
      </c>
      <c r="R5057">
        <v>2.4805489999999999E-2</v>
      </c>
      <c r="S5057">
        <v>-3.0094910000000001</v>
      </c>
      <c r="T5057">
        <v>-9.1503139999999997E-2</v>
      </c>
      <c r="U5057">
        <v>-0.37251279999999998</v>
      </c>
      <c r="V5057">
        <v>2.5036369999999999E-2</v>
      </c>
      <c r="W5057">
        <v>2.5571000000000001E-3</v>
      </c>
      <c r="X5057">
        <v>0.99968330000000005</v>
      </c>
      <c r="Y5057">
        <v>-0.1225565</v>
      </c>
      <c r="Z5057">
        <v>-1.848642E-3</v>
      </c>
      <c r="AA5057">
        <v>0.9924598</v>
      </c>
      <c r="AB5057">
        <v>32</v>
      </c>
      <c r="AC5057">
        <v>-36.161999999999999</v>
      </c>
      <c r="AD5057">
        <v>-1.1092313657820001</v>
      </c>
      <c r="AE5057">
        <v>-4.5157000000000096</v>
      </c>
      <c r="AF5057">
        <v>-4.5031585301710697</v>
      </c>
      <c r="AG5057">
        <v>-1.1092313657820001</v>
      </c>
      <c r="AH5057">
        <v>36.1295721086409</v>
      </c>
      <c r="AI5057">
        <v>91.7450192224414</v>
      </c>
      <c r="AJ5057">
        <v>97.104657363696703</v>
      </c>
      <c r="AK5057">
        <v>36.426018334758602</v>
      </c>
      <c r="AL5057">
        <v>89.853488806853306</v>
      </c>
      <c r="AM5057">
        <v>88.565367113373696</v>
      </c>
      <c r="AN5057">
        <v>1.0000000294410301</v>
      </c>
    </row>
    <row r="5058" spans="1:40" x14ac:dyDescent="0.25">
      <c r="A5058" t="str">
        <f>"20190312160745790"</f>
        <v>20190312160745790</v>
      </c>
      <c r="B5058" t="str">
        <f>"1552378065780714"</f>
        <v>1552378065780714</v>
      </c>
      <c r="C5058" t="s">
        <v>40</v>
      </c>
      <c r="D5058">
        <v>5.8421349999999999</v>
      </c>
      <c r="E5058">
        <v>0.47467819999999999</v>
      </c>
      <c r="F5058" t="s">
        <v>47</v>
      </c>
      <c r="G5058">
        <v>-326.92169999999999</v>
      </c>
      <c r="H5058" s="1">
        <v>-1.590721E-6</v>
      </c>
      <c r="I5058">
        <v>137.99369999999999</v>
      </c>
      <c r="J5058">
        <v>-291.63010000000003</v>
      </c>
      <c r="K5058">
        <v>1.1092249999999999</v>
      </c>
      <c r="L5058">
        <v>142.38759999999999</v>
      </c>
      <c r="M5058">
        <v>-0.99994890000000003</v>
      </c>
      <c r="N5058">
        <v>0</v>
      </c>
      <c r="O5058">
        <v>-3.3184810000000002E-4</v>
      </c>
      <c r="P5058">
        <v>-0.99966049999999995</v>
      </c>
      <c r="Q5058">
        <v>-7.4956119999999996E-3</v>
      </c>
      <c r="R5058">
        <v>2.4954E-2</v>
      </c>
      <c r="S5058">
        <v>-3.0094599999999998</v>
      </c>
      <c r="T5058">
        <v>-9.3802689999999994E-2</v>
      </c>
      <c r="U5058">
        <v>-0.37158200000000002</v>
      </c>
      <c r="V5058">
        <v>2.5285220000000001E-2</v>
      </c>
      <c r="W5058">
        <v>2.6109829999999999E-3</v>
      </c>
      <c r="X5058">
        <v>0.99967689999999998</v>
      </c>
      <c r="Y5058">
        <v>-0.1221531</v>
      </c>
      <c r="Z5058">
        <v>-1.8857539999999999E-3</v>
      </c>
      <c r="AA5058">
        <v>0.99250950000000004</v>
      </c>
      <c r="AB5058">
        <v>32</v>
      </c>
      <c r="AC5058">
        <v>-35.291599999999903</v>
      </c>
      <c r="AD5058">
        <v>-1.1092265907209999</v>
      </c>
      <c r="AE5058">
        <v>-4.3939000000000004</v>
      </c>
      <c r="AF5058">
        <v>-4.3779289197504498</v>
      </c>
      <c r="AG5058">
        <v>-1.1092265907209999</v>
      </c>
      <c r="AH5058">
        <v>35.258756996446799</v>
      </c>
      <c r="AI5058">
        <v>91.788185730763999</v>
      </c>
      <c r="AJ5058">
        <v>97.077946152664197</v>
      </c>
      <c r="AK5058">
        <v>35.546822504837699</v>
      </c>
      <c r="AL5058">
        <v>89.85040152853</v>
      </c>
      <c r="AM5058">
        <v>88.551104298988193</v>
      </c>
      <c r="AN5058">
        <v>1.0000000319881399</v>
      </c>
    </row>
    <row r="5059" spans="1:40" x14ac:dyDescent="0.25">
      <c r="A5059" t="str">
        <f>"20190312160745813"</f>
        <v>20190312160745813</v>
      </c>
      <c r="B5059" t="str">
        <f>"1552378065800234"</f>
        <v>1552378065800234</v>
      </c>
      <c r="C5059" t="s">
        <v>40</v>
      </c>
      <c r="D5059">
        <v>5.844106</v>
      </c>
      <c r="E5059">
        <v>0.48036410000000002</v>
      </c>
      <c r="F5059" t="s">
        <v>89</v>
      </c>
      <c r="G5059">
        <v>-317.24130000000002</v>
      </c>
      <c r="H5059" s="1">
        <v>-7.0455209999999997E-6</v>
      </c>
      <c r="I5059">
        <v>141.33580000000001</v>
      </c>
      <c r="J5059">
        <v>-291.96910000000003</v>
      </c>
      <c r="K5059">
        <v>1.109226</v>
      </c>
      <c r="L5059">
        <v>142.38740000000001</v>
      </c>
      <c r="M5059">
        <v>-0.99994890000000003</v>
      </c>
      <c r="N5059">
        <v>0</v>
      </c>
      <c r="O5059">
        <v>-4.4693819999999998E-4</v>
      </c>
      <c r="P5059">
        <v>-0.99967269999999997</v>
      </c>
      <c r="Q5059">
        <v>-7.4891300000000001E-3</v>
      </c>
      <c r="R5059">
        <v>2.4471329999999999E-2</v>
      </c>
      <c r="S5059">
        <v>-3.0031129999999999</v>
      </c>
      <c r="T5059">
        <v>-0.1300664</v>
      </c>
      <c r="U5059">
        <v>-0.1233368</v>
      </c>
      <c r="V5059">
        <v>2.4917669999999999E-2</v>
      </c>
      <c r="W5059">
        <v>2.6271950000000001E-3</v>
      </c>
      <c r="X5059">
        <v>0.99968610000000002</v>
      </c>
      <c r="Y5059">
        <v>-4.0550940000000001E-2</v>
      </c>
      <c r="Z5059">
        <v>-8.5801979999999996E-4</v>
      </c>
      <c r="AA5059">
        <v>0.99917710000000004</v>
      </c>
      <c r="AB5059">
        <v>32</v>
      </c>
      <c r="AC5059">
        <v>-25.272200000000002</v>
      </c>
      <c r="AD5059">
        <v>-1.109233045521</v>
      </c>
      <c r="AE5059">
        <v>-1.0516000000000001</v>
      </c>
      <c r="AF5059">
        <v>-1.0383074092934499</v>
      </c>
      <c r="AG5059">
        <v>-1.109233045521</v>
      </c>
      <c r="AH5059">
        <v>25.2241582159815</v>
      </c>
      <c r="AI5059">
        <v>92.515833438785904</v>
      </c>
      <c r="AJ5059">
        <v>92.357147679173096</v>
      </c>
      <c r="AK5059">
        <v>25.269876096457999</v>
      </c>
      <c r="AL5059">
        <v>89.849472648227604</v>
      </c>
      <c r="AM5059">
        <v>88.5721700302866</v>
      </c>
      <c r="AN5059">
        <v>1.0000000454825</v>
      </c>
    </row>
    <row r="5060" spans="1:40" x14ac:dyDescent="0.25">
      <c r="A5060" t="str">
        <f>"20190312160745837"</f>
        <v>20190312160745837</v>
      </c>
      <c r="B5060" t="str">
        <f>"1552378065830490"</f>
        <v>1552378065830490</v>
      </c>
      <c r="C5060" t="s">
        <v>40</v>
      </c>
      <c r="D5060">
        <v>5.9999669999999998</v>
      </c>
      <c r="E5060">
        <v>0.48357850000000002</v>
      </c>
      <c r="F5060" t="s">
        <v>47</v>
      </c>
      <c r="G5060">
        <v>-324.89069999999998</v>
      </c>
      <c r="H5060" s="1">
        <v>-2.6765129999999998E-6</v>
      </c>
      <c r="I5060">
        <v>141.5043</v>
      </c>
      <c r="J5060">
        <v>-292.3075</v>
      </c>
      <c r="K5060">
        <v>1.1092310000000001</v>
      </c>
      <c r="L5060">
        <v>142.3871</v>
      </c>
      <c r="M5060">
        <v>-0.99994859999999997</v>
      </c>
      <c r="N5060">
        <v>0</v>
      </c>
      <c r="O5060">
        <v>-5.6148829999999995E-4</v>
      </c>
      <c r="P5060">
        <v>-0.99968480000000004</v>
      </c>
      <c r="Q5060">
        <v>-7.38719099999999E-3</v>
      </c>
      <c r="R5060">
        <v>2.400762E-2</v>
      </c>
      <c r="S5060">
        <v>-3.0021969999999998</v>
      </c>
      <c r="T5060">
        <v>-0.1011531</v>
      </c>
      <c r="U5060">
        <v>-8.0520629999999996E-2</v>
      </c>
      <c r="V5060">
        <v>2.4568530000000002E-2</v>
      </c>
      <c r="W5060">
        <v>2.750695E-3</v>
      </c>
      <c r="X5060">
        <v>0.99969430000000004</v>
      </c>
      <c r="Y5060">
        <v>-2.6235049999999999E-2</v>
      </c>
      <c r="Z5060">
        <v>-4.2285400000000001E-4</v>
      </c>
      <c r="AA5060">
        <v>0.99965570000000004</v>
      </c>
      <c r="AB5060">
        <v>32</v>
      </c>
      <c r="AC5060">
        <v>-32.583199999999898</v>
      </c>
      <c r="AD5060">
        <v>-1.10923367651299</v>
      </c>
      <c r="AE5060">
        <v>-0.88280000000000303</v>
      </c>
      <c r="AF5060">
        <v>-0.86350382803292203</v>
      </c>
      <c r="AG5060">
        <v>-1.10923367651299</v>
      </c>
      <c r="AH5060">
        <v>32.545999579761599</v>
      </c>
      <c r="AI5060">
        <v>91.951314655615604</v>
      </c>
      <c r="AJ5060">
        <v>91.519803397299</v>
      </c>
      <c r="AK5060">
        <v>32.5763430552906</v>
      </c>
      <c r="AL5060">
        <v>89.842396576973599</v>
      </c>
      <c r="AM5060">
        <v>88.592179851894997</v>
      </c>
      <c r="AN5060">
        <v>0.99999993622091499</v>
      </c>
    </row>
    <row r="5061" spans="1:40" x14ac:dyDescent="0.25">
      <c r="A5061" t="str">
        <f>"20190312160745860"</f>
        <v>20190312160745860</v>
      </c>
      <c r="B5061" t="str">
        <f>"1552378065850010"</f>
        <v>1552378065850010</v>
      </c>
      <c r="C5061" t="s">
        <v>40</v>
      </c>
      <c r="D5061">
        <v>5.8545740000000004</v>
      </c>
      <c r="E5061">
        <v>0.48459360000000001</v>
      </c>
      <c r="F5061" t="s">
        <v>47</v>
      </c>
      <c r="G5061">
        <v>-331.5367</v>
      </c>
      <c r="H5061" s="1">
        <v>-4.481E-6</v>
      </c>
      <c r="I5061">
        <v>141.64490000000001</v>
      </c>
      <c r="J5061">
        <v>-292.64909999999998</v>
      </c>
      <c r="K5061">
        <v>1.109273</v>
      </c>
      <c r="L5061">
        <v>142.38679999999999</v>
      </c>
      <c r="M5061">
        <v>-0.99994640000000001</v>
      </c>
      <c r="N5061">
        <v>0</v>
      </c>
      <c r="O5061">
        <v>-6.7647439999999996E-4</v>
      </c>
      <c r="P5061">
        <v>-0.99969010000000003</v>
      </c>
      <c r="Q5061">
        <v>-7.8514910000000004E-3</v>
      </c>
      <c r="R5061">
        <v>2.3627789999999999E-2</v>
      </c>
      <c r="S5061">
        <v>-3.0016780000000001</v>
      </c>
      <c r="T5061">
        <v>-8.4874749999999999E-2</v>
      </c>
      <c r="U5061">
        <v>-5.6793209999999997E-2</v>
      </c>
      <c r="V5061">
        <v>2.4303689999999999E-2</v>
      </c>
      <c r="W5061">
        <v>2.482237E-3</v>
      </c>
      <c r="X5061">
        <v>0.99970159999999997</v>
      </c>
      <c r="Y5061">
        <v>-1.823369E-2</v>
      </c>
      <c r="Z5061">
        <v>-2.38588E-4</v>
      </c>
      <c r="AA5061">
        <v>0.99983370000000005</v>
      </c>
      <c r="AB5061">
        <v>32</v>
      </c>
      <c r="AC5061">
        <v>-38.887599999999999</v>
      </c>
      <c r="AD5061">
        <v>-1.1092774809999999</v>
      </c>
      <c r="AE5061">
        <v>-0.74189999999998602</v>
      </c>
      <c r="AF5061">
        <v>-0.71501037631829101</v>
      </c>
      <c r="AG5061">
        <v>-1.1092774809999999</v>
      </c>
      <c r="AH5061">
        <v>38.856487435796701</v>
      </c>
      <c r="AI5061">
        <v>91.634962795553406</v>
      </c>
      <c r="AJ5061">
        <v>91.054198580020696</v>
      </c>
      <c r="AK5061">
        <v>38.878893402671899</v>
      </c>
      <c r="AL5061">
        <v>89.857778158624001</v>
      </c>
      <c r="AM5061">
        <v>88.607359807827095</v>
      </c>
      <c r="AN5061">
        <v>1.00000005994534</v>
      </c>
    </row>
    <row r="5062" spans="1:40" x14ac:dyDescent="0.25">
      <c r="A5062" t="str">
        <f>"20190312160745880"</f>
        <v>20190312160745880</v>
      </c>
      <c r="B5062" t="str">
        <f>"1552378065870506"</f>
        <v>1552378065870506</v>
      </c>
      <c r="C5062" t="s">
        <v>40</v>
      </c>
      <c r="D5062">
        <v>6.1471819999999999</v>
      </c>
      <c r="E5062">
        <v>0.48527179999999998</v>
      </c>
      <c r="F5062" t="s">
        <v>47</v>
      </c>
      <c r="G5062">
        <v>-324.86200000000002</v>
      </c>
      <c r="H5062" s="1">
        <v>-2.7829940000000001E-6</v>
      </c>
      <c r="I5062">
        <v>141.85820000000001</v>
      </c>
      <c r="J5062">
        <v>-292.94389999999999</v>
      </c>
      <c r="K5062">
        <v>1.109375</v>
      </c>
      <c r="L5062">
        <v>142.38650000000001</v>
      </c>
      <c r="M5062">
        <v>-0.99994249999999996</v>
      </c>
      <c r="N5062">
        <v>0</v>
      </c>
      <c r="O5062">
        <v>-7.74692E-4</v>
      </c>
      <c r="P5062">
        <v>-0.99969410000000003</v>
      </c>
      <c r="Q5062">
        <v>-7.894725E-3</v>
      </c>
      <c r="R5062">
        <v>2.3443510000000001E-2</v>
      </c>
      <c r="S5062">
        <v>-3.0012819999999998</v>
      </c>
      <c r="T5062">
        <v>-0.1033517</v>
      </c>
      <c r="U5062">
        <v>-4.9240109999999997E-2</v>
      </c>
      <c r="V5062">
        <v>2.421738E-2</v>
      </c>
      <c r="W5062">
        <v>2.8160220000000001E-3</v>
      </c>
      <c r="X5062">
        <v>0.9997028</v>
      </c>
      <c r="Y5062">
        <v>-1.5620719999999999E-2</v>
      </c>
      <c r="Z5062">
        <v>-2.4218969999999999E-4</v>
      </c>
      <c r="AA5062">
        <v>0.99987800000000004</v>
      </c>
      <c r="AB5062">
        <v>32</v>
      </c>
      <c r="AC5062">
        <v>-31.918099999999999</v>
      </c>
      <c r="AD5062">
        <v>-1.1093777829939999</v>
      </c>
      <c r="AE5062">
        <v>-0.52830000000000099</v>
      </c>
      <c r="AF5062">
        <v>-0.50296429074527005</v>
      </c>
      <c r="AG5062">
        <v>-1.1093777829939999</v>
      </c>
      <c r="AH5062">
        <v>31.8799976350417</v>
      </c>
      <c r="AI5062">
        <v>91.992758211420593</v>
      </c>
      <c r="AJ5062">
        <v>90.903868965442399</v>
      </c>
      <c r="AK5062">
        <v>31.903259102377501</v>
      </c>
      <c r="AL5062">
        <v>89.838653619189202</v>
      </c>
      <c r="AM5062">
        <v>88.612305236215306</v>
      </c>
      <c r="AN5062">
        <v>1.0000000499009001</v>
      </c>
    </row>
    <row r="5063" spans="1:40" x14ac:dyDescent="0.25">
      <c r="A5063" t="str">
        <f>"20190312160745902"</f>
        <v>20190312160745902</v>
      </c>
      <c r="B5063" t="str">
        <f>"1552378065890026"</f>
        <v>1552378065890026</v>
      </c>
      <c r="C5063" t="s">
        <v>40</v>
      </c>
      <c r="D5063">
        <v>5.8804790000000002</v>
      </c>
      <c r="E5063">
        <v>0.48572470000000001</v>
      </c>
      <c r="F5063" t="s">
        <v>47</v>
      </c>
      <c r="G5063">
        <v>-325.39229999999998</v>
      </c>
      <c r="H5063" s="1">
        <v>-2.5683049999999898E-6</v>
      </c>
      <c r="I5063">
        <v>141.90629999999999</v>
      </c>
      <c r="J5063">
        <v>-293.25979999999998</v>
      </c>
      <c r="K5063">
        <v>1.1094489999999999</v>
      </c>
      <c r="L5063">
        <v>142.3861</v>
      </c>
      <c r="M5063">
        <v>-0.99993840000000001</v>
      </c>
      <c r="N5063">
        <v>0</v>
      </c>
      <c r="O5063">
        <v>-8.8336630000000001E-4</v>
      </c>
      <c r="P5063">
        <v>-0.99971560000000004</v>
      </c>
      <c r="Q5063">
        <v>-7.6557989999999996E-3</v>
      </c>
      <c r="R5063">
        <v>2.25869E-2</v>
      </c>
      <c r="S5063">
        <v>-3.0011899999999998</v>
      </c>
      <c r="T5063">
        <v>-0.1026078</v>
      </c>
      <c r="U5063">
        <v>-4.4403079999999998E-2</v>
      </c>
      <c r="V5063">
        <v>2.3469460000000001E-2</v>
      </c>
      <c r="W5063">
        <v>3.4130190000000002E-3</v>
      </c>
      <c r="X5063">
        <v>0.99971869999999996</v>
      </c>
      <c r="Y5063">
        <v>-1.3902599999999999E-2</v>
      </c>
      <c r="Z5063">
        <v>-2.0738319999999999E-4</v>
      </c>
      <c r="AA5063">
        <v>0.99990330000000005</v>
      </c>
      <c r="AB5063">
        <v>32</v>
      </c>
      <c r="AC5063">
        <v>-32.132499999999901</v>
      </c>
      <c r="AD5063">
        <v>-1.1094515683049999</v>
      </c>
      <c r="AE5063">
        <v>-0.479800000000011</v>
      </c>
      <c r="AF5063">
        <v>-0.45087591970517998</v>
      </c>
      <c r="AG5063">
        <v>-1.1094515683049999</v>
      </c>
      <c r="AH5063">
        <v>32.0946584936341</v>
      </c>
      <c r="AI5063">
        <v>91.979623074555306</v>
      </c>
      <c r="AJ5063">
        <v>90.804856298596405</v>
      </c>
      <c r="AK5063">
        <v>32.116993565718197</v>
      </c>
      <c r="AL5063">
        <v>89.804448030710404</v>
      </c>
      <c r="AM5063">
        <v>88.655167644588801</v>
      </c>
      <c r="AN5063">
        <v>0.999999971690537</v>
      </c>
    </row>
    <row r="5064" spans="1:40" x14ac:dyDescent="0.25">
      <c r="A5064" t="str">
        <f>"20190312160745926"</f>
        <v>20190312160745926</v>
      </c>
      <c r="B5064" t="str">
        <f>"1552378065920282"</f>
        <v>1552378065920282</v>
      </c>
      <c r="C5064" t="s">
        <v>40</v>
      </c>
      <c r="D5064">
        <v>5.9134149999999996</v>
      </c>
      <c r="E5064">
        <v>0.4861355</v>
      </c>
      <c r="F5064" t="s">
        <v>47</v>
      </c>
      <c r="G5064">
        <v>-327.3073</v>
      </c>
      <c r="H5064" s="1">
        <v>-1.74345E-6</v>
      </c>
      <c r="I5064">
        <v>141.8937</v>
      </c>
      <c r="J5064">
        <v>-293.59780000000001</v>
      </c>
      <c r="K5064">
        <v>1.1094889999999999</v>
      </c>
      <c r="L5064">
        <v>142.38570000000001</v>
      </c>
      <c r="M5064">
        <v>-0.99993520000000002</v>
      </c>
      <c r="N5064">
        <v>0</v>
      </c>
      <c r="O5064">
        <v>-1.004855E-3</v>
      </c>
      <c r="P5064">
        <v>-0.99972059999999996</v>
      </c>
      <c r="Q5064">
        <v>-8.0351390000000002E-3</v>
      </c>
      <c r="R5064">
        <v>2.2227520000000001E-2</v>
      </c>
      <c r="S5064">
        <v>-3.0010379999999999</v>
      </c>
      <c r="T5064">
        <v>-9.779024E-2</v>
      </c>
      <c r="U5064">
        <v>-4.3395999999999997E-2</v>
      </c>
      <c r="V5064">
        <v>2.3231580000000002E-2</v>
      </c>
      <c r="W5064">
        <v>3.300009E-3</v>
      </c>
      <c r="X5064">
        <v>0.99972470000000002</v>
      </c>
      <c r="Y5064">
        <v>-1.3447399999999899E-2</v>
      </c>
      <c r="Z5064">
        <v>-1.8629000000000001E-4</v>
      </c>
      <c r="AA5064">
        <v>0.99990959999999995</v>
      </c>
      <c r="AB5064">
        <v>32</v>
      </c>
      <c r="AC5064">
        <v>-33.709499999999899</v>
      </c>
      <c r="AD5064">
        <v>-1.1094907434500001</v>
      </c>
      <c r="AE5064">
        <v>-0.49200000000001798</v>
      </c>
      <c r="AF5064">
        <v>-0.45762877710750599</v>
      </c>
      <c r="AG5064">
        <v>-1.1094907434500001</v>
      </c>
      <c r="AH5064">
        <v>33.673507161951797</v>
      </c>
      <c r="AI5064">
        <v>91.886951806835697</v>
      </c>
      <c r="AJ5064">
        <v>90.778611605188004</v>
      </c>
      <c r="AK5064">
        <v>33.694888015742897</v>
      </c>
      <c r="AL5064">
        <v>89.810923075589002</v>
      </c>
      <c r="AM5064">
        <v>88.668801552509805</v>
      </c>
      <c r="AN5064">
        <v>1.0000000360793899</v>
      </c>
    </row>
    <row r="5065" spans="1:40" x14ac:dyDescent="0.25">
      <c r="A5065" t="str">
        <f>"20190312160745948"</f>
        <v>20190312160745948</v>
      </c>
      <c r="B5065" t="str">
        <f>"1552378065940778"</f>
        <v>1552378065940778</v>
      </c>
      <c r="C5065" t="s">
        <v>40</v>
      </c>
      <c r="D5065">
        <v>5.9267609999999999</v>
      </c>
      <c r="E5065">
        <v>0.48564230000000003</v>
      </c>
      <c r="F5065" t="s">
        <v>47</v>
      </c>
      <c r="G5065">
        <v>-328.63409999999999</v>
      </c>
      <c r="H5065" s="1">
        <v>-1.176964E-6</v>
      </c>
      <c r="I5065">
        <v>141.90389999999999</v>
      </c>
      <c r="J5065">
        <v>-293.9255</v>
      </c>
      <c r="K5065">
        <v>1.109505</v>
      </c>
      <c r="L5065">
        <v>142.3852</v>
      </c>
      <c r="M5065">
        <v>-0.99993270000000001</v>
      </c>
      <c r="N5065">
        <v>0</v>
      </c>
      <c r="O5065">
        <v>-1.122984E-3</v>
      </c>
      <c r="P5065">
        <v>-0.99972870000000003</v>
      </c>
      <c r="Q5065">
        <v>-8.2934469999999903E-3</v>
      </c>
      <c r="R5065">
        <v>2.176925E-2</v>
      </c>
      <c r="S5065">
        <v>-3.001007</v>
      </c>
      <c r="T5065">
        <v>-9.5032930000000002E-2</v>
      </c>
      <c r="U5065">
        <v>-4.1259770000000001E-2</v>
      </c>
      <c r="V5065">
        <v>2.289128E-2</v>
      </c>
      <c r="W5065">
        <v>3.254233E-3</v>
      </c>
      <c r="X5065">
        <v>0.99973270000000003</v>
      </c>
      <c r="Y5065">
        <v>-1.2618620000000001E-2</v>
      </c>
      <c r="Z5065">
        <v>-1.6418429999999999E-4</v>
      </c>
      <c r="AA5065">
        <v>0.99992040000000004</v>
      </c>
      <c r="AB5065">
        <v>32</v>
      </c>
      <c r="AC5065">
        <v>-34.708599999999898</v>
      </c>
      <c r="AD5065">
        <v>-1.109506176964</v>
      </c>
      <c r="AE5065">
        <v>-0.481300000000004</v>
      </c>
      <c r="AF5065">
        <v>-0.441868460742808</v>
      </c>
      <c r="AG5065">
        <v>-1.109506176964</v>
      </c>
      <c r="AH5065">
        <v>34.673694291627001</v>
      </c>
      <c r="AI5065">
        <v>91.832604901035296</v>
      </c>
      <c r="AJ5065">
        <v>90.730116246557998</v>
      </c>
      <c r="AK5065">
        <v>34.694254964223298</v>
      </c>
      <c r="AL5065">
        <v>89.813545861183499</v>
      </c>
      <c r="AM5065">
        <v>88.688304795553194</v>
      </c>
      <c r="AN5065">
        <v>1.0000000360908701</v>
      </c>
    </row>
    <row r="5066" spans="1:40" x14ac:dyDescent="0.25">
      <c r="A5066" t="str">
        <f>"20190312160745971"</f>
        <v>20190312160745971</v>
      </c>
      <c r="B5066" t="str">
        <f>"1552378065960298"</f>
        <v>1552378065960298</v>
      </c>
      <c r="C5066" t="s">
        <v>40</v>
      </c>
      <c r="D5066">
        <v>5.8676769999999996</v>
      </c>
      <c r="E5066">
        <v>0.45116600000000001</v>
      </c>
      <c r="F5066" t="s">
        <v>47</v>
      </c>
      <c r="G5066">
        <v>-329.1103</v>
      </c>
      <c r="H5066" s="1">
        <v>-9.5500720000000003E-7</v>
      </c>
      <c r="I5066">
        <v>141.83760000000001</v>
      </c>
      <c r="J5066">
        <v>-294.2423</v>
      </c>
      <c r="K5066">
        <v>1.1095200000000001</v>
      </c>
      <c r="L5066">
        <v>142.38480000000001</v>
      </c>
      <c r="M5066">
        <v>-0.9999306</v>
      </c>
      <c r="N5066">
        <v>0</v>
      </c>
      <c r="O5066">
        <v>-1.2360730000000001E-3</v>
      </c>
      <c r="P5066">
        <v>-0.99971710000000003</v>
      </c>
      <c r="Q5066">
        <v>-8.1608849999999997E-3</v>
      </c>
      <c r="R5066">
        <v>2.2344269999999999E-2</v>
      </c>
      <c r="S5066">
        <v>-3.001099</v>
      </c>
      <c r="T5066">
        <v>-9.4635960000000005E-2</v>
      </c>
      <c r="U5066">
        <v>-4.6707150000000003E-2</v>
      </c>
      <c r="V5066">
        <v>2.3579180000000002E-2</v>
      </c>
      <c r="W5066">
        <v>3.57705E-3</v>
      </c>
      <c r="X5066">
        <v>0.99971560000000004</v>
      </c>
      <c r="Y5066">
        <v>-1.431895E-2</v>
      </c>
      <c r="Z5066">
        <v>-1.8672679999999999E-4</v>
      </c>
      <c r="AA5066">
        <v>0.99989749999999999</v>
      </c>
      <c r="AB5066">
        <v>32</v>
      </c>
      <c r="AC5066">
        <v>-34.867999999999903</v>
      </c>
      <c r="AD5066">
        <v>-1.1095209550072</v>
      </c>
      <c r="AE5066">
        <v>-0.54720000000000302</v>
      </c>
      <c r="AF5066">
        <v>-0.50358744771337005</v>
      </c>
      <c r="AG5066">
        <v>-1.1095209550072</v>
      </c>
      <c r="AH5066">
        <v>34.833387884695902</v>
      </c>
      <c r="AI5066">
        <v>91.824190825539304</v>
      </c>
      <c r="AJ5066">
        <v>90.828269289761096</v>
      </c>
      <c r="AK5066">
        <v>34.854691916480498</v>
      </c>
      <c r="AL5066">
        <v>89.795049700348201</v>
      </c>
      <c r="AM5066">
        <v>88.648878674593007</v>
      </c>
      <c r="AN5066">
        <v>1.00000002694976</v>
      </c>
    </row>
    <row r="5067" spans="1:40" x14ac:dyDescent="0.25">
      <c r="A5067" t="str">
        <f>"20190312160745993"</f>
        <v>20190312160745993</v>
      </c>
      <c r="B5067" t="str">
        <f>"1552378065980794"</f>
        <v>1552378065980794</v>
      </c>
      <c r="C5067" t="s">
        <v>40</v>
      </c>
      <c r="D5067">
        <v>5.8752069999999996</v>
      </c>
      <c r="E5067">
        <v>0.44894240000000002</v>
      </c>
      <c r="F5067" t="s">
        <v>47</v>
      </c>
      <c r="G5067">
        <v>-324.92790000000002</v>
      </c>
      <c r="H5067" s="1">
        <v>-2.245693E-6</v>
      </c>
      <c r="I5067">
        <v>139.12309999999999</v>
      </c>
      <c r="J5067">
        <v>-294.56479999999999</v>
      </c>
      <c r="K5067">
        <v>1.1095330000000001</v>
      </c>
      <c r="L5067">
        <v>142.38419999999999</v>
      </c>
      <c r="M5067">
        <v>-0.99992809999999999</v>
      </c>
      <c r="N5067">
        <v>0</v>
      </c>
      <c r="O5067">
        <v>-1.352383E-3</v>
      </c>
      <c r="P5067">
        <v>-0.9997163</v>
      </c>
      <c r="Q5067">
        <v>-7.7157600000000003E-3</v>
      </c>
      <c r="R5067">
        <v>2.2534620000000002E-2</v>
      </c>
      <c r="S5067">
        <v>-3.0071409999999998</v>
      </c>
      <c r="T5067">
        <v>-0.10873149999999999</v>
      </c>
      <c r="U5067">
        <v>-0.31962590000000002</v>
      </c>
      <c r="V5067">
        <v>2.388562E-2</v>
      </c>
      <c r="W5067">
        <v>4.1955029999999997E-3</v>
      </c>
      <c r="X5067">
        <v>0.99970590000000004</v>
      </c>
      <c r="Y5067">
        <v>-0.1042821</v>
      </c>
      <c r="Z5067">
        <v>-1.830651E-3</v>
      </c>
      <c r="AA5067">
        <v>0.99454609999999999</v>
      </c>
      <c r="AB5067">
        <v>32</v>
      </c>
      <c r="AC5067">
        <v>-30.363099999999999</v>
      </c>
      <c r="AD5067">
        <v>-1.1095352456929899</v>
      </c>
      <c r="AE5067">
        <v>-3.2610999999999901</v>
      </c>
      <c r="AF5067">
        <v>-3.2157863826319701</v>
      </c>
      <c r="AG5067">
        <v>-1.1095352456929899</v>
      </c>
      <c r="AH5067">
        <v>30.327447348801499</v>
      </c>
      <c r="AI5067">
        <v>92.083571938391401</v>
      </c>
      <c r="AJ5067">
        <v>96.0527700540636</v>
      </c>
      <c r="AK5067">
        <v>30.517641016541301</v>
      </c>
      <c r="AL5067">
        <v>89.7596146813339</v>
      </c>
      <c r="AM5067">
        <v>88.631312578072396</v>
      </c>
      <c r="AN5067">
        <v>1.0000000057914999</v>
      </c>
    </row>
    <row r="5068" spans="1:40" x14ac:dyDescent="0.25">
      <c r="A5068" t="str">
        <f>"20190312160746014"</f>
        <v>20190312160746014</v>
      </c>
      <c r="B5068" t="str">
        <f>"1552378066010074"</f>
        <v>1552378066010074</v>
      </c>
      <c r="C5068" t="s">
        <v>40</v>
      </c>
      <c r="D5068">
        <v>5.8578510000000001</v>
      </c>
      <c r="E5068">
        <v>0.4475809</v>
      </c>
      <c r="F5068" t="s">
        <v>47</v>
      </c>
      <c r="G5068">
        <v>-323.65320000000003</v>
      </c>
      <c r="H5068" s="1">
        <v>-2.7915580000000002E-6</v>
      </c>
      <c r="I5068">
        <v>139.12880000000001</v>
      </c>
      <c r="J5068">
        <v>-294.87360000000001</v>
      </c>
      <c r="K5068">
        <v>1.109534</v>
      </c>
      <c r="L5068">
        <v>142.3837</v>
      </c>
      <c r="M5068">
        <v>-0.99992639999999999</v>
      </c>
      <c r="N5068">
        <v>0</v>
      </c>
      <c r="O5068">
        <v>-1.4633960000000001E-3</v>
      </c>
      <c r="P5068">
        <v>-0.99972190000000005</v>
      </c>
      <c r="Q5068">
        <v>-7.1427720000000004E-3</v>
      </c>
      <c r="R5068">
        <v>2.2482120000000001E-2</v>
      </c>
      <c r="S5068">
        <v>-3.007568</v>
      </c>
      <c r="T5068">
        <v>-0.11471969999999999</v>
      </c>
      <c r="U5068">
        <v>-0.3365784</v>
      </c>
      <c r="V5068">
        <v>2.3944090000000001E-2</v>
      </c>
      <c r="W5068">
        <v>4.9121829999999997E-3</v>
      </c>
      <c r="X5068">
        <v>0.99970119999999896</v>
      </c>
      <c r="Y5068">
        <v>-0.1096839</v>
      </c>
      <c r="Z5068">
        <v>-2.028986E-3</v>
      </c>
      <c r="AA5068">
        <v>0.99396439999999997</v>
      </c>
      <c r="AB5068">
        <v>32</v>
      </c>
      <c r="AC5068">
        <v>-28.779599999999999</v>
      </c>
      <c r="AD5068">
        <v>-1.1095367915579999</v>
      </c>
      <c r="AE5068">
        <v>-3.2548999999999899</v>
      </c>
      <c r="AF5068">
        <v>-3.2080694930127001</v>
      </c>
      <c r="AG5068">
        <v>-1.1095367915579999</v>
      </c>
      <c r="AH5068">
        <v>28.742152075328502</v>
      </c>
      <c r="AI5068">
        <v>92.197068546358906</v>
      </c>
      <c r="AJ5068">
        <v>96.368736728452404</v>
      </c>
      <c r="AK5068">
        <v>28.941908846603901</v>
      </c>
      <c r="AL5068">
        <v>89.718551505338695</v>
      </c>
      <c r="AM5068">
        <v>88.627956976837794</v>
      </c>
      <c r="AN5068">
        <v>0.99999996913459599</v>
      </c>
    </row>
    <row r="5069" spans="1:40" x14ac:dyDescent="0.25">
      <c r="A5069" t="str">
        <f>"20190312160746449"</f>
        <v>20190312160746449</v>
      </c>
      <c r="B5069" t="str">
        <f>"1552378066440490"</f>
        <v>1552378066440490</v>
      </c>
      <c r="C5069" t="s">
        <v>40</v>
      </c>
      <c r="D5069">
        <v>5.7614769999999904</v>
      </c>
      <c r="E5069">
        <v>0.44382709999999997</v>
      </c>
      <c r="F5069" t="s">
        <v>47</v>
      </c>
      <c r="G5069">
        <v>-323.00970000000001</v>
      </c>
      <c r="H5069" s="1">
        <v>-3.0664380000000002E-6</v>
      </c>
      <c r="I5069">
        <v>139.13550000000001</v>
      </c>
      <c r="J5069">
        <v>-301.36410000000001</v>
      </c>
      <c r="K5069">
        <v>1.1087849999999999</v>
      </c>
      <c r="L5069">
        <v>142.36529999999999</v>
      </c>
      <c r="M5069">
        <v>-0.99998019999999999</v>
      </c>
      <c r="N5069">
        <v>0</v>
      </c>
      <c r="O5069">
        <v>-3.559113E-3</v>
      </c>
      <c r="P5069">
        <v>-0.99976929999999997</v>
      </c>
      <c r="Q5069">
        <v>-2.9324569999999999E-3</v>
      </c>
      <c r="R5069">
        <v>2.128625E-2</v>
      </c>
      <c r="S5069">
        <v>-3.0078130000000001</v>
      </c>
      <c r="T5069">
        <v>-0.1186123</v>
      </c>
      <c r="U5069">
        <v>-0.34722900000000001</v>
      </c>
      <c r="V5069">
        <v>2.4844080000000001E-2</v>
      </c>
      <c r="W5069">
        <v>2.2948410000000002E-3</v>
      </c>
      <c r="X5069">
        <v>0.99968869999999999</v>
      </c>
      <c r="Y5069">
        <v>-0.11106190000000001</v>
      </c>
      <c r="Z5069">
        <v>-2.0419320000000002E-3</v>
      </c>
      <c r="AA5069">
        <v>0.99381140000000001</v>
      </c>
      <c r="AB5069">
        <v>35</v>
      </c>
      <c r="AC5069">
        <v>-21.645600000000002</v>
      </c>
      <c r="AD5069">
        <v>-1.1087880664380001</v>
      </c>
      <c r="AE5069">
        <v>-3.22979999999998</v>
      </c>
      <c r="AF5069">
        <v>-3.1446675892233702</v>
      </c>
      <c r="AG5069">
        <v>-1.1087880664380001</v>
      </c>
      <c r="AH5069">
        <v>21.60151119519</v>
      </c>
      <c r="AI5069">
        <v>92.907770760770404</v>
      </c>
      <c r="AJ5069">
        <v>98.282722936538704</v>
      </c>
      <c r="AK5069">
        <v>21.8573473033419</v>
      </c>
      <c r="AL5069">
        <v>89.868515180081999</v>
      </c>
      <c r="AM5069">
        <v>88.5763888406332</v>
      </c>
      <c r="AN5069">
        <v>0.99999999575697496</v>
      </c>
    </row>
    <row r="5070" spans="1:40" x14ac:dyDescent="0.25">
      <c r="A5070" t="str">
        <f>"20190312160746472"</f>
        <v>20190312160746472</v>
      </c>
      <c r="B5070" t="str">
        <f>"1552378066460986"</f>
        <v>1552378066460986</v>
      </c>
      <c r="C5070" t="s">
        <v>40</v>
      </c>
      <c r="D5070">
        <v>5.3557560000000004</v>
      </c>
      <c r="E5070">
        <v>0.43984089999999998</v>
      </c>
      <c r="F5070" t="s">
        <v>47</v>
      </c>
      <c r="G5070">
        <v>-337.60359999999997</v>
      </c>
      <c r="H5070" s="1">
        <v>-1.4402650000000001E-6</v>
      </c>
      <c r="I5070">
        <v>137.77279999999999</v>
      </c>
      <c r="J5070">
        <v>-301.71510000000001</v>
      </c>
      <c r="K5070">
        <v>1.108867</v>
      </c>
      <c r="L5070">
        <v>142.3639</v>
      </c>
      <c r="M5070">
        <v>-0.99997729999999996</v>
      </c>
      <c r="N5070">
        <v>0</v>
      </c>
      <c r="O5070">
        <v>-3.6790310000000001E-3</v>
      </c>
      <c r="P5070">
        <v>-0.99977119999999997</v>
      </c>
      <c r="Q5070">
        <v>-2.8339350000000001E-3</v>
      </c>
      <c r="R5070">
        <v>2.1207489999999999E-2</v>
      </c>
      <c r="S5070">
        <v>-3.0085139999999999</v>
      </c>
      <c r="T5070">
        <v>-9.2048759999999993E-2</v>
      </c>
      <c r="U5070">
        <v>-0.38125609999999999</v>
      </c>
      <c r="V5070">
        <v>2.4884989999999999E-2</v>
      </c>
      <c r="W5070">
        <v>2.8164990000000001E-3</v>
      </c>
      <c r="X5070">
        <v>0.99968639999999998</v>
      </c>
      <c r="Y5070">
        <v>-0.122015</v>
      </c>
      <c r="Z5070">
        <v>-1.7466420000000001E-3</v>
      </c>
      <c r="AA5070">
        <v>0.99252669999999998</v>
      </c>
      <c r="AB5070">
        <v>35</v>
      </c>
      <c r="AC5070">
        <v>-35.888499999999901</v>
      </c>
      <c r="AD5070">
        <v>-1.108868440265</v>
      </c>
      <c r="AE5070">
        <v>-4.5911000000000097</v>
      </c>
      <c r="AF5070">
        <v>-4.4548475273488002</v>
      </c>
      <c r="AG5070">
        <v>-1.108868440265</v>
      </c>
      <c r="AH5070">
        <v>35.871454487101197</v>
      </c>
      <c r="AI5070">
        <v>91.757089985272202</v>
      </c>
      <c r="AJ5070">
        <v>97.079271533309694</v>
      </c>
      <c r="AK5070">
        <v>36.164022214487098</v>
      </c>
      <c r="AL5070">
        <v>89.838626288506205</v>
      </c>
      <c r="AM5070">
        <v>88.574042310624705</v>
      </c>
      <c r="AN5070">
        <v>1.0000000468694299</v>
      </c>
    </row>
    <row r="5071" spans="1:40" x14ac:dyDescent="0.25">
      <c r="A5071" t="str">
        <f>"20190312160746494"</f>
        <v>20190312160746494</v>
      </c>
      <c r="B5071" t="str">
        <f>"1552378066490267"</f>
        <v>1552378066490267</v>
      </c>
      <c r="C5071" t="s">
        <v>40</v>
      </c>
      <c r="D5071">
        <v>5.7854919999999996</v>
      </c>
      <c r="E5071">
        <v>0.43841580000000002</v>
      </c>
      <c r="F5071" t="s">
        <v>47</v>
      </c>
      <c r="G5071">
        <v>-339.93880000000001</v>
      </c>
      <c r="H5071" s="1">
        <v>-6.7405269999999998E-7</v>
      </c>
      <c r="I5071">
        <v>137.11199999999999</v>
      </c>
      <c r="J5071">
        <v>-302.05549999999999</v>
      </c>
      <c r="K5071">
        <v>1.1089230000000001</v>
      </c>
      <c r="L5071">
        <v>142.36259999999999</v>
      </c>
      <c r="M5071">
        <v>-0.99997460000000005</v>
      </c>
      <c r="N5071">
        <v>0</v>
      </c>
      <c r="O5071">
        <v>-3.7957389999999998E-3</v>
      </c>
      <c r="P5071">
        <v>-0.99977369999999999</v>
      </c>
      <c r="Q5071">
        <v>-3.0842389999999999E-3</v>
      </c>
      <c r="R5071">
        <v>2.105682E-2</v>
      </c>
      <c r="S5071">
        <v>-3.0092159999999999</v>
      </c>
      <c r="T5071">
        <v>-8.7297079999999999E-2</v>
      </c>
      <c r="U5071">
        <v>-0.41346739999999998</v>
      </c>
      <c r="V5071">
        <v>2.485103E-2</v>
      </c>
      <c r="W5071">
        <v>2.96241E-3</v>
      </c>
      <c r="X5071">
        <v>0.99968679999999999</v>
      </c>
      <c r="Y5071">
        <v>-0.13230699999999901</v>
      </c>
      <c r="Z5071">
        <v>-1.800166E-3</v>
      </c>
      <c r="AA5071">
        <v>0.99120719999999995</v>
      </c>
      <c r="AB5071">
        <v>35</v>
      </c>
      <c r="AC5071">
        <v>-37.883299999999998</v>
      </c>
      <c r="AD5071">
        <v>-1.1089236740527</v>
      </c>
      <c r="AE5071">
        <v>-5.2505999999999897</v>
      </c>
      <c r="AF5071">
        <v>-5.1024747574009499</v>
      </c>
      <c r="AG5071">
        <v>-1.1089236740527</v>
      </c>
      <c r="AH5071">
        <v>37.871118879369</v>
      </c>
      <c r="AI5071">
        <v>91.662217269534096</v>
      </c>
      <c r="AJ5071">
        <v>97.673401233370598</v>
      </c>
      <c r="AK5071">
        <v>38.229394522279399</v>
      </c>
      <c r="AL5071">
        <v>89.830266165596299</v>
      </c>
      <c r="AM5071">
        <v>88.575988051545096</v>
      </c>
      <c r="AN5071">
        <v>1.00000002382965</v>
      </c>
    </row>
    <row r="5072" spans="1:40" x14ac:dyDescent="0.25">
      <c r="A5072" t="str">
        <f>"20190312160746508"</f>
        <v>20190312160746508</v>
      </c>
      <c r="B5072" t="str">
        <f>"1552378066501002"</f>
        <v>1552378066501002</v>
      </c>
      <c r="C5072" t="s">
        <v>40</v>
      </c>
      <c r="D5072">
        <v>5.7602270000000004</v>
      </c>
      <c r="E5072">
        <v>0.43828319999999998</v>
      </c>
      <c r="F5072" t="s">
        <v>47</v>
      </c>
      <c r="G5072">
        <v>-343.05</v>
      </c>
      <c r="H5072" s="1">
        <v>-3.5050899999999998E-6</v>
      </c>
      <c r="I5072">
        <v>136.5651</v>
      </c>
      <c r="J5072">
        <v>-302.28820000000002</v>
      </c>
      <c r="K5072">
        <v>1.108949</v>
      </c>
      <c r="L5072">
        <v>142.36160000000001</v>
      </c>
      <c r="M5072">
        <v>-0.99997259999999999</v>
      </c>
      <c r="N5072">
        <v>0</v>
      </c>
      <c r="O5072">
        <v>-3.874752E-3</v>
      </c>
      <c r="P5072">
        <v>-0.99978590000000001</v>
      </c>
      <c r="Q5072">
        <v>-3.3794699999999999E-3</v>
      </c>
      <c r="R5072">
        <v>2.04143E-2</v>
      </c>
      <c r="S5072">
        <v>-3.0093990000000002</v>
      </c>
      <c r="T5072">
        <v>-8.1406240000000005E-2</v>
      </c>
      <c r="U5072">
        <v>-0.42558289999999999</v>
      </c>
      <c r="V5072">
        <v>2.428752E-2</v>
      </c>
      <c r="W5072">
        <v>2.92188E-3</v>
      </c>
      <c r="X5072">
        <v>0.9997007</v>
      </c>
      <c r="Y5072">
        <v>-0.1361395</v>
      </c>
      <c r="Z5072">
        <v>-1.7276150000000001E-3</v>
      </c>
      <c r="AA5072">
        <v>0.99068809999999996</v>
      </c>
      <c r="AB5072">
        <v>35</v>
      </c>
      <c r="AC5072">
        <v>-40.761800000000001</v>
      </c>
      <c r="AD5072">
        <v>-1.10895250509</v>
      </c>
      <c r="AE5072">
        <v>-5.7965</v>
      </c>
      <c r="AF5072">
        <v>-5.6344238238190201</v>
      </c>
      <c r="AG5072">
        <v>-1.10895250509</v>
      </c>
      <c r="AH5072">
        <v>40.754388012664698</v>
      </c>
      <c r="AI5072">
        <v>91.543990728455597</v>
      </c>
      <c r="AJ5072">
        <v>97.871425604511202</v>
      </c>
      <c r="AK5072">
        <v>41.156975712165597</v>
      </c>
      <c r="AL5072">
        <v>89.832588362062097</v>
      </c>
      <c r="AM5072">
        <v>88.608284757657202</v>
      </c>
      <c r="AN5072">
        <v>0.99999995529548602</v>
      </c>
    </row>
    <row r="5073" spans="1:40" x14ac:dyDescent="0.25">
      <c r="A5073" t="str">
        <f>"20190312160746529"</f>
        <v>20190312160746529</v>
      </c>
      <c r="B5073" t="str">
        <f>"1552378066520522"</f>
        <v>1552378066520522</v>
      </c>
      <c r="C5073" t="s">
        <v>40</v>
      </c>
      <c r="D5073">
        <v>5.7762849999999997</v>
      </c>
      <c r="E5073">
        <v>0.43839640000000002</v>
      </c>
      <c r="F5073" t="s">
        <v>47</v>
      </c>
      <c r="G5073">
        <v>-342.8997</v>
      </c>
      <c r="H5073" s="1">
        <v>-3.567335E-6</v>
      </c>
      <c r="I5073">
        <v>136.57759999999999</v>
      </c>
      <c r="J5073">
        <v>-302.60079999999999</v>
      </c>
      <c r="K5073">
        <v>1.1089770000000001</v>
      </c>
      <c r="L5073">
        <v>142.3603</v>
      </c>
      <c r="M5073">
        <v>-0.99997009999999997</v>
      </c>
      <c r="N5073">
        <v>0</v>
      </c>
      <c r="O5073">
        <v>-3.9802589999999999E-3</v>
      </c>
      <c r="P5073">
        <v>-0.9997895</v>
      </c>
      <c r="Q5073">
        <v>-3.537798E-3</v>
      </c>
      <c r="R5073">
        <v>2.0205910000000001E-2</v>
      </c>
      <c r="S5073">
        <v>-3.0090940000000002</v>
      </c>
      <c r="T5073">
        <v>-8.2167630000000005E-2</v>
      </c>
      <c r="U5073">
        <v>-0.4285583</v>
      </c>
      <c r="V5073">
        <v>2.4184589999999999E-2</v>
      </c>
      <c r="W5073">
        <v>3.0859110000000002E-3</v>
      </c>
      <c r="X5073">
        <v>0.9997028</v>
      </c>
      <c r="Y5073">
        <v>-0.13700799999999999</v>
      </c>
      <c r="Z5073">
        <v>-1.7527510000000001E-3</v>
      </c>
      <c r="AA5073">
        <v>0.99056840000000002</v>
      </c>
      <c r="AB5073">
        <v>35</v>
      </c>
      <c r="AC5073">
        <v>-40.298900000000003</v>
      </c>
      <c r="AD5073">
        <v>-1.1089805673349999</v>
      </c>
      <c r="AE5073">
        <v>-5.7827000000000002</v>
      </c>
      <c r="AF5073">
        <v>-5.6180819334262502</v>
      </c>
      <c r="AG5073">
        <v>-1.1089805673349999</v>
      </c>
      <c r="AH5073">
        <v>40.291701069106303</v>
      </c>
      <c r="AI5073">
        <v>91.561500488259497</v>
      </c>
      <c r="AJ5073">
        <v>97.937870104276101</v>
      </c>
      <c r="AK5073">
        <v>40.696607445235998</v>
      </c>
      <c r="AL5073">
        <v>89.823190052456596</v>
      </c>
      <c r="AM5073">
        <v>88.614183422664695</v>
      </c>
      <c r="AN5073">
        <v>1.0000000527840001</v>
      </c>
    </row>
    <row r="5074" spans="1:40" x14ac:dyDescent="0.25">
      <c r="A5074" t="str">
        <f>"20190312160746551"</f>
        <v>20190312160746551</v>
      </c>
      <c r="B5074" t="str">
        <f>"1552378066540968"</f>
        <v>1552378066540968</v>
      </c>
      <c r="C5074" t="s">
        <v>40</v>
      </c>
      <c r="D5074">
        <v>5.7878160000000003</v>
      </c>
      <c r="E5074">
        <v>0.43843480000000001</v>
      </c>
      <c r="F5074" t="s">
        <v>47</v>
      </c>
      <c r="G5074">
        <v>-343.37880000000001</v>
      </c>
      <c r="H5074" s="1">
        <v>-3.3654430000000001E-6</v>
      </c>
      <c r="I5074">
        <v>136.55709999999999</v>
      </c>
      <c r="J5074">
        <v>-302.9452</v>
      </c>
      <c r="K5074">
        <v>1.1089929999999999</v>
      </c>
      <c r="L5074">
        <v>142.3588</v>
      </c>
      <c r="M5074">
        <v>-0.99996759999999996</v>
      </c>
      <c r="N5074">
        <v>0</v>
      </c>
      <c r="O5074">
        <v>-4.0957279999999999E-3</v>
      </c>
      <c r="P5074">
        <v>-0.99978710000000004</v>
      </c>
      <c r="Q5074">
        <v>-4.119195E-3</v>
      </c>
      <c r="R5074">
        <v>2.0224410000000002E-2</v>
      </c>
      <c r="S5074">
        <v>-3.0090029999999999</v>
      </c>
      <c r="T5074">
        <v>-8.1831689999999999E-2</v>
      </c>
      <c r="U5074">
        <v>-0.42820740000000002</v>
      </c>
      <c r="V5074">
        <v>2.431854E-2</v>
      </c>
      <c r="W5074">
        <v>2.8303270000000001E-3</v>
      </c>
      <c r="X5074">
        <v>0.99970020000000004</v>
      </c>
      <c r="Y5074">
        <v>-0.13678509999999999</v>
      </c>
      <c r="Z5074">
        <v>-1.739516E-3</v>
      </c>
      <c r="AA5074">
        <v>0.99059920000000001</v>
      </c>
      <c r="AB5074">
        <v>35</v>
      </c>
      <c r="AC5074">
        <v>-40.433599999999998</v>
      </c>
      <c r="AD5074">
        <v>-1.108996365443</v>
      </c>
      <c r="AE5074">
        <v>-5.8017000000000101</v>
      </c>
      <c r="AF5074">
        <v>-5.6318910805418696</v>
      </c>
      <c r="AG5074">
        <v>-1.108996365443</v>
      </c>
      <c r="AH5074">
        <v>40.427224809117703</v>
      </c>
      <c r="AI5074">
        <v>91.556317388639599</v>
      </c>
      <c r="AJ5074">
        <v>97.930797009457393</v>
      </c>
      <c r="AK5074">
        <v>40.832690039337301</v>
      </c>
      <c r="AL5074">
        <v>89.837833982990105</v>
      </c>
      <c r="AM5074">
        <v>88.606507263858106</v>
      </c>
      <c r="AN5074">
        <v>0.99999994600934705</v>
      </c>
    </row>
    <row r="5075" spans="1:40" x14ac:dyDescent="0.25">
      <c r="A5075" t="str">
        <f>"20190312160746573"</f>
        <v>20190312160746573</v>
      </c>
      <c r="B5075" t="str">
        <f>"1552378066560489"</f>
        <v>1552378066560489</v>
      </c>
      <c r="C5075" t="s">
        <v>40</v>
      </c>
      <c r="D5075">
        <v>5.6769049999999996</v>
      </c>
      <c r="E5075">
        <v>0.43811650000000002</v>
      </c>
      <c r="F5075" t="s">
        <v>47</v>
      </c>
      <c r="G5075">
        <v>-342.6198</v>
      </c>
      <c r="H5075" s="1">
        <v>-3.6628720000000002E-6</v>
      </c>
      <c r="I5075">
        <v>136.7159</v>
      </c>
      <c r="J5075">
        <v>-303.28039999999999</v>
      </c>
      <c r="K5075">
        <v>1.109003</v>
      </c>
      <c r="L5075">
        <v>142.35730000000001</v>
      </c>
      <c r="M5075">
        <v>-0.99996499999999999</v>
      </c>
      <c r="N5075">
        <v>0</v>
      </c>
      <c r="O5075">
        <v>-4.2072860000000002E-3</v>
      </c>
      <c r="P5075">
        <v>-0.99978290000000003</v>
      </c>
      <c r="Q5075">
        <v>-4.9018969999999997E-3</v>
      </c>
      <c r="R5075">
        <v>2.0266289999999999E-2</v>
      </c>
      <c r="S5075">
        <v>-3.0089109999999999</v>
      </c>
      <c r="T5075">
        <v>-8.4106210000000001E-2</v>
      </c>
      <c r="U5075">
        <v>-0.427948</v>
      </c>
      <c r="V5075">
        <v>2.447216E-2</v>
      </c>
      <c r="W5075">
        <v>2.3334639999999999E-3</v>
      </c>
      <c r="X5075">
        <v>0.99969779999999997</v>
      </c>
      <c r="Y5075">
        <v>-0.1365924</v>
      </c>
      <c r="Z5075">
        <v>-1.7821320000000001E-3</v>
      </c>
      <c r="AA5075">
        <v>0.99062570000000005</v>
      </c>
      <c r="AB5075">
        <v>35</v>
      </c>
      <c r="AC5075">
        <v>-39.339399999999998</v>
      </c>
      <c r="AD5075">
        <v>-1.1090066628719999</v>
      </c>
      <c r="AE5075">
        <v>-5.6414</v>
      </c>
      <c r="AF5075">
        <v>-5.4715728967505797</v>
      </c>
      <c r="AG5075">
        <v>-1.1090066628719999</v>
      </c>
      <c r="AH5075">
        <v>39.332159297359702</v>
      </c>
      <c r="AI5075">
        <v>91.599683312254996</v>
      </c>
      <c r="AJ5075">
        <v>97.919700223856694</v>
      </c>
      <c r="AK5075">
        <v>39.726398788911503</v>
      </c>
      <c r="AL5075">
        <v>89.866302241359307</v>
      </c>
      <c r="AM5075">
        <v>88.597704721311601</v>
      </c>
      <c r="AN5075">
        <v>1.00000001149707</v>
      </c>
    </row>
    <row r="5076" spans="1:40" x14ac:dyDescent="0.25">
      <c r="A5076" t="str">
        <f>"20190312160746908"</f>
        <v>20190312160746908</v>
      </c>
      <c r="B5076" t="str">
        <f>"1552378066900137"</f>
        <v>1552378066900137</v>
      </c>
      <c r="C5076" t="s">
        <v>40</v>
      </c>
      <c r="D5076">
        <v>5.7607549999999996</v>
      </c>
      <c r="E5076">
        <v>0.43857750000000001</v>
      </c>
      <c r="F5076" t="s">
        <v>47</v>
      </c>
      <c r="G5076">
        <v>-340.6327</v>
      </c>
      <c r="H5076" s="1">
        <v>-4.4619999999999998E-6</v>
      </c>
      <c r="I5076">
        <v>137.01650000000001</v>
      </c>
      <c r="J5076">
        <v>-308.60289999999998</v>
      </c>
      <c r="K5076">
        <v>1.1089789999999999</v>
      </c>
      <c r="L5076">
        <v>142.3289</v>
      </c>
      <c r="M5076">
        <v>-0.99994050000000001</v>
      </c>
      <c r="N5076">
        <v>0</v>
      </c>
      <c r="O5076">
        <v>-5.9874300000000002E-3</v>
      </c>
      <c r="P5076">
        <v>-0.9998262</v>
      </c>
      <c r="Q5076">
        <v>-6.7880409999999999E-3</v>
      </c>
      <c r="R5076">
        <v>1.7367520000000001E-2</v>
      </c>
      <c r="S5076">
        <v>-3.0089109999999999</v>
      </c>
      <c r="T5076">
        <v>-8.9336040000000005E-2</v>
      </c>
      <c r="U5076">
        <v>-0.43022159999999898</v>
      </c>
      <c r="V5076">
        <v>2.3353260000000001E-2</v>
      </c>
      <c r="W5076">
        <v>2.3449080000000001E-3</v>
      </c>
      <c r="X5076">
        <v>0.99972450000000002</v>
      </c>
      <c r="Y5076">
        <v>-0.13555710000000001</v>
      </c>
      <c r="Z5076">
        <v>-1.824942E-3</v>
      </c>
      <c r="AA5076">
        <v>0.99076779999999998</v>
      </c>
      <c r="AB5076">
        <v>36</v>
      </c>
      <c r="AC5076">
        <v>-32.029800000000002</v>
      </c>
      <c r="AD5076">
        <v>-1.1089834620000001</v>
      </c>
      <c r="AE5076">
        <v>-5.3123999999999896</v>
      </c>
      <c r="AF5076">
        <v>-5.1145535025698301</v>
      </c>
      <c r="AG5076">
        <v>-1.1089834620000001</v>
      </c>
      <c r="AH5076">
        <v>32.023673016885198</v>
      </c>
      <c r="AI5076">
        <v>91.958564456861893</v>
      </c>
      <c r="AJ5076">
        <v>99.074167076432005</v>
      </c>
      <c r="AK5076">
        <v>32.448484330427803</v>
      </c>
      <c r="AL5076">
        <v>89.865646541717993</v>
      </c>
      <c r="AM5076">
        <v>88.661831398108902</v>
      </c>
      <c r="AN5076">
        <v>0.999999974623202</v>
      </c>
    </row>
    <row r="5077" spans="1:40" x14ac:dyDescent="0.25">
      <c r="A5077" t="str">
        <f>"20190312160746930"</f>
        <v>20190312160746930</v>
      </c>
      <c r="B5077" t="str">
        <f>"1552378066920637"</f>
        <v>1552378066920637</v>
      </c>
      <c r="C5077" t="s">
        <v>40</v>
      </c>
      <c r="D5077">
        <v>5.7821059999999997</v>
      </c>
      <c r="E5077">
        <v>0.4394169</v>
      </c>
      <c r="F5077" t="s">
        <v>47</v>
      </c>
      <c r="G5077">
        <v>-341.5856</v>
      </c>
      <c r="H5077" s="1">
        <v>-3.9571550000000002E-6</v>
      </c>
      <c r="I5077">
        <v>137.5581</v>
      </c>
      <c r="J5077">
        <v>-308.95319999999998</v>
      </c>
      <c r="K5077">
        <v>1.1089830000000001</v>
      </c>
      <c r="L5077">
        <v>142.32669999999999</v>
      </c>
      <c r="M5077">
        <v>-0.99993949999999998</v>
      </c>
      <c r="N5077">
        <v>0</v>
      </c>
      <c r="O5077">
        <v>-6.1047899999999997E-3</v>
      </c>
      <c r="P5077">
        <v>-0.99983840000000002</v>
      </c>
      <c r="Q5077">
        <v>-5.693376E-3</v>
      </c>
      <c r="R5077">
        <v>1.7064610000000001E-2</v>
      </c>
      <c r="S5077">
        <v>-3.0073850000000002</v>
      </c>
      <c r="T5077">
        <v>-0.101118</v>
      </c>
      <c r="U5077">
        <v>-0.43499759999999998</v>
      </c>
      <c r="V5077">
        <v>2.3167449999999999E-2</v>
      </c>
      <c r="W5077">
        <v>3.4769150000000001E-3</v>
      </c>
      <c r="X5077">
        <v>0.99972559999999999</v>
      </c>
      <c r="Y5077">
        <v>-0.13703609999999999</v>
      </c>
      <c r="Z5077">
        <v>-2.087106E-3</v>
      </c>
      <c r="AA5077">
        <v>0.99056390000000005</v>
      </c>
      <c r="AB5077">
        <v>36</v>
      </c>
      <c r="AC5077">
        <v>-32.632399999999997</v>
      </c>
      <c r="AD5077">
        <v>-1.108986957155</v>
      </c>
      <c r="AE5077">
        <v>-4.7685999999999904</v>
      </c>
      <c r="AF5077">
        <v>-4.5641278144717896</v>
      </c>
      <c r="AG5077">
        <v>-1.108986957155</v>
      </c>
      <c r="AH5077">
        <v>32.624013773125903</v>
      </c>
      <c r="AI5077">
        <v>91.928140548952598</v>
      </c>
      <c r="AJ5077">
        <v>97.964039606506503</v>
      </c>
      <c r="AK5077">
        <v>32.960391221086603</v>
      </c>
      <c r="AL5077">
        <v>89.800787052853906</v>
      </c>
      <c r="AM5077">
        <v>88.672476159172803</v>
      </c>
      <c r="AN5077">
        <v>1.0000000474863799</v>
      </c>
    </row>
    <row r="5078" spans="1:40" x14ac:dyDescent="0.25">
      <c r="A5078" t="str">
        <f>"20190312160746952"</f>
        <v>20190312160746952</v>
      </c>
      <c r="B5078" t="str">
        <f>"1552378066940153"</f>
        <v>1552378066940153</v>
      </c>
      <c r="C5078" t="s">
        <v>40</v>
      </c>
      <c r="D5078">
        <v>5.7474439999999998</v>
      </c>
      <c r="E5078">
        <v>0.44014399999999998</v>
      </c>
      <c r="F5078" t="s">
        <v>47</v>
      </c>
      <c r="G5078">
        <v>-342.26920000000001</v>
      </c>
      <c r="H5078" s="1">
        <v>-3.6611430000000001E-6</v>
      </c>
      <c r="I5078">
        <v>137.5735</v>
      </c>
      <c r="J5078">
        <v>-309.30540000000002</v>
      </c>
      <c r="K5078">
        <v>1.1089800000000001</v>
      </c>
      <c r="L5078">
        <v>142.3244</v>
      </c>
      <c r="M5078">
        <v>-0.99993840000000001</v>
      </c>
      <c r="N5078">
        <v>0</v>
      </c>
      <c r="O5078">
        <v>-6.2221319999999896E-3</v>
      </c>
      <c r="P5078">
        <v>-0.99984519999999999</v>
      </c>
      <c r="Q5078">
        <v>-5.2723919999999999E-3</v>
      </c>
      <c r="R5078">
        <v>1.6793809999999999E-2</v>
      </c>
      <c r="S5078">
        <v>-3.0072329999999998</v>
      </c>
      <c r="T5078">
        <v>-0.1001017</v>
      </c>
      <c r="U5078">
        <v>-0.42903140000000001</v>
      </c>
      <c r="V5078">
        <v>2.301392E-2</v>
      </c>
      <c r="W5078">
        <v>3.9318139999999996E-3</v>
      </c>
      <c r="X5078">
        <v>0.99972740000000004</v>
      </c>
      <c r="Y5078">
        <v>-0.13500379999999901</v>
      </c>
      <c r="Z5078">
        <v>-2.029005E-3</v>
      </c>
      <c r="AA5078">
        <v>0.99084300000000003</v>
      </c>
      <c r="AB5078">
        <v>36</v>
      </c>
      <c r="AC5078">
        <v>-32.9637999999999</v>
      </c>
      <c r="AD5078">
        <v>-1.108983661143</v>
      </c>
      <c r="AE5078">
        <v>-4.7508999999999997</v>
      </c>
      <c r="AF5078">
        <v>-4.5406596351784101</v>
      </c>
      <c r="AG5078">
        <v>-1.108983661143</v>
      </c>
      <c r="AH5078">
        <v>32.9561825256487</v>
      </c>
      <c r="AI5078">
        <v>91.909266825605997</v>
      </c>
      <c r="AJ5078">
        <v>97.844747357171997</v>
      </c>
      <c r="AK5078">
        <v>33.285994071787798</v>
      </c>
      <c r="AL5078">
        <v>89.7747230686047</v>
      </c>
      <c r="AM5078">
        <v>88.681272876621094</v>
      </c>
      <c r="AN5078">
        <v>0.99999998699292802</v>
      </c>
    </row>
    <row r="5079" spans="1:40" x14ac:dyDescent="0.25">
      <c r="A5079" t="str">
        <f>"20190312160746974"</f>
        <v>20190312160746974</v>
      </c>
      <c r="B5079" t="str">
        <f>"1552378066970409"</f>
        <v>1552378066970409</v>
      </c>
      <c r="C5079" t="s">
        <v>40</v>
      </c>
      <c r="D5079">
        <v>5.7726490000000004</v>
      </c>
      <c r="E5079">
        <v>0.44091459999999999</v>
      </c>
      <c r="F5079" t="s">
        <v>47</v>
      </c>
      <c r="G5079">
        <v>-341.93020000000001</v>
      </c>
      <c r="H5079" s="1">
        <v>-3.7797450000000002E-6</v>
      </c>
      <c r="I5079">
        <v>137.72470000000001</v>
      </c>
      <c r="J5079">
        <v>-309.65609999999998</v>
      </c>
      <c r="K5079">
        <v>1.1089789999999999</v>
      </c>
      <c r="L5079">
        <v>142.32210000000001</v>
      </c>
      <c r="M5079">
        <v>-0.99993750000000003</v>
      </c>
      <c r="N5079">
        <v>0</v>
      </c>
      <c r="O5079">
        <v>-6.3394580000000001E-3</v>
      </c>
      <c r="P5079">
        <v>-0.99983869999999997</v>
      </c>
      <c r="Q5079">
        <v>-6.3805769999999897E-3</v>
      </c>
      <c r="R5079">
        <v>1.679721E-2</v>
      </c>
      <c r="S5079">
        <v>-3.00705</v>
      </c>
      <c r="T5079">
        <v>-0.1022158</v>
      </c>
      <c r="U5079">
        <v>-0.4239502</v>
      </c>
      <c r="V5079">
        <v>2.3134829999999999E-2</v>
      </c>
      <c r="W5079">
        <v>2.8536920000000001E-3</v>
      </c>
      <c r="X5079">
        <v>0.99972830000000001</v>
      </c>
      <c r="Y5079">
        <v>-0.1332525</v>
      </c>
      <c r="Z5079">
        <v>-2.0386240000000002E-3</v>
      </c>
      <c r="AA5079">
        <v>0.99107999999999996</v>
      </c>
      <c r="AB5079">
        <v>36</v>
      </c>
      <c r="AC5079">
        <v>-32.274099999999997</v>
      </c>
      <c r="AD5079">
        <v>-1.108982779745</v>
      </c>
      <c r="AE5079">
        <v>-4.5973999999999897</v>
      </c>
      <c r="AF5079">
        <v>-4.3876211759829102</v>
      </c>
      <c r="AG5079">
        <v>-1.108982779745</v>
      </c>
      <c r="AH5079">
        <v>32.265259574392097</v>
      </c>
      <c r="AI5079">
        <v>91.950588210912201</v>
      </c>
      <c r="AJ5079">
        <v>97.743918764735</v>
      </c>
      <c r="AK5079">
        <v>32.581099395088103</v>
      </c>
      <c r="AL5079">
        <v>89.836495273536002</v>
      </c>
      <c r="AM5079">
        <v>88.674348237436803</v>
      </c>
      <c r="AN5079">
        <v>1.0000000188690199</v>
      </c>
    </row>
    <row r="5080" spans="1:40" x14ac:dyDescent="0.25">
      <c r="A5080" t="str">
        <f>"20190312160746997"</f>
        <v>20190312160746997</v>
      </c>
      <c r="B5080" t="str">
        <f>"1552378066990905"</f>
        <v>1552378066990905</v>
      </c>
      <c r="C5080" t="s">
        <v>40</v>
      </c>
      <c r="D5080">
        <v>5.6910350000000003</v>
      </c>
      <c r="E5080">
        <v>0.44146980000000002</v>
      </c>
      <c r="F5080" t="s">
        <v>47</v>
      </c>
      <c r="G5080">
        <v>-339.18529999999998</v>
      </c>
      <c r="H5080" s="1">
        <v>-6.6803519999999904E-7</v>
      </c>
      <c r="I5080">
        <v>138.22210000000001</v>
      </c>
      <c r="J5080">
        <v>-310.02760000000001</v>
      </c>
      <c r="K5080">
        <v>1.1089789999999999</v>
      </c>
      <c r="L5080">
        <v>142.31970000000001</v>
      </c>
      <c r="M5080">
        <v>-0.9999363</v>
      </c>
      <c r="N5080">
        <v>0</v>
      </c>
      <c r="O5080">
        <v>-6.4632119999999899E-3</v>
      </c>
      <c r="P5080">
        <v>-0.99983040000000001</v>
      </c>
      <c r="Q5080">
        <v>-7.5447359999999998E-3</v>
      </c>
      <c r="R5080">
        <v>1.6800470000000001E-2</v>
      </c>
      <c r="S5080">
        <v>-3.0068049999999999</v>
      </c>
      <c r="T5080">
        <v>-0.1129217</v>
      </c>
      <c r="U5080">
        <v>-0.41748049999999998</v>
      </c>
      <c r="V5080">
        <v>2.326203E-2</v>
      </c>
      <c r="W5080">
        <v>1.71786799999999E-3</v>
      </c>
      <c r="X5080">
        <v>0.9997279</v>
      </c>
      <c r="Y5080">
        <v>-0.13103489999999901</v>
      </c>
      <c r="Z5080">
        <v>-2.2064680000000001E-3</v>
      </c>
      <c r="AA5080">
        <v>0.99137529999999996</v>
      </c>
      <c r="AB5080">
        <v>36</v>
      </c>
      <c r="AC5080">
        <v>-29.157699999999899</v>
      </c>
      <c r="AD5080">
        <v>-1.1089796680352</v>
      </c>
      <c r="AE5080">
        <v>-4.0975999999999999</v>
      </c>
      <c r="AF5080">
        <v>-3.9035165759853601</v>
      </c>
      <c r="AG5080">
        <v>-1.1089796680352</v>
      </c>
      <c r="AH5080">
        <v>29.1422357667198</v>
      </c>
      <c r="AI5080">
        <v>92.160011475737406</v>
      </c>
      <c r="AJ5080">
        <v>97.629189879112104</v>
      </c>
      <c r="AK5080">
        <v>29.423412158452798</v>
      </c>
      <c r="AL5080">
        <v>89.901573362827705</v>
      </c>
      <c r="AM5080">
        <v>88.667061623731499</v>
      </c>
      <c r="AN5080">
        <v>0.99999997357429704</v>
      </c>
    </row>
    <row r="5081" spans="1:40" x14ac:dyDescent="0.25">
      <c r="A5081" t="str">
        <f>"20190312160747020"</f>
        <v>20190312160747020</v>
      </c>
      <c r="B5081" t="str">
        <f>"1552378067010425"</f>
        <v>1552378067010425</v>
      </c>
      <c r="C5081" t="s">
        <v>40</v>
      </c>
      <c r="D5081">
        <v>5.7678260000000003</v>
      </c>
      <c r="E5081">
        <v>0.44200119999999998</v>
      </c>
      <c r="F5081" t="s">
        <v>47</v>
      </c>
      <c r="G5081">
        <v>-338.12880000000001</v>
      </c>
      <c r="H5081" s="1">
        <v>-1.0702590000000001E-6</v>
      </c>
      <c r="I5081">
        <v>138.45930000000001</v>
      </c>
      <c r="J5081">
        <v>-310.38940000000002</v>
      </c>
      <c r="K5081">
        <v>1.1089789999999999</v>
      </c>
      <c r="L5081">
        <v>142.31720000000001</v>
      </c>
      <c r="M5081">
        <v>-0.99993529999999997</v>
      </c>
      <c r="N5081">
        <v>0</v>
      </c>
      <c r="O5081">
        <v>-6.5838499999999996E-3</v>
      </c>
      <c r="P5081">
        <v>-0.99982400000000005</v>
      </c>
      <c r="Q5081">
        <v>-7.9973700000000002E-3</v>
      </c>
      <c r="R5081">
        <v>1.697334E-2</v>
      </c>
      <c r="S5081">
        <v>-3.006561</v>
      </c>
      <c r="T5081">
        <v>-0.1186503</v>
      </c>
      <c r="U5081">
        <v>-0.41302489999999997</v>
      </c>
      <c r="V5081">
        <v>2.3555710000000001E-2</v>
      </c>
      <c r="W5081">
        <v>1.289669E-3</v>
      </c>
      <c r="X5081">
        <v>0.99972169999999905</v>
      </c>
      <c r="Y5081">
        <v>-0.1294767</v>
      </c>
      <c r="Z5081">
        <v>-2.2834119999999999E-3</v>
      </c>
      <c r="AA5081">
        <v>0.99157980000000001</v>
      </c>
      <c r="AB5081">
        <v>36</v>
      </c>
      <c r="AC5081">
        <v>-27.7393999999999</v>
      </c>
      <c r="AD5081">
        <v>-1.108980070259</v>
      </c>
      <c r="AE5081">
        <v>-3.8578999999999999</v>
      </c>
      <c r="AF5081">
        <v>-3.6694229842959198</v>
      </c>
      <c r="AG5081">
        <v>-1.108980070259</v>
      </c>
      <c r="AH5081">
        <v>27.7207348216448</v>
      </c>
      <c r="AI5081">
        <v>92.271130914339395</v>
      </c>
      <c r="AJ5081">
        <v>97.540465258845103</v>
      </c>
      <c r="AK5081">
        <v>27.984525025196699</v>
      </c>
      <c r="AL5081">
        <v>89.926107389297101</v>
      </c>
      <c r="AM5081">
        <v>88.650231274853894</v>
      </c>
      <c r="AN5081">
        <v>1.00000000608531</v>
      </c>
    </row>
    <row r="5082" spans="1:40" x14ac:dyDescent="0.25">
      <c r="A5082" t="str">
        <f>"20190312160747041"</f>
        <v>20190312160747041</v>
      </c>
      <c r="B5082" t="str">
        <f>"1552378067030921"</f>
        <v>1552378067030921</v>
      </c>
      <c r="C5082" t="s">
        <v>40</v>
      </c>
      <c r="D5082">
        <v>5.763477</v>
      </c>
      <c r="E5082">
        <v>0.44245319999999999</v>
      </c>
      <c r="F5082" t="s">
        <v>47</v>
      </c>
      <c r="G5082">
        <v>-337.79320000000001</v>
      </c>
      <c r="H5082" s="1">
        <v>-1.204657E-6</v>
      </c>
      <c r="I5082">
        <v>138.5958</v>
      </c>
      <c r="J5082">
        <v>-310.7321</v>
      </c>
      <c r="K5082">
        <v>1.1089800000000001</v>
      </c>
      <c r="L5082">
        <v>142.31479999999999</v>
      </c>
      <c r="M5082">
        <v>-0.99993430000000005</v>
      </c>
      <c r="N5082">
        <v>0</v>
      </c>
      <c r="O5082">
        <v>-6.6981519999999998E-3</v>
      </c>
      <c r="P5082">
        <v>-0.99983520000000004</v>
      </c>
      <c r="Q5082">
        <v>-7.3440459999999999E-3</v>
      </c>
      <c r="R5082">
        <v>1.6607509999999999E-2</v>
      </c>
      <c r="S5082">
        <v>-3.0065309999999998</v>
      </c>
      <c r="T5082">
        <v>-0.1216686</v>
      </c>
      <c r="U5082">
        <v>-0.40827940000000001</v>
      </c>
      <c r="V5082">
        <v>2.330399E-2</v>
      </c>
      <c r="W5082">
        <v>1.963916E-3</v>
      </c>
      <c r="X5082">
        <v>0.99972649999999996</v>
      </c>
      <c r="Y5082">
        <v>-0.12782460000000001</v>
      </c>
      <c r="Z5082">
        <v>-2.3038609999999999E-3</v>
      </c>
      <c r="AA5082">
        <v>0.99179410000000001</v>
      </c>
      <c r="AB5082">
        <v>36</v>
      </c>
      <c r="AC5082">
        <v>-27.0611</v>
      </c>
      <c r="AD5082">
        <v>-1.10898120465699</v>
      </c>
      <c r="AE5082">
        <v>-3.7189999999999901</v>
      </c>
      <c r="AF5082">
        <v>-3.5318279131327199</v>
      </c>
      <c r="AG5082">
        <v>-1.10898120465699</v>
      </c>
      <c r="AH5082">
        <v>27.040833478379401</v>
      </c>
      <c r="AI5082">
        <v>92.328704576768502</v>
      </c>
      <c r="AJ5082">
        <v>97.441330383115499</v>
      </c>
      <c r="AK5082">
        <v>27.293045321577999</v>
      </c>
      <c r="AL5082">
        <v>89.887475829982293</v>
      </c>
      <c r="AM5082">
        <v>88.664656272801693</v>
      </c>
      <c r="AN5082">
        <v>1.0000000038591099</v>
      </c>
    </row>
    <row r="5083" spans="1:40" x14ac:dyDescent="0.25">
      <c r="A5083" t="str">
        <f>"20190312160747064"</f>
        <v>20190312160747064</v>
      </c>
      <c r="B5083" t="str">
        <f>"1552378067050441"</f>
        <v>1552378067050441</v>
      </c>
      <c r="C5083" t="s">
        <v>40</v>
      </c>
      <c r="D5083">
        <v>5.7650860000000002</v>
      </c>
      <c r="E5083">
        <v>0.44292809999999999</v>
      </c>
      <c r="F5083" t="s">
        <v>47</v>
      </c>
      <c r="G5083">
        <v>-338.6857</v>
      </c>
      <c r="H5083" s="1">
        <v>-7.9244779999999999E-7</v>
      </c>
      <c r="I5083">
        <v>138.5412</v>
      </c>
      <c r="J5083">
        <v>-311.09339999999997</v>
      </c>
      <c r="K5083">
        <v>1.108984</v>
      </c>
      <c r="L5083">
        <v>142.31229999999999</v>
      </c>
      <c r="M5083">
        <v>-0.99993330000000002</v>
      </c>
      <c r="N5083">
        <v>0</v>
      </c>
      <c r="O5083">
        <v>-6.8186490000000004E-3</v>
      </c>
      <c r="P5083">
        <v>-0.99983250000000001</v>
      </c>
      <c r="Q5083">
        <v>-7.9211560000000004E-3</v>
      </c>
      <c r="R5083">
        <v>1.6515740000000001E-2</v>
      </c>
      <c r="S5083">
        <v>-3.006348</v>
      </c>
      <c r="T5083">
        <v>-0.11926829999999999</v>
      </c>
      <c r="U5083">
        <v>-0.40585329999999997</v>
      </c>
      <c r="V5083">
        <v>2.3333E-2</v>
      </c>
      <c r="W5083">
        <v>1.4074479999999999E-3</v>
      </c>
      <c r="X5083">
        <v>0.99972680000000003</v>
      </c>
      <c r="Y5083">
        <v>-0.12693170000000001</v>
      </c>
      <c r="Z5083">
        <v>-2.2363219999999998E-3</v>
      </c>
      <c r="AA5083">
        <v>0.99190900000000004</v>
      </c>
      <c r="AB5083">
        <v>36</v>
      </c>
      <c r="AC5083">
        <v>-27.592300000000002</v>
      </c>
      <c r="AD5083">
        <v>-1.1089847924478</v>
      </c>
      <c r="AE5083">
        <v>-3.7710999999999899</v>
      </c>
      <c r="AF5083">
        <v>-3.57718937081671</v>
      </c>
      <c r="AG5083">
        <v>-1.1089847924478</v>
      </c>
      <c r="AH5083">
        <v>27.573648190859501</v>
      </c>
      <c r="AI5083">
        <v>92.284018364519795</v>
      </c>
      <c r="AJ5083">
        <v>97.391821432146699</v>
      </c>
      <c r="AK5083">
        <v>27.826825288161299</v>
      </c>
      <c r="AL5083">
        <v>89.919359146496603</v>
      </c>
      <c r="AM5083">
        <v>88.662994972629406</v>
      </c>
      <c r="AN5083">
        <v>1.00000004221855</v>
      </c>
    </row>
    <row r="5084" spans="1:40" x14ac:dyDescent="0.25">
      <c r="A5084" t="str">
        <f>"20190312160747086"</f>
        <v>20190312160747086</v>
      </c>
      <c r="B5084" t="str">
        <f>"1552378067080698"</f>
        <v>1552378067080698</v>
      </c>
      <c r="C5084" t="s">
        <v>40</v>
      </c>
      <c r="D5084">
        <v>5.7827919999999997</v>
      </c>
      <c r="E5084">
        <v>0.44354480000000002</v>
      </c>
      <c r="F5084" t="s">
        <v>47</v>
      </c>
      <c r="G5084">
        <v>-338.69490000000002</v>
      </c>
      <c r="H5084" s="1">
        <v>-7.7438199999999998E-7</v>
      </c>
      <c r="I5084">
        <v>138.61850000000001</v>
      </c>
      <c r="J5084">
        <v>-311.47000000000003</v>
      </c>
      <c r="K5084">
        <v>1.1089850000000001</v>
      </c>
      <c r="L5084">
        <v>142.30959999999999</v>
      </c>
      <c r="M5084">
        <v>-0.99993240000000005</v>
      </c>
      <c r="N5084">
        <v>0</v>
      </c>
      <c r="O5084">
        <v>-6.9442690000000003E-3</v>
      </c>
      <c r="P5084">
        <v>-0.99982130000000002</v>
      </c>
      <c r="Q5084">
        <v>-8.5407439999999994E-3</v>
      </c>
      <c r="R5084">
        <v>1.6880289999999999E-2</v>
      </c>
      <c r="S5084">
        <v>-3.006195</v>
      </c>
      <c r="T5084">
        <v>-0.120784</v>
      </c>
      <c r="U5084">
        <v>-0.40231319999999998</v>
      </c>
      <c r="V5084">
        <v>2.3823150000000001E-2</v>
      </c>
      <c r="W5084">
        <v>8.0663359999999995E-4</v>
      </c>
      <c r="X5084">
        <v>0.99971589999999999</v>
      </c>
      <c r="Y5084">
        <v>-0.125665</v>
      </c>
      <c r="Z5084">
        <v>-2.2346660000000002E-3</v>
      </c>
      <c r="AA5084">
        <v>0.99207020000000001</v>
      </c>
      <c r="AB5084">
        <v>36</v>
      </c>
      <c r="AC5084">
        <v>-27.224899999999899</v>
      </c>
      <c r="AD5084">
        <v>-1.108985774382</v>
      </c>
      <c r="AE5084">
        <v>-3.6910999999999698</v>
      </c>
      <c r="AF5084">
        <v>-3.4962492007893302</v>
      </c>
      <c r="AG5084">
        <v>-1.108985774382</v>
      </c>
      <c r="AH5084">
        <v>27.2055498071073</v>
      </c>
      <c r="AI5084">
        <v>92.315248665711593</v>
      </c>
      <c r="AJ5084">
        <v>97.323076856423498</v>
      </c>
      <c r="AK5084">
        <v>27.451694815234902</v>
      </c>
      <c r="AL5084">
        <v>89.953783295801102</v>
      </c>
      <c r="AM5084">
        <v>88.634904510838894</v>
      </c>
      <c r="AN5084">
        <v>1.00000003692324</v>
      </c>
    </row>
    <row r="5085" spans="1:40" x14ac:dyDescent="0.25">
      <c r="A5085" t="str">
        <f>"20190312160747109"</f>
        <v>20190312160747109</v>
      </c>
      <c r="B5085" t="str">
        <f>"1552378067100221"</f>
        <v>1552378067100221</v>
      </c>
      <c r="C5085" t="s">
        <v>40</v>
      </c>
      <c r="D5085">
        <v>5.7613349999999999</v>
      </c>
      <c r="E5085">
        <v>0.44408599999999998</v>
      </c>
      <c r="F5085" t="s">
        <v>47</v>
      </c>
      <c r="G5085">
        <v>-338.35210000000001</v>
      </c>
      <c r="H5085" s="1">
        <v>-9.1036099999999998E-7</v>
      </c>
      <c r="I5085">
        <v>138.76560000000001</v>
      </c>
      <c r="J5085">
        <v>-311.8503</v>
      </c>
      <c r="K5085">
        <v>1.108989</v>
      </c>
      <c r="L5085">
        <v>142.30690000000001</v>
      </c>
      <c r="M5085">
        <v>-0.99993129999999997</v>
      </c>
      <c r="N5085">
        <v>0</v>
      </c>
      <c r="O5085">
        <v>-7.070954E-3</v>
      </c>
      <c r="P5085">
        <v>-0.99980539999999996</v>
      </c>
      <c r="Q5085">
        <v>-9.2326360000000007E-3</v>
      </c>
      <c r="R5085">
        <v>1.7439050000000001E-2</v>
      </c>
      <c r="S5085">
        <v>-3.0061339999999999</v>
      </c>
      <c r="T5085">
        <v>-0.1240145</v>
      </c>
      <c r="U5085">
        <v>-0.39631650000000002</v>
      </c>
      <c r="V5085">
        <v>2.450857E-2</v>
      </c>
      <c r="W5085">
        <v>1.3190909999999999E-4</v>
      </c>
      <c r="X5085">
        <v>0.99969960000000002</v>
      </c>
      <c r="Y5085">
        <v>-0.1235937</v>
      </c>
      <c r="Z5085">
        <v>-2.2470060000000002E-3</v>
      </c>
      <c r="AA5085">
        <v>0.99233039999999995</v>
      </c>
      <c r="AB5085">
        <v>36</v>
      </c>
      <c r="AC5085">
        <v>-26.501799999999999</v>
      </c>
      <c r="AD5085">
        <v>-1.1089899103609999</v>
      </c>
      <c r="AE5085">
        <v>-3.5413000000000001</v>
      </c>
      <c r="AF5085">
        <v>-3.3480504255681698</v>
      </c>
      <c r="AG5085">
        <v>-1.1089899103609999</v>
      </c>
      <c r="AH5085">
        <v>26.4806227813852</v>
      </c>
      <c r="AI5085">
        <v>92.379186840193796</v>
      </c>
      <c r="AJ5085">
        <v>97.205898781881402</v>
      </c>
      <c r="AK5085">
        <v>26.7144658034453</v>
      </c>
      <c r="AL5085">
        <v>89.992442165184201</v>
      </c>
      <c r="AM5085">
        <v>88.595621730594601</v>
      </c>
      <c r="AN5085">
        <v>0.99999998882180696</v>
      </c>
    </row>
    <row r="5086" spans="1:40" x14ac:dyDescent="0.25">
      <c r="A5086" t="str">
        <f>"20190312160747131"</f>
        <v>20190312160747131</v>
      </c>
      <c r="B5086" t="str">
        <f>"1552378067120717"</f>
        <v>1552378067120717</v>
      </c>
      <c r="C5086" t="s">
        <v>40</v>
      </c>
      <c r="D5086">
        <v>5.800745</v>
      </c>
      <c r="E5086">
        <v>0.44457340000000001</v>
      </c>
      <c r="F5086" t="s">
        <v>47</v>
      </c>
      <c r="G5086">
        <v>-337.82170000000002</v>
      </c>
      <c r="H5086" s="1">
        <v>-1.130898E-6</v>
      </c>
      <c r="I5086">
        <v>138.93559999999999</v>
      </c>
      <c r="J5086">
        <v>-312.1848</v>
      </c>
      <c r="K5086">
        <v>1.1089869999999999</v>
      </c>
      <c r="L5086">
        <v>142.30439999999999</v>
      </c>
      <c r="M5086">
        <v>-0.99993030000000005</v>
      </c>
      <c r="N5086">
        <v>0</v>
      </c>
      <c r="O5086">
        <v>-7.1823649999999996E-3</v>
      </c>
      <c r="P5086">
        <v>-0.99979759999999995</v>
      </c>
      <c r="Q5086">
        <v>-9.2135810000000002E-3</v>
      </c>
      <c r="R5086">
        <v>1.7896099999999901E-2</v>
      </c>
      <c r="S5086">
        <v>-3.0062259999999998</v>
      </c>
      <c r="T5086">
        <v>-0.12836689999999901</v>
      </c>
      <c r="U5086">
        <v>-0.39022829999999997</v>
      </c>
      <c r="V5086">
        <v>2.5076830000000001E-2</v>
      </c>
      <c r="W5086">
        <v>1.657645E-4</v>
      </c>
      <c r="X5086">
        <v>0.9996855</v>
      </c>
      <c r="Y5086">
        <v>-0.1214981</v>
      </c>
      <c r="Z5086">
        <v>-2.2767619999999999E-3</v>
      </c>
      <c r="AA5086">
        <v>0.9925891</v>
      </c>
      <c r="AB5086">
        <v>36</v>
      </c>
      <c r="AC5086">
        <v>-25.636900000000001</v>
      </c>
      <c r="AD5086">
        <v>-1.1089881308980001</v>
      </c>
      <c r="AE5086">
        <v>-3.36879999999999</v>
      </c>
      <c r="AF5086">
        <v>-3.1787243394330398</v>
      </c>
      <c r="AG5086">
        <v>-1.1089881308980001</v>
      </c>
      <c r="AH5086">
        <v>25.613321288602801</v>
      </c>
      <c r="AI5086">
        <v>92.460353982837503</v>
      </c>
      <c r="AJ5086">
        <v>97.074482766696704</v>
      </c>
      <c r="AK5086">
        <v>25.833628675309502</v>
      </c>
      <c r="AL5086">
        <v>89.990502393588898</v>
      </c>
      <c r="AM5086">
        <v>88.563052808595799</v>
      </c>
      <c r="AN5086">
        <v>0.99999998689548397</v>
      </c>
    </row>
    <row r="5087" spans="1:40" x14ac:dyDescent="0.25">
      <c r="A5087" t="str">
        <f>"20190312160747153"</f>
        <v>20190312160747153</v>
      </c>
      <c r="B5087" t="str">
        <f>"1552378067150969"</f>
        <v>1552378067150969</v>
      </c>
      <c r="C5087" t="s">
        <v>40</v>
      </c>
      <c r="D5087">
        <v>5.7426199999999996</v>
      </c>
      <c r="E5087">
        <v>0.44517240000000002</v>
      </c>
      <c r="F5087" t="s">
        <v>47</v>
      </c>
      <c r="G5087">
        <v>-337.76620000000003</v>
      </c>
      <c r="H5087" s="1">
        <v>-1.140403E-6</v>
      </c>
      <c r="I5087">
        <v>139.03</v>
      </c>
      <c r="J5087">
        <v>-312.56029999999998</v>
      </c>
      <c r="K5087">
        <v>1.108989</v>
      </c>
      <c r="L5087">
        <v>142.30160000000001</v>
      </c>
      <c r="M5087">
        <v>-0.99992919999999996</v>
      </c>
      <c r="N5087">
        <v>0</v>
      </c>
      <c r="O5087">
        <v>-7.3071300000000002E-3</v>
      </c>
      <c r="P5087">
        <v>-0.99980919999999895</v>
      </c>
      <c r="Q5087">
        <v>-8.3048810000000001E-3</v>
      </c>
      <c r="R5087">
        <v>1.7681369999999998E-2</v>
      </c>
      <c r="S5087">
        <v>-3.0062869999999999</v>
      </c>
      <c r="T5087">
        <v>-0.13032629999999901</v>
      </c>
      <c r="U5087">
        <v>-0.38481140000000003</v>
      </c>
      <c r="V5087">
        <v>2.4986749999999999E-2</v>
      </c>
      <c r="W5087">
        <v>1.0893980000000001E-3</v>
      </c>
      <c r="X5087">
        <v>0.9996872</v>
      </c>
      <c r="Y5087">
        <v>-0.11961090000000001</v>
      </c>
      <c r="Z5087">
        <v>-2.2655940000000001E-3</v>
      </c>
      <c r="AA5087">
        <v>0.99281819999999998</v>
      </c>
      <c r="AB5087">
        <v>36</v>
      </c>
      <c r="AC5087">
        <v>-25.2059</v>
      </c>
      <c r="AD5087">
        <v>-1.108990140403</v>
      </c>
      <c r="AE5087">
        <v>-3.2715999999999998</v>
      </c>
      <c r="AF5087">
        <v>-3.0814556121238099</v>
      </c>
      <c r="AG5087">
        <v>-1.108990140403</v>
      </c>
      <c r="AH5087">
        <v>25.181196961833699</v>
      </c>
      <c r="AI5087">
        <v>92.503052297372506</v>
      </c>
      <c r="AJ5087">
        <v>96.976671961462799</v>
      </c>
      <c r="AK5087">
        <v>25.393265017552601</v>
      </c>
      <c r="AL5087">
        <v>89.93758208074</v>
      </c>
      <c r="AM5087">
        <v>88.568214834920894</v>
      </c>
      <c r="AN5087">
        <v>1.0000000111537</v>
      </c>
    </row>
    <row r="5088" spans="1:40" x14ac:dyDescent="0.25">
      <c r="A5088" t="str">
        <f>"20190312160747177"</f>
        <v>20190312160747177</v>
      </c>
      <c r="B5088" t="str">
        <f>"1552378067170490"</f>
        <v>1552378067170490</v>
      </c>
      <c r="C5088" t="s">
        <v>40</v>
      </c>
      <c r="D5088">
        <v>5.7471969999999999</v>
      </c>
      <c r="E5088">
        <v>0.44554110000000002</v>
      </c>
      <c r="F5088" t="s">
        <v>47</v>
      </c>
      <c r="G5088">
        <v>-338.4785</v>
      </c>
      <c r="H5088" s="1">
        <v>-8.0547959999999996E-7</v>
      </c>
      <c r="I5088">
        <v>139.02000000000001</v>
      </c>
      <c r="J5088">
        <v>-312.93119999999999</v>
      </c>
      <c r="K5088">
        <v>1.1089929999999999</v>
      </c>
      <c r="L5088">
        <v>142.2988</v>
      </c>
      <c r="M5088">
        <v>-0.99992820000000004</v>
      </c>
      <c r="N5088">
        <v>0</v>
      </c>
      <c r="O5088">
        <v>-7.4305769999999998E-3</v>
      </c>
      <c r="P5088">
        <v>-0.99981180000000003</v>
      </c>
      <c r="Q5088">
        <v>-8.3325229999999997E-3</v>
      </c>
      <c r="R5088">
        <v>1.7529099999999999E-2</v>
      </c>
      <c r="S5088">
        <v>-3.0062259999999998</v>
      </c>
      <c r="T5088">
        <v>-0.12863050000000001</v>
      </c>
      <c r="U5088">
        <v>-0.38063049999999998</v>
      </c>
      <c r="V5088">
        <v>2.4957839999999998E-2</v>
      </c>
      <c r="W5088">
        <v>1.0750930000000001E-3</v>
      </c>
      <c r="X5088">
        <v>0.99968789999999996</v>
      </c>
      <c r="Y5088">
        <v>-0.11813609999999999</v>
      </c>
      <c r="Z5088">
        <v>-2.1997119999999999E-3</v>
      </c>
      <c r="AA5088">
        <v>0.99299499999999996</v>
      </c>
      <c r="AB5088">
        <v>36</v>
      </c>
      <c r="AC5088">
        <v>-25.5473</v>
      </c>
      <c r="AD5088">
        <v>-1.1089938054796</v>
      </c>
      <c r="AE5088">
        <v>-3.27879999999998</v>
      </c>
      <c r="AF5088">
        <v>-3.0831542213337202</v>
      </c>
      <c r="AG5088">
        <v>-1.1089938054796</v>
      </c>
      <c r="AH5088">
        <v>25.523642281819001</v>
      </c>
      <c r="AI5088">
        <v>92.469984941651404</v>
      </c>
      <c r="AJ5088">
        <v>96.887729912728005</v>
      </c>
      <c r="AK5088">
        <v>25.733091974020098</v>
      </c>
      <c r="AL5088">
        <v>89.938401695017703</v>
      </c>
      <c r="AM5088">
        <v>88.569871741889301</v>
      </c>
      <c r="AN5088">
        <v>0.99999997350441605</v>
      </c>
    </row>
    <row r="5089" spans="1:40" x14ac:dyDescent="0.25">
      <c r="A5089" t="str">
        <f>"20190312160747198"</f>
        <v>20190312160747198</v>
      </c>
      <c r="B5089" t="str">
        <f>"1552378067190985"</f>
        <v>1552378067190985</v>
      </c>
      <c r="C5089" t="s">
        <v>40</v>
      </c>
      <c r="D5089">
        <v>5.7449849999999998</v>
      </c>
      <c r="E5089">
        <v>0.44584119999999999</v>
      </c>
      <c r="F5089" t="s">
        <v>47</v>
      </c>
      <c r="G5089">
        <v>-338.48919999999998</v>
      </c>
      <c r="H5089" s="1">
        <v>-7.8905179999999995E-7</v>
      </c>
      <c r="I5089">
        <v>139.084</v>
      </c>
      <c r="J5089">
        <v>-313.291</v>
      </c>
      <c r="K5089">
        <v>1.1089990000000001</v>
      </c>
      <c r="L5089">
        <v>142.29599999999999</v>
      </c>
      <c r="M5089">
        <v>-0.99992729999999996</v>
      </c>
      <c r="N5089">
        <v>0</v>
      </c>
      <c r="O5089">
        <v>-7.5504409999999997E-3</v>
      </c>
      <c r="P5089">
        <v>-0.99981529999999996</v>
      </c>
      <c r="Q5089">
        <v>-9.2486040000000005E-3</v>
      </c>
      <c r="R5089">
        <v>1.6856940000000001E-2</v>
      </c>
      <c r="S5089">
        <v>-3.0061339999999999</v>
      </c>
      <c r="T5089">
        <v>-0.13043950000000001</v>
      </c>
      <c r="U5089">
        <v>-0.37812810000000002</v>
      </c>
      <c r="V5089">
        <v>2.440581E-2</v>
      </c>
      <c r="W5089">
        <v>1.7100970000000001E-4</v>
      </c>
      <c r="X5089">
        <v>0.99970210000000004</v>
      </c>
      <c r="Y5089">
        <v>-0.1172052</v>
      </c>
      <c r="Z5089">
        <v>-2.205519E-3</v>
      </c>
      <c r="AA5089">
        <v>0.99310529999999997</v>
      </c>
      <c r="AB5089">
        <v>36</v>
      </c>
      <c r="AC5089">
        <v>-25.1981999999999</v>
      </c>
      <c r="AD5089">
        <v>-1.1089997890518</v>
      </c>
      <c r="AE5089">
        <v>-3.2119999999999802</v>
      </c>
      <c r="AF5089">
        <v>-3.0158941940830499</v>
      </c>
      <c r="AG5089">
        <v>-1.1089997890518</v>
      </c>
      <c r="AH5089">
        <v>25.173753455356199</v>
      </c>
      <c r="AI5089">
        <v>92.504579733361894</v>
      </c>
      <c r="AJ5089">
        <v>96.831652865584005</v>
      </c>
      <c r="AK5089">
        <v>25.3780094048584</v>
      </c>
      <c r="AL5089">
        <v>89.990201865697998</v>
      </c>
      <c r="AM5089">
        <v>88.601511187148802</v>
      </c>
      <c r="AN5089">
        <v>0.99999998077524099</v>
      </c>
    </row>
    <row r="5090" spans="1:40" x14ac:dyDescent="0.25">
      <c r="A5090" t="str">
        <f>"20190312160747220"</f>
        <v>20190312160747220</v>
      </c>
      <c r="B5090" t="str">
        <f>"1552378067210505"</f>
        <v>1552378067210505</v>
      </c>
      <c r="C5090" t="s">
        <v>40</v>
      </c>
      <c r="D5090">
        <v>5.7218519999999904</v>
      </c>
      <c r="E5090">
        <v>0.446156</v>
      </c>
      <c r="F5090" t="s">
        <v>47</v>
      </c>
      <c r="G5090">
        <v>-338.17959999999999</v>
      </c>
      <c r="H5090" s="1">
        <v>-9.2040699999999999E-7</v>
      </c>
      <c r="I5090">
        <v>139.16849999999999</v>
      </c>
      <c r="J5090">
        <v>-313.63670000000002</v>
      </c>
      <c r="K5090">
        <v>1.109002</v>
      </c>
      <c r="L5090">
        <v>142.29329999999999</v>
      </c>
      <c r="M5090">
        <v>-0.99992630000000005</v>
      </c>
      <c r="N5090">
        <v>0</v>
      </c>
      <c r="O5090">
        <v>-7.6652930000000001E-3</v>
      </c>
      <c r="P5090">
        <v>-0.99981359999999997</v>
      </c>
      <c r="Q5090">
        <v>-9.8328249999999999E-3</v>
      </c>
      <c r="R5090">
        <v>1.6625729999999998E-2</v>
      </c>
      <c r="S5090">
        <v>-3.0057070000000001</v>
      </c>
      <c r="T5090">
        <v>-0.13392979999999999</v>
      </c>
      <c r="U5090">
        <v>-0.3777008</v>
      </c>
      <c r="V5090">
        <v>2.428961E-2</v>
      </c>
      <c r="W5090">
        <v>-4.0214990000000001E-4</v>
      </c>
      <c r="X5090">
        <v>0.99970490000000001</v>
      </c>
      <c r="Y5090">
        <v>-0.1169645</v>
      </c>
      <c r="Z5090">
        <v>-2.2543820000000001E-3</v>
      </c>
      <c r="AA5090">
        <v>0.9931335</v>
      </c>
      <c r="AB5090">
        <v>36</v>
      </c>
      <c r="AC5090">
        <v>-24.5428999999999</v>
      </c>
      <c r="AD5090">
        <v>-1.109002920407</v>
      </c>
      <c r="AE5090">
        <v>-3.1247999999999898</v>
      </c>
      <c r="AF5090">
        <v>-2.9306829104555101</v>
      </c>
      <c r="AG5090">
        <v>-1.109002920407</v>
      </c>
      <c r="AH5090">
        <v>24.5168723892209</v>
      </c>
      <c r="AI5090">
        <v>92.5716838448473</v>
      </c>
      <c r="AJ5090">
        <v>96.816642586630195</v>
      </c>
      <c r="AK5090">
        <v>24.7163067942694</v>
      </c>
      <c r="AL5090">
        <v>90.0230414922313</v>
      </c>
      <c r="AM5090">
        <v>88.608170889424201</v>
      </c>
      <c r="AN5090">
        <v>1.00000001698125</v>
      </c>
    </row>
    <row r="5091" spans="1:40" x14ac:dyDescent="0.25">
      <c r="A5091" t="str">
        <f>"20190312160747242"</f>
        <v>20190312160747242</v>
      </c>
      <c r="B5091" t="str">
        <f>"1552378067231001"</f>
        <v>1552378067231001</v>
      </c>
      <c r="C5091" t="s">
        <v>40</v>
      </c>
      <c r="D5091">
        <v>5.7347809999999999</v>
      </c>
      <c r="E5091">
        <v>0.44644669999999997</v>
      </c>
      <c r="F5091" t="s">
        <v>47</v>
      </c>
      <c r="G5091">
        <v>-337.8768</v>
      </c>
      <c r="H5091" s="1">
        <v>-1.046927E-6</v>
      </c>
      <c r="I5091">
        <v>139.26230000000001</v>
      </c>
      <c r="J5091">
        <v>-314.00009999999997</v>
      </c>
      <c r="K5091">
        <v>1.109</v>
      </c>
      <c r="L5091">
        <v>142.29040000000001</v>
      </c>
      <c r="M5091">
        <v>-0.99992510000000001</v>
      </c>
      <c r="N5091">
        <v>0</v>
      </c>
      <c r="O5091">
        <v>-7.7861060000000001E-3</v>
      </c>
      <c r="P5091">
        <v>-0.99983049999999996</v>
      </c>
      <c r="Q5091">
        <v>-9.8776409999999995E-3</v>
      </c>
      <c r="R5091">
        <v>1.554556E-2</v>
      </c>
      <c r="S5091">
        <v>-3.0054630000000002</v>
      </c>
      <c r="T5091">
        <v>-0.13750229999999999</v>
      </c>
      <c r="U5091">
        <v>-0.3758087</v>
      </c>
      <c r="V5091">
        <v>2.333037E-2</v>
      </c>
      <c r="W5091">
        <v>-4.359411E-4</v>
      </c>
      <c r="X5091">
        <v>0.9997277</v>
      </c>
      <c r="Y5091">
        <v>-0.116234</v>
      </c>
      <c r="Z5091">
        <v>-2.292592E-3</v>
      </c>
      <c r="AA5091">
        <v>0.99321919999999997</v>
      </c>
      <c r="AB5091">
        <v>36</v>
      </c>
      <c r="AC5091">
        <v>-23.8767</v>
      </c>
      <c r="AD5091">
        <v>-1.109001046927</v>
      </c>
      <c r="AE5091">
        <v>-3.02809999999999</v>
      </c>
      <c r="AF5091">
        <v>-2.8360719209412202</v>
      </c>
      <c r="AG5091">
        <v>-1.109001046927</v>
      </c>
      <c r="AH5091">
        <v>23.848918918236301</v>
      </c>
      <c r="AI5091">
        <v>92.643797697579004</v>
      </c>
      <c r="AJ5091">
        <v>96.781666262983407</v>
      </c>
      <c r="AK5091">
        <v>24.042548135159201</v>
      </c>
      <c r="AL5091">
        <v>90.0249775863076</v>
      </c>
      <c r="AM5091">
        <v>88.663146822716399</v>
      </c>
      <c r="AN5091">
        <v>0.99999998517813404</v>
      </c>
    </row>
    <row r="5092" spans="1:40" x14ac:dyDescent="0.25">
      <c r="A5092" t="str">
        <f>"20190312160747266"</f>
        <v>20190312160747266</v>
      </c>
      <c r="B5092" t="str">
        <f>"1552378067260282"</f>
        <v>1552378067260282</v>
      </c>
      <c r="C5092" t="s">
        <v>40</v>
      </c>
      <c r="D5092">
        <v>5.6869459999999998</v>
      </c>
      <c r="E5092">
        <v>0.44690960000000002</v>
      </c>
      <c r="F5092" t="s">
        <v>47</v>
      </c>
      <c r="G5092">
        <v>-338.13560000000001</v>
      </c>
      <c r="H5092" s="1">
        <v>-9.2420089999999996E-7</v>
      </c>
      <c r="I5092">
        <v>139.2645</v>
      </c>
      <c r="J5092">
        <v>-314.38220000000001</v>
      </c>
      <c r="K5092">
        <v>1.1089979999999999</v>
      </c>
      <c r="L5092">
        <v>142.28729999999999</v>
      </c>
      <c r="M5092">
        <v>-0.99992420000000004</v>
      </c>
      <c r="N5092">
        <v>0</v>
      </c>
      <c r="O5092">
        <v>-7.913237E-3</v>
      </c>
      <c r="P5092">
        <v>-0.99984550000000005</v>
      </c>
      <c r="Q5092">
        <v>-9.3602500000000005E-3</v>
      </c>
      <c r="R5092">
        <v>1.488221E-2</v>
      </c>
      <c r="S5092">
        <v>-3.0050050000000001</v>
      </c>
      <c r="T5092">
        <v>-0.13807710000000001</v>
      </c>
      <c r="U5092">
        <v>-0.3767395</v>
      </c>
      <c r="V5092">
        <v>2.2794089999999999E-2</v>
      </c>
      <c r="W5092" s="1">
        <v>9.2496859999999996E-5</v>
      </c>
      <c r="X5092">
        <v>0.99974019999999997</v>
      </c>
      <c r="Y5092">
        <v>-0.1164282</v>
      </c>
      <c r="Z5092">
        <v>-2.3010970000000002E-3</v>
      </c>
      <c r="AA5092">
        <v>0.99319639999999998</v>
      </c>
      <c r="AB5092">
        <v>37</v>
      </c>
      <c r="AC5092">
        <v>-23.753399999999999</v>
      </c>
      <c r="AD5092">
        <v>-1.1089989242009</v>
      </c>
      <c r="AE5092">
        <v>-3.0227999999999802</v>
      </c>
      <c r="AF5092">
        <v>-2.82866312683614</v>
      </c>
      <c r="AG5092">
        <v>-1.1089989242009</v>
      </c>
      <c r="AH5092">
        <v>23.7256850459679</v>
      </c>
      <c r="AI5092">
        <v>92.657410013838003</v>
      </c>
      <c r="AJ5092">
        <v>96.798920107010403</v>
      </c>
      <c r="AK5092">
        <v>23.919434454005501</v>
      </c>
      <c r="AL5092">
        <v>89.994700320419597</v>
      </c>
      <c r="AM5092">
        <v>88.693881749918106</v>
      </c>
      <c r="AN5092">
        <v>1.0000000232953099</v>
      </c>
    </row>
    <row r="5093" spans="1:40" x14ac:dyDescent="0.25">
      <c r="A5093" t="str">
        <f>"20190312160747288"</f>
        <v>20190312160747288</v>
      </c>
      <c r="B5093" t="str">
        <f>"1552378067280781"</f>
        <v>1552378067280781</v>
      </c>
      <c r="C5093" t="s">
        <v>40</v>
      </c>
      <c r="D5093">
        <v>5.6737919999999997</v>
      </c>
      <c r="E5093">
        <v>0.4471369</v>
      </c>
      <c r="F5093" t="s">
        <v>47</v>
      </c>
      <c r="G5093">
        <v>-338.47309999999999</v>
      </c>
      <c r="H5093" s="1">
        <v>-7.6180110000000003E-7</v>
      </c>
      <c r="I5093">
        <v>139.28059999999999</v>
      </c>
      <c r="J5093">
        <v>-314.7568</v>
      </c>
      <c r="K5093">
        <v>1.109002</v>
      </c>
      <c r="L5093">
        <v>142.2842</v>
      </c>
      <c r="M5093">
        <v>-0.99992309999999995</v>
      </c>
      <c r="N5093">
        <v>0</v>
      </c>
      <c r="O5093">
        <v>-8.0376230000000007E-3</v>
      </c>
      <c r="P5093">
        <v>-0.99984530000000005</v>
      </c>
      <c r="Q5093">
        <v>-9.7154839999999999E-3</v>
      </c>
      <c r="R5093">
        <v>1.4662980000000001E-2</v>
      </c>
      <c r="S5093">
        <v>-3.0047299999999999</v>
      </c>
      <c r="T5093">
        <v>-0.13831949999999901</v>
      </c>
      <c r="U5093">
        <v>-0.3750153</v>
      </c>
      <c r="V5093">
        <v>2.269937E-2</v>
      </c>
      <c r="W5093">
        <v>-2.524138E-4</v>
      </c>
      <c r="X5093">
        <v>0.99974229999999997</v>
      </c>
      <c r="Y5093">
        <v>-0.1157551</v>
      </c>
      <c r="Z5093">
        <v>-2.2842969999999998E-3</v>
      </c>
      <c r="AA5093">
        <v>0.99327520000000002</v>
      </c>
      <c r="AB5093">
        <v>37</v>
      </c>
      <c r="AC5093">
        <v>-23.716299999999901</v>
      </c>
      <c r="AD5093">
        <v>-1.1090027618011</v>
      </c>
      <c r="AE5093">
        <v>-3.0036</v>
      </c>
      <c r="AF5093">
        <v>-2.8068312300245699</v>
      </c>
      <c r="AG5093">
        <v>-1.1090027618011</v>
      </c>
      <c r="AH5093">
        <v>23.688696473448701</v>
      </c>
      <c r="AI5093">
        <v>92.661791740425102</v>
      </c>
      <c r="AJ5093">
        <v>96.757368596063401</v>
      </c>
      <c r="AK5093">
        <v>23.880170210672802</v>
      </c>
      <c r="AL5093">
        <v>90.014462245645703</v>
      </c>
      <c r="AM5093">
        <v>88.699310138916005</v>
      </c>
      <c r="AN5093">
        <v>0.99999999576020604</v>
      </c>
    </row>
    <row r="5094" spans="1:40" x14ac:dyDescent="0.25">
      <c r="A5094" t="str">
        <f>"20190312160747310"</f>
        <v>20190312160747310</v>
      </c>
      <c r="B5094" t="str">
        <f>"1552378067300297"</f>
        <v>1552378067300297</v>
      </c>
      <c r="C5094" t="s">
        <v>40</v>
      </c>
      <c r="D5094">
        <v>5.6551140000000002</v>
      </c>
      <c r="E5094">
        <v>0.44739040000000002</v>
      </c>
      <c r="F5094" t="s">
        <v>47</v>
      </c>
      <c r="G5094">
        <v>-338.74419999999998</v>
      </c>
      <c r="H5094" s="1">
        <v>-6.3039530000000003E-7</v>
      </c>
      <c r="I5094">
        <v>139.29900000000001</v>
      </c>
      <c r="J5094">
        <v>-315.10449999999997</v>
      </c>
      <c r="K5094">
        <v>1.1090040000000001</v>
      </c>
      <c r="L5094">
        <v>142.28129999999999</v>
      </c>
      <c r="M5094">
        <v>-0.99992190000000003</v>
      </c>
      <c r="N5094">
        <v>0</v>
      </c>
      <c r="O5094">
        <v>-8.1528260000000002E-3</v>
      </c>
      <c r="P5094">
        <v>-0.99984010000000001</v>
      </c>
      <c r="Q5094">
        <v>-1.030883E-2</v>
      </c>
      <c r="R5094">
        <v>1.4605969999999999E-2</v>
      </c>
      <c r="S5094">
        <v>-3.0046390000000001</v>
      </c>
      <c r="T5094">
        <v>-0.13891289999999901</v>
      </c>
      <c r="U5094">
        <v>-0.37393189999999998</v>
      </c>
      <c r="V5094">
        <v>2.2757579999999999E-2</v>
      </c>
      <c r="W5094">
        <v>-8.3653239999999999E-4</v>
      </c>
      <c r="X5094">
        <v>0.99974070000000004</v>
      </c>
      <c r="Y5094">
        <v>-0.1152913</v>
      </c>
      <c r="Z5094">
        <v>-2.2782309999999999E-3</v>
      </c>
      <c r="AA5094">
        <v>0.99332909999999996</v>
      </c>
      <c r="AB5094">
        <v>37</v>
      </c>
      <c r="AC5094">
        <v>-23.639700000000001</v>
      </c>
      <c r="AD5094">
        <v>-1.1090046303953001</v>
      </c>
      <c r="AE5094">
        <v>-2.98229999999998</v>
      </c>
      <c r="AF5094">
        <v>-2.7834320261519099</v>
      </c>
      <c r="AG5094">
        <v>-1.1090046303953001</v>
      </c>
      <c r="AH5094">
        <v>23.612077905865299</v>
      </c>
      <c r="AI5094">
        <v>92.670609480259401</v>
      </c>
      <c r="AJ5094">
        <v>96.723097200474896</v>
      </c>
      <c r="AK5094">
        <v>23.801420296845698</v>
      </c>
      <c r="AL5094">
        <v>90.0479297797513</v>
      </c>
      <c r="AM5094">
        <v>88.695973728977904</v>
      </c>
      <c r="AN5094">
        <v>1.0000000372352</v>
      </c>
    </row>
    <row r="5095" spans="1:40" x14ac:dyDescent="0.25">
      <c r="A5095" t="str">
        <f>"20190312160747331"</f>
        <v>20190312160747331</v>
      </c>
      <c r="B5095" t="str">
        <f>"1552378067320794"</f>
        <v>1552378067320794</v>
      </c>
      <c r="C5095" t="s">
        <v>40</v>
      </c>
      <c r="D5095">
        <v>5.8367190000000004</v>
      </c>
      <c r="E5095">
        <v>0.44756839999999998</v>
      </c>
      <c r="F5095" t="s">
        <v>47</v>
      </c>
      <c r="G5095">
        <v>-338.73770000000002</v>
      </c>
      <c r="H5095" s="1">
        <v>-6.2363980000000001E-7</v>
      </c>
      <c r="I5095">
        <v>139.35419999999999</v>
      </c>
      <c r="J5095">
        <v>-315.46699999999998</v>
      </c>
      <c r="K5095">
        <v>1.1090059999999999</v>
      </c>
      <c r="L5095">
        <v>142.2783</v>
      </c>
      <c r="M5095">
        <v>-0.99992099999999995</v>
      </c>
      <c r="N5095">
        <v>0</v>
      </c>
      <c r="O5095">
        <v>-8.2732740000000006E-3</v>
      </c>
      <c r="P5095">
        <v>-0.99984439999999997</v>
      </c>
      <c r="Q5095">
        <v>-1.010577E-2</v>
      </c>
      <c r="R5095">
        <v>1.445861E-2</v>
      </c>
      <c r="S5095">
        <v>-3.0044249999999999</v>
      </c>
      <c r="T5095">
        <v>-0.14098450000000001</v>
      </c>
      <c r="U5095">
        <v>-0.37211610000000001</v>
      </c>
      <c r="V5095">
        <v>2.2730449999999999E-2</v>
      </c>
      <c r="W5095">
        <v>-6.2414699999999905E-4</v>
      </c>
      <c r="X5095">
        <v>0.9997414</v>
      </c>
      <c r="Y5095">
        <v>-0.11458649999999999</v>
      </c>
      <c r="Z5095">
        <v>-2.2903279999999999E-3</v>
      </c>
      <c r="AA5095">
        <v>0.99341060000000003</v>
      </c>
      <c r="AB5095">
        <v>37</v>
      </c>
      <c r="AC5095">
        <v>-23.270700000000001</v>
      </c>
      <c r="AD5095">
        <v>-1.1090066236398</v>
      </c>
      <c r="AE5095">
        <v>-2.9241000000000001</v>
      </c>
      <c r="AF5095">
        <v>-2.72537285083679</v>
      </c>
      <c r="AG5095">
        <v>-1.1090066236398</v>
      </c>
      <c r="AH5095">
        <v>23.242130191984501</v>
      </c>
      <c r="AI5095">
        <v>92.713255049089497</v>
      </c>
      <c r="AJ5095">
        <v>96.687963360697495</v>
      </c>
      <c r="AK5095">
        <v>23.427636857534601</v>
      </c>
      <c r="AL5095">
        <v>90.035760992472902</v>
      </c>
      <c r="AM5095">
        <v>88.697528673994299</v>
      </c>
      <c r="AN5095">
        <v>0.99999996489531895</v>
      </c>
    </row>
    <row r="5096" spans="1:40" x14ac:dyDescent="0.25">
      <c r="A5096" t="str">
        <f>"20190312160747355"</f>
        <v>20190312160747355</v>
      </c>
      <c r="B5096" t="str">
        <f>"1552378067351049"</f>
        <v>1552378067351049</v>
      </c>
      <c r="C5096" t="s">
        <v>40</v>
      </c>
      <c r="D5096">
        <v>5.780932</v>
      </c>
      <c r="E5096">
        <v>0.49228040000000001</v>
      </c>
      <c r="F5096" t="s">
        <v>47</v>
      </c>
      <c r="G5096">
        <v>-339.20650000000001</v>
      </c>
      <c r="H5096" s="1">
        <v>-4.0344249999999998E-7</v>
      </c>
      <c r="I5096">
        <v>139.3466</v>
      </c>
      <c r="J5096">
        <v>-315.85219999999998</v>
      </c>
      <c r="K5096">
        <v>1.1090100000000001</v>
      </c>
      <c r="L5096">
        <v>142.27500000000001</v>
      </c>
      <c r="M5096">
        <v>-0.99991969999999997</v>
      </c>
      <c r="N5096">
        <v>0</v>
      </c>
      <c r="O5096">
        <v>-8.4008739999999991E-3</v>
      </c>
      <c r="P5096">
        <v>-0.9998475</v>
      </c>
      <c r="Q5096">
        <v>-9.8780299999999994E-3</v>
      </c>
      <c r="R5096">
        <v>1.439908E-2</v>
      </c>
      <c r="S5096">
        <v>-3.0044249999999999</v>
      </c>
      <c r="T5096">
        <v>-0.14035429999999999</v>
      </c>
      <c r="U5096">
        <v>-0.37103269999999999</v>
      </c>
      <c r="V5096">
        <v>2.2798720000000001E-2</v>
      </c>
      <c r="W5096">
        <v>-3.8682639999999997E-4</v>
      </c>
      <c r="X5096">
        <v>0.99973999999999996</v>
      </c>
      <c r="Y5096">
        <v>-0.1141085</v>
      </c>
      <c r="Z5096">
        <v>-2.2631000000000001E-3</v>
      </c>
      <c r="AA5096">
        <v>0.99346570000000001</v>
      </c>
      <c r="AB5096">
        <v>37</v>
      </c>
      <c r="AC5096">
        <v>-23.354299999999999</v>
      </c>
      <c r="AD5096">
        <v>-1.1090104034424999</v>
      </c>
      <c r="AE5096">
        <v>-2.9284000000000101</v>
      </c>
      <c r="AF5096">
        <v>-2.7260393521382702</v>
      </c>
      <c r="AG5096">
        <v>-1.1090104034424999</v>
      </c>
      <c r="AH5096">
        <v>23.326292536735</v>
      </c>
      <c r="AI5096">
        <v>92.703612234540302</v>
      </c>
      <c r="AJ5096">
        <v>96.665665359599402</v>
      </c>
      <c r="AK5096">
        <v>23.511212604493402</v>
      </c>
      <c r="AL5096">
        <v>90.022163520689503</v>
      </c>
      <c r="AM5096">
        <v>88.693616278162494</v>
      </c>
      <c r="AN5096">
        <v>0.99999999943415097</v>
      </c>
    </row>
    <row r="5097" spans="1:40" x14ac:dyDescent="0.25">
      <c r="A5097" t="str">
        <f>"20190312160747378"</f>
        <v>20190312160747378</v>
      </c>
      <c r="B5097" t="str">
        <f>"1552378067370569"</f>
        <v>1552378067370569</v>
      </c>
      <c r="C5097" t="s">
        <v>40</v>
      </c>
      <c r="D5097">
        <v>5.649966</v>
      </c>
      <c r="E5097">
        <v>0.49440149999999999</v>
      </c>
      <c r="F5097" t="s">
        <v>47</v>
      </c>
      <c r="G5097">
        <v>-372.05790000000002</v>
      </c>
      <c r="H5097" s="1">
        <v>-3.9898579999999998E-6</v>
      </c>
      <c r="I5097">
        <v>141.95099999999999</v>
      </c>
      <c r="J5097">
        <v>-316.2278</v>
      </c>
      <c r="K5097">
        <v>1.109013</v>
      </c>
      <c r="L5097">
        <v>142.27170000000001</v>
      </c>
      <c r="M5097">
        <v>-0.99991859999999999</v>
      </c>
      <c r="N5097">
        <v>0</v>
      </c>
      <c r="O5097">
        <v>-8.525253E-3</v>
      </c>
      <c r="P5097">
        <v>-0.99984949999999995</v>
      </c>
      <c r="Q5097">
        <v>-9.6175540000000004E-3</v>
      </c>
      <c r="R5097">
        <v>1.443653E-2</v>
      </c>
      <c r="S5097">
        <v>-3.0001220000000002</v>
      </c>
      <c r="T5097">
        <v>-5.9196470000000001E-2</v>
      </c>
      <c r="U5097">
        <v>-1.7288209999999998E-2</v>
      </c>
      <c r="V5097">
        <v>2.2960250000000001E-2</v>
      </c>
      <c r="W5097">
        <v>-1.173166E-4</v>
      </c>
      <c r="X5097">
        <v>0.99973639999999997</v>
      </c>
      <c r="Y5097">
        <v>2.761103E-3</v>
      </c>
      <c r="Z5097">
        <v>1.9543929999999999E-4</v>
      </c>
      <c r="AA5097">
        <v>0.9999962</v>
      </c>
      <c r="AB5097">
        <v>37</v>
      </c>
      <c r="AC5097">
        <v>-55.830100000000002</v>
      </c>
      <c r="AD5097">
        <v>-1.109016989858</v>
      </c>
      <c r="AE5097">
        <v>-0.32070000000001597</v>
      </c>
      <c r="AF5097">
        <v>0.15523757764877699</v>
      </c>
      <c r="AG5097">
        <v>-1.109016989858</v>
      </c>
      <c r="AH5097">
        <v>55.808784555232897</v>
      </c>
      <c r="AI5097">
        <v>91.138411914056107</v>
      </c>
      <c r="AJ5097">
        <v>89.840626611877497</v>
      </c>
      <c r="AK5097">
        <v>55.820018370847102</v>
      </c>
      <c r="AL5097">
        <v>90.006721745872895</v>
      </c>
      <c r="AM5097">
        <v>88.684358994079801</v>
      </c>
      <c r="AN5097">
        <v>1.0000000281640999</v>
      </c>
    </row>
    <row r="5098" spans="1:40" x14ac:dyDescent="0.25">
      <c r="A5098" t="str">
        <f>"20190312160747422"</f>
        <v>20190312160747422</v>
      </c>
      <c r="B5098" t="str">
        <f>"1552378067410587"</f>
        <v>1552378067410587</v>
      </c>
      <c r="C5098" t="s">
        <v>40</v>
      </c>
      <c r="D5098">
        <v>5.9202430000000001</v>
      </c>
      <c r="E5098">
        <v>0.49619999999999997</v>
      </c>
      <c r="F5098" t="s">
        <v>47</v>
      </c>
      <c r="G5098">
        <v>-388.08670000000001</v>
      </c>
      <c r="H5098" s="1">
        <v>-1.505277E-6</v>
      </c>
      <c r="I5098">
        <v>142.2552</v>
      </c>
      <c r="J5098">
        <v>-316.95100000000002</v>
      </c>
      <c r="K5098">
        <v>1.109011</v>
      </c>
      <c r="L5098">
        <v>142.2653</v>
      </c>
      <c r="M5098">
        <v>-0.99991629999999998</v>
      </c>
      <c r="N5098">
        <v>0</v>
      </c>
      <c r="O5098">
        <v>-8.7650660000000002E-3</v>
      </c>
      <c r="P5098">
        <v>-0.99985740000000001</v>
      </c>
      <c r="Q5098">
        <v>-8.9393130000000008E-3</v>
      </c>
      <c r="R5098">
        <v>1.4338490000000001E-2</v>
      </c>
      <c r="S5098">
        <v>-3.0000309999999999</v>
      </c>
      <c r="T5098">
        <v>-4.6300170000000002E-2</v>
      </c>
      <c r="U5098">
        <v>-6.866455E-4</v>
      </c>
      <c r="V5098">
        <v>2.3102009999999999E-2</v>
      </c>
      <c r="W5098">
        <v>5.7775179999999999E-4</v>
      </c>
      <c r="X5098">
        <v>0.99973299999999998</v>
      </c>
      <c r="Y5098">
        <v>8.5345309999999997E-3</v>
      </c>
      <c r="Z5098">
        <v>2.0112379999999999E-4</v>
      </c>
      <c r="AA5098">
        <v>0.99996359999999995</v>
      </c>
      <c r="AB5098">
        <v>37</v>
      </c>
      <c r="AC5098">
        <v>-71.1357</v>
      </c>
      <c r="AD5098">
        <v>-1.1090125052769999</v>
      </c>
      <c r="AE5098">
        <v>-1.00999999999942E-2</v>
      </c>
      <c r="AF5098">
        <v>0.61328866943467497</v>
      </c>
      <c r="AG5098">
        <v>-1.1090125052769999</v>
      </c>
      <c r="AH5098">
        <v>71.115770912898398</v>
      </c>
      <c r="AI5098">
        <v>90.893391479432495</v>
      </c>
      <c r="AJ5098">
        <v>89.505904514892407</v>
      </c>
      <c r="AK5098">
        <v>71.127061687270299</v>
      </c>
      <c r="AL5098">
        <v>89.966897260199005</v>
      </c>
      <c r="AM5098">
        <v>88.676234411842898</v>
      </c>
      <c r="AN5098">
        <v>1.00000005397608</v>
      </c>
    </row>
    <row r="5099" spans="1:40" x14ac:dyDescent="0.25">
      <c r="A5099" t="str">
        <f>"20190312160747444"</f>
        <v>20190312160747444</v>
      </c>
      <c r="B5099" t="str">
        <f>"1552378067440842"</f>
        <v>1552378067440842</v>
      </c>
      <c r="C5099" t="s">
        <v>40</v>
      </c>
      <c r="D5099">
        <v>5.7130919999999996</v>
      </c>
      <c r="E5099">
        <v>0.49762840000000003</v>
      </c>
      <c r="F5099" t="s">
        <v>89</v>
      </c>
      <c r="G5099">
        <v>-402.0129</v>
      </c>
      <c r="H5099" s="1">
        <v>-7.5003239999999998E-6</v>
      </c>
      <c r="I5099">
        <v>142.63730000000001</v>
      </c>
      <c r="J5099">
        <v>-317.31659999999999</v>
      </c>
      <c r="K5099">
        <v>1.1090169999999999</v>
      </c>
      <c r="L5099">
        <v>142.2619</v>
      </c>
      <c r="M5099">
        <v>-0.9999152</v>
      </c>
      <c r="N5099">
        <v>0</v>
      </c>
      <c r="O5099">
        <v>-8.8863409999999903E-3</v>
      </c>
      <c r="P5099">
        <v>-0.99987139999999997</v>
      </c>
      <c r="Q5099">
        <v>-8.4037690000000002E-3</v>
      </c>
      <c r="R5099">
        <v>1.366931E-2</v>
      </c>
      <c r="S5099">
        <v>-2.9999389999999999</v>
      </c>
      <c r="T5099">
        <v>-3.9112569999999999E-2</v>
      </c>
      <c r="U5099">
        <v>1.312256E-2</v>
      </c>
      <c r="V5099">
        <v>2.2554049999999999E-2</v>
      </c>
      <c r="W5099">
        <v>1.1213460000000001E-3</v>
      </c>
      <c r="X5099">
        <v>0.99974499999999999</v>
      </c>
      <c r="Y5099">
        <v>1.3258839999999999E-2</v>
      </c>
      <c r="Z5099">
        <v>2.022863E-4</v>
      </c>
      <c r="AA5099">
        <v>0.99991209999999997</v>
      </c>
      <c r="AB5099">
        <v>37</v>
      </c>
      <c r="AC5099">
        <v>-84.696299999999994</v>
      </c>
      <c r="AD5099">
        <v>-1.109024500324</v>
      </c>
      <c r="AE5099">
        <v>0.375400000000013</v>
      </c>
      <c r="AF5099">
        <v>1.1278661101643701</v>
      </c>
      <c r="AG5099">
        <v>-1.109024500324</v>
      </c>
      <c r="AH5099">
        <v>84.675101645562293</v>
      </c>
      <c r="AI5099">
        <v>90.750316844474995</v>
      </c>
      <c r="AJ5099">
        <v>89.236869571258893</v>
      </c>
      <c r="AK5099">
        <v>84.689874577726698</v>
      </c>
      <c r="AL5099">
        <v>89.935751593606099</v>
      </c>
      <c r="AM5099">
        <v>88.707637733021997</v>
      </c>
      <c r="AN5099">
        <v>1.0000000038066199</v>
      </c>
    </row>
    <row r="5100" spans="1:40" x14ac:dyDescent="0.25">
      <c r="A5100" t="str">
        <f>"20190312160747466"</f>
        <v>20190312160747466</v>
      </c>
      <c r="B5100" t="str">
        <f>"1552378067460362"</f>
        <v>1552378067460362</v>
      </c>
      <c r="C5100" t="s">
        <v>40</v>
      </c>
      <c r="D5100">
        <v>5.702502</v>
      </c>
      <c r="E5100">
        <v>0.4979942</v>
      </c>
      <c r="F5100" t="s">
        <v>89</v>
      </c>
      <c r="G5100">
        <v>-432.40249999999997</v>
      </c>
      <c r="H5100" s="1">
        <v>-1.154422E-5</v>
      </c>
      <c r="I5100">
        <v>143.11539999999999</v>
      </c>
      <c r="J5100">
        <v>-317.68819999999999</v>
      </c>
      <c r="K5100">
        <v>1.1090169999999999</v>
      </c>
      <c r="L5100">
        <v>142.2585</v>
      </c>
      <c r="M5100">
        <v>-0.99991410000000003</v>
      </c>
      <c r="N5100">
        <v>0</v>
      </c>
      <c r="O5100">
        <v>-9.0092869999999995E-3</v>
      </c>
      <c r="P5100">
        <v>-0.99988670000000002</v>
      </c>
      <c r="Q5100">
        <v>-7.8382859999999999E-3</v>
      </c>
      <c r="R5100">
        <v>1.285115E-2</v>
      </c>
      <c r="S5100">
        <v>-2.9998469999999999</v>
      </c>
      <c r="T5100">
        <v>-2.8908130000000001E-2</v>
      </c>
      <c r="U5100">
        <v>2.2247309999999999E-2</v>
      </c>
      <c r="V5100">
        <v>2.1858860000000001E-2</v>
      </c>
      <c r="W5100">
        <v>1.69498E-3</v>
      </c>
      <c r="X5100">
        <v>0.99975959999999997</v>
      </c>
      <c r="Y5100">
        <v>1.642391E-2</v>
      </c>
      <c r="Z5100">
        <v>1.659508E-4</v>
      </c>
      <c r="AA5100">
        <v>0.99986509999999995</v>
      </c>
      <c r="AB5100">
        <v>37</v>
      </c>
      <c r="AC5100">
        <v>-114.714299999999</v>
      </c>
      <c r="AD5100">
        <v>-1.1090285442200001</v>
      </c>
      <c r="AE5100">
        <v>0.856899999999996</v>
      </c>
      <c r="AF5100">
        <v>1.8902294443360299</v>
      </c>
      <c r="AG5100">
        <v>-1.1090285442200001</v>
      </c>
      <c r="AH5100">
        <v>114.691204505546</v>
      </c>
      <c r="AI5100">
        <v>90.553940012655701</v>
      </c>
      <c r="AJ5100">
        <v>89.055791891816796</v>
      </c>
      <c r="AK5100">
        <v>114.712141042686</v>
      </c>
      <c r="AL5100">
        <v>89.902884750250806</v>
      </c>
      <c r="AM5100">
        <v>88.747477982359996</v>
      </c>
      <c r="AN5100">
        <v>0.99999997025492904</v>
      </c>
    </row>
    <row r="5101" spans="1:40" x14ac:dyDescent="0.25">
      <c r="A5101" t="str">
        <f>"20190312160747489"</f>
        <v>20190312160747489</v>
      </c>
      <c r="B5101" t="str">
        <f>"1552378067480857"</f>
        <v>1552378067480857</v>
      </c>
      <c r="C5101" t="s">
        <v>40</v>
      </c>
      <c r="D5101">
        <v>5.7566600000000001</v>
      </c>
      <c r="E5101">
        <v>0.4984614</v>
      </c>
      <c r="F5101" t="s">
        <v>47</v>
      </c>
      <c r="G5101">
        <v>-453.6343</v>
      </c>
      <c r="H5101" s="1">
        <v>-2.6753660000000002E-6</v>
      </c>
      <c r="I5101">
        <v>143.2825</v>
      </c>
      <c r="J5101">
        <v>-318.06700000000001</v>
      </c>
      <c r="K5101">
        <v>1.1090150000000001</v>
      </c>
      <c r="L5101">
        <v>142.255</v>
      </c>
      <c r="M5101">
        <v>-0.99991280000000005</v>
      </c>
      <c r="N5101">
        <v>0</v>
      </c>
      <c r="O5101">
        <v>-9.1346169999999994E-3</v>
      </c>
      <c r="P5101">
        <v>-0.99988259999999995</v>
      </c>
      <c r="Q5101">
        <v>-8.469262E-3</v>
      </c>
      <c r="R5101">
        <v>1.277258E-2</v>
      </c>
      <c r="S5101">
        <v>-2.9998469999999999</v>
      </c>
      <c r="T5101">
        <v>-2.447212E-2</v>
      </c>
      <c r="U5101">
        <v>2.259827E-2</v>
      </c>
      <c r="V5101">
        <v>2.1905819999999999E-2</v>
      </c>
      <c r="W5101">
        <v>1.072232E-3</v>
      </c>
      <c r="X5101">
        <v>0.99975939999999996</v>
      </c>
      <c r="Y5101">
        <v>1.6666529999999999E-2</v>
      </c>
      <c r="Z5101">
        <v>1.424981E-4</v>
      </c>
      <c r="AA5101">
        <v>0.99986109999999995</v>
      </c>
      <c r="AB5101">
        <v>37</v>
      </c>
      <c r="AC5101">
        <v>-135.56729999999999</v>
      </c>
      <c r="AD5101">
        <v>-1.1090176753659999</v>
      </c>
      <c r="AE5101">
        <v>1.0275000000000001</v>
      </c>
      <c r="AF5101">
        <v>2.2657171923112198</v>
      </c>
      <c r="AG5101">
        <v>-1.1090176753659999</v>
      </c>
      <c r="AH5101">
        <v>135.54318690965101</v>
      </c>
      <c r="AI5101">
        <v>90.468719533490301</v>
      </c>
      <c r="AJ5101">
        <v>89.042342542981501</v>
      </c>
      <c r="AK5101">
        <v>135.56665855668399</v>
      </c>
      <c r="AL5101">
        <v>89.938565616053594</v>
      </c>
      <c r="AM5101">
        <v>88.744787763229198</v>
      </c>
      <c r="AN5101">
        <v>0.99999993625984496</v>
      </c>
    </row>
    <row r="5102" spans="1:40" x14ac:dyDescent="0.25">
      <c r="A5102" t="str">
        <f>"20190312160747511"</f>
        <v>20190312160747511</v>
      </c>
      <c r="B5102" t="str">
        <f>"1552378067500377"</f>
        <v>1552378067500377</v>
      </c>
      <c r="C5102" t="s">
        <v>40</v>
      </c>
      <c r="D5102">
        <v>5.6613879999999996</v>
      </c>
      <c r="E5102">
        <v>0.49876209999999999</v>
      </c>
      <c r="F5102" t="s">
        <v>47</v>
      </c>
      <c r="G5102">
        <v>-455.82530000000003</v>
      </c>
      <c r="H5102" s="1">
        <v>-1.7806270000000001E-6</v>
      </c>
      <c r="I5102">
        <v>143.45240000000001</v>
      </c>
      <c r="J5102">
        <v>-318.42829999999998</v>
      </c>
      <c r="K5102">
        <v>1.1090180000000001</v>
      </c>
      <c r="L5102">
        <v>142.2516</v>
      </c>
      <c r="M5102">
        <v>-0.99991169999999996</v>
      </c>
      <c r="N5102">
        <v>0</v>
      </c>
      <c r="O5102">
        <v>-9.2541040000000008E-3</v>
      </c>
      <c r="P5102">
        <v>-0.99987789999999999</v>
      </c>
      <c r="Q5102">
        <v>-8.8235599999999994E-3</v>
      </c>
      <c r="R5102">
        <v>1.290586E-2</v>
      </c>
      <c r="S5102">
        <v>-2.9998170000000002</v>
      </c>
      <c r="T5102">
        <v>-2.414989E-2</v>
      </c>
      <c r="U5102">
        <v>2.607727E-2</v>
      </c>
      <c r="V5102">
        <v>2.2158460000000001E-2</v>
      </c>
      <c r="W5102">
        <v>7.2557130000000004E-4</v>
      </c>
      <c r="X5102">
        <v>0.99975420000000004</v>
      </c>
      <c r="Y5102">
        <v>1.7945550000000001E-2</v>
      </c>
      <c r="Z5102">
        <v>1.4673290000000001E-4</v>
      </c>
      <c r="AA5102">
        <v>0.99983889999999997</v>
      </c>
      <c r="AB5102">
        <v>37</v>
      </c>
      <c r="AC5102">
        <v>-137.39699999999999</v>
      </c>
      <c r="AD5102">
        <v>-1.1090197806269999</v>
      </c>
      <c r="AE5102">
        <v>1.2008000000000101</v>
      </c>
      <c r="AF5102">
        <v>2.4721314807094701</v>
      </c>
      <c r="AG5102">
        <v>-1.1090197806269999</v>
      </c>
      <c r="AH5102">
        <v>137.37105403318901</v>
      </c>
      <c r="AI5102">
        <v>90.462473602970903</v>
      </c>
      <c r="AJ5102">
        <v>88.969015608308695</v>
      </c>
      <c r="AK5102">
        <v>137.397772344099</v>
      </c>
      <c r="AL5102">
        <v>89.958427822798498</v>
      </c>
      <c r="AM5102">
        <v>88.730309500325205</v>
      </c>
      <c r="AN5102">
        <v>0.99999999211046098</v>
      </c>
    </row>
    <row r="5103" spans="1:40" x14ac:dyDescent="0.25">
      <c r="A5103" t="str">
        <f>"20190312160747533"</f>
        <v>20190312160747533</v>
      </c>
      <c r="B5103" t="str">
        <f>"1552378067530634"</f>
        <v>1552378067530634</v>
      </c>
      <c r="C5103" t="s">
        <v>40</v>
      </c>
      <c r="D5103">
        <v>5.5979570000000001</v>
      </c>
      <c r="E5103">
        <v>0.49916670000000002</v>
      </c>
      <c r="F5103" t="s">
        <v>47</v>
      </c>
      <c r="G5103">
        <v>-453.47340000000003</v>
      </c>
      <c r="H5103" s="1">
        <v>-2.7777370000000001E-6</v>
      </c>
      <c r="I5103">
        <v>143.54560000000001</v>
      </c>
      <c r="J5103">
        <v>-318.79450000000003</v>
      </c>
      <c r="K5103">
        <v>1.10902099999999</v>
      </c>
      <c r="L5103">
        <v>142.24809999999999</v>
      </c>
      <c r="M5103">
        <v>-0.99991050000000004</v>
      </c>
      <c r="N5103">
        <v>0</v>
      </c>
      <c r="O5103">
        <v>-9.3756140000000009E-3</v>
      </c>
      <c r="P5103">
        <v>-0.99989099999999997</v>
      </c>
      <c r="Q5103">
        <v>-8.0722859999999997E-3</v>
      </c>
      <c r="R5103">
        <v>1.238274E-2</v>
      </c>
      <c r="S5103">
        <v>-2.9998170000000002</v>
      </c>
      <c r="T5103">
        <v>-2.4635199999999999E-2</v>
      </c>
      <c r="U5103">
        <v>2.8747559999999998E-2</v>
      </c>
      <c r="V5103">
        <v>2.175697E-2</v>
      </c>
      <c r="W5103">
        <v>1.484696E-3</v>
      </c>
      <c r="X5103">
        <v>0.99976220000000005</v>
      </c>
      <c r="Y5103">
        <v>1.8956899999999999E-2</v>
      </c>
      <c r="Z5103">
        <v>1.5483129999999999E-4</v>
      </c>
      <c r="AA5103">
        <v>0.9998203</v>
      </c>
      <c r="AB5103">
        <v>37</v>
      </c>
      <c r="AC5103">
        <v>-134.6789</v>
      </c>
      <c r="AD5103">
        <v>-1.10902377773699</v>
      </c>
      <c r="AE5103">
        <v>1.2975000000000101</v>
      </c>
      <c r="AF5103">
        <v>2.5600242860923599</v>
      </c>
      <c r="AG5103">
        <v>-1.10902377773699</v>
      </c>
      <c r="AH5103">
        <v>134.65168498681501</v>
      </c>
      <c r="AI5103">
        <v>90.471805940318006</v>
      </c>
      <c r="AJ5103">
        <v>88.910812605875293</v>
      </c>
      <c r="AK5103">
        <v>134.68058482154501</v>
      </c>
      <c r="AL5103">
        <v>89.914933155219501</v>
      </c>
      <c r="AM5103">
        <v>88.753317717135502</v>
      </c>
      <c r="AN5103">
        <v>1.0000000133073099</v>
      </c>
    </row>
    <row r="5104" spans="1:40" x14ac:dyDescent="0.25">
      <c r="A5104" t="str">
        <f>"20190312160747556"</f>
        <v>20190312160747556</v>
      </c>
      <c r="B5104" t="str">
        <f>"1552378067551130"</f>
        <v>1552378067551130</v>
      </c>
      <c r="C5104" t="s">
        <v>40</v>
      </c>
      <c r="D5104">
        <v>5.5916980000000001</v>
      </c>
      <c r="E5104">
        <v>0.49908469999999999</v>
      </c>
      <c r="F5104" t="s">
        <v>82</v>
      </c>
      <c r="G5104">
        <v>-473.43959999999998</v>
      </c>
      <c r="H5104" s="1">
        <v>-5.2872290000000001E-6</v>
      </c>
      <c r="I5104">
        <v>143.8143</v>
      </c>
      <c r="J5104">
        <v>-319.1832</v>
      </c>
      <c r="K5104">
        <v>1.109019</v>
      </c>
      <c r="L5104">
        <v>142.24430000000001</v>
      </c>
      <c r="M5104">
        <v>-0.9999093</v>
      </c>
      <c r="N5104">
        <v>0</v>
      </c>
      <c r="O5104">
        <v>-9.5040390000000006E-3</v>
      </c>
      <c r="P5104">
        <v>-0.99990239999999997</v>
      </c>
      <c r="Q5104">
        <v>-7.1571819999999998E-3</v>
      </c>
      <c r="R5104">
        <v>1.201873E-2</v>
      </c>
      <c r="S5104">
        <v>-2.9997859999999998</v>
      </c>
      <c r="T5104">
        <v>-2.1512750000000001E-2</v>
      </c>
      <c r="U5104">
        <v>3.0380250000000001E-2</v>
      </c>
      <c r="V5104">
        <v>2.1521220000000001E-2</v>
      </c>
      <c r="W5104">
        <v>2.4073739999999999E-3</v>
      </c>
      <c r="X5104">
        <v>0.99976549999999997</v>
      </c>
      <c r="Y5104">
        <v>1.9629730000000001E-2</v>
      </c>
      <c r="Z5104">
        <v>1.3854190000000001E-4</v>
      </c>
      <c r="AA5104">
        <v>0.99980729999999995</v>
      </c>
      <c r="AB5104">
        <v>37</v>
      </c>
      <c r="AC5104">
        <v>-154.25640000000001</v>
      </c>
      <c r="AD5104">
        <v>-1.1090242872289999</v>
      </c>
      <c r="AE5104">
        <v>1.5699999999999901</v>
      </c>
      <c r="AF5104">
        <v>3.0358977795316799</v>
      </c>
      <c r="AG5104">
        <v>-1.1090242872289999</v>
      </c>
      <c r="AH5104">
        <v>154.22653950141401</v>
      </c>
      <c r="AI5104">
        <v>90.411920084291395</v>
      </c>
      <c r="AJ5104">
        <v>88.872297409962698</v>
      </c>
      <c r="AK5104">
        <v>154.26040352850899</v>
      </c>
      <c r="AL5104">
        <v>89.862067497780799</v>
      </c>
      <c r="AM5104">
        <v>88.766826152686903</v>
      </c>
      <c r="AN5104">
        <v>1.0000000066750501</v>
      </c>
    </row>
    <row r="5105" spans="1:40" x14ac:dyDescent="0.25">
      <c r="A5105" t="str">
        <f>"20190312160747579"</f>
        <v>20190312160747579</v>
      </c>
      <c r="B5105" t="str">
        <f>"1552378067570651"</f>
        <v>1552378067570651</v>
      </c>
      <c r="C5105" t="s">
        <v>40</v>
      </c>
      <c r="D5105">
        <v>5.5523939999999996</v>
      </c>
      <c r="E5105">
        <v>0.49877739999999998</v>
      </c>
      <c r="F5105" t="s">
        <v>82</v>
      </c>
      <c r="G5105">
        <v>-482.18810000000002</v>
      </c>
      <c r="H5105" s="1">
        <v>-9.4055179999999992E-6</v>
      </c>
      <c r="I5105">
        <v>143.8048</v>
      </c>
      <c r="J5105">
        <v>-319.57060000000001</v>
      </c>
      <c r="K5105">
        <v>1.1090199999999999</v>
      </c>
      <c r="L5105">
        <v>142.2405</v>
      </c>
      <c r="M5105">
        <v>-0.99990789999999996</v>
      </c>
      <c r="N5105">
        <v>0</v>
      </c>
      <c r="O5105">
        <v>-9.6312710000000003E-3</v>
      </c>
      <c r="P5105">
        <v>-0.99989859999999997</v>
      </c>
      <c r="Q5105">
        <v>-8.0094859999999997E-3</v>
      </c>
      <c r="R5105">
        <v>1.178163E-2</v>
      </c>
      <c r="S5105">
        <v>-2.9998170000000002</v>
      </c>
      <c r="T5105">
        <v>-2.0409699999999999E-2</v>
      </c>
      <c r="U5105">
        <v>2.8717039999999999E-2</v>
      </c>
      <c r="V5105">
        <v>2.1411309999999999E-2</v>
      </c>
      <c r="W5105">
        <v>1.563374E-3</v>
      </c>
      <c r="X5105">
        <v>0.99976949999999998</v>
      </c>
      <c r="Y5105">
        <v>1.9202650000000002E-2</v>
      </c>
      <c r="Z5105">
        <v>1.3085040000000001E-4</v>
      </c>
      <c r="AA5105">
        <v>0.99981560000000003</v>
      </c>
      <c r="AB5105">
        <v>37</v>
      </c>
      <c r="AC5105">
        <v>-162.61750000000001</v>
      </c>
      <c r="AD5105">
        <v>-1.1090294055179899</v>
      </c>
      <c r="AE5105">
        <v>1.5643</v>
      </c>
      <c r="AF5105">
        <v>3.1303666730316402</v>
      </c>
      <c r="AG5105">
        <v>-1.1090294055179899</v>
      </c>
      <c r="AH5105">
        <v>162.58732860951201</v>
      </c>
      <c r="AI5105">
        <v>90.390743520378606</v>
      </c>
      <c r="AJ5105">
        <v>88.896994969309802</v>
      </c>
      <c r="AK5105">
        <v>162.62124266561099</v>
      </c>
      <c r="AL5105">
        <v>89.910425228888897</v>
      </c>
      <c r="AM5105">
        <v>88.773127013491404</v>
      </c>
      <c r="AN5105">
        <v>0.99999997073221403</v>
      </c>
    </row>
    <row r="5106" spans="1:40" x14ac:dyDescent="0.25">
      <c r="A5106" t="str">
        <f>"20190312160747603"</f>
        <v>20190312160747603</v>
      </c>
      <c r="B5106" t="str">
        <f>"1552378067590169"</f>
        <v>1552378067590169</v>
      </c>
      <c r="C5106" t="s">
        <v>40</v>
      </c>
      <c r="D5106">
        <v>5.5534559999999997</v>
      </c>
      <c r="E5106">
        <v>0.49866329999999998</v>
      </c>
      <c r="F5106" t="s">
        <v>47</v>
      </c>
      <c r="G5106">
        <v>-445.5831</v>
      </c>
      <c r="H5106" s="1">
        <v>-1.8491030000000001E-6</v>
      </c>
      <c r="I5106">
        <v>143.3192</v>
      </c>
      <c r="J5106">
        <v>-319.9699</v>
      </c>
      <c r="K5106">
        <v>1.10902099999999</v>
      </c>
      <c r="L5106">
        <v>142.23660000000001</v>
      </c>
      <c r="M5106">
        <v>-0.99990650000000003</v>
      </c>
      <c r="N5106">
        <v>0</v>
      </c>
      <c r="O5106">
        <v>-9.7616019999999994E-3</v>
      </c>
      <c r="P5106">
        <v>-0.99989899999999998</v>
      </c>
      <c r="Q5106">
        <v>-7.9634179999999999E-3</v>
      </c>
      <c r="R5106">
        <v>1.178393E-2</v>
      </c>
      <c r="S5106">
        <v>-2.9997859999999998</v>
      </c>
      <c r="T5106">
        <v>-2.6400799999999999E-2</v>
      </c>
      <c r="U5106">
        <v>2.5680540000000002E-2</v>
      </c>
      <c r="V5106">
        <v>2.1543940000000001E-2</v>
      </c>
      <c r="W5106">
        <v>1.6177330000000001E-3</v>
      </c>
      <c r="X5106">
        <v>0.99976659999999995</v>
      </c>
      <c r="Y5106">
        <v>1.8320679999999999E-2</v>
      </c>
      <c r="Z5106">
        <v>1.6652759999999999E-4</v>
      </c>
      <c r="AA5106">
        <v>0.99983219999999995</v>
      </c>
      <c r="AB5106">
        <v>37</v>
      </c>
      <c r="AC5106">
        <v>-125.61320000000001</v>
      </c>
      <c r="AD5106">
        <v>-1.1090228491030001</v>
      </c>
      <c r="AE5106">
        <v>1.08259999999998</v>
      </c>
      <c r="AF5106">
        <v>2.3086107639940798</v>
      </c>
      <c r="AG5106">
        <v>-1.1090228491030001</v>
      </c>
      <c r="AH5106">
        <v>125.586857503264</v>
      </c>
      <c r="AI5106">
        <v>90.505864592291502</v>
      </c>
      <c r="AJ5106">
        <v>88.946874221636605</v>
      </c>
      <c r="AK5106">
        <v>125.61297063951901</v>
      </c>
      <c r="AL5106">
        <v>89.907310686889204</v>
      </c>
      <c r="AM5106">
        <v>88.765526048769999</v>
      </c>
      <c r="AN5106">
        <v>1.00000000644317</v>
      </c>
    </row>
    <row r="5107" spans="1:40" x14ac:dyDescent="0.25">
      <c r="A5107" t="str">
        <f>"20190312160747623"</f>
        <v>20190312160747623</v>
      </c>
      <c r="B5107" t="str">
        <f>"1552378067610665"</f>
        <v>1552378067610665</v>
      </c>
      <c r="C5107" t="s">
        <v>40</v>
      </c>
      <c r="D5107">
        <v>5.6681850000000003</v>
      </c>
      <c r="E5107">
        <v>0.4987183</v>
      </c>
      <c r="F5107" t="s">
        <v>89</v>
      </c>
      <c r="G5107">
        <v>-434.51029999999997</v>
      </c>
      <c r="H5107" s="1">
        <v>-1.0776259999999999E-5</v>
      </c>
      <c r="I5107">
        <v>143.18799999999999</v>
      </c>
      <c r="J5107">
        <v>-320.29700000000003</v>
      </c>
      <c r="K5107">
        <v>1.109019</v>
      </c>
      <c r="L5107">
        <v>142.23330000000001</v>
      </c>
      <c r="M5107">
        <v>-0.99990559999999995</v>
      </c>
      <c r="N5107">
        <v>0</v>
      </c>
      <c r="O5107">
        <v>-9.8671260000000004E-3</v>
      </c>
      <c r="P5107">
        <v>-0.99990199999999996</v>
      </c>
      <c r="Q5107">
        <v>-7.4891369999999999E-3</v>
      </c>
      <c r="R5107">
        <v>1.183798E-2</v>
      </c>
      <c r="S5107">
        <v>-2.9998170000000002</v>
      </c>
      <c r="T5107">
        <v>-2.9045580000000001E-2</v>
      </c>
      <c r="U5107">
        <v>2.4917600000000002E-2</v>
      </c>
      <c r="V5107">
        <v>2.1703440000000001E-2</v>
      </c>
      <c r="W5107">
        <v>2.098384E-3</v>
      </c>
      <c r="X5107">
        <v>0.99976220000000005</v>
      </c>
      <c r="Y5107">
        <v>1.8171610000000001E-2</v>
      </c>
      <c r="Z5107">
        <v>1.835076E-4</v>
      </c>
      <c r="AA5107">
        <v>0.99983489999999997</v>
      </c>
      <c r="AB5107">
        <v>37</v>
      </c>
      <c r="AC5107">
        <v>-114.21329999999899</v>
      </c>
      <c r="AD5107">
        <v>-1.1090297762600001</v>
      </c>
      <c r="AE5107">
        <v>0.95469999999997401</v>
      </c>
      <c r="AF5107">
        <v>2.0814658225881</v>
      </c>
      <c r="AG5107">
        <v>-1.1090297762600001</v>
      </c>
      <c r="AH5107">
        <v>114.187553186663</v>
      </c>
      <c r="AI5107">
        <v>90.556366894617497</v>
      </c>
      <c r="AJ5107">
        <v>88.955700537522702</v>
      </c>
      <c r="AK5107">
        <v>114.21190721537</v>
      </c>
      <c r="AL5107">
        <v>89.879771358702698</v>
      </c>
      <c r="AM5107">
        <v>88.756384041115894</v>
      </c>
      <c r="AN5107">
        <v>0.99999994953604099</v>
      </c>
    </row>
    <row r="5108" spans="1:40" x14ac:dyDescent="0.25">
      <c r="A5108" t="str">
        <f>"20190312160747645"</f>
        <v>20190312160747645</v>
      </c>
      <c r="B5108" t="str">
        <f>"1552378067640921"</f>
        <v>1552378067640921</v>
      </c>
      <c r="C5108" t="s">
        <v>40</v>
      </c>
      <c r="D5108">
        <v>5.6382810000000001</v>
      </c>
      <c r="E5108">
        <v>0.49874540000000001</v>
      </c>
      <c r="F5108" t="s">
        <v>89</v>
      </c>
      <c r="G5108">
        <v>-433.19389999999999</v>
      </c>
      <c r="H5108" s="1">
        <v>-1.127411E-5</v>
      </c>
      <c r="I5108">
        <v>143.19460000000001</v>
      </c>
      <c r="J5108">
        <v>-320.66910000000001</v>
      </c>
      <c r="K5108">
        <v>1.1090169999999999</v>
      </c>
      <c r="L5108">
        <v>142.2295</v>
      </c>
      <c r="M5108">
        <v>-0.99990420000000002</v>
      </c>
      <c r="N5108">
        <v>0</v>
      </c>
      <c r="O5108">
        <v>-9.9833700000000001E-3</v>
      </c>
      <c r="P5108">
        <v>-0.99990159999999995</v>
      </c>
      <c r="Q5108">
        <v>-7.0978289999999999E-3</v>
      </c>
      <c r="R5108">
        <v>1.2108539999999999E-2</v>
      </c>
      <c r="S5108">
        <v>-2.9997859999999998</v>
      </c>
      <c r="T5108">
        <v>-2.9468060000000001E-2</v>
      </c>
      <c r="U5108">
        <v>2.554321E-2</v>
      </c>
      <c r="V5108">
        <v>2.2090220000000001E-2</v>
      </c>
      <c r="W5108">
        <v>2.4970190000000001E-3</v>
      </c>
      <c r="X5108">
        <v>0.99975290000000006</v>
      </c>
      <c r="Y5108">
        <v>1.8496370000000002E-2</v>
      </c>
      <c r="Z5108">
        <v>1.889154E-4</v>
      </c>
      <c r="AA5108">
        <v>0.99982890000000002</v>
      </c>
      <c r="AB5108">
        <v>37</v>
      </c>
      <c r="AC5108">
        <v>-112.524799999999</v>
      </c>
      <c r="AD5108">
        <v>-1.1090282741099999</v>
      </c>
      <c r="AE5108">
        <v>0.96510000000000595</v>
      </c>
      <c r="AF5108">
        <v>2.0882774120649601</v>
      </c>
      <c r="AG5108">
        <v>-1.1090282741099999</v>
      </c>
      <c r="AH5108">
        <v>112.49862933131401</v>
      </c>
      <c r="AI5108">
        <v>90.564714769209701</v>
      </c>
      <c r="AJ5108">
        <v>88.936558222675799</v>
      </c>
      <c r="AK5108">
        <v>112.52347509603</v>
      </c>
      <c r="AL5108">
        <v>89.856931206553199</v>
      </c>
      <c r="AM5108">
        <v>88.734216765911498</v>
      </c>
      <c r="AN5108">
        <v>1.0000000369909701</v>
      </c>
    </row>
    <row r="5109" spans="1:40" x14ac:dyDescent="0.25">
      <c r="A5109" t="str">
        <f>"20190312160747667"</f>
        <v>20190312160747667</v>
      </c>
      <c r="B5109" t="str">
        <f>"1552378067660442"</f>
        <v>1552378067660442</v>
      </c>
      <c r="C5109" t="s">
        <v>40</v>
      </c>
      <c r="D5109">
        <v>5.49214</v>
      </c>
      <c r="E5109">
        <v>0.49894759999999999</v>
      </c>
      <c r="F5109" t="s">
        <v>89</v>
      </c>
      <c r="G5109">
        <v>-429.79329999999999</v>
      </c>
      <c r="H5109" s="1">
        <v>-1.258976E-5</v>
      </c>
      <c r="I5109">
        <v>143.19759999999999</v>
      </c>
      <c r="J5109">
        <v>-321.04610000000002</v>
      </c>
      <c r="K5109">
        <v>1.109013</v>
      </c>
      <c r="L5109">
        <v>142.22559999999999</v>
      </c>
      <c r="M5109">
        <v>-0.99990299999999999</v>
      </c>
      <c r="N5109">
        <v>0</v>
      </c>
      <c r="O5109">
        <v>-1.0096859999999999E-2</v>
      </c>
      <c r="P5109">
        <v>-0.9999015</v>
      </c>
      <c r="Q5109">
        <v>-7.084913E-3</v>
      </c>
      <c r="R5109">
        <v>1.2120789999999999E-2</v>
      </c>
      <c r="S5109">
        <v>-2.9997859999999998</v>
      </c>
      <c r="T5109">
        <v>-3.0486820000000001E-2</v>
      </c>
      <c r="U5109">
        <v>2.6611329999999999E-2</v>
      </c>
      <c r="V5109">
        <v>2.2215990000000001E-2</v>
      </c>
      <c r="W5109">
        <v>2.5170460000000002E-3</v>
      </c>
      <c r="X5109">
        <v>0.99975000000000003</v>
      </c>
      <c r="Y5109">
        <v>1.8965699999999999E-2</v>
      </c>
      <c r="Z5109">
        <v>1.9898410000000001E-4</v>
      </c>
      <c r="AA5109">
        <v>0.99982009999999999</v>
      </c>
      <c r="AB5109">
        <v>37</v>
      </c>
      <c r="AC5109">
        <v>-108.747199999999</v>
      </c>
      <c r="AD5109">
        <v>-1.1090255897600001</v>
      </c>
      <c r="AE5109">
        <v>0.97200000000000797</v>
      </c>
      <c r="AF5109">
        <v>2.0697909899994</v>
      </c>
      <c r="AG5109">
        <v>-1.1090255897600001</v>
      </c>
      <c r="AH5109">
        <v>108.720535158952</v>
      </c>
      <c r="AI5109">
        <v>90.584330927716906</v>
      </c>
      <c r="AJ5109">
        <v>88.909350804220907</v>
      </c>
      <c r="AK5109">
        <v>108.745890670636</v>
      </c>
      <c r="AL5109">
        <v>89.855783731345696</v>
      </c>
      <c r="AM5109">
        <v>88.727008740641807</v>
      </c>
      <c r="AN5109">
        <v>0.99999997411612196</v>
      </c>
    </row>
    <row r="5110" spans="1:40" x14ac:dyDescent="0.25">
      <c r="A5110" t="str">
        <f>"20190312160747689"</f>
        <v>20190312160747689</v>
      </c>
      <c r="B5110" t="str">
        <f>"1552378067680937"</f>
        <v>1552378067680937</v>
      </c>
      <c r="C5110" t="s">
        <v>40</v>
      </c>
      <c r="D5110">
        <v>5.4816760000000002</v>
      </c>
      <c r="E5110">
        <v>0.4989768</v>
      </c>
      <c r="F5110" t="s">
        <v>89</v>
      </c>
      <c r="G5110">
        <v>-426.01389999999998</v>
      </c>
      <c r="H5110" s="1">
        <v>-1.205497E-5</v>
      </c>
      <c r="I5110">
        <v>143.2182</v>
      </c>
      <c r="J5110">
        <v>-321.41160000000002</v>
      </c>
      <c r="K5110">
        <v>1.1090100000000001</v>
      </c>
      <c r="L5110">
        <v>142.22190000000001</v>
      </c>
      <c r="M5110">
        <v>-0.99990179999999995</v>
      </c>
      <c r="N5110">
        <v>0</v>
      </c>
      <c r="O5110">
        <v>-1.020247E-2</v>
      </c>
      <c r="P5110">
        <v>-0.99990570000000001</v>
      </c>
      <c r="Q5110">
        <v>-7.3110079999999999E-3</v>
      </c>
      <c r="R5110">
        <v>1.1628350000000001E-2</v>
      </c>
      <c r="S5110">
        <v>-2.9997250000000002</v>
      </c>
      <c r="T5110">
        <v>-3.1693220000000001E-2</v>
      </c>
      <c r="U5110">
        <v>2.836609E-2</v>
      </c>
      <c r="V5110">
        <v>2.1829149999999999E-2</v>
      </c>
      <c r="W5110">
        <v>2.2981780000000001E-3</v>
      </c>
      <c r="X5110">
        <v>0.99975910000000001</v>
      </c>
      <c r="Y5110">
        <v>1.9656130000000001E-2</v>
      </c>
      <c r="Z5110">
        <v>2.1162439999999999E-4</v>
      </c>
      <c r="AA5110">
        <v>0.9998068</v>
      </c>
      <c r="AB5110">
        <v>37</v>
      </c>
      <c r="AC5110">
        <v>-104.602299999999</v>
      </c>
      <c r="AD5110">
        <v>-1.1090220549700001</v>
      </c>
      <c r="AE5110">
        <v>0.99629999999998997</v>
      </c>
      <c r="AF5110">
        <v>2.06326731659327</v>
      </c>
      <c r="AG5110">
        <v>-1.1090220549700001</v>
      </c>
      <c r="AH5110">
        <v>104.574936107014</v>
      </c>
      <c r="AI5110">
        <v>90.6074834069708</v>
      </c>
      <c r="AJ5110">
        <v>88.869698823841205</v>
      </c>
      <c r="AK5110">
        <v>104.60116760210801</v>
      </c>
      <c r="AL5110">
        <v>89.8683239875065</v>
      </c>
      <c r="AM5110">
        <v>88.749179211479898</v>
      </c>
      <c r="AN5110">
        <v>1.0000000257223201</v>
      </c>
    </row>
    <row r="5111" spans="1:40" x14ac:dyDescent="0.25">
      <c r="A5111" t="str">
        <f>"20190312160747711"</f>
        <v>20190312160747711</v>
      </c>
      <c r="B5111" t="str">
        <f>"1552378067700458"</f>
        <v>1552378067700458</v>
      </c>
      <c r="C5111" t="s">
        <v>40</v>
      </c>
      <c r="D5111">
        <v>5.621378</v>
      </c>
      <c r="E5111">
        <v>0.4989768</v>
      </c>
      <c r="F5111" t="s">
        <v>89</v>
      </c>
      <c r="G5111">
        <v>-419.56360000000001</v>
      </c>
      <c r="H5111" s="1">
        <v>-1.1059900000000001E-5</v>
      </c>
      <c r="I5111">
        <v>143.10910000000001</v>
      </c>
      <c r="J5111">
        <v>-321.77679999999998</v>
      </c>
      <c r="K5111">
        <v>1.109003</v>
      </c>
      <c r="L5111">
        <v>142.21799999999999</v>
      </c>
      <c r="M5111">
        <v>-0.99990080000000003</v>
      </c>
      <c r="N5111">
        <v>0</v>
      </c>
      <c r="O5111">
        <v>-1.0303090000000001E-2</v>
      </c>
      <c r="P5111">
        <v>-0.99991160000000001</v>
      </c>
      <c r="Q5111">
        <v>-7.7486439999999998E-3</v>
      </c>
      <c r="R5111">
        <v>1.0829439999999999E-2</v>
      </c>
      <c r="S5111">
        <v>-2.9997250000000002</v>
      </c>
      <c r="T5111">
        <v>-3.3893939999999997E-2</v>
      </c>
      <c r="U5111">
        <v>2.7114869999999999E-2</v>
      </c>
      <c r="V5111">
        <v>2.1131400000000002E-2</v>
      </c>
      <c r="W5111">
        <v>1.8704559999999999E-3</v>
      </c>
      <c r="X5111">
        <v>0.99977490000000002</v>
      </c>
      <c r="Y5111">
        <v>1.9339519999999999E-2</v>
      </c>
      <c r="Z5111">
        <v>2.256669E-4</v>
      </c>
      <c r="AA5111">
        <v>0.99981299999999995</v>
      </c>
      <c r="AB5111">
        <v>38</v>
      </c>
      <c r="AC5111">
        <v>-97.786799999999999</v>
      </c>
      <c r="AD5111">
        <v>-1.1090140599</v>
      </c>
      <c r="AE5111">
        <v>0.89110000000002199</v>
      </c>
      <c r="AF5111">
        <v>1.89836121663463</v>
      </c>
      <c r="AG5111">
        <v>-1.1090140599</v>
      </c>
      <c r="AH5111">
        <v>97.7598546860102</v>
      </c>
      <c r="AI5111">
        <v>90.649828340578196</v>
      </c>
      <c r="AJ5111">
        <v>88.887534994554699</v>
      </c>
      <c r="AK5111">
        <v>97.784573812660796</v>
      </c>
      <c r="AL5111">
        <v>89.892830696800502</v>
      </c>
      <c r="AM5111">
        <v>88.789167652314703</v>
      </c>
      <c r="AN5111">
        <v>0.99999994267080705</v>
      </c>
    </row>
    <row r="5112" spans="1:40" x14ac:dyDescent="0.25">
      <c r="A5112" t="str">
        <f>"20190312160747811"</f>
        <v>20190312160747811</v>
      </c>
      <c r="B5112" t="str">
        <f>"1552378067800986"</f>
        <v>1552378067800986</v>
      </c>
      <c r="C5112" t="s">
        <v>40</v>
      </c>
      <c r="D5112">
        <v>5.91181</v>
      </c>
      <c r="E5112">
        <v>0.52596509999999996</v>
      </c>
      <c r="F5112" t="s">
        <v>89</v>
      </c>
      <c r="G5112">
        <v>-416.28289999999998</v>
      </c>
      <c r="H5112" s="1">
        <v>-1.130934E-5</v>
      </c>
      <c r="I5112">
        <v>142.99870000000001</v>
      </c>
      <c r="J5112">
        <v>-323.4742</v>
      </c>
      <c r="K5112">
        <v>1.1090089999999999</v>
      </c>
      <c r="L5112">
        <v>142.19990000000001</v>
      </c>
      <c r="M5112">
        <v>-0.99989570000000005</v>
      </c>
      <c r="N5112">
        <v>0</v>
      </c>
      <c r="O5112">
        <v>-1.0728970000000001E-2</v>
      </c>
      <c r="P5112">
        <v>-0.99992720000000002</v>
      </c>
      <c r="Q5112">
        <v>-6.4310359999999898E-3</v>
      </c>
      <c r="R5112">
        <v>1.021352E-2</v>
      </c>
      <c r="S5112">
        <v>-2.9997859999999998</v>
      </c>
      <c r="T5112">
        <v>-3.5202030000000002E-2</v>
      </c>
      <c r="U5112">
        <v>2.478027E-2</v>
      </c>
      <c r="V5112">
        <v>2.094091E-2</v>
      </c>
      <c r="W5112">
        <v>3.2566169999999998E-3</v>
      </c>
      <c r="X5112">
        <v>0.99977539999999998</v>
      </c>
      <c r="Y5112">
        <v>1.8986989999999999E-2</v>
      </c>
      <c r="Z5112">
        <v>2.373008E-4</v>
      </c>
      <c r="AA5112">
        <v>0.99981969999999998</v>
      </c>
      <c r="AB5112">
        <v>38</v>
      </c>
      <c r="AC5112">
        <v>-92.808700000000002</v>
      </c>
      <c r="AD5112">
        <v>-1.10902030934</v>
      </c>
      <c r="AE5112">
        <v>0.79879999999999995</v>
      </c>
      <c r="AF5112">
        <v>1.7942861311681</v>
      </c>
      <c r="AG5112">
        <v>-1.10902030934</v>
      </c>
      <c r="AH5112">
        <v>92.781539591910203</v>
      </c>
      <c r="AI5112">
        <v>90.684697413033803</v>
      </c>
      <c r="AJ5112">
        <v>88.892104939651901</v>
      </c>
      <c r="AK5112">
        <v>92.805514264036205</v>
      </c>
      <c r="AL5112">
        <v>89.813409258512607</v>
      </c>
      <c r="AM5112">
        <v>88.800080151690395</v>
      </c>
      <c r="AN5112">
        <v>0.99999998885553598</v>
      </c>
    </row>
    <row r="5113" spans="1:40" x14ac:dyDescent="0.25">
      <c r="A5113" t="str">
        <f>"20190312160747834"</f>
        <v>20190312160747834</v>
      </c>
      <c r="B5113" t="str">
        <f>"1552378067830279"</f>
        <v>1552378067830279</v>
      </c>
      <c r="C5113" t="s">
        <v>40</v>
      </c>
      <c r="D5113">
        <v>6.3398839999999996</v>
      </c>
      <c r="E5113">
        <v>0.52706769999999903</v>
      </c>
      <c r="F5113" t="s">
        <v>44</v>
      </c>
      <c r="G5113">
        <v>-324.14249999999998</v>
      </c>
      <c r="H5113">
        <v>0.8243741</v>
      </c>
      <c r="I5113">
        <v>142.26429999999999</v>
      </c>
      <c r="J5113">
        <v>-323.84989999999999</v>
      </c>
      <c r="K5113">
        <v>1.1090089999999999</v>
      </c>
      <c r="L5113">
        <v>142.19579999999999</v>
      </c>
      <c r="M5113">
        <v>-0.99989450000000002</v>
      </c>
      <c r="N5113">
        <v>0</v>
      </c>
      <c r="O5113">
        <v>-1.081858E-2</v>
      </c>
      <c r="P5113">
        <v>-0.99993140000000003</v>
      </c>
      <c r="Q5113">
        <v>-6.112508E-3</v>
      </c>
      <c r="R5113">
        <v>1.0002459999999999E-2</v>
      </c>
      <c r="S5113">
        <v>-2.9891359999999998</v>
      </c>
      <c r="T5113">
        <v>-1.2730410000000001</v>
      </c>
      <c r="U5113">
        <v>0.28660580000000002</v>
      </c>
      <c r="V5113">
        <v>2.0819440000000002E-2</v>
      </c>
      <c r="W5113">
        <v>3.5927860000000002E-3</v>
      </c>
      <c r="X5113">
        <v>0.99977680000000002</v>
      </c>
      <c r="Y5113">
        <v>9.6923969999999998E-2</v>
      </c>
      <c r="Z5113">
        <v>2.4147330000000002E-2</v>
      </c>
      <c r="AA5113">
        <v>0.99499879999999996</v>
      </c>
      <c r="AB5113">
        <v>38</v>
      </c>
      <c r="AC5113">
        <v>-0.29259999999999298</v>
      </c>
      <c r="AD5113">
        <v>-0.28463489999999902</v>
      </c>
      <c r="AE5113">
        <v>6.85000000000002E-2</v>
      </c>
      <c r="AF5113">
        <v>3.7773741669419297E-2</v>
      </c>
      <c r="AG5113">
        <v>-0.28463489999999902</v>
      </c>
      <c r="AH5113">
        <v>0.153833390538268</v>
      </c>
      <c r="AI5113">
        <v>150.90346915963099</v>
      </c>
      <c r="AJ5113">
        <v>76.203991497075506</v>
      </c>
      <c r="AK5113">
        <v>0.32574314099028601</v>
      </c>
      <c r="AL5113">
        <v>89.794148083366395</v>
      </c>
      <c r="AM5113">
        <v>88.807040068528096</v>
      </c>
      <c r="AN5113">
        <v>1.00000000350569</v>
      </c>
    </row>
    <row r="5114" spans="1:40" x14ac:dyDescent="0.25">
      <c r="A5114" t="str">
        <f>"20190312160747857"</f>
        <v>20190312160747857</v>
      </c>
      <c r="B5114" t="str">
        <f>"1552378067850765"</f>
        <v>1552378067850765</v>
      </c>
      <c r="C5114" t="s">
        <v>40</v>
      </c>
      <c r="D5114">
        <v>5.62812</v>
      </c>
      <c r="E5114">
        <v>0.52946159999999998</v>
      </c>
      <c r="F5114" t="s">
        <v>44</v>
      </c>
      <c r="G5114">
        <v>-324.50479999999999</v>
      </c>
      <c r="H5114">
        <v>0.88550329999999999</v>
      </c>
      <c r="I5114">
        <v>142.25799999999899</v>
      </c>
      <c r="J5114">
        <v>-324.24290000000002</v>
      </c>
      <c r="K5114">
        <v>1.109002</v>
      </c>
      <c r="L5114">
        <v>142.19149999999999</v>
      </c>
      <c r="M5114">
        <v>-0.99989320000000004</v>
      </c>
      <c r="N5114">
        <v>0</v>
      </c>
      <c r="O5114">
        <v>-1.091226E-2</v>
      </c>
      <c r="P5114">
        <v>-0.99992820000000004</v>
      </c>
      <c r="Q5114">
        <v>-6.0037609999999998E-3</v>
      </c>
      <c r="R5114">
        <v>1.0380169999999999E-2</v>
      </c>
      <c r="S5114">
        <v>-2.9911500000000002</v>
      </c>
      <c r="T5114">
        <v>-1.020786</v>
      </c>
      <c r="U5114">
        <v>0.2838135</v>
      </c>
      <c r="V5114">
        <v>2.1290690000000001E-2</v>
      </c>
      <c r="W5114">
        <v>3.724392E-3</v>
      </c>
      <c r="X5114">
        <v>0.99976640000000006</v>
      </c>
      <c r="Y5114">
        <v>9.9138920000000005E-2</v>
      </c>
      <c r="Z5114">
        <v>2.0031360000000002E-2</v>
      </c>
      <c r="AA5114">
        <v>0.99487199999999998</v>
      </c>
      <c r="AB5114">
        <v>38</v>
      </c>
      <c r="AC5114">
        <v>-0.26189999999996799</v>
      </c>
      <c r="AD5114">
        <v>-0.223498699999999</v>
      </c>
      <c r="AE5114">
        <v>6.6499999999990594E-2</v>
      </c>
      <c r="AF5114">
        <v>4.11807301706551E-2</v>
      </c>
      <c r="AG5114">
        <v>-0.223498699999999</v>
      </c>
      <c r="AH5114">
        <v>0.15506951676713701</v>
      </c>
      <c r="AI5114">
        <v>144.32633208909101</v>
      </c>
      <c r="AJ5114">
        <v>75.127634854110497</v>
      </c>
      <c r="AK5114">
        <v>0.27512556491440698</v>
      </c>
      <c r="AL5114">
        <v>89.786607565857295</v>
      </c>
      <c r="AM5114">
        <v>88.780032690902701</v>
      </c>
      <c r="AN5114">
        <v>1.0000000095727</v>
      </c>
    </row>
    <row r="5115" spans="1:40" x14ac:dyDescent="0.25">
      <c r="A5115" t="str">
        <f>"20190312160747879"</f>
        <v>20190312160747879</v>
      </c>
      <c r="B5115" t="str">
        <f>"1552378067870290"</f>
        <v>1552378067870290</v>
      </c>
      <c r="C5115" t="s">
        <v>40</v>
      </c>
      <c r="D5115">
        <v>5.6381610000000002</v>
      </c>
      <c r="E5115">
        <v>0.52602399999999905</v>
      </c>
      <c r="F5115" t="s">
        <v>44</v>
      </c>
      <c r="G5115">
        <v>-325.21089999999998</v>
      </c>
      <c r="H5115">
        <v>0.94631580000000004</v>
      </c>
      <c r="I5115">
        <v>142.2833</v>
      </c>
      <c r="J5115">
        <v>-324.61399999999998</v>
      </c>
      <c r="K5115">
        <v>1.1090100000000001</v>
      </c>
      <c r="L5115">
        <v>142.18729999999999</v>
      </c>
      <c r="M5115">
        <v>-0.999892</v>
      </c>
      <c r="N5115">
        <v>0</v>
      </c>
      <c r="O5115">
        <v>-1.100011E-2</v>
      </c>
      <c r="P5115">
        <v>-0.99992130000000001</v>
      </c>
      <c r="Q5115">
        <v>-6.0073519999999997E-3</v>
      </c>
      <c r="R5115">
        <v>1.1029250000000001E-2</v>
      </c>
      <c r="S5115">
        <v>-2.9942319999999998</v>
      </c>
      <c r="T5115">
        <v>-0.50326130000000002</v>
      </c>
      <c r="U5115">
        <v>0.28416439999999998</v>
      </c>
      <c r="V5115">
        <v>2.2027720000000001E-2</v>
      </c>
      <c r="W5115">
        <v>3.7468029999999999E-3</v>
      </c>
      <c r="X5115">
        <v>0.99975029999999998</v>
      </c>
      <c r="Y5115">
        <v>0.1038283</v>
      </c>
      <c r="Z5115">
        <v>1.0478039999999999E-2</v>
      </c>
      <c r="AA5115">
        <v>0.99453999999999998</v>
      </c>
      <c r="AB5115">
        <v>38</v>
      </c>
      <c r="AC5115">
        <v>-0.59689999999994803</v>
      </c>
      <c r="AD5115">
        <v>-0.16269419999999901</v>
      </c>
      <c r="AE5115">
        <v>9.6000000000003596E-2</v>
      </c>
      <c r="AF5115">
        <v>9.5634735503458704E-2</v>
      </c>
      <c r="AG5115">
        <v>-0.16269419999999901</v>
      </c>
      <c r="AH5115">
        <v>0.55557393764612395</v>
      </c>
      <c r="AI5115">
        <v>106.097895867204</v>
      </c>
      <c r="AJ5115">
        <v>80.233004488200905</v>
      </c>
      <c r="AK5115">
        <v>0.58675191140726202</v>
      </c>
      <c r="AL5115">
        <v>89.7853234906963</v>
      </c>
      <c r="AM5115">
        <v>88.737793612779299</v>
      </c>
      <c r="AN5115">
        <v>0.99999996066560304</v>
      </c>
    </row>
    <row r="5116" spans="1:40" x14ac:dyDescent="0.25">
      <c r="A5116" t="str">
        <f>"20190312160747901"</f>
        <v>20190312160747901</v>
      </c>
      <c r="B5116" t="str">
        <f>"1552378067890778"</f>
        <v>1552378067890778</v>
      </c>
      <c r="C5116" t="s">
        <v>40</v>
      </c>
      <c r="D5116">
        <v>5.5466199999999999</v>
      </c>
      <c r="E5116">
        <v>0.52629910000000002</v>
      </c>
      <c r="F5116" t="s">
        <v>44</v>
      </c>
      <c r="G5116">
        <v>-325.56189999999998</v>
      </c>
      <c r="H5116">
        <v>0.97120689999999998</v>
      </c>
      <c r="I5116">
        <v>142.26849999999999</v>
      </c>
      <c r="J5116">
        <v>-324.99</v>
      </c>
      <c r="K5116">
        <v>1.1090120000000001</v>
      </c>
      <c r="L5116">
        <v>142.1831</v>
      </c>
      <c r="M5116">
        <v>-0.99989070000000002</v>
      </c>
      <c r="N5116">
        <v>0</v>
      </c>
      <c r="O5116">
        <v>-1.1089419999999999E-2</v>
      </c>
      <c r="P5116">
        <v>-0.99991680000000005</v>
      </c>
      <c r="Q5116">
        <v>-6.4694660000000001E-3</v>
      </c>
      <c r="R5116">
        <v>1.115846E-2</v>
      </c>
      <c r="S5116">
        <v>-2.9947810000000001</v>
      </c>
      <c r="T5116">
        <v>-0.43539830000000002</v>
      </c>
      <c r="U5116">
        <v>0.25608829999999999</v>
      </c>
      <c r="V5116">
        <v>2.224605E-2</v>
      </c>
      <c r="W5116">
        <v>3.3147910000000001E-3</v>
      </c>
      <c r="X5116">
        <v>0.99974700000000005</v>
      </c>
      <c r="Y5116">
        <v>9.5135999999999998E-2</v>
      </c>
      <c r="Z5116">
        <v>8.4683850000000001E-3</v>
      </c>
      <c r="AA5116">
        <v>0.99542830000000004</v>
      </c>
      <c r="AB5116">
        <v>38</v>
      </c>
      <c r="AC5116">
        <v>-0.57189999999997099</v>
      </c>
      <c r="AD5116">
        <v>-0.13780510000000001</v>
      </c>
      <c r="AE5116">
        <v>8.5399999999992801E-2</v>
      </c>
      <c r="AF5116">
        <v>8.6806865768483801E-2</v>
      </c>
      <c r="AG5116">
        <v>-0.13780510000000001</v>
      </c>
      <c r="AH5116">
        <v>0.54023492539086804</v>
      </c>
      <c r="AI5116">
        <v>104.136126549067</v>
      </c>
      <c r="AJ5116">
        <v>80.871540199580906</v>
      </c>
      <c r="AK5116">
        <v>0.56425123140551003</v>
      </c>
      <c r="AL5116">
        <v>89.8100761120903</v>
      </c>
      <c r="AM5116">
        <v>88.725283026394607</v>
      </c>
      <c r="AN5116">
        <v>0.99999996929448698</v>
      </c>
    </row>
    <row r="5117" spans="1:40" x14ac:dyDescent="0.25">
      <c r="A5117" t="str">
        <f>"20190312160747923"</f>
        <v>20190312160747923</v>
      </c>
      <c r="B5117" t="str">
        <f>"1552378067921033"</f>
        <v>1552378067921033</v>
      </c>
      <c r="C5117" t="s">
        <v>40</v>
      </c>
      <c r="D5117">
        <v>5.5717699999999999</v>
      </c>
      <c r="E5117">
        <v>0.54209149999999995</v>
      </c>
      <c r="F5117" t="s">
        <v>44</v>
      </c>
      <c r="G5117">
        <v>-325.90820000000002</v>
      </c>
      <c r="H5117">
        <v>0.98492170000000001</v>
      </c>
      <c r="I5117">
        <v>142.26230000000001</v>
      </c>
      <c r="J5117">
        <v>-325.37220000000002</v>
      </c>
      <c r="K5117">
        <v>1.1090120000000001</v>
      </c>
      <c r="L5117">
        <v>142.1788</v>
      </c>
      <c r="M5117">
        <v>-0.99988940000000004</v>
      </c>
      <c r="N5117">
        <v>0</v>
      </c>
      <c r="O5117">
        <v>-1.118067E-2</v>
      </c>
      <c r="P5117">
        <v>-0.99991730000000001</v>
      </c>
      <c r="Q5117">
        <v>-6.2224610000000003E-3</v>
      </c>
      <c r="R5117">
        <v>1.126334E-2</v>
      </c>
      <c r="S5117">
        <v>-2.9947509999999999</v>
      </c>
      <c r="T5117">
        <v>-0.40477540000000001</v>
      </c>
      <c r="U5117">
        <v>0.25758360000000002</v>
      </c>
      <c r="V5117">
        <v>2.2442190000000001E-2</v>
      </c>
      <c r="W5117">
        <v>3.5980309999999998E-3</v>
      </c>
      <c r="X5117">
        <v>0.99974169999999996</v>
      </c>
      <c r="Y5117">
        <v>9.5863569999999995E-2</v>
      </c>
      <c r="Z5117">
        <v>7.9393439999999992E-3</v>
      </c>
      <c r="AA5117">
        <v>0.99536279999999999</v>
      </c>
      <c r="AB5117">
        <v>38</v>
      </c>
      <c r="AC5117">
        <v>-0.53600000000000103</v>
      </c>
      <c r="AD5117">
        <v>-0.1240903</v>
      </c>
      <c r="AE5117">
        <v>8.3500000000015007E-2</v>
      </c>
      <c r="AF5117">
        <v>8.5038055446432295E-2</v>
      </c>
      <c r="AG5117">
        <v>-0.1240903</v>
      </c>
      <c r="AH5117">
        <v>0.50842795942560504</v>
      </c>
      <c r="AI5117">
        <v>103.534882882817</v>
      </c>
      <c r="AJ5117">
        <v>80.504780232844297</v>
      </c>
      <c r="AK5117">
        <v>0.53021586486438299</v>
      </c>
      <c r="AL5117">
        <v>89.793847570980901</v>
      </c>
      <c r="AM5117">
        <v>88.714040985421306</v>
      </c>
      <c r="AN5117">
        <v>1.0000000322189799</v>
      </c>
    </row>
    <row r="5118" spans="1:40" x14ac:dyDescent="0.25">
      <c r="A5118" t="str">
        <f>"20190312160747946"</f>
        <v>20190312160747946</v>
      </c>
      <c r="B5118" t="str">
        <f>"1552378067940554"</f>
        <v>1552378067940554</v>
      </c>
      <c r="C5118" t="s">
        <v>40</v>
      </c>
      <c r="D5118">
        <v>5.6422829999999999</v>
      </c>
      <c r="E5118">
        <v>0.54131629999999997</v>
      </c>
      <c r="F5118" t="s">
        <v>44</v>
      </c>
      <c r="G5118">
        <v>-326.22070000000002</v>
      </c>
      <c r="H5118">
        <v>0.9249908</v>
      </c>
      <c r="I5118">
        <v>142.2903</v>
      </c>
      <c r="J5118">
        <v>-325.75459999999998</v>
      </c>
      <c r="K5118">
        <v>1.109024</v>
      </c>
      <c r="L5118">
        <v>142.17449999999999</v>
      </c>
      <c r="M5118">
        <v>-0.99988790000000005</v>
      </c>
      <c r="N5118">
        <v>0</v>
      </c>
      <c r="O5118">
        <v>-1.1271720000000001E-2</v>
      </c>
      <c r="P5118">
        <v>-0.99990919999999905</v>
      </c>
      <c r="Q5118">
        <v>-6.633636E-3</v>
      </c>
      <c r="R5118">
        <v>1.173225E-2</v>
      </c>
      <c r="S5118">
        <v>-2.9918209999999998</v>
      </c>
      <c r="T5118">
        <v>-0.64886499999999903</v>
      </c>
      <c r="U5118">
        <v>0.39289859999999999</v>
      </c>
      <c r="V5118">
        <v>2.3002109999999999E-2</v>
      </c>
      <c r="W5118">
        <v>3.2303919999999999E-3</v>
      </c>
      <c r="X5118">
        <v>0.99973020000000001</v>
      </c>
      <c r="Y5118">
        <v>0.13796169999999999</v>
      </c>
      <c r="Z5118">
        <v>1.7134599999999899E-2</v>
      </c>
      <c r="AA5118">
        <v>0.99028930000000004</v>
      </c>
      <c r="AB5118">
        <v>38</v>
      </c>
      <c r="AC5118">
        <v>-0.46610000000003898</v>
      </c>
      <c r="AD5118">
        <v>-0.18403319999999901</v>
      </c>
      <c r="AE5118">
        <v>0.11580000000000699</v>
      </c>
      <c r="AF5118">
        <v>0.105548670107406</v>
      </c>
      <c r="AG5118">
        <v>-0.18403319999999901</v>
      </c>
      <c r="AH5118">
        <v>0.40525975044545998</v>
      </c>
      <c r="AI5118">
        <v>113.72316768933899</v>
      </c>
      <c r="AJ5118">
        <v>75.401799026693595</v>
      </c>
      <c r="AK5118">
        <v>0.45743218709968197</v>
      </c>
      <c r="AL5118">
        <v>89.814911850803199</v>
      </c>
      <c r="AM5118">
        <v>88.6819530562137</v>
      </c>
      <c r="AN5118">
        <v>1.00000000264448</v>
      </c>
    </row>
    <row r="5119" spans="1:40" x14ac:dyDescent="0.25">
      <c r="A5119" t="str">
        <f>"20190312160747969"</f>
        <v>20190312160747969</v>
      </c>
      <c r="B5119" t="str">
        <f>"1552378067961051"</f>
        <v>1552378067961051</v>
      </c>
      <c r="C5119" t="s">
        <v>40</v>
      </c>
      <c r="D5119">
        <v>5.6969349999999999</v>
      </c>
      <c r="E5119">
        <v>0.54309799999999997</v>
      </c>
      <c r="F5119" t="s">
        <v>44</v>
      </c>
      <c r="G5119">
        <v>-326.57560000000001</v>
      </c>
      <c r="H5119">
        <v>0.95684910000000001</v>
      </c>
      <c r="I5119">
        <v>142.28020000000001</v>
      </c>
      <c r="J5119">
        <v>-326.14519999999999</v>
      </c>
      <c r="K5119">
        <v>1.1090279999999999</v>
      </c>
      <c r="L5119">
        <v>142.16999999999999</v>
      </c>
      <c r="M5119">
        <v>-0.99988639999999995</v>
      </c>
      <c r="N5119">
        <v>0</v>
      </c>
      <c r="O5119">
        <v>-1.136507E-2</v>
      </c>
      <c r="P5119">
        <v>-0.99991229999999998</v>
      </c>
      <c r="Q5119">
        <v>-6.6025220000000004E-3</v>
      </c>
      <c r="R5119">
        <v>1.1500160000000001E-2</v>
      </c>
      <c r="S5119">
        <v>-2.9921259999999998</v>
      </c>
      <c r="T5119">
        <v>-0.55458569999999996</v>
      </c>
      <c r="U5119">
        <v>0.38459779999999999</v>
      </c>
      <c r="V5119">
        <v>2.2863499999999998E-2</v>
      </c>
      <c r="W5119">
        <v>3.3119299999999998E-3</v>
      </c>
      <c r="X5119">
        <v>0.99973310000000004</v>
      </c>
      <c r="Y5119">
        <v>0.13627739999999999</v>
      </c>
      <c r="Z5119">
        <v>1.455353E-2</v>
      </c>
      <c r="AA5119">
        <v>0.99056379999999999</v>
      </c>
      <c r="AB5119">
        <v>38</v>
      </c>
      <c r="AC5119">
        <v>-0.43040000000001999</v>
      </c>
      <c r="AD5119">
        <v>-0.15217890000000001</v>
      </c>
      <c r="AE5119">
        <v>0.11020000000002</v>
      </c>
      <c r="AF5119">
        <v>0.103000226248204</v>
      </c>
      <c r="AG5119">
        <v>-0.15217890000000001</v>
      </c>
      <c r="AH5119">
        <v>0.38406014867890398</v>
      </c>
      <c r="AI5119">
        <v>110.942491441198</v>
      </c>
      <c r="AJ5119">
        <v>74.987248148110794</v>
      </c>
      <c r="AK5119">
        <v>0.42575775038823799</v>
      </c>
      <c r="AL5119">
        <v>89.810240040125606</v>
      </c>
      <c r="AM5119">
        <v>88.689896588599893</v>
      </c>
      <c r="AN5119">
        <v>0.999999989874092</v>
      </c>
    </row>
    <row r="5120" spans="1:40" x14ac:dyDescent="0.25">
      <c r="A5120" t="str">
        <f>"20190312160747992"</f>
        <v>20190312160747992</v>
      </c>
      <c r="B5120" t="str">
        <f>"1552378067980570"</f>
        <v>1552378067980570</v>
      </c>
      <c r="C5120" t="s">
        <v>40</v>
      </c>
      <c r="D5120">
        <v>5.5652970000000002</v>
      </c>
      <c r="E5120">
        <v>0.55294219999999905</v>
      </c>
      <c r="F5120" t="s">
        <v>44</v>
      </c>
      <c r="G5120">
        <v>-326.92200000000003</v>
      </c>
      <c r="H5120">
        <v>0.96913919999999998</v>
      </c>
      <c r="I5120">
        <v>142.27330000000001</v>
      </c>
      <c r="J5120">
        <v>-326.52409999999998</v>
      </c>
      <c r="K5120">
        <v>1.1090370000000001</v>
      </c>
      <c r="L5120">
        <v>142.16560000000001</v>
      </c>
      <c r="M5120">
        <v>-0.99988480000000002</v>
      </c>
      <c r="N5120">
        <v>0</v>
      </c>
      <c r="O5120">
        <v>-1.1455689999999999E-2</v>
      </c>
      <c r="P5120">
        <v>-0.99990950000000001</v>
      </c>
      <c r="Q5120">
        <v>-7.1201459999999999E-3</v>
      </c>
      <c r="R5120">
        <v>1.142203E-2</v>
      </c>
      <c r="S5120">
        <v>-2.9921259999999998</v>
      </c>
      <c r="T5120">
        <v>-0.53887929999999995</v>
      </c>
      <c r="U5120">
        <v>0.39729310000000001</v>
      </c>
      <c r="V5120">
        <v>2.287581E-2</v>
      </c>
      <c r="W5120">
        <v>2.847016E-3</v>
      </c>
      <c r="X5120">
        <v>0.99973429999999996</v>
      </c>
      <c r="Y5120">
        <v>0.14056749999999901</v>
      </c>
      <c r="Z5120">
        <v>1.454187E-2</v>
      </c>
      <c r="AA5120">
        <v>0.98996430000000002</v>
      </c>
      <c r="AB5120">
        <v>38</v>
      </c>
      <c r="AC5120">
        <v>-0.39790000000004899</v>
      </c>
      <c r="AD5120">
        <v>-0.13989779999999999</v>
      </c>
      <c r="AE5120">
        <v>0.10769999999999399</v>
      </c>
      <c r="AF5120">
        <v>0.100657852937219</v>
      </c>
      <c r="AG5120">
        <v>-0.13989779999999999</v>
      </c>
      <c r="AH5120">
        <v>0.35567435060686498</v>
      </c>
      <c r="AI5120">
        <v>110.72999630211901</v>
      </c>
      <c r="AJ5120">
        <v>74.198186894986407</v>
      </c>
      <c r="AK5120">
        <v>0.395231124131673</v>
      </c>
      <c r="AL5120">
        <v>89.836877785054099</v>
      </c>
      <c r="AM5120">
        <v>88.689193031090696</v>
      </c>
      <c r="AN5120">
        <v>1.00000003938987</v>
      </c>
    </row>
    <row r="5121" spans="1:40" x14ac:dyDescent="0.25">
      <c r="A5121" t="str">
        <f>"20190312160748013"</f>
        <v>20190312160748013</v>
      </c>
      <c r="B5121" t="str">
        <f>"1552378068010826"</f>
        <v>1552378068010826</v>
      </c>
      <c r="C5121" t="s">
        <v>40</v>
      </c>
      <c r="D5121">
        <v>5.6126930000000002</v>
      </c>
      <c r="E5121">
        <v>0.55342290000000005</v>
      </c>
      <c r="F5121" t="s">
        <v>44</v>
      </c>
      <c r="G5121">
        <v>-327.23430000000002</v>
      </c>
      <c r="H5121">
        <v>0.90631819999999996</v>
      </c>
      <c r="I5121">
        <v>142.28129999999999</v>
      </c>
      <c r="J5121">
        <v>-326.90039999999999</v>
      </c>
      <c r="K5121">
        <v>1.10904</v>
      </c>
      <c r="L5121">
        <v>142.16120000000001</v>
      </c>
      <c r="M5121">
        <v>-0.99988319999999997</v>
      </c>
      <c r="N5121">
        <v>0</v>
      </c>
      <c r="O5121">
        <v>-1.154524E-2</v>
      </c>
      <c r="P5121">
        <v>-0.99990400000000002</v>
      </c>
      <c r="Q5121">
        <v>-7.3540339999999997E-3</v>
      </c>
      <c r="R5121">
        <v>1.176047E-2</v>
      </c>
      <c r="S5121">
        <v>-2.9886780000000002</v>
      </c>
      <c r="T5121">
        <v>-0.85304360000000001</v>
      </c>
      <c r="U5121">
        <v>0.48669430000000002</v>
      </c>
      <c r="V5121">
        <v>2.3304080000000001E-2</v>
      </c>
      <c r="W5121">
        <v>2.666772E-3</v>
      </c>
      <c r="X5121">
        <v>0.99972490000000003</v>
      </c>
      <c r="Y5121">
        <v>0.16522970000000001</v>
      </c>
      <c r="Z5121">
        <v>2.6187660000000001E-2</v>
      </c>
      <c r="AA5121">
        <v>0.98590739999999999</v>
      </c>
      <c r="AB5121">
        <v>38</v>
      </c>
      <c r="AC5121">
        <v>-0.33390000000002801</v>
      </c>
      <c r="AD5121">
        <v>-0.20272180000000001</v>
      </c>
      <c r="AE5121">
        <v>0.120099999999979</v>
      </c>
      <c r="AF5121">
        <v>9.3447367699689796E-2</v>
      </c>
      <c r="AG5121">
        <v>-0.20272180000000001</v>
      </c>
      <c r="AH5121">
        <v>0.250674733706643</v>
      </c>
      <c r="AI5121">
        <v>127.153555875884</v>
      </c>
      <c r="AJ5121">
        <v>69.555382279349999</v>
      </c>
      <c r="AK5121">
        <v>0.33565810111501398</v>
      </c>
      <c r="AL5121">
        <v>89.847205043527893</v>
      </c>
      <c r="AM5121">
        <v>88.664648981199804</v>
      </c>
      <c r="AN5121">
        <v>1.00000003374877</v>
      </c>
    </row>
    <row r="5122" spans="1:40" x14ac:dyDescent="0.25">
      <c r="A5122" t="str">
        <f>"20190312160748036"</f>
        <v>20190312160748036</v>
      </c>
      <c r="B5122" t="str">
        <f>"1552378068030346"</f>
        <v>1552378068030346</v>
      </c>
      <c r="C5122" t="s">
        <v>40</v>
      </c>
      <c r="D5122">
        <v>5.7261810000000004</v>
      </c>
      <c r="E5122">
        <v>0.55505019999999905</v>
      </c>
      <c r="F5122" t="s">
        <v>44</v>
      </c>
      <c r="G5122">
        <v>-327.58260000000001</v>
      </c>
      <c r="H5122">
        <v>0.92345109999999997</v>
      </c>
      <c r="I5122">
        <v>142.2732</v>
      </c>
      <c r="J5122">
        <v>-327.2758</v>
      </c>
      <c r="K5122">
        <v>1.109048</v>
      </c>
      <c r="L5122">
        <v>142.1568</v>
      </c>
      <c r="M5122">
        <v>-0.99988160000000004</v>
      </c>
      <c r="N5122">
        <v>0</v>
      </c>
      <c r="O5122">
        <v>-1.163457E-2</v>
      </c>
      <c r="P5122">
        <v>-0.99989910000000004</v>
      </c>
      <c r="Q5122">
        <v>-7.4888929999999999E-3</v>
      </c>
      <c r="R5122">
        <v>1.2069750000000001E-2</v>
      </c>
      <c r="S5122">
        <v>-2.988556</v>
      </c>
      <c r="T5122">
        <v>-0.81302980000000002</v>
      </c>
      <c r="U5122">
        <v>0.49002079999999998</v>
      </c>
      <c r="V5122">
        <v>2.3702580000000001E-2</v>
      </c>
      <c r="W5122">
        <v>2.5880949999999999E-3</v>
      </c>
      <c r="X5122">
        <v>0.99971569999999998</v>
      </c>
      <c r="Y5122">
        <v>0.1669494</v>
      </c>
      <c r="Z5122">
        <v>2.525343E-2</v>
      </c>
      <c r="AA5122">
        <v>0.98564200000000002</v>
      </c>
      <c r="AB5122">
        <v>38</v>
      </c>
      <c r="AC5122">
        <v>-0.30680000000000901</v>
      </c>
      <c r="AD5122">
        <v>-0.18559689999999901</v>
      </c>
      <c r="AE5122">
        <v>0.11639999999999801</v>
      </c>
      <c r="AF5122">
        <v>9.0886443983789797E-2</v>
      </c>
      <c r="AG5122">
        <v>-0.18559689999999901</v>
      </c>
      <c r="AH5122">
        <v>0.231398543963133</v>
      </c>
      <c r="AI5122">
        <v>126.743039338023</v>
      </c>
      <c r="AJ5122">
        <v>68.556581033760096</v>
      </c>
      <c r="AK5122">
        <v>0.31024480839795998</v>
      </c>
      <c r="AL5122">
        <v>89.851712913336598</v>
      </c>
      <c r="AM5122">
        <v>88.6418104525427</v>
      </c>
      <c r="AN5122">
        <v>0.99999999568043696</v>
      </c>
    </row>
    <row r="5123" spans="1:40" x14ac:dyDescent="0.25">
      <c r="A5123" t="str">
        <f>"20190312160748058"</f>
        <v>20190312160748058</v>
      </c>
      <c r="B5123" t="str">
        <f>"1552378068050842"</f>
        <v>1552378068050842</v>
      </c>
      <c r="C5123" t="s">
        <v>40</v>
      </c>
      <c r="D5123">
        <v>5.8562329999999996</v>
      </c>
      <c r="E5123">
        <v>0.55323350000000004</v>
      </c>
      <c r="F5123" t="s">
        <v>44</v>
      </c>
      <c r="G5123">
        <v>-328.2398</v>
      </c>
      <c r="H5123">
        <v>0.85565400000000003</v>
      </c>
      <c r="I5123">
        <v>142.3192</v>
      </c>
      <c r="J5123">
        <v>-327.66759999999999</v>
      </c>
      <c r="K5123">
        <v>1.109051</v>
      </c>
      <c r="L5123">
        <v>142.15209999999999</v>
      </c>
      <c r="M5123">
        <v>-0.99987999999999999</v>
      </c>
      <c r="N5123">
        <v>0</v>
      </c>
      <c r="O5123">
        <v>-1.172835E-2</v>
      </c>
      <c r="P5123">
        <v>-0.99989810000000001</v>
      </c>
      <c r="Q5123">
        <v>-7.3276390000000004E-3</v>
      </c>
      <c r="R5123">
        <v>1.2256939999999999E-2</v>
      </c>
      <c r="S5123">
        <v>-2.9883120000000001</v>
      </c>
      <c r="T5123">
        <v>-0.78550739999999997</v>
      </c>
      <c r="U5123">
        <v>0.50268550000000001</v>
      </c>
      <c r="V5123">
        <v>2.398322E-2</v>
      </c>
      <c r="W5123">
        <v>2.8122070000000002E-3</v>
      </c>
      <c r="X5123">
        <v>0.99970840000000005</v>
      </c>
      <c r="Y5123">
        <v>0.1713865</v>
      </c>
      <c r="Z5123">
        <v>2.5014189999999999E-2</v>
      </c>
      <c r="AA5123">
        <v>0.98488629999999999</v>
      </c>
      <c r="AB5123">
        <v>38</v>
      </c>
      <c r="AC5123">
        <v>-0.57220000000000903</v>
      </c>
      <c r="AD5123">
        <v>-0.25339699999999898</v>
      </c>
      <c r="AE5123">
        <v>0.167100000000004</v>
      </c>
      <c r="AF5123">
        <v>0.14720031652204699</v>
      </c>
      <c r="AG5123">
        <v>-0.25339699999999898</v>
      </c>
      <c r="AH5123">
        <v>0.48293336838783801</v>
      </c>
      <c r="AI5123">
        <v>116.652375186171</v>
      </c>
      <c r="AJ5123">
        <v>73.048536962663107</v>
      </c>
      <c r="AK5123">
        <v>0.56489168085183705</v>
      </c>
      <c r="AL5123">
        <v>89.838872194466106</v>
      </c>
      <c r="AM5123">
        <v>88.625725504707901</v>
      </c>
      <c r="AN5123">
        <v>0.99999999419016905</v>
      </c>
    </row>
    <row r="5124" spans="1:40" x14ac:dyDescent="0.25">
      <c r="A5124" t="str">
        <f>"20190312160748080"</f>
        <v>20190312160748080</v>
      </c>
      <c r="B5124" t="str">
        <f>"1552378068070362"</f>
        <v>1552378068070362</v>
      </c>
      <c r="C5124" t="s">
        <v>40</v>
      </c>
      <c r="D5124">
        <v>5.7333299999999996</v>
      </c>
      <c r="E5124">
        <v>0.55289719999999998</v>
      </c>
      <c r="F5124" t="s">
        <v>44</v>
      </c>
      <c r="G5124">
        <v>-328.58879999999999</v>
      </c>
      <c r="H5124">
        <v>0.87426039999999905</v>
      </c>
      <c r="I5124">
        <v>142.30289999999999</v>
      </c>
      <c r="J5124">
        <v>-328.03980000000001</v>
      </c>
      <c r="K5124">
        <v>1.1090580000000001</v>
      </c>
      <c r="L5124">
        <v>142.14769999999999</v>
      </c>
      <c r="M5124">
        <v>-0.99987820000000005</v>
      </c>
      <c r="N5124">
        <v>0</v>
      </c>
      <c r="O5124">
        <v>-1.181664E-2</v>
      </c>
      <c r="P5124">
        <v>-0.99989649999999997</v>
      </c>
      <c r="Q5124">
        <v>-7.3593740000000001E-3</v>
      </c>
      <c r="R5124">
        <v>1.2376150000000001E-2</v>
      </c>
      <c r="S5124">
        <v>-2.9887389999999998</v>
      </c>
      <c r="T5124">
        <v>-0.76170470000000001</v>
      </c>
      <c r="U5124">
        <v>0.488678</v>
      </c>
      <c r="V5124">
        <v>2.4190940000000001E-2</v>
      </c>
      <c r="W5124">
        <v>2.8422479999999999E-3</v>
      </c>
      <c r="X5124">
        <v>0.99970329999999996</v>
      </c>
      <c r="Y5124">
        <v>0.1674293</v>
      </c>
      <c r="Z5124">
        <v>2.3813859999999999E-2</v>
      </c>
      <c r="AA5124">
        <v>0.98559640000000004</v>
      </c>
      <c r="AB5124">
        <v>38</v>
      </c>
      <c r="AC5124">
        <v>-0.54899999999997795</v>
      </c>
      <c r="AD5124">
        <v>-0.2347976</v>
      </c>
      <c r="AE5124">
        <v>0.155200000000007</v>
      </c>
      <c r="AF5124">
        <v>0.138259049280337</v>
      </c>
      <c r="AG5124">
        <v>-0.2347976</v>
      </c>
      <c r="AH5124">
        <v>0.46787992457787803</v>
      </c>
      <c r="AI5124">
        <v>115.699682230959</v>
      </c>
      <c r="AJ5124">
        <v>73.537530087334503</v>
      </c>
      <c r="AK5124">
        <v>0.54143984106885201</v>
      </c>
      <c r="AL5124">
        <v>89.837150963403701</v>
      </c>
      <c r="AM5124">
        <v>88.613820392250403</v>
      </c>
      <c r="AN5124">
        <v>0.99999998399133305</v>
      </c>
    </row>
    <row r="5125" spans="1:40" x14ac:dyDescent="0.25">
      <c r="A5125" t="str">
        <f>"20190312160748102"</f>
        <v>20190312160748102</v>
      </c>
      <c r="B5125" t="str">
        <f>"1552378068090858"</f>
        <v>1552378068090858</v>
      </c>
      <c r="C5125" t="s">
        <v>40</v>
      </c>
      <c r="D5125">
        <v>5.738931</v>
      </c>
      <c r="E5125">
        <v>0.55334919999999899</v>
      </c>
      <c r="F5125" t="s">
        <v>44</v>
      </c>
      <c r="G5125">
        <v>-328.93360000000001</v>
      </c>
      <c r="H5125">
        <v>0.88134749999999995</v>
      </c>
      <c r="I5125">
        <v>142.2936</v>
      </c>
      <c r="J5125">
        <v>-328.40879999999999</v>
      </c>
      <c r="K5125">
        <v>1.109067</v>
      </c>
      <c r="L5125">
        <v>142.14320000000001</v>
      </c>
      <c r="M5125">
        <v>-0.9998764</v>
      </c>
      <c r="N5125">
        <v>0</v>
      </c>
      <c r="O5125">
        <v>-1.1904339999999999E-2</v>
      </c>
      <c r="P5125">
        <v>-0.99989939999999999</v>
      </c>
      <c r="Q5125">
        <v>-7.2307200000000004E-3</v>
      </c>
      <c r="R5125">
        <v>1.220651E-2</v>
      </c>
      <c r="S5125">
        <v>-2.9886469999999998</v>
      </c>
      <c r="T5125">
        <v>-0.76144419999999902</v>
      </c>
      <c r="U5125">
        <v>0.4862976</v>
      </c>
      <c r="V5125">
        <v>2.4108839999999999E-2</v>
      </c>
      <c r="W5125">
        <v>3.032505E-3</v>
      </c>
      <c r="X5125">
        <v>0.9997047</v>
      </c>
      <c r="Y5125">
        <v>0.16677600000000001</v>
      </c>
      <c r="Z5125">
        <v>2.374857E-2</v>
      </c>
      <c r="AA5125">
        <v>0.98570880000000005</v>
      </c>
      <c r="AB5125">
        <v>38</v>
      </c>
      <c r="AC5125">
        <v>-0.52480000000002702</v>
      </c>
      <c r="AD5125">
        <v>-0.22771949999999999</v>
      </c>
      <c r="AE5125">
        <v>0.15039999999998999</v>
      </c>
      <c r="AF5125">
        <v>0.13342243916841501</v>
      </c>
      <c r="AG5125">
        <v>-0.22771949999999999</v>
      </c>
      <c r="AH5125">
        <v>0.44546441464224701</v>
      </c>
      <c r="AI5125">
        <v>116.091096280614</v>
      </c>
      <c r="AJ5125">
        <v>73.326351716116704</v>
      </c>
      <c r="AK5125">
        <v>0.51778012965588005</v>
      </c>
      <c r="AL5125">
        <v>89.8262499888462</v>
      </c>
      <c r="AM5125">
        <v>88.618524961435398</v>
      </c>
      <c r="AN5125">
        <v>0.99999995972740396</v>
      </c>
    </row>
    <row r="5126" spans="1:40" x14ac:dyDescent="0.25">
      <c r="A5126" t="str">
        <f>"20190312160748125"</f>
        <v>20190312160748125</v>
      </c>
      <c r="B5126" t="str">
        <f>"1552378068120138"</f>
        <v>1552378068120138</v>
      </c>
      <c r="C5126" t="s">
        <v>40</v>
      </c>
      <c r="D5126">
        <v>5.8775019999999998</v>
      </c>
      <c r="E5126">
        <v>0.5512089</v>
      </c>
      <c r="F5126" t="s">
        <v>44</v>
      </c>
      <c r="G5126">
        <v>-329.27699999999999</v>
      </c>
      <c r="H5126">
        <v>0.8846349</v>
      </c>
      <c r="I5126">
        <v>142.28569999999999</v>
      </c>
      <c r="J5126">
        <v>-328.79599999999999</v>
      </c>
      <c r="K5126">
        <v>1.109081</v>
      </c>
      <c r="L5126">
        <v>142.13849999999999</v>
      </c>
      <c r="M5126">
        <v>-0.99987479999999995</v>
      </c>
      <c r="N5126">
        <v>0</v>
      </c>
      <c r="O5126">
        <v>-1.199658E-2</v>
      </c>
      <c r="P5126">
        <v>-0.99990699999999999</v>
      </c>
      <c r="Q5126">
        <v>-7.1048309999999998E-3</v>
      </c>
      <c r="R5126">
        <v>1.164278E-2</v>
      </c>
      <c r="S5126">
        <v>-2.9887389999999998</v>
      </c>
      <c r="T5126">
        <v>-0.77259180000000005</v>
      </c>
      <c r="U5126">
        <v>0.48997499999999999</v>
      </c>
      <c r="V5126">
        <v>2.3637399999999999E-2</v>
      </c>
      <c r="W5126">
        <v>3.2232390000000001E-3</v>
      </c>
      <c r="X5126">
        <v>0.99971540000000003</v>
      </c>
      <c r="Y5126">
        <v>0.1678461</v>
      </c>
      <c r="Z5126">
        <v>2.4241039999999998E-2</v>
      </c>
      <c r="AA5126">
        <v>0.98551509999999998</v>
      </c>
      <c r="AB5126">
        <v>38</v>
      </c>
      <c r="AC5126">
        <v>-0.48099999999999399</v>
      </c>
      <c r="AD5126">
        <v>-0.22444610000000001</v>
      </c>
      <c r="AE5126">
        <v>0.147199999999998</v>
      </c>
      <c r="AF5126">
        <v>0.12756323215672</v>
      </c>
      <c r="AG5126">
        <v>-0.22444610000000001</v>
      </c>
      <c r="AH5126">
        <v>0.39963517272354898</v>
      </c>
      <c r="AI5126">
        <v>118.14819829554</v>
      </c>
      <c r="AJ5126">
        <v>72.296957948123406</v>
      </c>
      <c r="AK5126">
        <v>0.475769588436735</v>
      </c>
      <c r="AL5126">
        <v>89.815321688876196</v>
      </c>
      <c r="AM5126">
        <v>88.645543554223707</v>
      </c>
      <c r="AN5126">
        <v>0.99999999847278498</v>
      </c>
    </row>
    <row r="5127" spans="1:40" x14ac:dyDescent="0.25">
      <c r="A5127" t="str">
        <f>"20190312160748147"</f>
        <v>20190312160748147</v>
      </c>
      <c r="B5127" t="str">
        <f>"1552378068140638"</f>
        <v>1552378068140638</v>
      </c>
      <c r="C5127" t="s">
        <v>40</v>
      </c>
      <c r="D5127">
        <v>5.8459839999999996</v>
      </c>
      <c r="E5127">
        <v>0.5497206</v>
      </c>
      <c r="F5127" t="s">
        <v>44</v>
      </c>
      <c r="G5127">
        <v>-329.6268</v>
      </c>
      <c r="H5127">
        <v>0.90368649999999995</v>
      </c>
      <c r="I5127">
        <v>142.26939999999999</v>
      </c>
      <c r="J5127">
        <v>-329.18779999999998</v>
      </c>
      <c r="K5127">
        <v>1.109084</v>
      </c>
      <c r="L5127">
        <v>142.1337</v>
      </c>
      <c r="M5127">
        <v>-0.99987300000000001</v>
      </c>
      <c r="N5127">
        <v>0</v>
      </c>
      <c r="O5127">
        <v>-1.208967E-2</v>
      </c>
      <c r="P5127">
        <v>-0.99991070000000004</v>
      </c>
      <c r="Q5127">
        <v>-7.3904399999999999E-3</v>
      </c>
      <c r="R5127">
        <v>1.115352E-2</v>
      </c>
      <c r="S5127">
        <v>-2.989563</v>
      </c>
      <c r="T5127">
        <v>-0.73902849999999998</v>
      </c>
      <c r="U5127">
        <v>0.4700317</v>
      </c>
      <c r="V5127">
        <v>2.3241379999999999E-2</v>
      </c>
      <c r="W5127">
        <v>3.0029409999999999E-3</v>
      </c>
      <c r="X5127">
        <v>0.99972539999999999</v>
      </c>
      <c r="Y5127">
        <v>0.16212660000000001</v>
      </c>
      <c r="Z5127">
        <v>2.255449E-2</v>
      </c>
      <c r="AA5127">
        <v>0.98651219999999995</v>
      </c>
      <c r="AB5127">
        <v>38</v>
      </c>
      <c r="AC5127">
        <v>-0.43900000000002098</v>
      </c>
      <c r="AD5127">
        <v>-0.20539749999999901</v>
      </c>
      <c r="AE5127">
        <v>0.135699999999985</v>
      </c>
      <c r="AF5127">
        <v>0.11751618372072201</v>
      </c>
      <c r="AG5127">
        <v>-0.20539749999999901</v>
      </c>
      <c r="AH5127">
        <v>0.36449543673059998</v>
      </c>
      <c r="AI5127">
        <v>118.205823469298</v>
      </c>
      <c r="AJ5127">
        <v>72.130272074536606</v>
      </c>
      <c r="AK5127">
        <v>0.434574630920816</v>
      </c>
      <c r="AL5127">
        <v>89.827943900696795</v>
      </c>
      <c r="AM5127">
        <v>88.668241134658402</v>
      </c>
      <c r="AN5127">
        <v>1.00000002740205</v>
      </c>
    </row>
    <row r="5128" spans="1:40" x14ac:dyDescent="0.25">
      <c r="A5128" t="str">
        <f>"20190312160748169"</f>
        <v>20190312160748169</v>
      </c>
      <c r="B5128" t="str">
        <f>"1552378068160154"</f>
        <v>1552378068160154</v>
      </c>
      <c r="C5128" t="s">
        <v>40</v>
      </c>
      <c r="D5128">
        <v>5.9398519999999904</v>
      </c>
      <c r="E5128">
        <v>0.54825259999999998</v>
      </c>
      <c r="F5128" t="s">
        <v>44</v>
      </c>
      <c r="G5128">
        <v>-329.97579999999999</v>
      </c>
      <c r="H5128">
        <v>0.9201241</v>
      </c>
      <c r="I5128">
        <v>142.25409999999999</v>
      </c>
      <c r="J5128">
        <v>-329.56009999999998</v>
      </c>
      <c r="K5128">
        <v>1.1090869999999999</v>
      </c>
      <c r="L5128">
        <v>142.12909999999999</v>
      </c>
      <c r="M5128">
        <v>-0.99987119999999996</v>
      </c>
      <c r="N5128">
        <v>0</v>
      </c>
      <c r="O5128">
        <v>-1.217785E-2</v>
      </c>
      <c r="P5128">
        <v>-0.99991850000000004</v>
      </c>
      <c r="Q5128">
        <v>-7.5313369999999999E-3</v>
      </c>
      <c r="R5128">
        <v>1.031383E-2</v>
      </c>
      <c r="S5128">
        <v>-2.9898989999999999</v>
      </c>
      <c r="T5128">
        <v>-0.71704489999999999</v>
      </c>
      <c r="U5128">
        <v>0.45593260000000002</v>
      </c>
      <c r="V5128">
        <v>2.2490079999999999E-2</v>
      </c>
      <c r="W5128">
        <v>2.9247409999999998E-3</v>
      </c>
      <c r="X5128">
        <v>0.99974280000000004</v>
      </c>
      <c r="Y5128">
        <v>0.15805549999999999</v>
      </c>
      <c r="Z5128">
        <v>2.144923E-2</v>
      </c>
      <c r="AA5128">
        <v>0.9871972</v>
      </c>
      <c r="AB5128">
        <v>38</v>
      </c>
      <c r="AC5128">
        <v>-0.415700000000015</v>
      </c>
      <c r="AD5128">
        <v>-0.18896289999999999</v>
      </c>
      <c r="AE5128">
        <v>0.125</v>
      </c>
      <c r="AF5128">
        <v>0.109334844078865</v>
      </c>
      <c r="AG5128">
        <v>-0.18896289999999999</v>
      </c>
      <c r="AH5128">
        <v>0.34817008506788899</v>
      </c>
      <c r="AI5128">
        <v>117.37515733734701</v>
      </c>
      <c r="AJ5128">
        <v>72.566297753415796</v>
      </c>
      <c r="AK5128">
        <v>0.410954369537959</v>
      </c>
      <c r="AL5128">
        <v>89.8324244476281</v>
      </c>
      <c r="AM5128">
        <v>88.711299184361394</v>
      </c>
      <c r="AN5128">
        <v>1.00000001198008</v>
      </c>
    </row>
    <row r="5129" spans="1:40" x14ac:dyDescent="0.25">
      <c r="A5129" t="str">
        <f>"20190312160748192"</f>
        <v>20190312160748192</v>
      </c>
      <c r="B5129" t="str">
        <f>"1552378068180651"</f>
        <v>1552378068180651</v>
      </c>
      <c r="C5129" t="s">
        <v>40</v>
      </c>
      <c r="D5129">
        <v>5.98942</v>
      </c>
      <c r="E5129">
        <v>0.54756579999999999</v>
      </c>
      <c r="F5129" t="s">
        <v>44</v>
      </c>
      <c r="G5129">
        <v>-330.32310000000001</v>
      </c>
      <c r="H5129">
        <v>0.9309769</v>
      </c>
      <c r="I5129">
        <v>142.24199999999999</v>
      </c>
      <c r="J5129">
        <v>-329.95890000000003</v>
      </c>
      <c r="K5129">
        <v>1.1090979999999999</v>
      </c>
      <c r="L5129">
        <v>142.1242</v>
      </c>
      <c r="M5129">
        <v>-0.99986929999999996</v>
      </c>
      <c r="N5129">
        <v>0</v>
      </c>
      <c r="O5129">
        <v>-1.227252E-2</v>
      </c>
      <c r="P5129">
        <v>-0.99992329999999996</v>
      </c>
      <c r="Q5129">
        <v>-7.1713609999999898E-3</v>
      </c>
      <c r="R5129">
        <v>1.0097989999999999E-2</v>
      </c>
      <c r="S5129">
        <v>-2.9904480000000002</v>
      </c>
      <c r="T5129">
        <v>-0.69813369999999997</v>
      </c>
      <c r="U5129">
        <v>0.44088749999999999</v>
      </c>
      <c r="V5129">
        <v>2.236879E-2</v>
      </c>
      <c r="W5129">
        <v>3.355322E-3</v>
      </c>
      <c r="X5129">
        <v>0.99974419999999997</v>
      </c>
      <c r="Y5129">
        <v>0.15361729999999901</v>
      </c>
      <c r="Z5129">
        <v>2.041519E-2</v>
      </c>
      <c r="AA5129">
        <v>0.98791949999999995</v>
      </c>
      <c r="AB5129">
        <v>38</v>
      </c>
      <c r="AC5129">
        <v>-0.36419999999998198</v>
      </c>
      <c r="AD5129">
        <v>-0.17812109999999901</v>
      </c>
      <c r="AE5129">
        <v>0.117800000000016</v>
      </c>
      <c r="AF5129">
        <v>0.1004989698721</v>
      </c>
      <c r="AG5129">
        <v>-0.17812109999999901</v>
      </c>
      <c r="AH5129">
        <v>0.29816262213207601</v>
      </c>
      <c r="AI5129">
        <v>119.514338307664</v>
      </c>
      <c r="AJ5129">
        <v>71.373048752065202</v>
      </c>
      <c r="AK5129">
        <v>0.36156343626981702</v>
      </c>
      <c r="AL5129">
        <v>89.807753858071294</v>
      </c>
      <c r="AM5129">
        <v>88.718248674569196</v>
      </c>
      <c r="AN5129">
        <v>1.0000000431927101</v>
      </c>
    </row>
    <row r="5130" spans="1:40" x14ac:dyDescent="0.25">
      <c r="A5130" t="str">
        <f>"20190312160748215"</f>
        <v>20190312160748215</v>
      </c>
      <c r="B5130" t="str">
        <f>"1552378068210906"</f>
        <v>1552378068210906</v>
      </c>
      <c r="C5130" t="s">
        <v>40</v>
      </c>
      <c r="D5130">
        <v>6.0581579999999997</v>
      </c>
      <c r="E5130">
        <v>0.54857880000000003</v>
      </c>
      <c r="F5130" t="s">
        <v>44</v>
      </c>
      <c r="G5130">
        <v>-330.67230000000001</v>
      </c>
      <c r="H5130">
        <v>0.94510320000000003</v>
      </c>
      <c r="I5130">
        <v>142.2278</v>
      </c>
      <c r="J5130">
        <v>-330.33929999999998</v>
      </c>
      <c r="K5130">
        <v>1.1090979999999999</v>
      </c>
      <c r="L5130">
        <v>142.11940000000001</v>
      </c>
      <c r="M5130">
        <v>-0.99986759999999997</v>
      </c>
      <c r="N5130">
        <v>0</v>
      </c>
      <c r="O5130">
        <v>-1.2363000000000001E-2</v>
      </c>
      <c r="P5130">
        <v>-0.9999285</v>
      </c>
      <c r="Q5130">
        <v>-7.4718619999999897E-3</v>
      </c>
      <c r="R5130">
        <v>9.3622970000000003E-3</v>
      </c>
      <c r="S5130">
        <v>-2.9909059999999998</v>
      </c>
      <c r="T5130">
        <v>-0.68746859999999999</v>
      </c>
      <c r="U5130">
        <v>0.43449399999999999</v>
      </c>
      <c r="V5130">
        <v>2.1723800000000001E-2</v>
      </c>
      <c r="W5130">
        <v>3.1221500000000002E-3</v>
      </c>
      <c r="X5130">
        <v>0.99975910000000001</v>
      </c>
      <c r="Y5130">
        <v>0.15179189999999901</v>
      </c>
      <c r="Z5130">
        <v>1.992557E-2</v>
      </c>
      <c r="AA5130">
        <v>0.98821159999999997</v>
      </c>
      <c r="AB5130">
        <v>38</v>
      </c>
      <c r="AC5130">
        <v>-0.333000000000026</v>
      </c>
      <c r="AD5130">
        <v>-0.1639948</v>
      </c>
      <c r="AE5130">
        <v>0.10839999999998801</v>
      </c>
      <c r="AF5130">
        <v>9.2273637511422604E-2</v>
      </c>
      <c r="AG5130">
        <v>-0.1639948</v>
      </c>
      <c r="AH5130">
        <v>0.27198849162273703</v>
      </c>
      <c r="AI5130">
        <v>119.725663738866</v>
      </c>
      <c r="AJ5130">
        <v>71.2602033604648</v>
      </c>
      <c r="AK5130">
        <v>0.33073623657204698</v>
      </c>
      <c r="AL5130">
        <v>89.821113685046996</v>
      </c>
      <c r="AM5130">
        <v>88.755213913170806</v>
      </c>
      <c r="AN5130">
        <v>0.99999996466993502</v>
      </c>
    </row>
    <row r="5131" spans="1:40" x14ac:dyDescent="0.25">
      <c r="A5131" t="str">
        <f>"20190312160748236"</f>
        <v>20190312160748236</v>
      </c>
      <c r="B5131" t="str">
        <f>"1552378068230426"</f>
        <v>1552378068230426</v>
      </c>
      <c r="C5131" t="s">
        <v>40</v>
      </c>
      <c r="D5131">
        <v>6.1506109999999996</v>
      </c>
      <c r="E5131">
        <v>0.54846859999999997</v>
      </c>
      <c r="F5131" t="s">
        <v>44</v>
      </c>
      <c r="G5131">
        <v>-331.33179999999999</v>
      </c>
      <c r="H5131">
        <v>0.87761659999999997</v>
      </c>
      <c r="I5131">
        <v>142.26570000000001</v>
      </c>
      <c r="J5131">
        <v>-330.71809999999999</v>
      </c>
      <c r="K5131">
        <v>1.1091040000000001</v>
      </c>
      <c r="L5131">
        <v>142.1147</v>
      </c>
      <c r="M5131">
        <v>-0.99986569999999997</v>
      </c>
      <c r="N5131">
        <v>0</v>
      </c>
      <c r="O5131">
        <v>-1.2452889999999999E-2</v>
      </c>
      <c r="P5131">
        <v>-0.99992809999999999</v>
      </c>
      <c r="Q5131">
        <v>-7.9392999999999998E-3</v>
      </c>
      <c r="R5131">
        <v>8.9938740000000007E-3</v>
      </c>
      <c r="S5131">
        <v>-2.990875</v>
      </c>
      <c r="T5131">
        <v>-0.69756459999999998</v>
      </c>
      <c r="U5131">
        <v>0.44075009999999998</v>
      </c>
      <c r="V5131">
        <v>2.144542E-2</v>
      </c>
      <c r="W5131">
        <v>2.722562E-3</v>
      </c>
      <c r="X5131">
        <v>0.9997663</v>
      </c>
      <c r="Y5131">
        <v>0.15373110000000001</v>
      </c>
      <c r="Z5131">
        <v>2.0450579999999999E-2</v>
      </c>
      <c r="AA5131">
        <v>0.98790109999999998</v>
      </c>
      <c r="AB5131">
        <v>38</v>
      </c>
      <c r="AC5131">
        <v>-0.61369999999999403</v>
      </c>
      <c r="AD5131">
        <v>-0.23148740000000001</v>
      </c>
      <c r="AE5131">
        <v>0.15100000000000999</v>
      </c>
      <c r="AF5131">
        <v>0.139866853402032</v>
      </c>
      <c r="AG5131">
        <v>-0.23148740000000001</v>
      </c>
      <c r="AH5131">
        <v>0.53940641530669098</v>
      </c>
      <c r="AI5131">
        <v>112.558683826291</v>
      </c>
      <c r="AJ5131">
        <v>75.463480114102296</v>
      </c>
      <c r="AK5131">
        <v>0.60341398219908704</v>
      </c>
      <c r="AL5131">
        <v>89.844008493120398</v>
      </c>
      <c r="AM5131">
        <v>88.7711691695105</v>
      </c>
      <c r="AN5131">
        <v>0.99999998649925503</v>
      </c>
    </row>
    <row r="5132" spans="1:40" x14ac:dyDescent="0.25">
      <c r="A5132" t="str">
        <f>"20190312160748348"</f>
        <v>20190312160748348</v>
      </c>
      <c r="B5132" t="str">
        <f>"1552378068340981"</f>
        <v>1552378068340981</v>
      </c>
      <c r="C5132" t="s">
        <v>40</v>
      </c>
      <c r="D5132">
        <v>5.8188760000000004</v>
      </c>
      <c r="E5132">
        <v>0.44311349999999999</v>
      </c>
      <c r="F5132" t="s">
        <v>44</v>
      </c>
      <c r="G5132">
        <v>-333.06760000000003</v>
      </c>
      <c r="H5132">
        <v>0.92144550000000003</v>
      </c>
      <c r="I5132">
        <v>142.2149</v>
      </c>
      <c r="J5132">
        <v>-332.64089999999999</v>
      </c>
      <c r="K5132">
        <v>1.1091439999999999</v>
      </c>
      <c r="L5132">
        <v>142.09</v>
      </c>
      <c r="M5132">
        <v>-0.99985619999999997</v>
      </c>
      <c r="N5132">
        <v>0</v>
      </c>
      <c r="O5132">
        <v>-1.2906920000000001E-2</v>
      </c>
      <c r="P5132">
        <v>-0.99991890000000005</v>
      </c>
      <c r="Q5132">
        <v>-7.7496249999999996E-3</v>
      </c>
      <c r="R5132">
        <v>1.009675E-2</v>
      </c>
      <c r="S5132">
        <v>-2.990631</v>
      </c>
      <c r="T5132">
        <v>-0.69099119999999903</v>
      </c>
      <c r="U5132">
        <v>0.44029239999999997</v>
      </c>
      <c r="V5132">
        <v>2.3001750000000001E-2</v>
      </c>
      <c r="W5132">
        <v>3.2556629999999998E-3</v>
      </c>
      <c r="X5132">
        <v>0.99973009999999995</v>
      </c>
      <c r="Y5132">
        <v>0.15410190000000001</v>
      </c>
      <c r="Z5132">
        <v>2.0409699999999999E-2</v>
      </c>
      <c r="AA5132">
        <v>0.9878441</v>
      </c>
      <c r="AB5132">
        <v>38</v>
      </c>
      <c r="AC5132">
        <v>-0.42670000000003899</v>
      </c>
      <c r="AD5132">
        <v>-0.18769849999999999</v>
      </c>
      <c r="AE5132">
        <v>0.124899999999996</v>
      </c>
      <c r="AF5132">
        <v>0.11067244818830201</v>
      </c>
      <c r="AG5132">
        <v>-0.18769849999999999</v>
      </c>
      <c r="AH5132">
        <v>0.360755725859568</v>
      </c>
      <c r="AI5132">
        <v>116.446308217732</v>
      </c>
      <c r="AJ5132">
        <v>72.945061952802106</v>
      </c>
      <c r="AK5132">
        <v>0.42145440017955299</v>
      </c>
      <c r="AL5132">
        <v>89.813463916643002</v>
      </c>
      <c r="AM5132">
        <v>88.681973545552793</v>
      </c>
      <c r="AN5132">
        <v>0.99999997634532001</v>
      </c>
    </row>
    <row r="5133" spans="1:40" x14ac:dyDescent="0.25">
      <c r="A5133" t="str">
        <f>"20190312160748363"</f>
        <v>20190312160748363</v>
      </c>
      <c r="B5133" t="str">
        <f>"1552378068360501"</f>
        <v>1552378068360501</v>
      </c>
      <c r="C5133" t="s">
        <v>40</v>
      </c>
      <c r="D5133">
        <v>5.7969780000000002</v>
      </c>
      <c r="E5133">
        <v>0.44386769999999998</v>
      </c>
      <c r="F5133" t="s">
        <v>44</v>
      </c>
      <c r="G5133">
        <v>-333.4264</v>
      </c>
      <c r="H5133">
        <v>0.94302249999999999</v>
      </c>
      <c r="I5133">
        <v>141.98509999999999</v>
      </c>
      <c r="J5133">
        <v>-332.89569999999998</v>
      </c>
      <c r="K5133">
        <v>1.109151</v>
      </c>
      <c r="L5133">
        <v>142.0866</v>
      </c>
      <c r="M5133">
        <v>-0.99985480000000004</v>
      </c>
      <c r="N5133">
        <v>0</v>
      </c>
      <c r="O5133">
        <v>-1.2967050000000001E-2</v>
      </c>
      <c r="P5133">
        <v>-0.99991640000000004</v>
      </c>
      <c r="Q5133">
        <v>-7.8157890000000001E-3</v>
      </c>
      <c r="R5133">
        <v>1.027983E-2</v>
      </c>
      <c r="S5133">
        <v>-2.9994200000000002</v>
      </c>
      <c r="T5133">
        <v>-0.63441969999999903</v>
      </c>
      <c r="U5133">
        <v>-0.4011383</v>
      </c>
      <c r="V5133">
        <v>2.324497E-2</v>
      </c>
      <c r="W5133">
        <v>3.2408820000000001E-3</v>
      </c>
      <c r="X5133">
        <v>0.99972459999999996</v>
      </c>
      <c r="Y5133">
        <v>-0.117424</v>
      </c>
      <c r="Z5133">
        <v>-9.5292510000000007E-3</v>
      </c>
      <c r="AA5133">
        <v>0.99303620000000004</v>
      </c>
      <c r="AB5133">
        <v>38</v>
      </c>
      <c r="AC5133">
        <v>-0.53070000000002404</v>
      </c>
      <c r="AD5133">
        <v>-0.16612850000000001</v>
      </c>
      <c r="AE5133">
        <v>-0.10150000000001499</v>
      </c>
      <c r="AF5133">
        <v>-8.6438099476987801E-2</v>
      </c>
      <c r="AG5133">
        <v>-0.16612850000000001</v>
      </c>
      <c r="AH5133">
        <v>0.48602570052256</v>
      </c>
      <c r="AI5133">
        <v>108.599600601364</v>
      </c>
      <c r="AJ5133">
        <v>100.08442962833701</v>
      </c>
      <c r="AK5133">
        <v>0.52085622308069701</v>
      </c>
      <c r="AL5133">
        <v>89.814310824448299</v>
      </c>
      <c r="AM5133">
        <v>88.668034431985902</v>
      </c>
      <c r="AN5133">
        <v>1.0000000538957901</v>
      </c>
    </row>
    <row r="5134" spans="1:40" x14ac:dyDescent="0.25">
      <c r="A5134" t="str">
        <f>"20190312160748383"</f>
        <v>20190312160748383</v>
      </c>
      <c r="B5134" t="str">
        <f>"1552378068370260"</f>
        <v>1552378068370260</v>
      </c>
      <c r="C5134" t="s">
        <v>40</v>
      </c>
      <c r="D5134">
        <v>6.2427159999999997</v>
      </c>
      <c r="E5134">
        <v>0.44379239999999998</v>
      </c>
      <c r="F5134" t="s">
        <v>47</v>
      </c>
      <c r="G5134">
        <v>-339.7647</v>
      </c>
      <c r="H5134" s="1">
        <v>-5.053048E-7</v>
      </c>
      <c r="I5134">
        <v>141.17080000000001</v>
      </c>
      <c r="J5134">
        <v>-333.2328</v>
      </c>
      <c r="K5134">
        <v>1.10917</v>
      </c>
      <c r="L5134">
        <v>142.0822</v>
      </c>
      <c r="M5134">
        <v>-0.99985299999999999</v>
      </c>
      <c r="N5134">
        <v>0</v>
      </c>
      <c r="O5134">
        <v>-1.304724E-2</v>
      </c>
      <c r="P5134">
        <v>-0.99991450000000004</v>
      </c>
      <c r="Q5134">
        <v>-7.9206620000000002E-3</v>
      </c>
      <c r="R5134">
        <v>1.0420240000000001E-2</v>
      </c>
      <c r="S5134">
        <v>-3.0005489999999999</v>
      </c>
      <c r="T5134">
        <v>-0.48449969999999998</v>
      </c>
      <c r="U5134">
        <v>-0.4000397</v>
      </c>
      <c r="V5134">
        <v>2.3465779999999999E-2</v>
      </c>
      <c r="W5134">
        <v>3.2156099999999998E-3</v>
      </c>
      <c r="X5134">
        <v>0.99971940000000004</v>
      </c>
      <c r="Y5134">
        <v>-0.1178744</v>
      </c>
      <c r="Z5134">
        <v>-7.3307379999999998E-3</v>
      </c>
      <c r="AA5134">
        <v>0.99300149999999998</v>
      </c>
      <c r="AB5134">
        <v>38</v>
      </c>
      <c r="AC5134">
        <v>-6.5319000000000003</v>
      </c>
      <c r="AD5134">
        <v>-1.1091705053048</v>
      </c>
      <c r="AE5134">
        <v>-0.911399999999986</v>
      </c>
      <c r="AF5134">
        <v>-0.80337117537425495</v>
      </c>
      <c r="AG5134">
        <v>-1.1091705053048</v>
      </c>
      <c r="AH5134">
        <v>6.3632564259640301</v>
      </c>
      <c r="AI5134">
        <v>99.811451318259202</v>
      </c>
      <c r="AJ5134">
        <v>97.195612434766701</v>
      </c>
      <c r="AK5134">
        <v>6.5089704867845901</v>
      </c>
      <c r="AL5134">
        <v>89.8157587881865</v>
      </c>
      <c r="AM5134">
        <v>88.655379377384904</v>
      </c>
      <c r="AN5134">
        <v>0.99999993085751704</v>
      </c>
    </row>
    <row r="5135" spans="1:40" x14ac:dyDescent="0.25">
      <c r="A5135" t="str">
        <f>"20190312160748404"</f>
        <v>20190312160748404</v>
      </c>
      <c r="B5135" t="str">
        <f>"1552378068400516"</f>
        <v>1552378068400516</v>
      </c>
      <c r="C5135" t="s">
        <v>40</v>
      </c>
      <c r="D5135">
        <v>5.8197130000000001</v>
      </c>
      <c r="E5135">
        <v>0.44407239999999998</v>
      </c>
      <c r="F5135" t="s">
        <v>47</v>
      </c>
      <c r="G5135">
        <v>-341.39280000000002</v>
      </c>
      <c r="H5135" s="1">
        <v>-4.0394709999999999E-6</v>
      </c>
      <c r="I5135">
        <v>140.98699999999999</v>
      </c>
      <c r="J5135">
        <v>-333.58940000000001</v>
      </c>
      <c r="K5135">
        <v>1.1091869999999999</v>
      </c>
      <c r="L5135">
        <v>142.07749999999999</v>
      </c>
      <c r="M5135">
        <v>-0.99985060000000003</v>
      </c>
      <c r="N5135">
        <v>0</v>
      </c>
      <c r="O5135">
        <v>-1.31328E-2</v>
      </c>
      <c r="P5135">
        <v>-0.99992219999999998</v>
      </c>
      <c r="Q5135">
        <v>-7.8845229999999992E-3</v>
      </c>
      <c r="R5135">
        <v>9.6742879999999996E-3</v>
      </c>
      <c r="S5135">
        <v>-3.0012210000000001</v>
      </c>
      <c r="T5135">
        <v>-0.40795579999999998</v>
      </c>
      <c r="U5135">
        <v>-0.40278629999999999</v>
      </c>
      <c r="V5135">
        <v>2.2805519999999999E-2</v>
      </c>
      <c r="W5135">
        <v>3.3500769999999999E-3</v>
      </c>
      <c r="X5135">
        <v>0.99973429999999996</v>
      </c>
      <c r="Y5135">
        <v>-0.1190302</v>
      </c>
      <c r="Z5135">
        <v>-6.2485719999999896E-3</v>
      </c>
      <c r="AA5135">
        <v>0.99287099999999995</v>
      </c>
      <c r="AB5135">
        <v>38</v>
      </c>
      <c r="AC5135">
        <v>-7.8034000000000097</v>
      </c>
      <c r="AD5135">
        <v>-1.1091910394710001</v>
      </c>
      <c r="AE5135">
        <v>-1.09049999999999</v>
      </c>
      <c r="AF5135">
        <v>-0.96872149915554595</v>
      </c>
      <c r="AG5135">
        <v>-1.1091910394710001</v>
      </c>
      <c r="AH5135">
        <v>7.6651463852139203</v>
      </c>
      <c r="AI5135">
        <v>98.169779034891803</v>
      </c>
      <c r="AJ5135">
        <v>97.202857022482206</v>
      </c>
      <c r="AK5135">
        <v>7.8053312044862597</v>
      </c>
      <c r="AL5135">
        <v>89.808054366414595</v>
      </c>
      <c r="AM5135">
        <v>88.693219320158903</v>
      </c>
      <c r="AN5135">
        <v>0.999999992677433</v>
      </c>
    </row>
    <row r="5136" spans="1:40" x14ac:dyDescent="0.25">
      <c r="A5136" t="str">
        <f>"20190312160748426"</f>
        <v>20190312160748426</v>
      </c>
      <c r="B5136" t="str">
        <f>"1552378068421012"</f>
        <v>1552378068421012</v>
      </c>
      <c r="C5136" t="s">
        <v>40</v>
      </c>
      <c r="D5136">
        <v>5.9994440000000004</v>
      </c>
      <c r="E5136">
        <v>0.44636959999999998</v>
      </c>
      <c r="F5136" t="s">
        <v>47</v>
      </c>
      <c r="G5136">
        <v>-343.42970000000003</v>
      </c>
      <c r="H5136" s="1">
        <v>-3.1023489999999998E-6</v>
      </c>
      <c r="I5136">
        <v>140.7491</v>
      </c>
      <c r="J5136">
        <v>-333.98570000000001</v>
      </c>
      <c r="K5136">
        <v>1.1092120000000001</v>
      </c>
      <c r="L5136">
        <v>142.07210000000001</v>
      </c>
      <c r="M5136">
        <v>-0.99984810000000002</v>
      </c>
      <c r="N5136">
        <v>0</v>
      </c>
      <c r="O5136">
        <v>-1.323044E-2</v>
      </c>
      <c r="P5136">
        <v>-0.99992420000000004</v>
      </c>
      <c r="Q5136">
        <v>-8.2170619999999903E-3</v>
      </c>
      <c r="R5136">
        <v>9.1925740000000002E-3</v>
      </c>
      <c r="S5136">
        <v>-3.0014949999999998</v>
      </c>
      <c r="T5136">
        <v>-0.33832649999999997</v>
      </c>
      <c r="U5136">
        <v>-0.40515139999999999</v>
      </c>
      <c r="V5136">
        <v>2.2421460000000001E-2</v>
      </c>
      <c r="W5136">
        <v>3.1402700000000001E-3</v>
      </c>
      <c r="X5136">
        <v>0.99974370000000001</v>
      </c>
      <c r="Y5136">
        <v>-0.119982199999999</v>
      </c>
      <c r="Z5136">
        <v>-5.2309629999999999E-3</v>
      </c>
      <c r="AA5136">
        <v>0.99276229999999999</v>
      </c>
      <c r="AB5136">
        <v>38</v>
      </c>
      <c r="AC5136">
        <v>-9.4440000000000097</v>
      </c>
      <c r="AD5136">
        <v>-1.109215102349</v>
      </c>
      <c r="AE5136">
        <v>-1.323</v>
      </c>
      <c r="AF5136">
        <v>-1.18193694903226</v>
      </c>
      <c r="AG5136">
        <v>-1.109215102349</v>
      </c>
      <c r="AH5136">
        <v>9.3343894284545392</v>
      </c>
      <c r="AI5136">
        <v>96.723550068270796</v>
      </c>
      <c r="AJ5136">
        <v>97.216489269958402</v>
      </c>
      <c r="AK5136">
        <v>9.4740782716215008</v>
      </c>
      <c r="AL5136">
        <v>89.820075491147804</v>
      </c>
      <c r="AM5136">
        <v>88.715231005325705</v>
      </c>
      <c r="AN5136">
        <v>1.00000002442694</v>
      </c>
    </row>
    <row r="5137" spans="1:40" x14ac:dyDescent="0.25">
      <c r="A5137" t="str">
        <f>"20190312160748448"</f>
        <v>20190312160748448</v>
      </c>
      <c r="B5137" t="str">
        <f>"1552378068440198"</f>
        <v>1552378068440198</v>
      </c>
      <c r="C5137" t="s">
        <v>40</v>
      </c>
      <c r="D5137">
        <v>5.9791689999999997</v>
      </c>
      <c r="E5137">
        <v>0.4474824</v>
      </c>
      <c r="F5137" t="s">
        <v>47</v>
      </c>
      <c r="G5137">
        <v>-344.3082</v>
      </c>
      <c r="H5137" s="1">
        <v>-2.7211620000000001E-6</v>
      </c>
      <c r="I5137">
        <v>140.7329</v>
      </c>
      <c r="J5137">
        <v>-334.3723</v>
      </c>
      <c r="K5137">
        <v>1.1092409999999999</v>
      </c>
      <c r="L5137">
        <v>142.0669</v>
      </c>
      <c r="M5137">
        <v>-0.9998454</v>
      </c>
      <c r="N5137">
        <v>0</v>
      </c>
      <c r="O5137">
        <v>-1.3326930000000001E-2</v>
      </c>
      <c r="P5137">
        <v>-0.99992400000000004</v>
      </c>
      <c r="Q5137">
        <v>-8.4770479999999992E-3</v>
      </c>
      <c r="R5137">
        <v>8.9576099999999995E-3</v>
      </c>
      <c r="S5137">
        <v>-3.0012210000000001</v>
      </c>
      <c r="T5137">
        <v>-0.3225017</v>
      </c>
      <c r="U5137">
        <v>-0.3893585</v>
      </c>
      <c r="V5137">
        <v>2.2282840000000002E-2</v>
      </c>
      <c r="W5137">
        <v>3.0034179999999999E-3</v>
      </c>
      <c r="X5137">
        <v>0.99974719999999995</v>
      </c>
      <c r="Y5137">
        <v>-0.1148522</v>
      </c>
      <c r="Z5137">
        <v>-4.7058489999999998E-3</v>
      </c>
      <c r="AA5137">
        <v>0.99337140000000002</v>
      </c>
      <c r="AB5137">
        <v>38</v>
      </c>
      <c r="AC5137">
        <v>-9.9359000000000002</v>
      </c>
      <c r="AD5137">
        <v>-1.1092437211620001</v>
      </c>
      <c r="AE5137">
        <v>-1.3340000000000001</v>
      </c>
      <c r="AF5137">
        <v>-1.1869264582489001</v>
      </c>
      <c r="AG5137">
        <v>-1.1092437211620001</v>
      </c>
      <c r="AH5137">
        <v>9.8324204534054296</v>
      </c>
      <c r="AI5137">
        <v>96.3905978187789</v>
      </c>
      <c r="AJ5137">
        <v>96.883188375463703</v>
      </c>
      <c r="AK5137">
        <v>9.9657266680746392</v>
      </c>
      <c r="AL5137">
        <v>89.827916566579603</v>
      </c>
      <c r="AM5137">
        <v>88.723175881753406</v>
      </c>
      <c r="AN5137">
        <v>1.00000000469299</v>
      </c>
    </row>
    <row r="5138" spans="1:40" x14ac:dyDescent="0.25">
      <c r="A5138" t="str">
        <f>"20190312160748470"</f>
        <v>20190312160748470</v>
      </c>
      <c r="B5138" t="str">
        <f>"1552378068460698"</f>
        <v>1552378068460698</v>
      </c>
      <c r="C5138" t="s">
        <v>40</v>
      </c>
      <c r="D5138">
        <v>6.004365</v>
      </c>
      <c r="E5138">
        <v>0.44833529999999999</v>
      </c>
      <c r="F5138" t="s">
        <v>47</v>
      </c>
      <c r="G5138">
        <v>-345.0847</v>
      </c>
      <c r="H5138" s="1">
        <v>-2.3803650000000002E-6</v>
      </c>
      <c r="I5138">
        <v>140.70400000000001</v>
      </c>
      <c r="J5138">
        <v>-334.74380000000002</v>
      </c>
      <c r="K5138">
        <v>1.1092610000000001</v>
      </c>
      <c r="L5138">
        <v>142.06190000000001</v>
      </c>
      <c r="M5138">
        <v>-0.99984280000000003</v>
      </c>
      <c r="N5138">
        <v>0</v>
      </c>
      <c r="O5138">
        <v>-1.342113E-2</v>
      </c>
      <c r="P5138">
        <v>-0.99992610000000004</v>
      </c>
      <c r="Q5138">
        <v>-8.5227029999999995E-3</v>
      </c>
      <c r="R5138">
        <v>8.6801340000000008E-3</v>
      </c>
      <c r="S5138">
        <v>-3.001007</v>
      </c>
      <c r="T5138">
        <v>-0.31074940000000001</v>
      </c>
      <c r="U5138">
        <v>-0.38179020000000002</v>
      </c>
      <c r="V5138">
        <v>2.2099779999999999E-2</v>
      </c>
      <c r="W5138">
        <v>3.0749430000000001E-3</v>
      </c>
      <c r="X5138">
        <v>0.99975099999999995</v>
      </c>
      <c r="Y5138">
        <v>-0.112357</v>
      </c>
      <c r="Z5138">
        <v>-4.3983E-3</v>
      </c>
      <c r="AA5138">
        <v>0.99365820000000005</v>
      </c>
      <c r="AB5138">
        <v>38</v>
      </c>
      <c r="AC5138">
        <v>-10.3408999999999</v>
      </c>
      <c r="AD5138">
        <v>-1.1092633803650001</v>
      </c>
      <c r="AE5138">
        <v>-1.3579000000000001</v>
      </c>
      <c r="AF5138">
        <v>-1.2053472746643099</v>
      </c>
      <c r="AG5138">
        <v>-1.1092633803650001</v>
      </c>
      <c r="AH5138">
        <v>10.242336044284601</v>
      </c>
      <c r="AI5138">
        <v>96.139106108850399</v>
      </c>
      <c r="AJ5138">
        <v>96.7118593673856</v>
      </c>
      <c r="AK5138">
        <v>10.372500901114</v>
      </c>
      <c r="AL5138">
        <v>89.823818458952204</v>
      </c>
      <c r="AM5138">
        <v>88.7336667445053</v>
      </c>
      <c r="AN5138">
        <v>0.99999995877574899</v>
      </c>
    </row>
    <row r="5139" spans="1:40" x14ac:dyDescent="0.25">
      <c r="A5139" t="str">
        <f>"20190312160748492"</f>
        <v>20190312160748492</v>
      </c>
      <c r="B5139" t="str">
        <f>"1552378068481192"</f>
        <v>1552378068481192</v>
      </c>
      <c r="C5139" t="s">
        <v>40</v>
      </c>
      <c r="D5139">
        <v>6.088876</v>
      </c>
      <c r="E5139">
        <v>0.44844499999999998</v>
      </c>
      <c r="F5139" t="s">
        <v>47</v>
      </c>
      <c r="G5139">
        <v>-345.94830000000002</v>
      </c>
      <c r="H5139" s="1">
        <v>-1.9973439999999999E-6</v>
      </c>
      <c r="I5139">
        <v>140.65690000000001</v>
      </c>
      <c r="J5139">
        <v>-335.12860000000001</v>
      </c>
      <c r="K5139">
        <v>1.1092690000000001</v>
      </c>
      <c r="L5139">
        <v>142.0566</v>
      </c>
      <c r="M5139">
        <v>-0.99984010000000001</v>
      </c>
      <c r="N5139">
        <v>0</v>
      </c>
      <c r="O5139">
        <v>-1.352151E-2</v>
      </c>
      <c r="P5139">
        <v>-0.99992020000000004</v>
      </c>
      <c r="Q5139">
        <v>-9.1381559999999997E-3</v>
      </c>
      <c r="R5139">
        <v>8.736677E-3</v>
      </c>
      <c r="S5139">
        <v>-3.0009459999999999</v>
      </c>
      <c r="T5139">
        <v>-0.29710049999999999</v>
      </c>
      <c r="U5139">
        <v>-0.3762817</v>
      </c>
      <c r="V5139">
        <v>2.2256580000000002E-2</v>
      </c>
      <c r="W5139">
        <v>2.574743E-3</v>
      </c>
      <c r="X5139">
        <v>0.999749</v>
      </c>
      <c r="Y5139">
        <v>-0.11051809999999999</v>
      </c>
      <c r="Z5139">
        <v>-4.1062959999999997E-3</v>
      </c>
      <c r="AA5139">
        <v>0.99386560000000002</v>
      </c>
      <c r="AB5139">
        <v>38</v>
      </c>
      <c r="AC5139">
        <v>-10.819699999999999</v>
      </c>
      <c r="AD5139">
        <v>-1.109270997344</v>
      </c>
      <c r="AE5139">
        <v>-1.39969999999999</v>
      </c>
      <c r="AF5139">
        <v>-1.2404396467130201</v>
      </c>
      <c r="AG5139">
        <v>-1.109270997344</v>
      </c>
      <c r="AH5139">
        <v>10.726744905226001</v>
      </c>
      <c r="AI5139">
        <v>95.865256644945205</v>
      </c>
      <c r="AJ5139">
        <v>96.596378466383797</v>
      </c>
      <c r="AK5139">
        <v>10.855055454693799</v>
      </c>
      <c r="AL5139">
        <v>89.852477933289194</v>
      </c>
      <c r="AM5139">
        <v>88.724682398392105</v>
      </c>
      <c r="AN5139">
        <v>1.0000000238279001</v>
      </c>
    </row>
    <row r="5140" spans="1:40" x14ac:dyDescent="0.25">
      <c r="A5140" t="str">
        <f>"20190312160748516"</f>
        <v>20190312160748516</v>
      </c>
      <c r="B5140" t="str">
        <f>"1552378068510471"</f>
        <v>1552378068510471</v>
      </c>
      <c r="C5140" t="s">
        <v>40</v>
      </c>
      <c r="D5140">
        <v>5.9943210000000002</v>
      </c>
      <c r="E5140">
        <v>0.44881759999999898</v>
      </c>
      <c r="F5140" t="s">
        <v>47</v>
      </c>
      <c r="G5140">
        <v>-346.88639999999998</v>
      </c>
      <c r="H5140" s="1">
        <v>-1.575744E-6</v>
      </c>
      <c r="I5140">
        <v>140.5848</v>
      </c>
      <c r="J5140">
        <v>-335.5224</v>
      </c>
      <c r="K5140">
        <v>1.1092839999999999</v>
      </c>
      <c r="L5140">
        <v>142.05109999999999</v>
      </c>
      <c r="M5140">
        <v>-0.99983730000000004</v>
      </c>
      <c r="N5140">
        <v>0</v>
      </c>
      <c r="O5140">
        <v>-1.362065E-2</v>
      </c>
      <c r="P5140">
        <v>-0.99991759999999996</v>
      </c>
      <c r="Q5140">
        <v>-9.5555599999999994E-3</v>
      </c>
      <c r="R5140">
        <v>8.5926279999999997E-3</v>
      </c>
      <c r="S5140">
        <v>-3.0009459999999999</v>
      </c>
      <c r="T5140">
        <v>-0.2831225</v>
      </c>
      <c r="U5140">
        <v>-0.3756256</v>
      </c>
      <c r="V5140">
        <v>2.221184E-2</v>
      </c>
      <c r="W5140">
        <v>2.2767210000000002E-3</v>
      </c>
      <c r="X5140">
        <v>0.99975069999999999</v>
      </c>
      <c r="Y5140">
        <v>-0.11025</v>
      </c>
      <c r="Z5140">
        <v>-3.892155E-3</v>
      </c>
      <c r="AA5140">
        <v>0.99389620000000001</v>
      </c>
      <c r="AB5140">
        <v>38</v>
      </c>
      <c r="AC5140">
        <v>-11.3639999999999</v>
      </c>
      <c r="AD5140">
        <v>-1.1092855757440001</v>
      </c>
      <c r="AE5140">
        <v>-1.46629999999998</v>
      </c>
      <c r="AF5140">
        <v>-1.2991914555917601</v>
      </c>
      <c r="AG5140">
        <v>-1.1092855757440001</v>
      </c>
      <c r="AH5140">
        <v>11.277223760205001</v>
      </c>
      <c r="AI5140">
        <v>95.581154898811405</v>
      </c>
      <c r="AJ5140">
        <v>96.571782902833505</v>
      </c>
      <c r="AK5140">
        <v>11.405883949285499</v>
      </c>
      <c r="AL5140">
        <v>89.869553383623398</v>
      </c>
      <c r="AM5140">
        <v>88.727247351079299</v>
      </c>
      <c r="AN5140">
        <v>1.00000000572259</v>
      </c>
    </row>
    <row r="5141" spans="1:40" x14ac:dyDescent="0.25">
      <c r="A5141" t="str">
        <f>"20190312160748538"</f>
        <v>20190312160748538</v>
      </c>
      <c r="B5141" t="str">
        <f>"1552378068530966"</f>
        <v>1552378068530966</v>
      </c>
      <c r="C5141" t="s">
        <v>40</v>
      </c>
      <c r="D5141">
        <v>6.1112279999999997</v>
      </c>
      <c r="E5141">
        <v>0.44904070000000001</v>
      </c>
      <c r="F5141" t="s">
        <v>47</v>
      </c>
      <c r="G5141">
        <v>-347.5204</v>
      </c>
      <c r="H5141" s="1">
        <v>-1.2967410000000001E-6</v>
      </c>
      <c r="I5141">
        <v>140.55850000000001</v>
      </c>
      <c r="J5141">
        <v>-335.91180000000003</v>
      </c>
      <c r="K5141">
        <v>1.109297</v>
      </c>
      <c r="L5141">
        <v>142.04570000000001</v>
      </c>
      <c r="M5141">
        <v>-0.99983440000000001</v>
      </c>
      <c r="N5141">
        <v>0</v>
      </c>
      <c r="O5141">
        <v>-1.3712449999999999E-2</v>
      </c>
      <c r="P5141">
        <v>-0.99992150000000002</v>
      </c>
      <c r="Q5141">
        <v>-9.4124090000000001E-3</v>
      </c>
      <c r="R5141">
        <v>8.2909339999999998E-3</v>
      </c>
      <c r="S5141">
        <v>-3.0008240000000002</v>
      </c>
      <c r="T5141">
        <v>-0.27744449999999998</v>
      </c>
      <c r="U5141">
        <v>-0.37329099999999998</v>
      </c>
      <c r="V5141">
        <v>2.200216E-2</v>
      </c>
      <c r="W5141">
        <v>2.5528090000000001E-3</v>
      </c>
      <c r="X5141">
        <v>0.9997547</v>
      </c>
      <c r="Y5141">
        <v>-0.1094228</v>
      </c>
      <c r="Z5141">
        <v>-3.7683109999999999E-3</v>
      </c>
      <c r="AA5141">
        <v>0.99398819999999999</v>
      </c>
      <c r="AB5141">
        <v>38</v>
      </c>
      <c r="AC5141">
        <v>-11.6085999999999</v>
      </c>
      <c r="AD5141">
        <v>-1.1092982967409999</v>
      </c>
      <c r="AE5141">
        <v>-1.4872000000000001</v>
      </c>
      <c r="AF5141">
        <v>-1.31604315709582</v>
      </c>
      <c r="AG5141">
        <v>-1.1092982967409999</v>
      </c>
      <c r="AH5141">
        <v>11.524368759206199</v>
      </c>
      <c r="AI5141">
        <v>95.462878466076504</v>
      </c>
      <c r="AJ5141">
        <v>96.514758848738595</v>
      </c>
      <c r="AK5141">
        <v>11.652192394595</v>
      </c>
      <c r="AL5141">
        <v>89.853734664801394</v>
      </c>
      <c r="AM5141">
        <v>88.739263295552703</v>
      </c>
      <c r="AN5141">
        <v>1.0000000360252701</v>
      </c>
    </row>
    <row r="5142" spans="1:40" x14ac:dyDescent="0.25">
      <c r="A5142" t="str">
        <f>"20190312160748554"</f>
        <v>20190312160748554</v>
      </c>
      <c r="B5142" t="str">
        <f>"1552378068540341"</f>
        <v>1552378068540341</v>
      </c>
      <c r="C5142" t="s">
        <v>40</v>
      </c>
      <c r="D5142">
        <v>6.0638610000000002</v>
      </c>
      <c r="E5142">
        <v>0.449077</v>
      </c>
      <c r="F5142" t="s">
        <v>47</v>
      </c>
      <c r="G5142">
        <v>-348.34</v>
      </c>
      <c r="H5142" s="1">
        <v>-9.3009739999999999E-7</v>
      </c>
      <c r="I5142">
        <v>140.50190000000001</v>
      </c>
      <c r="J5142">
        <v>-336.17660000000001</v>
      </c>
      <c r="K5142">
        <v>1.1093</v>
      </c>
      <c r="L5142">
        <v>142.042</v>
      </c>
      <c r="M5142">
        <v>-0.99983250000000001</v>
      </c>
      <c r="N5142">
        <v>0</v>
      </c>
      <c r="O5142">
        <v>-1.377365E-2</v>
      </c>
      <c r="P5142">
        <v>-0.99991909999999895</v>
      </c>
      <c r="Q5142">
        <v>-9.6889460000000004E-3</v>
      </c>
      <c r="R5142">
        <v>8.2421630000000003E-3</v>
      </c>
      <c r="S5142">
        <v>-3.0008240000000002</v>
      </c>
      <c r="T5142">
        <v>-0.26784540000000001</v>
      </c>
      <c r="U5142">
        <v>-0.37274170000000001</v>
      </c>
      <c r="V5142">
        <v>2.201434E-2</v>
      </c>
      <c r="W5142">
        <v>2.3720880000000001E-3</v>
      </c>
      <c r="X5142">
        <v>0.99975480000000005</v>
      </c>
      <c r="Y5142">
        <v>-0.109211</v>
      </c>
      <c r="Z5142">
        <v>-3.6236710000000002E-3</v>
      </c>
      <c r="AA5142">
        <v>0.99401200000000001</v>
      </c>
      <c r="AB5142">
        <v>38</v>
      </c>
      <c r="AC5142">
        <v>-12.1633999999999</v>
      </c>
      <c r="AD5142">
        <v>-1.1093009300973999</v>
      </c>
      <c r="AE5142">
        <v>-1.54009999999999</v>
      </c>
      <c r="AF5142">
        <v>-1.3612637468145901</v>
      </c>
      <c r="AG5142">
        <v>-1.1093009300973999</v>
      </c>
      <c r="AH5142">
        <v>12.084534142691799</v>
      </c>
      <c r="AI5142">
        <v>95.211993135093707</v>
      </c>
      <c r="AJ5142">
        <v>96.426997200151504</v>
      </c>
      <c r="AK5142">
        <v>12.211451715000599</v>
      </c>
      <c r="AL5142">
        <v>89.864089235942799</v>
      </c>
      <c r="AM5142">
        <v>88.738565725968002</v>
      </c>
      <c r="AN5142">
        <v>0.99999995904507599</v>
      </c>
    </row>
    <row r="5143" spans="1:40" x14ac:dyDescent="0.25">
      <c r="A5143" t="str">
        <f>"20190312160748572"</f>
        <v>20190312160748572</v>
      </c>
      <c r="B5143" t="str">
        <f>"1552378068560836"</f>
        <v>1552378068560836</v>
      </c>
      <c r="C5143" t="s">
        <v>40</v>
      </c>
      <c r="D5143">
        <v>6.1310099999999998</v>
      </c>
      <c r="E5143">
        <v>0.44897759999999998</v>
      </c>
      <c r="F5143" t="s">
        <v>47</v>
      </c>
      <c r="G5143">
        <v>-348.82749999999999</v>
      </c>
      <c r="H5143" s="1">
        <v>-7.1254419999999999E-7</v>
      </c>
      <c r="I5143">
        <v>140.47020000000001</v>
      </c>
      <c r="J5143">
        <v>-336.4776</v>
      </c>
      <c r="K5143">
        <v>1.1093090000000001</v>
      </c>
      <c r="L5143">
        <v>142.0378</v>
      </c>
      <c r="M5143">
        <v>-0.99983010000000005</v>
      </c>
      <c r="N5143">
        <v>0</v>
      </c>
      <c r="O5143">
        <v>-1.384496E-2</v>
      </c>
      <c r="P5143">
        <v>-0.9999247</v>
      </c>
      <c r="Q5143">
        <v>-9.6904399999999998E-3</v>
      </c>
      <c r="R5143">
        <v>7.5421219999999897E-3</v>
      </c>
      <c r="S5143">
        <v>-3.0007630000000001</v>
      </c>
      <c r="T5143">
        <v>-0.26312659999999999</v>
      </c>
      <c r="U5143">
        <v>-0.37280269999999999</v>
      </c>
      <c r="V5143">
        <v>2.1385910000000001E-2</v>
      </c>
      <c r="W5143">
        <v>2.4850979999999998E-3</v>
      </c>
      <c r="X5143">
        <v>0.9997682</v>
      </c>
      <c r="Y5143">
        <v>-0.10917590000000001</v>
      </c>
      <c r="Z5143">
        <v>-3.552394E-3</v>
      </c>
      <c r="AA5143">
        <v>0.99401609999999996</v>
      </c>
      <c r="AB5143">
        <v>38</v>
      </c>
      <c r="AC5143">
        <v>-12.3498999999999</v>
      </c>
      <c r="AD5143">
        <v>-1.1093097125442</v>
      </c>
      <c r="AE5143">
        <v>-1.5675999999999899</v>
      </c>
      <c r="AF5143">
        <v>-1.3854522806134499</v>
      </c>
      <c r="AG5143">
        <v>-1.1093097125442</v>
      </c>
      <c r="AH5143">
        <v>12.272969960148799</v>
      </c>
      <c r="AI5143">
        <v>95.132303535787003</v>
      </c>
      <c r="AJ5143">
        <v>96.440652261333398</v>
      </c>
      <c r="AK5143">
        <v>12.400638600609099</v>
      </c>
      <c r="AL5143">
        <v>89.857614225413002</v>
      </c>
      <c r="AM5143">
        <v>88.7745804023468</v>
      </c>
      <c r="AN5143">
        <v>0.99999999329491795</v>
      </c>
    </row>
    <row r="5144" spans="1:40" x14ac:dyDescent="0.25">
      <c r="A5144" t="str">
        <f>"20190312160748595"</f>
        <v>20190312160748595</v>
      </c>
      <c r="B5144" t="str">
        <f>"1552378068580357"</f>
        <v>1552378068580357</v>
      </c>
      <c r="C5144" t="s">
        <v>40</v>
      </c>
      <c r="D5144">
        <v>6.1230070000000003</v>
      </c>
      <c r="E5144">
        <v>0.44904179999999999</v>
      </c>
      <c r="F5144" t="s">
        <v>47</v>
      </c>
      <c r="G5144">
        <v>-349.61149999999998</v>
      </c>
      <c r="H5144" s="1">
        <v>-3.5543450000000002E-7</v>
      </c>
      <c r="I5144">
        <v>140.3922</v>
      </c>
      <c r="J5144">
        <v>-336.87529999999998</v>
      </c>
      <c r="K5144">
        <v>1.10934</v>
      </c>
      <c r="L5144">
        <v>142.03219999999999</v>
      </c>
      <c r="M5144">
        <v>-0.99982629999999995</v>
      </c>
      <c r="N5144">
        <v>0</v>
      </c>
      <c r="O5144">
        <v>-1.394011E-2</v>
      </c>
      <c r="P5144">
        <v>-0.99992610000000004</v>
      </c>
      <c r="Q5144">
        <v>-9.7057740000000003E-3</v>
      </c>
      <c r="R5144">
        <v>7.31944E-3</v>
      </c>
      <c r="S5144">
        <v>-3.0006409999999999</v>
      </c>
      <c r="T5144">
        <v>-0.25344070000000002</v>
      </c>
      <c r="U5144">
        <v>-0.375946</v>
      </c>
      <c r="V5144">
        <v>2.1258409999999998E-2</v>
      </c>
      <c r="W5144">
        <v>2.6620039999999999E-3</v>
      </c>
      <c r="X5144">
        <v>0.99977050000000001</v>
      </c>
      <c r="Y5144">
        <v>-0.1101345</v>
      </c>
      <c r="Z5144">
        <v>-3.4542779999999999E-3</v>
      </c>
      <c r="AA5144">
        <v>0.99391070000000004</v>
      </c>
      <c r="AB5144">
        <v>38</v>
      </c>
      <c r="AC5144">
        <v>-12.736199999999901</v>
      </c>
      <c r="AD5144">
        <v>-1.1093403554345</v>
      </c>
      <c r="AE5144">
        <v>-1.6399999999999799</v>
      </c>
      <c r="AF5144">
        <v>-1.45145096219557</v>
      </c>
      <c r="AG5144">
        <v>-1.1093403554345</v>
      </c>
      <c r="AH5144">
        <v>12.663320624181299</v>
      </c>
      <c r="AI5144">
        <v>94.974079220487596</v>
      </c>
      <c r="AJ5144">
        <v>96.538623088487796</v>
      </c>
      <c r="AK5144">
        <v>12.794414216785</v>
      </c>
      <c r="AL5144">
        <v>89.847478230111903</v>
      </c>
      <c r="AM5144">
        <v>88.781886787430196</v>
      </c>
      <c r="AN5144">
        <v>1.0000000294656299</v>
      </c>
    </row>
    <row r="5145" spans="1:40" x14ac:dyDescent="0.25">
      <c r="A5145" t="str">
        <f>"20190312160748617"</f>
        <v>20190312160748617</v>
      </c>
      <c r="B5145" t="str">
        <f>"1552378068610612"</f>
        <v>1552378068610612</v>
      </c>
      <c r="C5145" t="s">
        <v>40</v>
      </c>
      <c r="D5145">
        <v>6.1555780000000002</v>
      </c>
      <c r="E5145">
        <v>0.44918140000000001</v>
      </c>
      <c r="F5145" t="s">
        <v>47</v>
      </c>
      <c r="G5145">
        <v>-350.51749999999998</v>
      </c>
      <c r="H5145" s="1">
        <v>-4.2248720000000001E-6</v>
      </c>
      <c r="I5145">
        <v>140.32069999999999</v>
      </c>
      <c r="J5145">
        <v>-337.25479999999999</v>
      </c>
      <c r="K5145">
        <v>1.109381</v>
      </c>
      <c r="L5145">
        <v>142.02680000000001</v>
      </c>
      <c r="M5145">
        <v>-0.99982230000000005</v>
      </c>
      <c r="N5145">
        <v>0</v>
      </c>
      <c r="O5145">
        <v>-1.403099E-2</v>
      </c>
      <c r="P5145">
        <v>-0.9999266</v>
      </c>
      <c r="Q5145">
        <v>-9.766594E-3</v>
      </c>
      <c r="R5145">
        <v>7.1747790000000001E-3</v>
      </c>
      <c r="S5145">
        <v>-3.00061</v>
      </c>
      <c r="T5145">
        <v>-0.2440022</v>
      </c>
      <c r="U5145">
        <v>-0.37641910000000001</v>
      </c>
      <c r="V5145">
        <v>2.120472E-2</v>
      </c>
      <c r="W5145">
        <v>2.8284199999999999E-3</v>
      </c>
      <c r="X5145">
        <v>0.99977119999999997</v>
      </c>
      <c r="Y5145">
        <v>-0.11022419999999999</v>
      </c>
      <c r="Z5145">
        <v>-3.3223409999999999E-3</v>
      </c>
      <c r="AA5145">
        <v>0.99390120000000004</v>
      </c>
      <c r="AB5145">
        <v>38</v>
      </c>
      <c r="AC5145">
        <v>-13.262699999999899</v>
      </c>
      <c r="AD5145">
        <v>-1.109385224872</v>
      </c>
      <c r="AE5145">
        <v>-1.7061000000000199</v>
      </c>
      <c r="AF5145">
        <v>-1.5094391111216701</v>
      </c>
      <c r="AG5145">
        <v>-1.109385224872</v>
      </c>
      <c r="AH5145">
        <v>13.1945175304604</v>
      </c>
      <c r="AI5145">
        <v>94.775083503078903</v>
      </c>
      <c r="AJ5145">
        <v>96.5262066358856</v>
      </c>
      <c r="AK5145">
        <v>13.3268313889302</v>
      </c>
      <c r="AL5145">
        <v>89.837943262726398</v>
      </c>
      <c r="AM5145">
        <v>88.784963167428103</v>
      </c>
      <c r="AN5145">
        <v>1.0000000462297001</v>
      </c>
    </row>
    <row r="5146" spans="1:40" x14ac:dyDescent="0.25">
      <c r="A5146" t="str">
        <f>"20190312160748639"</f>
        <v>20190312160748639</v>
      </c>
      <c r="B5146" t="str">
        <f>"1552378068631108"</f>
        <v>1552378068631108</v>
      </c>
      <c r="C5146" t="s">
        <v>40</v>
      </c>
      <c r="D5146">
        <v>6.1432539999999998</v>
      </c>
      <c r="E5146">
        <v>0.4492235</v>
      </c>
      <c r="F5146" t="s">
        <v>47</v>
      </c>
      <c r="G5146">
        <v>-351.37979999999999</v>
      </c>
      <c r="H5146" s="1">
        <v>-3.850731E-6</v>
      </c>
      <c r="I5146">
        <v>140.2567</v>
      </c>
      <c r="J5146">
        <v>-337.64150000000001</v>
      </c>
      <c r="K5146">
        <v>1.109421</v>
      </c>
      <c r="L5146">
        <v>142.0213</v>
      </c>
      <c r="M5146">
        <v>-0.99981799999999998</v>
      </c>
      <c r="N5146">
        <v>0</v>
      </c>
      <c r="O5146">
        <v>-1.412191E-2</v>
      </c>
      <c r="P5146">
        <v>-0.99992910000000002</v>
      </c>
      <c r="Q5146">
        <v>-9.6551829999999995E-3</v>
      </c>
      <c r="R5146">
        <v>6.9921059999999997E-3</v>
      </c>
      <c r="S5146">
        <v>-3.00061</v>
      </c>
      <c r="T5146">
        <v>-0.23566970000000001</v>
      </c>
      <c r="U5146">
        <v>-0.37602229999999998</v>
      </c>
      <c r="V5146">
        <v>2.111292E-2</v>
      </c>
      <c r="W5146">
        <v>3.1803230000000001E-3</v>
      </c>
      <c r="X5146">
        <v>0.99977199999999999</v>
      </c>
      <c r="Y5146">
        <v>-0.1100262</v>
      </c>
      <c r="Z5146">
        <v>-3.1944270000000001E-3</v>
      </c>
      <c r="AA5146">
        <v>0.99392349999999996</v>
      </c>
      <c r="AB5146">
        <v>38</v>
      </c>
      <c r="AC5146">
        <v>-13.738299999999899</v>
      </c>
      <c r="AD5146">
        <v>-1.1094248507310001</v>
      </c>
      <c r="AE5146">
        <v>-1.7645999999999999</v>
      </c>
      <c r="AF5146">
        <v>-1.5603865130352701</v>
      </c>
      <c r="AG5146">
        <v>-1.1094248507310001</v>
      </c>
      <c r="AH5146">
        <v>13.6741264663397</v>
      </c>
      <c r="AI5146">
        <v>94.608647928563002</v>
      </c>
      <c r="AJ5146">
        <v>96.509995787969999</v>
      </c>
      <c r="AK5146">
        <v>13.807511151070401</v>
      </c>
      <c r="AL5146">
        <v>89.817780600313597</v>
      </c>
      <c r="AM5146">
        <v>88.790222736115595</v>
      </c>
      <c r="AN5146">
        <v>0.99999996091465404</v>
      </c>
    </row>
    <row r="5147" spans="1:40" x14ac:dyDescent="0.25">
      <c r="A5147" t="str">
        <f>"20190312160748661"</f>
        <v>20190312160748661</v>
      </c>
      <c r="B5147" t="str">
        <f>"1552378068650629"</f>
        <v>1552378068650629</v>
      </c>
      <c r="C5147" t="s">
        <v>40</v>
      </c>
      <c r="D5147">
        <v>6.123767</v>
      </c>
      <c r="E5147">
        <v>0.44931650000000001</v>
      </c>
      <c r="F5147" t="s">
        <v>47</v>
      </c>
      <c r="G5147">
        <v>-352.01839999999999</v>
      </c>
      <c r="H5147" s="1">
        <v>-3.5663640000000001E-6</v>
      </c>
      <c r="I5147">
        <v>140.2176</v>
      </c>
      <c r="J5147">
        <v>-338.01060000000001</v>
      </c>
      <c r="K5147">
        <v>1.1094569999999999</v>
      </c>
      <c r="L5147">
        <v>142.01599999999999</v>
      </c>
      <c r="M5147">
        <v>-0.99981390000000003</v>
      </c>
      <c r="N5147">
        <v>0</v>
      </c>
      <c r="O5147">
        <v>-1.420681E-2</v>
      </c>
      <c r="P5147">
        <v>-0.99993189999999998</v>
      </c>
      <c r="Q5147">
        <v>-9.7451399999999994E-3</v>
      </c>
      <c r="R5147">
        <v>6.4556989999999996E-3</v>
      </c>
      <c r="S5147">
        <v>-3.00061</v>
      </c>
      <c r="T5147">
        <v>-0.23154830000000001</v>
      </c>
      <c r="U5147">
        <v>-0.3764343</v>
      </c>
      <c r="V5147">
        <v>2.066163E-2</v>
      </c>
      <c r="W5147">
        <v>3.3147910000000001E-3</v>
      </c>
      <c r="X5147">
        <v>0.99978100000000003</v>
      </c>
      <c r="Y5147">
        <v>-0.1100863</v>
      </c>
      <c r="Z5147">
        <v>-3.1344900000000002E-3</v>
      </c>
      <c r="AA5147">
        <v>0.9939171</v>
      </c>
      <c r="AB5147">
        <v>38</v>
      </c>
      <c r="AC5147">
        <v>-14.0077999999999</v>
      </c>
      <c r="AD5147">
        <v>-1.10946056636399</v>
      </c>
      <c r="AE5147">
        <v>-1.79839999999998</v>
      </c>
      <c r="AF5147">
        <v>-1.58938662416961</v>
      </c>
      <c r="AG5147">
        <v>-1.10946056636399</v>
      </c>
      <c r="AH5147">
        <v>13.9458721908118</v>
      </c>
      <c r="AI5147">
        <v>94.519438543816193</v>
      </c>
      <c r="AJ5147">
        <v>96.501846159906407</v>
      </c>
      <c r="AK5147">
        <v>14.0799291103281</v>
      </c>
      <c r="AL5147">
        <v>89.810076112106103</v>
      </c>
      <c r="AM5147">
        <v>88.816085015741805</v>
      </c>
      <c r="AN5147">
        <v>0.99999996937731395</v>
      </c>
    </row>
    <row r="5148" spans="1:40" x14ac:dyDescent="0.25">
      <c r="A5148" t="str">
        <f>"20190312160748682"</f>
        <v>20190312160748682</v>
      </c>
      <c r="B5148" t="str">
        <f>"1552378068671125"</f>
        <v>1552378068671125</v>
      </c>
      <c r="C5148" t="s">
        <v>40</v>
      </c>
      <c r="D5148">
        <v>6.1306830000000003</v>
      </c>
      <c r="E5148">
        <v>0.44944780000000001</v>
      </c>
      <c r="F5148" t="s">
        <v>47</v>
      </c>
      <c r="G5148">
        <v>-352.77629999999999</v>
      </c>
      <c r="H5148" s="1">
        <v>-3.2256110000000002E-6</v>
      </c>
      <c r="I5148">
        <v>140.15889999999999</v>
      </c>
      <c r="J5148">
        <v>-338.37939999999998</v>
      </c>
      <c r="K5148">
        <v>1.109488</v>
      </c>
      <c r="L5148">
        <v>142.01070000000001</v>
      </c>
      <c r="M5148">
        <v>-0.99980999999999998</v>
      </c>
      <c r="N5148">
        <v>0</v>
      </c>
      <c r="O5148">
        <v>-1.429012E-2</v>
      </c>
      <c r="P5148">
        <v>-0.99993220000000005</v>
      </c>
      <c r="Q5148">
        <v>-9.7523339999999997E-3</v>
      </c>
      <c r="R5148">
        <v>6.4047260000000003E-3</v>
      </c>
      <c r="S5148">
        <v>-3.0004580000000001</v>
      </c>
      <c r="T5148">
        <v>-0.2254475</v>
      </c>
      <c r="U5148">
        <v>-0.37736510000000001</v>
      </c>
      <c r="V5148">
        <v>2.0694000000000001E-2</v>
      </c>
      <c r="W5148">
        <v>3.517446E-3</v>
      </c>
      <c r="X5148">
        <v>0.99977959999999999</v>
      </c>
      <c r="Y5148">
        <v>-0.1103273</v>
      </c>
      <c r="Z5148">
        <v>-3.0550130000000001E-3</v>
      </c>
      <c r="AA5148">
        <v>0.99389059999999996</v>
      </c>
      <c r="AB5148">
        <v>38</v>
      </c>
      <c r="AC5148">
        <v>-14.3969</v>
      </c>
      <c r="AD5148">
        <v>-1.1094912256110001</v>
      </c>
      <c r="AE5148">
        <v>-1.8518000000000201</v>
      </c>
      <c r="AF5148">
        <v>-1.63629962690458</v>
      </c>
      <c r="AG5148">
        <v>-1.1094912256110001</v>
      </c>
      <c r="AH5148">
        <v>14.338126901972499</v>
      </c>
      <c r="AI5148">
        <v>94.396334754939403</v>
      </c>
      <c r="AJ5148">
        <v>96.510557797736297</v>
      </c>
      <c r="AK5148">
        <v>14.4737807882317</v>
      </c>
      <c r="AL5148">
        <v>89.798464760111699</v>
      </c>
      <c r="AM5148">
        <v>88.814229078314398</v>
      </c>
      <c r="AN5148">
        <v>0.99999993131925902</v>
      </c>
    </row>
    <row r="5149" spans="1:40" x14ac:dyDescent="0.25">
      <c r="A5149" t="str">
        <f>"20190312160748707"</f>
        <v>20190312160748707</v>
      </c>
      <c r="B5149" t="str">
        <f>"1552378068700405"</f>
        <v>1552378068700405</v>
      </c>
      <c r="C5149" t="s">
        <v>40</v>
      </c>
      <c r="D5149">
        <v>6.0772360000000001</v>
      </c>
      <c r="E5149">
        <v>0.44942019999999999</v>
      </c>
      <c r="F5149" t="s">
        <v>47</v>
      </c>
      <c r="G5149">
        <v>-353.53649999999999</v>
      </c>
      <c r="H5149" s="1">
        <v>-2.8857149999999999E-6</v>
      </c>
      <c r="I5149">
        <v>140.1071</v>
      </c>
      <c r="J5149">
        <v>-338.7903</v>
      </c>
      <c r="K5149">
        <v>1.109515</v>
      </c>
      <c r="L5149">
        <v>142.00470000000001</v>
      </c>
      <c r="M5149">
        <v>-0.99980570000000002</v>
      </c>
      <c r="N5149">
        <v>0</v>
      </c>
      <c r="O5149">
        <v>-1.438277E-2</v>
      </c>
      <c r="P5149">
        <v>-0.99993469999999995</v>
      </c>
      <c r="Q5149">
        <v>-9.4702320000000003E-3</v>
      </c>
      <c r="R5149">
        <v>6.4019009999999998E-3</v>
      </c>
      <c r="S5149">
        <v>-3.0004879999999998</v>
      </c>
      <c r="T5149">
        <v>-0.21963369999999999</v>
      </c>
      <c r="U5149">
        <v>-0.37681579999999998</v>
      </c>
      <c r="V5149">
        <v>2.0783630000000001E-2</v>
      </c>
      <c r="W5149">
        <v>4.0143069999999999E-3</v>
      </c>
      <c r="X5149">
        <v>0.99977590000000005</v>
      </c>
      <c r="Y5149">
        <v>-0.11006929999999999</v>
      </c>
      <c r="Z5149">
        <v>-2.9602999999999999E-3</v>
      </c>
      <c r="AA5149">
        <v>0.99391949999999996</v>
      </c>
      <c r="AB5149">
        <v>38</v>
      </c>
      <c r="AC5149">
        <v>-14.7461999999999</v>
      </c>
      <c r="AD5149">
        <v>-1.1095178857150001</v>
      </c>
      <c r="AE5149">
        <v>-1.8976000000000099</v>
      </c>
      <c r="AF5149">
        <v>-1.67595982342387</v>
      </c>
      <c r="AG5149">
        <v>-1.1095178857150001</v>
      </c>
      <c r="AH5149">
        <v>14.6901604508713</v>
      </c>
      <c r="AI5149">
        <v>94.291499398404596</v>
      </c>
      <c r="AJ5149">
        <v>96.508576230762202</v>
      </c>
      <c r="AK5149">
        <v>14.8270255055016</v>
      </c>
      <c r="AL5149">
        <v>89.769996524767294</v>
      </c>
      <c r="AM5149">
        <v>88.809090328682899</v>
      </c>
      <c r="AN5149">
        <v>0.99999996207873798</v>
      </c>
    </row>
    <row r="5150" spans="1:40" x14ac:dyDescent="0.25">
      <c r="A5150" t="str">
        <f>"20190312160748728"</f>
        <v>20190312160748728</v>
      </c>
      <c r="B5150" t="str">
        <f>"1552378068720900"</f>
        <v>1552378068720900</v>
      </c>
      <c r="C5150" t="s">
        <v>40</v>
      </c>
      <c r="D5150">
        <v>6.0637249999999998</v>
      </c>
      <c r="E5150">
        <v>0.44929550000000001</v>
      </c>
      <c r="F5150" t="s">
        <v>47</v>
      </c>
      <c r="G5150">
        <v>-354.32819999999998</v>
      </c>
      <c r="H5150" s="1">
        <v>-2.530938E-6</v>
      </c>
      <c r="I5150">
        <v>140.05009999999999</v>
      </c>
      <c r="J5150">
        <v>-339.15679999999998</v>
      </c>
      <c r="K5150">
        <v>1.1095299999999999</v>
      </c>
      <c r="L5150">
        <v>141.99940000000001</v>
      </c>
      <c r="M5150">
        <v>-0.99980219999999997</v>
      </c>
      <c r="N5150">
        <v>0</v>
      </c>
      <c r="O5150">
        <v>-1.44662E-2</v>
      </c>
      <c r="P5150">
        <v>-0.99993270000000001</v>
      </c>
      <c r="Q5150">
        <v>-9.6515920000000005E-3</v>
      </c>
      <c r="R5150">
        <v>6.4592410000000001E-3</v>
      </c>
      <c r="S5150">
        <v>-3.0005799999999998</v>
      </c>
      <c r="T5150">
        <v>-0.2142637</v>
      </c>
      <c r="U5150">
        <v>-0.37744139999999998</v>
      </c>
      <c r="V5150">
        <v>2.0924390000000001E-2</v>
      </c>
      <c r="W5150">
        <v>4.006201E-3</v>
      </c>
      <c r="X5150">
        <v>0.99977300000000002</v>
      </c>
      <c r="Y5150">
        <v>-0.11019859999999999</v>
      </c>
      <c r="Z5150">
        <v>-2.8866489999999998E-3</v>
      </c>
      <c r="AA5150">
        <v>0.99390540000000005</v>
      </c>
      <c r="AB5150">
        <v>38</v>
      </c>
      <c r="AC5150">
        <v>-15.1714</v>
      </c>
      <c r="AD5150">
        <v>-1.109532530938</v>
      </c>
      <c r="AE5150">
        <v>-1.94930000000002</v>
      </c>
      <c r="AF5150">
        <v>-1.7205501873920901</v>
      </c>
      <c r="AG5150">
        <v>-1.109532530938</v>
      </c>
      <c r="AH5150">
        <v>15.1184664323491</v>
      </c>
      <c r="AI5150">
        <v>94.1705434360655</v>
      </c>
      <c r="AJ5150">
        <v>96.492586726516706</v>
      </c>
      <c r="AK5150">
        <v>15.256453803247</v>
      </c>
      <c r="AL5150">
        <v>89.770460968924795</v>
      </c>
      <c r="AM5150">
        <v>88.801023598413195</v>
      </c>
      <c r="AN5150">
        <v>0.999999965636161</v>
      </c>
    </row>
    <row r="5151" spans="1:40" x14ac:dyDescent="0.25">
      <c r="A5151" t="str">
        <f>"20190312160748750"</f>
        <v>20190312160748750</v>
      </c>
      <c r="B5151" t="str">
        <f>"1552378068740798"</f>
        <v>1552378068740798</v>
      </c>
      <c r="C5151" t="s">
        <v>40</v>
      </c>
      <c r="D5151">
        <v>6.0732790000000003</v>
      </c>
      <c r="E5151">
        <v>0.44914569999999998</v>
      </c>
      <c r="F5151" t="s">
        <v>47</v>
      </c>
      <c r="G5151">
        <v>-354.85599999999999</v>
      </c>
      <c r="H5151" s="1">
        <v>-2.2966729999999999E-6</v>
      </c>
      <c r="I5151">
        <v>140.02070000000001</v>
      </c>
      <c r="J5151">
        <v>-339.52609999999999</v>
      </c>
      <c r="K5151">
        <v>1.109534</v>
      </c>
      <c r="L5151">
        <v>141.994</v>
      </c>
      <c r="M5151">
        <v>-0.99979890000000005</v>
      </c>
      <c r="N5151">
        <v>0</v>
      </c>
      <c r="O5151">
        <v>-1.455097E-2</v>
      </c>
      <c r="P5151">
        <v>-0.99993290000000001</v>
      </c>
      <c r="Q5151">
        <v>-9.7966860000000006E-3</v>
      </c>
      <c r="R5151">
        <v>6.1950310000000001E-3</v>
      </c>
      <c r="S5151">
        <v>-3.00061</v>
      </c>
      <c r="T5151">
        <v>-0.21206639999999999</v>
      </c>
      <c r="U5151">
        <v>-0.3781738</v>
      </c>
      <c r="V5151">
        <v>2.074492E-2</v>
      </c>
      <c r="W5151">
        <v>4.0171679999999998E-3</v>
      </c>
      <c r="X5151">
        <v>0.99977669999999996</v>
      </c>
      <c r="Y5151">
        <v>-0.1103566</v>
      </c>
      <c r="Z5151">
        <v>-2.8566450000000001E-3</v>
      </c>
      <c r="AA5151">
        <v>0.99388799999999999</v>
      </c>
      <c r="AB5151">
        <v>38</v>
      </c>
      <c r="AC5151">
        <v>-15.3299</v>
      </c>
      <c r="AD5151">
        <v>-1.109536296673</v>
      </c>
      <c r="AE5151">
        <v>-1.9732999999999901</v>
      </c>
      <c r="AF5151">
        <v>-1.74103319528366</v>
      </c>
      <c r="AG5151">
        <v>-1.109536296673</v>
      </c>
      <c r="AH5151">
        <v>15.2782626708879</v>
      </c>
      <c r="AI5151">
        <v>94.127019426009099</v>
      </c>
      <c r="AJ5151">
        <v>96.501092278006993</v>
      </c>
      <c r="AK5151">
        <v>15.4171196279123</v>
      </c>
      <c r="AL5151">
        <v>89.769832601946106</v>
      </c>
      <c r="AM5151">
        <v>88.811308739850006</v>
      </c>
      <c r="AN5151">
        <v>0.99999996960371695</v>
      </c>
    </row>
    <row r="5152" spans="1:40" x14ac:dyDescent="0.25">
      <c r="A5152" t="str">
        <f>"20190312160748772"</f>
        <v>20190312160748772</v>
      </c>
      <c r="B5152" t="str">
        <f>"1552378068760316"</f>
        <v>1552378068760316</v>
      </c>
      <c r="C5152" t="s">
        <v>40</v>
      </c>
      <c r="D5152">
        <v>6.0490750000000002</v>
      </c>
      <c r="E5152">
        <v>0.44897490000000001</v>
      </c>
      <c r="F5152" t="s">
        <v>47</v>
      </c>
      <c r="G5152">
        <v>-355.4384</v>
      </c>
      <c r="H5152" s="1">
        <v>-2.0353429999999999E-6</v>
      </c>
      <c r="I5152">
        <v>139.9776</v>
      </c>
      <c r="J5152">
        <v>-339.89980000000003</v>
      </c>
      <c r="K5152">
        <v>1.1095440000000001</v>
      </c>
      <c r="L5152">
        <v>141.98840000000001</v>
      </c>
      <c r="M5152">
        <v>-0.99979560000000001</v>
      </c>
      <c r="N5152">
        <v>0</v>
      </c>
      <c r="O5152">
        <v>-1.4637529999999999E-2</v>
      </c>
      <c r="P5152">
        <v>-0.99992570000000003</v>
      </c>
      <c r="Q5152">
        <v>-1.039469E-2</v>
      </c>
      <c r="R5152">
        <v>6.3898849999999997E-3</v>
      </c>
      <c r="S5152">
        <v>-3.0005489999999999</v>
      </c>
      <c r="T5152">
        <v>-0.20922299999999999</v>
      </c>
      <c r="U5152">
        <v>-0.38020320000000002</v>
      </c>
      <c r="V5152">
        <v>2.1026280000000001E-2</v>
      </c>
      <c r="W5152">
        <v>3.5603610000000002E-3</v>
      </c>
      <c r="X5152">
        <v>0.99977260000000001</v>
      </c>
      <c r="Y5152">
        <v>-0.11093980000000001</v>
      </c>
      <c r="Z5152">
        <v>-2.8325949999999998E-3</v>
      </c>
      <c r="AA5152">
        <v>0.99382309999999996</v>
      </c>
      <c r="AB5152">
        <v>38</v>
      </c>
      <c r="AC5152">
        <v>-15.538599999999899</v>
      </c>
      <c r="AD5152">
        <v>-1.109546035343</v>
      </c>
      <c r="AE5152">
        <v>-2.0108000000000099</v>
      </c>
      <c r="AF5152">
        <v>-1.7742183208864399</v>
      </c>
      <c r="AG5152">
        <v>-1.109546035343</v>
      </c>
      <c r="AH5152">
        <v>15.4886981102667</v>
      </c>
      <c r="AI5152">
        <v>94.070901641271504</v>
      </c>
      <c r="AJ5152">
        <v>96.534704543187402</v>
      </c>
      <c r="AK5152">
        <v>15.6294181659361</v>
      </c>
      <c r="AL5152">
        <v>89.796005913475895</v>
      </c>
      <c r="AM5152">
        <v>88.795186493128597</v>
      </c>
      <c r="AN5152">
        <v>1.0000000161659199</v>
      </c>
    </row>
    <row r="5153" spans="1:40" x14ac:dyDescent="0.25">
      <c r="A5153" t="str">
        <f>"20190312160748796"</f>
        <v>20190312160748796</v>
      </c>
      <c r="B5153" t="str">
        <f>"1552378068790572"</f>
        <v>1552378068790572</v>
      </c>
      <c r="C5153" t="s">
        <v>40</v>
      </c>
      <c r="D5153">
        <v>6.4465070000000004</v>
      </c>
      <c r="E5153">
        <v>0.44877899999999998</v>
      </c>
      <c r="F5153" t="s">
        <v>47</v>
      </c>
      <c r="G5153">
        <v>-356.06400000000002</v>
      </c>
      <c r="H5153" s="1">
        <v>-1.755371E-6</v>
      </c>
      <c r="I5153">
        <v>139.934</v>
      </c>
      <c r="J5153">
        <v>-340.29500000000002</v>
      </c>
      <c r="K5153">
        <v>1.109551</v>
      </c>
      <c r="L5153">
        <v>141.98259999999999</v>
      </c>
      <c r="M5153">
        <v>-0.99979229999999997</v>
      </c>
      <c r="N5153">
        <v>0</v>
      </c>
      <c r="O5153">
        <v>-1.472916E-2</v>
      </c>
      <c r="P5153">
        <v>-0.99992230000000004</v>
      </c>
      <c r="Q5153">
        <v>-1.058019E-2</v>
      </c>
      <c r="R5153">
        <v>6.5907400000000003E-3</v>
      </c>
      <c r="S5153">
        <v>-3.0005190000000002</v>
      </c>
      <c r="T5153">
        <v>-0.20596239999999999</v>
      </c>
      <c r="U5153">
        <v>-0.38134770000000001</v>
      </c>
      <c r="V5153">
        <v>2.1318739999999999E-2</v>
      </c>
      <c r="W5153">
        <v>3.5055249999999998E-3</v>
      </c>
      <c r="X5153">
        <v>0.99976659999999995</v>
      </c>
      <c r="Y5153">
        <v>-0.1112296</v>
      </c>
      <c r="Z5153">
        <v>-2.7921560000000001E-3</v>
      </c>
      <c r="AA5153">
        <v>0.99379079999999997</v>
      </c>
      <c r="AB5153">
        <v>38</v>
      </c>
      <c r="AC5153">
        <v>-15.769</v>
      </c>
      <c r="AD5153">
        <v>-1.1095527553709901</v>
      </c>
      <c r="AE5153">
        <v>-2.0485999999999902</v>
      </c>
      <c r="AF5153">
        <v>-1.8072912744198</v>
      </c>
      <c r="AG5153">
        <v>-1.1095527553709901</v>
      </c>
      <c r="AH5153">
        <v>15.720924669791</v>
      </c>
      <c r="AI5153">
        <v>94.010802593924694</v>
      </c>
      <c r="AJ5153">
        <v>96.557984019667401</v>
      </c>
      <c r="AK5153">
        <v>15.863318742961299</v>
      </c>
      <c r="AL5153">
        <v>89.799147804351193</v>
      </c>
      <c r="AM5153">
        <v>88.778426142717393</v>
      </c>
      <c r="AN5153">
        <v>1.0000000159281299</v>
      </c>
    </row>
    <row r="5154" spans="1:40" x14ac:dyDescent="0.25">
      <c r="A5154" t="str">
        <f>"20190312160748828"</f>
        <v>20190312160748828</v>
      </c>
      <c r="B5154" t="str">
        <f>"1552378068820827"</f>
        <v>1552378068820827</v>
      </c>
      <c r="C5154" t="s">
        <v>40</v>
      </c>
      <c r="D5154">
        <v>6.0190250000000001</v>
      </c>
      <c r="E5154">
        <v>0.44864599999999999</v>
      </c>
      <c r="F5154" t="s">
        <v>47</v>
      </c>
      <c r="G5154">
        <v>-356.73239999999998</v>
      </c>
      <c r="H5154" s="1">
        <v>-1.4562970000000001E-6</v>
      </c>
      <c r="I5154">
        <v>139.88759999999999</v>
      </c>
      <c r="J5154">
        <v>-340.85969999999998</v>
      </c>
      <c r="K5154">
        <v>1.1095619999999999</v>
      </c>
      <c r="L5154">
        <v>141.97409999999999</v>
      </c>
      <c r="M5154">
        <v>-0.99978820000000002</v>
      </c>
      <c r="N5154">
        <v>0</v>
      </c>
      <c r="O5154">
        <v>-1.48608E-2</v>
      </c>
      <c r="P5154">
        <v>-0.99992049999999999</v>
      </c>
      <c r="Q5154">
        <v>-1.086165E-2</v>
      </c>
      <c r="R5154">
        <v>6.4303119999999997E-3</v>
      </c>
      <c r="S5154">
        <v>-3.0006409999999999</v>
      </c>
      <c r="T5154">
        <v>-0.20254810000000001</v>
      </c>
      <c r="U5154">
        <v>-0.38241579999999997</v>
      </c>
      <c r="V5154">
        <v>2.129021E-2</v>
      </c>
      <c r="W5154">
        <v>3.3805950000000001E-3</v>
      </c>
      <c r="X5154">
        <v>0.99976759999999998</v>
      </c>
      <c r="Y5154">
        <v>-0.1114489</v>
      </c>
      <c r="Z5154">
        <v>-2.744331E-3</v>
      </c>
      <c r="AA5154">
        <v>0.99376640000000005</v>
      </c>
      <c r="AB5154">
        <v>38</v>
      </c>
      <c r="AC5154">
        <v>-15.8727</v>
      </c>
      <c r="AD5154">
        <v>-1.109563456297</v>
      </c>
      <c r="AE5154">
        <v>-2.0865</v>
      </c>
      <c r="AF5154">
        <v>-1.8415187864719</v>
      </c>
      <c r="AG5154">
        <v>-1.109563456297</v>
      </c>
      <c r="AH5154">
        <v>15.825936383676</v>
      </c>
      <c r="AI5154">
        <v>93.983679024939903</v>
      </c>
      <c r="AJ5154">
        <v>96.637135499093006</v>
      </c>
      <c r="AK5154">
        <v>15.9713050476358</v>
      </c>
      <c r="AL5154">
        <v>89.806305801006999</v>
      </c>
      <c r="AM5154">
        <v>88.780061650659107</v>
      </c>
      <c r="AN5154">
        <v>0.99999997773707805</v>
      </c>
    </row>
    <row r="5155" spans="1:40" x14ac:dyDescent="0.25">
      <c r="A5155" t="str">
        <f>"20190312160748850"</f>
        <v>20190312160748850</v>
      </c>
      <c r="B5155" t="str">
        <f>"1552378068840348"</f>
        <v>1552378068840348</v>
      </c>
      <c r="C5155" t="s">
        <v>40</v>
      </c>
      <c r="D5155">
        <v>6.0638899999999998</v>
      </c>
      <c r="E5155">
        <v>0.4485596</v>
      </c>
      <c r="F5155" t="s">
        <v>47</v>
      </c>
      <c r="G5155">
        <v>-357.57960000000003</v>
      </c>
      <c r="H5155" s="1">
        <v>-1.0784820000000001E-6</v>
      </c>
      <c r="I5155">
        <v>139.83359999999999</v>
      </c>
      <c r="J5155">
        <v>-341.22570000000002</v>
      </c>
      <c r="K5155">
        <v>1.109569</v>
      </c>
      <c r="L5155">
        <v>141.96860000000001</v>
      </c>
      <c r="M5155">
        <v>-0.99978560000000005</v>
      </c>
      <c r="N5155">
        <v>0</v>
      </c>
      <c r="O5155">
        <v>-1.4946050000000001E-2</v>
      </c>
      <c r="P5155">
        <v>-0.99991810000000003</v>
      </c>
      <c r="Q5155">
        <v>-1.12164E-2</v>
      </c>
      <c r="R5155">
        <v>6.1659369999999998E-3</v>
      </c>
      <c r="S5155">
        <v>-3.0005489999999999</v>
      </c>
      <c r="T5155">
        <v>-0.19912279999999999</v>
      </c>
      <c r="U5155">
        <v>-0.38412479999999999</v>
      </c>
      <c r="V5155">
        <v>2.1111129999999999E-2</v>
      </c>
      <c r="W5155">
        <v>3.11166E-3</v>
      </c>
      <c r="X5155">
        <v>0.99977229999999995</v>
      </c>
      <c r="Y5155">
        <v>-0.1119313</v>
      </c>
      <c r="Z5155">
        <v>-2.7083039999999999E-3</v>
      </c>
      <c r="AA5155">
        <v>0.99371220000000005</v>
      </c>
      <c r="AB5155">
        <v>38</v>
      </c>
      <c r="AC5155">
        <v>-16.353899999999999</v>
      </c>
      <c r="AD5155">
        <v>-1.109570078482</v>
      </c>
      <c r="AE5155">
        <v>-2.13500000000001</v>
      </c>
      <c r="AF5155">
        <v>-1.8817929189398099</v>
      </c>
      <c r="AG5155">
        <v>-1.109570078482</v>
      </c>
      <c r="AH5155">
        <v>16.310164032766199</v>
      </c>
      <c r="AI5155">
        <v>93.866230030090506</v>
      </c>
      <c r="AJ5155">
        <v>96.581427817262394</v>
      </c>
      <c r="AK5155">
        <v>16.455811773491298</v>
      </c>
      <c r="AL5155">
        <v>89.821714728269399</v>
      </c>
      <c r="AM5155">
        <v>88.790325636103503</v>
      </c>
      <c r="AN5155">
        <v>1.0000000070425601</v>
      </c>
    </row>
    <row r="5156" spans="1:40" x14ac:dyDescent="0.25">
      <c r="A5156" t="str">
        <f>"20190312160748873"</f>
        <v>20190312160748873</v>
      </c>
      <c r="B5156" t="str">
        <f>"1552378068860844"</f>
        <v>1552378068860844</v>
      </c>
      <c r="C5156" t="s">
        <v>40</v>
      </c>
      <c r="D5156">
        <v>6.032991</v>
      </c>
      <c r="E5156">
        <v>0.44847110000000001</v>
      </c>
      <c r="F5156" t="s">
        <v>47</v>
      </c>
      <c r="G5156">
        <v>-357.86599999999999</v>
      </c>
      <c r="H5156" s="1">
        <v>-9.5468149999999996E-7</v>
      </c>
      <c r="I5156">
        <v>139.83009999999999</v>
      </c>
      <c r="J5156">
        <v>-341.60879999999997</v>
      </c>
      <c r="K5156">
        <v>1.109575</v>
      </c>
      <c r="L5156">
        <v>141.96279999999999</v>
      </c>
      <c r="M5156">
        <v>-0.99978319999999998</v>
      </c>
      <c r="N5156">
        <v>0</v>
      </c>
      <c r="O5156">
        <v>-1.503517E-2</v>
      </c>
      <c r="P5156">
        <v>-0.99991640000000004</v>
      </c>
      <c r="Q5156">
        <v>-1.118968E-2</v>
      </c>
      <c r="R5156">
        <v>6.4761330000000002E-3</v>
      </c>
      <c r="S5156">
        <v>-3.0003660000000001</v>
      </c>
      <c r="T5156">
        <v>-0.20006409999999999</v>
      </c>
      <c r="U5156">
        <v>-0.38557429999999998</v>
      </c>
      <c r="V5156">
        <v>2.1510350000000001E-2</v>
      </c>
      <c r="W5156">
        <v>3.216563E-3</v>
      </c>
      <c r="X5156">
        <v>0.99976339999999997</v>
      </c>
      <c r="Y5156">
        <v>-0.11232</v>
      </c>
      <c r="Z5156">
        <v>-2.7281430000000001E-3</v>
      </c>
      <c r="AA5156">
        <v>0.99366829999999995</v>
      </c>
      <c r="AB5156">
        <v>38</v>
      </c>
      <c r="AC5156">
        <v>-16.257200000000001</v>
      </c>
      <c r="AD5156">
        <v>-1.1095759546815001</v>
      </c>
      <c r="AE5156">
        <v>-2.1326999999999998</v>
      </c>
      <c r="AF5156">
        <v>-1.87939716972202</v>
      </c>
      <c r="AG5156">
        <v>-1.1095759546815001</v>
      </c>
      <c r="AH5156">
        <v>16.213183560545399</v>
      </c>
      <c r="AI5156">
        <v>93.889065986646202</v>
      </c>
      <c r="AJ5156">
        <v>96.612092767161698</v>
      </c>
      <c r="AK5156">
        <v>16.3594197234715</v>
      </c>
      <c r="AL5156">
        <v>89.815704188312097</v>
      </c>
      <c r="AM5156">
        <v>88.767446227336904</v>
      </c>
      <c r="AN5156">
        <v>0.99999994870710596</v>
      </c>
    </row>
    <row r="5157" spans="1:40" x14ac:dyDescent="0.25">
      <c r="A5157" t="str">
        <f>"20190312160748895"</f>
        <v>20190312160748895</v>
      </c>
      <c r="B5157" t="str">
        <f>"1552378068891101"</f>
        <v>1552378068891101</v>
      </c>
      <c r="C5157" t="s">
        <v>40</v>
      </c>
      <c r="D5157">
        <v>6.0202419999999996</v>
      </c>
      <c r="E5157">
        <v>0.44831749999999998</v>
      </c>
      <c r="F5157" t="s">
        <v>47</v>
      </c>
      <c r="G5157">
        <v>-358.36700000000002</v>
      </c>
      <c r="H5157" s="1">
        <v>-7.3429069999999899E-7</v>
      </c>
      <c r="I5157">
        <v>139.80959999999999</v>
      </c>
      <c r="J5157">
        <v>-341.9941</v>
      </c>
      <c r="K5157">
        <v>1.1095790000000001</v>
      </c>
      <c r="L5157">
        <v>141.95689999999999</v>
      </c>
      <c r="M5157">
        <v>-0.99978100000000003</v>
      </c>
      <c r="N5157">
        <v>0</v>
      </c>
      <c r="O5157">
        <v>-1.5125059999999999E-2</v>
      </c>
      <c r="P5157">
        <v>-0.99991759999999996</v>
      </c>
      <c r="Q5157">
        <v>-1.1124469999999999E-2</v>
      </c>
      <c r="R5157">
        <v>6.4330890000000003E-3</v>
      </c>
      <c r="S5157">
        <v>-3.0005190000000002</v>
      </c>
      <c r="T5157">
        <v>-0.19866700000000001</v>
      </c>
      <c r="U5157">
        <v>-0.3855133</v>
      </c>
      <c r="V5157">
        <v>2.1557130000000001E-2</v>
      </c>
      <c r="W5157">
        <v>3.3486470000000002E-3</v>
      </c>
      <c r="X5157">
        <v>0.99976200000000004</v>
      </c>
      <c r="Y5157">
        <v>-0.1122078</v>
      </c>
      <c r="Z5157">
        <v>-2.6993859999999998E-3</v>
      </c>
      <c r="AA5157">
        <v>0.99368109999999998</v>
      </c>
      <c r="AB5157">
        <v>38</v>
      </c>
      <c r="AC5157">
        <v>-16.372899999999898</v>
      </c>
      <c r="AD5157">
        <v>-1.1095797342906999</v>
      </c>
      <c r="AE5157">
        <v>-2.1473</v>
      </c>
      <c r="AF5157">
        <v>-1.8908500982701</v>
      </c>
      <c r="AG5157">
        <v>-1.1095797342906999</v>
      </c>
      <c r="AH5157">
        <v>16.3297789215294</v>
      </c>
      <c r="AI5157">
        <v>93.861450885393495</v>
      </c>
      <c r="AJ5157">
        <v>96.604951799106104</v>
      </c>
      <c r="AK5157">
        <v>16.4762908722474</v>
      </c>
      <c r="AL5157">
        <v>89.8081362993195</v>
      </c>
      <c r="AM5157">
        <v>88.764764810425604</v>
      </c>
      <c r="AN5157">
        <v>0.99999998996728301</v>
      </c>
    </row>
    <row r="5158" spans="1:40" x14ac:dyDescent="0.25">
      <c r="A5158" t="str">
        <f>"20190312160748918"</f>
        <v>20190312160748918</v>
      </c>
      <c r="B5158" t="str">
        <f>"1552378068910622"</f>
        <v>1552378068910622</v>
      </c>
      <c r="C5158" t="s">
        <v>40</v>
      </c>
      <c r="D5158">
        <v>6.0097639999999997</v>
      </c>
      <c r="E5158">
        <v>0.4481927</v>
      </c>
      <c r="F5158" t="s">
        <v>47</v>
      </c>
      <c r="G5158">
        <v>-359.00630000000001</v>
      </c>
      <c r="H5158" s="1">
        <v>-4.4752659999999999E-7</v>
      </c>
      <c r="I5158">
        <v>139.76259999999999</v>
      </c>
      <c r="J5158">
        <v>-342.36810000000003</v>
      </c>
      <c r="K5158">
        <v>1.10958</v>
      </c>
      <c r="L5158">
        <v>141.9512</v>
      </c>
      <c r="M5158">
        <v>-0.99977890000000003</v>
      </c>
      <c r="N5158">
        <v>0</v>
      </c>
      <c r="O5158">
        <v>-1.5212E-2</v>
      </c>
      <c r="P5158">
        <v>-0.99991660000000004</v>
      </c>
      <c r="Q5158">
        <v>-1.1237860000000001E-2</v>
      </c>
      <c r="R5158">
        <v>6.3754279999999998E-3</v>
      </c>
      <c r="S5158">
        <v>-3.0005489999999999</v>
      </c>
      <c r="T5158">
        <v>-0.1957033</v>
      </c>
      <c r="U5158">
        <v>-0.38700869999999998</v>
      </c>
      <c r="V5158">
        <v>2.158649E-2</v>
      </c>
      <c r="W5158">
        <v>3.290949E-3</v>
      </c>
      <c r="X5158">
        <v>0.99976160000000003</v>
      </c>
      <c r="Y5158">
        <v>-0.1126128</v>
      </c>
      <c r="Z5158">
        <v>-2.6665909999999998E-3</v>
      </c>
      <c r="AA5158">
        <v>0.99363539999999995</v>
      </c>
      <c r="AB5158">
        <v>38</v>
      </c>
      <c r="AC5158">
        <v>-16.638199999999902</v>
      </c>
      <c r="AD5158">
        <v>-1.1095804475266</v>
      </c>
      <c r="AE5158">
        <v>-2.1886000000000001</v>
      </c>
      <c r="AF5158">
        <v>-1.9267962751589001</v>
      </c>
      <c r="AG5158">
        <v>-1.1095804475266</v>
      </c>
      <c r="AH5158">
        <v>16.597013021182001</v>
      </c>
      <c r="AI5158">
        <v>93.799331757911503</v>
      </c>
      <c r="AJ5158">
        <v>96.621993020739694</v>
      </c>
      <c r="AK5158">
        <v>16.745284526719299</v>
      </c>
      <c r="AL5158">
        <v>89.811442177356795</v>
      </c>
      <c r="AM5158">
        <v>88.763082494144797</v>
      </c>
      <c r="AN5158">
        <v>1.00000003186519</v>
      </c>
    </row>
    <row r="5159" spans="1:40" x14ac:dyDescent="0.25">
      <c r="A5159" t="str">
        <f>"20190312160748940"</f>
        <v>20190312160748940</v>
      </c>
      <c r="B5159" t="str">
        <f>"1552378068931116"</f>
        <v>1552378068931116</v>
      </c>
      <c r="C5159" t="s">
        <v>40</v>
      </c>
      <c r="D5159">
        <v>6.0148109999999999</v>
      </c>
      <c r="E5159">
        <v>0.4480461</v>
      </c>
      <c r="F5159" t="s">
        <v>47</v>
      </c>
      <c r="G5159">
        <v>-359.50259999999997</v>
      </c>
      <c r="H5159" s="1">
        <v>-2.2699730000000001E-7</v>
      </c>
      <c r="I5159">
        <v>139.73390000000001</v>
      </c>
      <c r="J5159">
        <v>-342.74459999999999</v>
      </c>
      <c r="K5159">
        <v>1.1095820000000001</v>
      </c>
      <c r="L5159">
        <v>141.9453</v>
      </c>
      <c r="M5159">
        <v>-0.99977669999999996</v>
      </c>
      <c r="N5159">
        <v>0</v>
      </c>
      <c r="O5159">
        <v>-1.529984E-2</v>
      </c>
      <c r="P5159">
        <v>-0.99991669999999999</v>
      </c>
      <c r="Q5159">
        <v>-1.131792E-2</v>
      </c>
      <c r="R5159">
        <v>6.1923239999999999E-3</v>
      </c>
      <c r="S5159">
        <v>-3.0005489999999999</v>
      </c>
      <c r="T5159">
        <v>-0.1943069</v>
      </c>
      <c r="U5159">
        <v>-0.38825989999999999</v>
      </c>
      <c r="V5159">
        <v>2.1491260000000002E-2</v>
      </c>
      <c r="W5159">
        <v>3.259002E-3</v>
      </c>
      <c r="X5159">
        <v>0.99976370000000003</v>
      </c>
      <c r="Y5159">
        <v>-0.11293540000000001</v>
      </c>
      <c r="Z5159">
        <v>-2.6522690000000001E-3</v>
      </c>
      <c r="AA5159">
        <v>0.9935988</v>
      </c>
      <c r="AB5159">
        <v>38</v>
      </c>
      <c r="AC5159">
        <v>-16.7579999999999</v>
      </c>
      <c r="AD5159">
        <v>-1.1095822269972999</v>
      </c>
      <c r="AE5159">
        <v>-2.21139999999999</v>
      </c>
      <c r="AF5159">
        <v>-1.9463323845612099</v>
      </c>
      <c r="AG5159">
        <v>-1.1095822269972999</v>
      </c>
      <c r="AH5159">
        <v>16.717838473092101</v>
      </c>
      <c r="AI5159">
        <v>93.771816128874605</v>
      </c>
      <c r="AJ5159">
        <v>96.640622239370103</v>
      </c>
      <c r="AK5159">
        <v>16.867291000100099</v>
      </c>
      <c r="AL5159">
        <v>89.813272604875493</v>
      </c>
      <c r="AM5159">
        <v>88.768540126266998</v>
      </c>
      <c r="AN5159">
        <v>0.99999997559405596</v>
      </c>
    </row>
    <row r="5160" spans="1:40" x14ac:dyDescent="0.25">
      <c r="A5160" t="str">
        <f>"20190312160748961"</f>
        <v>20190312160748961</v>
      </c>
      <c r="B5160" t="str">
        <f>"1552378068951141"</f>
        <v>1552378068951141</v>
      </c>
      <c r="C5160" t="s">
        <v>40</v>
      </c>
      <c r="D5160">
        <v>6.0219060000000004</v>
      </c>
      <c r="E5160">
        <v>0.44794260000000002</v>
      </c>
      <c r="F5160" t="s">
        <v>47</v>
      </c>
      <c r="G5160">
        <v>-360.01650000000001</v>
      </c>
      <c r="H5160" s="1">
        <v>-4.2852829999999996E-6</v>
      </c>
      <c r="I5160">
        <v>139.7002</v>
      </c>
      <c r="J5160">
        <v>-343.10309999999998</v>
      </c>
      <c r="K5160">
        <v>1.1095839999999999</v>
      </c>
      <c r="L5160">
        <v>141.93979999999999</v>
      </c>
      <c r="M5160">
        <v>-0.99977490000000002</v>
      </c>
      <c r="N5160">
        <v>0</v>
      </c>
      <c r="O5160">
        <v>-1.5383559999999999E-2</v>
      </c>
      <c r="P5160">
        <v>-0.99991750000000001</v>
      </c>
      <c r="Q5160">
        <v>-1.1399960000000001E-2</v>
      </c>
      <c r="R5160">
        <v>5.9317509999999999E-3</v>
      </c>
      <c r="S5160">
        <v>-3.0005489999999999</v>
      </c>
      <c r="T5160">
        <v>-0.19276199999999999</v>
      </c>
      <c r="U5160">
        <v>-0.39001459999999999</v>
      </c>
      <c r="V5160">
        <v>2.1314380000000001E-2</v>
      </c>
      <c r="W5160">
        <v>3.216563E-3</v>
      </c>
      <c r="X5160">
        <v>0.99976770000000004</v>
      </c>
      <c r="Y5160">
        <v>-0.113426</v>
      </c>
      <c r="Z5160">
        <v>-2.641455E-3</v>
      </c>
      <c r="AA5160">
        <v>0.99354290000000001</v>
      </c>
      <c r="AB5160">
        <v>38</v>
      </c>
      <c r="AC5160">
        <v>-16.913399999999999</v>
      </c>
      <c r="AD5160">
        <v>-1.1095882852829999</v>
      </c>
      <c r="AE5160">
        <v>-2.23959999999999</v>
      </c>
      <c r="AF5160">
        <v>-1.97078295362876</v>
      </c>
      <c r="AG5160">
        <v>-1.1095882852829999</v>
      </c>
      <c r="AH5160">
        <v>16.8744802903127</v>
      </c>
      <c r="AI5160">
        <v>93.736765407853198</v>
      </c>
      <c r="AJ5160">
        <v>96.661438073694896</v>
      </c>
      <c r="AK5160">
        <v>17.025370970445898</v>
      </c>
      <c r="AL5160">
        <v>89.815704207259699</v>
      </c>
      <c r="AM5160">
        <v>88.778677240456602</v>
      </c>
      <c r="AN5160">
        <v>1.0000000515178</v>
      </c>
    </row>
    <row r="5161" spans="1:40" x14ac:dyDescent="0.25">
      <c r="A5161" t="str">
        <f>"20190312160748985"</f>
        <v>20190312160748985</v>
      </c>
      <c r="B5161" t="str">
        <f>"1552378068980422"</f>
        <v>1552378068980422</v>
      </c>
      <c r="C5161" t="s">
        <v>40</v>
      </c>
      <c r="D5161">
        <v>5.8586749999999999</v>
      </c>
      <c r="E5161">
        <v>0.44775379999999998</v>
      </c>
      <c r="F5161" t="s">
        <v>47</v>
      </c>
      <c r="G5161">
        <v>-360.45830000000001</v>
      </c>
      <c r="H5161" s="1">
        <v>-4.0910670000000002E-6</v>
      </c>
      <c r="I5161">
        <v>139.67420000000001</v>
      </c>
      <c r="J5161">
        <v>-343.4846</v>
      </c>
      <c r="K5161">
        <v>1.1095839999999999</v>
      </c>
      <c r="L5161">
        <v>141.93379999999999</v>
      </c>
      <c r="M5161">
        <v>-0.99977300000000002</v>
      </c>
      <c r="N5161">
        <v>0</v>
      </c>
      <c r="O5161">
        <v>-1.5472629999999999E-2</v>
      </c>
      <c r="P5161">
        <v>-0.99991859999999999</v>
      </c>
      <c r="Q5161">
        <v>-1.143331E-2</v>
      </c>
      <c r="R5161">
        <v>5.716858E-3</v>
      </c>
      <c r="S5161">
        <v>-3.0003660000000001</v>
      </c>
      <c r="T5161">
        <v>-0.19182630000000001</v>
      </c>
      <c r="U5161">
        <v>-0.39166260000000003</v>
      </c>
      <c r="V5161">
        <v>2.118886E-2</v>
      </c>
      <c r="W5161">
        <v>3.2194239999999998E-3</v>
      </c>
      <c r="X5161">
        <v>0.9997703</v>
      </c>
      <c r="Y5161">
        <v>-0.113883</v>
      </c>
      <c r="Z5161">
        <v>-2.6375970000000002E-3</v>
      </c>
      <c r="AA5161">
        <v>0.9934906</v>
      </c>
      <c r="AB5161">
        <v>38</v>
      </c>
      <c r="AC5161">
        <v>-16.973700000000001</v>
      </c>
      <c r="AD5161">
        <v>-1.109588091067</v>
      </c>
      <c r="AE5161">
        <v>-2.2595999999999701</v>
      </c>
      <c r="AF5161">
        <v>-1.9883246025681101</v>
      </c>
      <c r="AG5161">
        <v>-1.109588091067</v>
      </c>
      <c r="AH5161">
        <v>16.935521851204399</v>
      </c>
      <c r="AI5161">
        <v>93.723070413030698</v>
      </c>
      <c r="AJ5161">
        <v>96.696189047808502</v>
      </c>
      <c r="AK5161">
        <v>17.087905688809101</v>
      </c>
      <c r="AL5161">
        <v>89.815540272329997</v>
      </c>
      <c r="AM5161">
        <v>88.785870585428199</v>
      </c>
      <c r="AN5161">
        <v>0.99999999262053996</v>
      </c>
    </row>
    <row r="5162" spans="1:40" x14ac:dyDescent="0.25">
      <c r="A5162" t="str">
        <f>"20190312160749007"</f>
        <v>20190312160749007</v>
      </c>
      <c r="B5162" t="str">
        <f>"1552378069000917"</f>
        <v>1552378069000917</v>
      </c>
      <c r="C5162" t="s">
        <v>40</v>
      </c>
      <c r="D5162">
        <v>6.0304229999999999</v>
      </c>
      <c r="E5162">
        <v>0.44766040000000001</v>
      </c>
      <c r="F5162" t="s">
        <v>47</v>
      </c>
      <c r="G5162">
        <v>-361.03379999999999</v>
      </c>
      <c r="H5162" s="1">
        <v>-3.83245E-6</v>
      </c>
      <c r="I5162">
        <v>139.6301</v>
      </c>
      <c r="J5162">
        <v>-343.86989999999997</v>
      </c>
      <c r="K5162">
        <v>1.1095900000000001</v>
      </c>
      <c r="L5162">
        <v>141.92769999999999</v>
      </c>
      <c r="M5162">
        <v>-0.99977119999999997</v>
      </c>
      <c r="N5162">
        <v>0</v>
      </c>
      <c r="O5162">
        <v>-1.556225E-2</v>
      </c>
      <c r="P5162">
        <v>-0.99991819999999998</v>
      </c>
      <c r="Q5162">
        <v>-1.174788E-2</v>
      </c>
      <c r="R5162">
        <v>5.0770490000000001E-3</v>
      </c>
      <c r="S5162">
        <v>-3.0003660000000001</v>
      </c>
      <c r="T5162">
        <v>-0.1897057</v>
      </c>
      <c r="U5162">
        <v>-0.39384459999999999</v>
      </c>
      <c r="V5162">
        <v>2.063856E-2</v>
      </c>
      <c r="W5162">
        <v>2.93523E-3</v>
      </c>
      <c r="X5162">
        <v>0.99978270000000002</v>
      </c>
      <c r="Y5162">
        <v>-0.1145076</v>
      </c>
      <c r="Z5162">
        <v>-2.6223819999999999E-3</v>
      </c>
      <c r="AA5162">
        <v>0.99341889999999999</v>
      </c>
      <c r="AB5162">
        <v>38</v>
      </c>
      <c r="AC5162">
        <v>-17.163900000000002</v>
      </c>
      <c r="AD5162">
        <v>-1.1095938324500001</v>
      </c>
      <c r="AE5162">
        <v>-2.2975999999999801</v>
      </c>
      <c r="AF5162">
        <v>-2.0218828714706998</v>
      </c>
      <c r="AG5162">
        <v>-1.1095938324500001</v>
      </c>
      <c r="AH5162">
        <v>17.127262003297201</v>
      </c>
      <c r="AI5162">
        <v>93.681249849271495</v>
      </c>
      <c r="AJ5162">
        <v>96.732639039111007</v>
      </c>
      <c r="AK5162">
        <v>17.2818492224804</v>
      </c>
      <c r="AL5162">
        <v>89.831823468698801</v>
      </c>
      <c r="AM5162">
        <v>88.817408565404307</v>
      </c>
      <c r="AN5162">
        <v>1.0000000064766501</v>
      </c>
    </row>
    <row r="5163" spans="1:40" x14ac:dyDescent="0.25">
      <c r="A5163" t="str">
        <f>"20190312160749031"</f>
        <v>20190312160749031</v>
      </c>
      <c r="B5163" t="str">
        <f>"1552378069020439"</f>
        <v>1552378069020439</v>
      </c>
      <c r="C5163" t="s">
        <v>40</v>
      </c>
      <c r="D5163">
        <v>6.0123309999999996</v>
      </c>
      <c r="E5163">
        <v>0.44747670000000001</v>
      </c>
      <c r="F5163" t="s">
        <v>47</v>
      </c>
      <c r="G5163">
        <v>-361.34679999999997</v>
      </c>
      <c r="H5163" s="1">
        <v>-3.6945949999999998E-6</v>
      </c>
      <c r="I5163">
        <v>139.61660000000001</v>
      </c>
      <c r="J5163">
        <v>-344.2518</v>
      </c>
      <c r="K5163">
        <v>1.1095969999999999</v>
      </c>
      <c r="L5163">
        <v>141.92169999999999</v>
      </c>
      <c r="M5163">
        <v>-0.99976940000000003</v>
      </c>
      <c r="N5163">
        <v>0</v>
      </c>
      <c r="O5163">
        <v>-1.5651479999999999E-2</v>
      </c>
      <c r="P5163">
        <v>-0.99991949999999996</v>
      </c>
      <c r="Q5163">
        <v>-1.174303E-2</v>
      </c>
      <c r="R5163">
        <v>4.8064839999999998E-3</v>
      </c>
      <c r="S5163">
        <v>-3.0000610000000001</v>
      </c>
      <c r="T5163">
        <v>-0.19047220000000001</v>
      </c>
      <c r="U5163">
        <v>-0.39671329999999999</v>
      </c>
      <c r="V5163">
        <v>2.0457159999999999E-2</v>
      </c>
      <c r="W5163">
        <v>2.9657479999999998E-3</v>
      </c>
      <c r="X5163">
        <v>0.99978630000000002</v>
      </c>
      <c r="Y5163">
        <v>-0.11536250000000001</v>
      </c>
      <c r="Z5163">
        <v>-2.6544229999999999E-3</v>
      </c>
      <c r="AA5163">
        <v>0.99331990000000003</v>
      </c>
      <c r="AB5163">
        <v>38</v>
      </c>
      <c r="AC5163">
        <v>-17.094999999999899</v>
      </c>
      <c r="AD5163">
        <v>-1.1096006945950001</v>
      </c>
      <c r="AE5163">
        <v>-2.3050999999999799</v>
      </c>
      <c r="AF5163">
        <v>-2.0288317009315802</v>
      </c>
      <c r="AG5163">
        <v>-1.1096006945950001</v>
      </c>
      <c r="AH5163">
        <v>17.058403360499199</v>
      </c>
      <c r="AI5163">
        <v>93.695710751175298</v>
      </c>
      <c r="AJ5163">
        <v>96.782580592017993</v>
      </c>
      <c r="AK5163">
        <v>17.214427001257999</v>
      </c>
      <c r="AL5163">
        <v>89.830074902023298</v>
      </c>
      <c r="AM5163">
        <v>88.827804109137105</v>
      </c>
      <c r="AN5163">
        <v>0.99999996836207705</v>
      </c>
    </row>
    <row r="5164" spans="1:40" x14ac:dyDescent="0.25">
      <c r="A5164" t="str">
        <f>"20190312160749051"</f>
        <v>20190312160749051</v>
      </c>
      <c r="B5164" t="str">
        <f>"1552378069040933"</f>
        <v>1552378069040933</v>
      </c>
      <c r="C5164" t="s">
        <v>40</v>
      </c>
      <c r="D5164">
        <v>5.874746</v>
      </c>
      <c r="E5164">
        <v>0.44733050000000002</v>
      </c>
      <c r="F5164" t="s">
        <v>47</v>
      </c>
      <c r="G5164">
        <v>-362.01</v>
      </c>
      <c r="H5164" s="1">
        <v>-3.4199920000000001E-6</v>
      </c>
      <c r="I5164">
        <v>139.5598</v>
      </c>
      <c r="J5164">
        <v>-344.60599999999999</v>
      </c>
      <c r="K5164">
        <v>1.1096010000000001</v>
      </c>
      <c r="L5164">
        <v>141.9161</v>
      </c>
      <c r="M5164">
        <v>-0.99976779999999998</v>
      </c>
      <c r="N5164">
        <v>0</v>
      </c>
      <c r="O5164">
        <v>-1.573399E-2</v>
      </c>
      <c r="P5164">
        <v>-0.99991940000000001</v>
      </c>
      <c r="Q5164">
        <v>-1.1812410000000001E-2</v>
      </c>
      <c r="R5164">
        <v>4.6615119999999996E-3</v>
      </c>
      <c r="S5164">
        <v>-2.9999690000000001</v>
      </c>
      <c r="T5164">
        <v>-0.18745010000000001</v>
      </c>
      <c r="U5164">
        <v>-0.39900210000000003</v>
      </c>
      <c r="V5164">
        <v>2.039473E-2</v>
      </c>
      <c r="W5164">
        <v>2.916157E-3</v>
      </c>
      <c r="X5164">
        <v>0.99978769999999995</v>
      </c>
      <c r="Y5164">
        <v>-0.11603430000000001</v>
      </c>
      <c r="Z5164">
        <v>-2.6280869999999999E-3</v>
      </c>
      <c r="AA5164">
        <v>0.99324170000000001</v>
      </c>
      <c r="AB5164">
        <v>37</v>
      </c>
      <c r="AC5164">
        <v>-17.4039999999999</v>
      </c>
      <c r="AD5164">
        <v>-1.1096044199920001</v>
      </c>
      <c r="AE5164">
        <v>-2.3563000000000001</v>
      </c>
      <c r="AF5164">
        <v>-2.0738661145868398</v>
      </c>
      <c r="AG5164">
        <v>-1.1096044199920001</v>
      </c>
      <c r="AH5164">
        <v>17.3695902870145</v>
      </c>
      <c r="AI5164">
        <v>93.629494105669707</v>
      </c>
      <c r="AJ5164">
        <v>96.808676770631493</v>
      </c>
      <c r="AK5164">
        <v>17.528114826439399</v>
      </c>
      <c r="AL5164">
        <v>89.832916265838406</v>
      </c>
      <c r="AM5164">
        <v>88.831381992458006</v>
      </c>
      <c r="AN5164">
        <v>0.99999994702735395</v>
      </c>
    </row>
    <row r="5165" spans="1:40" x14ac:dyDescent="0.25">
      <c r="A5165" t="str">
        <f>"20190312160749074"</f>
        <v>20190312160749074</v>
      </c>
      <c r="B5165" t="str">
        <f>"1552378069060454"</f>
        <v>1552378069060454</v>
      </c>
      <c r="C5165" t="s">
        <v>40</v>
      </c>
      <c r="D5165">
        <v>6.2563329999999997</v>
      </c>
      <c r="E5165">
        <v>0.44726470000000002</v>
      </c>
      <c r="F5165" t="s">
        <v>47</v>
      </c>
      <c r="G5165">
        <v>-362.48399999999998</v>
      </c>
      <c r="H5165" s="1">
        <v>-3.2221480000000001E-6</v>
      </c>
      <c r="I5165">
        <v>139.52879999999999</v>
      </c>
      <c r="J5165">
        <v>-344.97460000000001</v>
      </c>
      <c r="K5165">
        <v>1.109605</v>
      </c>
      <c r="L5165">
        <v>141.9102</v>
      </c>
      <c r="M5165">
        <v>-0.99976609999999999</v>
      </c>
      <c r="N5165">
        <v>0</v>
      </c>
      <c r="O5165">
        <v>-1.582006E-2</v>
      </c>
      <c r="P5165">
        <v>-0.9999209</v>
      </c>
      <c r="Q5165">
        <v>-1.172287E-2</v>
      </c>
      <c r="R5165">
        <v>4.5526059999999998E-3</v>
      </c>
      <c r="S5165">
        <v>-2.999908</v>
      </c>
      <c r="T5165">
        <v>-0.18618999999999999</v>
      </c>
      <c r="U5165">
        <v>-0.40057369999999998</v>
      </c>
      <c r="V5165">
        <v>2.037197E-2</v>
      </c>
      <c r="W5165">
        <v>3.023445E-3</v>
      </c>
      <c r="X5165">
        <v>0.99978789999999995</v>
      </c>
      <c r="Y5165">
        <v>-0.1164646</v>
      </c>
      <c r="Z5165">
        <v>-2.61839E-3</v>
      </c>
      <c r="AA5165">
        <v>0.99319139999999995</v>
      </c>
      <c r="AB5165">
        <v>37</v>
      </c>
      <c r="AC5165">
        <v>-17.509399999999999</v>
      </c>
      <c r="AD5165">
        <v>-1.1096082221479999</v>
      </c>
      <c r="AE5165">
        <v>-2.38140000000001</v>
      </c>
      <c r="AF5165">
        <v>-2.0958080722455401</v>
      </c>
      <c r="AG5165">
        <v>-1.1096082221479999</v>
      </c>
      <c r="AH5165">
        <v>17.475976950958401</v>
      </c>
      <c r="AI5165">
        <v>93.607245661735007</v>
      </c>
      <c r="AJ5165">
        <v>96.838542158362898</v>
      </c>
      <c r="AK5165">
        <v>17.6361393811904</v>
      </c>
      <c r="AL5165">
        <v>89.826769098277396</v>
      </c>
      <c r="AM5165">
        <v>88.832686012827807</v>
      </c>
      <c r="AN5165">
        <v>1.0000000016838699</v>
      </c>
    </row>
    <row r="5166" spans="1:40" x14ac:dyDescent="0.25">
      <c r="A5166" t="str">
        <f>"20190312160749097"</f>
        <v>20190312160749097</v>
      </c>
      <c r="B5166" t="str">
        <f>"1552378069090714"</f>
        <v>1552378069090714</v>
      </c>
      <c r="C5166" t="s">
        <v>40</v>
      </c>
      <c r="D5166">
        <v>5.8959679999999999</v>
      </c>
      <c r="E5166">
        <v>0.49755830000000001</v>
      </c>
      <c r="F5166" t="s">
        <v>47</v>
      </c>
      <c r="G5166">
        <v>-363.03280000000001</v>
      </c>
      <c r="H5166" s="1">
        <v>-2.9930150000000002E-6</v>
      </c>
      <c r="I5166">
        <v>139.4933</v>
      </c>
      <c r="J5166">
        <v>-345.35770000000002</v>
      </c>
      <c r="K5166">
        <v>1.109613</v>
      </c>
      <c r="L5166">
        <v>141.9041</v>
      </c>
      <c r="M5166">
        <v>-0.9997644</v>
      </c>
      <c r="N5166">
        <v>0</v>
      </c>
      <c r="O5166">
        <v>-1.5909690000000001E-2</v>
      </c>
      <c r="P5166">
        <v>-0.99991719999999895</v>
      </c>
      <c r="Q5166">
        <v>-1.202167E-2</v>
      </c>
      <c r="R5166">
        <v>4.5819190000000003E-3</v>
      </c>
      <c r="S5166">
        <v>-2.9999389999999999</v>
      </c>
      <c r="T5166">
        <v>-0.1843351</v>
      </c>
      <c r="U5166">
        <v>-0.40150449999999999</v>
      </c>
      <c r="V5166">
        <v>2.049101E-2</v>
      </c>
      <c r="W5166">
        <v>2.7387739999999998E-3</v>
      </c>
      <c r="X5166">
        <v>0.99978630000000002</v>
      </c>
      <c r="Y5166">
        <v>-0.11668050000000001</v>
      </c>
      <c r="Z5166">
        <v>-2.5933979999999998E-3</v>
      </c>
      <c r="AA5166">
        <v>0.99316610000000005</v>
      </c>
      <c r="AB5166">
        <v>37</v>
      </c>
      <c r="AC5166">
        <v>-17.675099999999901</v>
      </c>
      <c r="AD5166">
        <v>-1.109615993015</v>
      </c>
      <c r="AE5166">
        <v>-2.4107999999999898</v>
      </c>
      <c r="AF5166">
        <v>-2.1210520987675299</v>
      </c>
      <c r="AG5166">
        <v>-1.109615993015</v>
      </c>
      <c r="AH5166">
        <v>17.6429583018265</v>
      </c>
      <c r="AI5166">
        <v>93.573094023601001</v>
      </c>
      <c r="AJ5166">
        <v>96.855249329241005</v>
      </c>
      <c r="AK5166">
        <v>17.804608597147801</v>
      </c>
      <c r="AL5166">
        <v>89.843079614786006</v>
      </c>
      <c r="AM5166">
        <v>88.825865045629101</v>
      </c>
      <c r="AN5166">
        <v>1.0000000140207601</v>
      </c>
    </row>
    <row r="5167" spans="1:40" x14ac:dyDescent="0.25">
      <c r="A5167" t="str">
        <f>"20190312160749119"</f>
        <v>20190312160749119</v>
      </c>
      <c r="B5167" t="str">
        <f>"1552378069110233"</f>
        <v>1552378069110233</v>
      </c>
      <c r="C5167" t="s">
        <v>40</v>
      </c>
      <c r="D5167">
        <v>6.0425060000000004</v>
      </c>
      <c r="E5167">
        <v>0.56039740000000005</v>
      </c>
      <c r="F5167" t="s">
        <v>44</v>
      </c>
      <c r="G5167">
        <v>-346.3503</v>
      </c>
      <c r="H5167">
        <v>0.98347689999999999</v>
      </c>
      <c r="I5167">
        <v>141.9067</v>
      </c>
      <c r="J5167">
        <v>-345.7276</v>
      </c>
      <c r="K5167">
        <v>1.1096189999999999</v>
      </c>
      <c r="L5167">
        <v>141.8981</v>
      </c>
      <c r="M5167">
        <v>-0.99976299999999996</v>
      </c>
      <c r="N5167">
        <v>0</v>
      </c>
      <c r="O5167">
        <v>-1.5995949999999998E-2</v>
      </c>
      <c r="P5167">
        <v>-0.99991759999999996</v>
      </c>
      <c r="Q5167">
        <v>-1.179621E-2</v>
      </c>
      <c r="R5167">
        <v>5.0421520000000003E-3</v>
      </c>
      <c r="S5167">
        <v>-2.9956360000000002</v>
      </c>
      <c r="T5167">
        <v>-0.38068269999999998</v>
      </c>
      <c r="U5167">
        <v>7.339478E-3</v>
      </c>
      <c r="V5167">
        <v>2.1037199999999999E-2</v>
      </c>
      <c r="W5167">
        <v>2.976238E-3</v>
      </c>
      <c r="X5167">
        <v>0.9997743</v>
      </c>
      <c r="Y5167">
        <v>1.8172589999999999E-2</v>
      </c>
      <c r="Z5167">
        <v>3.1748240000000001E-3</v>
      </c>
      <c r="AA5167">
        <v>0.99982979999999999</v>
      </c>
      <c r="AB5167">
        <v>37</v>
      </c>
      <c r="AC5167">
        <v>-0.62270000000000802</v>
      </c>
      <c r="AD5167">
        <v>-0.12614210000000001</v>
      </c>
      <c r="AE5167">
        <v>8.6000000000012698E-3</v>
      </c>
      <c r="AF5167">
        <v>1.7829169922144499E-2</v>
      </c>
      <c r="AG5167">
        <v>-0.12614210000000001</v>
      </c>
      <c r="AH5167">
        <v>0.59795008100466895</v>
      </c>
      <c r="AI5167">
        <v>101.907175946576</v>
      </c>
      <c r="AJ5167">
        <v>88.292108913407503</v>
      </c>
      <c r="AK5167">
        <v>0.61137059797312199</v>
      </c>
      <c r="AL5167">
        <v>89.829473878219801</v>
      </c>
      <c r="AM5167">
        <v>88.794563006832306</v>
      </c>
      <c r="AN5167">
        <v>1.00000003635848</v>
      </c>
    </row>
    <row r="5168" spans="1:40" x14ac:dyDescent="0.25">
      <c r="A5168" t="str">
        <f>"20190312160749140"</f>
        <v>20190312160749140</v>
      </c>
      <c r="B5168" t="str">
        <f>"1552378069130726"</f>
        <v>1552378069130726</v>
      </c>
      <c r="C5168" t="s">
        <v>40</v>
      </c>
      <c r="D5168">
        <v>6.0093079999999999</v>
      </c>
      <c r="E5168">
        <v>0.55932559999999998</v>
      </c>
      <c r="F5168" t="s">
        <v>44</v>
      </c>
      <c r="G5168">
        <v>-346.62310000000002</v>
      </c>
      <c r="H5168">
        <v>0.84008899999999997</v>
      </c>
      <c r="I5168">
        <v>142.0574</v>
      </c>
      <c r="J5168">
        <v>-346.09160000000003</v>
      </c>
      <c r="K5168">
        <v>1.1096250000000001</v>
      </c>
      <c r="L5168">
        <v>141.8922</v>
      </c>
      <c r="M5168">
        <v>-0.99976149999999997</v>
      </c>
      <c r="N5168">
        <v>0</v>
      </c>
      <c r="O5168">
        <v>-1.6081129999999999E-2</v>
      </c>
      <c r="P5168">
        <v>-0.99993010000000004</v>
      </c>
      <c r="Q5168">
        <v>-1.0910680000000001E-2</v>
      </c>
      <c r="R5168">
        <v>4.5839879999999998E-3</v>
      </c>
      <c r="S5168">
        <v>-2.9870000000000001</v>
      </c>
      <c r="T5168">
        <v>-0.89898149999999999</v>
      </c>
      <c r="U5168">
        <v>0.53015140000000005</v>
      </c>
      <c r="V5168">
        <v>2.0664419999999999E-2</v>
      </c>
      <c r="W5168">
        <v>3.871733E-3</v>
      </c>
      <c r="X5168">
        <v>0.99977899999999997</v>
      </c>
      <c r="Y5168">
        <v>0.1820456</v>
      </c>
      <c r="Z5168">
        <v>3.1308509999999998E-2</v>
      </c>
      <c r="AA5168">
        <v>0.98279150000000004</v>
      </c>
      <c r="AB5168">
        <v>37</v>
      </c>
      <c r="AC5168">
        <v>-0.53149999999999398</v>
      </c>
      <c r="AD5168">
        <v>-0.269536</v>
      </c>
      <c r="AE5168">
        <v>0.16519999999999799</v>
      </c>
      <c r="AF5168">
        <v>0.140724342359275</v>
      </c>
      <c r="AG5168">
        <v>-0.269536</v>
      </c>
      <c r="AH5168">
        <v>0.428324662402148</v>
      </c>
      <c r="AI5168">
        <v>120.87267796643501</v>
      </c>
      <c r="AJ5168">
        <v>71.812270765229698</v>
      </c>
      <c r="AK5168">
        <v>0.52527612952652303</v>
      </c>
      <c r="AL5168">
        <v>89.778165491835793</v>
      </c>
      <c r="AM5168">
        <v>88.815922825769903</v>
      </c>
      <c r="AN5168">
        <v>1.0000000287056701</v>
      </c>
    </row>
    <row r="5169" spans="1:40" x14ac:dyDescent="0.25">
      <c r="A5169" t="str">
        <f>"20190312160749162"</f>
        <v>20190312160749162</v>
      </c>
      <c r="B5169" t="str">
        <f>"1552378069150246"</f>
        <v>1552378069150246</v>
      </c>
      <c r="C5169" t="s">
        <v>40</v>
      </c>
      <c r="D5169">
        <v>6.0500569999999998</v>
      </c>
      <c r="E5169">
        <v>0.54496769999999894</v>
      </c>
      <c r="F5169" t="s">
        <v>44</v>
      </c>
      <c r="G5169">
        <v>-346.95940000000002</v>
      </c>
      <c r="H5169">
        <v>0.85059030000000002</v>
      </c>
      <c r="I5169">
        <v>142.04320000000001</v>
      </c>
      <c r="J5169">
        <v>-346.46100000000001</v>
      </c>
      <c r="K5169">
        <v>1.109631</v>
      </c>
      <c r="L5169">
        <v>141.8862</v>
      </c>
      <c r="M5169">
        <v>-0.99975999999999998</v>
      </c>
      <c r="N5169">
        <v>0</v>
      </c>
      <c r="O5169">
        <v>-1.616749E-2</v>
      </c>
      <c r="P5169">
        <v>-0.99993180000000004</v>
      </c>
      <c r="Q5169">
        <v>-1.079515E-2</v>
      </c>
      <c r="R5169">
        <v>4.4946170000000002E-3</v>
      </c>
      <c r="S5169">
        <v>-2.988159</v>
      </c>
      <c r="T5169">
        <v>-0.89190910000000001</v>
      </c>
      <c r="U5169">
        <v>0.51989750000000001</v>
      </c>
      <c r="V5169">
        <v>2.0661530000000001E-2</v>
      </c>
      <c r="W5169">
        <v>3.9947560000000003E-3</v>
      </c>
      <c r="X5169">
        <v>0.99977859999999996</v>
      </c>
      <c r="Y5169">
        <v>0.17904690000000001</v>
      </c>
      <c r="Z5169">
        <v>3.065965E-2</v>
      </c>
      <c r="AA5169">
        <v>0.98336270000000003</v>
      </c>
      <c r="AB5169">
        <v>37</v>
      </c>
      <c r="AC5169">
        <v>-0.49840000000000301</v>
      </c>
      <c r="AD5169">
        <v>-0.25904070000000001</v>
      </c>
      <c r="AE5169">
        <v>0.15700000000000999</v>
      </c>
      <c r="AF5169">
        <v>0.13248115292808199</v>
      </c>
      <c r="AG5169">
        <v>-0.25904070000000001</v>
      </c>
      <c r="AH5169">
        <v>0.39799057672992999</v>
      </c>
      <c r="AI5169">
        <v>121.697640822728</v>
      </c>
      <c r="AJ5169">
        <v>71.588683789894304</v>
      </c>
      <c r="AK5169">
        <v>0.49300085121981901</v>
      </c>
      <c r="AL5169">
        <v>89.771116744377807</v>
      </c>
      <c r="AM5169">
        <v>88.816087902925801</v>
      </c>
      <c r="AN5169">
        <v>1.00000005295769</v>
      </c>
    </row>
    <row r="5170" spans="1:40" x14ac:dyDescent="0.25">
      <c r="A5170" t="str">
        <f>"20190312160749186"</f>
        <v>20190312160749186</v>
      </c>
      <c r="B5170" t="str">
        <f>"1552378069180502"</f>
        <v>1552378069180502</v>
      </c>
      <c r="C5170" t="s">
        <v>40</v>
      </c>
      <c r="D5170">
        <v>5.8026429999999998</v>
      </c>
      <c r="E5170">
        <v>0.54277540000000002</v>
      </c>
      <c r="F5170" t="s">
        <v>44</v>
      </c>
      <c r="G5170">
        <v>-347.33519999999999</v>
      </c>
      <c r="H5170">
        <v>0.95454119999999998</v>
      </c>
      <c r="I5170">
        <v>142.0008</v>
      </c>
      <c r="J5170">
        <v>-346.84269999999998</v>
      </c>
      <c r="K5170">
        <v>1.1096360000000001</v>
      </c>
      <c r="L5170">
        <v>141.87989999999999</v>
      </c>
      <c r="M5170">
        <v>-0.99975849999999999</v>
      </c>
      <c r="N5170">
        <v>0</v>
      </c>
      <c r="O5170">
        <v>-1.625646E-2</v>
      </c>
      <c r="P5170">
        <v>-0.99993279999999995</v>
      </c>
      <c r="Q5170">
        <v>-1.062599E-2</v>
      </c>
      <c r="R5170">
        <v>4.6359950000000004E-3</v>
      </c>
      <c r="S5170">
        <v>-2.9927060000000001</v>
      </c>
      <c r="T5170">
        <v>-0.530937199999999</v>
      </c>
      <c r="U5170">
        <v>0.39129639999999999</v>
      </c>
      <c r="V5170">
        <v>2.0891699999999999E-2</v>
      </c>
      <c r="W5170">
        <v>4.1707080000000004E-3</v>
      </c>
      <c r="X5170">
        <v>0.99977300000000002</v>
      </c>
      <c r="Y5170">
        <v>0.14329909999999901</v>
      </c>
      <c r="Z5170">
        <v>1.541151E-2</v>
      </c>
      <c r="AA5170">
        <v>0.98955939999999998</v>
      </c>
      <c r="AB5170">
        <v>37</v>
      </c>
      <c r="AC5170">
        <v>-0.49250000000000599</v>
      </c>
      <c r="AD5170">
        <v>-0.1550948</v>
      </c>
      <c r="AE5170">
        <v>0.120900000000006</v>
      </c>
      <c r="AF5170">
        <v>0.11786667362303101</v>
      </c>
      <c r="AG5170">
        <v>-0.1550948</v>
      </c>
      <c r="AH5170">
        <v>0.44851767962626399</v>
      </c>
      <c r="AI5170">
        <v>108.491938264038</v>
      </c>
      <c r="AJ5170">
        <v>75.276067405526405</v>
      </c>
      <c r="AK5170">
        <v>0.48899392498816002</v>
      </c>
      <c r="AL5170">
        <v>89.761035330406898</v>
      </c>
      <c r="AM5170">
        <v>88.8028962037383</v>
      </c>
      <c r="AN5170">
        <v>0.99999995473155401</v>
      </c>
    </row>
    <row r="5171" spans="1:40" x14ac:dyDescent="0.25">
      <c r="A5171" t="str">
        <f>"20190312160749208"</f>
        <v>20190312160749208</v>
      </c>
      <c r="B5171" t="str">
        <f>"1552378069200998"</f>
        <v>1552378069200998</v>
      </c>
      <c r="C5171" t="s">
        <v>40</v>
      </c>
      <c r="D5171">
        <v>6.0289270000000004</v>
      </c>
      <c r="E5171">
        <v>0.54212720000000003</v>
      </c>
      <c r="F5171" t="s">
        <v>44</v>
      </c>
      <c r="G5171">
        <v>-347.67059999999998</v>
      </c>
      <c r="H5171">
        <v>0.96361660000000005</v>
      </c>
      <c r="I5171">
        <v>141.98349999999999</v>
      </c>
      <c r="J5171">
        <v>-347.2149</v>
      </c>
      <c r="K5171">
        <v>1.1096429999999999</v>
      </c>
      <c r="L5171">
        <v>141.87370000000001</v>
      </c>
      <c r="M5171">
        <v>-0.99975689999999995</v>
      </c>
      <c r="N5171">
        <v>0</v>
      </c>
      <c r="O5171">
        <v>-1.6343509999999999E-2</v>
      </c>
      <c r="P5171">
        <v>-0.99993129999999997</v>
      </c>
      <c r="Q5171">
        <v>-1.0571260000000001E-2</v>
      </c>
      <c r="R5171">
        <v>5.0673230000000003E-3</v>
      </c>
      <c r="S5171">
        <v>-2.9928590000000002</v>
      </c>
      <c r="T5171">
        <v>-0.52788939999999995</v>
      </c>
      <c r="U5171">
        <v>0.37390139999999999</v>
      </c>
      <c r="V5171">
        <v>2.141001E-2</v>
      </c>
      <c r="W5171">
        <v>4.230312E-3</v>
      </c>
      <c r="X5171">
        <v>0.99976180000000003</v>
      </c>
      <c r="Y5171">
        <v>0.13782539999999999</v>
      </c>
      <c r="Z5171">
        <v>1.486703E-2</v>
      </c>
      <c r="AA5171">
        <v>0.99034489999999997</v>
      </c>
      <c r="AB5171">
        <v>37</v>
      </c>
      <c r="AC5171">
        <v>-0.45569999999997801</v>
      </c>
      <c r="AD5171">
        <v>-0.1460264</v>
      </c>
      <c r="AE5171">
        <v>0.109799999999978</v>
      </c>
      <c r="AF5171">
        <v>0.10686283397264799</v>
      </c>
      <c r="AG5171">
        <v>-0.1460264</v>
      </c>
      <c r="AH5171">
        <v>0.413695235677981</v>
      </c>
      <c r="AI5171">
        <v>108.868508207749</v>
      </c>
      <c r="AJ5171">
        <v>75.516361618199994</v>
      </c>
      <c r="AK5171">
        <v>0.45153861717940103</v>
      </c>
      <c r="AL5171">
        <v>89.7576202462797</v>
      </c>
      <c r="AM5171">
        <v>88.773192035312903</v>
      </c>
      <c r="AN5171">
        <v>0.99999997040352795</v>
      </c>
    </row>
    <row r="5172" spans="1:40" x14ac:dyDescent="0.25">
      <c r="A5172" t="str">
        <f>"20190312160749231"</f>
        <v>20190312160749231</v>
      </c>
      <c r="B5172" t="str">
        <f>"1552378069220518"</f>
        <v>1552378069220518</v>
      </c>
      <c r="C5172" t="s">
        <v>40</v>
      </c>
      <c r="D5172">
        <v>6.0469739999999996</v>
      </c>
      <c r="E5172">
        <v>0.54154769999999997</v>
      </c>
      <c r="F5172" t="s">
        <v>44</v>
      </c>
      <c r="G5172">
        <v>-348.00470000000001</v>
      </c>
      <c r="H5172">
        <v>0.97009630000000002</v>
      </c>
      <c r="I5172">
        <v>141.9717</v>
      </c>
      <c r="J5172">
        <v>-347.5838</v>
      </c>
      <c r="K5172">
        <v>1.109639</v>
      </c>
      <c r="L5172">
        <v>141.86760000000001</v>
      </c>
      <c r="M5172">
        <v>-0.99975559999999997</v>
      </c>
      <c r="N5172">
        <v>0</v>
      </c>
      <c r="O5172">
        <v>-1.6429949999999999E-2</v>
      </c>
      <c r="P5172">
        <v>-0.9999304</v>
      </c>
      <c r="Q5172">
        <v>-1.034201E-2</v>
      </c>
      <c r="R5172">
        <v>5.7051810000000001E-3</v>
      </c>
      <c r="S5172">
        <v>-2.992737</v>
      </c>
      <c r="T5172">
        <v>-0.52885519999999997</v>
      </c>
      <c r="U5172">
        <v>0.3699036</v>
      </c>
      <c r="V5172">
        <v>2.2134299999999999E-2</v>
      </c>
      <c r="W5172">
        <v>4.4630059999999899E-3</v>
      </c>
      <c r="X5172">
        <v>0.99974510000000005</v>
      </c>
      <c r="Y5172">
        <v>0.13662099999999999</v>
      </c>
      <c r="Z5172">
        <v>1.4805499999999999E-2</v>
      </c>
      <c r="AA5172">
        <v>0.99051270000000002</v>
      </c>
      <c r="AB5172">
        <v>37</v>
      </c>
      <c r="AC5172">
        <v>-0.42090000000001698</v>
      </c>
      <c r="AD5172">
        <v>-0.13954269999999999</v>
      </c>
      <c r="AE5172">
        <v>0.10409999999998799</v>
      </c>
      <c r="AF5172">
        <v>0.100583720760828</v>
      </c>
      <c r="AG5172">
        <v>-0.13954269999999999</v>
      </c>
      <c r="AH5172">
        <v>0.37979399920576401</v>
      </c>
      <c r="AI5172">
        <v>109.55362287175301</v>
      </c>
      <c r="AJ5172">
        <v>75.166469048358195</v>
      </c>
      <c r="AK5172">
        <v>0.41693252672115899</v>
      </c>
      <c r="AL5172">
        <v>89.744287757501397</v>
      </c>
      <c r="AM5172">
        <v>88.731681886835105</v>
      </c>
      <c r="AN5172">
        <v>1.00000005531652</v>
      </c>
    </row>
    <row r="5173" spans="1:40" x14ac:dyDescent="0.25">
      <c r="A5173" t="str">
        <f>"20190312160749252"</f>
        <v>20190312160749252</v>
      </c>
      <c r="B5173" t="str">
        <f>"1552378069241014"</f>
        <v>1552378069241014</v>
      </c>
      <c r="C5173" t="s">
        <v>40</v>
      </c>
      <c r="D5173">
        <v>6.2306540000000004</v>
      </c>
      <c r="E5173">
        <v>0.54037930000000001</v>
      </c>
      <c r="F5173" t="s">
        <v>44</v>
      </c>
      <c r="G5173">
        <v>-348.33850000000001</v>
      </c>
      <c r="H5173">
        <v>0.97679769999999999</v>
      </c>
      <c r="I5173">
        <v>141.96010000000001</v>
      </c>
      <c r="J5173">
        <v>-347.9418</v>
      </c>
      <c r="K5173">
        <v>1.1096429999999999</v>
      </c>
      <c r="L5173">
        <v>141.86170000000001</v>
      </c>
      <c r="M5173">
        <v>-0.99975409999999998</v>
      </c>
      <c r="N5173">
        <v>0</v>
      </c>
      <c r="O5173">
        <v>-1.65139999999999E-2</v>
      </c>
      <c r="P5173">
        <v>-0.99992979999999998</v>
      </c>
      <c r="Q5173">
        <v>-1.056702E-2</v>
      </c>
      <c r="R5173">
        <v>5.4171109999999996E-3</v>
      </c>
      <c r="S5173">
        <v>-2.9927060000000001</v>
      </c>
      <c r="T5173">
        <v>-0.52673349999999997</v>
      </c>
      <c r="U5173">
        <v>0.36695860000000002</v>
      </c>
      <c r="V5173">
        <v>2.193034E-2</v>
      </c>
      <c r="W5173">
        <v>4.240326E-3</v>
      </c>
      <c r="X5173">
        <v>0.99975049999999999</v>
      </c>
      <c r="Y5173">
        <v>0.13577500000000001</v>
      </c>
      <c r="Z5173">
        <v>1.4689020000000001E-2</v>
      </c>
      <c r="AA5173">
        <v>0.99063080000000003</v>
      </c>
      <c r="AB5173">
        <v>37</v>
      </c>
      <c r="AC5173">
        <v>-0.39670000000000899</v>
      </c>
      <c r="AD5173">
        <v>-0.1328453</v>
      </c>
      <c r="AE5173">
        <v>9.8399999999998003E-2</v>
      </c>
      <c r="AF5173">
        <v>9.49117278264998E-2</v>
      </c>
      <c r="AG5173">
        <v>-0.1328453</v>
      </c>
      <c r="AH5173">
        <v>0.357277227392235</v>
      </c>
      <c r="AI5173">
        <v>109.76654582722701</v>
      </c>
      <c r="AJ5173">
        <v>75.122825370803596</v>
      </c>
      <c r="AK5173">
        <v>0.392814367130562</v>
      </c>
      <c r="AL5173">
        <v>89.757046486236504</v>
      </c>
      <c r="AM5173">
        <v>88.743372024600006</v>
      </c>
      <c r="AN5173">
        <v>0.999999991213675</v>
      </c>
    </row>
    <row r="5174" spans="1:40" x14ac:dyDescent="0.25">
      <c r="A5174" t="str">
        <f>"20190312160749275"</f>
        <v>20190312160749275</v>
      </c>
      <c r="B5174" t="str">
        <f>"1552378069270294"</f>
        <v>1552378069270294</v>
      </c>
      <c r="C5174" t="s">
        <v>40</v>
      </c>
      <c r="D5174">
        <v>6.1312139999999999</v>
      </c>
      <c r="E5174">
        <v>0.54771329999999996</v>
      </c>
      <c r="F5174" t="s">
        <v>44</v>
      </c>
      <c r="G5174">
        <v>-348.67070000000001</v>
      </c>
      <c r="H5174">
        <v>0.98074779999999995</v>
      </c>
      <c r="I5174">
        <v>141.94899999999899</v>
      </c>
      <c r="J5174">
        <v>-348.3125</v>
      </c>
      <c r="K5174">
        <v>1.1096440000000001</v>
      </c>
      <c r="L5174">
        <v>141.85550000000001</v>
      </c>
      <c r="M5174">
        <v>-0.99975259999999999</v>
      </c>
      <c r="N5174">
        <v>0</v>
      </c>
      <c r="O5174">
        <v>-1.6600790000000001E-2</v>
      </c>
      <c r="P5174">
        <v>-0.9999306</v>
      </c>
      <c r="Q5174">
        <v>-1.076848E-2</v>
      </c>
      <c r="R5174">
        <v>4.817104E-3</v>
      </c>
      <c r="S5174">
        <v>-2.992645</v>
      </c>
      <c r="T5174">
        <v>-0.52930219999999994</v>
      </c>
      <c r="U5174">
        <v>0.3574524</v>
      </c>
      <c r="V5174">
        <v>2.14174E-2</v>
      </c>
      <c r="W5174">
        <v>4.0400549999999999E-3</v>
      </c>
      <c r="X5174">
        <v>0.9997625</v>
      </c>
      <c r="Y5174">
        <v>0.13278239999999999</v>
      </c>
      <c r="Z5174">
        <v>1.4516080000000001E-2</v>
      </c>
      <c r="AA5174">
        <v>0.99103889999999994</v>
      </c>
      <c r="AB5174">
        <v>37</v>
      </c>
      <c r="AC5174">
        <v>-0.35820000000001001</v>
      </c>
      <c r="AD5174">
        <v>-0.12889619999999999</v>
      </c>
      <c r="AE5174">
        <v>9.3499999999977407E-2</v>
      </c>
      <c r="AF5174">
        <v>8.8683274646887897E-2</v>
      </c>
      <c r="AG5174">
        <v>-0.12889619999999999</v>
      </c>
      <c r="AH5174">
        <v>0.318042625028995</v>
      </c>
      <c r="AI5174">
        <v>111.325026113202</v>
      </c>
      <c r="AJ5174">
        <v>74.419358325334997</v>
      </c>
      <c r="AK5174">
        <v>0.35444331692369302</v>
      </c>
      <c r="AL5174">
        <v>89.768521279456493</v>
      </c>
      <c r="AM5174">
        <v>88.7727695718295</v>
      </c>
      <c r="AN5174">
        <v>1.0000000417367001</v>
      </c>
    </row>
    <row r="5175" spans="1:40" x14ac:dyDescent="0.25">
      <c r="A5175" t="str">
        <f>"20190312160749298"</f>
        <v>20190312160749298</v>
      </c>
      <c r="B5175" t="str">
        <f>"1552378069290790"</f>
        <v>1552378069290790</v>
      </c>
      <c r="C5175" t="s">
        <v>40</v>
      </c>
      <c r="D5175">
        <v>6.2542039999999997</v>
      </c>
      <c r="E5175">
        <v>0.53727639999999999</v>
      </c>
      <c r="F5175" t="s">
        <v>44</v>
      </c>
      <c r="G5175">
        <v>-349.26620000000003</v>
      </c>
      <c r="H5175">
        <v>0.83262230000000004</v>
      </c>
      <c r="I5175">
        <v>141.9923</v>
      </c>
      <c r="J5175">
        <v>-348.69670000000002</v>
      </c>
      <c r="K5175">
        <v>1.1096440000000001</v>
      </c>
      <c r="L5175">
        <v>141.84899999999999</v>
      </c>
      <c r="M5175">
        <v>-0.9997511</v>
      </c>
      <c r="N5175">
        <v>0</v>
      </c>
      <c r="O5175">
        <v>-1.6690549999999998E-2</v>
      </c>
      <c r="P5175">
        <v>-0.99993120000000002</v>
      </c>
      <c r="Q5175">
        <v>-1.1000080000000001E-2</v>
      </c>
      <c r="R5175">
        <v>4.0634E-3</v>
      </c>
      <c r="S5175">
        <v>-2.9887999999999999</v>
      </c>
      <c r="T5175">
        <v>-0.86810109999999996</v>
      </c>
      <c r="U5175">
        <v>0.42799379999999998</v>
      </c>
      <c r="V5175">
        <v>2.075339E-2</v>
      </c>
      <c r="W5175">
        <v>3.8092680000000002E-3</v>
      </c>
      <c r="X5175">
        <v>0.99977740000000004</v>
      </c>
      <c r="Y5175">
        <v>0.15144160000000001</v>
      </c>
      <c r="Z5175">
        <v>2.6173680000000001E-2</v>
      </c>
      <c r="AA5175">
        <v>0.98811959999999999</v>
      </c>
      <c r="AB5175">
        <v>37</v>
      </c>
      <c r="AC5175">
        <v>-0.569500000000005</v>
      </c>
      <c r="AD5175">
        <v>-0.27702169999999998</v>
      </c>
      <c r="AE5175">
        <v>0.14330000000001</v>
      </c>
      <c r="AF5175">
        <v>0.124976076627814</v>
      </c>
      <c r="AG5175">
        <v>-0.27702169999999998</v>
      </c>
      <c r="AH5175">
        <v>0.46381772163646701</v>
      </c>
      <c r="AI5175">
        <v>119.97186865024101</v>
      </c>
      <c r="AJ5175">
        <v>74.919755345084496</v>
      </c>
      <c r="AK5175">
        <v>0.55451503217154896</v>
      </c>
      <c r="AL5175">
        <v>89.781744499634499</v>
      </c>
      <c r="AM5175">
        <v>88.810824377559598</v>
      </c>
      <c r="AN5175">
        <v>1.00000003163497</v>
      </c>
    </row>
    <row r="5176" spans="1:40" x14ac:dyDescent="0.25">
      <c r="A5176" t="str">
        <f>"20190312160749319"</f>
        <v>20190312160749319</v>
      </c>
      <c r="B5176" t="str">
        <f>"1552378069310310"</f>
        <v>1552378069310310</v>
      </c>
      <c r="C5176" t="s">
        <v>40</v>
      </c>
      <c r="D5176">
        <v>5.8797819999999996</v>
      </c>
      <c r="E5176">
        <v>0.53586940000000005</v>
      </c>
      <c r="F5176" t="s">
        <v>44</v>
      </c>
      <c r="G5176">
        <v>-349.63260000000002</v>
      </c>
      <c r="H5176">
        <v>0.9229695</v>
      </c>
      <c r="I5176">
        <v>141.95269999999999</v>
      </c>
      <c r="J5176">
        <v>-349.04509999999999</v>
      </c>
      <c r="K5176">
        <v>1.1096509999999999</v>
      </c>
      <c r="L5176">
        <v>141.84309999999999</v>
      </c>
      <c r="M5176">
        <v>-0.99974969999999996</v>
      </c>
      <c r="N5176">
        <v>0</v>
      </c>
      <c r="O5176">
        <v>-1.6772200000000001E-2</v>
      </c>
      <c r="P5176">
        <v>-0.99992389999999998</v>
      </c>
      <c r="Q5176">
        <v>-1.1803050000000001E-2</v>
      </c>
      <c r="R5176">
        <v>3.6328160000000001E-3</v>
      </c>
      <c r="S5176">
        <v>-2.9923099999999998</v>
      </c>
      <c r="T5176">
        <v>-0.59679869999999902</v>
      </c>
      <c r="U5176">
        <v>0.33139039999999997</v>
      </c>
      <c r="V5176">
        <v>2.0404510000000001E-2</v>
      </c>
      <c r="W5176">
        <v>3.0062790000000002E-3</v>
      </c>
      <c r="X5176">
        <v>0.99978730000000005</v>
      </c>
      <c r="Y5176">
        <v>0.1239907</v>
      </c>
      <c r="Z5176">
        <v>1.5511479999999999E-2</v>
      </c>
      <c r="AA5176">
        <v>0.99216219999999999</v>
      </c>
      <c r="AB5176">
        <v>37</v>
      </c>
      <c r="AC5176">
        <v>-0.587500000000034</v>
      </c>
      <c r="AD5176">
        <v>-0.186681499999999</v>
      </c>
      <c r="AE5176">
        <v>0.1096</v>
      </c>
      <c r="AF5176">
        <v>0.10882130939576801</v>
      </c>
      <c r="AG5176">
        <v>-0.186681499999999</v>
      </c>
      <c r="AH5176">
        <v>0.53352161883097704</v>
      </c>
      <c r="AI5176">
        <v>108.92403580021001</v>
      </c>
      <c r="AJ5176">
        <v>78.471632736929905</v>
      </c>
      <c r="AK5176">
        <v>0.57561912544744898</v>
      </c>
      <c r="AL5176">
        <v>89.827752644130697</v>
      </c>
      <c r="AM5176">
        <v>88.830821286344502</v>
      </c>
      <c r="AN5176">
        <v>1.0000000134915199</v>
      </c>
    </row>
    <row r="5177" spans="1:40" x14ac:dyDescent="0.25">
      <c r="A5177" t="str">
        <f>"20190312160749342"</f>
        <v>20190312160749342</v>
      </c>
      <c r="B5177" t="str">
        <f>"1552378069330806"</f>
        <v>1552378069330806</v>
      </c>
      <c r="C5177" t="s">
        <v>40</v>
      </c>
      <c r="D5177">
        <v>6.0183589999999896</v>
      </c>
      <c r="E5177">
        <v>0.53608319999999998</v>
      </c>
      <c r="F5177" t="s">
        <v>44</v>
      </c>
      <c r="G5177">
        <v>-349.96730000000002</v>
      </c>
      <c r="H5177">
        <v>0.93581320000000001</v>
      </c>
      <c r="I5177">
        <v>141.9408</v>
      </c>
      <c r="J5177">
        <v>-349.41989999999998</v>
      </c>
      <c r="K5177">
        <v>1.109656</v>
      </c>
      <c r="L5177">
        <v>141.83670000000001</v>
      </c>
      <c r="M5177">
        <v>-0.99974810000000003</v>
      </c>
      <c r="N5177">
        <v>0</v>
      </c>
      <c r="O5177">
        <v>-1.685969E-2</v>
      </c>
      <c r="P5177">
        <v>-0.99992780000000003</v>
      </c>
      <c r="Q5177">
        <v>-1.1576990000000001E-2</v>
      </c>
      <c r="R5177">
        <v>3.2261849999999999E-3</v>
      </c>
      <c r="S5177">
        <v>-2.992432</v>
      </c>
      <c r="T5177">
        <v>-0.56416919999999904</v>
      </c>
      <c r="U5177">
        <v>0.3166504</v>
      </c>
      <c r="V5177">
        <v>2.0085510000000001E-2</v>
      </c>
      <c r="W5177">
        <v>3.2313450000000001E-3</v>
      </c>
      <c r="X5177">
        <v>0.99979309999999999</v>
      </c>
      <c r="Y5177">
        <v>0.1196038</v>
      </c>
      <c r="Z5177">
        <v>1.4289039999999999E-2</v>
      </c>
      <c r="AA5177">
        <v>0.99271889999999996</v>
      </c>
      <c r="AB5177">
        <v>37</v>
      </c>
      <c r="AC5177">
        <v>-0.54740000000003797</v>
      </c>
      <c r="AD5177">
        <v>-0.17384279999999899</v>
      </c>
      <c r="AE5177">
        <v>0.10409999999998799</v>
      </c>
      <c r="AF5177">
        <v>0.103263884335863</v>
      </c>
      <c r="AG5177">
        <v>-0.17384279999999899</v>
      </c>
      <c r="AH5177">
        <v>0.49717383496192102</v>
      </c>
      <c r="AI5177">
        <v>108.89891482331799</v>
      </c>
      <c r="AJ5177">
        <v>78.266396244182801</v>
      </c>
      <c r="AK5177">
        <v>0.5367183349679</v>
      </c>
      <c r="AL5177">
        <v>89.814857257529098</v>
      </c>
      <c r="AM5177">
        <v>88.849101710235203</v>
      </c>
      <c r="AN5177">
        <v>1.00000005605503</v>
      </c>
    </row>
    <row r="5178" spans="1:40" x14ac:dyDescent="0.25">
      <c r="A5178" t="str">
        <f>"20190312160749363"</f>
        <v>20190312160749363</v>
      </c>
      <c r="B5178" t="str">
        <f>"1552378069350325"</f>
        <v>1552378069350325</v>
      </c>
      <c r="C5178" t="s">
        <v>40</v>
      </c>
      <c r="D5178">
        <v>6.0459120000000004</v>
      </c>
      <c r="E5178">
        <v>0.53574259999999996</v>
      </c>
      <c r="F5178" t="s">
        <v>44</v>
      </c>
      <c r="G5178">
        <v>-350.3</v>
      </c>
      <c r="H5178">
        <v>0.94518729999999995</v>
      </c>
      <c r="I5178">
        <v>141.93010000000001</v>
      </c>
      <c r="J5178">
        <v>-349.77789999999999</v>
      </c>
      <c r="K5178">
        <v>1.1096619999999999</v>
      </c>
      <c r="L5178">
        <v>141.8306</v>
      </c>
      <c r="M5178">
        <v>-0.99974689999999999</v>
      </c>
      <c r="N5178">
        <v>0</v>
      </c>
      <c r="O5178">
        <v>-1.694383E-2</v>
      </c>
      <c r="P5178">
        <v>-0.99993359999999998</v>
      </c>
      <c r="Q5178">
        <v>-1.111643E-2</v>
      </c>
      <c r="R5178">
        <v>3.051107E-3</v>
      </c>
      <c r="S5178">
        <v>-2.992737</v>
      </c>
      <c r="T5178">
        <v>-0.55925449999999999</v>
      </c>
      <c r="U5178">
        <v>0.31709290000000001</v>
      </c>
      <c r="V5178">
        <v>1.999457E-2</v>
      </c>
      <c r="W5178">
        <v>3.6910129999999999E-3</v>
      </c>
      <c r="X5178">
        <v>0.9997933</v>
      </c>
      <c r="Y5178">
        <v>0.11985750000000001</v>
      </c>
      <c r="Z5178">
        <v>1.4204140000000001E-2</v>
      </c>
      <c r="AA5178">
        <v>0.9926895</v>
      </c>
      <c r="AB5178">
        <v>37</v>
      </c>
      <c r="AC5178">
        <v>-0.52210000000002299</v>
      </c>
      <c r="AD5178">
        <v>-0.1644747</v>
      </c>
      <c r="AE5178">
        <v>9.9500000000006097E-2</v>
      </c>
      <c r="AF5178">
        <v>9.8865418644306202E-2</v>
      </c>
      <c r="AG5178">
        <v>-0.1644747</v>
      </c>
      <c r="AH5178">
        <v>0.47486454177515702</v>
      </c>
      <c r="AI5178">
        <v>108.731291645025</v>
      </c>
      <c r="AJ5178">
        <v>78.239192387981205</v>
      </c>
      <c r="AK5178">
        <v>0.51217441460808399</v>
      </c>
      <c r="AL5178">
        <v>89.788520057979795</v>
      </c>
      <c r="AM5178">
        <v>88.854311402812399</v>
      </c>
      <c r="AN5178">
        <v>1.0000000245656699</v>
      </c>
    </row>
    <row r="5179" spans="1:40" x14ac:dyDescent="0.25">
      <c r="A5179" t="str">
        <f>"20190312160749387"</f>
        <v>20190312160749387</v>
      </c>
      <c r="B5179" t="str">
        <f>"1552378069380582"</f>
        <v>1552378069380582</v>
      </c>
      <c r="C5179" t="s">
        <v>40</v>
      </c>
      <c r="D5179">
        <v>6.1933749999999996</v>
      </c>
      <c r="E5179">
        <v>0.53486389999999995</v>
      </c>
      <c r="F5179" t="s">
        <v>44</v>
      </c>
      <c r="G5179">
        <v>-350.63049999999998</v>
      </c>
      <c r="H5179">
        <v>0.95027660000000003</v>
      </c>
      <c r="I5179">
        <v>141.9204</v>
      </c>
      <c r="J5179">
        <v>-350.15660000000003</v>
      </c>
      <c r="K5179">
        <v>1.109658</v>
      </c>
      <c r="L5179">
        <v>141.82409999999999</v>
      </c>
      <c r="M5179">
        <v>-0.99974540000000001</v>
      </c>
      <c r="N5179">
        <v>0</v>
      </c>
      <c r="O5179">
        <v>-1.7032749999999999E-2</v>
      </c>
      <c r="P5179">
        <v>-0.99992650000000005</v>
      </c>
      <c r="Q5179">
        <v>-1.1641189999999999E-2</v>
      </c>
      <c r="R5179">
        <v>3.388177E-3</v>
      </c>
      <c r="S5179">
        <v>-2.9930110000000001</v>
      </c>
      <c r="T5179">
        <v>-0.55962040000000002</v>
      </c>
      <c r="U5179">
        <v>0.31417850000000003</v>
      </c>
      <c r="V5179">
        <v>2.042033E-2</v>
      </c>
      <c r="W5179">
        <v>3.1650649999999999E-3</v>
      </c>
      <c r="X5179">
        <v>0.99978650000000002</v>
      </c>
      <c r="Y5179">
        <v>0.1189906</v>
      </c>
      <c r="Z5179">
        <v>1.414901E-2</v>
      </c>
      <c r="AA5179">
        <v>0.99279459999999997</v>
      </c>
      <c r="AB5179">
        <v>37</v>
      </c>
      <c r="AC5179">
        <v>-0.47389999999995702</v>
      </c>
      <c r="AD5179">
        <v>-0.15938140000000001</v>
      </c>
      <c r="AE5179">
        <v>9.6300000000013597E-2</v>
      </c>
      <c r="AF5179">
        <v>9.4133502773321401E-2</v>
      </c>
      <c r="AG5179">
        <v>-0.15938140000000001</v>
      </c>
      <c r="AH5179">
        <v>0.42592482505970503</v>
      </c>
      <c r="AI5179">
        <v>110.071471171743</v>
      </c>
      <c r="AJ5179">
        <v>77.537414309292501</v>
      </c>
      <c r="AK5179">
        <v>0.46440876780318802</v>
      </c>
      <c r="AL5179">
        <v>89.818654835653902</v>
      </c>
      <c r="AM5179">
        <v>88.829914116027197</v>
      </c>
      <c r="AN5179">
        <v>1.000000026548</v>
      </c>
    </row>
    <row r="5180" spans="1:40" x14ac:dyDescent="0.25">
      <c r="A5180" t="str">
        <f>"20190312160749409"</f>
        <v>20190312160749409</v>
      </c>
      <c r="B5180" t="str">
        <f>"1552378069401077"</f>
        <v>1552378069401077</v>
      </c>
      <c r="C5180" t="s">
        <v>40</v>
      </c>
      <c r="D5180">
        <v>6.1648639999999997</v>
      </c>
      <c r="E5180">
        <v>0.53477050000000004</v>
      </c>
      <c r="F5180" t="s">
        <v>44</v>
      </c>
      <c r="G5180">
        <v>-350.9622</v>
      </c>
      <c r="H5180">
        <v>0.95900819999999998</v>
      </c>
      <c r="I5180">
        <v>141.90710000000001</v>
      </c>
      <c r="J5180">
        <v>-350.53140000000002</v>
      </c>
      <c r="K5180">
        <v>1.109661</v>
      </c>
      <c r="L5180">
        <v>141.8176</v>
      </c>
      <c r="M5180">
        <v>-0.99974390000000002</v>
      </c>
      <c r="N5180">
        <v>0</v>
      </c>
      <c r="O5180">
        <v>-1.712058E-2</v>
      </c>
      <c r="P5180">
        <v>-0.99992530000000002</v>
      </c>
      <c r="Q5180">
        <v>-1.1710099999999999E-2</v>
      </c>
      <c r="R5180">
        <v>3.5094800000000002E-3</v>
      </c>
      <c r="S5180">
        <v>-2.9927060000000001</v>
      </c>
      <c r="T5180">
        <v>-0.55964579999999997</v>
      </c>
      <c r="U5180">
        <v>0.30825809999999998</v>
      </c>
      <c r="V5180">
        <v>2.0629450000000001E-2</v>
      </c>
      <c r="W5180">
        <v>3.0944940000000002E-3</v>
      </c>
      <c r="X5180">
        <v>0.99978239999999996</v>
      </c>
      <c r="Y5180">
        <v>0.1171735</v>
      </c>
      <c r="Z5180">
        <v>1.400069E-2</v>
      </c>
      <c r="AA5180">
        <v>0.99301280000000003</v>
      </c>
      <c r="AB5180">
        <v>37</v>
      </c>
      <c r="AC5180">
        <v>-0.43079999999997598</v>
      </c>
      <c r="AD5180">
        <v>-0.150652799999999</v>
      </c>
      <c r="AE5180">
        <v>8.9500000000015206E-2</v>
      </c>
      <c r="AF5180">
        <v>8.6699187922719106E-2</v>
      </c>
      <c r="AG5180">
        <v>-0.150652799999999</v>
      </c>
      <c r="AH5180">
        <v>0.38416714454852602</v>
      </c>
      <c r="AI5180">
        <v>110.933537207695</v>
      </c>
      <c r="AJ5180">
        <v>77.282488940789506</v>
      </c>
      <c r="AK5180">
        <v>0.42166030200253302</v>
      </c>
      <c r="AL5180">
        <v>89.822698270874199</v>
      </c>
      <c r="AM5180">
        <v>88.817930066522706</v>
      </c>
      <c r="AN5180">
        <v>0.99999999872508905</v>
      </c>
    </row>
    <row r="5181" spans="1:40" x14ac:dyDescent="0.25">
      <c r="A5181" t="str">
        <f>"20190312160749443"</f>
        <v>20190312160749443</v>
      </c>
      <c r="B5181" t="str">
        <f>"1552378069430358"</f>
        <v>1552378069430358</v>
      </c>
      <c r="C5181" t="s">
        <v>40</v>
      </c>
      <c r="D5181">
        <v>5.9816159999999998</v>
      </c>
      <c r="E5181">
        <v>0.53464140000000004</v>
      </c>
      <c r="F5181" t="s">
        <v>44</v>
      </c>
      <c r="G5181">
        <v>-351.29340000000002</v>
      </c>
      <c r="H5181">
        <v>0.96700200000000003</v>
      </c>
      <c r="I5181">
        <v>141.8963</v>
      </c>
      <c r="J5181">
        <v>-351.05439999999999</v>
      </c>
      <c r="K5181">
        <v>1.109667</v>
      </c>
      <c r="L5181">
        <v>141.80850000000001</v>
      </c>
      <c r="M5181">
        <v>-0.99974189999999996</v>
      </c>
      <c r="N5181">
        <v>0</v>
      </c>
      <c r="O5181">
        <v>-1.724345E-2</v>
      </c>
      <c r="P5181">
        <v>-0.9999304</v>
      </c>
      <c r="Q5181">
        <v>-1.140555E-2</v>
      </c>
      <c r="R5181">
        <v>3.0640699999999999E-3</v>
      </c>
      <c r="S5181">
        <v>-2.9925540000000002</v>
      </c>
      <c r="T5181">
        <v>-0.56030649999999904</v>
      </c>
      <c r="U5181">
        <v>0.30781560000000002</v>
      </c>
      <c r="V5181">
        <v>2.030713E-2</v>
      </c>
      <c r="W5181">
        <v>3.3963299999999999E-3</v>
      </c>
      <c r="X5181">
        <v>0.99978800000000001</v>
      </c>
      <c r="Y5181">
        <v>0.11714810000000001</v>
      </c>
      <c r="Z5181">
        <v>1.4038149999999999E-2</v>
      </c>
      <c r="AA5181">
        <v>0.99301519999999999</v>
      </c>
      <c r="AB5181">
        <v>37</v>
      </c>
      <c r="AC5181">
        <v>-0.23900000000003199</v>
      </c>
      <c r="AD5181">
        <v>-0.14266499999999899</v>
      </c>
      <c r="AE5181">
        <v>8.7799999999987194E-2</v>
      </c>
      <c r="AF5181">
        <v>6.9948328833972395E-2</v>
      </c>
      <c r="AG5181">
        <v>-0.14266499999999899</v>
      </c>
      <c r="AH5181">
        <v>0.180714935799247</v>
      </c>
      <c r="AI5181">
        <v>126.36131037606199</v>
      </c>
      <c r="AJ5181">
        <v>68.840350447014899</v>
      </c>
      <c r="AK5181">
        <v>0.240632414592448</v>
      </c>
      <c r="AL5181">
        <v>89.805404247115206</v>
      </c>
      <c r="AM5181">
        <v>88.836400438402094</v>
      </c>
      <c r="AN5181">
        <v>0.99999997976515198</v>
      </c>
    </row>
    <row r="5182" spans="1:40" x14ac:dyDescent="0.25">
      <c r="A5182" t="str">
        <f>"20190312160749464"</f>
        <v>20190312160749464</v>
      </c>
      <c r="B5182" t="str">
        <f>"1552378069460615"</f>
        <v>1552378069460615</v>
      </c>
      <c r="C5182" t="s">
        <v>40</v>
      </c>
      <c r="D5182">
        <v>5.6986049999999997</v>
      </c>
      <c r="E5182">
        <v>0.53487810000000002</v>
      </c>
      <c r="F5182" t="s">
        <v>44</v>
      </c>
      <c r="G5182">
        <v>-351.93650000000002</v>
      </c>
      <c r="H5182">
        <v>0.94428069999999997</v>
      </c>
      <c r="I5182">
        <v>141.8989</v>
      </c>
      <c r="J5182">
        <v>-351.42590000000001</v>
      </c>
      <c r="K5182">
        <v>1.109667</v>
      </c>
      <c r="L5182">
        <v>141.80199999999999</v>
      </c>
      <c r="M5182">
        <v>-0.99974050000000003</v>
      </c>
      <c r="N5182">
        <v>0</v>
      </c>
      <c r="O5182">
        <v>-1.7330689999999999E-2</v>
      </c>
      <c r="P5182">
        <v>-0.99993319999999997</v>
      </c>
      <c r="Q5182">
        <v>-1.128119E-2</v>
      </c>
      <c r="R5182">
        <v>2.5961230000000001E-3</v>
      </c>
      <c r="S5182">
        <v>-2.9928590000000002</v>
      </c>
      <c r="T5182">
        <v>-0.56112600000000001</v>
      </c>
      <c r="U5182">
        <v>0.30561830000000001</v>
      </c>
      <c r="V5182">
        <v>1.9926570000000001E-2</v>
      </c>
      <c r="W5182">
        <v>3.5179230000000001E-3</v>
      </c>
      <c r="X5182">
        <v>0.99979530000000005</v>
      </c>
      <c r="Y5182">
        <v>0.1165061</v>
      </c>
      <c r="Z5182">
        <v>1.40141E-2</v>
      </c>
      <c r="AA5182">
        <v>0.9930911</v>
      </c>
      <c r="AB5182">
        <v>37</v>
      </c>
      <c r="AC5182">
        <v>-0.51060000000001005</v>
      </c>
      <c r="AD5182">
        <v>-0.16538630000000001</v>
      </c>
      <c r="AE5182">
        <v>9.6899999999976602E-2</v>
      </c>
      <c r="AF5182">
        <v>9.60124891106552E-2</v>
      </c>
      <c r="AG5182">
        <v>-0.16538630000000001</v>
      </c>
      <c r="AH5182">
        <v>0.462052714972773</v>
      </c>
      <c r="AI5182">
        <v>109.313116375818</v>
      </c>
      <c r="AJ5182">
        <v>78.261246286086802</v>
      </c>
      <c r="AK5182">
        <v>0.50006373364464696</v>
      </c>
      <c r="AL5182">
        <v>89.798437452352204</v>
      </c>
      <c r="AM5182">
        <v>88.8582090521098</v>
      </c>
      <c r="AN5182">
        <v>1.0000000429381399</v>
      </c>
    </row>
    <row r="5183" spans="1:40" x14ac:dyDescent="0.25">
      <c r="A5183" t="str">
        <f>"20190312160749487"</f>
        <v>20190312160749487</v>
      </c>
      <c r="B5183" t="str">
        <f>"1552378069481110"</f>
        <v>1552378069481110</v>
      </c>
      <c r="C5183" t="s">
        <v>40</v>
      </c>
      <c r="D5183">
        <v>5.8739679999999996</v>
      </c>
      <c r="E5183">
        <v>0.53467290000000001</v>
      </c>
      <c r="F5183" t="s">
        <v>44</v>
      </c>
      <c r="G5183">
        <v>-352.26620000000003</v>
      </c>
      <c r="H5183">
        <v>0.95177029999999996</v>
      </c>
      <c r="I5183">
        <v>141.88810000000001</v>
      </c>
      <c r="J5183">
        <v>-351.79770000000002</v>
      </c>
      <c r="K5183">
        <v>1.109666</v>
      </c>
      <c r="L5183">
        <v>141.7955</v>
      </c>
      <c r="M5183">
        <v>-0.99973900000000004</v>
      </c>
      <c r="N5183">
        <v>0</v>
      </c>
      <c r="O5183">
        <v>-1.741769E-2</v>
      </c>
      <c r="P5183">
        <v>-0.9999323</v>
      </c>
      <c r="Q5183">
        <v>-1.14441E-2</v>
      </c>
      <c r="R5183">
        <v>2.233152E-3</v>
      </c>
      <c r="S5183">
        <v>-2.9930729999999999</v>
      </c>
      <c r="T5183">
        <v>-0.56238599999999905</v>
      </c>
      <c r="U5183">
        <v>0.30651859999999997</v>
      </c>
      <c r="V5183">
        <v>1.965074E-2</v>
      </c>
      <c r="W5183">
        <v>3.3529380000000002E-3</v>
      </c>
      <c r="X5183">
        <v>0.9998013</v>
      </c>
      <c r="Y5183">
        <v>0.1168633</v>
      </c>
      <c r="Z5183">
        <v>1.40932E-2</v>
      </c>
      <c r="AA5183">
        <v>0.99304800000000004</v>
      </c>
      <c r="AB5183">
        <v>37</v>
      </c>
      <c r="AC5183">
        <v>-0.46850000000000502</v>
      </c>
      <c r="AD5183">
        <v>-0.157895699999999</v>
      </c>
      <c r="AE5183">
        <v>9.2600000000004401E-2</v>
      </c>
      <c r="AF5183">
        <v>9.0819168838052605E-2</v>
      </c>
      <c r="AG5183">
        <v>-0.157895699999999</v>
      </c>
      <c r="AH5183">
        <v>0.42081467455568999</v>
      </c>
      <c r="AI5183">
        <v>110.14152168949499</v>
      </c>
      <c r="AJ5183">
        <v>77.821357827977593</v>
      </c>
      <c r="AK5183">
        <v>0.45854570527738697</v>
      </c>
      <c r="AL5183">
        <v>89.807890446868896</v>
      </c>
      <c r="AM5183">
        <v>88.874016748097603</v>
      </c>
      <c r="AN5183">
        <v>1.0000000166287299</v>
      </c>
    </row>
    <row r="5184" spans="1:40" x14ac:dyDescent="0.25">
      <c r="A5184" t="str">
        <f>"20190312160749509"</f>
        <v>20190312160749509</v>
      </c>
      <c r="B5184" t="str">
        <f>"1552378069500630"</f>
        <v>1552378069500630</v>
      </c>
      <c r="C5184" t="s">
        <v>40</v>
      </c>
      <c r="D5184">
        <v>5.9161999999999999</v>
      </c>
      <c r="E5184">
        <v>0.53461309999999995</v>
      </c>
      <c r="F5184" t="s">
        <v>44</v>
      </c>
      <c r="G5184">
        <v>-352.59570000000002</v>
      </c>
      <c r="H5184">
        <v>0.95947749999999998</v>
      </c>
      <c r="I5184">
        <v>141.8768</v>
      </c>
      <c r="J5184">
        <v>-352.1585</v>
      </c>
      <c r="K5184">
        <v>1.109669</v>
      </c>
      <c r="L5184">
        <v>141.78909999999999</v>
      </c>
      <c r="M5184">
        <v>-0.9997374</v>
      </c>
      <c r="N5184">
        <v>0</v>
      </c>
      <c r="O5184">
        <v>-1.7502420000000001E-2</v>
      </c>
      <c r="P5184">
        <v>-0.9999344</v>
      </c>
      <c r="Q5184">
        <v>-1.125043E-2</v>
      </c>
      <c r="R5184">
        <v>2.2432720000000001E-3</v>
      </c>
      <c r="S5184">
        <v>-2.993042</v>
      </c>
      <c r="T5184">
        <v>-0.56339530000000004</v>
      </c>
      <c r="U5184">
        <v>0.3037262</v>
      </c>
      <c r="V5184">
        <v>1.9745639999999998E-2</v>
      </c>
      <c r="W5184">
        <v>3.5436719999999999E-3</v>
      </c>
      <c r="X5184">
        <v>0.99979879999999999</v>
      </c>
      <c r="Y5184">
        <v>0.11603579999999999</v>
      </c>
      <c r="Z5184">
        <v>1.405761E-2</v>
      </c>
      <c r="AA5184">
        <v>0.99314550000000001</v>
      </c>
      <c r="AB5184">
        <v>37</v>
      </c>
      <c r="AC5184">
        <v>-0.43720000000001802</v>
      </c>
      <c r="AD5184">
        <v>-0.15019150000000001</v>
      </c>
      <c r="AE5184">
        <v>8.7700000000012296E-2</v>
      </c>
      <c r="AF5184">
        <v>8.5625410265283197E-2</v>
      </c>
      <c r="AG5184">
        <v>-0.15019150000000001</v>
      </c>
      <c r="AH5184">
        <v>0.39121522409347897</v>
      </c>
      <c r="AI5184">
        <v>110.55767369244499</v>
      </c>
      <c r="AJ5184">
        <v>77.654332619849995</v>
      </c>
      <c r="AK5184">
        <v>0.42771316219852201</v>
      </c>
      <c r="AL5184">
        <v>89.796962134448094</v>
      </c>
      <c r="AM5184">
        <v>88.868577579863</v>
      </c>
      <c r="AN5184">
        <v>1.0000000441958401</v>
      </c>
    </row>
    <row r="5185" spans="1:40" x14ac:dyDescent="0.25">
      <c r="A5185" t="str">
        <f>"20190312160749531"</f>
        <v>20190312160749531</v>
      </c>
      <c r="B5185" t="str">
        <f>"1552378069521126"</f>
        <v>1552378069521126</v>
      </c>
      <c r="C5185" t="s">
        <v>40</v>
      </c>
      <c r="D5185">
        <v>5.6714979999999997</v>
      </c>
      <c r="E5185">
        <v>0.53453009999999901</v>
      </c>
      <c r="F5185" t="s">
        <v>44</v>
      </c>
      <c r="G5185">
        <v>-352.92419999999998</v>
      </c>
      <c r="H5185">
        <v>0.96579309999999996</v>
      </c>
      <c r="I5185">
        <v>141.86660000000001</v>
      </c>
      <c r="J5185">
        <v>-352.51220000000001</v>
      </c>
      <c r="K5185">
        <v>1.1096790000000001</v>
      </c>
      <c r="L5185">
        <v>141.78280000000001</v>
      </c>
      <c r="M5185">
        <v>-0.99973599999999996</v>
      </c>
      <c r="N5185">
        <v>0</v>
      </c>
      <c r="O5185">
        <v>-1.7585480000000001E-2</v>
      </c>
      <c r="P5185">
        <v>-0.99994430000000001</v>
      </c>
      <c r="Q5185">
        <v>-1.0393060000000001E-2</v>
      </c>
      <c r="R5185">
        <v>1.9287499999999999E-3</v>
      </c>
      <c r="S5185">
        <v>-2.9932249999999998</v>
      </c>
      <c r="T5185">
        <v>-0.56245089999999998</v>
      </c>
      <c r="U5185">
        <v>0.3031006</v>
      </c>
      <c r="V5185">
        <v>1.951425E-2</v>
      </c>
      <c r="W5185">
        <v>4.3986340000000002E-3</v>
      </c>
      <c r="X5185">
        <v>0.99979989999999996</v>
      </c>
      <c r="Y5185">
        <v>0.1159153</v>
      </c>
      <c r="Z5185">
        <v>1.4038E-2</v>
      </c>
      <c r="AA5185">
        <v>0.99315989999999998</v>
      </c>
      <c r="AB5185">
        <v>36</v>
      </c>
      <c r="AC5185">
        <v>-0.411999999999977</v>
      </c>
      <c r="AD5185">
        <v>-0.14388589999999901</v>
      </c>
      <c r="AE5185">
        <v>8.3799999999996502E-2</v>
      </c>
      <c r="AF5185">
        <v>8.1488940967589199E-2</v>
      </c>
      <c r="AG5185">
        <v>-0.14388589999999901</v>
      </c>
      <c r="AH5185">
        <v>0.36742865308762701</v>
      </c>
      <c r="AI5185">
        <v>110.92249096929299</v>
      </c>
      <c r="AJ5185">
        <v>77.495248367034193</v>
      </c>
      <c r="AK5185">
        <v>0.402923584353928</v>
      </c>
      <c r="AL5185">
        <v>89.747976022720906</v>
      </c>
      <c r="AM5185">
        <v>88.881834038367302</v>
      </c>
      <c r="AN5185">
        <v>0.99999999698706898</v>
      </c>
    </row>
    <row r="5186" spans="1:40" x14ac:dyDescent="0.25">
      <c r="A5186" t="str">
        <f>"20190312160749549"</f>
        <v>20190312160749549</v>
      </c>
      <c r="B5186" t="str">
        <f>"1552378069540646"</f>
        <v>1552378069540646</v>
      </c>
      <c r="C5186" t="s">
        <v>40</v>
      </c>
      <c r="D5186">
        <v>5.698645</v>
      </c>
      <c r="E5186">
        <v>0.53195999999999999</v>
      </c>
      <c r="F5186" t="s">
        <v>44</v>
      </c>
      <c r="G5186">
        <v>-353.25199999999899</v>
      </c>
      <c r="H5186">
        <v>0.97132289999999999</v>
      </c>
      <c r="I5186">
        <v>141.85759999999999</v>
      </c>
      <c r="J5186">
        <v>-352.79660000000001</v>
      </c>
      <c r="K5186">
        <v>1.1096820000000001</v>
      </c>
      <c r="L5186">
        <v>141.77770000000001</v>
      </c>
      <c r="M5186">
        <v>-0.99973500000000004</v>
      </c>
      <c r="N5186">
        <v>0</v>
      </c>
      <c r="O5186">
        <v>-1.7652689999999999E-2</v>
      </c>
      <c r="P5186">
        <v>-0.99994519999999998</v>
      </c>
      <c r="Q5186">
        <v>-1.034814E-2</v>
      </c>
      <c r="R5186">
        <v>1.670773E-3</v>
      </c>
      <c r="S5186">
        <v>-2.9937740000000002</v>
      </c>
      <c r="T5186">
        <v>-0.55990620000000002</v>
      </c>
      <c r="U5186">
        <v>0.30175780000000002</v>
      </c>
      <c r="V5186">
        <v>1.9323420000000001E-2</v>
      </c>
      <c r="W5186">
        <v>4.4410719999999999E-3</v>
      </c>
      <c r="X5186">
        <v>0.99980340000000001</v>
      </c>
      <c r="Y5186">
        <v>0.1155494</v>
      </c>
      <c r="Z5186">
        <v>1.3951949999999999E-2</v>
      </c>
      <c r="AA5186">
        <v>0.99320379999999997</v>
      </c>
      <c r="AB5186">
        <v>36</v>
      </c>
      <c r="AC5186">
        <v>-0.45539999999994002</v>
      </c>
      <c r="AD5186">
        <v>-0.13835910000000001</v>
      </c>
      <c r="AE5186">
        <v>7.9899999999980695E-2</v>
      </c>
      <c r="AF5186">
        <v>8.0700762056907294E-2</v>
      </c>
      <c r="AG5186">
        <v>-0.13835910000000001</v>
      </c>
      <c r="AH5186">
        <v>0.41661117515860802</v>
      </c>
      <c r="AI5186">
        <v>108.05831754877499</v>
      </c>
      <c r="AJ5186">
        <v>79.037143296330896</v>
      </c>
      <c r="AK5186">
        <v>0.446341489015319</v>
      </c>
      <c r="AL5186">
        <v>89.745544475882994</v>
      </c>
      <c r="AM5186">
        <v>88.892769731395106</v>
      </c>
      <c r="AN5186">
        <v>0.99999997816628206</v>
      </c>
    </row>
    <row r="5187" spans="1:40" x14ac:dyDescent="0.25">
      <c r="A5187" t="str">
        <f>"20190312160749566"</f>
        <v>20190312160749566</v>
      </c>
      <c r="B5187" t="str">
        <f>"1552378069561142"</f>
        <v>1552378069561142</v>
      </c>
      <c r="C5187" t="s">
        <v>40</v>
      </c>
      <c r="D5187">
        <v>5.80931</v>
      </c>
      <c r="E5187">
        <v>0.44370490000000001</v>
      </c>
      <c r="F5187" t="s">
        <v>44</v>
      </c>
      <c r="G5187">
        <v>-353.57479999999998</v>
      </c>
      <c r="H5187">
        <v>0.96744479999999999</v>
      </c>
      <c r="I5187">
        <v>141.85069999999999</v>
      </c>
      <c r="J5187">
        <v>-353.06220000000002</v>
      </c>
      <c r="K5187">
        <v>1.109685</v>
      </c>
      <c r="L5187">
        <v>141.773</v>
      </c>
      <c r="M5187">
        <v>-0.99973369999999995</v>
      </c>
      <c r="N5187">
        <v>0</v>
      </c>
      <c r="O5187">
        <v>-1.771501E-2</v>
      </c>
      <c r="P5187">
        <v>-0.99995429999999996</v>
      </c>
      <c r="Q5187">
        <v>-9.5209830000000002E-3</v>
      </c>
      <c r="R5187">
        <v>9.1633190000000003E-4</v>
      </c>
      <c r="S5187">
        <v>-2.994049</v>
      </c>
      <c r="T5187">
        <v>-0.54717780000000005</v>
      </c>
      <c r="U5187">
        <v>0.28036499999999998</v>
      </c>
      <c r="V5187">
        <v>1.8631499999999999E-2</v>
      </c>
      <c r="W5187">
        <v>5.2659899999999999E-3</v>
      </c>
      <c r="X5187">
        <v>0.99981249999999999</v>
      </c>
      <c r="Y5187">
        <v>0.1087801</v>
      </c>
      <c r="Z5187">
        <v>1.3042389999999999E-2</v>
      </c>
      <c r="AA5187">
        <v>0.99398030000000004</v>
      </c>
      <c r="AB5187">
        <v>36</v>
      </c>
      <c r="AC5187">
        <v>-0.51259999999996297</v>
      </c>
      <c r="AD5187">
        <v>-0.14224020000000001</v>
      </c>
      <c r="AE5187">
        <v>7.7699999999992997E-2</v>
      </c>
      <c r="AF5187">
        <v>8.0695558291111802E-2</v>
      </c>
      <c r="AG5187">
        <v>-0.14224020000000001</v>
      </c>
      <c r="AH5187">
        <v>0.475362415210276</v>
      </c>
      <c r="AI5187">
        <v>106.436289081119</v>
      </c>
      <c r="AJ5187">
        <v>80.365550205260107</v>
      </c>
      <c r="AK5187">
        <v>0.50270615016975995</v>
      </c>
      <c r="AL5187">
        <v>89.698279588249605</v>
      </c>
      <c r="AM5187">
        <v>88.932417054942903</v>
      </c>
      <c r="AN5187">
        <v>0.99999994929958802</v>
      </c>
    </row>
    <row r="5188" spans="1:40" x14ac:dyDescent="0.25">
      <c r="A5188" t="str">
        <f>"20190312160749588"</f>
        <v>20190312160749588</v>
      </c>
      <c r="B5188" t="str">
        <f>"1552378069580662"</f>
        <v>1552378069580662</v>
      </c>
      <c r="C5188" t="s">
        <v>40</v>
      </c>
      <c r="D5188">
        <v>5.8726940000000001</v>
      </c>
      <c r="E5188">
        <v>0.43526510000000002</v>
      </c>
      <c r="F5188" t="s">
        <v>47</v>
      </c>
      <c r="G5188">
        <v>-365.20839999999998</v>
      </c>
      <c r="H5188" s="1">
        <v>-2.1405909999999998E-6</v>
      </c>
      <c r="I5188">
        <v>140.00229999999999</v>
      </c>
      <c r="J5188">
        <v>-353.4359</v>
      </c>
      <c r="K5188">
        <v>1.109693</v>
      </c>
      <c r="L5188">
        <v>141.7663</v>
      </c>
      <c r="M5188">
        <v>-0.99973230000000002</v>
      </c>
      <c r="N5188">
        <v>0</v>
      </c>
      <c r="O5188">
        <v>-1.7803079999999999E-2</v>
      </c>
      <c r="P5188">
        <v>-0.9999557</v>
      </c>
      <c r="Q5188">
        <v>-9.3989569999999995E-3</v>
      </c>
      <c r="R5188">
        <v>7.120796E-4</v>
      </c>
      <c r="S5188">
        <v>-2.9979550000000001</v>
      </c>
      <c r="T5188">
        <v>-0.2738968</v>
      </c>
      <c r="U5188">
        <v>-0.437027</v>
      </c>
      <c r="V5188">
        <v>1.8515340000000002E-2</v>
      </c>
      <c r="W5188">
        <v>5.3847209999999899E-3</v>
      </c>
      <c r="X5188">
        <v>0.99981410000000004</v>
      </c>
      <c r="Y5188">
        <v>-0.1261671</v>
      </c>
      <c r="Z5188">
        <v>-4.1071199999999997E-3</v>
      </c>
      <c r="AA5188">
        <v>0.99200049999999995</v>
      </c>
      <c r="AB5188">
        <v>36</v>
      </c>
      <c r="AC5188">
        <v>-11.7724999999999</v>
      </c>
      <c r="AD5188">
        <v>-1.1096951405910001</v>
      </c>
      <c r="AE5188">
        <v>-1.76400000000001</v>
      </c>
      <c r="AF5188">
        <v>-1.54072162776975</v>
      </c>
      <c r="AG5188">
        <v>-1.1096951405910001</v>
      </c>
      <c r="AH5188">
        <v>11.7003640224624</v>
      </c>
      <c r="AI5188">
        <v>95.371786817015007</v>
      </c>
      <c r="AJ5188">
        <v>97.501634086011094</v>
      </c>
      <c r="AK5188">
        <v>11.853428394243601</v>
      </c>
      <c r="AL5188">
        <v>89.691476729224206</v>
      </c>
      <c r="AM5188">
        <v>88.9390731817805</v>
      </c>
      <c r="AN5188">
        <v>1.00000002379718</v>
      </c>
    </row>
    <row r="5189" spans="1:40" x14ac:dyDescent="0.25">
      <c r="A5189" t="str">
        <f>"20190312160749611"</f>
        <v>20190312160749611</v>
      </c>
      <c r="B5189" t="str">
        <f>"1552378069601158"</f>
        <v>1552378069601158</v>
      </c>
      <c r="C5189" t="s">
        <v>40</v>
      </c>
      <c r="D5189">
        <v>5.8641220000000001</v>
      </c>
      <c r="E5189">
        <v>0.4318284</v>
      </c>
      <c r="F5189" t="s">
        <v>47</v>
      </c>
      <c r="G5189">
        <v>-366.41230000000002</v>
      </c>
      <c r="H5189" s="1">
        <v>-1.52842099999999E-6</v>
      </c>
      <c r="I5189">
        <v>139.57679999999999</v>
      </c>
      <c r="J5189">
        <v>-353.80610000000001</v>
      </c>
      <c r="K5189">
        <v>1.109699</v>
      </c>
      <c r="L5189">
        <v>141.75960000000001</v>
      </c>
      <c r="M5189">
        <v>-0.99973080000000003</v>
      </c>
      <c r="N5189">
        <v>0</v>
      </c>
      <c r="O5189">
        <v>-1.7890070000000001E-2</v>
      </c>
      <c r="P5189">
        <v>-0.99995789999999996</v>
      </c>
      <c r="Q5189">
        <v>-9.1465920000000003E-3</v>
      </c>
      <c r="R5189">
        <v>7.4239439999999998E-4</v>
      </c>
      <c r="S5189">
        <v>-2.9981080000000002</v>
      </c>
      <c r="T5189">
        <v>-0.25638929999999999</v>
      </c>
      <c r="U5189">
        <v>-0.50585939999999996</v>
      </c>
      <c r="V5189">
        <v>1.8632449999999998E-2</v>
      </c>
      <c r="W5189">
        <v>5.6341029999999997E-3</v>
      </c>
      <c r="X5189">
        <v>0.99981050000000005</v>
      </c>
      <c r="Y5189">
        <v>-0.14824300000000001</v>
      </c>
      <c r="Z5189">
        <v>-4.7669440000000004E-3</v>
      </c>
      <c r="AA5189">
        <v>0.98893949999999997</v>
      </c>
      <c r="AB5189">
        <v>36</v>
      </c>
      <c r="AC5189">
        <v>-12.606199999999999</v>
      </c>
      <c r="AD5189">
        <v>-1.109700528421</v>
      </c>
      <c r="AE5189">
        <v>-2.1828000000000101</v>
      </c>
      <c r="AF5189">
        <v>-1.9422875829398001</v>
      </c>
      <c r="AG5189">
        <v>-1.109700528421</v>
      </c>
      <c r="AH5189">
        <v>12.548827044739699</v>
      </c>
      <c r="AI5189">
        <v>94.994392135163196</v>
      </c>
      <c r="AJ5189">
        <v>98.798334649400502</v>
      </c>
      <c r="AK5189">
        <v>12.746645696669001</v>
      </c>
      <c r="AL5189">
        <v>89.677187960380195</v>
      </c>
      <c r="AM5189">
        <v>88.932360497459399</v>
      </c>
      <c r="AN5189">
        <v>0.99999997360993298</v>
      </c>
    </row>
    <row r="5190" spans="1:40" x14ac:dyDescent="0.25">
      <c r="A5190" t="str">
        <f>"20190312160749634"</f>
        <v>20190312160749634</v>
      </c>
      <c r="B5190" t="str">
        <f>"1552378069620678"</f>
        <v>1552378069620678</v>
      </c>
      <c r="C5190" t="s">
        <v>40</v>
      </c>
      <c r="D5190">
        <v>5.8372710000000003</v>
      </c>
      <c r="E5190">
        <v>0.43091869999999999</v>
      </c>
      <c r="F5190" t="s">
        <v>47</v>
      </c>
      <c r="G5190">
        <v>-367.44049999999999</v>
      </c>
      <c r="H5190" s="1">
        <v>-1.1305889999999999E-6</v>
      </c>
      <c r="I5190">
        <v>139.333</v>
      </c>
      <c r="J5190">
        <v>-354.1653</v>
      </c>
      <c r="K5190">
        <v>1.1097030000000001</v>
      </c>
      <c r="L5190">
        <v>141.75309999999999</v>
      </c>
      <c r="M5190">
        <v>-0.99972930000000004</v>
      </c>
      <c r="N5190">
        <v>0</v>
      </c>
      <c r="O5190">
        <v>-1.797468E-2</v>
      </c>
      <c r="P5190">
        <v>-0.9999593</v>
      </c>
      <c r="Q5190">
        <v>-9.0188409999999997E-3</v>
      </c>
      <c r="R5190">
        <v>4.9099440000000005E-4</v>
      </c>
      <c r="S5190">
        <v>-2.9983219999999999</v>
      </c>
      <c r="T5190">
        <v>-0.244035</v>
      </c>
      <c r="U5190">
        <v>-0.53361510000000001</v>
      </c>
      <c r="V5190">
        <v>1.84659E-2</v>
      </c>
      <c r="W5190">
        <v>5.7580799999999996E-3</v>
      </c>
      <c r="X5190">
        <v>0.9998129</v>
      </c>
      <c r="Y5190">
        <v>-0.15704570000000001</v>
      </c>
      <c r="Z5190">
        <v>-4.8822220000000003E-3</v>
      </c>
      <c r="AA5190">
        <v>0.98757930000000005</v>
      </c>
      <c r="AB5190">
        <v>36</v>
      </c>
      <c r="AC5190">
        <v>-13.2751999999999</v>
      </c>
      <c r="AD5190">
        <v>-1.1097041305890001</v>
      </c>
      <c r="AE5190">
        <v>-2.4200999999999899</v>
      </c>
      <c r="AF5190">
        <v>-2.16641415454214</v>
      </c>
      <c r="AG5190">
        <v>-1.1097041305890001</v>
      </c>
      <c r="AH5190">
        <v>13.227106382717601</v>
      </c>
      <c r="AI5190">
        <v>94.732898726269497</v>
      </c>
      <c r="AJ5190">
        <v>99.301655430031502</v>
      </c>
      <c r="AK5190">
        <v>13.449205805778099</v>
      </c>
      <c r="AL5190">
        <v>89.670084491492702</v>
      </c>
      <c r="AM5190">
        <v>88.941904173435304</v>
      </c>
      <c r="AN5190">
        <v>0.99999998997725303</v>
      </c>
    </row>
    <row r="5191" spans="1:40" x14ac:dyDescent="0.25">
      <c r="A5191" t="str">
        <f>"20190312160749655"</f>
        <v>20190312160749655</v>
      </c>
      <c r="B5191" t="str">
        <f>"1552378069650935"</f>
        <v>1552378069650935</v>
      </c>
      <c r="C5191" t="s">
        <v>40</v>
      </c>
      <c r="D5191">
        <v>5.8675680000000003</v>
      </c>
      <c r="E5191">
        <v>0.43027680000000001</v>
      </c>
      <c r="F5191" t="s">
        <v>47</v>
      </c>
      <c r="G5191">
        <v>-367.7808</v>
      </c>
      <c r="H5191" s="1">
        <v>-9.9135959999999993E-7</v>
      </c>
      <c r="I5191">
        <v>139.29470000000001</v>
      </c>
      <c r="J5191">
        <v>-354.51670000000001</v>
      </c>
      <c r="K5191">
        <v>1.109699</v>
      </c>
      <c r="L5191">
        <v>141.7467</v>
      </c>
      <c r="M5191">
        <v>-0.9997279</v>
      </c>
      <c r="N5191">
        <v>0</v>
      </c>
      <c r="O5191">
        <v>-1.8057500000000001E-2</v>
      </c>
      <c r="P5191">
        <v>-0.99996090000000004</v>
      </c>
      <c r="Q5191">
        <v>-8.8234349999999993E-3</v>
      </c>
      <c r="R5191">
        <v>6.8415269999999996E-4</v>
      </c>
      <c r="S5191">
        <v>-2.99823</v>
      </c>
      <c r="T5191">
        <v>-0.24436620000000001</v>
      </c>
      <c r="U5191">
        <v>-0.54133609999999999</v>
      </c>
      <c r="V5191">
        <v>1.8741629999999999E-2</v>
      </c>
      <c r="W5191">
        <v>5.9507190000000001E-3</v>
      </c>
      <c r="X5191">
        <v>0.99980659999999999</v>
      </c>
      <c r="Y5191">
        <v>-0.15942429999999999</v>
      </c>
      <c r="Z5191">
        <v>-4.9772050000000002E-3</v>
      </c>
      <c r="AA5191">
        <v>0.98719760000000001</v>
      </c>
      <c r="AB5191">
        <v>36</v>
      </c>
      <c r="AC5191">
        <v>-13.2640999999999</v>
      </c>
      <c r="AD5191">
        <v>-1.1096999913596</v>
      </c>
      <c r="AE5191">
        <v>-2.4519999999999902</v>
      </c>
      <c r="AF5191">
        <v>-2.1971868823981899</v>
      </c>
      <c r="AG5191">
        <v>-1.1096999913596</v>
      </c>
      <c r="AH5191">
        <v>13.21676714961</v>
      </c>
      <c r="AI5191">
        <v>94.734706569388507</v>
      </c>
      <c r="AJ5191">
        <v>99.438668003439901</v>
      </c>
      <c r="AK5191">
        <v>13.444032064600799</v>
      </c>
      <c r="AL5191">
        <v>89.659046886427106</v>
      </c>
      <c r="AM5191">
        <v>88.926101755542803</v>
      </c>
      <c r="AN5191">
        <v>0.99999994857761498</v>
      </c>
    </row>
    <row r="5192" spans="1:40" x14ac:dyDescent="0.25">
      <c r="A5192" t="str">
        <f>"20190312160749678"</f>
        <v>20190312160749678</v>
      </c>
      <c r="B5192" t="str">
        <f>"1552378069670454"</f>
        <v>1552378069670454</v>
      </c>
      <c r="C5192" t="s">
        <v>40</v>
      </c>
      <c r="D5192">
        <v>5.8453220000000004</v>
      </c>
      <c r="E5192">
        <v>0.43043969999999998</v>
      </c>
      <c r="F5192" t="s">
        <v>47</v>
      </c>
      <c r="G5192">
        <v>-368.0872</v>
      </c>
      <c r="H5192" s="1">
        <v>-8.6328499999999996E-7</v>
      </c>
      <c r="I5192">
        <v>139.2757</v>
      </c>
      <c r="J5192">
        <v>-354.89030000000002</v>
      </c>
      <c r="K5192">
        <v>1.109699</v>
      </c>
      <c r="L5192">
        <v>141.73990000000001</v>
      </c>
      <c r="M5192">
        <v>-0.99972629999999996</v>
      </c>
      <c r="N5192">
        <v>0</v>
      </c>
      <c r="O5192">
        <v>-1.8145439999999999E-2</v>
      </c>
      <c r="P5192">
        <v>-0.99995880000000004</v>
      </c>
      <c r="Q5192">
        <v>-9.0108050000000002E-3</v>
      </c>
      <c r="R5192">
        <v>1.052608E-3</v>
      </c>
      <c r="S5192">
        <v>-2.9983219999999999</v>
      </c>
      <c r="T5192">
        <v>-0.24518139999999999</v>
      </c>
      <c r="U5192">
        <v>-0.54594419999999899</v>
      </c>
      <c r="V5192">
        <v>1.919802E-2</v>
      </c>
      <c r="W5192">
        <v>5.7595090000000003E-3</v>
      </c>
      <c r="X5192">
        <v>0.99979910000000005</v>
      </c>
      <c r="Y5192">
        <v>-0.16079399999999999</v>
      </c>
      <c r="Z5192">
        <v>-5.0412749999999996E-3</v>
      </c>
      <c r="AA5192">
        <v>0.98697509999999999</v>
      </c>
      <c r="AB5192">
        <v>36</v>
      </c>
      <c r="AC5192">
        <v>-13.1968999999999</v>
      </c>
      <c r="AD5192">
        <v>-1.1096998632849999</v>
      </c>
      <c r="AE5192">
        <v>-2.4641999999999999</v>
      </c>
      <c r="AF5192">
        <v>-2.2092099891038899</v>
      </c>
      <c r="AG5192">
        <v>-1.1096998632849999</v>
      </c>
      <c r="AH5192">
        <v>13.1496003133269</v>
      </c>
      <c r="AI5192">
        <v>94.757421697621297</v>
      </c>
      <c r="AJ5192">
        <v>99.536962633423897</v>
      </c>
      <c r="AK5192">
        <v>13.379986209364301</v>
      </c>
      <c r="AL5192">
        <v>89.670002613858401</v>
      </c>
      <c r="AM5192">
        <v>88.899948638975005</v>
      </c>
      <c r="AN5192">
        <v>0.99999998813832502</v>
      </c>
    </row>
    <row r="5193" spans="1:40" x14ac:dyDescent="0.25">
      <c r="A5193" t="str">
        <f>"20190312160749699"</f>
        <v>20190312160749699</v>
      </c>
      <c r="B5193" t="str">
        <f>"1552378069690950"</f>
        <v>1552378069690950</v>
      </c>
      <c r="C5193" t="s">
        <v>40</v>
      </c>
      <c r="D5193">
        <v>5.8742799999999997</v>
      </c>
      <c r="E5193">
        <v>0.43041040000000003</v>
      </c>
      <c r="F5193" t="s">
        <v>47</v>
      </c>
      <c r="G5193">
        <v>-368.56959999999998</v>
      </c>
      <c r="H5193" s="1">
        <v>-6.5918390000000002E-7</v>
      </c>
      <c r="I5193">
        <v>139.25970000000001</v>
      </c>
      <c r="J5193">
        <v>-355.23820000000001</v>
      </c>
      <c r="K5193">
        <v>1.109701</v>
      </c>
      <c r="L5193">
        <v>141.73349999999999</v>
      </c>
      <c r="M5193">
        <v>-0.99972490000000003</v>
      </c>
      <c r="N5193">
        <v>0</v>
      </c>
      <c r="O5193">
        <v>-1.822754E-2</v>
      </c>
      <c r="P5193">
        <v>-0.99996220000000002</v>
      </c>
      <c r="Q5193">
        <v>-8.6628650000000005E-3</v>
      </c>
      <c r="R5193">
        <v>9.925260999999999E-4</v>
      </c>
      <c r="S5193">
        <v>-2.9985050000000002</v>
      </c>
      <c r="T5193">
        <v>-0.2432464</v>
      </c>
      <c r="U5193">
        <v>-0.54362489999999997</v>
      </c>
      <c r="V5193">
        <v>1.9220190000000002E-2</v>
      </c>
      <c r="W5193">
        <v>6.103303E-3</v>
      </c>
      <c r="X5193">
        <v>0.99979660000000004</v>
      </c>
      <c r="Y5193">
        <v>-0.15997339999999999</v>
      </c>
      <c r="Z5193">
        <v>-4.9621020000000004E-3</v>
      </c>
      <c r="AA5193">
        <v>0.98710889999999996</v>
      </c>
      <c r="AB5193">
        <v>36</v>
      </c>
      <c r="AC5193">
        <v>-13.331399999999901</v>
      </c>
      <c r="AD5193">
        <v>-1.1097016591839</v>
      </c>
      <c r="AE5193">
        <v>-2.4737999999999798</v>
      </c>
      <c r="AF5193">
        <v>-2.21552378670127</v>
      </c>
      <c r="AG5193">
        <v>-1.1097016591839</v>
      </c>
      <c r="AH5193">
        <v>13.285293271660199</v>
      </c>
      <c r="AI5193">
        <v>94.710004844483393</v>
      </c>
      <c r="AJ5193">
        <v>99.4678117135132</v>
      </c>
      <c r="AK5193">
        <v>13.5143997549226</v>
      </c>
      <c r="AL5193">
        <v>89.650304309748194</v>
      </c>
      <c r="AM5193">
        <v>88.898675851931699</v>
      </c>
      <c r="AN5193">
        <v>0.99999995369135097</v>
      </c>
    </row>
    <row r="5194" spans="1:40" x14ac:dyDescent="0.25">
      <c r="A5194" t="str">
        <f>"20190312160749722"</f>
        <v>20190312160749722</v>
      </c>
      <c r="B5194" t="str">
        <f>"1552378069710471"</f>
        <v>1552378069710471</v>
      </c>
      <c r="C5194" t="s">
        <v>40</v>
      </c>
      <c r="D5194">
        <v>5.8643150000000004</v>
      </c>
      <c r="E5194">
        <v>0.430419</v>
      </c>
      <c r="F5194" t="s">
        <v>47</v>
      </c>
      <c r="G5194">
        <v>-369.00119999999998</v>
      </c>
      <c r="H5194" s="1">
        <v>-4.783161E-7</v>
      </c>
      <c r="I5194">
        <v>139.23560000000001</v>
      </c>
      <c r="J5194">
        <v>-355.58800000000002</v>
      </c>
      <c r="K5194">
        <v>1.1097030000000001</v>
      </c>
      <c r="L5194">
        <v>141.727</v>
      </c>
      <c r="M5194">
        <v>-0.99972340000000004</v>
      </c>
      <c r="N5194">
        <v>0</v>
      </c>
      <c r="O5194">
        <v>-1.8310119999999999E-2</v>
      </c>
      <c r="P5194">
        <v>-0.99996209999999996</v>
      </c>
      <c r="Q5194">
        <v>-8.6468039999999993E-3</v>
      </c>
      <c r="R5194">
        <v>1.0448199999999999E-3</v>
      </c>
      <c r="S5194">
        <v>-2.9985659999999998</v>
      </c>
      <c r="T5194">
        <v>-0.24177309999999999</v>
      </c>
      <c r="U5194">
        <v>-0.54418949999999999</v>
      </c>
      <c r="V5194">
        <v>1.9354980000000001E-2</v>
      </c>
      <c r="W5194">
        <v>6.1161770000000004E-3</v>
      </c>
      <c r="X5194">
        <v>0.99979390000000001</v>
      </c>
      <c r="Y5194">
        <v>-0.16007360000000001</v>
      </c>
      <c r="Z5194">
        <v>-4.9293760000000001E-3</v>
      </c>
      <c r="AA5194">
        <v>0.98709279999999999</v>
      </c>
      <c r="AB5194">
        <v>36</v>
      </c>
      <c r="AC5194">
        <v>-13.4131999999999</v>
      </c>
      <c r="AD5194">
        <v>-1.1097034783160999</v>
      </c>
      <c r="AE5194">
        <v>-2.4913999999999898</v>
      </c>
      <c r="AF5194">
        <v>-2.2305997511431999</v>
      </c>
      <c r="AG5194">
        <v>-1.1097034783160999</v>
      </c>
      <c r="AH5194">
        <v>13.368125463978799</v>
      </c>
      <c r="AI5194">
        <v>94.680886801336001</v>
      </c>
      <c r="AJ5194">
        <v>99.473076053314301</v>
      </c>
      <c r="AK5194">
        <v>13.598301198321201</v>
      </c>
      <c r="AL5194">
        <v>89.649566662715699</v>
      </c>
      <c r="AM5194">
        <v>88.8909512620599</v>
      </c>
      <c r="AN5194">
        <v>0.99999993267455001</v>
      </c>
    </row>
    <row r="5195" spans="1:40" x14ac:dyDescent="0.25">
      <c r="A5195" t="str">
        <f>"20190312160749743"</f>
        <v>20190312160749743</v>
      </c>
      <c r="B5195" t="str">
        <f>"1552378069740726"</f>
        <v>1552378069740726</v>
      </c>
      <c r="C5195" t="s">
        <v>40</v>
      </c>
      <c r="D5195">
        <v>5.8913840000000004</v>
      </c>
      <c r="E5195">
        <v>0.43031809999999998</v>
      </c>
      <c r="F5195" t="s">
        <v>47</v>
      </c>
      <c r="G5195">
        <v>-369.32859999999999</v>
      </c>
      <c r="H5195" s="1">
        <v>-3.3813589999999999E-7</v>
      </c>
      <c r="I5195">
        <v>139.23390000000001</v>
      </c>
      <c r="J5195">
        <v>-355.94540000000001</v>
      </c>
      <c r="K5195">
        <v>1.1097060000000001</v>
      </c>
      <c r="L5195">
        <v>141.72040000000001</v>
      </c>
      <c r="M5195">
        <v>-0.99972179999999999</v>
      </c>
      <c r="N5195">
        <v>0</v>
      </c>
      <c r="O5195">
        <v>-1.8394359999999998E-2</v>
      </c>
      <c r="P5195">
        <v>-0.99995860000000003</v>
      </c>
      <c r="Q5195">
        <v>-9.0204129999999997E-3</v>
      </c>
      <c r="R5195">
        <v>1.175946E-3</v>
      </c>
      <c r="S5195">
        <v>-2.998596</v>
      </c>
      <c r="T5195">
        <v>-0.2421693</v>
      </c>
      <c r="U5195">
        <v>-0.54403690000000005</v>
      </c>
      <c r="V5195">
        <v>1.9570489999999999E-2</v>
      </c>
      <c r="W5195">
        <v>5.738529E-3</v>
      </c>
      <c r="X5195">
        <v>0.99979200000000001</v>
      </c>
      <c r="Y5195">
        <v>-0.15993929999999901</v>
      </c>
      <c r="Z5195">
        <v>-4.925296E-3</v>
      </c>
      <c r="AA5195">
        <v>0.98711450000000001</v>
      </c>
      <c r="AB5195">
        <v>36</v>
      </c>
      <c r="AC5195">
        <v>-13.383199999999899</v>
      </c>
      <c r="AD5195">
        <v>-1.10970633813589</v>
      </c>
      <c r="AE5195">
        <v>-2.4864999999999999</v>
      </c>
      <c r="AF5195">
        <v>-2.2250891285789902</v>
      </c>
      <c r="AG5195">
        <v>-1.10970633813589</v>
      </c>
      <c r="AH5195">
        <v>13.338033709692199</v>
      </c>
      <c r="AI5195">
        <v>94.691440061025702</v>
      </c>
      <c r="AJ5195">
        <v>99.471030164411701</v>
      </c>
      <c r="AK5195">
        <v>13.5678153373307</v>
      </c>
      <c r="AL5195">
        <v>89.671204699485102</v>
      </c>
      <c r="AM5195">
        <v>88.8786034511553</v>
      </c>
      <c r="AN5195">
        <v>0.99999998902896103</v>
      </c>
    </row>
    <row r="5196" spans="1:40" x14ac:dyDescent="0.25">
      <c r="A5196" t="str">
        <f>"20190312160749768"</f>
        <v>20190312160749768</v>
      </c>
      <c r="B5196" t="str">
        <f>"1552378069760250"</f>
        <v>1552378069760250</v>
      </c>
      <c r="C5196" t="s">
        <v>40</v>
      </c>
      <c r="D5196">
        <v>5.8976129999999998</v>
      </c>
      <c r="E5196">
        <v>0.4302163</v>
      </c>
      <c r="F5196" t="s">
        <v>47</v>
      </c>
      <c r="G5196">
        <v>-369.61540000000002</v>
      </c>
      <c r="H5196" s="1">
        <v>-2.1746169999999999E-7</v>
      </c>
      <c r="I5196">
        <v>139.23849999999999</v>
      </c>
      <c r="J5196">
        <v>-356.32839999999999</v>
      </c>
      <c r="K5196">
        <v>1.1097079999999999</v>
      </c>
      <c r="L5196">
        <v>141.7132</v>
      </c>
      <c r="M5196">
        <v>-0.99972030000000001</v>
      </c>
      <c r="N5196">
        <v>0</v>
      </c>
      <c r="O5196">
        <v>-1.8485049999999999E-2</v>
      </c>
      <c r="P5196">
        <v>-0.99995789999999996</v>
      </c>
      <c r="Q5196">
        <v>-9.122069E-3</v>
      </c>
      <c r="R5196">
        <v>1.194051E-3</v>
      </c>
      <c r="S5196">
        <v>-2.9985659999999998</v>
      </c>
      <c r="T5196">
        <v>-0.24341950000000001</v>
      </c>
      <c r="U5196">
        <v>-0.54438779999999998</v>
      </c>
      <c r="V5196">
        <v>1.9679240000000001E-2</v>
      </c>
      <c r="W5196">
        <v>5.63315E-3</v>
      </c>
      <c r="X5196">
        <v>0.99979050000000003</v>
      </c>
      <c r="Y5196">
        <v>-0.15995899999999999</v>
      </c>
      <c r="Z5196">
        <v>-4.9441509999999999E-3</v>
      </c>
      <c r="AA5196">
        <v>0.98711130000000002</v>
      </c>
      <c r="AB5196">
        <v>36</v>
      </c>
      <c r="AC5196">
        <v>-13.287000000000001</v>
      </c>
      <c r="AD5196">
        <v>-1.1097082174616999</v>
      </c>
      <c r="AE5196">
        <v>-2.4747000000000101</v>
      </c>
      <c r="AF5196">
        <v>-2.2137158086200799</v>
      </c>
      <c r="AG5196">
        <v>-1.1097082174616999</v>
      </c>
      <c r="AH5196">
        <v>13.2412140726218</v>
      </c>
      <c r="AI5196">
        <v>94.725321191299003</v>
      </c>
      <c r="AJ5196">
        <v>99.491145698502805</v>
      </c>
      <c r="AK5196">
        <v>13.4707735533723</v>
      </c>
      <c r="AL5196">
        <v>89.677242580512001</v>
      </c>
      <c r="AM5196">
        <v>88.872371947801199</v>
      </c>
      <c r="AN5196">
        <v>1.00000002437807</v>
      </c>
    </row>
    <row r="5197" spans="1:40" x14ac:dyDescent="0.25">
      <c r="A5197" t="str">
        <f>"20190312160749788"</f>
        <v>20190312160749788</v>
      </c>
      <c r="B5197" t="str">
        <f>"1552378069780746"</f>
        <v>1552378069780746</v>
      </c>
      <c r="C5197" t="s">
        <v>40</v>
      </c>
      <c r="D5197">
        <v>5.897214</v>
      </c>
      <c r="E5197">
        <v>0.4300272</v>
      </c>
      <c r="F5197" t="s">
        <v>47</v>
      </c>
      <c r="G5197">
        <v>-369.94909999999999</v>
      </c>
      <c r="H5197" s="1">
        <v>-1.0425480000000001E-7</v>
      </c>
      <c r="I5197">
        <v>139.2371</v>
      </c>
      <c r="J5197">
        <v>-356.6669</v>
      </c>
      <c r="K5197">
        <v>1.1097049999999999</v>
      </c>
      <c r="L5197">
        <v>141.70689999999999</v>
      </c>
      <c r="M5197">
        <v>-0.99971880000000002</v>
      </c>
      <c r="N5197">
        <v>0</v>
      </c>
      <c r="O5197">
        <v>-1.8564879999999999E-2</v>
      </c>
      <c r="P5197">
        <v>-0.9999614</v>
      </c>
      <c r="Q5197">
        <v>-8.7085540000000003E-3</v>
      </c>
      <c r="R5197">
        <v>1.1360350000000001E-3</v>
      </c>
      <c r="S5197">
        <v>-2.9985659999999998</v>
      </c>
      <c r="T5197">
        <v>-0.24430070000000001</v>
      </c>
      <c r="U5197">
        <v>-0.54508970000000001</v>
      </c>
      <c r="V5197">
        <v>1.970104E-2</v>
      </c>
      <c r="W5197">
        <v>6.0432230000000003E-3</v>
      </c>
      <c r="X5197">
        <v>0.9997876</v>
      </c>
      <c r="Y5197">
        <v>-0.1601004</v>
      </c>
      <c r="Z5197">
        <v>-4.9611580000000002E-3</v>
      </c>
      <c r="AA5197">
        <v>0.98708830000000003</v>
      </c>
      <c r="AB5197">
        <v>36</v>
      </c>
      <c r="AC5197">
        <v>-13.2821999999999</v>
      </c>
      <c r="AD5197">
        <v>-1.1097051042547901</v>
      </c>
      <c r="AE5197">
        <v>-2.46979999999999</v>
      </c>
      <c r="AF5197">
        <v>-2.2078684189606501</v>
      </c>
      <c r="AG5197">
        <v>-1.1097051042547901</v>
      </c>
      <c r="AH5197">
        <v>13.236460195859999</v>
      </c>
      <c r="AI5197">
        <v>94.727289226585398</v>
      </c>
      <c r="AJ5197">
        <v>99.469868125869098</v>
      </c>
      <c r="AK5197">
        <v>13.4651404333723</v>
      </c>
      <c r="AL5197">
        <v>89.653746701966597</v>
      </c>
      <c r="AM5197">
        <v>88.8711198488609</v>
      </c>
      <c r="AN5197">
        <v>0.99999994831753303</v>
      </c>
    </row>
    <row r="5198" spans="1:40" x14ac:dyDescent="0.25">
      <c r="A5198" t="str">
        <f>"20190312160749811"</f>
        <v>20190312160749811</v>
      </c>
      <c r="B5198" t="str">
        <f>"1552378069800263"</f>
        <v>1552378069800263</v>
      </c>
      <c r="C5198" t="s">
        <v>40</v>
      </c>
      <c r="D5198">
        <v>5.8950230000000001</v>
      </c>
      <c r="E5198">
        <v>0.42980239999999997</v>
      </c>
      <c r="F5198" t="s">
        <v>47</v>
      </c>
      <c r="G5198">
        <v>-370.35849999999999</v>
      </c>
      <c r="H5198" s="1">
        <v>-4.1904739999999996E-6</v>
      </c>
      <c r="I5198">
        <v>139.21039999999999</v>
      </c>
      <c r="J5198">
        <v>-357.02980000000002</v>
      </c>
      <c r="K5198">
        <v>1.109707</v>
      </c>
      <c r="L5198">
        <v>141.70009999999999</v>
      </c>
      <c r="M5198">
        <v>-0.99971739999999998</v>
      </c>
      <c r="N5198">
        <v>0</v>
      </c>
      <c r="O5198">
        <v>-1.8650440000000001E-2</v>
      </c>
      <c r="P5198">
        <v>-0.99996160000000001</v>
      </c>
      <c r="Q5198">
        <v>-8.7468570000000002E-3</v>
      </c>
      <c r="R5198">
        <v>8.1928049999999998E-4</v>
      </c>
      <c r="S5198">
        <v>-2.9986570000000001</v>
      </c>
      <c r="T5198">
        <v>-0.2430435</v>
      </c>
      <c r="U5198">
        <v>-0.54675289999999999</v>
      </c>
      <c r="V5198">
        <v>1.9470100000000001E-2</v>
      </c>
      <c r="W5198">
        <v>6.0012619999999899E-3</v>
      </c>
      <c r="X5198">
        <v>0.99979249999999997</v>
      </c>
      <c r="Y5198">
        <v>-0.1605442</v>
      </c>
      <c r="Z5198">
        <v>-4.94627E-3</v>
      </c>
      <c r="AA5198">
        <v>0.98701629999999996</v>
      </c>
      <c r="AB5198">
        <v>36</v>
      </c>
      <c r="AC5198">
        <v>-13.3286999999999</v>
      </c>
      <c r="AD5198">
        <v>-1.109711190474</v>
      </c>
      <c r="AE5198">
        <v>-2.4896999999999898</v>
      </c>
      <c r="AF5198">
        <v>-2.2257455349849198</v>
      </c>
      <c r="AG5198">
        <v>-1.109711190474</v>
      </c>
      <c r="AH5198">
        <v>13.2838441262624</v>
      </c>
      <c r="AI5198">
        <v>94.709956011803499</v>
      </c>
      <c r="AJ5198">
        <v>99.511715667871002</v>
      </c>
      <c r="AK5198">
        <v>13.514655633186001</v>
      </c>
      <c r="AL5198">
        <v>89.656150976249194</v>
      </c>
      <c r="AM5198">
        <v>88.884354936645906</v>
      </c>
      <c r="AN5198">
        <v>1.00000007149792</v>
      </c>
    </row>
    <row r="5199" spans="1:40" x14ac:dyDescent="0.25">
      <c r="A5199" t="str">
        <f>"20190312160749836"</f>
        <v>20190312160749836</v>
      </c>
      <c r="B5199" t="str">
        <f>"1552378069830519"</f>
        <v>1552378069830519</v>
      </c>
      <c r="C5199" t="s">
        <v>40</v>
      </c>
      <c r="D5199">
        <v>5.853008</v>
      </c>
      <c r="E5199">
        <v>0.41845080000000001</v>
      </c>
      <c r="F5199" t="s">
        <v>47</v>
      </c>
      <c r="G5199">
        <v>-370.69260000000003</v>
      </c>
      <c r="H5199" s="1">
        <v>-4.0495890000000001E-6</v>
      </c>
      <c r="I5199">
        <v>139.19649999999999</v>
      </c>
      <c r="J5199">
        <v>-357.39819999999997</v>
      </c>
      <c r="K5199">
        <v>1.1097079999999999</v>
      </c>
      <c r="L5199">
        <v>141.69309999999999</v>
      </c>
      <c r="M5199">
        <v>-0.99971569999999998</v>
      </c>
      <c r="N5199">
        <v>0</v>
      </c>
      <c r="O5199">
        <v>-1.8737420000000001E-2</v>
      </c>
      <c r="P5199">
        <v>-0.99996439999999998</v>
      </c>
      <c r="Q5199">
        <v>-8.4107569999999996E-3</v>
      </c>
      <c r="R5199">
        <v>4.776135E-4</v>
      </c>
      <c r="S5199">
        <v>-2.9984440000000001</v>
      </c>
      <c r="T5199">
        <v>-0.2435369</v>
      </c>
      <c r="U5199">
        <v>-0.54940800000000001</v>
      </c>
      <c r="V5199">
        <v>1.921513E-2</v>
      </c>
      <c r="W5199">
        <v>6.3331339999999998E-3</v>
      </c>
      <c r="X5199">
        <v>0.99979530000000005</v>
      </c>
      <c r="Y5199">
        <v>-0.16131239999999999</v>
      </c>
      <c r="Z5199">
        <v>-4.9801410000000004E-3</v>
      </c>
      <c r="AA5199">
        <v>0.98689079999999996</v>
      </c>
      <c r="AB5199">
        <v>36</v>
      </c>
      <c r="AC5199">
        <v>-13.2944</v>
      </c>
      <c r="AD5199">
        <v>-1.1097120495889901</v>
      </c>
      <c r="AE5199">
        <v>-2.4965999999999999</v>
      </c>
      <c r="AF5199">
        <v>-2.2320097797004999</v>
      </c>
      <c r="AG5199">
        <v>-1.1097120495889901</v>
      </c>
      <c r="AH5199">
        <v>13.2496768430471</v>
      </c>
      <c r="AI5199">
        <v>94.721355546429706</v>
      </c>
      <c r="AJ5199">
        <v>99.562136999537799</v>
      </c>
      <c r="AK5199">
        <v>13.482109068497399</v>
      </c>
      <c r="AL5199">
        <v>89.637135719886501</v>
      </c>
      <c r="AM5199">
        <v>88.898964289174501</v>
      </c>
      <c r="AN5199">
        <v>0.99999998585463401</v>
      </c>
    </row>
    <row r="5200" spans="1:40" x14ac:dyDescent="0.25">
      <c r="A5200" t="str">
        <f>"20190312160749867"</f>
        <v>20190312160749867</v>
      </c>
      <c r="B5200" t="str">
        <f>"1552378069860778"</f>
        <v>1552378069860778</v>
      </c>
      <c r="C5200" t="s">
        <v>40</v>
      </c>
      <c r="D5200">
        <v>5.8788559999999999</v>
      </c>
      <c r="E5200">
        <v>0.41645769999999999</v>
      </c>
      <c r="F5200" t="s">
        <v>47</v>
      </c>
      <c r="G5200">
        <v>-373.75389999999999</v>
      </c>
      <c r="H5200" s="1">
        <v>-2.9151880000000002E-6</v>
      </c>
      <c r="I5200">
        <v>138.18819999999999</v>
      </c>
      <c r="J5200">
        <v>-357.92239999999998</v>
      </c>
      <c r="K5200">
        <v>1.1097129999999999</v>
      </c>
      <c r="L5200">
        <v>141.6831</v>
      </c>
      <c r="M5200">
        <v>-0.99971350000000003</v>
      </c>
      <c r="N5200">
        <v>0</v>
      </c>
      <c r="O5200">
        <v>-1.886123E-2</v>
      </c>
      <c r="P5200">
        <v>-0.9999652</v>
      </c>
      <c r="Q5200">
        <v>-8.3551860000000006E-3</v>
      </c>
      <c r="R5200">
        <v>-1.7759350000000001E-4</v>
      </c>
      <c r="S5200">
        <v>-2.998688</v>
      </c>
      <c r="T5200">
        <v>-0.20345759999999999</v>
      </c>
      <c r="U5200">
        <v>-0.64259339999999998</v>
      </c>
      <c r="V5200">
        <v>1.8684010000000001E-2</v>
      </c>
      <c r="W5200">
        <v>6.3832009999999998E-3</v>
      </c>
      <c r="X5200">
        <v>0.99980500000000005</v>
      </c>
      <c r="Y5200">
        <v>-0.19067539999999999</v>
      </c>
      <c r="Z5200">
        <v>-5.1254559999999996E-3</v>
      </c>
      <c r="AA5200">
        <v>0.9816397</v>
      </c>
      <c r="AB5200">
        <v>36</v>
      </c>
      <c r="AC5200">
        <v>-15.8315</v>
      </c>
      <c r="AD5200">
        <v>-1.1097159151880001</v>
      </c>
      <c r="AE5200">
        <v>-3.4948999999999999</v>
      </c>
      <c r="AF5200">
        <v>-3.1807422250521502</v>
      </c>
      <c r="AG5200">
        <v>-1.1097159151880001</v>
      </c>
      <c r="AH5200">
        <v>15.820488593513</v>
      </c>
      <c r="AI5200">
        <v>93.933929765655094</v>
      </c>
      <c r="AJ5200">
        <v>101.367882323584</v>
      </c>
      <c r="AK5200">
        <v>16.1751800562506</v>
      </c>
      <c r="AL5200">
        <v>89.634267016475107</v>
      </c>
      <c r="AM5200">
        <v>88.929400907767302</v>
      </c>
      <c r="AN5200">
        <v>0.99999993775484097</v>
      </c>
    </row>
    <row r="5201" spans="1:40" x14ac:dyDescent="0.25">
      <c r="A5201" t="str">
        <f>"20190312160749890"</f>
        <v>20190312160749890</v>
      </c>
      <c r="B5201" t="str">
        <f>"1552378069880294"</f>
        <v>1552378069880294</v>
      </c>
      <c r="C5201" t="s">
        <v>40</v>
      </c>
      <c r="D5201">
        <v>5.8792160000000004</v>
      </c>
      <c r="E5201">
        <v>0.41597400000000001</v>
      </c>
      <c r="F5201" t="s">
        <v>47</v>
      </c>
      <c r="G5201">
        <v>-375.47359999999998</v>
      </c>
      <c r="H5201" s="1">
        <v>-2.2437729999999999E-6</v>
      </c>
      <c r="I5201">
        <v>137.8141</v>
      </c>
      <c r="J5201">
        <v>-358.27449999999999</v>
      </c>
      <c r="K5201">
        <v>1.1097129999999999</v>
      </c>
      <c r="L5201">
        <v>141.6764</v>
      </c>
      <c r="M5201">
        <v>-0.99971200000000005</v>
      </c>
      <c r="N5201">
        <v>0</v>
      </c>
      <c r="O5201">
        <v>-1.89444E-2</v>
      </c>
      <c r="P5201">
        <v>-0.99996640000000003</v>
      </c>
      <c r="Q5201">
        <v>-8.1368689999999997E-3</v>
      </c>
      <c r="R5201">
        <v>-9.3067590000000004E-4</v>
      </c>
      <c r="S5201">
        <v>-2.9984440000000001</v>
      </c>
      <c r="T5201">
        <v>-0.18958349999999999</v>
      </c>
      <c r="U5201">
        <v>-0.66096499999999903</v>
      </c>
      <c r="V5201">
        <v>1.8014189999999999E-2</v>
      </c>
      <c r="W5201">
        <v>6.5977730000000004E-3</v>
      </c>
      <c r="X5201">
        <v>0.99981589999999998</v>
      </c>
      <c r="Y5201">
        <v>-0.19638939999999999</v>
      </c>
      <c r="Z5201">
        <v>-4.947117E-3</v>
      </c>
      <c r="AA5201">
        <v>0.98051350000000004</v>
      </c>
      <c r="AB5201">
        <v>36</v>
      </c>
      <c r="AC5201">
        <v>-17.199099999999898</v>
      </c>
      <c r="AD5201">
        <v>-1.109715243773</v>
      </c>
      <c r="AE5201">
        <v>-3.8622999999999998</v>
      </c>
      <c r="AF5201">
        <v>-3.5217872104128398</v>
      </c>
      <c r="AG5201">
        <v>-1.109715243773</v>
      </c>
      <c r="AH5201">
        <v>17.201018741264502</v>
      </c>
      <c r="AI5201">
        <v>93.616476167648997</v>
      </c>
      <c r="AJ5201">
        <v>101.57099125686</v>
      </c>
      <c r="AK5201">
        <v>17.592882049710401</v>
      </c>
      <c r="AL5201">
        <v>89.621972686730004</v>
      </c>
      <c r="AM5201">
        <v>88.967784576788006</v>
      </c>
      <c r="AN5201">
        <v>0.99999993777135998</v>
      </c>
    </row>
    <row r="5202" spans="1:40" x14ac:dyDescent="0.25">
      <c r="A5202" t="str">
        <f>"20190312160749911"</f>
        <v>20190312160749911</v>
      </c>
      <c r="B5202" t="str">
        <f>"1552378069900790"</f>
        <v>1552378069900790</v>
      </c>
      <c r="C5202" t="s">
        <v>40</v>
      </c>
      <c r="D5202">
        <v>5.8923779999999999</v>
      </c>
      <c r="E5202">
        <v>0.41561150000000002</v>
      </c>
      <c r="F5202" t="s">
        <v>47</v>
      </c>
      <c r="G5202">
        <v>-376.19490000000002</v>
      </c>
      <c r="H5202" s="1">
        <v>-1.956584E-6</v>
      </c>
      <c r="I5202">
        <v>137.68879999999999</v>
      </c>
      <c r="J5202">
        <v>-358.61799999999999</v>
      </c>
      <c r="K5202">
        <v>1.109704</v>
      </c>
      <c r="L5202">
        <v>141.66980000000001</v>
      </c>
      <c r="M5202">
        <v>-0.99971069999999995</v>
      </c>
      <c r="N5202">
        <v>0</v>
      </c>
      <c r="O5202">
        <v>-1.9026020000000001E-2</v>
      </c>
      <c r="P5202">
        <v>-0.99996799999999997</v>
      </c>
      <c r="Q5202">
        <v>-7.9371069999999901E-3</v>
      </c>
      <c r="R5202">
        <v>-1.2759379999999999E-3</v>
      </c>
      <c r="S5202">
        <v>-2.9980159999999998</v>
      </c>
      <c r="T5202">
        <v>-0.18565209999999999</v>
      </c>
      <c r="U5202">
        <v>-0.667099</v>
      </c>
      <c r="V5202">
        <v>1.7750729999999999E-2</v>
      </c>
      <c r="W5202">
        <v>6.7937500000000003E-3</v>
      </c>
      <c r="X5202">
        <v>0.99981929999999997</v>
      </c>
      <c r="Y5202">
        <v>-0.1982614</v>
      </c>
      <c r="Z5202">
        <v>-4.8965659999999998E-3</v>
      </c>
      <c r="AA5202">
        <v>0.98013689999999998</v>
      </c>
      <c r="AB5202">
        <v>36</v>
      </c>
      <c r="AC5202">
        <v>-17.576899999999899</v>
      </c>
      <c r="AD5202">
        <v>-1.109705956584</v>
      </c>
      <c r="AE5202">
        <v>-3.9810000000000199</v>
      </c>
      <c r="AF5202">
        <v>-3.6320538220140501</v>
      </c>
      <c r="AG5202">
        <v>-1.109705956584</v>
      </c>
      <c r="AH5202">
        <v>17.582804141151701</v>
      </c>
      <c r="AI5202">
        <v>93.536850734010997</v>
      </c>
      <c r="AJ5202">
        <v>101.671344657822</v>
      </c>
      <c r="AK5202">
        <v>17.9882812892779</v>
      </c>
      <c r="AL5202">
        <v>89.610743779424595</v>
      </c>
      <c r="AM5202">
        <v>88.982881132129606</v>
      </c>
      <c r="AN5202">
        <v>0.99999993805354004</v>
      </c>
    </row>
    <row r="5203" spans="1:40" x14ac:dyDescent="0.25">
      <c r="A5203" t="str">
        <f>"20190312160749933"</f>
        <v>20190312160749933</v>
      </c>
      <c r="B5203" t="str">
        <f>"1552378069920311"</f>
        <v>1552378069920311</v>
      </c>
      <c r="C5203" t="s">
        <v>40</v>
      </c>
      <c r="D5203">
        <v>5.900004</v>
      </c>
      <c r="E5203">
        <v>0.41534529999999997</v>
      </c>
      <c r="F5203" t="s">
        <v>47</v>
      </c>
      <c r="G5203">
        <v>-376.65050000000002</v>
      </c>
      <c r="H5203" s="1">
        <v>-1.7709160000000001E-6</v>
      </c>
      <c r="I5203">
        <v>137.6336</v>
      </c>
      <c r="J5203">
        <v>-358.97430000000003</v>
      </c>
      <c r="K5203">
        <v>1.109704</v>
      </c>
      <c r="L5203">
        <v>141.66290000000001</v>
      </c>
      <c r="M5203">
        <v>-0.99970899999999996</v>
      </c>
      <c r="N5203">
        <v>0</v>
      </c>
      <c r="O5203">
        <v>-1.911038E-2</v>
      </c>
      <c r="P5203">
        <v>-0.99996479999999999</v>
      </c>
      <c r="Q5203">
        <v>-8.2949970000000001E-3</v>
      </c>
      <c r="R5203">
        <v>-1.3156140000000001E-3</v>
      </c>
      <c r="S5203">
        <v>-2.9978030000000002</v>
      </c>
      <c r="T5203">
        <v>-0.18448310000000001</v>
      </c>
      <c r="U5203">
        <v>-0.67098999999999998</v>
      </c>
      <c r="V5203">
        <v>1.7795439999999999E-2</v>
      </c>
      <c r="W5203">
        <v>6.4318379999999996E-3</v>
      </c>
      <c r="X5203">
        <v>0.99982090000000001</v>
      </c>
      <c r="Y5203">
        <v>-0.19940749999999999</v>
      </c>
      <c r="Z5203">
        <v>-4.8951350000000001E-3</v>
      </c>
      <c r="AA5203">
        <v>0.97990440000000001</v>
      </c>
      <c r="AB5203">
        <v>36</v>
      </c>
      <c r="AC5203">
        <v>-17.676199999999898</v>
      </c>
      <c r="AD5203">
        <v>-1.1097057709160001</v>
      </c>
      <c r="AE5203">
        <v>-4.0293000000000001</v>
      </c>
      <c r="AF5203">
        <v>-3.67695241030659</v>
      </c>
      <c r="AG5203">
        <v>-1.1097057709160001</v>
      </c>
      <c r="AH5203">
        <v>17.683727110673502</v>
      </c>
      <c r="AI5203">
        <v>93.515767826089302</v>
      </c>
      <c r="AJ5203">
        <v>101.74606159301599</v>
      </c>
      <c r="AK5203">
        <v>18.096011451433998</v>
      </c>
      <c r="AL5203">
        <v>89.631480264780194</v>
      </c>
      <c r="AM5203">
        <v>88.980321415659802</v>
      </c>
      <c r="AN5203">
        <v>0.99999993915082896</v>
      </c>
    </row>
    <row r="5204" spans="1:40" x14ac:dyDescent="0.25">
      <c r="A5204" t="str">
        <f>"20190312160749956"</f>
        <v>20190312160749956</v>
      </c>
      <c r="B5204" t="str">
        <f>"1552378069950566"</f>
        <v>1552378069950566</v>
      </c>
      <c r="C5204" t="s">
        <v>40</v>
      </c>
      <c r="D5204">
        <v>5.7597800000000001</v>
      </c>
      <c r="E5204">
        <v>0.41489100000000001</v>
      </c>
      <c r="F5204" t="s">
        <v>47</v>
      </c>
      <c r="G5204">
        <v>-377.21409999999997</v>
      </c>
      <c r="H5204" s="1">
        <v>-1.5412029999999901E-6</v>
      </c>
      <c r="I5204">
        <v>137.56540000000001</v>
      </c>
      <c r="J5204">
        <v>-359.33640000000003</v>
      </c>
      <c r="K5204">
        <v>1.1097079999999999</v>
      </c>
      <c r="L5204">
        <v>141.6559</v>
      </c>
      <c r="M5204">
        <v>-0.99970749999999997</v>
      </c>
      <c r="N5204">
        <v>0</v>
      </c>
      <c r="O5204">
        <v>-1.919558E-2</v>
      </c>
      <c r="P5204">
        <v>-0.9999614</v>
      </c>
      <c r="Q5204">
        <v>-8.6825840000000001E-3</v>
      </c>
      <c r="R5204">
        <v>-1.393175E-3</v>
      </c>
      <c r="S5204">
        <v>-2.9977420000000001</v>
      </c>
      <c r="T5204">
        <v>-0.18238209999999999</v>
      </c>
      <c r="U5204">
        <v>-0.67341609999999996</v>
      </c>
      <c r="V5204">
        <v>1.780294E-2</v>
      </c>
      <c r="W5204">
        <v>6.0398860000000004E-3</v>
      </c>
      <c r="X5204">
        <v>0.99982329999999997</v>
      </c>
      <c r="Y5204">
        <v>-0.20008960000000001</v>
      </c>
      <c r="Z5204">
        <v>-4.8545319999999999E-3</v>
      </c>
      <c r="AA5204">
        <v>0.97976560000000001</v>
      </c>
      <c r="AB5204">
        <v>36</v>
      </c>
      <c r="AC5204">
        <v>-17.877699999999901</v>
      </c>
      <c r="AD5204">
        <v>-1.109709541203</v>
      </c>
      <c r="AE5204">
        <v>-4.0904999999999898</v>
      </c>
      <c r="AF5204">
        <v>-3.7328690600186798</v>
      </c>
      <c r="AG5204">
        <v>-1.109709541203</v>
      </c>
      <c r="AH5204">
        <v>17.887442131710401</v>
      </c>
      <c r="AI5204">
        <v>93.475313584925502</v>
      </c>
      <c r="AJ5204">
        <v>101.787685000651</v>
      </c>
      <c r="AK5204">
        <v>18.3064565850514</v>
      </c>
      <c r="AL5204">
        <v>89.653937929078097</v>
      </c>
      <c r="AM5204">
        <v>88.979894204681699</v>
      </c>
      <c r="AN5204">
        <v>1.0000000280592101</v>
      </c>
    </row>
    <row r="5205" spans="1:40" x14ac:dyDescent="0.25">
      <c r="A5205" t="str">
        <f>"20190312160749979"</f>
        <v>20190312160749979</v>
      </c>
      <c r="B5205" t="str">
        <f>"1552378069971062"</f>
        <v>1552378069971062</v>
      </c>
      <c r="C5205" t="s">
        <v>40</v>
      </c>
      <c r="D5205">
        <v>5.8776000000000002</v>
      </c>
      <c r="E5205">
        <v>0.41473520000000003</v>
      </c>
      <c r="F5205" t="s">
        <v>47</v>
      </c>
      <c r="G5205">
        <v>-377.4529</v>
      </c>
      <c r="H5205" s="1">
        <v>-1.439372E-6</v>
      </c>
      <c r="I5205">
        <v>137.56219999999999</v>
      </c>
      <c r="J5205">
        <v>-359.70060000000001</v>
      </c>
      <c r="K5205">
        <v>1.109702</v>
      </c>
      <c r="L5205">
        <v>141.6489</v>
      </c>
      <c r="M5205">
        <v>-0.99970570000000003</v>
      </c>
      <c r="N5205">
        <v>0</v>
      </c>
      <c r="O5205">
        <v>-1.9280530000000001E-2</v>
      </c>
      <c r="P5205">
        <v>-0.99996600000000002</v>
      </c>
      <c r="Q5205">
        <v>-8.0830829999999996E-3</v>
      </c>
      <c r="R5205">
        <v>-1.7049070000000001E-3</v>
      </c>
      <c r="S5205">
        <v>-2.99762</v>
      </c>
      <c r="T5205">
        <v>-0.183617</v>
      </c>
      <c r="U5205">
        <v>-0.67735290000000004</v>
      </c>
      <c r="V5205">
        <v>1.7576439999999999E-2</v>
      </c>
      <c r="W5205">
        <v>6.6359189999999997E-3</v>
      </c>
      <c r="X5205">
        <v>0.99982349999999998</v>
      </c>
      <c r="Y5205">
        <v>-0.2012332</v>
      </c>
      <c r="Z5205">
        <v>-4.9162729999999997E-3</v>
      </c>
      <c r="AA5205">
        <v>0.97953100000000004</v>
      </c>
      <c r="AB5205">
        <v>36</v>
      </c>
      <c r="AC5205">
        <v>-17.752299999999899</v>
      </c>
      <c r="AD5205">
        <v>-1.109703439372</v>
      </c>
      <c r="AE5205">
        <v>-4.0867000000000004</v>
      </c>
      <c r="AF5205">
        <v>-3.7297884757522799</v>
      </c>
      <c r="AG5205">
        <v>-1.109703439372</v>
      </c>
      <c r="AH5205">
        <v>17.761889212028599</v>
      </c>
      <c r="AI5205">
        <v>93.498888135406304</v>
      </c>
      <c r="AJ5205">
        <v>101.859135699237</v>
      </c>
      <c r="AK5205">
        <v>18.183164525944999</v>
      </c>
      <c r="AL5205">
        <v>89.6197870571865</v>
      </c>
      <c r="AM5205">
        <v>88.992870131768598</v>
      </c>
      <c r="AN5205">
        <v>0.99999999890814895</v>
      </c>
    </row>
    <row r="5206" spans="1:40" x14ac:dyDescent="0.25">
      <c r="A5206" t="str">
        <f>"20190312160750001"</f>
        <v>20190312160750001</v>
      </c>
      <c r="B5206" t="str">
        <f>"1552378069990583"</f>
        <v>1552378069990583</v>
      </c>
      <c r="C5206" t="s">
        <v>40</v>
      </c>
      <c r="D5206">
        <v>5.8268659999999999</v>
      </c>
      <c r="E5206">
        <v>0.41444110000000001</v>
      </c>
      <c r="F5206" t="s">
        <v>47</v>
      </c>
      <c r="G5206">
        <v>-378.1671</v>
      </c>
      <c r="H5206" s="1">
        <v>-1.182979E-6</v>
      </c>
      <c r="I5206">
        <v>137.46209999999999</v>
      </c>
      <c r="J5206">
        <v>-360.03829999999999</v>
      </c>
      <c r="K5206">
        <v>1.1097030000000001</v>
      </c>
      <c r="L5206">
        <v>141.64230000000001</v>
      </c>
      <c r="M5206">
        <v>-0.99970440000000005</v>
      </c>
      <c r="N5206">
        <v>0</v>
      </c>
      <c r="O5206">
        <v>-1.9359049999999999E-2</v>
      </c>
      <c r="P5206">
        <v>-0.99996560000000001</v>
      </c>
      <c r="Q5206">
        <v>-8.1039219999999995E-3</v>
      </c>
      <c r="R5206">
        <v>-1.8375920000000001E-3</v>
      </c>
      <c r="S5206">
        <v>-2.997528</v>
      </c>
      <c r="T5206">
        <v>-0.1801306</v>
      </c>
      <c r="U5206">
        <v>-0.67959590000000003</v>
      </c>
      <c r="V5206">
        <v>1.752227E-2</v>
      </c>
      <c r="W5206">
        <v>6.6116019999999899E-3</v>
      </c>
      <c r="X5206">
        <v>0.99982459999999995</v>
      </c>
      <c r="Y5206">
        <v>-0.2018712</v>
      </c>
      <c r="Z5206">
        <v>-4.8371059999999999E-3</v>
      </c>
      <c r="AA5206">
        <v>0.97940020000000005</v>
      </c>
      <c r="AB5206">
        <v>35</v>
      </c>
      <c r="AC5206">
        <v>-18.128799999999998</v>
      </c>
      <c r="AD5206">
        <v>-1.109704182979</v>
      </c>
      <c r="AE5206">
        <v>-4.1802000000000099</v>
      </c>
      <c r="AF5206">
        <v>-3.8148497554141101</v>
      </c>
      <c r="AG5206">
        <v>-1.109704182979</v>
      </c>
      <c r="AH5206">
        <v>18.141790914781499</v>
      </c>
      <c r="AI5206">
        <v>93.425597225933998</v>
      </c>
      <c r="AJ5206">
        <v>101.875125205427</v>
      </c>
      <c r="AK5206">
        <v>18.5717285039856</v>
      </c>
      <c r="AL5206">
        <v>89.621180344710993</v>
      </c>
      <c r="AM5206">
        <v>88.995974540350204</v>
      </c>
      <c r="AN5206">
        <v>0.99999998699605896</v>
      </c>
    </row>
    <row r="5207" spans="1:40" x14ac:dyDescent="0.25">
      <c r="A5207" t="str">
        <f>"20190312160750025"</f>
        <v>20190312160750025</v>
      </c>
      <c r="B5207" t="str">
        <f>"1552378070020839"</f>
        <v>1552378070020839</v>
      </c>
      <c r="C5207" t="s">
        <v>40</v>
      </c>
      <c r="D5207">
        <v>5.8067769999999896</v>
      </c>
      <c r="E5207">
        <v>0.4143019</v>
      </c>
      <c r="F5207" t="s">
        <v>47</v>
      </c>
      <c r="G5207">
        <v>-378.62119999999999</v>
      </c>
      <c r="H5207" s="1">
        <v>-1.041689E-6</v>
      </c>
      <c r="I5207">
        <v>137.41229999999999</v>
      </c>
      <c r="J5207">
        <v>-360.4228</v>
      </c>
      <c r="K5207">
        <v>1.1097090000000001</v>
      </c>
      <c r="L5207">
        <v>141.63470000000001</v>
      </c>
      <c r="M5207">
        <v>-0.99970270000000006</v>
      </c>
      <c r="N5207">
        <v>0</v>
      </c>
      <c r="O5207">
        <v>-1.9448300000000002E-2</v>
      </c>
      <c r="P5207">
        <v>-0.99996529999999995</v>
      </c>
      <c r="Q5207">
        <v>-8.1221550000000007E-3</v>
      </c>
      <c r="R5207">
        <v>-1.910084E-3</v>
      </c>
      <c r="S5207">
        <v>-2.9974059999999998</v>
      </c>
      <c r="T5207">
        <v>-0.1789945</v>
      </c>
      <c r="U5207">
        <v>-0.68228149999999999</v>
      </c>
      <c r="V5207">
        <v>1.75389E-2</v>
      </c>
      <c r="W5207">
        <v>6.58919E-3</v>
      </c>
      <c r="X5207">
        <v>0.9998245</v>
      </c>
      <c r="Y5207">
        <v>-0.20262959999999999</v>
      </c>
      <c r="Z5207">
        <v>-4.8234619999999997E-3</v>
      </c>
      <c r="AA5207">
        <v>0.97924359999999999</v>
      </c>
      <c r="AB5207">
        <v>35</v>
      </c>
      <c r="AC5207">
        <v>-18.1983999999999</v>
      </c>
      <c r="AD5207">
        <v>-1.109710041689</v>
      </c>
      <c r="AE5207">
        <v>-4.2224000000000199</v>
      </c>
      <c r="AF5207">
        <v>-3.8540363271507498</v>
      </c>
      <c r="AG5207">
        <v>-1.109710041689</v>
      </c>
      <c r="AH5207">
        <v>18.2128221260839</v>
      </c>
      <c r="AI5207">
        <v>93.411371480480099</v>
      </c>
      <c r="AJ5207">
        <v>101.948163766129</v>
      </c>
      <c r="AK5207">
        <v>18.649180737608699</v>
      </c>
      <c r="AL5207">
        <v>89.622464502179895</v>
      </c>
      <c r="AM5207">
        <v>88.9950217367753</v>
      </c>
      <c r="AN5207">
        <v>1.0000000306191501</v>
      </c>
    </row>
    <row r="5208" spans="1:40" x14ac:dyDescent="0.25">
      <c r="A5208" t="str">
        <f>"20190312160750046"</f>
        <v>20190312160750046</v>
      </c>
      <c r="B5208" t="str">
        <f>"1552378070040359"</f>
        <v>1552378070040359</v>
      </c>
      <c r="C5208" t="s">
        <v>40</v>
      </c>
      <c r="D5208">
        <v>5.6823750000000004</v>
      </c>
      <c r="E5208">
        <v>0.41429919999999998</v>
      </c>
      <c r="F5208" t="s">
        <v>47</v>
      </c>
      <c r="G5208">
        <v>-378.91699999999997</v>
      </c>
      <c r="H5208" s="1">
        <v>-9.3976189999999995E-7</v>
      </c>
      <c r="I5208">
        <v>137.417</v>
      </c>
      <c r="J5208">
        <v>-360.75540000000001</v>
      </c>
      <c r="K5208">
        <v>1.1097049999999999</v>
      </c>
      <c r="L5208">
        <v>141.62819999999999</v>
      </c>
      <c r="M5208">
        <v>-0.99970119999999896</v>
      </c>
      <c r="N5208">
        <v>0</v>
      </c>
      <c r="O5208">
        <v>-1.9525150000000002E-2</v>
      </c>
      <c r="P5208">
        <v>-0.99996439999999998</v>
      </c>
      <c r="Q5208">
        <v>-8.3007710000000002E-3</v>
      </c>
      <c r="R5208">
        <v>-1.6231170000000001E-3</v>
      </c>
      <c r="S5208">
        <v>-2.9973450000000001</v>
      </c>
      <c r="T5208">
        <v>-0.1798507</v>
      </c>
      <c r="U5208">
        <v>-0.68354799999999905</v>
      </c>
      <c r="V5208">
        <v>1.7902850000000001E-2</v>
      </c>
      <c r="W5208">
        <v>6.4075190000000004E-3</v>
      </c>
      <c r="X5208">
        <v>0.99981920000000002</v>
      </c>
      <c r="Y5208">
        <v>-0.20294860000000001</v>
      </c>
      <c r="Z5208">
        <v>-4.8512659999999999E-3</v>
      </c>
      <c r="AA5208">
        <v>0.97917739999999998</v>
      </c>
      <c r="AB5208">
        <v>35</v>
      </c>
      <c r="AC5208">
        <v>-18.1615999999999</v>
      </c>
      <c r="AD5208">
        <v>-1.10970593976189</v>
      </c>
      <c r="AE5208">
        <v>-4.2111999999999901</v>
      </c>
      <c r="AF5208">
        <v>-3.84213825076078</v>
      </c>
      <c r="AG5208">
        <v>-1.10970593976189</v>
      </c>
      <c r="AH5208">
        <v>18.175973877219398</v>
      </c>
      <c r="AI5208">
        <v>93.418414136200198</v>
      </c>
      <c r="AJ5208">
        <v>101.935791049031</v>
      </c>
      <c r="AK5208">
        <v>18.6107361486876</v>
      </c>
      <c r="AL5208">
        <v>89.632873692168005</v>
      </c>
      <c r="AM5208">
        <v>88.974166390815896</v>
      </c>
      <c r="AN5208">
        <v>1.0000000005132399</v>
      </c>
    </row>
    <row r="5209" spans="1:40" x14ac:dyDescent="0.25">
      <c r="A5209" t="str">
        <f>"20190312160750068"</f>
        <v>20190312160750068</v>
      </c>
      <c r="B5209" t="str">
        <f>"1552378070060856"</f>
        <v>1552378070060856</v>
      </c>
      <c r="C5209" t="s">
        <v>40</v>
      </c>
      <c r="D5209">
        <v>5.8141259999999999</v>
      </c>
      <c r="E5209">
        <v>0.41410659999999999</v>
      </c>
      <c r="F5209" t="s">
        <v>47</v>
      </c>
      <c r="G5209">
        <v>-378.98899999999998</v>
      </c>
      <c r="H5209" s="1">
        <v>-8.998344E-7</v>
      </c>
      <c r="I5209">
        <v>137.4751</v>
      </c>
      <c r="J5209">
        <v>-361.10480000000001</v>
      </c>
      <c r="K5209">
        <v>1.109707</v>
      </c>
      <c r="L5209">
        <v>141.62129999999999</v>
      </c>
      <c r="M5209">
        <v>-0.99969980000000003</v>
      </c>
      <c r="N5209">
        <v>0</v>
      </c>
      <c r="O5209">
        <v>-1.9605819999999999E-2</v>
      </c>
      <c r="P5209">
        <v>-0.99996479999999999</v>
      </c>
      <c r="Q5209">
        <v>-8.2019989999999997E-3</v>
      </c>
      <c r="R5209">
        <v>-1.8408789999999999E-3</v>
      </c>
      <c r="S5209">
        <v>-2.9974980000000002</v>
      </c>
      <c r="T5209">
        <v>-0.18243000000000001</v>
      </c>
      <c r="U5209">
        <v>-0.68273930000000005</v>
      </c>
      <c r="V5209">
        <v>1.776579E-2</v>
      </c>
      <c r="W5209">
        <v>6.5024080000000003E-3</v>
      </c>
      <c r="X5209">
        <v>0.99982099999999996</v>
      </c>
      <c r="Y5209">
        <v>-0.20259940000000001</v>
      </c>
      <c r="Z5209">
        <v>-4.905296E-3</v>
      </c>
      <c r="AA5209">
        <v>0.97924940000000005</v>
      </c>
      <c r="AB5209">
        <v>35</v>
      </c>
      <c r="AC5209">
        <v>-17.8842</v>
      </c>
      <c r="AD5209">
        <v>-1.1097078998343901</v>
      </c>
      <c r="AE5209">
        <v>-4.1461999999999897</v>
      </c>
      <c r="AF5209">
        <v>-3.7809159991991801</v>
      </c>
      <c r="AG5209">
        <v>-1.1097078998343901</v>
      </c>
      <c r="AH5209">
        <v>17.896669743713201</v>
      </c>
      <c r="AI5209">
        <v>93.471725597549494</v>
      </c>
      <c r="AJ5209">
        <v>101.929105913154</v>
      </c>
      <c r="AK5209">
        <v>18.325325790596299</v>
      </c>
      <c r="AL5209">
        <v>89.627436827684704</v>
      </c>
      <c r="AM5209">
        <v>88.982020104429097</v>
      </c>
      <c r="AN5209">
        <v>0.99999996832256</v>
      </c>
    </row>
    <row r="5210" spans="1:40" x14ac:dyDescent="0.25">
      <c r="A5210" t="str">
        <f>"20190312160750090"</f>
        <v>20190312160750090</v>
      </c>
      <c r="B5210" t="str">
        <f>"1552378070080375"</f>
        <v>1552378070080375</v>
      </c>
      <c r="C5210" t="s">
        <v>40</v>
      </c>
      <c r="D5210">
        <v>5.6983860000000002</v>
      </c>
      <c r="E5210">
        <v>0.41400019999999998</v>
      </c>
      <c r="F5210" t="s">
        <v>47</v>
      </c>
      <c r="G5210">
        <v>-379.21</v>
      </c>
      <c r="H5210" s="1">
        <v>-8.222391E-7</v>
      </c>
      <c r="I5210">
        <v>137.48400000000001</v>
      </c>
      <c r="J5210">
        <v>-361.44529999999997</v>
      </c>
      <c r="K5210">
        <v>1.10971</v>
      </c>
      <c r="L5210">
        <v>141.61449999999999</v>
      </c>
      <c r="M5210">
        <v>-0.99969830000000004</v>
      </c>
      <c r="N5210">
        <v>0</v>
      </c>
      <c r="O5210">
        <v>-1.9684460000000001E-2</v>
      </c>
      <c r="P5210">
        <v>-0.99996949999999996</v>
      </c>
      <c r="Q5210">
        <v>-7.5120569999999999E-3</v>
      </c>
      <c r="R5210">
        <v>-2.1566979999999999E-3</v>
      </c>
      <c r="S5210">
        <v>-2.9973450000000001</v>
      </c>
      <c r="T5210">
        <v>-0.18371470000000001</v>
      </c>
      <c r="U5210">
        <v>-0.68492129999999996</v>
      </c>
      <c r="V5210">
        <v>1.7528470000000001E-2</v>
      </c>
      <c r="W5210">
        <v>7.1890369999999997E-3</v>
      </c>
      <c r="X5210">
        <v>0.9998205</v>
      </c>
      <c r="Y5210">
        <v>-0.20320530000000001</v>
      </c>
      <c r="Z5210">
        <v>-4.9531979999999998E-3</v>
      </c>
      <c r="AA5210">
        <v>0.97912370000000004</v>
      </c>
      <c r="AB5210">
        <v>35</v>
      </c>
      <c r="AC5210">
        <v>-17.764700000000001</v>
      </c>
      <c r="AD5210">
        <v>-1.1097108222390999</v>
      </c>
      <c r="AE5210">
        <v>-4.1304999999999801</v>
      </c>
      <c r="AF5210">
        <v>-3.7660313467329698</v>
      </c>
      <c r="AG5210">
        <v>-1.1097108222390999</v>
      </c>
      <c r="AH5210">
        <v>17.776762850413601</v>
      </c>
      <c r="AI5210">
        <v>93.494679348048507</v>
      </c>
      <c r="AJ5210">
        <v>101.961335860849</v>
      </c>
      <c r="AK5210">
        <v>18.2051571718955</v>
      </c>
      <c r="AL5210">
        <v>89.588094965173497</v>
      </c>
      <c r="AM5210">
        <v>88.995615235471902</v>
      </c>
      <c r="AN5210">
        <v>0.99999998086688902</v>
      </c>
    </row>
    <row r="5211" spans="1:40" x14ac:dyDescent="0.25">
      <c r="A5211" t="str">
        <f>"20190312160750112"</f>
        <v>20190312160750112</v>
      </c>
      <c r="B5211" t="str">
        <f>"1552378070100871"</f>
        <v>1552378070100871</v>
      </c>
      <c r="C5211" t="s">
        <v>40</v>
      </c>
      <c r="D5211">
        <v>5.7723680000000002</v>
      </c>
      <c r="E5211">
        <v>0.4138734</v>
      </c>
      <c r="F5211" t="s">
        <v>47</v>
      </c>
      <c r="G5211">
        <v>-379.75540000000001</v>
      </c>
      <c r="H5211" s="1">
        <v>-6.5367850000000003E-7</v>
      </c>
      <c r="I5211">
        <v>137.41990000000001</v>
      </c>
      <c r="J5211">
        <v>-361.79579999999999</v>
      </c>
      <c r="K5211">
        <v>1.10971</v>
      </c>
      <c r="L5211">
        <v>141.60759999999999</v>
      </c>
      <c r="M5211">
        <v>-0.99969669999999999</v>
      </c>
      <c r="N5211">
        <v>0</v>
      </c>
      <c r="O5211">
        <v>-1.976501E-2</v>
      </c>
      <c r="P5211">
        <v>-0.99997179999999997</v>
      </c>
      <c r="Q5211">
        <v>-7.1397980000000002E-3</v>
      </c>
      <c r="R5211">
        <v>-2.3741700000000001E-3</v>
      </c>
      <c r="S5211">
        <v>-2.9972530000000002</v>
      </c>
      <c r="T5211">
        <v>-0.18165300000000001</v>
      </c>
      <c r="U5211">
        <v>-0.68663019999999997</v>
      </c>
      <c r="V5211">
        <v>1.7391790000000001E-2</v>
      </c>
      <c r="W5211">
        <v>7.5571459999999998E-3</v>
      </c>
      <c r="X5211">
        <v>0.99982020000000005</v>
      </c>
      <c r="Y5211">
        <v>-0.20366999999999999</v>
      </c>
      <c r="Z5211">
        <v>-4.9066309999999998E-3</v>
      </c>
      <c r="AA5211">
        <v>0.97902730000000004</v>
      </c>
      <c r="AB5211">
        <v>35</v>
      </c>
      <c r="AC5211">
        <v>-17.959599999999998</v>
      </c>
      <c r="AD5211">
        <v>-1.1097106536785</v>
      </c>
      <c r="AE5211">
        <v>-4.1876999999999702</v>
      </c>
      <c r="AF5211">
        <v>-3.8180464825606002</v>
      </c>
      <c r="AG5211">
        <v>-1.1097106536785</v>
      </c>
      <c r="AH5211">
        <v>17.973785973230001</v>
      </c>
      <c r="AI5211">
        <v>93.456064465163095</v>
      </c>
      <c r="AJ5211">
        <v>101.992680960369</v>
      </c>
      <c r="AK5211">
        <v>18.408311136260199</v>
      </c>
      <c r="AL5211">
        <v>89.567003311240896</v>
      </c>
      <c r="AM5211">
        <v>89.0034451416509</v>
      </c>
      <c r="AN5211">
        <v>1.0000000085715499</v>
      </c>
    </row>
    <row r="5212" spans="1:40" x14ac:dyDescent="0.25">
      <c r="A5212" t="str">
        <f>"20190312160750135"</f>
        <v>20190312160750135</v>
      </c>
      <c r="B5212" t="str">
        <f>"1552378070131127"</f>
        <v>1552378070131127</v>
      </c>
      <c r="C5212" t="s">
        <v>40</v>
      </c>
      <c r="D5212">
        <v>5.7778720000000003</v>
      </c>
      <c r="E5212">
        <v>0.413711</v>
      </c>
      <c r="F5212" t="s">
        <v>47</v>
      </c>
      <c r="G5212">
        <v>-380.25409999999999</v>
      </c>
      <c r="H5212" s="1">
        <v>-4.5619380000000001E-6</v>
      </c>
      <c r="I5212">
        <v>137.36869999999999</v>
      </c>
      <c r="J5212">
        <v>-362.14909999999998</v>
      </c>
      <c r="K5212">
        <v>1.1097090000000001</v>
      </c>
      <c r="L5212">
        <v>141.60050000000001</v>
      </c>
      <c r="M5212">
        <v>-0.99969509999999995</v>
      </c>
      <c r="N5212">
        <v>0</v>
      </c>
      <c r="O5212">
        <v>-1.984675E-2</v>
      </c>
      <c r="P5212">
        <v>-0.99997469999999999</v>
      </c>
      <c r="Q5212">
        <v>-6.7507380000000001E-3</v>
      </c>
      <c r="R5212">
        <v>-2.3442020000000001E-3</v>
      </c>
      <c r="S5212">
        <v>-2.997223</v>
      </c>
      <c r="T5212">
        <v>-0.18019399999999999</v>
      </c>
      <c r="U5212">
        <v>-0.68827819999999995</v>
      </c>
      <c r="V5212">
        <v>1.750343E-2</v>
      </c>
      <c r="W5212">
        <v>7.94194199999999E-3</v>
      </c>
      <c r="X5212">
        <v>0.99981529999999996</v>
      </c>
      <c r="Y5212">
        <v>-0.20410809999999999</v>
      </c>
      <c r="Z5212">
        <v>-4.8751929999999999E-3</v>
      </c>
      <c r="AA5212">
        <v>0.97893620000000003</v>
      </c>
      <c r="AB5212">
        <v>35</v>
      </c>
      <c r="AC5212">
        <v>-18.105</v>
      </c>
      <c r="AD5212">
        <v>-1.1097135619380001</v>
      </c>
      <c r="AE5212">
        <v>-4.2318000000000202</v>
      </c>
      <c r="AF5212">
        <v>-3.8578594794875798</v>
      </c>
      <c r="AG5212">
        <v>-1.1097135619380001</v>
      </c>
      <c r="AH5212">
        <v>18.120878736678002</v>
      </c>
      <c r="AI5212">
        <v>93.427757716706907</v>
      </c>
      <c r="AJ5212">
        <v>102.01859696069501</v>
      </c>
      <c r="AK5212">
        <v>18.560193698946499</v>
      </c>
      <c r="AL5212">
        <v>89.544955476451193</v>
      </c>
      <c r="AM5212">
        <v>88.997044523848004</v>
      </c>
      <c r="AN5212">
        <v>1.00000003930929</v>
      </c>
    </row>
    <row r="5213" spans="1:40" x14ac:dyDescent="0.25">
      <c r="A5213" t="str">
        <f>"20190312160750159"</f>
        <v>20190312160750159</v>
      </c>
      <c r="B5213" t="str">
        <f>"1552378070150646"</f>
        <v>1552378070150646</v>
      </c>
      <c r="C5213" t="s">
        <v>40</v>
      </c>
      <c r="D5213">
        <v>5.7541060000000002</v>
      </c>
      <c r="E5213">
        <v>0.41364329999999999</v>
      </c>
      <c r="F5213" t="s">
        <v>47</v>
      </c>
      <c r="G5213">
        <v>-380.78699999999998</v>
      </c>
      <c r="H5213" s="1">
        <v>-4.3433950000000003E-6</v>
      </c>
      <c r="I5213">
        <v>137.31200000000001</v>
      </c>
      <c r="J5213">
        <v>-362.52870000000001</v>
      </c>
      <c r="K5213">
        <v>1.1097109999999999</v>
      </c>
      <c r="L5213">
        <v>141.59289999999999</v>
      </c>
      <c r="M5213">
        <v>-0.99969350000000001</v>
      </c>
      <c r="N5213">
        <v>0</v>
      </c>
      <c r="O5213">
        <v>-1.993433E-2</v>
      </c>
      <c r="P5213">
        <v>-0.99997590000000003</v>
      </c>
      <c r="Q5213">
        <v>-6.7185910000000003E-3</v>
      </c>
      <c r="R5213">
        <v>-1.7117530000000001E-3</v>
      </c>
      <c r="S5213">
        <v>-2.997223</v>
      </c>
      <c r="T5213">
        <v>-0.1784577</v>
      </c>
      <c r="U5213">
        <v>-0.68963619999999903</v>
      </c>
      <c r="V5213">
        <v>1.822325E-2</v>
      </c>
      <c r="W5213">
        <v>7.9700740000000006E-3</v>
      </c>
      <c r="X5213">
        <v>0.99980219999999997</v>
      </c>
      <c r="Y5213">
        <v>-0.2044492</v>
      </c>
      <c r="Z5213">
        <v>-4.8329369999999998E-3</v>
      </c>
      <c r="AA5213">
        <v>0.97886530000000005</v>
      </c>
      <c r="AB5213">
        <v>35</v>
      </c>
      <c r="AC5213">
        <v>-18.258299999999899</v>
      </c>
      <c r="AD5213">
        <v>-1.109715343395</v>
      </c>
      <c r="AE5213">
        <v>-4.2808999999999697</v>
      </c>
      <c r="AF5213">
        <v>-3.9023785593815998</v>
      </c>
      <c r="AG5213">
        <v>-1.109715343395</v>
      </c>
      <c r="AH5213">
        <v>18.276022680729898</v>
      </c>
      <c r="AI5213">
        <v>93.398298949827705</v>
      </c>
      <c r="AJ5213">
        <v>102.05305085476699</v>
      </c>
      <c r="AK5213">
        <v>18.720924966214799</v>
      </c>
      <c r="AL5213">
        <v>89.5433435736485</v>
      </c>
      <c r="AM5213">
        <v>88.955793743670398</v>
      </c>
      <c r="AN5213">
        <v>1.00000002402248</v>
      </c>
    </row>
    <row r="5214" spans="1:40" x14ac:dyDescent="0.25">
      <c r="A5214" t="str">
        <f>"20190312160750179"</f>
        <v>20190312160750179</v>
      </c>
      <c r="B5214" t="str">
        <f>"1552378070171145"</f>
        <v>1552378070171145</v>
      </c>
      <c r="C5214" t="s">
        <v>40</v>
      </c>
      <c r="D5214">
        <v>5.810702</v>
      </c>
      <c r="E5214">
        <v>0.4468628</v>
      </c>
      <c r="F5214" t="s">
        <v>47</v>
      </c>
      <c r="G5214">
        <v>-381.28829999999999</v>
      </c>
      <c r="H5214" s="1">
        <v>-4.1330629999999999E-6</v>
      </c>
      <c r="I5214">
        <v>137.2852</v>
      </c>
      <c r="J5214">
        <v>-362.85059999999999</v>
      </c>
      <c r="K5214">
        <v>1.1097159999999999</v>
      </c>
      <c r="L5214">
        <v>141.5864</v>
      </c>
      <c r="M5214">
        <v>-0.99969200000000003</v>
      </c>
      <c r="N5214">
        <v>0</v>
      </c>
      <c r="O5214">
        <v>-2.0009039999999999E-2</v>
      </c>
      <c r="P5214">
        <v>-0.99997480000000005</v>
      </c>
      <c r="Q5214">
        <v>-6.9975489999999996E-3</v>
      </c>
      <c r="R5214">
        <v>-1.3808529999999901E-3</v>
      </c>
      <c r="S5214">
        <v>-2.9977109999999998</v>
      </c>
      <c r="T5214">
        <v>-0.1773285</v>
      </c>
      <c r="U5214">
        <v>-0.68833919999999904</v>
      </c>
      <c r="V5214">
        <v>1.8629139999999999E-2</v>
      </c>
      <c r="W5214">
        <v>7.6877959999999898E-3</v>
      </c>
      <c r="X5214">
        <v>0.99979689999999999</v>
      </c>
      <c r="Y5214">
        <v>-0.20394390000000001</v>
      </c>
      <c r="Z5214">
        <v>-4.7827770000000002E-3</v>
      </c>
      <c r="AA5214">
        <v>0.97897089999999998</v>
      </c>
      <c r="AB5214">
        <v>35</v>
      </c>
      <c r="AC5214">
        <v>-18.4377</v>
      </c>
      <c r="AD5214">
        <v>-1.109720133063</v>
      </c>
      <c r="AE5214">
        <v>-4.3011999999999899</v>
      </c>
      <c r="AF5214">
        <v>-3.9179179668584898</v>
      </c>
      <c r="AG5214">
        <v>-1.109720133063</v>
      </c>
      <c r="AH5214">
        <v>18.456670843025201</v>
      </c>
      <c r="AI5214">
        <v>93.365982226219003</v>
      </c>
      <c r="AJ5214">
        <v>101.98464783601401</v>
      </c>
      <c r="AK5214">
        <v>18.900535933579601</v>
      </c>
      <c r="AL5214">
        <v>89.559517393880299</v>
      </c>
      <c r="AM5214">
        <v>88.932535599684201</v>
      </c>
      <c r="AN5214">
        <v>0.99999999415704299</v>
      </c>
    </row>
    <row r="5215" spans="1:40" x14ac:dyDescent="0.25">
      <c r="A5215" t="str">
        <f>"20190312160750201"</f>
        <v>20190312160750201</v>
      </c>
      <c r="B5215" t="str">
        <f>"1552378070190663"</f>
        <v>1552378070190663</v>
      </c>
      <c r="C5215" t="s">
        <v>40</v>
      </c>
      <c r="D5215">
        <v>5.7348489999999996</v>
      </c>
      <c r="E5215">
        <v>0.45541589999999998</v>
      </c>
      <c r="F5215" t="s">
        <v>47</v>
      </c>
      <c r="G5215">
        <v>-374.83589999999998</v>
      </c>
      <c r="H5215" s="1">
        <v>-2.2767670000000001E-6</v>
      </c>
      <c r="I5215">
        <v>139.9134</v>
      </c>
      <c r="J5215">
        <v>-363.1936</v>
      </c>
      <c r="K5215">
        <v>1.109718</v>
      </c>
      <c r="L5215">
        <v>141.57939999999999</v>
      </c>
      <c r="M5215">
        <v>-0.99969059999999998</v>
      </c>
      <c r="N5215">
        <v>0</v>
      </c>
      <c r="O5215">
        <v>-2.008851E-2</v>
      </c>
      <c r="P5215">
        <v>-0.99997610000000003</v>
      </c>
      <c r="Q5215">
        <v>-6.8277769999999897E-3</v>
      </c>
      <c r="R5215">
        <v>-1.232075E-3</v>
      </c>
      <c r="S5215">
        <v>-2.997528</v>
      </c>
      <c r="T5215">
        <v>-0.27754220000000002</v>
      </c>
      <c r="U5215">
        <v>-0.41838069999999999</v>
      </c>
      <c r="V5215">
        <v>1.8857260000000001E-2</v>
      </c>
      <c r="W5215">
        <v>7.8537290000000003E-3</v>
      </c>
      <c r="X5215">
        <v>0.99979130000000005</v>
      </c>
      <c r="Y5215">
        <v>-0.1178995</v>
      </c>
      <c r="Z5215">
        <v>-3.5738229999999998E-3</v>
      </c>
      <c r="AA5215">
        <v>0.99301910000000004</v>
      </c>
      <c r="AB5215">
        <v>35</v>
      </c>
      <c r="AC5215">
        <v>-11.642299999999899</v>
      </c>
      <c r="AD5215">
        <v>-1.109720276767</v>
      </c>
      <c r="AE5215">
        <v>-1.6659999999999899</v>
      </c>
      <c r="AF5215">
        <v>-1.4191273395586801</v>
      </c>
      <c r="AG5215">
        <v>-1.109720276767</v>
      </c>
      <c r="AH5215">
        <v>11.5704075489882</v>
      </c>
      <c r="AI5215">
        <v>95.437989903435295</v>
      </c>
      <c r="AJ5215">
        <v>96.992486832428995</v>
      </c>
      <c r="AK5215">
        <v>11.7098135061253</v>
      </c>
      <c r="AL5215">
        <v>89.550009830997098</v>
      </c>
      <c r="AM5215">
        <v>88.919461173471007</v>
      </c>
      <c r="AN5215">
        <v>0.99999996043479999</v>
      </c>
    </row>
    <row r="5216" spans="1:40" x14ac:dyDescent="0.25">
      <c r="A5216" t="str">
        <f>"20190312160750224"</f>
        <v>20190312160750224</v>
      </c>
      <c r="B5216" t="str">
        <f>"1552378070220920"</f>
        <v>1552378070220920</v>
      </c>
      <c r="C5216" t="s">
        <v>40</v>
      </c>
      <c r="D5216">
        <v>5.7294010000000002</v>
      </c>
      <c r="E5216">
        <v>0.46013199999999999</v>
      </c>
      <c r="F5216" t="s">
        <v>47</v>
      </c>
      <c r="G5216">
        <v>-375.30119999999999</v>
      </c>
      <c r="H5216" s="1">
        <v>-2.144884E-6</v>
      </c>
      <c r="I5216">
        <v>140.16800000000001</v>
      </c>
      <c r="J5216">
        <v>-363.55860000000001</v>
      </c>
      <c r="K5216">
        <v>1.1097239999999999</v>
      </c>
      <c r="L5216">
        <v>141.572</v>
      </c>
      <c r="M5216">
        <v>-0.99968889999999999</v>
      </c>
      <c r="N5216">
        <v>0</v>
      </c>
      <c r="O5216">
        <v>-2.0172989999999998E-2</v>
      </c>
      <c r="P5216">
        <v>-0.99997809999999998</v>
      </c>
      <c r="Q5216">
        <v>-6.3343829999999999E-3</v>
      </c>
      <c r="R5216">
        <v>-1.9976220000000001E-3</v>
      </c>
      <c r="S5216">
        <v>-2.9978030000000002</v>
      </c>
      <c r="T5216">
        <v>-0.27476349999999999</v>
      </c>
      <c r="U5216">
        <v>-0.34944150000000002</v>
      </c>
      <c r="V5216">
        <v>1.817622E-2</v>
      </c>
      <c r="W5216">
        <v>8.3429490000000005E-3</v>
      </c>
      <c r="X5216">
        <v>0.99980000000000002</v>
      </c>
      <c r="Y5216">
        <v>-9.5407969999999995E-2</v>
      </c>
      <c r="Z5216">
        <v>-2.5100650000000001E-3</v>
      </c>
      <c r="AA5216">
        <v>0.99543510000000002</v>
      </c>
      <c r="AB5216">
        <v>35</v>
      </c>
      <c r="AC5216">
        <v>-11.7425999999999</v>
      </c>
      <c r="AD5216">
        <v>-1.1097261448839999</v>
      </c>
      <c r="AE5216">
        <v>-1.4039999999999899</v>
      </c>
      <c r="AF5216">
        <v>-1.15662112755284</v>
      </c>
      <c r="AG5216">
        <v>-1.1097261448839999</v>
      </c>
      <c r="AH5216">
        <v>11.665816168908901</v>
      </c>
      <c r="AI5216">
        <v>95.407630106237093</v>
      </c>
      <c r="AJ5216">
        <v>95.662153217538702</v>
      </c>
      <c r="AK5216">
        <v>11.775420647947801</v>
      </c>
      <c r="AL5216">
        <v>89.521978692793894</v>
      </c>
      <c r="AM5216">
        <v>88.958485713227802</v>
      </c>
      <c r="AN5216">
        <v>1.00000000988575</v>
      </c>
    </row>
    <row r="5217" spans="1:40" x14ac:dyDescent="0.25">
      <c r="A5217" t="str">
        <f>"20190312160750247"</f>
        <v>20190312160750247</v>
      </c>
      <c r="B5217" t="str">
        <f>"1552378070240438"</f>
        <v>1552378070240438</v>
      </c>
      <c r="C5217" t="s">
        <v>40</v>
      </c>
      <c r="D5217">
        <v>5.7408130000000002</v>
      </c>
      <c r="E5217">
        <v>0.46155259999999998</v>
      </c>
      <c r="F5217" t="s">
        <v>47</v>
      </c>
      <c r="G5217">
        <v>-376.01100000000002</v>
      </c>
      <c r="H5217" s="1">
        <v>-1.8664419999999999E-6</v>
      </c>
      <c r="I5217">
        <v>140.26580000000001</v>
      </c>
      <c r="J5217">
        <v>-363.90820000000002</v>
      </c>
      <c r="K5217">
        <v>1.109726</v>
      </c>
      <c r="L5217">
        <v>141.56489999999999</v>
      </c>
      <c r="M5217">
        <v>-0.9996874</v>
      </c>
      <c r="N5217">
        <v>0</v>
      </c>
      <c r="O5217">
        <v>-2.0253299999999998E-2</v>
      </c>
      <c r="P5217">
        <v>-0.99997170000000002</v>
      </c>
      <c r="Q5217">
        <v>-7.2158140000000001E-3</v>
      </c>
      <c r="R5217">
        <v>-2.2701380000000001E-3</v>
      </c>
      <c r="S5217">
        <v>-2.9977420000000001</v>
      </c>
      <c r="T5217">
        <v>-0.26715179999999999</v>
      </c>
      <c r="U5217">
        <v>-0.314422599999999</v>
      </c>
      <c r="V5217">
        <v>1.7984170000000001E-2</v>
      </c>
      <c r="W5217">
        <v>7.4579659999999999E-3</v>
      </c>
      <c r="X5217">
        <v>0.99981050000000005</v>
      </c>
      <c r="Y5217">
        <v>-8.3898559999999997E-2</v>
      </c>
      <c r="Z5217">
        <v>-1.924799E-3</v>
      </c>
      <c r="AA5217">
        <v>0.99647240000000004</v>
      </c>
      <c r="AB5217">
        <v>35</v>
      </c>
      <c r="AC5217">
        <v>-12.102799999999901</v>
      </c>
      <c r="AD5217">
        <v>-1.1097278664420001</v>
      </c>
      <c r="AE5217">
        <v>-1.2990999999999799</v>
      </c>
      <c r="AF5217">
        <v>-1.04499983989894</v>
      </c>
      <c r="AG5217">
        <v>-1.1097278664420001</v>
      </c>
      <c r="AH5217">
        <v>12.026669635284501</v>
      </c>
      <c r="AI5217">
        <v>95.252204158792395</v>
      </c>
      <c r="AJ5217">
        <v>94.965969788185603</v>
      </c>
      <c r="AK5217">
        <v>12.1228834490488</v>
      </c>
      <c r="AL5217">
        <v>89.572686081799105</v>
      </c>
      <c r="AM5217">
        <v>88.969498790909</v>
      </c>
      <c r="AN5217">
        <v>1.0000000437688401</v>
      </c>
    </row>
    <row r="5218" spans="1:40" x14ac:dyDescent="0.25">
      <c r="A5218" t="str">
        <f>"20190312160750268"</f>
        <v>20190312160750268</v>
      </c>
      <c r="B5218" t="str">
        <f>"1552378070260935"</f>
        <v>1552378070260935</v>
      </c>
      <c r="C5218" t="s">
        <v>40</v>
      </c>
      <c r="D5218">
        <v>5.7282840000000004</v>
      </c>
      <c r="E5218">
        <v>0.46260370000000001</v>
      </c>
      <c r="F5218" t="s">
        <v>47</v>
      </c>
      <c r="G5218">
        <v>-376.44060000000002</v>
      </c>
      <c r="H5218" s="1">
        <v>-1.689052E-6</v>
      </c>
      <c r="I5218">
        <v>140.29179999999999</v>
      </c>
      <c r="J5218">
        <v>-364.24829999999997</v>
      </c>
      <c r="K5218">
        <v>1.109731</v>
      </c>
      <c r="L5218">
        <v>141.55789999999999</v>
      </c>
      <c r="M5218">
        <v>-0.99968559999999995</v>
      </c>
      <c r="N5218">
        <v>0</v>
      </c>
      <c r="O5218">
        <v>-2.0330979999999998E-2</v>
      </c>
      <c r="P5218">
        <v>-0.99996879999999999</v>
      </c>
      <c r="Q5218">
        <v>-7.5345419999999896E-3</v>
      </c>
      <c r="R5218">
        <v>-2.4361539999999998E-3</v>
      </c>
      <c r="S5218">
        <v>-2.9974669999999999</v>
      </c>
      <c r="T5218">
        <v>-0.26542349999999998</v>
      </c>
      <c r="U5218">
        <v>-0.30447390000000002</v>
      </c>
      <c r="V5218">
        <v>1.7895939999999999E-2</v>
      </c>
      <c r="W5218">
        <v>7.1351569999999996E-3</v>
      </c>
      <c r="X5218">
        <v>0.99981439999999999</v>
      </c>
      <c r="Y5218">
        <v>-8.0573889999999995E-2</v>
      </c>
      <c r="Z5218">
        <v>-1.7594970000000001E-3</v>
      </c>
      <c r="AA5218">
        <v>0.9967471</v>
      </c>
      <c r="AB5218">
        <v>35</v>
      </c>
      <c r="AC5218">
        <v>-12.192299999999999</v>
      </c>
      <c r="AD5218">
        <v>-1.1097326890520001</v>
      </c>
      <c r="AE5218">
        <v>-1.26609999999999</v>
      </c>
      <c r="AF5218">
        <v>-1.00965491024065</v>
      </c>
      <c r="AG5218">
        <v>-1.1097326890520001</v>
      </c>
      <c r="AH5218">
        <v>12.116217449477199</v>
      </c>
      <c r="AI5218">
        <v>95.215183351350703</v>
      </c>
      <c r="AJ5218">
        <v>94.763501380192693</v>
      </c>
      <c r="AK5218">
        <v>12.208752391704101</v>
      </c>
      <c r="AL5218">
        <v>89.591182150794097</v>
      </c>
      <c r="AM5218">
        <v>88.974557327408505</v>
      </c>
      <c r="AN5218">
        <v>1.0000000047906199</v>
      </c>
    </row>
    <row r="5219" spans="1:40" x14ac:dyDescent="0.25">
      <c r="A5219" t="str">
        <f>"20190312160750291"</f>
        <v>20190312160750291</v>
      </c>
      <c r="B5219" t="str">
        <f>"1552378070280455"</f>
        <v>1552378070280455</v>
      </c>
      <c r="C5219" t="s">
        <v>40</v>
      </c>
      <c r="D5219">
        <v>5.7616100000000001</v>
      </c>
      <c r="E5219">
        <v>0.46308909999999998</v>
      </c>
      <c r="F5219" t="s">
        <v>47</v>
      </c>
      <c r="G5219">
        <v>-376.79520000000002</v>
      </c>
      <c r="H5219" s="1">
        <v>-1.5433060000000001E-6</v>
      </c>
      <c r="I5219">
        <v>140.3158</v>
      </c>
      <c r="J5219">
        <v>-364.59500000000003</v>
      </c>
      <c r="K5219">
        <v>1.109721</v>
      </c>
      <c r="L5219">
        <v>141.55080000000001</v>
      </c>
      <c r="M5219">
        <v>-0.99968429999999997</v>
      </c>
      <c r="N5219">
        <v>0</v>
      </c>
      <c r="O5219">
        <v>-2.0410089999999999E-2</v>
      </c>
      <c r="P5219">
        <v>-0.9999692</v>
      </c>
      <c r="Q5219">
        <v>-7.5153769999999898E-3</v>
      </c>
      <c r="R5219">
        <v>-2.379192E-3</v>
      </c>
      <c r="S5219">
        <v>-2.9973749999999999</v>
      </c>
      <c r="T5219">
        <v>-0.26510869999999997</v>
      </c>
      <c r="U5219">
        <v>-0.2967072</v>
      </c>
      <c r="V5219">
        <v>1.8032019999999999E-2</v>
      </c>
      <c r="W5219">
        <v>7.1504139999999999E-3</v>
      </c>
      <c r="X5219">
        <v>0.99981180000000003</v>
      </c>
      <c r="Y5219">
        <v>-7.7951649999999997E-2</v>
      </c>
      <c r="Z5219">
        <v>-1.635264E-3</v>
      </c>
      <c r="AA5219">
        <v>0.99695579999999995</v>
      </c>
      <c r="AB5219">
        <v>35</v>
      </c>
      <c r="AC5219">
        <v>-12.200199999999899</v>
      </c>
      <c r="AD5219">
        <v>-1.1097225433059901</v>
      </c>
      <c r="AE5219">
        <v>-1.2350000000000101</v>
      </c>
      <c r="AF5219">
        <v>-0.97770169502744697</v>
      </c>
      <c r="AG5219">
        <v>-1.1097225433059901</v>
      </c>
      <c r="AH5219">
        <v>12.1235789089056</v>
      </c>
      <c r="AI5219">
        <v>95.213120790391102</v>
      </c>
      <c r="AJ5219">
        <v>94.610619824256403</v>
      </c>
      <c r="AK5219">
        <v>12.2134577531525</v>
      </c>
      <c r="AL5219">
        <v>89.590307947944297</v>
      </c>
      <c r="AM5219">
        <v>88.9667589007</v>
      </c>
      <c r="AN5219">
        <v>0.99999995879244497</v>
      </c>
    </row>
    <row r="5220" spans="1:40" x14ac:dyDescent="0.25">
      <c r="A5220" t="str">
        <f>"20190312160750313"</f>
        <v>20190312160750313</v>
      </c>
      <c r="B5220" t="str">
        <f>"1552378070310711"</f>
        <v>1552378070310711</v>
      </c>
      <c r="C5220" t="s">
        <v>40</v>
      </c>
      <c r="D5220">
        <v>5.7565730000000004</v>
      </c>
      <c r="E5220">
        <v>0.46386929999999998</v>
      </c>
      <c r="F5220" t="s">
        <v>47</v>
      </c>
      <c r="G5220">
        <v>-377.19819999999999</v>
      </c>
      <c r="H5220" s="1">
        <v>-1.3717609999999999E-6</v>
      </c>
      <c r="I5220">
        <v>140.32079999999999</v>
      </c>
      <c r="J5220">
        <v>-364.94260000000003</v>
      </c>
      <c r="K5220">
        <v>1.1097269999999999</v>
      </c>
      <c r="L5220">
        <v>141.5436</v>
      </c>
      <c r="M5220">
        <v>-0.99968250000000003</v>
      </c>
      <c r="N5220">
        <v>0</v>
      </c>
      <c r="O5220">
        <v>-2.0488849999999999E-2</v>
      </c>
      <c r="P5220">
        <v>-0.99997049999999998</v>
      </c>
      <c r="Q5220">
        <v>-7.3892769999999997E-3</v>
      </c>
      <c r="R5220">
        <v>-2.0707379999999999E-3</v>
      </c>
      <c r="S5220">
        <v>-2.9974059999999998</v>
      </c>
      <c r="T5220">
        <v>-0.2639242</v>
      </c>
      <c r="U5220">
        <v>-0.29249570000000003</v>
      </c>
      <c r="V5220">
        <v>1.841899E-2</v>
      </c>
      <c r="W5220">
        <v>7.2724809999999999E-3</v>
      </c>
      <c r="X5220">
        <v>0.99980389999999997</v>
      </c>
      <c r="Y5220">
        <v>-7.6492530000000003E-2</v>
      </c>
      <c r="Z5220">
        <v>-1.5572089999999999E-3</v>
      </c>
      <c r="AA5220">
        <v>0.99706890000000004</v>
      </c>
      <c r="AB5220">
        <v>35</v>
      </c>
      <c r="AC5220">
        <v>-12.2555999999999</v>
      </c>
      <c r="AD5220">
        <v>-1.109728371761</v>
      </c>
      <c r="AE5220">
        <v>-1.2228000000000001</v>
      </c>
      <c r="AF5220">
        <v>-0.96359043111172205</v>
      </c>
      <c r="AG5220">
        <v>-1.109728371761</v>
      </c>
      <c r="AH5220">
        <v>12.179209414458199</v>
      </c>
      <c r="AI5220">
        <v>95.190092023643899</v>
      </c>
      <c r="AJ5220">
        <v>94.523684327953504</v>
      </c>
      <c r="AK5220">
        <v>12.267564776240199</v>
      </c>
      <c r="AL5220">
        <v>89.583313856252303</v>
      </c>
      <c r="AM5220">
        <v>88.944582008664298</v>
      </c>
      <c r="AN5220">
        <v>0.99999999331386202</v>
      </c>
    </row>
    <row r="5221" spans="1:40" x14ac:dyDescent="0.25">
      <c r="A5221" t="str">
        <f>"20190312160750336"</f>
        <v>20190312160750336</v>
      </c>
      <c r="B5221" t="str">
        <f>"1552378070330231"</f>
        <v>1552378070330231</v>
      </c>
      <c r="C5221" t="s">
        <v>40</v>
      </c>
      <c r="D5221">
        <v>5.7561090000000004</v>
      </c>
      <c r="E5221">
        <v>0.4641168</v>
      </c>
      <c r="F5221" t="s">
        <v>47</v>
      </c>
      <c r="G5221">
        <v>-377.6164</v>
      </c>
      <c r="H5221" s="1">
        <v>-1.196902E-6</v>
      </c>
      <c r="I5221">
        <v>140.33789999999999</v>
      </c>
      <c r="J5221">
        <v>-365.29129999999998</v>
      </c>
      <c r="K5221">
        <v>1.1097250000000001</v>
      </c>
      <c r="L5221">
        <v>141.53639999999999</v>
      </c>
      <c r="M5221">
        <v>-0.99968109999999999</v>
      </c>
      <c r="N5221">
        <v>0</v>
      </c>
      <c r="O5221">
        <v>-2.0568090000000001E-2</v>
      </c>
      <c r="P5221">
        <v>-0.99996949999999996</v>
      </c>
      <c r="Q5221">
        <v>-7.5504300000000003E-3</v>
      </c>
      <c r="R5221">
        <v>-2.0047989999999998E-3</v>
      </c>
      <c r="S5221">
        <v>-2.99762</v>
      </c>
      <c r="T5221">
        <v>-0.26247559999999998</v>
      </c>
      <c r="U5221">
        <v>-0.28515629999999997</v>
      </c>
      <c r="V5221">
        <v>1.8564110000000002E-2</v>
      </c>
      <c r="W5221">
        <v>7.1075000000000001E-3</v>
      </c>
      <c r="X5221">
        <v>0.99980239999999998</v>
      </c>
      <c r="Y5221">
        <v>-7.399965E-2</v>
      </c>
      <c r="Z5221">
        <v>-1.4331610000000001E-3</v>
      </c>
      <c r="AA5221">
        <v>0.99725719999999995</v>
      </c>
      <c r="AB5221">
        <v>35</v>
      </c>
      <c r="AC5221">
        <v>-12.325100000000001</v>
      </c>
      <c r="AD5221">
        <v>-1.109726196902</v>
      </c>
      <c r="AE5221">
        <v>-1.1984999999999899</v>
      </c>
      <c r="AF5221">
        <v>-0.93718897186939398</v>
      </c>
      <c r="AG5221">
        <v>-1.109726196902</v>
      </c>
      <c r="AH5221">
        <v>12.2487770821452</v>
      </c>
      <c r="AI5221">
        <v>95.161798388420905</v>
      </c>
      <c r="AJ5221">
        <v>94.375339209005503</v>
      </c>
      <c r="AK5221">
        <v>12.3345999290277</v>
      </c>
      <c r="AL5221">
        <v>89.592766814682506</v>
      </c>
      <c r="AM5221">
        <v>88.936266862594294</v>
      </c>
      <c r="AN5221">
        <v>0.99999999089105096</v>
      </c>
    </row>
    <row r="5222" spans="1:40" x14ac:dyDescent="0.25">
      <c r="A5222" t="str">
        <f>"20190312160750358"</f>
        <v>20190312160750358</v>
      </c>
      <c r="B5222" t="str">
        <f>"1552378070350731"</f>
        <v>1552378070350731</v>
      </c>
      <c r="C5222" t="s">
        <v>40</v>
      </c>
      <c r="D5222">
        <v>5.7816409999999996</v>
      </c>
      <c r="E5222">
        <v>0.46430640000000001</v>
      </c>
      <c r="F5222" t="s">
        <v>47</v>
      </c>
      <c r="G5222">
        <v>-378.03949999999998</v>
      </c>
      <c r="H5222" s="1">
        <v>-1.013849E-6</v>
      </c>
      <c r="I5222">
        <v>140.3322</v>
      </c>
      <c r="J5222">
        <v>-365.63850000000002</v>
      </c>
      <c r="K5222">
        <v>1.1097140000000001</v>
      </c>
      <c r="L5222">
        <v>141.5292</v>
      </c>
      <c r="M5222">
        <v>-0.99967950000000005</v>
      </c>
      <c r="N5222">
        <v>0</v>
      </c>
      <c r="O5222">
        <v>-2.0646370000000001E-2</v>
      </c>
      <c r="P5222">
        <v>-0.99996459999999998</v>
      </c>
      <c r="Q5222">
        <v>-8.2233429999999993E-3</v>
      </c>
      <c r="R5222">
        <v>-1.828915E-3</v>
      </c>
      <c r="S5222">
        <v>-2.9975890000000001</v>
      </c>
      <c r="T5222">
        <v>-0.2609397</v>
      </c>
      <c r="U5222">
        <v>-0.28314210000000001</v>
      </c>
      <c r="V5222">
        <v>1.8818319999999999E-2</v>
      </c>
      <c r="W5222">
        <v>6.430407E-3</v>
      </c>
      <c r="X5222">
        <v>0.99980219999999997</v>
      </c>
      <c r="Y5222">
        <v>-7.3263759999999997E-2</v>
      </c>
      <c r="Z5222">
        <v>-1.386181E-3</v>
      </c>
      <c r="AA5222">
        <v>0.99731170000000002</v>
      </c>
      <c r="AB5222">
        <v>35</v>
      </c>
      <c r="AC5222">
        <v>-12.4009999999999</v>
      </c>
      <c r="AD5222">
        <v>-1.109715013849</v>
      </c>
      <c r="AE5222">
        <v>-1.1970000000000001</v>
      </c>
      <c r="AF5222">
        <v>-0.933277232741621</v>
      </c>
      <c r="AG5222">
        <v>-1.109715013849</v>
      </c>
      <c r="AH5222">
        <v>12.3252858978082</v>
      </c>
      <c r="AI5222">
        <v>95.130182729233994</v>
      </c>
      <c r="AJ5222">
        <v>94.3302037651587</v>
      </c>
      <c r="AK5222">
        <v>12.410283891508101</v>
      </c>
      <c r="AL5222">
        <v>89.631562264133095</v>
      </c>
      <c r="AM5222">
        <v>88.921703698012394</v>
      </c>
      <c r="AN5222">
        <v>0.99999995921332296</v>
      </c>
    </row>
    <row r="5223" spans="1:40" x14ac:dyDescent="0.25">
      <c r="A5223" t="str">
        <f>"20190312160750380"</f>
        <v>20190312160750380</v>
      </c>
      <c r="B5223" t="str">
        <f>"1552378070370247"</f>
        <v>1552378070370247</v>
      </c>
      <c r="C5223" t="s">
        <v>40</v>
      </c>
      <c r="D5223">
        <v>5.767779</v>
      </c>
      <c r="E5223">
        <v>0.46453559999999999</v>
      </c>
      <c r="F5223" t="s">
        <v>47</v>
      </c>
      <c r="G5223">
        <v>-378.33240000000001</v>
      </c>
      <c r="H5223" s="1">
        <v>-8.8971389999999995E-7</v>
      </c>
      <c r="I5223">
        <v>140.33779999999999</v>
      </c>
      <c r="J5223">
        <v>-365.98439999999999</v>
      </c>
      <c r="K5223">
        <v>1.1097170000000001</v>
      </c>
      <c r="L5223">
        <v>141.52199999999999</v>
      </c>
      <c r="M5223">
        <v>-0.99967799999999996</v>
      </c>
      <c r="N5223">
        <v>0</v>
      </c>
      <c r="O5223">
        <v>-2.0724179999999998E-2</v>
      </c>
      <c r="P5223">
        <v>-0.99996099999999999</v>
      </c>
      <c r="Q5223">
        <v>-8.6474929999999992E-3</v>
      </c>
      <c r="R5223">
        <v>-1.8293529999999999E-3</v>
      </c>
      <c r="S5223">
        <v>-2.9974370000000001</v>
      </c>
      <c r="T5223">
        <v>-0.26203929999999998</v>
      </c>
      <c r="U5223">
        <v>-0.28129579999999998</v>
      </c>
      <c r="V5223">
        <v>1.8895660000000002E-2</v>
      </c>
      <c r="W5223">
        <v>6.0026929999999999E-3</v>
      </c>
      <c r="X5223">
        <v>0.99980340000000001</v>
      </c>
      <c r="Y5223">
        <v>-7.2583149999999999E-2</v>
      </c>
      <c r="Z5223">
        <v>-1.3557090000000001E-3</v>
      </c>
      <c r="AA5223">
        <v>0.99736139999999995</v>
      </c>
      <c r="AB5223">
        <v>35</v>
      </c>
      <c r="AC5223">
        <v>-12.348000000000001</v>
      </c>
      <c r="AD5223">
        <v>-1.1097178897139</v>
      </c>
      <c r="AE5223">
        <v>-1.1842000000000299</v>
      </c>
      <c r="AF5223">
        <v>-0.920648005741314</v>
      </c>
      <c r="AG5223">
        <v>-1.1097178897139</v>
      </c>
      <c r="AH5223">
        <v>12.271680715824701</v>
      </c>
      <c r="AI5223">
        <v>95.152753559405198</v>
      </c>
      <c r="AJ5223">
        <v>94.290415953137895</v>
      </c>
      <c r="AK5223">
        <v>12.3561002802814</v>
      </c>
      <c r="AL5223">
        <v>89.656068945643796</v>
      </c>
      <c r="AM5223">
        <v>88.917274441037193</v>
      </c>
      <c r="AN5223">
        <v>0.99999995847082301</v>
      </c>
    </row>
    <row r="5224" spans="1:40" x14ac:dyDescent="0.25">
      <c r="A5224" t="str">
        <f>"20190312160750402"</f>
        <v>20190312160750402</v>
      </c>
      <c r="B5224" t="str">
        <f>"1552378070390744"</f>
        <v>1552378070390744</v>
      </c>
      <c r="C5224" t="s">
        <v>40</v>
      </c>
      <c r="D5224">
        <v>5.8110900000000001</v>
      </c>
      <c r="E5224">
        <v>0.46473720000000002</v>
      </c>
      <c r="F5224" t="s">
        <v>47</v>
      </c>
      <c r="G5224">
        <v>-378.63850000000002</v>
      </c>
      <c r="H5224" s="1">
        <v>-7.5953889999999996E-7</v>
      </c>
      <c r="I5224">
        <v>140.34209999999999</v>
      </c>
      <c r="J5224">
        <v>-366.3211</v>
      </c>
      <c r="K5224">
        <v>1.109718</v>
      </c>
      <c r="L5224">
        <v>141.51490000000001</v>
      </c>
      <c r="M5224">
        <v>-0.99967640000000002</v>
      </c>
      <c r="N5224">
        <v>0</v>
      </c>
      <c r="O5224">
        <v>-2.0800079999999999E-2</v>
      </c>
      <c r="P5224">
        <v>-0.99996079999999998</v>
      </c>
      <c r="Q5224">
        <v>-8.5490649999999998E-3</v>
      </c>
      <c r="R5224">
        <v>-2.2894360000000002E-3</v>
      </c>
      <c r="S5224">
        <v>-2.9973749999999999</v>
      </c>
      <c r="T5224">
        <v>-0.26285969999999997</v>
      </c>
      <c r="U5224">
        <v>-0.27946470000000001</v>
      </c>
      <c r="V5224">
        <v>1.851152E-2</v>
      </c>
      <c r="W5224">
        <v>6.0971039999999999E-3</v>
      </c>
      <c r="X5224">
        <v>0.99980999999999998</v>
      </c>
      <c r="Y5224">
        <v>-7.1906910000000004E-2</v>
      </c>
      <c r="Z5224">
        <v>-1.3238429999999999E-3</v>
      </c>
      <c r="AA5224">
        <v>0.99741049999999998</v>
      </c>
      <c r="AB5224">
        <v>35</v>
      </c>
      <c r="AC5224">
        <v>-12.317399999999999</v>
      </c>
      <c r="AD5224">
        <v>-1.1097187595389</v>
      </c>
      <c r="AE5224">
        <v>-1.17280000000002</v>
      </c>
      <c r="AF5224">
        <v>-0.90900387177404196</v>
      </c>
      <c r="AG5224">
        <v>-1.1097187595389</v>
      </c>
      <c r="AH5224">
        <v>12.2406684975199</v>
      </c>
      <c r="AI5224">
        <v>95.166032053605903</v>
      </c>
      <c r="AJ5224">
        <v>94.247044358114195</v>
      </c>
      <c r="AK5224">
        <v>12.3244362560869</v>
      </c>
      <c r="AL5224">
        <v>89.650659489376395</v>
      </c>
      <c r="AM5224">
        <v>88.939287668585195</v>
      </c>
      <c r="AN5224">
        <v>0.99999994357494604</v>
      </c>
    </row>
    <row r="5225" spans="1:40" x14ac:dyDescent="0.25">
      <c r="A5225" t="str">
        <f>"20190312160750427"</f>
        <v>20190312160750427</v>
      </c>
      <c r="B5225" t="str">
        <f>"1552378070421000"</f>
        <v>1552378070421000</v>
      </c>
      <c r="C5225" t="s">
        <v>40</v>
      </c>
      <c r="D5225">
        <v>5.8050420000000003</v>
      </c>
      <c r="E5225">
        <v>0.46498689999999998</v>
      </c>
      <c r="F5225" t="s">
        <v>47</v>
      </c>
      <c r="G5225">
        <v>-378.9898</v>
      </c>
      <c r="H5225" s="1">
        <v>-6.0679150000000004E-7</v>
      </c>
      <c r="I5225">
        <v>140.33449999999999</v>
      </c>
      <c r="J5225">
        <v>-366.7022</v>
      </c>
      <c r="K5225">
        <v>1.1097239999999999</v>
      </c>
      <c r="L5225">
        <v>141.5069</v>
      </c>
      <c r="M5225">
        <v>-0.99967470000000003</v>
      </c>
      <c r="N5225">
        <v>0</v>
      </c>
      <c r="O5225">
        <v>-2.0886350000000001E-2</v>
      </c>
      <c r="P5225">
        <v>-0.99996459999999998</v>
      </c>
      <c r="Q5225">
        <v>-7.9885349999999997E-3</v>
      </c>
      <c r="R5225">
        <v>-2.6591779999999999E-3</v>
      </c>
      <c r="S5225">
        <v>-2.997223</v>
      </c>
      <c r="T5225">
        <v>-0.26254189999999999</v>
      </c>
      <c r="U5225">
        <v>-0.27923579999999998</v>
      </c>
      <c r="V5225">
        <v>1.8228169999999998E-2</v>
      </c>
      <c r="W5225">
        <v>6.6535619999999896E-3</v>
      </c>
      <c r="X5225">
        <v>0.99981169999999997</v>
      </c>
      <c r="Y5225">
        <v>-7.1751389999999998E-2</v>
      </c>
      <c r="Z5225">
        <v>-1.3080139999999999E-3</v>
      </c>
      <c r="AA5225">
        <v>0.99742169999999997</v>
      </c>
      <c r="AB5225">
        <v>35</v>
      </c>
      <c r="AC5225">
        <v>-12.2875999999999</v>
      </c>
      <c r="AD5225">
        <v>-1.1097246067915001</v>
      </c>
      <c r="AE5225">
        <v>-1.1724000000000101</v>
      </c>
      <c r="AF5225">
        <v>-0.90813334368541099</v>
      </c>
      <c r="AG5225">
        <v>-1.1097246067915001</v>
      </c>
      <c r="AH5225">
        <v>12.210712300483801</v>
      </c>
      <c r="AI5225">
        <v>95.178621834219996</v>
      </c>
      <c r="AJ5225">
        <v>94.253362999848804</v>
      </c>
      <c r="AK5225">
        <v>12.2946203584339</v>
      </c>
      <c r="AL5225">
        <v>89.618776160419102</v>
      </c>
      <c r="AM5225">
        <v>88.955521808635993</v>
      </c>
      <c r="AN5225">
        <v>0.99999998576286298</v>
      </c>
    </row>
    <row r="5226" spans="1:40" x14ac:dyDescent="0.25">
      <c r="A5226" t="str">
        <f>"20190312160750448"</f>
        <v>20190312160750448</v>
      </c>
      <c r="B5226" t="str">
        <f>"1552378070440519"</f>
        <v>1552378070440519</v>
      </c>
      <c r="C5226" t="s">
        <v>40</v>
      </c>
      <c r="D5226">
        <v>5.8096819999999996</v>
      </c>
      <c r="E5226">
        <v>0.46512559999999897</v>
      </c>
      <c r="F5226" t="s">
        <v>47</v>
      </c>
      <c r="G5226">
        <v>-379.44170000000003</v>
      </c>
      <c r="H5226" s="1">
        <v>-4.100587E-7</v>
      </c>
      <c r="I5226">
        <v>140.3237</v>
      </c>
      <c r="J5226">
        <v>-367.02789999999999</v>
      </c>
      <c r="K5226">
        <v>1.109723</v>
      </c>
      <c r="L5226">
        <v>141.5</v>
      </c>
      <c r="M5226">
        <v>-0.99967320000000004</v>
      </c>
      <c r="N5226">
        <v>0</v>
      </c>
      <c r="O5226">
        <v>-2.095998E-2</v>
      </c>
      <c r="P5226">
        <v>-0.99996479999999999</v>
      </c>
      <c r="Q5226">
        <v>-7.8786510000000004E-3</v>
      </c>
      <c r="R5226">
        <v>-2.9112809999999999E-3</v>
      </c>
      <c r="S5226">
        <v>-2.9972530000000002</v>
      </c>
      <c r="T5226">
        <v>-0.26108690000000001</v>
      </c>
      <c r="U5226">
        <v>-0.27833560000000002</v>
      </c>
      <c r="V5226">
        <v>1.8049820000000001E-2</v>
      </c>
      <c r="W5226">
        <v>6.7594179999999997E-3</v>
      </c>
      <c r="X5226">
        <v>0.99981419999999999</v>
      </c>
      <c r="Y5226">
        <v>-7.1383740000000001E-2</v>
      </c>
      <c r="Z5226">
        <v>-1.278462E-3</v>
      </c>
      <c r="AA5226">
        <v>0.99744809999999995</v>
      </c>
      <c r="AB5226">
        <v>35</v>
      </c>
      <c r="AC5226">
        <v>-12.4138</v>
      </c>
      <c r="AD5226">
        <v>-1.1097234100586999</v>
      </c>
      <c r="AE5226">
        <v>-1.1762999999999899</v>
      </c>
      <c r="AF5226">
        <v>-0.90862414860169005</v>
      </c>
      <c r="AG5226">
        <v>-1.1097234100586999</v>
      </c>
      <c r="AH5226">
        <v>12.3380102603008</v>
      </c>
      <c r="AI5226">
        <v>95.125744767748998</v>
      </c>
      <c r="AJ5226">
        <v>94.211904250150795</v>
      </c>
      <c r="AK5226">
        <v>12.421094197917601</v>
      </c>
      <c r="AL5226">
        <v>89.612710911965706</v>
      </c>
      <c r="AM5226">
        <v>88.965741658017606</v>
      </c>
      <c r="AN5226">
        <v>0.999999960127684</v>
      </c>
    </row>
    <row r="5227" spans="1:40" x14ac:dyDescent="0.25">
      <c r="A5227" t="str">
        <f>"20190312160750470"</f>
        <v>20190312160750470</v>
      </c>
      <c r="B5227" t="str">
        <f>"1552378070460808"</f>
        <v>1552378070460808</v>
      </c>
      <c r="C5227" t="s">
        <v>40</v>
      </c>
      <c r="D5227">
        <v>5.7939290000000003</v>
      </c>
      <c r="E5227">
        <v>0.46529880000000001</v>
      </c>
      <c r="F5227" t="s">
        <v>47</v>
      </c>
      <c r="G5227">
        <v>-379.74040000000002</v>
      </c>
      <c r="H5227" s="1">
        <v>-2.8106029999999998E-7</v>
      </c>
      <c r="I5227">
        <v>140.32050000000001</v>
      </c>
      <c r="J5227">
        <v>-367.3698</v>
      </c>
      <c r="K5227">
        <v>1.109728</v>
      </c>
      <c r="L5227">
        <v>141.49270000000001</v>
      </c>
      <c r="M5227">
        <v>-0.99967159999999999</v>
      </c>
      <c r="N5227">
        <v>0</v>
      </c>
      <c r="O5227">
        <v>-2.1037440000000001E-2</v>
      </c>
      <c r="P5227">
        <v>-0.99996580000000002</v>
      </c>
      <c r="Q5227">
        <v>-7.5799069999999899E-3</v>
      </c>
      <c r="R5227">
        <v>-3.3420860000000002E-3</v>
      </c>
      <c r="S5227">
        <v>-2.997223</v>
      </c>
      <c r="T5227">
        <v>-0.2616385</v>
      </c>
      <c r="U5227">
        <v>-0.2780609</v>
      </c>
      <c r="V5227">
        <v>1.7696630000000001E-2</v>
      </c>
      <c r="W5227">
        <v>7.0545719999999899E-3</v>
      </c>
      <c r="X5227">
        <v>0.99981850000000005</v>
      </c>
      <c r="Y5227">
        <v>-7.12169E-2</v>
      </c>
      <c r="Z5227">
        <v>-1.267188E-3</v>
      </c>
      <c r="AA5227">
        <v>0.99746009999999996</v>
      </c>
      <c r="AB5227">
        <v>35</v>
      </c>
      <c r="AC5227">
        <v>-12.3706</v>
      </c>
      <c r="AD5227">
        <v>-1.1097282810603</v>
      </c>
      <c r="AE5227">
        <v>-1.1721999999999999</v>
      </c>
      <c r="AF5227">
        <v>-0.90445323916762699</v>
      </c>
      <c r="AG5227">
        <v>-1.1097282810603</v>
      </c>
      <c r="AH5227">
        <v>12.2944672017159</v>
      </c>
      <c r="AI5227">
        <v>95.143853127166295</v>
      </c>
      <c r="AJ5227">
        <v>94.2074349594495</v>
      </c>
      <c r="AK5227">
        <v>12.3775383777912</v>
      </c>
      <c r="AL5227">
        <v>89.595799439507502</v>
      </c>
      <c r="AM5227">
        <v>88.985979608896599</v>
      </c>
      <c r="AN5227">
        <v>0.99999998532085499</v>
      </c>
    </row>
    <row r="5228" spans="1:40" x14ac:dyDescent="0.25">
      <c r="A5228" t="str">
        <f>"20190312160750492"</f>
        <v>20190312160750492</v>
      </c>
      <c r="B5228" t="str">
        <f>"1552378070480330"</f>
        <v>1552378070480330</v>
      </c>
      <c r="C5228" t="s">
        <v>40</v>
      </c>
      <c r="D5228">
        <v>5.7896000000000001</v>
      </c>
      <c r="E5228">
        <v>0.46537869999999998</v>
      </c>
      <c r="F5228" t="s">
        <v>47</v>
      </c>
      <c r="G5228">
        <v>-380.08690000000001</v>
      </c>
      <c r="H5228" s="1">
        <v>-4.3702519999999998E-6</v>
      </c>
      <c r="I5228">
        <v>140.3141</v>
      </c>
      <c r="J5228">
        <v>-367.7029</v>
      </c>
      <c r="K5228">
        <v>1.1097360000000001</v>
      </c>
      <c r="L5228">
        <v>141.48560000000001</v>
      </c>
      <c r="M5228">
        <v>-0.99967019999999995</v>
      </c>
      <c r="N5228">
        <v>0</v>
      </c>
      <c r="O5228">
        <v>-2.1112860000000001E-2</v>
      </c>
      <c r="P5228">
        <v>-0.99996770000000001</v>
      </c>
      <c r="Q5228">
        <v>-7.0159849999999998E-3</v>
      </c>
      <c r="R5228">
        <v>-3.963294E-3</v>
      </c>
      <c r="S5228">
        <v>-2.9971920000000001</v>
      </c>
      <c r="T5228">
        <v>-0.26154629999999901</v>
      </c>
      <c r="U5228">
        <v>-0.27775569999999999</v>
      </c>
      <c r="V5228">
        <v>1.715096E-2</v>
      </c>
      <c r="W5228">
        <v>7.6148419999999897E-3</v>
      </c>
      <c r="X5228">
        <v>0.99982389999999999</v>
      </c>
      <c r="Y5228">
        <v>-7.1042939999999999E-2</v>
      </c>
      <c r="Z5228">
        <v>-1.2526499999999999E-3</v>
      </c>
      <c r="AA5228">
        <v>0.99747249999999998</v>
      </c>
      <c r="AB5228">
        <v>35</v>
      </c>
      <c r="AC5228">
        <v>-12.384</v>
      </c>
      <c r="AD5228">
        <v>-1.1097403702519999</v>
      </c>
      <c r="AE5228">
        <v>-1.1715</v>
      </c>
      <c r="AF5228">
        <v>-0.90256580053577695</v>
      </c>
      <c r="AG5228">
        <v>-1.1097403702519999</v>
      </c>
      <c r="AH5228">
        <v>12.3080173675613</v>
      </c>
      <c r="AI5228">
        <v>95.138363647294199</v>
      </c>
      <c r="AJ5228">
        <v>94.194080275599205</v>
      </c>
      <c r="AK5228">
        <v>12.390861157879799</v>
      </c>
      <c r="AL5228">
        <v>89.563697469060003</v>
      </c>
      <c r="AM5228">
        <v>89.017245684616995</v>
      </c>
      <c r="AN5228">
        <v>0.99999998612940799</v>
      </c>
    </row>
    <row r="5229" spans="1:40" x14ac:dyDescent="0.25">
      <c r="A5229" t="str">
        <f>"20190312160750515"</f>
        <v>20190312160750515</v>
      </c>
      <c r="B5229" t="str">
        <f>"1552378070510585"</f>
        <v>1552378070510585</v>
      </c>
      <c r="C5229" t="s">
        <v>40</v>
      </c>
      <c r="D5229">
        <v>5.8128209999999996</v>
      </c>
      <c r="E5229">
        <v>0.4655223</v>
      </c>
      <c r="F5229" t="s">
        <v>47</v>
      </c>
      <c r="G5229">
        <v>-380.48009999999999</v>
      </c>
      <c r="H5229" s="1">
        <v>-4.23332299999999E-6</v>
      </c>
      <c r="I5229">
        <v>140.29660000000001</v>
      </c>
      <c r="J5229">
        <v>-368.04969999999997</v>
      </c>
      <c r="K5229">
        <v>1.109739</v>
      </c>
      <c r="L5229">
        <v>141.47819999999999</v>
      </c>
      <c r="M5229">
        <v>-0.99966860000000002</v>
      </c>
      <c r="N5229">
        <v>0</v>
      </c>
      <c r="O5229">
        <v>-2.1191140000000001E-2</v>
      </c>
      <c r="P5229">
        <v>-0.99996949999999996</v>
      </c>
      <c r="Q5229">
        <v>-6.4727600000000001E-3</v>
      </c>
      <c r="R5229">
        <v>-4.4048079999999996E-3</v>
      </c>
      <c r="S5229">
        <v>-2.9971619999999999</v>
      </c>
      <c r="T5229">
        <v>-0.26031300000000002</v>
      </c>
      <c r="U5229">
        <v>-0.27890009999999998</v>
      </c>
      <c r="V5229">
        <v>1.678781E-2</v>
      </c>
      <c r="W5229">
        <v>8.154606E-3</v>
      </c>
      <c r="X5229">
        <v>0.99982579999999999</v>
      </c>
      <c r="Y5229">
        <v>-7.1344320000000003E-2</v>
      </c>
      <c r="Z5229">
        <v>-1.253026E-3</v>
      </c>
      <c r="AA5229">
        <v>0.99745090000000003</v>
      </c>
      <c r="AB5229">
        <v>34</v>
      </c>
      <c r="AC5229">
        <v>-12.430400000000001</v>
      </c>
      <c r="AD5229">
        <v>-1.109743233323</v>
      </c>
      <c r="AE5229">
        <v>-1.18159999999997</v>
      </c>
      <c r="AF5229">
        <v>-0.91069857596975301</v>
      </c>
      <c r="AG5229">
        <v>-1.109743233323</v>
      </c>
      <c r="AH5229">
        <v>12.3550584656728</v>
      </c>
      <c r="AI5229">
        <v>95.1187757960965</v>
      </c>
      <c r="AJ5229">
        <v>94.215681453740004</v>
      </c>
      <c r="AK5229">
        <v>12.438182006642799</v>
      </c>
      <c r="AL5229">
        <v>89.532770304541899</v>
      </c>
      <c r="AM5229">
        <v>89.038052146135996</v>
      </c>
      <c r="AN5229">
        <v>0.99999997925462503</v>
      </c>
    </row>
    <row r="5230" spans="1:40" x14ac:dyDescent="0.25">
      <c r="A5230" t="str">
        <f>"20190312160750537"</f>
        <v>20190312160750537</v>
      </c>
      <c r="B5230" t="str">
        <f>"1552378070531081"</f>
        <v>1552378070531081</v>
      </c>
      <c r="C5230" t="s">
        <v>40</v>
      </c>
      <c r="D5230">
        <v>5.8288970000000004</v>
      </c>
      <c r="E5230">
        <v>0.46566190000000002</v>
      </c>
      <c r="F5230" t="s">
        <v>47</v>
      </c>
      <c r="G5230">
        <v>-380.83249999999998</v>
      </c>
      <c r="H5230" s="1">
        <v>-4.0936979999999998E-6</v>
      </c>
      <c r="I5230">
        <v>140.28720000000001</v>
      </c>
      <c r="J5230">
        <v>-368.40120000000002</v>
      </c>
      <c r="K5230">
        <v>1.1097429999999999</v>
      </c>
      <c r="L5230">
        <v>141.47069999999999</v>
      </c>
      <c r="M5230">
        <v>-0.99966699999999997</v>
      </c>
      <c r="N5230">
        <v>0</v>
      </c>
      <c r="O5230">
        <v>-2.127097E-2</v>
      </c>
      <c r="P5230">
        <v>-0.99996850000000004</v>
      </c>
      <c r="Q5230">
        <v>-6.5518939999999999E-3</v>
      </c>
      <c r="R5230">
        <v>-4.5123439999999997E-3</v>
      </c>
      <c r="S5230">
        <v>-2.9971619999999999</v>
      </c>
      <c r="T5230">
        <v>-0.26020100000000002</v>
      </c>
      <c r="U5230">
        <v>-0.27923579999999998</v>
      </c>
      <c r="V5230">
        <v>1.676014E-2</v>
      </c>
      <c r="W5230">
        <v>8.0716390000000002E-3</v>
      </c>
      <c r="X5230">
        <v>0.99982700000000002</v>
      </c>
      <c r="Y5230">
        <v>-7.1375759999999996E-2</v>
      </c>
      <c r="Z5230">
        <v>-1.2469429999999999E-3</v>
      </c>
      <c r="AA5230">
        <v>0.99744869999999997</v>
      </c>
      <c r="AB5230">
        <v>34</v>
      </c>
      <c r="AC5230">
        <v>-12.431299999999901</v>
      </c>
      <c r="AD5230">
        <v>-1.1097470936979901</v>
      </c>
      <c r="AE5230">
        <v>-1.18349999999998</v>
      </c>
      <c r="AF5230">
        <v>-0.91157883449234101</v>
      </c>
      <c r="AG5230">
        <v>-1.1097470936979901</v>
      </c>
      <c r="AH5230">
        <v>12.3560800084161</v>
      </c>
      <c r="AI5230">
        <v>95.1183482315285</v>
      </c>
      <c r="AJ5230">
        <v>94.219393906258702</v>
      </c>
      <c r="AK5230">
        <v>12.439261543911901</v>
      </c>
      <c r="AL5230">
        <v>89.537524148959207</v>
      </c>
      <c r="AM5230">
        <v>89.039638502815706</v>
      </c>
      <c r="AN5230">
        <v>1.0000000417889801</v>
      </c>
    </row>
    <row r="5231" spans="1:40" x14ac:dyDescent="0.25">
      <c r="A5231" t="str">
        <f>"20190312160750559"</f>
        <v>20190312160750559</v>
      </c>
      <c r="B5231" t="str">
        <f>"1552378070550430"</f>
        <v>1552378070550430</v>
      </c>
      <c r="C5231" t="s">
        <v>40</v>
      </c>
      <c r="D5231">
        <v>5.8306069999999997</v>
      </c>
      <c r="E5231">
        <v>0.4658022</v>
      </c>
      <c r="F5231" t="s">
        <v>47</v>
      </c>
      <c r="G5231">
        <v>-381.0926</v>
      </c>
      <c r="H5231" s="1">
        <v>-3.9831619999999996E-6</v>
      </c>
      <c r="I5231">
        <v>140.2912</v>
      </c>
      <c r="J5231">
        <v>-368.73509999999999</v>
      </c>
      <c r="K5231">
        <v>1.1097410000000001</v>
      </c>
      <c r="L5231">
        <v>141.46350000000001</v>
      </c>
      <c r="M5231">
        <v>-0.99966540000000004</v>
      </c>
      <c r="N5231">
        <v>0</v>
      </c>
      <c r="O5231">
        <v>-2.1346759999999999E-2</v>
      </c>
      <c r="P5231">
        <v>-0.99996629999999997</v>
      </c>
      <c r="Q5231">
        <v>-6.6073290000000003E-3</v>
      </c>
      <c r="R5231">
        <v>-4.8866500000000002E-3</v>
      </c>
      <c r="S5231">
        <v>-2.997131</v>
      </c>
      <c r="T5231">
        <v>-0.26207229999999998</v>
      </c>
      <c r="U5231">
        <v>-0.27851870000000001</v>
      </c>
      <c r="V5231">
        <v>1.646162E-2</v>
      </c>
      <c r="W5231">
        <v>8.0120350000000007E-3</v>
      </c>
      <c r="X5231">
        <v>0.99983239999999995</v>
      </c>
      <c r="Y5231">
        <v>-7.106324E-2</v>
      </c>
      <c r="Z5231">
        <v>-1.2356979999999999E-3</v>
      </c>
      <c r="AA5231">
        <v>0.997471</v>
      </c>
      <c r="AB5231">
        <v>34</v>
      </c>
      <c r="AC5231">
        <v>-12.3575</v>
      </c>
      <c r="AD5231">
        <v>-1.1097449831620001</v>
      </c>
      <c r="AE5231">
        <v>-1.1722999999999999</v>
      </c>
      <c r="AF5231">
        <v>-0.90101055623816895</v>
      </c>
      <c r="AG5231">
        <v>-1.1097449831620001</v>
      </c>
      <c r="AH5231">
        <v>12.281548109624</v>
      </c>
      <c r="AI5231">
        <v>95.149387955178895</v>
      </c>
      <c r="AJ5231">
        <v>94.195870415406404</v>
      </c>
      <c r="AK5231">
        <v>12.3644562322455</v>
      </c>
      <c r="AL5231">
        <v>89.540939299022895</v>
      </c>
      <c r="AM5231">
        <v>89.056745771327599</v>
      </c>
      <c r="AN5231">
        <v>1.0000000028638101</v>
      </c>
    </row>
    <row r="5232" spans="1:40" x14ac:dyDescent="0.25">
      <c r="A5232" t="str">
        <f>"20190312160750582"</f>
        <v>20190312160750582</v>
      </c>
      <c r="B5232" t="str">
        <f>"1552378070570927"</f>
        <v>1552378070570927</v>
      </c>
      <c r="C5232" t="s">
        <v>40</v>
      </c>
      <c r="D5232">
        <v>5.8227919999999997</v>
      </c>
      <c r="E5232">
        <v>0.46590989999999999</v>
      </c>
      <c r="F5232" t="s">
        <v>47</v>
      </c>
      <c r="G5232">
        <v>-381.35860000000002</v>
      </c>
      <c r="H5232" s="1">
        <v>-3.8689030000000002E-6</v>
      </c>
      <c r="I5232">
        <v>140.29079999999999</v>
      </c>
      <c r="J5232">
        <v>-369.08260000000001</v>
      </c>
      <c r="K5232">
        <v>1.1097410000000001</v>
      </c>
      <c r="L5232">
        <v>141.45599999999999</v>
      </c>
      <c r="M5232">
        <v>-0.99966359999999999</v>
      </c>
      <c r="N5232">
        <v>0</v>
      </c>
      <c r="O5232">
        <v>-2.1425280000000001E-2</v>
      </c>
      <c r="P5232">
        <v>-0.99996600000000002</v>
      </c>
      <c r="Q5232">
        <v>-6.7844169999999896E-3</v>
      </c>
      <c r="R5232">
        <v>-4.6816499999999999E-3</v>
      </c>
      <c r="S5232">
        <v>-2.9970400000000001</v>
      </c>
      <c r="T5232">
        <v>-0.26347280000000001</v>
      </c>
      <c r="U5232">
        <v>-0.27841189999999999</v>
      </c>
      <c r="V5232">
        <v>1.674525E-2</v>
      </c>
      <c r="W5232">
        <v>7.8308409999999998E-3</v>
      </c>
      <c r="X5232">
        <v>0.99982910000000003</v>
      </c>
      <c r="Y5232">
        <v>-7.0951150000000004E-2</v>
      </c>
      <c r="Z5232">
        <v>-1.230538E-3</v>
      </c>
      <c r="AA5232">
        <v>0.997479</v>
      </c>
      <c r="AB5232">
        <v>34</v>
      </c>
      <c r="AC5232">
        <v>-12.276</v>
      </c>
      <c r="AD5232">
        <v>-1.1097448689030001</v>
      </c>
      <c r="AE5232">
        <v>-1.16520000000002</v>
      </c>
      <c r="AF5232">
        <v>-0.89464183185383495</v>
      </c>
      <c r="AG5232">
        <v>-1.1097448689030001</v>
      </c>
      <c r="AH5232">
        <v>12.1993450143265</v>
      </c>
      <c r="AI5232">
        <v>95.183907652634801</v>
      </c>
      <c r="AJ5232">
        <v>94.194291155477003</v>
      </c>
      <c r="AK5232">
        <v>12.2823424663186</v>
      </c>
      <c r="AL5232">
        <v>89.551321264762507</v>
      </c>
      <c r="AM5232">
        <v>89.040493560034193</v>
      </c>
      <c r="AN5232">
        <v>0.99999997733756896</v>
      </c>
    </row>
    <row r="5233" spans="1:40" x14ac:dyDescent="0.25">
      <c r="A5233" t="str">
        <f>"20190312160750605"</f>
        <v>20190312160750605</v>
      </c>
      <c r="B5233" t="str">
        <f>"1552378070590447"</f>
        <v>1552378070590447</v>
      </c>
      <c r="C5233" t="s">
        <v>40</v>
      </c>
      <c r="D5233">
        <v>5.9048230000000004</v>
      </c>
      <c r="E5233">
        <v>0.46617320000000001</v>
      </c>
      <c r="F5233" t="s">
        <v>47</v>
      </c>
      <c r="G5233">
        <v>-381.6413</v>
      </c>
      <c r="H5233" s="1">
        <v>-3.7490349999999999E-6</v>
      </c>
      <c r="I5233">
        <v>140.29589999999999</v>
      </c>
      <c r="J5233">
        <v>-369.42849999999999</v>
      </c>
      <c r="K5233">
        <v>1.1097410000000001</v>
      </c>
      <c r="L5233">
        <v>141.4485</v>
      </c>
      <c r="M5233">
        <v>-0.9996621</v>
      </c>
      <c r="N5233">
        <v>0</v>
      </c>
      <c r="O5233">
        <v>-2.15038E-2</v>
      </c>
      <c r="P5233">
        <v>-0.99996980000000002</v>
      </c>
      <c r="Q5233">
        <v>-6.576836E-3</v>
      </c>
      <c r="R5233">
        <v>-4.1719039999999997E-3</v>
      </c>
      <c r="S5233">
        <v>-2.9970400000000001</v>
      </c>
      <c r="T5233">
        <v>-0.26483379999999901</v>
      </c>
      <c r="U5233">
        <v>-0.27682499999999999</v>
      </c>
      <c r="V5233">
        <v>1.7333520000000002E-2</v>
      </c>
      <c r="W5233">
        <v>8.0349219999999999E-3</v>
      </c>
      <c r="X5233">
        <v>0.99981750000000003</v>
      </c>
      <c r="Y5233">
        <v>-7.0349789999999995E-2</v>
      </c>
      <c r="Z5233">
        <v>-1.2035279999999999E-3</v>
      </c>
      <c r="AA5233">
        <v>0.99752160000000001</v>
      </c>
      <c r="AB5233">
        <v>34</v>
      </c>
      <c r="AC5233">
        <v>-12.2128</v>
      </c>
      <c r="AD5233">
        <v>-1.1097447490350001</v>
      </c>
      <c r="AE5233">
        <v>-1.1526000000000001</v>
      </c>
      <c r="AF5233">
        <v>-0.88246175512404101</v>
      </c>
      <c r="AG5233">
        <v>-1.1097447490350001</v>
      </c>
      <c r="AH5233">
        <v>12.135447044709901</v>
      </c>
      <c r="AI5233">
        <v>95.211285023022995</v>
      </c>
      <c r="AJ5233">
        <v>94.1590965029187</v>
      </c>
      <c r="AK5233">
        <v>12.2179927619976</v>
      </c>
      <c r="AL5233">
        <v>89.539627937164099</v>
      </c>
      <c r="AM5233">
        <v>89.006780678770397</v>
      </c>
      <c r="AN5233">
        <v>1.00000002209669</v>
      </c>
    </row>
    <row r="5234" spans="1:40" x14ac:dyDescent="0.25">
      <c r="A5234" t="str">
        <f>"20190312160750627"</f>
        <v>20190312160750627</v>
      </c>
      <c r="B5234" t="str">
        <f>"1552378070620702"</f>
        <v>1552378070620702</v>
      </c>
      <c r="C5234" t="s">
        <v>40</v>
      </c>
      <c r="D5234">
        <v>5.869459</v>
      </c>
      <c r="E5234">
        <v>0.46636939999999999</v>
      </c>
      <c r="F5234" t="s">
        <v>47</v>
      </c>
      <c r="G5234">
        <v>-381.97059999999999</v>
      </c>
      <c r="H5234" s="1">
        <v>-3.6101989999999999E-6</v>
      </c>
      <c r="I5234">
        <v>140.30500000000001</v>
      </c>
      <c r="J5234">
        <v>-369.7747</v>
      </c>
      <c r="K5234">
        <v>1.1097379999999999</v>
      </c>
      <c r="L5234">
        <v>141.441</v>
      </c>
      <c r="M5234">
        <v>-0.9996604</v>
      </c>
      <c r="N5234">
        <v>0</v>
      </c>
      <c r="O5234">
        <v>-2.158233E-2</v>
      </c>
      <c r="P5234">
        <v>-0.99997040000000004</v>
      </c>
      <c r="Q5234">
        <v>-6.4383319999999997E-3</v>
      </c>
      <c r="R5234">
        <v>-4.2392819999999996E-3</v>
      </c>
      <c r="S5234">
        <v>-2.9971619999999999</v>
      </c>
      <c r="T5234">
        <v>-0.26519540000000003</v>
      </c>
      <c r="U5234">
        <v>-0.27323910000000001</v>
      </c>
      <c r="V5234">
        <v>1.7344640000000001E-2</v>
      </c>
      <c r="W5234">
        <v>8.1693870000000002E-3</v>
      </c>
      <c r="X5234">
        <v>0.99981620000000004</v>
      </c>
      <c r="Y5234">
        <v>-6.9088849999999993E-2</v>
      </c>
      <c r="Z5234">
        <v>-1.1426979999999999E-3</v>
      </c>
      <c r="AA5234">
        <v>0.99760990000000005</v>
      </c>
      <c r="AB5234">
        <v>34</v>
      </c>
      <c r="AC5234">
        <v>-12.1958999999999</v>
      </c>
      <c r="AD5234">
        <v>-1.1097416101990001</v>
      </c>
      <c r="AE5234">
        <v>-1.1359999999999899</v>
      </c>
      <c r="AF5234">
        <v>-0.86538778359964097</v>
      </c>
      <c r="AG5234">
        <v>-1.1097416101990001</v>
      </c>
      <c r="AH5234">
        <v>12.1181072099182</v>
      </c>
      <c r="AI5234">
        <v>95.219171591489498</v>
      </c>
      <c r="AJ5234">
        <v>94.084716868989403</v>
      </c>
      <c r="AK5234">
        <v>12.1995469099668</v>
      </c>
      <c r="AL5234">
        <v>89.531923399261402</v>
      </c>
      <c r="AM5234">
        <v>89.006142333009507</v>
      </c>
      <c r="AN5234">
        <v>1.00000000460156</v>
      </c>
    </row>
    <row r="5235" spans="1:40" x14ac:dyDescent="0.25">
      <c r="A5235" t="str">
        <f>"20190312160750650"</f>
        <v>20190312160750650</v>
      </c>
      <c r="B5235" t="str">
        <f>"1552378070641199"</f>
        <v>1552378070641199</v>
      </c>
      <c r="C5235" t="s">
        <v>40</v>
      </c>
      <c r="D5235">
        <v>5.8539070000000004</v>
      </c>
      <c r="E5235">
        <v>0.46649439999999998</v>
      </c>
      <c r="F5235" t="s">
        <v>47</v>
      </c>
      <c r="G5235">
        <v>-382.51440000000002</v>
      </c>
      <c r="H5235" s="1">
        <v>-3.3715179999999999E-6</v>
      </c>
      <c r="I5235">
        <v>140.28489999999999</v>
      </c>
      <c r="J5235">
        <v>-370.1155</v>
      </c>
      <c r="K5235">
        <v>1.1097349999999999</v>
      </c>
      <c r="L5235">
        <v>141.43360000000001</v>
      </c>
      <c r="M5235">
        <v>-0.99965879999999996</v>
      </c>
      <c r="N5235">
        <v>0</v>
      </c>
      <c r="O5235">
        <v>-2.1659540000000001E-2</v>
      </c>
      <c r="P5235">
        <v>-0.99996910000000006</v>
      </c>
      <c r="Q5235">
        <v>-6.8071159999999898E-3</v>
      </c>
      <c r="R5235">
        <v>-3.9561199999999996E-3</v>
      </c>
      <c r="S5235">
        <v>-2.9972530000000002</v>
      </c>
      <c r="T5235">
        <v>-0.26108720000000002</v>
      </c>
      <c r="U5235">
        <v>-0.27197270000000001</v>
      </c>
      <c r="V5235">
        <v>1.770478E-2</v>
      </c>
      <c r="W5235">
        <v>7.7965109999999999E-3</v>
      </c>
      <c r="X5235">
        <v>0.99981279999999995</v>
      </c>
      <c r="Y5235">
        <v>-6.8598720000000002E-2</v>
      </c>
      <c r="Z5235">
        <v>-1.0970890000000001E-3</v>
      </c>
      <c r="AA5235">
        <v>0.99764370000000002</v>
      </c>
      <c r="AB5235">
        <v>34</v>
      </c>
      <c r="AC5235">
        <v>-12.398899999999999</v>
      </c>
      <c r="AD5235">
        <v>-1.109738371518</v>
      </c>
      <c r="AE5235">
        <v>-1.14870000000001</v>
      </c>
      <c r="AF5235">
        <v>-0.87291415111283399</v>
      </c>
      <c r="AG5235">
        <v>-1.109738371518</v>
      </c>
      <c r="AH5235">
        <v>12.3229968757735</v>
      </c>
      <c r="AI5235">
        <v>95.133055312490001</v>
      </c>
      <c r="AJ5235">
        <v>94.051846709738001</v>
      </c>
      <c r="AK5235">
        <v>12.4036184385346</v>
      </c>
      <c r="AL5235">
        <v>89.5532882722555</v>
      </c>
      <c r="AM5235">
        <v>88.985506927412899</v>
      </c>
      <c r="AN5235">
        <v>0.99999993993122804</v>
      </c>
    </row>
    <row r="5236" spans="1:40" x14ac:dyDescent="0.25">
      <c r="A5236" t="str">
        <f>"20190312160750671"</f>
        <v>20190312160750671</v>
      </c>
      <c r="B5236" t="str">
        <f>"1552378070660945"</f>
        <v>1552378070660945</v>
      </c>
      <c r="C5236" t="s">
        <v>40</v>
      </c>
      <c r="D5236">
        <v>5.8435540000000001</v>
      </c>
      <c r="E5236">
        <v>0.4665917</v>
      </c>
      <c r="F5236" t="s">
        <v>47</v>
      </c>
      <c r="G5236">
        <v>-382.76949999999999</v>
      </c>
      <c r="H5236" s="1">
        <v>-3.2641129999999999E-6</v>
      </c>
      <c r="I5236">
        <v>140.29249999999999</v>
      </c>
      <c r="J5236">
        <v>-370.44889999999998</v>
      </c>
      <c r="K5236">
        <v>1.109737</v>
      </c>
      <c r="L5236">
        <v>141.4263</v>
      </c>
      <c r="M5236">
        <v>-0.99965729999999997</v>
      </c>
      <c r="N5236">
        <v>0</v>
      </c>
      <c r="O5236">
        <v>-2.1735089999999999E-2</v>
      </c>
      <c r="P5236">
        <v>-0.99996980000000002</v>
      </c>
      <c r="Q5236">
        <v>-7.0509259999999999E-3</v>
      </c>
      <c r="R5236">
        <v>-3.3437739999999999E-3</v>
      </c>
      <c r="S5236">
        <v>-2.997223</v>
      </c>
      <c r="T5236">
        <v>-0.26285399999999998</v>
      </c>
      <c r="U5236">
        <v>-0.2702637</v>
      </c>
      <c r="V5236">
        <v>1.8392909999999998E-2</v>
      </c>
      <c r="W5236">
        <v>7.54951699999999E-3</v>
      </c>
      <c r="X5236">
        <v>0.99980239999999998</v>
      </c>
      <c r="Y5236">
        <v>-6.7960309999999996E-2</v>
      </c>
      <c r="Z5236">
        <v>-1.0700410000000001E-3</v>
      </c>
      <c r="AA5236">
        <v>0.99768749999999995</v>
      </c>
      <c r="AB5236">
        <v>34</v>
      </c>
      <c r="AC5236">
        <v>-12.320600000000001</v>
      </c>
      <c r="AD5236">
        <v>-1.1097402641130001</v>
      </c>
      <c r="AE5236">
        <v>-1.1337999999999999</v>
      </c>
      <c r="AF5236">
        <v>-0.85880530485786399</v>
      </c>
      <c r="AG5236">
        <v>-1.1097402641130001</v>
      </c>
      <c r="AH5236">
        <v>12.2438351784015</v>
      </c>
      <c r="AI5236">
        <v>95.166322733843103</v>
      </c>
      <c r="AJ5236">
        <v>94.012260890048495</v>
      </c>
      <c r="AK5236">
        <v>12.323983523248801</v>
      </c>
      <c r="AL5236">
        <v>89.5674404583513</v>
      </c>
      <c r="AM5236">
        <v>88.946074488481898</v>
      </c>
      <c r="AN5236">
        <v>1.00000006669547</v>
      </c>
    </row>
    <row r="5237" spans="1:40" x14ac:dyDescent="0.25">
      <c r="A5237" t="str">
        <f>"20190312160750694"</f>
        <v>20190312160750694</v>
      </c>
      <c r="B5237" t="str">
        <f>"1552378070690223"</f>
        <v>1552378070690223</v>
      </c>
      <c r="C5237" t="s">
        <v>40</v>
      </c>
      <c r="D5237">
        <v>5.8480379999999998</v>
      </c>
      <c r="E5237">
        <v>0.4666477</v>
      </c>
      <c r="F5237" t="s">
        <v>47</v>
      </c>
      <c r="G5237">
        <v>-383.02769999999998</v>
      </c>
      <c r="H5237" s="1">
        <v>-3.1560430000000001E-6</v>
      </c>
      <c r="I5237">
        <v>140.30269999999999</v>
      </c>
      <c r="J5237">
        <v>-370.78879999999998</v>
      </c>
      <c r="K5237">
        <v>1.109737</v>
      </c>
      <c r="L5237">
        <v>141.4188</v>
      </c>
      <c r="M5237">
        <v>-0.99965559999999998</v>
      </c>
      <c r="N5237">
        <v>0</v>
      </c>
      <c r="O5237">
        <v>-2.18123E-2</v>
      </c>
      <c r="P5237">
        <v>-0.99997009999999997</v>
      </c>
      <c r="Q5237">
        <v>-7.060836E-3</v>
      </c>
      <c r="R5237">
        <v>-3.170436E-3</v>
      </c>
      <c r="S5237">
        <v>-2.9973139999999998</v>
      </c>
      <c r="T5237">
        <v>-0.26443309999999998</v>
      </c>
      <c r="U5237">
        <v>-0.2677155</v>
      </c>
      <c r="V5237">
        <v>1.864319E-2</v>
      </c>
      <c r="W5237">
        <v>7.5361650000000001E-3</v>
      </c>
      <c r="X5237">
        <v>0.99979779999999996</v>
      </c>
      <c r="Y5237">
        <v>-6.7040779999999994E-2</v>
      </c>
      <c r="Z5237">
        <v>-1.0292630000000001E-3</v>
      </c>
      <c r="AA5237">
        <v>0.99774969999999996</v>
      </c>
      <c r="AB5237">
        <v>34</v>
      </c>
      <c r="AC5237">
        <v>-12.238899999999999</v>
      </c>
      <c r="AD5237">
        <v>-1.109740156043</v>
      </c>
      <c r="AE5237">
        <v>-1.1161000000000101</v>
      </c>
      <c r="AF5237">
        <v>-0.84198205340136101</v>
      </c>
      <c r="AG5237">
        <v>-1.109740156043</v>
      </c>
      <c r="AH5237">
        <v>12.1611748143353</v>
      </c>
      <c r="AI5237">
        <v>95.201571371219401</v>
      </c>
      <c r="AJ5237">
        <v>93.960567685841099</v>
      </c>
      <c r="AK5237">
        <v>12.240695644325401</v>
      </c>
      <c r="AL5237">
        <v>89.568205465203604</v>
      </c>
      <c r="AM5237">
        <v>88.931731671523195</v>
      </c>
      <c r="AN5237">
        <v>1.0000000016005599</v>
      </c>
    </row>
    <row r="5238" spans="1:40" x14ac:dyDescent="0.25">
      <c r="A5238" t="str">
        <f>"20190312160750717"</f>
        <v>20190312160750717</v>
      </c>
      <c r="B5238" t="str">
        <f>"1552378070710719"</f>
        <v>1552378070710719</v>
      </c>
      <c r="C5238" t="s">
        <v>40</v>
      </c>
      <c r="D5238">
        <v>5.8739869999999996</v>
      </c>
      <c r="E5238">
        <v>0.46673340000000002</v>
      </c>
      <c r="F5238" t="s">
        <v>47</v>
      </c>
      <c r="G5238">
        <v>-383.2593</v>
      </c>
      <c r="H5238" s="1">
        <v>-3.0585960000000001E-6</v>
      </c>
      <c r="I5238">
        <v>140.3098</v>
      </c>
      <c r="J5238">
        <v>-371.12880000000001</v>
      </c>
      <c r="K5238">
        <v>1.1097360000000001</v>
      </c>
      <c r="L5238">
        <v>141.41130000000001</v>
      </c>
      <c r="M5238">
        <v>-0.99965389999999998</v>
      </c>
      <c r="N5238">
        <v>0</v>
      </c>
      <c r="O5238">
        <v>-2.18894E-2</v>
      </c>
      <c r="P5238">
        <v>-0.99997250000000004</v>
      </c>
      <c r="Q5238">
        <v>-6.6190229999999999E-3</v>
      </c>
      <c r="R5238">
        <v>-3.3546100000000001E-3</v>
      </c>
      <c r="S5238">
        <v>-2.9974059999999998</v>
      </c>
      <c r="T5238">
        <v>-0.26673849999999999</v>
      </c>
      <c r="U5238">
        <v>-0.26654050000000001</v>
      </c>
      <c r="V5238">
        <v>1.8536319999999998E-2</v>
      </c>
      <c r="W5238">
        <v>7.9738900000000008E-3</v>
      </c>
      <c r="X5238">
        <v>0.99979640000000003</v>
      </c>
      <c r="Y5238">
        <v>-6.6572220000000001E-2</v>
      </c>
      <c r="Z5238">
        <v>-1.01059E-3</v>
      </c>
      <c r="AA5238">
        <v>0.99778109999999998</v>
      </c>
      <c r="AB5238">
        <v>34</v>
      </c>
      <c r="AC5238">
        <v>-12.1304999999999</v>
      </c>
      <c r="AD5238">
        <v>-1.1097390585959901</v>
      </c>
      <c r="AE5238">
        <v>-1.1015000000000099</v>
      </c>
      <c r="AF5238">
        <v>-0.82879871826421403</v>
      </c>
      <c r="AG5238">
        <v>-1.1097390585959901</v>
      </c>
      <c r="AH5238">
        <v>12.0516685727204</v>
      </c>
      <c r="AI5238">
        <v>95.248733570427703</v>
      </c>
      <c r="AJ5238">
        <v>93.934062680895295</v>
      </c>
      <c r="AK5238">
        <v>12.130999277894</v>
      </c>
      <c r="AL5238">
        <v>89.543124919498098</v>
      </c>
      <c r="AM5238">
        <v>88.937852506267205</v>
      </c>
      <c r="AN5238">
        <v>1.0000000097669099</v>
      </c>
    </row>
    <row r="5239" spans="1:40" x14ac:dyDescent="0.25">
      <c r="A5239" t="str">
        <f>"20190312160750739"</f>
        <v>20190312160750739</v>
      </c>
      <c r="B5239" t="str">
        <f>"1552378070730239"</f>
        <v>1552378070730239</v>
      </c>
      <c r="C5239" t="s">
        <v>40</v>
      </c>
      <c r="D5239">
        <v>5.8569779999999998</v>
      </c>
      <c r="E5239">
        <v>0.46681119999999998</v>
      </c>
      <c r="F5239" t="s">
        <v>47</v>
      </c>
      <c r="G5239">
        <v>-383.59870000000001</v>
      </c>
      <c r="H5239" s="1">
        <v>-2.9112639999999998E-6</v>
      </c>
      <c r="I5239">
        <v>140.30330000000001</v>
      </c>
      <c r="J5239">
        <v>-371.47179999999997</v>
      </c>
      <c r="K5239">
        <v>1.109739</v>
      </c>
      <c r="L5239">
        <v>141.40369999999999</v>
      </c>
      <c r="M5239">
        <v>-0.99965219999999999</v>
      </c>
      <c r="N5239">
        <v>0</v>
      </c>
      <c r="O5239">
        <v>-2.196768E-2</v>
      </c>
      <c r="P5239">
        <v>-0.99997119999999995</v>
      </c>
      <c r="Q5239">
        <v>-6.6162110000000003E-3</v>
      </c>
      <c r="R5239">
        <v>-3.7087980000000001E-3</v>
      </c>
      <c r="S5239">
        <v>-2.9974669999999999</v>
      </c>
      <c r="T5239">
        <v>-0.2667562</v>
      </c>
      <c r="U5239">
        <v>-0.26632689999999998</v>
      </c>
      <c r="V5239">
        <v>1.826028E-2</v>
      </c>
      <c r="W5239">
        <v>7.9734119999999992E-3</v>
      </c>
      <c r="X5239">
        <v>0.99980150000000001</v>
      </c>
      <c r="Y5239">
        <v>-6.6422590000000004E-2</v>
      </c>
      <c r="Z5239">
        <v>-9.9707089999999995E-4</v>
      </c>
      <c r="AA5239">
        <v>0.99779110000000004</v>
      </c>
      <c r="AB5239">
        <v>34</v>
      </c>
      <c r="AC5239">
        <v>-12.126899999999999</v>
      </c>
      <c r="AD5239">
        <v>-1.1097419112639999</v>
      </c>
      <c r="AE5239">
        <v>-1.1003999999999701</v>
      </c>
      <c r="AF5239">
        <v>-0.82683859296189999</v>
      </c>
      <c r="AG5239">
        <v>-1.1097419112639999</v>
      </c>
      <c r="AH5239">
        <v>12.04807942035</v>
      </c>
      <c r="AI5239">
        <v>95.250352631064601</v>
      </c>
      <c r="AJ5239">
        <v>93.925953205546506</v>
      </c>
      <c r="AK5239">
        <v>12.1273000658634</v>
      </c>
      <c r="AL5239">
        <v>89.5431523152876</v>
      </c>
      <c r="AM5239">
        <v>88.953671634988297</v>
      </c>
      <c r="AN5239">
        <v>1.0000000262634201</v>
      </c>
    </row>
    <row r="5240" spans="1:40" x14ac:dyDescent="0.25">
      <c r="A5240" t="str">
        <f>"20190312160750760"</f>
        <v>20190312160750760</v>
      </c>
      <c r="B5240" t="str">
        <f>"1552378070750735"</f>
        <v>1552378070750735</v>
      </c>
      <c r="C5240" t="s">
        <v>40</v>
      </c>
      <c r="D5240">
        <v>5.8779199999999996</v>
      </c>
      <c r="E5240">
        <v>0.46685460000000001</v>
      </c>
      <c r="F5240" t="s">
        <v>47</v>
      </c>
      <c r="G5240">
        <v>-383.91730000000001</v>
      </c>
      <c r="H5240" s="1">
        <v>-2.772788E-6</v>
      </c>
      <c r="I5240">
        <v>140.29650000000001</v>
      </c>
      <c r="J5240">
        <v>-371.7971</v>
      </c>
      <c r="K5240">
        <v>1.1097440000000001</v>
      </c>
      <c r="L5240">
        <v>141.3965</v>
      </c>
      <c r="M5240">
        <v>-0.99965079999999995</v>
      </c>
      <c r="N5240">
        <v>0</v>
      </c>
      <c r="O5240">
        <v>-2.2041560000000002E-2</v>
      </c>
      <c r="P5240">
        <v>-0.99996879999999999</v>
      </c>
      <c r="Q5240">
        <v>-6.7941299999999998E-3</v>
      </c>
      <c r="R5240">
        <v>-4.0813940000000003E-3</v>
      </c>
      <c r="S5240">
        <v>-2.9973450000000001</v>
      </c>
      <c r="T5240">
        <v>-0.26726929999999999</v>
      </c>
      <c r="U5240">
        <v>-0.26663209999999998</v>
      </c>
      <c r="V5240">
        <v>1.796176E-2</v>
      </c>
      <c r="W5240">
        <v>7.7917419999999999E-3</v>
      </c>
      <c r="X5240">
        <v>0.99980829999999998</v>
      </c>
      <c r="Y5240">
        <v>-6.6452730000000002E-2</v>
      </c>
      <c r="Z5240">
        <v>-9.9379799999999995E-4</v>
      </c>
      <c r="AA5240">
        <v>0.99778909999999998</v>
      </c>
      <c r="AB5240">
        <v>34</v>
      </c>
      <c r="AC5240">
        <v>-12.120200000000001</v>
      </c>
      <c r="AD5240">
        <v>-1.1097467727879999</v>
      </c>
      <c r="AE5240">
        <v>-1.0999999999999901</v>
      </c>
      <c r="AF5240">
        <v>-0.82569053672113601</v>
      </c>
      <c r="AG5240">
        <v>-1.1097467727879999</v>
      </c>
      <c r="AH5240">
        <v>12.0413782947649</v>
      </c>
      <c r="AI5240">
        <v>95.253301421232706</v>
      </c>
      <c r="AJ5240">
        <v>93.922694065399796</v>
      </c>
      <c r="AK5240">
        <v>12.1205649208186</v>
      </c>
      <c r="AL5240">
        <v>89.553561544893398</v>
      </c>
      <c r="AM5240">
        <v>88.970780353597803</v>
      </c>
      <c r="AN5240">
        <v>0.99999998640729104</v>
      </c>
    </row>
    <row r="5241" spans="1:40" x14ac:dyDescent="0.25">
      <c r="A5241" t="str">
        <f>"20190312160750782"</f>
        <v>20190312160750782</v>
      </c>
      <c r="B5241" t="str">
        <f>"1552378070770258"</f>
        <v>1552378070770258</v>
      </c>
      <c r="C5241" t="s">
        <v>40</v>
      </c>
      <c r="D5241">
        <v>5.9087379999999996</v>
      </c>
      <c r="E5241">
        <v>0.46689259999999999</v>
      </c>
      <c r="F5241" t="s">
        <v>47</v>
      </c>
      <c r="G5241">
        <v>-384.1361</v>
      </c>
      <c r="H5241" s="1">
        <v>-2.678522E-6</v>
      </c>
      <c r="I5241">
        <v>140.29509999999999</v>
      </c>
      <c r="J5241">
        <v>-372.1352</v>
      </c>
      <c r="K5241">
        <v>1.1097429999999999</v>
      </c>
      <c r="L5241">
        <v>141.38890000000001</v>
      </c>
      <c r="M5241">
        <v>-0.99964920000000002</v>
      </c>
      <c r="N5241">
        <v>0</v>
      </c>
      <c r="O5241">
        <v>-2.211842E-2</v>
      </c>
      <c r="P5241">
        <v>-0.9999673</v>
      </c>
      <c r="Q5241">
        <v>-6.7513490000000002E-3</v>
      </c>
      <c r="R5241">
        <v>-4.4949760000000004E-3</v>
      </c>
      <c r="S5241">
        <v>-2.997131</v>
      </c>
      <c r="T5241">
        <v>-0.26955570000000001</v>
      </c>
      <c r="U5241">
        <v>-0.26750180000000001</v>
      </c>
      <c r="V5241">
        <v>1.7625099999999901E-2</v>
      </c>
      <c r="W5241">
        <v>7.8308419999999993E-3</v>
      </c>
      <c r="X5241">
        <v>0.99981399999999998</v>
      </c>
      <c r="Y5241">
        <v>-6.6665989999999994E-2</v>
      </c>
      <c r="Z5241">
        <v>-1.0049970000000001E-3</v>
      </c>
      <c r="AA5241">
        <v>0.99777479999999996</v>
      </c>
      <c r="AB5241">
        <v>34</v>
      </c>
      <c r="AC5241">
        <v>-12.0009</v>
      </c>
      <c r="AD5241">
        <v>-1.1097456785219999</v>
      </c>
      <c r="AE5241">
        <v>-1.0938000000000101</v>
      </c>
      <c r="AF5241">
        <v>-0.82109981483429495</v>
      </c>
      <c r="AG5241">
        <v>-1.1097456785219999</v>
      </c>
      <c r="AH5241">
        <v>11.9210614167056</v>
      </c>
      <c r="AI5241">
        <v>95.305904832866403</v>
      </c>
      <c r="AJ5241">
        <v>93.940200095166901</v>
      </c>
      <c r="AK5241">
        <v>12.000726881226299</v>
      </c>
      <c r="AL5241">
        <v>89.551321217820103</v>
      </c>
      <c r="AM5241">
        <v>88.990072896833297</v>
      </c>
      <c r="AN5241">
        <v>1.00000000041621</v>
      </c>
    </row>
    <row r="5242" spans="1:40" x14ac:dyDescent="0.25">
      <c r="A5242" t="str">
        <f>"20190312160750805"</f>
        <v>20190312160750805</v>
      </c>
      <c r="B5242" t="str">
        <f>"1552378070800511"</f>
        <v>1552378070800511</v>
      </c>
      <c r="C5242" t="s">
        <v>40</v>
      </c>
      <c r="D5242">
        <v>5.8733469999999999</v>
      </c>
      <c r="E5242">
        <v>0.46692430000000001</v>
      </c>
      <c r="F5242" t="s">
        <v>47</v>
      </c>
      <c r="G5242">
        <v>-384.41419999999999</v>
      </c>
      <c r="H5242" s="1">
        <v>-2.5577110000000002E-6</v>
      </c>
      <c r="I5242">
        <v>140.2893</v>
      </c>
      <c r="J5242">
        <v>-372.4742</v>
      </c>
      <c r="K5242">
        <v>1.1097429999999999</v>
      </c>
      <c r="L5242">
        <v>141.38140000000001</v>
      </c>
      <c r="M5242">
        <v>-0.99964750000000002</v>
      </c>
      <c r="N5242">
        <v>0</v>
      </c>
      <c r="O5242">
        <v>-2.2195039999999999E-2</v>
      </c>
      <c r="P5242">
        <v>-0.99996890000000005</v>
      </c>
      <c r="Q5242">
        <v>-6.3821520000000003E-3</v>
      </c>
      <c r="R5242">
        <v>-4.6712430000000003E-3</v>
      </c>
      <c r="S5242">
        <v>-2.997131</v>
      </c>
      <c r="T5242">
        <v>-0.27087529999999999</v>
      </c>
      <c r="U5242">
        <v>-0.26838679999999998</v>
      </c>
      <c r="V5242">
        <v>1.7525570000000001E-2</v>
      </c>
      <c r="W5242">
        <v>8.1965639999999999E-3</v>
      </c>
      <c r="X5242">
        <v>0.99981279999999995</v>
      </c>
      <c r="Y5242">
        <v>-6.6879540000000001E-2</v>
      </c>
      <c r="Z5242">
        <v>-1.0126039999999901E-3</v>
      </c>
      <c r="AA5242">
        <v>0.99776050000000005</v>
      </c>
      <c r="AB5242">
        <v>34</v>
      </c>
      <c r="AC5242">
        <v>-11.9399999999999</v>
      </c>
      <c r="AD5242">
        <v>-1.109745557711</v>
      </c>
      <c r="AE5242">
        <v>-1.0921000000000101</v>
      </c>
      <c r="AF5242">
        <v>-0.81977116997747701</v>
      </c>
      <c r="AG5242">
        <v>-1.109745557711</v>
      </c>
      <c r="AH5242">
        <v>11.859699852031699</v>
      </c>
      <c r="AI5242">
        <v>95.333109908565504</v>
      </c>
      <c r="AJ5242">
        <v>93.954133518530298</v>
      </c>
      <c r="AK5242">
        <v>11.939683436099401</v>
      </c>
      <c r="AL5242">
        <v>89.530366209190504</v>
      </c>
      <c r="AM5242">
        <v>88.995773639660896</v>
      </c>
      <c r="AN5242">
        <v>0.99999998215453501</v>
      </c>
    </row>
    <row r="5243" spans="1:40" x14ac:dyDescent="0.25">
      <c r="A5243" t="str">
        <f>"20190312160750828"</f>
        <v>20190312160750828</v>
      </c>
      <c r="B5243" t="str">
        <f>"1552378070821007"</f>
        <v>1552378070821007</v>
      </c>
      <c r="C5243" t="s">
        <v>40</v>
      </c>
      <c r="D5243">
        <v>5.8978469999999996</v>
      </c>
      <c r="E5243">
        <v>0.46690999999999999</v>
      </c>
      <c r="F5243" t="s">
        <v>47</v>
      </c>
      <c r="G5243">
        <v>-384.69540000000001</v>
      </c>
      <c r="H5243" s="1">
        <v>-2.4364000000000001E-6</v>
      </c>
      <c r="I5243">
        <v>140.2868</v>
      </c>
      <c r="J5243">
        <v>-372.8263</v>
      </c>
      <c r="K5243">
        <v>1.109747</v>
      </c>
      <c r="L5243">
        <v>141.3734</v>
      </c>
      <c r="M5243">
        <v>-0.99964580000000003</v>
      </c>
      <c r="N5243">
        <v>0</v>
      </c>
      <c r="O5243">
        <v>-2.2274990000000001E-2</v>
      </c>
      <c r="P5243">
        <v>-0.99996499999999999</v>
      </c>
      <c r="Q5243">
        <v>-6.5074579999999998E-3</v>
      </c>
      <c r="R5243">
        <v>-5.2792619999999998E-3</v>
      </c>
      <c r="S5243">
        <v>-2.9971009999999998</v>
      </c>
      <c r="T5243">
        <v>-0.2721537</v>
      </c>
      <c r="U5243">
        <v>-0.26841739999999997</v>
      </c>
      <c r="V5243">
        <v>1.699759E-2</v>
      </c>
      <c r="W5243">
        <v>8.0673459999999995E-3</v>
      </c>
      <c r="X5243">
        <v>0.99982300000000002</v>
      </c>
      <c r="Y5243">
        <v>-6.6809590000000002E-2</v>
      </c>
      <c r="Z5243">
        <v>-1.006984E-3</v>
      </c>
      <c r="AA5243">
        <v>0.99776520000000002</v>
      </c>
      <c r="AB5243">
        <v>34</v>
      </c>
      <c r="AC5243">
        <v>-11.8691</v>
      </c>
      <c r="AD5243">
        <v>-1.1097494364</v>
      </c>
      <c r="AE5243">
        <v>-1.0866</v>
      </c>
      <c r="AF5243">
        <v>-0.81485390821988601</v>
      </c>
      <c r="AG5243">
        <v>-1.1097494364</v>
      </c>
      <c r="AH5243">
        <v>11.788164566962401</v>
      </c>
      <c r="AI5243">
        <v>95.365302839341894</v>
      </c>
      <c r="AJ5243">
        <v>93.9542662083945</v>
      </c>
      <c r="AK5243">
        <v>11.8682919816256</v>
      </c>
      <c r="AL5243">
        <v>89.537770115695096</v>
      </c>
      <c r="AM5243">
        <v>89.0260312470689</v>
      </c>
      <c r="AN5243">
        <v>1.0000000157331399</v>
      </c>
    </row>
    <row r="5244" spans="1:40" x14ac:dyDescent="0.25">
      <c r="A5244" t="str">
        <f>"20190312160750851"</f>
        <v>20190312160750851</v>
      </c>
      <c r="B5244" t="str">
        <f>"1552378070840527"</f>
        <v>1552378070840527</v>
      </c>
      <c r="C5244" t="s">
        <v>40</v>
      </c>
      <c r="D5244">
        <v>5.9063339999999904</v>
      </c>
      <c r="E5244">
        <v>0.46687699999999999</v>
      </c>
      <c r="F5244" t="s">
        <v>47</v>
      </c>
      <c r="G5244">
        <v>-384.99220000000003</v>
      </c>
      <c r="H5244" s="1">
        <v>-2.3062940000000001E-6</v>
      </c>
      <c r="I5244">
        <v>140.2764</v>
      </c>
      <c r="J5244">
        <v>-373.16489999999999</v>
      </c>
      <c r="K5244">
        <v>1.109745</v>
      </c>
      <c r="L5244">
        <v>141.36580000000001</v>
      </c>
      <c r="M5244">
        <v>-0.99964410000000004</v>
      </c>
      <c r="N5244">
        <v>0</v>
      </c>
      <c r="O5244">
        <v>-2.2352319999999998E-2</v>
      </c>
      <c r="P5244">
        <v>-0.9999654</v>
      </c>
      <c r="Q5244">
        <v>-6.4923119999999897E-3</v>
      </c>
      <c r="R5244">
        <v>-5.2535380000000003E-3</v>
      </c>
      <c r="S5244">
        <v>-2.9969480000000002</v>
      </c>
      <c r="T5244">
        <v>-0.27337620000000001</v>
      </c>
      <c r="U5244">
        <v>-0.27023320000000001</v>
      </c>
      <c r="V5244">
        <v>1.71007E-2</v>
      </c>
      <c r="W5244">
        <v>8.0787900000000006E-3</v>
      </c>
      <c r="X5244">
        <v>0.99982110000000002</v>
      </c>
      <c r="Y5244">
        <v>-6.7333130000000005E-2</v>
      </c>
      <c r="Z5244">
        <v>-1.0282760000000001E-3</v>
      </c>
      <c r="AA5244">
        <v>0.99773000000000001</v>
      </c>
      <c r="AB5244">
        <v>34</v>
      </c>
      <c r="AC5244">
        <v>-11.827299999999999</v>
      </c>
      <c r="AD5244">
        <v>-1.109747306294</v>
      </c>
      <c r="AE5244">
        <v>-1.0894000000000099</v>
      </c>
      <c r="AF5244">
        <v>-0.81759463635366803</v>
      </c>
      <c r="AG5244">
        <v>-1.109747306294</v>
      </c>
      <c r="AH5244">
        <v>11.746155143778299</v>
      </c>
      <c r="AI5244">
        <v>95.384191107537404</v>
      </c>
      <c r="AJ5244">
        <v>93.981667871354205</v>
      </c>
      <c r="AK5244">
        <v>11.826756137459199</v>
      </c>
      <c r="AL5244">
        <v>89.537114378598801</v>
      </c>
      <c r="AM5244">
        <v>89.020122289297703</v>
      </c>
      <c r="AN5244">
        <v>0.99999996639678101</v>
      </c>
    </row>
    <row r="5245" spans="1:40" x14ac:dyDescent="0.25">
      <c r="A5245" t="str">
        <f>"20190312160750872"</f>
        <v>20190312160750872</v>
      </c>
      <c r="B5245" t="str">
        <f>"1552378070861023"</f>
        <v>1552378070861023</v>
      </c>
      <c r="C5245" t="s">
        <v>40</v>
      </c>
      <c r="D5245">
        <v>5.9374919999999998</v>
      </c>
      <c r="E5245">
        <v>0.46682010000000002</v>
      </c>
      <c r="F5245" t="s">
        <v>47</v>
      </c>
      <c r="G5245">
        <v>-385.29090000000002</v>
      </c>
      <c r="H5245" s="1">
        <v>-2.1767170000000001E-6</v>
      </c>
      <c r="I5245">
        <v>140.27099999999999</v>
      </c>
      <c r="J5245">
        <v>-373.4871</v>
      </c>
      <c r="K5245">
        <v>1.109748</v>
      </c>
      <c r="L5245">
        <v>141.35849999999999</v>
      </c>
      <c r="M5245">
        <v>-0.99964249999999999</v>
      </c>
      <c r="N5245">
        <v>0</v>
      </c>
      <c r="O5245">
        <v>-2.242572E-2</v>
      </c>
      <c r="P5245">
        <v>-0.99996189999999996</v>
      </c>
      <c r="Q5245">
        <v>-6.525749E-3</v>
      </c>
      <c r="R5245">
        <v>-5.7973119999999998E-3</v>
      </c>
      <c r="S5245">
        <v>-2.996918</v>
      </c>
      <c r="T5245">
        <v>-0.2742735</v>
      </c>
      <c r="U5245">
        <v>-0.2705688</v>
      </c>
      <c r="V5245">
        <v>1.6630200000000001E-2</v>
      </c>
      <c r="W5245">
        <v>8.0415980000000005E-3</v>
      </c>
      <c r="X5245">
        <v>0.99982939999999998</v>
      </c>
      <c r="Y5245">
        <v>-6.7370600000000003E-2</v>
      </c>
      <c r="Z5245">
        <v>-1.026665E-3</v>
      </c>
      <c r="AA5245">
        <v>0.99772749999999999</v>
      </c>
      <c r="AB5245">
        <v>34</v>
      </c>
      <c r="AC5245">
        <v>-11.803800000000001</v>
      </c>
      <c r="AD5245">
        <v>-1.1097501767169999</v>
      </c>
      <c r="AE5245">
        <v>-1.0874999999999699</v>
      </c>
      <c r="AF5245">
        <v>-0.815343454269566</v>
      </c>
      <c r="AG5245">
        <v>-1.1097501767169999</v>
      </c>
      <c r="AH5245">
        <v>11.722477673444599</v>
      </c>
      <c r="AI5245">
        <v>95.3950351605354</v>
      </c>
      <c r="AJ5245">
        <v>93.978734287947404</v>
      </c>
      <c r="AK5245">
        <v>11.803084902158</v>
      </c>
      <c r="AL5245">
        <v>89.539245421821505</v>
      </c>
      <c r="AM5245">
        <v>89.047085015937597</v>
      </c>
      <c r="AN5245">
        <v>1.0000000299773899</v>
      </c>
    </row>
    <row r="5246" spans="1:40" x14ac:dyDescent="0.25">
      <c r="A5246" t="str">
        <f>"20190312160750906"</f>
        <v>20190312160750906</v>
      </c>
      <c r="B5246" t="str">
        <f>"1552378070901039"</f>
        <v>1552378070901039</v>
      </c>
      <c r="C5246" t="s">
        <v>40</v>
      </c>
      <c r="D5246">
        <v>5.9581739999999996</v>
      </c>
      <c r="E5246">
        <v>0.46670220000000001</v>
      </c>
      <c r="F5246" t="s">
        <v>47</v>
      </c>
      <c r="G5246">
        <v>-385.52629999999999</v>
      </c>
      <c r="H5246" s="1">
        <v>-2.0738290000000001E-6</v>
      </c>
      <c r="I5246">
        <v>140.2637</v>
      </c>
      <c r="J5246">
        <v>-373.9914</v>
      </c>
      <c r="K5246">
        <v>1.109753</v>
      </c>
      <c r="L5246">
        <v>141.34710000000001</v>
      </c>
      <c r="M5246">
        <v>-0.99963999999999997</v>
      </c>
      <c r="N5246">
        <v>0</v>
      </c>
      <c r="O5246">
        <v>-2.254082E-2</v>
      </c>
      <c r="P5246">
        <v>-0.99996370000000001</v>
      </c>
      <c r="Q5246">
        <v>-5.9302230000000001E-3</v>
      </c>
      <c r="R5246">
        <v>-6.1621619999999997E-3</v>
      </c>
      <c r="S5246">
        <v>-2.9967649999999999</v>
      </c>
      <c r="T5246">
        <v>-0.2762387</v>
      </c>
      <c r="U5246">
        <v>-0.2724915</v>
      </c>
      <c r="V5246">
        <v>1.638069E-2</v>
      </c>
      <c r="W5246">
        <v>8.6319009999999904E-3</v>
      </c>
      <c r="X5246">
        <v>0.99982859999999996</v>
      </c>
      <c r="Y5246">
        <v>-6.7890770000000003E-2</v>
      </c>
      <c r="Z5246">
        <v>-1.0473310000000001E-3</v>
      </c>
      <c r="AA5246">
        <v>0.99769220000000003</v>
      </c>
      <c r="AB5246">
        <v>34</v>
      </c>
      <c r="AC5246">
        <v>-11.534899999999899</v>
      </c>
      <c r="AD5246">
        <v>-1.1097550738290001</v>
      </c>
      <c r="AE5246">
        <v>-1.0834000000000099</v>
      </c>
      <c r="AF5246">
        <v>-0.81560772712261898</v>
      </c>
      <c r="AG5246">
        <v>-1.1097550738290001</v>
      </c>
      <c r="AH5246">
        <v>11.451324553295001</v>
      </c>
      <c r="AI5246">
        <v>95.521384658910506</v>
      </c>
      <c r="AJ5246">
        <v>94.073947995537907</v>
      </c>
      <c r="AK5246">
        <v>11.533846119717699</v>
      </c>
      <c r="AL5246">
        <v>89.505422377934707</v>
      </c>
      <c r="AM5246">
        <v>89.0613786786585</v>
      </c>
      <c r="AN5246">
        <v>1.0000000330488501</v>
      </c>
    </row>
    <row r="5247" spans="1:40" x14ac:dyDescent="0.25">
      <c r="A5247" t="str">
        <f>"20190312160750928"</f>
        <v>20190312160750928</v>
      </c>
      <c r="B5247" t="str">
        <f>"1552378070920559"</f>
        <v>1552378070920559</v>
      </c>
      <c r="C5247" t="s">
        <v>40</v>
      </c>
      <c r="D5247">
        <v>5.9756479999999996</v>
      </c>
      <c r="E5247">
        <v>0.46663890000000002</v>
      </c>
      <c r="F5247" t="s">
        <v>47</v>
      </c>
      <c r="G5247">
        <v>-386.03960000000001</v>
      </c>
      <c r="H5247" s="1">
        <v>-1.84814E-6</v>
      </c>
      <c r="I5247">
        <v>140.2432</v>
      </c>
      <c r="J5247">
        <v>-374.33300000000003</v>
      </c>
      <c r="K5247">
        <v>1.1097600000000001</v>
      </c>
      <c r="L5247">
        <v>141.33930000000001</v>
      </c>
      <c r="M5247">
        <v>-0.99963809999999997</v>
      </c>
      <c r="N5247">
        <v>0</v>
      </c>
      <c r="O5247">
        <v>-2.2618280000000001E-2</v>
      </c>
      <c r="P5247">
        <v>-0.99996079999999998</v>
      </c>
      <c r="Q5247">
        <v>-6.1192310000000001E-3</v>
      </c>
      <c r="R5247">
        <v>-6.3890359999999998E-3</v>
      </c>
      <c r="S5247">
        <v>-2.996826</v>
      </c>
      <c r="T5247">
        <v>-0.27603759999999999</v>
      </c>
      <c r="U5247">
        <v>-0.2745667</v>
      </c>
      <c r="V5247">
        <v>1.623111E-2</v>
      </c>
      <c r="W5247">
        <v>8.4387879999999992E-3</v>
      </c>
      <c r="X5247">
        <v>0.99983259999999996</v>
      </c>
      <c r="Y5247">
        <v>-6.8494860000000005E-2</v>
      </c>
      <c r="Z5247">
        <v>-1.067127E-3</v>
      </c>
      <c r="AA5247">
        <v>0.99765090000000001</v>
      </c>
      <c r="AB5247">
        <v>34</v>
      </c>
      <c r="AC5247">
        <v>-11.7065999999999</v>
      </c>
      <c r="AD5247">
        <v>-1.10976184814</v>
      </c>
      <c r="AE5247">
        <v>-1.0961000000000001</v>
      </c>
      <c r="AF5247">
        <v>-0.82367057600606497</v>
      </c>
      <c r="AG5247">
        <v>-1.10976184814</v>
      </c>
      <c r="AH5247">
        <v>11.624838525428901</v>
      </c>
      <c r="AI5247">
        <v>95.439643925960297</v>
      </c>
      <c r="AJ5247">
        <v>94.052882963911003</v>
      </c>
      <c r="AK5247">
        <v>11.706702153880199</v>
      </c>
      <c r="AL5247">
        <v>89.516487297965398</v>
      </c>
      <c r="AM5247">
        <v>89.069951891462097</v>
      </c>
      <c r="AN5247">
        <v>0.99999994504874901</v>
      </c>
    </row>
    <row r="5248" spans="1:40" x14ac:dyDescent="0.25">
      <c r="A5248" t="str">
        <f>"20190312160750950"</f>
        <v>20190312160750950</v>
      </c>
      <c r="B5248" t="str">
        <f>"1552378070941055"</f>
        <v>1552378070941055</v>
      </c>
      <c r="C5248" t="s">
        <v>40</v>
      </c>
      <c r="D5248">
        <v>5.9599760000000002</v>
      </c>
      <c r="E5248">
        <v>0.46654390000000001</v>
      </c>
      <c r="F5248" t="s">
        <v>47</v>
      </c>
      <c r="G5248">
        <v>-386.31670000000003</v>
      </c>
      <c r="H5248" s="1">
        <v>-1.72761E-6</v>
      </c>
      <c r="I5248">
        <v>140.23699999999999</v>
      </c>
      <c r="J5248">
        <v>-374.65980000000002</v>
      </c>
      <c r="K5248">
        <v>1.109766</v>
      </c>
      <c r="L5248">
        <v>141.33179999999999</v>
      </c>
      <c r="M5248">
        <v>-0.99963670000000004</v>
      </c>
      <c r="N5248">
        <v>0</v>
      </c>
      <c r="O5248">
        <v>-2.2692629999999998E-2</v>
      </c>
      <c r="P5248">
        <v>-0.99996209999999996</v>
      </c>
      <c r="Q5248">
        <v>-6.0321840000000003E-3</v>
      </c>
      <c r="R5248">
        <v>-6.2955399999999996E-3</v>
      </c>
      <c r="S5248">
        <v>-2.9966430000000002</v>
      </c>
      <c r="T5248">
        <v>-0.27750920000000001</v>
      </c>
      <c r="U5248">
        <v>-0.27563480000000001</v>
      </c>
      <c r="V5248">
        <v>1.6398949999999999E-2</v>
      </c>
      <c r="W5248">
        <v>8.5222319999999994E-3</v>
      </c>
      <c r="X5248">
        <v>0.99982919999999997</v>
      </c>
      <c r="Y5248">
        <v>-6.8775879999999998E-2</v>
      </c>
      <c r="Z5248">
        <v>-1.078947E-3</v>
      </c>
      <c r="AA5248">
        <v>0.9976315</v>
      </c>
      <c r="AB5248">
        <v>34</v>
      </c>
      <c r="AC5248">
        <v>-11.6569</v>
      </c>
      <c r="AD5248">
        <v>-1.10976772761</v>
      </c>
      <c r="AE5248">
        <v>-1.09479999999999</v>
      </c>
      <c r="AF5248">
        <v>-0.82257407015444906</v>
      </c>
      <c r="AG5248">
        <v>-1.10976772761</v>
      </c>
      <c r="AH5248">
        <v>11.574753097293399</v>
      </c>
      <c r="AI5248">
        <v>95.462987402893006</v>
      </c>
      <c r="AJ5248">
        <v>94.064961019731797</v>
      </c>
      <c r="AK5248">
        <v>11.6568915999694</v>
      </c>
      <c r="AL5248">
        <v>89.511706159468602</v>
      </c>
      <c r="AM5248">
        <v>89.060333123278696</v>
      </c>
      <c r="AN5248">
        <v>0.99999999158600195</v>
      </c>
    </row>
    <row r="5249" spans="1:40" x14ac:dyDescent="0.25">
      <c r="A5249" t="str">
        <f>"20190312160750972"</f>
        <v>20190312160750972</v>
      </c>
      <c r="B5249" t="str">
        <f>"1552378070960575"</f>
        <v>1552378070960575</v>
      </c>
      <c r="C5249" t="s">
        <v>40</v>
      </c>
      <c r="D5249">
        <v>5.9349080000000001</v>
      </c>
      <c r="E5249">
        <v>0.4664683</v>
      </c>
      <c r="F5249" t="s">
        <v>47</v>
      </c>
      <c r="G5249">
        <v>-386.59840000000003</v>
      </c>
      <c r="H5249" s="1">
        <v>-1.6053840000000001E-6</v>
      </c>
      <c r="I5249">
        <v>140.23169999999999</v>
      </c>
      <c r="J5249">
        <v>-374.98750000000001</v>
      </c>
      <c r="K5249">
        <v>1.109766</v>
      </c>
      <c r="L5249">
        <v>141.32429999999999</v>
      </c>
      <c r="M5249">
        <v>-0.99963489999999999</v>
      </c>
      <c r="N5249">
        <v>0</v>
      </c>
      <c r="O5249">
        <v>-2.2766870000000002E-2</v>
      </c>
      <c r="P5249">
        <v>-0.99996629999999997</v>
      </c>
      <c r="Q5249">
        <v>-5.3962039999999999E-3</v>
      </c>
      <c r="R5249">
        <v>-6.1916489999999996E-3</v>
      </c>
      <c r="S5249">
        <v>-2.9967039999999998</v>
      </c>
      <c r="T5249">
        <v>-0.27856399999999998</v>
      </c>
      <c r="U5249">
        <v>-0.27612300000000001</v>
      </c>
      <c r="V5249">
        <v>1.657718E-2</v>
      </c>
      <c r="W5249">
        <v>9.1544950000000003E-3</v>
      </c>
      <c r="X5249">
        <v>0.99982070000000001</v>
      </c>
      <c r="Y5249">
        <v>-6.8859619999999996E-2</v>
      </c>
      <c r="Z5249">
        <v>-1.08001E-3</v>
      </c>
      <c r="AA5249">
        <v>0.99762580000000001</v>
      </c>
      <c r="AB5249">
        <v>34</v>
      </c>
      <c r="AC5249">
        <v>-11.610900000000001</v>
      </c>
      <c r="AD5249">
        <v>-1.109767605384</v>
      </c>
      <c r="AE5249">
        <v>-1.0926</v>
      </c>
      <c r="AF5249">
        <v>-0.82051487805683199</v>
      </c>
      <c r="AG5249">
        <v>-1.109767605384</v>
      </c>
      <c r="AH5249">
        <v>11.528374488400001</v>
      </c>
      <c r="AI5249">
        <v>95.484789242602602</v>
      </c>
      <c r="AJ5249">
        <v>94.071076761364495</v>
      </c>
      <c r="AK5249">
        <v>11.610695377446801</v>
      </c>
      <c r="AL5249">
        <v>89.4754787569657</v>
      </c>
      <c r="AM5249">
        <v>89.050114254933703</v>
      </c>
      <c r="AN5249">
        <v>1.0000000199119701</v>
      </c>
    </row>
    <row r="5250" spans="1:40" x14ac:dyDescent="0.25">
      <c r="A5250" t="str">
        <f>"20190312160750995"</f>
        <v>20190312160750995</v>
      </c>
      <c r="B5250" t="str">
        <f>"1552378070981072"</f>
        <v>1552378070981072</v>
      </c>
      <c r="C5250" t="s">
        <v>40</v>
      </c>
      <c r="D5250">
        <v>5.9868579999999998</v>
      </c>
      <c r="E5250">
        <v>0.46312320000000001</v>
      </c>
      <c r="F5250" t="s">
        <v>47</v>
      </c>
      <c r="G5250">
        <v>-387.00299999999999</v>
      </c>
      <c r="H5250" s="1">
        <v>-1.4277009999999999E-6</v>
      </c>
      <c r="I5250">
        <v>140.21639999999999</v>
      </c>
      <c r="J5250">
        <v>-375.32549999999998</v>
      </c>
      <c r="K5250">
        <v>1.109772</v>
      </c>
      <c r="L5250">
        <v>141.31649999999999</v>
      </c>
      <c r="M5250">
        <v>-0.9996332</v>
      </c>
      <c r="N5250">
        <v>0</v>
      </c>
      <c r="O5250">
        <v>-2.2844079999999999E-2</v>
      </c>
      <c r="P5250">
        <v>-0.99996799999999997</v>
      </c>
      <c r="Q5250">
        <v>-5.1790959999999898E-3</v>
      </c>
      <c r="R5250">
        <v>-6.1145569999999996E-3</v>
      </c>
      <c r="S5250">
        <v>-2.9968870000000001</v>
      </c>
      <c r="T5250">
        <v>-0.2767985</v>
      </c>
      <c r="U5250">
        <v>-0.27632139999999999</v>
      </c>
      <c r="V5250">
        <v>1.6731670000000001E-2</v>
      </c>
      <c r="W5250">
        <v>9.3671540000000008E-3</v>
      </c>
      <c r="X5250">
        <v>0.99981609999999999</v>
      </c>
      <c r="Y5250">
        <v>-6.8845359999999994E-2</v>
      </c>
      <c r="Z5250">
        <v>-1.065374E-3</v>
      </c>
      <c r="AA5250">
        <v>0.99762680000000004</v>
      </c>
      <c r="AB5250">
        <v>34</v>
      </c>
      <c r="AC5250">
        <v>-11.6775</v>
      </c>
      <c r="AD5250">
        <v>-1.1097734277010001</v>
      </c>
      <c r="AE5250">
        <v>-1.1000999999999901</v>
      </c>
      <c r="AF5250">
        <v>-0.82563163326423095</v>
      </c>
      <c r="AG5250">
        <v>-1.1097734277010001</v>
      </c>
      <c r="AH5250">
        <v>11.5957772808967</v>
      </c>
      <c r="AI5250">
        <v>95.453118393421406</v>
      </c>
      <c r="AJ5250">
        <v>94.072647292380793</v>
      </c>
      <c r="AK5250">
        <v>11.677984218298899</v>
      </c>
      <c r="AL5250">
        <v>89.463293740989798</v>
      </c>
      <c r="AM5250">
        <v>89.041259088231399</v>
      </c>
      <c r="AN5250">
        <v>0.99999996308712802</v>
      </c>
    </row>
    <row r="5251" spans="1:40" x14ac:dyDescent="0.25">
      <c r="A5251" t="str">
        <f>"20190312160751018"</f>
        <v>20190312160751018</v>
      </c>
      <c r="B5251" t="str">
        <f>"1552378071011330"</f>
        <v>1552378071011330</v>
      </c>
      <c r="C5251" t="s">
        <v>40</v>
      </c>
      <c r="D5251">
        <v>6.1117100000000004</v>
      </c>
      <c r="E5251">
        <v>0.46306229999999998</v>
      </c>
      <c r="F5251" t="s">
        <v>47</v>
      </c>
      <c r="G5251">
        <v>-384.34960000000001</v>
      </c>
      <c r="H5251" s="1">
        <v>-2.6188269999999999E-6</v>
      </c>
      <c r="I5251">
        <v>140.41489999999999</v>
      </c>
      <c r="J5251">
        <v>-375.67489999999998</v>
      </c>
      <c r="K5251">
        <v>1.1097709999999901</v>
      </c>
      <c r="L5251">
        <v>141.30850000000001</v>
      </c>
      <c r="M5251">
        <v>-0.99963159999999895</v>
      </c>
      <c r="N5251">
        <v>0</v>
      </c>
      <c r="O5251">
        <v>-2.2923909999999999E-2</v>
      </c>
      <c r="P5251">
        <v>-0.99996560000000001</v>
      </c>
      <c r="Q5251">
        <v>-5.792813E-3</v>
      </c>
      <c r="R5251">
        <v>-5.9544180000000004E-3</v>
      </c>
      <c r="S5251">
        <v>-2.9963679999999999</v>
      </c>
      <c r="T5251">
        <v>-0.36849209999999999</v>
      </c>
      <c r="U5251">
        <v>-0.29934690000000003</v>
      </c>
      <c r="V5251">
        <v>1.6971400000000001E-2</v>
      </c>
      <c r="W5251">
        <v>8.7501530000000001E-3</v>
      </c>
      <c r="X5251">
        <v>0.99981770000000003</v>
      </c>
      <c r="Y5251">
        <v>-7.6172519999999994E-2</v>
      </c>
      <c r="Z5251">
        <v>-1.853787E-3</v>
      </c>
      <c r="AA5251">
        <v>0.99709289999999995</v>
      </c>
      <c r="AB5251">
        <v>33</v>
      </c>
      <c r="AC5251">
        <v>-8.6747000000000298</v>
      </c>
      <c r="AD5251">
        <v>-1.10977361882699</v>
      </c>
      <c r="AE5251">
        <v>-0.89360000000002004</v>
      </c>
      <c r="AF5251">
        <v>-0.68341826003260797</v>
      </c>
      <c r="AG5251">
        <v>-1.10977361882699</v>
      </c>
      <c r="AH5251">
        <v>8.5543705552125093</v>
      </c>
      <c r="AI5251">
        <v>97.3685798026995</v>
      </c>
      <c r="AJ5251">
        <v>94.567722616471599</v>
      </c>
      <c r="AK5251">
        <v>8.6530869404552497</v>
      </c>
      <c r="AL5251">
        <v>89.498646771892993</v>
      </c>
      <c r="AM5251">
        <v>89.027526502170403</v>
      </c>
      <c r="AN5251">
        <v>1.0000000134143801</v>
      </c>
    </row>
    <row r="5252" spans="1:40" x14ac:dyDescent="0.25">
      <c r="A5252" t="str">
        <f>"20190312160751038"</f>
        <v>20190312160751038</v>
      </c>
      <c r="B5252" t="str">
        <f>"1552378071030847"</f>
        <v>1552378071030847</v>
      </c>
      <c r="C5252" t="s">
        <v>40</v>
      </c>
      <c r="D5252">
        <v>5.9660599999999997</v>
      </c>
      <c r="E5252">
        <v>0.46247149999999998</v>
      </c>
      <c r="F5252" t="s">
        <v>47</v>
      </c>
      <c r="G5252">
        <v>-385.28800000000001</v>
      </c>
      <c r="H5252" s="1">
        <v>-2.1974619999999999E-6</v>
      </c>
      <c r="I5252">
        <v>140.3443</v>
      </c>
      <c r="J5252">
        <v>-375.97989999999999</v>
      </c>
      <c r="K5252">
        <v>1.1097709999999901</v>
      </c>
      <c r="L5252">
        <v>141.3014</v>
      </c>
      <c r="M5252">
        <v>-0.99963000000000002</v>
      </c>
      <c r="N5252">
        <v>0</v>
      </c>
      <c r="O5252">
        <v>-2.2993380000000001E-2</v>
      </c>
      <c r="P5252">
        <v>-0.99996280000000004</v>
      </c>
      <c r="Q5252">
        <v>-5.9606839999999999E-3</v>
      </c>
      <c r="R5252">
        <v>-6.2489370000000004E-3</v>
      </c>
      <c r="S5252">
        <v>-2.9963380000000002</v>
      </c>
      <c r="T5252">
        <v>-0.34591070000000002</v>
      </c>
      <c r="U5252">
        <v>-0.30052190000000001</v>
      </c>
      <c r="V5252">
        <v>1.6746489999999999E-2</v>
      </c>
      <c r="W5252">
        <v>8.5789750000000008E-3</v>
      </c>
      <c r="X5252">
        <v>0.99982300000000002</v>
      </c>
      <c r="Y5252">
        <v>-7.6536430000000003E-2</v>
      </c>
      <c r="Z5252">
        <v>-1.753856E-3</v>
      </c>
      <c r="AA5252">
        <v>0.99706519999999998</v>
      </c>
      <c r="AB5252">
        <v>33</v>
      </c>
      <c r="AC5252">
        <v>-9.3081000000000191</v>
      </c>
      <c r="AD5252">
        <v>-1.10977319746199</v>
      </c>
      <c r="AE5252">
        <v>-0.95709999999999695</v>
      </c>
      <c r="AF5252">
        <v>-0.73249614056999601</v>
      </c>
      <c r="AG5252">
        <v>-1.10977319746199</v>
      </c>
      <c r="AH5252">
        <v>9.1982626799773204</v>
      </c>
      <c r="AI5252">
        <v>96.857998147295405</v>
      </c>
      <c r="AJ5252">
        <v>94.553094218001903</v>
      </c>
      <c r="AK5252">
        <v>9.29387881756689</v>
      </c>
      <c r="AL5252">
        <v>89.508454928753693</v>
      </c>
      <c r="AM5252">
        <v>89.040416667687296</v>
      </c>
      <c r="AN5252">
        <v>1.00000003753418</v>
      </c>
    </row>
    <row r="5253" spans="1:40" x14ac:dyDescent="0.25">
      <c r="A5253" t="str">
        <f>"20190312160751063"</f>
        <v>20190312160751063</v>
      </c>
      <c r="B5253" t="str">
        <f>"1552378071050367"</f>
        <v>1552378071050367</v>
      </c>
      <c r="C5253" t="s">
        <v>40</v>
      </c>
      <c r="D5253">
        <v>5.9897150000000003</v>
      </c>
      <c r="E5253">
        <v>0.46201540000000002</v>
      </c>
      <c r="F5253" t="s">
        <v>47</v>
      </c>
      <c r="G5253">
        <v>-385.74239999999998</v>
      </c>
      <c r="H5253" s="1">
        <v>-1.9916670000000001E-6</v>
      </c>
      <c r="I5253">
        <v>140.30340000000001</v>
      </c>
      <c r="J5253">
        <v>-376.33010000000002</v>
      </c>
      <c r="K5253">
        <v>1.1097629999999901</v>
      </c>
      <c r="L5253">
        <v>141.29329999999999</v>
      </c>
      <c r="M5253">
        <v>-0.99962819999999997</v>
      </c>
      <c r="N5253">
        <v>0</v>
      </c>
      <c r="O5253">
        <v>-2.3073099999999999E-2</v>
      </c>
      <c r="P5253">
        <v>-0.99995789999999996</v>
      </c>
      <c r="Q5253">
        <v>-5.9323469999999897E-3</v>
      </c>
      <c r="R5253">
        <v>-7.0353560000000004E-3</v>
      </c>
      <c r="S5253">
        <v>-2.9961850000000001</v>
      </c>
      <c r="T5253">
        <v>-0.34060279999999998</v>
      </c>
      <c r="U5253">
        <v>-0.3062897</v>
      </c>
      <c r="V5253">
        <v>1.6039939999999999E-2</v>
      </c>
      <c r="W5253">
        <v>8.6037700000000002E-3</v>
      </c>
      <c r="X5253">
        <v>0.99983440000000001</v>
      </c>
      <c r="Y5253">
        <v>-7.836137E-2</v>
      </c>
      <c r="Z5253">
        <v>-1.8211779999999999E-3</v>
      </c>
      <c r="AA5253">
        <v>0.99692329999999996</v>
      </c>
      <c r="AB5253">
        <v>33</v>
      </c>
      <c r="AC5253">
        <v>-9.4122999999999593</v>
      </c>
      <c r="AD5253">
        <v>-1.1097649916669901</v>
      </c>
      <c r="AE5253">
        <v>-0.98989999999997702</v>
      </c>
      <c r="AF5253">
        <v>-0.76196574944842299</v>
      </c>
      <c r="AG5253">
        <v>-1.1097649916669901</v>
      </c>
      <c r="AH5253">
        <v>9.3046993892792393</v>
      </c>
      <c r="AI5253">
        <v>96.779018217030099</v>
      </c>
      <c r="AJ5253">
        <v>94.681529306853903</v>
      </c>
      <c r="AK5253">
        <v>9.4015743822466096</v>
      </c>
      <c r="AL5253">
        <v>89.507034241543195</v>
      </c>
      <c r="AM5253">
        <v>89.080905761418606</v>
      </c>
      <c r="AN5253">
        <v>1.0000000659783801</v>
      </c>
    </row>
    <row r="5254" spans="1:40" x14ac:dyDescent="0.25">
      <c r="A5254" t="str">
        <f>"20190312160751084"</f>
        <v>20190312160751084</v>
      </c>
      <c r="B5254" t="str">
        <f>"1552378071080623"</f>
        <v>1552378071080623</v>
      </c>
      <c r="C5254" t="s">
        <v>40</v>
      </c>
      <c r="D5254">
        <v>5.9939989999999996</v>
      </c>
      <c r="E5254">
        <v>0.47833569999999997</v>
      </c>
      <c r="F5254" t="s">
        <v>47</v>
      </c>
      <c r="G5254">
        <v>-386.13459999999998</v>
      </c>
      <c r="H5254" s="1">
        <v>-1.8146519999999999E-6</v>
      </c>
      <c r="I5254">
        <v>140.2704</v>
      </c>
      <c r="J5254">
        <v>-376.65440000000001</v>
      </c>
      <c r="K5254">
        <v>1.109764</v>
      </c>
      <c r="L5254">
        <v>141.28569999999999</v>
      </c>
      <c r="M5254">
        <v>-0.99962640000000003</v>
      </c>
      <c r="N5254">
        <v>0</v>
      </c>
      <c r="O5254">
        <v>-2.3147330000000001E-2</v>
      </c>
      <c r="P5254">
        <v>-0.99995049999999996</v>
      </c>
      <c r="Q5254">
        <v>-5.7702980000000001E-3</v>
      </c>
      <c r="R5254">
        <v>-8.0965519999999999E-3</v>
      </c>
      <c r="S5254">
        <v>-2.995911</v>
      </c>
      <c r="T5254">
        <v>-0.33910759999999901</v>
      </c>
      <c r="U5254">
        <v>-0.3125153</v>
      </c>
      <c r="V5254">
        <v>1.505309E-2</v>
      </c>
      <c r="W5254">
        <v>8.7615969999999994E-3</v>
      </c>
      <c r="X5254">
        <v>0.99984830000000002</v>
      </c>
      <c r="Y5254">
        <v>-8.0337309999999995E-2</v>
      </c>
      <c r="Z5254">
        <v>-1.916049E-3</v>
      </c>
      <c r="AA5254">
        <v>0.99676589999999998</v>
      </c>
      <c r="AB5254">
        <v>33</v>
      </c>
      <c r="AC5254">
        <v>-9.4801999999999609</v>
      </c>
      <c r="AD5254">
        <v>-1.109765814652</v>
      </c>
      <c r="AE5254">
        <v>-1.0152999999999901</v>
      </c>
      <c r="AF5254">
        <v>-0.78492919548897699</v>
      </c>
      <c r="AG5254">
        <v>-1.109765814652</v>
      </c>
      <c r="AH5254">
        <v>9.3741623151727094</v>
      </c>
      <c r="AI5254">
        <v>96.728242197398203</v>
      </c>
      <c r="AJ5254">
        <v>94.786397170322999</v>
      </c>
      <c r="AK5254">
        <v>9.4722021260372902</v>
      </c>
      <c r="AL5254">
        <v>89.497991043143202</v>
      </c>
      <c r="AM5254">
        <v>89.137455781909594</v>
      </c>
      <c r="AN5254">
        <v>0.99999999205671397</v>
      </c>
    </row>
    <row r="5255" spans="1:40" x14ac:dyDescent="0.25">
      <c r="A5255" t="str">
        <f>"20190312160751106"</f>
        <v>20190312160751106</v>
      </c>
      <c r="B5255" t="str">
        <f>"1552378071101119"</f>
        <v>1552378071101119</v>
      </c>
      <c r="C5255" t="s">
        <v>40</v>
      </c>
      <c r="D5255">
        <v>6.0676990000000002</v>
      </c>
      <c r="E5255">
        <v>0.48969940000000001</v>
      </c>
      <c r="F5255" t="s">
        <v>44</v>
      </c>
      <c r="G5255">
        <v>-377.51479999999998</v>
      </c>
      <c r="H5255">
        <v>1.002397</v>
      </c>
      <c r="I5255">
        <v>141.2329</v>
      </c>
      <c r="J5255">
        <v>-377.00040000000001</v>
      </c>
      <c r="K5255">
        <v>1.109764</v>
      </c>
      <c r="L5255">
        <v>141.27760000000001</v>
      </c>
      <c r="M5255">
        <v>-0.99962479999999998</v>
      </c>
      <c r="N5255">
        <v>0</v>
      </c>
      <c r="O5255">
        <v>-2.3226210000000001E-2</v>
      </c>
      <c r="P5255">
        <v>-0.99993989999999999</v>
      </c>
      <c r="Q5255">
        <v>-5.4114879999999999E-3</v>
      </c>
      <c r="R5255">
        <v>-9.5591809999999999E-3</v>
      </c>
      <c r="S5255">
        <v>-2.996521</v>
      </c>
      <c r="T5255">
        <v>-0.3740792</v>
      </c>
      <c r="U5255">
        <v>-0.1845551</v>
      </c>
      <c r="V5255">
        <v>1.3669519999999999E-2</v>
      </c>
      <c r="W5255">
        <v>9.1168259999999997E-3</v>
      </c>
      <c r="X5255">
        <v>0.999865</v>
      </c>
      <c r="Y5255">
        <v>-3.8156570000000001E-2</v>
      </c>
      <c r="Z5255">
        <v>5.1492940000000004E-4</v>
      </c>
      <c r="AA5255">
        <v>0.99927160000000004</v>
      </c>
      <c r="AB5255">
        <v>33</v>
      </c>
      <c r="AC5255">
        <v>-0.514399999999966</v>
      </c>
      <c r="AD5255">
        <v>-0.107367</v>
      </c>
      <c r="AE5255">
        <v>-4.4700000000005902E-2</v>
      </c>
      <c r="AF5255">
        <v>-3.1382191923060299E-2</v>
      </c>
      <c r="AG5255">
        <v>-0.107367</v>
      </c>
      <c r="AH5255">
        <v>0.49394211072106597</v>
      </c>
      <c r="AI5255">
        <v>102.239543613075</v>
      </c>
      <c r="AJ5255">
        <v>93.635352403884696</v>
      </c>
      <c r="AK5255">
        <v>0.50644972445690795</v>
      </c>
      <c r="AL5255">
        <v>89.477637108834003</v>
      </c>
      <c r="AM5255">
        <v>89.216737245437301</v>
      </c>
      <c r="AN5255">
        <v>0.99999999525917205</v>
      </c>
    </row>
    <row r="5256" spans="1:40" x14ac:dyDescent="0.25">
      <c r="A5256" t="str">
        <f>"20190312160751129"</f>
        <v>20190312160751129</v>
      </c>
      <c r="B5256" t="str">
        <f>"1552378071120639"</f>
        <v>1552378071120639</v>
      </c>
      <c r="C5256" t="s">
        <v>40</v>
      </c>
      <c r="D5256">
        <v>6.0916040000000002</v>
      </c>
      <c r="E5256">
        <v>0.53606640000000005</v>
      </c>
      <c r="F5256" t="s">
        <v>44</v>
      </c>
      <c r="G5256">
        <v>-377.8107</v>
      </c>
      <c r="H5256">
        <v>1.000678</v>
      </c>
      <c r="I5256">
        <v>141.25120000000001</v>
      </c>
      <c r="J5256">
        <v>-377.32100000000003</v>
      </c>
      <c r="K5256">
        <v>1.1097729999999999</v>
      </c>
      <c r="L5256">
        <v>141.27010000000001</v>
      </c>
      <c r="M5256">
        <v>-0.99962300000000004</v>
      </c>
      <c r="N5256">
        <v>0</v>
      </c>
      <c r="O5256">
        <v>-2.3299139999999999E-2</v>
      </c>
      <c r="P5256">
        <v>-0.99993069999999895</v>
      </c>
      <c r="Q5256">
        <v>-4.8266159999999997E-3</v>
      </c>
      <c r="R5256">
        <v>-1.073405E-2</v>
      </c>
      <c r="S5256">
        <v>-2.9971009999999998</v>
      </c>
      <c r="T5256">
        <v>-0.40346850000000001</v>
      </c>
      <c r="U5256">
        <v>-9.7244259999999999E-2</v>
      </c>
      <c r="V5256">
        <v>1.256766E-2</v>
      </c>
      <c r="W5256">
        <v>9.6980639999999993E-3</v>
      </c>
      <c r="X5256">
        <v>0.99987400000000004</v>
      </c>
      <c r="Y5256">
        <v>-9.2574010000000002E-3</v>
      </c>
      <c r="Z5256">
        <v>2.5012950000000002E-3</v>
      </c>
      <c r="AA5256">
        <v>0.99995400000000001</v>
      </c>
      <c r="AB5256">
        <v>33</v>
      </c>
      <c r="AC5256">
        <v>-0.489700000000027</v>
      </c>
      <c r="AD5256">
        <v>-0.109094999999999</v>
      </c>
      <c r="AE5256">
        <v>-1.8900000000002099E-2</v>
      </c>
      <c r="AF5256">
        <v>-7.1307009298024896E-3</v>
      </c>
      <c r="AG5256">
        <v>-0.109094999999999</v>
      </c>
      <c r="AH5256">
        <v>0.46687082413460201</v>
      </c>
      <c r="AI5256">
        <v>103.15098467669</v>
      </c>
      <c r="AJ5256">
        <v>90.875032840990798</v>
      </c>
      <c r="AK5256">
        <v>0.47950071152071599</v>
      </c>
      <c r="AL5256">
        <v>89.444333156816498</v>
      </c>
      <c r="AM5256">
        <v>89.279873304590396</v>
      </c>
      <c r="AN5256">
        <v>1.00000000719961</v>
      </c>
    </row>
    <row r="5257" spans="1:40" x14ac:dyDescent="0.25">
      <c r="A5257" t="str">
        <f>"20190312160751150"</f>
        <v>20190312160751150</v>
      </c>
      <c r="B5257" t="str">
        <f>"1552378071141136"</f>
        <v>1552378071141136</v>
      </c>
      <c r="C5257" t="s">
        <v>40</v>
      </c>
      <c r="D5257">
        <v>6.0054270000000001</v>
      </c>
      <c r="E5257">
        <v>0.55247209999999902</v>
      </c>
      <c r="F5257" t="s">
        <v>44</v>
      </c>
      <c r="G5257">
        <v>-378.0822</v>
      </c>
      <c r="H5257">
        <v>0.94749680000000003</v>
      </c>
      <c r="I5257">
        <v>141.3409</v>
      </c>
      <c r="J5257">
        <v>-377.64499999999998</v>
      </c>
      <c r="K5257">
        <v>1.109775</v>
      </c>
      <c r="L5257">
        <v>141.26249999999999</v>
      </c>
      <c r="M5257">
        <v>-0.99962150000000005</v>
      </c>
      <c r="N5257">
        <v>0</v>
      </c>
      <c r="O5257">
        <v>-2.3373129999999999E-2</v>
      </c>
      <c r="P5257">
        <v>-0.99991980000000003</v>
      </c>
      <c r="Q5257">
        <v>-4.0232499999999999E-3</v>
      </c>
      <c r="R5257">
        <v>-1.2014489999999999E-2</v>
      </c>
      <c r="S5257">
        <v>-3.0001220000000002</v>
      </c>
      <c r="T5257">
        <v>-0.639603699999999</v>
      </c>
      <c r="U5257">
        <v>0.27810669999999998</v>
      </c>
      <c r="V5257">
        <v>1.1361110000000001E-2</v>
      </c>
      <c r="W5257">
        <v>1.0498149999999999E-2</v>
      </c>
      <c r="X5257">
        <v>0.9998804</v>
      </c>
      <c r="Y5257">
        <v>0.1125234</v>
      </c>
      <c r="Z5257">
        <v>1.6755659999999999E-2</v>
      </c>
      <c r="AA5257">
        <v>0.99350780000000005</v>
      </c>
      <c r="AB5257">
        <v>33</v>
      </c>
      <c r="AC5257">
        <v>-0.43720000000001802</v>
      </c>
      <c r="AD5257">
        <v>-0.16227819999999901</v>
      </c>
      <c r="AE5257">
        <v>7.8400000000016207E-2</v>
      </c>
      <c r="AF5257">
        <v>7.8164968790408407E-2</v>
      </c>
      <c r="AG5257">
        <v>-0.16227819999999901</v>
      </c>
      <c r="AH5257">
        <v>0.38399274913244702</v>
      </c>
      <c r="AI5257">
        <v>112.49517471540899</v>
      </c>
      <c r="AJ5257">
        <v>78.494159889969296</v>
      </c>
      <c r="AK5257">
        <v>0.42413960900573799</v>
      </c>
      <c r="AL5257">
        <v>89.398489293254599</v>
      </c>
      <c r="AM5257">
        <v>89.349006498935694</v>
      </c>
      <c r="AN5257">
        <v>1.0000000501390001</v>
      </c>
    </row>
    <row r="5258" spans="1:40" x14ac:dyDescent="0.25">
      <c r="A5258" t="str">
        <f>"20190312160751173"</f>
        <v>20190312160751173</v>
      </c>
      <c r="B5258" t="str">
        <f>"1552378071160655"</f>
        <v>1552378071160655</v>
      </c>
      <c r="C5258" t="s">
        <v>40</v>
      </c>
      <c r="D5258">
        <v>5.4418939999999996</v>
      </c>
      <c r="E5258">
        <v>0.53735290000000002</v>
      </c>
      <c r="F5258" t="s">
        <v>44</v>
      </c>
      <c r="G5258">
        <v>-378.34969999999998</v>
      </c>
      <c r="H5258">
        <v>0.88119239999999999</v>
      </c>
      <c r="I5258">
        <v>141.3603</v>
      </c>
      <c r="J5258">
        <v>-377.97730000000001</v>
      </c>
      <c r="K5258">
        <v>1.1097889999999999</v>
      </c>
      <c r="L5258">
        <v>141.25460000000001</v>
      </c>
      <c r="M5258">
        <v>-0.9996197</v>
      </c>
      <c r="N5258">
        <v>0</v>
      </c>
      <c r="O5258">
        <v>-2.3449149999999998E-2</v>
      </c>
      <c r="P5258">
        <v>-0.99991569999999996</v>
      </c>
      <c r="Q5258">
        <v>-3.948165E-3</v>
      </c>
      <c r="R5258">
        <v>-1.237895E-2</v>
      </c>
      <c r="S5258">
        <v>-3.0013730000000001</v>
      </c>
      <c r="T5258">
        <v>-0.97359899999999999</v>
      </c>
      <c r="U5258">
        <v>0.41668699999999997</v>
      </c>
      <c r="V5258">
        <v>1.1072769999999999E-2</v>
      </c>
      <c r="W5258">
        <v>1.0569200000000001E-2</v>
      </c>
      <c r="X5258">
        <v>0.99988279999999996</v>
      </c>
      <c r="Y5258">
        <v>0.15186959999999999</v>
      </c>
      <c r="Z5258">
        <v>3.1296350000000001E-2</v>
      </c>
      <c r="AA5258">
        <v>0.98790500000000003</v>
      </c>
      <c r="AB5258">
        <v>33</v>
      </c>
      <c r="AC5258">
        <v>-0.37239999999996998</v>
      </c>
      <c r="AD5258">
        <v>-0.22859659999999901</v>
      </c>
      <c r="AE5258">
        <v>0.105699999999984</v>
      </c>
      <c r="AF5258">
        <v>8.4824683972064302E-2</v>
      </c>
      <c r="AG5258">
        <v>-0.22859659999999901</v>
      </c>
      <c r="AH5258">
        <v>0.27420083485567998</v>
      </c>
      <c r="AI5258">
        <v>128.535367289417</v>
      </c>
      <c r="AJ5258">
        <v>72.810422065951599</v>
      </c>
      <c r="AK5258">
        <v>0.36693014373048199</v>
      </c>
      <c r="AL5258">
        <v>89.394418150278199</v>
      </c>
      <c r="AM5258">
        <v>89.365528583672898</v>
      </c>
      <c r="AN5258">
        <v>0.99999996397997604</v>
      </c>
    </row>
    <row r="5259" spans="1:40" x14ac:dyDescent="0.25">
      <c r="A5259" t="str">
        <f>"20190312160751196"</f>
        <v>20190312160751196</v>
      </c>
      <c r="B5259" t="str">
        <f>"1552378071190913"</f>
        <v>1552378071190913</v>
      </c>
      <c r="C5259" t="s">
        <v>40</v>
      </c>
      <c r="D5259">
        <v>6.0143959999999996</v>
      </c>
      <c r="E5259">
        <v>0.55188199999999998</v>
      </c>
      <c r="F5259" t="s">
        <v>44</v>
      </c>
      <c r="G5259">
        <v>-378.68009999999998</v>
      </c>
      <c r="H5259">
        <v>0.95953350000000004</v>
      </c>
      <c r="I5259">
        <v>141.3211</v>
      </c>
      <c r="J5259">
        <v>-378.31450000000001</v>
      </c>
      <c r="K5259">
        <v>1.1097919999999999</v>
      </c>
      <c r="L5259">
        <v>141.2466</v>
      </c>
      <c r="M5259">
        <v>-0.99961789999999995</v>
      </c>
      <c r="N5259">
        <v>0</v>
      </c>
      <c r="O5259">
        <v>-2.3526249999999999E-2</v>
      </c>
      <c r="P5259">
        <v>-0.99991759999999996</v>
      </c>
      <c r="Q5259">
        <v>-3.1468889999999999E-3</v>
      </c>
      <c r="R5259">
        <v>-1.2449760000000001E-2</v>
      </c>
      <c r="S5259">
        <v>-3.0012210000000001</v>
      </c>
      <c r="T5259">
        <v>-0.64163879999999995</v>
      </c>
      <c r="U5259">
        <v>0.28294370000000002</v>
      </c>
      <c r="V5259">
        <v>1.1078960000000001E-2</v>
      </c>
      <c r="W5259">
        <v>1.1366899999999999E-2</v>
      </c>
      <c r="X5259">
        <v>0.99987400000000004</v>
      </c>
      <c r="Y5259">
        <v>0.1141725</v>
      </c>
      <c r="Z5259">
        <v>1.700687E-2</v>
      </c>
      <c r="AA5259">
        <v>0.99331530000000001</v>
      </c>
      <c r="AB5259">
        <v>33</v>
      </c>
      <c r="AC5259">
        <v>-0.365599999999972</v>
      </c>
      <c r="AD5259">
        <v>-0.15025849999999999</v>
      </c>
      <c r="AE5259">
        <v>7.4500000000000399E-2</v>
      </c>
      <c r="AF5259">
        <v>7.1487637093221298E-2</v>
      </c>
      <c r="AG5259">
        <v>-0.15025849999999999</v>
      </c>
      <c r="AH5259">
        <v>0.31298594190526702</v>
      </c>
      <c r="AI5259">
        <v>115.080891724316</v>
      </c>
      <c r="AJ5259">
        <v>77.134046522508399</v>
      </c>
      <c r="AK5259">
        <v>0.35446903801284102</v>
      </c>
      <c r="AL5259">
        <v>89.348710567023005</v>
      </c>
      <c r="AM5259">
        <v>89.365168338028298</v>
      </c>
      <c r="AN5259">
        <v>0.99999998282314495</v>
      </c>
    </row>
    <row r="5260" spans="1:40" x14ac:dyDescent="0.25">
      <c r="A5260" t="str">
        <f>"20190312160751218"</f>
        <v>20190312160751218</v>
      </c>
      <c r="B5260" t="str">
        <f>"1552378071210430"</f>
        <v>1552378071210430</v>
      </c>
      <c r="C5260" t="s">
        <v>40</v>
      </c>
      <c r="D5260">
        <v>6.0464560000000001</v>
      </c>
      <c r="E5260">
        <v>0.53544429999999998</v>
      </c>
      <c r="F5260" t="s">
        <v>44</v>
      </c>
      <c r="G5260">
        <v>-379.20499999999998</v>
      </c>
      <c r="H5260">
        <v>0.80181769999999997</v>
      </c>
      <c r="I5260">
        <v>141.36969999999999</v>
      </c>
      <c r="J5260">
        <v>-378.64449999999999</v>
      </c>
      <c r="K5260">
        <v>1.1097969999999999</v>
      </c>
      <c r="L5260">
        <v>141.23869999999999</v>
      </c>
      <c r="M5260">
        <v>-0.99961630000000001</v>
      </c>
      <c r="N5260">
        <v>0</v>
      </c>
      <c r="O5260">
        <v>-2.360191E-2</v>
      </c>
      <c r="P5260">
        <v>-0.99992110000000001</v>
      </c>
      <c r="Q5260">
        <v>-2.7056879999999999E-3</v>
      </c>
      <c r="R5260">
        <v>-1.227343E-2</v>
      </c>
      <c r="S5260">
        <v>-3.002167</v>
      </c>
      <c r="T5260">
        <v>-1.0381670000000001</v>
      </c>
      <c r="U5260">
        <v>0.4145508</v>
      </c>
      <c r="V5260">
        <v>1.1330969999999999E-2</v>
      </c>
      <c r="W5260">
        <v>1.1804129999999999E-2</v>
      </c>
      <c r="X5260">
        <v>0.99986609999999998</v>
      </c>
      <c r="Y5260">
        <v>0.15020720000000001</v>
      </c>
      <c r="Z5260">
        <v>3.3028740000000001E-2</v>
      </c>
      <c r="AA5260">
        <v>0.9881027</v>
      </c>
      <c r="AB5260">
        <v>33</v>
      </c>
      <c r="AC5260">
        <v>-0.56049999999999001</v>
      </c>
      <c r="AD5260">
        <v>-0.30797930000000001</v>
      </c>
      <c r="AE5260">
        <v>0.13100000000000001</v>
      </c>
      <c r="AF5260">
        <v>0.112101220570389</v>
      </c>
      <c r="AG5260">
        <v>-0.30797930000000001</v>
      </c>
      <c r="AH5260">
        <v>0.43322672359637499</v>
      </c>
      <c r="AI5260">
        <v>124.536878799395</v>
      </c>
      <c r="AJ5260">
        <v>75.492417241554406</v>
      </c>
      <c r="AK5260">
        <v>0.54323413637207196</v>
      </c>
      <c r="AL5260">
        <v>89.323657444749202</v>
      </c>
      <c r="AM5260">
        <v>89.350724092971404</v>
      </c>
      <c r="AN5260">
        <v>0.99999997314770295</v>
      </c>
    </row>
    <row r="5261" spans="1:40" x14ac:dyDescent="0.25">
      <c r="A5261" t="str">
        <f>"20190312160751240"</f>
        <v>20190312160751240</v>
      </c>
      <c r="B5261" t="str">
        <f>"1552378071230927"</f>
        <v>1552378071230927</v>
      </c>
      <c r="C5261" t="s">
        <v>40</v>
      </c>
      <c r="D5261">
        <v>6.3592089999999999</v>
      </c>
      <c r="E5261">
        <v>0.53528989999999999</v>
      </c>
      <c r="F5261" t="s">
        <v>44</v>
      </c>
      <c r="G5261">
        <v>-379.54750000000001</v>
      </c>
      <c r="H5261">
        <v>0.91988419999999904</v>
      </c>
      <c r="I5261">
        <v>141.31989999999999</v>
      </c>
      <c r="J5261">
        <v>-378.96870000000001</v>
      </c>
      <c r="K5261">
        <v>1.109793</v>
      </c>
      <c r="L5261">
        <v>141.23099999999999</v>
      </c>
      <c r="M5261">
        <v>-0.99961449999999996</v>
      </c>
      <c r="N5261">
        <v>0</v>
      </c>
      <c r="O5261">
        <v>-2.3675910000000001E-2</v>
      </c>
      <c r="P5261">
        <v>-0.99992420000000004</v>
      </c>
      <c r="Q5261">
        <v>-2.9445740000000001E-3</v>
      </c>
      <c r="R5261">
        <v>-1.19478E-2</v>
      </c>
      <c r="S5261">
        <v>-3.001862</v>
      </c>
      <c r="T5261">
        <v>-0.63133930000000005</v>
      </c>
      <c r="U5261">
        <v>0.269928</v>
      </c>
      <c r="V5261">
        <v>1.1730519999999999E-2</v>
      </c>
      <c r="W5261">
        <v>1.1561439999999999E-2</v>
      </c>
      <c r="X5261">
        <v>0.99986430000000004</v>
      </c>
      <c r="Y5261">
        <v>0.11020969999999999</v>
      </c>
      <c r="Z5261">
        <v>1.6359080000000002E-2</v>
      </c>
      <c r="AA5261">
        <v>0.99377369999999998</v>
      </c>
      <c r="AB5261">
        <v>33</v>
      </c>
      <c r="AC5261">
        <v>-0.57880000000000098</v>
      </c>
      <c r="AD5261">
        <v>-0.18990879999999999</v>
      </c>
      <c r="AE5261">
        <v>8.8899999999995302E-2</v>
      </c>
      <c r="AF5261">
        <v>9.2818118592976201E-2</v>
      </c>
      <c r="AG5261">
        <v>-0.18990879999999999</v>
      </c>
      <c r="AH5261">
        <v>0.52166711098220797</v>
      </c>
      <c r="AI5261">
        <v>109.71834285514301</v>
      </c>
      <c r="AJ5261">
        <v>79.911172430495299</v>
      </c>
      <c r="AK5261">
        <v>0.56286510829603198</v>
      </c>
      <c r="AL5261">
        <v>89.337563488409302</v>
      </c>
      <c r="AM5261">
        <v>89.327830333459701</v>
      </c>
      <c r="AN5261">
        <v>0.99999994520441504</v>
      </c>
    </row>
    <row r="5262" spans="1:40" x14ac:dyDescent="0.25">
      <c r="A5262" t="str">
        <f>"20190312160751264"</f>
        <v>20190312160751264</v>
      </c>
      <c r="B5262" t="str">
        <f>"1552378071250447"</f>
        <v>1552378071250447</v>
      </c>
      <c r="C5262" t="s">
        <v>40</v>
      </c>
      <c r="D5262">
        <v>6.0701229999999997</v>
      </c>
      <c r="E5262">
        <v>0.53509209999999996</v>
      </c>
      <c r="F5262" t="s">
        <v>44</v>
      </c>
      <c r="G5262">
        <v>-379.84679999999997</v>
      </c>
      <c r="H5262">
        <v>0.93043350000000002</v>
      </c>
      <c r="I5262">
        <v>141.31</v>
      </c>
      <c r="J5262">
        <v>-379.30990000000003</v>
      </c>
      <c r="K5262">
        <v>1.109793</v>
      </c>
      <c r="L5262">
        <v>141.22280000000001</v>
      </c>
      <c r="M5262">
        <v>-0.99961270000000002</v>
      </c>
      <c r="N5262">
        <v>0</v>
      </c>
      <c r="O5262">
        <v>-2.3754190000000001E-2</v>
      </c>
      <c r="P5262">
        <v>-0.99991509999999995</v>
      </c>
      <c r="Q5262">
        <v>-3.243105E-3</v>
      </c>
      <c r="R5262">
        <v>-1.2619160000000001E-2</v>
      </c>
      <c r="S5262">
        <v>-3.001617</v>
      </c>
      <c r="T5262">
        <v>-0.61300829999999995</v>
      </c>
      <c r="U5262">
        <v>0.26959229999999901</v>
      </c>
      <c r="V5262">
        <v>1.113754E-2</v>
      </c>
      <c r="W5262">
        <v>1.1259140000000001E-2</v>
      </c>
      <c r="X5262">
        <v>0.99987459999999995</v>
      </c>
      <c r="Y5262">
        <v>0.11034430000000001</v>
      </c>
      <c r="Z5262">
        <v>1.5924500000000001E-2</v>
      </c>
      <c r="AA5262">
        <v>0.99376580000000003</v>
      </c>
      <c r="AB5262">
        <v>33</v>
      </c>
      <c r="AC5262">
        <v>-0.53689999999994598</v>
      </c>
      <c r="AD5262">
        <v>-0.17935950000000001</v>
      </c>
      <c r="AE5262">
        <v>8.7199999999995698E-2</v>
      </c>
      <c r="AF5262">
        <v>9.0130364460229304E-2</v>
      </c>
      <c r="AG5262">
        <v>-0.17935950000000001</v>
      </c>
      <c r="AH5262">
        <v>0.482242086458334</v>
      </c>
      <c r="AI5262">
        <v>110.082300463368</v>
      </c>
      <c r="AJ5262">
        <v>79.413636497619294</v>
      </c>
      <c r="AK5262">
        <v>0.52235116807533899</v>
      </c>
      <c r="AL5262">
        <v>89.354885175828002</v>
      </c>
      <c r="AM5262">
        <v>89.361812325497297</v>
      </c>
      <c r="AN5262">
        <v>1.0000000143779699</v>
      </c>
    </row>
    <row r="5263" spans="1:40" x14ac:dyDescent="0.25">
      <c r="A5263" t="str">
        <f>"20190312160751285"</f>
        <v>20190312160751285</v>
      </c>
      <c r="B5263" t="str">
        <f>"1552378071280703"</f>
        <v>1552378071280703</v>
      </c>
      <c r="C5263" t="s">
        <v>40</v>
      </c>
      <c r="D5263">
        <v>6.2814990000000002</v>
      </c>
      <c r="E5263">
        <v>0.53524559999999999</v>
      </c>
      <c r="F5263" t="s">
        <v>44</v>
      </c>
      <c r="G5263">
        <v>-380.1447</v>
      </c>
      <c r="H5263">
        <v>0.9388223</v>
      </c>
      <c r="I5263">
        <v>141.29679999999999</v>
      </c>
      <c r="J5263">
        <v>-379.63279999999997</v>
      </c>
      <c r="K5263">
        <v>1.109793</v>
      </c>
      <c r="L5263">
        <v>141.215</v>
      </c>
      <c r="M5263">
        <v>-0.99961100000000003</v>
      </c>
      <c r="N5263">
        <v>0</v>
      </c>
      <c r="O5263">
        <v>-2.3827959999999999E-2</v>
      </c>
      <c r="P5263">
        <v>-0.99989019999999995</v>
      </c>
      <c r="Q5263">
        <v>-3.7246760000000001E-3</v>
      </c>
      <c r="R5263">
        <v>-1.434681E-2</v>
      </c>
      <c r="S5263">
        <v>-3.001617</v>
      </c>
      <c r="T5263">
        <v>-0.61481430000000004</v>
      </c>
      <c r="U5263">
        <v>0.26614379999999999</v>
      </c>
      <c r="V5263">
        <v>9.4837800000000007E-3</v>
      </c>
      <c r="W5263">
        <v>1.0774229999999999E-2</v>
      </c>
      <c r="X5263">
        <v>0.99989700000000004</v>
      </c>
      <c r="Y5263">
        <v>0.1092887</v>
      </c>
      <c r="Z5263">
        <v>1.5879379999999998E-2</v>
      </c>
      <c r="AA5263">
        <v>0.99388319999999997</v>
      </c>
      <c r="AB5263">
        <v>33</v>
      </c>
      <c r="AC5263">
        <v>-0.511900000000025</v>
      </c>
      <c r="AD5263">
        <v>-0.1709707</v>
      </c>
      <c r="AE5263">
        <v>8.1799999999986994E-2</v>
      </c>
      <c r="AF5263">
        <v>8.4756349530307196E-2</v>
      </c>
      <c r="AG5263">
        <v>-0.1709707</v>
      </c>
      <c r="AH5263">
        <v>0.45979214979928001</v>
      </c>
      <c r="AI5263">
        <v>110.08657847216401</v>
      </c>
      <c r="AJ5263">
        <v>79.555559126950499</v>
      </c>
      <c r="AK5263">
        <v>0.49781868191263901</v>
      </c>
      <c r="AL5263">
        <v>89.382670160750095</v>
      </c>
      <c r="AM5263">
        <v>89.456579753287699</v>
      </c>
      <c r="AN5263">
        <v>1.0000000183620901</v>
      </c>
    </row>
    <row r="5264" spans="1:40" x14ac:dyDescent="0.25">
      <c r="A5264" t="str">
        <f>"20190312160751308"</f>
        <v>20190312160751308</v>
      </c>
      <c r="B5264" t="str">
        <f>"1552378071301199"</f>
        <v>1552378071301199</v>
      </c>
      <c r="C5264" t="s">
        <v>40</v>
      </c>
      <c r="D5264">
        <v>5.8432950000000003</v>
      </c>
      <c r="E5264">
        <v>0.53181730000000005</v>
      </c>
      <c r="F5264" t="s">
        <v>44</v>
      </c>
      <c r="G5264">
        <v>-380.44139999999999</v>
      </c>
      <c r="H5264">
        <v>0.94503780000000004</v>
      </c>
      <c r="I5264">
        <v>141.286</v>
      </c>
      <c r="J5264">
        <v>-379.9597</v>
      </c>
      <c r="K5264">
        <v>1.1097939999999999</v>
      </c>
      <c r="L5264">
        <v>141.2072</v>
      </c>
      <c r="M5264">
        <v>-0.99960930000000003</v>
      </c>
      <c r="N5264">
        <v>0</v>
      </c>
      <c r="O5264">
        <v>-2.3903029999999999E-2</v>
      </c>
      <c r="P5264">
        <v>-0.99985559999999996</v>
      </c>
      <c r="Q5264">
        <v>-3.9645560000000002E-3</v>
      </c>
      <c r="R5264">
        <v>-1.6530820000000002E-2</v>
      </c>
      <c r="S5264">
        <v>-3.0018310000000001</v>
      </c>
      <c r="T5264">
        <v>-0.61164560000000001</v>
      </c>
      <c r="U5264">
        <v>0.26249689999999998</v>
      </c>
      <c r="V5264">
        <v>7.3747049999999996E-3</v>
      </c>
      <c r="W5264">
        <v>1.053106E-2</v>
      </c>
      <c r="X5264">
        <v>0.99991730000000001</v>
      </c>
      <c r="Y5264">
        <v>0.108207399999999</v>
      </c>
      <c r="Z5264">
        <v>1.5705159999999999E-2</v>
      </c>
      <c r="AA5264">
        <v>0.9940042</v>
      </c>
      <c r="AB5264">
        <v>33</v>
      </c>
      <c r="AC5264">
        <v>-0.48169999999998903</v>
      </c>
      <c r="AD5264">
        <v>-0.16475619999999899</v>
      </c>
      <c r="AE5264">
        <v>7.8800000000000994E-2</v>
      </c>
      <c r="AF5264">
        <v>8.1057420679928605E-2</v>
      </c>
      <c r="AG5264">
        <v>-0.16475619999999899</v>
      </c>
      <c r="AH5264">
        <v>0.43061592869152898</v>
      </c>
      <c r="AI5264">
        <v>110.60638550602</v>
      </c>
      <c r="AJ5264">
        <v>79.3396125519984</v>
      </c>
      <c r="AK5264">
        <v>0.46812924382972598</v>
      </c>
      <c r="AL5264">
        <v>89.396603523472706</v>
      </c>
      <c r="AM5264">
        <v>89.577433243208006</v>
      </c>
      <c r="AN5264">
        <v>0.99999994816892401</v>
      </c>
    </row>
    <row r="5265" spans="1:40" x14ac:dyDescent="0.25">
      <c r="A5265" t="str">
        <f>"20190312160751329"</f>
        <v>20190312160751329</v>
      </c>
      <c r="B5265" t="str">
        <f>"1552378071320719"</f>
        <v>1552378071320719</v>
      </c>
      <c r="C5265" t="s">
        <v>40</v>
      </c>
      <c r="D5265">
        <v>6.0921779999999996</v>
      </c>
      <c r="E5265">
        <v>0.44964120000000002</v>
      </c>
      <c r="F5265" t="s">
        <v>44</v>
      </c>
      <c r="G5265">
        <v>-380.73239999999998</v>
      </c>
      <c r="H5265">
        <v>0.9410887</v>
      </c>
      <c r="I5265">
        <v>141.26650000000001</v>
      </c>
      <c r="J5265">
        <v>-380.28030000000001</v>
      </c>
      <c r="K5265">
        <v>1.1097870000000001</v>
      </c>
      <c r="L5265">
        <v>141.1994</v>
      </c>
      <c r="M5265">
        <v>-0.99960740000000003</v>
      </c>
      <c r="N5265">
        <v>0</v>
      </c>
      <c r="O5265">
        <v>-2.3978590000000001E-2</v>
      </c>
      <c r="P5265">
        <v>-0.99983540000000004</v>
      </c>
      <c r="Q5265">
        <v>-4.3262500000000002E-3</v>
      </c>
      <c r="R5265">
        <v>-1.7625680000000001E-2</v>
      </c>
      <c r="S5265">
        <v>-3.0016479999999999</v>
      </c>
      <c r="T5265">
        <v>-0.65535180000000004</v>
      </c>
      <c r="U5265">
        <v>0.23042299999999999</v>
      </c>
      <c r="V5265">
        <v>6.3553169999999897E-3</v>
      </c>
      <c r="W5265">
        <v>1.01663E-2</v>
      </c>
      <c r="X5265">
        <v>0.99992809999999999</v>
      </c>
      <c r="Y5265">
        <v>9.7580780000000006E-2</v>
      </c>
      <c r="Z5265">
        <v>1.5681810000000001E-2</v>
      </c>
      <c r="AA5265">
        <v>0.99510410000000005</v>
      </c>
      <c r="AB5265">
        <v>33</v>
      </c>
      <c r="AC5265">
        <v>-0.45209999999997302</v>
      </c>
      <c r="AD5265">
        <v>-0.1686983</v>
      </c>
      <c r="AE5265">
        <v>6.7100000000010596E-2</v>
      </c>
      <c r="AF5265">
        <v>6.8579601169763096E-2</v>
      </c>
      <c r="AG5265">
        <v>-0.1686983</v>
      </c>
      <c r="AH5265">
        <v>0.39636231822453599</v>
      </c>
      <c r="AI5265">
        <v>112.752453890227</v>
      </c>
      <c r="AJ5265">
        <v>80.183726634502193</v>
      </c>
      <c r="AK5265">
        <v>0.43619418316596298</v>
      </c>
      <c r="AL5265">
        <v>89.417503867702493</v>
      </c>
      <c r="AM5265">
        <v>89.635845878785503</v>
      </c>
      <c r="AN5265">
        <v>0.99999997443973399</v>
      </c>
    </row>
    <row r="5266" spans="1:40" x14ac:dyDescent="0.25">
      <c r="A5266" t="str">
        <f>"20190312160751351"</f>
        <v>20190312160751351</v>
      </c>
      <c r="B5266" t="str">
        <f>"1552378071341216"</f>
        <v>1552378071341216</v>
      </c>
      <c r="C5266" t="s">
        <v>40</v>
      </c>
      <c r="D5266">
        <v>6.0166009999999996</v>
      </c>
      <c r="E5266">
        <v>0.43180869999999999</v>
      </c>
      <c r="F5266" t="s">
        <v>47</v>
      </c>
      <c r="G5266">
        <v>-386.9862</v>
      </c>
      <c r="H5266" s="1">
        <v>-1.4369880000000001E-6</v>
      </c>
      <c r="I5266">
        <v>140.22409999999999</v>
      </c>
      <c r="J5266">
        <v>-380.60340000000002</v>
      </c>
      <c r="K5266">
        <v>1.1097969999999999</v>
      </c>
      <c r="L5266">
        <v>141.19159999999999</v>
      </c>
      <c r="M5266">
        <v>-0.99960570000000004</v>
      </c>
      <c r="N5266">
        <v>0</v>
      </c>
      <c r="O5266">
        <v>-2.4059069999999998E-2</v>
      </c>
      <c r="P5266">
        <v>-0.99983100000000003</v>
      </c>
      <c r="Q5266">
        <v>-4.5181659999999997E-3</v>
      </c>
      <c r="R5266">
        <v>-1.7837749999999999E-2</v>
      </c>
      <c r="S5266">
        <v>-2.9906920000000001</v>
      </c>
      <c r="T5266">
        <v>-0.49495240000000001</v>
      </c>
      <c r="U5266">
        <v>-0.4349365</v>
      </c>
      <c r="V5266">
        <v>6.2238040000000003E-3</v>
      </c>
      <c r="W5266">
        <v>9.9712789999999996E-3</v>
      </c>
      <c r="X5266">
        <v>0.99993089999999996</v>
      </c>
      <c r="Y5266">
        <v>-0.1188022</v>
      </c>
      <c r="Z5266">
        <v>-5.7812899999999997E-3</v>
      </c>
      <c r="AA5266">
        <v>0.99290109999999998</v>
      </c>
      <c r="AB5266">
        <v>33</v>
      </c>
      <c r="AC5266">
        <v>-6.3827999999999703</v>
      </c>
      <c r="AD5266">
        <v>-1.1097984369879901</v>
      </c>
      <c r="AE5266">
        <v>-0.96750000000000103</v>
      </c>
      <c r="AF5266">
        <v>-0.79028435987157697</v>
      </c>
      <c r="AG5266">
        <v>-1.1097984369879901</v>
      </c>
      <c r="AH5266">
        <v>6.2204007139039099</v>
      </c>
      <c r="AI5266">
        <v>100.03683927959599</v>
      </c>
      <c r="AJ5266">
        <v>97.2404772555671</v>
      </c>
      <c r="AK5266">
        <v>6.3678557601232502</v>
      </c>
      <c r="AL5266">
        <v>89.428678319824698</v>
      </c>
      <c r="AM5266">
        <v>89.643382260885105</v>
      </c>
      <c r="AN5266">
        <v>0.99999998345796703</v>
      </c>
    </row>
    <row r="5267" spans="1:40" x14ac:dyDescent="0.25">
      <c r="A5267" t="str">
        <f>"20190312160751375"</f>
        <v>20190312160751375</v>
      </c>
      <c r="B5267" t="str">
        <f>"1552378071370495"</f>
        <v>1552378071370495</v>
      </c>
      <c r="C5267" t="s">
        <v>40</v>
      </c>
      <c r="D5267">
        <v>5.9973669999999997</v>
      </c>
      <c r="E5267">
        <v>0.42863410000000002</v>
      </c>
      <c r="F5267" t="s">
        <v>47</v>
      </c>
      <c r="G5267">
        <v>-389.40929999999997</v>
      </c>
      <c r="H5267" s="1">
        <v>-2.6095379999999998E-7</v>
      </c>
      <c r="I5267">
        <v>139.47399999999999</v>
      </c>
      <c r="J5267">
        <v>-380.93209999999999</v>
      </c>
      <c r="K5267">
        <v>1.1098110000000001</v>
      </c>
      <c r="L5267">
        <v>141.18350000000001</v>
      </c>
      <c r="M5267">
        <v>-0.99960349999999998</v>
      </c>
      <c r="N5267">
        <v>0</v>
      </c>
      <c r="O5267">
        <v>-2.414962E-2</v>
      </c>
      <c r="P5267">
        <v>-0.99984010000000001</v>
      </c>
      <c r="Q5267">
        <v>-3.7149140000000002E-3</v>
      </c>
      <c r="R5267">
        <v>-1.7499770000000001E-2</v>
      </c>
      <c r="S5267">
        <v>-2.9884029999999999</v>
      </c>
      <c r="T5267">
        <v>-0.3766294</v>
      </c>
      <c r="U5267">
        <v>-0.58283999999999903</v>
      </c>
      <c r="V5267">
        <v>6.6520049999999999E-3</v>
      </c>
      <c r="W5267">
        <v>1.0771370000000001E-2</v>
      </c>
      <c r="X5267">
        <v>0.99991980000000003</v>
      </c>
      <c r="Y5267">
        <v>-0.16658149999999999</v>
      </c>
      <c r="Z5267">
        <v>-7.3573629999999996E-3</v>
      </c>
      <c r="AA5267">
        <v>0.98600019999999999</v>
      </c>
      <c r="AB5267">
        <v>33</v>
      </c>
      <c r="AC5267">
        <v>-8.4771999999999803</v>
      </c>
      <c r="AD5267">
        <v>-1.1098112609538</v>
      </c>
      <c r="AE5267">
        <v>-1.70950000000001</v>
      </c>
      <c r="AF5267">
        <v>-1.47988564511084</v>
      </c>
      <c r="AG5267">
        <v>-1.1098112609538</v>
      </c>
      <c r="AH5267">
        <v>8.3780327552428808</v>
      </c>
      <c r="AI5267">
        <v>97.432117566940704</v>
      </c>
      <c r="AJ5267">
        <v>100.017326233923</v>
      </c>
      <c r="AK5267">
        <v>8.5798120845078891</v>
      </c>
      <c r="AL5267">
        <v>89.382833987208798</v>
      </c>
      <c r="AM5267">
        <v>89.618843241769397</v>
      </c>
      <c r="AN5267">
        <v>0.99999993900711603</v>
      </c>
    </row>
    <row r="5268" spans="1:40" x14ac:dyDescent="0.25">
      <c r="A5268" t="str">
        <f>"20190312160751396"</f>
        <v>20190312160751396</v>
      </c>
      <c r="B5268" t="str">
        <f>"1552378071390991"</f>
        <v>1552378071390991</v>
      </c>
      <c r="C5268" t="s">
        <v>40</v>
      </c>
      <c r="D5268">
        <v>5.7987970000000004</v>
      </c>
      <c r="E5268">
        <v>0.42770089999999999</v>
      </c>
      <c r="F5268" t="s">
        <v>47</v>
      </c>
      <c r="G5268">
        <v>-390.7491</v>
      </c>
      <c r="H5268" s="1">
        <v>-4.0274639999999998E-6</v>
      </c>
      <c r="I5268">
        <v>139.18459999999999</v>
      </c>
      <c r="J5268">
        <v>-381.26670000000001</v>
      </c>
      <c r="K5268">
        <v>1.109831</v>
      </c>
      <c r="L5268">
        <v>141.1754</v>
      </c>
      <c r="M5268">
        <v>-0.99960059999999995</v>
      </c>
      <c r="N5268">
        <v>0</v>
      </c>
      <c r="O5268">
        <v>-2.4264250000000001E-2</v>
      </c>
      <c r="P5268">
        <v>-0.99984720000000005</v>
      </c>
      <c r="Q5268">
        <v>-2.7976049999999999E-3</v>
      </c>
      <c r="R5268">
        <v>-1.726188E-2</v>
      </c>
      <c r="S5268">
        <v>-2.9886170000000001</v>
      </c>
      <c r="T5268">
        <v>-0.33786670000000002</v>
      </c>
      <c r="U5268">
        <v>-0.60850519999999997</v>
      </c>
      <c r="V5268">
        <v>7.0043839999999998E-3</v>
      </c>
      <c r="W5268">
        <v>1.168541E-2</v>
      </c>
      <c r="X5268">
        <v>0.9999072</v>
      </c>
      <c r="Y5268">
        <v>-0.174757</v>
      </c>
      <c r="Z5268">
        <v>-7.0424939999999998E-3</v>
      </c>
      <c r="AA5268">
        <v>0.98458639999999997</v>
      </c>
      <c r="AB5268">
        <v>33</v>
      </c>
      <c r="AC5268">
        <v>-9.4823999999999806</v>
      </c>
      <c r="AD5268">
        <v>-1.1098350274640001</v>
      </c>
      <c r="AE5268">
        <v>-1.9907999999999999</v>
      </c>
      <c r="AF5268">
        <v>-1.7373120204285</v>
      </c>
      <c r="AG5268">
        <v>-1.1098350274640001</v>
      </c>
      <c r="AH5268">
        <v>9.4045266696799192</v>
      </c>
      <c r="AI5268">
        <v>96.6194086032082</v>
      </c>
      <c r="AJ5268">
        <v>100.46634084821299</v>
      </c>
      <c r="AK5268">
        <v>9.6278299073691702</v>
      </c>
      <c r="AL5268">
        <v>89.3304600933497</v>
      </c>
      <c r="AM5268">
        <v>89.598647677373705</v>
      </c>
      <c r="AN5268">
        <v>1.0000000094069601</v>
      </c>
    </row>
    <row r="5269" spans="1:40" x14ac:dyDescent="0.25">
      <c r="A5269" t="str">
        <f>"20190312160751418"</f>
        <v>20190312160751418</v>
      </c>
      <c r="B5269" t="str">
        <f>"1552378071410512"</f>
        <v>1552378071410512</v>
      </c>
      <c r="C5269" t="s">
        <v>40</v>
      </c>
      <c r="D5269">
        <v>5.9513099999999897</v>
      </c>
      <c r="E5269">
        <v>0.42680059999999898</v>
      </c>
      <c r="F5269" t="s">
        <v>47</v>
      </c>
      <c r="G5269">
        <v>-391.59859999999998</v>
      </c>
      <c r="H5269" s="1">
        <v>-3.6873529999999998E-6</v>
      </c>
      <c r="I5269">
        <v>139.04740000000001</v>
      </c>
      <c r="J5269">
        <v>-381.57749999999999</v>
      </c>
      <c r="K5269">
        <v>1.109853</v>
      </c>
      <c r="L5269">
        <v>141.1677</v>
      </c>
      <c r="M5269">
        <v>-0.99959770000000003</v>
      </c>
      <c r="N5269">
        <v>0</v>
      </c>
      <c r="O5269">
        <v>-2.4391469999999998E-2</v>
      </c>
      <c r="P5269">
        <v>-0.99983409999999995</v>
      </c>
      <c r="Q5269">
        <v>-2.3392030000000002E-3</v>
      </c>
      <c r="R5269">
        <v>-1.8064920000000002E-2</v>
      </c>
      <c r="S5269">
        <v>-2.9889220000000001</v>
      </c>
      <c r="T5269">
        <v>-0.3210654</v>
      </c>
      <c r="U5269">
        <v>-0.61557010000000001</v>
      </c>
      <c r="V5269">
        <v>6.3277910000000001E-3</v>
      </c>
      <c r="W5269">
        <v>1.214076E-2</v>
      </c>
      <c r="X5269">
        <v>0.99990630000000003</v>
      </c>
      <c r="Y5269">
        <v>-0.17692349999999901</v>
      </c>
      <c r="Z5269">
        <v>-6.7934450000000004E-3</v>
      </c>
      <c r="AA5269">
        <v>0.98420110000000005</v>
      </c>
      <c r="AB5269">
        <v>33</v>
      </c>
      <c r="AC5269">
        <v>-10.021099999999899</v>
      </c>
      <c r="AD5269">
        <v>-1.109856687353</v>
      </c>
      <c r="AE5269">
        <v>-2.1202999999999799</v>
      </c>
      <c r="AF5269">
        <v>-1.85345376711115</v>
      </c>
      <c r="AG5269">
        <v>-1.109856687353</v>
      </c>
      <c r="AH5269">
        <v>9.9529884087419802</v>
      </c>
      <c r="AI5269">
        <v>96.256085007873807</v>
      </c>
      <c r="AJ5269">
        <v>100.54883701705999</v>
      </c>
      <c r="AK5269">
        <v>10.1847459957444</v>
      </c>
      <c r="AL5269">
        <v>89.304368618702597</v>
      </c>
      <c r="AM5269">
        <v>89.637415147672897</v>
      </c>
      <c r="AN5269">
        <v>1.0000000238860001</v>
      </c>
    </row>
    <row r="5270" spans="1:40" x14ac:dyDescent="0.25">
      <c r="A5270" t="str">
        <f>"20190312160751442"</f>
        <v>20190312160751442</v>
      </c>
      <c r="B5270" t="str">
        <f>"1552378071431007"</f>
        <v>1552378071431007</v>
      </c>
      <c r="C5270" t="s">
        <v>40</v>
      </c>
      <c r="D5270">
        <v>5.8358319999999999</v>
      </c>
      <c r="E5270">
        <v>0.42568089999999997</v>
      </c>
      <c r="F5270" t="s">
        <v>47</v>
      </c>
      <c r="G5270">
        <v>-392.41579999999999</v>
      </c>
      <c r="H5270" s="1">
        <v>-3.3633020000000001E-6</v>
      </c>
      <c r="I5270">
        <v>138.89789999999999</v>
      </c>
      <c r="J5270">
        <v>-381.92110000000002</v>
      </c>
      <c r="K5270">
        <v>1.109888</v>
      </c>
      <c r="L5270">
        <v>141.1591</v>
      </c>
      <c r="M5270">
        <v>-0.99959310000000001</v>
      </c>
      <c r="N5270">
        <v>0</v>
      </c>
      <c r="O5270">
        <v>-2.4577450000000001E-2</v>
      </c>
      <c r="P5270">
        <v>-0.99983259999999996</v>
      </c>
      <c r="Q5270">
        <v>-1.49456E-3</v>
      </c>
      <c r="R5270">
        <v>-1.8236349999999998E-2</v>
      </c>
      <c r="S5270">
        <v>-2.988464</v>
      </c>
      <c r="T5270">
        <v>-0.3060213</v>
      </c>
      <c r="U5270">
        <v>-0.62583919999999904</v>
      </c>
      <c r="V5270">
        <v>6.3412479999999999E-3</v>
      </c>
      <c r="W5270">
        <v>1.2982779999999999E-2</v>
      </c>
      <c r="X5270">
        <v>0.9998956</v>
      </c>
      <c r="Y5270">
        <v>-0.18007379999999901</v>
      </c>
      <c r="Z5270">
        <v>-6.615938E-3</v>
      </c>
      <c r="AA5270">
        <v>0.98363080000000003</v>
      </c>
      <c r="AB5270">
        <v>33</v>
      </c>
      <c r="AC5270">
        <v>-10.4946999999999</v>
      </c>
      <c r="AD5270">
        <v>-1.109891363302</v>
      </c>
      <c r="AE5270">
        <v>-2.2612000000000001</v>
      </c>
      <c r="AF5270">
        <v>-1.9813790097970401</v>
      </c>
      <c r="AG5270">
        <v>-1.109891363302</v>
      </c>
      <c r="AH5270">
        <v>10.4355698187097</v>
      </c>
      <c r="AI5270">
        <v>95.965179135338204</v>
      </c>
      <c r="AJ5270">
        <v>100.750658052068</v>
      </c>
      <c r="AK5270">
        <v>10.6798332880229</v>
      </c>
      <c r="AL5270">
        <v>89.256120592188097</v>
      </c>
      <c r="AM5270">
        <v>89.636640188851601</v>
      </c>
      <c r="AN5270">
        <v>0.99999998745104202</v>
      </c>
    </row>
    <row r="5271" spans="1:40" x14ac:dyDescent="0.25">
      <c r="A5271" t="str">
        <f>"20190312160751463"</f>
        <v>20190312160751463</v>
      </c>
      <c r="B5271" t="str">
        <f>"1552378071450528"</f>
        <v>1552378071450528</v>
      </c>
      <c r="C5271" t="s">
        <v>40</v>
      </c>
      <c r="D5271">
        <v>5.9001640000000002</v>
      </c>
      <c r="E5271">
        <v>0.42479070000000002</v>
      </c>
      <c r="F5271" t="s">
        <v>47</v>
      </c>
      <c r="G5271">
        <v>-393.4751</v>
      </c>
      <c r="H5271" s="1">
        <v>-2.9441809999999998E-6</v>
      </c>
      <c r="I5271">
        <v>138.69890000000001</v>
      </c>
      <c r="J5271">
        <v>-382.22710000000001</v>
      </c>
      <c r="K5271">
        <v>1.109937</v>
      </c>
      <c r="L5271">
        <v>141.1514</v>
      </c>
      <c r="M5271">
        <v>-0.99958760000000002</v>
      </c>
      <c r="N5271">
        <v>0</v>
      </c>
      <c r="O5271">
        <v>-2.4808380000000001E-2</v>
      </c>
      <c r="P5271">
        <v>-0.99981710000000001</v>
      </c>
      <c r="Q5271">
        <v>-7.6910110000000004E-4</v>
      </c>
      <c r="R5271">
        <v>-1.9118099999999999E-2</v>
      </c>
      <c r="S5271">
        <v>-2.988464</v>
      </c>
      <c r="T5271">
        <v>-0.28707769999999999</v>
      </c>
      <c r="U5271">
        <v>-0.63632200000000005</v>
      </c>
      <c r="V5271">
        <v>5.6888349999999997E-3</v>
      </c>
      <c r="W5271">
        <v>1.3705129999999999E-2</v>
      </c>
      <c r="X5271">
        <v>0.9998899</v>
      </c>
      <c r="Y5271">
        <v>-0.18322959999999999</v>
      </c>
      <c r="Z5271">
        <v>-6.3337869999999996E-3</v>
      </c>
      <c r="AA5271">
        <v>0.98304979999999997</v>
      </c>
      <c r="AB5271">
        <v>33</v>
      </c>
      <c r="AC5271">
        <v>-11.2479999999999</v>
      </c>
      <c r="AD5271">
        <v>-1.1099399441810001</v>
      </c>
      <c r="AE5271">
        <v>-2.4524999999999801</v>
      </c>
      <c r="AF5271">
        <v>-2.1526609045532199</v>
      </c>
      <c r="AG5271">
        <v>-1.1099399441810001</v>
      </c>
      <c r="AH5271">
        <v>11.2012638844335</v>
      </c>
      <c r="AI5271">
        <v>95.557947921511797</v>
      </c>
      <c r="AJ5271">
        <v>100.878481499822</v>
      </c>
      <c r="AK5271">
        <v>11.4601146703859</v>
      </c>
      <c r="AL5271">
        <v>89.214729311218306</v>
      </c>
      <c r="AM5271">
        <v>89.674021390797193</v>
      </c>
      <c r="AN5271">
        <v>1.00000000277699</v>
      </c>
    </row>
    <row r="5272" spans="1:40" x14ac:dyDescent="0.25">
      <c r="A5272" t="str">
        <f>"20190312160751487"</f>
        <v>20190312160751487</v>
      </c>
      <c r="B5272" t="str">
        <f>"1552378071480784"</f>
        <v>1552378071480784</v>
      </c>
      <c r="C5272" t="s">
        <v>40</v>
      </c>
      <c r="D5272">
        <v>5.9142260000000002</v>
      </c>
      <c r="E5272">
        <v>0.42365659999999999</v>
      </c>
      <c r="F5272" t="s">
        <v>47</v>
      </c>
      <c r="G5272">
        <v>-394.32889999999998</v>
      </c>
      <c r="H5272" s="1">
        <v>-2.607452E-6</v>
      </c>
      <c r="I5272">
        <v>138.53229999999999</v>
      </c>
      <c r="J5272">
        <v>-382.57190000000003</v>
      </c>
      <c r="K5272">
        <v>1.1100080000000001</v>
      </c>
      <c r="L5272">
        <v>141.14250000000001</v>
      </c>
      <c r="M5272">
        <v>-0.99957819999999997</v>
      </c>
      <c r="N5272">
        <v>0</v>
      </c>
      <c r="O5272">
        <v>-2.517879E-2</v>
      </c>
      <c r="P5272">
        <v>-0.99978160000000005</v>
      </c>
      <c r="Q5272">
        <v>-4.3817420000000001E-4</v>
      </c>
      <c r="R5272">
        <v>-2.0894659999999999E-2</v>
      </c>
      <c r="S5272">
        <v>-2.9879760000000002</v>
      </c>
      <c r="T5272">
        <v>-0.27404990000000001</v>
      </c>
      <c r="U5272">
        <v>-0.64663700000000002</v>
      </c>
      <c r="V5272">
        <v>4.2797549999999997E-3</v>
      </c>
      <c r="W5272">
        <v>1.4033159999999999E-2</v>
      </c>
      <c r="X5272">
        <v>0.99989240000000001</v>
      </c>
      <c r="Y5272">
        <v>-0.186193</v>
      </c>
      <c r="Z5272">
        <v>-6.1469810000000001E-3</v>
      </c>
      <c r="AA5272">
        <v>0.98249390000000003</v>
      </c>
      <c r="AB5272">
        <v>33</v>
      </c>
      <c r="AC5272">
        <v>-11.7569999999999</v>
      </c>
      <c r="AD5272">
        <v>-1.110010607452</v>
      </c>
      <c r="AE5272">
        <v>-2.6102000000000198</v>
      </c>
      <c r="AF5272">
        <v>-2.2938280769089001</v>
      </c>
      <c r="AG5272">
        <v>-1.110010607452</v>
      </c>
      <c r="AH5272">
        <v>11.719443144438401</v>
      </c>
      <c r="AI5272">
        <v>95.310473406521297</v>
      </c>
      <c r="AJ5272">
        <v>101.074409972339</v>
      </c>
      <c r="AK5272">
        <v>11.993294727087999</v>
      </c>
      <c r="AL5272">
        <v>89.195932789627605</v>
      </c>
      <c r="AM5272">
        <v>89.7547632111024</v>
      </c>
      <c r="AN5272">
        <v>1.0000000287301001</v>
      </c>
    </row>
    <row r="5273" spans="1:40" x14ac:dyDescent="0.25">
      <c r="A5273" t="str">
        <f>"20190312160751510"</f>
        <v>20190312160751510</v>
      </c>
      <c r="B5273" t="str">
        <f>"1552378071501279"</f>
        <v>1552378071501279</v>
      </c>
      <c r="C5273" t="s">
        <v>40</v>
      </c>
      <c r="D5273">
        <v>5.8687399999999998</v>
      </c>
      <c r="E5273">
        <v>0.42307810000000001</v>
      </c>
      <c r="F5273" t="s">
        <v>47</v>
      </c>
      <c r="G5273">
        <v>-395.34010000000001</v>
      </c>
      <c r="H5273" s="1">
        <v>-2.212247E-6</v>
      </c>
      <c r="I5273">
        <v>138.31469999999999</v>
      </c>
      <c r="J5273">
        <v>-382.89499999999998</v>
      </c>
      <c r="K5273">
        <v>1.1101099999999999</v>
      </c>
      <c r="L5273">
        <v>141.13390000000001</v>
      </c>
      <c r="M5273">
        <v>-0.99956579999999995</v>
      </c>
      <c r="N5273">
        <v>0</v>
      </c>
      <c r="O5273">
        <v>-2.567419E-2</v>
      </c>
      <c r="P5273">
        <v>-0.99973840000000003</v>
      </c>
      <c r="Q5273">
        <v>-1.74962E-4</v>
      </c>
      <c r="R5273">
        <v>-2.2874040000000002E-2</v>
      </c>
      <c r="S5273">
        <v>-2.986694</v>
      </c>
      <c r="T5273">
        <v>-0.25964989999999999</v>
      </c>
      <c r="U5273">
        <v>-0.66143799999999997</v>
      </c>
      <c r="V5273">
        <v>2.7917630000000001E-3</v>
      </c>
      <c r="W5273">
        <v>1.429396E-2</v>
      </c>
      <c r="X5273">
        <v>0.99989399999999995</v>
      </c>
      <c r="Y5273">
        <v>-0.1904902</v>
      </c>
      <c r="Z5273">
        <v>-5.96643E-3</v>
      </c>
      <c r="AA5273">
        <v>0.98167099999999996</v>
      </c>
      <c r="AB5273">
        <v>33</v>
      </c>
      <c r="AC5273">
        <v>-12.4451</v>
      </c>
      <c r="AD5273">
        <v>-1.110112212247</v>
      </c>
      <c r="AE5273">
        <v>-2.8192000000000199</v>
      </c>
      <c r="AF5273">
        <v>-2.4799499976027501</v>
      </c>
      <c r="AG5273">
        <v>-1.110112212247</v>
      </c>
      <c r="AH5273">
        <v>12.419390218644001</v>
      </c>
      <c r="AI5273">
        <v>95.0094537140086</v>
      </c>
      <c r="AJ5273">
        <v>101.292506703039</v>
      </c>
      <c r="AK5273">
        <v>12.713133151089901</v>
      </c>
      <c r="AL5273">
        <v>89.180988578310604</v>
      </c>
      <c r="AM5273">
        <v>89.840027221233896</v>
      </c>
      <c r="AN5273">
        <v>1.0000000612345601</v>
      </c>
    </row>
    <row r="5274" spans="1:40" x14ac:dyDescent="0.25">
      <c r="A5274" t="str">
        <f>"20190312160751530"</f>
        <v>20190312160751530</v>
      </c>
      <c r="B5274" t="str">
        <f>"1552378071520800"</f>
        <v>1552378071520800</v>
      </c>
      <c r="C5274" t="s">
        <v>40</v>
      </c>
      <c r="D5274">
        <v>5.8292000000000002</v>
      </c>
      <c r="E5274">
        <v>0.42264040000000003</v>
      </c>
      <c r="F5274" t="s">
        <v>47</v>
      </c>
      <c r="G5274">
        <v>-395.9692</v>
      </c>
      <c r="H5274" s="1">
        <v>-1.9645029999999999E-6</v>
      </c>
      <c r="I5274">
        <v>138.18989999999999</v>
      </c>
      <c r="J5274">
        <v>-383.2038</v>
      </c>
      <c r="K5274">
        <v>1.1102430000000001</v>
      </c>
      <c r="L5274">
        <v>141.12530000000001</v>
      </c>
      <c r="M5274">
        <v>-0.99954889999999996</v>
      </c>
      <c r="N5274">
        <v>0</v>
      </c>
      <c r="O5274">
        <v>-2.632659E-2</v>
      </c>
      <c r="P5274">
        <v>-0.99968840000000003</v>
      </c>
      <c r="Q5274">
        <v>-5.8759939999999998E-4</v>
      </c>
      <c r="R5274">
        <v>-2.4958350000000001E-2</v>
      </c>
      <c r="S5274">
        <v>-2.9853519999999998</v>
      </c>
      <c r="T5274">
        <v>-0.2534826</v>
      </c>
      <c r="U5274">
        <v>-0.6721954</v>
      </c>
      <c r="V5274">
        <v>1.3553090000000001E-3</v>
      </c>
      <c r="W5274">
        <v>1.38782E-2</v>
      </c>
      <c r="X5274">
        <v>0.99990279999999998</v>
      </c>
      <c r="Y5274">
        <v>-0.19333149999999999</v>
      </c>
      <c r="Z5274">
        <v>-5.8899319999999996E-3</v>
      </c>
      <c r="AA5274">
        <v>0.98111579999999998</v>
      </c>
      <c r="AB5274">
        <v>32</v>
      </c>
      <c r="AC5274">
        <v>-12.7654</v>
      </c>
      <c r="AD5274">
        <v>-1.1102449645029999</v>
      </c>
      <c r="AE5274">
        <v>-2.9354000000000098</v>
      </c>
      <c r="AF5274">
        <v>-2.5797438618538502</v>
      </c>
      <c r="AG5274">
        <v>-1.1102449645029999</v>
      </c>
      <c r="AH5274">
        <v>12.746684251092599</v>
      </c>
      <c r="AI5274">
        <v>94.879501872905607</v>
      </c>
      <c r="AJ5274">
        <v>101.441293296466</v>
      </c>
      <c r="AK5274">
        <v>13.052420529198001</v>
      </c>
      <c r="AL5274">
        <v>89.204812205429107</v>
      </c>
      <c r="AM5274">
        <v>89.922339013271397</v>
      </c>
      <c r="AN5274">
        <v>1.0000000253727801</v>
      </c>
    </row>
    <row r="5275" spans="1:40" x14ac:dyDescent="0.25">
      <c r="A5275" t="str">
        <f>"20190312160751553"</f>
        <v>20190312160751553</v>
      </c>
      <c r="B5275" t="str">
        <f>"1552378071540319"</f>
        <v>1552378071540319</v>
      </c>
      <c r="C5275" t="s">
        <v>40</v>
      </c>
      <c r="D5275">
        <v>5.89682</v>
      </c>
      <c r="E5275">
        <v>0.42235040000000001</v>
      </c>
      <c r="F5275" t="s">
        <v>47</v>
      </c>
      <c r="G5275">
        <v>-396.47460000000001</v>
      </c>
      <c r="H5275" s="1">
        <v>-1.7651959999999999E-6</v>
      </c>
      <c r="I5275">
        <v>138.09110000000001</v>
      </c>
      <c r="J5275">
        <v>-383.52730000000003</v>
      </c>
      <c r="K5275">
        <v>1.1104240000000001</v>
      </c>
      <c r="L5275">
        <v>141.11590000000001</v>
      </c>
      <c r="M5275">
        <v>-0.99952450000000004</v>
      </c>
      <c r="N5275">
        <v>0</v>
      </c>
      <c r="O5275">
        <v>-2.7234009999999999E-2</v>
      </c>
      <c r="P5275">
        <v>-0.99961319999999998</v>
      </c>
      <c r="Q5275" s="1">
        <v>4.6482310000000001E-5</v>
      </c>
      <c r="R5275">
        <v>-2.7813709999999998E-2</v>
      </c>
      <c r="S5275">
        <v>-2.9837340000000001</v>
      </c>
      <c r="T5275">
        <v>-0.2496216</v>
      </c>
      <c r="U5275">
        <v>-0.68217469999999902</v>
      </c>
      <c r="V5275">
        <v>-6.001E-4</v>
      </c>
      <c r="W5275">
        <v>1.450852E-2</v>
      </c>
      <c r="X5275">
        <v>0.99989459999999997</v>
      </c>
      <c r="Y5275">
        <v>-0.19568730000000001</v>
      </c>
      <c r="Z5275">
        <v>-5.8239240000000003E-3</v>
      </c>
      <c r="AA5275">
        <v>0.98064910000000005</v>
      </c>
      <c r="AB5275">
        <v>32</v>
      </c>
      <c r="AC5275">
        <v>-12.947299999999901</v>
      </c>
      <c r="AD5275">
        <v>-1.1104257651959999</v>
      </c>
      <c r="AE5275">
        <v>-3.0247999999999902</v>
      </c>
      <c r="AF5275">
        <v>-2.6525327770640299</v>
      </c>
      <c r="AG5275">
        <v>-1.1104257651959999</v>
      </c>
      <c r="AH5275">
        <v>12.9346640794016</v>
      </c>
      <c r="AI5275">
        <v>94.807187696131905</v>
      </c>
      <c r="AJ5275">
        <v>101.58906530330199</v>
      </c>
      <c r="AK5275">
        <v>13.250453213395099</v>
      </c>
      <c r="AL5275">
        <v>89.168693899108803</v>
      </c>
      <c r="AM5275">
        <v>90.034386817528102</v>
      </c>
      <c r="AN5275">
        <v>1.0000000341908699</v>
      </c>
    </row>
    <row r="5276" spans="1:40" x14ac:dyDescent="0.25">
      <c r="A5276" t="str">
        <f>"20190312160751577"</f>
        <v>20190312160751577</v>
      </c>
      <c r="B5276" t="str">
        <f>"1552378071570575"</f>
        <v>1552378071570575</v>
      </c>
      <c r="C5276" t="s">
        <v>40</v>
      </c>
      <c r="D5276">
        <v>5.8318329999999996</v>
      </c>
      <c r="E5276">
        <v>0.42191780000000001</v>
      </c>
      <c r="F5276" t="s">
        <v>47</v>
      </c>
      <c r="G5276">
        <v>-397.10210000000001</v>
      </c>
      <c r="H5276" s="1">
        <v>-1.5194199999999999E-6</v>
      </c>
      <c r="I5276">
        <v>137.95930000000001</v>
      </c>
      <c r="J5276">
        <v>-383.86790000000002</v>
      </c>
      <c r="K5276">
        <v>1.1106510000000001</v>
      </c>
      <c r="L5276">
        <v>141.1053</v>
      </c>
      <c r="M5276">
        <v>-0.99948910000000002</v>
      </c>
      <c r="N5276">
        <v>0</v>
      </c>
      <c r="O5276">
        <v>-2.8501869999999999E-2</v>
      </c>
      <c r="P5276">
        <v>-0.99948919999999997</v>
      </c>
      <c r="Q5276">
        <v>1.102947E-3</v>
      </c>
      <c r="R5276">
        <v>-3.1939870000000002E-2</v>
      </c>
      <c r="S5276">
        <v>-2.9818419999999999</v>
      </c>
      <c r="T5276">
        <v>-0.24391669999999999</v>
      </c>
      <c r="U5276">
        <v>-0.69335939999999996</v>
      </c>
      <c r="V5276">
        <v>-3.4698189999999999E-3</v>
      </c>
      <c r="W5276">
        <v>1.5557919999999999E-2</v>
      </c>
      <c r="X5276">
        <v>0.99987289999999995</v>
      </c>
      <c r="Y5276">
        <v>-0.1980922</v>
      </c>
      <c r="Z5276">
        <v>-5.6873430000000001E-3</v>
      </c>
      <c r="AA5276">
        <v>0.98016689999999995</v>
      </c>
      <c r="AB5276">
        <v>32</v>
      </c>
      <c r="AC5276">
        <v>-13.2341999999999</v>
      </c>
      <c r="AD5276">
        <v>-1.1106525194200001</v>
      </c>
      <c r="AE5276">
        <v>-3.1459999999999799</v>
      </c>
      <c r="AF5276">
        <v>-2.7491559166834199</v>
      </c>
      <c r="AG5276">
        <v>-1.1106525194200001</v>
      </c>
      <c r="AH5276">
        <v>13.230300890878199</v>
      </c>
      <c r="AI5276">
        <v>94.698690765769896</v>
      </c>
      <c r="AJ5276">
        <v>101.738581522174</v>
      </c>
      <c r="AK5276">
        <v>13.5584759075753</v>
      </c>
      <c r="AL5276">
        <v>89.108560839066101</v>
      </c>
      <c r="AM5276">
        <v>90.198830457677303</v>
      </c>
      <c r="AN5276">
        <v>0.99999995233651295</v>
      </c>
    </row>
    <row r="5277" spans="1:40" x14ac:dyDescent="0.25">
      <c r="A5277" t="str">
        <f>"20190312160751598"</f>
        <v>20190312160751598</v>
      </c>
      <c r="B5277" t="str">
        <f>"1552378071591071"</f>
        <v>1552378071591071</v>
      </c>
      <c r="C5277" t="s">
        <v>40</v>
      </c>
      <c r="D5277">
        <v>5.8705569999999998</v>
      </c>
      <c r="E5277">
        <v>0.42183419999999999</v>
      </c>
      <c r="F5277" t="s">
        <v>47</v>
      </c>
      <c r="G5277">
        <v>-397.8623</v>
      </c>
      <c r="H5277" s="1">
        <v>-1.2262129999999999E-6</v>
      </c>
      <c r="I5277">
        <v>137.77369999999999</v>
      </c>
      <c r="J5277">
        <v>-384.18599999999998</v>
      </c>
      <c r="K5277">
        <v>1.1108830000000001</v>
      </c>
      <c r="L5277">
        <v>141.09469999999999</v>
      </c>
      <c r="M5277">
        <v>-0.99944529999999998</v>
      </c>
      <c r="N5277">
        <v>0</v>
      </c>
      <c r="O5277">
        <v>-3.0001719999999999E-2</v>
      </c>
      <c r="P5277">
        <v>-0.99934880000000004</v>
      </c>
      <c r="Q5277">
        <v>1.336299E-3</v>
      </c>
      <c r="R5277">
        <v>-3.6064779999999998E-2</v>
      </c>
      <c r="S5277">
        <v>-2.9791560000000001</v>
      </c>
      <c r="T5277">
        <v>-0.2364388</v>
      </c>
      <c r="U5277">
        <v>-0.70922850000000004</v>
      </c>
      <c r="V5277">
        <v>-6.1058809999999996E-3</v>
      </c>
      <c r="W5277">
        <v>1.5783910000000002E-2</v>
      </c>
      <c r="X5277">
        <v>0.99985679999999999</v>
      </c>
      <c r="Y5277">
        <v>-0.20178760000000001</v>
      </c>
      <c r="Z5277">
        <v>-5.5424890000000003E-3</v>
      </c>
      <c r="AA5277">
        <v>0.9794136</v>
      </c>
      <c r="AB5277">
        <v>32</v>
      </c>
      <c r="AC5277">
        <v>-13.676299999999999</v>
      </c>
      <c r="AD5277">
        <v>-1.1108842262129901</v>
      </c>
      <c r="AE5277">
        <v>-3.32099999999999</v>
      </c>
      <c r="AF5277">
        <v>-2.8911362858049001</v>
      </c>
      <c r="AG5277">
        <v>-1.1108842262129901</v>
      </c>
      <c r="AH5277">
        <v>13.684527842321</v>
      </c>
      <c r="AI5277">
        <v>94.541178277276501</v>
      </c>
      <c r="AJ5277">
        <v>101.92947790563601</v>
      </c>
      <c r="AK5277">
        <v>14.0306462807101</v>
      </c>
      <c r="AL5277">
        <v>89.095611033546106</v>
      </c>
      <c r="AM5277">
        <v>90.349886966606604</v>
      </c>
      <c r="AN5277">
        <v>1.0000000170519501</v>
      </c>
    </row>
    <row r="5278" spans="1:40" x14ac:dyDescent="0.25">
      <c r="A5278" t="str">
        <f>"20190312160751620"</f>
        <v>20190312160751620</v>
      </c>
      <c r="B5278" t="str">
        <f>"1552378071610592"</f>
        <v>1552378071610592</v>
      </c>
      <c r="C5278" t="s">
        <v>40</v>
      </c>
      <c r="D5278">
        <v>5.9326439999999998</v>
      </c>
      <c r="E5278">
        <v>0.42180020000000001</v>
      </c>
      <c r="F5278" t="s">
        <v>47</v>
      </c>
      <c r="G5278">
        <v>-398.08600000000001</v>
      </c>
      <c r="H5278" s="1">
        <v>-1.141109E-6</v>
      </c>
      <c r="I5278">
        <v>137.72309999999999</v>
      </c>
      <c r="J5278">
        <v>-384.4982</v>
      </c>
      <c r="K5278">
        <v>1.111113</v>
      </c>
      <c r="L5278">
        <v>141.08359999999999</v>
      </c>
      <c r="M5278">
        <v>-0.99939160000000005</v>
      </c>
      <c r="N5278">
        <v>0</v>
      </c>
      <c r="O5278">
        <v>-3.1736359999999998E-2</v>
      </c>
      <c r="P5278">
        <v>-0.99918510000000005</v>
      </c>
      <c r="Q5278">
        <v>1.2595729999999999E-3</v>
      </c>
      <c r="R5278">
        <v>-4.0343579999999997E-2</v>
      </c>
      <c r="S5278">
        <v>-2.9762270000000002</v>
      </c>
      <c r="T5278">
        <v>-0.23785909999999999</v>
      </c>
      <c r="U5278">
        <v>-0.72190859999999901</v>
      </c>
      <c r="V5278">
        <v>-8.6603959999999904E-3</v>
      </c>
      <c r="W5278">
        <v>1.5697610000000001E-2</v>
      </c>
      <c r="X5278">
        <v>0.99983929999999999</v>
      </c>
      <c r="Y5278">
        <v>-0.20424049999999999</v>
      </c>
      <c r="Z5278">
        <v>-5.5386280000000003E-3</v>
      </c>
      <c r="AA5278">
        <v>0.97890509999999997</v>
      </c>
      <c r="AB5278">
        <v>32</v>
      </c>
      <c r="AC5278">
        <v>-13.5878</v>
      </c>
      <c r="AD5278">
        <v>-1.111114141109</v>
      </c>
      <c r="AE5278">
        <v>-3.3605</v>
      </c>
      <c r="AF5278">
        <v>-2.9092024501512199</v>
      </c>
      <c r="AG5278">
        <v>-1.111114141109</v>
      </c>
      <c r="AH5278">
        <v>13.601904460316799</v>
      </c>
      <c r="AI5278">
        <v>94.567172097605095</v>
      </c>
      <c r="AJ5278">
        <v>102.072639316063</v>
      </c>
      <c r="AK5278">
        <v>13.953846726910999</v>
      </c>
      <c r="AL5278">
        <v>89.1005562760282</v>
      </c>
      <c r="AM5278">
        <v>90.496271481599294</v>
      </c>
      <c r="AN5278">
        <v>1.0000000216215299</v>
      </c>
    </row>
    <row r="5279" spans="1:40" x14ac:dyDescent="0.25">
      <c r="A5279" t="str">
        <f>"20190312160751665"</f>
        <v>20190312160751665</v>
      </c>
      <c r="B5279" t="str">
        <f>"1552378071660368"</f>
        <v>1552378071660368</v>
      </c>
      <c r="C5279" t="s">
        <v>40</v>
      </c>
      <c r="D5279">
        <v>6.0143620000000002</v>
      </c>
      <c r="E5279">
        <v>0.4941065</v>
      </c>
      <c r="F5279" t="s">
        <v>47</v>
      </c>
      <c r="G5279">
        <v>-398.44189999999998</v>
      </c>
      <c r="H5279" s="1">
        <v>-1.042776E-6</v>
      </c>
      <c r="I5279">
        <v>137.63740000000001</v>
      </c>
      <c r="J5279">
        <v>-385.14030000000002</v>
      </c>
      <c r="K5279">
        <v>1.11158</v>
      </c>
      <c r="L5279">
        <v>141.05799999999999</v>
      </c>
      <c r="M5279">
        <v>-0.99923969999999995</v>
      </c>
      <c r="N5279">
        <v>0</v>
      </c>
      <c r="O5279">
        <v>-3.6200580000000003E-2</v>
      </c>
      <c r="P5279">
        <v>-0.99877859999999996</v>
      </c>
      <c r="Q5279">
        <v>2.0194240000000001E-4</v>
      </c>
      <c r="R5279">
        <v>-4.9410910000000002E-2</v>
      </c>
      <c r="S5279">
        <v>-2.9730530000000002</v>
      </c>
      <c r="T5279">
        <v>-0.23690900000000001</v>
      </c>
      <c r="U5279">
        <v>-0.73477169999999903</v>
      </c>
      <c r="V5279">
        <v>-1.3282220000000001E-2</v>
      </c>
      <c r="W5279">
        <v>1.4615319999999999E-2</v>
      </c>
      <c r="X5279">
        <v>0.99980500000000005</v>
      </c>
      <c r="Y5279">
        <v>-0.20412040000000001</v>
      </c>
      <c r="Z5279">
        <v>-5.165729E-3</v>
      </c>
      <c r="AA5279">
        <v>0.97893220000000003</v>
      </c>
      <c r="AB5279">
        <v>32</v>
      </c>
      <c r="AC5279">
        <v>-13.301599999999899</v>
      </c>
      <c r="AD5279">
        <v>-1.111581042776</v>
      </c>
      <c r="AE5279">
        <v>-3.4205999999999701</v>
      </c>
      <c r="AF5279">
        <v>-2.9176696312771</v>
      </c>
      <c r="AG5279">
        <v>-1.111581042776</v>
      </c>
      <c r="AH5279">
        <v>13.3294079668867</v>
      </c>
      <c r="AI5279">
        <v>94.657280363260796</v>
      </c>
      <c r="AJ5279">
        <v>102.34672378434701</v>
      </c>
      <c r="AK5279">
        <v>13.690198144644899</v>
      </c>
      <c r="AL5279">
        <v>89.162574058909001</v>
      </c>
      <c r="AM5279">
        <v>90.7611188019157</v>
      </c>
      <c r="AN5279">
        <v>1.0000000314859101</v>
      </c>
    </row>
    <row r="5280" spans="1:40" x14ac:dyDescent="0.25">
      <c r="A5280" t="str">
        <f>"20190312160751687"</f>
        <v>20190312160751687</v>
      </c>
      <c r="B5280" t="str">
        <f>"1552378071680865"</f>
        <v>1552378071680865</v>
      </c>
      <c r="C5280" t="s">
        <v>40</v>
      </c>
      <c r="D5280">
        <v>6.069293</v>
      </c>
      <c r="E5280">
        <v>0.54625449999999998</v>
      </c>
      <c r="F5280" t="s">
        <v>44</v>
      </c>
      <c r="G5280">
        <v>-385.96960000000001</v>
      </c>
      <c r="H5280">
        <v>0.98171710000000001</v>
      </c>
      <c r="I5280">
        <v>141.00980000000001</v>
      </c>
      <c r="J5280">
        <v>-385.4631</v>
      </c>
      <c r="K5280">
        <v>1.1118239999999999</v>
      </c>
      <c r="L5280">
        <v>141.0436</v>
      </c>
      <c r="M5280">
        <v>-0.99913799999999997</v>
      </c>
      <c r="N5280">
        <v>0</v>
      </c>
      <c r="O5280">
        <v>-3.890913E-2</v>
      </c>
      <c r="P5280">
        <v>-0.99850070000000002</v>
      </c>
      <c r="Q5280" s="1">
        <v>1.7657879999999899E-5</v>
      </c>
      <c r="R5280">
        <v>-5.4741369999999998E-2</v>
      </c>
      <c r="S5280">
        <v>-2.9951479999999999</v>
      </c>
      <c r="T5280">
        <v>-0.46906949999999997</v>
      </c>
      <c r="U5280">
        <v>-0.1744995</v>
      </c>
      <c r="V5280">
        <v>-1.5916710000000001E-2</v>
      </c>
      <c r="W5280">
        <v>1.4414110000000001E-2</v>
      </c>
      <c r="X5280">
        <v>0.99976940000000003</v>
      </c>
      <c r="Y5280">
        <v>-1.9506180000000001E-2</v>
      </c>
      <c r="Z5280">
        <v>4.5324639999999999E-3</v>
      </c>
      <c r="AA5280">
        <v>0.99979949999999995</v>
      </c>
      <c r="AB5280">
        <v>32</v>
      </c>
      <c r="AC5280">
        <v>-0.50650000000001605</v>
      </c>
      <c r="AD5280">
        <v>-0.130106899999999</v>
      </c>
      <c r="AE5280">
        <v>-3.3799999999985099E-2</v>
      </c>
      <c r="AF5280">
        <v>-1.3197868764456701E-2</v>
      </c>
      <c r="AG5280">
        <v>-0.130106899999999</v>
      </c>
      <c r="AH5280">
        <v>0.47615227683456002</v>
      </c>
      <c r="AI5280">
        <v>105.27720708205101</v>
      </c>
      <c r="AJ5280">
        <v>91.587703457863697</v>
      </c>
      <c r="AK5280">
        <v>0.49378434554192702</v>
      </c>
      <c r="AL5280">
        <v>89.174103714999504</v>
      </c>
      <c r="AM5280">
        <v>90.9120935991903</v>
      </c>
      <c r="AN5280">
        <v>0.99999998070033702</v>
      </c>
    </row>
    <row r="5281" spans="1:40" x14ac:dyDescent="0.25">
      <c r="A5281" t="str">
        <f>"20190312160751710"</f>
        <v>20190312160751710</v>
      </c>
      <c r="B5281" t="str">
        <f>"1552378071700384"</f>
        <v>1552378071700384</v>
      </c>
      <c r="C5281" t="s">
        <v>40</v>
      </c>
      <c r="D5281">
        <v>6.1589410000000004</v>
      </c>
      <c r="E5281">
        <v>0.54653809999999903</v>
      </c>
      <c r="F5281" t="s">
        <v>44</v>
      </c>
      <c r="G5281">
        <v>-386.25839999999999</v>
      </c>
      <c r="H5281">
        <v>0.98236409999999996</v>
      </c>
      <c r="I5281">
        <v>141.10380000000001</v>
      </c>
      <c r="J5281">
        <v>-385.786</v>
      </c>
      <c r="K5281">
        <v>1.112074</v>
      </c>
      <c r="L5281">
        <v>141.02809999999999</v>
      </c>
      <c r="M5281">
        <v>-0.99901629999999997</v>
      </c>
      <c r="N5281">
        <v>0</v>
      </c>
      <c r="O5281">
        <v>-4.1912199999999997E-2</v>
      </c>
      <c r="P5281">
        <v>-0.99814210000000003</v>
      </c>
      <c r="Q5281">
        <v>-1.29349E-3</v>
      </c>
      <c r="R5281">
        <v>-6.0916539999999998E-2</v>
      </c>
      <c r="S5281">
        <v>-3.016937</v>
      </c>
      <c r="T5281">
        <v>-0.4916008</v>
      </c>
      <c r="U5281">
        <v>0.2268066</v>
      </c>
      <c r="V5281">
        <v>-1.9096749999999999E-2</v>
      </c>
      <c r="W5281">
        <v>1.3081479999999999E-2</v>
      </c>
      <c r="X5281">
        <v>0.99973210000000001</v>
      </c>
      <c r="Y5281">
        <v>0.1146443</v>
      </c>
      <c r="Z5281">
        <v>1.6043669999999999E-2</v>
      </c>
      <c r="AA5281">
        <v>0.99327710000000002</v>
      </c>
      <c r="AB5281">
        <v>32</v>
      </c>
      <c r="AC5281">
        <v>-0.47239999999999299</v>
      </c>
      <c r="AD5281">
        <v>-0.12970989999999999</v>
      </c>
      <c r="AE5281">
        <v>7.57000000000118E-2</v>
      </c>
      <c r="AF5281">
        <v>8.8900279665171902E-2</v>
      </c>
      <c r="AG5281">
        <v>-0.12970989999999999</v>
      </c>
      <c r="AH5281">
        <v>0.43671138437796497</v>
      </c>
      <c r="AI5281">
        <v>106.22742212144701</v>
      </c>
      <c r="AJ5281">
        <v>78.493657590103197</v>
      </c>
      <c r="AK5281">
        <v>0.46416026448617298</v>
      </c>
      <c r="AL5281">
        <v>89.250465058815493</v>
      </c>
      <c r="AM5281">
        <v>91.094323295846806</v>
      </c>
      <c r="AN5281">
        <v>1.0000000413749801</v>
      </c>
    </row>
    <row r="5282" spans="1:40" x14ac:dyDescent="0.25">
      <c r="A5282" t="str">
        <f>"20190312160751731"</f>
        <v>20190312160751731</v>
      </c>
      <c r="B5282" t="str">
        <f>"1552378071720880"</f>
        <v>1552378071720880</v>
      </c>
      <c r="C5282" t="s">
        <v>40</v>
      </c>
      <c r="D5282">
        <v>6.1529249999999998</v>
      </c>
      <c r="E5282">
        <v>0.54577069999999905</v>
      </c>
      <c r="F5282" t="s">
        <v>44</v>
      </c>
      <c r="G5282">
        <v>-386.54230000000001</v>
      </c>
      <c r="H5282">
        <v>0.98010779999999997</v>
      </c>
      <c r="I5282">
        <v>141.08170000000001</v>
      </c>
      <c r="J5282">
        <v>-386.09530000000001</v>
      </c>
      <c r="K5282">
        <v>1.1123000000000001</v>
      </c>
      <c r="L5282">
        <v>141.012</v>
      </c>
      <c r="M5282">
        <v>-0.99887950000000003</v>
      </c>
      <c r="N5282">
        <v>0</v>
      </c>
      <c r="O5282">
        <v>-4.5053360000000001E-2</v>
      </c>
      <c r="P5282">
        <v>-0.99772459999999996</v>
      </c>
      <c r="Q5282">
        <v>-2.8696580000000002E-3</v>
      </c>
      <c r="R5282">
        <v>-6.7361530000000003E-2</v>
      </c>
      <c r="S5282">
        <v>-3.0178829999999999</v>
      </c>
      <c r="T5282">
        <v>-0.52710679999999999</v>
      </c>
      <c r="U5282">
        <v>0.21264649999999999</v>
      </c>
      <c r="V5282">
        <v>-2.2407819999999998E-2</v>
      </c>
      <c r="W5282">
        <v>1.148038E-2</v>
      </c>
      <c r="X5282">
        <v>0.99968299999999999</v>
      </c>
      <c r="Y5282">
        <v>0.1127838</v>
      </c>
      <c r="Z5282">
        <v>1.756603E-2</v>
      </c>
      <c r="AA5282">
        <v>0.99346429999999997</v>
      </c>
      <c r="AB5282">
        <v>32</v>
      </c>
      <c r="AC5282">
        <v>-0.44700000000000201</v>
      </c>
      <c r="AD5282">
        <v>-0.13219219999999901</v>
      </c>
      <c r="AE5282">
        <v>6.97000000000116E-2</v>
      </c>
      <c r="AF5282">
        <v>8.2708410719596698E-2</v>
      </c>
      <c r="AG5282">
        <v>-0.13219219999999901</v>
      </c>
      <c r="AH5282">
        <v>0.40852499755995098</v>
      </c>
      <c r="AI5282">
        <v>107.596405770636</v>
      </c>
      <c r="AJ5282">
        <v>78.554815521367203</v>
      </c>
      <c r="AK5282">
        <v>0.437273521466782</v>
      </c>
      <c r="AL5282">
        <v>89.342208232150099</v>
      </c>
      <c r="AM5282">
        <v>91.284065609302502</v>
      </c>
      <c r="AN5282">
        <v>1.00000000500554</v>
      </c>
    </row>
    <row r="5283" spans="1:40" x14ac:dyDescent="0.25">
      <c r="A5283" t="str">
        <f>"20190312160751755"</f>
        <v>20190312160751755</v>
      </c>
      <c r="B5283" t="str">
        <f>"1552378071740400"</f>
        <v>1552378071740400</v>
      </c>
      <c r="C5283" t="s">
        <v>40</v>
      </c>
      <c r="D5283">
        <v>6.0893050000000004</v>
      </c>
      <c r="E5283">
        <v>0.54687489999999905</v>
      </c>
      <c r="F5283" t="s">
        <v>44</v>
      </c>
      <c r="G5283">
        <v>-386.82929999999999</v>
      </c>
      <c r="H5283">
        <v>0.98519800000000002</v>
      </c>
      <c r="I5283">
        <v>141.05770000000001</v>
      </c>
      <c r="J5283">
        <v>-386.41090000000003</v>
      </c>
      <c r="K5283">
        <v>1.1125149999999999</v>
      </c>
      <c r="L5283">
        <v>140.99430000000001</v>
      </c>
      <c r="M5283">
        <v>-0.99871779999999999</v>
      </c>
      <c r="N5283">
        <v>0</v>
      </c>
      <c r="O5283">
        <v>-4.8502219999999999E-2</v>
      </c>
      <c r="P5283">
        <v>-0.99733839999999996</v>
      </c>
      <c r="Q5283">
        <v>-3.7001260000000002E-3</v>
      </c>
      <c r="R5283">
        <v>-7.2817670000000001E-2</v>
      </c>
      <c r="S5283">
        <v>-3.018005</v>
      </c>
      <c r="T5283">
        <v>-0.5229509</v>
      </c>
      <c r="U5283">
        <v>0.18713379999999999</v>
      </c>
      <c r="V5283">
        <v>-2.442486E-2</v>
      </c>
      <c r="W5283">
        <v>1.0630229999999999E-2</v>
      </c>
      <c r="X5283">
        <v>0.99964520000000001</v>
      </c>
      <c r="Y5283">
        <v>0.10790520000000001</v>
      </c>
      <c r="Z5283">
        <v>1.7606750000000001E-2</v>
      </c>
      <c r="AA5283">
        <v>0.99400529999999998</v>
      </c>
      <c r="AB5283">
        <v>32</v>
      </c>
      <c r="AC5283">
        <v>-0.41839999999996202</v>
      </c>
      <c r="AD5283">
        <v>-0.12731700000000001</v>
      </c>
      <c r="AE5283">
        <v>6.34000000000014E-2</v>
      </c>
      <c r="AF5283">
        <v>7.6679986031102196E-2</v>
      </c>
      <c r="AG5283">
        <v>-0.12731700000000001</v>
      </c>
      <c r="AH5283">
        <v>0.38039947802670099</v>
      </c>
      <c r="AI5283">
        <v>108.16432543534199</v>
      </c>
      <c r="AJ5283">
        <v>78.603184684989898</v>
      </c>
      <c r="AK5283">
        <v>0.40840323410780699</v>
      </c>
      <c r="AL5283">
        <v>89.390921245113205</v>
      </c>
      <c r="AM5283">
        <v>91.399659604540304</v>
      </c>
      <c r="AN5283">
        <v>1.00000005072945</v>
      </c>
    </row>
    <row r="5284" spans="1:40" x14ac:dyDescent="0.25">
      <c r="A5284" t="str">
        <f>"20190312160751776"</f>
        <v>20190312160751776</v>
      </c>
      <c r="B5284" t="str">
        <f>"1552378071770656"</f>
        <v>1552378071770656</v>
      </c>
      <c r="C5284" t="s">
        <v>40</v>
      </c>
      <c r="D5284">
        <v>6.0908629999999997</v>
      </c>
      <c r="E5284">
        <v>0.54665220000000003</v>
      </c>
      <c r="F5284" t="s">
        <v>44</v>
      </c>
      <c r="G5284">
        <v>-387.37670000000003</v>
      </c>
      <c r="H5284">
        <v>0.93759550000000003</v>
      </c>
      <c r="I5284">
        <v>141.05240000000001</v>
      </c>
      <c r="J5284">
        <v>-386.73160000000001</v>
      </c>
      <c r="K5284">
        <v>1.1127100000000001</v>
      </c>
      <c r="L5284">
        <v>140.97489999999999</v>
      </c>
      <c r="M5284">
        <v>-0.99852850000000004</v>
      </c>
      <c r="N5284">
        <v>0</v>
      </c>
      <c r="O5284">
        <v>-5.2255089999999997E-2</v>
      </c>
      <c r="P5284">
        <v>-0.99691459999999998</v>
      </c>
      <c r="Q5284">
        <v>-3.3976750000000002E-3</v>
      </c>
      <c r="R5284">
        <v>-7.8422220000000001E-2</v>
      </c>
      <c r="S5284">
        <v>-3.0191349999999999</v>
      </c>
      <c r="T5284">
        <v>-0.54713559999999895</v>
      </c>
      <c r="U5284">
        <v>0.18078610000000001</v>
      </c>
      <c r="V5284">
        <v>-2.6294229999999998E-2</v>
      </c>
      <c r="W5284">
        <v>1.091346E-2</v>
      </c>
      <c r="X5284">
        <v>0.99959469999999995</v>
      </c>
      <c r="Y5284">
        <v>0.1092359</v>
      </c>
      <c r="Z5284">
        <v>1.919597E-2</v>
      </c>
      <c r="AA5284">
        <v>0.99383049999999995</v>
      </c>
      <c r="AB5284">
        <v>32</v>
      </c>
      <c r="AC5284">
        <v>-0.645100000000013</v>
      </c>
      <c r="AD5284">
        <v>-0.17511450000000001</v>
      </c>
      <c r="AE5284">
        <v>7.7500000000014696E-2</v>
      </c>
      <c r="AF5284">
        <v>0.103583264567791</v>
      </c>
      <c r="AG5284">
        <v>-0.17511450000000001</v>
      </c>
      <c r="AH5284">
        <v>0.59681641474895497</v>
      </c>
      <c r="AI5284">
        <v>106.12418474934999</v>
      </c>
      <c r="AJ5284">
        <v>80.153846209471695</v>
      </c>
      <c r="AK5284">
        <v>0.63054295152873396</v>
      </c>
      <c r="AL5284">
        <v>89.374692405975694</v>
      </c>
      <c r="AM5284">
        <v>91.506811775513299</v>
      </c>
      <c r="AN5284">
        <v>1.0000000272042699</v>
      </c>
    </row>
    <row r="5285" spans="1:40" x14ac:dyDescent="0.25">
      <c r="A5285" t="str">
        <f>"20190312160751799"</f>
        <v>20190312160751799</v>
      </c>
      <c r="B5285" t="str">
        <f>"1552378071791152"</f>
        <v>1552378071791152</v>
      </c>
      <c r="C5285" t="s">
        <v>40</v>
      </c>
      <c r="D5285">
        <v>6.094481</v>
      </c>
      <c r="E5285">
        <v>0.54719189999999995</v>
      </c>
      <c r="F5285" t="s">
        <v>44</v>
      </c>
      <c r="G5285">
        <v>-387.66410000000002</v>
      </c>
      <c r="H5285">
        <v>0.94674499999999995</v>
      </c>
      <c r="I5285">
        <v>141.02510000000001</v>
      </c>
      <c r="J5285">
        <v>-387.05579999999998</v>
      </c>
      <c r="K5285">
        <v>1.112873</v>
      </c>
      <c r="L5285">
        <v>140.9538</v>
      </c>
      <c r="M5285">
        <v>-0.99831250000000005</v>
      </c>
      <c r="N5285">
        <v>0</v>
      </c>
      <c r="O5285">
        <v>-5.622808E-2</v>
      </c>
      <c r="P5285">
        <v>-0.9964653</v>
      </c>
      <c r="Q5285">
        <v>-2.5336220000000001E-3</v>
      </c>
      <c r="R5285">
        <v>-8.3966730000000003E-2</v>
      </c>
      <c r="S5285">
        <v>-3.0202640000000001</v>
      </c>
      <c r="T5285">
        <v>-0.53770519999999999</v>
      </c>
      <c r="U5285">
        <v>0.162139899999999</v>
      </c>
      <c r="V5285">
        <v>-2.7887820000000001E-2</v>
      </c>
      <c r="W5285">
        <v>1.176027E-2</v>
      </c>
      <c r="X5285">
        <v>0.99954189999999998</v>
      </c>
      <c r="Y5285">
        <v>0.10711270000000001</v>
      </c>
      <c r="Z5285">
        <v>1.937991E-2</v>
      </c>
      <c r="AA5285">
        <v>0.994058</v>
      </c>
      <c r="AB5285">
        <v>32</v>
      </c>
      <c r="AC5285">
        <v>-0.60830000000004203</v>
      </c>
      <c r="AD5285">
        <v>-0.166127999999999</v>
      </c>
      <c r="AE5285">
        <v>7.1300000000007899E-2</v>
      </c>
      <c r="AF5285">
        <v>9.8171457163529E-2</v>
      </c>
      <c r="AG5285">
        <v>-0.166127999999999</v>
      </c>
      <c r="AH5285">
        <v>0.56198080689877095</v>
      </c>
      <c r="AI5285">
        <v>106.235652437216</v>
      </c>
      <c r="AJ5285">
        <v>80.091085268899505</v>
      </c>
      <c r="AK5285">
        <v>0.59418732291105303</v>
      </c>
      <c r="AL5285">
        <v>89.326170645175793</v>
      </c>
      <c r="AM5285">
        <v>91.5981720888512</v>
      </c>
      <c r="AN5285">
        <v>1.0000000221552101</v>
      </c>
    </row>
    <row r="5286" spans="1:40" x14ac:dyDescent="0.25">
      <c r="A5286" t="str">
        <f>"20190312160751821"</f>
        <v>20190312160751821</v>
      </c>
      <c r="B5286" t="str">
        <f>"1552378071810672"</f>
        <v>1552378071810672</v>
      </c>
      <c r="C5286" t="s">
        <v>40</v>
      </c>
      <c r="D5286">
        <v>6.0560499999999999</v>
      </c>
      <c r="E5286">
        <v>0.54784960000000005</v>
      </c>
      <c r="F5286" t="s">
        <v>44</v>
      </c>
      <c r="G5286">
        <v>-387.95119999999997</v>
      </c>
      <c r="H5286">
        <v>0.95568629999999999</v>
      </c>
      <c r="I5286">
        <v>140.99850000000001</v>
      </c>
      <c r="J5286">
        <v>-387.3605</v>
      </c>
      <c r="K5286">
        <v>1.113011</v>
      </c>
      <c r="L5286">
        <v>140.93270000000001</v>
      </c>
      <c r="M5286">
        <v>-0.99808660000000005</v>
      </c>
      <c r="N5286">
        <v>0</v>
      </c>
      <c r="O5286">
        <v>-6.0102660000000002E-2</v>
      </c>
      <c r="P5286">
        <v>-0.99599899999999997</v>
      </c>
      <c r="Q5286">
        <v>-2.3581029999999998E-3</v>
      </c>
      <c r="R5286">
        <v>-8.9333850000000006E-2</v>
      </c>
      <c r="S5286">
        <v>-3.0219420000000001</v>
      </c>
      <c r="T5286">
        <v>-0.53070450000000002</v>
      </c>
      <c r="U5286">
        <v>0.1505127</v>
      </c>
      <c r="V5286">
        <v>-2.939814E-2</v>
      </c>
      <c r="W5286">
        <v>1.191857E-2</v>
      </c>
      <c r="X5286">
        <v>0.99949670000000002</v>
      </c>
      <c r="Y5286">
        <v>0.1071353</v>
      </c>
      <c r="Z5286">
        <v>1.979908E-2</v>
      </c>
      <c r="AA5286">
        <v>0.99404729999999997</v>
      </c>
      <c r="AB5286">
        <v>32</v>
      </c>
      <c r="AC5286">
        <v>-0.59069999999996903</v>
      </c>
      <c r="AD5286">
        <v>-0.15732469999999901</v>
      </c>
      <c r="AE5286">
        <v>6.5799999999995806E-2</v>
      </c>
      <c r="AF5286">
        <v>9.4561881833906403E-2</v>
      </c>
      <c r="AG5286">
        <v>-0.15732469999999901</v>
      </c>
      <c r="AH5286">
        <v>0.54732793962583104</v>
      </c>
      <c r="AI5286">
        <v>105.814514411793</v>
      </c>
      <c r="AJ5286">
        <v>80.197770751917801</v>
      </c>
      <c r="AK5286">
        <v>0.57728752300835096</v>
      </c>
      <c r="AL5286">
        <v>89.3171000576625</v>
      </c>
      <c r="AM5286">
        <v>91.684751801420603</v>
      </c>
      <c r="AN5286">
        <v>0.99999997812859698</v>
      </c>
    </row>
    <row r="5287" spans="1:40" x14ac:dyDescent="0.25">
      <c r="A5287" t="str">
        <f>"20190312160751844"</f>
        <v>20190312160751844</v>
      </c>
      <c r="B5287" t="str">
        <f>"1552378071840928"</f>
        <v>1552378071840928</v>
      </c>
      <c r="C5287" t="s">
        <v>40</v>
      </c>
      <c r="D5287">
        <v>6.0802820000000004</v>
      </c>
      <c r="E5287">
        <v>0.54962440000000001</v>
      </c>
      <c r="F5287" t="s">
        <v>44</v>
      </c>
      <c r="G5287">
        <v>-388.23570000000001</v>
      </c>
      <c r="H5287">
        <v>0.95989159999999996</v>
      </c>
      <c r="I5287">
        <v>140.9734</v>
      </c>
      <c r="J5287">
        <v>-387.68669999999997</v>
      </c>
      <c r="K5287">
        <v>1.113137</v>
      </c>
      <c r="L5287">
        <v>140.90870000000001</v>
      </c>
      <c r="M5287">
        <v>-0.99781900000000001</v>
      </c>
      <c r="N5287">
        <v>0</v>
      </c>
      <c r="O5287">
        <v>-6.4392889999999994E-2</v>
      </c>
      <c r="P5287">
        <v>-0.99538990000000005</v>
      </c>
      <c r="Q5287">
        <v>-2.6088579999999999E-3</v>
      </c>
      <c r="R5287">
        <v>-9.5877539999999997E-2</v>
      </c>
      <c r="S5287">
        <v>-3.0234070000000002</v>
      </c>
      <c r="T5287">
        <v>-0.52896480000000001</v>
      </c>
      <c r="U5287">
        <v>0.14050289999999999</v>
      </c>
      <c r="V5287">
        <v>-3.167201E-2</v>
      </c>
      <c r="W5287">
        <v>1.164345E-2</v>
      </c>
      <c r="X5287">
        <v>0.9994305</v>
      </c>
      <c r="Y5287">
        <v>0.108040899999999</v>
      </c>
      <c r="Z5287">
        <v>2.0549669999999999E-2</v>
      </c>
      <c r="AA5287">
        <v>0.99393399999999998</v>
      </c>
      <c r="AB5287">
        <v>32</v>
      </c>
      <c r="AC5287">
        <v>-0.54900000000003402</v>
      </c>
      <c r="AD5287">
        <v>-0.1532454</v>
      </c>
      <c r="AE5287">
        <v>6.4699999999987698E-2</v>
      </c>
      <c r="AF5287">
        <v>9.2790252548757696E-2</v>
      </c>
      <c r="AG5287">
        <v>-0.1532454</v>
      </c>
      <c r="AH5287">
        <v>0.50489304425074999</v>
      </c>
      <c r="AI5287">
        <v>106.621468583786</v>
      </c>
      <c r="AJ5287">
        <v>79.586273492911005</v>
      </c>
      <c r="AK5287">
        <v>0.53573423422627398</v>
      </c>
      <c r="AL5287">
        <v>89.332864385022503</v>
      </c>
      <c r="AM5287">
        <v>91.815099098889903</v>
      </c>
      <c r="AN5287">
        <v>1.00000000523779</v>
      </c>
    </row>
    <row r="5288" spans="1:40" x14ac:dyDescent="0.25">
      <c r="A5288" t="str">
        <f>"20190312160751866"</f>
        <v>20190312160751866</v>
      </c>
      <c r="B5288" t="str">
        <f>"1552378071861104"</f>
        <v>1552378071861104</v>
      </c>
      <c r="C5288" t="s">
        <v>40</v>
      </c>
      <c r="D5288">
        <v>6.0741959999999997</v>
      </c>
      <c r="E5288">
        <v>0.55022260000000001</v>
      </c>
      <c r="F5288" t="s">
        <v>44</v>
      </c>
      <c r="G5288">
        <v>-388.5206</v>
      </c>
      <c r="H5288">
        <v>0.96613859999999996</v>
      </c>
      <c r="I5288">
        <v>140.94640000000001</v>
      </c>
      <c r="J5288">
        <v>-387.99509999999998</v>
      </c>
      <c r="K5288">
        <v>1.113246</v>
      </c>
      <c r="L5288">
        <v>140.8845</v>
      </c>
      <c r="M5288">
        <v>-0.99754129999999996</v>
      </c>
      <c r="N5288">
        <v>0</v>
      </c>
      <c r="O5288">
        <v>-6.8560410000000002E-2</v>
      </c>
      <c r="P5288">
        <v>-0.99473009999999995</v>
      </c>
      <c r="Q5288">
        <v>-2.755553E-3</v>
      </c>
      <c r="R5288">
        <v>-0.10249229999999999</v>
      </c>
      <c r="S5288">
        <v>-3.0255429999999999</v>
      </c>
      <c r="T5288">
        <v>-0.53384140000000002</v>
      </c>
      <c r="U5288">
        <v>0.13555909999999999</v>
      </c>
      <c r="V5288">
        <v>-3.4142499999999999E-2</v>
      </c>
      <c r="W5288">
        <v>1.1470370000000001E-2</v>
      </c>
      <c r="X5288">
        <v>0.99935110000000005</v>
      </c>
      <c r="Y5288">
        <v>0.110393699999999</v>
      </c>
      <c r="Z5288">
        <v>2.165707E-2</v>
      </c>
      <c r="AA5288">
        <v>0.99365190000000003</v>
      </c>
      <c r="AB5288">
        <v>32</v>
      </c>
      <c r="AC5288">
        <v>-0.52550000000002195</v>
      </c>
      <c r="AD5288">
        <v>-0.147107399999999</v>
      </c>
      <c r="AE5288">
        <v>6.1900000000008497E-2</v>
      </c>
      <c r="AF5288">
        <v>9.0770688065375096E-2</v>
      </c>
      <c r="AG5288">
        <v>-0.147107399999999</v>
      </c>
      <c r="AH5288">
        <v>0.48270894796126101</v>
      </c>
      <c r="AI5288">
        <v>106.673194229188</v>
      </c>
      <c r="AJ5288">
        <v>79.3502182500293</v>
      </c>
      <c r="AK5288">
        <v>0.51272588523351204</v>
      </c>
      <c r="AL5288">
        <v>89.342781764765604</v>
      </c>
      <c r="AM5288">
        <v>91.956730290393907</v>
      </c>
      <c r="AN5288">
        <v>0.99999995038269696</v>
      </c>
    </row>
    <row r="5289" spans="1:40" x14ac:dyDescent="0.25">
      <c r="A5289" t="str">
        <f>"20190312160751889"</f>
        <v>20190312160751889</v>
      </c>
      <c r="B5289" t="str">
        <f>"1552378071880622"</f>
        <v>1552378071880622</v>
      </c>
      <c r="C5289" t="s">
        <v>40</v>
      </c>
      <c r="D5289">
        <v>6.1878039999999999</v>
      </c>
      <c r="E5289">
        <v>0.55025659999999998</v>
      </c>
      <c r="F5289" t="s">
        <v>44</v>
      </c>
      <c r="G5289">
        <v>-388.80430000000001</v>
      </c>
      <c r="H5289">
        <v>0.97110079999999999</v>
      </c>
      <c r="I5289">
        <v>140.9169</v>
      </c>
      <c r="J5289">
        <v>-388.32220000000001</v>
      </c>
      <c r="K5289">
        <v>1.113353</v>
      </c>
      <c r="L5289">
        <v>140.85749999999999</v>
      </c>
      <c r="M5289">
        <v>-0.99722</v>
      </c>
      <c r="N5289">
        <v>0</v>
      </c>
      <c r="O5289">
        <v>-7.3085430000000007E-2</v>
      </c>
      <c r="P5289">
        <v>-0.9939981</v>
      </c>
      <c r="Q5289">
        <v>-2.4705209999999998E-3</v>
      </c>
      <c r="R5289">
        <v>-0.10937089999999899</v>
      </c>
      <c r="S5289">
        <v>-3.026764</v>
      </c>
      <c r="T5289">
        <v>-0.53221370000000001</v>
      </c>
      <c r="U5289">
        <v>0.1199646</v>
      </c>
      <c r="V5289">
        <v>-3.652731E-2</v>
      </c>
      <c r="W5289">
        <v>1.172927E-2</v>
      </c>
      <c r="X5289">
        <v>0.99926380000000004</v>
      </c>
      <c r="Y5289">
        <v>0.10973239999999899</v>
      </c>
      <c r="Z5289">
        <v>2.2315979999999999E-2</v>
      </c>
      <c r="AA5289">
        <v>0.9937106</v>
      </c>
      <c r="AB5289">
        <v>32</v>
      </c>
      <c r="AC5289">
        <v>-0.48210000000000203</v>
      </c>
      <c r="AD5289">
        <v>-0.1422522</v>
      </c>
      <c r="AE5289">
        <v>5.9400000000010701E-2</v>
      </c>
      <c r="AF5289">
        <v>8.7016509926842706E-2</v>
      </c>
      <c r="AG5289">
        <v>-0.1422522</v>
      </c>
      <c r="AH5289">
        <v>0.438833043461543</v>
      </c>
      <c r="AI5289">
        <v>107.63906669675001</v>
      </c>
      <c r="AJ5289">
        <v>78.784267506284806</v>
      </c>
      <c r="AK5289">
        <v>0.46944861426828</v>
      </c>
      <c r="AL5289">
        <v>89.327946909203803</v>
      </c>
      <c r="AM5289">
        <v>92.0934704916817</v>
      </c>
      <c r="AN5289">
        <v>0.99999998107050403</v>
      </c>
    </row>
    <row r="5290" spans="1:40" x14ac:dyDescent="0.25">
      <c r="A5290" t="str">
        <f>"20190312160751911"</f>
        <v>20190312160751911</v>
      </c>
      <c r="B5290" t="str">
        <f>"1552378071901118"</f>
        <v>1552378071901118</v>
      </c>
      <c r="C5290" t="s">
        <v>40</v>
      </c>
      <c r="D5290">
        <v>6.183357</v>
      </c>
      <c r="E5290">
        <v>0.55030859999999904</v>
      </c>
      <c r="F5290" t="s">
        <v>44</v>
      </c>
      <c r="G5290">
        <v>-389.08879999999999</v>
      </c>
      <c r="H5290">
        <v>0.97920439999999997</v>
      </c>
      <c r="I5290">
        <v>140.8828</v>
      </c>
      <c r="J5290">
        <v>-388.63060000000002</v>
      </c>
      <c r="K5290">
        <v>1.113445</v>
      </c>
      <c r="L5290">
        <v>140.8304</v>
      </c>
      <c r="M5290">
        <v>-0.99689079999999997</v>
      </c>
      <c r="N5290">
        <v>0</v>
      </c>
      <c r="O5290">
        <v>-7.7443769999999995E-2</v>
      </c>
      <c r="P5290">
        <v>-0.99312889999999998</v>
      </c>
      <c r="Q5290">
        <v>-1.622496E-3</v>
      </c>
      <c r="R5290">
        <v>-0.1170142</v>
      </c>
      <c r="S5290">
        <v>-3.027679</v>
      </c>
      <c r="T5290">
        <v>-0.53028580000000003</v>
      </c>
      <c r="U5290">
        <v>9.9060060000000005E-2</v>
      </c>
      <c r="V5290">
        <v>-3.9855920000000003E-2</v>
      </c>
      <c r="W5290">
        <v>1.2541739999999999E-2</v>
      </c>
      <c r="X5290">
        <v>0.99912670000000003</v>
      </c>
      <c r="Y5290">
        <v>0.10720499999999999</v>
      </c>
      <c r="Z5290">
        <v>2.276835E-2</v>
      </c>
      <c r="AA5290">
        <v>0.99397619999999998</v>
      </c>
      <c r="AB5290">
        <v>32</v>
      </c>
      <c r="AC5290">
        <v>-0.45819999999997602</v>
      </c>
      <c r="AD5290">
        <v>-0.13424059999999999</v>
      </c>
      <c r="AE5290">
        <v>5.2400000000005699E-2</v>
      </c>
      <c r="AF5290">
        <v>8.0878592057245194E-2</v>
      </c>
      <c r="AG5290">
        <v>-0.13424059999999999</v>
      </c>
      <c r="AH5290">
        <v>0.417400613632748</v>
      </c>
      <c r="AI5290">
        <v>107.52289851409201</v>
      </c>
      <c r="AJ5290">
        <v>79.0338476815528</v>
      </c>
      <c r="AK5290">
        <v>0.44585329156855702</v>
      </c>
      <c r="AL5290">
        <v>89.281392373327407</v>
      </c>
      <c r="AM5290">
        <v>92.284360828209699</v>
      </c>
      <c r="AN5290">
        <v>0.99999997612708103</v>
      </c>
    </row>
    <row r="5291" spans="1:40" x14ac:dyDescent="0.25">
      <c r="A5291" t="str">
        <f>"20190312160751945"</f>
        <v>20190312160751945</v>
      </c>
      <c r="B5291" t="str">
        <f>"1552378071930398"</f>
        <v>1552378071930398</v>
      </c>
      <c r="C5291" t="s">
        <v>40</v>
      </c>
      <c r="D5291">
        <v>5.7727009999999996</v>
      </c>
      <c r="E5291">
        <v>0.55048710000000001</v>
      </c>
      <c r="F5291" t="s">
        <v>44</v>
      </c>
      <c r="G5291">
        <v>-389.37189999999998</v>
      </c>
      <c r="H5291">
        <v>0.98491019999999896</v>
      </c>
      <c r="I5291">
        <v>140.8492</v>
      </c>
      <c r="J5291">
        <v>-389.08850000000001</v>
      </c>
      <c r="K5291">
        <v>1.113567</v>
      </c>
      <c r="L5291">
        <v>140.78749999999999</v>
      </c>
      <c r="M5291">
        <v>-0.99635320000000005</v>
      </c>
      <c r="N5291">
        <v>0</v>
      </c>
      <c r="O5291">
        <v>-8.4077639999999995E-2</v>
      </c>
      <c r="P5291">
        <v>-0.99200029999999995</v>
      </c>
      <c r="Q5291">
        <v>-1.103543E-3</v>
      </c>
      <c r="R5291">
        <v>-0.12623039999999999</v>
      </c>
      <c r="S5291">
        <v>-3.0289000000000001</v>
      </c>
      <c r="T5291">
        <v>-0.52543719999999905</v>
      </c>
      <c r="U5291">
        <v>7.6431269999999996E-2</v>
      </c>
      <c r="V5291">
        <v>-4.2491069999999999E-2</v>
      </c>
      <c r="W5291">
        <v>1.302856E-2</v>
      </c>
      <c r="X5291">
        <v>0.99901189999999995</v>
      </c>
      <c r="Y5291">
        <v>0.10635459999999999</v>
      </c>
      <c r="Z5291">
        <v>2.3622489999999999E-2</v>
      </c>
      <c r="AA5291">
        <v>0.99404760000000003</v>
      </c>
      <c r="AB5291">
        <v>32</v>
      </c>
      <c r="AC5291">
        <v>-0.28339999999997101</v>
      </c>
      <c r="AD5291">
        <v>-0.12865679999999999</v>
      </c>
      <c r="AE5291">
        <v>6.1700000000001802E-2</v>
      </c>
      <c r="AF5291">
        <v>7.1285024369268604E-2</v>
      </c>
      <c r="AG5291">
        <v>-0.12865679999999999</v>
      </c>
      <c r="AH5291">
        <v>0.23163076060280399</v>
      </c>
      <c r="AI5291">
        <v>117.962405600255</v>
      </c>
      <c r="AJ5291">
        <v>72.894102803988403</v>
      </c>
      <c r="AK5291">
        <v>0.27438464997700002</v>
      </c>
      <c r="AL5291">
        <v>89.253497382883594</v>
      </c>
      <c r="AM5291">
        <v>92.435498994744293</v>
      </c>
      <c r="AN5291">
        <v>1.0000000053735101</v>
      </c>
    </row>
    <row r="5292" spans="1:40" x14ac:dyDescent="0.25">
      <c r="A5292" t="str">
        <f>"20190312160751967"</f>
        <v>20190312160751967</v>
      </c>
      <c r="B5292" t="str">
        <f>"1552378071960537"</f>
        <v>1552378071960537</v>
      </c>
      <c r="C5292" t="s">
        <v>40</v>
      </c>
      <c r="D5292">
        <v>6.4050659999999997</v>
      </c>
      <c r="E5292">
        <v>0.56938520000000004</v>
      </c>
      <c r="F5292" t="s">
        <v>44</v>
      </c>
      <c r="G5292">
        <v>-389.92520000000002</v>
      </c>
      <c r="H5292">
        <v>0.9695222</v>
      </c>
      <c r="I5292">
        <v>140.8015</v>
      </c>
      <c r="J5292">
        <v>-389.40249999999997</v>
      </c>
      <c r="K5292">
        <v>1.113639</v>
      </c>
      <c r="L5292">
        <v>140.75620000000001</v>
      </c>
      <c r="M5292">
        <v>-0.99595049999999996</v>
      </c>
      <c r="N5292">
        <v>0</v>
      </c>
      <c r="O5292">
        <v>-8.8719580000000006E-2</v>
      </c>
      <c r="P5292">
        <v>-0.99117200000000005</v>
      </c>
      <c r="Q5292">
        <v>-8.5712039999999998E-4</v>
      </c>
      <c r="R5292">
        <v>-0.132579</v>
      </c>
      <c r="S5292">
        <v>-3.029938</v>
      </c>
      <c r="T5292">
        <v>-0.52189790000000003</v>
      </c>
      <c r="U5292">
        <v>5.000305E-2</v>
      </c>
      <c r="V5292">
        <v>-4.423676E-2</v>
      </c>
      <c r="W5292">
        <v>1.325551E-2</v>
      </c>
      <c r="X5292">
        <v>0.99893310000000002</v>
      </c>
      <c r="Y5292">
        <v>0.10234119999999999</v>
      </c>
      <c r="Z5292">
        <v>2.3907230000000002E-2</v>
      </c>
      <c r="AA5292">
        <v>0.99446199999999996</v>
      </c>
      <c r="AB5292">
        <v>32</v>
      </c>
      <c r="AC5292">
        <v>-0.52270000000004302</v>
      </c>
      <c r="AD5292">
        <v>-0.14411679999999999</v>
      </c>
      <c r="AE5292">
        <v>4.5299999999997398E-2</v>
      </c>
      <c r="AF5292">
        <v>8.5080413608867894E-2</v>
      </c>
      <c r="AG5292">
        <v>-0.14411679999999999</v>
      </c>
      <c r="AH5292">
        <v>0.48037349740792401</v>
      </c>
      <c r="AI5292">
        <v>106.457786981374</v>
      </c>
      <c r="AJ5292">
        <v>79.956325693688896</v>
      </c>
      <c r="AK5292">
        <v>0.50869148394092201</v>
      </c>
      <c r="AL5292">
        <v>89.240492954981505</v>
      </c>
      <c r="AM5292">
        <v>92.535630025674394</v>
      </c>
      <c r="AN5292">
        <v>0.99999996887813303</v>
      </c>
    </row>
    <row r="5293" spans="1:40" x14ac:dyDescent="0.25">
      <c r="A5293" t="str">
        <f>"20190312160751989"</f>
        <v>20190312160751989</v>
      </c>
      <c r="B5293" t="str">
        <f>"1552378071981027"</f>
        <v>1552378071981027</v>
      </c>
      <c r="C5293" t="s">
        <v>40</v>
      </c>
      <c r="D5293">
        <v>5.6861090000000001</v>
      </c>
      <c r="E5293">
        <v>0.55565830000000005</v>
      </c>
      <c r="F5293" t="s">
        <v>44</v>
      </c>
      <c r="G5293">
        <v>-390.1687</v>
      </c>
      <c r="H5293">
        <v>0.88340200000000002</v>
      </c>
      <c r="I5293">
        <v>140.8075</v>
      </c>
      <c r="J5293">
        <v>-389.72840000000002</v>
      </c>
      <c r="K5293">
        <v>1.113702</v>
      </c>
      <c r="L5293">
        <v>140.72210000000001</v>
      </c>
      <c r="M5293">
        <v>-0.99550280000000002</v>
      </c>
      <c r="N5293">
        <v>0</v>
      </c>
      <c r="O5293">
        <v>-9.360918E-2</v>
      </c>
      <c r="P5293">
        <v>-0.99032770000000003</v>
      </c>
      <c r="Q5293">
        <v>-1.1077579999999999E-3</v>
      </c>
      <c r="R5293">
        <v>-0.13874500000000001</v>
      </c>
      <c r="S5293">
        <v>-3.0530089999999999</v>
      </c>
      <c r="T5293">
        <v>-0.9179889</v>
      </c>
      <c r="U5293">
        <v>0.202713</v>
      </c>
      <c r="V5293">
        <v>-4.5547730000000002E-2</v>
      </c>
      <c r="W5293">
        <v>1.2993269999999999E-2</v>
      </c>
      <c r="X5293">
        <v>0.99887760000000003</v>
      </c>
      <c r="Y5293">
        <v>0.14869579999999999</v>
      </c>
      <c r="Z5293">
        <v>4.9351249999999999E-2</v>
      </c>
      <c r="AA5293">
        <v>0.98765080000000005</v>
      </c>
      <c r="AB5293">
        <v>32</v>
      </c>
      <c r="AC5293">
        <v>-0.44029999999997899</v>
      </c>
      <c r="AD5293">
        <v>-0.23029999999999901</v>
      </c>
      <c r="AE5293">
        <v>8.5399999999992801E-2</v>
      </c>
      <c r="AF5293">
        <v>9.9904191425138705E-2</v>
      </c>
      <c r="AG5293">
        <v>-0.23029999999999901</v>
      </c>
      <c r="AH5293">
        <v>0.34057383388120599</v>
      </c>
      <c r="AI5293">
        <v>122.978347278844</v>
      </c>
      <c r="AJ5293">
        <v>73.651436005205895</v>
      </c>
      <c r="AK5293">
        <v>0.42309511198884597</v>
      </c>
      <c r="AL5293">
        <v>89.255519473631594</v>
      </c>
      <c r="AM5293">
        <v>92.610816585356105</v>
      </c>
      <c r="AN5293">
        <v>0.99999994027760097</v>
      </c>
    </row>
    <row r="5294" spans="1:40" x14ac:dyDescent="0.25">
      <c r="A5294" t="str">
        <f>"20190312160752011"</f>
        <v>20190312160752011</v>
      </c>
      <c r="B5294" t="str">
        <f>"1552378072000548"</f>
        <v>1552378072000548</v>
      </c>
      <c r="C5294" t="s">
        <v>40</v>
      </c>
      <c r="D5294">
        <v>5.7157650000000002</v>
      </c>
      <c r="E5294">
        <v>0.55345639999999996</v>
      </c>
      <c r="F5294" t="s">
        <v>44</v>
      </c>
      <c r="G5294">
        <v>-390.49169999999998</v>
      </c>
      <c r="H5294">
        <v>0.98723970000000005</v>
      </c>
      <c r="I5294">
        <v>140.73509999999999</v>
      </c>
      <c r="J5294">
        <v>-390.01929999999999</v>
      </c>
      <c r="K5294">
        <v>1.1137570000000001</v>
      </c>
      <c r="L5294">
        <v>140.6902</v>
      </c>
      <c r="M5294">
        <v>-0.99507590000000001</v>
      </c>
      <c r="N5294">
        <v>0</v>
      </c>
      <c r="O5294">
        <v>-9.8041690000000001E-2</v>
      </c>
      <c r="P5294">
        <v>-0.98966540000000003</v>
      </c>
      <c r="Q5294">
        <v>-1.570854E-3</v>
      </c>
      <c r="R5294">
        <v>-0.14338819999999999</v>
      </c>
      <c r="S5294">
        <v>-3.0359799999999999</v>
      </c>
      <c r="T5294">
        <v>-0.50301579999999901</v>
      </c>
      <c r="U5294">
        <v>5.1696779999999998E-2</v>
      </c>
      <c r="V5294">
        <v>-4.5781389999999998E-2</v>
      </c>
      <c r="W5294">
        <v>1.253078E-2</v>
      </c>
      <c r="X5294">
        <v>0.99887289999999995</v>
      </c>
      <c r="Y5294">
        <v>0.1121191</v>
      </c>
      <c r="Z5294">
        <v>2.5343009999999999E-2</v>
      </c>
      <c r="AA5294">
        <v>0.99337149999999996</v>
      </c>
      <c r="AB5294">
        <v>32</v>
      </c>
      <c r="AC5294">
        <v>-0.47239999999999299</v>
      </c>
      <c r="AD5294">
        <v>-0.126517299999999</v>
      </c>
      <c r="AE5294">
        <v>4.4899999999984098E-2</v>
      </c>
      <c r="AF5294">
        <v>8.4963835664123494E-2</v>
      </c>
      <c r="AG5294">
        <v>-0.126517299999999</v>
      </c>
      <c r="AH5294">
        <v>0.43481270023515201</v>
      </c>
      <c r="AI5294">
        <v>105.93769236002299</v>
      </c>
      <c r="AJ5294">
        <v>78.943531874851701</v>
      </c>
      <c r="AK5294">
        <v>0.46074674698345403</v>
      </c>
      <c r="AL5294">
        <v>89.282020411081106</v>
      </c>
      <c r="AM5294">
        <v>92.624203738178807</v>
      </c>
      <c r="AN5294">
        <v>1.00000001323607</v>
      </c>
    </row>
    <row r="5295" spans="1:40" x14ac:dyDescent="0.25">
      <c r="A5295" t="str">
        <f>"20190312160752033"</f>
        <v>20190312160752033</v>
      </c>
      <c r="B5295" t="str">
        <f>"1552378072021043"</f>
        <v>1552378072021043</v>
      </c>
      <c r="C5295" t="s">
        <v>40</v>
      </c>
      <c r="D5295">
        <v>6.1224959999999999</v>
      </c>
      <c r="E5295">
        <v>0.55206359999999999</v>
      </c>
      <c r="F5295" t="s">
        <v>44</v>
      </c>
      <c r="G5295">
        <v>-390.77010000000001</v>
      </c>
      <c r="H5295">
        <v>0.98899029999999999</v>
      </c>
      <c r="I5295">
        <v>140.69540000000001</v>
      </c>
      <c r="J5295">
        <v>-390.32859999999999</v>
      </c>
      <c r="K5295">
        <v>1.1138110000000001</v>
      </c>
      <c r="L5295">
        <v>140.65479999999999</v>
      </c>
      <c r="M5295">
        <v>-0.99459359999999997</v>
      </c>
      <c r="N5295">
        <v>0</v>
      </c>
      <c r="O5295">
        <v>-0.102816</v>
      </c>
      <c r="P5295">
        <v>-0.9888245</v>
      </c>
      <c r="Q5295">
        <v>-1.156116E-3</v>
      </c>
      <c r="R5295">
        <v>-0.14907979999999901</v>
      </c>
      <c r="S5295">
        <v>-3.0333559999999999</v>
      </c>
      <c r="T5295">
        <v>-0.50465230000000005</v>
      </c>
      <c r="U5295">
        <v>1.971436E-2</v>
      </c>
      <c r="V5295">
        <v>-4.6740379999999998E-2</v>
      </c>
      <c r="W5295">
        <v>1.2946549999999999E-2</v>
      </c>
      <c r="X5295">
        <v>0.99882320000000002</v>
      </c>
      <c r="Y5295">
        <v>0.10641680000000001</v>
      </c>
      <c r="Z5295">
        <v>2.5760459999999999E-2</v>
      </c>
      <c r="AA5295">
        <v>0.99398790000000004</v>
      </c>
      <c r="AB5295">
        <v>32</v>
      </c>
      <c r="AC5295">
        <v>-0.44150000000001899</v>
      </c>
      <c r="AD5295">
        <v>-0.12482070000000001</v>
      </c>
      <c r="AE5295">
        <v>4.0600000000011897E-2</v>
      </c>
      <c r="AF5295">
        <v>7.9483042282467303E-2</v>
      </c>
      <c r="AG5295">
        <v>-0.12482070000000001</v>
      </c>
      <c r="AH5295">
        <v>0.40303996194840003</v>
      </c>
      <c r="AI5295">
        <v>106.901191475723</v>
      </c>
      <c r="AJ5295">
        <v>78.843920741337598</v>
      </c>
      <c r="AK5295">
        <v>0.42934714635867099</v>
      </c>
      <c r="AL5295">
        <v>89.258196624769795</v>
      </c>
      <c r="AM5295">
        <v>92.6792271924228</v>
      </c>
      <c r="AN5295">
        <v>1.0000000305688399</v>
      </c>
    </row>
    <row r="5296" spans="1:40" x14ac:dyDescent="0.25">
      <c r="A5296" t="str">
        <f>"20190312160752057"</f>
        <v>20190312160752057</v>
      </c>
      <c r="B5296" t="str">
        <f>"1552378072051300"</f>
        <v>1552378072051300</v>
      </c>
      <c r="C5296" t="s">
        <v>40</v>
      </c>
      <c r="D5296">
        <v>5.6777419999999896</v>
      </c>
      <c r="E5296">
        <v>0.55143640000000005</v>
      </c>
      <c r="F5296" t="s">
        <v>44</v>
      </c>
      <c r="G5296">
        <v>-391.0478</v>
      </c>
      <c r="H5296">
        <v>0.99080299999999999</v>
      </c>
      <c r="I5296">
        <v>140.65309999999999</v>
      </c>
      <c r="J5296">
        <v>-390.64780000000002</v>
      </c>
      <c r="K5296">
        <v>1.113861</v>
      </c>
      <c r="L5296">
        <v>140.6165</v>
      </c>
      <c r="M5296">
        <v>-0.99406360000000005</v>
      </c>
      <c r="N5296">
        <v>0</v>
      </c>
      <c r="O5296">
        <v>-0.1078161</v>
      </c>
      <c r="P5296">
        <v>-0.98802250000000003</v>
      </c>
      <c r="Q5296">
        <v>-1.4109179999999999E-3</v>
      </c>
      <c r="R5296">
        <v>-0.15430379999999999</v>
      </c>
      <c r="S5296">
        <v>-3.0320740000000002</v>
      </c>
      <c r="T5296">
        <v>-0.51882700000000004</v>
      </c>
      <c r="U5296">
        <v>-7.8887939999999993E-3</v>
      </c>
      <c r="V5296">
        <v>-4.6995809999999999E-2</v>
      </c>
      <c r="W5296">
        <v>1.270815E-2</v>
      </c>
      <c r="X5296">
        <v>0.99881419999999999</v>
      </c>
      <c r="Y5296">
        <v>0.10219300000000001</v>
      </c>
      <c r="Z5296">
        <v>2.697012E-2</v>
      </c>
      <c r="AA5296">
        <v>0.99439889999999997</v>
      </c>
      <c r="AB5296">
        <v>31</v>
      </c>
      <c r="AC5296">
        <v>-0.39999999999997699</v>
      </c>
      <c r="AD5296">
        <v>-0.123057999999999</v>
      </c>
      <c r="AE5296">
        <v>3.6599999999992798E-2</v>
      </c>
      <c r="AF5296">
        <v>7.2694562016158107E-2</v>
      </c>
      <c r="AG5296">
        <v>-0.123057999999999</v>
      </c>
      <c r="AH5296">
        <v>0.359937730918376</v>
      </c>
      <c r="AI5296">
        <v>108.52705745028901</v>
      </c>
      <c r="AJ5296">
        <v>78.581892621509397</v>
      </c>
      <c r="AK5296">
        <v>0.38727631072580498</v>
      </c>
      <c r="AL5296">
        <v>89.271857006854603</v>
      </c>
      <c r="AM5296">
        <v>92.693871543260997</v>
      </c>
      <c r="AN5296">
        <v>0.999999954677808</v>
      </c>
    </row>
    <row r="5297" spans="1:40" x14ac:dyDescent="0.25">
      <c r="A5297" t="str">
        <f>"20190312160752078"</f>
        <v>20190312160752078</v>
      </c>
      <c r="B5297" t="str">
        <f>"1552378072070819"</f>
        <v>1552378072070819</v>
      </c>
      <c r="C5297" t="s">
        <v>40</v>
      </c>
      <c r="D5297">
        <v>6.3130559999999996</v>
      </c>
      <c r="E5297">
        <v>0.55092659999999904</v>
      </c>
      <c r="F5297" t="s">
        <v>44</v>
      </c>
      <c r="G5297">
        <v>-391.58710000000002</v>
      </c>
      <c r="H5297">
        <v>0.95481510000000003</v>
      </c>
      <c r="I5297">
        <v>140.60749999999999</v>
      </c>
      <c r="J5297">
        <v>-390.95389999999998</v>
      </c>
      <c r="K5297">
        <v>1.1139190000000001</v>
      </c>
      <c r="L5297">
        <v>140.57820000000001</v>
      </c>
      <c r="M5297">
        <v>-0.99352430000000003</v>
      </c>
      <c r="N5297">
        <v>0</v>
      </c>
      <c r="O5297">
        <v>-0.112676</v>
      </c>
      <c r="P5297">
        <v>-0.98720200000000002</v>
      </c>
      <c r="Q5297">
        <v>-1.4675689999999999E-3</v>
      </c>
      <c r="R5297">
        <v>-0.15947039999999901</v>
      </c>
      <c r="S5297">
        <v>-3.0310670000000002</v>
      </c>
      <c r="T5297">
        <v>-0.51327690000000004</v>
      </c>
      <c r="U5297">
        <v>-2.9159549999999999E-2</v>
      </c>
      <c r="V5297">
        <v>-4.7338270000000002E-2</v>
      </c>
      <c r="W5297">
        <v>1.2669049999999999E-2</v>
      </c>
      <c r="X5297">
        <v>0.99879850000000003</v>
      </c>
      <c r="Y5297">
        <v>0.1001013</v>
      </c>
      <c r="Z5297">
        <v>2.7329539999999999E-2</v>
      </c>
      <c r="AA5297">
        <v>0.99460179999999998</v>
      </c>
      <c r="AB5297">
        <v>31</v>
      </c>
      <c r="AC5297">
        <v>-0.63320000000004395</v>
      </c>
      <c r="AD5297">
        <v>-0.15910389999999999</v>
      </c>
      <c r="AE5297">
        <v>2.9299999999977899E-2</v>
      </c>
      <c r="AF5297">
        <v>9.45129751519804E-2</v>
      </c>
      <c r="AG5297">
        <v>-0.15910389999999999</v>
      </c>
      <c r="AH5297">
        <v>0.58877152820074896</v>
      </c>
      <c r="AI5297">
        <v>104.93932203836501</v>
      </c>
      <c r="AJ5297">
        <v>80.880355658133894</v>
      </c>
      <c r="AK5297">
        <v>0.61716988413817997</v>
      </c>
      <c r="AL5297">
        <v>89.274097434470207</v>
      </c>
      <c r="AM5297">
        <v>92.713515228809896</v>
      </c>
      <c r="AN5297">
        <v>0.99999993011836996</v>
      </c>
    </row>
    <row r="5298" spans="1:40" x14ac:dyDescent="0.25">
      <c r="A5298" t="str">
        <f>"20190312160752101"</f>
        <v>20190312160752101</v>
      </c>
      <c r="B5298" t="str">
        <f>"1552378072090339"</f>
        <v>1552378072090339</v>
      </c>
      <c r="C5298" t="s">
        <v>40</v>
      </c>
      <c r="D5298">
        <v>5.8813979999999999</v>
      </c>
      <c r="E5298">
        <v>0.4561945</v>
      </c>
      <c r="F5298" t="s">
        <v>44</v>
      </c>
      <c r="G5298">
        <v>-391.86529999999999</v>
      </c>
      <c r="H5298">
        <v>0.96054779999999995</v>
      </c>
      <c r="I5298">
        <v>140.56389999999999</v>
      </c>
      <c r="J5298">
        <v>-391.2627</v>
      </c>
      <c r="K5298">
        <v>1.11396299999999</v>
      </c>
      <c r="L5298">
        <v>140.53790000000001</v>
      </c>
      <c r="M5298">
        <v>-0.99294890000000002</v>
      </c>
      <c r="N5298">
        <v>0</v>
      </c>
      <c r="O5298">
        <v>-0.1176339</v>
      </c>
      <c r="P5298">
        <v>-0.98624270000000003</v>
      </c>
      <c r="Q5298">
        <v>-1.5253930000000001E-3</v>
      </c>
      <c r="R5298">
        <v>-0.1652959</v>
      </c>
      <c r="S5298">
        <v>-3.030243</v>
      </c>
      <c r="T5298">
        <v>-0.51047849999999995</v>
      </c>
      <c r="U5298">
        <v>-4.8843379999999999E-2</v>
      </c>
      <c r="V5298">
        <v>-4.8250330000000001E-2</v>
      </c>
      <c r="W5298">
        <v>1.262185E-2</v>
      </c>
      <c r="X5298">
        <v>0.99875550000000002</v>
      </c>
      <c r="Y5298">
        <v>9.8587880000000003E-2</v>
      </c>
      <c r="Z5298">
        <v>2.788533E-2</v>
      </c>
      <c r="AA5298">
        <v>0.9947376</v>
      </c>
      <c r="AB5298">
        <v>31</v>
      </c>
      <c r="AC5298">
        <v>-0.60259999999999503</v>
      </c>
      <c r="AD5298">
        <v>-0.153415199999999</v>
      </c>
      <c r="AE5298">
        <v>2.5999999999981999E-2</v>
      </c>
      <c r="AF5298">
        <v>9.0836571560147003E-2</v>
      </c>
      <c r="AG5298">
        <v>-0.153415199999999</v>
      </c>
      <c r="AH5298">
        <v>0.55918028040572099</v>
      </c>
      <c r="AI5298">
        <v>105.152686618194</v>
      </c>
      <c r="AJ5298">
        <v>80.773130978070299</v>
      </c>
      <c r="AK5298">
        <v>0.58691574550225001</v>
      </c>
      <c r="AL5298">
        <v>89.276802045689195</v>
      </c>
      <c r="AM5298">
        <v>92.765834637046297</v>
      </c>
      <c r="AN5298">
        <v>0.99999997711138999</v>
      </c>
    </row>
    <row r="5299" spans="1:40" x14ac:dyDescent="0.25">
      <c r="A5299" t="str">
        <f>"20190312160752124"</f>
        <v>20190312160752124</v>
      </c>
      <c r="B5299" t="str">
        <f>"1552378072120596"</f>
        <v>1552378072120596</v>
      </c>
      <c r="C5299" t="s">
        <v>40</v>
      </c>
      <c r="D5299">
        <v>6.0836870000000003</v>
      </c>
      <c r="E5299">
        <v>0.37003910000000001</v>
      </c>
      <c r="F5299" t="s">
        <v>89</v>
      </c>
      <c r="G5299">
        <v>-400.28149999999999</v>
      </c>
      <c r="H5299" s="1">
        <v>-4.6678590000000002E-6</v>
      </c>
      <c r="I5299">
        <v>137.98679999999999</v>
      </c>
      <c r="J5299">
        <v>-391.56920000000002</v>
      </c>
      <c r="K5299">
        <v>1.1140080000000001</v>
      </c>
      <c r="L5299">
        <v>140.49639999999999</v>
      </c>
      <c r="M5299">
        <v>-0.99234650000000002</v>
      </c>
      <c r="N5299">
        <v>0</v>
      </c>
      <c r="O5299">
        <v>-0.12260890000000001</v>
      </c>
      <c r="P5299">
        <v>-0.98531530000000001</v>
      </c>
      <c r="Q5299">
        <v>-1.6247259999999999E-3</v>
      </c>
      <c r="R5299">
        <v>-0.17073740000000001</v>
      </c>
      <c r="S5299">
        <v>-2.9036249999999999</v>
      </c>
      <c r="T5299">
        <v>-0.3586454</v>
      </c>
      <c r="U5299">
        <v>-0.82133480000000003</v>
      </c>
      <c r="V5299">
        <v>-4.8758040000000002E-2</v>
      </c>
      <c r="W5299">
        <v>1.253984E-2</v>
      </c>
      <c r="X5299">
        <v>0.99873190000000001</v>
      </c>
      <c r="Y5299">
        <v>-0.15193129999999999</v>
      </c>
      <c r="Z5299">
        <v>5.5414499999999998E-3</v>
      </c>
      <c r="AA5299">
        <v>0.98837549999999996</v>
      </c>
      <c r="AB5299">
        <v>31</v>
      </c>
      <c r="AC5299">
        <v>-8.7122999999999706</v>
      </c>
      <c r="AD5299">
        <v>-1.1140126678590001</v>
      </c>
      <c r="AE5299">
        <v>-2.5095999999999998</v>
      </c>
      <c r="AF5299">
        <v>-1.4011865126363501</v>
      </c>
      <c r="AG5299">
        <v>-1.1140126678590001</v>
      </c>
      <c r="AH5299">
        <v>8.8211104101697995</v>
      </c>
      <c r="AI5299">
        <v>97.109540123595593</v>
      </c>
      <c r="AJ5299">
        <v>99.025722976631101</v>
      </c>
      <c r="AK5299">
        <v>9.0009075506723502</v>
      </c>
      <c r="AL5299">
        <v>89.281501261791107</v>
      </c>
      <c r="AM5299">
        <v>92.794957929861098</v>
      </c>
      <c r="AN5299">
        <v>1.0000000010647301</v>
      </c>
    </row>
    <row r="5300" spans="1:40" x14ac:dyDescent="0.25">
      <c r="A5300" t="str">
        <f>"20190312160752144"</f>
        <v>20190312160752144</v>
      </c>
      <c r="B5300" t="str">
        <f>"1552378072141091"</f>
        <v>1552378072141091</v>
      </c>
      <c r="C5300" t="s">
        <v>40</v>
      </c>
      <c r="D5300">
        <v>6.2843710000000002</v>
      </c>
      <c r="E5300">
        <v>0.36617070000000002</v>
      </c>
      <c r="F5300" t="s">
        <v>89</v>
      </c>
      <c r="G5300">
        <v>-408.20940000000002</v>
      </c>
      <c r="H5300" s="1">
        <v>-5.9322760000000001E-6</v>
      </c>
      <c r="I5300">
        <v>131.3698</v>
      </c>
      <c r="J5300">
        <v>-391.87029999999999</v>
      </c>
      <c r="K5300">
        <v>1.114053</v>
      </c>
      <c r="L5300">
        <v>140.45400000000001</v>
      </c>
      <c r="M5300">
        <v>-0.99172229999999995</v>
      </c>
      <c r="N5300">
        <v>0</v>
      </c>
      <c r="O5300">
        <v>-0.12755559999999999</v>
      </c>
      <c r="P5300">
        <v>-0.98433590000000004</v>
      </c>
      <c r="Q5300">
        <v>-2.3377519999999998E-3</v>
      </c>
      <c r="R5300">
        <v>-0.1762879</v>
      </c>
      <c r="S5300">
        <v>-2.780151</v>
      </c>
      <c r="T5300">
        <v>-0.1861236</v>
      </c>
      <c r="U5300">
        <v>-1.524826</v>
      </c>
      <c r="V5300">
        <v>-4.940137E-2</v>
      </c>
      <c r="W5300">
        <v>1.1849429999999999E-2</v>
      </c>
      <c r="X5300">
        <v>0.9987087</v>
      </c>
      <c r="Y5300">
        <v>-0.36470580000000002</v>
      </c>
      <c r="Z5300">
        <v>-3.5040739999999998E-3</v>
      </c>
      <c r="AA5300">
        <v>0.93111619999999995</v>
      </c>
      <c r="AB5300">
        <v>31</v>
      </c>
      <c r="AC5300">
        <v>-16.339099999999998</v>
      </c>
      <c r="AD5300">
        <v>-1.1140589322759999</v>
      </c>
      <c r="AE5300">
        <v>-9.0842000000000098</v>
      </c>
      <c r="AF5300">
        <v>-6.9011019379733201</v>
      </c>
      <c r="AG5300">
        <v>-1.1140589322759999</v>
      </c>
      <c r="AH5300">
        <v>17.3030221713428</v>
      </c>
      <c r="AI5300">
        <v>93.422446945305495</v>
      </c>
      <c r="AJ5300">
        <v>111.743989594398</v>
      </c>
      <c r="AK5300">
        <v>18.661749958802499</v>
      </c>
      <c r="AL5300">
        <v>89.3210617729886</v>
      </c>
      <c r="AM5300">
        <v>92.831841585984705</v>
      </c>
      <c r="AN5300">
        <v>0.99999998590244499</v>
      </c>
    </row>
    <row r="5301" spans="1:40" x14ac:dyDescent="0.25">
      <c r="A5301" t="str">
        <f>"20190312160752167"</f>
        <v>20190312160752167</v>
      </c>
      <c r="B5301" t="str">
        <f>"1552378072161119"</f>
        <v>1552378072161119</v>
      </c>
      <c r="C5301" t="s">
        <v>40</v>
      </c>
      <c r="D5301">
        <v>6.0195410000000003</v>
      </c>
      <c r="E5301">
        <v>0.36678240000000001</v>
      </c>
      <c r="F5301" t="s">
        <v>89</v>
      </c>
      <c r="G5301">
        <v>-404.94830000000002</v>
      </c>
      <c r="H5301" s="1">
        <v>-4.4893759999999999E-6</v>
      </c>
      <c r="I5301">
        <v>133.03899999999999</v>
      </c>
      <c r="J5301">
        <v>-392.17910000000001</v>
      </c>
      <c r="K5301">
        <v>1.1141030000000001</v>
      </c>
      <c r="L5301">
        <v>140.40889999999999</v>
      </c>
      <c r="M5301">
        <v>-0.99104650000000005</v>
      </c>
      <c r="N5301">
        <v>0</v>
      </c>
      <c r="O5301">
        <v>-0.13270000000000001</v>
      </c>
      <c r="P5301">
        <v>-0.98326769999999997</v>
      </c>
      <c r="Q5301">
        <v>-2.4971870000000001E-3</v>
      </c>
      <c r="R5301">
        <v>-0.18215129999999999</v>
      </c>
      <c r="S5301">
        <v>-2.7662960000000001</v>
      </c>
      <c r="T5301">
        <v>-0.23564879999999999</v>
      </c>
      <c r="U5301">
        <v>-1.5684359999999999</v>
      </c>
      <c r="V5301">
        <v>-5.0171010000000002E-2</v>
      </c>
      <c r="W5301">
        <v>1.1714489999999999E-2</v>
      </c>
      <c r="X5301">
        <v>0.99867189999999995</v>
      </c>
      <c r="Y5301">
        <v>-0.37275940000000002</v>
      </c>
      <c r="Z5301">
        <v>-4.3607949999999998E-3</v>
      </c>
      <c r="AA5301">
        <v>0.92791780000000001</v>
      </c>
      <c r="AB5301">
        <v>31</v>
      </c>
      <c r="AC5301">
        <v>-12.7692</v>
      </c>
      <c r="AD5301">
        <v>-1.1141074893759999</v>
      </c>
      <c r="AE5301">
        <v>-7.3699000000000003</v>
      </c>
      <c r="AF5301">
        <v>-5.57819783927052</v>
      </c>
      <c r="AG5301">
        <v>-1.1141074893759999</v>
      </c>
      <c r="AH5301">
        <v>13.5569257299738</v>
      </c>
      <c r="AI5301">
        <v>94.346011698086798</v>
      </c>
      <c r="AJ5301">
        <v>112.365441615717</v>
      </c>
      <c r="AK5301">
        <v>14.7019645585191</v>
      </c>
      <c r="AL5301">
        <v>89.328793786013193</v>
      </c>
      <c r="AM5301">
        <v>92.875992064759402</v>
      </c>
      <c r="AN5301">
        <v>0.99999996168499405</v>
      </c>
    </row>
    <row r="5302" spans="1:40" x14ac:dyDescent="0.25">
      <c r="A5302" t="str">
        <f>"20190312160752189"</f>
        <v>20190312160752189</v>
      </c>
      <c r="B5302" t="str">
        <f>"1552378072180640"</f>
        <v>1552378072180640</v>
      </c>
      <c r="C5302" t="s">
        <v>40</v>
      </c>
      <c r="D5302">
        <v>5.8199139999999998</v>
      </c>
      <c r="E5302">
        <v>0.3661934</v>
      </c>
      <c r="F5302" t="s">
        <v>89</v>
      </c>
      <c r="G5302">
        <v>-404.24799999999999</v>
      </c>
      <c r="H5302" s="1">
        <v>-4.3934920000000002E-6</v>
      </c>
      <c r="I5302">
        <v>133.49870000000001</v>
      </c>
      <c r="J5302">
        <v>-392.4812</v>
      </c>
      <c r="K5302">
        <v>1.1141570000000001</v>
      </c>
      <c r="L5302">
        <v>140.3631</v>
      </c>
      <c r="M5302">
        <v>-0.99034880000000003</v>
      </c>
      <c r="N5302">
        <v>0</v>
      </c>
      <c r="O5302">
        <v>-0.13780629999999999</v>
      </c>
      <c r="P5302">
        <v>-0.98232540000000002</v>
      </c>
      <c r="Q5302">
        <v>-2.3793080000000001E-3</v>
      </c>
      <c r="R5302">
        <v>-0.1871659</v>
      </c>
      <c r="S5302">
        <v>-2.7578740000000002</v>
      </c>
      <c r="T5302">
        <v>-0.25458500000000001</v>
      </c>
      <c r="U5302">
        <v>-1.5790409999999999</v>
      </c>
      <c r="V5302">
        <v>-5.0122340000000001E-2</v>
      </c>
      <c r="W5302">
        <v>1.1863729999999999E-2</v>
      </c>
      <c r="X5302">
        <v>0.99867260000000002</v>
      </c>
      <c r="Y5302">
        <v>-0.37179380000000001</v>
      </c>
      <c r="Z5302">
        <v>-4.2512039999999997E-3</v>
      </c>
      <c r="AA5302">
        <v>0.92830559999999995</v>
      </c>
      <c r="AB5302">
        <v>31</v>
      </c>
      <c r="AC5302">
        <v>-11.7668</v>
      </c>
      <c r="AD5302">
        <v>-1.1141613934920001</v>
      </c>
      <c r="AE5302">
        <v>-6.8643999999999803</v>
      </c>
      <c r="AF5302">
        <v>-5.1427764435336698</v>
      </c>
      <c r="AG5302">
        <v>-1.1141613934920001</v>
      </c>
      <c r="AH5302">
        <v>12.5168446234194</v>
      </c>
      <c r="AI5302">
        <v>94.706790873705799</v>
      </c>
      <c r="AJ5302">
        <v>112.33621358199299</v>
      </c>
      <c r="AK5302">
        <v>13.5779565651734</v>
      </c>
      <c r="AL5302">
        <v>89.320242381397605</v>
      </c>
      <c r="AM5302">
        <v>92.873204782914399</v>
      </c>
      <c r="AN5302">
        <v>0.99999997952367403</v>
      </c>
    </row>
    <row r="5303" spans="1:40" x14ac:dyDescent="0.25">
      <c r="A5303" t="str">
        <f>"20190312160752212"</f>
        <v>20190312160752212</v>
      </c>
      <c r="B5303" t="str">
        <f>"1552378072201135"</f>
        <v>1552378072201135</v>
      </c>
      <c r="C5303" t="s">
        <v>40</v>
      </c>
      <c r="D5303">
        <v>6.1246080000000003</v>
      </c>
      <c r="E5303">
        <v>0.36581469999999999</v>
      </c>
      <c r="F5303" t="s">
        <v>89</v>
      </c>
      <c r="G5303">
        <v>-404.81630000000001</v>
      </c>
      <c r="H5303" s="1">
        <v>-4.5022109999999999E-6</v>
      </c>
      <c r="I5303">
        <v>133.1919</v>
      </c>
      <c r="J5303">
        <v>-392.7876</v>
      </c>
      <c r="K5303">
        <v>1.1142190000000001</v>
      </c>
      <c r="L5303">
        <v>140.31489999999999</v>
      </c>
      <c r="M5303">
        <v>-0.9896026</v>
      </c>
      <c r="N5303">
        <v>0</v>
      </c>
      <c r="O5303">
        <v>-0.14306259999999901</v>
      </c>
      <c r="P5303">
        <v>-0.9813404</v>
      </c>
      <c r="Q5303">
        <v>-2.2763829999999999E-3</v>
      </c>
      <c r="R5303">
        <v>-0.1922653</v>
      </c>
      <c r="S5303">
        <v>-2.748901</v>
      </c>
      <c r="T5303">
        <v>-0.2482935</v>
      </c>
      <c r="U5303">
        <v>-1.598114</v>
      </c>
      <c r="V5303">
        <v>-5.0009400000000002E-2</v>
      </c>
      <c r="W5303">
        <v>1.200391E-2</v>
      </c>
      <c r="X5303">
        <v>0.99867660000000003</v>
      </c>
      <c r="Y5303">
        <v>-0.37304739999999997</v>
      </c>
      <c r="Z5303">
        <v>-3.7770870000000002E-3</v>
      </c>
      <c r="AA5303">
        <v>0.92780459999999998</v>
      </c>
      <c r="AB5303">
        <v>31</v>
      </c>
      <c r="AC5303">
        <v>-12.028700000000001</v>
      </c>
      <c r="AD5303">
        <v>-1.1142235022110001</v>
      </c>
      <c r="AE5303">
        <v>-7.1229999999999896</v>
      </c>
      <c r="AF5303">
        <v>-5.2950299279061497</v>
      </c>
      <c r="AG5303">
        <v>-1.1142235022110001</v>
      </c>
      <c r="AH5303">
        <v>12.8425030478416</v>
      </c>
      <c r="AI5303">
        <v>94.585897907920895</v>
      </c>
      <c r="AJ5303">
        <v>112.406605317425</v>
      </c>
      <c r="AK5303">
        <v>13.9358788916997</v>
      </c>
      <c r="AL5303">
        <v>89.312210095909506</v>
      </c>
      <c r="AM5303">
        <v>92.866729977625994</v>
      </c>
      <c r="AN5303">
        <v>0.99999999266560402</v>
      </c>
    </row>
    <row r="5304" spans="1:40" x14ac:dyDescent="0.25">
      <c r="A5304" t="str">
        <f>"20190312160752235"</f>
        <v>20190312160752235</v>
      </c>
      <c r="B5304" t="str">
        <f>"1552378072230417"</f>
        <v>1552378072230417</v>
      </c>
      <c r="C5304" t="s">
        <v>40</v>
      </c>
      <c r="D5304">
        <v>6.1317579999999996</v>
      </c>
      <c r="E5304">
        <v>0.36516330000000002</v>
      </c>
      <c r="F5304" t="s">
        <v>89</v>
      </c>
      <c r="G5304">
        <v>-405.50970000000001</v>
      </c>
      <c r="H5304" s="1">
        <v>-4.7639299999999998E-6</v>
      </c>
      <c r="I5304">
        <v>132.8117</v>
      </c>
      <c r="J5304">
        <v>-393.08730000000003</v>
      </c>
      <c r="K5304">
        <v>1.114282</v>
      </c>
      <c r="L5304">
        <v>140.26609999999999</v>
      </c>
      <c r="M5304">
        <v>-0.98883259999999995</v>
      </c>
      <c r="N5304">
        <v>0</v>
      </c>
      <c r="O5304">
        <v>-0.14828659999999999</v>
      </c>
      <c r="P5304">
        <v>-0.98022679999999995</v>
      </c>
      <c r="Q5304">
        <v>-1.536429E-3</v>
      </c>
      <c r="R5304">
        <v>-0.19787179999999999</v>
      </c>
      <c r="S5304">
        <v>-2.7398989999999999</v>
      </c>
      <c r="T5304">
        <v>-0.23996519999999999</v>
      </c>
      <c r="U5304">
        <v>-1.6159209999999999</v>
      </c>
      <c r="V5304">
        <v>-5.0454150000000003E-2</v>
      </c>
      <c r="W5304">
        <v>1.277967E-2</v>
      </c>
      <c r="X5304">
        <v>0.99864459999999999</v>
      </c>
      <c r="Y5304">
        <v>-0.37401509999999999</v>
      </c>
      <c r="Z5304">
        <v>-3.2848019999999999E-3</v>
      </c>
      <c r="AA5304">
        <v>0.92741680000000004</v>
      </c>
      <c r="AB5304">
        <v>31</v>
      </c>
      <c r="AC5304">
        <v>-12.4223999999999</v>
      </c>
      <c r="AD5304">
        <v>-1.11428676392999</v>
      </c>
      <c r="AE5304">
        <v>-7.4543999999999899</v>
      </c>
      <c r="AF5304">
        <v>-5.4971695929897297</v>
      </c>
      <c r="AG5304">
        <v>-1.11428676392999</v>
      </c>
      <c r="AH5304">
        <v>13.3117925503631</v>
      </c>
      <c r="AI5304">
        <v>94.424122501887894</v>
      </c>
      <c r="AJ5304">
        <v>112.438416372441</v>
      </c>
      <c r="AK5304">
        <v>14.445218220236899</v>
      </c>
      <c r="AL5304">
        <v>89.267758904974002</v>
      </c>
      <c r="AM5304">
        <v>92.892274170403596</v>
      </c>
      <c r="AN5304">
        <v>0.99999998916334498</v>
      </c>
    </row>
    <row r="5305" spans="1:40" x14ac:dyDescent="0.25">
      <c r="A5305" t="str">
        <f>"20190312160752257"</f>
        <v>20190312160752257</v>
      </c>
      <c r="B5305" t="str">
        <f>"1552378072250911"</f>
        <v>1552378072250911</v>
      </c>
      <c r="C5305" t="s">
        <v>40</v>
      </c>
      <c r="D5305">
        <v>5.8032209999999997</v>
      </c>
      <c r="E5305">
        <v>0.36523359999999999</v>
      </c>
      <c r="F5305" t="s">
        <v>44</v>
      </c>
      <c r="G5305">
        <v>-394.09629999999999</v>
      </c>
      <c r="H5305">
        <v>1.029061</v>
      </c>
      <c r="I5305">
        <v>139.66120000000001</v>
      </c>
      <c r="J5305">
        <v>-393.40539999999999</v>
      </c>
      <c r="K5305">
        <v>1.114347</v>
      </c>
      <c r="L5305">
        <v>140.2122</v>
      </c>
      <c r="M5305">
        <v>-0.98796859999999997</v>
      </c>
      <c r="N5305">
        <v>0</v>
      </c>
      <c r="O5305">
        <v>-0.15393380000000001</v>
      </c>
      <c r="P5305">
        <v>-0.97913519999999998</v>
      </c>
      <c r="Q5305">
        <v>-1.5535799999999999E-3</v>
      </c>
      <c r="R5305">
        <v>-0.203205</v>
      </c>
      <c r="S5305">
        <v>-2.7297359999999999</v>
      </c>
      <c r="T5305">
        <v>-0.230549</v>
      </c>
      <c r="U5305">
        <v>-1.636871</v>
      </c>
      <c r="V5305">
        <v>-5.0187000000000002E-2</v>
      </c>
      <c r="W5305">
        <v>1.2808750000000001E-2</v>
      </c>
      <c r="X5305">
        <v>0.99865769999999998</v>
      </c>
      <c r="Y5305">
        <v>-0.37553799999999998</v>
      </c>
      <c r="Z5305">
        <v>-2.7944789999999999E-3</v>
      </c>
      <c r="AA5305">
        <v>0.92680280000000004</v>
      </c>
      <c r="AB5305">
        <v>31</v>
      </c>
      <c r="AC5305">
        <v>-0.69089999999999896</v>
      </c>
      <c r="AD5305">
        <v>-8.5285999999999904E-2</v>
      </c>
      <c r="AE5305">
        <v>-0.55099999999998694</v>
      </c>
      <c r="AF5305">
        <v>-0.43402406339243799</v>
      </c>
      <c r="AG5305">
        <v>-8.5285999999999904E-2</v>
      </c>
      <c r="AH5305">
        <v>0.760407959852757</v>
      </c>
      <c r="AI5305">
        <v>95.563509329177904</v>
      </c>
      <c r="AJ5305">
        <v>119.716769767188</v>
      </c>
      <c r="AK5305">
        <v>0.87969929794624402</v>
      </c>
      <c r="AL5305">
        <v>89.266092615554996</v>
      </c>
      <c r="AM5305">
        <v>92.876947970699902</v>
      </c>
      <c r="AN5305">
        <v>1.0000000004074201</v>
      </c>
    </row>
    <row r="5306" spans="1:40" x14ac:dyDescent="0.25">
      <c r="A5306" t="str">
        <f>"20190312160752279"</f>
        <v>20190312160752279</v>
      </c>
      <c r="B5306" t="str">
        <f>"1552378072270435"</f>
        <v>1552378072270435</v>
      </c>
      <c r="C5306" t="s">
        <v>40</v>
      </c>
      <c r="D5306">
        <v>5.8502859999999997</v>
      </c>
      <c r="E5306">
        <v>0.3652705</v>
      </c>
      <c r="F5306" t="s">
        <v>89</v>
      </c>
      <c r="G5306">
        <v>-406.83699999999999</v>
      </c>
      <c r="H5306" s="1">
        <v>-5.3176950000000004E-6</v>
      </c>
      <c r="I5306">
        <v>132.05860000000001</v>
      </c>
      <c r="J5306">
        <v>-393.69479999999999</v>
      </c>
      <c r="K5306">
        <v>1.1143989999999999</v>
      </c>
      <c r="L5306">
        <v>140.16149999999999</v>
      </c>
      <c r="M5306">
        <v>-0.98714259999999998</v>
      </c>
      <c r="N5306">
        <v>0</v>
      </c>
      <c r="O5306">
        <v>-0.15913920000000001</v>
      </c>
      <c r="P5306">
        <v>-0.97805719999999996</v>
      </c>
      <c r="Q5306">
        <v>-1.644986E-3</v>
      </c>
      <c r="R5306">
        <v>-0.20833019999999999</v>
      </c>
      <c r="S5306">
        <v>-2.7207949999999999</v>
      </c>
      <c r="T5306">
        <v>-0.2257316</v>
      </c>
      <c r="U5306">
        <v>-1.6516569999999999</v>
      </c>
      <c r="V5306">
        <v>-5.0154169999999998E-2</v>
      </c>
      <c r="W5306">
        <v>1.275535E-2</v>
      </c>
      <c r="X5306">
        <v>0.99865999999999999</v>
      </c>
      <c r="Y5306">
        <v>-0.37572030000000001</v>
      </c>
      <c r="Z5306">
        <v>-2.3631979999999999E-3</v>
      </c>
      <c r="AA5306">
        <v>0.9267301</v>
      </c>
      <c r="AB5306">
        <v>31</v>
      </c>
      <c r="AC5306">
        <v>-13.142200000000001</v>
      </c>
      <c r="AD5306">
        <v>-1.11440431769499</v>
      </c>
      <c r="AE5306">
        <v>-8.1028999999999698</v>
      </c>
      <c r="AF5306">
        <v>-5.87732089214132</v>
      </c>
      <c r="AG5306">
        <v>-1.11440431769499</v>
      </c>
      <c r="AH5306">
        <v>14.1903837431108</v>
      </c>
      <c r="AI5306">
        <v>94.149846114634599</v>
      </c>
      <c r="AJ5306">
        <v>112.498178548008</v>
      </c>
      <c r="AK5306">
        <v>15.3997333947455</v>
      </c>
      <c r="AL5306">
        <v>89.269152436216302</v>
      </c>
      <c r="AM5306">
        <v>92.8750625533918</v>
      </c>
      <c r="AN5306">
        <v>0.99999996766100496</v>
      </c>
    </row>
    <row r="5307" spans="1:40" x14ac:dyDescent="0.25">
      <c r="A5307" t="str">
        <f>"20190312160752301"</f>
        <v>20190312160752301</v>
      </c>
      <c r="B5307" t="str">
        <f>"1552378072290927"</f>
        <v>1552378072290927</v>
      </c>
      <c r="C5307" t="s">
        <v>40</v>
      </c>
      <c r="D5307">
        <v>5.8540890000000001</v>
      </c>
      <c r="E5307">
        <v>0.3650928</v>
      </c>
      <c r="F5307" t="s">
        <v>89</v>
      </c>
      <c r="G5307">
        <v>-407.22480000000002</v>
      </c>
      <c r="H5307" s="1">
        <v>-5.4857739999999998E-6</v>
      </c>
      <c r="I5307">
        <v>131.852</v>
      </c>
      <c r="J5307">
        <v>-393.9973</v>
      </c>
      <c r="K5307">
        <v>1.114449</v>
      </c>
      <c r="L5307">
        <v>140.10679999999999</v>
      </c>
      <c r="M5307">
        <v>-0.98623689999999997</v>
      </c>
      <c r="N5307">
        <v>0</v>
      </c>
      <c r="O5307">
        <v>-0.16465629999999901</v>
      </c>
      <c r="P5307">
        <v>-0.97687139999999995</v>
      </c>
      <c r="Q5307">
        <v>-1.561237E-3</v>
      </c>
      <c r="R5307">
        <v>-0.21382280000000001</v>
      </c>
      <c r="S5307">
        <v>-2.7121279999999999</v>
      </c>
      <c r="T5307">
        <v>-0.2233858</v>
      </c>
      <c r="U5307">
        <v>-1.6656799999999901</v>
      </c>
      <c r="V5307">
        <v>-5.0185050000000002E-2</v>
      </c>
      <c r="W5307">
        <v>1.287455E-2</v>
      </c>
      <c r="X5307">
        <v>0.99865689999999996</v>
      </c>
      <c r="Y5307">
        <v>-0.37536360000000002</v>
      </c>
      <c r="Z5307">
        <v>-1.9257390000000001E-3</v>
      </c>
      <c r="AA5307">
        <v>0.92687569999999997</v>
      </c>
      <c r="AB5307">
        <v>31</v>
      </c>
      <c r="AC5307">
        <v>-13.227499999999999</v>
      </c>
      <c r="AD5307">
        <v>-1.114454485774</v>
      </c>
      <c r="AE5307">
        <v>-8.2547999999999799</v>
      </c>
      <c r="AF5307">
        <v>-5.9335546259217899</v>
      </c>
      <c r="AG5307">
        <v>-1.114454485774</v>
      </c>
      <c r="AH5307">
        <v>14.333049156275701</v>
      </c>
      <c r="AI5307">
        <v>94.109155017120202</v>
      </c>
      <c r="AJ5307">
        <v>112.488436552606</v>
      </c>
      <c r="AK5307">
        <v>15.5526646403719</v>
      </c>
      <c r="AL5307">
        <v>89.262322204149001</v>
      </c>
      <c r="AM5307">
        <v>92.876838676274204</v>
      </c>
      <c r="AN5307">
        <v>0.999999948599406</v>
      </c>
    </row>
    <row r="5308" spans="1:40" x14ac:dyDescent="0.25">
      <c r="A5308" t="str">
        <f>"20190312160752324"</f>
        <v>20190312160752324</v>
      </c>
      <c r="B5308" t="str">
        <f>"1552378072310448"</f>
        <v>1552378072310448</v>
      </c>
      <c r="C5308" t="s">
        <v>40</v>
      </c>
      <c r="D5308">
        <v>5.8530449999999998</v>
      </c>
      <c r="E5308">
        <v>0.36518260000000002</v>
      </c>
      <c r="F5308" t="s">
        <v>89</v>
      </c>
      <c r="G5308">
        <v>-407.68950000000001</v>
      </c>
      <c r="H5308" s="1">
        <v>-5.6758949999999998E-6</v>
      </c>
      <c r="I5308">
        <v>131.58009999999999</v>
      </c>
      <c r="J5308">
        <v>-394.29669999999999</v>
      </c>
      <c r="K5308">
        <v>1.1144909999999999</v>
      </c>
      <c r="L5308">
        <v>140.05090000000001</v>
      </c>
      <c r="M5308">
        <v>-0.98529540000000004</v>
      </c>
      <c r="N5308">
        <v>0</v>
      </c>
      <c r="O5308">
        <v>-0.17019570000000001</v>
      </c>
      <c r="P5308">
        <v>-0.97576949999999996</v>
      </c>
      <c r="Q5308">
        <v>-1.56936799999999E-3</v>
      </c>
      <c r="R5308">
        <v>-0.2187955</v>
      </c>
      <c r="S5308">
        <v>-2.7023009999999998</v>
      </c>
      <c r="T5308">
        <v>-0.21994949999999999</v>
      </c>
      <c r="U5308">
        <v>-1.682831</v>
      </c>
      <c r="V5308">
        <v>-4.9661209999999997E-2</v>
      </c>
      <c r="W5308">
        <v>1.290411E-2</v>
      </c>
      <c r="X5308">
        <v>0.99868270000000003</v>
      </c>
      <c r="Y5308">
        <v>-0.37593480000000001</v>
      </c>
      <c r="Z5308">
        <v>-1.5225449999999999E-3</v>
      </c>
      <c r="AA5308">
        <v>0.92664489999999999</v>
      </c>
      <c r="AB5308">
        <v>31</v>
      </c>
      <c r="AC5308">
        <v>-13.392799999999999</v>
      </c>
      <c r="AD5308">
        <v>-1.1144966758949999</v>
      </c>
      <c r="AE5308">
        <v>-8.4708000000000201</v>
      </c>
      <c r="AF5308">
        <v>-6.0376665444539004</v>
      </c>
      <c r="AG5308">
        <v>-1.1144966758949999</v>
      </c>
      <c r="AH5308">
        <v>14.5671627930555</v>
      </c>
      <c r="AI5308">
        <v>94.042785184341199</v>
      </c>
      <c r="AJ5308">
        <v>112.512588891413</v>
      </c>
      <c r="AK5308">
        <v>15.808154603937099</v>
      </c>
      <c r="AL5308">
        <v>89.260628396384902</v>
      </c>
      <c r="AM5308">
        <v>92.846785984170793</v>
      </c>
      <c r="AN5308">
        <v>0.99999994355642097</v>
      </c>
    </row>
    <row r="5309" spans="1:40" x14ac:dyDescent="0.25">
      <c r="A5309" t="str">
        <f>"20190312160752346"</f>
        <v>20190312160752346</v>
      </c>
      <c r="B5309" t="str">
        <f>"1552378072340704"</f>
        <v>1552378072340704</v>
      </c>
      <c r="C5309" t="s">
        <v>40</v>
      </c>
      <c r="D5309">
        <v>6.358498</v>
      </c>
      <c r="E5309">
        <v>0.3653864</v>
      </c>
      <c r="F5309" t="s">
        <v>89</v>
      </c>
      <c r="G5309">
        <v>-408.00909999999999</v>
      </c>
      <c r="H5309" s="1">
        <v>-5.8182849999999996E-6</v>
      </c>
      <c r="I5309">
        <v>131.41829999999999</v>
      </c>
      <c r="J5309">
        <v>-394.59410000000003</v>
      </c>
      <c r="K5309">
        <v>1.114549</v>
      </c>
      <c r="L5309">
        <v>139.99350000000001</v>
      </c>
      <c r="M5309">
        <v>-0.98431170000000001</v>
      </c>
      <c r="N5309">
        <v>0</v>
      </c>
      <c r="O5309">
        <v>-0.17579330000000001</v>
      </c>
      <c r="P5309">
        <v>-0.97467910000000002</v>
      </c>
      <c r="Q5309">
        <v>-1.886455E-3</v>
      </c>
      <c r="R5309">
        <v>-0.223602</v>
      </c>
      <c r="S5309">
        <v>-2.693848</v>
      </c>
      <c r="T5309">
        <v>-0.21894620000000001</v>
      </c>
      <c r="U5309">
        <v>-1.695908</v>
      </c>
      <c r="V5309">
        <v>-4.8904679999999999E-2</v>
      </c>
      <c r="W5309">
        <v>1.2624710000000001E-2</v>
      </c>
      <c r="X5309">
        <v>0.99872369999999999</v>
      </c>
      <c r="Y5309">
        <v>-0.37521900000000002</v>
      </c>
      <c r="Z5309">
        <v>-1.0907989999999999E-3</v>
      </c>
      <c r="AA5309">
        <v>0.92693559999999997</v>
      </c>
      <c r="AB5309">
        <v>31</v>
      </c>
      <c r="AC5309">
        <v>-13.4149999999999</v>
      </c>
      <c r="AD5309">
        <v>-1.114554818285</v>
      </c>
      <c r="AE5309">
        <v>-8.5752000000000201</v>
      </c>
      <c r="AF5309">
        <v>-6.0534294193414402</v>
      </c>
      <c r="AG5309">
        <v>-1.114554818285</v>
      </c>
      <c r="AH5309">
        <v>14.641924433602099</v>
      </c>
      <c r="AI5309">
        <v>94.023893198807997</v>
      </c>
      <c r="AJ5309">
        <v>112.461731425824</v>
      </c>
      <c r="AK5309">
        <v>15.8830787726192</v>
      </c>
      <c r="AL5309">
        <v>89.276638212181595</v>
      </c>
      <c r="AM5309">
        <v>92.803373368322994</v>
      </c>
      <c r="AN5309">
        <v>1.0000000399850799</v>
      </c>
    </row>
    <row r="5310" spans="1:40" x14ac:dyDescent="0.25">
      <c r="A5310" t="str">
        <f>"20190312160752369"</f>
        <v>20190312160752369</v>
      </c>
      <c r="B5310" t="str">
        <f>"1552378072361203"</f>
        <v>1552378072361203</v>
      </c>
      <c r="C5310" t="s">
        <v>40</v>
      </c>
      <c r="D5310">
        <v>5.8012569999999997</v>
      </c>
      <c r="E5310">
        <v>0.36555120000000002</v>
      </c>
      <c r="F5310" t="s">
        <v>89</v>
      </c>
      <c r="G5310">
        <v>-408.2432</v>
      </c>
      <c r="H5310" s="1">
        <v>-5.9293790000000004E-6</v>
      </c>
      <c r="I5310">
        <v>131.3141</v>
      </c>
      <c r="J5310">
        <v>-394.89679999999998</v>
      </c>
      <c r="K5310">
        <v>1.1146130000000001</v>
      </c>
      <c r="L5310">
        <v>139.9332</v>
      </c>
      <c r="M5310">
        <v>-0.98325839999999998</v>
      </c>
      <c r="N5310">
        <v>0</v>
      </c>
      <c r="O5310">
        <v>-0.18158879999999999</v>
      </c>
      <c r="P5310">
        <v>-0.97351350000000003</v>
      </c>
      <c r="Q5310">
        <v>-1.6681510000000001E-3</v>
      </c>
      <c r="R5310">
        <v>-0.22862389999999999</v>
      </c>
      <c r="S5310">
        <v>-2.68573</v>
      </c>
      <c r="T5310">
        <v>-0.21931100000000001</v>
      </c>
      <c r="U5310">
        <v>-1.70784</v>
      </c>
      <c r="V5310">
        <v>-4.8175389999999998E-2</v>
      </c>
      <c r="W5310">
        <v>1.287693E-2</v>
      </c>
      <c r="X5310">
        <v>0.99875590000000003</v>
      </c>
      <c r="Y5310">
        <v>-0.37397330000000001</v>
      </c>
      <c r="Z5310">
        <v>-6.3252260000000004E-4</v>
      </c>
      <c r="AA5310">
        <v>0.92743920000000002</v>
      </c>
      <c r="AB5310">
        <v>31</v>
      </c>
      <c r="AC5310">
        <v>-13.346399999999999</v>
      </c>
      <c r="AD5310">
        <v>-1.1146189293790001</v>
      </c>
      <c r="AE5310">
        <v>-8.6190999999999995</v>
      </c>
      <c r="AF5310">
        <v>-6.02229552908664</v>
      </c>
      <c r="AG5310">
        <v>-1.1146189293790001</v>
      </c>
      <c r="AH5310">
        <v>14.617821612333699</v>
      </c>
      <c r="AI5310">
        <v>94.032789455853205</v>
      </c>
      <c r="AJ5310">
        <v>112.390833487915</v>
      </c>
      <c r="AK5310">
        <v>15.849010299933401</v>
      </c>
      <c r="AL5310">
        <v>89.2621858783601</v>
      </c>
      <c r="AM5310">
        <v>92.761544431615405</v>
      </c>
      <c r="AN5310">
        <v>1.00000001565634</v>
      </c>
    </row>
    <row r="5311" spans="1:40" x14ac:dyDescent="0.25">
      <c r="A5311" t="str">
        <f>"20190312160752390"</f>
        <v>20190312160752390</v>
      </c>
      <c r="B5311" t="str">
        <f>"1552378072380720"</f>
        <v>1552378072380720</v>
      </c>
      <c r="C5311" t="s">
        <v>40</v>
      </c>
      <c r="D5311">
        <v>6.1861470000000001</v>
      </c>
      <c r="E5311">
        <v>0.3657379</v>
      </c>
      <c r="F5311" t="s">
        <v>89</v>
      </c>
      <c r="G5311">
        <v>-408.50920000000002</v>
      </c>
      <c r="H5311" s="1">
        <v>-6.0509659999999997E-6</v>
      </c>
      <c r="I5311">
        <v>131.1859</v>
      </c>
      <c r="J5311">
        <v>-395.18239999999997</v>
      </c>
      <c r="K5311">
        <v>1.1146929999999999</v>
      </c>
      <c r="L5311">
        <v>139.87450000000001</v>
      </c>
      <c r="M5311">
        <v>-0.98221139999999996</v>
      </c>
      <c r="N5311">
        <v>0</v>
      </c>
      <c r="O5311">
        <v>-0.1871671</v>
      </c>
      <c r="P5311">
        <v>-0.97233930000000002</v>
      </c>
      <c r="Q5311">
        <v>-1.581917E-3</v>
      </c>
      <c r="R5311">
        <v>-0.23356850000000001</v>
      </c>
      <c r="S5311">
        <v>-2.6772459999999998</v>
      </c>
      <c r="T5311">
        <v>-0.21921969999999999</v>
      </c>
      <c r="U5311">
        <v>-1.7203980000000001</v>
      </c>
      <c r="V5311">
        <v>-4.7585250000000003E-2</v>
      </c>
      <c r="W5311">
        <v>1.2990410000000001E-2</v>
      </c>
      <c r="X5311">
        <v>0.99878270000000002</v>
      </c>
      <c r="Y5311">
        <v>-0.3731391</v>
      </c>
      <c r="Z5311">
        <v>-2.0294820000000001E-4</v>
      </c>
      <c r="AA5311">
        <v>0.92777540000000003</v>
      </c>
      <c r="AB5311">
        <v>31</v>
      </c>
      <c r="AC5311">
        <v>-13.3268</v>
      </c>
      <c r="AD5311">
        <v>-1.114699050966</v>
      </c>
      <c r="AE5311">
        <v>-8.6885999999999992</v>
      </c>
      <c r="AF5311">
        <v>-6.0108858360362296</v>
      </c>
      <c r="AG5311">
        <v>-1.114699050966</v>
      </c>
      <c r="AH5311">
        <v>14.645739767894501</v>
      </c>
      <c r="AI5311">
        <v>94.027623958681104</v>
      </c>
      <c r="AJ5311">
        <v>112.314164751307</v>
      </c>
      <c r="AK5311">
        <v>15.8704440976607</v>
      </c>
      <c r="AL5311">
        <v>89.255683393609701</v>
      </c>
      <c r="AM5311">
        <v>92.727694327676602</v>
      </c>
      <c r="AN5311">
        <v>0.99999999429441</v>
      </c>
    </row>
    <row r="5312" spans="1:40" x14ac:dyDescent="0.25">
      <c r="A5312" t="str">
        <f>"20190312160752412"</f>
        <v>20190312160752412</v>
      </c>
      <c r="B5312" t="str">
        <f>"1552378072401215"</f>
        <v>1552378072401215</v>
      </c>
      <c r="C5312" t="s">
        <v>40</v>
      </c>
      <c r="D5312">
        <v>6.1283979999999998</v>
      </c>
      <c r="E5312">
        <v>0.36589500000000003</v>
      </c>
      <c r="F5312" t="s">
        <v>89</v>
      </c>
      <c r="G5312">
        <v>-408.77749999999997</v>
      </c>
      <c r="H5312" s="1">
        <v>-6.169118E-6</v>
      </c>
      <c r="I5312">
        <v>131.047</v>
      </c>
      <c r="J5312">
        <v>-395.47919999999999</v>
      </c>
      <c r="K5312">
        <v>1.114779</v>
      </c>
      <c r="L5312">
        <v>139.8116</v>
      </c>
      <c r="M5312">
        <v>-0.98106439999999995</v>
      </c>
      <c r="N5312">
        <v>0</v>
      </c>
      <c r="O5312">
        <v>-0.19308649999999999</v>
      </c>
      <c r="P5312">
        <v>-0.97094230000000004</v>
      </c>
      <c r="Q5312">
        <v>-1.620451E-3</v>
      </c>
      <c r="R5312">
        <v>-0.2393081</v>
      </c>
      <c r="S5312">
        <v>-2.6687319999999999</v>
      </c>
      <c r="T5312">
        <v>-0.21881700000000001</v>
      </c>
      <c r="U5312">
        <v>-1.7328490000000001</v>
      </c>
      <c r="V5312">
        <v>-4.746525E-2</v>
      </c>
      <c r="W5312">
        <v>1.297134E-2</v>
      </c>
      <c r="X5312">
        <v>0.99878869999999997</v>
      </c>
      <c r="Y5312">
        <v>-0.37195850000000003</v>
      </c>
      <c r="Z5312">
        <v>2.6377289999999999E-4</v>
      </c>
      <c r="AA5312">
        <v>0.92824930000000005</v>
      </c>
      <c r="AB5312">
        <v>31</v>
      </c>
      <c r="AC5312">
        <v>-13.2982999999999</v>
      </c>
      <c r="AD5312">
        <v>-1.114785169118</v>
      </c>
      <c r="AE5312">
        <v>-8.7645999999999997</v>
      </c>
      <c r="AF5312">
        <v>-6.0022032564651298</v>
      </c>
      <c r="AG5312">
        <v>-1.114785169118</v>
      </c>
      <c r="AH5312">
        <v>14.6686470736062</v>
      </c>
      <c r="AI5312">
        <v>94.023398866198207</v>
      </c>
      <c r="AJ5312">
        <v>112.25368481927801</v>
      </c>
      <c r="AK5312">
        <v>15.888310069835001</v>
      </c>
      <c r="AL5312">
        <v>89.256776147519105</v>
      </c>
      <c r="AM5312">
        <v>92.7208096851801</v>
      </c>
      <c r="AN5312">
        <v>1.0000000364333199</v>
      </c>
    </row>
    <row r="5313" spans="1:40" x14ac:dyDescent="0.25">
      <c r="A5313" t="str">
        <f>"20190312160752436"</f>
        <v>20190312160752436</v>
      </c>
      <c r="B5313" t="str">
        <f>"1552378072430500"</f>
        <v>1552378072430500</v>
      </c>
      <c r="C5313" t="s">
        <v>40</v>
      </c>
      <c r="D5313">
        <v>6.1297600000000001</v>
      </c>
      <c r="E5313">
        <v>0.36608790000000002</v>
      </c>
      <c r="F5313" t="s">
        <v>89</v>
      </c>
      <c r="G5313">
        <v>-409.01139999999998</v>
      </c>
      <c r="H5313" s="1">
        <v>-6.2685479999999998E-6</v>
      </c>
      <c r="I5313">
        <v>130.91820000000001</v>
      </c>
      <c r="J5313">
        <v>-395.78019999999998</v>
      </c>
      <c r="K5313">
        <v>1.1148769999999999</v>
      </c>
      <c r="L5313">
        <v>139.7457</v>
      </c>
      <c r="M5313">
        <v>-0.97983379999999998</v>
      </c>
      <c r="N5313">
        <v>0</v>
      </c>
      <c r="O5313">
        <v>-0.19923569999999999</v>
      </c>
      <c r="P5313">
        <v>-0.96930340000000004</v>
      </c>
      <c r="Q5313">
        <v>-1.4767910000000001E-3</v>
      </c>
      <c r="R5313">
        <v>-0.24586379999999999</v>
      </c>
      <c r="S5313">
        <v>-2.6587519999999998</v>
      </c>
      <c r="T5313">
        <v>-0.2190288</v>
      </c>
      <c r="U5313">
        <v>-1.7473449999999999</v>
      </c>
      <c r="V5313">
        <v>-4.7954740000000003E-2</v>
      </c>
      <c r="W5313">
        <v>1.3123920000000001E-2</v>
      </c>
      <c r="X5313">
        <v>0.99876330000000002</v>
      </c>
      <c r="Y5313">
        <v>-0.37128420000000001</v>
      </c>
      <c r="Z5313">
        <v>7.2866209999999996E-4</v>
      </c>
      <c r="AA5313">
        <v>0.92851899999999998</v>
      </c>
      <c r="AB5313">
        <v>31</v>
      </c>
      <c r="AC5313">
        <v>-13.231199999999999</v>
      </c>
      <c r="AD5313">
        <v>-1.1148832685479999</v>
      </c>
      <c r="AE5313">
        <v>-8.8274999999999793</v>
      </c>
      <c r="AF5313">
        <v>-5.9846464938992296</v>
      </c>
      <c r="AG5313">
        <v>-1.1148832685479999</v>
      </c>
      <c r="AH5313">
        <v>14.6528388994209</v>
      </c>
      <c r="AI5313">
        <v>94.029142795848003</v>
      </c>
      <c r="AJ5313">
        <v>112.21653572540001</v>
      </c>
      <c r="AK5313">
        <v>15.867093185956</v>
      </c>
      <c r="AL5313">
        <v>89.248033195105506</v>
      </c>
      <c r="AM5313">
        <v>92.748895282551004</v>
      </c>
      <c r="AN5313">
        <v>1.0000000118957599</v>
      </c>
    </row>
    <row r="5314" spans="1:40" x14ac:dyDescent="0.25">
      <c r="A5314" t="str">
        <f>"20190312160752457"</f>
        <v>20190312160752457</v>
      </c>
      <c r="B5314" t="str">
        <f>"1552378072450992"</f>
        <v>1552378072450992</v>
      </c>
      <c r="C5314" t="s">
        <v>40</v>
      </c>
      <c r="D5314">
        <v>6.1150169999999999</v>
      </c>
      <c r="E5314">
        <v>0.36631649999999999</v>
      </c>
      <c r="F5314" t="s">
        <v>89</v>
      </c>
      <c r="G5314">
        <v>-409.28039999999999</v>
      </c>
      <c r="H5314" s="1">
        <v>-6.3735050000000004E-6</v>
      </c>
      <c r="I5314">
        <v>130.75</v>
      </c>
      <c r="J5314">
        <v>-396.07600000000002</v>
      </c>
      <c r="K5314">
        <v>1.114978</v>
      </c>
      <c r="L5314">
        <v>139.67869999999999</v>
      </c>
      <c r="M5314">
        <v>-0.97855080000000005</v>
      </c>
      <c r="N5314">
        <v>0</v>
      </c>
      <c r="O5314">
        <v>-0.20544270000000001</v>
      </c>
      <c r="P5314">
        <v>-0.96761600000000003</v>
      </c>
      <c r="Q5314">
        <v>-1.192816E-3</v>
      </c>
      <c r="R5314">
        <v>-0.25242429999999999</v>
      </c>
      <c r="S5314">
        <v>-2.6472169999999999</v>
      </c>
      <c r="T5314">
        <v>-0.21861369999999999</v>
      </c>
      <c r="U5314">
        <v>-1.7639309999999999</v>
      </c>
      <c r="V5314">
        <v>-4.8396019999999998E-2</v>
      </c>
      <c r="W5314">
        <v>1.341524E-2</v>
      </c>
      <c r="X5314">
        <v>0.99873809999999996</v>
      </c>
      <c r="Y5314">
        <v>-0.37130920000000001</v>
      </c>
      <c r="Z5314">
        <v>1.1695360000000001E-3</v>
      </c>
      <c r="AA5314">
        <v>0.92850860000000002</v>
      </c>
      <c r="AB5314">
        <v>30</v>
      </c>
      <c r="AC5314">
        <v>-13.2044</v>
      </c>
      <c r="AD5314">
        <v>-1.114984373505</v>
      </c>
      <c r="AE5314">
        <v>-8.9286999999999903</v>
      </c>
      <c r="AF5314">
        <v>-5.9957996333790398</v>
      </c>
      <c r="AG5314">
        <v>-1.114984373505</v>
      </c>
      <c r="AH5314">
        <v>14.685366858585001</v>
      </c>
      <c r="AI5314">
        <v>94.0208146126798</v>
      </c>
      <c r="AJ5314">
        <v>112.209405691398</v>
      </c>
      <c r="AK5314">
        <v>15.9013459546045</v>
      </c>
      <c r="AL5314">
        <v>89.231340285220298</v>
      </c>
      <c r="AM5314">
        <v>92.774221196984001</v>
      </c>
      <c r="AN5314">
        <v>0.99999996790385304</v>
      </c>
    </row>
    <row r="5315" spans="1:40" x14ac:dyDescent="0.25">
      <c r="A5315" t="str">
        <f>"20190312160752480"</f>
        <v>20190312160752480</v>
      </c>
      <c r="B5315" t="str">
        <f>"1552378072470512"</f>
        <v>1552378072470512</v>
      </c>
      <c r="C5315" t="s">
        <v>40</v>
      </c>
      <c r="D5315">
        <v>6.0782999999999996</v>
      </c>
      <c r="E5315">
        <v>0.36652960000000001</v>
      </c>
      <c r="F5315" t="s">
        <v>89</v>
      </c>
      <c r="G5315">
        <v>-409.54570000000001</v>
      </c>
      <c r="H5315" s="1">
        <v>-6.4713579999999997E-6</v>
      </c>
      <c r="I5315">
        <v>130.58109999999999</v>
      </c>
      <c r="J5315">
        <v>-396.36450000000002</v>
      </c>
      <c r="K5315">
        <v>1.11507</v>
      </c>
      <c r="L5315">
        <v>139.6114</v>
      </c>
      <c r="M5315">
        <v>-0.97723329999999997</v>
      </c>
      <c r="N5315">
        <v>0</v>
      </c>
      <c r="O5315">
        <v>-0.2116189</v>
      </c>
      <c r="P5315">
        <v>-0.96599590000000002</v>
      </c>
      <c r="Q5315">
        <v>-9.8929550000000002E-4</v>
      </c>
      <c r="R5315">
        <v>-0.2585558</v>
      </c>
      <c r="S5315">
        <v>-2.635742</v>
      </c>
      <c r="T5315">
        <v>-0.21817990000000001</v>
      </c>
      <c r="U5315">
        <v>-1.7802279999999999</v>
      </c>
      <c r="V5315">
        <v>-4.8427810000000002E-2</v>
      </c>
      <c r="W5315">
        <v>1.362932E-2</v>
      </c>
      <c r="X5315">
        <v>0.99873369999999995</v>
      </c>
      <c r="Y5315">
        <v>-0.37127680000000002</v>
      </c>
      <c r="Z5315">
        <v>1.609206E-3</v>
      </c>
      <c r="AA5315">
        <v>0.92852089999999998</v>
      </c>
      <c r="AB5315">
        <v>30</v>
      </c>
      <c r="AC5315">
        <v>-13.181199999999899</v>
      </c>
      <c r="AD5315">
        <v>-1.1150764713579999</v>
      </c>
      <c r="AE5315">
        <v>-9.0303000000000093</v>
      </c>
      <c r="AF5315">
        <v>-6.0067645703088299</v>
      </c>
      <c r="AG5315">
        <v>-1.1150764713579999</v>
      </c>
      <c r="AH5315">
        <v>14.722105505488001</v>
      </c>
      <c r="AI5315">
        <v>94.011527149149501</v>
      </c>
      <c r="AJ5315">
        <v>112.195945057144</v>
      </c>
      <c r="AK5315">
        <v>15.9394167601834</v>
      </c>
      <c r="AL5315">
        <v>89.2190733135415</v>
      </c>
      <c r="AM5315">
        <v>92.776052867045806</v>
      </c>
      <c r="AN5315">
        <v>1.0000000073303701</v>
      </c>
    </row>
    <row r="5316" spans="1:40" x14ac:dyDescent="0.25">
      <c r="A5316" t="str">
        <f>"20190312160752502"</f>
        <v>20190312160752502</v>
      </c>
      <c r="B5316" t="str">
        <f>"1552378072491008"</f>
        <v>1552378072491008</v>
      </c>
      <c r="C5316" t="s">
        <v>40</v>
      </c>
      <c r="D5316">
        <v>6.0623820000000004</v>
      </c>
      <c r="E5316">
        <v>0.3667878</v>
      </c>
      <c r="F5316" t="s">
        <v>89</v>
      </c>
      <c r="G5316">
        <v>-409.78730000000002</v>
      </c>
      <c r="H5316" s="1">
        <v>-6.5559859999999996E-6</v>
      </c>
      <c r="I5316">
        <v>130.43049999999999</v>
      </c>
      <c r="J5316">
        <v>-396.65960000000001</v>
      </c>
      <c r="K5316">
        <v>1.1151580000000001</v>
      </c>
      <c r="L5316">
        <v>139.54040000000001</v>
      </c>
      <c r="M5316">
        <v>-0.97581269999999998</v>
      </c>
      <c r="N5316">
        <v>0</v>
      </c>
      <c r="O5316">
        <v>-0.2180753</v>
      </c>
      <c r="P5316">
        <v>-0.96429969999999998</v>
      </c>
      <c r="Q5316">
        <v>-1.0976510000000001E-3</v>
      </c>
      <c r="R5316">
        <v>-0.26481120000000002</v>
      </c>
      <c r="S5316">
        <v>-2.6248469999999999</v>
      </c>
      <c r="T5316">
        <v>-0.21805379999999999</v>
      </c>
      <c r="U5316">
        <v>-1.795334</v>
      </c>
      <c r="V5316">
        <v>-4.8299759999999997E-2</v>
      </c>
      <c r="W5316">
        <v>1.353205E-2</v>
      </c>
      <c r="X5316">
        <v>0.9987412</v>
      </c>
      <c r="Y5316">
        <v>-0.37058980000000002</v>
      </c>
      <c r="Z5316">
        <v>2.0951500000000001E-3</v>
      </c>
      <c r="AA5316">
        <v>0.92879429999999996</v>
      </c>
      <c r="AB5316">
        <v>30</v>
      </c>
      <c r="AC5316">
        <v>-13.127700000000001</v>
      </c>
      <c r="AD5316">
        <v>-1.115164555986</v>
      </c>
      <c r="AE5316">
        <v>-9.1099000000000103</v>
      </c>
      <c r="AF5316">
        <v>-5.9982156003708997</v>
      </c>
      <c r="AG5316">
        <v>-1.115164555986</v>
      </c>
      <c r="AH5316">
        <v>14.726814479898399</v>
      </c>
      <c r="AI5316">
        <v>94.0115579881776</v>
      </c>
      <c r="AJ5316">
        <v>112.161014488999</v>
      </c>
      <c r="AK5316">
        <v>15.9405535380929</v>
      </c>
      <c r="AL5316">
        <v>89.224646969810905</v>
      </c>
      <c r="AM5316">
        <v>92.768703267029395</v>
      </c>
      <c r="AN5316">
        <v>0.99999998388534905</v>
      </c>
    </row>
    <row r="5317" spans="1:40" x14ac:dyDescent="0.25">
      <c r="A5317" t="str">
        <f>"20190312160752526"</f>
        <v>20190312160752526</v>
      </c>
      <c r="B5317" t="str">
        <f>"1552378072521264"</f>
        <v>1552378072521264</v>
      </c>
      <c r="C5317" t="s">
        <v>40</v>
      </c>
      <c r="D5317">
        <v>5.7614640000000001</v>
      </c>
      <c r="E5317">
        <v>0.36706440000000001</v>
      </c>
      <c r="F5317" t="s">
        <v>89</v>
      </c>
      <c r="G5317">
        <v>-409.9486</v>
      </c>
      <c r="H5317" s="1">
        <v>-6.6151859999999998E-6</v>
      </c>
      <c r="I5317">
        <v>130.33619999999999</v>
      </c>
      <c r="J5317">
        <v>-396.95530000000002</v>
      </c>
      <c r="K5317">
        <v>1.1152519999999999</v>
      </c>
      <c r="L5317">
        <v>139.46700000000001</v>
      </c>
      <c r="M5317">
        <v>-0.97431000000000001</v>
      </c>
      <c r="N5317">
        <v>0</v>
      </c>
      <c r="O5317">
        <v>-0.22469220000000001</v>
      </c>
      <c r="P5317">
        <v>-0.96265820000000002</v>
      </c>
      <c r="Q5317">
        <v>-1.2782220000000001E-3</v>
      </c>
      <c r="R5317">
        <v>-0.27071790000000001</v>
      </c>
      <c r="S5317">
        <v>-2.6136780000000002</v>
      </c>
      <c r="T5317">
        <v>-0.21933040000000001</v>
      </c>
      <c r="U5317">
        <v>-1.8102720000000001</v>
      </c>
      <c r="V5317">
        <v>-4.76455E-2</v>
      </c>
      <c r="W5317">
        <v>1.336851E-2</v>
      </c>
      <c r="X5317">
        <v>0.99877479999999996</v>
      </c>
      <c r="Y5317">
        <v>-0.36974370000000001</v>
      </c>
      <c r="Z5317">
        <v>2.6154429999999998E-3</v>
      </c>
      <c r="AA5317">
        <v>0.92913009999999996</v>
      </c>
      <c r="AB5317">
        <v>30</v>
      </c>
      <c r="AC5317">
        <v>-12.9932999999999</v>
      </c>
      <c r="AD5317">
        <v>-1.115258615186</v>
      </c>
      <c r="AE5317">
        <v>-9.1308000000000202</v>
      </c>
      <c r="AF5317">
        <v>-5.9480991240961503</v>
      </c>
      <c r="AG5317">
        <v>-1.115258615186</v>
      </c>
      <c r="AH5317">
        <v>14.6406334998115</v>
      </c>
      <c r="AI5317">
        <v>94.0368731557882</v>
      </c>
      <c r="AJ5317">
        <v>112.11059635480299</v>
      </c>
      <c r="AK5317">
        <v>15.8420905894589</v>
      </c>
      <c r="AL5317">
        <v>89.234017948025794</v>
      </c>
      <c r="AM5317">
        <v>92.7311643380486</v>
      </c>
      <c r="AN5317">
        <v>0.99999995592245405</v>
      </c>
    </row>
    <row r="5318" spans="1:40" x14ac:dyDescent="0.25">
      <c r="A5318" t="str">
        <f>"20190312160752547"</f>
        <v>20190312160752547</v>
      </c>
      <c r="B5318" t="str">
        <f>"1552378072540784"</f>
        <v>1552378072540784</v>
      </c>
      <c r="C5318" t="s">
        <v>40</v>
      </c>
      <c r="D5318">
        <v>6.0722670000000001</v>
      </c>
      <c r="E5318">
        <v>0.3673129</v>
      </c>
      <c r="F5318" t="s">
        <v>89</v>
      </c>
      <c r="G5318">
        <v>-410.12549999999999</v>
      </c>
      <c r="H5318" s="1">
        <v>-6.5625000000000003E-6</v>
      </c>
      <c r="I5318">
        <v>130.2363</v>
      </c>
      <c r="J5318">
        <v>-397.23989999999998</v>
      </c>
      <c r="K5318">
        <v>1.115345</v>
      </c>
      <c r="L5318">
        <v>139.39420000000001</v>
      </c>
      <c r="M5318">
        <v>-0.97278339999999996</v>
      </c>
      <c r="N5318">
        <v>0</v>
      </c>
      <c r="O5318">
        <v>-0.23121069999999999</v>
      </c>
      <c r="P5318">
        <v>-0.96090560000000003</v>
      </c>
      <c r="Q5318">
        <v>-6.0673239999999896E-4</v>
      </c>
      <c r="R5318">
        <v>-0.27687590000000001</v>
      </c>
      <c r="S5318">
        <v>-2.6029969999999998</v>
      </c>
      <c r="T5318">
        <v>-0.2204227</v>
      </c>
      <c r="U5318">
        <v>-1.824371</v>
      </c>
      <c r="V5318">
        <v>-4.7365499999999998E-2</v>
      </c>
      <c r="W5318">
        <v>1.40508E-2</v>
      </c>
      <c r="X5318">
        <v>0.99877879999999997</v>
      </c>
      <c r="Y5318">
        <v>-0.36870180000000002</v>
      </c>
      <c r="Z5318">
        <v>3.139962E-3</v>
      </c>
      <c r="AA5318">
        <v>0.92954239999999999</v>
      </c>
      <c r="AB5318">
        <v>30</v>
      </c>
      <c r="AC5318">
        <v>-12.8856</v>
      </c>
      <c r="AD5318">
        <v>-1.1153515624999999</v>
      </c>
      <c r="AE5318">
        <v>-9.1579000000000104</v>
      </c>
      <c r="AF5318">
        <v>-5.9006854733233904</v>
      </c>
      <c r="AG5318">
        <v>-1.1153515624999999</v>
      </c>
      <c r="AH5318">
        <v>14.5814322911015</v>
      </c>
      <c r="AI5318">
        <v>94.055799766958899</v>
      </c>
      <c r="AJ5318">
        <v>112.03176060353999</v>
      </c>
      <c r="AK5318">
        <v>15.7695994185977</v>
      </c>
      <c r="AL5318">
        <v>89.194921972094306</v>
      </c>
      <c r="AM5318">
        <v>92.715127238926399</v>
      </c>
      <c r="AN5318">
        <v>1.0000000034501599</v>
      </c>
    </row>
    <row r="5319" spans="1:40" x14ac:dyDescent="0.25">
      <c r="A5319" t="str">
        <f>"20190312160752570"</f>
        <v>20190312160752570</v>
      </c>
      <c r="B5319" t="str">
        <f>"1552378072561281"</f>
        <v>1552378072561281</v>
      </c>
      <c r="C5319" t="s">
        <v>40</v>
      </c>
      <c r="D5319">
        <v>6.0396190000000001</v>
      </c>
      <c r="E5319">
        <v>0.36760700000000002</v>
      </c>
      <c r="F5319" t="s">
        <v>89</v>
      </c>
      <c r="G5319">
        <v>-410.4212</v>
      </c>
      <c r="H5319" s="1">
        <v>-6.4525940000000001E-6</v>
      </c>
      <c r="I5319">
        <v>130.04169999999999</v>
      </c>
      <c r="J5319">
        <v>-397.52449999999999</v>
      </c>
      <c r="K5319">
        <v>1.1154580000000001</v>
      </c>
      <c r="L5319">
        <v>139.3193</v>
      </c>
      <c r="M5319">
        <v>-0.97117189999999998</v>
      </c>
      <c r="N5319">
        <v>0</v>
      </c>
      <c r="O5319">
        <v>-0.23788690000000001</v>
      </c>
      <c r="P5319">
        <v>-0.95898039999999996</v>
      </c>
      <c r="Q5319">
        <v>-8.6397679999999997E-4</v>
      </c>
      <c r="R5319">
        <v>-0.28347070000000002</v>
      </c>
      <c r="S5319">
        <v>-2.5920100000000001</v>
      </c>
      <c r="T5319">
        <v>-0.2193253</v>
      </c>
      <c r="U5319">
        <v>-1.8390960000000001</v>
      </c>
      <c r="V5319">
        <v>-4.7367090000000001E-2</v>
      </c>
      <c r="W5319">
        <v>1.379906E-2</v>
      </c>
      <c r="X5319">
        <v>0.99878219999999995</v>
      </c>
      <c r="Y5319">
        <v>-0.36770829999999999</v>
      </c>
      <c r="Z5319">
        <v>3.643365E-3</v>
      </c>
      <c r="AA5319">
        <v>0.92993400000000004</v>
      </c>
      <c r="AB5319">
        <v>30</v>
      </c>
      <c r="AC5319">
        <v>-12.896699999999999</v>
      </c>
      <c r="AD5319">
        <v>-1.1154644525939901</v>
      </c>
      <c r="AE5319">
        <v>-9.2775999999999996</v>
      </c>
      <c r="AF5319">
        <v>-5.9137334702554796</v>
      </c>
      <c r="AG5319">
        <v>-1.1154644525939901</v>
      </c>
      <c r="AH5319">
        <v>14.661386314080699</v>
      </c>
      <c r="AI5319">
        <v>94.036001562665206</v>
      </c>
      <c r="AJ5319">
        <v>111.96689712598899</v>
      </c>
      <c r="AK5319">
        <v>15.848430621135099</v>
      </c>
      <c r="AL5319">
        <v>89.209346983101298</v>
      </c>
      <c r="AM5319">
        <v>92.715209016757598</v>
      </c>
      <c r="AN5319">
        <v>0.99999996915439504</v>
      </c>
    </row>
    <row r="5320" spans="1:40" x14ac:dyDescent="0.25">
      <c r="A5320" t="str">
        <f>"20190312160752592"</f>
        <v>20190312160752592</v>
      </c>
      <c r="B5320" t="str">
        <f>"1552378072580801"</f>
        <v>1552378072580801</v>
      </c>
      <c r="C5320" t="s">
        <v>40</v>
      </c>
      <c r="D5320">
        <v>6.0056279999999997</v>
      </c>
      <c r="E5320">
        <v>0.3678399</v>
      </c>
      <c r="F5320" t="s">
        <v>89</v>
      </c>
      <c r="G5320">
        <v>-410.60789999999997</v>
      </c>
      <c r="H5320" s="1">
        <v>-6.3897010000000002E-6</v>
      </c>
      <c r="I5320">
        <v>129.91390000000001</v>
      </c>
      <c r="J5320">
        <v>-397.81139999999999</v>
      </c>
      <c r="K5320">
        <v>1.1155679999999999</v>
      </c>
      <c r="L5320">
        <v>139.2415</v>
      </c>
      <c r="M5320">
        <v>-0.96945610000000004</v>
      </c>
      <c r="N5320">
        <v>0</v>
      </c>
      <c r="O5320">
        <v>-0.24478440000000001</v>
      </c>
      <c r="P5320">
        <v>-0.95671079999999997</v>
      </c>
      <c r="Q5320">
        <v>-2.4924609999999999E-4</v>
      </c>
      <c r="R5320">
        <v>-0.29104069999999999</v>
      </c>
      <c r="S5320">
        <v>-2.5799259999999999</v>
      </c>
      <c r="T5320">
        <v>-0.2199605</v>
      </c>
      <c r="U5320">
        <v>-1.85466</v>
      </c>
      <c r="V5320">
        <v>-4.817345E-2</v>
      </c>
      <c r="W5320">
        <v>1.4406489999999999E-2</v>
      </c>
      <c r="X5320">
        <v>0.99873509999999999</v>
      </c>
      <c r="Y5320">
        <v>-0.36687520000000001</v>
      </c>
      <c r="Z5320">
        <v>4.1854589999999999E-3</v>
      </c>
      <c r="AA5320">
        <v>0.9302608</v>
      </c>
      <c r="AB5320">
        <v>30</v>
      </c>
      <c r="AC5320">
        <v>-12.796499999999901</v>
      </c>
      <c r="AD5320">
        <v>-1.115574389701</v>
      </c>
      <c r="AE5320">
        <v>-9.3275999999999897</v>
      </c>
      <c r="AF5320">
        <v>-5.8818193722837897</v>
      </c>
      <c r="AG5320">
        <v>-1.115574389701</v>
      </c>
      <c r="AH5320">
        <v>14.6180754617733</v>
      </c>
      <c r="AI5320">
        <v>94.049699612609203</v>
      </c>
      <c r="AJ5320">
        <v>111.91818720724</v>
      </c>
      <c r="AK5320">
        <v>15.796469084995801</v>
      </c>
      <c r="AL5320">
        <v>89.174540381762299</v>
      </c>
      <c r="AM5320">
        <v>92.761490819210493</v>
      </c>
      <c r="AN5320">
        <v>1.0000000141055101</v>
      </c>
    </row>
    <row r="5321" spans="1:40" x14ac:dyDescent="0.25">
      <c r="A5321" t="str">
        <f>"20190312160752614"</f>
        <v>20190312160752614</v>
      </c>
      <c r="B5321" t="str">
        <f>"1552378072611056"</f>
        <v>1552378072611056</v>
      </c>
      <c r="C5321" t="s">
        <v>40</v>
      </c>
      <c r="D5321">
        <v>6.0511489999999997</v>
      </c>
      <c r="E5321">
        <v>0.36827769999999999</v>
      </c>
      <c r="F5321" t="s">
        <v>89</v>
      </c>
      <c r="G5321">
        <v>-410.92380000000003</v>
      </c>
      <c r="H5321" s="1">
        <v>-6.2712089999999998E-6</v>
      </c>
      <c r="I5321">
        <v>129.66800000000001</v>
      </c>
      <c r="J5321">
        <v>-398.09980000000002</v>
      </c>
      <c r="K5321">
        <v>1.115702</v>
      </c>
      <c r="L5321">
        <v>139.16079999999999</v>
      </c>
      <c r="M5321">
        <v>-0.96763129999999997</v>
      </c>
      <c r="N5321">
        <v>0</v>
      </c>
      <c r="O5321">
        <v>-0.25190030000000002</v>
      </c>
      <c r="P5321">
        <v>-0.95436390000000004</v>
      </c>
      <c r="Q5321">
        <v>-7.8404319999999996E-4</v>
      </c>
      <c r="R5321">
        <v>-0.29864590000000002</v>
      </c>
      <c r="S5321">
        <v>-2.5658259999999999</v>
      </c>
      <c r="T5321">
        <v>-0.21829489999999999</v>
      </c>
      <c r="U5321">
        <v>-1.8733219999999999</v>
      </c>
      <c r="V5321">
        <v>-4.8781480000000002E-2</v>
      </c>
      <c r="W5321">
        <v>1.3866760000000001E-2</v>
      </c>
      <c r="X5321">
        <v>0.99871319999999997</v>
      </c>
      <c r="Y5321">
        <v>-0.36690709999999999</v>
      </c>
      <c r="Z5321">
        <v>4.6654879999999998E-3</v>
      </c>
      <c r="AA5321">
        <v>0.93024589999999996</v>
      </c>
      <c r="AB5321">
        <v>30</v>
      </c>
      <c r="AC5321">
        <v>-12.824</v>
      </c>
      <c r="AD5321">
        <v>-1.1157082712090001</v>
      </c>
      <c r="AE5321">
        <v>-9.4927999999999795</v>
      </c>
      <c r="AF5321">
        <v>-5.9268818433096699</v>
      </c>
      <c r="AG5321">
        <v>-1.1157082712090001</v>
      </c>
      <c r="AH5321">
        <v>14.7298619146022</v>
      </c>
      <c r="AI5321">
        <v>94.019540019483799</v>
      </c>
      <c r="AJ5321">
        <v>111.918466349111</v>
      </c>
      <c r="AK5321">
        <v>15.9167071140436</v>
      </c>
      <c r="AL5321">
        <v>89.205467702386201</v>
      </c>
      <c r="AM5321">
        <v>92.796351724342898</v>
      </c>
      <c r="AN5321">
        <v>0.99999998783906296</v>
      </c>
    </row>
    <row r="5322" spans="1:40" x14ac:dyDescent="0.25">
      <c r="A5322" t="str">
        <f>"20190312160752637"</f>
        <v>20190312160752637</v>
      </c>
      <c r="B5322" t="str">
        <f>"1552378072630576"</f>
        <v>1552378072630576</v>
      </c>
      <c r="C5322" t="s">
        <v>40</v>
      </c>
      <c r="D5322">
        <v>5.6433220000000004</v>
      </c>
      <c r="E5322">
        <v>0.36854999999999999</v>
      </c>
      <c r="F5322" t="s">
        <v>89</v>
      </c>
      <c r="G5322">
        <v>-410.95940000000002</v>
      </c>
      <c r="H5322" s="1">
        <v>-6.2558570000000004E-6</v>
      </c>
      <c r="I5322">
        <v>129.6354</v>
      </c>
      <c r="J5322">
        <v>-398.3886</v>
      </c>
      <c r="K5322">
        <v>1.115831</v>
      </c>
      <c r="L5322">
        <v>139.07730000000001</v>
      </c>
      <c r="M5322">
        <v>-0.96569070000000001</v>
      </c>
      <c r="N5322">
        <v>0</v>
      </c>
      <c r="O5322">
        <v>-0.2592392</v>
      </c>
      <c r="P5322">
        <v>-0.95189599999999996</v>
      </c>
      <c r="Q5322">
        <v>-1.296438E-3</v>
      </c>
      <c r="R5322">
        <v>-0.30641929999999901</v>
      </c>
      <c r="S5322">
        <v>-2.5517880000000002</v>
      </c>
      <c r="T5322">
        <v>-0.2213947</v>
      </c>
      <c r="U5322">
        <v>-1.8901669999999999</v>
      </c>
      <c r="V5322">
        <v>-4.9341860000000001E-2</v>
      </c>
      <c r="W5322">
        <v>1.3349440000000001E-2</v>
      </c>
      <c r="X5322">
        <v>0.99869280000000005</v>
      </c>
      <c r="Y5322">
        <v>-0.36626520000000001</v>
      </c>
      <c r="Z5322">
        <v>5.2943240000000004E-3</v>
      </c>
      <c r="AA5322">
        <v>0.93049539999999997</v>
      </c>
      <c r="AB5322">
        <v>30</v>
      </c>
      <c r="AC5322">
        <v>-12.5708</v>
      </c>
      <c r="AD5322">
        <v>-1.115837255857</v>
      </c>
      <c r="AE5322">
        <v>-9.4419000000000004</v>
      </c>
      <c r="AF5322">
        <v>-5.8304342109516396</v>
      </c>
      <c r="AG5322">
        <v>-1.115837255857</v>
      </c>
      <c r="AH5322">
        <v>14.515819981807001</v>
      </c>
      <c r="AI5322">
        <v>94.080081884292298</v>
      </c>
      <c r="AJ5322">
        <v>111.883388602048</v>
      </c>
      <c r="AK5322">
        <v>15.6827320838565</v>
      </c>
      <c r="AL5322">
        <v>89.235110761627695</v>
      </c>
      <c r="AM5322">
        <v>92.828480786620801</v>
      </c>
      <c r="AN5322">
        <v>1.0000000677342</v>
      </c>
    </row>
    <row r="5323" spans="1:40" x14ac:dyDescent="0.25">
      <c r="A5323" t="str">
        <f>"20190312160752658"</f>
        <v>20190312160752658</v>
      </c>
      <c r="B5323" t="str">
        <f>"1552378072651072"</f>
        <v>1552378072651072</v>
      </c>
      <c r="C5323" t="s">
        <v>40</v>
      </c>
      <c r="D5323">
        <v>5.6248620000000003</v>
      </c>
      <c r="E5323">
        <v>0.3688843</v>
      </c>
      <c r="F5323" t="s">
        <v>89</v>
      </c>
      <c r="G5323">
        <v>-411.06110000000001</v>
      </c>
      <c r="H5323" s="1">
        <v>-6.2036220000000004E-6</v>
      </c>
      <c r="I5323">
        <v>129.54060000000001</v>
      </c>
      <c r="J5323">
        <v>-398.66649999999998</v>
      </c>
      <c r="K5323">
        <v>1.115947</v>
      </c>
      <c r="L5323">
        <v>138.99449999999999</v>
      </c>
      <c r="M5323">
        <v>-0.96372369999999996</v>
      </c>
      <c r="N5323">
        <v>0</v>
      </c>
      <c r="O5323">
        <v>-0.26645780000000002</v>
      </c>
      <c r="P5323">
        <v>-0.94952099999999995</v>
      </c>
      <c r="Q5323">
        <v>-8.0141049999999997E-4</v>
      </c>
      <c r="R5323">
        <v>-0.31370310000000001</v>
      </c>
      <c r="S5323">
        <v>-2.5367739999999999</v>
      </c>
      <c r="T5323">
        <v>-0.2233675</v>
      </c>
      <c r="U5323">
        <v>-1.9090419999999999</v>
      </c>
      <c r="V5323">
        <v>-4.9532E-2</v>
      </c>
      <c r="W5323">
        <v>1.384578E-2</v>
      </c>
      <c r="X5323">
        <v>0.99867649999999997</v>
      </c>
      <c r="Y5323">
        <v>-0.3663788</v>
      </c>
      <c r="Z5323">
        <v>5.871818E-3</v>
      </c>
      <c r="AA5323">
        <v>0.93044720000000003</v>
      </c>
      <c r="AB5323">
        <v>30</v>
      </c>
      <c r="AC5323">
        <v>-12.394600000000001</v>
      </c>
      <c r="AD5323">
        <v>-1.1159532036219999</v>
      </c>
      <c r="AE5323">
        <v>-9.4538999999999707</v>
      </c>
      <c r="AF5323">
        <v>-5.7793791952951201</v>
      </c>
      <c r="AG5323">
        <v>-1.1159532036219999</v>
      </c>
      <c r="AH5323">
        <v>14.3919916661324</v>
      </c>
      <c r="AI5323">
        <v>94.115622747717794</v>
      </c>
      <c r="AJ5323">
        <v>111.878870135645</v>
      </c>
      <c r="AK5323">
        <v>15.5491478722697</v>
      </c>
      <c r="AL5323">
        <v>89.206669843845305</v>
      </c>
      <c r="AM5323">
        <v>92.839408867845805</v>
      </c>
      <c r="AN5323">
        <v>0.99999993815002697</v>
      </c>
    </row>
    <row r="5324" spans="1:40" x14ac:dyDescent="0.25">
      <c r="A5324" t="str">
        <f>"20190312160752681"</f>
        <v>20190312160752681</v>
      </c>
      <c r="B5324" t="str">
        <f>"1552378072670592"</f>
        <v>1552378072670592</v>
      </c>
      <c r="C5324" t="s">
        <v>40</v>
      </c>
      <c r="D5324">
        <v>6.0113519999999996</v>
      </c>
      <c r="E5324">
        <v>0.36918800000000002</v>
      </c>
      <c r="F5324" t="s">
        <v>89</v>
      </c>
      <c r="G5324">
        <v>-411.35</v>
      </c>
      <c r="H5324" s="1">
        <v>-6.0697119999999898E-6</v>
      </c>
      <c r="I5324">
        <v>129.3107</v>
      </c>
      <c r="J5324">
        <v>-398.94900000000001</v>
      </c>
      <c r="K5324">
        <v>1.1160600000000001</v>
      </c>
      <c r="L5324">
        <v>138.90790000000001</v>
      </c>
      <c r="M5324">
        <v>-0.96161819999999998</v>
      </c>
      <c r="N5324">
        <v>0</v>
      </c>
      <c r="O5324">
        <v>-0.27395799999999998</v>
      </c>
      <c r="P5324">
        <v>-0.94697019999999998</v>
      </c>
      <c r="Q5324">
        <v>-3.8990379999999999E-4</v>
      </c>
      <c r="R5324">
        <v>-0.32132169999999999</v>
      </c>
      <c r="S5324">
        <v>-2.522888</v>
      </c>
      <c r="T5324">
        <v>-0.2219766</v>
      </c>
      <c r="U5324">
        <v>-1.9262239999999999</v>
      </c>
      <c r="V5324">
        <v>-4.9785059999999999E-2</v>
      </c>
      <c r="W5324">
        <v>1.4257250000000001E-2</v>
      </c>
      <c r="X5324">
        <v>0.99865820000000005</v>
      </c>
      <c r="Y5324">
        <v>-0.36562280000000003</v>
      </c>
      <c r="Z5324">
        <v>6.4166589999999999E-3</v>
      </c>
      <c r="AA5324">
        <v>0.93074100000000004</v>
      </c>
      <c r="AB5324">
        <v>30</v>
      </c>
      <c r="AC5324">
        <v>-12.401</v>
      </c>
      <c r="AD5324">
        <v>-1.116066069712</v>
      </c>
      <c r="AE5324">
        <v>-9.5972000000000097</v>
      </c>
      <c r="AF5324">
        <v>-5.8027864880477296</v>
      </c>
      <c r="AG5324">
        <v>-1.116066069712</v>
      </c>
      <c r="AH5324">
        <v>14.482621077621401</v>
      </c>
      <c r="AI5324">
        <v>94.091631144161695</v>
      </c>
      <c r="AJ5324">
        <v>111.834613383099</v>
      </c>
      <c r="AK5324">
        <v>15.641746954090401</v>
      </c>
      <c r="AL5324">
        <v>89.183092079482407</v>
      </c>
      <c r="AM5324">
        <v>92.853943754313505</v>
      </c>
      <c r="AN5324">
        <v>1.000000010902</v>
      </c>
    </row>
    <row r="5325" spans="1:40" x14ac:dyDescent="0.25">
      <c r="A5325" t="str">
        <f>"20190312160752703"</f>
        <v>20190312160752703</v>
      </c>
      <c r="B5325" t="str">
        <f>"1552378072691088"</f>
        <v>1552378072691088</v>
      </c>
      <c r="C5325" t="s">
        <v>40</v>
      </c>
      <c r="D5325">
        <v>6.0180389999999999</v>
      </c>
      <c r="E5325">
        <v>0.369475</v>
      </c>
      <c r="F5325" t="s">
        <v>89</v>
      </c>
      <c r="G5325">
        <v>-411.61520000000002</v>
      </c>
      <c r="H5325" s="1">
        <v>-5.9411949999999996E-6</v>
      </c>
      <c r="I5325">
        <v>129.08869999999999</v>
      </c>
      <c r="J5325">
        <v>-399.22609999999997</v>
      </c>
      <c r="K5325">
        <v>1.116169</v>
      </c>
      <c r="L5325">
        <v>138.82050000000001</v>
      </c>
      <c r="M5325">
        <v>-0.95944110000000005</v>
      </c>
      <c r="N5325">
        <v>0</v>
      </c>
      <c r="O5325">
        <v>-0.28148669999999998</v>
      </c>
      <c r="P5325">
        <v>-0.94431609999999999</v>
      </c>
      <c r="Q5325">
        <v>3.0376019999999999E-4</v>
      </c>
      <c r="R5325">
        <v>-0.32903969999999999</v>
      </c>
      <c r="S5325">
        <v>-2.5081180000000001</v>
      </c>
      <c r="T5325">
        <v>-0.22099949999999999</v>
      </c>
      <c r="U5325">
        <v>-1.944366</v>
      </c>
      <c r="V5325">
        <v>-5.0122649999999998E-2</v>
      </c>
      <c r="W5325">
        <v>1.494907E-2</v>
      </c>
      <c r="X5325">
        <v>0.99863120000000005</v>
      </c>
      <c r="Y5325">
        <v>-0.3652051</v>
      </c>
      <c r="Z5325">
        <v>6.9576100000000004E-3</v>
      </c>
      <c r="AA5325">
        <v>0.93090110000000004</v>
      </c>
      <c r="AB5325">
        <v>30</v>
      </c>
      <c r="AC5325">
        <v>-12.389099999999999</v>
      </c>
      <c r="AD5325">
        <v>-1.1161749411949999</v>
      </c>
      <c r="AE5325">
        <v>-9.7318000000000193</v>
      </c>
      <c r="AF5325">
        <v>-5.8211983750267997</v>
      </c>
      <c r="AG5325">
        <v>-1.1161749411949999</v>
      </c>
      <c r="AH5325">
        <v>14.5546666949654</v>
      </c>
      <c r="AI5325">
        <v>94.072847548280293</v>
      </c>
      <c r="AJ5325">
        <v>111.79914148849799</v>
      </c>
      <c r="AK5325">
        <v>15.7152957217578</v>
      </c>
      <c r="AL5325">
        <v>89.143449488582405</v>
      </c>
      <c r="AM5325">
        <v>92.873341438376301</v>
      </c>
      <c r="AN5325">
        <v>1.0000000141751599</v>
      </c>
    </row>
    <row r="5326" spans="1:40" x14ac:dyDescent="0.25">
      <c r="A5326" t="str">
        <f>"20190312160752727"</f>
        <v>20190312160752727</v>
      </c>
      <c r="B5326" t="str">
        <f>"1552378072720368"</f>
        <v>1552378072720368</v>
      </c>
      <c r="C5326" t="s">
        <v>40</v>
      </c>
      <c r="D5326">
        <v>6.0347109999999997</v>
      </c>
      <c r="E5326">
        <v>0.3797275</v>
      </c>
      <c r="F5326" t="s">
        <v>89</v>
      </c>
      <c r="G5326">
        <v>-411.88909999999998</v>
      </c>
      <c r="H5326" s="1">
        <v>-5.8048270000000004E-6</v>
      </c>
      <c r="I5326">
        <v>128.85230000000001</v>
      </c>
      <c r="J5326">
        <v>-399.51979999999998</v>
      </c>
      <c r="K5326">
        <v>1.116274</v>
      </c>
      <c r="L5326">
        <v>138.72499999999999</v>
      </c>
      <c r="M5326">
        <v>-0.95700819999999998</v>
      </c>
      <c r="N5326">
        <v>0</v>
      </c>
      <c r="O5326">
        <v>-0.2896495</v>
      </c>
      <c r="P5326">
        <v>-0.94149689999999997</v>
      </c>
      <c r="Q5326">
        <v>4.6879050000000002E-4</v>
      </c>
      <c r="R5326">
        <v>-0.33702179999999998</v>
      </c>
      <c r="S5326">
        <v>-2.4931640000000002</v>
      </c>
      <c r="T5326">
        <v>-0.21975980000000001</v>
      </c>
      <c r="U5326">
        <v>-1.962601</v>
      </c>
      <c r="V5326">
        <v>-5.0076339999999997E-2</v>
      </c>
      <c r="W5326">
        <v>1.5118799999999899E-2</v>
      </c>
      <c r="X5326">
        <v>0.99863089999999999</v>
      </c>
      <c r="Y5326">
        <v>-0.36421320000000001</v>
      </c>
      <c r="Z5326">
        <v>7.552919E-3</v>
      </c>
      <c r="AA5326">
        <v>0.93128500000000003</v>
      </c>
      <c r="AB5326">
        <v>30</v>
      </c>
      <c r="AC5326">
        <v>-12.369300000000001</v>
      </c>
      <c r="AD5326">
        <v>-1.116279804827</v>
      </c>
      <c r="AE5326">
        <v>-9.8726999999999805</v>
      </c>
      <c r="AF5326">
        <v>-5.8371531165486603</v>
      </c>
      <c r="AG5326">
        <v>-1.116279804827</v>
      </c>
      <c r="AH5326">
        <v>14.626132268035599</v>
      </c>
      <c r="AI5326">
        <v>94.054594874921506</v>
      </c>
      <c r="AJ5326">
        <v>111.756481592434</v>
      </c>
      <c r="AK5326">
        <v>15.787405810669799</v>
      </c>
      <c r="AL5326">
        <v>89.133723517968207</v>
      </c>
      <c r="AM5326">
        <v>92.870691965344605</v>
      </c>
      <c r="AN5326">
        <v>0.99999994618802102</v>
      </c>
    </row>
    <row r="5327" spans="1:40" x14ac:dyDescent="0.25">
      <c r="A5327" t="str">
        <f>"20190312160752748"</f>
        <v>20190312160752748</v>
      </c>
      <c r="B5327" t="str">
        <f>"1552378072740864"</f>
        <v>1552378072740864</v>
      </c>
      <c r="C5327" t="s">
        <v>40</v>
      </c>
      <c r="D5327">
        <v>6.0159330000000004</v>
      </c>
      <c r="E5327">
        <v>0.38029000000000002</v>
      </c>
      <c r="F5327" t="s">
        <v>89</v>
      </c>
      <c r="G5327">
        <v>-410.20909999999998</v>
      </c>
      <c r="H5327" s="1">
        <v>-6.7117240000000003E-6</v>
      </c>
      <c r="I5327">
        <v>130.59450000000001</v>
      </c>
      <c r="J5327">
        <v>-399.79149999999998</v>
      </c>
      <c r="K5327">
        <v>1.116387</v>
      </c>
      <c r="L5327">
        <v>138.63399999999999</v>
      </c>
      <c r="M5327">
        <v>-0.95463600000000004</v>
      </c>
      <c r="N5327">
        <v>0</v>
      </c>
      <c r="O5327">
        <v>-0.29737370000000002</v>
      </c>
      <c r="P5327">
        <v>-0.93865270000000001</v>
      </c>
      <c r="Q5327">
        <v>-3.9592199999999999E-4</v>
      </c>
      <c r="R5327">
        <v>-0.344864</v>
      </c>
      <c r="S5327">
        <v>-2.504578</v>
      </c>
      <c r="T5327">
        <v>-0.26155319999999999</v>
      </c>
      <c r="U5327">
        <v>-1.9050290000000001</v>
      </c>
      <c r="V5327">
        <v>-5.0328390000000001E-2</v>
      </c>
      <c r="W5327">
        <v>1.425439E-2</v>
      </c>
      <c r="X5327">
        <v>0.99863100000000005</v>
      </c>
      <c r="Y5327">
        <v>-0.34111909999999901</v>
      </c>
      <c r="Z5327">
        <v>1.0747019999999999E-2</v>
      </c>
      <c r="AA5327">
        <v>0.93995859999999998</v>
      </c>
      <c r="AB5327">
        <v>30</v>
      </c>
      <c r="AC5327">
        <v>-10.417599999999901</v>
      </c>
      <c r="AD5327">
        <v>-1.1163937117239999</v>
      </c>
      <c r="AE5327">
        <v>-8.0394999999999701</v>
      </c>
      <c r="AF5327">
        <v>-4.5447118883744704</v>
      </c>
      <c r="AG5327">
        <v>-1.1163937117239999</v>
      </c>
      <c r="AH5327">
        <v>12.249062408816201</v>
      </c>
      <c r="AI5327">
        <v>94.884018333312596</v>
      </c>
      <c r="AJ5327">
        <v>110.35612730531</v>
      </c>
      <c r="AK5327">
        <v>13.1125997026899</v>
      </c>
      <c r="AL5327">
        <v>89.1832559566855</v>
      </c>
      <c r="AM5327">
        <v>92.885116422792905</v>
      </c>
      <c r="AN5327">
        <v>1.00000000431763</v>
      </c>
    </row>
    <row r="5328" spans="1:40" x14ac:dyDescent="0.25">
      <c r="A5328" t="str">
        <f>"20190312160752770"</f>
        <v>20190312160752770</v>
      </c>
      <c r="B5328" t="str">
        <f>"1552378072760385"</f>
        <v>1552378072760385</v>
      </c>
      <c r="C5328" t="s">
        <v>40</v>
      </c>
      <c r="D5328">
        <v>6.07057</v>
      </c>
      <c r="E5328">
        <v>0.38057669999999999</v>
      </c>
      <c r="F5328" t="s">
        <v>89</v>
      </c>
      <c r="G5328">
        <v>-410.18610000000001</v>
      </c>
      <c r="H5328" s="1">
        <v>-6.7215620000000004E-6</v>
      </c>
      <c r="I5328">
        <v>130.61240000000001</v>
      </c>
      <c r="J5328">
        <v>-400.06060000000002</v>
      </c>
      <c r="K5328">
        <v>1.116509</v>
      </c>
      <c r="L5328">
        <v>138.54130000000001</v>
      </c>
      <c r="M5328">
        <v>-0.95216659999999997</v>
      </c>
      <c r="N5328">
        <v>0</v>
      </c>
      <c r="O5328">
        <v>-0.30518699999999999</v>
      </c>
      <c r="P5328">
        <v>-0.9360946</v>
      </c>
      <c r="Q5328">
        <v>-1.110191E-3</v>
      </c>
      <c r="R5328">
        <v>-0.35174719999999998</v>
      </c>
      <c r="S5328">
        <v>-2.48996</v>
      </c>
      <c r="T5328">
        <v>-0.26742549999999998</v>
      </c>
      <c r="U5328">
        <v>-1.921524</v>
      </c>
      <c r="V5328">
        <v>-4.9469810000000003E-2</v>
      </c>
      <c r="W5328">
        <v>1.355875E-2</v>
      </c>
      <c r="X5328">
        <v>0.9986836</v>
      </c>
      <c r="Y5328">
        <v>-0.34000520000000001</v>
      </c>
      <c r="Z5328">
        <v>1.17421E-2</v>
      </c>
      <c r="AA5328">
        <v>0.94035020000000002</v>
      </c>
      <c r="AB5328">
        <v>30</v>
      </c>
      <c r="AC5328">
        <v>-10.125499999999899</v>
      </c>
      <c r="AD5328">
        <v>-1.1165157215620001</v>
      </c>
      <c r="AE5328">
        <v>-7.9288999999999898</v>
      </c>
      <c r="AF5328">
        <v>-4.4266326935083198</v>
      </c>
      <c r="AG5328">
        <v>-1.1165157215620001</v>
      </c>
      <c r="AH5328">
        <v>11.972168601624301</v>
      </c>
      <c r="AI5328">
        <v>94.999030270622001</v>
      </c>
      <c r="AJ5328">
        <v>110.29155086402901</v>
      </c>
      <c r="AK5328">
        <v>12.813059954025499</v>
      </c>
      <c r="AL5328">
        <v>89.223117058116202</v>
      </c>
      <c r="AM5328">
        <v>92.835829537364205</v>
      </c>
      <c r="AN5328">
        <v>1.00000001735597</v>
      </c>
    </row>
    <row r="5329" spans="1:40" x14ac:dyDescent="0.25">
      <c r="A5329" t="str">
        <f>"20190312160752792"</f>
        <v>20190312160752792</v>
      </c>
      <c r="B5329" t="str">
        <f>"1552378072780881"</f>
        <v>1552378072780881</v>
      </c>
      <c r="C5329" t="s">
        <v>40</v>
      </c>
      <c r="D5329">
        <v>6.0590950000000001</v>
      </c>
      <c r="E5329">
        <v>0.38095380000000001</v>
      </c>
      <c r="F5329" t="s">
        <v>89</v>
      </c>
      <c r="G5329">
        <v>-410.1875</v>
      </c>
      <c r="H5329" s="1">
        <v>-6.7232439999999998E-6</v>
      </c>
      <c r="I5329">
        <v>130.61660000000001</v>
      </c>
      <c r="J5329">
        <v>-400.33569999999997</v>
      </c>
      <c r="K5329">
        <v>1.116641</v>
      </c>
      <c r="L5329">
        <v>138.44380000000001</v>
      </c>
      <c r="M5329">
        <v>-0.94951200000000002</v>
      </c>
      <c r="N5329">
        <v>0</v>
      </c>
      <c r="O5329">
        <v>-0.3133473</v>
      </c>
      <c r="P5329">
        <v>-0.93367529999999999</v>
      </c>
      <c r="Q5329">
        <v>-1.3134010000000001E-3</v>
      </c>
      <c r="R5329">
        <v>-0.35811799999999999</v>
      </c>
      <c r="S5329">
        <v>-2.4763489999999999</v>
      </c>
      <c r="T5329">
        <v>-0.27302349999999997</v>
      </c>
      <c r="U5329">
        <v>-1.937851</v>
      </c>
      <c r="V5329">
        <v>-4.770597E-2</v>
      </c>
      <c r="W5329">
        <v>1.339044E-2</v>
      </c>
      <c r="X5329">
        <v>0.99877169999999904</v>
      </c>
      <c r="Y5329">
        <v>-0.33831299999999997</v>
      </c>
      <c r="Z5329">
        <v>1.281331E-2</v>
      </c>
      <c r="AA5329">
        <v>0.94094639999999996</v>
      </c>
      <c r="AB5329">
        <v>30</v>
      </c>
      <c r="AC5329">
        <v>-9.8518000000000203</v>
      </c>
      <c r="AD5329">
        <v>-1.116647723244</v>
      </c>
      <c r="AE5329">
        <v>-7.8272000000000004</v>
      </c>
      <c r="AF5329">
        <v>-4.3115514085317299</v>
      </c>
      <c r="AG5329">
        <v>-1.116647723244</v>
      </c>
      <c r="AH5329">
        <v>11.716181013116501</v>
      </c>
      <c r="AI5329">
        <v>95.111161362169597</v>
      </c>
      <c r="AJ5329">
        <v>110.20360136730901</v>
      </c>
      <c r="AK5329">
        <v>12.534164320701599</v>
      </c>
      <c r="AL5329">
        <v>89.232761400558203</v>
      </c>
      <c r="AM5329">
        <v>92.734633852670996</v>
      </c>
      <c r="AN5329">
        <v>1.00000003608896</v>
      </c>
    </row>
    <row r="5330" spans="1:40" x14ac:dyDescent="0.25">
      <c r="A5330" t="str">
        <f>"20190312160752816"</f>
        <v>20190312160752816</v>
      </c>
      <c r="B5330" t="str">
        <f>"1552378072811136"</f>
        <v>1552378072811136</v>
      </c>
      <c r="C5330" t="s">
        <v>40</v>
      </c>
      <c r="D5330">
        <v>6.0735289999999997</v>
      </c>
      <c r="E5330">
        <v>0.38184069999999998</v>
      </c>
      <c r="F5330" t="s">
        <v>89</v>
      </c>
      <c r="G5330">
        <v>-410.33940000000001</v>
      </c>
      <c r="H5330" s="1">
        <v>-6.6671290000000002E-6</v>
      </c>
      <c r="I5330">
        <v>130.5187</v>
      </c>
      <c r="J5330">
        <v>-400.61410000000001</v>
      </c>
      <c r="K5330">
        <v>1.1167590000000001</v>
      </c>
      <c r="L5330">
        <v>138.34209999999999</v>
      </c>
      <c r="M5330">
        <v>-0.94668359999999996</v>
      </c>
      <c r="N5330">
        <v>0</v>
      </c>
      <c r="O5330">
        <v>-0.32179069999999999</v>
      </c>
      <c r="P5330">
        <v>-0.93002339999999994</v>
      </c>
      <c r="Q5330">
        <v>-5.3120779999999996E-4</v>
      </c>
      <c r="R5330">
        <v>-0.36749979999999999</v>
      </c>
      <c r="S5330">
        <v>-2.4640200000000001</v>
      </c>
      <c r="T5330">
        <v>-0.27504299999999998</v>
      </c>
      <c r="U5330">
        <v>-1.9520420000000001</v>
      </c>
      <c r="V5330">
        <v>-4.8883669999999997E-2</v>
      </c>
      <c r="W5330">
        <v>1.4157599999999999E-2</v>
      </c>
      <c r="X5330">
        <v>0.99870409999999998</v>
      </c>
      <c r="Y5330">
        <v>-0.33558710000000003</v>
      </c>
      <c r="Z5330">
        <v>1.381487E-2</v>
      </c>
      <c r="AA5330">
        <v>0.94190790000000002</v>
      </c>
      <c r="AB5330">
        <v>30</v>
      </c>
      <c r="AC5330">
        <v>-9.7253000000000007</v>
      </c>
      <c r="AD5330">
        <v>-1.1167656671290001</v>
      </c>
      <c r="AE5330">
        <v>-7.8233999999999897</v>
      </c>
      <c r="AF5330">
        <v>-4.2433184049502497</v>
      </c>
      <c r="AG5330">
        <v>-1.1167656671290001</v>
      </c>
      <c r="AH5330">
        <v>11.6325664301055</v>
      </c>
      <c r="AI5330">
        <v>95.153574072324204</v>
      </c>
      <c r="AJ5330">
        <v>110.040918278314</v>
      </c>
      <c r="AK5330">
        <v>12.4325990199912</v>
      </c>
      <c r="AL5330">
        <v>89.188802143012495</v>
      </c>
      <c r="AM5330">
        <v>92.802225833759906</v>
      </c>
      <c r="AN5330">
        <v>0.99999996509361799</v>
      </c>
    </row>
    <row r="5331" spans="1:40" x14ac:dyDescent="0.25">
      <c r="A5331" t="str">
        <f>"20190312160752838"</f>
        <v>20190312160752838</v>
      </c>
      <c r="B5331" t="str">
        <f>"1552378072830656"</f>
        <v>1552378072830656</v>
      </c>
      <c r="C5331" t="s">
        <v>40</v>
      </c>
      <c r="D5331">
        <v>6.1393449999999996</v>
      </c>
      <c r="E5331">
        <v>0.3823859</v>
      </c>
      <c r="F5331" t="s">
        <v>89</v>
      </c>
      <c r="G5331">
        <v>-410.38220000000001</v>
      </c>
      <c r="H5331" s="1">
        <v>-6.6466279999999898E-6</v>
      </c>
      <c r="I5331">
        <v>130.4804</v>
      </c>
      <c r="J5331">
        <v>-400.89249999999998</v>
      </c>
      <c r="K5331">
        <v>1.1168750000000001</v>
      </c>
      <c r="L5331">
        <v>138.2372</v>
      </c>
      <c r="M5331">
        <v>-0.9437063</v>
      </c>
      <c r="N5331">
        <v>0</v>
      </c>
      <c r="O5331">
        <v>-0.33041910000000002</v>
      </c>
      <c r="P5331">
        <v>-0.9264964</v>
      </c>
      <c r="Q5331">
        <v>-5.9361009999999998E-4</v>
      </c>
      <c r="R5331">
        <v>-0.37630269999999999</v>
      </c>
      <c r="S5331">
        <v>-2.4472049999999999</v>
      </c>
      <c r="T5331">
        <v>-0.2797848</v>
      </c>
      <c r="U5331">
        <v>-1.9696039999999999</v>
      </c>
      <c r="V5331">
        <v>-4.9240869999999999E-2</v>
      </c>
      <c r="W5331">
        <v>1.4095140000000001E-2</v>
      </c>
      <c r="X5331">
        <v>0.9986874</v>
      </c>
      <c r="Y5331">
        <v>-0.33427810000000002</v>
      </c>
      <c r="Z5331">
        <v>1.49342E-2</v>
      </c>
      <c r="AA5331">
        <v>0.94235619999999998</v>
      </c>
      <c r="AB5331">
        <v>30</v>
      </c>
      <c r="AC5331">
        <v>-9.4897000000000205</v>
      </c>
      <c r="AD5331">
        <v>-1.116881646628</v>
      </c>
      <c r="AE5331">
        <v>-7.7567999999999904</v>
      </c>
      <c r="AF5331">
        <v>-4.1506025589906299</v>
      </c>
      <c r="AG5331">
        <v>-1.116881646628</v>
      </c>
      <c r="AH5331">
        <v>11.4250048699042</v>
      </c>
      <c r="AI5331">
        <v>95.249721082916295</v>
      </c>
      <c r="AJ5331">
        <v>109.965632636899</v>
      </c>
      <c r="AK5331">
        <v>12.2067875582648</v>
      </c>
      <c r="AL5331">
        <v>89.192381165971995</v>
      </c>
      <c r="AM5331">
        <v>92.822716229633798</v>
      </c>
      <c r="AN5331">
        <v>0.99999992958436501</v>
      </c>
    </row>
    <row r="5332" spans="1:40" x14ac:dyDescent="0.25">
      <c r="A5332" t="str">
        <f>"20190312160752859"</f>
        <v>20190312160752859</v>
      </c>
      <c r="B5332" t="str">
        <f>"1552378072851156"</f>
        <v>1552378072851156</v>
      </c>
      <c r="C5332" t="s">
        <v>40</v>
      </c>
      <c r="D5332">
        <v>6.124498</v>
      </c>
      <c r="E5332">
        <v>0.38260640000000001</v>
      </c>
      <c r="F5332" t="s">
        <v>89</v>
      </c>
      <c r="G5332">
        <v>-410.46780000000001</v>
      </c>
      <c r="H5332" s="1">
        <v>-6.6044480000000003E-6</v>
      </c>
      <c r="I5332">
        <v>130.40110000000001</v>
      </c>
      <c r="J5332">
        <v>-401.15640000000002</v>
      </c>
      <c r="K5332">
        <v>1.116981</v>
      </c>
      <c r="L5332">
        <v>138.13499999999999</v>
      </c>
      <c r="M5332">
        <v>-0.9407529</v>
      </c>
      <c r="N5332">
        <v>0</v>
      </c>
      <c r="O5332">
        <v>-0.33873569999999997</v>
      </c>
      <c r="P5332">
        <v>-0.92308559999999995</v>
      </c>
      <c r="Q5332">
        <v>-1.867229E-3</v>
      </c>
      <c r="R5332">
        <v>-0.3845904</v>
      </c>
      <c r="S5332">
        <v>-2.4300839999999999</v>
      </c>
      <c r="T5332">
        <v>-0.28344770000000002</v>
      </c>
      <c r="U5332">
        <v>-1.988693</v>
      </c>
      <c r="V5332">
        <v>-4.9357909999999998E-2</v>
      </c>
      <c r="W5332">
        <v>1.2825919999999999E-2</v>
      </c>
      <c r="X5332">
        <v>0.9986988</v>
      </c>
      <c r="Y5332">
        <v>-0.33367400000000003</v>
      </c>
      <c r="Z5332">
        <v>1.5957590000000001E-2</v>
      </c>
      <c r="AA5332">
        <v>0.94255350000000004</v>
      </c>
      <c r="AB5332">
        <v>29</v>
      </c>
      <c r="AC5332">
        <v>-9.3113999999999901</v>
      </c>
      <c r="AD5332">
        <v>-1.116987604448</v>
      </c>
      <c r="AE5332">
        <v>-7.73389999999997</v>
      </c>
      <c r="AF5332">
        <v>-4.0872787883696997</v>
      </c>
      <c r="AG5332">
        <v>-1.116987604448</v>
      </c>
      <c r="AH5332">
        <v>11.284756275668601</v>
      </c>
      <c r="AI5332">
        <v>95.316953069752202</v>
      </c>
      <c r="AJ5332">
        <v>109.91011782203999</v>
      </c>
      <c r="AK5332">
        <v>12.0540131658958</v>
      </c>
      <c r="AL5332">
        <v>89.265108766132599</v>
      </c>
      <c r="AM5332">
        <v>92.829382373733395</v>
      </c>
      <c r="AN5332">
        <v>1.0000000003124201</v>
      </c>
    </row>
    <row r="5333" spans="1:40" x14ac:dyDescent="0.25">
      <c r="A5333" t="str">
        <f>"20190312160752882"</f>
        <v>20190312160752882</v>
      </c>
      <c r="B5333" t="str">
        <f>"1552378072870672"</f>
        <v>1552378072870672</v>
      </c>
      <c r="C5333" t="s">
        <v>40</v>
      </c>
      <c r="D5333">
        <v>5.7798850000000002</v>
      </c>
      <c r="E5333">
        <v>0.38613140000000001</v>
      </c>
      <c r="F5333" t="s">
        <v>89</v>
      </c>
      <c r="G5333">
        <v>-410.59199999999998</v>
      </c>
      <c r="H5333" s="1">
        <v>-6.5386850000000004E-6</v>
      </c>
      <c r="I5333">
        <v>130.2756</v>
      </c>
      <c r="J5333">
        <v>-401.4212</v>
      </c>
      <c r="K5333">
        <v>1.1170719999999901</v>
      </c>
      <c r="L5333">
        <v>138.02959999999999</v>
      </c>
      <c r="M5333">
        <v>-0.93765980000000004</v>
      </c>
      <c r="N5333">
        <v>0</v>
      </c>
      <c r="O5333">
        <v>-0.34720489999999998</v>
      </c>
      <c r="P5333">
        <v>-0.91923069999999896</v>
      </c>
      <c r="Q5333">
        <v>-1.679072E-3</v>
      </c>
      <c r="R5333">
        <v>-0.3937155</v>
      </c>
      <c r="S5333">
        <v>-2.4122620000000001</v>
      </c>
      <c r="T5333">
        <v>-0.28556589999999998</v>
      </c>
      <c r="U5333">
        <v>-2.0093079999999999</v>
      </c>
      <c r="V5333">
        <v>-5.0251160000000003E-2</v>
      </c>
      <c r="W5333">
        <v>1.300424E-2</v>
      </c>
      <c r="X5333">
        <v>0.99865190000000004</v>
      </c>
      <c r="Y5333">
        <v>-0.33338299999999998</v>
      </c>
      <c r="Z5333">
        <v>1.6909649999999998E-2</v>
      </c>
      <c r="AA5333">
        <v>0.94263980000000003</v>
      </c>
      <c r="AB5333">
        <v>29</v>
      </c>
      <c r="AC5333">
        <v>-9.1707999999999803</v>
      </c>
      <c r="AD5333">
        <v>-1.11707853868499</v>
      </c>
      <c r="AE5333">
        <v>-7.7539999999999898</v>
      </c>
      <c r="AF5333">
        <v>-4.0519065155004403</v>
      </c>
      <c r="AG5333">
        <v>-1.11707853868499</v>
      </c>
      <c r="AH5333">
        <v>11.1958221362648</v>
      </c>
      <c r="AI5333">
        <v>95.359858673853296</v>
      </c>
      <c r="AJ5333">
        <v>109.89581672795499</v>
      </c>
      <c r="AK5333">
        <v>11.9587726869785</v>
      </c>
      <c r="AL5333">
        <v>89.254890895530806</v>
      </c>
      <c r="AM5333">
        <v>92.880636426029696</v>
      </c>
      <c r="AN5333">
        <v>0.99999995335646497</v>
      </c>
    </row>
    <row r="5334" spans="1:40" x14ac:dyDescent="0.25">
      <c r="A5334" t="str">
        <f>"20190312160752904"</f>
        <v>20190312160752904</v>
      </c>
      <c r="B5334" t="str">
        <f>"1552378072891169"</f>
        <v>1552378072891169</v>
      </c>
      <c r="C5334" t="s">
        <v>40</v>
      </c>
      <c r="D5334">
        <v>6.090516</v>
      </c>
      <c r="E5334">
        <v>0.38673829999999998</v>
      </c>
      <c r="F5334" t="s">
        <v>89</v>
      </c>
      <c r="G5334">
        <v>-410.22359999999998</v>
      </c>
      <c r="H5334" s="1">
        <v>-6.7490260000000004E-6</v>
      </c>
      <c r="I5334">
        <v>130.68279999999999</v>
      </c>
      <c r="J5334">
        <v>-401.68950000000001</v>
      </c>
      <c r="K5334">
        <v>1.1171409999999999</v>
      </c>
      <c r="L5334">
        <v>137.91990000000001</v>
      </c>
      <c r="M5334">
        <v>-0.93438920000000003</v>
      </c>
      <c r="N5334">
        <v>0</v>
      </c>
      <c r="O5334">
        <v>-0.35591270000000003</v>
      </c>
      <c r="P5334">
        <v>-0.91544970000000003</v>
      </c>
      <c r="Q5334">
        <v>-1.273684E-3</v>
      </c>
      <c r="R5334">
        <v>-0.40243079999999998</v>
      </c>
      <c r="S5334">
        <v>-2.4037169999999999</v>
      </c>
      <c r="T5334">
        <v>-0.30504559999999997</v>
      </c>
      <c r="U5334">
        <v>-2.0062259999999998</v>
      </c>
      <c r="V5334">
        <v>-5.0458040000000003E-2</v>
      </c>
      <c r="W5334">
        <v>1.3411899999999999E-2</v>
      </c>
      <c r="X5334">
        <v>0.99863610000000003</v>
      </c>
      <c r="Y5334">
        <v>-0.32560430000000001</v>
      </c>
      <c r="Z5334">
        <v>1.939155E-2</v>
      </c>
      <c r="AA5334">
        <v>0.94530729999999996</v>
      </c>
      <c r="AB5334">
        <v>29</v>
      </c>
      <c r="AC5334">
        <v>-8.5340999999999596</v>
      </c>
      <c r="AD5334">
        <v>-1.117147749026</v>
      </c>
      <c r="AE5334">
        <v>-7.2371000000000203</v>
      </c>
      <c r="AF5334">
        <v>-3.6885596989478899</v>
      </c>
      <c r="AG5334">
        <v>-1.117147749026</v>
      </c>
      <c r="AH5334">
        <v>10.447095198904499</v>
      </c>
      <c r="AI5334">
        <v>95.757870455635</v>
      </c>
      <c r="AJ5334">
        <v>109.446616531041</v>
      </c>
      <c r="AK5334">
        <v>11.135317231261499</v>
      </c>
      <c r="AL5334">
        <v>89.231531676987302</v>
      </c>
      <c r="AM5334">
        <v>92.892521363203898</v>
      </c>
      <c r="AN5334">
        <v>0.99999997654272998</v>
      </c>
    </row>
    <row r="5335" spans="1:40" x14ac:dyDescent="0.25">
      <c r="A5335" t="str">
        <f>"20190312160752929"</f>
        <v>20190312160752929</v>
      </c>
      <c r="B5335" t="str">
        <f>"1552378072920448"</f>
        <v>1552378072920448</v>
      </c>
      <c r="C5335" t="s">
        <v>40</v>
      </c>
      <c r="D5335">
        <v>5.7825620000000004</v>
      </c>
      <c r="E5335">
        <v>0.38812980000000002</v>
      </c>
      <c r="F5335" t="s">
        <v>89</v>
      </c>
      <c r="G5335">
        <v>-410.41489999999999</v>
      </c>
      <c r="H5335" s="1">
        <v>-6.6603509999999999E-6</v>
      </c>
      <c r="I5335">
        <v>130.51840000000001</v>
      </c>
      <c r="J5335">
        <v>-401.98570000000001</v>
      </c>
      <c r="K5335">
        <v>1.1172120000000001</v>
      </c>
      <c r="L5335">
        <v>137.79519999999999</v>
      </c>
      <c r="M5335">
        <v>-0.93061930000000004</v>
      </c>
      <c r="N5335">
        <v>0</v>
      </c>
      <c r="O5335">
        <v>-0.36565579999999998</v>
      </c>
      <c r="P5335">
        <v>-0.91153989999999996</v>
      </c>
      <c r="Q5335">
        <v>-1.5803340000000001E-3</v>
      </c>
      <c r="R5335">
        <v>-0.41120830000000003</v>
      </c>
      <c r="S5335">
        <v>-2.3867189999999998</v>
      </c>
      <c r="T5335">
        <v>-0.30558099999999999</v>
      </c>
      <c r="U5335">
        <v>-2.0245820000000001</v>
      </c>
      <c r="V5335">
        <v>-4.9617250000000002E-2</v>
      </c>
      <c r="W5335">
        <v>1.312821E-2</v>
      </c>
      <c r="X5335">
        <v>0.99868199999999996</v>
      </c>
      <c r="Y5335">
        <v>-0.32332050000000001</v>
      </c>
      <c r="Z5335">
        <v>2.055508E-2</v>
      </c>
      <c r="AA5335">
        <v>0.94606630000000003</v>
      </c>
      <c r="AB5335">
        <v>29</v>
      </c>
      <c r="AC5335">
        <v>-8.4291999999999803</v>
      </c>
      <c r="AD5335">
        <v>-1.1172186603509999</v>
      </c>
      <c r="AE5335">
        <v>-7.2767999999999802</v>
      </c>
      <c r="AF5335">
        <v>-3.65341988581052</v>
      </c>
      <c r="AG5335">
        <v>-1.1172186603509999</v>
      </c>
      <c r="AH5335">
        <v>10.401759018211999</v>
      </c>
      <c r="AI5335">
        <v>95.786472121149501</v>
      </c>
      <c r="AJ5335">
        <v>109.35285438473601</v>
      </c>
      <c r="AK5335">
        <v>11.0811662323975</v>
      </c>
      <c r="AL5335">
        <v>89.247787350486206</v>
      </c>
      <c r="AM5335">
        <v>92.844272145258799</v>
      </c>
      <c r="AN5335">
        <v>0.99999997925968298</v>
      </c>
    </row>
    <row r="5336" spans="1:40" x14ac:dyDescent="0.25">
      <c r="A5336" t="str">
        <f>"20190312160752949"</f>
        <v>20190312160752949</v>
      </c>
      <c r="B5336" t="str">
        <f>"1552378072940945"</f>
        <v>1552378072940945</v>
      </c>
      <c r="C5336" t="s">
        <v>40</v>
      </c>
      <c r="D5336">
        <v>5.7157980000000004</v>
      </c>
      <c r="E5336">
        <v>0.38843919999999998</v>
      </c>
      <c r="F5336" t="s">
        <v>89</v>
      </c>
      <c r="G5336">
        <v>-410.53390000000002</v>
      </c>
      <c r="H5336" s="1">
        <v>-6.620346E-6</v>
      </c>
      <c r="I5336">
        <v>130.45079999999999</v>
      </c>
      <c r="J5336">
        <v>-402.22770000000003</v>
      </c>
      <c r="K5336">
        <v>1.1172690000000001</v>
      </c>
      <c r="L5336">
        <v>137.69049999999999</v>
      </c>
      <c r="M5336">
        <v>-0.92741269999999998</v>
      </c>
      <c r="N5336">
        <v>0</v>
      </c>
      <c r="O5336">
        <v>-0.37371310000000002</v>
      </c>
      <c r="P5336">
        <v>-0.908308</v>
      </c>
      <c r="Q5336">
        <v>-1.203871E-3</v>
      </c>
      <c r="R5336">
        <v>-0.41830020000000001</v>
      </c>
      <c r="S5336">
        <v>-2.3714599999999999</v>
      </c>
      <c r="T5336">
        <v>-0.30994060000000001</v>
      </c>
      <c r="U5336">
        <v>-2.037506</v>
      </c>
      <c r="V5336">
        <v>-4.8747890000000002E-2</v>
      </c>
      <c r="W5336">
        <v>1.352633E-2</v>
      </c>
      <c r="X5336">
        <v>0.99871949999999998</v>
      </c>
      <c r="Y5336">
        <v>-0.32112859999999999</v>
      </c>
      <c r="Z5336">
        <v>2.182601E-2</v>
      </c>
      <c r="AA5336">
        <v>0.94678410000000002</v>
      </c>
      <c r="AB5336">
        <v>29</v>
      </c>
      <c r="AC5336">
        <v>-8.3061999999999898</v>
      </c>
      <c r="AD5336">
        <v>-1.1172756203459999</v>
      </c>
      <c r="AE5336">
        <v>-7.2396999999999903</v>
      </c>
      <c r="AF5336">
        <v>-3.5737493752527798</v>
      </c>
      <c r="AG5336">
        <v>-1.1172756203459999</v>
      </c>
      <c r="AH5336">
        <v>10.304169278699501</v>
      </c>
      <c r="AI5336">
        <v>95.849149903817903</v>
      </c>
      <c r="AJ5336">
        <v>109.127853608587</v>
      </c>
      <c r="AK5336">
        <v>10.963388797859601</v>
      </c>
      <c r="AL5336">
        <v>89.224974727910805</v>
      </c>
      <c r="AM5336">
        <v>92.794411663242897</v>
      </c>
      <c r="AN5336">
        <v>0.99999997903148496</v>
      </c>
    </row>
    <row r="5337" spans="1:40" x14ac:dyDescent="0.25">
      <c r="A5337" t="str">
        <f>"20190312160752972"</f>
        <v>20190312160752972</v>
      </c>
      <c r="B5337" t="str">
        <f>"1552378072960464"</f>
        <v>1552378072960464</v>
      </c>
      <c r="C5337" t="s">
        <v>40</v>
      </c>
      <c r="D5337">
        <v>6.0558550000000002</v>
      </c>
      <c r="E5337">
        <v>0.3924184</v>
      </c>
      <c r="F5337" t="s">
        <v>89</v>
      </c>
      <c r="G5337">
        <v>-410.75349999999997</v>
      </c>
      <c r="H5337" s="1">
        <v>-6.5224639999999997E-6</v>
      </c>
      <c r="I5337">
        <v>130.26060000000001</v>
      </c>
      <c r="J5337">
        <v>-402.48540000000003</v>
      </c>
      <c r="K5337">
        <v>1.117332</v>
      </c>
      <c r="L5337">
        <v>137.5762</v>
      </c>
      <c r="M5337">
        <v>-0.92387240000000004</v>
      </c>
      <c r="N5337">
        <v>0</v>
      </c>
      <c r="O5337">
        <v>-0.38238129999999998</v>
      </c>
      <c r="P5337">
        <v>-0.90469940000000004</v>
      </c>
      <c r="Q5337">
        <v>-1.7625989999999999E-3</v>
      </c>
      <c r="R5337">
        <v>-0.42604700000000001</v>
      </c>
      <c r="S5337">
        <v>-2.3566590000000001</v>
      </c>
      <c r="T5337">
        <v>-0.30882859999999901</v>
      </c>
      <c r="U5337">
        <v>-2.053696</v>
      </c>
      <c r="V5337">
        <v>-4.7922439999999997E-2</v>
      </c>
      <c r="W5337">
        <v>1.2988980000000001E-2</v>
      </c>
      <c r="X5337">
        <v>0.99876659999999995</v>
      </c>
      <c r="Y5337">
        <v>-0.3189439</v>
      </c>
      <c r="Z5337">
        <v>2.277127E-2</v>
      </c>
      <c r="AA5337">
        <v>0.94750000000000001</v>
      </c>
      <c r="AB5337">
        <v>29</v>
      </c>
      <c r="AC5337">
        <v>-8.2680999999999401</v>
      </c>
      <c r="AD5337">
        <v>-1.117338522464</v>
      </c>
      <c r="AE5337">
        <v>-7.3155999999999803</v>
      </c>
      <c r="AF5337">
        <v>-3.5610765288479498</v>
      </c>
      <c r="AG5337">
        <v>-1.117338522464</v>
      </c>
      <c r="AH5337">
        <v>10.331465111613699</v>
      </c>
      <c r="AI5337">
        <v>95.837965006189407</v>
      </c>
      <c r="AJ5337">
        <v>109.018182752863</v>
      </c>
      <c r="AK5337">
        <v>10.9849389060925</v>
      </c>
      <c r="AL5337">
        <v>89.2557653359233</v>
      </c>
      <c r="AM5337">
        <v>92.747037533798903</v>
      </c>
      <c r="AN5337">
        <v>0.999999997566276</v>
      </c>
    </row>
    <row r="5338" spans="1:40" x14ac:dyDescent="0.25">
      <c r="A5338" t="str">
        <f>"20190312160752994"</f>
        <v>20190312160752994</v>
      </c>
      <c r="B5338" t="str">
        <f>"1552378072990722"</f>
        <v>1552378072990722</v>
      </c>
      <c r="C5338" t="s">
        <v>40</v>
      </c>
      <c r="D5338">
        <v>5.721025</v>
      </c>
      <c r="E5338">
        <v>0.39312550000000002</v>
      </c>
      <c r="F5338" t="s">
        <v>89</v>
      </c>
      <c r="G5338">
        <v>-410.3913</v>
      </c>
      <c r="H5338" s="1">
        <v>-6.7440890000000003E-6</v>
      </c>
      <c r="I5338">
        <v>130.70519999999999</v>
      </c>
      <c r="J5338">
        <v>-402.75040000000001</v>
      </c>
      <c r="K5338">
        <v>1.1173869999999999</v>
      </c>
      <c r="L5338">
        <v>137.4555</v>
      </c>
      <c r="M5338">
        <v>-0.92009319999999895</v>
      </c>
      <c r="N5338">
        <v>0</v>
      </c>
      <c r="O5338">
        <v>-0.39138699999999998</v>
      </c>
      <c r="P5338">
        <v>-0.90070319999999904</v>
      </c>
      <c r="Q5338">
        <v>-2.387817E-3</v>
      </c>
      <c r="R5338">
        <v>-0.4344288</v>
      </c>
      <c r="S5338">
        <v>-2.3525390000000002</v>
      </c>
      <c r="T5338">
        <v>-0.33248250000000001</v>
      </c>
      <c r="U5338">
        <v>-2.0445709999999999</v>
      </c>
      <c r="V5338">
        <v>-4.7431790000000001E-2</v>
      </c>
      <c r="W5338">
        <v>1.237916E-2</v>
      </c>
      <c r="X5338">
        <v>0.99879779999999996</v>
      </c>
      <c r="Y5338">
        <v>-0.30852770000000002</v>
      </c>
      <c r="Z5338">
        <v>2.6148959999999999E-2</v>
      </c>
      <c r="AA5338">
        <v>0.95085589999999998</v>
      </c>
      <c r="AB5338">
        <v>29</v>
      </c>
      <c r="AC5338">
        <v>-7.6408999999999798</v>
      </c>
      <c r="AD5338">
        <v>-1.1173937440889901</v>
      </c>
      <c r="AE5338">
        <v>-6.75030000000001</v>
      </c>
      <c r="AF5338">
        <v>-3.1825242046390798</v>
      </c>
      <c r="AG5338">
        <v>-1.1173937440889901</v>
      </c>
      <c r="AH5338">
        <v>9.5586916364503391</v>
      </c>
      <c r="AI5338">
        <v>96.328936814105404</v>
      </c>
      <c r="AJ5338">
        <v>108.41495192866699</v>
      </c>
      <c r="AK5338">
        <v>10.1363511626812</v>
      </c>
      <c r="AL5338">
        <v>89.290708284112299</v>
      </c>
      <c r="AM5338">
        <v>92.7188698309199</v>
      </c>
      <c r="AN5338">
        <v>1.0000000317948701</v>
      </c>
    </row>
    <row r="5339" spans="1:40" x14ac:dyDescent="0.25">
      <c r="A5339" t="str">
        <f>"20190312160753017"</f>
        <v>20190312160753017</v>
      </c>
      <c r="B5339" t="str">
        <f>"1552378073011218"</f>
        <v>1552378073011218</v>
      </c>
      <c r="C5339" t="s">
        <v>40</v>
      </c>
      <c r="D5339">
        <v>5.7061010000000003</v>
      </c>
      <c r="E5339">
        <v>0.39337440000000001</v>
      </c>
      <c r="F5339" t="s">
        <v>89</v>
      </c>
      <c r="G5339">
        <v>-410.56880000000001</v>
      </c>
      <c r="H5339" s="1">
        <v>-6.6635190000000001E-6</v>
      </c>
      <c r="I5339">
        <v>130.5565</v>
      </c>
      <c r="J5339">
        <v>-403.00490000000002</v>
      </c>
      <c r="K5339">
        <v>1.1174309999999901</v>
      </c>
      <c r="L5339">
        <v>137.33619999999999</v>
      </c>
      <c r="M5339">
        <v>-0.91632570000000002</v>
      </c>
      <c r="N5339">
        <v>0</v>
      </c>
      <c r="O5339">
        <v>-0.40012760000000003</v>
      </c>
      <c r="P5339">
        <v>-0.89660810000000002</v>
      </c>
      <c r="Q5339">
        <v>-1.9898239999999998E-3</v>
      </c>
      <c r="R5339">
        <v>-0.44282090000000002</v>
      </c>
      <c r="S5339">
        <v>-2.335785</v>
      </c>
      <c r="T5339">
        <v>-0.33382640000000002</v>
      </c>
      <c r="U5339">
        <v>-2.0610810000000002</v>
      </c>
      <c r="V5339">
        <v>-4.7259610000000001E-2</v>
      </c>
      <c r="W5339">
        <v>1.2786820000000001E-2</v>
      </c>
      <c r="X5339">
        <v>0.99880080000000004</v>
      </c>
      <c r="Y5339">
        <v>-0.30668450000000003</v>
      </c>
      <c r="Z5339">
        <v>2.7362259999999999E-2</v>
      </c>
      <c r="AA5339">
        <v>0.95141790000000004</v>
      </c>
      <c r="AB5339">
        <v>29</v>
      </c>
      <c r="AC5339">
        <v>-7.5638999999999896</v>
      </c>
      <c r="AD5339">
        <v>-1.11743766351899</v>
      </c>
      <c r="AE5339">
        <v>-6.7796999999999903</v>
      </c>
      <c r="AF5339">
        <v>-3.1481788535444002</v>
      </c>
      <c r="AG5339">
        <v>-1.11743766351899</v>
      </c>
      <c r="AH5339">
        <v>9.5295941959891604</v>
      </c>
      <c r="AI5339">
        <v>96.353221076932996</v>
      </c>
      <c r="AJ5339">
        <v>108.281391846085</v>
      </c>
      <c r="AK5339">
        <v>10.0981613458087</v>
      </c>
      <c r="AL5339">
        <v>89.267349218853496</v>
      </c>
      <c r="AM5339">
        <v>92.709006788887905</v>
      </c>
      <c r="AN5339">
        <v>1.0000000057918501</v>
      </c>
    </row>
    <row r="5340" spans="1:40" x14ac:dyDescent="0.25">
      <c r="A5340" t="str">
        <f>"20190312160753038"</f>
        <v>20190312160753038</v>
      </c>
      <c r="B5340" t="str">
        <f>"1552378073030736"</f>
        <v>1552378073030736</v>
      </c>
      <c r="C5340" t="s">
        <v>40</v>
      </c>
      <c r="D5340">
        <v>6.0066850000000001</v>
      </c>
      <c r="E5340">
        <v>0.39391009999999999</v>
      </c>
      <c r="F5340" t="s">
        <v>89</v>
      </c>
      <c r="G5340">
        <v>-410.75150000000002</v>
      </c>
      <c r="H5340" s="1">
        <v>-6.5711870000000001E-6</v>
      </c>
      <c r="I5340">
        <v>130.38</v>
      </c>
      <c r="J5340">
        <v>-403.26</v>
      </c>
      <c r="K5340">
        <v>1.1174710000000001</v>
      </c>
      <c r="L5340">
        <v>137.21369999999999</v>
      </c>
      <c r="M5340">
        <v>-0.91242179999999995</v>
      </c>
      <c r="N5340">
        <v>0</v>
      </c>
      <c r="O5340">
        <v>-0.40895120000000001</v>
      </c>
      <c r="P5340">
        <v>-0.89221439999999996</v>
      </c>
      <c r="Q5340">
        <v>-2.3641069999999998E-3</v>
      </c>
      <c r="R5340">
        <v>-0.45160620000000001</v>
      </c>
      <c r="S5340">
        <v>-2.3174440000000001</v>
      </c>
      <c r="T5340">
        <v>-0.33428940000000001</v>
      </c>
      <c r="U5340">
        <v>-2.0810089999999999</v>
      </c>
      <c r="V5340">
        <v>-4.7426530000000001E-2</v>
      </c>
      <c r="W5340">
        <v>1.2414440000000001E-2</v>
      </c>
      <c r="X5340">
        <v>0.99879759999999995</v>
      </c>
      <c r="Y5340">
        <v>-0.30581829999999999</v>
      </c>
      <c r="Z5340">
        <v>2.8458279999999999E-2</v>
      </c>
      <c r="AA5340">
        <v>0.95166450000000002</v>
      </c>
      <c r="AB5340">
        <v>29</v>
      </c>
      <c r="AC5340">
        <v>-7.4915000000000296</v>
      </c>
      <c r="AD5340">
        <v>-1.117477571187</v>
      </c>
      <c r="AE5340">
        <v>-6.8336999999999897</v>
      </c>
      <c r="AF5340">
        <v>-3.1338875877643901</v>
      </c>
      <c r="AG5340">
        <v>-1.117477571187</v>
      </c>
      <c r="AH5340">
        <v>9.51567319485879</v>
      </c>
      <c r="AI5340">
        <v>96.364577147358204</v>
      </c>
      <c r="AJ5340">
        <v>108.228758756632</v>
      </c>
      <c r="AK5340">
        <v>10.080577557174101</v>
      </c>
      <c r="AL5340">
        <v>89.288686725283398</v>
      </c>
      <c r="AM5340">
        <v>92.718569314793797</v>
      </c>
      <c r="AN5340">
        <v>1.00000001991705</v>
      </c>
    </row>
    <row r="5341" spans="1:40" x14ac:dyDescent="0.25">
      <c r="A5341" t="str">
        <f>"20190312160753060"</f>
        <v>20190312160753060</v>
      </c>
      <c r="B5341" t="str">
        <f>"1552378073051233"</f>
        <v>1552378073051233</v>
      </c>
      <c r="C5341" t="s">
        <v>40</v>
      </c>
      <c r="D5341">
        <v>5.6747489999999896</v>
      </c>
      <c r="E5341">
        <v>0.39360990000000001</v>
      </c>
      <c r="F5341" t="s">
        <v>89</v>
      </c>
      <c r="G5341">
        <v>-410.8913</v>
      </c>
      <c r="H5341" s="1">
        <v>-6.5065859999999997E-6</v>
      </c>
      <c r="I5341">
        <v>130.2413</v>
      </c>
      <c r="J5341">
        <v>-403.5129</v>
      </c>
      <c r="K5341">
        <v>1.1174980000000001</v>
      </c>
      <c r="L5341">
        <v>137.0891</v>
      </c>
      <c r="M5341">
        <v>-0.90842040000000002</v>
      </c>
      <c r="N5341">
        <v>0</v>
      </c>
      <c r="O5341">
        <v>-0.41776340000000001</v>
      </c>
      <c r="P5341">
        <v>-0.88759239999999995</v>
      </c>
      <c r="Q5341">
        <v>-2.88442E-3</v>
      </c>
      <c r="R5341">
        <v>-0.46062059999999999</v>
      </c>
      <c r="S5341">
        <v>-2.2985530000000001</v>
      </c>
      <c r="T5341">
        <v>-0.33658310000000002</v>
      </c>
      <c r="U5341">
        <v>-2.100082</v>
      </c>
      <c r="V5341">
        <v>-4.7868330000000001E-2</v>
      </c>
      <c r="W5341">
        <v>1.1890909999999999E-2</v>
      </c>
      <c r="X5341">
        <v>0.99878290000000003</v>
      </c>
      <c r="Y5341">
        <v>-0.30485139999999999</v>
      </c>
      <c r="Z5341">
        <v>2.9730389999999999E-2</v>
      </c>
      <c r="AA5341">
        <v>0.9519358</v>
      </c>
      <c r="AB5341">
        <v>29</v>
      </c>
      <c r="AC5341">
        <v>-7.3783999999999903</v>
      </c>
      <c r="AD5341">
        <v>-1.1175045065860001</v>
      </c>
      <c r="AE5341">
        <v>-6.8478000000000003</v>
      </c>
      <c r="AF5341">
        <v>-3.1004326858956501</v>
      </c>
      <c r="AG5341">
        <v>-1.1175045065860001</v>
      </c>
      <c r="AH5341">
        <v>9.4481881598233795</v>
      </c>
      <c r="AI5341">
        <v>96.412055013970104</v>
      </c>
      <c r="AJ5341">
        <v>108.167303014475</v>
      </c>
      <c r="AK5341">
        <v>10.0064858299723</v>
      </c>
      <c r="AL5341">
        <v>89.318685003919398</v>
      </c>
      <c r="AM5341">
        <v>92.743895840206406</v>
      </c>
      <c r="AN5341">
        <v>1.0000000260450099</v>
      </c>
    </row>
    <row r="5342" spans="1:40" x14ac:dyDescent="0.25">
      <c r="A5342" t="str">
        <f>"20190312160753083"</f>
        <v>20190312160753083</v>
      </c>
      <c r="B5342" t="str">
        <f>"1552378073070753"</f>
        <v>1552378073070753</v>
      </c>
      <c r="C5342" t="s">
        <v>40</v>
      </c>
      <c r="D5342">
        <v>5.9471309999999997</v>
      </c>
      <c r="E5342">
        <v>0.3927505</v>
      </c>
      <c r="F5342" t="s">
        <v>89</v>
      </c>
      <c r="G5342">
        <v>-411.05930000000001</v>
      </c>
      <c r="H5342" s="1">
        <v>-6.4156290000000002E-6</v>
      </c>
      <c r="I5342">
        <v>130.0419</v>
      </c>
      <c r="J5342">
        <v>-403.7654</v>
      </c>
      <c r="K5342">
        <v>1.117524</v>
      </c>
      <c r="L5342">
        <v>136.9616</v>
      </c>
      <c r="M5342">
        <v>-0.90429519999999997</v>
      </c>
      <c r="N5342">
        <v>0</v>
      </c>
      <c r="O5342">
        <v>-0.42661939999999998</v>
      </c>
      <c r="P5342">
        <v>-0.88293809999999995</v>
      </c>
      <c r="Q5342">
        <v>-2.9914519999999999E-3</v>
      </c>
      <c r="R5342">
        <v>-0.4694797</v>
      </c>
      <c r="S5342">
        <v>-2.2758790000000002</v>
      </c>
      <c r="T5342">
        <v>-0.33702359999999998</v>
      </c>
      <c r="U5342">
        <v>-2.1253359999999999</v>
      </c>
      <c r="V5342">
        <v>-4.8103180000000002E-2</v>
      </c>
      <c r="W5342">
        <v>1.178363E-2</v>
      </c>
      <c r="X5342">
        <v>0.99877289999999996</v>
      </c>
      <c r="Y5342">
        <v>-0.30595830000000002</v>
      </c>
      <c r="Z5342">
        <v>3.0730420000000001E-2</v>
      </c>
      <c r="AA5342">
        <v>0.95154879999999997</v>
      </c>
      <c r="AB5342">
        <v>29</v>
      </c>
      <c r="AC5342">
        <v>-7.2938999999999998</v>
      </c>
      <c r="AD5342">
        <v>-1.117530415629</v>
      </c>
      <c r="AE5342">
        <v>-6.9196999999999997</v>
      </c>
      <c r="AF5342">
        <v>-3.1077237248906302</v>
      </c>
      <c r="AG5342">
        <v>-1.117530415629</v>
      </c>
      <c r="AH5342">
        <v>9.4325536495432196</v>
      </c>
      <c r="AI5342">
        <v>96.420253686186896</v>
      </c>
      <c r="AJ5342">
        <v>108.235392954193</v>
      </c>
      <c r="AK5342">
        <v>9.9939926621753692</v>
      </c>
      <c r="AL5342">
        <v>89.324832133623104</v>
      </c>
      <c r="AM5342">
        <v>92.757364689935997</v>
      </c>
      <c r="AN5342">
        <v>1.0000000378182401</v>
      </c>
    </row>
    <row r="5343" spans="1:40" x14ac:dyDescent="0.25">
      <c r="A5343" t="str">
        <f>"20190312160753105"</f>
        <v>20190312160753105</v>
      </c>
      <c r="B5343" t="str">
        <f>"1552378073101009"</f>
        <v>1552378073101009</v>
      </c>
      <c r="C5343" t="s">
        <v>40</v>
      </c>
      <c r="D5343">
        <v>5.9497030000000004</v>
      </c>
      <c r="E5343">
        <v>0.37287150000000002</v>
      </c>
      <c r="F5343" t="s">
        <v>89</v>
      </c>
      <c r="G5343">
        <v>-411.23570000000001</v>
      </c>
      <c r="H5343" s="1">
        <v>-6.3122359999999996E-6</v>
      </c>
      <c r="I5343">
        <v>129.81319999999999</v>
      </c>
      <c r="J5343">
        <v>-404.0197</v>
      </c>
      <c r="K5343">
        <v>1.1175349999999999</v>
      </c>
      <c r="L5343">
        <v>136.83009999999999</v>
      </c>
      <c r="M5343">
        <v>-0.90000429999999998</v>
      </c>
      <c r="N5343">
        <v>0</v>
      </c>
      <c r="O5343">
        <v>-0.4355985</v>
      </c>
      <c r="P5343">
        <v>-0.87852009999999903</v>
      </c>
      <c r="Q5343">
        <v>-2.5928819999999999E-3</v>
      </c>
      <c r="R5343">
        <v>-0.47769850000000003</v>
      </c>
      <c r="S5343">
        <v>-2.2511899999999998</v>
      </c>
      <c r="T5343">
        <v>-0.33676679999999998</v>
      </c>
      <c r="U5343">
        <v>-2.154175</v>
      </c>
      <c r="V5343">
        <v>-4.7490480000000002E-2</v>
      </c>
      <c r="W5343">
        <v>1.219845E-2</v>
      </c>
      <c r="X5343">
        <v>0.99879720000000005</v>
      </c>
      <c r="Y5343">
        <v>-0.30809589999999998</v>
      </c>
      <c r="Z5343">
        <v>3.1616180000000001E-2</v>
      </c>
      <c r="AA5343">
        <v>0.95082979999999995</v>
      </c>
      <c r="AB5343">
        <v>29</v>
      </c>
      <c r="AC5343">
        <v>-7.2160000000000002</v>
      </c>
      <c r="AD5343">
        <v>-1.1175413122359901</v>
      </c>
      <c r="AE5343">
        <v>-7.0168999999999899</v>
      </c>
      <c r="AF5343">
        <v>-3.1337200897644899</v>
      </c>
      <c r="AG5343">
        <v>-1.1175413122359901</v>
      </c>
      <c r="AH5343">
        <v>9.4358350802543391</v>
      </c>
      <c r="AI5343">
        <v>96.413092796025097</v>
      </c>
      <c r="AJ5343">
        <v>108.37176046123599</v>
      </c>
      <c r="AK5343">
        <v>10.0052028388886</v>
      </c>
      <c r="AL5343">
        <v>89.301062961888107</v>
      </c>
      <c r="AM5343">
        <v>92.722230615638793</v>
      </c>
      <c r="AN5343">
        <v>0.99999999730043598</v>
      </c>
    </row>
    <row r="5344" spans="1:40" x14ac:dyDescent="0.25">
      <c r="A5344" t="str">
        <f>"20190312160753129"</f>
        <v>20190312160753129</v>
      </c>
      <c r="B5344" t="str">
        <f>"1552378073120529"</f>
        <v>1552378073120529</v>
      </c>
      <c r="C5344" t="s">
        <v>40</v>
      </c>
      <c r="D5344">
        <v>5.973579</v>
      </c>
      <c r="E5344">
        <v>0.37196990000000002</v>
      </c>
      <c r="F5344" t="s">
        <v>89</v>
      </c>
      <c r="G5344">
        <v>-414.50799999999998</v>
      </c>
      <c r="H5344" s="1">
        <v>-4.2587030000000003E-6</v>
      </c>
      <c r="I5344">
        <v>125.5432</v>
      </c>
      <c r="J5344">
        <v>-404.28370000000001</v>
      </c>
      <c r="K5344">
        <v>1.117556</v>
      </c>
      <c r="L5344">
        <v>136.69</v>
      </c>
      <c r="M5344">
        <v>-0.89540180000000003</v>
      </c>
      <c r="N5344">
        <v>0</v>
      </c>
      <c r="O5344">
        <v>-0.44498219999999999</v>
      </c>
      <c r="P5344">
        <v>-0.87413439999999998</v>
      </c>
      <c r="Q5344">
        <v>-2.5312160000000002E-3</v>
      </c>
      <c r="R5344">
        <v>-0.48567709999999997</v>
      </c>
      <c r="S5344">
        <v>-2.1538390000000001</v>
      </c>
      <c r="T5344">
        <v>-0.22949310000000001</v>
      </c>
      <c r="U5344">
        <v>-2.317825</v>
      </c>
      <c r="V5344">
        <v>-4.6145409999999998E-2</v>
      </c>
      <c r="W5344">
        <v>1.229095E-2</v>
      </c>
      <c r="X5344">
        <v>0.9988591</v>
      </c>
      <c r="Y5344">
        <v>-0.35321249999999998</v>
      </c>
      <c r="Z5344">
        <v>2.0393979999999999E-2</v>
      </c>
      <c r="AA5344">
        <v>0.93532079999999995</v>
      </c>
      <c r="AB5344">
        <v>29</v>
      </c>
      <c r="AC5344">
        <v>-10.224299999999999</v>
      </c>
      <c r="AD5344">
        <v>-1.117560258703</v>
      </c>
      <c r="AE5344">
        <v>-11.146800000000001</v>
      </c>
      <c r="AF5344">
        <v>-5.4024111559099799</v>
      </c>
      <c r="AG5344">
        <v>-1.117560258703</v>
      </c>
      <c r="AH5344">
        <v>14.0400797165884</v>
      </c>
      <c r="AI5344">
        <v>94.248589855309405</v>
      </c>
      <c r="AJ5344">
        <v>111.04597317617301</v>
      </c>
      <c r="AK5344">
        <v>15.0850530551765</v>
      </c>
      <c r="AL5344">
        <v>89.295762695533</v>
      </c>
      <c r="AM5344">
        <v>92.645076454472203</v>
      </c>
      <c r="AN5344">
        <v>0.99999998398439005</v>
      </c>
    </row>
    <row r="5345" spans="1:40" x14ac:dyDescent="0.25">
      <c r="A5345" t="str">
        <f>"20190312160753150"</f>
        <v>20190312160753150</v>
      </c>
      <c r="B5345" t="str">
        <f>"1552378073141026"</f>
        <v>1552378073141026</v>
      </c>
      <c r="C5345" t="s">
        <v>40</v>
      </c>
      <c r="D5345">
        <v>5.940868</v>
      </c>
      <c r="E5345">
        <v>0.37203510000000001</v>
      </c>
      <c r="F5345" t="s">
        <v>89</v>
      </c>
      <c r="G5345">
        <v>-415.39929999999998</v>
      </c>
      <c r="H5345" s="1">
        <v>-3.7068970000000002E-6</v>
      </c>
      <c r="I5345">
        <v>124.4496</v>
      </c>
      <c r="J5345">
        <v>-404.52330000000001</v>
      </c>
      <c r="K5345">
        <v>1.1175759999999999</v>
      </c>
      <c r="L5345">
        <v>136.55969999999999</v>
      </c>
      <c r="M5345">
        <v>-0.89109189999999905</v>
      </c>
      <c r="N5345">
        <v>0</v>
      </c>
      <c r="O5345">
        <v>-0.45355109999999899</v>
      </c>
      <c r="P5345">
        <v>-0.86961710000000003</v>
      </c>
      <c r="Q5345">
        <v>-1.954988E-3</v>
      </c>
      <c r="R5345">
        <v>-0.49372319999999997</v>
      </c>
      <c r="S5345">
        <v>-2.1288450000000001</v>
      </c>
      <c r="T5345">
        <v>-0.21403359999999999</v>
      </c>
      <c r="U5345">
        <v>-2.3442539999999998</v>
      </c>
      <c r="V5345">
        <v>-4.579213E-2</v>
      </c>
      <c r="W5345">
        <v>1.2877889999999999E-2</v>
      </c>
      <c r="X5345">
        <v>0.99886799999999998</v>
      </c>
      <c r="Y5345">
        <v>-0.35495149999999998</v>
      </c>
      <c r="Z5345">
        <v>1.9582289999999999E-2</v>
      </c>
      <c r="AA5345">
        <v>0.93467960000000005</v>
      </c>
      <c r="AB5345">
        <v>29</v>
      </c>
      <c r="AC5345">
        <v>-10.8759999999999</v>
      </c>
      <c r="AD5345">
        <v>-1.1175797068969999</v>
      </c>
      <c r="AE5345">
        <v>-12.1100999999999</v>
      </c>
      <c r="AF5345">
        <v>-5.8316214756542797</v>
      </c>
      <c r="AG5345">
        <v>-1.1175797068969999</v>
      </c>
      <c r="AH5345">
        <v>15.1146840395634</v>
      </c>
      <c r="AI5345">
        <v>93.946216152226995</v>
      </c>
      <c r="AJ5345">
        <v>111.09785630421599</v>
      </c>
      <c r="AK5345">
        <v>16.239164604511299</v>
      </c>
      <c r="AL5345">
        <v>89.262130873294595</v>
      </c>
      <c r="AM5345">
        <v>92.624831355671702</v>
      </c>
      <c r="AN5345">
        <v>1.00000002032239</v>
      </c>
    </row>
    <row r="5346" spans="1:40" x14ac:dyDescent="0.25">
      <c r="A5346" t="str">
        <f>"20190312160753172"</f>
        <v>20190312160753172</v>
      </c>
      <c r="B5346" t="str">
        <f>"1552378073160545"</f>
        <v>1552378073160545</v>
      </c>
      <c r="C5346" t="s">
        <v>40</v>
      </c>
      <c r="D5346">
        <v>5.9228480000000001</v>
      </c>
      <c r="E5346">
        <v>0.37226369999999998</v>
      </c>
      <c r="F5346" t="s">
        <v>89</v>
      </c>
      <c r="G5346">
        <v>-415.87110000000001</v>
      </c>
      <c r="H5346" s="1">
        <v>-3.2482909999999998E-6</v>
      </c>
      <c r="I5346">
        <v>123.83150000000001</v>
      </c>
      <c r="J5346">
        <v>-404.76299999999998</v>
      </c>
      <c r="K5346">
        <v>1.117594</v>
      </c>
      <c r="L5346">
        <v>136.4263</v>
      </c>
      <c r="M5346">
        <v>-0.88664809999999905</v>
      </c>
      <c r="N5346">
        <v>0</v>
      </c>
      <c r="O5346">
        <v>-0.46217789999999997</v>
      </c>
      <c r="P5346">
        <v>-0.86484219999999901</v>
      </c>
      <c r="Q5346">
        <v>-1.6998629999999901E-3</v>
      </c>
      <c r="R5346">
        <v>-0.50204119999999997</v>
      </c>
      <c r="S5346">
        <v>-2.107361</v>
      </c>
      <c r="T5346">
        <v>-0.2075427</v>
      </c>
      <c r="U5346">
        <v>-2.3637239999999999</v>
      </c>
      <c r="V5346">
        <v>-4.568386E-2</v>
      </c>
      <c r="W5346">
        <v>1.3138220000000001E-2</v>
      </c>
      <c r="X5346">
        <v>0.99886949999999997</v>
      </c>
      <c r="Y5346">
        <v>-0.3544428</v>
      </c>
      <c r="Z5346">
        <v>1.9623560000000002E-2</v>
      </c>
      <c r="AA5346">
        <v>0.93487169999999997</v>
      </c>
      <c r="AB5346">
        <v>29</v>
      </c>
      <c r="AC5346">
        <v>-11.108099999999901</v>
      </c>
      <c r="AD5346">
        <v>-1.1175972482909999</v>
      </c>
      <c r="AE5346">
        <v>-12.5947999999999</v>
      </c>
      <c r="AF5346">
        <v>-6.0073757453976899</v>
      </c>
      <c r="AG5346">
        <v>-1.1175972482909999</v>
      </c>
      <c r="AH5346">
        <v>15.6028446092037</v>
      </c>
      <c r="AI5346">
        <v>93.824216478449202</v>
      </c>
      <c r="AJ5346">
        <v>111.057602878553</v>
      </c>
      <c r="AK5346">
        <v>16.756680663387201</v>
      </c>
      <c r="AL5346">
        <v>89.247213750453895</v>
      </c>
      <c r="AM5346">
        <v>92.618629978730098</v>
      </c>
      <c r="AN5346">
        <v>0.99999995295975797</v>
      </c>
    </row>
    <row r="5347" spans="1:40" x14ac:dyDescent="0.25">
      <c r="A5347" t="str">
        <f>"20190312160753194"</f>
        <v>20190312160753194</v>
      </c>
      <c r="B5347" t="str">
        <f>"1552378073190801"</f>
        <v>1552378073190801</v>
      </c>
      <c r="C5347" t="s">
        <v>40</v>
      </c>
      <c r="D5347">
        <v>5.9106759999999996</v>
      </c>
      <c r="E5347">
        <v>0.37321460000000001</v>
      </c>
      <c r="F5347" t="s">
        <v>89</v>
      </c>
      <c r="G5347">
        <v>-416.2056</v>
      </c>
      <c r="H5347" s="1">
        <v>-2.8982570000000001E-6</v>
      </c>
      <c r="I5347">
        <v>123.3541</v>
      </c>
      <c r="J5347">
        <v>-405.00580000000002</v>
      </c>
      <c r="K5347">
        <v>1.117612</v>
      </c>
      <c r="L5347">
        <v>136.28790000000001</v>
      </c>
      <c r="M5347">
        <v>-0.88200800000000001</v>
      </c>
      <c r="N5347">
        <v>0</v>
      </c>
      <c r="O5347">
        <v>-0.47097270000000002</v>
      </c>
      <c r="P5347">
        <v>-0.86</v>
      </c>
      <c r="Q5347">
        <v>-2.1241519999999998E-3</v>
      </c>
      <c r="R5347">
        <v>-0.51028999999999902</v>
      </c>
      <c r="S5347">
        <v>-2.0854189999999999</v>
      </c>
      <c r="T5347">
        <v>-0.20368230000000001</v>
      </c>
      <c r="U5347">
        <v>-2.3824160000000001</v>
      </c>
      <c r="V5347">
        <v>-4.5297339999999998E-2</v>
      </c>
      <c r="W5347">
        <v>1.2724360000000001E-2</v>
      </c>
      <c r="X5347">
        <v>0.99889249999999996</v>
      </c>
      <c r="Y5347">
        <v>-0.35366209999999998</v>
      </c>
      <c r="Z5347">
        <v>1.9906610000000002E-2</v>
      </c>
      <c r="AA5347">
        <v>0.93516140000000003</v>
      </c>
      <c r="AB5347">
        <v>29</v>
      </c>
      <c r="AC5347">
        <v>-11.1997999999999</v>
      </c>
      <c r="AD5347">
        <v>-1.117614898257</v>
      </c>
      <c r="AE5347">
        <v>-12.9338</v>
      </c>
      <c r="AF5347">
        <v>-6.1076095199159504</v>
      </c>
      <c r="AG5347">
        <v>-1.117614898257</v>
      </c>
      <c r="AH5347">
        <v>15.9038857355969</v>
      </c>
      <c r="AI5347">
        <v>93.753331876954903</v>
      </c>
      <c r="AJ5347">
        <v>111.008413867863</v>
      </c>
      <c r="AK5347">
        <v>17.072947566237499</v>
      </c>
      <c r="AL5347">
        <v>89.270928194667206</v>
      </c>
      <c r="AM5347">
        <v>92.5964451352948</v>
      </c>
      <c r="AN5347">
        <v>0.99999999245236704</v>
      </c>
    </row>
    <row r="5348" spans="1:40" x14ac:dyDescent="0.25">
      <c r="A5348" t="str">
        <f>"20190312160753217"</f>
        <v>20190312160753217</v>
      </c>
      <c r="B5348" t="str">
        <f>"1552378073211297"</f>
        <v>1552378073211297</v>
      </c>
      <c r="C5348" t="s">
        <v>40</v>
      </c>
      <c r="D5348">
        <v>5.9375619999999998</v>
      </c>
      <c r="E5348">
        <v>0.37388009999999999</v>
      </c>
      <c r="F5348" t="s">
        <v>89</v>
      </c>
      <c r="G5348">
        <v>-416.1651</v>
      </c>
      <c r="H5348" s="1">
        <v>-2.9017889999999998E-6</v>
      </c>
      <c r="I5348">
        <v>123.3507</v>
      </c>
      <c r="J5348">
        <v>-405.2518</v>
      </c>
      <c r="K5348">
        <v>1.1176280000000001</v>
      </c>
      <c r="L5348">
        <v>136.14410000000001</v>
      </c>
      <c r="M5348">
        <v>-0.87715669999999901</v>
      </c>
      <c r="N5348">
        <v>0</v>
      </c>
      <c r="O5348">
        <v>-0.47994710000000002</v>
      </c>
      <c r="P5348">
        <v>-0.85482809999999898</v>
      </c>
      <c r="Q5348">
        <v>-2.8145190000000001E-3</v>
      </c>
      <c r="R5348">
        <v>-0.51890409999999998</v>
      </c>
      <c r="S5348">
        <v>-2.0664060000000002</v>
      </c>
      <c r="T5348">
        <v>-0.2069529</v>
      </c>
      <c r="U5348">
        <v>-2.3956300000000001</v>
      </c>
      <c r="V5348">
        <v>-4.512911E-2</v>
      </c>
      <c r="W5348">
        <v>1.204063E-2</v>
      </c>
      <c r="X5348">
        <v>0.99890860000000004</v>
      </c>
      <c r="Y5348">
        <v>-0.3509428</v>
      </c>
      <c r="Z5348">
        <v>2.0971400000000001E-2</v>
      </c>
      <c r="AA5348">
        <v>0.9361621</v>
      </c>
      <c r="AB5348">
        <v>29</v>
      </c>
      <c r="AC5348">
        <v>-10.9132999999999</v>
      </c>
      <c r="AD5348">
        <v>-1.117630901789</v>
      </c>
      <c r="AE5348">
        <v>-12.7934</v>
      </c>
      <c r="AF5348">
        <v>-5.9584282647588598</v>
      </c>
      <c r="AG5348">
        <v>-1.117630901789</v>
      </c>
      <c r="AH5348">
        <v>15.6456572745484</v>
      </c>
      <c r="AI5348">
        <v>93.819211899521903</v>
      </c>
      <c r="AJ5348">
        <v>110.848630688911</v>
      </c>
      <c r="AK5348">
        <v>16.7791107562809</v>
      </c>
      <c r="AL5348">
        <v>89.310106049420597</v>
      </c>
      <c r="AM5348">
        <v>92.5867736721612</v>
      </c>
      <c r="AN5348">
        <v>1.0000000022470701</v>
      </c>
    </row>
    <row r="5349" spans="1:40" x14ac:dyDescent="0.25">
      <c r="A5349" t="str">
        <f>"20190312160753239"</f>
        <v>20190312160753239</v>
      </c>
      <c r="B5349" t="str">
        <f>"1552378073230816"</f>
        <v>1552378073230816</v>
      </c>
      <c r="C5349" t="s">
        <v>40</v>
      </c>
      <c r="D5349">
        <v>5.9190550000000002</v>
      </c>
      <c r="E5349">
        <v>0.37453019999999998</v>
      </c>
      <c r="F5349" t="s">
        <v>89</v>
      </c>
      <c r="G5349">
        <v>-416.22109999999998</v>
      </c>
      <c r="H5349" s="1">
        <v>-2.8015499999999999E-6</v>
      </c>
      <c r="I5349">
        <v>123.20529999999999</v>
      </c>
      <c r="J5349">
        <v>-405.49160000000001</v>
      </c>
      <c r="K5349">
        <v>1.1176410000000001</v>
      </c>
      <c r="L5349">
        <v>136.00069999999999</v>
      </c>
      <c r="M5349">
        <v>-0.87228639999999902</v>
      </c>
      <c r="N5349">
        <v>0</v>
      </c>
      <c r="O5349">
        <v>-0.48874260000000003</v>
      </c>
      <c r="P5349">
        <v>-0.84982950000000002</v>
      </c>
      <c r="Q5349">
        <v>-3.1675060000000001E-3</v>
      </c>
      <c r="R5349">
        <v>-0.52704830000000003</v>
      </c>
      <c r="S5349">
        <v>-2.0447389999999999</v>
      </c>
      <c r="T5349">
        <v>-0.2083334</v>
      </c>
      <c r="U5349">
        <v>-2.41188</v>
      </c>
      <c r="V5349">
        <v>-4.4624400000000002E-2</v>
      </c>
      <c r="W5349">
        <v>1.1700189999999999E-2</v>
      </c>
      <c r="X5349">
        <v>0.99893529999999997</v>
      </c>
      <c r="Y5349">
        <v>-0.34954619999999997</v>
      </c>
      <c r="Z5349">
        <v>2.180327E-2</v>
      </c>
      <c r="AA5349">
        <v>0.93666539999999998</v>
      </c>
      <c r="AB5349">
        <v>28</v>
      </c>
      <c r="AC5349">
        <v>-10.7294999999999</v>
      </c>
      <c r="AD5349">
        <v>-1.1176438015500001</v>
      </c>
      <c r="AE5349">
        <v>-12.795400000000001</v>
      </c>
      <c r="AF5349">
        <v>-5.8916284341719702</v>
      </c>
      <c r="AG5349">
        <v>-1.1176438015500001</v>
      </c>
      <c r="AH5349">
        <v>15.545146437236401</v>
      </c>
      <c r="AI5349">
        <v>93.846211503356997</v>
      </c>
      <c r="AJ5349">
        <v>110.756765977475</v>
      </c>
      <c r="AK5349">
        <v>16.6616923218685</v>
      </c>
      <c r="AL5349">
        <v>89.329613185837601</v>
      </c>
      <c r="AM5349">
        <v>92.557814358655804</v>
      </c>
      <c r="AN5349">
        <v>0.99999998255374201</v>
      </c>
    </row>
    <row r="5350" spans="1:40" x14ac:dyDescent="0.25">
      <c r="A5350" t="str">
        <f>"20190312160753262"</f>
        <v>20190312160753262</v>
      </c>
      <c r="B5350" t="str">
        <f>"1552378073251314"</f>
        <v>1552378073251314</v>
      </c>
      <c r="C5350" t="s">
        <v>40</v>
      </c>
      <c r="D5350">
        <v>5.9064139999999998</v>
      </c>
      <c r="E5350">
        <v>0.37524429999999998</v>
      </c>
      <c r="F5350" t="s">
        <v>89</v>
      </c>
      <c r="G5350">
        <v>-416.29730000000001</v>
      </c>
      <c r="H5350" s="1">
        <v>-2.688048E-6</v>
      </c>
      <c r="I5350">
        <v>123.04340000000001</v>
      </c>
      <c r="J5350">
        <v>-405.72620000000001</v>
      </c>
      <c r="K5350">
        <v>1.1176469999999901</v>
      </c>
      <c r="L5350">
        <v>135.8571</v>
      </c>
      <c r="M5350">
        <v>-0.86738359999999903</v>
      </c>
      <c r="N5350">
        <v>0</v>
      </c>
      <c r="O5350">
        <v>-0.49739100000000003</v>
      </c>
      <c r="P5350">
        <v>-0.84466540000000001</v>
      </c>
      <c r="Q5350">
        <v>-3.2336140000000001E-3</v>
      </c>
      <c r="R5350">
        <v>-0.53528480000000001</v>
      </c>
      <c r="S5350">
        <v>-2.0241090000000002</v>
      </c>
      <c r="T5350">
        <v>-0.20935509999999999</v>
      </c>
      <c r="U5350">
        <v>-2.4271240000000001</v>
      </c>
      <c r="V5350">
        <v>-4.4402459999999998E-2</v>
      </c>
      <c r="W5350">
        <v>1.1640589999999999E-2</v>
      </c>
      <c r="X5350">
        <v>0.99894590000000005</v>
      </c>
      <c r="Y5350">
        <v>-0.34783439999999999</v>
      </c>
      <c r="Z5350">
        <v>2.260562E-2</v>
      </c>
      <c r="AA5350">
        <v>0.93728339999999999</v>
      </c>
      <c r="AB5350">
        <v>28</v>
      </c>
      <c r="AC5350">
        <v>-10.571099999999999</v>
      </c>
      <c r="AD5350">
        <v>-1.11764968804799</v>
      </c>
      <c r="AE5350">
        <v>-12.8136999999999</v>
      </c>
      <c r="AF5350">
        <v>-5.8307541478907003</v>
      </c>
      <c r="AG5350">
        <v>-1.11764968804799</v>
      </c>
      <c r="AH5350">
        <v>15.4744935168259</v>
      </c>
      <c r="AI5350">
        <v>93.866547296648207</v>
      </c>
      <c r="AJ5350">
        <v>110.64629560899699</v>
      </c>
      <c r="AK5350">
        <v>16.5742808097554</v>
      </c>
      <c r="AL5350">
        <v>89.333028256201104</v>
      </c>
      <c r="AM5350">
        <v>92.545082835952797</v>
      </c>
      <c r="AN5350">
        <v>0.99999999645820403</v>
      </c>
    </row>
    <row r="5351" spans="1:40" x14ac:dyDescent="0.25">
      <c r="A5351" t="str">
        <f>"20190312160753283"</f>
        <v>20190312160753283</v>
      </c>
      <c r="B5351" t="str">
        <f>"1552378073270833"</f>
        <v>1552378073270833</v>
      </c>
      <c r="C5351" t="s">
        <v>40</v>
      </c>
      <c r="D5351">
        <v>5.8892300000000004</v>
      </c>
      <c r="E5351">
        <v>0.3755888</v>
      </c>
      <c r="F5351" t="s">
        <v>89</v>
      </c>
      <c r="G5351">
        <v>-416.37939999999998</v>
      </c>
      <c r="H5351" s="1">
        <v>-2.5681609999999998E-6</v>
      </c>
      <c r="I5351">
        <v>122.8728</v>
      </c>
      <c r="J5351">
        <v>-405.9622</v>
      </c>
      <c r="K5351">
        <v>1.117651</v>
      </c>
      <c r="L5351">
        <v>135.70939999999999</v>
      </c>
      <c r="M5351">
        <v>-0.86231630000000004</v>
      </c>
      <c r="N5351">
        <v>0</v>
      </c>
      <c r="O5351">
        <v>-0.50612590000000002</v>
      </c>
      <c r="P5351">
        <v>-0.83914239999999996</v>
      </c>
      <c r="Q5351">
        <v>-3.6924689999999999E-3</v>
      </c>
      <c r="R5351">
        <v>-0.54389949999999998</v>
      </c>
      <c r="S5351">
        <v>-2.0034179999999999</v>
      </c>
      <c r="T5351">
        <v>-0.2101828</v>
      </c>
      <c r="U5351">
        <v>-2.4417879999999998</v>
      </c>
      <c r="V5351">
        <v>-4.452702E-2</v>
      </c>
      <c r="W5351">
        <v>1.1181419999999999E-2</v>
      </c>
      <c r="X5351">
        <v>0.99894559999999999</v>
      </c>
      <c r="Y5351">
        <v>-0.34588669999999999</v>
      </c>
      <c r="Z5351">
        <v>2.3410400000000001E-2</v>
      </c>
      <c r="AA5351">
        <v>0.93798419999999905</v>
      </c>
      <c r="AB5351">
        <v>28</v>
      </c>
      <c r="AC5351">
        <v>-10.4171999999999</v>
      </c>
      <c r="AD5351">
        <v>-1.117653568161</v>
      </c>
      <c r="AE5351">
        <v>-12.836599999999899</v>
      </c>
      <c r="AF5351">
        <v>-5.7711332381462803</v>
      </c>
      <c r="AG5351">
        <v>-1.117653568161</v>
      </c>
      <c r="AH5351">
        <v>15.411330316942699</v>
      </c>
      <c r="AI5351">
        <v>93.885321969370906</v>
      </c>
      <c r="AJ5351">
        <v>110.529588435148</v>
      </c>
      <c r="AK5351">
        <v>16.494369660244001</v>
      </c>
      <c r="AL5351">
        <v>89.359338472122104</v>
      </c>
      <c r="AM5351">
        <v>92.552213767586096</v>
      </c>
      <c r="AN5351">
        <v>0.99999999571132803</v>
      </c>
    </row>
    <row r="5352" spans="1:40" x14ac:dyDescent="0.25">
      <c r="A5352" t="str">
        <f>"20190312160753306"</f>
        <v>20190312160753306</v>
      </c>
      <c r="B5352" t="str">
        <f>"1552378073301093"</f>
        <v>1552378073301093</v>
      </c>
      <c r="C5352" t="s">
        <v>40</v>
      </c>
      <c r="D5352">
        <v>5.9188349999999996</v>
      </c>
      <c r="E5352">
        <v>0.3832795</v>
      </c>
      <c r="F5352" t="s">
        <v>89</v>
      </c>
      <c r="G5352">
        <v>-416.42450000000002</v>
      </c>
      <c r="H5352" s="1">
        <v>-2.4575070000000002E-6</v>
      </c>
      <c r="I5352">
        <v>122.7086</v>
      </c>
      <c r="J5352">
        <v>-406.20589999999999</v>
      </c>
      <c r="K5352">
        <v>1.1176459999999999</v>
      </c>
      <c r="L5352">
        <v>135.5532</v>
      </c>
      <c r="M5352">
        <v>-0.85693379999999997</v>
      </c>
      <c r="N5352">
        <v>0</v>
      </c>
      <c r="O5352">
        <v>-0.51518629999999999</v>
      </c>
      <c r="P5352">
        <v>-0.83359380000000005</v>
      </c>
      <c r="Q5352">
        <v>-3.9724870000000002E-3</v>
      </c>
      <c r="R5352">
        <v>-0.55236370000000001</v>
      </c>
      <c r="S5352">
        <v>-1.9796450000000001</v>
      </c>
      <c r="T5352">
        <v>-0.2114789</v>
      </c>
      <c r="U5352">
        <v>-2.4599609999999998</v>
      </c>
      <c r="V5352">
        <v>-4.4103200000000002E-2</v>
      </c>
      <c r="W5352">
        <v>1.0911550000000001E-2</v>
      </c>
      <c r="X5352">
        <v>0.99896739999999995</v>
      </c>
      <c r="Y5352">
        <v>-0.3449004</v>
      </c>
      <c r="Z5352">
        <v>2.4262010000000001E-2</v>
      </c>
      <c r="AA5352">
        <v>0.93832570000000004</v>
      </c>
      <c r="AB5352">
        <v>28</v>
      </c>
      <c r="AC5352">
        <v>-10.2186</v>
      </c>
      <c r="AD5352">
        <v>-1.11764845750699</v>
      </c>
      <c r="AE5352">
        <v>-12.8446</v>
      </c>
      <c r="AF5352">
        <v>-5.7166935578349403</v>
      </c>
      <c r="AG5352">
        <v>-1.11764845750699</v>
      </c>
      <c r="AH5352">
        <v>15.304964635626201</v>
      </c>
      <c r="AI5352">
        <v>93.913444181384094</v>
      </c>
      <c r="AJ5352">
        <v>110.48161053375399</v>
      </c>
      <c r="AK5352">
        <v>16.375947783457502</v>
      </c>
      <c r="AL5352">
        <v>89.374801836808004</v>
      </c>
      <c r="AM5352">
        <v>92.527897689831804</v>
      </c>
      <c r="AN5352">
        <v>1.0000000102182001</v>
      </c>
    </row>
    <row r="5353" spans="1:40" x14ac:dyDescent="0.25">
      <c r="A5353" t="str">
        <f>"20190312160753329"</f>
        <v>20190312160753329</v>
      </c>
      <c r="B5353" t="str">
        <f>"1552378073320613"</f>
        <v>1552378073320613</v>
      </c>
      <c r="C5353" t="s">
        <v>40</v>
      </c>
      <c r="D5353">
        <v>5.9541199999999996</v>
      </c>
      <c r="E5353">
        <v>0.38450649999999997</v>
      </c>
      <c r="F5353" t="s">
        <v>89</v>
      </c>
      <c r="G5353">
        <v>-416.1857</v>
      </c>
      <c r="H5353" s="1">
        <v>-2.906353E-6</v>
      </c>
      <c r="I5353">
        <v>123.36239999999999</v>
      </c>
      <c r="J5353">
        <v>-406.4359</v>
      </c>
      <c r="K5353">
        <v>1.117632</v>
      </c>
      <c r="L5353">
        <v>135.4025</v>
      </c>
      <c r="M5353">
        <v>-0.8517169</v>
      </c>
      <c r="N5353">
        <v>0</v>
      </c>
      <c r="O5353">
        <v>-0.52376629999999902</v>
      </c>
      <c r="P5353">
        <v>-0.82819699999999996</v>
      </c>
      <c r="Q5353">
        <v>-3.9309449999999999E-3</v>
      </c>
      <c r="R5353">
        <v>-0.56042340000000002</v>
      </c>
      <c r="S5353">
        <v>-1.9883729999999999</v>
      </c>
      <c r="T5353">
        <v>-0.22268060000000001</v>
      </c>
      <c r="U5353">
        <v>-2.4288940000000001</v>
      </c>
      <c r="V5353">
        <v>-4.376116E-2</v>
      </c>
      <c r="W5353">
        <v>1.096162E-2</v>
      </c>
      <c r="X5353">
        <v>0.99898189999999998</v>
      </c>
      <c r="Y5353">
        <v>-0.32763880000000001</v>
      </c>
      <c r="Z5353">
        <v>2.693678E-2</v>
      </c>
      <c r="AA5353">
        <v>0.94441900000000001</v>
      </c>
      <c r="AB5353">
        <v>28</v>
      </c>
      <c r="AC5353">
        <v>-9.7497999999999898</v>
      </c>
      <c r="AD5353">
        <v>-1.117634906353</v>
      </c>
      <c r="AE5353">
        <v>-12.040100000000001</v>
      </c>
      <c r="AF5353">
        <v>-5.1221202094533096</v>
      </c>
      <c r="AG5353">
        <v>-1.117634906353</v>
      </c>
      <c r="AH5353">
        <v>14.536424737193901</v>
      </c>
      <c r="AI5353">
        <v>94.147546558071795</v>
      </c>
      <c r="AJ5353">
        <v>109.410648938661</v>
      </c>
      <c r="AK5353">
        <v>15.452924233428799</v>
      </c>
      <c r="AL5353">
        <v>89.371932869446198</v>
      </c>
      <c r="AM5353">
        <v>92.508281491142199</v>
      </c>
      <c r="AN5353">
        <v>1.00000001638258</v>
      </c>
    </row>
    <row r="5354" spans="1:40" x14ac:dyDescent="0.25">
      <c r="A5354" t="str">
        <f>"20190312160753351"</f>
        <v>20190312160753351</v>
      </c>
      <c r="B5354" t="str">
        <f>"1552378073341105"</f>
        <v>1552378073341105</v>
      </c>
      <c r="C5354" t="s">
        <v>40</v>
      </c>
      <c r="D5354">
        <v>5.9050330000000004</v>
      </c>
      <c r="E5354">
        <v>0.38539970000000001</v>
      </c>
      <c r="F5354" t="s">
        <v>89</v>
      </c>
      <c r="G5354">
        <v>-416.1746</v>
      </c>
      <c r="H5354" s="1">
        <v>-2.8961149999999999E-6</v>
      </c>
      <c r="I5354">
        <v>123.3439</v>
      </c>
      <c r="J5354">
        <v>-406.66269999999997</v>
      </c>
      <c r="K5354">
        <v>1.117624</v>
      </c>
      <c r="L5354">
        <v>135.25069999999999</v>
      </c>
      <c r="M5354">
        <v>-0.84644229999999998</v>
      </c>
      <c r="N5354">
        <v>0</v>
      </c>
      <c r="O5354">
        <v>-0.53224799999999906</v>
      </c>
      <c r="P5354">
        <v>-0.82256079999999998</v>
      </c>
      <c r="Q5354">
        <v>-3.9561170000000003E-3</v>
      </c>
      <c r="R5354">
        <v>-0.56866369999999999</v>
      </c>
      <c r="S5354">
        <v>-1.970337</v>
      </c>
      <c r="T5354">
        <v>-0.22612119999999999</v>
      </c>
      <c r="U5354">
        <v>-2.4397129999999998</v>
      </c>
      <c r="V5354">
        <v>-4.3754500000000002E-2</v>
      </c>
      <c r="W5354">
        <v>1.09373E-2</v>
      </c>
      <c r="X5354">
        <v>0.99898240000000005</v>
      </c>
      <c r="Y5354">
        <v>-0.32449810000000001</v>
      </c>
      <c r="Z5354">
        <v>2.815583E-2</v>
      </c>
      <c r="AA5354">
        <v>0.94546719999999895</v>
      </c>
      <c r="AB5354">
        <v>28</v>
      </c>
      <c r="AC5354">
        <v>-9.5119000000000202</v>
      </c>
      <c r="AD5354">
        <v>-1.117626896115</v>
      </c>
      <c r="AE5354">
        <v>-11.906799999999899</v>
      </c>
      <c r="AF5354">
        <v>-4.9895153456880399</v>
      </c>
      <c r="AG5354">
        <v>-1.117626896115</v>
      </c>
      <c r="AH5354">
        <v>14.313444551367301</v>
      </c>
      <c r="AI5354">
        <v>94.216845822212804</v>
      </c>
      <c r="AJ5354">
        <v>109.21801436611401</v>
      </c>
      <c r="AK5354">
        <v>15.1993107800598</v>
      </c>
      <c r="AL5354">
        <v>89.373326349827806</v>
      </c>
      <c r="AM5354">
        <v>92.5078989902144</v>
      </c>
      <c r="AN5354">
        <v>0.99999995815564902</v>
      </c>
    </row>
    <row r="5355" spans="1:40" x14ac:dyDescent="0.25">
      <c r="A5355" t="str">
        <f>"20190312160753373"</f>
        <v>20190312160753373</v>
      </c>
      <c r="B5355" t="str">
        <f>"1552378073360625"</f>
        <v>1552378073360625</v>
      </c>
      <c r="C5355" t="s">
        <v>40</v>
      </c>
      <c r="D5355">
        <v>5.8764269999999996</v>
      </c>
      <c r="E5355">
        <v>0.38612400000000002</v>
      </c>
      <c r="F5355" t="s">
        <v>89</v>
      </c>
      <c r="G5355">
        <v>-416.19490000000002</v>
      </c>
      <c r="H5355" s="1">
        <v>-2.8385079999999998E-6</v>
      </c>
      <c r="I5355">
        <v>123.2577</v>
      </c>
      <c r="J5355">
        <v>-406.88940000000002</v>
      </c>
      <c r="K5355">
        <v>1.117612</v>
      </c>
      <c r="L5355">
        <v>135.09549999999999</v>
      </c>
      <c r="M5355">
        <v>-0.84103719999999904</v>
      </c>
      <c r="N5355">
        <v>0</v>
      </c>
      <c r="O5355">
        <v>-0.54074849999999997</v>
      </c>
      <c r="P5355">
        <v>-0.81696800000000003</v>
      </c>
      <c r="Q5355">
        <v>-4.3260670000000003E-3</v>
      </c>
      <c r="R5355">
        <v>-0.57666700000000004</v>
      </c>
      <c r="S5355">
        <v>-1.949951</v>
      </c>
      <c r="T5355">
        <v>-0.2286261</v>
      </c>
      <c r="U5355">
        <v>-2.4533230000000001</v>
      </c>
      <c r="V5355">
        <v>-4.3436460000000003E-2</v>
      </c>
      <c r="W5355">
        <v>1.057397E-2</v>
      </c>
      <c r="X5355">
        <v>0.99900029999999995</v>
      </c>
      <c r="Y5355">
        <v>-0.322360799999999</v>
      </c>
      <c r="Z5355">
        <v>2.9241360000000001E-2</v>
      </c>
      <c r="AA5355">
        <v>0.94616509999999998</v>
      </c>
      <c r="AB5355">
        <v>28</v>
      </c>
      <c r="AC5355">
        <v>-9.3054999999999897</v>
      </c>
      <c r="AD5355">
        <v>-1.117614838508</v>
      </c>
      <c r="AE5355">
        <v>-11.8377999999999</v>
      </c>
      <c r="AF5355">
        <v>-4.8977222337701098</v>
      </c>
      <c r="AG5355">
        <v>-1.117614838508</v>
      </c>
      <c r="AH5355">
        <v>14.1513435163648</v>
      </c>
      <c r="AI5355">
        <v>94.268211207647198</v>
      </c>
      <c r="AJ5355">
        <v>109.090528081092</v>
      </c>
      <c r="AK5355">
        <v>15.0165664958598</v>
      </c>
      <c r="AL5355">
        <v>89.394144896635098</v>
      </c>
      <c r="AM5355">
        <v>92.489648197420394</v>
      </c>
      <c r="AN5355">
        <v>1.00000006714948</v>
      </c>
    </row>
    <row r="5356" spans="1:40" x14ac:dyDescent="0.25">
      <c r="A5356" t="str">
        <f>"20190312160753396"</f>
        <v>20190312160753396</v>
      </c>
      <c r="B5356" t="str">
        <f>"1552378073390880"</f>
        <v>1552378073390880</v>
      </c>
      <c r="C5356" t="s">
        <v>40</v>
      </c>
      <c r="D5356">
        <v>5.8735119999999998</v>
      </c>
      <c r="E5356">
        <v>0.38696570000000002</v>
      </c>
      <c r="F5356" t="s">
        <v>89</v>
      </c>
      <c r="G5356">
        <v>-416.26010000000002</v>
      </c>
      <c r="H5356" s="1">
        <v>-2.73526E-6</v>
      </c>
      <c r="I5356">
        <v>123.1096</v>
      </c>
      <c r="J5356">
        <v>-407.11970000000002</v>
      </c>
      <c r="K5356">
        <v>1.1175980000000001</v>
      </c>
      <c r="L5356">
        <v>134.9342</v>
      </c>
      <c r="M5356">
        <v>-0.83540809999999999</v>
      </c>
      <c r="N5356">
        <v>0</v>
      </c>
      <c r="O5356">
        <v>-0.54940519999999904</v>
      </c>
      <c r="P5356">
        <v>-0.81105209999999905</v>
      </c>
      <c r="Q5356">
        <v>-4.2090280000000001E-3</v>
      </c>
      <c r="R5356">
        <v>-0.58495889999999995</v>
      </c>
      <c r="S5356">
        <v>-1.929138</v>
      </c>
      <c r="T5356">
        <v>-0.23008190000000001</v>
      </c>
      <c r="U5356">
        <v>-2.4675289999999999</v>
      </c>
      <c r="V5356">
        <v>-4.3297790000000003E-2</v>
      </c>
      <c r="W5356">
        <v>1.069413E-2</v>
      </c>
      <c r="X5356">
        <v>0.99900500000000003</v>
      </c>
      <c r="Y5356">
        <v>-0.32020189999999998</v>
      </c>
      <c r="Z5356">
        <v>3.0217589999999999E-2</v>
      </c>
      <c r="AA5356">
        <v>0.94686729999999997</v>
      </c>
      <c r="AB5356">
        <v>28</v>
      </c>
      <c r="AC5356">
        <v>-9.1403999999999996</v>
      </c>
      <c r="AD5356">
        <v>-1.1176007352599999</v>
      </c>
      <c r="AE5356">
        <v>-11.8246</v>
      </c>
      <c r="AF5356">
        <v>-4.83017438573901</v>
      </c>
      <c r="AG5356">
        <v>-1.1176007352599999</v>
      </c>
      <c r="AH5356">
        <v>14.055611968608099</v>
      </c>
      <c r="AI5356">
        <v>94.300351035641199</v>
      </c>
      <c r="AJ5356">
        <v>108.965149874779</v>
      </c>
      <c r="AK5356">
        <v>14.904356538011999</v>
      </c>
      <c r="AL5356">
        <v>89.387259822034906</v>
      </c>
      <c r="AM5356">
        <v>92.481698339182699</v>
      </c>
      <c r="AN5356">
        <v>1.0000000265301701</v>
      </c>
    </row>
    <row r="5357" spans="1:40" x14ac:dyDescent="0.25">
      <c r="A5357" t="str">
        <f>"20190312160753418"</f>
        <v>20190312160753418</v>
      </c>
      <c r="B5357" t="str">
        <f>"1552378073411381"</f>
        <v>1552378073411381</v>
      </c>
      <c r="C5357" t="s">
        <v>40</v>
      </c>
      <c r="D5357">
        <v>5.8865949999999998</v>
      </c>
      <c r="E5357">
        <v>0.35765229999999998</v>
      </c>
      <c r="F5357" t="s">
        <v>89</v>
      </c>
      <c r="G5357">
        <v>-416.2783</v>
      </c>
      <c r="H5357" s="1">
        <v>-2.6761020000000001E-6</v>
      </c>
      <c r="I5357">
        <v>123.0205</v>
      </c>
      <c r="J5357">
        <v>-407.34050000000002</v>
      </c>
      <c r="K5357">
        <v>1.117583</v>
      </c>
      <c r="L5357">
        <v>134.77600000000001</v>
      </c>
      <c r="M5357">
        <v>-0.82988039999999996</v>
      </c>
      <c r="N5357">
        <v>0</v>
      </c>
      <c r="O5357">
        <v>-0.55771959999999998</v>
      </c>
      <c r="P5357">
        <v>-0.80529139999999999</v>
      </c>
      <c r="Q5357">
        <v>-4.3656770000000001E-3</v>
      </c>
      <c r="R5357">
        <v>-0.59286319999999904</v>
      </c>
      <c r="S5357">
        <v>-1.9078059999999999</v>
      </c>
      <c r="T5357">
        <v>-0.23280509999999999</v>
      </c>
      <c r="U5357">
        <v>-2.4817200000000001</v>
      </c>
      <c r="V5357">
        <v>-4.3089679999999998E-2</v>
      </c>
      <c r="W5357">
        <v>1.054107E-2</v>
      </c>
      <c r="X5357">
        <v>0.9990156</v>
      </c>
      <c r="Y5357">
        <v>-0.3184979</v>
      </c>
      <c r="Z5357">
        <v>3.1333199999999999E-2</v>
      </c>
      <c r="AA5357">
        <v>0.94740559999999996</v>
      </c>
      <c r="AB5357">
        <v>28</v>
      </c>
      <c r="AC5357">
        <v>-8.9377999999999798</v>
      </c>
      <c r="AD5357">
        <v>-1.117585676102</v>
      </c>
      <c r="AE5357">
        <v>-11.7555</v>
      </c>
      <c r="AF5357">
        <v>-4.7442907836722101</v>
      </c>
      <c r="AG5357">
        <v>-1.117585676102</v>
      </c>
      <c r="AH5357">
        <v>13.895720786878099</v>
      </c>
      <c r="AI5357">
        <v>94.352544189755605</v>
      </c>
      <c r="AJ5357">
        <v>108.850981940004</v>
      </c>
      <c r="AK5357">
        <v>14.725771591680401</v>
      </c>
      <c r="AL5357">
        <v>89.396029993283705</v>
      </c>
      <c r="AM5357">
        <v>92.469758736629402</v>
      </c>
      <c r="AN5357">
        <v>1.0000000018613</v>
      </c>
    </row>
    <row r="5358" spans="1:40" x14ac:dyDescent="0.25">
      <c r="A5358" t="str">
        <f>"20190312160753439"</f>
        <v>20190312160753439</v>
      </c>
      <c r="B5358" t="str">
        <f>"1552378073430897"</f>
        <v>1552378073430897</v>
      </c>
      <c r="C5358" t="s">
        <v>40</v>
      </c>
      <c r="D5358">
        <v>5.9079249999999996</v>
      </c>
      <c r="E5358">
        <v>0.34283269999999999</v>
      </c>
      <c r="F5358" t="s">
        <v>47</v>
      </c>
      <c r="G5358">
        <v>-417.90879999999999</v>
      </c>
      <c r="H5358" s="1">
        <v>-4.166522E-6</v>
      </c>
      <c r="I5358">
        <v>118.4804</v>
      </c>
      <c r="J5358">
        <v>-407.55939999999998</v>
      </c>
      <c r="K5358">
        <v>1.1175600000000001</v>
      </c>
      <c r="L5358">
        <v>134.61609999999999</v>
      </c>
      <c r="M5358">
        <v>-0.82427739999999905</v>
      </c>
      <c r="N5358">
        <v>0</v>
      </c>
      <c r="O5358">
        <v>-0.56596769999999996</v>
      </c>
      <c r="P5358">
        <v>-0.79933589999999999</v>
      </c>
      <c r="Q5358">
        <v>-4.1091139999999996E-3</v>
      </c>
      <c r="R5358">
        <v>-0.60087040000000003</v>
      </c>
      <c r="S5358">
        <v>-1.7442930000000001</v>
      </c>
      <c r="T5358">
        <v>-0.18445800000000001</v>
      </c>
      <c r="U5358">
        <v>-2.6896059999999999</v>
      </c>
      <c r="V5358">
        <v>-4.3100529999999998E-2</v>
      </c>
      <c r="W5358">
        <v>1.079664E-2</v>
      </c>
      <c r="X5358">
        <v>0.99901240000000002</v>
      </c>
      <c r="Y5358">
        <v>-0.3838336</v>
      </c>
      <c r="Z5358">
        <v>2.3078399999999999E-2</v>
      </c>
      <c r="AA5358">
        <v>0.92311379999999998</v>
      </c>
      <c r="AB5358">
        <v>28</v>
      </c>
      <c r="AC5358">
        <v>-10.349399999999999</v>
      </c>
      <c r="AD5358">
        <v>-1.117564166522</v>
      </c>
      <c r="AE5358">
        <v>-16.1356999999999</v>
      </c>
      <c r="AF5358">
        <v>-7.4185732864920801</v>
      </c>
      <c r="AG5358">
        <v>-1.117564166522</v>
      </c>
      <c r="AH5358">
        <v>17.605409484844401</v>
      </c>
      <c r="AI5358">
        <v>93.347823490449898</v>
      </c>
      <c r="AJ5358">
        <v>112.84960071736801</v>
      </c>
      <c r="AK5358">
        <v>19.137257442026399</v>
      </c>
      <c r="AL5358">
        <v>89.381386075836204</v>
      </c>
      <c r="AM5358">
        <v>92.470387755824902</v>
      </c>
      <c r="AN5358">
        <v>0.99999999923766503</v>
      </c>
    </row>
    <row r="5359" spans="1:40" x14ac:dyDescent="0.25">
      <c r="A5359" t="str">
        <f>"20190312160753463"</f>
        <v>20190312160753463</v>
      </c>
      <c r="B5359" t="str">
        <f>"1552378073451393"</f>
        <v>1552378073451393</v>
      </c>
      <c r="C5359" t="s">
        <v>40</v>
      </c>
      <c r="D5359">
        <v>5.7528220000000001</v>
      </c>
      <c r="E5359">
        <v>0.33762360000000002</v>
      </c>
      <c r="F5359" t="s">
        <v>44</v>
      </c>
      <c r="G5359">
        <v>-408.08670000000001</v>
      </c>
      <c r="H5359">
        <v>1.073787</v>
      </c>
      <c r="I5359">
        <v>133.71850000000001</v>
      </c>
      <c r="J5359">
        <v>-407.7826</v>
      </c>
      <c r="K5359">
        <v>1.117537</v>
      </c>
      <c r="L5359">
        <v>134.4494</v>
      </c>
      <c r="M5359">
        <v>-0.81843390000000005</v>
      </c>
      <c r="N5359">
        <v>0</v>
      </c>
      <c r="O5359">
        <v>-0.5743859</v>
      </c>
      <c r="P5359">
        <v>-0.79295579999999999</v>
      </c>
      <c r="Q5359">
        <v>-3.9851590000000003E-3</v>
      </c>
      <c r="R5359">
        <v>-0.60926630000000004</v>
      </c>
      <c r="S5359">
        <v>-1.6457520000000001</v>
      </c>
      <c r="T5359">
        <v>-0.13663510000000001</v>
      </c>
      <c r="U5359">
        <v>-2.8024900000000001</v>
      </c>
      <c r="V5359">
        <v>-4.3398190000000003E-2</v>
      </c>
      <c r="W5359">
        <v>1.0913930000000001E-2</v>
      </c>
      <c r="X5359">
        <v>0.99899819999999995</v>
      </c>
      <c r="Y5359">
        <v>-0.41499940000000002</v>
      </c>
      <c r="Z5359">
        <v>1.666345E-2</v>
      </c>
      <c r="AA5359">
        <v>0.90966910000000001</v>
      </c>
      <c r="AB5359">
        <v>28</v>
      </c>
      <c r="AC5359">
        <v>-0.30410000000000498</v>
      </c>
      <c r="AD5359">
        <v>-4.37499999999999E-2</v>
      </c>
      <c r="AE5359">
        <v>-0.730899999999991</v>
      </c>
      <c r="AF5359">
        <v>-0.42228509813117199</v>
      </c>
      <c r="AG5359">
        <v>-4.37499999999999E-2</v>
      </c>
      <c r="AH5359">
        <v>0.66675052135633806</v>
      </c>
      <c r="AI5359">
        <v>93.172881861680494</v>
      </c>
      <c r="AJ5359">
        <v>122.34804258209699</v>
      </c>
      <c r="AK5359">
        <v>0.79043976641652003</v>
      </c>
      <c r="AL5359">
        <v>89.374665433443994</v>
      </c>
      <c r="AM5359">
        <v>92.487462654027794</v>
      </c>
      <c r="AN5359">
        <v>0.99999996018327897</v>
      </c>
    </row>
    <row r="5360" spans="1:40" x14ac:dyDescent="0.25">
      <c r="A5360" t="str">
        <f>"20190312160753485"</f>
        <v>20190312160753485</v>
      </c>
      <c r="B5360" t="str">
        <f>"1552378073480674"</f>
        <v>1552378073480674</v>
      </c>
      <c r="C5360" t="s">
        <v>40</v>
      </c>
      <c r="D5360">
        <v>5.287344</v>
      </c>
      <c r="E5360">
        <v>0.33744249999999998</v>
      </c>
      <c r="F5360" t="s">
        <v>44</v>
      </c>
      <c r="G5360">
        <v>-408.2955</v>
      </c>
      <c r="H5360">
        <v>1.077364</v>
      </c>
      <c r="I5360">
        <v>133.52959999999999</v>
      </c>
      <c r="J5360">
        <v>-408.00369999999998</v>
      </c>
      <c r="K5360">
        <v>1.117515</v>
      </c>
      <c r="L5360">
        <v>134.2807</v>
      </c>
      <c r="M5360">
        <v>-0.81251049999999903</v>
      </c>
      <c r="N5360">
        <v>0</v>
      </c>
      <c r="O5360">
        <v>-0.58273469999999905</v>
      </c>
      <c r="P5360">
        <v>-0.78677280000000005</v>
      </c>
      <c r="Q5360">
        <v>-4.0292870000000003E-3</v>
      </c>
      <c r="R5360">
        <v>-0.61722959999999905</v>
      </c>
      <c r="S5360">
        <v>-1.590759</v>
      </c>
      <c r="T5360">
        <v>-0.12458320000000001</v>
      </c>
      <c r="U5360">
        <v>-2.8527830000000001</v>
      </c>
      <c r="V5360">
        <v>-4.3240540000000001E-2</v>
      </c>
      <c r="W5360">
        <v>1.0871499999999999E-2</v>
      </c>
      <c r="X5360">
        <v>0.99900560000000005</v>
      </c>
      <c r="Y5360">
        <v>-0.4259424</v>
      </c>
      <c r="Z5360">
        <v>1.5290710000000001E-2</v>
      </c>
      <c r="AA5360">
        <v>0.90462109999999996</v>
      </c>
      <c r="AB5360">
        <v>28</v>
      </c>
      <c r="AC5360">
        <v>-0.29180000000002299</v>
      </c>
      <c r="AD5360">
        <v>-4.0150999999999999E-2</v>
      </c>
      <c r="AE5360">
        <v>-0.75110000000000798</v>
      </c>
      <c r="AF5360">
        <v>-0.43919856179650102</v>
      </c>
      <c r="AG5360">
        <v>-4.0150999999999999E-2</v>
      </c>
      <c r="AH5360">
        <v>0.67319450076154896</v>
      </c>
      <c r="AI5360">
        <v>92.859650364999894</v>
      </c>
      <c r="AJ5360">
        <v>123.12081554567899</v>
      </c>
      <c r="AK5360">
        <v>0.80479706469439005</v>
      </c>
      <c r="AL5360">
        <v>89.377096700704499</v>
      </c>
      <c r="AM5360">
        <v>92.478419550158193</v>
      </c>
      <c r="AN5360">
        <v>1.0000000613215401</v>
      </c>
    </row>
    <row r="5361" spans="1:40" x14ac:dyDescent="0.25">
      <c r="A5361" t="str">
        <f>"20190312160753508"</f>
        <v>20190312160753508</v>
      </c>
      <c r="B5361" t="str">
        <f>"1552378073501169"</f>
        <v>1552378073501169</v>
      </c>
      <c r="C5361" t="s">
        <v>40</v>
      </c>
      <c r="D5361">
        <v>5.7517690000000004</v>
      </c>
      <c r="E5361">
        <v>0.33681339999999999</v>
      </c>
      <c r="F5361" t="s">
        <v>44</v>
      </c>
      <c r="G5361">
        <v>-408.49450000000002</v>
      </c>
      <c r="H5361">
        <v>1.075204</v>
      </c>
      <c r="I5361">
        <v>133.3785</v>
      </c>
      <c r="J5361">
        <v>-408.21839999999997</v>
      </c>
      <c r="K5361">
        <v>1.11748799999999</v>
      </c>
      <c r="L5361">
        <v>134.11349999999999</v>
      </c>
      <c r="M5361">
        <v>-0.80662979999999995</v>
      </c>
      <c r="N5361">
        <v>0</v>
      </c>
      <c r="O5361">
        <v>-0.59084799999999904</v>
      </c>
      <c r="P5361">
        <v>-0.78080890000000003</v>
      </c>
      <c r="Q5361">
        <v>-3.0967730000000001E-3</v>
      </c>
      <c r="R5361">
        <v>-0.62476239999999905</v>
      </c>
      <c r="S5361">
        <v>-1.5611569999999999</v>
      </c>
      <c r="T5361">
        <v>-0.13456460000000001</v>
      </c>
      <c r="U5361">
        <v>-2.8695369999999998</v>
      </c>
      <c r="V5361">
        <v>-4.2844220000000002E-2</v>
      </c>
      <c r="W5361">
        <v>1.180985E-2</v>
      </c>
      <c r="X5361">
        <v>0.99901189999999995</v>
      </c>
      <c r="Y5361">
        <v>-0.42630709999999999</v>
      </c>
      <c r="Z5361">
        <v>1.689351E-2</v>
      </c>
      <c r="AA5361">
        <v>0.90442069999999997</v>
      </c>
      <c r="AB5361">
        <v>28</v>
      </c>
      <c r="AC5361">
        <v>-0.27610000000004198</v>
      </c>
      <c r="AD5361">
        <v>-4.2283999999999697E-2</v>
      </c>
      <c r="AE5361">
        <v>-0.734999999999985</v>
      </c>
      <c r="AF5361">
        <v>-0.428549911058486</v>
      </c>
      <c r="AG5361">
        <v>-4.2283999999999697E-2</v>
      </c>
      <c r="AH5361">
        <v>0.65516471774997798</v>
      </c>
      <c r="AI5361">
        <v>93.091602057626702</v>
      </c>
      <c r="AJ5361">
        <v>123.189107500611</v>
      </c>
      <c r="AK5361">
        <v>0.78401771045598501</v>
      </c>
      <c r="AL5361">
        <v>89.323329666280003</v>
      </c>
      <c r="AM5361">
        <v>92.455716133355907</v>
      </c>
      <c r="AN5361">
        <v>0.99999993804301801</v>
      </c>
    </row>
    <row r="5362" spans="1:40" x14ac:dyDescent="0.25">
      <c r="A5362" t="str">
        <f>"20190312160753530"</f>
        <v>20190312160753530</v>
      </c>
      <c r="B5362" t="str">
        <f>"1552378073520689"</f>
        <v>1552378073520689</v>
      </c>
      <c r="C5362" t="s">
        <v>40</v>
      </c>
      <c r="D5362">
        <v>5.7482189999999997</v>
      </c>
      <c r="E5362">
        <v>0.33715040000000002</v>
      </c>
      <c r="F5362" t="s">
        <v>47</v>
      </c>
      <c r="G5362">
        <v>-421.85379999999998</v>
      </c>
      <c r="H5362" s="1">
        <v>-4.5872190000000002E-6</v>
      </c>
      <c r="I5362">
        <v>108.37520000000001</v>
      </c>
      <c r="J5362">
        <v>-408.4298</v>
      </c>
      <c r="K5362">
        <v>1.1174660000000001</v>
      </c>
      <c r="L5362">
        <v>133.94550000000001</v>
      </c>
      <c r="M5362">
        <v>-0.80071250000000005</v>
      </c>
      <c r="N5362">
        <v>0</v>
      </c>
      <c r="O5362">
        <v>-0.59884289999999996</v>
      </c>
      <c r="P5362">
        <v>-0.77497369999999899</v>
      </c>
      <c r="Q5362">
        <v>-3.3881440000000001E-3</v>
      </c>
      <c r="R5362">
        <v>-0.63198449999999995</v>
      </c>
      <c r="S5362">
        <v>-1.5303340000000001</v>
      </c>
      <c r="T5362">
        <v>-0.12541869999999999</v>
      </c>
      <c r="U5362">
        <v>-2.8886720000000001</v>
      </c>
      <c r="V5362">
        <v>-4.217601E-2</v>
      </c>
      <c r="W5362">
        <v>1.1529019999999999E-2</v>
      </c>
      <c r="X5362">
        <v>0.99904369999999998</v>
      </c>
      <c r="Y5362">
        <v>-0.42732409999999998</v>
      </c>
      <c r="Z5362">
        <v>1.6074749999999999E-2</v>
      </c>
      <c r="AA5362">
        <v>0.90395559999999997</v>
      </c>
      <c r="AB5362">
        <v>28</v>
      </c>
      <c r="AC5362">
        <v>-13.4239999999999</v>
      </c>
      <c r="AD5362">
        <v>-1.1174705872190001</v>
      </c>
      <c r="AE5362">
        <v>-25.5703</v>
      </c>
      <c r="AF5362">
        <v>-12.418532625101401</v>
      </c>
      <c r="AG5362">
        <v>-1.1174705872190001</v>
      </c>
      <c r="AH5362">
        <v>26.025606279463201</v>
      </c>
      <c r="AI5362">
        <v>92.219201514813093</v>
      </c>
      <c r="AJ5362">
        <v>115.508886441154</v>
      </c>
      <c r="AK5362">
        <v>28.858289541960801</v>
      </c>
      <c r="AL5362">
        <v>89.339421193754106</v>
      </c>
      <c r="AM5362">
        <v>92.417385063306099</v>
      </c>
      <c r="AN5362">
        <v>1.0000000243156799</v>
      </c>
    </row>
    <row r="5363" spans="1:40" x14ac:dyDescent="0.25">
      <c r="A5363" t="str">
        <f>"20190312160753552"</f>
        <v>20190312160753552</v>
      </c>
      <c r="B5363" t="str">
        <f>"1552378073541185"</f>
        <v>1552378073541185</v>
      </c>
      <c r="C5363" t="s">
        <v>40</v>
      </c>
      <c r="D5363">
        <v>5.7661040000000003</v>
      </c>
      <c r="E5363">
        <v>0.33790189999999998</v>
      </c>
      <c r="F5363" t="s">
        <v>47</v>
      </c>
      <c r="G5363">
        <v>-421.5265</v>
      </c>
      <c r="H5363" s="1">
        <v>-4.6571790000000001E-6</v>
      </c>
      <c r="I5363">
        <v>108.7086</v>
      </c>
      <c r="J5363">
        <v>-408.64210000000003</v>
      </c>
      <c r="K5363">
        <v>1.1174329999999999</v>
      </c>
      <c r="L5363">
        <v>133.7732</v>
      </c>
      <c r="M5363">
        <v>-0.79464000000000001</v>
      </c>
      <c r="N5363">
        <v>0</v>
      </c>
      <c r="O5363">
        <v>-0.60687780000000002</v>
      </c>
      <c r="P5363">
        <v>-0.76884699999999995</v>
      </c>
      <c r="Q5363">
        <v>-3.7299970000000001E-3</v>
      </c>
      <c r="R5363">
        <v>-0.63942209999999999</v>
      </c>
      <c r="S5363">
        <v>-1.5052190000000001</v>
      </c>
      <c r="T5363">
        <v>-0.1284325</v>
      </c>
      <c r="U5363">
        <v>-2.9005130000000001</v>
      </c>
      <c r="V5363">
        <v>-4.1732650000000003E-2</v>
      </c>
      <c r="W5363">
        <v>1.1192870000000001E-2</v>
      </c>
      <c r="X5363">
        <v>0.99906609999999996</v>
      </c>
      <c r="Y5363">
        <v>-0.42589690000000002</v>
      </c>
      <c r="Z5363">
        <v>1.6861540000000001E-2</v>
      </c>
      <c r="AA5363">
        <v>0.90461460000000005</v>
      </c>
      <c r="AB5363">
        <v>28</v>
      </c>
      <c r="AC5363">
        <v>-12.8843999999999</v>
      </c>
      <c r="AD5363">
        <v>-1.1174376571789999</v>
      </c>
      <c r="AE5363">
        <v>-25.064599999999999</v>
      </c>
      <c r="AF5363">
        <v>-12.0805769536938</v>
      </c>
      <c r="AG5363">
        <v>-1.1174376571789999</v>
      </c>
      <c r="AH5363">
        <v>25.412794810924801</v>
      </c>
      <c r="AI5363">
        <v>92.274173609200403</v>
      </c>
      <c r="AJ5363">
        <v>115.42519027253999</v>
      </c>
      <c r="AK5363">
        <v>28.160240527274699</v>
      </c>
      <c r="AL5363">
        <v>89.3586823864227</v>
      </c>
      <c r="AM5363">
        <v>92.391949284913096</v>
      </c>
      <c r="AN5363">
        <v>0.99999998329203399</v>
      </c>
    </row>
    <row r="5364" spans="1:40" x14ac:dyDescent="0.25">
      <c r="A5364" t="str">
        <f>"20190312160753576"</f>
        <v>20190312160753576</v>
      </c>
      <c r="B5364" t="str">
        <f>"1552378073571442"</f>
        <v>1552378073571442</v>
      </c>
      <c r="C5364" t="s">
        <v>40</v>
      </c>
      <c r="D5364">
        <v>5.7567190000000004</v>
      </c>
      <c r="E5364">
        <v>0.339084</v>
      </c>
      <c r="F5364" t="s">
        <v>47</v>
      </c>
      <c r="G5364">
        <v>-421.2226</v>
      </c>
      <c r="H5364" s="1">
        <v>-4.7347679999999999E-6</v>
      </c>
      <c r="I5364">
        <v>109.051</v>
      </c>
      <c r="J5364">
        <v>-408.8535</v>
      </c>
      <c r="K5364">
        <v>1.117407</v>
      </c>
      <c r="L5364">
        <v>133.59809999999999</v>
      </c>
      <c r="M5364">
        <v>-0.78845989999999999</v>
      </c>
      <c r="N5364">
        <v>0</v>
      </c>
      <c r="O5364">
        <v>-0.61488599999999904</v>
      </c>
      <c r="P5364">
        <v>-0.762495699999999</v>
      </c>
      <c r="Q5364">
        <v>-3.7791639999999998E-3</v>
      </c>
      <c r="R5364">
        <v>-0.64698299999999997</v>
      </c>
      <c r="S5364">
        <v>-1.4809570000000001</v>
      </c>
      <c r="T5364">
        <v>-0.13154289999999999</v>
      </c>
      <c r="U5364">
        <v>-2.910263</v>
      </c>
      <c r="V5364">
        <v>-4.148876E-2</v>
      </c>
      <c r="W5364">
        <v>1.114566E-2</v>
      </c>
      <c r="X5364">
        <v>0.99907679999999999</v>
      </c>
      <c r="Y5364">
        <v>-0.42396010000000001</v>
      </c>
      <c r="Z5364">
        <v>1.7695869999999999E-2</v>
      </c>
      <c r="AA5364">
        <v>0.90550799999999998</v>
      </c>
      <c r="AB5364">
        <v>28</v>
      </c>
      <c r="AC5364">
        <v>-12.3691</v>
      </c>
      <c r="AD5364">
        <v>-1.1174117347679999</v>
      </c>
      <c r="AE5364">
        <v>-24.547099999999901</v>
      </c>
      <c r="AF5364">
        <v>-11.730877968689599</v>
      </c>
      <c r="AG5364">
        <v>-1.1174117347679999</v>
      </c>
      <c r="AH5364">
        <v>24.8082690644179</v>
      </c>
      <c r="AI5364">
        <v>92.331740126931805</v>
      </c>
      <c r="AJ5364">
        <v>115.30766922685</v>
      </c>
      <c r="AK5364">
        <v>27.464746874381401</v>
      </c>
      <c r="AL5364">
        <v>89.361387498109195</v>
      </c>
      <c r="AM5364">
        <v>92.377961137152397</v>
      </c>
      <c r="AN5364">
        <v>0.99999999762070602</v>
      </c>
    </row>
    <row r="5365" spans="1:40" x14ac:dyDescent="0.25">
      <c r="A5365" t="str">
        <f>"20190312160753596"</f>
        <v>20190312160753596</v>
      </c>
      <c r="B5365" t="str">
        <f>"1552378073590961"</f>
        <v>1552378073590961</v>
      </c>
      <c r="C5365" t="s">
        <v>40</v>
      </c>
      <c r="D5365">
        <v>5.7899969999999996</v>
      </c>
      <c r="E5365">
        <v>0.34001039999999999</v>
      </c>
      <c r="F5365" t="s">
        <v>44</v>
      </c>
      <c r="G5365">
        <v>-409.32850000000002</v>
      </c>
      <c r="H5365">
        <v>1.073401</v>
      </c>
      <c r="I5365">
        <v>132.64779999999999</v>
      </c>
      <c r="J5365">
        <v>-409.06060000000002</v>
      </c>
      <c r="K5365">
        <v>1.1173839999999999</v>
      </c>
      <c r="L5365">
        <v>133.42269999999999</v>
      </c>
      <c r="M5365">
        <v>-0.78227089999999999</v>
      </c>
      <c r="N5365">
        <v>0</v>
      </c>
      <c r="O5365">
        <v>-0.62274069999999904</v>
      </c>
      <c r="P5365">
        <v>-0.75579209999999997</v>
      </c>
      <c r="Q5365">
        <v>-3.275306E-3</v>
      </c>
      <c r="R5365">
        <v>-0.65480349999999998</v>
      </c>
      <c r="S5365">
        <v>-1.458221</v>
      </c>
      <c r="T5365">
        <v>-0.1351106</v>
      </c>
      <c r="U5365">
        <v>-2.9175719999999998</v>
      </c>
      <c r="V5365">
        <v>-4.1796279999999998E-2</v>
      </c>
      <c r="W5365">
        <v>1.164106E-2</v>
      </c>
      <c r="X5365">
        <v>0.99905829999999995</v>
      </c>
      <c r="Y5365">
        <v>-0.42145539999999998</v>
      </c>
      <c r="Z5365">
        <v>1.8624990000000001E-2</v>
      </c>
      <c r="AA5365">
        <v>0.90665790000000002</v>
      </c>
      <c r="AB5365">
        <v>28</v>
      </c>
      <c r="AC5365">
        <v>-0.26789999999999697</v>
      </c>
      <c r="AD5365">
        <v>-4.39829999999998E-2</v>
      </c>
      <c r="AE5365">
        <v>-0.77490000000000203</v>
      </c>
      <c r="AF5365">
        <v>-0.43814275176848599</v>
      </c>
      <c r="AG5365">
        <v>-4.39829999999998E-2</v>
      </c>
      <c r="AH5365">
        <v>0.69023110433885304</v>
      </c>
      <c r="AI5365">
        <v>93.079460779889601</v>
      </c>
      <c r="AJ5365">
        <v>122.40643637462</v>
      </c>
      <c r="AK5365">
        <v>0.81873228384685903</v>
      </c>
      <c r="AL5365">
        <v>89.333001304409294</v>
      </c>
      <c r="AM5365">
        <v>92.395610738868001</v>
      </c>
      <c r="AN5365">
        <v>0.99999996504932498</v>
      </c>
    </row>
    <row r="5366" spans="1:40" x14ac:dyDescent="0.25">
      <c r="A5366" t="str">
        <f>"20190312160753620"</f>
        <v>20190312160753620</v>
      </c>
      <c r="B5366" t="str">
        <f>"1552378073610481"</f>
        <v>1552378073610481</v>
      </c>
      <c r="C5366" t="s">
        <v>40</v>
      </c>
      <c r="D5366">
        <v>5.7586050000000002</v>
      </c>
      <c r="E5366">
        <v>0.34108690000000003</v>
      </c>
      <c r="F5366" t="s">
        <v>44</v>
      </c>
      <c r="G5366">
        <v>-409.51499999999999</v>
      </c>
      <c r="H5366">
        <v>1.074012</v>
      </c>
      <c r="I5366">
        <v>132.4949</v>
      </c>
      <c r="J5366">
        <v>-409.26749999999998</v>
      </c>
      <c r="K5366">
        <v>1.117362</v>
      </c>
      <c r="L5366">
        <v>133.2439</v>
      </c>
      <c r="M5366">
        <v>-0.77595319999999901</v>
      </c>
      <c r="N5366">
        <v>0</v>
      </c>
      <c r="O5366">
        <v>-0.63059560000000003</v>
      </c>
      <c r="P5366">
        <v>-0.74901870000000004</v>
      </c>
      <c r="Q5366">
        <v>-2.9444050000000002E-3</v>
      </c>
      <c r="R5366">
        <v>-0.66254250000000003</v>
      </c>
      <c r="S5366">
        <v>-1.4329829999999999</v>
      </c>
      <c r="T5366">
        <v>-0.136797</v>
      </c>
      <c r="U5366">
        <v>-2.9268489999999998</v>
      </c>
      <c r="V5366">
        <v>-4.2003819999999997E-2</v>
      </c>
      <c r="W5366">
        <v>1.1964809999999999E-2</v>
      </c>
      <c r="X5366">
        <v>0.99904579999999998</v>
      </c>
      <c r="Y5366">
        <v>-0.41975390000000001</v>
      </c>
      <c r="Z5366">
        <v>1.9293830000000001E-2</v>
      </c>
      <c r="AA5366">
        <v>0.90743289999999999</v>
      </c>
      <c r="AB5366">
        <v>28</v>
      </c>
      <c r="AC5366">
        <v>-0.247500000000002</v>
      </c>
      <c r="AD5366">
        <v>-4.335E-2</v>
      </c>
      <c r="AE5366">
        <v>-0.748999999999995</v>
      </c>
      <c r="AF5366">
        <v>-0.42388864911269503</v>
      </c>
      <c r="AG5366">
        <v>-4.335E-2</v>
      </c>
      <c r="AH5366">
        <v>0.66244560203873104</v>
      </c>
      <c r="AI5366">
        <v>93.154983487579301</v>
      </c>
      <c r="AJ5366">
        <v>122.614546659589</v>
      </c>
      <c r="AK5366">
        <v>0.78765156319723195</v>
      </c>
      <c r="AL5366">
        <v>89.314450522740302</v>
      </c>
      <c r="AM5366">
        <v>92.4075223016942</v>
      </c>
      <c r="AN5366">
        <v>0.99999999403528395</v>
      </c>
    </row>
    <row r="5367" spans="1:40" x14ac:dyDescent="0.25">
      <c r="A5367" t="str">
        <f>"20190312160753641"</f>
        <v>20190312160753641</v>
      </c>
      <c r="B5367" t="str">
        <f>"1552378073630977"</f>
        <v>1552378073630977</v>
      </c>
      <c r="C5367" t="s">
        <v>40</v>
      </c>
      <c r="D5367">
        <v>5.7590820000000003</v>
      </c>
      <c r="E5367">
        <v>0.3422328</v>
      </c>
      <c r="F5367" t="s">
        <v>44</v>
      </c>
      <c r="G5367">
        <v>-409.71080000000001</v>
      </c>
      <c r="H5367">
        <v>1.073482</v>
      </c>
      <c r="I5367">
        <v>132.31970000000001</v>
      </c>
      <c r="J5367">
        <v>-409.46660000000003</v>
      </c>
      <c r="K5367">
        <v>1.117337</v>
      </c>
      <c r="L5367">
        <v>133.0684</v>
      </c>
      <c r="M5367">
        <v>-0.76974109999999996</v>
      </c>
      <c r="N5367">
        <v>0</v>
      </c>
      <c r="O5367">
        <v>-0.63816379999999995</v>
      </c>
      <c r="P5367">
        <v>-0.74284490000000003</v>
      </c>
      <c r="Q5367">
        <v>-3.1221869999999998E-3</v>
      </c>
      <c r="R5367">
        <v>-0.66945639999999995</v>
      </c>
      <c r="S5367">
        <v>-1.408569</v>
      </c>
      <c r="T5367">
        <v>-0.13938999999999999</v>
      </c>
      <c r="U5367">
        <v>-2.9350130000000001</v>
      </c>
      <c r="V5367">
        <v>-4.1477489999999999E-2</v>
      </c>
      <c r="W5367">
        <v>1.1793639999999999E-2</v>
      </c>
      <c r="X5367">
        <v>0.99906980000000001</v>
      </c>
      <c r="Y5367">
        <v>-0.41798570000000002</v>
      </c>
      <c r="Z5367">
        <v>2.0094879999999999E-2</v>
      </c>
      <c r="AA5367">
        <v>0.90823129999999996</v>
      </c>
      <c r="AB5367">
        <v>28</v>
      </c>
      <c r="AC5367">
        <v>-0.24419999999997799</v>
      </c>
      <c r="AD5367">
        <v>-4.3854999999999901E-2</v>
      </c>
      <c r="AE5367">
        <v>-0.74869999999998504</v>
      </c>
      <c r="AF5367">
        <v>-0.41921716773205497</v>
      </c>
      <c r="AG5367">
        <v>-4.3854999999999901E-2</v>
      </c>
      <c r="AH5367">
        <v>0.66378731024758497</v>
      </c>
      <c r="AI5367">
        <v>93.197235324371107</v>
      </c>
      <c r="AJ5367">
        <v>122.274600097968</v>
      </c>
      <c r="AK5367">
        <v>0.78630775653811902</v>
      </c>
      <c r="AL5367">
        <v>89.324258516324903</v>
      </c>
      <c r="AM5367">
        <v>92.377332566987604</v>
      </c>
      <c r="AN5367">
        <v>0.99999996869659402</v>
      </c>
    </row>
    <row r="5368" spans="1:40" x14ac:dyDescent="0.25">
      <c r="A5368" t="str">
        <f>"20190312160753664"</f>
        <v>20190312160753664</v>
      </c>
      <c r="B5368" t="str">
        <f>"1552378073661233"</f>
        <v>1552378073661233</v>
      </c>
      <c r="C5368" t="s">
        <v>40</v>
      </c>
      <c r="D5368">
        <v>5.5077590000000001</v>
      </c>
      <c r="E5368">
        <v>0.34349829999999998</v>
      </c>
      <c r="F5368" t="s">
        <v>44</v>
      </c>
      <c r="G5368">
        <v>-409.91680000000002</v>
      </c>
      <c r="H5368">
        <v>1.071118</v>
      </c>
      <c r="I5368">
        <v>132.1139</v>
      </c>
      <c r="J5368">
        <v>-409.66809999999998</v>
      </c>
      <c r="K5368">
        <v>1.1173040000000001</v>
      </c>
      <c r="L5368">
        <v>132.88720000000001</v>
      </c>
      <c r="M5368">
        <v>-0.76332119999999903</v>
      </c>
      <c r="N5368">
        <v>0</v>
      </c>
      <c r="O5368">
        <v>-0.64582910000000004</v>
      </c>
      <c r="P5368">
        <v>-0.73624460000000003</v>
      </c>
      <c r="Q5368">
        <v>-3.5782710000000001E-3</v>
      </c>
      <c r="R5368">
        <v>-0.67670629999999998</v>
      </c>
      <c r="S5368">
        <v>-1.387238</v>
      </c>
      <c r="T5368">
        <v>-0.1424127</v>
      </c>
      <c r="U5368">
        <v>-2.9412539999999998</v>
      </c>
      <c r="V5368">
        <v>-4.1272870000000003E-2</v>
      </c>
      <c r="W5368">
        <v>1.1334E-2</v>
      </c>
      <c r="X5368">
        <v>0.99908359999999996</v>
      </c>
      <c r="Y5368">
        <v>-0.41503410000000002</v>
      </c>
      <c r="Z5368">
        <v>2.100602E-2</v>
      </c>
      <c r="AA5368">
        <v>0.90956329999999996</v>
      </c>
      <c r="AB5368">
        <v>27</v>
      </c>
      <c r="AC5368">
        <v>-0.248700000000042</v>
      </c>
      <c r="AD5368">
        <v>-4.6185999999999998E-2</v>
      </c>
      <c r="AE5368">
        <v>-0.77330000000000598</v>
      </c>
      <c r="AF5368">
        <v>-0.42832664617030602</v>
      </c>
      <c r="AG5368">
        <v>-4.6185999999999998E-2</v>
      </c>
      <c r="AH5368">
        <v>0.68712092843427997</v>
      </c>
      <c r="AI5368">
        <v>93.264701781357005</v>
      </c>
      <c r="AJ5368">
        <v>121.9379398073</v>
      </c>
      <c r="AK5368">
        <v>0.81100680188756102</v>
      </c>
      <c r="AL5368">
        <v>89.350595714281198</v>
      </c>
      <c r="AM5368">
        <v>92.365585242381499</v>
      </c>
      <c r="AN5368">
        <v>0.99999997457149803</v>
      </c>
    </row>
    <row r="5369" spans="1:40" x14ac:dyDescent="0.25">
      <c r="A5369" t="str">
        <f>"20190312160753686"</f>
        <v>20190312160753686</v>
      </c>
      <c r="B5369" t="str">
        <f>"1552378073680664"</f>
        <v>1552378073680664</v>
      </c>
      <c r="C5369" t="s">
        <v>40</v>
      </c>
      <c r="D5369">
        <v>5.7482049999999996</v>
      </c>
      <c r="E5369">
        <v>0.34461520000000001</v>
      </c>
      <c r="F5369" t="s">
        <v>47</v>
      </c>
      <c r="G5369">
        <v>-420.01319999999998</v>
      </c>
      <c r="H5369" s="1">
        <v>-4.1801189999999998E-7</v>
      </c>
      <c r="I5369">
        <v>110.5553</v>
      </c>
      <c r="J5369">
        <v>-409.86700000000002</v>
      </c>
      <c r="K5369">
        <v>1.1172850000000001</v>
      </c>
      <c r="L5369">
        <v>132.7047</v>
      </c>
      <c r="M5369">
        <v>-0.75684449999999903</v>
      </c>
      <c r="N5369">
        <v>0</v>
      </c>
      <c r="O5369">
        <v>-0.65340759999999998</v>
      </c>
      <c r="P5369">
        <v>-0.72929200000000005</v>
      </c>
      <c r="Q5369">
        <v>-3.2212230000000001E-3</v>
      </c>
      <c r="R5369">
        <v>-0.68419490000000005</v>
      </c>
      <c r="S5369">
        <v>-1.3652340000000001</v>
      </c>
      <c r="T5369">
        <v>-0.14744889999999999</v>
      </c>
      <c r="U5369">
        <v>-2.9471129999999999</v>
      </c>
      <c r="V5369">
        <v>-4.1526140000000003E-2</v>
      </c>
      <c r="W5369">
        <v>1.166967E-2</v>
      </c>
      <c r="X5369">
        <v>0.99906930000000005</v>
      </c>
      <c r="Y5369">
        <v>-0.41224719999999998</v>
      </c>
      <c r="Z5369">
        <v>2.2237150000000001E-2</v>
      </c>
      <c r="AA5369">
        <v>0.91080059999999996</v>
      </c>
      <c r="AB5369">
        <v>27</v>
      </c>
      <c r="AC5369">
        <v>-10.1462</v>
      </c>
      <c r="AD5369">
        <v>-1.1172854180118901</v>
      </c>
      <c r="AE5369">
        <v>-22.1494</v>
      </c>
      <c r="AF5369">
        <v>-10.1140169342655</v>
      </c>
      <c r="AG5369">
        <v>-1.1172854180118901</v>
      </c>
      <c r="AH5369">
        <v>22.1078980727839</v>
      </c>
      <c r="AI5369">
        <v>92.631287276291701</v>
      </c>
      <c r="AJ5369">
        <v>114.583352254337</v>
      </c>
      <c r="AK5369">
        <v>24.3372311993068</v>
      </c>
      <c r="AL5369">
        <v>89.331362006751903</v>
      </c>
      <c r="AM5369">
        <v>92.380118985531396</v>
      </c>
      <c r="AN5369">
        <v>1.00000003385184</v>
      </c>
    </row>
    <row r="5370" spans="1:40" x14ac:dyDescent="0.25">
      <c r="A5370" t="str">
        <f>"20190312160753708"</f>
        <v>20190312160753708</v>
      </c>
      <c r="B5370" t="str">
        <f>"1552378073701160"</f>
        <v>1552378073701160</v>
      </c>
      <c r="C5370" t="s">
        <v>40</v>
      </c>
      <c r="D5370">
        <v>5.7267449999999904</v>
      </c>
      <c r="E5370">
        <v>0.3457364</v>
      </c>
      <c r="F5370" t="s">
        <v>47</v>
      </c>
      <c r="G5370">
        <v>-419.68810000000002</v>
      </c>
      <c r="H5370" s="1">
        <v>-6.7368930000000005E-7</v>
      </c>
      <c r="I5370">
        <v>111.0742</v>
      </c>
      <c r="J5370">
        <v>-410.0634</v>
      </c>
      <c r="K5370">
        <v>1.117254</v>
      </c>
      <c r="L5370">
        <v>132.52099999999999</v>
      </c>
      <c r="M5370">
        <v>-0.7503166</v>
      </c>
      <c r="N5370">
        <v>0</v>
      </c>
      <c r="O5370">
        <v>-0.66089419999999899</v>
      </c>
      <c r="P5370">
        <v>-0.72214619999999996</v>
      </c>
      <c r="Q5370">
        <v>-3.0064219999999999E-3</v>
      </c>
      <c r="R5370">
        <v>-0.69173450000000003</v>
      </c>
      <c r="S5370">
        <v>-1.3413389999999901</v>
      </c>
      <c r="T5370">
        <v>-0.15259589999999901</v>
      </c>
      <c r="U5370">
        <v>-2.9542389999999998</v>
      </c>
      <c r="V5370">
        <v>-4.1982449999999998E-2</v>
      </c>
      <c r="W5370">
        <v>1.185515E-2</v>
      </c>
      <c r="X5370">
        <v>0.99904800000000005</v>
      </c>
      <c r="Y5370">
        <v>-0.41013630000000001</v>
      </c>
      <c r="Z5370">
        <v>2.3497440000000001E-2</v>
      </c>
      <c r="AA5370">
        <v>0.91172149999999996</v>
      </c>
      <c r="AB5370">
        <v>27</v>
      </c>
      <c r="AC5370">
        <v>-9.6247000000000096</v>
      </c>
      <c r="AD5370">
        <v>-1.1172546736893001</v>
      </c>
      <c r="AE5370">
        <v>-21.4468</v>
      </c>
      <c r="AF5370">
        <v>-9.71023408064314</v>
      </c>
      <c r="AG5370">
        <v>-1.1172546736893001</v>
      </c>
      <c r="AH5370">
        <v>21.350019953434501</v>
      </c>
      <c r="AI5370">
        <v>92.727225763702606</v>
      </c>
      <c r="AJ5370">
        <v>114.45658548994901</v>
      </c>
      <c r="AK5370">
        <v>23.481061643776101</v>
      </c>
      <c r="AL5370">
        <v>89.320734019865696</v>
      </c>
      <c r="AM5370">
        <v>92.406293590292194</v>
      </c>
      <c r="AN5370">
        <v>0.99999998849676197</v>
      </c>
    </row>
    <row r="5371" spans="1:40" x14ac:dyDescent="0.25">
      <c r="A5371" t="str">
        <f>"20190312160753730"</f>
        <v>20190312160753730</v>
      </c>
      <c r="B5371" t="str">
        <f>"1552378073720680"</f>
        <v>1552378073720680</v>
      </c>
      <c r="C5371" t="s">
        <v>40</v>
      </c>
      <c r="D5371">
        <v>5.6907589999999999</v>
      </c>
      <c r="E5371">
        <v>0.36531609999999998</v>
      </c>
      <c r="F5371" t="s">
        <v>47</v>
      </c>
      <c r="G5371">
        <v>-419.58620000000002</v>
      </c>
      <c r="H5371" s="1">
        <v>-7.015078E-7</v>
      </c>
      <c r="I5371">
        <v>111.09690000000001</v>
      </c>
      <c r="J5371">
        <v>-410.25240000000002</v>
      </c>
      <c r="K5371">
        <v>1.117232</v>
      </c>
      <c r="L5371">
        <v>132.34059999999999</v>
      </c>
      <c r="M5371">
        <v>-0.7439038</v>
      </c>
      <c r="N5371">
        <v>0</v>
      </c>
      <c r="O5371">
        <v>-0.6681049</v>
      </c>
      <c r="P5371">
        <v>-0.71497709999999903</v>
      </c>
      <c r="Q5371">
        <v>-3.1180040000000002E-3</v>
      </c>
      <c r="R5371">
        <v>-0.69914100000000001</v>
      </c>
      <c r="S5371">
        <v>-1.3165279999999999</v>
      </c>
      <c r="T5371">
        <v>-0.15446009999999999</v>
      </c>
      <c r="U5371">
        <v>-2.9618679999999999</v>
      </c>
      <c r="V5371">
        <v>-4.2635619999999999E-2</v>
      </c>
      <c r="W5371">
        <v>1.170972E-2</v>
      </c>
      <c r="X5371">
        <v>0.99902210000000002</v>
      </c>
      <c r="Y5371">
        <v>-0.4085839</v>
      </c>
      <c r="Z5371">
        <v>2.424774E-2</v>
      </c>
      <c r="AA5371">
        <v>0.91239859999999995</v>
      </c>
      <c r="AB5371">
        <v>27</v>
      </c>
      <c r="AC5371">
        <v>-9.3337999999999894</v>
      </c>
      <c r="AD5371">
        <v>-1.1172327015078001</v>
      </c>
      <c r="AE5371">
        <v>-21.243699999999901</v>
      </c>
      <c r="AF5371">
        <v>-9.5463428522636598</v>
      </c>
      <c r="AG5371">
        <v>-1.1172327015078001</v>
      </c>
      <c r="AH5371">
        <v>21.090144306903401</v>
      </c>
      <c r="AI5371">
        <v>92.762973293257204</v>
      </c>
      <c r="AJ5371">
        <v>114.353634946328</v>
      </c>
      <c r="AK5371">
        <v>23.177037292291999</v>
      </c>
      <c r="AL5371">
        <v>89.329067154804704</v>
      </c>
      <c r="AM5371">
        <v>92.443749349176002</v>
      </c>
      <c r="AN5371">
        <v>1.0000000349618301</v>
      </c>
    </row>
    <row r="5372" spans="1:40" x14ac:dyDescent="0.25">
      <c r="A5372" t="str">
        <f>"20190312160753753"</f>
        <v>20190312160753753</v>
      </c>
      <c r="B5372" t="str">
        <f>"1552378073741175"</f>
        <v>1552378073741175</v>
      </c>
      <c r="C5372" t="s">
        <v>40</v>
      </c>
      <c r="D5372">
        <v>5.7103270000000004</v>
      </c>
      <c r="E5372">
        <v>0.36623070000000002</v>
      </c>
      <c r="F5372" t="s">
        <v>47</v>
      </c>
      <c r="G5372">
        <v>-417.72559999999999</v>
      </c>
      <c r="H5372" s="1">
        <v>-3.5688710000000001E-6</v>
      </c>
      <c r="I5372">
        <v>117.01139999999999</v>
      </c>
      <c r="J5372">
        <v>-410.44720000000001</v>
      </c>
      <c r="K5372">
        <v>1.1172169999999999</v>
      </c>
      <c r="L5372">
        <v>132.15110000000001</v>
      </c>
      <c r="M5372">
        <v>-0.73715699999999995</v>
      </c>
      <c r="N5372">
        <v>0</v>
      </c>
      <c r="O5372">
        <v>-0.67554190000000003</v>
      </c>
      <c r="P5372">
        <v>-0.706924</v>
      </c>
      <c r="Q5372">
        <v>-2.1808940000000001E-3</v>
      </c>
      <c r="R5372">
        <v>-0.70728649999999904</v>
      </c>
      <c r="S5372">
        <v>-1.3956599999999999</v>
      </c>
      <c r="T5372">
        <v>-0.20865210000000001</v>
      </c>
      <c r="U5372">
        <v>-2.8628390000000001</v>
      </c>
      <c r="V5372">
        <v>-4.4061360000000001E-2</v>
      </c>
      <c r="W5372">
        <v>1.259944E-2</v>
      </c>
      <c r="X5372">
        <v>0.99894930000000004</v>
      </c>
      <c r="Y5372">
        <v>-0.3669463</v>
      </c>
      <c r="Z5372">
        <v>3.5023730000000003E-2</v>
      </c>
      <c r="AA5372">
        <v>0.92958260000000004</v>
      </c>
      <c r="AB5372">
        <v>27</v>
      </c>
      <c r="AC5372">
        <v>-7.2783999999999702</v>
      </c>
      <c r="AD5372">
        <v>-1.117220568871</v>
      </c>
      <c r="AE5372">
        <v>-15.139699999999999</v>
      </c>
      <c r="AF5372">
        <v>-6.2167311973217902</v>
      </c>
      <c r="AG5372">
        <v>-1.117220568871</v>
      </c>
      <c r="AH5372">
        <v>15.526041937376</v>
      </c>
      <c r="AI5372">
        <v>93.821783778610495</v>
      </c>
      <c r="AJ5372">
        <v>111.82149470655</v>
      </c>
      <c r="AK5372">
        <v>16.7616797135735</v>
      </c>
      <c r="AL5372">
        <v>89.278086109816499</v>
      </c>
      <c r="AM5372">
        <v>92.525548320719693</v>
      </c>
      <c r="AN5372">
        <v>0.99999992665192305</v>
      </c>
    </row>
    <row r="5373" spans="1:40" x14ac:dyDescent="0.25">
      <c r="A5373" t="str">
        <f>"20190312160753776"</f>
        <v>20190312160753776</v>
      </c>
      <c r="B5373" t="str">
        <f>"1552378073770456"</f>
        <v>1552378073770456</v>
      </c>
      <c r="C5373" t="s">
        <v>40</v>
      </c>
      <c r="D5373">
        <v>3.5340799999999999</v>
      </c>
      <c r="E5373">
        <v>0.36712280000000003</v>
      </c>
      <c r="F5373" t="s">
        <v>47</v>
      </c>
      <c r="G5373">
        <v>-417.85419999999999</v>
      </c>
      <c r="H5373" s="1">
        <v>-3.3666620000000001E-6</v>
      </c>
      <c r="I5373">
        <v>116.5933</v>
      </c>
      <c r="J5373">
        <v>-410.64109999999999</v>
      </c>
      <c r="K5373">
        <v>1.1171879999999901</v>
      </c>
      <c r="L5373">
        <v>131.95849999999999</v>
      </c>
      <c r="M5373">
        <v>-0.73029419999999901</v>
      </c>
      <c r="N5373">
        <v>0</v>
      </c>
      <c r="O5373">
        <v>-0.68295569999999906</v>
      </c>
      <c r="P5373">
        <v>-0.69887549999999998</v>
      </c>
      <c r="Q5373">
        <v>-2.6023259999999999E-3</v>
      </c>
      <c r="R5373">
        <v>-0.71523879999999995</v>
      </c>
      <c r="S5373">
        <v>-1.3681030000000001</v>
      </c>
      <c r="T5373">
        <v>-0.20635590000000001</v>
      </c>
      <c r="U5373">
        <v>-2.8736109999999999</v>
      </c>
      <c r="V5373">
        <v>-4.5261959999999997E-2</v>
      </c>
      <c r="W5373">
        <v>1.213503E-2</v>
      </c>
      <c r="X5373">
        <v>0.99890140000000005</v>
      </c>
      <c r="Y5373">
        <v>-0.36616349999999998</v>
      </c>
      <c r="Z5373">
        <v>3.5248630000000003E-2</v>
      </c>
      <c r="AA5373">
        <v>0.92988269999999995</v>
      </c>
      <c r="AB5373">
        <v>27</v>
      </c>
      <c r="AC5373">
        <v>-7.2130999999999901</v>
      </c>
      <c r="AD5373">
        <v>-1.1171913666619999</v>
      </c>
      <c r="AE5373">
        <v>-15.3651999999999</v>
      </c>
      <c r="AF5373">
        <v>-6.26849529276714</v>
      </c>
      <c r="AG5373">
        <v>-1.1171913666619999</v>
      </c>
      <c r="AH5373">
        <v>15.695351015699901</v>
      </c>
      <c r="AI5373">
        <v>93.781906496950299</v>
      </c>
      <c r="AJ5373">
        <v>111.77105010264199</v>
      </c>
      <c r="AK5373">
        <v>16.937715114242</v>
      </c>
      <c r="AL5373">
        <v>89.304696900111693</v>
      </c>
      <c r="AM5373">
        <v>92.594396840332095</v>
      </c>
      <c r="AN5373">
        <v>0.99999995544904996</v>
      </c>
    </row>
    <row r="5374" spans="1:40" x14ac:dyDescent="0.25">
      <c r="A5374" t="str">
        <f>"20190312160753797"</f>
        <v>20190312160753797</v>
      </c>
      <c r="B5374" t="str">
        <f>"1552378073790951"</f>
        <v>1552378073790951</v>
      </c>
      <c r="C5374" t="s">
        <v>40</v>
      </c>
      <c r="D5374">
        <v>5.7107419999999998</v>
      </c>
      <c r="E5374">
        <v>0.36839889999999997</v>
      </c>
      <c r="F5374" t="s">
        <v>47</v>
      </c>
      <c r="G5374">
        <v>-417.87759999999997</v>
      </c>
      <c r="H5374" s="1">
        <v>-3.2756360000000002E-6</v>
      </c>
      <c r="I5374">
        <v>116.3908</v>
      </c>
      <c r="J5374">
        <v>-410.82429999999999</v>
      </c>
      <c r="K5374">
        <v>1.1171599999999999</v>
      </c>
      <c r="L5374">
        <v>131.77260000000001</v>
      </c>
      <c r="M5374">
        <v>-0.72366469999999905</v>
      </c>
      <c r="N5374">
        <v>0</v>
      </c>
      <c r="O5374">
        <v>-0.68997679999999995</v>
      </c>
      <c r="P5374">
        <v>-0.69187609999999999</v>
      </c>
      <c r="Q5374">
        <v>-2.705991E-3</v>
      </c>
      <c r="R5374">
        <v>-0.72201130000000002</v>
      </c>
      <c r="S5374">
        <v>-1.3405149999999999</v>
      </c>
      <c r="T5374">
        <v>-0.2069511</v>
      </c>
      <c r="U5374">
        <v>-2.883804</v>
      </c>
      <c r="V5374">
        <v>-4.5340610000000003E-2</v>
      </c>
      <c r="W5374">
        <v>1.2011539999999999E-2</v>
      </c>
      <c r="X5374">
        <v>0.99889930000000005</v>
      </c>
      <c r="Y5374">
        <v>-0.36575180000000002</v>
      </c>
      <c r="Z5374">
        <v>3.5926189999999997E-2</v>
      </c>
      <c r="AA5374">
        <v>0.93001880000000003</v>
      </c>
      <c r="AB5374">
        <v>27</v>
      </c>
      <c r="AC5374">
        <v>-7.0532999999999699</v>
      </c>
      <c r="AD5374">
        <v>-1.1171632756359999</v>
      </c>
      <c r="AE5374">
        <v>-15.3818</v>
      </c>
      <c r="AF5374">
        <v>-6.2382193210304804</v>
      </c>
      <c r="AG5374">
        <v>-1.1171632756359999</v>
      </c>
      <c r="AH5374">
        <v>15.6509919462799</v>
      </c>
      <c r="AI5374">
        <v>93.793543705232395</v>
      </c>
      <c r="AJ5374">
        <v>111.731385541821</v>
      </c>
      <c r="AK5374">
        <v>16.885407397638499</v>
      </c>
      <c r="AL5374">
        <v>89.3117728543032</v>
      </c>
      <c r="AM5374">
        <v>92.598904306292198</v>
      </c>
      <c r="AN5374">
        <v>0.99999992977441399</v>
      </c>
    </row>
    <row r="5375" spans="1:40" x14ac:dyDescent="0.25">
      <c r="A5375" t="str">
        <f>"20190312160753819"</f>
        <v>20190312160753819</v>
      </c>
      <c r="B5375" t="str">
        <f>"1552378073810472"</f>
        <v>1552378073810472</v>
      </c>
      <c r="C5375" t="s">
        <v>40</v>
      </c>
      <c r="D5375">
        <v>5.7078639999999998</v>
      </c>
      <c r="E5375">
        <v>0.36900300000000003</v>
      </c>
      <c r="F5375" t="s">
        <v>47</v>
      </c>
      <c r="G5375">
        <v>-417.87860000000001</v>
      </c>
      <c r="H5375" s="1">
        <v>-3.2472149999999998E-6</v>
      </c>
      <c r="I5375">
        <v>116.3249</v>
      </c>
      <c r="J5375">
        <v>-411.00510000000003</v>
      </c>
      <c r="K5375">
        <v>1.117138</v>
      </c>
      <c r="L5375">
        <v>131.58580000000001</v>
      </c>
      <c r="M5375">
        <v>-0.71699709999999905</v>
      </c>
      <c r="N5375">
        <v>0</v>
      </c>
      <c r="O5375">
        <v>-0.69690350000000001</v>
      </c>
      <c r="P5375">
        <v>-0.68447569999999902</v>
      </c>
      <c r="Q5375">
        <v>-2.4240289999999999E-3</v>
      </c>
      <c r="R5375">
        <v>-0.7290316</v>
      </c>
      <c r="S5375">
        <v>-1.3196110000000001</v>
      </c>
      <c r="T5375">
        <v>-0.2089828</v>
      </c>
      <c r="U5375">
        <v>-2.8897249999999999</v>
      </c>
      <c r="V5375">
        <v>-4.5929190000000002E-2</v>
      </c>
      <c r="W5375">
        <v>1.22652E-2</v>
      </c>
      <c r="X5375">
        <v>0.99886940000000002</v>
      </c>
      <c r="Y5375">
        <v>-0.36309859999999999</v>
      </c>
      <c r="Z5375">
        <v>3.6923079999999997E-2</v>
      </c>
      <c r="AA5375">
        <v>0.93101880000000004</v>
      </c>
      <c r="AB5375">
        <v>27</v>
      </c>
      <c r="AC5375">
        <v>-6.8734999999999697</v>
      </c>
      <c r="AD5375">
        <v>-1.117141247215</v>
      </c>
      <c r="AE5375">
        <v>-15.260899999999999</v>
      </c>
      <c r="AF5375">
        <v>-6.1253074347640704</v>
      </c>
      <c r="AG5375">
        <v>-1.117141247215</v>
      </c>
      <c r="AH5375">
        <v>15.4964915885304</v>
      </c>
      <c r="AI5375">
        <v>93.835519057369694</v>
      </c>
      <c r="AJ5375">
        <v>111.56743006233999</v>
      </c>
      <c r="AK5375">
        <v>16.700558292763699</v>
      </c>
      <c r="AL5375">
        <v>89.297238185718001</v>
      </c>
      <c r="AM5375">
        <v>92.6326729923952</v>
      </c>
      <c r="AN5375">
        <v>1.00000000194072</v>
      </c>
    </row>
    <row r="5376" spans="1:40" x14ac:dyDescent="0.25">
      <c r="A5376" t="str">
        <f>"20190312160753842"</f>
        <v>20190312160753842</v>
      </c>
      <c r="B5376" t="str">
        <f>"1552378073830967"</f>
        <v>1552378073830967</v>
      </c>
      <c r="C5376" t="s">
        <v>40</v>
      </c>
      <c r="D5376">
        <v>5.6980060000000003</v>
      </c>
      <c r="E5376">
        <v>0.37685750000000001</v>
      </c>
      <c r="F5376" t="s">
        <v>47</v>
      </c>
      <c r="G5376">
        <v>-417.92340000000002</v>
      </c>
      <c r="H5376" s="1">
        <v>-3.1345970000000002E-6</v>
      </c>
      <c r="I5376">
        <v>116.0809</v>
      </c>
      <c r="J5376">
        <v>-411.18880000000001</v>
      </c>
      <c r="K5376">
        <v>1.1171169999999999</v>
      </c>
      <c r="L5376">
        <v>131.3922</v>
      </c>
      <c r="M5376">
        <v>-0.71008190000000004</v>
      </c>
      <c r="N5376">
        <v>0</v>
      </c>
      <c r="O5376">
        <v>-0.70394880000000004</v>
      </c>
      <c r="P5376">
        <v>-0.67731160000000001</v>
      </c>
      <c r="Q5376">
        <v>-2.1612990000000002E-3</v>
      </c>
      <c r="R5376">
        <v>-0.7356935</v>
      </c>
      <c r="S5376">
        <v>-1.2938229999999999</v>
      </c>
      <c r="T5376">
        <v>-0.2089213</v>
      </c>
      <c r="U5376">
        <v>-2.8996279999999999</v>
      </c>
      <c r="V5376">
        <v>-4.5842830000000001E-2</v>
      </c>
      <c r="W5376">
        <v>1.251361E-2</v>
      </c>
      <c r="X5376">
        <v>0.99887029999999999</v>
      </c>
      <c r="Y5376">
        <v>-0.36199209999999998</v>
      </c>
      <c r="Z5376">
        <v>3.7507060000000002E-2</v>
      </c>
      <c r="AA5376">
        <v>0.93142630000000004</v>
      </c>
      <c r="AB5376">
        <v>27</v>
      </c>
      <c r="AC5376">
        <v>-6.7346000000000004</v>
      </c>
      <c r="AD5376">
        <v>-1.1171201345970001</v>
      </c>
      <c r="AE5376">
        <v>-15.311299999999999</v>
      </c>
      <c r="AF5376">
        <v>-6.1049685093087103</v>
      </c>
      <c r="AG5376">
        <v>-1.1171201345970001</v>
      </c>
      <c r="AH5376">
        <v>15.4932498102942</v>
      </c>
      <c r="AI5376">
        <v>93.837853764103798</v>
      </c>
      <c r="AJ5376">
        <v>111.50645081988</v>
      </c>
      <c r="AK5376">
        <v>16.690098489192799</v>
      </c>
      <c r="AL5376">
        <v>89.283004258622896</v>
      </c>
      <c r="AM5376">
        <v>92.627727395632704</v>
      </c>
      <c r="AN5376">
        <v>1.0000000158598601</v>
      </c>
    </row>
    <row r="5377" spans="1:40" x14ac:dyDescent="0.25">
      <c r="A5377" t="str">
        <f>"20190312160753865"</f>
        <v>20190312160753865</v>
      </c>
      <c r="B5377" t="str">
        <f>"1552378073861224"</f>
        <v>1552378073861224</v>
      </c>
      <c r="C5377" t="s">
        <v>40</v>
      </c>
      <c r="D5377">
        <v>5.7283650000000002</v>
      </c>
      <c r="E5377">
        <v>0.3779901</v>
      </c>
      <c r="F5377" t="s">
        <v>47</v>
      </c>
      <c r="G5377">
        <v>-417.91899999999998</v>
      </c>
      <c r="H5377" s="1">
        <v>-3.386022E-6</v>
      </c>
      <c r="I5377">
        <v>116.6652</v>
      </c>
      <c r="J5377">
        <v>-411.37040000000002</v>
      </c>
      <c r="K5377">
        <v>1.1170929999999999</v>
      </c>
      <c r="L5377">
        <v>131.1969</v>
      </c>
      <c r="M5377">
        <v>-0.70309849999999996</v>
      </c>
      <c r="N5377">
        <v>0</v>
      </c>
      <c r="O5377">
        <v>-0.71092409999999995</v>
      </c>
      <c r="P5377">
        <v>-0.67004010000000003</v>
      </c>
      <c r="Q5377">
        <v>-2.135432E-3</v>
      </c>
      <c r="R5377">
        <v>-0.74232209999999998</v>
      </c>
      <c r="S5377">
        <v>-1.3114619999999999</v>
      </c>
      <c r="T5377">
        <v>-0.2176824</v>
      </c>
      <c r="U5377">
        <v>-2.8697050000000002</v>
      </c>
      <c r="V5377">
        <v>-4.5809490000000001E-2</v>
      </c>
      <c r="W5377">
        <v>1.252458E-2</v>
      </c>
      <c r="X5377">
        <v>0.99887170000000003</v>
      </c>
      <c r="Y5377">
        <v>-0.34443380000000001</v>
      </c>
      <c r="Z5377">
        <v>4.0360859999999998E-2</v>
      </c>
      <c r="AA5377">
        <v>0.93794259999999996</v>
      </c>
      <c r="AB5377">
        <v>27</v>
      </c>
      <c r="AC5377">
        <v>-6.54860000000002</v>
      </c>
      <c r="AD5377">
        <v>-1.117096386022</v>
      </c>
      <c r="AE5377">
        <v>-14.531700000000001</v>
      </c>
      <c r="AF5377">
        <v>-5.5351364799837004</v>
      </c>
      <c r="AG5377">
        <v>-1.117096386022</v>
      </c>
      <c r="AH5377">
        <v>14.8640233981455</v>
      </c>
      <c r="AI5377">
        <v>94.0286666418842</v>
      </c>
      <c r="AJ5377">
        <v>110.424566235265</v>
      </c>
      <c r="AK5377">
        <v>15.9004664009684</v>
      </c>
      <c r="AL5377">
        <v>89.282375680347897</v>
      </c>
      <c r="AM5377">
        <v>92.625815335504896</v>
      </c>
      <c r="AN5377">
        <v>1.0000000237695601</v>
      </c>
    </row>
    <row r="5378" spans="1:40" x14ac:dyDescent="0.25">
      <c r="A5378" t="str">
        <f>"20190312160753887"</f>
        <v>20190312160753887</v>
      </c>
      <c r="B5378" t="str">
        <f>"1552378073880753"</f>
        <v>1552378073880753</v>
      </c>
      <c r="C5378" t="s">
        <v>40</v>
      </c>
      <c r="D5378">
        <v>5.710324</v>
      </c>
      <c r="E5378">
        <v>0.37892670000000001</v>
      </c>
      <c r="F5378" t="s">
        <v>47</v>
      </c>
      <c r="G5378">
        <v>-418.0127</v>
      </c>
      <c r="H5378" s="1">
        <v>-3.2490120000000001E-6</v>
      </c>
      <c r="I5378">
        <v>116.38460000000001</v>
      </c>
      <c r="J5378">
        <v>-411.55329999999998</v>
      </c>
      <c r="K5378">
        <v>1.1170739999999999</v>
      </c>
      <c r="L5378">
        <v>130.99639999999999</v>
      </c>
      <c r="M5378">
        <v>-0.69591809999999998</v>
      </c>
      <c r="N5378">
        <v>0</v>
      </c>
      <c r="O5378">
        <v>-0.71795489999999995</v>
      </c>
      <c r="P5378">
        <v>-0.66269309999999904</v>
      </c>
      <c r="Q5378">
        <v>-1.722349E-3</v>
      </c>
      <c r="R5378">
        <v>-0.74888929999999998</v>
      </c>
      <c r="S5378">
        <v>-1.2898860000000001</v>
      </c>
      <c r="T5378">
        <v>-0.21693290000000001</v>
      </c>
      <c r="U5378">
        <v>-2.876465</v>
      </c>
      <c r="V5378">
        <v>-4.562016E-2</v>
      </c>
      <c r="W5378">
        <v>1.292652E-2</v>
      </c>
      <c r="X5378">
        <v>0.99887519999999996</v>
      </c>
      <c r="Y5378">
        <v>-0.3416805</v>
      </c>
      <c r="Z5378">
        <v>4.0899579999999998E-2</v>
      </c>
      <c r="AA5378">
        <v>0.93892580000000003</v>
      </c>
      <c r="AB5378">
        <v>27</v>
      </c>
      <c r="AC5378">
        <v>-6.4594000000000102</v>
      </c>
      <c r="AD5378">
        <v>-1.117077249012</v>
      </c>
      <c r="AE5378">
        <v>-14.611799999999899</v>
      </c>
      <c r="AF5378">
        <v>-5.5048045766017397</v>
      </c>
      <c r="AG5378">
        <v>-1.117077249012</v>
      </c>
      <c r="AH5378">
        <v>14.914695287832499</v>
      </c>
      <c r="AI5378">
        <v>94.019260858229799</v>
      </c>
      <c r="AJ5378">
        <v>110.258395422015</v>
      </c>
      <c r="AK5378">
        <v>15.9373420160241</v>
      </c>
      <c r="AL5378">
        <v>89.259344317448793</v>
      </c>
      <c r="AM5378">
        <v>92.614968821789702</v>
      </c>
      <c r="AN5378">
        <v>0.99999997954638697</v>
      </c>
    </row>
    <row r="5379" spans="1:40" x14ac:dyDescent="0.25">
      <c r="A5379" t="str">
        <f>"20190312160753909"</f>
        <v>20190312160753909</v>
      </c>
      <c r="B5379" t="str">
        <f>"1552378073901243"</f>
        <v>1552378073901243</v>
      </c>
      <c r="C5379" t="s">
        <v>40</v>
      </c>
      <c r="D5379">
        <v>5.7431140000000003</v>
      </c>
      <c r="E5379">
        <v>0.38513510000000001</v>
      </c>
      <c r="F5379" t="s">
        <v>47</v>
      </c>
      <c r="G5379">
        <v>-418.06200000000001</v>
      </c>
      <c r="H5379" s="1">
        <v>-3.1540479999999998E-6</v>
      </c>
      <c r="I5379">
        <v>116.1836</v>
      </c>
      <c r="J5379">
        <v>-411.7244</v>
      </c>
      <c r="K5379">
        <v>1.117057</v>
      </c>
      <c r="L5379">
        <v>130.80500000000001</v>
      </c>
      <c r="M5379">
        <v>-0.68906089999999998</v>
      </c>
      <c r="N5379">
        <v>0</v>
      </c>
      <c r="O5379">
        <v>-0.72453889999999999</v>
      </c>
      <c r="P5379">
        <v>-0.65561340000000001</v>
      </c>
      <c r="Q5379">
        <v>-4.9415319999999996E-4</v>
      </c>
      <c r="R5379">
        <v>-0.75509659999999901</v>
      </c>
      <c r="S5379">
        <v>-1.267242</v>
      </c>
      <c r="T5379">
        <v>-0.2174973</v>
      </c>
      <c r="U5379">
        <v>-2.8840789999999998</v>
      </c>
      <c r="V5379">
        <v>-4.5548930000000001E-2</v>
      </c>
      <c r="W5379">
        <v>1.413853E-2</v>
      </c>
      <c r="X5379">
        <v>0.99886200000000003</v>
      </c>
      <c r="Y5379">
        <v>-0.33984350000000002</v>
      </c>
      <c r="Z5379">
        <v>4.1618849999999999E-2</v>
      </c>
      <c r="AA5379">
        <v>0.93956070000000003</v>
      </c>
      <c r="AB5379">
        <v>27</v>
      </c>
      <c r="AC5379">
        <v>-6.3375999999999504</v>
      </c>
      <c r="AD5379">
        <v>-1.1170601540480001</v>
      </c>
      <c r="AE5379">
        <v>-14.6214</v>
      </c>
      <c r="AF5379">
        <v>-5.45703722573516</v>
      </c>
      <c r="AG5379">
        <v>-1.1170601540480001</v>
      </c>
      <c r="AH5379">
        <v>14.889388301133501</v>
      </c>
      <c r="AI5379">
        <v>94.029364912756606</v>
      </c>
      <c r="AJ5379">
        <v>110.128144603097</v>
      </c>
      <c r="AK5379">
        <v>15.8971998368502</v>
      </c>
      <c r="AL5379">
        <v>89.189894869938598</v>
      </c>
      <c r="AM5379">
        <v>92.610925994509998</v>
      </c>
      <c r="AN5379">
        <v>0.99999994904935097</v>
      </c>
    </row>
    <row r="5380" spans="1:40" x14ac:dyDescent="0.25">
      <c r="A5380" t="str">
        <f>"20190312160753931"</f>
        <v>20190312160753931</v>
      </c>
      <c r="B5380" t="str">
        <f>"1552378073920759"</f>
        <v>1552378073920759</v>
      </c>
      <c r="C5380" t="s">
        <v>40</v>
      </c>
      <c r="D5380">
        <v>5.7570160000000001</v>
      </c>
      <c r="E5380">
        <v>0.3850732</v>
      </c>
      <c r="F5380" t="s">
        <v>47</v>
      </c>
      <c r="G5380">
        <v>-417.91140000000001</v>
      </c>
      <c r="H5380" s="1">
        <v>-3.5051140000000001E-6</v>
      </c>
      <c r="I5380">
        <v>116.9397</v>
      </c>
      <c r="J5380">
        <v>-411.90050000000002</v>
      </c>
      <c r="K5380">
        <v>1.117043</v>
      </c>
      <c r="L5380">
        <v>130.60429999999999</v>
      </c>
      <c r="M5380">
        <v>-0.68185580000000001</v>
      </c>
      <c r="N5380">
        <v>0</v>
      </c>
      <c r="O5380">
        <v>-0.73132439999999999</v>
      </c>
      <c r="P5380">
        <v>-0.64773590000000003</v>
      </c>
      <c r="Q5380">
        <v>6.0118550000000002E-4</v>
      </c>
      <c r="R5380">
        <v>-0.76186500000000001</v>
      </c>
      <c r="S5380">
        <v>-1.2777400000000001</v>
      </c>
      <c r="T5380">
        <v>-0.2306936</v>
      </c>
      <c r="U5380">
        <v>-2.8634490000000001</v>
      </c>
      <c r="V5380">
        <v>-4.6053080000000003E-2</v>
      </c>
      <c r="W5380">
        <v>1.519795E-2</v>
      </c>
      <c r="X5380">
        <v>0.99882340000000003</v>
      </c>
      <c r="Y5380">
        <v>-0.32520959999999899</v>
      </c>
      <c r="Z5380">
        <v>4.5328550000000002E-2</v>
      </c>
      <c r="AA5380">
        <v>0.94455489999999998</v>
      </c>
      <c r="AB5380">
        <v>27</v>
      </c>
      <c r="AC5380">
        <v>-6.0108999999999897</v>
      </c>
      <c r="AD5380">
        <v>-1.1170465051139999</v>
      </c>
      <c r="AE5380">
        <v>-13.664599999999901</v>
      </c>
      <c r="AF5380">
        <v>-4.8945474051595204</v>
      </c>
      <c r="AG5380">
        <v>-1.1170465051139999</v>
      </c>
      <c r="AH5380">
        <v>14.0150218121421</v>
      </c>
      <c r="AI5380">
        <v>94.303211224394005</v>
      </c>
      <c r="AJ5380">
        <v>109.251030043893</v>
      </c>
      <c r="AK5380">
        <v>14.8870824405173</v>
      </c>
      <c r="AL5380">
        <v>89.129188103544607</v>
      </c>
      <c r="AM5380">
        <v>92.6398857676988</v>
      </c>
      <c r="AN5380">
        <v>1.0000000241246201</v>
      </c>
    </row>
    <row r="5381" spans="1:40" x14ac:dyDescent="0.25">
      <c r="A5381" t="str">
        <f>"20190312160753955"</f>
        <v>20190312160753955</v>
      </c>
      <c r="B5381" t="str">
        <f>"1552378073951016"</f>
        <v>1552378073951016</v>
      </c>
      <c r="C5381" t="s">
        <v>40</v>
      </c>
      <c r="D5381">
        <v>5.7471699999999997</v>
      </c>
      <c r="E5381">
        <v>0.38661689999999999</v>
      </c>
      <c r="F5381" t="s">
        <v>47</v>
      </c>
      <c r="G5381">
        <v>-418.07170000000002</v>
      </c>
      <c r="H5381" s="1">
        <v>-3.2344069999999999E-6</v>
      </c>
      <c r="I5381">
        <v>116.3749</v>
      </c>
      <c r="J5381">
        <v>-412.07979999999998</v>
      </c>
      <c r="K5381">
        <v>1.117016</v>
      </c>
      <c r="L5381">
        <v>130.3956</v>
      </c>
      <c r="M5381">
        <v>-0.67436269999999998</v>
      </c>
      <c r="N5381">
        <v>0</v>
      </c>
      <c r="O5381">
        <v>-0.73824040000000002</v>
      </c>
      <c r="P5381">
        <v>-0.63915730000000004</v>
      </c>
      <c r="Q5381">
        <v>1.5309239999999999E-3</v>
      </c>
      <c r="R5381">
        <v>-0.76907490000000001</v>
      </c>
      <c r="S5381">
        <v>-1.2477419999999999</v>
      </c>
      <c r="T5381">
        <v>-0.2258539</v>
      </c>
      <c r="U5381">
        <v>-2.877014</v>
      </c>
      <c r="V5381">
        <v>-4.7074499999999998E-2</v>
      </c>
      <c r="W5381">
        <v>1.6079510000000002E-2</v>
      </c>
      <c r="X5381">
        <v>0.99876200000000004</v>
      </c>
      <c r="Y5381">
        <v>-0.32546999999999998</v>
      </c>
      <c r="Z5381">
        <v>4.4956459999999997E-2</v>
      </c>
      <c r="AA5381">
        <v>0.94448299999999996</v>
      </c>
      <c r="AB5381">
        <v>27</v>
      </c>
      <c r="AC5381">
        <v>-5.9919000000000402</v>
      </c>
      <c r="AD5381">
        <v>-1.117019234407</v>
      </c>
      <c r="AE5381">
        <v>-14.0207</v>
      </c>
      <c r="AF5381">
        <v>-5.0053050466402498</v>
      </c>
      <c r="AG5381">
        <v>-1.117019234407</v>
      </c>
      <c r="AH5381">
        <v>14.3162250058992</v>
      </c>
      <c r="AI5381">
        <v>94.212393446951594</v>
      </c>
      <c r="AJ5381">
        <v>109.270884589689</v>
      </c>
      <c r="AK5381">
        <v>15.2070743076863</v>
      </c>
      <c r="AL5381">
        <v>89.078672278114496</v>
      </c>
      <c r="AM5381">
        <v>92.698516334305793</v>
      </c>
      <c r="AN5381">
        <v>1.00000004591804</v>
      </c>
    </row>
    <row r="5382" spans="1:40" x14ac:dyDescent="0.25">
      <c r="A5382" t="str">
        <f>"20190312160753977"</f>
        <v>20190312160753977</v>
      </c>
      <c r="B5382" t="str">
        <f>"1552378073970536"</f>
        <v>1552378073970536</v>
      </c>
      <c r="C5382" t="s">
        <v>40</v>
      </c>
      <c r="D5382">
        <v>5.7899430000000001</v>
      </c>
      <c r="E5382">
        <v>0.38758110000000001</v>
      </c>
      <c r="F5382" t="s">
        <v>47</v>
      </c>
      <c r="G5382">
        <v>-418.14870000000002</v>
      </c>
      <c r="H5382" s="1">
        <v>-3.109431E-6</v>
      </c>
      <c r="I5382">
        <v>116.11539999999999</v>
      </c>
      <c r="J5382">
        <v>-412.24680000000001</v>
      </c>
      <c r="K5382">
        <v>1.1169910000000001</v>
      </c>
      <c r="L5382">
        <v>130.19710000000001</v>
      </c>
      <c r="M5382">
        <v>-0.66723140000000003</v>
      </c>
      <c r="N5382">
        <v>0</v>
      </c>
      <c r="O5382">
        <v>-0.74469249999999998</v>
      </c>
      <c r="P5382">
        <v>-0.63129380000000002</v>
      </c>
      <c r="Q5382">
        <v>1.7847469999999999E-3</v>
      </c>
      <c r="R5382">
        <v>-0.77554179999999995</v>
      </c>
      <c r="S5382">
        <v>-1.22522</v>
      </c>
      <c r="T5382">
        <v>-0.22551019999999999</v>
      </c>
      <c r="U5382">
        <v>-2.882965</v>
      </c>
      <c r="V5382">
        <v>-4.7640099999999998E-2</v>
      </c>
      <c r="W5382">
        <v>1.6296450000000001E-2</v>
      </c>
      <c r="X5382">
        <v>0.99873160000000005</v>
      </c>
      <c r="Y5382">
        <v>-0.32332820000000001</v>
      </c>
      <c r="Z5382">
        <v>4.5541570000000003E-2</v>
      </c>
      <c r="AA5382">
        <v>0.94519039999999999</v>
      </c>
      <c r="AB5382">
        <v>27</v>
      </c>
      <c r="AC5382">
        <v>-5.9019000000000101</v>
      </c>
      <c r="AD5382">
        <v>-1.1169941094310001</v>
      </c>
      <c r="AE5382">
        <v>-14.0817</v>
      </c>
      <c r="AF5382">
        <v>-4.9746165103094198</v>
      </c>
      <c r="AG5382">
        <v>-1.1169941094310001</v>
      </c>
      <c r="AH5382">
        <v>14.3493702923088</v>
      </c>
      <c r="AI5382">
        <v>94.206436771791402</v>
      </c>
      <c r="AJ5382">
        <v>109.12032567683799</v>
      </c>
      <c r="AK5382">
        <v>15.228227508510001</v>
      </c>
      <c r="AL5382">
        <v>89.066240842814693</v>
      </c>
      <c r="AM5382">
        <v>92.7309732085197</v>
      </c>
      <c r="AN5382">
        <v>0.99999998112458599</v>
      </c>
    </row>
    <row r="5383" spans="1:40" x14ac:dyDescent="0.25">
      <c r="A5383" t="str">
        <f>"20190312160753999"</f>
        <v>20190312160753999</v>
      </c>
      <c r="B5383" t="str">
        <f>"1552378073991031"</f>
        <v>1552378073991031</v>
      </c>
      <c r="C5383" t="s">
        <v>40</v>
      </c>
      <c r="D5383">
        <v>5.8043180000000003</v>
      </c>
      <c r="E5383">
        <v>0.38835940000000002</v>
      </c>
      <c r="F5383" t="s">
        <v>47</v>
      </c>
      <c r="G5383">
        <v>-418.17559999999997</v>
      </c>
      <c r="H5383" s="1">
        <v>-3.0271339999999999E-6</v>
      </c>
      <c r="I5383">
        <v>115.93470000000001</v>
      </c>
      <c r="J5383">
        <v>-412.41550000000001</v>
      </c>
      <c r="K5383">
        <v>1.1169709999999999</v>
      </c>
      <c r="L5383">
        <v>129.99250000000001</v>
      </c>
      <c r="M5383">
        <v>-0.65987620000000002</v>
      </c>
      <c r="N5383">
        <v>0</v>
      </c>
      <c r="O5383">
        <v>-0.75121830000000001</v>
      </c>
      <c r="P5383">
        <v>-0.62386960000000002</v>
      </c>
      <c r="Q5383">
        <v>2.6444440000000001E-3</v>
      </c>
      <c r="R5383">
        <v>-0.78152460000000001</v>
      </c>
      <c r="S5383">
        <v>-1.20163</v>
      </c>
      <c r="T5383">
        <v>-0.22638849999999999</v>
      </c>
      <c r="U5383">
        <v>-2.8906399999999999</v>
      </c>
      <c r="V5383">
        <v>-4.7354170000000001E-2</v>
      </c>
      <c r="W5383">
        <v>1.7135089999999999E-2</v>
      </c>
      <c r="X5383">
        <v>0.99873120000000004</v>
      </c>
      <c r="Y5383">
        <v>-0.32149749999999999</v>
      </c>
      <c r="Z5383">
        <v>4.6354100000000002E-2</v>
      </c>
      <c r="AA5383">
        <v>0.94577520000000004</v>
      </c>
      <c r="AB5383">
        <v>27</v>
      </c>
      <c r="AC5383">
        <v>-5.7600999999999596</v>
      </c>
      <c r="AD5383">
        <v>-1.1169740271339901</v>
      </c>
      <c r="AE5383">
        <v>-14.0578</v>
      </c>
      <c r="AF5383">
        <v>-4.9232818107787999</v>
      </c>
      <c r="AG5383">
        <v>-1.1169740271339901</v>
      </c>
      <c r="AH5383">
        <v>14.285888670136501</v>
      </c>
      <c r="AI5383">
        <v>94.227654651414596</v>
      </c>
      <c r="AJ5383">
        <v>109.01525819388</v>
      </c>
      <c r="AK5383">
        <v>15.151664920436099</v>
      </c>
      <c r="AL5383">
        <v>89.018183630967101</v>
      </c>
      <c r="AM5383">
        <v>92.714607921948001</v>
      </c>
      <c r="AN5383">
        <v>1.0000000192895599</v>
      </c>
    </row>
    <row r="5384" spans="1:40" x14ac:dyDescent="0.25">
      <c r="A5384" t="str">
        <f>"20190312160754032"</f>
        <v>20190312160754032</v>
      </c>
      <c r="B5384" t="str">
        <f>"1552378074021287"</f>
        <v>1552378074021287</v>
      </c>
      <c r="C5384" t="s">
        <v>40</v>
      </c>
      <c r="D5384">
        <v>5.7662069999999996</v>
      </c>
      <c r="E5384">
        <v>0.39477699999999999</v>
      </c>
      <c r="F5384" t="s">
        <v>47</v>
      </c>
      <c r="G5384">
        <v>-418.22579999999999</v>
      </c>
      <c r="H5384" s="1">
        <v>-2.9194750000000001E-6</v>
      </c>
      <c r="I5384">
        <v>115.7045</v>
      </c>
      <c r="J5384">
        <v>-412.65410000000003</v>
      </c>
      <c r="K5384">
        <v>1.11694</v>
      </c>
      <c r="L5384">
        <v>129.69640000000001</v>
      </c>
      <c r="M5384">
        <v>-0.64921649999999997</v>
      </c>
      <c r="N5384">
        <v>0</v>
      </c>
      <c r="O5384">
        <v>-0.76045030000000002</v>
      </c>
      <c r="P5384">
        <v>-0.61349569999999998</v>
      </c>
      <c r="Q5384">
        <v>3.7676839999999999E-3</v>
      </c>
      <c r="R5384">
        <v>-0.78968939999999999</v>
      </c>
      <c r="S5384">
        <v>-1.1786799999999999</v>
      </c>
      <c r="T5384">
        <v>-0.22659029999999999</v>
      </c>
      <c r="U5384">
        <v>-2.8984679999999998</v>
      </c>
      <c r="V5384">
        <v>-4.6470780000000003E-2</v>
      </c>
      <c r="W5384">
        <v>1.8240220000000001E-2</v>
      </c>
      <c r="X5384">
        <v>0.99875309999999995</v>
      </c>
      <c r="Y5384">
        <v>-0.31546800000000003</v>
      </c>
      <c r="Z5384">
        <v>4.7363959999999997E-2</v>
      </c>
      <c r="AA5384">
        <v>0.94775350000000003</v>
      </c>
      <c r="AB5384">
        <v>27</v>
      </c>
      <c r="AC5384">
        <v>-5.5716999999999599</v>
      </c>
      <c r="AD5384">
        <v>-1.116942919475</v>
      </c>
      <c r="AE5384">
        <v>-13.991899999999999</v>
      </c>
      <c r="AF5384">
        <v>-4.8208208824010299</v>
      </c>
      <c r="AG5384">
        <v>-1.116942919475</v>
      </c>
      <c r="AH5384">
        <v>14.1810474043937</v>
      </c>
      <c r="AI5384">
        <v>94.264762125188398</v>
      </c>
      <c r="AJ5384">
        <v>108.77537042023999</v>
      </c>
      <c r="AK5384">
        <v>15.019653156821599</v>
      </c>
      <c r="AL5384">
        <v>88.954854413592003</v>
      </c>
      <c r="AM5384">
        <v>92.663982344430593</v>
      </c>
      <c r="AN5384">
        <v>0.999999996889533</v>
      </c>
    </row>
    <row r="5385" spans="1:40" x14ac:dyDescent="0.25">
      <c r="A5385" t="str">
        <f>"20190312160754055"</f>
        <v>20190312160754055</v>
      </c>
      <c r="B5385" t="str">
        <f>"1552378074040808"</f>
        <v>1552378074040808</v>
      </c>
      <c r="C5385" t="s">
        <v>40</v>
      </c>
      <c r="D5385">
        <v>5.7818069999999997</v>
      </c>
      <c r="E5385">
        <v>0.3958199</v>
      </c>
      <c r="F5385" t="s">
        <v>47</v>
      </c>
      <c r="G5385">
        <v>-418.13330000000002</v>
      </c>
      <c r="H5385" s="1">
        <v>-3.2028449999999998E-6</v>
      </c>
      <c r="I5385">
        <v>116.32680000000001</v>
      </c>
      <c r="J5385">
        <v>-412.8202</v>
      </c>
      <c r="K5385">
        <v>1.116919</v>
      </c>
      <c r="L5385">
        <v>129.48500000000001</v>
      </c>
      <c r="M5385">
        <v>-0.64161319999999999</v>
      </c>
      <c r="N5385">
        <v>0</v>
      </c>
      <c r="O5385">
        <v>-0.76687700000000003</v>
      </c>
      <c r="P5385">
        <v>-0.60613980000000001</v>
      </c>
      <c r="Q5385">
        <v>3.8026639999999999E-3</v>
      </c>
      <c r="R5385">
        <v>-0.79534919999999998</v>
      </c>
      <c r="S5385">
        <v>-1.1812739999999999</v>
      </c>
      <c r="T5385">
        <v>-0.24080670000000001</v>
      </c>
      <c r="U5385">
        <v>-2.8824010000000002</v>
      </c>
      <c r="V5385">
        <v>-4.5794960000000003E-2</v>
      </c>
      <c r="W5385">
        <v>1.8264539999999999E-2</v>
      </c>
      <c r="X5385">
        <v>0.99878389999999995</v>
      </c>
      <c r="Y5385">
        <v>-0.30351409999999901</v>
      </c>
      <c r="Z5385">
        <v>5.1453859999999997E-2</v>
      </c>
      <c r="AA5385">
        <v>0.95143659999999997</v>
      </c>
      <c r="AB5385">
        <v>27</v>
      </c>
      <c r="AC5385">
        <v>-5.3131000000000199</v>
      </c>
      <c r="AD5385">
        <v>-1.1169222028450001</v>
      </c>
      <c r="AE5385">
        <v>-13.158200000000001</v>
      </c>
      <c r="AF5385">
        <v>-4.3415906364573296</v>
      </c>
      <c r="AG5385">
        <v>-1.1169222028450001</v>
      </c>
      <c r="AH5385">
        <v>13.418115182018299</v>
      </c>
      <c r="AI5385">
        <v>94.528223352757095</v>
      </c>
      <c r="AJ5385">
        <v>107.92960400997001</v>
      </c>
      <c r="AK5385">
        <v>14.1471813270238</v>
      </c>
      <c r="AL5385">
        <v>88.953460777839993</v>
      </c>
      <c r="AM5385">
        <v>92.625214067546196</v>
      </c>
      <c r="AN5385">
        <v>1.00000002534101</v>
      </c>
    </row>
    <row r="5386" spans="1:40" x14ac:dyDescent="0.25">
      <c r="A5386" t="str">
        <f>"20190312160754076"</f>
        <v>20190312160754076</v>
      </c>
      <c r="B5386" t="str">
        <f>"1552378074071066"</f>
        <v>1552378074071066</v>
      </c>
      <c r="C5386" t="s">
        <v>40</v>
      </c>
      <c r="D5386">
        <v>5.7648529999999996</v>
      </c>
      <c r="E5386">
        <v>0.36607089999999998</v>
      </c>
      <c r="F5386" t="s">
        <v>47</v>
      </c>
      <c r="G5386">
        <v>-418.14609999999999</v>
      </c>
      <c r="H5386" s="1">
        <v>-3.161241E-6</v>
      </c>
      <c r="I5386">
        <v>116.23520000000001</v>
      </c>
      <c r="J5386">
        <v>-412.97739999999999</v>
      </c>
      <c r="K5386">
        <v>1.116887</v>
      </c>
      <c r="L5386">
        <v>129.2807</v>
      </c>
      <c r="M5386">
        <v>-0.63427609999999901</v>
      </c>
      <c r="N5386">
        <v>0</v>
      </c>
      <c r="O5386">
        <v>-0.77295639999999999</v>
      </c>
      <c r="P5386">
        <v>-0.5985433</v>
      </c>
      <c r="Q5386">
        <v>4.0701269999999998E-3</v>
      </c>
      <c r="R5386">
        <v>-0.80108029999999997</v>
      </c>
      <c r="S5386">
        <v>-1.1609799999999999</v>
      </c>
      <c r="T5386">
        <v>-0.2434722</v>
      </c>
      <c r="U5386">
        <v>-2.8882750000000001</v>
      </c>
      <c r="V5386">
        <v>-4.5783799999999999E-2</v>
      </c>
      <c r="W5386">
        <v>1.851293E-2</v>
      </c>
      <c r="X5386">
        <v>0.9987798</v>
      </c>
      <c r="Y5386">
        <v>-0.30087819999999998</v>
      </c>
      <c r="Z5386">
        <v>5.2689630000000001E-2</v>
      </c>
      <c r="AA5386">
        <v>0.952206</v>
      </c>
      <c r="AB5386">
        <v>27</v>
      </c>
      <c r="AC5386">
        <v>-5.1687000000000003</v>
      </c>
      <c r="AD5386">
        <v>-1.116890161241</v>
      </c>
      <c r="AE5386">
        <v>-13.045499999999899</v>
      </c>
      <c r="AF5386">
        <v>-4.2528227638150504</v>
      </c>
      <c r="AG5386">
        <v>-1.116890161241</v>
      </c>
      <c r="AH5386">
        <v>13.279407052895399</v>
      </c>
      <c r="AI5386">
        <v>94.579585553412798</v>
      </c>
      <c r="AJ5386">
        <v>107.75802668613299</v>
      </c>
      <c r="AK5386">
        <v>13.988445116208901</v>
      </c>
      <c r="AL5386">
        <v>88.939226631909804</v>
      </c>
      <c r="AM5386">
        <v>92.624585969673504</v>
      </c>
      <c r="AN5386">
        <v>0.99999998690383196</v>
      </c>
    </row>
    <row r="5387" spans="1:40" x14ac:dyDescent="0.25">
      <c r="A5387" t="str">
        <f>"20190312160754099"</f>
        <v>20190312160754099</v>
      </c>
      <c r="B5387" t="str">
        <f>"1552378074090587"</f>
        <v>1552378074090587</v>
      </c>
      <c r="C5387" t="s">
        <v>40</v>
      </c>
      <c r="D5387">
        <v>5.7764600000000002</v>
      </c>
      <c r="E5387">
        <v>0.3646973</v>
      </c>
      <c r="F5387" t="s">
        <v>47</v>
      </c>
      <c r="G5387">
        <v>-418.76069999999999</v>
      </c>
      <c r="H5387" s="1">
        <v>-6.5988179999999997E-7</v>
      </c>
      <c r="I5387">
        <v>110.6182</v>
      </c>
      <c r="J5387">
        <v>-413.13630000000001</v>
      </c>
      <c r="K5387">
        <v>1.116849</v>
      </c>
      <c r="L5387">
        <v>129.0701</v>
      </c>
      <c r="M5387">
        <v>-0.62672950000000005</v>
      </c>
      <c r="N5387">
        <v>0</v>
      </c>
      <c r="O5387">
        <v>-0.77908849999999996</v>
      </c>
      <c r="P5387">
        <v>-0.59076390000000001</v>
      </c>
      <c r="Q5387">
        <v>4.4321270000000001E-3</v>
      </c>
      <c r="R5387">
        <v>-0.80683209999999905</v>
      </c>
      <c r="S5387">
        <v>-0.94256589999999996</v>
      </c>
      <c r="T5387">
        <v>-0.1820319</v>
      </c>
      <c r="U5387">
        <v>-3.0416409999999998</v>
      </c>
      <c r="V5387">
        <v>-4.5737779999999999E-2</v>
      </c>
      <c r="W5387">
        <v>1.8856660000000001E-2</v>
      </c>
      <c r="X5387">
        <v>0.99877550000000004</v>
      </c>
      <c r="Y5387">
        <v>-0.3683013</v>
      </c>
      <c r="Z5387">
        <v>3.765168E-2</v>
      </c>
      <c r="AA5387">
        <v>0.92894379999999999</v>
      </c>
      <c r="AB5387">
        <v>27</v>
      </c>
      <c r="AC5387">
        <v>-5.6243999999999801</v>
      </c>
      <c r="AD5387">
        <v>-1.1168496598818001</v>
      </c>
      <c r="AE5387">
        <v>-18.451899999999899</v>
      </c>
      <c r="AF5387">
        <v>-7.1592763917130604</v>
      </c>
      <c r="AG5387">
        <v>-1.1168496598818001</v>
      </c>
      <c r="AH5387">
        <v>17.842898650967498</v>
      </c>
      <c r="AI5387">
        <v>93.324675709648702</v>
      </c>
      <c r="AJ5387">
        <v>111.862607644203</v>
      </c>
      <c r="AK5387">
        <v>19.258027518009602</v>
      </c>
      <c r="AL5387">
        <v>88.919528938145305</v>
      </c>
      <c r="AM5387">
        <v>92.6219627992093</v>
      </c>
      <c r="AN5387">
        <v>1.0000000087729599</v>
      </c>
    </row>
    <row r="5388" spans="1:40" x14ac:dyDescent="0.25">
      <c r="A5388" t="str">
        <f>"20190312160754120"</f>
        <v>20190312160754120</v>
      </c>
      <c r="B5388" t="str">
        <f>"1552378074111080"</f>
        <v>1552378074111080</v>
      </c>
      <c r="C5388" t="s">
        <v>40</v>
      </c>
      <c r="D5388">
        <v>5.7722530000000001</v>
      </c>
      <c r="E5388">
        <v>0.3651335</v>
      </c>
      <c r="F5388" t="s">
        <v>47</v>
      </c>
      <c r="G5388">
        <v>-418.70139999999998</v>
      </c>
      <c r="H5388" s="1">
        <v>-5.5121619999999896E-7</v>
      </c>
      <c r="I5388">
        <v>110.2525</v>
      </c>
      <c r="J5388">
        <v>-413.28579999999999</v>
      </c>
      <c r="K5388">
        <v>1.1168020000000001</v>
      </c>
      <c r="L5388">
        <v>128.86799999999999</v>
      </c>
      <c r="M5388">
        <v>-0.6195058</v>
      </c>
      <c r="N5388">
        <v>0</v>
      </c>
      <c r="O5388">
        <v>-0.78484509999999996</v>
      </c>
      <c r="P5388">
        <v>-0.58296130000000002</v>
      </c>
      <c r="Q5388">
        <v>4.3404409999999996E-3</v>
      </c>
      <c r="R5388">
        <v>-0.8124884</v>
      </c>
      <c r="S5388">
        <v>-0.90414430000000001</v>
      </c>
      <c r="T5388">
        <v>-0.18145</v>
      </c>
      <c r="U5388">
        <v>-3.05722</v>
      </c>
      <c r="V5388">
        <v>-4.6132220000000002E-2</v>
      </c>
      <c r="W5388">
        <v>1.874224E-2</v>
      </c>
      <c r="X5388">
        <v>0.99875950000000002</v>
      </c>
      <c r="Y5388">
        <v>-0.37174740000000001</v>
      </c>
      <c r="Z5388">
        <v>3.7824900000000002E-2</v>
      </c>
      <c r="AA5388">
        <v>0.92756300000000003</v>
      </c>
      <c r="AB5388">
        <v>26</v>
      </c>
      <c r="AC5388">
        <v>-5.41559999999998</v>
      </c>
      <c r="AD5388">
        <v>-1.1168025512162001</v>
      </c>
      <c r="AE5388">
        <v>-18.615500000000001</v>
      </c>
      <c r="AF5388">
        <v>-7.2587563532542401</v>
      </c>
      <c r="AG5388">
        <v>-1.1168025512162001</v>
      </c>
      <c r="AH5388">
        <v>17.907928009376501</v>
      </c>
      <c r="AI5388">
        <v>93.307795382376398</v>
      </c>
      <c r="AJ5388">
        <v>112.06456233056601</v>
      </c>
      <c r="AK5388">
        <v>19.355378511497101</v>
      </c>
      <c r="AL5388">
        <v>88.926085866307702</v>
      </c>
      <c r="AM5388">
        <v>92.644584798001702</v>
      </c>
      <c r="AN5388">
        <v>0.99999999606129797</v>
      </c>
    </row>
    <row r="5389" spans="1:40" x14ac:dyDescent="0.25">
      <c r="A5389" t="str">
        <f>"20190312160754144"</f>
        <v>20190312160754144</v>
      </c>
      <c r="B5389" t="str">
        <f>"1552378074141336"</f>
        <v>1552378074141336</v>
      </c>
      <c r="C5389" t="s">
        <v>40</v>
      </c>
      <c r="D5389">
        <v>5.792516</v>
      </c>
      <c r="E5389">
        <v>0.36628690000000003</v>
      </c>
      <c r="F5389" t="s">
        <v>47</v>
      </c>
      <c r="G5389">
        <v>-418.6968</v>
      </c>
      <c r="H5389" s="1">
        <v>-4.575671E-7</v>
      </c>
      <c r="I5389">
        <v>109.97369999999999</v>
      </c>
      <c r="J5389">
        <v>-413.44</v>
      </c>
      <c r="K5389">
        <v>1.116749</v>
      </c>
      <c r="L5389">
        <v>128.65539999999999</v>
      </c>
      <c r="M5389">
        <v>-0.61193929999999996</v>
      </c>
      <c r="N5389">
        <v>0</v>
      </c>
      <c r="O5389">
        <v>-0.7907594</v>
      </c>
      <c r="P5389">
        <v>-0.57504630000000001</v>
      </c>
      <c r="Q5389">
        <v>4.0370370000000003E-3</v>
      </c>
      <c r="R5389">
        <v>-0.81811119999999904</v>
      </c>
      <c r="S5389">
        <v>-0.87741089999999999</v>
      </c>
      <c r="T5389">
        <v>-0.18109359999999999</v>
      </c>
      <c r="U5389">
        <v>-3.0637819999999998</v>
      </c>
      <c r="V5389">
        <v>-4.622917E-2</v>
      </c>
      <c r="W5389">
        <v>1.8421860000000002E-2</v>
      </c>
      <c r="X5389">
        <v>0.99876100000000001</v>
      </c>
      <c r="Y5389">
        <v>-0.37083709999999998</v>
      </c>
      <c r="Z5389">
        <v>3.8200409999999997E-2</v>
      </c>
      <c r="AA5389">
        <v>0.92791190000000001</v>
      </c>
      <c r="AB5389">
        <v>26</v>
      </c>
      <c r="AC5389">
        <v>-5.2567999999999904</v>
      </c>
      <c r="AD5389">
        <v>-1.1167494575671</v>
      </c>
      <c r="AE5389">
        <v>-18.6816999999999</v>
      </c>
      <c r="AF5389">
        <v>-7.2520258090558096</v>
      </c>
      <c r="AG5389">
        <v>-1.1167494575671</v>
      </c>
      <c r="AH5389">
        <v>17.932263050229299</v>
      </c>
      <c r="AI5389">
        <v>93.304220889709001</v>
      </c>
      <c r="AJ5389">
        <v>112.019008394767</v>
      </c>
      <c r="AK5389">
        <v>19.375372661933699</v>
      </c>
      <c r="AL5389">
        <v>88.944445481556897</v>
      </c>
      <c r="AM5389">
        <v>92.6501306833174</v>
      </c>
      <c r="AN5389">
        <v>1.0000000181028701</v>
      </c>
    </row>
    <row r="5390" spans="1:40" x14ac:dyDescent="0.25">
      <c r="A5390" t="str">
        <f>"20190312160754167"</f>
        <v>20190312160754167</v>
      </c>
      <c r="B5390" t="str">
        <f>"1552378074160856"</f>
        <v>1552378074160856</v>
      </c>
      <c r="C5390" t="s">
        <v>40</v>
      </c>
      <c r="D5390">
        <v>5.8317709999999998</v>
      </c>
      <c r="E5390">
        <v>0.36753269999999999</v>
      </c>
      <c r="F5390" t="s">
        <v>47</v>
      </c>
      <c r="G5390">
        <v>-418.5351</v>
      </c>
      <c r="H5390" s="1">
        <v>-6.4376969999999997E-7</v>
      </c>
      <c r="I5390">
        <v>110.3944</v>
      </c>
      <c r="J5390">
        <v>-413.59660000000002</v>
      </c>
      <c r="K5390">
        <v>1.1166879999999999</v>
      </c>
      <c r="L5390">
        <v>128.43539999999999</v>
      </c>
      <c r="M5390">
        <v>-0.60414619999999997</v>
      </c>
      <c r="N5390">
        <v>0</v>
      </c>
      <c r="O5390">
        <v>-0.79672949999999998</v>
      </c>
      <c r="P5390">
        <v>-0.56743739999999998</v>
      </c>
      <c r="Q5390">
        <v>3.7800970000000001E-3</v>
      </c>
      <c r="R5390">
        <v>-0.82340789999999997</v>
      </c>
      <c r="S5390">
        <v>-0.85559079999999998</v>
      </c>
      <c r="T5390">
        <v>-0.18753139999999999</v>
      </c>
      <c r="U5390">
        <v>-3.0664980000000002</v>
      </c>
      <c r="V5390">
        <v>-4.5675500000000001E-2</v>
      </c>
      <c r="W5390">
        <v>1.8159649999999999E-2</v>
      </c>
      <c r="X5390">
        <v>0.99879130000000005</v>
      </c>
      <c r="Y5390">
        <v>-0.36806990000000001</v>
      </c>
      <c r="Z5390">
        <v>4.008954E-2</v>
      </c>
      <c r="AA5390">
        <v>0.92893340000000002</v>
      </c>
      <c r="AB5390">
        <v>26</v>
      </c>
      <c r="AC5390">
        <v>-4.9384999999999701</v>
      </c>
      <c r="AD5390">
        <v>-1.1166886437696999</v>
      </c>
      <c r="AE5390">
        <v>-18.040999999999901</v>
      </c>
      <c r="AF5390">
        <v>-6.9408137687858797</v>
      </c>
      <c r="AG5390">
        <v>-1.1166886437696999</v>
      </c>
      <c r="AH5390">
        <v>17.297712303553801</v>
      </c>
      <c r="AI5390">
        <v>93.428703144338996</v>
      </c>
      <c r="AJ5390">
        <v>111.86342843705501</v>
      </c>
      <c r="AK5390">
        <v>18.671709622758399</v>
      </c>
      <c r="AL5390">
        <v>88.959471546841698</v>
      </c>
      <c r="AM5390">
        <v>92.618356146631299</v>
      </c>
      <c r="AN5390">
        <v>1.0000000425720299</v>
      </c>
    </row>
    <row r="5391" spans="1:40" x14ac:dyDescent="0.25">
      <c r="A5391" t="str">
        <f>"20190312160754189"</f>
        <v>20190312160754189</v>
      </c>
      <c r="B5391" t="str">
        <f>"1552378074181351"</f>
        <v>1552378074181351</v>
      </c>
      <c r="C5391" t="s">
        <v>40</v>
      </c>
      <c r="D5391">
        <v>5.8284399999999996</v>
      </c>
      <c r="E5391">
        <v>0.36885230000000002</v>
      </c>
      <c r="F5391" t="s">
        <v>47</v>
      </c>
      <c r="G5391">
        <v>-418.37979999999999</v>
      </c>
      <c r="H5391" s="1">
        <v>-8.4336219999999898E-7</v>
      </c>
      <c r="I5391">
        <v>110.8595</v>
      </c>
      <c r="J5391">
        <v>-413.74239999999998</v>
      </c>
      <c r="K5391">
        <v>1.1166180000000001</v>
      </c>
      <c r="L5391">
        <v>128.22640000000001</v>
      </c>
      <c r="M5391">
        <v>-0.59678489999999995</v>
      </c>
      <c r="N5391">
        <v>0</v>
      </c>
      <c r="O5391">
        <v>-0.80225869999999999</v>
      </c>
      <c r="P5391">
        <v>-0.56112830000000002</v>
      </c>
      <c r="Q5391">
        <v>3.6938349999999999E-3</v>
      </c>
      <c r="R5391">
        <v>-0.82772069999999998</v>
      </c>
      <c r="S5391">
        <v>-0.835144</v>
      </c>
      <c r="T5391">
        <v>-0.1949728</v>
      </c>
      <c r="U5391">
        <v>-3.0687410000000002</v>
      </c>
      <c r="V5391">
        <v>-4.4107189999999998E-2</v>
      </c>
      <c r="W5391">
        <v>1.8086700000000001E-2</v>
      </c>
      <c r="X5391">
        <v>0.99886299999999995</v>
      </c>
      <c r="Y5391">
        <v>-0.36545919999999998</v>
      </c>
      <c r="Z5391">
        <v>4.2195249999999997E-2</v>
      </c>
      <c r="AA5391">
        <v>0.92987050000000004</v>
      </c>
      <c r="AB5391">
        <v>26</v>
      </c>
      <c r="AC5391">
        <v>-4.6374000000000102</v>
      </c>
      <c r="AD5391">
        <v>-1.1166188433622</v>
      </c>
      <c r="AE5391">
        <v>-17.366900000000001</v>
      </c>
      <c r="AF5391">
        <v>-6.6191273069251002</v>
      </c>
      <c r="AG5391">
        <v>-1.1166188433622</v>
      </c>
      <c r="AH5391">
        <v>16.637984637478599</v>
      </c>
      <c r="AI5391">
        <v>93.568287770228196</v>
      </c>
      <c r="AJ5391">
        <v>111.69425934497799</v>
      </c>
      <c r="AK5391">
        <v>17.941076242622898</v>
      </c>
      <c r="AL5391">
        <v>88.963651846638896</v>
      </c>
      <c r="AM5391">
        <v>92.528389984990795</v>
      </c>
      <c r="AN5391">
        <v>0.99999993284778999</v>
      </c>
    </row>
    <row r="5392" spans="1:40" x14ac:dyDescent="0.25">
      <c r="A5392" t="str">
        <f>"20190312160754210"</f>
        <v>20190312160754210</v>
      </c>
      <c r="B5392" t="str">
        <f>"1552378074200872"</f>
        <v>1552378074200872</v>
      </c>
      <c r="C5392" t="s">
        <v>40</v>
      </c>
      <c r="D5392">
        <v>5.8322089999999998</v>
      </c>
      <c r="E5392">
        <v>0.37000949999999999</v>
      </c>
      <c r="F5392" t="s">
        <v>47</v>
      </c>
      <c r="G5392">
        <v>-418.31110000000001</v>
      </c>
      <c r="H5392" s="1">
        <v>-9.5746099999999992E-7</v>
      </c>
      <c r="I5392">
        <v>111.14109999999999</v>
      </c>
      <c r="J5392">
        <v>-413.88580000000002</v>
      </c>
      <c r="K5392">
        <v>1.1165590000000001</v>
      </c>
      <c r="L5392">
        <v>128.01679999999999</v>
      </c>
      <c r="M5392">
        <v>-0.58944659999999904</v>
      </c>
      <c r="N5392">
        <v>0</v>
      </c>
      <c r="O5392">
        <v>-0.80766610000000005</v>
      </c>
      <c r="P5392">
        <v>-0.55469029999999997</v>
      </c>
      <c r="Q5392">
        <v>4.223737E-3</v>
      </c>
      <c r="R5392">
        <v>-0.83204630000000002</v>
      </c>
      <c r="S5392">
        <v>-0.82064820000000005</v>
      </c>
      <c r="T5392">
        <v>-0.2005719</v>
      </c>
      <c r="U5392">
        <v>-3.0689389999999999</v>
      </c>
      <c r="V5392">
        <v>-4.2753569999999998E-2</v>
      </c>
      <c r="W5392">
        <v>1.862687E-2</v>
      </c>
      <c r="X5392">
        <v>0.99891200000000002</v>
      </c>
      <c r="Y5392">
        <v>-0.36109970000000002</v>
      </c>
      <c r="Z5392">
        <v>4.3969800000000003E-2</v>
      </c>
      <c r="AA5392">
        <v>0.93149009999999999</v>
      </c>
      <c r="AB5392">
        <v>26</v>
      </c>
      <c r="AC5392">
        <v>-4.4252999999999902</v>
      </c>
      <c r="AD5392">
        <v>-1.1165599574609999</v>
      </c>
      <c r="AE5392">
        <v>-16.875699999999899</v>
      </c>
      <c r="AF5392">
        <v>-6.3478855617096404</v>
      </c>
      <c r="AG5392">
        <v>-1.1165599574609999</v>
      </c>
      <c r="AH5392">
        <v>16.174013213762201</v>
      </c>
      <c r="AI5392">
        <v>93.6768882454015</v>
      </c>
      <c r="AJ5392">
        <v>111.428734570202</v>
      </c>
      <c r="AK5392">
        <v>17.410946576281301</v>
      </c>
      <c r="AL5392">
        <v>88.932697245066805</v>
      </c>
      <c r="AM5392">
        <v>92.450771433875403</v>
      </c>
      <c r="AN5392">
        <v>1.0000000058888701</v>
      </c>
    </row>
    <row r="5393" spans="1:40" x14ac:dyDescent="0.25">
      <c r="A5393" t="str">
        <f>"20190312160754233"</f>
        <v>20190312160754233</v>
      </c>
      <c r="B5393" t="str">
        <f>"1552378074221368"</f>
        <v>1552378074221368</v>
      </c>
      <c r="C5393" t="s">
        <v>40</v>
      </c>
      <c r="D5393">
        <v>5.8066769999999996</v>
      </c>
      <c r="E5393">
        <v>0.37090200000000001</v>
      </c>
      <c r="F5393" t="s">
        <v>47</v>
      </c>
      <c r="G5393">
        <v>-418.27980000000002</v>
      </c>
      <c r="H5393" s="1">
        <v>-1.001067E-6</v>
      </c>
      <c r="I5393">
        <v>111.24469999999999</v>
      </c>
      <c r="J5393">
        <v>-414.02940000000001</v>
      </c>
      <c r="K5393">
        <v>1.116498</v>
      </c>
      <c r="L5393">
        <v>127.80289999999999</v>
      </c>
      <c r="M5393">
        <v>-0.5819995</v>
      </c>
      <c r="N5393">
        <v>0</v>
      </c>
      <c r="O5393">
        <v>-0.81304929999999997</v>
      </c>
      <c r="P5393">
        <v>-0.54747309999999905</v>
      </c>
      <c r="Q5393">
        <v>4.476107E-3</v>
      </c>
      <c r="R5393">
        <v>-0.83681149999999904</v>
      </c>
      <c r="S5393">
        <v>-0.80438229999999999</v>
      </c>
      <c r="T5393">
        <v>-0.20440349999999999</v>
      </c>
      <c r="U5393">
        <v>-3.070389</v>
      </c>
      <c r="V5393">
        <v>-4.2213220000000003E-2</v>
      </c>
      <c r="W5393">
        <v>1.8875260000000001E-2</v>
      </c>
      <c r="X5393">
        <v>0.99893030000000005</v>
      </c>
      <c r="Y5393">
        <v>-0.35726449999999998</v>
      </c>
      <c r="Z5393">
        <v>4.5360360000000002E-2</v>
      </c>
      <c r="AA5393">
        <v>0.93290110000000004</v>
      </c>
      <c r="AB5393">
        <v>26</v>
      </c>
      <c r="AC5393">
        <v>-4.2504000000000097</v>
      </c>
      <c r="AD5393">
        <v>-1.116499001067</v>
      </c>
      <c r="AE5393">
        <v>-16.558199999999999</v>
      </c>
      <c r="AF5393">
        <v>-6.1555255079815998</v>
      </c>
      <c r="AG5393">
        <v>-1.116499001067</v>
      </c>
      <c r="AH5393">
        <v>15.870479351185899</v>
      </c>
      <c r="AI5393">
        <v>93.752650974280101</v>
      </c>
      <c r="AJ5393">
        <v>111.19928531033401</v>
      </c>
      <c r="AK5393">
        <v>17.0589911523283</v>
      </c>
      <c r="AL5393">
        <v>88.918463024286893</v>
      </c>
      <c r="AM5393">
        <v>92.419789620522593</v>
      </c>
      <c r="AN5393">
        <v>0.99999998782046295</v>
      </c>
    </row>
    <row r="5394" spans="1:40" x14ac:dyDescent="0.25">
      <c r="A5394" t="str">
        <f>"20190312160754256"</f>
        <v>20190312160754256</v>
      </c>
      <c r="B5394" t="str">
        <f>"1552378074250647"</f>
        <v>1552378074250647</v>
      </c>
      <c r="C5394" t="s">
        <v>40</v>
      </c>
      <c r="D5394">
        <v>5.8569740000000001</v>
      </c>
      <c r="E5394">
        <v>0.37214350000000002</v>
      </c>
      <c r="F5394" t="s">
        <v>47</v>
      </c>
      <c r="G5394">
        <v>-418.26510000000002</v>
      </c>
      <c r="H5394" s="1">
        <v>-9.8888609999999994E-7</v>
      </c>
      <c r="I5394">
        <v>111.19750000000001</v>
      </c>
      <c r="J5394">
        <v>-414.17489999999998</v>
      </c>
      <c r="K5394">
        <v>1.116441</v>
      </c>
      <c r="L5394">
        <v>127.5818</v>
      </c>
      <c r="M5394">
        <v>-0.57434810000000003</v>
      </c>
      <c r="N5394">
        <v>0</v>
      </c>
      <c r="O5394">
        <v>-0.81847259999999999</v>
      </c>
      <c r="P5394">
        <v>-0.53981210000000002</v>
      </c>
      <c r="Q5394">
        <v>4.3477669999999998E-3</v>
      </c>
      <c r="R5394">
        <v>-0.84177449999999998</v>
      </c>
      <c r="S5394">
        <v>-0.78393550000000001</v>
      </c>
      <c r="T5394">
        <v>-0.2066375</v>
      </c>
      <c r="U5394">
        <v>-3.0732729999999999</v>
      </c>
      <c r="V5394">
        <v>-4.1957069999999999E-2</v>
      </c>
      <c r="W5394">
        <v>1.8738910000000001E-2</v>
      </c>
      <c r="X5394">
        <v>0.99894369999999999</v>
      </c>
      <c r="Y5394">
        <v>-0.3545469</v>
      </c>
      <c r="Z5394">
        <v>4.6388190000000003E-2</v>
      </c>
      <c r="AA5394">
        <v>0.93388680000000002</v>
      </c>
      <c r="AB5394">
        <v>26</v>
      </c>
      <c r="AC5394">
        <v>-4.0902000000000296</v>
      </c>
      <c r="AD5394">
        <v>-1.1164419888860999</v>
      </c>
      <c r="AE5394">
        <v>-16.3842999999999</v>
      </c>
      <c r="AF5394">
        <v>-6.0368767753286301</v>
      </c>
      <c r="AG5394">
        <v>-1.1164419888860999</v>
      </c>
      <c r="AH5394">
        <v>15.692498367765999</v>
      </c>
      <c r="AI5394">
        <v>93.798919269580693</v>
      </c>
      <c r="AJ5394">
        <v>111.04164727889</v>
      </c>
      <c r="AK5394">
        <v>16.850662566717901</v>
      </c>
      <c r="AL5394">
        <v>88.926276730268</v>
      </c>
      <c r="AM5394">
        <v>92.405091397249294</v>
      </c>
      <c r="AN5394">
        <v>1.0000000291203299</v>
      </c>
    </row>
    <row r="5395" spans="1:40" x14ac:dyDescent="0.25">
      <c r="A5395" t="str">
        <f>"20190312160754277"</f>
        <v>20190312160754277</v>
      </c>
      <c r="B5395" t="str">
        <f>"1552378074271143"</f>
        <v>1552378074271143</v>
      </c>
      <c r="C5395" t="s">
        <v>40</v>
      </c>
      <c r="D5395">
        <v>5.828055</v>
      </c>
      <c r="E5395">
        <v>0.37293140000000002</v>
      </c>
      <c r="F5395" t="s">
        <v>47</v>
      </c>
      <c r="G5395">
        <v>-418.23540000000003</v>
      </c>
      <c r="H5395" s="1">
        <v>-1.0128559999999999E-6</v>
      </c>
      <c r="I5395">
        <v>111.24469999999999</v>
      </c>
      <c r="J5395">
        <v>-414.31040000000002</v>
      </c>
      <c r="K5395">
        <v>1.1163909999999999</v>
      </c>
      <c r="L5395">
        <v>127.3715</v>
      </c>
      <c r="M5395">
        <v>-0.56711160000000005</v>
      </c>
      <c r="N5395">
        <v>0</v>
      </c>
      <c r="O5395">
        <v>-0.8235036</v>
      </c>
      <c r="P5395">
        <v>-0.53209759999999995</v>
      </c>
      <c r="Q5395">
        <v>3.7163040000000001E-3</v>
      </c>
      <c r="R5395">
        <v>-0.84667499999999996</v>
      </c>
      <c r="S5395">
        <v>-0.76425169999999998</v>
      </c>
      <c r="T5395">
        <v>-0.2101325</v>
      </c>
      <c r="U5395">
        <v>-3.0749050000000002</v>
      </c>
      <c r="V5395">
        <v>-4.2269569999999999E-2</v>
      </c>
      <c r="W5395">
        <v>1.8090999999999999E-2</v>
      </c>
      <c r="X5395">
        <v>0.99894240000000001</v>
      </c>
      <c r="Y5395">
        <v>-0.35205920000000002</v>
      </c>
      <c r="Z5395">
        <v>4.7689620000000002E-2</v>
      </c>
      <c r="AA5395">
        <v>0.93476199999999998</v>
      </c>
      <c r="AB5395">
        <v>26</v>
      </c>
      <c r="AC5395">
        <v>-3.92500000000001</v>
      </c>
      <c r="AD5395">
        <v>-1.1163920128560001</v>
      </c>
      <c r="AE5395">
        <v>-16.126799999999999</v>
      </c>
      <c r="AF5395">
        <v>-5.8874765193343199</v>
      </c>
      <c r="AG5395">
        <v>-1.1163920128560001</v>
      </c>
      <c r="AH5395">
        <v>15.438298993430699</v>
      </c>
      <c r="AI5395">
        <v>93.865411158624795</v>
      </c>
      <c r="AJ5395">
        <v>110.87461317856</v>
      </c>
      <c r="AK5395">
        <v>16.560488721732899</v>
      </c>
      <c r="AL5395">
        <v>88.963405462263594</v>
      </c>
      <c r="AM5395">
        <v>92.422986611347298</v>
      </c>
      <c r="AN5395">
        <v>0.99999995967337096</v>
      </c>
    </row>
    <row r="5396" spans="1:40" x14ac:dyDescent="0.25">
      <c r="A5396" t="str">
        <f>"20190312160754300"</f>
        <v>20190312160754300</v>
      </c>
      <c r="B5396" t="str">
        <f>"1552378074290665"</f>
        <v>1552378074290665</v>
      </c>
      <c r="C5396" t="s">
        <v>40</v>
      </c>
      <c r="D5396">
        <v>5.8458069999999998</v>
      </c>
      <c r="E5396">
        <v>0.3737393</v>
      </c>
      <c r="F5396" t="s">
        <v>47</v>
      </c>
      <c r="G5396">
        <v>-418.19690000000003</v>
      </c>
      <c r="H5396" s="1">
        <v>-1.017867E-6</v>
      </c>
      <c r="I5396">
        <v>111.22929999999999</v>
      </c>
      <c r="J5396">
        <v>-414.44799999999998</v>
      </c>
      <c r="K5396">
        <v>1.1163430000000001</v>
      </c>
      <c r="L5396">
        <v>127.154</v>
      </c>
      <c r="M5396">
        <v>-0.55964999999999998</v>
      </c>
      <c r="N5396">
        <v>0</v>
      </c>
      <c r="O5396">
        <v>-0.82859269999999996</v>
      </c>
      <c r="P5396">
        <v>-0.52416070000000003</v>
      </c>
      <c r="Q5396">
        <v>3.7663359999999999E-3</v>
      </c>
      <c r="R5396">
        <v>-0.85161100000000001</v>
      </c>
      <c r="S5396">
        <v>-0.74118039999999996</v>
      </c>
      <c r="T5396">
        <v>-0.21290239999999999</v>
      </c>
      <c r="U5396">
        <v>-3.0784150000000001</v>
      </c>
      <c r="V5396">
        <v>-4.2581059999999997E-2</v>
      </c>
      <c r="W5396">
        <v>1.812484E-2</v>
      </c>
      <c r="X5396">
        <v>0.99892860000000006</v>
      </c>
      <c r="Y5396">
        <v>-0.35047620000000002</v>
      </c>
      <c r="Z5396">
        <v>4.881228E-2</v>
      </c>
      <c r="AA5396">
        <v>0.93529870000000004</v>
      </c>
      <c r="AB5396">
        <v>26</v>
      </c>
      <c r="AC5396">
        <v>-3.7488999999999901</v>
      </c>
      <c r="AD5396">
        <v>-1.1163440178669899</v>
      </c>
      <c r="AE5396">
        <v>-15.9247</v>
      </c>
      <c r="AF5396">
        <v>-5.7796922102133204</v>
      </c>
      <c r="AG5396">
        <v>-1.1163440178669899</v>
      </c>
      <c r="AH5396">
        <v>15.2240051152222</v>
      </c>
      <c r="AI5396">
        <v>93.921708341117494</v>
      </c>
      <c r="AJ5396">
        <v>110.788932478761</v>
      </c>
      <c r="AK5396">
        <v>16.322420095051498</v>
      </c>
      <c r="AL5396">
        <v>88.961466299217506</v>
      </c>
      <c r="AM5396">
        <v>92.4408540800937</v>
      </c>
      <c r="AN5396">
        <v>1.00000000219685</v>
      </c>
    </row>
    <row r="5397" spans="1:40" x14ac:dyDescent="0.25">
      <c r="A5397" t="str">
        <f>"20190312160754322"</f>
        <v>20190312160754322</v>
      </c>
      <c r="B5397" t="str">
        <f>"1552378074311161"</f>
        <v>1552378074311161</v>
      </c>
      <c r="C5397" t="s">
        <v>40</v>
      </c>
      <c r="D5397">
        <v>5.8608599999999997</v>
      </c>
      <c r="E5397">
        <v>0.37454949999999998</v>
      </c>
      <c r="F5397" t="s">
        <v>47</v>
      </c>
      <c r="G5397">
        <v>-418.18529999999998</v>
      </c>
      <c r="H5397" s="1">
        <v>-9.8130639999999995E-7</v>
      </c>
      <c r="I5397">
        <v>111.11279999999999</v>
      </c>
      <c r="J5397">
        <v>-414.58280000000002</v>
      </c>
      <c r="K5397">
        <v>1.1162989999999999</v>
      </c>
      <c r="L5397">
        <v>126.9367</v>
      </c>
      <c r="M5397">
        <v>-0.55221799999999999</v>
      </c>
      <c r="N5397">
        <v>0</v>
      </c>
      <c r="O5397">
        <v>-0.83356459999999999</v>
      </c>
      <c r="P5397">
        <v>-0.51634409999999997</v>
      </c>
      <c r="Q5397">
        <v>3.7814039999999999E-3</v>
      </c>
      <c r="R5397">
        <v>-0.85637319999999995</v>
      </c>
      <c r="S5397">
        <v>-0.71798709999999999</v>
      </c>
      <c r="T5397">
        <v>-0.2144673</v>
      </c>
      <c r="U5397">
        <v>-3.081772</v>
      </c>
      <c r="V5397">
        <v>-4.2789689999999998E-2</v>
      </c>
      <c r="W5397">
        <v>1.8126280000000002E-2</v>
      </c>
      <c r="X5397">
        <v>0.99891969999999997</v>
      </c>
      <c r="Y5397">
        <v>-0.34900639999999999</v>
      </c>
      <c r="Z5397">
        <v>4.9658929999999997E-2</v>
      </c>
      <c r="AA5397">
        <v>0.93580370000000002</v>
      </c>
      <c r="AB5397">
        <v>26</v>
      </c>
      <c r="AC5397">
        <v>-3.6024999999999601</v>
      </c>
      <c r="AD5397">
        <v>-1.1162999813063901</v>
      </c>
      <c r="AE5397">
        <v>-15.8239</v>
      </c>
      <c r="AF5397">
        <v>-5.7089608908018601</v>
      </c>
      <c r="AG5397">
        <v>-1.1162999813063901</v>
      </c>
      <c r="AH5397">
        <v>15.109828209565499</v>
      </c>
      <c r="AI5397">
        <v>93.953458771507201</v>
      </c>
      <c r="AJ5397">
        <v>110.698117220247</v>
      </c>
      <c r="AK5397">
        <v>16.1909007971623</v>
      </c>
      <c r="AL5397">
        <v>88.961383822457293</v>
      </c>
      <c r="AM5397">
        <v>92.452820535883305</v>
      </c>
      <c r="AN5397">
        <v>1.00000004332251</v>
      </c>
    </row>
    <row r="5398" spans="1:40" x14ac:dyDescent="0.25">
      <c r="A5398" t="str">
        <f>"20190312160754345"</f>
        <v>20190312160754345</v>
      </c>
      <c r="B5398" t="str">
        <f>"1552378074341416"</f>
        <v>1552378074341416</v>
      </c>
      <c r="C5398" t="s">
        <v>40</v>
      </c>
      <c r="D5398">
        <v>6.8303710000000004</v>
      </c>
      <c r="E5398">
        <v>0.38759490000000002</v>
      </c>
      <c r="F5398" t="s">
        <v>47</v>
      </c>
      <c r="G5398">
        <v>-418.17720000000003</v>
      </c>
      <c r="H5398" s="1">
        <v>-9.3892239999999996E-7</v>
      </c>
      <c r="I5398">
        <v>110.982</v>
      </c>
      <c r="J5398">
        <v>-414.71910000000003</v>
      </c>
      <c r="K5398">
        <v>1.116249</v>
      </c>
      <c r="L5398">
        <v>126.7123</v>
      </c>
      <c r="M5398">
        <v>-0.54456230000000005</v>
      </c>
      <c r="N5398">
        <v>0</v>
      </c>
      <c r="O5398">
        <v>-0.83858639999999995</v>
      </c>
      <c r="P5398">
        <v>-0.50876549999999998</v>
      </c>
      <c r="Q5398">
        <v>3.3557180000000002E-3</v>
      </c>
      <c r="R5398">
        <v>-0.86089930000000003</v>
      </c>
      <c r="S5398">
        <v>-0.69503780000000004</v>
      </c>
      <c r="T5398">
        <v>-0.2158515</v>
      </c>
      <c r="U5398">
        <v>-3.0850520000000001</v>
      </c>
      <c r="V5398">
        <v>-4.2451820000000001E-2</v>
      </c>
      <c r="W5398">
        <v>1.7695760000000001E-2</v>
      </c>
      <c r="X5398">
        <v>0.99894179999999999</v>
      </c>
      <c r="Y5398">
        <v>-0.34726760000000001</v>
      </c>
      <c r="Z5398">
        <v>5.0479580000000003E-2</v>
      </c>
      <c r="AA5398">
        <v>0.93640639999999997</v>
      </c>
      <c r="AB5398">
        <v>26</v>
      </c>
      <c r="AC5398">
        <v>-3.4581</v>
      </c>
      <c r="AD5398">
        <v>-1.1162499389223901</v>
      </c>
      <c r="AE5398">
        <v>-15.7302999999999</v>
      </c>
      <c r="AF5398">
        <v>-5.6397593716854404</v>
      </c>
      <c r="AG5398">
        <v>-1.1162499389223901</v>
      </c>
      <c r="AH5398">
        <v>15.0039901757567</v>
      </c>
      <c r="AI5398">
        <v>93.9836295619221</v>
      </c>
      <c r="AJ5398">
        <v>110.600435745263</v>
      </c>
      <c r="AK5398">
        <v>16.067750959324101</v>
      </c>
      <c r="AL5398">
        <v>88.986054722719302</v>
      </c>
      <c r="AM5398">
        <v>92.433422518755606</v>
      </c>
      <c r="AN5398">
        <v>1.00000000836526</v>
      </c>
    </row>
    <row r="5399" spans="1:40" x14ac:dyDescent="0.25">
      <c r="A5399" t="str">
        <f>"20190312160754367"</f>
        <v>20190312160754367</v>
      </c>
      <c r="B5399" t="str">
        <f>"1552378074360936"</f>
        <v>1552378074360936</v>
      </c>
      <c r="C5399" t="s">
        <v>40</v>
      </c>
      <c r="D5399">
        <v>5.815626</v>
      </c>
      <c r="E5399">
        <v>0.43915029999999999</v>
      </c>
      <c r="F5399" t="s">
        <v>47</v>
      </c>
      <c r="G5399">
        <v>-418.12599999999998</v>
      </c>
      <c r="H5399" s="1">
        <v>-1.796782E-6</v>
      </c>
      <c r="I5399">
        <v>113.0462</v>
      </c>
      <c r="J5399">
        <v>-414.85039999999998</v>
      </c>
      <c r="K5399">
        <v>1.1162080000000001</v>
      </c>
      <c r="L5399">
        <v>126.492</v>
      </c>
      <c r="M5399">
        <v>-0.53706379999999998</v>
      </c>
      <c r="N5399">
        <v>0</v>
      </c>
      <c r="O5399">
        <v>-0.84340849999999901</v>
      </c>
      <c r="P5399">
        <v>-0.5009363</v>
      </c>
      <c r="Q5399">
        <v>2.7465739999999999E-3</v>
      </c>
      <c r="R5399">
        <v>-0.86547989999999997</v>
      </c>
      <c r="S5399">
        <v>-0.75738530000000004</v>
      </c>
      <c r="T5399">
        <v>-0.24815789999999999</v>
      </c>
      <c r="U5399">
        <v>-3.0381469999999999</v>
      </c>
      <c r="V5399">
        <v>-4.2595189999999998E-2</v>
      </c>
      <c r="W5399">
        <v>1.7075489999999999E-2</v>
      </c>
      <c r="X5399">
        <v>0.99894649999999996</v>
      </c>
      <c r="Y5399">
        <v>-0.3176021</v>
      </c>
      <c r="Z5399">
        <v>5.9746540000000001E-2</v>
      </c>
      <c r="AA5399">
        <v>0.94633999999999996</v>
      </c>
      <c r="AB5399">
        <v>26</v>
      </c>
      <c r="AC5399">
        <v>-3.2755999999999901</v>
      </c>
      <c r="AD5399">
        <v>-1.1162097967819999</v>
      </c>
      <c r="AE5399">
        <v>-13.4458</v>
      </c>
      <c r="AF5399">
        <v>-4.4302632861601596</v>
      </c>
      <c r="AG5399">
        <v>-1.1162097967819999</v>
      </c>
      <c r="AH5399">
        <v>13.0163020247691</v>
      </c>
      <c r="AI5399">
        <v>94.641167312139302</v>
      </c>
      <c r="AJ5399">
        <v>108.79665733074501</v>
      </c>
      <c r="AK5399">
        <v>13.794827853044801</v>
      </c>
      <c r="AL5399">
        <v>89.021598956036897</v>
      </c>
      <c r="AM5399">
        <v>92.441619368422096</v>
      </c>
      <c r="AN5399">
        <v>1.0000000162160601</v>
      </c>
    </row>
    <row r="5400" spans="1:40" x14ac:dyDescent="0.25">
      <c r="A5400" t="str">
        <f>"20190312160754390"</f>
        <v>20190312160754390</v>
      </c>
      <c r="B5400" t="str">
        <f>"1552378074380457"</f>
        <v>1552378074380457</v>
      </c>
      <c r="C5400" t="s">
        <v>40</v>
      </c>
      <c r="D5400">
        <v>5.9495769999999997</v>
      </c>
      <c r="E5400">
        <v>0.5021061</v>
      </c>
      <c r="F5400" t="s">
        <v>47</v>
      </c>
      <c r="G5400">
        <v>-418.0213</v>
      </c>
      <c r="H5400" s="1">
        <v>-4.0348540000000001E-6</v>
      </c>
      <c r="I5400">
        <v>118.22</v>
      </c>
      <c r="J5400">
        <v>-414.97859999999997</v>
      </c>
      <c r="K5400">
        <v>1.116168</v>
      </c>
      <c r="L5400">
        <v>126.27249999999999</v>
      </c>
      <c r="M5400">
        <v>-0.52960369999999901</v>
      </c>
      <c r="N5400">
        <v>0</v>
      </c>
      <c r="O5400">
        <v>-0.84811309999999995</v>
      </c>
      <c r="P5400">
        <v>-0.49403419999999998</v>
      </c>
      <c r="Q5400">
        <v>2.1764940000000002E-3</v>
      </c>
      <c r="R5400">
        <v>-0.86944009999999905</v>
      </c>
      <c r="S5400">
        <v>-1.0878300000000001</v>
      </c>
      <c r="T5400">
        <v>-0.38292969999999998</v>
      </c>
      <c r="U5400">
        <v>-2.8378299999999999</v>
      </c>
      <c r="V5400">
        <v>-4.172244E-2</v>
      </c>
      <c r="W5400">
        <v>1.6510520000000001E-2</v>
      </c>
      <c r="X5400">
        <v>0.99899280000000001</v>
      </c>
      <c r="Y5400">
        <v>-0.1930269</v>
      </c>
      <c r="Z5400">
        <v>9.9678089999999997E-2</v>
      </c>
      <c r="AA5400">
        <v>0.97611729999999997</v>
      </c>
      <c r="AB5400">
        <v>26</v>
      </c>
      <c r="AC5400">
        <v>-3.0427000000000199</v>
      </c>
      <c r="AD5400">
        <v>-1.1161720348540001</v>
      </c>
      <c r="AE5400">
        <v>-8.0524999999999896</v>
      </c>
      <c r="AF5400">
        <v>-1.6564197707001</v>
      </c>
      <c r="AG5400">
        <v>-1.1161720348540001</v>
      </c>
      <c r="AH5400">
        <v>8.3022184705090698</v>
      </c>
      <c r="AI5400">
        <v>97.5107914691107</v>
      </c>
      <c r="AJ5400">
        <v>101.28322792238301</v>
      </c>
      <c r="AK5400">
        <v>8.5391099067887808</v>
      </c>
      <c r="AL5400">
        <v>89.053973889993898</v>
      </c>
      <c r="AM5400">
        <v>92.3915400278714</v>
      </c>
      <c r="AN5400">
        <v>0.99999998686103198</v>
      </c>
    </row>
    <row r="5401" spans="1:40" x14ac:dyDescent="0.25">
      <c r="A5401" t="str">
        <f>"20190312160754412"</f>
        <v>20190312160754412</v>
      </c>
      <c r="B5401" t="str">
        <f>"1552378074400951"</f>
        <v>1552378074400951</v>
      </c>
      <c r="C5401" t="s">
        <v>40</v>
      </c>
      <c r="D5401">
        <v>6.0420850000000002</v>
      </c>
      <c r="E5401">
        <v>0.57597100000000001</v>
      </c>
      <c r="F5401" t="s">
        <v>44</v>
      </c>
      <c r="G5401">
        <v>-415.3596</v>
      </c>
      <c r="H5401">
        <v>1.0127710000000001</v>
      </c>
      <c r="I5401">
        <v>125.6135</v>
      </c>
      <c r="J5401">
        <v>-415.10669999999999</v>
      </c>
      <c r="K5401">
        <v>1.116125</v>
      </c>
      <c r="L5401">
        <v>126.0488</v>
      </c>
      <c r="M5401">
        <v>-0.52202150000000003</v>
      </c>
      <c r="N5401">
        <v>0</v>
      </c>
      <c r="O5401">
        <v>-0.85280109999999998</v>
      </c>
      <c r="P5401">
        <v>-0.48674450000000002</v>
      </c>
      <c r="Q5401">
        <v>1.864358E-3</v>
      </c>
      <c r="R5401">
        <v>-0.87354270000000001</v>
      </c>
      <c r="S5401">
        <v>-1.501709</v>
      </c>
      <c r="T5401">
        <v>-0.40801670000000001</v>
      </c>
      <c r="U5401">
        <v>-2.598236</v>
      </c>
      <c r="V5401">
        <v>-4.1166260000000003E-2</v>
      </c>
      <c r="W5401">
        <v>1.6198710000000002E-2</v>
      </c>
      <c r="X5401">
        <v>0.99902100000000005</v>
      </c>
      <c r="Y5401">
        <v>-2.904992E-2</v>
      </c>
      <c r="Z5401">
        <v>0.1140202</v>
      </c>
      <c r="AA5401">
        <v>0.99305359999999998</v>
      </c>
      <c r="AB5401">
        <v>26</v>
      </c>
      <c r="AC5401">
        <v>-0.252900000000011</v>
      </c>
      <c r="AD5401">
        <v>-0.103354</v>
      </c>
      <c r="AE5401">
        <v>-0.43529999999999702</v>
      </c>
      <c r="AF5401">
        <v>-1.10961789614323E-2</v>
      </c>
      <c r="AG5401">
        <v>-0.103354</v>
      </c>
      <c r="AH5401">
        <v>0.48294497010418402</v>
      </c>
      <c r="AI5401">
        <v>102.076439476001</v>
      </c>
      <c r="AJ5401">
        <v>91.316200446602195</v>
      </c>
      <c r="AK5401">
        <v>0.49400507958165402</v>
      </c>
      <c r="AL5401">
        <v>89.071841697418904</v>
      </c>
      <c r="AM5401">
        <v>92.359629406965993</v>
      </c>
      <c r="AN5401">
        <v>1.00000000880452</v>
      </c>
    </row>
    <row r="5402" spans="1:40" x14ac:dyDescent="0.25">
      <c r="A5402" t="str">
        <f>"20190312160754435"</f>
        <v>20190312160754435</v>
      </c>
      <c r="B5402" t="str">
        <f>"1552378074431208"</f>
        <v>1552378074431208</v>
      </c>
      <c r="C5402" t="s">
        <v>40</v>
      </c>
      <c r="D5402">
        <v>5.9950900000000003</v>
      </c>
      <c r="E5402">
        <v>0.57532659999999902</v>
      </c>
      <c r="F5402" t="s">
        <v>44</v>
      </c>
      <c r="G5402">
        <v>-415.56450000000001</v>
      </c>
      <c r="H5402">
        <v>0.93332959999999998</v>
      </c>
      <c r="I5402">
        <v>125.5172</v>
      </c>
      <c r="J5402">
        <v>-415.22710000000001</v>
      </c>
      <c r="K5402">
        <v>1.116082</v>
      </c>
      <c r="L5402">
        <v>125.8342</v>
      </c>
      <c r="M5402">
        <v>-0.51476729999999904</v>
      </c>
      <c r="N5402">
        <v>0</v>
      </c>
      <c r="O5402">
        <v>-0.85719969999999901</v>
      </c>
      <c r="P5402">
        <v>-0.47969060000000002</v>
      </c>
      <c r="Q5402">
        <v>1.7578470000000001E-3</v>
      </c>
      <c r="R5402">
        <v>-0.87743599999999999</v>
      </c>
      <c r="S5402">
        <v>-1.998535</v>
      </c>
      <c r="T5402">
        <v>-0.79953350000000001</v>
      </c>
      <c r="U5402">
        <v>-2.3223720000000001</v>
      </c>
      <c r="V5402">
        <v>-4.0735680000000003E-2</v>
      </c>
      <c r="W5402">
        <v>1.6091910000000001E-2</v>
      </c>
      <c r="X5402">
        <v>0.99904040000000005</v>
      </c>
      <c r="Y5402">
        <v>0.1490957</v>
      </c>
      <c r="Z5402">
        <v>0.22734270000000001</v>
      </c>
      <c r="AA5402">
        <v>0.96233349999999995</v>
      </c>
      <c r="AB5402">
        <v>26</v>
      </c>
      <c r="AC5402">
        <v>-0.33740000000000198</v>
      </c>
      <c r="AD5402">
        <v>-0.18275240000000001</v>
      </c>
      <c r="AE5402">
        <v>-0.31699999999999301</v>
      </c>
      <c r="AF5402">
        <v>0.10905768933960699</v>
      </c>
      <c r="AG5402">
        <v>-0.18275240000000001</v>
      </c>
      <c r="AH5402">
        <v>0.38540701475103301</v>
      </c>
      <c r="AI5402">
        <v>114.525566017042</v>
      </c>
      <c r="AJ5402">
        <v>74.2002068697402</v>
      </c>
      <c r="AK5402">
        <v>0.44026195194356399</v>
      </c>
      <c r="AL5402">
        <v>89.077961706645993</v>
      </c>
      <c r="AM5402">
        <v>92.334930946718401</v>
      </c>
      <c r="AN5402">
        <v>1.00000003301233</v>
      </c>
    </row>
    <row r="5403" spans="1:40" x14ac:dyDescent="0.25">
      <c r="A5403" t="str">
        <f>"20190312160754456"</f>
        <v>20190312160754456</v>
      </c>
      <c r="B5403" t="str">
        <f>"1552378074450728"</f>
        <v>1552378074450728</v>
      </c>
      <c r="C5403" t="s">
        <v>40</v>
      </c>
      <c r="D5403">
        <v>6.0409169999999897</v>
      </c>
      <c r="E5403">
        <v>0.5743414</v>
      </c>
      <c r="F5403" t="s">
        <v>44</v>
      </c>
      <c r="G5403">
        <v>-415.80399999999997</v>
      </c>
      <c r="H5403">
        <v>0.88527289999999903</v>
      </c>
      <c r="I5403">
        <v>125.1511</v>
      </c>
      <c r="J5403">
        <v>-415.35129999999998</v>
      </c>
      <c r="K5403">
        <v>1.1160319999999999</v>
      </c>
      <c r="L5403">
        <v>125.608</v>
      </c>
      <c r="M5403">
        <v>-0.50715790000000005</v>
      </c>
      <c r="N5403">
        <v>0</v>
      </c>
      <c r="O5403">
        <v>-0.86172380000000004</v>
      </c>
      <c r="P5403">
        <v>-0.4724199</v>
      </c>
      <c r="Q5403">
        <v>1.3266560000000001E-3</v>
      </c>
      <c r="R5403">
        <v>-0.88137279999999996</v>
      </c>
      <c r="S5403">
        <v>-1.9758910000000001</v>
      </c>
      <c r="T5403">
        <v>-0.79147840000000003</v>
      </c>
      <c r="U5403">
        <v>-2.340408</v>
      </c>
      <c r="V5403">
        <v>-4.0141429999999999E-2</v>
      </c>
      <c r="W5403">
        <v>1.5661379999999999E-2</v>
      </c>
      <c r="X5403">
        <v>0.99907120000000005</v>
      </c>
      <c r="Y5403">
        <v>0.149036</v>
      </c>
      <c r="Z5403">
        <v>0.2262015</v>
      </c>
      <c r="AA5403">
        <v>0.96261160000000001</v>
      </c>
      <c r="AB5403">
        <v>26</v>
      </c>
      <c r="AC5403">
        <v>-0.45270000000004901</v>
      </c>
      <c r="AD5403">
        <v>-0.23075909999999999</v>
      </c>
      <c r="AE5403">
        <v>-0.45689999999998998</v>
      </c>
      <c r="AF5403">
        <v>0.140335896831145</v>
      </c>
      <c r="AG5403">
        <v>-0.23075909999999999</v>
      </c>
      <c r="AH5403">
        <v>0.55229186914649098</v>
      </c>
      <c r="AI5403">
        <v>112.045605554358</v>
      </c>
      <c r="AJ5403">
        <v>75.743019380162195</v>
      </c>
      <c r="AK5403">
        <v>0.61479283900964299</v>
      </c>
      <c r="AL5403">
        <v>89.102632282197305</v>
      </c>
      <c r="AM5403">
        <v>92.300835116512005</v>
      </c>
      <c r="AN5403">
        <v>0.99999993794769204</v>
      </c>
    </row>
    <row r="5404" spans="1:40" x14ac:dyDescent="0.25">
      <c r="A5404" t="str">
        <f>"20190312160754479"</f>
        <v>20190312160754479</v>
      </c>
      <c r="B5404" t="str">
        <f>"1552378074471224"</f>
        <v>1552378074471224</v>
      </c>
      <c r="C5404" t="s">
        <v>40</v>
      </c>
      <c r="D5404">
        <v>5.8874300000000002</v>
      </c>
      <c r="E5404">
        <v>0.57429449999999904</v>
      </c>
      <c r="F5404" t="s">
        <v>44</v>
      </c>
      <c r="G5404">
        <v>-415.90309999999999</v>
      </c>
      <c r="H5404">
        <v>0.89541689999999996</v>
      </c>
      <c r="I5404">
        <v>124.93980000000001</v>
      </c>
      <c r="J5404">
        <v>-415.47129999999999</v>
      </c>
      <c r="K5404">
        <v>1.1159889999999999</v>
      </c>
      <c r="L5404">
        <v>125.3849</v>
      </c>
      <c r="M5404">
        <v>-0.4996756</v>
      </c>
      <c r="N5404">
        <v>0</v>
      </c>
      <c r="O5404">
        <v>-0.86608399999999996</v>
      </c>
      <c r="P5404">
        <v>-0.46547169999999999</v>
      </c>
      <c r="Q5404">
        <v>8.9827560000000002E-4</v>
      </c>
      <c r="R5404">
        <v>-0.88506249999999997</v>
      </c>
      <c r="S5404">
        <v>-1.949219</v>
      </c>
      <c r="T5404">
        <v>-0.77906260000000005</v>
      </c>
      <c r="U5404">
        <v>-2.3601380000000001</v>
      </c>
      <c r="V5404">
        <v>-3.9340380000000001E-2</v>
      </c>
      <c r="W5404">
        <v>1.5238E-2</v>
      </c>
      <c r="X5404">
        <v>0.99910969999999999</v>
      </c>
      <c r="Y5404">
        <v>0.14766399999999999</v>
      </c>
      <c r="Z5404">
        <v>0.22379859999999999</v>
      </c>
      <c r="AA5404">
        <v>0.96338440000000003</v>
      </c>
      <c r="AB5404">
        <v>26</v>
      </c>
      <c r="AC5404">
        <v>-0.43180000000000901</v>
      </c>
      <c r="AD5404">
        <v>-0.22057209999999899</v>
      </c>
      <c r="AE5404">
        <v>-0.445099999999996</v>
      </c>
      <c r="AF5404">
        <v>0.134562590487353</v>
      </c>
      <c r="AG5404">
        <v>-0.22057209999999899</v>
      </c>
      <c r="AH5404">
        <v>0.53379013904611206</v>
      </c>
      <c r="AI5404">
        <v>111.835154970836</v>
      </c>
      <c r="AJ5404">
        <v>75.851164994433404</v>
      </c>
      <c r="AK5404">
        <v>0.59303545813040903</v>
      </c>
      <c r="AL5404">
        <v>89.126893144723297</v>
      </c>
      <c r="AM5404">
        <v>92.254881436390093</v>
      </c>
      <c r="AN5404">
        <v>1.0000000273883101</v>
      </c>
    </row>
    <row r="5405" spans="1:40" x14ac:dyDescent="0.25">
      <c r="A5405" t="str">
        <f>"20190312160754501"</f>
        <v>20190312160754501</v>
      </c>
      <c r="B5405" t="str">
        <f>"1552378074490744"</f>
        <v>1552378074490744</v>
      </c>
      <c r="C5405" t="s">
        <v>40</v>
      </c>
      <c r="D5405">
        <v>6.1215859999999997</v>
      </c>
      <c r="E5405">
        <v>0.57354179999999999</v>
      </c>
      <c r="F5405" t="s">
        <v>44</v>
      </c>
      <c r="G5405">
        <v>-416.0018</v>
      </c>
      <c r="H5405">
        <v>0.89920650000000002</v>
      </c>
      <c r="I5405">
        <v>124.7319</v>
      </c>
      <c r="J5405">
        <v>-415.58890000000002</v>
      </c>
      <c r="K5405">
        <v>1.1159460000000001</v>
      </c>
      <c r="L5405">
        <v>125.1618</v>
      </c>
      <c r="M5405">
        <v>-0.4922241</v>
      </c>
      <c r="N5405">
        <v>0</v>
      </c>
      <c r="O5405">
        <v>-0.87034080000000003</v>
      </c>
      <c r="P5405">
        <v>-0.45803319999999997</v>
      </c>
      <c r="Q5405">
        <v>8.71487E-4</v>
      </c>
      <c r="R5405">
        <v>-0.88893509999999998</v>
      </c>
      <c r="S5405">
        <v>-1.929352</v>
      </c>
      <c r="T5405">
        <v>-0.78958139999999999</v>
      </c>
      <c r="U5405">
        <v>-2.375702</v>
      </c>
      <c r="V5405">
        <v>-3.9142209999999997E-2</v>
      </c>
      <c r="W5405">
        <v>1.5206529999999999E-2</v>
      </c>
      <c r="X5405">
        <v>0.9991179</v>
      </c>
      <c r="Y5405">
        <v>0.14763799999999999</v>
      </c>
      <c r="Z5405">
        <v>0.2275973</v>
      </c>
      <c r="AA5405">
        <v>0.96249810000000002</v>
      </c>
      <c r="AB5405">
        <v>26</v>
      </c>
      <c r="AC5405">
        <v>-0.41289999999997901</v>
      </c>
      <c r="AD5405">
        <v>-0.216739499999999</v>
      </c>
      <c r="AE5405">
        <v>-0.429900000000003</v>
      </c>
      <c r="AF5405">
        <v>0.13051674476740999</v>
      </c>
      <c r="AG5405">
        <v>-0.216739499999999</v>
      </c>
      <c r="AH5405">
        <v>0.51002953176658805</v>
      </c>
      <c r="AI5405">
        <v>112.37641737358101</v>
      </c>
      <c r="AJ5405">
        <v>75.646020985912799</v>
      </c>
      <c r="AK5405">
        <v>0.56933360589286897</v>
      </c>
      <c r="AL5405">
        <v>89.128696397109806</v>
      </c>
      <c r="AM5405">
        <v>92.243516123683705</v>
      </c>
      <c r="AN5405">
        <v>0.99999996462936602</v>
      </c>
    </row>
    <row r="5406" spans="1:40" x14ac:dyDescent="0.25">
      <c r="A5406" t="str">
        <f>"20190312160754523"</f>
        <v>20190312160754523</v>
      </c>
      <c r="B5406" t="str">
        <f>"1552378074511240"</f>
        <v>1552378074511240</v>
      </c>
      <c r="C5406" t="s">
        <v>40</v>
      </c>
      <c r="D5406">
        <v>5.9418150000000001</v>
      </c>
      <c r="E5406">
        <v>0.57306979999999996</v>
      </c>
      <c r="F5406" t="s">
        <v>44</v>
      </c>
      <c r="G5406">
        <v>-416.09829999999999</v>
      </c>
      <c r="H5406">
        <v>0.90706260000000005</v>
      </c>
      <c r="I5406">
        <v>124.5214</v>
      </c>
      <c r="J5406">
        <v>-415.70319999999998</v>
      </c>
      <c r="K5406">
        <v>1.115899</v>
      </c>
      <c r="L5406">
        <v>124.9406</v>
      </c>
      <c r="M5406">
        <v>-0.48487429999999898</v>
      </c>
      <c r="N5406">
        <v>0</v>
      </c>
      <c r="O5406">
        <v>-0.87445689999999998</v>
      </c>
      <c r="P5406">
        <v>-0.44985180000000002</v>
      </c>
      <c r="Q5406">
        <v>1.4441370000000001E-3</v>
      </c>
      <c r="R5406">
        <v>-0.89310210000000001</v>
      </c>
      <c r="S5406">
        <v>-1.904663</v>
      </c>
      <c r="T5406">
        <v>-0.78114499999999998</v>
      </c>
      <c r="U5406">
        <v>-2.39418</v>
      </c>
      <c r="V5406">
        <v>-3.9904130000000003E-2</v>
      </c>
      <c r="W5406">
        <v>1.5760550000000002E-2</v>
      </c>
      <c r="X5406">
        <v>0.99907919999999995</v>
      </c>
      <c r="Y5406">
        <v>0.1465757</v>
      </c>
      <c r="Z5406">
        <v>0.22616230000000001</v>
      </c>
      <c r="AA5406">
        <v>0.96299860000000004</v>
      </c>
      <c r="AB5406">
        <v>26</v>
      </c>
      <c r="AC5406">
        <v>-0.395100000000013</v>
      </c>
      <c r="AD5406">
        <v>-0.20883639999999901</v>
      </c>
      <c r="AE5406">
        <v>-0.41920000000000301</v>
      </c>
      <c r="AF5406">
        <v>0.125729789302958</v>
      </c>
      <c r="AG5406">
        <v>-0.20883639999999901</v>
      </c>
      <c r="AH5406">
        <v>0.49336532373423397</v>
      </c>
      <c r="AI5406">
        <v>112.302444105399</v>
      </c>
      <c r="AJ5406">
        <v>75.7029939168319</v>
      </c>
      <c r="AK5406">
        <v>0.55029988601353697</v>
      </c>
      <c r="AL5406">
        <v>89.096949606092195</v>
      </c>
      <c r="AM5406">
        <v>92.287229697379104</v>
      </c>
      <c r="AN5406">
        <v>0.99999999119999905</v>
      </c>
    </row>
    <row r="5407" spans="1:40" x14ac:dyDescent="0.25">
      <c r="A5407" t="str">
        <f>"20190312160754546"</f>
        <v>20190312160754546</v>
      </c>
      <c r="B5407" t="str">
        <f>"1552378074540520"</f>
        <v>1552378074540520</v>
      </c>
      <c r="C5407" t="s">
        <v>40</v>
      </c>
      <c r="D5407">
        <v>6.124987</v>
      </c>
      <c r="E5407">
        <v>0.57216540000000005</v>
      </c>
      <c r="F5407" t="s">
        <v>44</v>
      </c>
      <c r="G5407">
        <v>-416.19349999999997</v>
      </c>
      <c r="H5407">
        <v>0.9115067</v>
      </c>
      <c r="I5407">
        <v>124.31229999999999</v>
      </c>
      <c r="J5407">
        <v>-415.81990000000002</v>
      </c>
      <c r="K5407">
        <v>1.115848</v>
      </c>
      <c r="L5407">
        <v>124.7098</v>
      </c>
      <c r="M5407">
        <v>-0.47724179999999999</v>
      </c>
      <c r="N5407">
        <v>0</v>
      </c>
      <c r="O5407">
        <v>-0.87864599999999904</v>
      </c>
      <c r="P5407">
        <v>-0.44196469999999999</v>
      </c>
      <c r="Q5407">
        <v>7.4489740000000004E-4</v>
      </c>
      <c r="R5407">
        <v>-0.89703239999999995</v>
      </c>
      <c r="S5407">
        <v>-1.88147</v>
      </c>
      <c r="T5407">
        <v>-0.78564639999999997</v>
      </c>
      <c r="U5407">
        <v>-2.4126889999999999</v>
      </c>
      <c r="V5407">
        <v>-3.999602E-2</v>
      </c>
      <c r="W5407">
        <v>1.5052050000000001E-2</v>
      </c>
      <c r="X5407">
        <v>0.99908640000000004</v>
      </c>
      <c r="Y5407">
        <v>0.14557729999999999</v>
      </c>
      <c r="Z5407">
        <v>0.2281987</v>
      </c>
      <c r="AA5407">
        <v>0.96266949999999996</v>
      </c>
      <c r="AB5407">
        <v>26</v>
      </c>
      <c r="AC5407">
        <v>-0.37359999999995303</v>
      </c>
      <c r="AD5407">
        <v>-0.2043413</v>
      </c>
      <c r="AE5407">
        <v>-0.39750000000000801</v>
      </c>
      <c r="AF5407">
        <v>0.121522460606063</v>
      </c>
      <c r="AG5407">
        <v>-0.2043413</v>
      </c>
      <c r="AH5407">
        <v>0.46269476744350502</v>
      </c>
      <c r="AI5407">
        <v>113.12957632657999</v>
      </c>
      <c r="AJ5407">
        <v>75.284156493906806</v>
      </c>
      <c r="AK5407">
        <v>0.52020142554307003</v>
      </c>
      <c r="AL5407">
        <v>89.137548441575603</v>
      </c>
      <c r="AM5407">
        <v>92.292474542905694</v>
      </c>
      <c r="AN5407">
        <v>0.99999994024499905</v>
      </c>
    </row>
    <row r="5408" spans="1:40" x14ac:dyDescent="0.25">
      <c r="A5408" t="str">
        <f>"20190312160754568"</f>
        <v>20190312160754568</v>
      </c>
      <c r="B5408" t="str">
        <f>"1552378074561016"</f>
        <v>1552378074561016</v>
      </c>
      <c r="C5408" t="s">
        <v>40</v>
      </c>
      <c r="D5408">
        <v>6.1294230000000001</v>
      </c>
      <c r="E5408">
        <v>0.57192679999999996</v>
      </c>
      <c r="F5408" t="s">
        <v>44</v>
      </c>
      <c r="G5408">
        <v>-416.28469999999999</v>
      </c>
      <c r="H5408">
        <v>0.91950670000000001</v>
      </c>
      <c r="I5408">
        <v>124.0998</v>
      </c>
      <c r="J5408">
        <v>-415.93360000000001</v>
      </c>
      <c r="K5408">
        <v>1.115796</v>
      </c>
      <c r="L5408">
        <v>124.4806</v>
      </c>
      <c r="M5408">
        <v>-0.46970450000000002</v>
      </c>
      <c r="N5408">
        <v>0</v>
      </c>
      <c r="O5408">
        <v>-0.88269830000000005</v>
      </c>
      <c r="P5408">
        <v>-0.43479679999999998</v>
      </c>
      <c r="Q5408">
        <v>-6.4349640000000005E-4</v>
      </c>
      <c r="R5408">
        <v>-0.90052849999999995</v>
      </c>
      <c r="S5408">
        <v>-1.852722</v>
      </c>
      <c r="T5408">
        <v>-0.78307559999999998</v>
      </c>
      <c r="U5408">
        <v>-2.4321440000000001</v>
      </c>
      <c r="V5408">
        <v>-3.9391299999999997E-2</v>
      </c>
      <c r="W5408">
        <v>1.366555E-2</v>
      </c>
      <c r="X5408">
        <v>0.99913039999999997</v>
      </c>
      <c r="Y5408">
        <v>0.1431721</v>
      </c>
      <c r="Z5408">
        <v>0.22834199999999999</v>
      </c>
      <c r="AA5408">
        <v>0.96299619999999997</v>
      </c>
      <c r="AB5408">
        <v>26</v>
      </c>
      <c r="AC5408">
        <v>-0.35109999999997399</v>
      </c>
      <c r="AD5408">
        <v>-0.1962893</v>
      </c>
      <c r="AE5408">
        <v>-0.38079999999999298</v>
      </c>
      <c r="AF5408">
        <v>0.114606930227691</v>
      </c>
      <c r="AG5408">
        <v>-0.1962893</v>
      </c>
      <c r="AH5408">
        <v>0.43817145995632201</v>
      </c>
      <c r="AI5408">
        <v>113.431629993607</v>
      </c>
      <c r="AJ5408">
        <v>75.342240314709798</v>
      </c>
      <c r="AK5408">
        <v>0.49361773273552401</v>
      </c>
      <c r="AL5408">
        <v>89.216997279761202</v>
      </c>
      <c r="AM5408">
        <v>92.257750282348198</v>
      </c>
      <c r="AN5408">
        <v>0.99999998898832598</v>
      </c>
    </row>
    <row r="5409" spans="1:40" x14ac:dyDescent="0.25">
      <c r="A5409" t="str">
        <f>"20190312160754592"</f>
        <v>20190312160754592</v>
      </c>
      <c r="B5409" t="str">
        <f>"1552378074580536"</f>
        <v>1552378074580536</v>
      </c>
      <c r="C5409" t="s">
        <v>40</v>
      </c>
      <c r="D5409">
        <v>6.0392830000000002</v>
      </c>
      <c r="E5409">
        <v>0.56949959999999999</v>
      </c>
      <c r="F5409" t="s">
        <v>44</v>
      </c>
      <c r="G5409">
        <v>-416.37560000000002</v>
      </c>
      <c r="H5409">
        <v>0.92392370000000001</v>
      </c>
      <c r="I5409">
        <v>123.8896</v>
      </c>
      <c r="J5409">
        <v>-416.0437</v>
      </c>
      <c r="K5409">
        <v>1.115747</v>
      </c>
      <c r="L5409">
        <v>124.2538</v>
      </c>
      <c r="M5409">
        <v>-0.462287</v>
      </c>
      <c r="N5409">
        <v>0</v>
      </c>
      <c r="O5409">
        <v>-0.8866058</v>
      </c>
      <c r="P5409">
        <v>-0.42806440000000001</v>
      </c>
      <c r="Q5409">
        <v>-3.5891729999999999E-4</v>
      </c>
      <c r="R5409">
        <v>-0.90374840000000001</v>
      </c>
      <c r="S5409">
        <v>-1.829407</v>
      </c>
      <c r="T5409">
        <v>-0.79506730000000003</v>
      </c>
      <c r="U5409">
        <v>-2.4475709999999999</v>
      </c>
      <c r="V5409">
        <v>-3.8472119999999999E-2</v>
      </c>
      <c r="W5409">
        <v>1.395544E-2</v>
      </c>
      <c r="X5409">
        <v>0.9991622</v>
      </c>
      <c r="Y5409">
        <v>0.142064</v>
      </c>
      <c r="Z5409">
        <v>0.23252880000000001</v>
      </c>
      <c r="AA5409">
        <v>0.96215810000000002</v>
      </c>
      <c r="AB5409">
        <v>26</v>
      </c>
      <c r="AC5409">
        <v>-0.33190000000001801</v>
      </c>
      <c r="AD5409">
        <v>-0.1918233</v>
      </c>
      <c r="AE5409">
        <v>-0.36419999999999603</v>
      </c>
      <c r="AF5409">
        <v>0.109342597511301</v>
      </c>
      <c r="AG5409">
        <v>-0.1918233</v>
      </c>
      <c r="AH5409">
        <v>0.41369248894153698</v>
      </c>
      <c r="AI5409">
        <v>114.14628351430601</v>
      </c>
      <c r="AJ5409">
        <v>75.194779325446007</v>
      </c>
      <c r="AK5409">
        <v>0.468927987499202</v>
      </c>
      <c r="AL5409">
        <v>89.200386214714896</v>
      </c>
      <c r="AM5409">
        <v>92.205049112311897</v>
      </c>
      <c r="AN5409">
        <v>0.999999980115863</v>
      </c>
    </row>
    <row r="5410" spans="1:40" x14ac:dyDescent="0.25">
      <c r="A5410" t="str">
        <f>"20190312160754613"</f>
        <v>20190312160754613</v>
      </c>
      <c r="B5410" t="str">
        <f>"1552378074610792"</f>
        <v>1552378074610792</v>
      </c>
      <c r="C5410" t="s">
        <v>40</v>
      </c>
      <c r="D5410">
        <v>5.7987590000000004</v>
      </c>
      <c r="E5410">
        <v>0.56551619999999903</v>
      </c>
      <c r="F5410" t="s">
        <v>44</v>
      </c>
      <c r="G5410">
        <v>-416.46249999999998</v>
      </c>
      <c r="H5410">
        <v>0.92947749999999996</v>
      </c>
      <c r="I5410">
        <v>123.67740000000001</v>
      </c>
      <c r="J5410">
        <v>-416.15260000000001</v>
      </c>
      <c r="K5410">
        <v>1.1156919999999999</v>
      </c>
      <c r="L5410">
        <v>124.0248</v>
      </c>
      <c r="M5410">
        <v>-0.45484570000000002</v>
      </c>
      <c r="N5410">
        <v>0</v>
      </c>
      <c r="O5410">
        <v>-0.89044650000000003</v>
      </c>
      <c r="P5410">
        <v>-0.42073260000000001</v>
      </c>
      <c r="Q5410">
        <v>-3.7707460000000002E-4</v>
      </c>
      <c r="R5410">
        <v>-0.90718500000000002</v>
      </c>
      <c r="S5410">
        <v>-1.7940670000000001</v>
      </c>
      <c r="T5410">
        <v>-0.79827230000000005</v>
      </c>
      <c r="U5410">
        <v>-2.4694210000000001</v>
      </c>
      <c r="V5410">
        <v>-3.8192450000000003E-2</v>
      </c>
      <c r="W5410">
        <v>1.3934459999999999E-2</v>
      </c>
      <c r="X5410">
        <v>0.99917319999999998</v>
      </c>
      <c r="Y5410">
        <v>0.13709399999999999</v>
      </c>
      <c r="Z5410">
        <v>0.2341734</v>
      </c>
      <c r="AA5410">
        <v>0.96248020000000001</v>
      </c>
      <c r="AB5410">
        <v>26</v>
      </c>
      <c r="AC5410">
        <v>-0.30989999999996998</v>
      </c>
      <c r="AD5410">
        <v>-0.18621449999999901</v>
      </c>
      <c r="AE5410">
        <v>-0.34739999999999299</v>
      </c>
      <c r="AF5410">
        <v>0.101680199852885</v>
      </c>
      <c r="AG5410">
        <v>-0.18621449999999901</v>
      </c>
      <c r="AH5410">
        <v>0.38823073508081601</v>
      </c>
      <c r="AI5410">
        <v>114.891250548051</v>
      </c>
      <c r="AJ5410">
        <v>75.323507201200499</v>
      </c>
      <c r="AK5410">
        <v>0.44242265619401</v>
      </c>
      <c r="AL5410">
        <v>89.201588379433403</v>
      </c>
      <c r="AM5410">
        <v>92.189011259346003</v>
      </c>
      <c r="AN5410">
        <v>0.99999995800536601</v>
      </c>
    </row>
    <row r="5411" spans="1:40" x14ac:dyDescent="0.25">
      <c r="A5411" t="str">
        <f>"20190312160754637"</f>
        <v>20190312160754637</v>
      </c>
      <c r="B5411" t="str">
        <f>"1552378074631288"</f>
        <v>1552378074631288</v>
      </c>
      <c r="C5411" t="s">
        <v>40</v>
      </c>
      <c r="D5411">
        <v>5.7463559999999996</v>
      </c>
      <c r="E5411">
        <v>0.56315490000000001</v>
      </c>
      <c r="F5411" t="s">
        <v>44</v>
      </c>
      <c r="G5411">
        <v>-416.54649999999998</v>
      </c>
      <c r="H5411">
        <v>0.9393302</v>
      </c>
      <c r="I5411">
        <v>123.4622</v>
      </c>
      <c r="J5411">
        <v>-416.25779999999997</v>
      </c>
      <c r="K5411">
        <v>1.1156299999999999</v>
      </c>
      <c r="L5411">
        <v>123.7983</v>
      </c>
      <c r="M5411">
        <v>-0.44752750000000002</v>
      </c>
      <c r="N5411">
        <v>0</v>
      </c>
      <c r="O5411">
        <v>-0.89414729999999998</v>
      </c>
      <c r="P5411">
        <v>-0.4137323</v>
      </c>
      <c r="Q5411">
        <v>-6.1837510000000004E-4</v>
      </c>
      <c r="R5411">
        <v>-0.91039899999999996</v>
      </c>
      <c r="S5411">
        <v>-1.746216</v>
      </c>
      <c r="T5411">
        <v>-0.78372159999999902</v>
      </c>
      <c r="U5411">
        <v>-2.4967649999999999</v>
      </c>
      <c r="V5411">
        <v>-3.76885E-2</v>
      </c>
      <c r="W5411">
        <v>1.3682720000000001E-2</v>
      </c>
      <c r="X5411">
        <v>0.99919590000000003</v>
      </c>
      <c r="Y5411">
        <v>0.12846299999999999</v>
      </c>
      <c r="Z5411">
        <v>0.23080870000000001</v>
      </c>
      <c r="AA5411">
        <v>0.96448149999999999</v>
      </c>
      <c r="AB5411">
        <v>26</v>
      </c>
      <c r="AC5411">
        <v>-0.28870000000000501</v>
      </c>
      <c r="AD5411">
        <v>-0.17629979999999901</v>
      </c>
      <c r="AE5411">
        <v>-0.33610000000000101</v>
      </c>
      <c r="AF5411">
        <v>9.3011754792172802E-2</v>
      </c>
      <c r="AG5411">
        <v>-0.17629979999999901</v>
      </c>
      <c r="AH5411">
        <v>0.37102713230788797</v>
      </c>
      <c r="AI5411">
        <v>114.745210007219</v>
      </c>
      <c r="AJ5411">
        <v>75.926704694524304</v>
      </c>
      <c r="AK5411">
        <v>0.42118159850374998</v>
      </c>
      <c r="AL5411">
        <v>89.216013461747593</v>
      </c>
      <c r="AM5411">
        <v>92.160105737541599</v>
      </c>
      <c r="AN5411">
        <v>1.00000004321782</v>
      </c>
    </row>
    <row r="5412" spans="1:40" x14ac:dyDescent="0.25">
      <c r="A5412" t="str">
        <f>"20190312160754658"</f>
        <v>20190312160754658</v>
      </c>
      <c r="B5412" t="str">
        <f>"1552378074650809"</f>
        <v>1552378074650809</v>
      </c>
      <c r="C5412" t="s">
        <v>40</v>
      </c>
      <c r="D5412">
        <v>5.6558250000000001</v>
      </c>
      <c r="E5412">
        <v>0.56106049999999996</v>
      </c>
      <c r="F5412" t="s">
        <v>44</v>
      </c>
      <c r="G5412">
        <v>-416.74599999999998</v>
      </c>
      <c r="H5412">
        <v>0.89504119999999998</v>
      </c>
      <c r="I5412">
        <v>123.0795</v>
      </c>
      <c r="J5412">
        <v>-416.36169999999998</v>
      </c>
      <c r="K5412">
        <v>1.1155679999999999</v>
      </c>
      <c r="L5412">
        <v>123.5702</v>
      </c>
      <c r="M5412">
        <v>-0.44020700000000001</v>
      </c>
      <c r="N5412">
        <v>0</v>
      </c>
      <c r="O5412">
        <v>-0.89777450000000003</v>
      </c>
      <c r="P5412">
        <v>-0.40649279999999999</v>
      </c>
      <c r="Q5412">
        <v>-1.37968799999999E-3</v>
      </c>
      <c r="R5412">
        <v>-0.9136531</v>
      </c>
      <c r="S5412">
        <v>-1.7092590000000001</v>
      </c>
      <c r="T5412">
        <v>-0.77341199999999999</v>
      </c>
      <c r="U5412">
        <v>-2.5179900000000002</v>
      </c>
      <c r="V5412">
        <v>-3.744256E-2</v>
      </c>
      <c r="W5412">
        <v>1.289648E-2</v>
      </c>
      <c r="X5412">
        <v>0.99921550000000003</v>
      </c>
      <c r="Y5412">
        <v>0.1234729</v>
      </c>
      <c r="Z5412">
        <v>0.22865959999999999</v>
      </c>
      <c r="AA5412">
        <v>0.96564450000000002</v>
      </c>
      <c r="AB5412">
        <v>25</v>
      </c>
      <c r="AC5412">
        <v>-0.38429999999999598</v>
      </c>
      <c r="AD5412">
        <v>-0.2205268</v>
      </c>
      <c r="AE5412">
        <v>-0.49070000000000302</v>
      </c>
      <c r="AF5412">
        <v>0.114664662876831</v>
      </c>
      <c r="AG5412">
        <v>-0.2205268</v>
      </c>
      <c r="AH5412">
        <v>0.54193282657408803</v>
      </c>
      <c r="AI5412">
        <v>111.70812696471999</v>
      </c>
      <c r="AJ5412">
        <v>78.053290242913604</v>
      </c>
      <c r="AK5412">
        <v>0.59621409153883498</v>
      </c>
      <c r="AL5412">
        <v>89.261065596936106</v>
      </c>
      <c r="AM5412">
        <v>92.145980923082206</v>
      </c>
      <c r="AN5412">
        <v>0.99999993996799497</v>
      </c>
    </row>
    <row r="5413" spans="1:40" x14ac:dyDescent="0.25">
      <c r="A5413" t="str">
        <f>"20190312160754681"</f>
        <v>20190312160754681</v>
      </c>
      <c r="B5413" t="str">
        <f>"1552378074671304"</f>
        <v>1552378074671304</v>
      </c>
      <c r="C5413" t="s">
        <v>40</v>
      </c>
      <c r="D5413">
        <v>5.7305409999999997</v>
      </c>
      <c r="E5413">
        <v>0.55964369999999997</v>
      </c>
      <c r="F5413" t="s">
        <v>44</v>
      </c>
      <c r="G5413">
        <v>-416.82679999999999</v>
      </c>
      <c r="H5413">
        <v>0.90270810000000001</v>
      </c>
      <c r="I5413">
        <v>122.8653</v>
      </c>
      <c r="J5413">
        <v>-416.46370000000002</v>
      </c>
      <c r="K5413">
        <v>1.11551</v>
      </c>
      <c r="L5413">
        <v>123.34139999999999</v>
      </c>
      <c r="M5413">
        <v>-0.4329057</v>
      </c>
      <c r="N5413">
        <v>0</v>
      </c>
      <c r="O5413">
        <v>-0.90131850000000002</v>
      </c>
      <c r="P5413">
        <v>-0.3989374</v>
      </c>
      <c r="Q5413">
        <v>-1.28206E-3</v>
      </c>
      <c r="R5413">
        <v>-0.91697779999999995</v>
      </c>
      <c r="S5413">
        <v>-1.6732479999999901</v>
      </c>
      <c r="T5413">
        <v>-0.76706180000000002</v>
      </c>
      <c r="U5413">
        <v>-2.5379179999999999</v>
      </c>
      <c r="V5413">
        <v>-3.7579269999999998E-2</v>
      </c>
      <c r="W5413">
        <v>1.295894E-2</v>
      </c>
      <c r="X5413">
        <v>0.99920960000000003</v>
      </c>
      <c r="Y5413">
        <v>0.1186994</v>
      </c>
      <c r="Z5413">
        <v>0.22760140000000001</v>
      </c>
      <c r="AA5413">
        <v>0.96649269999999998</v>
      </c>
      <c r="AB5413">
        <v>25</v>
      </c>
      <c r="AC5413">
        <v>-0.363099999999974</v>
      </c>
      <c r="AD5413">
        <v>-0.21280189999999999</v>
      </c>
      <c r="AE5413">
        <v>-0.47609999999998798</v>
      </c>
      <c r="AF5413">
        <v>0.107586064944237</v>
      </c>
      <c r="AG5413">
        <v>-0.21280189999999999</v>
      </c>
      <c r="AH5413">
        <v>0.52061004884350004</v>
      </c>
      <c r="AI5413">
        <v>111.81606506037799</v>
      </c>
      <c r="AJ5413">
        <v>78.323967065037095</v>
      </c>
      <c r="AK5413">
        <v>0.57262049646395596</v>
      </c>
      <c r="AL5413">
        <v>89.257486633120394</v>
      </c>
      <c r="AM5413">
        <v>92.153821652503893</v>
      </c>
      <c r="AN5413">
        <v>0.99999998019590797</v>
      </c>
    </row>
    <row r="5414" spans="1:40" x14ac:dyDescent="0.25">
      <c r="A5414" t="str">
        <f>"20190312160754702"</f>
        <v>20190312160754702</v>
      </c>
      <c r="B5414" t="str">
        <f>"1552378074690825"</f>
        <v>1552378074690825</v>
      </c>
      <c r="C5414" t="s">
        <v>40</v>
      </c>
      <c r="D5414">
        <v>5.5208110000000001</v>
      </c>
      <c r="E5414">
        <v>0.55860849999999995</v>
      </c>
      <c r="F5414" t="s">
        <v>44</v>
      </c>
      <c r="G5414">
        <v>-416.9067</v>
      </c>
      <c r="H5414">
        <v>0.90884949999999998</v>
      </c>
      <c r="I5414">
        <v>122.6519</v>
      </c>
      <c r="J5414">
        <v>-416.56049999999999</v>
      </c>
      <c r="K5414">
        <v>1.115459</v>
      </c>
      <c r="L5414">
        <v>123.1195</v>
      </c>
      <c r="M5414">
        <v>-0.42585620000000002</v>
      </c>
      <c r="N5414">
        <v>0</v>
      </c>
      <c r="O5414">
        <v>-0.90467089999999994</v>
      </c>
      <c r="P5414">
        <v>-0.39189590000000002</v>
      </c>
      <c r="Q5414">
        <v>-9.0839200000000005E-4</v>
      </c>
      <c r="R5414">
        <v>-0.92000919999999997</v>
      </c>
      <c r="S5414">
        <v>-1.641815</v>
      </c>
      <c r="T5414">
        <v>-0.766482199999999</v>
      </c>
      <c r="U5414">
        <v>-2.5562589999999998</v>
      </c>
      <c r="V5414">
        <v>-3.7441410000000001E-2</v>
      </c>
      <c r="W5414">
        <v>1.3303189999999999E-2</v>
      </c>
      <c r="X5414">
        <v>0.9992103</v>
      </c>
      <c r="Y5414">
        <v>0.1148658</v>
      </c>
      <c r="Z5414">
        <v>0.2280557</v>
      </c>
      <c r="AA5414">
        <v>0.96684870000000001</v>
      </c>
      <c r="AB5414">
        <v>25</v>
      </c>
      <c r="AC5414">
        <v>-0.34620000000001</v>
      </c>
      <c r="AD5414">
        <v>-0.206609499999999</v>
      </c>
      <c r="AE5414">
        <v>-0.46760000000000401</v>
      </c>
      <c r="AF5414">
        <v>0.101304020859974</v>
      </c>
      <c r="AG5414">
        <v>-0.206609499999999</v>
      </c>
      <c r="AH5414">
        <v>0.506628451292502</v>
      </c>
      <c r="AI5414">
        <v>111.796297616692</v>
      </c>
      <c r="AJ5414">
        <v>78.692423932124896</v>
      </c>
      <c r="AK5414">
        <v>0.55643721819418801</v>
      </c>
      <c r="AL5414">
        <v>89.237760896932599</v>
      </c>
      <c r="AM5414">
        <v>92.145926230800598</v>
      </c>
      <c r="AN5414">
        <v>1.0000000288365201</v>
      </c>
    </row>
    <row r="5415" spans="1:40" x14ac:dyDescent="0.25">
      <c r="A5415" t="str">
        <f>"20190312160754724"</f>
        <v>20190312160754724</v>
      </c>
      <c r="B5415" t="str">
        <f>"1552378074721080"</f>
        <v>1552378074721080</v>
      </c>
      <c r="C5415" t="s">
        <v>40</v>
      </c>
      <c r="D5415">
        <v>5.5001939999999996</v>
      </c>
      <c r="E5415">
        <v>0.55637309999999995</v>
      </c>
      <c r="F5415" t="s">
        <v>44</v>
      </c>
      <c r="G5415">
        <v>-416.98739999999998</v>
      </c>
      <c r="H5415">
        <v>0.9132981</v>
      </c>
      <c r="I5415">
        <v>122.43980000000001</v>
      </c>
      <c r="J5415">
        <v>-416.6601</v>
      </c>
      <c r="K5415">
        <v>1.1154090000000001</v>
      </c>
      <c r="L5415">
        <v>122.8865</v>
      </c>
      <c r="M5415">
        <v>-0.41849769999999997</v>
      </c>
      <c r="N5415">
        <v>0</v>
      </c>
      <c r="O5415">
        <v>-0.90809910000000005</v>
      </c>
      <c r="P5415">
        <v>-0.38435799999999998</v>
      </c>
      <c r="Q5415">
        <v>-1.0876830000000001E-3</v>
      </c>
      <c r="R5415">
        <v>-0.92318359999999999</v>
      </c>
      <c r="S5415">
        <v>-1.6149290000000001</v>
      </c>
      <c r="T5415">
        <v>-0.76542379999999999</v>
      </c>
      <c r="U5415">
        <v>-2.5721590000000001</v>
      </c>
      <c r="V5415">
        <v>-3.7497740000000002E-2</v>
      </c>
      <c r="W5415">
        <v>1.309245E-2</v>
      </c>
      <c r="X5415">
        <v>0.99921099999999996</v>
      </c>
      <c r="Y5415">
        <v>0.1129822</v>
      </c>
      <c r="Z5415">
        <v>0.22844220000000001</v>
      </c>
      <c r="AA5415">
        <v>0.96697940000000004</v>
      </c>
      <c r="AB5415">
        <v>25</v>
      </c>
      <c r="AC5415">
        <v>-0.327299999999979</v>
      </c>
      <c r="AD5415">
        <v>-0.20211090000000001</v>
      </c>
      <c r="AE5415">
        <v>-0.44669999999999199</v>
      </c>
      <c r="AF5415">
        <v>9.7325740122583396E-2</v>
      </c>
      <c r="AG5415">
        <v>-0.20211090000000001</v>
      </c>
      <c r="AH5415">
        <v>0.47889103514037901</v>
      </c>
      <c r="AI5415">
        <v>112.469238483211</v>
      </c>
      <c r="AJ5415">
        <v>78.512148934877203</v>
      </c>
      <c r="AK5415">
        <v>0.52882675719657202</v>
      </c>
      <c r="AL5415">
        <v>89.249836482508698</v>
      </c>
      <c r="AM5415">
        <v>92.149150212981993</v>
      </c>
      <c r="AN5415">
        <v>1.00000005763655</v>
      </c>
    </row>
    <row r="5416" spans="1:40" x14ac:dyDescent="0.25">
      <c r="A5416" t="str">
        <f>"20190312160754747"</f>
        <v>20190312160754747</v>
      </c>
      <c r="B5416" t="str">
        <f>"1552378074740604"</f>
        <v>1552378074740604</v>
      </c>
      <c r="C5416" t="s">
        <v>40</v>
      </c>
      <c r="D5416">
        <v>5.5091039999999998</v>
      </c>
      <c r="E5416">
        <v>0.55519719999999995</v>
      </c>
      <c r="F5416" t="s">
        <v>44</v>
      </c>
      <c r="G5416">
        <v>-417.06349999999998</v>
      </c>
      <c r="H5416">
        <v>0.9223211</v>
      </c>
      <c r="I5416">
        <v>122.22410000000001</v>
      </c>
      <c r="J5416">
        <v>-416.755</v>
      </c>
      <c r="K5416">
        <v>1.1153569999999999</v>
      </c>
      <c r="L5416">
        <v>122.65940000000001</v>
      </c>
      <c r="M5416">
        <v>-0.41136440000000002</v>
      </c>
      <c r="N5416">
        <v>0</v>
      </c>
      <c r="O5416">
        <v>-0.91135350000000004</v>
      </c>
      <c r="P5416">
        <v>-0.37753609999999999</v>
      </c>
      <c r="Q5416">
        <v>-1.17413E-3</v>
      </c>
      <c r="R5416">
        <v>-0.92599450000000005</v>
      </c>
      <c r="S5416">
        <v>-1.5772090000000001</v>
      </c>
      <c r="T5416">
        <v>-0.7562854</v>
      </c>
      <c r="U5416">
        <v>-2.5920869999999998</v>
      </c>
      <c r="V5416">
        <v>-3.7031809999999998E-2</v>
      </c>
      <c r="W5416">
        <v>1.298326E-2</v>
      </c>
      <c r="X5416">
        <v>0.9992297</v>
      </c>
      <c r="Y5416">
        <v>0.1075144</v>
      </c>
      <c r="Z5416">
        <v>0.2264525</v>
      </c>
      <c r="AA5416">
        <v>0.96807019999999999</v>
      </c>
      <c r="AB5416">
        <v>25</v>
      </c>
      <c r="AC5416">
        <v>-0.30849999999998001</v>
      </c>
      <c r="AD5416">
        <v>-0.19303590000000001</v>
      </c>
      <c r="AE5416">
        <v>-0.43529999999999702</v>
      </c>
      <c r="AF5416">
        <v>9.0278733536350006E-2</v>
      </c>
      <c r="AG5416">
        <v>-0.19303590000000001</v>
      </c>
      <c r="AH5416">
        <v>0.46305810031161798</v>
      </c>
      <c r="AI5416">
        <v>112.252813365523</v>
      </c>
      <c r="AJ5416">
        <v>78.967888472697197</v>
      </c>
      <c r="AK5416">
        <v>0.50974102511171404</v>
      </c>
      <c r="AL5416">
        <v>89.256093065001195</v>
      </c>
      <c r="AM5416">
        <v>92.122430734599703</v>
      </c>
      <c r="AN5416">
        <v>0.99999995667709596</v>
      </c>
    </row>
    <row r="5417" spans="1:40" x14ac:dyDescent="0.25">
      <c r="A5417" t="str">
        <f>"20190312160754769"</f>
        <v>20190312160754769</v>
      </c>
      <c r="B5417" t="str">
        <f>"1552378074761100"</f>
        <v>1552378074761100</v>
      </c>
      <c r="C5417" t="s">
        <v>40</v>
      </c>
      <c r="D5417">
        <v>5.5391240000000002</v>
      </c>
      <c r="E5417">
        <v>0.55484100000000003</v>
      </c>
      <c r="F5417" t="s">
        <v>44</v>
      </c>
      <c r="G5417">
        <v>-417.14080000000001</v>
      </c>
      <c r="H5417">
        <v>0.92856099999999997</v>
      </c>
      <c r="I5417">
        <v>122.0106</v>
      </c>
      <c r="J5417">
        <v>-416.84969999999998</v>
      </c>
      <c r="K5417">
        <v>1.1153059999999999</v>
      </c>
      <c r="L5417">
        <v>122.4282</v>
      </c>
      <c r="M5417">
        <v>-0.40414529999999999</v>
      </c>
      <c r="N5417">
        <v>0</v>
      </c>
      <c r="O5417">
        <v>-0.91457809999999995</v>
      </c>
      <c r="P5417">
        <v>-0.37012129999999999</v>
      </c>
      <c r="Q5417">
        <v>-3.2591679999999999E-4</v>
      </c>
      <c r="R5417">
        <v>-0.92898349999999996</v>
      </c>
      <c r="S5417">
        <v>-1.549194</v>
      </c>
      <c r="T5417">
        <v>-0.7513417</v>
      </c>
      <c r="U5417">
        <v>-2.6071620000000002</v>
      </c>
      <c r="V5417">
        <v>-3.7128120000000001E-2</v>
      </c>
      <c r="W5417">
        <v>1.3802389999999999E-2</v>
      </c>
      <c r="X5417">
        <v>0.99921519999999997</v>
      </c>
      <c r="Y5417">
        <v>0.1053674</v>
      </c>
      <c r="Z5417">
        <v>0.2257122</v>
      </c>
      <c r="AA5417">
        <v>0.96847910000000004</v>
      </c>
      <c r="AB5417">
        <v>25</v>
      </c>
      <c r="AC5417">
        <v>-0.291100000000028</v>
      </c>
      <c r="AD5417">
        <v>-0.186744999999999</v>
      </c>
      <c r="AE5417">
        <v>-0.41760000000000702</v>
      </c>
      <c r="AF5417">
        <v>8.5911062272334998E-2</v>
      </c>
      <c r="AG5417">
        <v>-0.186744999999999</v>
      </c>
      <c r="AH5417">
        <v>0.44036351993190498</v>
      </c>
      <c r="AI5417">
        <v>112.598212062858</v>
      </c>
      <c r="AJ5417">
        <v>78.960755277618901</v>
      </c>
      <c r="AK5417">
        <v>0.48597781362175202</v>
      </c>
      <c r="AL5417">
        <v>89.209156201956105</v>
      </c>
      <c r="AM5417">
        <v>92.127976401942007</v>
      </c>
      <c r="AN5417">
        <v>1.0000000095877399</v>
      </c>
    </row>
    <row r="5418" spans="1:40" x14ac:dyDescent="0.25">
      <c r="A5418" t="str">
        <f>"20190312160754792"</f>
        <v>20190312160754792</v>
      </c>
      <c r="B5418" t="str">
        <f>"1552378074780617"</f>
        <v>1552378074780617</v>
      </c>
      <c r="C5418" t="s">
        <v>40</v>
      </c>
      <c r="D5418">
        <v>5.4832559999999999</v>
      </c>
      <c r="E5418">
        <v>0.55406809999999995</v>
      </c>
      <c r="F5418" t="s">
        <v>44</v>
      </c>
      <c r="G5418">
        <v>-417.2176</v>
      </c>
      <c r="H5418">
        <v>0.93490269999999998</v>
      </c>
      <c r="I5418">
        <v>121.7971</v>
      </c>
      <c r="J5418">
        <v>-416.94349999999997</v>
      </c>
      <c r="K5418">
        <v>1.115254</v>
      </c>
      <c r="L5418">
        <v>122.1938</v>
      </c>
      <c r="M5418">
        <v>-0.3968737</v>
      </c>
      <c r="N5418">
        <v>0</v>
      </c>
      <c r="O5418">
        <v>-0.9177573</v>
      </c>
      <c r="P5418">
        <v>-0.3627956</v>
      </c>
      <c r="Q5418">
        <v>-1.112297E-4</v>
      </c>
      <c r="R5418">
        <v>-0.93186910000000001</v>
      </c>
      <c r="S5418">
        <v>-1.526276</v>
      </c>
      <c r="T5418">
        <v>-0.75032189999999999</v>
      </c>
      <c r="U5418">
        <v>-2.6209720000000001</v>
      </c>
      <c r="V5418">
        <v>-3.7065140000000003E-2</v>
      </c>
      <c r="W5418">
        <v>1.3991200000000001E-2</v>
      </c>
      <c r="X5418">
        <v>0.99921490000000002</v>
      </c>
      <c r="Y5418">
        <v>0.1047131</v>
      </c>
      <c r="Z5418">
        <v>0.22602240000000001</v>
      </c>
      <c r="AA5418">
        <v>0.9684777</v>
      </c>
      <c r="AB5418">
        <v>25</v>
      </c>
      <c r="AC5418">
        <v>-0.27410000000003198</v>
      </c>
      <c r="AD5418">
        <v>-0.18035129999999999</v>
      </c>
      <c r="AE5418">
        <v>-0.396699999999995</v>
      </c>
      <c r="AF5418">
        <v>8.25753450691247E-2</v>
      </c>
      <c r="AG5418">
        <v>-0.18035129999999999</v>
      </c>
      <c r="AH5418">
        <v>0.41486834860028299</v>
      </c>
      <c r="AI5418">
        <v>113.091263550695</v>
      </c>
      <c r="AJ5418">
        <v>78.742972468442602</v>
      </c>
      <c r="AK5418">
        <v>0.45984891616192902</v>
      </c>
      <c r="AL5418">
        <v>89.198337131343905</v>
      </c>
      <c r="AM5418">
        <v>92.124370687526806</v>
      </c>
      <c r="AN5418">
        <v>0.99999999733133405</v>
      </c>
    </row>
    <row r="5419" spans="1:40" x14ac:dyDescent="0.25">
      <c r="A5419" t="str">
        <f>"20190312160754815"</f>
        <v>20190312160754815</v>
      </c>
      <c r="B5419" t="str">
        <f>"1552378074810873"</f>
        <v>1552378074810873</v>
      </c>
      <c r="C5419" t="s">
        <v>40</v>
      </c>
      <c r="D5419">
        <v>5.2971649999999997</v>
      </c>
      <c r="E5419">
        <v>0.55491509999999999</v>
      </c>
      <c r="F5419" t="s">
        <v>44</v>
      </c>
      <c r="G5419">
        <v>-417.29160000000002</v>
      </c>
      <c r="H5419">
        <v>0.94162679999999999</v>
      </c>
      <c r="I5419">
        <v>121.5825</v>
      </c>
      <c r="J5419">
        <v>-417.03449999999998</v>
      </c>
      <c r="K5419">
        <v>1.1152029999999999</v>
      </c>
      <c r="L5419">
        <v>121.9614</v>
      </c>
      <c r="M5419">
        <v>-0.38971990000000001</v>
      </c>
      <c r="N5419">
        <v>0</v>
      </c>
      <c r="O5419">
        <v>-0.92081829999999998</v>
      </c>
      <c r="P5419">
        <v>-0.35611199999999998</v>
      </c>
      <c r="Q5419">
        <v>1.3266219999999901E-4</v>
      </c>
      <c r="R5419">
        <v>-0.93444349999999998</v>
      </c>
      <c r="S5419">
        <v>-1.500397</v>
      </c>
      <c r="T5419">
        <v>-0.74853400000000003</v>
      </c>
      <c r="U5419">
        <v>-2.6351170000000002</v>
      </c>
      <c r="V5419">
        <v>-3.6446560000000003E-2</v>
      </c>
      <c r="W5419">
        <v>1.421911E-2</v>
      </c>
      <c r="X5419">
        <v>0.99923439999999997</v>
      </c>
      <c r="Y5419">
        <v>0.1030594</v>
      </c>
      <c r="Z5419">
        <v>0.22610430000000001</v>
      </c>
      <c r="AA5419">
        <v>0.96863600000000005</v>
      </c>
      <c r="AB5419">
        <v>25</v>
      </c>
      <c r="AC5419">
        <v>-0.25710000000003602</v>
      </c>
      <c r="AD5419">
        <v>-0.17357620000000001</v>
      </c>
      <c r="AE5419">
        <v>-0.37890000000000101</v>
      </c>
      <c r="AF5419">
        <v>7.7893726400823399E-2</v>
      </c>
      <c r="AG5419">
        <v>-0.17357620000000001</v>
      </c>
      <c r="AH5419">
        <v>0.39271062127031597</v>
      </c>
      <c r="AI5419">
        <v>113.439097209943</v>
      </c>
      <c r="AJ5419">
        <v>78.781057966212401</v>
      </c>
      <c r="AK5419">
        <v>0.43636883696887002</v>
      </c>
      <c r="AL5419">
        <v>89.185277520948105</v>
      </c>
      <c r="AM5419">
        <v>92.088908018374397</v>
      </c>
      <c r="AN5419">
        <v>0.99999996048419104</v>
      </c>
    </row>
    <row r="5420" spans="1:40" x14ac:dyDescent="0.25">
      <c r="A5420" t="str">
        <f>"20190312160754837"</f>
        <v>20190312160754837</v>
      </c>
      <c r="B5420" t="str">
        <f>"1552378074831368"</f>
        <v>1552378074831368</v>
      </c>
      <c r="C5420" t="s">
        <v>40</v>
      </c>
      <c r="D5420">
        <v>5.344805</v>
      </c>
      <c r="E5420">
        <v>0.55494119999999902</v>
      </c>
      <c r="F5420" t="s">
        <v>44</v>
      </c>
      <c r="G5420">
        <v>-417.46620000000001</v>
      </c>
      <c r="H5420">
        <v>0.89666009999999996</v>
      </c>
      <c r="I5420">
        <v>121.1942</v>
      </c>
      <c r="J5420">
        <v>-417.12259999999998</v>
      </c>
      <c r="K5420">
        <v>1.1151439999999999</v>
      </c>
      <c r="L5420">
        <v>121.73099999999999</v>
      </c>
      <c r="M5420">
        <v>-0.38268479999999999</v>
      </c>
      <c r="N5420">
        <v>0</v>
      </c>
      <c r="O5420">
        <v>-0.92376460000000005</v>
      </c>
      <c r="P5420">
        <v>-0.3496069</v>
      </c>
      <c r="Q5420">
        <v>4.20054E-4</v>
      </c>
      <c r="R5420">
        <v>-0.93689670000000003</v>
      </c>
      <c r="S5420">
        <v>-1.4867250000000001</v>
      </c>
      <c r="T5420">
        <v>-0.75382959999999999</v>
      </c>
      <c r="U5420">
        <v>-2.6439819999999998</v>
      </c>
      <c r="V5420">
        <v>-3.5772680000000001E-2</v>
      </c>
      <c r="W5420">
        <v>1.449422E-2</v>
      </c>
      <c r="X5420">
        <v>0.9992548</v>
      </c>
      <c r="Y5420">
        <v>0.1052193</v>
      </c>
      <c r="Z5420">
        <v>0.2282565</v>
      </c>
      <c r="AA5420">
        <v>0.9678987</v>
      </c>
      <c r="AB5420">
        <v>25</v>
      </c>
      <c r="AC5420">
        <v>-0.34360000000003699</v>
      </c>
      <c r="AD5420">
        <v>-0.21848390000000001</v>
      </c>
      <c r="AE5420">
        <v>-0.53680000000001304</v>
      </c>
      <c r="AF5420">
        <v>0.10021560003551599</v>
      </c>
      <c r="AG5420">
        <v>-0.21848390000000001</v>
      </c>
      <c r="AH5420">
        <v>0.56145576442663203</v>
      </c>
      <c r="AI5420">
        <v>110.96101873985</v>
      </c>
      <c r="AJ5420">
        <v>79.879715181840595</v>
      </c>
      <c r="AK5420">
        <v>0.61074622917999399</v>
      </c>
      <c r="AL5420">
        <v>89.169513254255406</v>
      </c>
      <c r="AM5420">
        <v>92.050276529516793</v>
      </c>
      <c r="AN5420">
        <v>0.99999996118541401</v>
      </c>
    </row>
    <row r="5421" spans="1:40" x14ac:dyDescent="0.25">
      <c r="A5421" t="str">
        <f>"20190312160754858"</f>
        <v>20190312160754858</v>
      </c>
      <c r="B5421" t="str">
        <f>"1552378074850888"</f>
        <v>1552378074850888</v>
      </c>
      <c r="C5421" t="s">
        <v>40</v>
      </c>
      <c r="D5421">
        <v>5.2687900000000001</v>
      </c>
      <c r="E5421">
        <v>0.55589250000000001</v>
      </c>
      <c r="F5421" t="s">
        <v>44</v>
      </c>
      <c r="G5421">
        <v>-417.53789999999998</v>
      </c>
      <c r="H5421">
        <v>0.9021325</v>
      </c>
      <c r="I5421">
        <v>120.9808</v>
      </c>
      <c r="J5421">
        <v>-417.2081</v>
      </c>
      <c r="K5421">
        <v>1.1150949999999999</v>
      </c>
      <c r="L5421">
        <v>121.50239999999999</v>
      </c>
      <c r="M5421">
        <v>-0.37575120000000001</v>
      </c>
      <c r="N5421">
        <v>0</v>
      </c>
      <c r="O5421">
        <v>-0.92660710000000002</v>
      </c>
      <c r="P5421">
        <v>-0.34320689999999998</v>
      </c>
      <c r="Q5421">
        <v>3.3694019999999902E-4</v>
      </c>
      <c r="R5421">
        <v>-0.93926010000000004</v>
      </c>
      <c r="S5421">
        <v>-1.468842</v>
      </c>
      <c r="T5421">
        <v>-0.75412259999999998</v>
      </c>
      <c r="U5421">
        <v>-2.6542819999999998</v>
      </c>
      <c r="V5421">
        <v>-3.5098020000000001E-2</v>
      </c>
      <c r="W5421">
        <v>1.439933E-2</v>
      </c>
      <c r="X5421">
        <v>0.99928019999999995</v>
      </c>
      <c r="Y5421">
        <v>0.1060358</v>
      </c>
      <c r="Z5421">
        <v>0.228938</v>
      </c>
      <c r="AA5421">
        <v>0.96764859999999997</v>
      </c>
      <c r="AB5421">
        <v>25</v>
      </c>
      <c r="AC5421">
        <v>-0.329799999999977</v>
      </c>
      <c r="AD5421">
        <v>-0.2129625</v>
      </c>
      <c r="AE5421">
        <v>-0.52159999999999196</v>
      </c>
      <c r="AF5421">
        <v>9.7950002983502704E-2</v>
      </c>
      <c r="AG5421">
        <v>-0.2129625</v>
      </c>
      <c r="AH5421">
        <v>0.542678142702408</v>
      </c>
      <c r="AI5421">
        <v>111.1159891155</v>
      </c>
      <c r="AJ5421">
        <v>79.768627697839406</v>
      </c>
      <c r="AK5421">
        <v>0.59114025075074395</v>
      </c>
      <c r="AL5421">
        <v>89.174950704015998</v>
      </c>
      <c r="AM5421">
        <v>92.011590028055195</v>
      </c>
      <c r="AN5421">
        <v>1.0000000649122001</v>
      </c>
    </row>
    <row r="5422" spans="1:40" x14ac:dyDescent="0.25">
      <c r="A5422" t="str">
        <f>"20190312160754881"</f>
        <v>20190312160754881</v>
      </c>
      <c r="B5422" t="str">
        <f>"1552378074871386"</f>
        <v>1552378074871386</v>
      </c>
      <c r="C5422" t="s">
        <v>40</v>
      </c>
      <c r="D5422">
        <v>5.3022549999999997</v>
      </c>
      <c r="E5422">
        <v>0.55673930000000005</v>
      </c>
      <c r="F5422" t="s">
        <v>44</v>
      </c>
      <c r="G5422">
        <v>-417.61059999999998</v>
      </c>
      <c r="H5422">
        <v>0.90673729999999997</v>
      </c>
      <c r="I5422">
        <v>120.7684</v>
      </c>
      <c r="J5422">
        <v>-417.29289999999997</v>
      </c>
      <c r="K5422">
        <v>1.115043</v>
      </c>
      <c r="L5422">
        <v>121.27079999999999</v>
      </c>
      <c r="M5422">
        <v>-0.36877490000000002</v>
      </c>
      <c r="N5422">
        <v>0</v>
      </c>
      <c r="O5422">
        <v>-0.92940579999999995</v>
      </c>
      <c r="P5422">
        <v>-0.33770020000000001</v>
      </c>
      <c r="Q5422" s="1">
        <v>-6.4385590000000002E-5</v>
      </c>
      <c r="R5422">
        <v>-0.94125380000000003</v>
      </c>
      <c r="S5422">
        <v>-1.458496</v>
      </c>
      <c r="T5422">
        <v>-0.75584019999999996</v>
      </c>
      <c r="U5422">
        <v>-2.661346</v>
      </c>
      <c r="V5422">
        <v>-3.3430910000000001E-2</v>
      </c>
      <c r="W5422">
        <v>1.4000739999999999E-2</v>
      </c>
      <c r="X5422">
        <v>0.99934299999999998</v>
      </c>
      <c r="Y5422">
        <v>0.1094275</v>
      </c>
      <c r="Z5422">
        <v>0.2300701</v>
      </c>
      <c r="AA5422">
        <v>0.96700229999999998</v>
      </c>
      <c r="AB5422">
        <v>25</v>
      </c>
      <c r="AC5422">
        <v>-0.31770000000000198</v>
      </c>
      <c r="AD5422">
        <v>-0.20830570000000001</v>
      </c>
      <c r="AE5422">
        <v>-0.50239999999999396</v>
      </c>
      <c r="AF5422">
        <v>9.7979088055970595E-2</v>
      </c>
      <c r="AG5422">
        <v>-0.20830570000000001</v>
      </c>
      <c r="AH5422">
        <v>0.52026431170934195</v>
      </c>
      <c r="AI5422">
        <v>111.478035109321</v>
      </c>
      <c r="AJ5422">
        <v>79.334654765362501</v>
      </c>
      <c r="AK5422">
        <v>0.56891661989009001</v>
      </c>
      <c r="AL5422">
        <v>89.197790509536404</v>
      </c>
      <c r="AM5422">
        <v>91.915994812258404</v>
      </c>
      <c r="AN5422">
        <v>1.0000000390564801</v>
      </c>
    </row>
    <row r="5423" spans="1:40" x14ac:dyDescent="0.25">
      <c r="A5423" t="str">
        <f>"20190312160754903"</f>
        <v>20190312160754903</v>
      </c>
      <c r="B5423" t="str">
        <f>"1552378074900664"</f>
        <v>1552378074900664</v>
      </c>
      <c r="C5423" t="s">
        <v>40</v>
      </c>
      <c r="D5423">
        <v>5.4107519999999996</v>
      </c>
      <c r="E5423">
        <v>0.55796119999999905</v>
      </c>
      <c r="F5423" t="s">
        <v>44</v>
      </c>
      <c r="G5423">
        <v>-417.6816</v>
      </c>
      <c r="H5423">
        <v>0.91142619999999996</v>
      </c>
      <c r="I5423">
        <v>120.5556</v>
      </c>
      <c r="J5423">
        <v>-417.37540000000001</v>
      </c>
      <c r="K5423">
        <v>1.1149899999999999</v>
      </c>
      <c r="L5423">
        <v>121.04</v>
      </c>
      <c r="M5423">
        <v>-0.36187789999999997</v>
      </c>
      <c r="N5423">
        <v>0</v>
      </c>
      <c r="O5423">
        <v>-0.93211339999999998</v>
      </c>
      <c r="P5423">
        <v>-0.33226359999999999</v>
      </c>
      <c r="Q5423" s="1">
        <v>9.1586030000000002E-5</v>
      </c>
      <c r="R5423">
        <v>-0.94318709999999994</v>
      </c>
      <c r="S5423">
        <v>-1.4483950000000001</v>
      </c>
      <c r="T5423">
        <v>-0.76023260000000004</v>
      </c>
      <c r="U5423">
        <v>-2.667557</v>
      </c>
      <c r="V5423">
        <v>-3.1791550000000002E-2</v>
      </c>
      <c r="W5423">
        <v>1.4159990000000001E-2</v>
      </c>
      <c r="X5423">
        <v>0.99939420000000001</v>
      </c>
      <c r="Y5423">
        <v>0.1128166</v>
      </c>
      <c r="Z5423">
        <v>0.23199149999999999</v>
      </c>
      <c r="AA5423">
        <v>0.96615340000000005</v>
      </c>
      <c r="AB5423">
        <v>25</v>
      </c>
      <c r="AC5423">
        <v>-0.30619999999998898</v>
      </c>
      <c r="AD5423">
        <v>-0.20356379999999999</v>
      </c>
      <c r="AE5423">
        <v>-0.48440000000000799</v>
      </c>
      <c r="AF5423">
        <v>9.7791502193253999E-2</v>
      </c>
      <c r="AG5423">
        <v>-0.20356379999999999</v>
      </c>
      <c r="AH5423">
        <v>0.49937024475575198</v>
      </c>
      <c r="AI5423">
        <v>111.80350993541499</v>
      </c>
      <c r="AJ5423">
        <v>78.920003806034998</v>
      </c>
      <c r="AK5423">
        <v>0.54806207670215001</v>
      </c>
      <c r="AL5423">
        <v>89.188665210531397</v>
      </c>
      <c r="AM5423">
        <v>91.822011369993305</v>
      </c>
      <c r="AN5423">
        <v>0.999999987480921</v>
      </c>
    </row>
    <row r="5424" spans="1:40" x14ac:dyDescent="0.25">
      <c r="A5424" t="str">
        <f>"20190312160754927"</f>
        <v>20190312160754927</v>
      </c>
      <c r="B5424" t="str">
        <f>"1552378074921160"</f>
        <v>1552378074921160</v>
      </c>
      <c r="C5424" t="s">
        <v>40</v>
      </c>
      <c r="D5424">
        <v>5.3283319999999996</v>
      </c>
      <c r="E5424">
        <v>0.55859890000000001</v>
      </c>
      <c r="F5424" t="s">
        <v>44</v>
      </c>
      <c r="G5424">
        <v>-417.75189999999998</v>
      </c>
      <c r="H5424">
        <v>0.91632089999999999</v>
      </c>
      <c r="I5424">
        <v>120.34269999999999</v>
      </c>
      <c r="J5424">
        <v>-417.46019999999999</v>
      </c>
      <c r="K5424">
        <v>1.1149290000000001</v>
      </c>
      <c r="L5424">
        <v>120.7976</v>
      </c>
      <c r="M5424">
        <v>-0.3547014</v>
      </c>
      <c r="N5424">
        <v>0</v>
      </c>
      <c r="O5424">
        <v>-0.93486820000000004</v>
      </c>
      <c r="P5424">
        <v>-0.32591609999999999</v>
      </c>
      <c r="Q5424">
        <v>8.3637770000000004E-4</v>
      </c>
      <c r="R5424">
        <v>-0.94539839999999997</v>
      </c>
      <c r="S5424">
        <v>-1.4418029999999999</v>
      </c>
      <c r="T5424">
        <v>-0.76210679999999997</v>
      </c>
      <c r="U5424">
        <v>-2.6728670000000001</v>
      </c>
      <c r="V5424">
        <v>-3.083286E-2</v>
      </c>
      <c r="W5424">
        <v>1.489996E-2</v>
      </c>
      <c r="X5424">
        <v>0.99941349999999995</v>
      </c>
      <c r="Y5424">
        <v>0.1176909</v>
      </c>
      <c r="Z5424">
        <v>0.23319100000000001</v>
      </c>
      <c r="AA5424">
        <v>0.96528270000000005</v>
      </c>
      <c r="AB5424">
        <v>25</v>
      </c>
      <c r="AC5424">
        <v>-0.29169999999999102</v>
      </c>
      <c r="AD5424">
        <v>-0.19860809999999901</v>
      </c>
      <c r="AE5424">
        <v>-0.45490000000000902</v>
      </c>
      <c r="AF5424">
        <v>9.8107109658614994E-2</v>
      </c>
      <c r="AG5424">
        <v>-0.19860809999999901</v>
      </c>
      <c r="AH5424">
        <v>0.46586590553885898</v>
      </c>
      <c r="AI5424">
        <v>112.644444216441</v>
      </c>
      <c r="AJ5424">
        <v>78.107799906422798</v>
      </c>
      <c r="AK5424">
        <v>0.51585000173957396</v>
      </c>
      <c r="AL5424">
        <v>89.146263593302194</v>
      </c>
      <c r="AM5424">
        <v>91.767068984105507</v>
      </c>
      <c r="AN5424">
        <v>1.0000000090230099</v>
      </c>
    </row>
    <row r="5425" spans="1:40" x14ac:dyDescent="0.25">
      <c r="A5425" t="str">
        <f>"20190312160754948"</f>
        <v>20190312160754948</v>
      </c>
      <c r="B5425" t="str">
        <f>"1552378074940681"</f>
        <v>1552378074940681</v>
      </c>
      <c r="C5425" t="s">
        <v>40</v>
      </c>
      <c r="D5425">
        <v>5.3987109999999996</v>
      </c>
      <c r="E5425">
        <v>0.55901899999999904</v>
      </c>
      <c r="F5425" t="s">
        <v>44</v>
      </c>
      <c r="G5425">
        <v>-417.81799999999998</v>
      </c>
      <c r="H5425">
        <v>0.92504129999999996</v>
      </c>
      <c r="I5425">
        <v>120.1268</v>
      </c>
      <c r="J5425">
        <v>-417.53789999999998</v>
      </c>
      <c r="K5425">
        <v>1.1148739999999999</v>
      </c>
      <c r="L5425">
        <v>120.5701</v>
      </c>
      <c r="M5425">
        <v>-0.34803200000000001</v>
      </c>
      <c r="N5425">
        <v>0</v>
      </c>
      <c r="O5425">
        <v>-0.93737190000000004</v>
      </c>
      <c r="P5425">
        <v>-0.3200479</v>
      </c>
      <c r="Q5425">
        <v>8.5165509999999905E-4</v>
      </c>
      <c r="R5425">
        <v>-0.94740150000000001</v>
      </c>
      <c r="S5425">
        <v>-1.429657</v>
      </c>
      <c r="T5425">
        <v>-0.75925830000000005</v>
      </c>
      <c r="U5425">
        <v>-2.6810610000000001</v>
      </c>
      <c r="V5425">
        <v>-2.9906889999999998E-2</v>
      </c>
      <c r="W5425">
        <v>1.49114E-2</v>
      </c>
      <c r="X5425">
        <v>0.99944140000000004</v>
      </c>
      <c r="Y5425">
        <v>0.12019920000000001</v>
      </c>
      <c r="Z5425">
        <v>0.2328636</v>
      </c>
      <c r="AA5425">
        <v>0.96505269999999999</v>
      </c>
      <c r="AB5425">
        <v>25</v>
      </c>
      <c r="AC5425">
        <v>-0.28010000000006102</v>
      </c>
      <c r="AD5425">
        <v>-0.18983269999999899</v>
      </c>
      <c r="AE5425">
        <v>-0.44329999999999298</v>
      </c>
      <c r="AF5425">
        <v>9.5739355942898896E-2</v>
      </c>
      <c r="AG5425">
        <v>-0.18983269999999899</v>
      </c>
      <c r="AH5425">
        <v>0.45362406182703802</v>
      </c>
      <c r="AI5425">
        <v>112.267141468882</v>
      </c>
      <c r="AJ5425">
        <v>78.082371955536999</v>
      </c>
      <c r="AK5425">
        <v>0.50097631454402303</v>
      </c>
      <c r="AL5425">
        <v>89.145607999475004</v>
      </c>
      <c r="AM5425">
        <v>91.713984835090002</v>
      </c>
      <c r="AN5425">
        <v>0.99999994197669395</v>
      </c>
    </row>
    <row r="5426" spans="1:40" x14ac:dyDescent="0.25">
      <c r="A5426" t="str">
        <f>"20190312160754970"</f>
        <v>20190312160754970</v>
      </c>
      <c r="B5426" t="str">
        <f>"1552378074961176"</f>
        <v>1552378074961176</v>
      </c>
      <c r="C5426" t="s">
        <v>40</v>
      </c>
      <c r="D5426">
        <v>5.4541219999999999</v>
      </c>
      <c r="E5426">
        <v>0.55947860000000005</v>
      </c>
      <c r="F5426" t="s">
        <v>44</v>
      </c>
      <c r="G5426">
        <v>-417.88389999999998</v>
      </c>
      <c r="H5426">
        <v>0.92970819999999998</v>
      </c>
      <c r="I5426">
        <v>119.9132</v>
      </c>
      <c r="J5426">
        <v>-417.61489999999998</v>
      </c>
      <c r="K5426">
        <v>1.114808</v>
      </c>
      <c r="L5426">
        <v>120.3396</v>
      </c>
      <c r="M5426">
        <v>-0.34134940000000003</v>
      </c>
      <c r="N5426">
        <v>0</v>
      </c>
      <c r="O5426">
        <v>-0.93982639999999995</v>
      </c>
      <c r="P5426">
        <v>-0.31445610000000002</v>
      </c>
      <c r="Q5426">
        <v>8.3020329999999995E-4</v>
      </c>
      <c r="R5426">
        <v>-0.949272</v>
      </c>
      <c r="S5426">
        <v>-1.4164730000000001</v>
      </c>
      <c r="T5426">
        <v>-0.75795840000000003</v>
      </c>
      <c r="U5426">
        <v>-2.688736</v>
      </c>
      <c r="V5426">
        <v>-2.8681140000000001E-2</v>
      </c>
      <c r="W5426">
        <v>1.489042E-2</v>
      </c>
      <c r="X5426">
        <v>0.99947770000000002</v>
      </c>
      <c r="Y5426">
        <v>0.12243270000000001</v>
      </c>
      <c r="Z5426">
        <v>0.23301769999999999</v>
      </c>
      <c r="AA5426">
        <v>0.96473469999999995</v>
      </c>
      <c r="AB5426">
        <v>25</v>
      </c>
      <c r="AC5426">
        <v>-0.26900000000000501</v>
      </c>
      <c r="AD5426">
        <v>-0.18509980000000001</v>
      </c>
      <c r="AE5426">
        <v>-0.426400000000001</v>
      </c>
      <c r="AF5426">
        <v>9.45307391310891E-2</v>
      </c>
      <c r="AG5426">
        <v>-0.18509980000000001</v>
      </c>
      <c r="AH5426">
        <v>0.43410122973524601</v>
      </c>
      <c r="AI5426">
        <v>112.61825781306599</v>
      </c>
      <c r="AJ5426">
        <v>77.714948609405198</v>
      </c>
      <c r="AK5426">
        <v>0.48129188052403599</v>
      </c>
      <c r="AL5426">
        <v>89.146810250198399</v>
      </c>
      <c r="AM5426">
        <v>91.643715938731006</v>
      </c>
      <c r="AN5426">
        <v>1.00000000259838</v>
      </c>
    </row>
    <row r="5427" spans="1:40" x14ac:dyDescent="0.25">
      <c r="A5427" t="str">
        <f>"20190312160754994"</f>
        <v>20190312160754994</v>
      </c>
      <c r="B5427" t="str">
        <f>"1552378074991432"</f>
        <v>1552378074991432</v>
      </c>
      <c r="C5427" t="s">
        <v>40</v>
      </c>
      <c r="D5427">
        <v>5.4758380000000004</v>
      </c>
      <c r="E5427">
        <v>0.55983809999999901</v>
      </c>
      <c r="F5427" t="s">
        <v>44</v>
      </c>
      <c r="G5427">
        <v>-417.94850000000002</v>
      </c>
      <c r="H5427">
        <v>0.93469329999999995</v>
      </c>
      <c r="I5427">
        <v>119.69929999999999</v>
      </c>
      <c r="J5427">
        <v>-417.69580000000002</v>
      </c>
      <c r="K5427">
        <v>1.1147290000000001</v>
      </c>
      <c r="L5427">
        <v>120.0919</v>
      </c>
      <c r="M5427">
        <v>-0.33425159999999998</v>
      </c>
      <c r="N5427">
        <v>0</v>
      </c>
      <c r="O5427">
        <v>-0.94237409999999999</v>
      </c>
      <c r="P5427">
        <v>-0.30846519999999999</v>
      </c>
      <c r="Q5427">
        <v>3.2814440000000002E-4</v>
      </c>
      <c r="R5427">
        <v>-0.95123570000000002</v>
      </c>
      <c r="S5427">
        <v>-1.4032899999999999</v>
      </c>
      <c r="T5427">
        <v>-0.75912329999999995</v>
      </c>
      <c r="U5427">
        <v>-2.6961360000000001</v>
      </c>
      <c r="V5427">
        <v>-2.7435040000000001E-2</v>
      </c>
      <c r="W5427">
        <v>1.438884E-2</v>
      </c>
      <c r="X5427">
        <v>0.99951999999999996</v>
      </c>
      <c r="Y5427">
        <v>0.12503839999999999</v>
      </c>
      <c r="Z5427">
        <v>0.2339273</v>
      </c>
      <c r="AA5427">
        <v>0.96418020000000004</v>
      </c>
      <c r="AB5427">
        <v>25</v>
      </c>
      <c r="AC5427">
        <v>-0.25270000000000398</v>
      </c>
      <c r="AD5427">
        <v>-0.18003569999999999</v>
      </c>
      <c r="AE5427">
        <v>-0.392600000000001</v>
      </c>
      <c r="AF5427">
        <v>9.3081670462043103E-2</v>
      </c>
      <c r="AG5427">
        <v>-0.18003569999999999</v>
      </c>
      <c r="AH5427">
        <v>0.39565868399960202</v>
      </c>
      <c r="AI5427">
        <v>113.890252630307</v>
      </c>
      <c r="AJ5427">
        <v>76.761468404545695</v>
      </c>
      <c r="AK5427">
        <v>0.44454791066294602</v>
      </c>
      <c r="AL5427">
        <v>89.175551725065702</v>
      </c>
      <c r="AM5427">
        <v>91.572272109872102</v>
      </c>
      <c r="AN5427">
        <v>0.99999997526817297</v>
      </c>
    </row>
    <row r="5428" spans="1:40" x14ac:dyDescent="0.25">
      <c r="A5428" t="str">
        <f>"20190312160755018"</f>
        <v>20190312160755018</v>
      </c>
      <c r="B5428" t="str">
        <f>"1552378075010952"</f>
        <v>1552378075010952</v>
      </c>
      <c r="C5428" t="s">
        <v>40</v>
      </c>
      <c r="D5428">
        <v>5.6303210000000004</v>
      </c>
      <c r="E5428">
        <v>0.55997039999999998</v>
      </c>
      <c r="F5428" t="s">
        <v>44</v>
      </c>
      <c r="G5428">
        <v>-418.00900000000001</v>
      </c>
      <c r="H5428">
        <v>0.94369959999999997</v>
      </c>
      <c r="I5428">
        <v>119.4824</v>
      </c>
      <c r="J5428">
        <v>-417.7747</v>
      </c>
      <c r="K5428">
        <v>1.11464599999999</v>
      </c>
      <c r="L5428">
        <v>119.8439</v>
      </c>
      <c r="M5428">
        <v>-0.32726480000000002</v>
      </c>
      <c r="N5428">
        <v>0</v>
      </c>
      <c r="O5428">
        <v>-0.94482350000000004</v>
      </c>
      <c r="P5428">
        <v>-0.3025928</v>
      </c>
      <c r="Q5428" s="1">
        <v>2.861011E-5</v>
      </c>
      <c r="R5428">
        <v>-0.95311979999999996</v>
      </c>
      <c r="S5428">
        <v>-1.388611</v>
      </c>
      <c r="T5428">
        <v>-0.75898279999999996</v>
      </c>
      <c r="U5428">
        <v>-2.703751</v>
      </c>
      <c r="V5428">
        <v>-2.6191659999999999E-2</v>
      </c>
      <c r="W5428">
        <v>1.4088939999999999E-2</v>
      </c>
      <c r="X5428">
        <v>0.99955769999999999</v>
      </c>
      <c r="Y5428">
        <v>0.1271022</v>
      </c>
      <c r="Z5428">
        <v>0.23443929999999999</v>
      </c>
      <c r="AA5428">
        <v>0.96378589999999997</v>
      </c>
      <c r="AB5428">
        <v>25</v>
      </c>
      <c r="AC5428">
        <v>-0.23430000000001799</v>
      </c>
      <c r="AD5428">
        <v>-0.170946399999999</v>
      </c>
      <c r="AE5428">
        <v>-0.36150000000000598</v>
      </c>
      <c r="AF5428">
        <v>8.9053497655678895E-2</v>
      </c>
      <c r="AG5428">
        <v>-0.170946399999999</v>
      </c>
      <c r="AH5428">
        <v>0.36137073911432299</v>
      </c>
      <c r="AI5428">
        <v>114.669734836033</v>
      </c>
      <c r="AJ5428">
        <v>76.156295986979202</v>
      </c>
      <c r="AK5428">
        <v>0.40956319195662799</v>
      </c>
      <c r="AL5428">
        <v>89.1927365310749</v>
      </c>
      <c r="AM5428">
        <v>91.500992147841501</v>
      </c>
      <c r="AN5428">
        <v>1.0000000484565801</v>
      </c>
    </row>
    <row r="5429" spans="1:40" x14ac:dyDescent="0.25">
      <c r="A5429" t="str">
        <f>"20190312160755039"</f>
        <v>20190312160755039</v>
      </c>
      <c r="B5429" t="str">
        <f>"1552378075030472"</f>
        <v>1552378075030472</v>
      </c>
      <c r="C5429" t="s">
        <v>40</v>
      </c>
      <c r="D5429">
        <v>5.4694200000000004</v>
      </c>
      <c r="E5429">
        <v>0.560612</v>
      </c>
      <c r="F5429" t="s">
        <v>44</v>
      </c>
      <c r="G5429">
        <v>-418.15820000000002</v>
      </c>
      <c r="H5429">
        <v>0.90341110000000002</v>
      </c>
      <c r="I5429">
        <v>119.0864</v>
      </c>
      <c r="J5429">
        <v>-417.84300000000002</v>
      </c>
      <c r="K5429">
        <v>1.1145670000000001</v>
      </c>
      <c r="L5429">
        <v>119.6241</v>
      </c>
      <c r="M5429">
        <v>-0.32116030000000001</v>
      </c>
      <c r="N5429">
        <v>0</v>
      </c>
      <c r="O5429">
        <v>-0.94691619999999999</v>
      </c>
      <c r="P5429">
        <v>-0.29760609999999998</v>
      </c>
      <c r="Q5429">
        <v>2.236556E-4</v>
      </c>
      <c r="R5429">
        <v>-0.95468869999999895</v>
      </c>
      <c r="S5429">
        <v>-1.3726499999999999</v>
      </c>
      <c r="T5429">
        <v>-0.75650980000000001</v>
      </c>
      <c r="U5429">
        <v>-2.7117770000000001</v>
      </c>
      <c r="V5429">
        <v>-2.496522E-2</v>
      </c>
      <c r="W5429">
        <v>1.4285859999999999E-2</v>
      </c>
      <c r="X5429">
        <v>0.99958619999999998</v>
      </c>
      <c r="Y5429">
        <v>0.1278897</v>
      </c>
      <c r="Z5429">
        <v>0.23415279999999999</v>
      </c>
      <c r="AA5429">
        <v>0.96375140000000004</v>
      </c>
      <c r="AB5429">
        <v>25</v>
      </c>
      <c r="AC5429">
        <v>-0.31520000000000398</v>
      </c>
      <c r="AD5429">
        <v>-0.21115590000000001</v>
      </c>
      <c r="AE5429">
        <v>-0.53770000000000095</v>
      </c>
      <c r="AF5429">
        <v>0.112841662463424</v>
      </c>
      <c r="AG5429">
        <v>-0.21115590000000001</v>
      </c>
      <c r="AH5429">
        <v>0.54759885602727998</v>
      </c>
      <c r="AI5429">
        <v>110.689951070126</v>
      </c>
      <c r="AJ5429">
        <v>78.356256322147104</v>
      </c>
      <c r="AK5429">
        <v>0.59764919644780301</v>
      </c>
      <c r="AL5429">
        <v>89.181452638304407</v>
      </c>
      <c r="AM5429">
        <v>91.430696456197893</v>
      </c>
      <c r="AN5429">
        <v>0.99999995961801302</v>
      </c>
    </row>
    <row r="5430" spans="1:40" x14ac:dyDescent="0.25">
      <c r="A5430" t="str">
        <f>"20190312160755059"</f>
        <v>20190312160755059</v>
      </c>
      <c r="B5430" t="str">
        <f>"1552378075050968"</f>
        <v>1552378075050968</v>
      </c>
      <c r="C5430" t="s">
        <v>40</v>
      </c>
      <c r="D5430">
        <v>5.539466</v>
      </c>
      <c r="E5430">
        <v>0.561137</v>
      </c>
      <c r="F5430" t="s">
        <v>44</v>
      </c>
      <c r="G5430">
        <v>-418.21980000000002</v>
      </c>
      <c r="H5430">
        <v>0.9055898</v>
      </c>
      <c r="I5430">
        <v>118.874</v>
      </c>
      <c r="J5430">
        <v>-417.91030000000001</v>
      </c>
      <c r="K5430">
        <v>1.1144959999999999</v>
      </c>
      <c r="L5430">
        <v>119.4034</v>
      </c>
      <c r="M5430">
        <v>-0.315104</v>
      </c>
      <c r="N5430">
        <v>0</v>
      </c>
      <c r="O5430">
        <v>-0.94894900000000004</v>
      </c>
      <c r="P5430">
        <v>-0.29250279999999901</v>
      </c>
      <c r="Q5430">
        <v>5.7054030000000002E-4</v>
      </c>
      <c r="R5430">
        <v>-0.95626449999999996</v>
      </c>
      <c r="S5430">
        <v>-1.3636170000000001</v>
      </c>
      <c r="T5430">
        <v>-0.75754049999999995</v>
      </c>
      <c r="U5430">
        <v>-2.7174680000000002</v>
      </c>
      <c r="V5430">
        <v>-2.391838E-2</v>
      </c>
      <c r="W5430">
        <v>1.4632010000000001E-2</v>
      </c>
      <c r="X5430">
        <v>0.99960680000000002</v>
      </c>
      <c r="Y5430">
        <v>0.1307922</v>
      </c>
      <c r="Z5430">
        <v>0.23487739999999999</v>
      </c>
      <c r="AA5430">
        <v>0.96318539999999997</v>
      </c>
      <c r="AB5430">
        <v>25</v>
      </c>
      <c r="AC5430">
        <v>-0.30950000000001399</v>
      </c>
      <c r="AD5430">
        <v>-0.20890619999999899</v>
      </c>
      <c r="AE5430">
        <v>-0.52940000000000897</v>
      </c>
      <c r="AF5430">
        <v>0.113701430789972</v>
      </c>
      <c r="AG5430">
        <v>-0.20890619999999899</v>
      </c>
      <c r="AH5430">
        <v>0.53757351317873403</v>
      </c>
      <c r="AI5430">
        <v>110.81672015310301</v>
      </c>
      <c r="AJ5430">
        <v>78.057459497370502</v>
      </c>
      <c r="AK5430">
        <v>0.58783934695923001</v>
      </c>
      <c r="AL5430">
        <v>89.161617638235697</v>
      </c>
      <c r="AM5430">
        <v>91.370699735651002</v>
      </c>
      <c r="AN5430">
        <v>0.99999996961235105</v>
      </c>
    </row>
    <row r="5431" spans="1:40" x14ac:dyDescent="0.25">
      <c r="A5431" t="str">
        <f>"20190312160755082"</f>
        <v>20190312160755082</v>
      </c>
      <c r="B5431" t="str">
        <f>"1552378075070488"</f>
        <v>1552378075070488</v>
      </c>
      <c r="C5431" t="s">
        <v>40</v>
      </c>
      <c r="D5431">
        <v>5.6759459999999997</v>
      </c>
      <c r="E5431">
        <v>0.56160239999999995</v>
      </c>
      <c r="F5431" t="s">
        <v>44</v>
      </c>
      <c r="G5431">
        <v>-418.27929999999998</v>
      </c>
      <c r="H5431">
        <v>0.90826399999999996</v>
      </c>
      <c r="I5431">
        <v>118.6609</v>
      </c>
      <c r="J5431">
        <v>-417.98079999999999</v>
      </c>
      <c r="K5431">
        <v>1.1144259999999999</v>
      </c>
      <c r="L5431">
        <v>119.16679999999999</v>
      </c>
      <c r="M5431">
        <v>-0.30870029999999998</v>
      </c>
      <c r="N5431">
        <v>0</v>
      </c>
      <c r="O5431">
        <v>-0.95105170000000006</v>
      </c>
      <c r="P5431">
        <v>-0.28743449999999998</v>
      </c>
      <c r="Q5431">
        <v>3.478504E-4</v>
      </c>
      <c r="R5431">
        <v>-0.95780030000000005</v>
      </c>
      <c r="S5431">
        <v>-1.3531489999999999</v>
      </c>
      <c r="T5431">
        <v>-0.75663919999999996</v>
      </c>
      <c r="U5431">
        <v>-2.7237550000000001</v>
      </c>
      <c r="V5431">
        <v>-2.2468459999999999E-2</v>
      </c>
      <c r="W5431">
        <v>1.441221E-2</v>
      </c>
      <c r="X5431">
        <v>0.99964370000000002</v>
      </c>
      <c r="Y5431">
        <v>0.13361809999999999</v>
      </c>
      <c r="Z5431">
        <v>0.23504410000000001</v>
      </c>
      <c r="AA5431">
        <v>0.96275670000000002</v>
      </c>
      <c r="AB5431">
        <v>25</v>
      </c>
      <c r="AC5431">
        <v>-0.29849999999999</v>
      </c>
      <c r="AD5431">
        <v>-0.20616200000000001</v>
      </c>
      <c r="AE5431">
        <v>-0.50589999999999602</v>
      </c>
      <c r="AF5431">
        <v>0.113721902073094</v>
      </c>
      <c r="AG5431">
        <v>-0.20616200000000001</v>
      </c>
      <c r="AH5431">
        <v>0.51046240992737202</v>
      </c>
      <c r="AI5431">
        <v>111.514796695602</v>
      </c>
      <c r="AJ5431">
        <v>77.440625324869799</v>
      </c>
      <c r="AK5431">
        <v>0.56214527766759903</v>
      </c>
      <c r="AL5431">
        <v>89.174212633317296</v>
      </c>
      <c r="AM5431">
        <v>91.2875899783553</v>
      </c>
      <c r="AN5431">
        <v>1.0000000352207701</v>
      </c>
    </row>
    <row r="5432" spans="1:40" x14ac:dyDescent="0.25">
      <c r="A5432" t="str">
        <f>"20190312160755104"</f>
        <v>20190312160755104</v>
      </c>
      <c r="B5432" t="str">
        <f>"1552378075100745"</f>
        <v>1552378075100745</v>
      </c>
      <c r="C5432" t="s">
        <v>40</v>
      </c>
      <c r="D5432">
        <v>5.5919049999999997</v>
      </c>
      <c r="E5432">
        <v>0.56198749999999997</v>
      </c>
      <c r="F5432" t="s">
        <v>44</v>
      </c>
      <c r="G5432">
        <v>-418.33600000000001</v>
      </c>
      <c r="H5432">
        <v>0.91501080000000001</v>
      </c>
      <c r="I5432">
        <v>118.44540000000001</v>
      </c>
      <c r="J5432">
        <v>-418.04899999999998</v>
      </c>
      <c r="K5432">
        <v>1.1143510000000001</v>
      </c>
      <c r="L5432">
        <v>118.932</v>
      </c>
      <c r="M5432">
        <v>-0.30243700000000001</v>
      </c>
      <c r="N5432">
        <v>0</v>
      </c>
      <c r="O5432">
        <v>-0.95306239999999998</v>
      </c>
      <c r="P5432">
        <v>-0.28269699999999998</v>
      </c>
      <c r="Q5432" s="1">
        <v>-8.4392380000000001E-5</v>
      </c>
      <c r="R5432">
        <v>-0.95920930000000004</v>
      </c>
      <c r="S5432">
        <v>-1.3420099999999999</v>
      </c>
      <c r="T5432">
        <v>-0.75564409999999904</v>
      </c>
      <c r="U5432">
        <v>-2.7296909999999999</v>
      </c>
      <c r="V5432">
        <v>-2.082548E-2</v>
      </c>
      <c r="W5432">
        <v>1.398548E-2</v>
      </c>
      <c r="X5432">
        <v>0.9996853</v>
      </c>
      <c r="Y5432">
        <v>0.1361446</v>
      </c>
      <c r="Z5432">
        <v>0.23518790000000001</v>
      </c>
      <c r="AA5432">
        <v>0.96236750000000004</v>
      </c>
      <c r="AB5432">
        <v>25</v>
      </c>
      <c r="AC5432">
        <v>-0.286999999999977</v>
      </c>
      <c r="AD5432">
        <v>-0.1993402</v>
      </c>
      <c r="AE5432">
        <v>-0.48659999999999498</v>
      </c>
      <c r="AF5432">
        <v>0.11238333790767099</v>
      </c>
      <c r="AG5432">
        <v>-0.1993402</v>
      </c>
      <c r="AH5432">
        <v>0.48965038820863299</v>
      </c>
      <c r="AI5432">
        <v>111.642693594558</v>
      </c>
      <c r="AJ5432">
        <v>77.073493961828405</v>
      </c>
      <c r="AK5432">
        <v>0.54048499761619195</v>
      </c>
      <c r="AL5432">
        <v>89.198664894728196</v>
      </c>
      <c r="AM5432">
        <v>91.193415115436196</v>
      </c>
      <c r="AN5432">
        <v>0.99999999665207495</v>
      </c>
    </row>
    <row r="5433" spans="1:40" x14ac:dyDescent="0.25">
      <c r="A5433" t="str">
        <f>"20190312160755127"</f>
        <v>20190312160755127</v>
      </c>
      <c r="B5433" t="str">
        <f>"1552378075121240"</f>
        <v>1552378075121240</v>
      </c>
      <c r="C5433" t="s">
        <v>40</v>
      </c>
      <c r="D5433">
        <v>5.6073209999999998</v>
      </c>
      <c r="E5433">
        <v>0.56228719999999999</v>
      </c>
      <c r="F5433" t="s">
        <v>44</v>
      </c>
      <c r="G5433">
        <v>-418.39100000000002</v>
      </c>
      <c r="H5433">
        <v>0.9212089</v>
      </c>
      <c r="I5433">
        <v>118.23</v>
      </c>
      <c r="J5433">
        <v>-418.11660000000001</v>
      </c>
      <c r="K5433">
        <v>1.114271</v>
      </c>
      <c r="L5433">
        <v>118.6942</v>
      </c>
      <c r="M5433">
        <v>-0.29618460000000002</v>
      </c>
      <c r="N5433">
        <v>0</v>
      </c>
      <c r="O5433">
        <v>-0.95502419999999999</v>
      </c>
      <c r="P5433">
        <v>-0.27718500000000001</v>
      </c>
      <c r="Q5433">
        <v>-1.2071810000000001E-3</v>
      </c>
      <c r="R5433">
        <v>-0.96081609999999995</v>
      </c>
      <c r="S5433">
        <v>-1.330719</v>
      </c>
      <c r="T5433">
        <v>-0.75341130000000001</v>
      </c>
      <c r="U5433">
        <v>-2.7353360000000002</v>
      </c>
      <c r="V5433">
        <v>-1.9999200000000002E-2</v>
      </c>
      <c r="W5433">
        <v>1.285882E-2</v>
      </c>
      <c r="X5433">
        <v>0.99971730000000003</v>
      </c>
      <c r="Y5433">
        <v>0.13868229999999901</v>
      </c>
      <c r="Z5433">
        <v>0.23497100000000001</v>
      </c>
      <c r="AA5433">
        <v>0.96205810000000003</v>
      </c>
      <c r="AB5433">
        <v>25</v>
      </c>
      <c r="AC5433">
        <v>-0.27439999999995701</v>
      </c>
      <c r="AD5433">
        <v>-0.19306209999999999</v>
      </c>
      <c r="AE5433">
        <v>-0.46419999999999101</v>
      </c>
      <c r="AF5433">
        <v>0.110427392784505</v>
      </c>
      <c r="AG5433">
        <v>-0.19306209999999999</v>
      </c>
      <c r="AH5433">
        <v>0.46503818381487499</v>
      </c>
      <c r="AI5433">
        <v>111.994840867102</v>
      </c>
      <c r="AJ5433">
        <v>76.642018020688198</v>
      </c>
      <c r="AK5433">
        <v>0.51548782326979403</v>
      </c>
      <c r="AL5433">
        <v>89.263223578250006</v>
      </c>
      <c r="AM5433">
        <v>91.146040919274299</v>
      </c>
      <c r="AN5433">
        <v>0.99999999858586097</v>
      </c>
    </row>
    <row r="5434" spans="1:40" x14ac:dyDescent="0.25">
      <c r="A5434" t="str">
        <f>"20190312160755149"</f>
        <v>20190312160755149</v>
      </c>
      <c r="B5434" t="str">
        <f>"1552378075140761"</f>
        <v>1552378075140761</v>
      </c>
      <c r="C5434" t="s">
        <v>40</v>
      </c>
      <c r="D5434">
        <v>5.6472530000000001</v>
      </c>
      <c r="E5434">
        <v>0.56250409999999995</v>
      </c>
      <c r="F5434" t="s">
        <v>44</v>
      </c>
      <c r="G5434">
        <v>-418.44319999999999</v>
      </c>
      <c r="H5434">
        <v>0.92685010000000001</v>
      </c>
      <c r="I5434">
        <v>118.0145</v>
      </c>
      <c r="J5434">
        <v>-418.18150000000003</v>
      </c>
      <c r="K5434">
        <v>1.114179</v>
      </c>
      <c r="L5434">
        <v>118.4607</v>
      </c>
      <c r="M5434">
        <v>-0.2901396</v>
      </c>
      <c r="N5434">
        <v>0</v>
      </c>
      <c r="O5434">
        <v>-0.95687820000000001</v>
      </c>
      <c r="P5434">
        <v>-0.27138119999999999</v>
      </c>
      <c r="Q5434">
        <v>-1.38370299999999E-3</v>
      </c>
      <c r="R5434">
        <v>-0.96247110000000002</v>
      </c>
      <c r="S5434">
        <v>-1.316589</v>
      </c>
      <c r="T5434">
        <v>-0.75624609999999903</v>
      </c>
      <c r="U5434">
        <v>-2.7415769999999999</v>
      </c>
      <c r="V5434">
        <v>-1.9706080000000001E-2</v>
      </c>
      <c r="W5434">
        <v>1.2672859999999999E-2</v>
      </c>
      <c r="X5434">
        <v>0.99972550000000004</v>
      </c>
      <c r="Y5434">
        <v>0.1399377</v>
      </c>
      <c r="Z5434">
        <v>0.23622309999999999</v>
      </c>
      <c r="AA5434">
        <v>0.96156960000000002</v>
      </c>
      <c r="AB5434">
        <v>25</v>
      </c>
      <c r="AC5434">
        <v>-0.26169999999996202</v>
      </c>
      <c r="AD5434">
        <v>-0.18732889999999999</v>
      </c>
      <c r="AE5434">
        <v>-0.44620000000000398</v>
      </c>
      <c r="AF5434">
        <v>0.10694204225175601</v>
      </c>
      <c r="AG5434">
        <v>-0.18732889999999999</v>
      </c>
      <c r="AH5434">
        <v>0.44462858144677703</v>
      </c>
      <c r="AI5434">
        <v>112.27564649959</v>
      </c>
      <c r="AJ5434">
        <v>76.476101840885704</v>
      </c>
      <c r="AK5434">
        <v>0.49418953106633101</v>
      </c>
      <c r="AL5434">
        <v>89.273879173048599</v>
      </c>
      <c r="AM5434">
        <v>91.129238993556996</v>
      </c>
      <c r="AN5434">
        <v>1.0000000031598899</v>
      </c>
    </row>
    <row r="5435" spans="1:40" x14ac:dyDescent="0.25">
      <c r="A5435" t="str">
        <f>"20190312160755171"</f>
        <v>20190312160755171</v>
      </c>
      <c r="B5435" t="str">
        <f>"1552378075161257"</f>
        <v>1552378075161257</v>
      </c>
      <c r="C5435" t="s">
        <v>40</v>
      </c>
      <c r="D5435">
        <v>5.6514220000000002</v>
      </c>
      <c r="E5435">
        <v>0.56270880000000001</v>
      </c>
      <c r="F5435" t="s">
        <v>44</v>
      </c>
      <c r="G5435">
        <v>-418.49509999999998</v>
      </c>
      <c r="H5435">
        <v>0.93199739999999998</v>
      </c>
      <c r="I5435">
        <v>117.79940000000001</v>
      </c>
      <c r="J5435">
        <v>-418.2441</v>
      </c>
      <c r="K5435">
        <v>1.114098</v>
      </c>
      <c r="L5435">
        <v>118.2302</v>
      </c>
      <c r="M5435">
        <v>-0.28426390000000001</v>
      </c>
      <c r="N5435">
        <v>0</v>
      </c>
      <c r="O5435">
        <v>-0.95864039999999995</v>
      </c>
      <c r="P5435">
        <v>-0.2658605</v>
      </c>
      <c r="Q5435">
        <v>-1.551158E-3</v>
      </c>
      <c r="R5435">
        <v>-0.96401049999999999</v>
      </c>
      <c r="S5435">
        <v>-1.3019099999999999</v>
      </c>
      <c r="T5435">
        <v>-0.75777749999999999</v>
      </c>
      <c r="U5435">
        <v>-2.7487949999999999</v>
      </c>
      <c r="V5435">
        <v>-1.9298530000000001E-2</v>
      </c>
      <c r="W5435">
        <v>1.2497400000000001E-2</v>
      </c>
      <c r="X5435">
        <v>0.9997357</v>
      </c>
      <c r="Y5435">
        <v>0.14076820000000001</v>
      </c>
      <c r="Z5435">
        <v>0.23700309999999999</v>
      </c>
      <c r="AA5435">
        <v>0.96125640000000001</v>
      </c>
      <c r="AB5435">
        <v>25</v>
      </c>
      <c r="AC5435">
        <v>-0.25099999999997602</v>
      </c>
      <c r="AD5435">
        <v>-0.1821006</v>
      </c>
      <c r="AE5435">
        <v>-0.43079999999999002</v>
      </c>
      <c r="AF5435">
        <v>0.10426181422394699</v>
      </c>
      <c r="AG5435">
        <v>-0.1821006</v>
      </c>
      <c r="AH5435">
        <v>0.42737225316961402</v>
      </c>
      <c r="AI5435">
        <v>112.487262683376</v>
      </c>
      <c r="AJ5435">
        <v>76.289916173799298</v>
      </c>
      <c r="AK5435">
        <v>0.47610733790281101</v>
      </c>
      <c r="AL5435">
        <v>89.283933116021004</v>
      </c>
      <c r="AM5435">
        <v>91.105879292308202</v>
      </c>
      <c r="AN5435">
        <v>1.0000000440607</v>
      </c>
    </row>
    <row r="5436" spans="1:40" x14ac:dyDescent="0.25">
      <c r="A5436" t="str">
        <f>"20190312160755195"</f>
        <v>20190312160755195</v>
      </c>
      <c r="B5436" t="str">
        <f>"1552378075190537"</f>
        <v>1552378075190537</v>
      </c>
      <c r="C5436" t="s">
        <v>40</v>
      </c>
      <c r="D5436">
        <v>5.7251329999999996</v>
      </c>
      <c r="E5436">
        <v>0.56325599999999998</v>
      </c>
      <c r="F5436" t="s">
        <v>44</v>
      </c>
      <c r="G5436">
        <v>-418.54579999999999</v>
      </c>
      <c r="H5436">
        <v>0.93621100000000002</v>
      </c>
      <c r="I5436">
        <v>117.5848</v>
      </c>
      <c r="J5436">
        <v>-418.3091</v>
      </c>
      <c r="K5436">
        <v>1.114009</v>
      </c>
      <c r="L5436">
        <v>117.9854</v>
      </c>
      <c r="M5436">
        <v>-0.27812740000000002</v>
      </c>
      <c r="N5436">
        <v>0</v>
      </c>
      <c r="O5436">
        <v>-0.96043880000000004</v>
      </c>
      <c r="P5436">
        <v>-0.26034829999999998</v>
      </c>
      <c r="Q5436">
        <v>-1.574497E-3</v>
      </c>
      <c r="R5436">
        <v>-0.96551379999999998</v>
      </c>
      <c r="S5436">
        <v>-1.28714</v>
      </c>
      <c r="T5436">
        <v>-0.75999799999999995</v>
      </c>
      <c r="U5436">
        <v>-2.755814</v>
      </c>
      <c r="V5436">
        <v>-1.861351E-2</v>
      </c>
      <c r="W5436">
        <v>1.246879E-2</v>
      </c>
      <c r="X5436">
        <v>0.999749</v>
      </c>
      <c r="Y5436">
        <v>0.14183490000000001</v>
      </c>
      <c r="Z5436">
        <v>0.23800859999999999</v>
      </c>
      <c r="AA5436">
        <v>0.96085109999999996</v>
      </c>
      <c r="AB5436">
        <v>25</v>
      </c>
      <c r="AC5436">
        <v>-0.23669999999998401</v>
      </c>
      <c r="AD5436">
        <v>-0.17779800000000001</v>
      </c>
      <c r="AE5436">
        <v>-0.40059999999999701</v>
      </c>
      <c r="AF5436">
        <v>0.101159508216183</v>
      </c>
      <c r="AG5436">
        <v>-0.17779800000000001</v>
      </c>
      <c r="AH5436">
        <v>0.39321675270081402</v>
      </c>
      <c r="AI5436">
        <v>113.648802530591</v>
      </c>
      <c r="AJ5436">
        <v>75.572854124462793</v>
      </c>
      <c r="AK5436">
        <v>0.44324348783835898</v>
      </c>
      <c r="AL5436">
        <v>89.285572443196997</v>
      </c>
      <c r="AM5436">
        <v>91.066620085649305</v>
      </c>
      <c r="AN5436">
        <v>0.99999999823979202</v>
      </c>
    </row>
    <row r="5437" spans="1:40" x14ac:dyDescent="0.25">
      <c r="A5437" t="str">
        <f>"20190312160755216"</f>
        <v>20190312160755216</v>
      </c>
      <c r="B5437" t="str">
        <f>"1552378075211032"</f>
        <v>1552378075211032</v>
      </c>
      <c r="C5437" t="s">
        <v>40</v>
      </c>
      <c r="D5437">
        <v>5.1746509999999999</v>
      </c>
      <c r="E5437">
        <v>0.56343559999999904</v>
      </c>
      <c r="F5437" t="s">
        <v>44</v>
      </c>
      <c r="G5437">
        <v>-418.67779999999999</v>
      </c>
      <c r="H5437">
        <v>0.89374089999999995</v>
      </c>
      <c r="I5437">
        <v>117.18770000000001</v>
      </c>
      <c r="J5437">
        <v>-418.36950000000002</v>
      </c>
      <c r="K5437">
        <v>1.1139250000000001</v>
      </c>
      <c r="L5437">
        <v>117.7518</v>
      </c>
      <c r="M5437">
        <v>-0.27237709999999998</v>
      </c>
      <c r="N5437">
        <v>0</v>
      </c>
      <c r="O5437">
        <v>-0.96208550000000004</v>
      </c>
      <c r="P5437">
        <v>-0.25518249999999998</v>
      </c>
      <c r="Q5437">
        <v>-1.231602E-3</v>
      </c>
      <c r="R5437">
        <v>-0.96689219999999998</v>
      </c>
      <c r="S5437">
        <v>-1.2749330000000001</v>
      </c>
      <c r="T5437">
        <v>-0.76342509999999997</v>
      </c>
      <c r="U5437">
        <v>-2.7621150000000001</v>
      </c>
      <c r="V5437">
        <v>-1.7978910000000001E-2</v>
      </c>
      <c r="W5437">
        <v>1.280541E-2</v>
      </c>
      <c r="X5437">
        <v>0.99975630000000004</v>
      </c>
      <c r="Y5437">
        <v>0.14329149999999999</v>
      </c>
      <c r="Z5437">
        <v>0.23931720000000001</v>
      </c>
      <c r="AA5437">
        <v>0.96030970000000004</v>
      </c>
      <c r="AB5437">
        <v>25</v>
      </c>
      <c r="AC5437">
        <v>-0.30829999999997398</v>
      </c>
      <c r="AD5437">
        <v>-0.22018409999999999</v>
      </c>
      <c r="AE5437">
        <v>-0.56409999999999605</v>
      </c>
      <c r="AF5437">
        <v>0.12796533052534201</v>
      </c>
      <c r="AG5437">
        <v>-0.22018409999999999</v>
      </c>
      <c r="AH5437">
        <v>0.56094302189506895</v>
      </c>
      <c r="AI5437">
        <v>110.94151254800499</v>
      </c>
      <c r="AJ5437">
        <v>77.149289502685704</v>
      </c>
      <c r="AK5437">
        <v>0.616046457275782</v>
      </c>
      <c r="AL5437">
        <v>89.266283954507301</v>
      </c>
      <c r="AM5437">
        <v>91.030255712044905</v>
      </c>
      <c r="AN5437">
        <v>0.99999993955987099</v>
      </c>
    </row>
    <row r="5438" spans="1:40" x14ac:dyDescent="0.25">
      <c r="A5438" t="str">
        <f>"20190312160755239"</f>
        <v>20190312160755239</v>
      </c>
      <c r="B5438" t="str">
        <f>"1552378075230552"</f>
        <v>1552378075230552</v>
      </c>
      <c r="C5438" t="s">
        <v>40</v>
      </c>
      <c r="D5438">
        <v>5.8663100000000004</v>
      </c>
      <c r="E5438">
        <v>0.5633705</v>
      </c>
      <c r="F5438" t="s">
        <v>44</v>
      </c>
      <c r="G5438">
        <v>-418.72469999999998</v>
      </c>
      <c r="H5438">
        <v>0.89937469999999997</v>
      </c>
      <c r="I5438">
        <v>116.9721</v>
      </c>
      <c r="J5438">
        <v>-418.428</v>
      </c>
      <c r="K5438">
        <v>1.113853</v>
      </c>
      <c r="L5438">
        <v>117.52070000000001</v>
      </c>
      <c r="M5438">
        <v>-0.26677139999999999</v>
      </c>
      <c r="N5438">
        <v>0</v>
      </c>
      <c r="O5438">
        <v>-0.96365520000000005</v>
      </c>
      <c r="P5438">
        <v>-0.24998509999999999</v>
      </c>
      <c r="Q5438">
        <v>-4.1685030000000002E-4</v>
      </c>
      <c r="R5438">
        <v>-0.96824969999999999</v>
      </c>
      <c r="S5438">
        <v>-1.2610170000000001</v>
      </c>
      <c r="T5438">
        <v>-0.76200749999999995</v>
      </c>
      <c r="U5438">
        <v>-2.768967</v>
      </c>
      <c r="V5438">
        <v>-1.7534419999999998E-2</v>
      </c>
      <c r="W5438">
        <v>1.3612630000000001E-2</v>
      </c>
      <c r="X5438">
        <v>0.99975360000000002</v>
      </c>
      <c r="Y5438">
        <v>0.14418429999999999</v>
      </c>
      <c r="Z5438">
        <v>0.2391672</v>
      </c>
      <c r="AA5438">
        <v>0.96021350000000005</v>
      </c>
      <c r="AB5438">
        <v>25</v>
      </c>
      <c r="AC5438">
        <v>-0.29669999999993002</v>
      </c>
      <c r="AD5438">
        <v>-0.21447829999999901</v>
      </c>
      <c r="AE5438">
        <v>-0.54860000000000697</v>
      </c>
      <c r="AF5438">
        <v>0.124819109747191</v>
      </c>
      <c r="AG5438">
        <v>-0.21447829999999901</v>
      </c>
      <c r="AH5438">
        <v>0.54359049590142605</v>
      </c>
      <c r="AI5438">
        <v>111.034299303335</v>
      </c>
      <c r="AJ5438">
        <v>77.067929715193301</v>
      </c>
      <c r="AK5438">
        <v>0.59755449840439601</v>
      </c>
      <c r="AL5438">
        <v>89.220029671012199</v>
      </c>
      <c r="AM5438">
        <v>91.004792849744504</v>
      </c>
      <c r="AN5438">
        <v>1.0000000101466</v>
      </c>
    </row>
    <row r="5439" spans="1:40" x14ac:dyDescent="0.25">
      <c r="A5439" t="str">
        <f>"20190312160755260"</f>
        <v>20190312160755260</v>
      </c>
      <c r="B5439" t="str">
        <f>"1552378075251049"</f>
        <v>1552378075251049</v>
      </c>
      <c r="C5439" t="s">
        <v>40</v>
      </c>
      <c r="D5439">
        <v>5.9056730000000002</v>
      </c>
      <c r="E5439">
        <v>0.56340409999999996</v>
      </c>
      <c r="F5439" t="s">
        <v>44</v>
      </c>
      <c r="G5439">
        <v>-418.7713</v>
      </c>
      <c r="H5439">
        <v>0.90623220000000004</v>
      </c>
      <c r="I5439">
        <v>116.75620000000001</v>
      </c>
      <c r="J5439">
        <v>-418.48520000000002</v>
      </c>
      <c r="K5439">
        <v>1.113793</v>
      </c>
      <c r="L5439">
        <v>117.2897</v>
      </c>
      <c r="M5439">
        <v>-0.26124530000000001</v>
      </c>
      <c r="N5439">
        <v>0</v>
      </c>
      <c r="O5439">
        <v>-0.96516829999999998</v>
      </c>
      <c r="P5439">
        <v>-0.24523329999999999</v>
      </c>
      <c r="Q5439">
        <v>-1.515559E-4</v>
      </c>
      <c r="R5439">
        <v>-0.96946399999999999</v>
      </c>
      <c r="S5439">
        <v>-1.2451779999999999</v>
      </c>
      <c r="T5439">
        <v>-0.75477740000000004</v>
      </c>
      <c r="U5439">
        <v>-2.7765499999999999</v>
      </c>
      <c r="V5439">
        <v>-1.6709149999999999E-2</v>
      </c>
      <c r="W5439">
        <v>1.3874869999999999E-2</v>
      </c>
      <c r="X5439">
        <v>0.99976410000000004</v>
      </c>
      <c r="Y5439">
        <v>0.144519799999999</v>
      </c>
      <c r="Z5439">
        <v>0.23726269999999999</v>
      </c>
      <c r="AA5439">
        <v>0.96063540000000003</v>
      </c>
      <c r="AB5439">
        <v>25</v>
      </c>
      <c r="AC5439">
        <v>-0.28609999999997598</v>
      </c>
      <c r="AD5439">
        <v>-0.20756079999999899</v>
      </c>
      <c r="AE5439">
        <v>-0.53349999999998898</v>
      </c>
      <c r="AF5439">
        <v>0.122386708555823</v>
      </c>
      <c r="AG5439">
        <v>-0.20756079999999899</v>
      </c>
      <c r="AH5439">
        <v>0.52768605122197298</v>
      </c>
      <c r="AI5439">
        <v>110.965368216686</v>
      </c>
      <c r="AJ5439">
        <v>76.942205097952296</v>
      </c>
      <c r="AK5439">
        <v>0.58009702704117205</v>
      </c>
      <c r="AL5439">
        <v>89.205002984004494</v>
      </c>
      <c r="AM5439">
        <v>90.957500524229104</v>
      </c>
      <c r="AN5439">
        <v>0.99999998168002402</v>
      </c>
    </row>
    <row r="5440" spans="1:40" x14ac:dyDescent="0.25">
      <c r="A5440" t="str">
        <f>"20190312160755283"</f>
        <v>20190312160755283</v>
      </c>
      <c r="B5440" t="str">
        <f>"1552378075280990"</f>
        <v>1552378075280990</v>
      </c>
      <c r="C5440" t="s">
        <v>40</v>
      </c>
      <c r="D5440">
        <v>5.898352</v>
      </c>
      <c r="E5440">
        <v>0.56348189999999998</v>
      </c>
      <c r="F5440" t="s">
        <v>44</v>
      </c>
      <c r="G5440">
        <v>-418.8168</v>
      </c>
      <c r="H5440">
        <v>0.91184699999999996</v>
      </c>
      <c r="I5440">
        <v>116.54089999999999</v>
      </c>
      <c r="J5440">
        <v>-418.54239999999999</v>
      </c>
      <c r="K5440">
        <v>1.1137360000000001</v>
      </c>
      <c r="L5440">
        <v>117.0528</v>
      </c>
      <c r="M5440">
        <v>-0.25566489999999997</v>
      </c>
      <c r="N5440">
        <v>0</v>
      </c>
      <c r="O5440">
        <v>-0.96666180000000002</v>
      </c>
      <c r="P5440">
        <v>-0.2403566</v>
      </c>
      <c r="Q5440">
        <v>1.586914E-4</v>
      </c>
      <c r="R5440">
        <v>-0.97068489999999996</v>
      </c>
      <c r="S5440">
        <v>-1.231689</v>
      </c>
      <c r="T5440">
        <v>-0.75087939999999997</v>
      </c>
      <c r="U5440">
        <v>-2.7828059999999999</v>
      </c>
      <c r="V5440">
        <v>-1.5959669999999999E-2</v>
      </c>
      <c r="W5440">
        <v>1.4180959999999999E-2</v>
      </c>
      <c r="X5440">
        <v>0.99977210000000005</v>
      </c>
      <c r="Y5440">
        <v>0.14564160000000001</v>
      </c>
      <c r="Z5440">
        <v>0.23637320000000001</v>
      </c>
      <c r="AA5440">
        <v>0.96068529999999996</v>
      </c>
      <c r="AB5440">
        <v>24</v>
      </c>
      <c r="AC5440">
        <v>-0.27440000000001402</v>
      </c>
      <c r="AD5440">
        <v>-0.20188900000000001</v>
      </c>
      <c r="AE5440">
        <v>-0.51190000000001101</v>
      </c>
      <c r="AF5440">
        <v>0.11990315288759899</v>
      </c>
      <c r="AG5440">
        <v>-0.20188900000000001</v>
      </c>
      <c r="AH5440">
        <v>0.50413276822208897</v>
      </c>
      <c r="AI5440">
        <v>111.285890104896</v>
      </c>
      <c r="AJ5440">
        <v>76.621319396139697</v>
      </c>
      <c r="AK5440">
        <v>0.55613468008087197</v>
      </c>
      <c r="AL5440">
        <v>89.187463632990301</v>
      </c>
      <c r="AM5440">
        <v>90.914552498632005</v>
      </c>
      <c r="AN5440">
        <v>1.00000003131571</v>
      </c>
    </row>
    <row r="5441" spans="1:40" x14ac:dyDescent="0.25">
      <c r="A5441" t="str">
        <f>"20190312160755306"</f>
        <v>20190312160755306</v>
      </c>
      <c r="B5441" t="str">
        <f>"1552378075300512"</f>
        <v>1552378075300512</v>
      </c>
      <c r="C5441" t="s">
        <v>40</v>
      </c>
      <c r="D5441">
        <v>5.8912760000000004</v>
      </c>
      <c r="E5441">
        <v>0.56352869999999899</v>
      </c>
      <c r="F5441" t="s">
        <v>44</v>
      </c>
      <c r="G5441">
        <v>-418.86059999999998</v>
      </c>
      <c r="H5441">
        <v>0.91899779999999998</v>
      </c>
      <c r="I5441">
        <v>116.3248</v>
      </c>
      <c r="J5441">
        <v>-418.59829999999999</v>
      </c>
      <c r="K5441">
        <v>1.1136710000000001</v>
      </c>
      <c r="L5441">
        <v>116.81570000000001</v>
      </c>
      <c r="M5441">
        <v>-0.2501698</v>
      </c>
      <c r="N5441">
        <v>0</v>
      </c>
      <c r="O5441">
        <v>-0.96809860000000003</v>
      </c>
      <c r="P5441">
        <v>-0.23587859999999999</v>
      </c>
      <c r="Q5441">
        <v>3.2312420000000001E-4</v>
      </c>
      <c r="R5441">
        <v>-0.97178279999999995</v>
      </c>
      <c r="S5441">
        <v>-1.217743</v>
      </c>
      <c r="T5441">
        <v>-0.74670389999999998</v>
      </c>
      <c r="U5441">
        <v>-2.7891689999999998</v>
      </c>
      <c r="V5441">
        <v>-1.488889E-2</v>
      </c>
      <c r="W5441">
        <v>1.4344030000000001E-2</v>
      </c>
      <c r="X5441">
        <v>0.99978630000000002</v>
      </c>
      <c r="Y5441">
        <v>0.14652950000000001</v>
      </c>
      <c r="Z5441">
        <v>0.23537810000000001</v>
      </c>
      <c r="AA5441">
        <v>0.96079460000000005</v>
      </c>
      <c r="AB5441">
        <v>24</v>
      </c>
      <c r="AC5441">
        <v>-0.26229999999998199</v>
      </c>
      <c r="AD5441">
        <v>-0.19467319999999899</v>
      </c>
      <c r="AE5441">
        <v>-0.49090000000001</v>
      </c>
      <c r="AF5441">
        <v>0.116842967357527</v>
      </c>
      <c r="AG5441">
        <v>-0.19467319999999899</v>
      </c>
      <c r="AH5441">
        <v>0.48195319963227401</v>
      </c>
      <c r="AI5441">
        <v>111.432687157732</v>
      </c>
      <c r="AJ5441">
        <v>76.372350747165399</v>
      </c>
      <c r="AK5441">
        <v>0.53275587322425499</v>
      </c>
      <c r="AL5441">
        <v>89.178119465525995</v>
      </c>
      <c r="AM5441">
        <v>90.853189830785496</v>
      </c>
      <c r="AN5441">
        <v>1.0000000379548799</v>
      </c>
    </row>
    <row r="5442" spans="1:40" x14ac:dyDescent="0.25">
      <c r="A5442" t="str">
        <f>"20190312160755328"</f>
        <v>20190312160755328</v>
      </c>
      <c r="B5442" t="str">
        <f>"1552378075321006"</f>
        <v>1552378075321006</v>
      </c>
      <c r="C5442" t="s">
        <v>40</v>
      </c>
      <c r="D5442">
        <v>5.8866589999999999</v>
      </c>
      <c r="E5442">
        <v>0.56345159999999905</v>
      </c>
      <c r="F5442" t="s">
        <v>44</v>
      </c>
      <c r="G5442">
        <v>-418.90300000000002</v>
      </c>
      <c r="H5442">
        <v>0.92538710000000002</v>
      </c>
      <c r="I5442">
        <v>116.1092</v>
      </c>
      <c r="J5442">
        <v>-418.65320000000003</v>
      </c>
      <c r="K5442">
        <v>1.1135930000000001</v>
      </c>
      <c r="L5442">
        <v>116.5776</v>
      </c>
      <c r="M5442">
        <v>-0.24474000000000001</v>
      </c>
      <c r="N5442">
        <v>0</v>
      </c>
      <c r="O5442">
        <v>-0.96948570000000001</v>
      </c>
      <c r="P5442">
        <v>-0.2316173</v>
      </c>
      <c r="Q5442">
        <v>6.8448969999999995E-4</v>
      </c>
      <c r="R5442">
        <v>-0.97280699999999998</v>
      </c>
      <c r="S5442">
        <v>-1.2049559999999999</v>
      </c>
      <c r="T5442">
        <v>-0.74485469999999998</v>
      </c>
      <c r="U5442">
        <v>-2.7948759999999999</v>
      </c>
      <c r="V5442">
        <v>-1.366741E-2</v>
      </c>
      <c r="W5442">
        <v>1.470495E-2</v>
      </c>
      <c r="X5442">
        <v>0.99979850000000003</v>
      </c>
      <c r="Y5442">
        <v>0.1476896</v>
      </c>
      <c r="Z5442">
        <v>0.23507539999999999</v>
      </c>
      <c r="AA5442">
        <v>0.96069110000000002</v>
      </c>
      <c r="AB5442">
        <v>24</v>
      </c>
      <c r="AC5442">
        <v>-0.249799999999993</v>
      </c>
      <c r="AD5442">
        <v>-0.18820590000000001</v>
      </c>
      <c r="AE5442">
        <v>-0.46840000000000198</v>
      </c>
      <c r="AF5442">
        <v>0.113311100982931</v>
      </c>
      <c r="AG5442">
        <v>-0.18820590000000001</v>
      </c>
      <c r="AH5442">
        <v>0.45775575136117203</v>
      </c>
      <c r="AI5442">
        <v>111.757119356697</v>
      </c>
      <c r="AJ5442">
        <v>76.0966970091863</v>
      </c>
      <c r="AK5442">
        <v>0.50774126708886402</v>
      </c>
      <c r="AL5442">
        <v>89.157438091163996</v>
      </c>
      <c r="AM5442">
        <v>90.783193949678207</v>
      </c>
      <c r="AN5442">
        <v>1.0000000371264199</v>
      </c>
    </row>
    <row r="5443" spans="1:40" x14ac:dyDescent="0.25">
      <c r="A5443" t="str">
        <f>"20190312160755351"</f>
        <v>20190312160755351</v>
      </c>
      <c r="B5443" t="str">
        <f>"1552378075340526"</f>
        <v>1552378075340526</v>
      </c>
      <c r="C5443" t="s">
        <v>40</v>
      </c>
      <c r="D5443">
        <v>5.6151819999999999</v>
      </c>
      <c r="E5443">
        <v>0.56337269999999995</v>
      </c>
      <c r="F5443" t="s">
        <v>44</v>
      </c>
      <c r="G5443">
        <v>-418.94470000000001</v>
      </c>
      <c r="H5443">
        <v>0.93278320000000003</v>
      </c>
      <c r="I5443">
        <v>115.89319999999999</v>
      </c>
      <c r="J5443">
        <v>-418.70569999999998</v>
      </c>
      <c r="K5443">
        <v>1.1135170000000001</v>
      </c>
      <c r="L5443">
        <v>116.34439999999999</v>
      </c>
      <c r="M5443">
        <v>-0.23951059999999999</v>
      </c>
      <c r="N5443">
        <v>0</v>
      </c>
      <c r="O5443">
        <v>-0.97079110000000002</v>
      </c>
      <c r="P5443">
        <v>-0.22755040000000001</v>
      </c>
      <c r="Q5443">
        <v>9.3053160000000005E-4</v>
      </c>
      <c r="R5443">
        <v>-0.97376609999999997</v>
      </c>
      <c r="S5443">
        <v>-1.1918329999999999</v>
      </c>
      <c r="T5443">
        <v>-0.74012789999999995</v>
      </c>
      <c r="U5443">
        <v>-2.8006289999999998</v>
      </c>
      <c r="V5443">
        <v>-1.2455010000000001E-2</v>
      </c>
      <c r="W5443">
        <v>1.49505E-2</v>
      </c>
      <c r="X5443">
        <v>0.99981059999999999</v>
      </c>
      <c r="Y5443">
        <v>0.1486191</v>
      </c>
      <c r="Z5443">
        <v>0.2338894</v>
      </c>
      <c r="AA5443">
        <v>0.96083719999999995</v>
      </c>
      <c r="AB5443">
        <v>24</v>
      </c>
      <c r="AC5443">
        <v>-0.23900000000003199</v>
      </c>
      <c r="AD5443">
        <v>-0.1807338</v>
      </c>
      <c r="AE5443">
        <v>-0.45119999999999999</v>
      </c>
      <c r="AF5443">
        <v>0.110161555013952</v>
      </c>
      <c r="AG5443">
        <v>-0.1807338</v>
      </c>
      <c r="AH5443">
        <v>0.44016311367893002</v>
      </c>
      <c r="AI5443">
        <v>111.71843121077799</v>
      </c>
      <c r="AJ5443">
        <v>75.948960857200504</v>
      </c>
      <c r="AK5443">
        <v>0.48840950165722902</v>
      </c>
      <c r="AL5443">
        <v>89.143367483171502</v>
      </c>
      <c r="AM5443">
        <v>90.7137177737781</v>
      </c>
      <c r="AN5443">
        <v>0.99999994029835304</v>
      </c>
    </row>
    <row r="5444" spans="1:40" x14ac:dyDescent="0.25">
      <c r="A5444" t="str">
        <f>"20190312160755372"</f>
        <v>20190312160755372</v>
      </c>
      <c r="B5444" t="str">
        <f>"1552378075361022"</f>
        <v>1552378075361022</v>
      </c>
      <c r="C5444" t="s">
        <v>40</v>
      </c>
      <c r="D5444">
        <v>6.0269519999999996</v>
      </c>
      <c r="E5444">
        <v>0.56337749999999998</v>
      </c>
      <c r="F5444" t="s">
        <v>44</v>
      </c>
      <c r="G5444">
        <v>-418.98599999999999</v>
      </c>
      <c r="H5444">
        <v>0.93883369999999999</v>
      </c>
      <c r="I5444">
        <v>115.678</v>
      </c>
      <c r="J5444">
        <v>-418.75650000000002</v>
      </c>
      <c r="K5444">
        <v>1.1134360000000001</v>
      </c>
      <c r="L5444">
        <v>116.1135</v>
      </c>
      <c r="M5444">
        <v>-0.2344242</v>
      </c>
      <c r="N5444">
        <v>0</v>
      </c>
      <c r="O5444">
        <v>-0.97203209999999995</v>
      </c>
      <c r="P5444">
        <v>-0.223158</v>
      </c>
      <c r="Q5444">
        <v>9.6795409999999996E-4</v>
      </c>
      <c r="R5444">
        <v>-0.97478220000000004</v>
      </c>
      <c r="S5444">
        <v>-1.179352</v>
      </c>
      <c r="T5444">
        <v>-0.73580269999999903</v>
      </c>
      <c r="U5444">
        <v>-2.8059229999999999</v>
      </c>
      <c r="V5444">
        <v>-1.1724139999999999E-2</v>
      </c>
      <c r="W5444">
        <v>1.498292E-2</v>
      </c>
      <c r="X5444">
        <v>0.99981900000000001</v>
      </c>
      <c r="Y5444">
        <v>0.14962420000000001</v>
      </c>
      <c r="Z5444">
        <v>0.2328161</v>
      </c>
      <c r="AA5444">
        <v>0.96094190000000002</v>
      </c>
      <c r="AB5444">
        <v>24</v>
      </c>
      <c r="AC5444">
        <v>-0.229499999999973</v>
      </c>
      <c r="AD5444">
        <v>-0.17460229999999999</v>
      </c>
      <c r="AE5444">
        <v>-0.435500000000004</v>
      </c>
      <c r="AF5444">
        <v>0.107480292050172</v>
      </c>
      <c r="AG5444">
        <v>-0.17460229999999999</v>
      </c>
      <c r="AH5444">
        <v>0.42384652051223798</v>
      </c>
      <c r="AI5444">
        <v>111.76723987576599</v>
      </c>
      <c r="AJ5444">
        <v>75.770702647199201</v>
      </c>
      <c r="AK5444">
        <v>0.47083314379386199</v>
      </c>
      <c r="AL5444">
        <v>89.141509786810502</v>
      </c>
      <c r="AM5444">
        <v>90.671834555588902</v>
      </c>
      <c r="AN5444">
        <v>0.99999998805573198</v>
      </c>
    </row>
    <row r="5445" spans="1:40" x14ac:dyDescent="0.25">
      <c r="A5445" t="str">
        <f>"20190312160755395"</f>
        <v>20190312160755395</v>
      </c>
      <c r="B5445" t="str">
        <f>"1552378075391100"</f>
        <v>1552378075391100</v>
      </c>
      <c r="C5445" t="s">
        <v>40</v>
      </c>
      <c r="D5445">
        <v>5.8003400000000003</v>
      </c>
      <c r="E5445">
        <v>0.56310799999999905</v>
      </c>
      <c r="F5445" t="s">
        <v>44</v>
      </c>
      <c r="G5445">
        <v>-419.02679999999998</v>
      </c>
      <c r="H5445">
        <v>0.9440733</v>
      </c>
      <c r="I5445">
        <v>115.46339999999999</v>
      </c>
      <c r="J5445">
        <v>-418.80889999999999</v>
      </c>
      <c r="K5445">
        <v>1.113354</v>
      </c>
      <c r="L5445">
        <v>115.8698</v>
      </c>
      <c r="M5445">
        <v>-0.22917100000000001</v>
      </c>
      <c r="N5445">
        <v>0</v>
      </c>
      <c r="O5445">
        <v>-0.97328409999999999</v>
      </c>
      <c r="P5445">
        <v>-0.21889529999999999</v>
      </c>
      <c r="Q5445">
        <v>1.3958880000000001E-3</v>
      </c>
      <c r="R5445">
        <v>-0.97574729999999998</v>
      </c>
      <c r="S5445">
        <v>-1.1669309999999999</v>
      </c>
      <c r="T5445">
        <v>-0.73327799999999999</v>
      </c>
      <c r="U5445">
        <v>-2.8112029999999999</v>
      </c>
      <c r="V5445">
        <v>-1.069429E-2</v>
      </c>
      <c r="W5445">
        <v>1.540773E-2</v>
      </c>
      <c r="X5445">
        <v>0.99982409999999999</v>
      </c>
      <c r="Y5445">
        <v>0.1507587</v>
      </c>
      <c r="Z5445">
        <v>0.2322765</v>
      </c>
      <c r="AA5445">
        <v>0.9608951</v>
      </c>
      <c r="AB5445">
        <v>24</v>
      </c>
      <c r="AC5445">
        <v>-0.21789999999998599</v>
      </c>
      <c r="AD5445">
        <v>-0.16928070000000001</v>
      </c>
      <c r="AE5445">
        <v>-0.40640000000000498</v>
      </c>
      <c r="AF5445">
        <v>0.104828449399972</v>
      </c>
      <c r="AG5445">
        <v>-0.16928070000000001</v>
      </c>
      <c r="AH5445">
        <v>0.39261389232573402</v>
      </c>
      <c r="AI5445">
        <v>112.615160570423</v>
      </c>
      <c r="AJ5445">
        <v>75.050680084585593</v>
      </c>
      <c r="AK5445">
        <v>0.44021656902399198</v>
      </c>
      <c r="AL5445">
        <v>89.117167164935395</v>
      </c>
      <c r="AM5445">
        <v>90.612822111520899</v>
      </c>
      <c r="AN5445">
        <v>0.99999999846158305</v>
      </c>
    </row>
    <row r="5446" spans="1:40" x14ac:dyDescent="0.25">
      <c r="A5446" t="str">
        <f>"20190312160755418"</f>
        <v>20190312160755418</v>
      </c>
      <c r="B5446" t="str">
        <f>"1552378075410616"</f>
        <v>1552378075410616</v>
      </c>
      <c r="C5446" t="s">
        <v>40</v>
      </c>
      <c r="D5446">
        <v>5.8754629999999999</v>
      </c>
      <c r="E5446">
        <v>0.45571460000000003</v>
      </c>
      <c r="F5446" t="s">
        <v>44</v>
      </c>
      <c r="G5446">
        <v>-419.13929999999999</v>
      </c>
      <c r="H5446">
        <v>0.90427020000000002</v>
      </c>
      <c r="I5446">
        <v>115.0639</v>
      </c>
      <c r="J5446">
        <v>-418.85860000000002</v>
      </c>
      <c r="K5446">
        <v>1.1132770000000001</v>
      </c>
      <c r="L5446">
        <v>115.6327</v>
      </c>
      <c r="M5446">
        <v>-0.22417100000000001</v>
      </c>
      <c r="N5446">
        <v>0</v>
      </c>
      <c r="O5446">
        <v>-0.97444810000000004</v>
      </c>
      <c r="P5446">
        <v>-0.21499779999999999</v>
      </c>
      <c r="Q5446">
        <v>1.196889E-3</v>
      </c>
      <c r="R5446">
        <v>-0.97661399999999998</v>
      </c>
      <c r="S5446">
        <v>-1.1532899999999999</v>
      </c>
      <c r="T5446">
        <v>-0.73144600000000004</v>
      </c>
      <c r="U5446">
        <v>-2.8168950000000001</v>
      </c>
      <c r="V5446">
        <v>-9.5481960000000001E-3</v>
      </c>
      <c r="W5446">
        <v>1.5206529999999999E-2</v>
      </c>
      <c r="X5446">
        <v>0.99983880000000003</v>
      </c>
      <c r="Y5446">
        <v>0.1512057</v>
      </c>
      <c r="Z5446">
        <v>0.23190930000000001</v>
      </c>
      <c r="AA5446">
        <v>0.96091360000000003</v>
      </c>
      <c r="AB5446">
        <v>24</v>
      </c>
      <c r="AC5446">
        <v>-0.28069999999996698</v>
      </c>
      <c r="AD5446">
        <v>-0.20900679999999999</v>
      </c>
      <c r="AE5446">
        <v>-0.56879999999999598</v>
      </c>
      <c r="AF5446">
        <v>0.13173052520106199</v>
      </c>
      <c r="AG5446">
        <v>-0.20900679999999999</v>
      </c>
      <c r="AH5446">
        <v>0.55679612628899799</v>
      </c>
      <c r="AI5446">
        <v>110.066741944352</v>
      </c>
      <c r="AJ5446">
        <v>76.689329117919101</v>
      </c>
      <c r="AK5446">
        <v>0.60914587741067505</v>
      </c>
      <c r="AL5446">
        <v>89.128696442128401</v>
      </c>
      <c r="AM5446">
        <v>90.547142902606595</v>
      </c>
      <c r="AN5446">
        <v>1.0000000162934599</v>
      </c>
    </row>
    <row r="5447" spans="1:40" x14ac:dyDescent="0.25">
      <c r="A5447" t="str">
        <f>"20190312160755439"</f>
        <v>20190312160755439</v>
      </c>
      <c r="B5447" t="str">
        <f>"1552378075431116"</f>
        <v>1552378075431116</v>
      </c>
      <c r="C5447" t="s">
        <v>40</v>
      </c>
      <c r="D5447">
        <v>6.0967549999999999</v>
      </c>
      <c r="E5447">
        <v>0.44666210000000001</v>
      </c>
      <c r="F5447" t="s">
        <v>47</v>
      </c>
      <c r="G5447">
        <v>-419.73660000000001</v>
      </c>
      <c r="H5447" s="1">
        <v>-3.4831379999999999E-6</v>
      </c>
      <c r="I5447">
        <v>106.90089999999999</v>
      </c>
      <c r="J5447">
        <v>-418.90480000000002</v>
      </c>
      <c r="K5447">
        <v>1.1132150000000001</v>
      </c>
      <c r="L5447">
        <v>115.40689999999999</v>
      </c>
      <c r="M5447">
        <v>-0.21949099999999999</v>
      </c>
      <c r="N5447">
        <v>0</v>
      </c>
      <c r="O5447">
        <v>-0.97551310000000002</v>
      </c>
      <c r="P5447">
        <v>-0.21149950000000001</v>
      </c>
      <c r="Q5447">
        <v>1.251912E-3</v>
      </c>
      <c r="R5447">
        <v>-0.97737770000000002</v>
      </c>
      <c r="S5447">
        <v>-0.30224610000000002</v>
      </c>
      <c r="T5447">
        <v>-0.38322879999999998</v>
      </c>
      <c r="U5447">
        <v>-3.0057680000000002</v>
      </c>
      <c r="V5447">
        <v>-8.3267210000000005E-3</v>
      </c>
      <c r="W5447">
        <v>1.526041E-2</v>
      </c>
      <c r="X5447">
        <v>0.99984890000000004</v>
      </c>
      <c r="Y5447">
        <v>-0.1215492</v>
      </c>
      <c r="Z5447">
        <v>0.12111189999999999</v>
      </c>
      <c r="AA5447">
        <v>0.98516890000000001</v>
      </c>
      <c r="AB5447">
        <v>24</v>
      </c>
      <c r="AC5447">
        <v>-0.83179999999998699</v>
      </c>
      <c r="AD5447">
        <v>-1.1132184831380001</v>
      </c>
      <c r="AE5447">
        <v>-8.5060000000000002</v>
      </c>
      <c r="AF5447">
        <v>-1.0380516364694199</v>
      </c>
      <c r="AG5447">
        <v>-1.1132184831380001</v>
      </c>
      <c r="AH5447">
        <v>8.3396368803672196</v>
      </c>
      <c r="AI5447">
        <v>97.545645000443102</v>
      </c>
      <c r="AJ5447">
        <v>97.095230061910797</v>
      </c>
      <c r="AK5447">
        <v>8.4774023077566607</v>
      </c>
      <c r="AL5447">
        <v>89.125608989351093</v>
      </c>
      <c r="AM5447">
        <v>90.477147038388694</v>
      </c>
      <c r="AN5447">
        <v>1.00000001861359</v>
      </c>
    </row>
    <row r="5448" spans="1:40" x14ac:dyDescent="0.25">
      <c r="A5448" t="str">
        <f>"20190312160755485"</f>
        <v>20190312160755485</v>
      </c>
      <c r="B5448" t="str">
        <f>"1552378075480517"</f>
        <v>1552378075480517</v>
      </c>
      <c r="C5448" t="s">
        <v>40</v>
      </c>
      <c r="D5448">
        <v>6.0158620000000003</v>
      </c>
      <c r="E5448">
        <v>0.44276349999999998</v>
      </c>
      <c r="F5448" t="s">
        <v>47</v>
      </c>
      <c r="G5448">
        <v>-419.68040000000002</v>
      </c>
      <c r="H5448" s="1">
        <v>-2.4775250000000001E-6</v>
      </c>
      <c r="I5448">
        <v>104.7525</v>
      </c>
      <c r="J5448">
        <v>-418.99849999999998</v>
      </c>
      <c r="K5448">
        <v>1.113094</v>
      </c>
      <c r="L5448">
        <v>114.9336</v>
      </c>
      <c r="M5448">
        <v>-0.20992530000000001</v>
      </c>
      <c r="N5448">
        <v>0</v>
      </c>
      <c r="O5448">
        <v>-0.9776165</v>
      </c>
      <c r="P5448">
        <v>-0.2037746</v>
      </c>
      <c r="Q5448">
        <v>1.7109099999999999E-3</v>
      </c>
      <c r="R5448">
        <v>-0.97901649999999996</v>
      </c>
      <c r="S5448">
        <v>-0.22000120000000001</v>
      </c>
      <c r="T5448">
        <v>-0.31577769999999999</v>
      </c>
      <c r="U5448">
        <v>-3.0222470000000001</v>
      </c>
      <c r="V5448">
        <v>-6.427706E-3</v>
      </c>
      <c r="W5448">
        <v>1.571239E-2</v>
      </c>
      <c r="X5448">
        <v>0.99985590000000002</v>
      </c>
      <c r="Y5448">
        <v>-0.1387737</v>
      </c>
      <c r="Z5448">
        <v>9.9828330000000007E-2</v>
      </c>
      <c r="AA5448">
        <v>0.98527969999999998</v>
      </c>
      <c r="AB5448">
        <v>24</v>
      </c>
      <c r="AC5448">
        <v>-0.68190000000004103</v>
      </c>
      <c r="AD5448">
        <v>-1.1130964775250001</v>
      </c>
      <c r="AE5448">
        <v>-10.181100000000001</v>
      </c>
      <c r="AF5448">
        <v>-1.4534830482422101</v>
      </c>
      <c r="AG5448">
        <v>-1.1130964775250001</v>
      </c>
      <c r="AH5448">
        <v>9.9786142862339506</v>
      </c>
      <c r="AI5448">
        <v>96.298999781377205</v>
      </c>
      <c r="AJ5448">
        <v>98.287409542540701</v>
      </c>
      <c r="AK5448">
        <v>10.1451633704558</v>
      </c>
      <c r="AL5448">
        <v>89.099709327423298</v>
      </c>
      <c r="AM5448">
        <v>90.368328428656298</v>
      </c>
      <c r="AN5448">
        <v>1.00000000768437</v>
      </c>
    </row>
    <row r="5449" spans="1:40" x14ac:dyDescent="0.25">
      <c r="A5449" t="str">
        <f>"20190312160755507"</f>
        <v>20190312160755507</v>
      </c>
      <c r="B5449" t="str">
        <f>"1552378075501013"</f>
        <v>1552378075501013</v>
      </c>
      <c r="C5449" t="s">
        <v>40</v>
      </c>
      <c r="D5449">
        <v>5.9629820000000002</v>
      </c>
      <c r="E5449">
        <v>0.44255630000000001</v>
      </c>
      <c r="F5449" t="s">
        <v>47</v>
      </c>
      <c r="G5449">
        <v>-419.6472</v>
      </c>
      <c r="H5449" s="1">
        <v>-1.7014539999999999E-6</v>
      </c>
      <c r="I5449">
        <v>103.09829999999999</v>
      </c>
      <c r="J5449">
        <v>-419.04410000000001</v>
      </c>
      <c r="K5449">
        <v>1.113032</v>
      </c>
      <c r="L5449">
        <v>114.69450000000001</v>
      </c>
      <c r="M5449">
        <v>-0.2052147</v>
      </c>
      <c r="N5449">
        <v>0</v>
      </c>
      <c r="O5449">
        <v>-0.97861629999999999</v>
      </c>
      <c r="P5449">
        <v>-0.1997572</v>
      </c>
      <c r="Q5449">
        <v>1.572742E-3</v>
      </c>
      <c r="R5449">
        <v>-0.97984389999999999</v>
      </c>
      <c r="S5449">
        <v>-0.16610720000000001</v>
      </c>
      <c r="T5449">
        <v>-0.28498699999999999</v>
      </c>
      <c r="U5449">
        <v>-3.0302120000000001</v>
      </c>
      <c r="V5449">
        <v>-5.7097040000000003E-3</v>
      </c>
      <c r="W5449">
        <v>1.5569360000000001E-2</v>
      </c>
      <c r="X5449">
        <v>0.99986249999999999</v>
      </c>
      <c r="Y5449">
        <v>-0.15157950000000001</v>
      </c>
      <c r="Z5449">
        <v>9.0048530000000002E-2</v>
      </c>
      <c r="AA5449">
        <v>0.98433479999999995</v>
      </c>
      <c r="AB5449">
        <v>24</v>
      </c>
      <c r="AC5449">
        <v>-0.60309999999998298</v>
      </c>
      <c r="AD5449">
        <v>-1.1130337014539999</v>
      </c>
      <c r="AE5449">
        <v>-11.5962</v>
      </c>
      <c r="AF5449">
        <v>-1.7733899895141301</v>
      </c>
      <c r="AG5449">
        <v>-1.1130337014539999</v>
      </c>
      <c r="AH5449">
        <v>11.3686726222451</v>
      </c>
      <c r="AI5449">
        <v>95.525244740738401</v>
      </c>
      <c r="AJ5449">
        <v>98.866071173104501</v>
      </c>
      <c r="AK5449">
        <v>11.5598647599038</v>
      </c>
      <c r="AL5449">
        <v>89.107905349413301</v>
      </c>
      <c r="AM5449">
        <v>90.327183373253604</v>
      </c>
      <c r="AN5449">
        <v>1.0000000122984101</v>
      </c>
    </row>
    <row r="5450" spans="1:40" x14ac:dyDescent="0.25">
      <c r="A5450" t="str">
        <f>"20190312160755529"</f>
        <v>20190312160755529</v>
      </c>
      <c r="B5450" t="str">
        <f>"1552378075521513"</f>
        <v>1552378075521513</v>
      </c>
      <c r="C5450" t="s">
        <v>40</v>
      </c>
      <c r="D5450">
        <v>5.9741589999999896</v>
      </c>
      <c r="E5450">
        <v>0.44264340000000002</v>
      </c>
      <c r="F5450" t="s">
        <v>47</v>
      </c>
      <c r="G5450">
        <v>-419.65339999999998</v>
      </c>
      <c r="H5450" s="1">
        <v>-1.40389E-6</v>
      </c>
      <c r="I5450">
        <v>102.47110000000001</v>
      </c>
      <c r="J5450">
        <v>-419.08670000000001</v>
      </c>
      <c r="K5450">
        <v>1.1129739999999999</v>
      </c>
      <c r="L5450">
        <v>114.4662</v>
      </c>
      <c r="M5450">
        <v>-0.20078960000000001</v>
      </c>
      <c r="N5450">
        <v>0</v>
      </c>
      <c r="O5450">
        <v>-0.97953400000000002</v>
      </c>
      <c r="P5450">
        <v>-0.19647410000000001</v>
      </c>
      <c r="Q5450">
        <v>1.7298109999999999E-3</v>
      </c>
      <c r="R5450">
        <v>-0.98050769999999998</v>
      </c>
      <c r="S5450">
        <v>-0.15109249999999999</v>
      </c>
      <c r="T5450">
        <v>-0.27602539999999998</v>
      </c>
      <c r="U5450">
        <v>-3.031342</v>
      </c>
      <c r="V5450">
        <v>-4.5387379999999996E-3</v>
      </c>
      <c r="W5450">
        <v>1.5724789999999999E-2</v>
      </c>
      <c r="X5450">
        <v>0.99986609999999998</v>
      </c>
      <c r="Y5450">
        <v>-0.15198210000000001</v>
      </c>
      <c r="Z5450">
        <v>8.7340089999999995E-2</v>
      </c>
      <c r="AA5450">
        <v>0.98451670000000002</v>
      </c>
      <c r="AB5450">
        <v>24</v>
      </c>
      <c r="AC5450">
        <v>-0.56669999999996801</v>
      </c>
      <c r="AD5450">
        <v>-1.1129754038899999</v>
      </c>
      <c r="AE5450">
        <v>-11.9950999999999</v>
      </c>
      <c r="AF5450">
        <v>-1.8377850573049701</v>
      </c>
      <c r="AG5450">
        <v>-1.1129754038899999</v>
      </c>
      <c r="AH5450">
        <v>11.763513529818701</v>
      </c>
      <c r="AI5450">
        <v>95.3404104427091</v>
      </c>
      <c r="AJ5450">
        <v>98.879404267815204</v>
      </c>
      <c r="AK5450">
        <v>11.9581110018575</v>
      </c>
      <c r="AL5450">
        <v>89.098998804291597</v>
      </c>
      <c r="AM5450">
        <v>90.260083570756805</v>
      </c>
      <c r="AN5450">
        <v>1.00000004354619</v>
      </c>
    </row>
    <row r="5451" spans="1:40" x14ac:dyDescent="0.25">
      <c r="A5451" t="str">
        <f>"20190312160755550"</f>
        <v>20190312160755550</v>
      </c>
      <c r="B5451" t="str">
        <f>"1552378075541029"</f>
        <v>1552378075541029</v>
      </c>
      <c r="C5451" t="s">
        <v>40</v>
      </c>
      <c r="D5451">
        <v>5.9604809999999997</v>
      </c>
      <c r="E5451">
        <v>0.44276500000000002</v>
      </c>
      <c r="F5451" t="s">
        <v>47</v>
      </c>
      <c r="G5451">
        <v>-419.65899999999999</v>
      </c>
      <c r="H5451" s="1">
        <v>-1.287203E-6</v>
      </c>
      <c r="I5451">
        <v>102.22629999999999</v>
      </c>
      <c r="J5451">
        <v>-419.12849999999997</v>
      </c>
      <c r="K5451">
        <v>1.112911</v>
      </c>
      <c r="L5451">
        <v>114.2366</v>
      </c>
      <c r="M5451">
        <v>-0.19641320000000001</v>
      </c>
      <c r="N5451">
        <v>0</v>
      </c>
      <c r="O5451">
        <v>-0.98042099999999999</v>
      </c>
      <c r="P5451">
        <v>-0.19243450000000001</v>
      </c>
      <c r="Q5451">
        <v>1.5185520000000001E-3</v>
      </c>
      <c r="R5451">
        <v>-0.98130890000000004</v>
      </c>
      <c r="S5451">
        <v>-0.1417542</v>
      </c>
      <c r="T5451">
        <v>-0.27567829999999999</v>
      </c>
      <c r="U5451">
        <v>-3.0317379999999998</v>
      </c>
      <c r="V5451">
        <v>-4.186894E-3</v>
      </c>
      <c r="W5451">
        <v>1.5505949999999999E-2</v>
      </c>
      <c r="X5451">
        <v>0.99987099999999995</v>
      </c>
      <c r="Y5451">
        <v>-0.15059990000000001</v>
      </c>
      <c r="Z5451">
        <v>8.7355429999999998E-2</v>
      </c>
      <c r="AA5451">
        <v>0.98472769999999998</v>
      </c>
      <c r="AB5451">
        <v>24</v>
      </c>
      <c r="AC5451">
        <v>-0.53050000000001696</v>
      </c>
      <c r="AD5451">
        <v>-1.112912287203</v>
      </c>
      <c r="AE5451">
        <v>-12.010300000000001</v>
      </c>
      <c r="AF5451">
        <v>-1.82342256893319</v>
      </c>
      <c r="AG5451">
        <v>-1.112912287203</v>
      </c>
      <c r="AH5451">
        <v>11.779567128560901</v>
      </c>
      <c r="AI5451">
        <v>95.334026776109596</v>
      </c>
      <c r="AJ5451">
        <v>98.7992838220691</v>
      </c>
      <c r="AK5451">
        <v>11.971701857304</v>
      </c>
      <c r="AL5451">
        <v>89.111538894103504</v>
      </c>
      <c r="AM5451">
        <v>90.239920903146498</v>
      </c>
      <c r="AN5451">
        <v>0.999999990603884</v>
      </c>
    </row>
    <row r="5452" spans="1:40" x14ac:dyDescent="0.25">
      <c r="A5452" t="str">
        <f>"20190312160755575"</f>
        <v>20190312160755575</v>
      </c>
      <c r="B5452" t="str">
        <f>"1552378075571284"</f>
        <v>1552378075571284</v>
      </c>
      <c r="C5452" t="s">
        <v>40</v>
      </c>
      <c r="D5452">
        <v>6.2124129999999997</v>
      </c>
      <c r="E5452">
        <v>0.44343680000000002</v>
      </c>
      <c r="F5452" t="s">
        <v>47</v>
      </c>
      <c r="G5452">
        <v>-419.65879999999999</v>
      </c>
      <c r="H5452" s="1">
        <v>-1.1240200000000001E-6</v>
      </c>
      <c r="I5452">
        <v>101.8811</v>
      </c>
      <c r="J5452">
        <v>-419.17149999999998</v>
      </c>
      <c r="K5452">
        <v>1.112843</v>
      </c>
      <c r="L5452">
        <v>113.99509999999999</v>
      </c>
      <c r="M5452">
        <v>-0.19189020000000001</v>
      </c>
      <c r="N5452">
        <v>0</v>
      </c>
      <c r="O5452">
        <v>-0.98131679999999999</v>
      </c>
      <c r="P5452">
        <v>-0.18801509999999999</v>
      </c>
      <c r="Q5452">
        <v>1.7293020000000001E-3</v>
      </c>
      <c r="R5452">
        <v>-0.98216510000000001</v>
      </c>
      <c r="S5452">
        <v>-0.13012699999999999</v>
      </c>
      <c r="T5452">
        <v>-0.27310839999999997</v>
      </c>
      <c r="U5452">
        <v>-3.0320429999999998</v>
      </c>
      <c r="V5452">
        <v>-4.0762690000000004E-3</v>
      </c>
      <c r="W5452">
        <v>1.570715E-2</v>
      </c>
      <c r="X5452">
        <v>0.99986830000000004</v>
      </c>
      <c r="Y5452">
        <v>-0.14981169999999999</v>
      </c>
      <c r="Z5452">
        <v>8.6671330000000005E-2</v>
      </c>
      <c r="AA5452">
        <v>0.98490840000000002</v>
      </c>
      <c r="AB5452">
        <v>24</v>
      </c>
      <c r="AC5452">
        <v>-0.48730000000000401</v>
      </c>
      <c r="AD5452">
        <v>-1.11284412402</v>
      </c>
      <c r="AE5452">
        <v>-12.1139999999999</v>
      </c>
      <c r="AF5452">
        <v>-1.8311148006617799</v>
      </c>
      <c r="AG5452">
        <v>-1.11284412402</v>
      </c>
      <c r="AH5452">
        <v>11.8822382767931</v>
      </c>
      <c r="AI5452">
        <v>95.288424745259505</v>
      </c>
      <c r="AJ5452">
        <v>98.760661221096399</v>
      </c>
      <c r="AK5452">
        <v>12.0738970479318</v>
      </c>
      <c r="AL5452">
        <v>89.100009563986006</v>
      </c>
      <c r="AM5452">
        <v>90.233582478774693</v>
      </c>
      <c r="AN5452">
        <v>0.99999997393748596</v>
      </c>
    </row>
    <row r="5453" spans="1:40" x14ac:dyDescent="0.25">
      <c r="A5453" t="str">
        <f>"20190312160755597"</f>
        <v>20190312160755597</v>
      </c>
      <c r="B5453" t="str">
        <f>"1552378075581046"</f>
        <v>1552378075581046</v>
      </c>
      <c r="C5453" t="s">
        <v>40</v>
      </c>
      <c r="D5453">
        <v>6.000305</v>
      </c>
      <c r="E5453">
        <v>0.44357150000000001</v>
      </c>
      <c r="F5453" t="s">
        <v>47</v>
      </c>
      <c r="G5453">
        <v>-419.6626</v>
      </c>
      <c r="H5453" s="1">
        <v>-1.069734E-6</v>
      </c>
      <c r="I5453">
        <v>101.7676</v>
      </c>
      <c r="J5453">
        <v>-419.21269999999998</v>
      </c>
      <c r="K5453">
        <v>1.1127800000000001</v>
      </c>
      <c r="L5453">
        <v>113.7574</v>
      </c>
      <c r="M5453">
        <v>-0.1875242</v>
      </c>
      <c r="N5453">
        <v>0</v>
      </c>
      <c r="O5453">
        <v>-0.98216060000000005</v>
      </c>
      <c r="P5453">
        <v>-0.1835724</v>
      </c>
      <c r="Q5453">
        <v>1.414626E-3</v>
      </c>
      <c r="R5453">
        <v>-0.98300549999999998</v>
      </c>
      <c r="S5453">
        <v>-0.1217651</v>
      </c>
      <c r="T5453">
        <v>-0.27591470000000001</v>
      </c>
      <c r="U5453">
        <v>-3.031647</v>
      </c>
      <c r="V5453">
        <v>-4.1454220000000002E-3</v>
      </c>
      <c r="W5453">
        <v>1.538199E-2</v>
      </c>
      <c r="X5453">
        <v>0.99987309999999996</v>
      </c>
      <c r="Y5453">
        <v>-0.14812429999999999</v>
      </c>
      <c r="Z5453">
        <v>8.7696570000000001E-2</v>
      </c>
      <c r="AA5453">
        <v>0.98507290000000003</v>
      </c>
      <c r="AB5453">
        <v>24</v>
      </c>
      <c r="AC5453">
        <v>-0.44990000000001301</v>
      </c>
      <c r="AD5453">
        <v>-1.1127810697339999</v>
      </c>
      <c r="AE5453">
        <v>-11.989800000000001</v>
      </c>
      <c r="AF5453">
        <v>-1.7912719749806101</v>
      </c>
      <c r="AG5453">
        <v>-1.1127810697339999</v>
      </c>
      <c r="AH5453">
        <v>11.7602757945916</v>
      </c>
      <c r="AI5453">
        <v>95.344076019887595</v>
      </c>
      <c r="AJ5453">
        <v>98.660468864883995</v>
      </c>
      <c r="AK5453">
        <v>11.947845988393301</v>
      </c>
      <c r="AL5453">
        <v>89.118642137205399</v>
      </c>
      <c r="AM5453">
        <v>90.237543968370503</v>
      </c>
      <c r="AN5453">
        <v>1.00000000312176</v>
      </c>
    </row>
    <row r="5454" spans="1:40" x14ac:dyDescent="0.25">
      <c r="A5454" t="str">
        <f>"20190312160755620"</f>
        <v>20190312160755620</v>
      </c>
      <c r="B5454" t="str">
        <f>"1552378075611301"</f>
        <v>1552378075611301</v>
      </c>
      <c r="C5454" t="s">
        <v>40</v>
      </c>
      <c r="D5454">
        <v>6.3105840000000004</v>
      </c>
      <c r="E5454">
        <v>0.44422329999999999</v>
      </c>
      <c r="F5454" t="s">
        <v>47</v>
      </c>
      <c r="G5454">
        <v>-419.65030000000002</v>
      </c>
      <c r="H5454" s="1">
        <v>-9.6949469999999898E-7</v>
      </c>
      <c r="I5454">
        <v>101.551</v>
      </c>
      <c r="J5454">
        <v>-419.25259999999997</v>
      </c>
      <c r="K5454">
        <v>1.112725</v>
      </c>
      <c r="L5454">
        <v>113.52119999999999</v>
      </c>
      <c r="M5454">
        <v>-0.18324979999999999</v>
      </c>
      <c r="N5454">
        <v>0</v>
      </c>
      <c r="O5454">
        <v>-0.98296689999999998</v>
      </c>
      <c r="P5454">
        <v>-0.17942539999999901</v>
      </c>
      <c r="Q5454">
        <v>1.6818289999999999E-3</v>
      </c>
      <c r="R5454">
        <v>-0.98377029999999999</v>
      </c>
      <c r="S5454">
        <v>-0.1087036</v>
      </c>
      <c r="T5454">
        <v>-0.27640310000000001</v>
      </c>
      <c r="U5454">
        <v>-3.031952</v>
      </c>
      <c r="V5454">
        <v>-4.0119090000000001E-3</v>
      </c>
      <c r="W5454">
        <v>1.5640879999999999E-2</v>
      </c>
      <c r="X5454">
        <v>0.99986960000000003</v>
      </c>
      <c r="Y5454">
        <v>-0.14806429999999901</v>
      </c>
      <c r="Z5454">
        <v>8.7958389999999997E-2</v>
      </c>
      <c r="AA5454">
        <v>0.98505849999999995</v>
      </c>
      <c r="AB5454">
        <v>24</v>
      </c>
      <c r="AC5454">
        <v>-0.39770000000004202</v>
      </c>
      <c r="AD5454">
        <v>-1.1127259694947</v>
      </c>
      <c r="AE5454">
        <v>-11.970199999999901</v>
      </c>
      <c r="AF5454">
        <v>-1.7873592432172301</v>
      </c>
      <c r="AG5454">
        <v>-1.1127259694947</v>
      </c>
      <c r="AH5454">
        <v>11.739019514361701</v>
      </c>
      <c r="AI5454">
        <v>95.353478563124099</v>
      </c>
      <c r="AJ5454">
        <v>98.657248658646907</v>
      </c>
      <c r="AK5454">
        <v>11.926331846216</v>
      </c>
      <c r="AL5454">
        <v>89.103807022640893</v>
      </c>
      <c r="AM5454">
        <v>90.229894198124299</v>
      </c>
      <c r="AN5454">
        <v>0.99999997477257896</v>
      </c>
    </row>
    <row r="5455" spans="1:40" x14ac:dyDescent="0.25">
      <c r="A5455" t="str">
        <f>"20190312160755642"</f>
        <v>20190312160755642</v>
      </c>
      <c r="B5455" t="str">
        <f>"1552378075630821"</f>
        <v>1552378075630821</v>
      </c>
      <c r="C5455" t="s">
        <v>40</v>
      </c>
      <c r="D5455">
        <v>6.1365439999999998</v>
      </c>
      <c r="E5455">
        <v>0.4446888</v>
      </c>
      <c r="F5455" t="s">
        <v>47</v>
      </c>
      <c r="G5455">
        <v>-419.66399999999999</v>
      </c>
      <c r="H5455" s="1">
        <v>-8.0308399999999997E-7</v>
      </c>
      <c r="I5455">
        <v>101.2041</v>
      </c>
      <c r="J5455">
        <v>-419.29050000000001</v>
      </c>
      <c r="K5455">
        <v>1.1126830000000001</v>
      </c>
      <c r="L5455">
        <v>113.29179999999999</v>
      </c>
      <c r="M5455">
        <v>-0.1791575</v>
      </c>
      <c r="N5455">
        <v>0</v>
      </c>
      <c r="O5455">
        <v>-0.98372130000000002</v>
      </c>
      <c r="P5455">
        <v>-0.17542659999999999</v>
      </c>
      <c r="Q5455">
        <v>1.9480039999999999E-3</v>
      </c>
      <c r="R5455">
        <v>-0.98449089999999995</v>
      </c>
      <c r="S5455">
        <v>-0.10125729999999999</v>
      </c>
      <c r="T5455">
        <v>-0.27386500000000003</v>
      </c>
      <c r="U5455">
        <v>-3.0314939999999999</v>
      </c>
      <c r="V5455">
        <v>-3.9136759999999996E-3</v>
      </c>
      <c r="W5455">
        <v>1.5898809999999999E-2</v>
      </c>
      <c r="X5455">
        <v>0.99986589999999997</v>
      </c>
      <c r="Y5455">
        <v>-0.14635770000000001</v>
      </c>
      <c r="Z5455">
        <v>8.7286580000000002E-2</v>
      </c>
      <c r="AA5455">
        <v>0.98537330000000001</v>
      </c>
      <c r="AB5455">
        <v>24</v>
      </c>
      <c r="AC5455">
        <v>-0.37349999999997802</v>
      </c>
      <c r="AD5455">
        <v>-1.1126838030840001</v>
      </c>
      <c r="AE5455">
        <v>-12.0876999999999</v>
      </c>
      <c r="AF5455">
        <v>-1.78326172623323</v>
      </c>
      <c r="AG5455">
        <v>-1.1126838030840001</v>
      </c>
      <c r="AH5455">
        <v>11.8586226533293</v>
      </c>
      <c r="AI5455">
        <v>95.3010605986169</v>
      </c>
      <c r="AJ5455">
        <v>98.551878423316694</v>
      </c>
      <c r="AK5455">
        <v>12.043463740301201</v>
      </c>
      <c r="AL5455">
        <v>89.089026864501704</v>
      </c>
      <c r="AM5455">
        <v>90.224266046092296</v>
      </c>
      <c r="AN5455">
        <v>0.99999995350102799</v>
      </c>
    </row>
    <row r="5456" spans="1:40" x14ac:dyDescent="0.25">
      <c r="A5456" t="str">
        <f>"20190312160755664"</f>
        <v>20190312160755664</v>
      </c>
      <c r="B5456" t="str">
        <f>"1552378075651317"</f>
        <v>1552378075651317</v>
      </c>
      <c r="C5456" t="s">
        <v>40</v>
      </c>
      <c r="D5456">
        <v>6.0262159999999998</v>
      </c>
      <c r="E5456">
        <v>0.44511410000000001</v>
      </c>
      <c r="F5456" t="s">
        <v>47</v>
      </c>
      <c r="G5456">
        <v>-419.6694</v>
      </c>
      <c r="H5456" s="1">
        <v>-6.4573169999999897E-7</v>
      </c>
      <c r="I5456">
        <v>100.8732</v>
      </c>
      <c r="J5456">
        <v>-419.32819999999998</v>
      </c>
      <c r="K5456">
        <v>1.1126419999999999</v>
      </c>
      <c r="L5456">
        <v>113.0578</v>
      </c>
      <c r="M5456">
        <v>-0.17504339999999999</v>
      </c>
      <c r="N5456">
        <v>0</v>
      </c>
      <c r="O5456">
        <v>-0.98446160000000005</v>
      </c>
      <c r="P5456">
        <v>-0.17144989999999999</v>
      </c>
      <c r="Q5456">
        <v>1.8153620000000001E-3</v>
      </c>
      <c r="R5456">
        <v>-0.98519140000000005</v>
      </c>
      <c r="S5456">
        <v>-9.2498780000000003E-2</v>
      </c>
      <c r="T5456">
        <v>-0.27160289999999998</v>
      </c>
      <c r="U5456">
        <v>-3.031326</v>
      </c>
      <c r="V5456">
        <v>-3.7682689999999999E-3</v>
      </c>
      <c r="W5456">
        <v>1.5759120000000001E-2</v>
      </c>
      <c r="X5456">
        <v>0.99986870000000005</v>
      </c>
      <c r="Y5456">
        <v>-0.14506279999999999</v>
      </c>
      <c r="Z5456">
        <v>8.6687120000000006E-2</v>
      </c>
      <c r="AA5456">
        <v>0.98561759999999998</v>
      </c>
      <c r="AB5456">
        <v>24</v>
      </c>
      <c r="AC5456">
        <v>-0.34120000000001399</v>
      </c>
      <c r="AD5456">
        <v>-1.1126426457317</v>
      </c>
      <c r="AE5456">
        <v>-12.1846</v>
      </c>
      <c r="AF5456">
        <v>-1.78226111859568</v>
      </c>
      <c r="AG5456">
        <v>-1.1126426457317</v>
      </c>
      <c r="AH5456">
        <v>11.9565503677374</v>
      </c>
      <c r="AI5456">
        <v>95.258701381017701</v>
      </c>
      <c r="AJ5456">
        <v>98.478168539860704</v>
      </c>
      <c r="AK5456">
        <v>12.139749793476</v>
      </c>
      <c r="AL5456">
        <v>89.097031542260396</v>
      </c>
      <c r="AM5456">
        <v>90.215933239600702</v>
      </c>
      <c r="AN5456">
        <v>0.99999998347705998</v>
      </c>
    </row>
    <row r="5457" spans="1:40" x14ac:dyDescent="0.25">
      <c r="A5457" t="str">
        <f>"20190312160755697"</f>
        <v>20190312160755697</v>
      </c>
      <c r="B5457" t="str">
        <f>"1552378075690864"</f>
        <v>1552378075690864</v>
      </c>
      <c r="C5457" t="s">
        <v>40</v>
      </c>
      <c r="D5457">
        <v>5.9687239999999999</v>
      </c>
      <c r="E5457">
        <v>0.4462354</v>
      </c>
      <c r="F5457" t="s">
        <v>47</v>
      </c>
      <c r="G5457">
        <v>-419.67340000000002</v>
      </c>
      <c r="H5457" s="1">
        <v>-5.1310260000000002E-7</v>
      </c>
      <c r="I5457">
        <v>100.5942</v>
      </c>
      <c r="J5457">
        <v>-419.38279999999997</v>
      </c>
      <c r="K5457">
        <v>1.112584</v>
      </c>
      <c r="L5457">
        <v>112.70780000000001</v>
      </c>
      <c r="M5457">
        <v>-0.16898969999999999</v>
      </c>
      <c r="N5457">
        <v>0</v>
      </c>
      <c r="O5457">
        <v>-0.98551909999999998</v>
      </c>
      <c r="P5457">
        <v>-0.16617779999999999</v>
      </c>
      <c r="Q5457">
        <v>2.3506199999999999E-3</v>
      </c>
      <c r="R5457">
        <v>-0.98609309999999994</v>
      </c>
      <c r="S5457">
        <v>-8.3953860000000005E-2</v>
      </c>
      <c r="T5457">
        <v>-0.27057809999999999</v>
      </c>
      <c r="U5457">
        <v>-3.0309750000000002</v>
      </c>
      <c r="V5457">
        <v>-2.9725060000000002E-3</v>
      </c>
      <c r="W5457">
        <v>1.6287380000000001E-2</v>
      </c>
      <c r="X5457">
        <v>0.9998629</v>
      </c>
      <c r="Y5457">
        <v>-0.14175370000000001</v>
      </c>
      <c r="Z5457">
        <v>8.6537790000000003E-2</v>
      </c>
      <c r="AA5457">
        <v>0.98611210000000005</v>
      </c>
      <c r="AB5457">
        <v>24</v>
      </c>
      <c r="AC5457">
        <v>-0.29060000000003999</v>
      </c>
      <c r="AD5457">
        <v>-1.1125845131026</v>
      </c>
      <c r="AE5457">
        <v>-12.1136</v>
      </c>
      <c r="AF5457">
        <v>-1.74613178666522</v>
      </c>
      <c r="AG5457">
        <v>-1.1125845131026</v>
      </c>
      <c r="AH5457">
        <v>11.8882315067988</v>
      </c>
      <c r="AI5457">
        <v>95.290138302499699</v>
      </c>
      <c r="AJ5457">
        <v>98.355801926236396</v>
      </c>
      <c r="AK5457">
        <v>12.067181480132</v>
      </c>
      <c r="AL5457">
        <v>89.066760571033001</v>
      </c>
      <c r="AM5457">
        <v>90.170334899543107</v>
      </c>
      <c r="AN5457">
        <v>0.999999966667796</v>
      </c>
    </row>
    <row r="5458" spans="1:40" x14ac:dyDescent="0.25">
      <c r="A5458" t="str">
        <f>"20190312160755720"</f>
        <v>20190312160755720</v>
      </c>
      <c r="B5458" t="str">
        <f>"1552378075711364"</f>
        <v>1552378075711364</v>
      </c>
      <c r="C5458" t="s">
        <v>40</v>
      </c>
      <c r="D5458">
        <v>5.9498600000000001</v>
      </c>
      <c r="E5458">
        <v>0.44693939999999999</v>
      </c>
      <c r="F5458" t="s">
        <v>47</v>
      </c>
      <c r="G5458">
        <v>-419.6986</v>
      </c>
      <c r="H5458" s="1">
        <v>-2.9296279999999999E-7</v>
      </c>
      <c r="I5458">
        <v>100.1379</v>
      </c>
      <c r="J5458">
        <v>-419.41800000000001</v>
      </c>
      <c r="K5458">
        <v>1.112547</v>
      </c>
      <c r="L5458">
        <v>112.47499999999999</v>
      </c>
      <c r="M5458">
        <v>-0.16502439999999999</v>
      </c>
      <c r="N5458">
        <v>0</v>
      </c>
      <c r="O5458">
        <v>-0.98619109999999999</v>
      </c>
      <c r="P5458">
        <v>-0.16280999999999901</v>
      </c>
      <c r="Q5458">
        <v>2.6376210000000001E-3</v>
      </c>
      <c r="R5458">
        <v>-0.98665420000000004</v>
      </c>
      <c r="S5458">
        <v>-7.6110839999999999E-2</v>
      </c>
      <c r="T5458">
        <v>-0.2682021</v>
      </c>
      <c r="U5458">
        <v>-3.0301209999999998</v>
      </c>
      <c r="V5458">
        <v>-2.3641339999999999E-3</v>
      </c>
      <c r="W5458">
        <v>1.6570120000000001E-2</v>
      </c>
      <c r="X5458">
        <v>0.99985990000000002</v>
      </c>
      <c r="Y5458">
        <v>-0.14031350000000001</v>
      </c>
      <c r="Z5458">
        <v>8.5908109999999996E-2</v>
      </c>
      <c r="AA5458">
        <v>0.9863731</v>
      </c>
      <c r="AB5458">
        <v>24</v>
      </c>
      <c r="AC5458">
        <v>-0.28059999999999202</v>
      </c>
      <c r="AD5458">
        <v>-1.1125472929628</v>
      </c>
      <c r="AE5458">
        <v>-12.3370999999999</v>
      </c>
      <c r="AF5458">
        <v>-1.74518309424497</v>
      </c>
      <c r="AG5458">
        <v>-1.1125472929628</v>
      </c>
      <c r="AH5458">
        <v>12.1157518845548</v>
      </c>
      <c r="AI5458">
        <v>95.193257074724599</v>
      </c>
      <c r="AJ5458">
        <v>98.196648475621799</v>
      </c>
      <c r="AK5458">
        <v>12.291251736076701</v>
      </c>
      <c r="AL5458">
        <v>89.050558596133001</v>
      </c>
      <c r="AM5458">
        <v>90.135473627830393</v>
      </c>
      <c r="AN5458">
        <v>0.99999998881719698</v>
      </c>
    </row>
    <row r="5459" spans="1:40" x14ac:dyDescent="0.25">
      <c r="A5459" t="str">
        <f>"20190312160755741"</f>
        <v>20190312160755741</v>
      </c>
      <c r="B5459" t="str">
        <f>"1552378075730881"</f>
        <v>1552378075730881</v>
      </c>
      <c r="C5459" t="s">
        <v>40</v>
      </c>
      <c r="D5459">
        <v>6.4550210000000003</v>
      </c>
      <c r="E5459">
        <v>0.45856049999999998</v>
      </c>
      <c r="F5459" t="s">
        <v>47</v>
      </c>
      <c r="G5459">
        <v>-419.70979999999997</v>
      </c>
      <c r="H5459" s="1">
        <v>-2.4042269999999998E-7</v>
      </c>
      <c r="I5459">
        <v>100.03100000000001</v>
      </c>
      <c r="J5459">
        <v>-419.45159999999998</v>
      </c>
      <c r="K5459">
        <v>1.1125210000000001</v>
      </c>
      <c r="L5459">
        <v>112.2471</v>
      </c>
      <c r="M5459">
        <v>-0.16117770000000001</v>
      </c>
      <c r="N5459">
        <v>0</v>
      </c>
      <c r="O5459">
        <v>-0.9868268</v>
      </c>
      <c r="P5459">
        <v>-0.15947049999999999</v>
      </c>
      <c r="Q5459">
        <v>2.7143860000000001E-3</v>
      </c>
      <c r="R5459">
        <v>-0.98719880000000004</v>
      </c>
      <c r="S5459">
        <v>-7.1044919999999998E-2</v>
      </c>
      <c r="T5459">
        <v>-0.27085510000000002</v>
      </c>
      <c r="U5459">
        <v>-3.0295559999999999</v>
      </c>
      <c r="V5459">
        <v>-1.847312E-3</v>
      </c>
      <c r="W5459">
        <v>1.6642580000000001E-2</v>
      </c>
      <c r="X5459">
        <v>0.99985979999999997</v>
      </c>
      <c r="Y5459">
        <v>-0.1380982</v>
      </c>
      <c r="Z5459">
        <v>8.6867529999999998E-2</v>
      </c>
      <c r="AA5459">
        <v>0.98660170000000003</v>
      </c>
      <c r="AB5459">
        <v>24</v>
      </c>
      <c r="AC5459">
        <v>-0.25819999999998799</v>
      </c>
      <c r="AD5459">
        <v>-1.1125212404226901</v>
      </c>
      <c r="AE5459">
        <v>-12.2160999999999</v>
      </c>
      <c r="AF5459">
        <v>-1.70023599471648</v>
      </c>
      <c r="AG5459">
        <v>-1.1125212404226901</v>
      </c>
      <c r="AH5459">
        <v>11.998499995167901</v>
      </c>
      <c r="AI5459">
        <v>95.245310576220803</v>
      </c>
      <c r="AJ5459">
        <v>98.065345693728304</v>
      </c>
      <c r="AK5459">
        <v>12.169326525414901</v>
      </c>
      <c r="AL5459">
        <v>89.046406385661498</v>
      </c>
      <c r="AM5459">
        <v>90.105857901889394</v>
      </c>
      <c r="AN5459">
        <v>1.0000000038433601</v>
      </c>
    </row>
    <row r="5460" spans="1:40" x14ac:dyDescent="0.25">
      <c r="A5460" t="str">
        <f>"20190312160755764"</f>
        <v>20190312160755764</v>
      </c>
      <c r="B5460" t="str">
        <f>"1552378075751377"</f>
        <v>1552378075751377</v>
      </c>
      <c r="C5460" t="s">
        <v>40</v>
      </c>
      <c r="D5460">
        <v>5.8147379999999904</v>
      </c>
      <c r="E5460">
        <v>0.45951039999999999</v>
      </c>
      <c r="F5460" t="s">
        <v>47</v>
      </c>
      <c r="G5460">
        <v>-420.00510000000003</v>
      </c>
      <c r="H5460" s="1">
        <v>-7.8597709999999896E-7</v>
      </c>
      <c r="I5460">
        <v>101.2514</v>
      </c>
      <c r="J5460">
        <v>-419.48540000000003</v>
      </c>
      <c r="K5460">
        <v>1.1124989999999999</v>
      </c>
      <c r="L5460">
        <v>112.0115</v>
      </c>
      <c r="M5460">
        <v>-0.15723970000000001</v>
      </c>
      <c r="N5460">
        <v>0</v>
      </c>
      <c r="O5460">
        <v>-0.98746230000000002</v>
      </c>
      <c r="P5460">
        <v>-0.15613650000000001</v>
      </c>
      <c r="Q5460">
        <v>3.6186299999999999E-3</v>
      </c>
      <c r="R5460">
        <v>-0.98772910000000003</v>
      </c>
      <c r="S5460">
        <v>-0.1517944</v>
      </c>
      <c r="T5460">
        <v>-0.30507430000000002</v>
      </c>
      <c r="U5460">
        <v>-3.0152130000000001</v>
      </c>
      <c r="V5460">
        <v>-1.2384570000000001E-3</v>
      </c>
      <c r="W5460">
        <v>1.7543670000000001E-2</v>
      </c>
      <c r="X5460">
        <v>0.99984530000000005</v>
      </c>
      <c r="Y5460">
        <v>-0.1076474</v>
      </c>
      <c r="Z5460">
        <v>9.8438200000000003E-2</v>
      </c>
      <c r="AA5460">
        <v>0.98930379999999996</v>
      </c>
      <c r="AB5460">
        <v>24</v>
      </c>
      <c r="AC5460">
        <v>-0.51970000000000005</v>
      </c>
      <c r="AD5460">
        <v>-1.1124997859771</v>
      </c>
      <c r="AE5460">
        <v>-10.7600999999999</v>
      </c>
      <c r="AF5460">
        <v>-1.1664054673026101</v>
      </c>
      <c r="AG5460">
        <v>-1.1124997859771</v>
      </c>
      <c r="AH5460">
        <v>10.594954906048301</v>
      </c>
      <c r="AI5460">
        <v>95.958512492789794</v>
      </c>
      <c r="AJ5460">
        <v>96.282430180195803</v>
      </c>
      <c r="AK5460">
        <v>10.716866470622399</v>
      </c>
      <c r="AL5460">
        <v>88.994770151200896</v>
      </c>
      <c r="AM5460">
        <v>90.070969301870093</v>
      </c>
      <c r="AN5460">
        <v>0.99999996903244903</v>
      </c>
    </row>
    <row r="5461" spans="1:40" x14ac:dyDescent="0.25">
      <c r="A5461" t="str">
        <f>"20190312160755787"</f>
        <v>20190312160755787</v>
      </c>
      <c r="B5461" t="str">
        <f>"1552378075780657"</f>
        <v>1552378075780657</v>
      </c>
      <c r="C5461" t="s">
        <v>40</v>
      </c>
      <c r="D5461">
        <v>5.7106890000000003</v>
      </c>
      <c r="E5461">
        <v>0.46032780000000001</v>
      </c>
      <c r="F5461" t="s">
        <v>47</v>
      </c>
      <c r="G5461">
        <v>-420.00689999999997</v>
      </c>
      <c r="H5461" s="1">
        <v>-8.807432E-7</v>
      </c>
      <c r="I5461">
        <v>101.4509</v>
      </c>
      <c r="J5461">
        <v>-419.51819999999998</v>
      </c>
      <c r="K5461">
        <v>1.1124719999999999</v>
      </c>
      <c r="L5461">
        <v>111.776</v>
      </c>
      <c r="M5461">
        <v>-0.15334310000000001</v>
      </c>
      <c r="N5461">
        <v>0</v>
      </c>
      <c r="O5461">
        <v>-0.98807500000000004</v>
      </c>
      <c r="P5461">
        <v>-0.1527646</v>
      </c>
      <c r="Q5461">
        <v>4.6952679999999998E-3</v>
      </c>
      <c r="R5461">
        <v>-0.98825169999999996</v>
      </c>
      <c r="S5461">
        <v>-0.14889530000000001</v>
      </c>
      <c r="T5461">
        <v>-0.31760139999999998</v>
      </c>
      <c r="U5461">
        <v>-3.0148929999999998</v>
      </c>
      <c r="V5461">
        <v>-7.1114300000000002E-4</v>
      </c>
      <c r="W5461">
        <v>1.8616379999999998E-2</v>
      </c>
      <c r="X5461">
        <v>0.9998264</v>
      </c>
      <c r="Y5461">
        <v>-0.1046892</v>
      </c>
      <c r="Z5461">
        <v>0.10256270000000001</v>
      </c>
      <c r="AA5461">
        <v>0.98920229999999998</v>
      </c>
      <c r="AB5461">
        <v>24</v>
      </c>
      <c r="AC5461">
        <v>-0.48869999999999397</v>
      </c>
      <c r="AD5461">
        <v>-1.1124728807431901</v>
      </c>
      <c r="AE5461">
        <v>-10.325100000000001</v>
      </c>
      <c r="AF5461">
        <v>-1.0879159172889401</v>
      </c>
      <c r="AG5461">
        <v>-1.1124728807431901</v>
      </c>
      <c r="AH5461">
        <v>10.1602221984644</v>
      </c>
      <c r="AI5461">
        <v>96.213356189956201</v>
      </c>
      <c r="AJ5461">
        <v>96.111716188162703</v>
      </c>
      <c r="AK5461">
        <v>10.278680463739001</v>
      </c>
      <c r="AL5461">
        <v>88.933298325317807</v>
      </c>
      <c r="AM5461">
        <v>90.040752560303702</v>
      </c>
      <c r="AN5461">
        <v>0.99999995273281395</v>
      </c>
    </row>
    <row r="5462" spans="1:40" x14ac:dyDescent="0.25">
      <c r="A5462" t="str">
        <f>"20190312160755809"</f>
        <v>20190312160755809</v>
      </c>
      <c r="B5462" t="str">
        <f>"1552378075801152"</f>
        <v>1552378075801152</v>
      </c>
      <c r="C5462" t="s">
        <v>40</v>
      </c>
      <c r="D5462">
        <v>5.6080050000000004</v>
      </c>
      <c r="E5462">
        <v>0.44054739999999998</v>
      </c>
      <c r="F5462" t="s">
        <v>47</v>
      </c>
      <c r="G5462">
        <v>-420.02010000000001</v>
      </c>
      <c r="H5462" s="1">
        <v>-8.2502810000000001E-7</v>
      </c>
      <c r="I5462">
        <v>101.32559999999999</v>
      </c>
      <c r="J5462">
        <v>-419.55079999999998</v>
      </c>
      <c r="K5462">
        <v>1.1124480000000001</v>
      </c>
      <c r="L5462">
        <v>111.53619999999999</v>
      </c>
      <c r="M5462">
        <v>-0.14941670000000001</v>
      </c>
      <c r="N5462">
        <v>0</v>
      </c>
      <c r="O5462">
        <v>-0.98867640000000001</v>
      </c>
      <c r="P5462">
        <v>-0.14924760000000001</v>
      </c>
      <c r="Q5462">
        <v>5.7618879999999997E-3</v>
      </c>
      <c r="R5462">
        <v>-0.98878310000000003</v>
      </c>
      <c r="S5462">
        <v>-0.1447754</v>
      </c>
      <c r="T5462">
        <v>-0.32093579999999999</v>
      </c>
      <c r="U5462">
        <v>-3.0148160000000002</v>
      </c>
      <c r="V5462">
        <v>-3.0017439999999998E-4</v>
      </c>
      <c r="W5462">
        <v>1.9678580000000001E-2</v>
      </c>
      <c r="X5462">
        <v>0.99980630000000004</v>
      </c>
      <c r="Y5462">
        <v>-0.1020913</v>
      </c>
      <c r="Z5462">
        <v>0.1037428</v>
      </c>
      <c r="AA5462">
        <v>0.98935070000000003</v>
      </c>
      <c r="AB5462">
        <v>24</v>
      </c>
      <c r="AC5462">
        <v>-0.46930000000003202</v>
      </c>
      <c r="AD5462">
        <v>-1.1124488250280999</v>
      </c>
      <c r="AE5462">
        <v>-10.210599999999999</v>
      </c>
      <c r="AF5462">
        <v>-1.04932173083309</v>
      </c>
      <c r="AG5462">
        <v>-1.1124488250280999</v>
      </c>
      <c r="AH5462">
        <v>10.0470755072053</v>
      </c>
      <c r="AI5462">
        <v>96.284355734341005</v>
      </c>
      <c r="AJ5462">
        <v>95.962384492656298</v>
      </c>
      <c r="AK5462">
        <v>10.1627921719668</v>
      </c>
      <c r="AL5462">
        <v>88.872427621875005</v>
      </c>
      <c r="AM5462">
        <v>90.017202057759704</v>
      </c>
      <c r="AN5462">
        <v>0.99999998706758797</v>
      </c>
    </row>
    <row r="5463" spans="1:40" x14ac:dyDescent="0.25">
      <c r="A5463" t="str">
        <f>"20190312160755832"</f>
        <v>20190312160755832</v>
      </c>
      <c r="B5463" t="str">
        <f>"1552378075820673"</f>
        <v>1552378075820673</v>
      </c>
      <c r="C5463" t="s">
        <v>40</v>
      </c>
      <c r="D5463">
        <v>5.6160550000000002</v>
      </c>
      <c r="E5463">
        <v>0.43997320000000001</v>
      </c>
      <c r="F5463" t="s">
        <v>47</v>
      </c>
      <c r="G5463">
        <v>-419.42020000000002</v>
      </c>
      <c r="H5463" s="1">
        <v>-1.7139940000000001E-6</v>
      </c>
      <c r="I5463">
        <v>93.388409999999993</v>
      </c>
      <c r="J5463">
        <v>-419.58069999999998</v>
      </c>
      <c r="K5463">
        <v>1.112428</v>
      </c>
      <c r="L5463">
        <v>111.3092</v>
      </c>
      <c r="M5463">
        <v>-0.14573340000000001</v>
      </c>
      <c r="N5463">
        <v>0</v>
      </c>
      <c r="O5463">
        <v>-0.9892263</v>
      </c>
      <c r="P5463">
        <v>-0.1459328</v>
      </c>
      <c r="Q5463">
        <v>6.4167649999999996E-3</v>
      </c>
      <c r="R5463">
        <v>-0.98927390000000004</v>
      </c>
      <c r="S5463">
        <v>2.185059E-2</v>
      </c>
      <c r="T5463">
        <v>-0.18625220000000001</v>
      </c>
      <c r="U5463">
        <v>-3.0384060000000002</v>
      </c>
      <c r="V5463" s="1">
        <v>7.0857289999999996E-5</v>
      </c>
      <c r="W5463">
        <v>2.032933E-2</v>
      </c>
      <c r="X5463">
        <v>0.99979340000000005</v>
      </c>
      <c r="Y5463">
        <v>-0.1528436</v>
      </c>
      <c r="Z5463">
        <v>5.9844649999999999E-2</v>
      </c>
      <c r="AA5463">
        <v>0.98643670000000006</v>
      </c>
      <c r="AB5463">
        <v>24</v>
      </c>
      <c r="AC5463">
        <v>0.16049999999995601</v>
      </c>
      <c r="AD5463">
        <v>-1.112429713994</v>
      </c>
      <c r="AE5463">
        <v>-17.92079</v>
      </c>
      <c r="AF5463">
        <v>-2.7600615628569201</v>
      </c>
      <c r="AG5463">
        <v>-1.112429713994</v>
      </c>
      <c r="AH5463">
        <v>17.638077160973701</v>
      </c>
      <c r="AI5463">
        <v>93.565575337901507</v>
      </c>
      <c r="AJ5463">
        <v>98.893697847733506</v>
      </c>
      <c r="AK5463">
        <v>17.8873476411624</v>
      </c>
      <c r="AL5463">
        <v>88.835135020402305</v>
      </c>
      <c r="AM5463">
        <v>89.995939337409098</v>
      </c>
      <c r="AN5463">
        <v>1.0000000646812801</v>
      </c>
    </row>
    <row r="5464" spans="1:40" x14ac:dyDescent="0.25">
      <c r="A5464" t="str">
        <f>"20190312160755853"</f>
        <v>20190312160755853</v>
      </c>
      <c r="B5464" t="str">
        <f>"1552378075841170"</f>
        <v>1552378075841170</v>
      </c>
      <c r="C5464" t="s">
        <v>40</v>
      </c>
      <c r="D5464">
        <v>5.6837849999999897</v>
      </c>
      <c r="E5464">
        <v>0.44027569999999999</v>
      </c>
      <c r="F5464" t="s">
        <v>47</v>
      </c>
      <c r="G5464">
        <v>-419.27030000000002</v>
      </c>
      <c r="H5464" s="1">
        <v>-2.6678399999999999E-6</v>
      </c>
      <c r="I5464">
        <v>85.549859999999995</v>
      </c>
      <c r="J5464">
        <v>-419.6096</v>
      </c>
      <c r="K5464">
        <v>1.1124000000000001</v>
      </c>
      <c r="L5464">
        <v>111.08459999999999</v>
      </c>
      <c r="M5464">
        <v>-0.14212459999999999</v>
      </c>
      <c r="N5464">
        <v>0</v>
      </c>
      <c r="O5464">
        <v>-0.98975109999999999</v>
      </c>
      <c r="P5464">
        <v>-0.14286479999999999</v>
      </c>
      <c r="Q5464">
        <v>6.5919919999999996E-3</v>
      </c>
      <c r="R5464">
        <v>-0.98972020000000005</v>
      </c>
      <c r="S5464">
        <v>3.6621090000000002E-2</v>
      </c>
      <c r="T5464">
        <v>-0.13123180000000001</v>
      </c>
      <c r="U5464">
        <v>-3.0387879999999998</v>
      </c>
      <c r="V5464">
        <v>6.1801E-4</v>
      </c>
      <c r="W5464">
        <v>2.0501430000000001E-2</v>
      </c>
      <c r="X5464">
        <v>0.9997897</v>
      </c>
      <c r="Y5464">
        <v>-0.1540444</v>
      </c>
      <c r="Z5464">
        <v>4.2229240000000001E-2</v>
      </c>
      <c r="AA5464">
        <v>0.98716110000000001</v>
      </c>
      <c r="AB5464">
        <v>24</v>
      </c>
      <c r="AC5464">
        <v>0.33929999999998001</v>
      </c>
      <c r="AD5464">
        <v>-1.1124026678399901</v>
      </c>
      <c r="AE5464">
        <v>-25.534739999999999</v>
      </c>
      <c r="AF5464">
        <v>-3.9578106463834599</v>
      </c>
      <c r="AG5464">
        <v>-1.1124026678399901</v>
      </c>
      <c r="AH5464">
        <v>25.179474840508099</v>
      </c>
      <c r="AI5464">
        <v>92.498979340347404</v>
      </c>
      <c r="AJ5464">
        <v>98.932890751840901</v>
      </c>
      <c r="AK5464">
        <v>25.512891997024202</v>
      </c>
      <c r="AL5464">
        <v>88.8252723650332</v>
      </c>
      <c r="AM5464">
        <v>89.964583191658207</v>
      </c>
      <c r="AN5464">
        <v>1.00000006739724</v>
      </c>
    </row>
    <row r="5465" spans="1:40" x14ac:dyDescent="0.25">
      <c r="A5465" t="str">
        <f>"20190312160755877"</f>
        <v>20190312160755877</v>
      </c>
      <c r="B5465" t="str">
        <f>"1552378075871425"</f>
        <v>1552378075871425</v>
      </c>
      <c r="C5465" t="s">
        <v>40</v>
      </c>
      <c r="D5465">
        <v>5.653213</v>
      </c>
      <c r="E5465">
        <v>0.4410152</v>
      </c>
      <c r="F5465" t="s">
        <v>47</v>
      </c>
      <c r="G5465">
        <v>-419.21480000000003</v>
      </c>
      <c r="H5465" s="1">
        <v>-1.858128E-6</v>
      </c>
      <c r="I5465">
        <v>83.63946</v>
      </c>
      <c r="J5465">
        <v>-419.63959999999997</v>
      </c>
      <c r="K5465">
        <v>1.112379</v>
      </c>
      <c r="L5465">
        <v>110.8433</v>
      </c>
      <c r="M5465">
        <v>-0.13828799999999999</v>
      </c>
      <c r="N5465">
        <v>0</v>
      </c>
      <c r="O5465">
        <v>-0.99029469999999997</v>
      </c>
      <c r="P5465">
        <v>-0.1400536</v>
      </c>
      <c r="Q5465">
        <v>7.1449620000000004E-3</v>
      </c>
      <c r="R5465">
        <v>-0.99011830000000001</v>
      </c>
      <c r="S5465">
        <v>4.3701169999999998E-2</v>
      </c>
      <c r="T5465">
        <v>-0.1231472</v>
      </c>
      <c r="U5465">
        <v>-3.038284</v>
      </c>
      <c r="V5465">
        <v>1.6525660000000001E-3</v>
      </c>
      <c r="W5465">
        <v>2.1053490000000001E-2</v>
      </c>
      <c r="X5465">
        <v>0.99977700000000003</v>
      </c>
      <c r="Y5465">
        <v>-0.15251870000000001</v>
      </c>
      <c r="Z5465">
        <v>3.9675799999999997E-2</v>
      </c>
      <c r="AA5465">
        <v>0.98750389999999999</v>
      </c>
      <c r="AB5465">
        <v>24</v>
      </c>
      <c r="AC5465">
        <v>0.424799999999947</v>
      </c>
      <c r="AD5465">
        <v>-1.1123808581279999</v>
      </c>
      <c r="AE5465">
        <v>-27.20384</v>
      </c>
      <c r="AF5465">
        <v>-4.17606431202816</v>
      </c>
      <c r="AG5465">
        <v>-1.1123808581279999</v>
      </c>
      <c r="AH5465">
        <v>26.838801424184101</v>
      </c>
      <c r="AI5465">
        <v>92.345177569934293</v>
      </c>
      <c r="AJ5465">
        <v>98.844189994239201</v>
      </c>
      <c r="AK5465">
        <v>27.1845207093764</v>
      </c>
      <c r="AL5465">
        <v>88.793634765848907</v>
      </c>
      <c r="AM5465">
        <v>89.905293909607494</v>
      </c>
      <c r="AN5465">
        <v>1.0000000150722801</v>
      </c>
    </row>
    <row r="5466" spans="1:40" x14ac:dyDescent="0.25">
      <c r="A5466" t="str">
        <f>"20190312160755898"</f>
        <v>20190312160755898</v>
      </c>
      <c r="B5466" t="str">
        <f>"1552378075890945"</f>
        <v>1552378075890945</v>
      </c>
      <c r="C5466" t="s">
        <v>40</v>
      </c>
      <c r="D5466">
        <v>5.6565079999999996</v>
      </c>
      <c r="E5466">
        <v>0.44207010000000002</v>
      </c>
      <c r="F5466" t="s">
        <v>47</v>
      </c>
      <c r="G5466">
        <v>-419.19220000000001</v>
      </c>
      <c r="H5466" s="1">
        <v>-9.1354939999999997E-7</v>
      </c>
      <c r="I5466">
        <v>81.428250000000006</v>
      </c>
      <c r="J5466">
        <v>-419.66739999999999</v>
      </c>
      <c r="K5466">
        <v>1.112352</v>
      </c>
      <c r="L5466">
        <v>110.6143</v>
      </c>
      <c r="M5466">
        <v>-0.13468559999999999</v>
      </c>
      <c r="N5466">
        <v>0</v>
      </c>
      <c r="O5466">
        <v>-0.99079099999999998</v>
      </c>
      <c r="P5466">
        <v>-0.1374013</v>
      </c>
      <c r="Q5466">
        <v>7.9207849999999996E-3</v>
      </c>
      <c r="R5466">
        <v>-0.99048360000000002</v>
      </c>
      <c r="S5466">
        <v>4.6203609999999999E-2</v>
      </c>
      <c r="T5466">
        <v>-0.114861</v>
      </c>
      <c r="U5466">
        <v>-3.0373079999999999</v>
      </c>
      <c r="V5466">
        <v>2.6090380000000002E-3</v>
      </c>
      <c r="W5466">
        <v>2.1828170000000001E-2</v>
      </c>
      <c r="X5466">
        <v>0.99975829999999999</v>
      </c>
      <c r="Y5466">
        <v>-0.1497436</v>
      </c>
      <c r="Z5466">
        <v>3.705787E-2</v>
      </c>
      <c r="AA5466">
        <v>0.98803010000000002</v>
      </c>
      <c r="AB5466">
        <v>24</v>
      </c>
      <c r="AC5466">
        <v>0.47519999999997198</v>
      </c>
      <c r="AD5466">
        <v>-1.1123529135493999</v>
      </c>
      <c r="AE5466">
        <v>-29.186049999999899</v>
      </c>
      <c r="AF5466">
        <v>-4.3958058480680604</v>
      </c>
      <c r="AG5466">
        <v>-1.1123529135493999</v>
      </c>
      <c r="AH5466">
        <v>28.8142142461394</v>
      </c>
      <c r="AI5466">
        <v>92.185505292225201</v>
      </c>
      <c r="AJ5466">
        <v>98.673984831514105</v>
      </c>
      <c r="AK5466">
        <v>29.168808352084099</v>
      </c>
      <c r="AL5466">
        <v>88.749238605290799</v>
      </c>
      <c r="AM5466">
        <v>89.850477333734503</v>
      </c>
      <c r="AN5466">
        <v>0.99999996725186102</v>
      </c>
    </row>
    <row r="5467" spans="1:40" x14ac:dyDescent="0.25">
      <c r="A5467" t="str">
        <f>"20190312160755920"</f>
        <v>20190312160755920</v>
      </c>
      <c r="B5467" t="str">
        <f>"1552378075911444"</f>
        <v>1552378075911444</v>
      </c>
      <c r="C5467" t="s">
        <v>40</v>
      </c>
      <c r="D5467">
        <v>5.5966209999999998</v>
      </c>
      <c r="E5467">
        <v>0.44285910000000001</v>
      </c>
      <c r="F5467" t="s">
        <v>47</v>
      </c>
      <c r="G5467">
        <v>-419.20280000000002</v>
      </c>
      <c r="H5467" s="1">
        <v>-3.06502E-7</v>
      </c>
      <c r="I5467">
        <v>79.925419999999903</v>
      </c>
      <c r="J5467">
        <v>-419.69349999999997</v>
      </c>
      <c r="K5467">
        <v>1.1123270000000001</v>
      </c>
      <c r="L5467">
        <v>110.3917</v>
      </c>
      <c r="M5467">
        <v>-0.1312131</v>
      </c>
      <c r="N5467">
        <v>0</v>
      </c>
      <c r="O5467">
        <v>-0.9912571</v>
      </c>
      <c r="P5467">
        <v>-0.1351049</v>
      </c>
      <c r="Q5467">
        <v>8.1468100000000009E-3</v>
      </c>
      <c r="R5467">
        <v>-0.99079810000000001</v>
      </c>
      <c r="S5467">
        <v>4.5959470000000002E-2</v>
      </c>
      <c r="T5467">
        <v>-0.1100459</v>
      </c>
      <c r="U5467">
        <v>-3.0360719999999999</v>
      </c>
      <c r="V5467">
        <v>3.7952379999999998E-3</v>
      </c>
      <c r="W5467">
        <v>2.2055100000000001E-2</v>
      </c>
      <c r="X5467">
        <v>0.99974949999999996</v>
      </c>
      <c r="Y5467">
        <v>-0.14620569999999999</v>
      </c>
      <c r="Z5467">
        <v>3.5555789999999997E-2</v>
      </c>
      <c r="AA5467">
        <v>0.98861500000000002</v>
      </c>
      <c r="AB5467">
        <v>24</v>
      </c>
      <c r="AC5467">
        <v>0.49069999999994701</v>
      </c>
      <c r="AD5467">
        <v>-1.1123273065019901</v>
      </c>
      <c r="AE5467">
        <v>-30.466280000000001</v>
      </c>
      <c r="AF5467">
        <v>-4.4784483423780399</v>
      </c>
      <c r="AG5467">
        <v>-1.1123273065019901</v>
      </c>
      <c r="AH5467">
        <v>30.0983205120999</v>
      </c>
      <c r="AI5467">
        <v>92.093459338846401</v>
      </c>
      <c r="AJ5467">
        <v>98.463173322534601</v>
      </c>
      <c r="AK5467">
        <v>30.450002779001998</v>
      </c>
      <c r="AL5467">
        <v>88.736233317031903</v>
      </c>
      <c r="AM5467">
        <v>89.7824954400173</v>
      </c>
      <c r="AN5467">
        <v>0.99999994700886596</v>
      </c>
    </row>
    <row r="5468" spans="1:40" x14ac:dyDescent="0.25">
      <c r="A5468" t="str">
        <f>"20190312160755942"</f>
        <v>20190312160755942</v>
      </c>
      <c r="B5468" t="str">
        <f>"1552378075930961"</f>
        <v>1552378075930961</v>
      </c>
      <c r="C5468" t="s">
        <v>40</v>
      </c>
      <c r="D5468">
        <v>5.6589619999999998</v>
      </c>
      <c r="E5468">
        <v>0.4435402</v>
      </c>
      <c r="F5468" t="s">
        <v>47</v>
      </c>
      <c r="G5468">
        <v>-419.21980000000002</v>
      </c>
      <c r="H5468" s="1">
        <v>-4.3454869999999996E-6</v>
      </c>
      <c r="I5468">
        <v>79.439610000000002</v>
      </c>
      <c r="J5468">
        <v>-419.72</v>
      </c>
      <c r="K5468">
        <v>1.112295</v>
      </c>
      <c r="L5468">
        <v>110.1592</v>
      </c>
      <c r="M5468">
        <v>-0.1276156</v>
      </c>
      <c r="N5468">
        <v>0</v>
      </c>
      <c r="O5468">
        <v>-0.99172660000000001</v>
      </c>
      <c r="P5468">
        <v>-0.13285139999999901</v>
      </c>
      <c r="Q5468">
        <v>8.0087890000000005E-3</v>
      </c>
      <c r="R5468">
        <v>-0.99110370000000003</v>
      </c>
      <c r="S5468">
        <v>4.6447750000000003E-2</v>
      </c>
      <c r="T5468">
        <v>-0.109072699999999</v>
      </c>
      <c r="U5468">
        <v>-3.0350950000000001</v>
      </c>
      <c r="V5468">
        <v>5.1514500000000001E-3</v>
      </c>
      <c r="W5468">
        <v>2.1918750000000001E-2</v>
      </c>
      <c r="X5468">
        <v>0.99974649999999998</v>
      </c>
      <c r="Y5468">
        <v>-0.14277960000000001</v>
      </c>
      <c r="Z5468">
        <v>3.5287319999999997E-2</v>
      </c>
      <c r="AA5468">
        <v>0.98912529999999999</v>
      </c>
      <c r="AB5468">
        <v>23</v>
      </c>
      <c r="AC5468">
        <v>0.50020000000000597</v>
      </c>
      <c r="AD5468">
        <v>-1.112299345487</v>
      </c>
      <c r="AE5468">
        <v>-30.71959</v>
      </c>
      <c r="AF5468">
        <v>-4.4110045077147904</v>
      </c>
      <c r="AG5468">
        <v>-1.112299345487</v>
      </c>
      <c r="AH5468">
        <v>30.364730949774401</v>
      </c>
      <c r="AI5468">
        <v>92.076108535169496</v>
      </c>
      <c r="AJ5468">
        <v>98.265390196945006</v>
      </c>
      <c r="AK5468">
        <v>30.703600053629501</v>
      </c>
      <c r="AL5468">
        <v>88.744047573479406</v>
      </c>
      <c r="AM5468">
        <v>89.704771428364594</v>
      </c>
      <c r="AN5468">
        <v>1.0000000166504499</v>
      </c>
    </row>
    <row r="5469" spans="1:40" x14ac:dyDescent="0.25">
      <c r="A5469" t="str">
        <f>"20190312160755966"</f>
        <v>20190312160755966</v>
      </c>
      <c r="B5469" t="str">
        <f>"1552378075961217"</f>
        <v>1552378075961217</v>
      </c>
      <c r="C5469" t="s">
        <v>40</v>
      </c>
      <c r="D5469">
        <v>5.6688010000000002</v>
      </c>
      <c r="E5469">
        <v>0.44441989999999998</v>
      </c>
      <c r="F5469" t="s">
        <v>47</v>
      </c>
      <c r="G5469">
        <v>-419.22989999999999</v>
      </c>
      <c r="H5469" s="1">
        <v>-4.3005230000000002E-6</v>
      </c>
      <c r="I5469">
        <v>79.338980000000006</v>
      </c>
      <c r="J5469">
        <v>-419.74619999999999</v>
      </c>
      <c r="K5469">
        <v>1.1122669999999999</v>
      </c>
      <c r="L5469">
        <v>109.9218</v>
      </c>
      <c r="M5469">
        <v>-0.1239759</v>
      </c>
      <c r="N5469">
        <v>0</v>
      </c>
      <c r="O5469">
        <v>-0.99218839999999997</v>
      </c>
      <c r="P5469">
        <v>-0.12971939999999901</v>
      </c>
      <c r="Q5469">
        <v>7.4946099999999996E-3</v>
      </c>
      <c r="R5469">
        <v>-0.99152289999999998</v>
      </c>
      <c r="S5469">
        <v>4.8248289999999999E-2</v>
      </c>
      <c r="T5469">
        <v>-0.1095076</v>
      </c>
      <c r="U5469">
        <v>-3.0343019999999998</v>
      </c>
      <c r="V5469">
        <v>5.6648879999999999E-3</v>
      </c>
      <c r="W5469">
        <v>2.1401509999999999E-2</v>
      </c>
      <c r="X5469">
        <v>0.9997549</v>
      </c>
      <c r="Y5469">
        <v>-0.1397379</v>
      </c>
      <c r="Z5469">
        <v>3.5469720000000003E-2</v>
      </c>
      <c r="AA5469">
        <v>0.98955300000000002</v>
      </c>
      <c r="AB5469">
        <v>23</v>
      </c>
      <c r="AC5469">
        <v>0.51630000000000098</v>
      </c>
      <c r="AD5469">
        <v>-1.1122713005230001</v>
      </c>
      <c r="AE5469">
        <v>-30.582820000000002</v>
      </c>
      <c r="AF5469">
        <v>-4.2985289527253601</v>
      </c>
      <c r="AG5469">
        <v>-1.1122713005230001</v>
      </c>
      <c r="AH5469">
        <v>30.242828867972602</v>
      </c>
      <c r="AI5469">
        <v>92.085335981771905</v>
      </c>
      <c r="AJ5469">
        <v>98.089484061329202</v>
      </c>
      <c r="AK5469">
        <v>30.567027931103599</v>
      </c>
      <c r="AL5469">
        <v>88.773690161364698</v>
      </c>
      <c r="AM5469">
        <v>89.675349728004804</v>
      </c>
      <c r="AN5469">
        <v>0.99999998783017097</v>
      </c>
    </row>
    <row r="5470" spans="1:40" x14ac:dyDescent="0.25">
      <c r="A5470" t="str">
        <f>"20190312160755989"</f>
        <v>20190312160755989</v>
      </c>
      <c r="B5470" t="str">
        <f>"1552378075980736"</f>
        <v>1552378075980736</v>
      </c>
      <c r="C5470" t="s">
        <v>40</v>
      </c>
      <c r="D5470">
        <v>5.731649</v>
      </c>
      <c r="E5470">
        <v>0.44502839999999999</v>
      </c>
      <c r="F5470" t="s">
        <v>47</v>
      </c>
      <c r="G5470">
        <v>-419.2792</v>
      </c>
      <c r="H5470" s="1">
        <v>-1.2182499999999999E-6</v>
      </c>
      <c r="I5470">
        <v>82.174480000000003</v>
      </c>
      <c r="J5470">
        <v>-419.77229999999997</v>
      </c>
      <c r="K5470">
        <v>1.112236</v>
      </c>
      <c r="L5470">
        <v>109.67749999999999</v>
      </c>
      <c r="M5470">
        <v>-0.12026290000000001</v>
      </c>
      <c r="N5470">
        <v>0</v>
      </c>
      <c r="O5470">
        <v>-0.99264520000000001</v>
      </c>
      <c r="P5470">
        <v>-0.1264498</v>
      </c>
      <c r="Q5470">
        <v>6.6273110000000003E-3</v>
      </c>
      <c r="R5470">
        <v>-0.99195109999999997</v>
      </c>
      <c r="S5470">
        <v>5.1055910000000003E-2</v>
      </c>
      <c r="T5470">
        <v>-0.1215888</v>
      </c>
      <c r="U5470">
        <v>-3.0332340000000002</v>
      </c>
      <c r="V5470">
        <v>6.1147299999999996E-3</v>
      </c>
      <c r="W5470">
        <v>2.053147E-2</v>
      </c>
      <c r="X5470">
        <v>0.99977050000000001</v>
      </c>
      <c r="Y5470">
        <v>-0.1369514</v>
      </c>
      <c r="Z5470">
        <v>3.9425710000000003E-2</v>
      </c>
      <c r="AA5470">
        <v>0.98979289999999998</v>
      </c>
      <c r="AB5470">
        <v>23</v>
      </c>
      <c r="AC5470">
        <v>0.49309999999996901</v>
      </c>
      <c r="AD5470">
        <v>-1.11223721825</v>
      </c>
      <c r="AE5470">
        <v>-27.5030199999999</v>
      </c>
      <c r="AF5470">
        <v>-3.79123317777261</v>
      </c>
      <c r="AG5470">
        <v>-1.11223721825</v>
      </c>
      <c r="AH5470">
        <v>27.199590415569201</v>
      </c>
      <c r="AI5470">
        <v>92.319220553393805</v>
      </c>
      <c r="AJ5470">
        <v>97.935085689858496</v>
      </c>
      <c r="AK5470">
        <v>27.485054837358899</v>
      </c>
      <c r="AL5470">
        <v>88.823550748778104</v>
      </c>
      <c r="AM5470">
        <v>89.6495757241712</v>
      </c>
      <c r="AN5470">
        <v>0.99999999192679101</v>
      </c>
    </row>
    <row r="5471" spans="1:40" x14ac:dyDescent="0.25">
      <c r="A5471" t="str">
        <f>"20190312160756010"</f>
        <v>20190312160756010</v>
      </c>
      <c r="B5471" t="str">
        <f>"1552378076001233"</f>
        <v>1552378076001233</v>
      </c>
      <c r="C5471" t="s">
        <v>40</v>
      </c>
      <c r="D5471">
        <v>5.6891569999999998</v>
      </c>
      <c r="E5471">
        <v>0.44570359999999998</v>
      </c>
      <c r="F5471" t="s">
        <v>47</v>
      </c>
      <c r="G5471">
        <v>-419.28250000000003</v>
      </c>
      <c r="H5471" s="1">
        <v>-1.637087E-6</v>
      </c>
      <c r="I5471">
        <v>83.152180000000001</v>
      </c>
      <c r="J5471">
        <v>-419.79520000000002</v>
      </c>
      <c r="K5471">
        <v>1.1122110000000001</v>
      </c>
      <c r="L5471">
        <v>109.4569</v>
      </c>
      <c r="M5471">
        <v>-0.11693969999999999</v>
      </c>
      <c r="N5471">
        <v>0</v>
      </c>
      <c r="O5471">
        <v>-0.99304230000000004</v>
      </c>
      <c r="P5471">
        <v>-0.12225949999999999</v>
      </c>
      <c r="Q5471">
        <v>5.4125850000000001E-3</v>
      </c>
      <c r="R5471">
        <v>-0.99248340000000002</v>
      </c>
      <c r="S5471">
        <v>5.5999760000000003E-2</v>
      </c>
      <c r="T5471">
        <v>-0.1271486</v>
      </c>
      <c r="U5471">
        <v>-3.0323180000000001</v>
      </c>
      <c r="V5471">
        <v>5.2456239999999999E-3</v>
      </c>
      <c r="W5471">
        <v>1.9306710000000001E-2</v>
      </c>
      <c r="X5471">
        <v>0.99979980000000002</v>
      </c>
      <c r="Y5471">
        <v>-0.1352525</v>
      </c>
      <c r="Z5471">
        <v>4.1267070000000003E-2</v>
      </c>
      <c r="AA5471">
        <v>0.98995140000000004</v>
      </c>
      <c r="AB5471">
        <v>23</v>
      </c>
      <c r="AC5471">
        <v>0.51269999999999505</v>
      </c>
      <c r="AD5471">
        <v>-1.112212637087</v>
      </c>
      <c r="AE5471">
        <v>-26.30472</v>
      </c>
      <c r="AF5471">
        <v>-3.5791470428207401</v>
      </c>
      <c r="AG5471">
        <v>-1.112212637087</v>
      </c>
      <c r="AH5471">
        <v>26.017752483286099</v>
      </c>
      <c r="AI5471">
        <v>92.424991903711103</v>
      </c>
      <c r="AJ5471">
        <v>97.832763850634095</v>
      </c>
      <c r="AK5471">
        <v>26.2863225801132</v>
      </c>
      <c r="AL5471">
        <v>88.8937382149565</v>
      </c>
      <c r="AM5471">
        <v>89.6993904596373</v>
      </c>
      <c r="AN5471">
        <v>0.99999995285110499</v>
      </c>
    </row>
    <row r="5472" spans="1:40" x14ac:dyDescent="0.25">
      <c r="A5472" t="str">
        <f>"20190312160756033"</f>
        <v>20190312160756033</v>
      </c>
      <c r="B5472" t="str">
        <f>"1552378076020753"</f>
        <v>1552378076020753</v>
      </c>
      <c r="C5472" t="s">
        <v>40</v>
      </c>
      <c r="D5472">
        <v>5.7462330000000001</v>
      </c>
      <c r="E5472">
        <v>0.44614989999999999</v>
      </c>
      <c r="F5472" t="s">
        <v>47</v>
      </c>
      <c r="G5472">
        <v>-419.2663</v>
      </c>
      <c r="H5472" s="1">
        <v>-2.085731E-6</v>
      </c>
      <c r="I5472">
        <v>84.191310000000001</v>
      </c>
      <c r="J5472">
        <v>-419.81819999999999</v>
      </c>
      <c r="K5472">
        <v>1.112193</v>
      </c>
      <c r="L5472">
        <v>109.22669999999999</v>
      </c>
      <c r="M5472">
        <v>-0.1134989</v>
      </c>
      <c r="N5472">
        <v>0</v>
      </c>
      <c r="O5472">
        <v>-0.99344149999999998</v>
      </c>
      <c r="P5472">
        <v>-0.1181739</v>
      </c>
      <c r="Q5472">
        <v>4.7197940000000002E-3</v>
      </c>
      <c r="R5472">
        <v>-0.99298180000000003</v>
      </c>
      <c r="S5472">
        <v>6.3446039999999995E-2</v>
      </c>
      <c r="T5472">
        <v>-0.1334389</v>
      </c>
      <c r="U5472">
        <v>-3.0312649999999999</v>
      </c>
      <c r="V5472">
        <v>4.5988899999999996E-3</v>
      </c>
      <c r="W5472">
        <v>1.8605409999999999E-2</v>
      </c>
      <c r="X5472">
        <v>0.99981629999999999</v>
      </c>
      <c r="Y5472">
        <v>-0.13425529999999999</v>
      </c>
      <c r="Z5472">
        <v>4.3348060000000001E-2</v>
      </c>
      <c r="AA5472">
        <v>0.98999820000000005</v>
      </c>
      <c r="AB5472">
        <v>23</v>
      </c>
      <c r="AC5472">
        <v>0.55189999999998895</v>
      </c>
      <c r="AD5472">
        <v>-1.1121950857309999</v>
      </c>
      <c r="AE5472">
        <v>-25.0353899999999</v>
      </c>
      <c r="AF5472">
        <v>-3.3834208455977</v>
      </c>
      <c r="AG5472">
        <v>-1.1121950857309999</v>
      </c>
      <c r="AH5472">
        <v>24.762091080154001</v>
      </c>
      <c r="AI5472">
        <v>92.548080507101105</v>
      </c>
      <c r="AJ5472">
        <v>97.780548937983596</v>
      </c>
      <c r="AK5472">
        <v>25.0169076663962</v>
      </c>
      <c r="AL5472">
        <v>88.933926989906098</v>
      </c>
      <c r="AM5472">
        <v>89.736456457900701</v>
      </c>
      <c r="AN5472">
        <v>0.99999997240809402</v>
      </c>
    </row>
    <row r="5473" spans="1:40" x14ac:dyDescent="0.25">
      <c r="A5473" t="str">
        <f>"20190312160756054"</f>
        <v>20190312160756054</v>
      </c>
      <c r="B5473" t="str">
        <f>"1552378076041251"</f>
        <v>1552378076041251</v>
      </c>
      <c r="C5473" t="s">
        <v>40</v>
      </c>
      <c r="D5473">
        <v>5.6783029999999997</v>
      </c>
      <c r="E5473">
        <v>0.44670979999999999</v>
      </c>
      <c r="F5473" t="s">
        <v>47</v>
      </c>
      <c r="G5473">
        <v>-419.23669999999998</v>
      </c>
      <c r="H5473" s="1">
        <v>-2.3729889999999999E-6</v>
      </c>
      <c r="I5473">
        <v>84.84863</v>
      </c>
      <c r="J5473">
        <v>-419.83980000000003</v>
      </c>
      <c r="K5473">
        <v>1.112179</v>
      </c>
      <c r="L5473">
        <v>109.00369999999999</v>
      </c>
      <c r="M5473">
        <v>-0.1101903</v>
      </c>
      <c r="N5473">
        <v>0</v>
      </c>
      <c r="O5473">
        <v>-0.99381419999999998</v>
      </c>
      <c r="P5473">
        <v>-0.11396870000000001</v>
      </c>
      <c r="Q5473">
        <v>5.742764E-3</v>
      </c>
      <c r="R5473">
        <v>-0.99346820000000002</v>
      </c>
      <c r="S5473">
        <v>7.2296139999999995E-2</v>
      </c>
      <c r="T5473">
        <v>-0.13825850000000001</v>
      </c>
      <c r="U5473">
        <v>-3.0304720000000001</v>
      </c>
      <c r="V5473">
        <v>3.69119E-3</v>
      </c>
      <c r="W5473">
        <v>1.9618989999999999E-2</v>
      </c>
      <c r="X5473">
        <v>0.99980069999999999</v>
      </c>
      <c r="Y5473">
        <v>-0.1338491</v>
      </c>
      <c r="Z5473">
        <v>4.4947470000000003E-2</v>
      </c>
      <c r="AA5473">
        <v>0.98998189999999997</v>
      </c>
      <c r="AB5473">
        <v>23</v>
      </c>
      <c r="AC5473">
        <v>0.60310000000004005</v>
      </c>
      <c r="AD5473">
        <v>-1.112181372989</v>
      </c>
      <c r="AE5473">
        <v>-24.155069999999899</v>
      </c>
      <c r="AF5473">
        <v>-3.2544408368072699</v>
      </c>
      <c r="AG5473">
        <v>-1.112181372989</v>
      </c>
      <c r="AH5473">
        <v>23.890870562895699</v>
      </c>
      <c r="AI5473">
        <v>92.640985709539095</v>
      </c>
      <c r="AJ5473">
        <v>97.757148619213993</v>
      </c>
      <c r="AK5473">
        <v>24.137150387312499</v>
      </c>
      <c r="AL5473">
        <v>88.875842534013401</v>
      </c>
      <c r="AM5473">
        <v>89.788469194411704</v>
      </c>
      <c r="AN5473">
        <v>0.99999998468636297</v>
      </c>
    </row>
    <row r="5474" spans="1:40" x14ac:dyDescent="0.25">
      <c r="A5474" t="str">
        <f>"20190312160756077"</f>
        <v>20190312160756077</v>
      </c>
      <c r="B5474" t="str">
        <f>"1552378076071506"</f>
        <v>1552378076071506</v>
      </c>
      <c r="C5474" t="s">
        <v>40</v>
      </c>
      <c r="D5474">
        <v>5.6838550000000003</v>
      </c>
      <c r="E5474">
        <v>0.44752239999999999</v>
      </c>
      <c r="F5474" t="s">
        <v>47</v>
      </c>
      <c r="G5474">
        <v>-419.18360000000001</v>
      </c>
      <c r="H5474" s="1">
        <v>-2.2484980000000001E-6</v>
      </c>
      <c r="I5474">
        <v>84.536490000000001</v>
      </c>
      <c r="J5474">
        <v>-419.86160000000001</v>
      </c>
      <c r="K5474">
        <v>1.1121460000000001</v>
      </c>
      <c r="L5474">
        <v>108.76990000000001</v>
      </c>
      <c r="M5474">
        <v>-0.10675220000000001</v>
      </c>
      <c r="N5474">
        <v>0</v>
      </c>
      <c r="O5474">
        <v>-0.99418930000000005</v>
      </c>
      <c r="P5474">
        <v>-0.10928010000000001</v>
      </c>
      <c r="Q5474">
        <v>6.1669269999999896E-3</v>
      </c>
      <c r="R5474">
        <v>-0.99399199999999999</v>
      </c>
      <c r="S5474">
        <v>8.1268309999999996E-2</v>
      </c>
      <c r="T5474">
        <v>-0.13772509999999999</v>
      </c>
      <c r="U5474">
        <v>-3.0298609999999999</v>
      </c>
      <c r="V5474">
        <v>2.4310489999999998E-3</v>
      </c>
      <c r="W5474">
        <v>2.003137E-2</v>
      </c>
      <c r="X5474">
        <v>0.99979640000000003</v>
      </c>
      <c r="Y5474">
        <v>-0.13335610000000001</v>
      </c>
      <c r="Z5474">
        <v>4.4808809999999998E-2</v>
      </c>
      <c r="AA5474">
        <v>0.99005469999999896</v>
      </c>
      <c r="AB5474">
        <v>23</v>
      </c>
      <c r="AC5474">
        <v>0.67799999999999705</v>
      </c>
      <c r="AD5474">
        <v>-1.1121482484980001</v>
      </c>
      <c r="AE5474">
        <v>-24.233409999999999</v>
      </c>
      <c r="AF5474">
        <v>-3.2544934331837898</v>
      </c>
      <c r="AG5474">
        <v>-1.1121482484980001</v>
      </c>
      <c r="AH5474">
        <v>23.972070343443999</v>
      </c>
      <c r="AI5474">
        <v>92.632135469911802</v>
      </c>
      <c r="AJ5474">
        <v>97.731314838002007</v>
      </c>
      <c r="AK5474">
        <v>24.217529968688002</v>
      </c>
      <c r="AL5474">
        <v>88.852210277015402</v>
      </c>
      <c r="AM5474">
        <v>89.860683062091695</v>
      </c>
      <c r="AN5474">
        <v>1.00000000361813</v>
      </c>
    </row>
    <row r="5475" spans="1:40" x14ac:dyDescent="0.25">
      <c r="A5475" t="str">
        <f>"20190312160756098"</f>
        <v>20190312160756098</v>
      </c>
      <c r="B5475" t="str">
        <f>"1552378076091025"</f>
        <v>1552378076091025</v>
      </c>
      <c r="C5475" t="s">
        <v>40</v>
      </c>
      <c r="D5475">
        <v>5.6710979999999998</v>
      </c>
      <c r="E5475">
        <v>0.44782189999999999</v>
      </c>
      <c r="F5475" t="s">
        <v>47</v>
      </c>
      <c r="G5475">
        <v>-419.15159999999997</v>
      </c>
      <c r="H5475" s="1">
        <v>-2.27918E-6</v>
      </c>
      <c r="I5475">
        <v>84.594790000000003</v>
      </c>
      <c r="J5475">
        <v>-419.88209999999998</v>
      </c>
      <c r="K5475">
        <v>1.1121160000000001</v>
      </c>
      <c r="L5475">
        <v>108.5419</v>
      </c>
      <c r="M5475">
        <v>-0.10342270000000001</v>
      </c>
      <c r="N5475">
        <v>0</v>
      </c>
      <c r="O5475">
        <v>-0.99454100000000001</v>
      </c>
      <c r="P5475">
        <v>-0.1045396</v>
      </c>
      <c r="Q5475">
        <v>5.181293E-3</v>
      </c>
      <c r="R5475">
        <v>-0.99450740000000004</v>
      </c>
      <c r="S5475">
        <v>8.8958739999999994E-2</v>
      </c>
      <c r="T5475">
        <v>-0.13933679999999901</v>
      </c>
      <c r="U5475">
        <v>-3.0288089999999999</v>
      </c>
      <c r="V5475">
        <v>1.0171469999999999E-3</v>
      </c>
      <c r="W5475">
        <v>1.9034019999999999E-2</v>
      </c>
      <c r="X5475">
        <v>0.99981830000000005</v>
      </c>
      <c r="Y5475">
        <v>-0.13255790000000001</v>
      </c>
      <c r="Z5475">
        <v>4.5372889999999999E-2</v>
      </c>
      <c r="AA5475">
        <v>0.99013620000000002</v>
      </c>
      <c r="AB5475">
        <v>23</v>
      </c>
      <c r="AC5475">
        <v>0.73050000000000603</v>
      </c>
      <c r="AD5475">
        <v>-1.1121182791799999</v>
      </c>
      <c r="AE5475">
        <v>-23.947109999999899</v>
      </c>
      <c r="AF5475">
        <v>-3.1966066277141798</v>
      </c>
      <c r="AG5475">
        <v>-1.1121182791799999</v>
      </c>
      <c r="AH5475">
        <v>23.692061361664901</v>
      </c>
      <c r="AI5475">
        <v>92.663424130655798</v>
      </c>
      <c r="AJ5475">
        <v>97.684121168874199</v>
      </c>
      <c r="AK5475">
        <v>23.9325901766634</v>
      </c>
      <c r="AL5475">
        <v>88.909365104021305</v>
      </c>
      <c r="AM5475">
        <v>89.941711198785697</v>
      </c>
      <c r="AN5475">
        <v>0.99999998076013397</v>
      </c>
    </row>
    <row r="5476" spans="1:40" x14ac:dyDescent="0.25">
      <c r="A5476" t="str">
        <f>"20190312160756120"</f>
        <v>20190312160756120</v>
      </c>
      <c r="B5476" t="str">
        <f>"1552378076111522"</f>
        <v>1552378076111522</v>
      </c>
      <c r="C5476" t="s">
        <v>40</v>
      </c>
      <c r="D5476">
        <v>5.7306080000000001</v>
      </c>
      <c r="E5476">
        <v>0.45714490000000002</v>
      </c>
      <c r="F5476" t="s">
        <v>47</v>
      </c>
      <c r="G5476">
        <v>-419.10649999999998</v>
      </c>
      <c r="H5476" s="1">
        <v>-2.5346639999999999E-6</v>
      </c>
      <c r="I5476">
        <v>85.171679999999995</v>
      </c>
      <c r="J5476">
        <v>-419.90109999999999</v>
      </c>
      <c r="K5476">
        <v>1.11209</v>
      </c>
      <c r="L5476">
        <v>108.3242</v>
      </c>
      <c r="M5476">
        <v>-0.1002627</v>
      </c>
      <c r="N5476">
        <v>0</v>
      </c>
      <c r="O5476">
        <v>-0.99486459999999999</v>
      </c>
      <c r="P5476">
        <v>-0.1004476</v>
      </c>
      <c r="Q5476">
        <v>3.0310210000000001E-3</v>
      </c>
      <c r="R5476">
        <v>-0.99493779999999998</v>
      </c>
      <c r="S5476">
        <v>0.1004944</v>
      </c>
      <c r="T5476">
        <v>-0.144087299999999</v>
      </c>
      <c r="U5476">
        <v>-3.0278779999999998</v>
      </c>
      <c r="V5476" s="1">
        <v>9.1081990000000006E-5</v>
      </c>
      <c r="W5476">
        <v>1.6875250000000001E-2</v>
      </c>
      <c r="X5476">
        <v>0.99985760000000001</v>
      </c>
      <c r="Y5476">
        <v>-0.1331841</v>
      </c>
      <c r="Z5476">
        <v>4.6949030000000003E-2</v>
      </c>
      <c r="AA5476">
        <v>0.98997869999999999</v>
      </c>
      <c r="AB5476">
        <v>23</v>
      </c>
      <c r="AC5476">
        <v>0.79460000000000197</v>
      </c>
      <c r="AD5476">
        <v>-1.112092534664</v>
      </c>
      <c r="AE5476">
        <v>-23.152519999999999</v>
      </c>
      <c r="AF5476">
        <v>-3.10499665564496</v>
      </c>
      <c r="AG5476">
        <v>-1.112092534664</v>
      </c>
      <c r="AH5476">
        <v>22.903375115666499</v>
      </c>
      <c r="AI5476">
        <v>92.754701396328798</v>
      </c>
      <c r="AJ5476">
        <v>97.720485220982198</v>
      </c>
      <c r="AK5476">
        <v>23.139627173447501</v>
      </c>
      <c r="AL5476">
        <v>89.033073501745093</v>
      </c>
      <c r="AM5476">
        <v>89.994780643161306</v>
      </c>
      <c r="AN5476">
        <v>1.0000000013181201</v>
      </c>
    </row>
    <row r="5477" spans="1:40" x14ac:dyDescent="0.25">
      <c r="A5477" t="str">
        <f>"20190312160756144"</f>
        <v>20190312160756144</v>
      </c>
      <c r="B5477" t="str">
        <f>"1552378076140802"</f>
        <v>1552378076140802</v>
      </c>
      <c r="C5477" t="s">
        <v>40</v>
      </c>
      <c r="D5477">
        <v>5.7072059999999896</v>
      </c>
      <c r="E5477">
        <v>0.45844190000000001</v>
      </c>
      <c r="F5477" t="s">
        <v>47</v>
      </c>
      <c r="G5477">
        <v>-419.65359999999998</v>
      </c>
      <c r="H5477" s="1">
        <v>-4.1876359999999997E-6</v>
      </c>
      <c r="I5477">
        <v>89.25103</v>
      </c>
      <c r="J5477">
        <v>-419.92129999999997</v>
      </c>
      <c r="K5477">
        <v>1.112063</v>
      </c>
      <c r="L5477">
        <v>108.0829</v>
      </c>
      <c r="M5477">
        <v>-9.6786449999999996E-2</v>
      </c>
      <c r="N5477">
        <v>0</v>
      </c>
      <c r="O5477">
        <v>-0.99520889999999995</v>
      </c>
      <c r="P5477">
        <v>-9.6306939999999994E-2</v>
      </c>
      <c r="Q5477">
        <v>2.7326080000000001E-3</v>
      </c>
      <c r="R5477">
        <v>-0.99534820000000002</v>
      </c>
      <c r="S5477">
        <v>3.9184570000000002E-2</v>
      </c>
      <c r="T5477">
        <v>-0.17607200000000001</v>
      </c>
      <c r="U5477">
        <v>-3.0197600000000002</v>
      </c>
      <c r="V5477">
        <v>-5.7433500000000004E-4</v>
      </c>
      <c r="W5477">
        <v>1.6569159999999999E-2</v>
      </c>
      <c r="X5477">
        <v>0.99986260000000005</v>
      </c>
      <c r="Y5477">
        <v>-0.1096795</v>
      </c>
      <c r="Z5477">
        <v>5.7619879999999998E-2</v>
      </c>
      <c r="AA5477">
        <v>0.9922955</v>
      </c>
      <c r="AB5477">
        <v>23</v>
      </c>
      <c r="AC5477">
        <v>0.26769999999999</v>
      </c>
      <c r="AD5477">
        <v>-1.112067187636</v>
      </c>
      <c r="AE5477">
        <v>-18.831869999999899</v>
      </c>
      <c r="AF5477">
        <v>-2.0820285051676701</v>
      </c>
      <c r="AG5477">
        <v>-1.112067187636</v>
      </c>
      <c r="AH5477">
        <v>18.6524967950321</v>
      </c>
      <c r="AI5477">
        <v>93.390942213567499</v>
      </c>
      <c r="AJ5477">
        <v>96.369103433476198</v>
      </c>
      <c r="AK5477">
        <v>18.8012545542799</v>
      </c>
      <c r="AL5477">
        <v>89.050613658985597</v>
      </c>
      <c r="AM5477">
        <v>90.032911489946102</v>
      </c>
      <c r="AN5477">
        <v>1.0000000429012701</v>
      </c>
    </row>
    <row r="5478" spans="1:40" x14ac:dyDescent="0.25">
      <c r="A5478" t="str">
        <f>"20190312160756167"</f>
        <v>20190312160756167</v>
      </c>
      <c r="B5478" t="str">
        <f>"1552378076161300"</f>
        <v>1552378076161300</v>
      </c>
      <c r="C5478" t="s">
        <v>40</v>
      </c>
      <c r="D5478">
        <v>5.6567259999999999</v>
      </c>
      <c r="E5478">
        <v>0.45898369999999999</v>
      </c>
      <c r="F5478" t="s">
        <v>47</v>
      </c>
      <c r="G5478">
        <v>-419.65989999999999</v>
      </c>
      <c r="H5478" s="1">
        <v>-4.0000949999999997E-6</v>
      </c>
      <c r="I5478">
        <v>88.81644</v>
      </c>
      <c r="J5478">
        <v>-419.93970000000002</v>
      </c>
      <c r="K5478">
        <v>1.1120380000000001</v>
      </c>
      <c r="L5478">
        <v>107.85299999999999</v>
      </c>
      <c r="M5478">
        <v>-9.3504939999999995E-2</v>
      </c>
      <c r="N5478">
        <v>0</v>
      </c>
      <c r="O5478">
        <v>-0.99552280000000004</v>
      </c>
      <c r="P5478">
        <v>-9.1674069999999996E-2</v>
      </c>
      <c r="Q5478">
        <v>2.6793120000000001E-3</v>
      </c>
      <c r="R5478">
        <v>-0.9957857</v>
      </c>
      <c r="S5478">
        <v>4.0954589999999999E-2</v>
      </c>
      <c r="T5478">
        <v>-0.17422799999999999</v>
      </c>
      <c r="U5478">
        <v>-3.018478</v>
      </c>
      <c r="V5478">
        <v>-1.9293209999999999E-3</v>
      </c>
      <c r="W5478">
        <v>1.6504319999999999E-2</v>
      </c>
      <c r="X5478">
        <v>0.99986200000000003</v>
      </c>
      <c r="Y5478">
        <v>-0.1069899</v>
      </c>
      <c r="Z5478">
        <v>5.7077889999999999E-2</v>
      </c>
      <c r="AA5478">
        <v>0.99262039999999996</v>
      </c>
      <c r="AB5478">
        <v>23</v>
      </c>
      <c r="AC5478">
        <v>0.27980000000002198</v>
      </c>
      <c r="AD5478">
        <v>-1.11204200009499</v>
      </c>
      <c r="AE5478">
        <v>-19.036559999999898</v>
      </c>
      <c r="AF5478">
        <v>-2.0517564965239199</v>
      </c>
      <c r="AG5478">
        <v>-1.11204200009499</v>
      </c>
      <c r="AH5478">
        <v>18.8626224298525</v>
      </c>
      <c r="AI5478">
        <v>93.354216384493</v>
      </c>
      <c r="AJ5478">
        <v>96.207865247175505</v>
      </c>
      <c r="AK5478">
        <v>19.0064427777051</v>
      </c>
      <c r="AL5478">
        <v>89.0543292479868</v>
      </c>
      <c r="AM5478">
        <v>90.110557070308104</v>
      </c>
      <c r="AN5478">
        <v>1.00000006695108</v>
      </c>
    </row>
    <row r="5479" spans="1:40" x14ac:dyDescent="0.25">
      <c r="A5479" t="str">
        <f>"20190312160756189"</f>
        <v>20190312160756189</v>
      </c>
      <c r="B5479" t="str">
        <f>"1552378076180816"</f>
        <v>1552378076180816</v>
      </c>
      <c r="C5479" t="s">
        <v>40</v>
      </c>
      <c r="D5479">
        <v>5.6763379999999897</v>
      </c>
      <c r="E5479">
        <v>0.45914749999999999</v>
      </c>
      <c r="F5479" t="s">
        <v>47</v>
      </c>
      <c r="G5479">
        <v>-419.62439999999998</v>
      </c>
      <c r="H5479" s="1">
        <v>-4.1248319999999999E-6</v>
      </c>
      <c r="I5479">
        <v>89.092559999999906</v>
      </c>
      <c r="J5479">
        <v>-419.95800000000003</v>
      </c>
      <c r="K5479">
        <v>1.1120099999999999</v>
      </c>
      <c r="L5479">
        <v>107.6172</v>
      </c>
      <c r="M5479">
        <v>-9.0172429999999998E-2</v>
      </c>
      <c r="N5479">
        <v>0</v>
      </c>
      <c r="O5479">
        <v>-0.9958302</v>
      </c>
      <c r="P5479">
        <v>-8.8104509999999997E-2</v>
      </c>
      <c r="Q5479">
        <v>3.4376300000000001E-3</v>
      </c>
      <c r="R5479">
        <v>-0.99610540000000003</v>
      </c>
      <c r="S5479">
        <v>5.0720210000000002E-2</v>
      </c>
      <c r="T5479">
        <v>-0.17888609999999999</v>
      </c>
      <c r="U5479">
        <v>-3.0178530000000001</v>
      </c>
      <c r="V5479">
        <v>-2.1686330000000001E-3</v>
      </c>
      <c r="W5479">
        <v>1.725666E-2</v>
      </c>
      <c r="X5479">
        <v>0.99984870000000003</v>
      </c>
      <c r="Y5479">
        <v>-0.1068747</v>
      </c>
      <c r="Z5479">
        <v>5.863691E-2</v>
      </c>
      <c r="AA5479">
        <v>0.99254200000000004</v>
      </c>
      <c r="AB5479">
        <v>23</v>
      </c>
      <c r="AC5479">
        <v>0.33360000000004603</v>
      </c>
      <c r="AD5479">
        <v>-1.1120141248319999</v>
      </c>
      <c r="AE5479">
        <v>-18.524640000000002</v>
      </c>
      <c r="AF5479">
        <v>-1.9956233421062799</v>
      </c>
      <c r="AG5479">
        <v>-1.1120141248319999</v>
      </c>
      <c r="AH5479">
        <v>18.352961951625598</v>
      </c>
      <c r="AI5479">
        <v>93.447068958219006</v>
      </c>
      <c r="AJ5479">
        <v>96.205719302332696</v>
      </c>
      <c r="AK5479">
        <v>18.494601924215601</v>
      </c>
      <c r="AL5479">
        <v>89.011217093585898</v>
      </c>
      <c r="AM5479">
        <v>90.124272125740205</v>
      </c>
      <c r="AN5479">
        <v>0.999999959087566</v>
      </c>
    </row>
    <row r="5480" spans="1:40" x14ac:dyDescent="0.25">
      <c r="A5480" t="str">
        <f>"20190312160756211"</f>
        <v>20190312160756211</v>
      </c>
      <c r="B5480" t="str">
        <f>"1552378076201313"</f>
        <v>1552378076201313</v>
      </c>
      <c r="C5480" t="s">
        <v>40</v>
      </c>
      <c r="D5480">
        <v>5.8376359999999998</v>
      </c>
      <c r="E5480">
        <v>0.46022380000000002</v>
      </c>
      <c r="F5480" t="s">
        <v>47</v>
      </c>
      <c r="G5480">
        <v>-419.5772</v>
      </c>
      <c r="H5480" s="1">
        <v>-3.9255419999999998E-6</v>
      </c>
      <c r="I5480">
        <v>88.60848</v>
      </c>
      <c r="J5480">
        <v>-419.9742</v>
      </c>
      <c r="K5480">
        <v>1.1119870000000001</v>
      </c>
      <c r="L5480">
        <v>107.3984</v>
      </c>
      <c r="M5480">
        <v>-8.711737E-2</v>
      </c>
      <c r="N5480">
        <v>0</v>
      </c>
      <c r="O5480">
        <v>-0.99610220000000005</v>
      </c>
      <c r="P5480">
        <v>-8.5217219999999996E-2</v>
      </c>
      <c r="Q5480">
        <v>4.2964479999999996E-3</v>
      </c>
      <c r="R5480">
        <v>-0.9963533</v>
      </c>
      <c r="S5480">
        <v>6.045532E-2</v>
      </c>
      <c r="T5480">
        <v>-0.17653550000000001</v>
      </c>
      <c r="U5480">
        <v>-3.0176850000000002</v>
      </c>
      <c r="V5480">
        <v>-2.0017350000000001E-3</v>
      </c>
      <c r="W5480">
        <v>1.8111970000000002E-2</v>
      </c>
      <c r="X5480">
        <v>0.99983390000000005</v>
      </c>
      <c r="Y5480">
        <v>-0.1070276</v>
      </c>
      <c r="Z5480">
        <v>5.7893880000000002E-2</v>
      </c>
      <c r="AA5480">
        <v>0.99256909999999998</v>
      </c>
      <c r="AB5480">
        <v>23</v>
      </c>
      <c r="AC5480">
        <v>0.39699999999999103</v>
      </c>
      <c r="AD5480">
        <v>-1.111990925542</v>
      </c>
      <c r="AE5480">
        <v>-18.789919999999899</v>
      </c>
      <c r="AF5480">
        <v>-2.0254844000973802</v>
      </c>
      <c r="AG5480">
        <v>-1.111990925542</v>
      </c>
      <c r="AH5480">
        <v>18.618700109754201</v>
      </c>
      <c r="AI5480">
        <v>93.397896641248707</v>
      </c>
      <c r="AJ5480">
        <v>96.208656685755798</v>
      </c>
      <c r="AK5480">
        <v>18.761532577337199</v>
      </c>
      <c r="AL5480">
        <v>88.962203751364996</v>
      </c>
      <c r="AM5480">
        <v>90.114709867275295</v>
      </c>
      <c r="AN5480">
        <v>0.99999993899474804</v>
      </c>
    </row>
    <row r="5481" spans="1:40" x14ac:dyDescent="0.25">
      <c r="A5481" t="str">
        <f>"20190312160756233"</f>
        <v>20190312160756233</v>
      </c>
      <c r="B5481" t="str">
        <f>"1552378076220833"</f>
        <v>1552378076220833</v>
      </c>
      <c r="C5481" t="s">
        <v>40</v>
      </c>
      <c r="D5481">
        <v>5.7245419999999996</v>
      </c>
      <c r="E5481">
        <v>0.46104349999999999</v>
      </c>
      <c r="F5481" t="s">
        <v>47</v>
      </c>
      <c r="G5481">
        <v>-419.57100000000003</v>
      </c>
      <c r="H5481" s="1">
        <v>-3.4960399999999999E-6</v>
      </c>
      <c r="I5481">
        <v>87.604740000000007</v>
      </c>
      <c r="J5481">
        <v>-419.99059999999997</v>
      </c>
      <c r="K5481">
        <v>1.111953</v>
      </c>
      <c r="L5481">
        <v>107.1683</v>
      </c>
      <c r="M5481">
        <v>-8.3949360000000001E-2</v>
      </c>
      <c r="N5481">
        <v>0</v>
      </c>
      <c r="O5481">
        <v>-0.99637439999999999</v>
      </c>
      <c r="P5481">
        <v>-8.324049E-2</v>
      </c>
      <c r="Q5481">
        <v>5.0309059999999999E-3</v>
      </c>
      <c r="R5481">
        <v>-0.99651719999999999</v>
      </c>
      <c r="S5481">
        <v>6.14624E-2</v>
      </c>
      <c r="T5481">
        <v>-0.1694901</v>
      </c>
      <c r="U5481">
        <v>-3.016953</v>
      </c>
      <c r="V5481">
        <v>-8.0744379999999998E-4</v>
      </c>
      <c r="W5481">
        <v>1.884713E-2</v>
      </c>
      <c r="X5481">
        <v>0.99982210000000005</v>
      </c>
      <c r="Y5481">
        <v>-0.1042042</v>
      </c>
      <c r="Z5481">
        <v>5.5635339999999998E-2</v>
      </c>
      <c r="AA5481">
        <v>0.99299859999999895</v>
      </c>
      <c r="AB5481">
        <v>23</v>
      </c>
      <c r="AC5481">
        <v>0.41960000000000203</v>
      </c>
      <c r="AD5481">
        <v>-1.1119564960399999</v>
      </c>
      <c r="AE5481">
        <v>-19.563559999999899</v>
      </c>
      <c r="AF5481">
        <v>-2.0539908647655101</v>
      </c>
      <c r="AG5481">
        <v>-1.1119564960399999</v>
      </c>
      <c r="AH5481">
        <v>19.396625930735301</v>
      </c>
      <c r="AI5481">
        <v>93.262818895071604</v>
      </c>
      <c r="AJ5481">
        <v>96.044765406165894</v>
      </c>
      <c r="AK5481">
        <v>19.536745461271199</v>
      </c>
      <c r="AL5481">
        <v>88.920075107378594</v>
      </c>
      <c r="AM5481">
        <v>90.046271343548398</v>
      </c>
      <c r="AN5481">
        <v>1.0000000489615599</v>
      </c>
    </row>
    <row r="5482" spans="1:40" x14ac:dyDescent="0.25">
      <c r="A5482" t="str">
        <f>"20190312160756256"</f>
        <v>20190312160756256</v>
      </c>
      <c r="B5482" t="str">
        <f>"1552378076251089"</f>
        <v>1552378076251089</v>
      </c>
      <c r="C5482" t="s">
        <v>40</v>
      </c>
      <c r="D5482">
        <v>5.762232</v>
      </c>
      <c r="E5482">
        <v>0.4618815</v>
      </c>
      <c r="F5482" t="s">
        <v>47</v>
      </c>
      <c r="G5482">
        <v>-419.58760000000001</v>
      </c>
      <c r="H5482" s="1">
        <v>-3.2630669999999999E-6</v>
      </c>
      <c r="I5482">
        <v>87.068529999999996</v>
      </c>
      <c r="J5482">
        <v>-420.00630000000001</v>
      </c>
      <c r="K5482">
        <v>1.111909</v>
      </c>
      <c r="L5482">
        <v>106.9388</v>
      </c>
      <c r="M5482">
        <v>-8.0842899999999995E-2</v>
      </c>
      <c r="N5482">
        <v>0</v>
      </c>
      <c r="O5482">
        <v>-0.9966313</v>
      </c>
      <c r="P5482">
        <v>-8.1346840000000004E-2</v>
      </c>
      <c r="Q5482">
        <v>5.2122359999999899E-3</v>
      </c>
      <c r="R5482">
        <v>-0.99667249999999996</v>
      </c>
      <c r="S5482">
        <v>6.0485839999999999E-2</v>
      </c>
      <c r="T5482">
        <v>-0.16687189999999999</v>
      </c>
      <c r="U5482">
        <v>-3.0163880000000001</v>
      </c>
      <c r="V5482">
        <v>4.1083E-4</v>
      </c>
      <c r="W5482">
        <v>1.902877E-2</v>
      </c>
      <c r="X5482">
        <v>0.99981889999999995</v>
      </c>
      <c r="Y5482">
        <v>-0.1007865</v>
      </c>
      <c r="Z5482">
        <v>5.4819960000000001E-2</v>
      </c>
      <c r="AA5482">
        <v>0.99339659999999996</v>
      </c>
      <c r="AB5482">
        <v>23</v>
      </c>
      <c r="AC5482">
        <v>0.41870000000000102</v>
      </c>
      <c r="AD5482">
        <v>-1.111912263067</v>
      </c>
      <c r="AE5482">
        <v>-19.870269999999898</v>
      </c>
      <c r="AF5482">
        <v>-2.0175376938660001</v>
      </c>
      <c r="AG5482">
        <v>-1.111912263067</v>
      </c>
      <c r="AH5482">
        <v>19.709676415771099</v>
      </c>
      <c r="AI5482">
        <v>93.212142962791305</v>
      </c>
      <c r="AJ5482">
        <v>95.844599713505502</v>
      </c>
      <c r="AK5482">
        <v>19.843844174991201</v>
      </c>
      <c r="AL5482">
        <v>88.909666034499594</v>
      </c>
      <c r="AM5482">
        <v>89.976456912574207</v>
      </c>
      <c r="AN5482">
        <v>1.0000000478330999</v>
      </c>
    </row>
    <row r="5483" spans="1:40" x14ac:dyDescent="0.25">
      <c r="A5483" t="str">
        <f>"20190312160756278"</f>
        <v>20190312160756278</v>
      </c>
      <c r="B5483" t="str">
        <f>"1552378076271587"</f>
        <v>1552378076271587</v>
      </c>
      <c r="C5483" t="s">
        <v>40</v>
      </c>
      <c r="D5483">
        <v>5.7479950000000004</v>
      </c>
      <c r="E5483">
        <v>0.46232210000000001</v>
      </c>
      <c r="F5483" t="s">
        <v>47</v>
      </c>
      <c r="G5483">
        <v>-419.59500000000003</v>
      </c>
      <c r="H5483" s="1">
        <v>-2.8259279999999998E-6</v>
      </c>
      <c r="I5483">
        <v>86.052610000000001</v>
      </c>
      <c r="J5483">
        <v>-420.02120000000002</v>
      </c>
      <c r="K5483">
        <v>1.1118570000000001</v>
      </c>
      <c r="L5483">
        <v>106.7097</v>
      </c>
      <c r="M5483">
        <v>-7.7797779999999997E-2</v>
      </c>
      <c r="N5483">
        <v>0</v>
      </c>
      <c r="O5483">
        <v>-0.99687380000000003</v>
      </c>
      <c r="P5483">
        <v>-7.9282839999999993E-2</v>
      </c>
      <c r="Q5483">
        <v>5.3160000000000004E-3</v>
      </c>
      <c r="R5483">
        <v>-0.99683860000000002</v>
      </c>
      <c r="S5483">
        <v>5.9387210000000003E-2</v>
      </c>
      <c r="T5483">
        <v>-0.1605461</v>
      </c>
      <c r="U5483">
        <v>-3.015701</v>
      </c>
      <c r="V5483">
        <v>1.3965959999999999E-3</v>
      </c>
      <c r="W5483">
        <v>1.913223E-2</v>
      </c>
      <c r="X5483">
        <v>0.99981600000000004</v>
      </c>
      <c r="Y5483">
        <v>-9.7391459999999999E-2</v>
      </c>
      <c r="Z5483">
        <v>5.2788269999999998E-2</v>
      </c>
      <c r="AA5483">
        <v>0.99384519999999998</v>
      </c>
      <c r="AB5483">
        <v>23</v>
      </c>
      <c r="AC5483">
        <v>0.42619999999999397</v>
      </c>
      <c r="AD5483">
        <v>-1.1118598259279999</v>
      </c>
      <c r="AE5483">
        <v>-20.65709</v>
      </c>
      <c r="AF5483">
        <v>-2.0262687708537701</v>
      </c>
      <c r="AG5483">
        <v>-1.1118598259279999</v>
      </c>
      <c r="AH5483">
        <v>20.501938507485502</v>
      </c>
      <c r="AI5483">
        <v>93.0891986110353</v>
      </c>
      <c r="AJ5483">
        <v>95.644385252094494</v>
      </c>
      <c r="AK5483">
        <v>20.631807481870499</v>
      </c>
      <c r="AL5483">
        <v>88.903737096196707</v>
      </c>
      <c r="AM5483">
        <v>89.919966269352997</v>
      </c>
      <c r="AN5483">
        <v>1.00000001328058</v>
      </c>
    </row>
    <row r="5484" spans="1:40" x14ac:dyDescent="0.25">
      <c r="A5484" t="str">
        <f>"20190312160756300"</f>
        <v>20190312160756300</v>
      </c>
      <c r="B5484" t="str">
        <f>"1552378076291105"</f>
        <v>1552378076291105</v>
      </c>
      <c r="C5484" t="s">
        <v>40</v>
      </c>
      <c r="D5484">
        <v>5.8031879999999996</v>
      </c>
      <c r="E5484">
        <v>0.46289740000000001</v>
      </c>
      <c r="F5484" t="s">
        <v>47</v>
      </c>
      <c r="G5484">
        <v>-419.59289999999999</v>
      </c>
      <c r="H5484" s="1">
        <v>-2.8056080000000001E-6</v>
      </c>
      <c r="I5484">
        <v>86.004390000000001</v>
      </c>
      <c r="J5484">
        <v>-420.03519999999997</v>
      </c>
      <c r="K5484">
        <v>1.111818</v>
      </c>
      <c r="L5484">
        <v>106.4853</v>
      </c>
      <c r="M5484">
        <v>-7.4860309999999999E-2</v>
      </c>
      <c r="N5484">
        <v>0</v>
      </c>
      <c r="O5484">
        <v>-0.99709840000000005</v>
      </c>
      <c r="P5484">
        <v>-7.63818E-2</v>
      </c>
      <c r="Q5484">
        <v>5.8232600000000002E-3</v>
      </c>
      <c r="R5484">
        <v>-0.99706170000000005</v>
      </c>
      <c r="S5484">
        <v>6.2377929999999998E-2</v>
      </c>
      <c r="T5484">
        <v>-0.16192290000000001</v>
      </c>
      <c r="U5484">
        <v>-3.0153660000000002</v>
      </c>
      <c r="V5484">
        <v>1.432699E-3</v>
      </c>
      <c r="W5484">
        <v>1.963376E-2</v>
      </c>
      <c r="X5484">
        <v>0.99980619999999998</v>
      </c>
      <c r="Y5484">
        <v>-9.5445950000000002E-2</v>
      </c>
      <c r="Z5484">
        <v>5.3268210000000003E-2</v>
      </c>
      <c r="AA5484">
        <v>0.99400840000000001</v>
      </c>
      <c r="AB5484">
        <v>23</v>
      </c>
      <c r="AC5484">
        <v>0.44229999999998798</v>
      </c>
      <c r="AD5484">
        <v>-1.1118208056079999</v>
      </c>
      <c r="AE5484">
        <v>-20.480909999999898</v>
      </c>
      <c r="AF5484">
        <v>-1.9686134988422901</v>
      </c>
      <c r="AG5484">
        <v>-1.1118208056079999</v>
      </c>
      <c r="AH5484">
        <v>20.330431729298098</v>
      </c>
      <c r="AI5484">
        <v>93.115702003609499</v>
      </c>
      <c r="AJ5484">
        <v>95.530757624660694</v>
      </c>
      <c r="AK5484">
        <v>20.455758086936299</v>
      </c>
      <c r="AL5484">
        <v>88.874996115309202</v>
      </c>
      <c r="AM5484">
        <v>89.917896538523294</v>
      </c>
      <c r="AN5484">
        <v>0.99999998735830098</v>
      </c>
    </row>
    <row r="5485" spans="1:40" x14ac:dyDescent="0.25">
      <c r="A5485" t="str">
        <f>"20190312160756315"</f>
        <v>20190312160756315</v>
      </c>
      <c r="B5485" t="str">
        <f>"1552378076310625"</f>
        <v>1552378076310625</v>
      </c>
      <c r="C5485" t="s">
        <v>40</v>
      </c>
      <c r="D5485">
        <v>5.8639279999999996</v>
      </c>
      <c r="E5485">
        <v>0.4623989</v>
      </c>
      <c r="F5485" t="s">
        <v>47</v>
      </c>
      <c r="G5485">
        <v>-419.59660000000002</v>
      </c>
      <c r="H5485" s="1">
        <v>-3.0118370000000001E-6</v>
      </c>
      <c r="I5485">
        <v>86.486630000000005</v>
      </c>
      <c r="J5485">
        <v>-420.04399999999998</v>
      </c>
      <c r="K5485">
        <v>1.111791</v>
      </c>
      <c r="L5485">
        <v>106.3411</v>
      </c>
      <c r="M5485">
        <v>-7.2990669999999994E-2</v>
      </c>
      <c r="N5485">
        <v>0</v>
      </c>
      <c r="O5485">
        <v>-0.99723729999999999</v>
      </c>
      <c r="P5485">
        <v>-7.4386149999999998E-2</v>
      </c>
      <c r="Q5485">
        <v>6.3290469999999904E-3</v>
      </c>
      <c r="R5485">
        <v>-0.99720980000000004</v>
      </c>
      <c r="S5485">
        <v>6.6131590000000004E-2</v>
      </c>
      <c r="T5485">
        <v>-0.16761099999999901</v>
      </c>
      <c r="U5485">
        <v>-3.0148769999999998</v>
      </c>
      <c r="V5485">
        <v>1.305329E-3</v>
      </c>
      <c r="W5485">
        <v>2.0135770000000001E-2</v>
      </c>
      <c r="X5485">
        <v>0.99979640000000003</v>
      </c>
      <c r="Y5485">
        <v>-9.481763E-2</v>
      </c>
      <c r="Z5485">
        <v>5.515515E-2</v>
      </c>
      <c r="AA5485">
        <v>0.9939656</v>
      </c>
      <c r="AB5485">
        <v>23</v>
      </c>
      <c r="AC5485">
        <v>0.44740000000001601</v>
      </c>
      <c r="AD5485">
        <v>-1.111794011837</v>
      </c>
      <c r="AE5485">
        <v>-19.8544699999999</v>
      </c>
      <c r="AF5485">
        <v>-1.8896130239778199</v>
      </c>
      <c r="AG5485">
        <v>-1.111794011837</v>
      </c>
      <c r="AH5485">
        <v>19.707077666455501</v>
      </c>
      <c r="AI5485">
        <v>93.214263582420799</v>
      </c>
      <c r="AJ5485">
        <v>95.477061188114703</v>
      </c>
      <c r="AK5485">
        <v>19.828656874757101</v>
      </c>
      <c r="AL5485">
        <v>88.846227383625703</v>
      </c>
      <c r="AM5485">
        <v>89.925194969614694</v>
      </c>
      <c r="AN5485">
        <v>0.99999999728512501</v>
      </c>
    </row>
    <row r="5486" spans="1:40" x14ac:dyDescent="0.25">
      <c r="A5486" t="str">
        <f>"20190312160756333"</f>
        <v>20190312160756333</v>
      </c>
      <c r="B5486" t="str">
        <f>"1552378076321363"</f>
        <v>1552378076321363</v>
      </c>
      <c r="C5486" t="s">
        <v>40</v>
      </c>
      <c r="D5486">
        <v>5.8383390000000004</v>
      </c>
      <c r="E5486">
        <v>0.43424360000000001</v>
      </c>
      <c r="F5486" t="s">
        <v>47</v>
      </c>
      <c r="G5486">
        <v>-419.52210000000002</v>
      </c>
      <c r="H5486" s="1">
        <v>-2.6836579999999999E-6</v>
      </c>
      <c r="I5486">
        <v>85.690849999999998</v>
      </c>
      <c r="J5486">
        <v>-420.05500000000001</v>
      </c>
      <c r="K5486">
        <v>1.1117629999999901</v>
      </c>
      <c r="L5486">
        <v>106.1534</v>
      </c>
      <c r="M5486">
        <v>-7.0594039999999997E-2</v>
      </c>
      <c r="N5486">
        <v>0</v>
      </c>
      <c r="O5486">
        <v>-0.99740980000000001</v>
      </c>
      <c r="P5486">
        <v>-7.2216379999999997E-2</v>
      </c>
      <c r="Q5486">
        <v>6.3313650000000003E-3</v>
      </c>
      <c r="R5486">
        <v>-0.99736910000000001</v>
      </c>
      <c r="S5486">
        <v>7.6202389999999995E-2</v>
      </c>
      <c r="T5486">
        <v>-0.16233129999999901</v>
      </c>
      <c r="U5486">
        <v>-3.0151059999999998</v>
      </c>
      <c r="V5486">
        <v>1.534072E-3</v>
      </c>
      <c r="W5486">
        <v>2.0134820000000001E-2</v>
      </c>
      <c r="X5486">
        <v>0.99979609999999997</v>
      </c>
      <c r="Y5486">
        <v>-9.574423E-2</v>
      </c>
      <c r="Z5486">
        <v>5.3428259999999998E-2</v>
      </c>
      <c r="AA5486">
        <v>0.99397100000000005</v>
      </c>
      <c r="AB5486">
        <v>23</v>
      </c>
      <c r="AC5486">
        <v>0.53289999999998305</v>
      </c>
      <c r="AD5486">
        <v>-1.1117656836580001</v>
      </c>
      <c r="AE5486">
        <v>-20.46255</v>
      </c>
      <c r="AF5486">
        <v>-1.97042903855896</v>
      </c>
      <c r="AG5486">
        <v>-1.1117656836580001</v>
      </c>
      <c r="AH5486">
        <v>20.3139408816936</v>
      </c>
      <c r="AI5486">
        <v>93.118021859071604</v>
      </c>
      <c r="AJ5486">
        <v>95.540292688214805</v>
      </c>
      <c r="AK5486">
        <v>20.4395403000239</v>
      </c>
      <c r="AL5486">
        <v>88.846281832206799</v>
      </c>
      <c r="AM5486">
        <v>89.912086292304494</v>
      </c>
      <c r="AN5486">
        <v>1.0000000029642699</v>
      </c>
    </row>
    <row r="5487" spans="1:40" x14ac:dyDescent="0.25">
      <c r="A5487" t="str">
        <f>"20190312160756356"</f>
        <v>20190312160756356</v>
      </c>
      <c r="B5487" t="str">
        <f>"1552378076350641"</f>
        <v>1552378076350641</v>
      </c>
      <c r="C5487" t="s">
        <v>40</v>
      </c>
      <c r="D5487">
        <v>5.8153079999999999</v>
      </c>
      <c r="E5487">
        <v>0.43100379999999999</v>
      </c>
      <c r="F5487" t="s">
        <v>47</v>
      </c>
      <c r="G5487">
        <v>-417.3494</v>
      </c>
      <c r="H5487" s="1">
        <v>-4.6797259999999997E-6</v>
      </c>
      <c r="I5487">
        <v>79.445350000000005</v>
      </c>
      <c r="J5487">
        <v>-420.06799999999998</v>
      </c>
      <c r="K5487">
        <v>1.1117330000000001</v>
      </c>
      <c r="L5487">
        <v>105.9208</v>
      </c>
      <c r="M5487">
        <v>-6.7672380000000004E-2</v>
      </c>
      <c r="N5487">
        <v>0</v>
      </c>
      <c r="O5487">
        <v>-0.99761239999999995</v>
      </c>
      <c r="P5487">
        <v>-6.9942519999999994E-2</v>
      </c>
      <c r="Q5487">
        <v>6.8599079999999996E-3</v>
      </c>
      <c r="R5487">
        <v>-0.99752759999999996</v>
      </c>
      <c r="S5487">
        <v>0.30703740000000002</v>
      </c>
      <c r="T5487">
        <v>-0.126168</v>
      </c>
      <c r="U5487">
        <v>-3.030945</v>
      </c>
      <c r="V5487">
        <v>2.1830729999999998E-3</v>
      </c>
      <c r="W5487">
        <v>2.0661140000000001E-2</v>
      </c>
      <c r="X5487">
        <v>0.99978420000000001</v>
      </c>
      <c r="Y5487">
        <v>-0.1678027</v>
      </c>
      <c r="Z5487">
        <v>4.1047670000000001E-2</v>
      </c>
      <c r="AA5487">
        <v>0.98496570000000006</v>
      </c>
      <c r="AB5487">
        <v>23</v>
      </c>
      <c r="AC5487">
        <v>2.7186000000000301</v>
      </c>
      <c r="AD5487">
        <v>-1.1117376797259999</v>
      </c>
      <c r="AE5487">
        <v>-26.475449999999899</v>
      </c>
      <c r="AF5487">
        <v>-4.4963480493964996</v>
      </c>
      <c r="AG5487">
        <v>-1.1117376797259999</v>
      </c>
      <c r="AH5487">
        <v>26.1850649472571</v>
      </c>
      <c r="AI5487">
        <v>92.396116014074494</v>
      </c>
      <c r="AJ5487">
        <v>99.743477108488307</v>
      </c>
      <c r="AK5487">
        <v>26.591553785777698</v>
      </c>
      <c r="AL5487">
        <v>88.816119694497502</v>
      </c>
      <c r="AM5487">
        <v>89.874892331285096</v>
      </c>
      <c r="AN5487">
        <v>1.0000000475417301</v>
      </c>
    </row>
    <row r="5488" spans="1:40" x14ac:dyDescent="0.25">
      <c r="A5488" t="str">
        <f>"20190312160756378"</f>
        <v>20190312160756378</v>
      </c>
      <c r="B5488" t="str">
        <f>"1552378076371141"</f>
        <v>1552378076371141</v>
      </c>
      <c r="C5488" t="s">
        <v>40</v>
      </c>
      <c r="D5488">
        <v>6.0667780000000002</v>
      </c>
      <c r="E5488">
        <v>0.43046119999999999</v>
      </c>
      <c r="F5488" t="s">
        <v>47</v>
      </c>
      <c r="G5488">
        <v>-416.67939999999999</v>
      </c>
      <c r="H5488" s="1">
        <v>-3.1786529999999999E-6</v>
      </c>
      <c r="I5488">
        <v>75.669269999999997</v>
      </c>
      <c r="J5488">
        <v>-420.08019999999999</v>
      </c>
      <c r="K5488">
        <v>1.1116900000000001</v>
      </c>
      <c r="L5488">
        <v>105.69159999999999</v>
      </c>
      <c r="M5488">
        <v>-6.4854759999999997E-2</v>
      </c>
      <c r="N5488">
        <v>0</v>
      </c>
      <c r="O5488">
        <v>-0.99779960000000001</v>
      </c>
      <c r="P5488">
        <v>-6.8193260000000006E-2</v>
      </c>
      <c r="Q5488">
        <v>7.4006180000000003E-3</v>
      </c>
      <c r="R5488">
        <v>-0.9976448</v>
      </c>
      <c r="S5488">
        <v>0.33963009999999999</v>
      </c>
      <c r="T5488">
        <v>-0.1114252</v>
      </c>
      <c r="U5488">
        <v>-3.0319980000000002</v>
      </c>
      <c r="V5488">
        <v>3.2537030000000002E-3</v>
      </c>
      <c r="W5488">
        <v>2.1200320000000002E-2</v>
      </c>
      <c r="X5488">
        <v>0.99976989999999999</v>
      </c>
      <c r="Y5488">
        <v>-0.17546900000000001</v>
      </c>
      <c r="Z5488">
        <v>3.6210819999999998E-2</v>
      </c>
      <c r="AA5488">
        <v>0.98381879999999999</v>
      </c>
      <c r="AB5488">
        <v>23</v>
      </c>
      <c r="AC5488">
        <v>3.4007999999999998</v>
      </c>
      <c r="AD5488">
        <v>-1.111693178653</v>
      </c>
      <c r="AE5488">
        <v>-30.02233</v>
      </c>
      <c r="AF5488">
        <v>-5.3336942327454198</v>
      </c>
      <c r="AG5488">
        <v>-1.111693178653</v>
      </c>
      <c r="AH5488">
        <v>29.698328771427001</v>
      </c>
      <c r="AI5488">
        <v>92.110015993455804</v>
      </c>
      <c r="AJ5488">
        <v>100.18153834183801</v>
      </c>
      <c r="AK5488">
        <v>30.193954489394901</v>
      </c>
      <c r="AL5488">
        <v>88.785220065283198</v>
      </c>
      <c r="AM5488">
        <v>89.813534302715098</v>
      </c>
      <c r="AN5488">
        <v>0.99999994654865998</v>
      </c>
    </row>
    <row r="5489" spans="1:40" x14ac:dyDescent="0.25">
      <c r="A5489" t="str">
        <f>"20190312160756400"</f>
        <v>20190312160756400</v>
      </c>
      <c r="B5489" t="str">
        <f>"1552378076390843"</f>
        <v>1552378076390843</v>
      </c>
      <c r="C5489" t="s">
        <v>40</v>
      </c>
      <c r="D5489">
        <v>5.8864210000000003</v>
      </c>
      <c r="E5489">
        <v>0.43056169999999999</v>
      </c>
      <c r="F5489" t="s">
        <v>47</v>
      </c>
      <c r="G5489">
        <v>-416.4058</v>
      </c>
      <c r="H5489" s="1">
        <v>-2.4453909999999999E-6</v>
      </c>
      <c r="I5489">
        <v>73.846879999999999</v>
      </c>
      <c r="J5489">
        <v>-420.09140000000002</v>
      </c>
      <c r="K5489">
        <v>1.111648</v>
      </c>
      <c r="L5489">
        <v>105.4701</v>
      </c>
      <c r="M5489">
        <v>-6.217814E-2</v>
      </c>
      <c r="N5489">
        <v>0</v>
      </c>
      <c r="O5489">
        <v>-0.99797009999999997</v>
      </c>
      <c r="P5489">
        <v>-6.6953579999999999E-2</v>
      </c>
      <c r="Q5489">
        <v>7.4777139999999999E-3</v>
      </c>
      <c r="R5489">
        <v>-0.99772859999999997</v>
      </c>
      <c r="S5489">
        <v>0.349823</v>
      </c>
      <c r="T5489">
        <v>-0.1058385</v>
      </c>
      <c r="U5489">
        <v>-3.0317690000000002</v>
      </c>
      <c r="V5489">
        <v>4.6951980000000003E-3</v>
      </c>
      <c r="W5489">
        <v>2.1277560000000001E-2</v>
      </c>
      <c r="X5489">
        <v>0.99976259999999995</v>
      </c>
      <c r="Y5489">
        <v>-0.1761093</v>
      </c>
      <c r="Z5489">
        <v>3.440054E-2</v>
      </c>
      <c r="AA5489">
        <v>0.98376940000000002</v>
      </c>
      <c r="AB5489">
        <v>23</v>
      </c>
      <c r="AC5489">
        <v>3.68560000000002</v>
      </c>
      <c r="AD5489">
        <v>-1.1116504453910001</v>
      </c>
      <c r="AE5489">
        <v>-31.62322</v>
      </c>
      <c r="AF5489">
        <v>-5.6380528933247698</v>
      </c>
      <c r="AG5489">
        <v>-1.1116504453910001</v>
      </c>
      <c r="AH5489">
        <v>31.294680525201102</v>
      </c>
      <c r="AI5489">
        <v>92.002199737910402</v>
      </c>
      <c r="AJ5489">
        <v>100.21285886186</v>
      </c>
      <c r="AK5489">
        <v>31.817926335873398</v>
      </c>
      <c r="AL5489">
        <v>88.780793627543702</v>
      </c>
      <c r="AM5489">
        <v>89.730923069472894</v>
      </c>
      <c r="AN5489">
        <v>1.00000001790128</v>
      </c>
    </row>
    <row r="5490" spans="1:40" x14ac:dyDescent="0.25">
      <c r="A5490" t="str">
        <f>"20190312160756424"</f>
        <v>20190312160756424</v>
      </c>
      <c r="B5490" t="str">
        <f>"1552378076411338"</f>
        <v>1552378076411338</v>
      </c>
      <c r="C5490" t="s">
        <v>40</v>
      </c>
      <c r="D5490">
        <v>5.8879089999999996</v>
      </c>
      <c r="E5490">
        <v>0.43111189999999999</v>
      </c>
      <c r="F5490" t="s">
        <v>47</v>
      </c>
      <c r="G5490">
        <v>-416.49509999999998</v>
      </c>
      <c r="H5490" s="1">
        <v>-2.7093870000000001E-6</v>
      </c>
      <c r="I5490">
        <v>74.499179999999996</v>
      </c>
      <c r="J5490">
        <v>-420.10250000000002</v>
      </c>
      <c r="K5490">
        <v>1.11161</v>
      </c>
      <c r="L5490">
        <v>105.2397</v>
      </c>
      <c r="M5490">
        <v>-5.9443240000000001E-2</v>
      </c>
      <c r="N5490">
        <v>0</v>
      </c>
      <c r="O5490">
        <v>-0.99813669999999999</v>
      </c>
      <c r="P5490">
        <v>-6.5651329999999994E-2</v>
      </c>
      <c r="Q5490">
        <v>7.5739049999999997E-3</v>
      </c>
      <c r="R5490">
        <v>-0.99781399999999998</v>
      </c>
      <c r="S5490">
        <v>0.35198970000000002</v>
      </c>
      <c r="T5490">
        <v>-0.10880280000000001</v>
      </c>
      <c r="U5490">
        <v>-3.0312809999999999</v>
      </c>
      <c r="V5490">
        <v>6.1320109999999997E-3</v>
      </c>
      <c r="W5490">
        <v>2.1373380000000001E-2</v>
      </c>
      <c r="X5490">
        <v>0.9997528</v>
      </c>
      <c r="Y5490">
        <v>-0.17411960000000001</v>
      </c>
      <c r="Z5490">
        <v>3.538227E-2</v>
      </c>
      <c r="AA5490">
        <v>0.98408870000000004</v>
      </c>
      <c r="AB5490">
        <v>23</v>
      </c>
      <c r="AC5490">
        <v>3.6074000000000401</v>
      </c>
      <c r="AD5490">
        <v>-1.1116127093870001</v>
      </c>
      <c r="AE5490">
        <v>-30.740519999999901</v>
      </c>
      <c r="AF5490">
        <v>-5.4215161350958798</v>
      </c>
      <c r="AG5490">
        <v>-1.1116127093870001</v>
      </c>
      <c r="AH5490">
        <v>30.432441163711498</v>
      </c>
      <c r="AI5490">
        <v>92.059528025577194</v>
      </c>
      <c r="AJ5490">
        <v>100.10122760031599</v>
      </c>
      <c r="AK5490">
        <v>30.931569556062598</v>
      </c>
      <c r="AL5490">
        <v>88.775302326785507</v>
      </c>
      <c r="AM5490">
        <v>89.648579184248206</v>
      </c>
      <c r="AN5490">
        <v>1.00000004201968</v>
      </c>
    </row>
    <row r="5491" spans="1:40" x14ac:dyDescent="0.25">
      <c r="A5491" t="str">
        <f>"20190312160756446"</f>
        <v>20190312160756446</v>
      </c>
      <c r="B5491" t="str">
        <f>"1552378076440619"</f>
        <v>1552378076440619</v>
      </c>
      <c r="C5491" t="s">
        <v>40</v>
      </c>
      <c r="D5491">
        <v>5.8497139999999996</v>
      </c>
      <c r="E5491">
        <v>0.43158809999999898</v>
      </c>
      <c r="F5491" t="s">
        <v>47</v>
      </c>
      <c r="G5491">
        <v>-416.66079999999999</v>
      </c>
      <c r="H5491" s="1">
        <v>-3.159847E-6</v>
      </c>
      <c r="I5491">
        <v>75.617760000000004</v>
      </c>
      <c r="J5491">
        <v>-420.11290000000002</v>
      </c>
      <c r="K5491">
        <v>1.1115729999999999</v>
      </c>
      <c r="L5491">
        <v>105.0119</v>
      </c>
      <c r="M5491">
        <v>-5.679182E-2</v>
      </c>
      <c r="N5491">
        <v>0</v>
      </c>
      <c r="O5491">
        <v>-0.99829129999999999</v>
      </c>
      <c r="P5491">
        <v>-6.4203999999999997E-2</v>
      </c>
      <c r="Q5491">
        <v>7.9647740000000009E-3</v>
      </c>
      <c r="R5491">
        <v>-0.99790509999999999</v>
      </c>
      <c r="S5491">
        <v>0.35211179999999997</v>
      </c>
      <c r="T5491">
        <v>-0.1137286</v>
      </c>
      <c r="U5491">
        <v>-3.0306090000000001</v>
      </c>
      <c r="V5491">
        <v>7.3383869999999896E-3</v>
      </c>
      <c r="W5491">
        <v>2.1763339999999999E-2</v>
      </c>
      <c r="X5491">
        <v>0.99973619999999996</v>
      </c>
      <c r="Y5491">
        <v>-0.17156070000000001</v>
      </c>
      <c r="Z5491">
        <v>3.700705E-2</v>
      </c>
      <c r="AA5491">
        <v>0.98447819999999997</v>
      </c>
      <c r="AB5491">
        <v>23</v>
      </c>
      <c r="AC5491">
        <v>3.4521000000000299</v>
      </c>
      <c r="AD5491">
        <v>-1.111576159847</v>
      </c>
      <c r="AE5491">
        <v>-29.39414</v>
      </c>
      <c r="AF5491">
        <v>-5.1088254515465499</v>
      </c>
      <c r="AG5491">
        <v>-1.111576159847</v>
      </c>
      <c r="AH5491">
        <v>29.109558210077999</v>
      </c>
      <c r="AI5491">
        <v>92.153942359632296</v>
      </c>
      <c r="AJ5491">
        <v>99.9542268635211</v>
      </c>
      <c r="AK5491">
        <v>29.575362689905099</v>
      </c>
      <c r="AL5491">
        <v>88.752953992100998</v>
      </c>
      <c r="AM5491">
        <v>89.579438003452694</v>
      </c>
      <c r="AN5491">
        <v>0.999999982241078</v>
      </c>
    </row>
    <row r="5492" spans="1:40" x14ac:dyDescent="0.25">
      <c r="A5492" t="str">
        <f>"20190312160756467"</f>
        <v>20190312160756467</v>
      </c>
      <c r="B5492" t="str">
        <f>"1552378076461114"</f>
        <v>1552378076461114</v>
      </c>
      <c r="C5492" t="s">
        <v>40</v>
      </c>
      <c r="D5492">
        <v>5.8821430000000001</v>
      </c>
      <c r="E5492">
        <v>0.43209019999999998</v>
      </c>
      <c r="F5492" t="s">
        <v>47</v>
      </c>
      <c r="G5492">
        <v>-416.70190000000002</v>
      </c>
      <c r="H5492" s="1">
        <v>-3.1859650000000002E-6</v>
      </c>
      <c r="I5492">
        <v>75.695610000000002</v>
      </c>
      <c r="J5492">
        <v>-420.12270000000001</v>
      </c>
      <c r="K5492">
        <v>1.1115349999999999</v>
      </c>
      <c r="L5492">
        <v>104.7859</v>
      </c>
      <c r="M5492">
        <v>-5.4217359999999999E-2</v>
      </c>
      <c r="N5492">
        <v>0</v>
      </c>
      <c r="O5492">
        <v>-0.99843440000000006</v>
      </c>
      <c r="P5492">
        <v>-6.2486800000000002E-2</v>
      </c>
      <c r="Q5492">
        <v>8.6285730000000005E-3</v>
      </c>
      <c r="R5492">
        <v>-0.99800849999999997</v>
      </c>
      <c r="S5492">
        <v>0.35253909999999899</v>
      </c>
      <c r="T5492">
        <v>-0.1148841</v>
      </c>
      <c r="U5492">
        <v>-3.0299070000000001</v>
      </c>
      <c r="V5492">
        <v>8.1960920000000003E-3</v>
      </c>
      <c r="W5492">
        <v>2.2424070000000001E-2</v>
      </c>
      <c r="X5492">
        <v>0.99971500000000002</v>
      </c>
      <c r="Y5492">
        <v>-0.1691812</v>
      </c>
      <c r="Z5492">
        <v>3.7406689999999999E-2</v>
      </c>
      <c r="AA5492">
        <v>0.98487480000000005</v>
      </c>
      <c r="AB5492">
        <v>23</v>
      </c>
      <c r="AC5492">
        <v>3.4207999999999799</v>
      </c>
      <c r="AD5492">
        <v>-1.111538185965</v>
      </c>
      <c r="AE5492">
        <v>-29.09029</v>
      </c>
      <c r="AF5492">
        <v>-4.9859353837182896</v>
      </c>
      <c r="AG5492">
        <v>-1.111538185965</v>
      </c>
      <c r="AH5492">
        <v>28.820506354286199</v>
      </c>
      <c r="AI5492">
        <v>92.176370629109698</v>
      </c>
      <c r="AJ5492">
        <v>99.814997822232698</v>
      </c>
      <c r="AK5492">
        <v>29.269722501365202</v>
      </c>
      <c r="AL5492">
        <v>88.715087791893794</v>
      </c>
      <c r="AM5492">
        <v>89.530275169198703</v>
      </c>
      <c r="AN5492">
        <v>1.00000004803221</v>
      </c>
    </row>
    <row r="5493" spans="1:40" x14ac:dyDescent="0.25">
      <c r="A5493" t="str">
        <f>"20190312160756490"</f>
        <v>20190312160756490</v>
      </c>
      <c r="B5493" t="str">
        <f>"1552378076480635"</f>
        <v>1552378076480635</v>
      </c>
      <c r="C5493" t="s">
        <v>40</v>
      </c>
      <c r="D5493">
        <v>5.8806469999999997</v>
      </c>
      <c r="E5493">
        <v>0.4509572</v>
      </c>
      <c r="F5493" t="s">
        <v>47</v>
      </c>
      <c r="G5493">
        <v>-416.6422</v>
      </c>
      <c r="H5493" s="1">
        <v>-2.8820830000000001E-6</v>
      </c>
      <c r="I5493">
        <v>74.962549999999993</v>
      </c>
      <c r="J5493">
        <v>-420.1318</v>
      </c>
      <c r="K5493">
        <v>1.1115010000000001</v>
      </c>
      <c r="L5493">
        <v>104.5658</v>
      </c>
      <c r="M5493">
        <v>-5.1765650000000003E-2</v>
      </c>
      <c r="N5493">
        <v>0</v>
      </c>
      <c r="O5493">
        <v>-0.99856469999999997</v>
      </c>
      <c r="P5493">
        <v>-6.0124669999999998E-2</v>
      </c>
      <c r="Q5493">
        <v>8.3650870000000002E-3</v>
      </c>
      <c r="R5493">
        <v>-0.99815609999999999</v>
      </c>
      <c r="S5493">
        <v>0.35351559999999999</v>
      </c>
      <c r="T5493">
        <v>-0.1128963</v>
      </c>
      <c r="U5493">
        <v>-3.029083</v>
      </c>
      <c r="V5493">
        <v>8.2876970000000001E-3</v>
      </c>
      <c r="W5493">
        <v>2.2155689999999999E-2</v>
      </c>
      <c r="X5493">
        <v>0.99972019999999995</v>
      </c>
      <c r="Y5493">
        <v>-0.1671076</v>
      </c>
      <c r="Z5493">
        <v>3.6783400000000001E-2</v>
      </c>
      <c r="AA5493">
        <v>0.98525229999999997</v>
      </c>
      <c r="AB5493">
        <v>23</v>
      </c>
      <c r="AC5493">
        <v>3.48959999999999</v>
      </c>
      <c r="AD5493">
        <v>-1.1115038820829899</v>
      </c>
      <c r="AE5493">
        <v>-29.603249999999999</v>
      </c>
      <c r="AF5493">
        <v>-5.0105298683675397</v>
      </c>
      <c r="AG5493">
        <v>-1.1115038820829899</v>
      </c>
      <c r="AH5493">
        <v>29.342095549844402</v>
      </c>
      <c r="AI5493">
        <v>92.138451234351294</v>
      </c>
      <c r="AJ5493">
        <v>99.690501396777094</v>
      </c>
      <c r="AK5493">
        <v>29.7875715978643</v>
      </c>
      <c r="AL5493">
        <v>88.730468617535806</v>
      </c>
      <c r="AM5493">
        <v>89.525027920304694</v>
      </c>
      <c r="AN5493">
        <v>1.00000001940448</v>
      </c>
    </row>
    <row r="5494" spans="1:40" x14ac:dyDescent="0.25">
      <c r="A5494" t="str">
        <f>"20190312160756512"</f>
        <v>20190312160756512</v>
      </c>
      <c r="B5494" t="str">
        <f>"1552378076501130"</f>
        <v>1552378076501130</v>
      </c>
      <c r="C5494" t="s">
        <v>40</v>
      </c>
      <c r="D5494">
        <v>5.8669830000000003</v>
      </c>
      <c r="E5494">
        <v>0.45235160000000002</v>
      </c>
      <c r="F5494" t="s">
        <v>47</v>
      </c>
      <c r="G5494">
        <v>-418.83170000000001</v>
      </c>
      <c r="H5494" s="1">
        <v>-2.9176650000000001E-6</v>
      </c>
      <c r="I5494">
        <v>85.950839999999999</v>
      </c>
      <c r="J5494">
        <v>-420.1404</v>
      </c>
      <c r="K5494">
        <v>1.1114599999999999</v>
      </c>
      <c r="L5494">
        <v>104.34529999999999</v>
      </c>
      <c r="M5494">
        <v>-4.9363240000000003E-2</v>
      </c>
      <c r="N5494">
        <v>0</v>
      </c>
      <c r="O5494">
        <v>-0.99868639999999997</v>
      </c>
      <c r="P5494">
        <v>-5.820786E-2</v>
      </c>
      <c r="Q5494">
        <v>8.2010490000000002E-3</v>
      </c>
      <c r="R5494">
        <v>-0.99827100000000002</v>
      </c>
      <c r="S5494">
        <v>0.21090700000000001</v>
      </c>
      <c r="T5494">
        <v>-0.18031159999999999</v>
      </c>
      <c r="U5494">
        <v>-3.0197750000000001</v>
      </c>
      <c r="V5494">
        <v>8.7757229999999992E-3</v>
      </c>
      <c r="W5494">
        <v>2.1987400000000001E-2</v>
      </c>
      <c r="X5494">
        <v>0.99971969999999999</v>
      </c>
      <c r="Y5494">
        <v>-0.1187125</v>
      </c>
      <c r="Z5494">
        <v>5.9212389999999997E-2</v>
      </c>
      <c r="AA5494">
        <v>0.99116159999999998</v>
      </c>
      <c r="AB5494">
        <v>23</v>
      </c>
      <c r="AC5494">
        <v>1.30869999999998</v>
      </c>
      <c r="AD5494">
        <v>-1.1114629176649999</v>
      </c>
      <c r="AE5494">
        <v>-18.394459999999899</v>
      </c>
      <c r="AF5494">
        <v>-2.2071821872652899</v>
      </c>
      <c r="AG5494">
        <v>-1.1114629176649999</v>
      </c>
      <c r="AH5494">
        <v>18.2411594859798</v>
      </c>
      <c r="AI5494">
        <v>93.461625580538396</v>
      </c>
      <c r="AJ5494">
        <v>96.899254995132594</v>
      </c>
      <c r="AK5494">
        <v>18.407794610383899</v>
      </c>
      <c r="AL5494">
        <v>88.740113209852097</v>
      </c>
      <c r="AM5494">
        <v>89.497060050234893</v>
      </c>
      <c r="AN5494">
        <v>0.99999996882051001</v>
      </c>
    </row>
    <row r="5495" spans="1:40" x14ac:dyDescent="0.25">
      <c r="A5495" t="str">
        <f>"20190312160756536"</f>
        <v>20190312160756536</v>
      </c>
      <c r="B5495" t="str">
        <f>"1552378076531387"</f>
        <v>1552378076531387</v>
      </c>
      <c r="C5495" t="s">
        <v>40</v>
      </c>
      <c r="D5495">
        <v>5.8760899999999996</v>
      </c>
      <c r="E5495">
        <v>0.45319300000000001</v>
      </c>
      <c r="F5495" t="s">
        <v>47</v>
      </c>
      <c r="G5495">
        <v>-418.66210000000001</v>
      </c>
      <c r="H5495" s="1">
        <v>-1.5285679999999901E-6</v>
      </c>
      <c r="I5495">
        <v>82.642719999999997</v>
      </c>
      <c r="J5495">
        <v>-420.14890000000003</v>
      </c>
      <c r="K5495">
        <v>1.111423</v>
      </c>
      <c r="L5495">
        <v>104.1116</v>
      </c>
      <c r="M5495">
        <v>-4.6873659999999998E-2</v>
      </c>
      <c r="N5495">
        <v>0</v>
      </c>
      <c r="O5495">
        <v>-0.99880630000000004</v>
      </c>
      <c r="P5495">
        <v>-5.6292179999999997E-2</v>
      </c>
      <c r="Q5495">
        <v>8.2627900000000008E-3</v>
      </c>
      <c r="R5495">
        <v>-0.99838020000000005</v>
      </c>
      <c r="S5495">
        <v>0.2055969</v>
      </c>
      <c r="T5495">
        <v>-0.15458540000000001</v>
      </c>
      <c r="U5495">
        <v>-3.0184630000000001</v>
      </c>
      <c r="V5495">
        <v>9.3515520000000008E-3</v>
      </c>
      <c r="W5495">
        <v>2.2045080000000002E-2</v>
      </c>
      <c r="X5495">
        <v>0.99971319999999997</v>
      </c>
      <c r="Y5495">
        <v>-0.1145625</v>
      </c>
      <c r="Z5495">
        <v>5.0834730000000002E-2</v>
      </c>
      <c r="AA5495">
        <v>0.99211450000000001</v>
      </c>
      <c r="AB5495">
        <v>23</v>
      </c>
      <c r="AC5495">
        <v>1.4868000000000099</v>
      </c>
      <c r="AD5495">
        <v>-1.111424528568</v>
      </c>
      <c r="AE5495">
        <v>-21.468879999999999</v>
      </c>
      <c r="AF5495">
        <v>-2.48495745354283</v>
      </c>
      <c r="AG5495">
        <v>-1.111424528568</v>
      </c>
      <c r="AH5495">
        <v>21.318716880124001</v>
      </c>
      <c r="AI5495">
        <v>92.964308150365099</v>
      </c>
      <c r="AJ5495">
        <v>96.648522271607405</v>
      </c>
      <c r="AK5495">
        <v>21.4918116370748</v>
      </c>
      <c r="AL5495">
        <v>88.736807576380997</v>
      </c>
      <c r="AM5495">
        <v>89.464057457296406</v>
      </c>
      <c r="AN5495">
        <v>0.99999995966562605</v>
      </c>
    </row>
    <row r="5496" spans="1:40" x14ac:dyDescent="0.25">
      <c r="A5496" t="str">
        <f>"20190312160756548"</f>
        <v>20190312160756548</v>
      </c>
      <c r="B5496" t="str">
        <f>"1552378076541148"</f>
        <v>1552378076541148</v>
      </c>
      <c r="C5496" t="s">
        <v>40</v>
      </c>
      <c r="D5496">
        <v>5.859</v>
      </c>
      <c r="E5496">
        <v>0.45334760000000002</v>
      </c>
      <c r="F5496" t="s">
        <v>47</v>
      </c>
      <c r="G5496">
        <v>-418.6343</v>
      </c>
      <c r="H5496" s="1">
        <v>-1.1740469999999999E-6</v>
      </c>
      <c r="I5496">
        <v>81.804819999999907</v>
      </c>
      <c r="J5496">
        <v>-420.15359999999998</v>
      </c>
      <c r="K5496">
        <v>1.1113959999999901</v>
      </c>
      <c r="L5496">
        <v>103.97839999999999</v>
      </c>
      <c r="M5496">
        <v>-4.5482509999999997E-2</v>
      </c>
      <c r="N5496">
        <v>0</v>
      </c>
      <c r="O5496">
        <v>-0.99887079999999995</v>
      </c>
      <c r="P5496">
        <v>-5.483358E-2</v>
      </c>
      <c r="Q5496">
        <v>8.6483700000000007E-3</v>
      </c>
      <c r="R5496">
        <v>-0.99845839999999997</v>
      </c>
      <c r="S5496">
        <v>0.20489499999999999</v>
      </c>
      <c r="T5496">
        <v>-0.15035370000000001</v>
      </c>
      <c r="U5496">
        <v>-3.0176699999999999</v>
      </c>
      <c r="V5496">
        <v>9.2834909999999996E-3</v>
      </c>
      <c r="W5496">
        <v>2.2426939999999999E-2</v>
      </c>
      <c r="X5496">
        <v>0.99970539999999997</v>
      </c>
      <c r="Y5496">
        <v>-0.1129715</v>
      </c>
      <c r="Z5496">
        <v>4.9469300000000001E-2</v>
      </c>
      <c r="AA5496">
        <v>0.99236599999999997</v>
      </c>
      <c r="AB5496">
        <v>23</v>
      </c>
      <c r="AC5496">
        <v>1.5192999999999801</v>
      </c>
      <c r="AD5496">
        <v>-1.1113971740469999</v>
      </c>
      <c r="AE5496">
        <v>-22.173579999999902</v>
      </c>
      <c r="AF5496">
        <v>-2.5200311319004101</v>
      </c>
      <c r="AG5496">
        <v>-1.1113971740469999</v>
      </c>
      <c r="AH5496">
        <v>22.026443050427499</v>
      </c>
      <c r="AI5496">
        <v>92.869856862860203</v>
      </c>
      <c r="AJ5496">
        <v>96.526794384406898</v>
      </c>
      <c r="AK5496">
        <v>22.1979718451474</v>
      </c>
      <c r="AL5496">
        <v>88.714923274099107</v>
      </c>
      <c r="AM5496">
        <v>89.467953694348495</v>
      </c>
      <c r="AN5496">
        <v>1.0000000188160301</v>
      </c>
    </row>
    <row r="5497" spans="1:40" x14ac:dyDescent="0.25">
      <c r="A5497" t="str">
        <f>"20190312160756568"</f>
        <v>20190312160756568</v>
      </c>
      <c r="B5497" t="str">
        <f>"1552378076560670"</f>
        <v>1552378076560670</v>
      </c>
      <c r="C5497" t="s">
        <v>40</v>
      </c>
      <c r="D5497">
        <v>5.8680320000000004</v>
      </c>
      <c r="E5497">
        <v>0.45414939999999998</v>
      </c>
      <c r="F5497" t="s">
        <v>47</v>
      </c>
      <c r="G5497">
        <v>-418.6241</v>
      </c>
      <c r="H5497" s="1">
        <v>-1.184298E-6</v>
      </c>
      <c r="I5497">
        <v>81.824489999999997</v>
      </c>
      <c r="J5497">
        <v>-420.16019999999997</v>
      </c>
      <c r="K5497">
        <v>1.1113679999999999</v>
      </c>
      <c r="L5497">
        <v>103.77849999999999</v>
      </c>
      <c r="M5497">
        <v>-4.3419480000000003E-2</v>
      </c>
      <c r="N5497">
        <v>0</v>
      </c>
      <c r="O5497">
        <v>-0.99896249999999998</v>
      </c>
      <c r="P5497">
        <v>-5.2401129999999997E-2</v>
      </c>
      <c r="Q5497">
        <v>9.0073859999999992E-3</v>
      </c>
      <c r="R5497">
        <v>-0.99858550000000001</v>
      </c>
      <c r="S5497">
        <v>0.208313</v>
      </c>
      <c r="T5497">
        <v>-0.1513727</v>
      </c>
      <c r="U5497">
        <v>-3.0173649999999999</v>
      </c>
      <c r="V5497">
        <v>8.9133919999999991E-3</v>
      </c>
      <c r="W5497">
        <v>2.27797E-2</v>
      </c>
      <c r="X5497">
        <v>0.99970079999999995</v>
      </c>
      <c r="Y5497">
        <v>-0.1120439</v>
      </c>
      <c r="Z5497">
        <v>4.9816340000000001E-2</v>
      </c>
      <c r="AA5497">
        <v>0.99245380000000005</v>
      </c>
      <c r="AB5497">
        <v>23</v>
      </c>
      <c r="AC5497">
        <v>1.53609999999997</v>
      </c>
      <c r="AD5497">
        <v>-1.111369184298</v>
      </c>
      <c r="AE5497">
        <v>-21.95401</v>
      </c>
      <c r="AF5497">
        <v>-2.4816441131776701</v>
      </c>
      <c r="AG5497">
        <v>-1.111369184298</v>
      </c>
      <c r="AH5497">
        <v>21.810977402853499</v>
      </c>
      <c r="AI5497">
        <v>92.898291775101399</v>
      </c>
      <c r="AJ5497">
        <v>96.491175331753595</v>
      </c>
      <c r="AK5497">
        <v>21.979818794431999</v>
      </c>
      <c r="AL5497">
        <v>88.694706459951504</v>
      </c>
      <c r="AM5497">
        <v>89.489160946446702</v>
      </c>
      <c r="AN5497">
        <v>1.0000000264048301</v>
      </c>
    </row>
    <row r="5498" spans="1:40" x14ac:dyDescent="0.25">
      <c r="A5498" t="str">
        <f>"20190312160756591"</f>
        <v>20190312160756591</v>
      </c>
      <c r="B5498" t="str">
        <f>"1552378076581163"</f>
        <v>1552378076581163</v>
      </c>
      <c r="C5498" t="s">
        <v>40</v>
      </c>
      <c r="D5498">
        <v>5.858587</v>
      </c>
      <c r="E5498">
        <v>0.45477649999999997</v>
      </c>
      <c r="F5498" t="s">
        <v>47</v>
      </c>
      <c r="G5498">
        <v>-418.67899999999997</v>
      </c>
      <c r="H5498" s="1">
        <v>-1.41613499999999E-6</v>
      </c>
      <c r="I5498">
        <v>82.387600000000006</v>
      </c>
      <c r="J5498">
        <v>-420.16739999999999</v>
      </c>
      <c r="K5498">
        <v>1.1113440000000001</v>
      </c>
      <c r="L5498">
        <v>103.5538</v>
      </c>
      <c r="M5498">
        <v>-4.114102E-2</v>
      </c>
      <c r="N5498">
        <v>0</v>
      </c>
      <c r="O5498">
        <v>-0.99905900000000003</v>
      </c>
      <c r="P5498">
        <v>-4.9525300000000001E-2</v>
      </c>
      <c r="Q5498">
        <v>8.9670080000000003E-3</v>
      </c>
      <c r="R5498">
        <v>-0.99873279999999998</v>
      </c>
      <c r="S5498">
        <v>0.20889279999999999</v>
      </c>
      <c r="T5498">
        <v>-0.15672839999999999</v>
      </c>
      <c r="U5498">
        <v>-3.0166019999999998</v>
      </c>
      <c r="V5498">
        <v>8.3162469999999902E-3</v>
      </c>
      <c r="W5498">
        <v>2.2732510000000001E-2</v>
      </c>
      <c r="X5498">
        <v>0.99970700000000001</v>
      </c>
      <c r="Y5498">
        <v>-0.1099781</v>
      </c>
      <c r="Z5498">
        <v>5.1600359999999998E-2</v>
      </c>
      <c r="AA5498">
        <v>0.99259370000000002</v>
      </c>
      <c r="AB5498">
        <v>23</v>
      </c>
      <c r="AC5498">
        <v>1.48839999999995</v>
      </c>
      <c r="AD5498">
        <v>-1.111345416135</v>
      </c>
      <c r="AE5498">
        <v>-21.1661999999999</v>
      </c>
      <c r="AF5498">
        <v>-2.3515697498412802</v>
      </c>
      <c r="AG5498">
        <v>-1.111345416135</v>
      </c>
      <c r="AH5498">
        <v>21.029346803283399</v>
      </c>
      <c r="AI5498">
        <v>93.006412775829602</v>
      </c>
      <c r="AJ5498">
        <v>96.380493132559096</v>
      </c>
      <c r="AK5498">
        <v>21.1895822491879</v>
      </c>
      <c r="AL5498">
        <v>88.697410922005801</v>
      </c>
      <c r="AM5498">
        <v>89.523385488024601</v>
      </c>
      <c r="AN5498">
        <v>1.00000000641203</v>
      </c>
    </row>
    <row r="5499" spans="1:40" x14ac:dyDescent="0.25">
      <c r="A5499" t="str">
        <f>"20190312160756613"</f>
        <v>20190312160756613</v>
      </c>
      <c r="B5499" t="str">
        <f>"1552378076600683"</f>
        <v>1552378076600683</v>
      </c>
      <c r="C5499" t="s">
        <v>40</v>
      </c>
      <c r="D5499">
        <v>5.8962680000000001</v>
      </c>
      <c r="E5499">
        <v>0.45514310000000002</v>
      </c>
      <c r="F5499" t="s">
        <v>47</v>
      </c>
      <c r="G5499">
        <v>-418.73250000000002</v>
      </c>
      <c r="H5499" s="1">
        <v>-1.7590410000000001E-6</v>
      </c>
      <c r="I5499">
        <v>83.209019999999995</v>
      </c>
      <c r="J5499">
        <v>-420.17380000000003</v>
      </c>
      <c r="K5499">
        <v>1.111318</v>
      </c>
      <c r="L5499">
        <v>103.33240000000001</v>
      </c>
      <c r="M5499">
        <v>-3.893717E-2</v>
      </c>
      <c r="N5499">
        <v>0</v>
      </c>
      <c r="O5499">
        <v>-0.99914740000000002</v>
      </c>
      <c r="P5499">
        <v>-4.6676490000000001E-2</v>
      </c>
      <c r="Q5499">
        <v>9.2890300000000002E-3</v>
      </c>
      <c r="R5499">
        <v>-0.99886699999999995</v>
      </c>
      <c r="S5499">
        <v>0.21270749999999999</v>
      </c>
      <c r="T5499">
        <v>-0.164742</v>
      </c>
      <c r="U5499">
        <v>-3.0158390000000002</v>
      </c>
      <c r="V5499">
        <v>7.6704700000000004E-3</v>
      </c>
      <c r="W5499">
        <v>2.3047140000000001E-2</v>
      </c>
      <c r="X5499">
        <v>0.99970499999999995</v>
      </c>
      <c r="Y5499">
        <v>-0.1090425</v>
      </c>
      <c r="Z5499">
        <v>5.4252370000000001E-2</v>
      </c>
      <c r="AA5499">
        <v>0.99255550000000003</v>
      </c>
      <c r="AB5499">
        <v>23</v>
      </c>
      <c r="AC5499">
        <v>1.44130000000001</v>
      </c>
      <c r="AD5499">
        <v>-1.111319759041</v>
      </c>
      <c r="AE5499">
        <v>-20.123380000000001</v>
      </c>
      <c r="AF5499">
        <v>-2.2171007971213399</v>
      </c>
      <c r="AG5499">
        <v>-1.111319759041</v>
      </c>
      <c r="AH5499">
        <v>19.991332274225101</v>
      </c>
      <c r="AI5499">
        <v>93.162452990633795</v>
      </c>
      <c r="AJ5499">
        <v>96.328418873648303</v>
      </c>
      <c r="AK5499">
        <v>20.144575787290901</v>
      </c>
      <c r="AL5499">
        <v>88.679379279996596</v>
      </c>
      <c r="AM5499">
        <v>89.560393382155794</v>
      </c>
      <c r="AN5499">
        <v>1.0000000468985899</v>
      </c>
    </row>
    <row r="5500" spans="1:40" x14ac:dyDescent="0.25">
      <c r="A5500" t="str">
        <f>"20190312160756637"</f>
        <v>20190312160756637</v>
      </c>
      <c r="B5500" t="str">
        <f>"1552378076630939"</f>
        <v>1552378076630939</v>
      </c>
      <c r="C5500" t="s">
        <v>40</v>
      </c>
      <c r="D5500">
        <v>5.86747</v>
      </c>
      <c r="E5500">
        <v>0.45574160000000002</v>
      </c>
      <c r="F5500" t="s">
        <v>47</v>
      </c>
      <c r="G5500">
        <v>-418.65010000000001</v>
      </c>
      <c r="H5500" s="1">
        <v>-1.385272E-6</v>
      </c>
      <c r="I5500">
        <v>82.303700000000006</v>
      </c>
      <c r="J5500">
        <v>-420.18020000000001</v>
      </c>
      <c r="K5500">
        <v>1.1112919999999999</v>
      </c>
      <c r="L5500">
        <v>103.0973</v>
      </c>
      <c r="M5500">
        <v>-3.6646079999999998E-2</v>
      </c>
      <c r="N5500">
        <v>0</v>
      </c>
      <c r="O5500">
        <v>-0.99923410000000001</v>
      </c>
      <c r="P5500">
        <v>-4.3308270000000003E-2</v>
      </c>
      <c r="Q5500">
        <v>9.5935599999999992E-3</v>
      </c>
      <c r="R5500">
        <v>-0.99901569999999995</v>
      </c>
      <c r="S5500">
        <v>0.21847530000000001</v>
      </c>
      <c r="T5500">
        <v>-0.15934189999999901</v>
      </c>
      <c r="U5500">
        <v>-3.0151059999999998</v>
      </c>
      <c r="V5500">
        <v>6.5924290000000003E-3</v>
      </c>
      <c r="W5500">
        <v>2.3343180000000002E-2</v>
      </c>
      <c r="X5500">
        <v>0.99970579999999998</v>
      </c>
      <c r="Y5500">
        <v>-0.1086761</v>
      </c>
      <c r="Z5500">
        <v>5.2496090000000002E-2</v>
      </c>
      <c r="AA5500">
        <v>0.99269010000000002</v>
      </c>
      <c r="AB5500">
        <v>22</v>
      </c>
      <c r="AC5500">
        <v>1.5301</v>
      </c>
      <c r="AD5500">
        <v>-1.1112933852719999</v>
      </c>
      <c r="AE5500">
        <v>-20.793600000000001</v>
      </c>
      <c r="AF5500">
        <v>-2.28465728601596</v>
      </c>
      <c r="AG5500">
        <v>-1.1112933852719999</v>
      </c>
      <c r="AH5500">
        <v>20.664846662412401</v>
      </c>
      <c r="AI5500">
        <v>93.059623487216896</v>
      </c>
      <c r="AJ5500">
        <v>96.308866679164197</v>
      </c>
      <c r="AK5500">
        <v>20.820435141555301</v>
      </c>
      <c r="AL5500">
        <v>88.662412844644095</v>
      </c>
      <c r="AM5500">
        <v>89.622175960701298</v>
      </c>
      <c r="AN5500">
        <v>1.00000002536313</v>
      </c>
    </row>
    <row r="5501" spans="1:40" x14ac:dyDescent="0.25">
      <c r="A5501" t="str">
        <f>"20190312160756659"</f>
        <v>20190312160756659</v>
      </c>
      <c r="B5501" t="str">
        <f>"1552378076651435"</f>
        <v>1552378076651435</v>
      </c>
      <c r="C5501" t="s">
        <v>40</v>
      </c>
      <c r="D5501">
        <v>5.8399859999999997</v>
      </c>
      <c r="E5501">
        <v>0.45608149999999997</v>
      </c>
      <c r="F5501" t="s">
        <v>47</v>
      </c>
      <c r="G5501">
        <v>-418.55590000000001</v>
      </c>
      <c r="H5501" s="1">
        <v>-9.1750199999999995E-7</v>
      </c>
      <c r="I5501">
        <v>81.174359999999993</v>
      </c>
      <c r="J5501">
        <v>-420.1857</v>
      </c>
      <c r="K5501">
        <v>1.1112610000000001</v>
      </c>
      <c r="L5501">
        <v>102.8798</v>
      </c>
      <c r="M5501">
        <v>-3.4565369999999998E-2</v>
      </c>
      <c r="N5501">
        <v>0</v>
      </c>
      <c r="O5501">
        <v>-0.99930850000000004</v>
      </c>
      <c r="P5501">
        <v>-4.040295E-2</v>
      </c>
      <c r="Q5501">
        <v>9.2642739999999994E-3</v>
      </c>
      <c r="R5501">
        <v>-0.99914069999999999</v>
      </c>
      <c r="S5501">
        <v>0.22332759999999999</v>
      </c>
      <c r="T5501">
        <v>-0.15278739999999999</v>
      </c>
      <c r="U5501">
        <v>-3.0140989999999999</v>
      </c>
      <c r="V5501">
        <v>5.7692079999999996E-3</v>
      </c>
      <c r="W5501">
        <v>2.3006619999999998E-2</v>
      </c>
      <c r="X5501">
        <v>0.99971869999999996</v>
      </c>
      <c r="Y5501">
        <v>-0.1082278</v>
      </c>
      <c r="Z5501">
        <v>5.0362949999999997E-2</v>
      </c>
      <c r="AA5501">
        <v>0.9928496</v>
      </c>
      <c r="AB5501">
        <v>22</v>
      </c>
      <c r="AC5501">
        <v>1.6297999999999799</v>
      </c>
      <c r="AD5501">
        <v>-1.111261917502</v>
      </c>
      <c r="AE5501">
        <v>-21.705439999999999</v>
      </c>
      <c r="AF5501">
        <v>-2.3729678327078898</v>
      </c>
      <c r="AG5501">
        <v>-1.111261917502</v>
      </c>
      <c r="AH5501">
        <v>21.579879841909499</v>
      </c>
      <c r="AI5501">
        <v>92.930226923607293</v>
      </c>
      <c r="AJ5501">
        <v>96.275150118447002</v>
      </c>
      <c r="AK5501">
        <v>21.738378352020799</v>
      </c>
      <c r="AL5501">
        <v>88.681701503257599</v>
      </c>
      <c r="AM5501">
        <v>89.669359390584006</v>
      </c>
      <c r="AN5501">
        <v>1.0000000337272299</v>
      </c>
    </row>
    <row r="5502" spans="1:40" x14ac:dyDescent="0.25">
      <c r="A5502" t="str">
        <f>"20190312160756713"</f>
        <v>20190312160756713</v>
      </c>
      <c r="B5502" t="str">
        <f>"1552378076701211"</f>
        <v>1552378076701211</v>
      </c>
      <c r="C5502" t="s">
        <v>40</v>
      </c>
      <c r="D5502">
        <v>5.8421190000000003</v>
      </c>
      <c r="E5502">
        <v>0.47477599999999998</v>
      </c>
      <c r="F5502" t="s">
        <v>47</v>
      </c>
      <c r="G5502">
        <v>-418.49149999999997</v>
      </c>
      <c r="H5502" s="1">
        <v>-7.4216479999999996E-7</v>
      </c>
      <c r="I5502">
        <v>80.649519999999995</v>
      </c>
      <c r="J5502">
        <v>-420.1977</v>
      </c>
      <c r="K5502">
        <v>1.111191</v>
      </c>
      <c r="L5502">
        <v>102.3349</v>
      </c>
      <c r="M5502">
        <v>-2.9494179999999998E-2</v>
      </c>
      <c r="N5502">
        <v>0</v>
      </c>
      <c r="O5502">
        <v>-0.99947079999999999</v>
      </c>
      <c r="P5502">
        <v>-3.4216339999999998E-2</v>
      </c>
      <c r="Q5502">
        <v>8.5440009999999903E-3</v>
      </c>
      <c r="R5502">
        <v>-0.99937770000000004</v>
      </c>
      <c r="S5502">
        <v>0.22964480000000001</v>
      </c>
      <c r="T5502">
        <v>-0.1506296</v>
      </c>
      <c r="U5502">
        <v>-3.0132750000000001</v>
      </c>
      <c r="V5502">
        <v>4.6580170000000004E-3</v>
      </c>
      <c r="W5502">
        <v>2.2272480000000001E-2</v>
      </c>
      <c r="X5502">
        <v>0.99974110000000005</v>
      </c>
      <c r="Y5502">
        <v>-0.1052753</v>
      </c>
      <c r="Z5502">
        <v>4.9683140000000001E-2</v>
      </c>
      <c r="AA5502">
        <v>0.99320129999999995</v>
      </c>
      <c r="AB5502">
        <v>22</v>
      </c>
      <c r="AC5502">
        <v>1.7062000000000199</v>
      </c>
      <c r="AD5502">
        <v>-1.1111917421648001</v>
      </c>
      <c r="AE5502">
        <v>-21.685379999999999</v>
      </c>
      <c r="AF5502">
        <v>-2.3390065530328399</v>
      </c>
      <c r="AG5502">
        <v>-1.1111917421648001</v>
      </c>
      <c r="AH5502">
        <v>21.5693303370889</v>
      </c>
      <c r="AI5502">
        <v>92.931953064900497</v>
      </c>
      <c r="AJ5502">
        <v>96.189045241166397</v>
      </c>
      <c r="AK5502">
        <v>21.724219432086599</v>
      </c>
      <c r="AL5502">
        <v>88.723775384723794</v>
      </c>
      <c r="AM5502">
        <v>89.733048102338302</v>
      </c>
      <c r="AN5502">
        <v>1.0000000137584599</v>
      </c>
    </row>
    <row r="5503" spans="1:40" x14ac:dyDescent="0.25">
      <c r="A5503" t="str">
        <f>"20190312160756736"</f>
        <v>20190312160756736</v>
      </c>
      <c r="B5503" t="str">
        <f>"1552378076731466"</f>
        <v>1552378076731466</v>
      </c>
      <c r="C5503" t="s">
        <v>40</v>
      </c>
      <c r="D5503">
        <v>5.8276940000000002</v>
      </c>
      <c r="E5503">
        <v>0.47715350000000001</v>
      </c>
      <c r="F5503" t="s">
        <v>47</v>
      </c>
      <c r="G5503">
        <v>-419.65309999999999</v>
      </c>
      <c r="H5503" s="1">
        <v>-2.756269E-6</v>
      </c>
      <c r="I5503">
        <v>85.914249999999996</v>
      </c>
      <c r="J5503">
        <v>-420.20190000000002</v>
      </c>
      <c r="K5503">
        <v>1.1111549999999999</v>
      </c>
      <c r="L5503">
        <v>102.11</v>
      </c>
      <c r="M5503">
        <v>-2.7481209999999999E-2</v>
      </c>
      <c r="N5503">
        <v>0</v>
      </c>
      <c r="O5503">
        <v>-0.99952850000000004</v>
      </c>
      <c r="P5503">
        <v>-3.2824880000000001E-2</v>
      </c>
      <c r="Q5503">
        <v>8.0321400000000001E-3</v>
      </c>
      <c r="R5503">
        <v>-0.99942889999999995</v>
      </c>
      <c r="S5503">
        <v>9.9731449999999999E-2</v>
      </c>
      <c r="T5503">
        <v>-0.2034869</v>
      </c>
      <c r="U5503">
        <v>-3.0070190000000001</v>
      </c>
      <c r="V5503">
        <v>5.2827480000000003E-3</v>
      </c>
      <c r="W5503">
        <v>2.1758099999999999E-2</v>
      </c>
      <c r="X5503">
        <v>0.99974929999999995</v>
      </c>
      <c r="Y5503">
        <v>-6.0528680000000001E-2</v>
      </c>
      <c r="Z5503">
        <v>6.7397620000000005E-2</v>
      </c>
      <c r="AA5503">
        <v>0.99588849999999995</v>
      </c>
      <c r="AB5503">
        <v>22</v>
      </c>
      <c r="AC5503">
        <v>0.54880000000002804</v>
      </c>
      <c r="AD5503">
        <v>-1.11115775626899</v>
      </c>
      <c r="AE5503">
        <v>-16.19575</v>
      </c>
      <c r="AF5503">
        <v>-0.989063007915014</v>
      </c>
      <c r="AG5503">
        <v>-1.11115775626899</v>
      </c>
      <c r="AH5503">
        <v>16.098857637173001</v>
      </c>
      <c r="AI5503">
        <v>93.940937772995596</v>
      </c>
      <c r="AJ5503">
        <v>93.515653059834506</v>
      </c>
      <c r="AK5503">
        <v>16.167440564755701</v>
      </c>
      <c r="AL5503">
        <v>88.753254306012295</v>
      </c>
      <c r="AM5503">
        <v>89.697247752410902</v>
      </c>
      <c r="AN5503">
        <v>0.99999999259626504</v>
      </c>
    </row>
    <row r="5504" spans="1:40" x14ac:dyDescent="0.25">
      <c r="A5504" t="str">
        <f>"20190312160756758"</f>
        <v>20190312160756758</v>
      </c>
      <c r="B5504" t="str">
        <f>"1552378076750987"</f>
        <v>1552378076750987</v>
      </c>
      <c r="C5504" t="s">
        <v>40</v>
      </c>
      <c r="D5504">
        <v>5.8743100000000004</v>
      </c>
      <c r="E5504">
        <v>0.47780470000000003</v>
      </c>
      <c r="F5504" t="s">
        <v>47</v>
      </c>
      <c r="G5504">
        <v>-419.75360000000001</v>
      </c>
      <c r="H5504" s="1">
        <v>-2.858577E-6</v>
      </c>
      <c r="I5504">
        <v>86.194289999999995</v>
      </c>
      <c r="J5504">
        <v>-420.20569999999998</v>
      </c>
      <c r="K5504">
        <v>1.1111169999999999</v>
      </c>
      <c r="L5504">
        <v>101.8835</v>
      </c>
      <c r="M5504">
        <v>-2.552072E-2</v>
      </c>
      <c r="N5504">
        <v>0</v>
      </c>
      <c r="O5504">
        <v>-0.99958060000000004</v>
      </c>
      <c r="P5504">
        <v>-3.1714039999999999E-2</v>
      </c>
      <c r="Q5504">
        <v>7.6404380000000003E-3</v>
      </c>
      <c r="R5504">
        <v>-0.99946789999999996</v>
      </c>
      <c r="S5504">
        <v>8.4686280000000003E-2</v>
      </c>
      <c r="T5504">
        <v>-0.2098787</v>
      </c>
      <c r="U5504">
        <v>-3.006195</v>
      </c>
      <c r="V5504">
        <v>6.1357599999999997E-3</v>
      </c>
      <c r="W5504">
        <v>2.136337E-2</v>
      </c>
      <c r="X5504">
        <v>0.99975290000000006</v>
      </c>
      <c r="Y5504">
        <v>-5.3594990000000002E-2</v>
      </c>
      <c r="Z5504">
        <v>6.954805E-2</v>
      </c>
      <c r="AA5504">
        <v>0.99613790000000002</v>
      </c>
      <c r="AB5504">
        <v>22</v>
      </c>
      <c r="AC5504">
        <v>0.45209999999997302</v>
      </c>
      <c r="AD5504">
        <v>-1.1111198585769999</v>
      </c>
      <c r="AE5504">
        <v>-15.6892099999999</v>
      </c>
      <c r="AF5504">
        <v>-0.84813979299342901</v>
      </c>
      <c r="AG5504">
        <v>-1.1111198585769999</v>
      </c>
      <c r="AH5504">
        <v>15.594410114962599</v>
      </c>
      <c r="AI5504">
        <v>94.069509409771101</v>
      </c>
      <c r="AJ5504">
        <v>93.113102753186297</v>
      </c>
      <c r="AK5504">
        <v>15.656933137822101</v>
      </c>
      <c r="AL5504">
        <v>88.775875877176503</v>
      </c>
      <c r="AM5504">
        <v>89.648364372517605</v>
      </c>
      <c r="AN5504">
        <v>0.99999995109347095</v>
      </c>
    </row>
    <row r="5505" spans="1:40" x14ac:dyDescent="0.25">
      <c r="A5505" t="str">
        <f>"20190312160756781"</f>
        <v>20190312160756781</v>
      </c>
      <c r="B5505" t="str">
        <f>"1552378076771483"</f>
        <v>1552378076771483</v>
      </c>
      <c r="C5505" t="s">
        <v>40</v>
      </c>
      <c r="D5505">
        <v>5.8241069999999997</v>
      </c>
      <c r="E5505">
        <v>0.47870380000000001</v>
      </c>
      <c r="F5505" t="s">
        <v>47</v>
      </c>
      <c r="G5505">
        <v>-419.79820000000001</v>
      </c>
      <c r="H5505" s="1">
        <v>-3.2376160000000002E-6</v>
      </c>
      <c r="I5505">
        <v>87.096279999999993</v>
      </c>
      <c r="J5505">
        <v>-420.20920000000001</v>
      </c>
      <c r="K5505">
        <v>1.11107</v>
      </c>
      <c r="L5505">
        <v>101.6641</v>
      </c>
      <c r="M5505">
        <v>-2.3677340000000002E-2</v>
      </c>
      <c r="N5505">
        <v>0</v>
      </c>
      <c r="O5505">
        <v>-0.99962580000000001</v>
      </c>
      <c r="P5505">
        <v>-3.0992039999999998E-2</v>
      </c>
      <c r="Q5505">
        <v>7.5712419999999997E-3</v>
      </c>
      <c r="R5505">
        <v>-0.99949109999999997</v>
      </c>
      <c r="S5505">
        <v>8.2855219999999993E-2</v>
      </c>
      <c r="T5505">
        <v>-0.22586890000000001</v>
      </c>
      <c r="U5505">
        <v>-3.005951</v>
      </c>
      <c r="V5505">
        <v>7.2597850000000004E-3</v>
      </c>
      <c r="W5505">
        <v>2.1291850000000001E-2</v>
      </c>
      <c r="X5505">
        <v>0.99974689999999999</v>
      </c>
      <c r="Y5505">
        <v>-5.1138790000000003E-2</v>
      </c>
      <c r="Z5505">
        <v>7.4834700000000004E-2</v>
      </c>
      <c r="AA5505">
        <v>0.99588379999999999</v>
      </c>
      <c r="AB5505">
        <v>22</v>
      </c>
      <c r="AC5505">
        <v>0.41100000000000098</v>
      </c>
      <c r="AD5505">
        <v>-1.111073237616</v>
      </c>
      <c r="AE5505">
        <v>-14.5678199999999</v>
      </c>
      <c r="AF5505">
        <v>-0.75147651515913005</v>
      </c>
      <c r="AG5505">
        <v>-1.111073237616</v>
      </c>
      <c r="AH5505">
        <v>14.4698989701714</v>
      </c>
      <c r="AI5505">
        <v>94.384962331773494</v>
      </c>
      <c r="AJ5505">
        <v>92.972915423698694</v>
      </c>
      <c r="AK5505">
        <v>14.5319364469829</v>
      </c>
      <c r="AL5505">
        <v>88.779974609451997</v>
      </c>
      <c r="AM5505">
        <v>89.583946967338704</v>
      </c>
      <c r="AN5505">
        <v>0.99999995570713796</v>
      </c>
    </row>
    <row r="5506" spans="1:40" x14ac:dyDescent="0.25">
      <c r="A5506" t="str">
        <f>"20190312160756802"</f>
        <v>20190312160756802</v>
      </c>
      <c r="B5506" t="str">
        <f>"1552378076791003"</f>
        <v>1552378076791003</v>
      </c>
      <c r="C5506" t="s">
        <v>40</v>
      </c>
      <c r="D5506">
        <v>5.8763069999999997</v>
      </c>
      <c r="E5506">
        <v>0.47899839999999999</v>
      </c>
      <c r="F5506" t="s">
        <v>47</v>
      </c>
      <c r="G5506">
        <v>-419.80770000000001</v>
      </c>
      <c r="H5506" s="1">
        <v>-2.8578009999999998E-6</v>
      </c>
      <c r="I5506">
        <v>86.214879999999994</v>
      </c>
      <c r="J5506">
        <v>-420.21210000000002</v>
      </c>
      <c r="K5506">
        <v>1.1110260000000001</v>
      </c>
      <c r="L5506">
        <v>101.44889999999999</v>
      </c>
      <c r="M5506">
        <v>-2.192682E-2</v>
      </c>
      <c r="N5506">
        <v>0</v>
      </c>
      <c r="O5506">
        <v>-0.99966600000000005</v>
      </c>
      <c r="P5506">
        <v>-3.009291E-2</v>
      </c>
      <c r="Q5506">
        <v>7.3147219999999897E-3</v>
      </c>
      <c r="R5506">
        <v>-0.99952050000000003</v>
      </c>
      <c r="S5506">
        <v>7.8094479999999994E-2</v>
      </c>
      <c r="T5506">
        <v>-0.21615490000000001</v>
      </c>
      <c r="U5506">
        <v>-3.005585</v>
      </c>
      <c r="V5506">
        <v>8.1140989999999996E-3</v>
      </c>
      <c r="W5506">
        <v>2.1032510000000001E-2</v>
      </c>
      <c r="X5506">
        <v>0.99974580000000002</v>
      </c>
      <c r="Y5506">
        <v>-4.7822780000000002E-2</v>
      </c>
      <c r="Z5506">
        <v>7.1653560000000005E-2</v>
      </c>
      <c r="AA5506">
        <v>0.99628249999999996</v>
      </c>
      <c r="AB5506">
        <v>22</v>
      </c>
      <c r="AC5506">
        <v>0.40440000000000897</v>
      </c>
      <c r="AD5506">
        <v>-1.1110288578009999</v>
      </c>
      <c r="AE5506">
        <v>-15.2340199999999</v>
      </c>
      <c r="AF5506">
        <v>-0.73446383638178703</v>
      </c>
      <c r="AG5506">
        <v>-1.1110288578009999</v>
      </c>
      <c r="AH5506">
        <v>15.1410119084982</v>
      </c>
      <c r="AI5506">
        <v>94.191860957520902</v>
      </c>
      <c r="AJ5506">
        <v>92.777140527381803</v>
      </c>
      <c r="AK5506">
        <v>15.199475775930599</v>
      </c>
      <c r="AL5506">
        <v>88.794837000818504</v>
      </c>
      <c r="AM5506">
        <v>89.534988374447494</v>
      </c>
      <c r="AN5506">
        <v>0.99999993484855798</v>
      </c>
    </row>
    <row r="5507" spans="1:40" x14ac:dyDescent="0.25">
      <c r="A5507" t="str">
        <f>"20190312160756826"</f>
        <v>20190312160756826</v>
      </c>
      <c r="B5507" t="str">
        <f>"1552378076821259"</f>
        <v>1552378076821259</v>
      </c>
      <c r="C5507" t="s">
        <v>40</v>
      </c>
      <c r="D5507">
        <v>5.88504</v>
      </c>
      <c r="E5507">
        <v>0.47968670000000002</v>
      </c>
      <c r="F5507" t="s">
        <v>47</v>
      </c>
      <c r="G5507">
        <v>-419.80329999999998</v>
      </c>
      <c r="H5507" s="1">
        <v>-2.665586E-6</v>
      </c>
      <c r="I5507">
        <v>85.764979999999994</v>
      </c>
      <c r="J5507">
        <v>-420.2149</v>
      </c>
      <c r="K5507">
        <v>1.110978</v>
      </c>
      <c r="L5507">
        <v>101.2269</v>
      </c>
      <c r="M5507">
        <v>-2.019174E-2</v>
      </c>
      <c r="N5507">
        <v>0</v>
      </c>
      <c r="O5507">
        <v>-0.99970239999999999</v>
      </c>
      <c r="P5507">
        <v>-2.8570729999999999E-2</v>
      </c>
      <c r="Q5507">
        <v>6.9661590000000004E-3</v>
      </c>
      <c r="R5507">
        <v>-0.99956769999999995</v>
      </c>
      <c r="S5507">
        <v>7.8338619999999998E-2</v>
      </c>
      <c r="T5507">
        <v>-0.2128961</v>
      </c>
      <c r="U5507">
        <v>-3.0053709999999998</v>
      </c>
      <c r="V5507">
        <v>8.3299999999999902E-3</v>
      </c>
      <c r="W5507">
        <v>2.0679260000000001E-2</v>
      </c>
      <c r="X5507">
        <v>0.99975139999999996</v>
      </c>
      <c r="Y5507">
        <v>-4.6173779999999998E-2</v>
      </c>
      <c r="Z5507">
        <v>7.0590249999999993E-2</v>
      </c>
      <c r="AA5507">
        <v>0.99643610000000005</v>
      </c>
      <c r="AB5507">
        <v>22</v>
      </c>
      <c r="AC5507">
        <v>0.411600000000021</v>
      </c>
      <c r="AD5507">
        <v>-1.1109806655859999</v>
      </c>
      <c r="AE5507">
        <v>-15.4619199999999</v>
      </c>
      <c r="AF5507">
        <v>-0.72003363206869198</v>
      </c>
      <c r="AG5507">
        <v>-1.1109806655859999</v>
      </c>
      <c r="AH5507">
        <v>15.3711532768524</v>
      </c>
      <c r="AI5507">
        <v>94.129465368751298</v>
      </c>
      <c r="AJ5507">
        <v>92.681955750475595</v>
      </c>
      <c r="AK5507">
        <v>15.428061431401799</v>
      </c>
      <c r="AL5507">
        <v>88.815081147194604</v>
      </c>
      <c r="AM5507">
        <v>89.522618523820697</v>
      </c>
      <c r="AN5507">
        <v>0.99999994124805203</v>
      </c>
    </row>
    <row r="5508" spans="1:40" x14ac:dyDescent="0.25">
      <c r="A5508" t="str">
        <f>"20190312160756848"</f>
        <v>20190312160756848</v>
      </c>
      <c r="B5508" t="str">
        <f>"1552378076840779"</f>
        <v>1552378076840779</v>
      </c>
      <c r="C5508" t="s">
        <v>40</v>
      </c>
      <c r="D5508">
        <v>5.8403689999999999</v>
      </c>
      <c r="E5508">
        <v>0.47992479999999998</v>
      </c>
      <c r="F5508" t="s">
        <v>47</v>
      </c>
      <c r="G5508">
        <v>-419.81380000000001</v>
      </c>
      <c r="H5508" s="1">
        <v>-2.6141020000000001E-6</v>
      </c>
      <c r="I5508">
        <v>85.649289999999993</v>
      </c>
      <c r="J5508">
        <v>-420.21749999999997</v>
      </c>
      <c r="K5508">
        <v>1.110932</v>
      </c>
      <c r="L5508">
        <v>101.0022</v>
      </c>
      <c r="M5508">
        <v>-1.851848E-2</v>
      </c>
      <c r="N5508">
        <v>0</v>
      </c>
      <c r="O5508">
        <v>-0.99973489999999998</v>
      </c>
      <c r="P5508">
        <v>-2.7437799999999998E-2</v>
      </c>
      <c r="Q5508">
        <v>6.7866599999999999E-3</v>
      </c>
      <c r="R5508">
        <v>-0.99960079999999996</v>
      </c>
      <c r="S5508">
        <v>7.7392580000000002E-2</v>
      </c>
      <c r="T5508">
        <v>-0.21431410000000001</v>
      </c>
      <c r="U5508">
        <v>-3.0050050000000001</v>
      </c>
      <c r="V5508">
        <v>8.8732749999999999E-3</v>
      </c>
      <c r="W5508">
        <v>2.0495240000000001E-2</v>
      </c>
      <c r="X5508">
        <v>0.99975060000000004</v>
      </c>
      <c r="Y5508">
        <v>-4.419054E-2</v>
      </c>
      <c r="Z5508">
        <v>7.1073579999999997E-2</v>
      </c>
      <c r="AA5508">
        <v>0.99649169999999998</v>
      </c>
      <c r="AB5508">
        <v>22</v>
      </c>
      <c r="AC5508">
        <v>0.40369999999995798</v>
      </c>
      <c r="AD5508">
        <v>-1.110934614102</v>
      </c>
      <c r="AE5508">
        <v>-15.3529099999999</v>
      </c>
      <c r="AF5508">
        <v>-0.68438898001616399</v>
      </c>
      <c r="AG5508">
        <v>-1.110934614102</v>
      </c>
      <c r="AH5508">
        <v>15.262939364031901</v>
      </c>
      <c r="AI5508">
        <v>94.158848816172394</v>
      </c>
      <c r="AJ5508">
        <v>92.567418391618205</v>
      </c>
      <c r="AK5508">
        <v>15.318612274709899</v>
      </c>
      <c r="AL5508">
        <v>88.825627051838794</v>
      </c>
      <c r="AM5508">
        <v>89.491485317497506</v>
      </c>
      <c r="AN5508">
        <v>1.0000000260361199</v>
      </c>
    </row>
    <row r="5509" spans="1:40" x14ac:dyDescent="0.25">
      <c r="A5509" t="str">
        <f>"20190312160756870"</f>
        <v>20190312160756870</v>
      </c>
      <c r="B5509" t="str">
        <f>"1552378076861275"</f>
        <v>1552378076861275</v>
      </c>
      <c r="C5509" t="s">
        <v>40</v>
      </c>
      <c r="D5509">
        <v>5.8689010000000001</v>
      </c>
      <c r="E5509">
        <v>0.48026720000000001</v>
      </c>
      <c r="F5509" t="s">
        <v>47</v>
      </c>
      <c r="G5509">
        <v>-419.81209999999999</v>
      </c>
      <c r="H5509" s="1">
        <v>-2.5510650000000001E-6</v>
      </c>
      <c r="I5509">
        <v>85.501669999999905</v>
      </c>
      <c r="J5509">
        <v>-420.21960000000001</v>
      </c>
      <c r="K5509">
        <v>1.1108739999999999</v>
      </c>
      <c r="L5509">
        <v>100.782</v>
      </c>
      <c r="M5509">
        <v>-1.6965439999999998E-2</v>
      </c>
      <c r="N5509">
        <v>0</v>
      </c>
      <c r="O5509">
        <v>-0.9997627</v>
      </c>
      <c r="P5509">
        <v>-2.5339070000000002E-2</v>
      </c>
      <c r="Q5509">
        <v>6.9393529999999997E-3</v>
      </c>
      <c r="R5509">
        <v>-0.99965519999999997</v>
      </c>
      <c r="S5509">
        <v>7.8582760000000001E-2</v>
      </c>
      <c r="T5509">
        <v>-0.2153574</v>
      </c>
      <c r="U5509">
        <v>-3.0048219999999999</v>
      </c>
      <c r="V5509">
        <v>8.3297030000000008E-3</v>
      </c>
      <c r="W5509">
        <v>2.0641119999999999E-2</v>
      </c>
      <c r="X5509">
        <v>0.99975219999999998</v>
      </c>
      <c r="Y5509">
        <v>-4.303394E-2</v>
      </c>
      <c r="Z5509">
        <v>7.1426539999999997E-2</v>
      </c>
      <c r="AA5509">
        <v>0.99651710000000004</v>
      </c>
      <c r="AB5509">
        <v>22</v>
      </c>
      <c r="AC5509">
        <v>0.40750000000002701</v>
      </c>
      <c r="AD5509">
        <v>-1.1108765510649901</v>
      </c>
      <c r="AE5509">
        <v>-15.280329999999999</v>
      </c>
      <c r="AF5509">
        <v>-0.66320037403501797</v>
      </c>
      <c r="AG5509">
        <v>-1.1108765510649901</v>
      </c>
      <c r="AH5509">
        <v>15.190985125018701</v>
      </c>
      <c r="AI5509">
        <v>94.178477980839801</v>
      </c>
      <c r="AJ5509">
        <v>92.499802888833699</v>
      </c>
      <c r="AK5509">
        <v>15.245980142856199</v>
      </c>
      <c r="AL5509">
        <v>88.8172668859429</v>
      </c>
      <c r="AM5509">
        <v>89.522635925685705</v>
      </c>
      <c r="AN5509">
        <v>0.99999995059587998</v>
      </c>
    </row>
    <row r="5510" spans="1:40" x14ac:dyDescent="0.25">
      <c r="A5510" t="str">
        <f>"20190312160756892"</f>
        <v>20190312160756892</v>
      </c>
      <c r="B5510" t="str">
        <f>"1552378076880795"</f>
        <v>1552378076880795</v>
      </c>
      <c r="C5510" t="s">
        <v>40</v>
      </c>
      <c r="D5510">
        <v>5.8006320000000002</v>
      </c>
      <c r="E5510">
        <v>0.48029630000000001</v>
      </c>
      <c r="F5510" t="s">
        <v>47</v>
      </c>
      <c r="G5510">
        <v>-419.791</v>
      </c>
      <c r="H5510" s="1">
        <v>-2.3653539999999998E-6</v>
      </c>
      <c r="I5510">
        <v>85.060059999999993</v>
      </c>
      <c r="J5510">
        <v>-420.22149999999999</v>
      </c>
      <c r="K5510">
        <v>1.110808</v>
      </c>
      <c r="L5510">
        <v>100.5668</v>
      </c>
      <c r="M5510">
        <v>-1.5537270000000001E-2</v>
      </c>
      <c r="N5510">
        <v>0</v>
      </c>
      <c r="O5510">
        <v>-0.99978579999999995</v>
      </c>
      <c r="P5510">
        <v>-2.3342829999999998E-2</v>
      </c>
      <c r="Q5510">
        <v>6.9390819999999897E-3</v>
      </c>
      <c r="R5510">
        <v>-0.99970360000000003</v>
      </c>
      <c r="S5510">
        <v>8.1909179999999998E-2</v>
      </c>
      <c r="T5510">
        <v>-0.21229700000000001</v>
      </c>
      <c r="U5510">
        <v>-3.004578</v>
      </c>
      <c r="V5510">
        <v>7.764384E-3</v>
      </c>
      <c r="W5510">
        <v>2.0633970000000001E-2</v>
      </c>
      <c r="X5510">
        <v>0.99975689999999995</v>
      </c>
      <c r="Y5510">
        <v>-4.2713330000000001E-2</v>
      </c>
      <c r="Z5510">
        <v>7.0424169999999994E-2</v>
      </c>
      <c r="AA5510">
        <v>0.99660219999999999</v>
      </c>
      <c r="AB5510">
        <v>22</v>
      </c>
      <c r="AC5510">
        <v>0.430499999999995</v>
      </c>
      <c r="AD5510">
        <v>-1.110810365354</v>
      </c>
      <c r="AE5510">
        <v>-15.506740000000001</v>
      </c>
      <c r="AF5510">
        <v>-0.66797790908116905</v>
      </c>
      <c r="AG5510">
        <v>-1.110810365354</v>
      </c>
      <c r="AH5510">
        <v>15.4191171381038</v>
      </c>
      <c r="AI5510">
        <v>94.116685290094296</v>
      </c>
      <c r="AJ5510">
        <v>92.480582975403294</v>
      </c>
      <c r="AK5510">
        <v>15.4735021075826</v>
      </c>
      <c r="AL5510">
        <v>88.817676640586498</v>
      </c>
      <c r="AM5510">
        <v>89.555034338841907</v>
      </c>
      <c r="AN5510">
        <v>0.99999995273723397</v>
      </c>
    </row>
    <row r="5511" spans="1:40" x14ac:dyDescent="0.25">
      <c r="A5511" t="str">
        <f>"20190312160756914"</f>
        <v>20190312160756914</v>
      </c>
      <c r="B5511" t="str">
        <f>"1552378076911051"</f>
        <v>1552378076911051</v>
      </c>
      <c r="C5511" t="s">
        <v>40</v>
      </c>
      <c r="D5511">
        <v>9.1366720000000008</v>
      </c>
      <c r="E5511">
        <v>0.48072759999999998</v>
      </c>
      <c r="F5511" t="s">
        <v>47</v>
      </c>
      <c r="G5511">
        <v>-419.75810000000001</v>
      </c>
      <c r="H5511" s="1">
        <v>-2.216327E-6</v>
      </c>
      <c r="I5511">
        <v>84.699069999999907</v>
      </c>
      <c r="J5511">
        <v>-420.22329999999999</v>
      </c>
      <c r="K5511">
        <v>1.110741</v>
      </c>
      <c r="L5511">
        <v>100.348</v>
      </c>
      <c r="M5511">
        <v>-1.41817E-2</v>
      </c>
      <c r="N5511">
        <v>0</v>
      </c>
      <c r="O5511">
        <v>-0.99980619999999998</v>
      </c>
      <c r="P5511">
        <v>-2.079986E-2</v>
      </c>
      <c r="Q5511">
        <v>6.9314219999999996E-3</v>
      </c>
      <c r="R5511">
        <v>-0.99975999999999998</v>
      </c>
      <c r="S5511">
        <v>8.7738040000000003E-2</v>
      </c>
      <c r="T5511">
        <v>-0.2103207</v>
      </c>
      <c r="U5511">
        <v>-3.0043950000000001</v>
      </c>
      <c r="V5511">
        <v>6.5799969999999998E-3</v>
      </c>
      <c r="W5511">
        <v>2.0618239999999999E-2</v>
      </c>
      <c r="X5511">
        <v>0.99976580000000004</v>
      </c>
      <c r="Y5511">
        <v>-4.3293659999999998E-2</v>
      </c>
      <c r="Z5511">
        <v>6.9775370000000003E-2</v>
      </c>
      <c r="AA5511">
        <v>0.99662280000000003</v>
      </c>
      <c r="AB5511">
        <v>22</v>
      </c>
      <c r="AC5511">
        <v>0.46519999999998102</v>
      </c>
      <c r="AD5511">
        <v>-1.1107432163269999</v>
      </c>
      <c r="AE5511">
        <v>-15.64893</v>
      </c>
      <c r="AF5511">
        <v>-0.68366108756780897</v>
      </c>
      <c r="AG5511">
        <v>-1.1107432163269999</v>
      </c>
      <c r="AH5511">
        <v>15.562423779687199</v>
      </c>
      <c r="AI5511">
        <v>94.078551820234495</v>
      </c>
      <c r="AJ5511">
        <v>92.515400327627006</v>
      </c>
      <c r="AK5511">
        <v>15.6169836035595</v>
      </c>
      <c r="AL5511">
        <v>88.818578188100403</v>
      </c>
      <c r="AM5511">
        <v>89.622911071868998</v>
      </c>
      <c r="AN5511">
        <v>1.0000000315154201</v>
      </c>
    </row>
    <row r="5512" spans="1:40" x14ac:dyDescent="0.25">
      <c r="A5512" t="str">
        <f>"20190312160756937"</f>
        <v>20190312160756937</v>
      </c>
      <c r="B5512" t="str">
        <f>"1552378076930571"</f>
        <v>1552378076930571</v>
      </c>
      <c r="C5512" t="s">
        <v>40</v>
      </c>
      <c r="D5512">
        <v>5.8309249999999997</v>
      </c>
      <c r="E5512">
        <v>0.4810565</v>
      </c>
      <c r="F5512" t="s">
        <v>47</v>
      </c>
      <c r="G5512">
        <v>-419.72809999999998</v>
      </c>
      <c r="H5512" s="1">
        <v>-1.9827359999999998E-6</v>
      </c>
      <c r="I5512">
        <v>84.142129999999995</v>
      </c>
      <c r="J5512">
        <v>-420.22489999999999</v>
      </c>
      <c r="K5512">
        <v>1.1106659999999999</v>
      </c>
      <c r="L5512">
        <v>100.12139999999999</v>
      </c>
      <c r="M5512">
        <v>-1.289598E-2</v>
      </c>
      <c r="N5512">
        <v>0</v>
      </c>
      <c r="O5512">
        <v>-0.99982349999999998</v>
      </c>
      <c r="P5512">
        <v>-1.8210960000000002E-2</v>
      </c>
      <c r="Q5512">
        <v>7.0406269999999998E-3</v>
      </c>
      <c r="R5512">
        <v>-0.99980950000000002</v>
      </c>
      <c r="S5512">
        <v>9.1796879999999997E-2</v>
      </c>
      <c r="T5512">
        <v>-0.20589660000000001</v>
      </c>
      <c r="U5512">
        <v>-3.0040589999999998</v>
      </c>
      <c r="V5512">
        <v>5.2800099999999999E-3</v>
      </c>
      <c r="W5512">
        <v>2.0720260000000001E-2</v>
      </c>
      <c r="X5512">
        <v>0.99977139999999998</v>
      </c>
      <c r="Y5512">
        <v>-4.3360589999999997E-2</v>
      </c>
      <c r="Z5512">
        <v>6.832249E-2</v>
      </c>
      <c r="AA5512">
        <v>0.99672059999999996</v>
      </c>
      <c r="AB5512">
        <v>22</v>
      </c>
      <c r="AC5512">
        <v>0.49680000000000701</v>
      </c>
      <c r="AD5512">
        <v>-1.110667982736</v>
      </c>
      <c r="AE5512">
        <v>-15.9792699999999</v>
      </c>
      <c r="AF5512">
        <v>-0.69947024731643503</v>
      </c>
      <c r="AG5512">
        <v>-1.110667982736</v>
      </c>
      <c r="AH5512">
        <v>15.8948168323959</v>
      </c>
      <c r="AI5512">
        <v>93.993256997463504</v>
      </c>
      <c r="AJ5512">
        <v>92.519742970865593</v>
      </c>
      <c r="AK5512">
        <v>15.948919842113799</v>
      </c>
      <c r="AL5512">
        <v>88.812731622008101</v>
      </c>
      <c r="AM5512">
        <v>89.697411351976598</v>
      </c>
      <c r="AN5512">
        <v>1.0000000299690099</v>
      </c>
    </row>
    <row r="5513" spans="1:40" x14ac:dyDescent="0.25">
      <c r="A5513" t="str">
        <f>"20190312160756970"</f>
        <v>20190312160756970</v>
      </c>
      <c r="B5513" t="str">
        <f>"1552378076960826"</f>
        <v>1552378076960826</v>
      </c>
      <c r="C5513" t="s">
        <v>40</v>
      </c>
      <c r="D5513">
        <v>5.8807460000000003</v>
      </c>
      <c r="E5513">
        <v>0.48123830000000001</v>
      </c>
      <c r="F5513" t="s">
        <v>47</v>
      </c>
      <c r="G5513">
        <v>-419.697</v>
      </c>
      <c r="H5513" s="1">
        <v>-1.8051619999999999E-6</v>
      </c>
      <c r="I5513">
        <v>83.715350000000001</v>
      </c>
      <c r="J5513">
        <v>-420.22680000000003</v>
      </c>
      <c r="K5513">
        <v>1.110582</v>
      </c>
      <c r="L5513">
        <v>99.79871</v>
      </c>
      <c r="M5513">
        <v>-1.122693E-2</v>
      </c>
      <c r="N5513">
        <v>0</v>
      </c>
      <c r="O5513">
        <v>-0.99984360000000005</v>
      </c>
      <c r="P5513">
        <v>-1.550265E-2</v>
      </c>
      <c r="Q5513">
        <v>5.9944219999999897E-3</v>
      </c>
      <c r="R5513">
        <v>-0.99986169999999996</v>
      </c>
      <c r="S5513">
        <v>9.6649170000000006E-2</v>
      </c>
      <c r="T5513">
        <v>-0.20335010000000001</v>
      </c>
      <c r="U5513">
        <v>-3.0037539999999998</v>
      </c>
      <c r="V5513">
        <v>4.2466500000000003E-3</v>
      </c>
      <c r="W5513">
        <v>1.9665229999999999E-2</v>
      </c>
      <c r="X5513">
        <v>0.99979759999999995</v>
      </c>
      <c r="Y5513">
        <v>-4.3306289999999997E-2</v>
      </c>
      <c r="Z5513">
        <v>6.7488590000000001E-2</v>
      </c>
      <c r="AA5513">
        <v>0.99677969999999905</v>
      </c>
      <c r="AB5513">
        <v>22</v>
      </c>
      <c r="AC5513">
        <v>0.52980000000007899</v>
      </c>
      <c r="AD5513">
        <v>-1.1105838051620001</v>
      </c>
      <c r="AE5513">
        <v>-16.083359999999999</v>
      </c>
      <c r="AF5513">
        <v>-0.70698288138445897</v>
      </c>
      <c r="AG5513">
        <v>-1.1105838051620001</v>
      </c>
      <c r="AH5513">
        <v>16.0001891238437</v>
      </c>
      <c r="AI5513">
        <v>93.966711909437905</v>
      </c>
      <c r="AJ5513">
        <v>92.530020354615402</v>
      </c>
      <c r="AK5513">
        <v>16.054260281359099</v>
      </c>
      <c r="AL5513">
        <v>88.873192681060104</v>
      </c>
      <c r="AM5513">
        <v>89.756637084504305</v>
      </c>
      <c r="AN5513">
        <v>0.99999999813646701</v>
      </c>
    </row>
    <row r="5514" spans="1:40" x14ac:dyDescent="0.25">
      <c r="A5514" t="str">
        <f>"20190312160756993"</f>
        <v>20190312160756993</v>
      </c>
      <c r="B5514" t="str">
        <f>"1552378076981324"</f>
        <v>1552378076981324</v>
      </c>
      <c r="C5514" t="s">
        <v>40</v>
      </c>
      <c r="D5514">
        <v>6.133883</v>
      </c>
      <c r="E5514">
        <v>0.4817572</v>
      </c>
      <c r="F5514" t="s">
        <v>47</v>
      </c>
      <c r="G5514">
        <v>-419.66640000000001</v>
      </c>
      <c r="H5514" s="1">
        <v>-1.726533E-6</v>
      </c>
      <c r="I5514">
        <v>83.519409999999993</v>
      </c>
      <c r="J5514">
        <v>-420.22809999999998</v>
      </c>
      <c r="K5514">
        <v>1.110528</v>
      </c>
      <c r="L5514">
        <v>99.576809999999995</v>
      </c>
      <c r="M5514">
        <v>-1.0200839999999999E-2</v>
      </c>
      <c r="N5514">
        <v>0</v>
      </c>
      <c r="O5514">
        <v>-0.99985480000000004</v>
      </c>
      <c r="P5514">
        <v>-1.4985780000000001E-2</v>
      </c>
      <c r="Q5514">
        <v>6.2526580000000003E-3</v>
      </c>
      <c r="R5514">
        <v>-0.9998686</v>
      </c>
      <c r="S5514">
        <v>0.1033936</v>
      </c>
      <c r="T5514">
        <v>-0.2048845</v>
      </c>
      <c r="U5514">
        <v>-3.0032649999999999</v>
      </c>
      <c r="V5514">
        <v>4.7585170000000003E-3</v>
      </c>
      <c r="W5514">
        <v>1.9919329999999999E-2</v>
      </c>
      <c r="X5514">
        <v>0.99979030000000002</v>
      </c>
      <c r="Y5514">
        <v>-4.4520959999999998E-2</v>
      </c>
      <c r="Z5514">
        <v>6.8003279999999999E-2</v>
      </c>
      <c r="AA5514">
        <v>0.9966912</v>
      </c>
      <c r="AB5514">
        <v>22</v>
      </c>
      <c r="AC5514">
        <v>0.561699999999973</v>
      </c>
      <c r="AD5514">
        <v>-1.1105297265330001</v>
      </c>
      <c r="AE5514">
        <v>-16.057400000000001</v>
      </c>
      <c r="AF5514">
        <v>-0.72203564777052298</v>
      </c>
      <c r="AG5514">
        <v>-1.1105297265330001</v>
      </c>
      <c r="AH5514">
        <v>15.974519609441799</v>
      </c>
      <c r="AI5514">
        <v>93.972693809924394</v>
      </c>
      <c r="AJ5514">
        <v>92.5879624870729</v>
      </c>
      <c r="AK5514">
        <v>16.029344606146701</v>
      </c>
      <c r="AL5514">
        <v>88.858631011441901</v>
      </c>
      <c r="AM5514">
        <v>89.727301933071502</v>
      </c>
      <c r="AN5514">
        <v>1.00000003358288</v>
      </c>
    </row>
    <row r="5515" spans="1:40" x14ac:dyDescent="0.25">
      <c r="A5515" t="str">
        <f>"20190312160757015"</f>
        <v>20190312160757015</v>
      </c>
      <c r="B5515" t="str">
        <f>"1552378077000843"</f>
        <v>1552378077000843</v>
      </c>
      <c r="C5515" t="s">
        <v>40</v>
      </c>
      <c r="D5515">
        <v>6.0475050000000001</v>
      </c>
      <c r="E5515">
        <v>0.50318490000000005</v>
      </c>
      <c r="F5515" t="s">
        <v>47</v>
      </c>
      <c r="G5515">
        <v>-419.67770000000002</v>
      </c>
      <c r="H5515" s="1">
        <v>-1.597902E-6</v>
      </c>
      <c r="I5515">
        <v>83.224260000000001</v>
      </c>
      <c r="J5515">
        <v>-420.22910000000002</v>
      </c>
      <c r="K5515">
        <v>1.1104579999999999</v>
      </c>
      <c r="L5515">
        <v>99.363010000000003</v>
      </c>
      <c r="M5515">
        <v>-9.3399160000000002E-3</v>
      </c>
      <c r="N5515">
        <v>0</v>
      </c>
      <c r="O5515">
        <v>-0.9998631</v>
      </c>
      <c r="P5515">
        <v>-1.4192420000000001E-2</v>
      </c>
      <c r="Q5515">
        <v>6.9239080000000003E-3</v>
      </c>
      <c r="R5515">
        <v>-0.99987559999999998</v>
      </c>
      <c r="S5515">
        <v>0.1010742</v>
      </c>
      <c r="T5515">
        <v>-0.20395269999999999</v>
      </c>
      <c r="U5515">
        <v>-3.0032040000000002</v>
      </c>
      <c r="V5515">
        <v>4.8287139999999996E-3</v>
      </c>
      <c r="W5515">
        <v>2.0585340000000001E-2</v>
      </c>
      <c r="X5515">
        <v>0.99977640000000001</v>
      </c>
      <c r="Y5515">
        <v>-4.2893260000000002E-2</v>
      </c>
      <c r="Z5515">
        <v>6.7700910000000003E-2</v>
      </c>
      <c r="AA5515">
        <v>0.99678319999999998</v>
      </c>
      <c r="AB5515">
        <v>22</v>
      </c>
      <c r="AC5515">
        <v>0.551400000000001</v>
      </c>
      <c r="AD5515">
        <v>-1.110459597902</v>
      </c>
      <c r="AE5515">
        <v>-16.138750000000002</v>
      </c>
      <c r="AF5515">
        <v>-0.69881993394408903</v>
      </c>
      <c r="AG5515">
        <v>-1.110459597902</v>
      </c>
      <c r="AH5515">
        <v>16.056963828804999</v>
      </c>
      <c r="AI5515">
        <v>93.952404762766307</v>
      </c>
      <c r="AJ5515">
        <v>92.492014204022496</v>
      </c>
      <c r="AK5515">
        <v>16.110479732714399</v>
      </c>
      <c r="AL5515">
        <v>88.820463536574806</v>
      </c>
      <c r="AM5515">
        <v>89.723275342906703</v>
      </c>
      <c r="AN5515">
        <v>0.99999996134938296</v>
      </c>
    </row>
    <row r="5516" spans="1:40" x14ac:dyDescent="0.25">
      <c r="A5516" t="str">
        <f>"20190312160757038"</f>
        <v>20190312160757038</v>
      </c>
      <c r="B5516" t="str">
        <f>"1552378077031100"</f>
        <v>1552378077031100</v>
      </c>
      <c r="C5516" t="s">
        <v>40</v>
      </c>
      <c r="D5516">
        <v>5.7107150000000004</v>
      </c>
      <c r="E5516">
        <v>0.50554759999999999</v>
      </c>
      <c r="F5516" t="s">
        <v>47</v>
      </c>
      <c r="G5516">
        <v>-420.76639999999998</v>
      </c>
      <c r="H5516" s="1">
        <v>-2.7865259999999998E-6</v>
      </c>
      <c r="I5516">
        <v>75.609210000000004</v>
      </c>
      <c r="J5516">
        <v>-420.23020000000002</v>
      </c>
      <c r="K5516">
        <v>1.110366</v>
      </c>
      <c r="L5516">
        <v>99.134</v>
      </c>
      <c r="M5516">
        <v>-8.5696509999999993E-3</v>
      </c>
      <c r="N5516">
        <v>0</v>
      </c>
      <c r="O5516">
        <v>-0.99987009999999998</v>
      </c>
      <c r="P5516">
        <v>-1.331603E-2</v>
      </c>
      <c r="Q5516">
        <v>6.8494910000000001E-3</v>
      </c>
      <c r="R5516">
        <v>-0.99988790000000005</v>
      </c>
      <c r="S5516">
        <v>-6.7871089999999995E-2</v>
      </c>
      <c r="T5516">
        <v>-0.1402649</v>
      </c>
      <c r="U5516">
        <v>-3.000397</v>
      </c>
      <c r="V5516">
        <v>4.7272260000000002E-3</v>
      </c>
      <c r="W5516">
        <v>2.0506199999999999E-2</v>
      </c>
      <c r="X5516">
        <v>0.99977859999999996</v>
      </c>
      <c r="Y5516">
        <v>1.4021179999999999E-2</v>
      </c>
      <c r="Z5516">
        <v>4.668696E-2</v>
      </c>
      <c r="AA5516">
        <v>0.99881120000000001</v>
      </c>
      <c r="AB5516">
        <v>22</v>
      </c>
      <c r="AC5516">
        <v>-0.53619999999995105</v>
      </c>
      <c r="AD5516">
        <v>-1.1103687865259999</v>
      </c>
      <c r="AE5516">
        <v>-23.524789999999999</v>
      </c>
      <c r="AF5516">
        <v>0.33381897344003197</v>
      </c>
      <c r="AG5516">
        <v>-1.1103687865259999</v>
      </c>
      <c r="AH5516">
        <v>23.476247437542899</v>
      </c>
      <c r="AI5516">
        <v>92.707658131580104</v>
      </c>
      <c r="AJ5516">
        <v>89.185341292936599</v>
      </c>
      <c r="AK5516">
        <v>23.504862213972999</v>
      </c>
      <c r="AL5516">
        <v>88.824998986226007</v>
      </c>
      <c r="AM5516">
        <v>89.729091940749896</v>
      </c>
      <c r="AN5516">
        <v>1.00000004996102</v>
      </c>
    </row>
    <row r="5517" spans="1:40" x14ac:dyDescent="0.25">
      <c r="A5517" t="str">
        <f>"20190312160757060"</f>
        <v>20190312160757060</v>
      </c>
      <c r="B5517" t="str">
        <f>"1552378077050619"</f>
        <v>1552378077050619</v>
      </c>
      <c r="C5517" t="s">
        <v>40</v>
      </c>
      <c r="D5517">
        <v>6.0481509999999998</v>
      </c>
      <c r="E5517">
        <v>0.50576540000000003</v>
      </c>
      <c r="F5517" t="s">
        <v>47</v>
      </c>
      <c r="G5517">
        <v>-420.96080000000001</v>
      </c>
      <c r="H5517" s="1">
        <v>-1.758033E-6</v>
      </c>
      <c r="I5517">
        <v>73.091169999999906</v>
      </c>
      <c r="J5517">
        <v>-420.2312</v>
      </c>
      <c r="K5517">
        <v>1.1102810000000001</v>
      </c>
      <c r="L5517">
        <v>98.920559999999995</v>
      </c>
      <c r="M5517">
        <v>-7.961826E-3</v>
      </c>
      <c r="N5517">
        <v>0</v>
      </c>
      <c r="O5517">
        <v>-0.99987510000000002</v>
      </c>
      <c r="P5517">
        <v>-1.321687E-2</v>
      </c>
      <c r="Q5517">
        <v>6.6055970000000004E-3</v>
      </c>
      <c r="R5517">
        <v>-0.99989079999999997</v>
      </c>
      <c r="S5517">
        <v>-8.4167480000000003E-2</v>
      </c>
      <c r="T5517">
        <v>-0.12791250000000001</v>
      </c>
      <c r="U5517">
        <v>-3.000092</v>
      </c>
      <c r="V5517">
        <v>5.2403600000000003E-3</v>
      </c>
      <c r="W5517">
        <v>2.0257339999999999E-2</v>
      </c>
      <c r="X5517">
        <v>0.99978109999999998</v>
      </c>
      <c r="Y5517">
        <v>2.005817E-2</v>
      </c>
      <c r="Z5517">
        <v>4.2582839999999997E-2</v>
      </c>
      <c r="AA5517">
        <v>0.99889159999999999</v>
      </c>
      <c r="AB5517">
        <v>22</v>
      </c>
      <c r="AC5517">
        <v>-0.72960000000000402</v>
      </c>
      <c r="AD5517">
        <v>-1.1102827580329999</v>
      </c>
      <c r="AE5517">
        <v>-25.82939</v>
      </c>
      <c r="AF5517">
        <v>0.52294310484550699</v>
      </c>
      <c r="AG5517">
        <v>-1.1102827580329999</v>
      </c>
      <c r="AH5517">
        <v>25.786771606176099</v>
      </c>
      <c r="AI5517">
        <v>92.464914859873303</v>
      </c>
      <c r="AJ5517">
        <v>88.838228884624598</v>
      </c>
      <c r="AK5517">
        <v>25.815959931073301</v>
      </c>
      <c r="AL5517">
        <v>88.839260557915196</v>
      </c>
      <c r="AM5517">
        <v>89.6996864998343</v>
      </c>
      <c r="AN5517">
        <v>1.0000000345569999</v>
      </c>
    </row>
    <row r="5518" spans="1:40" x14ac:dyDescent="0.25">
      <c r="A5518" t="str">
        <f>"20190312160757082"</f>
        <v>20190312160757082</v>
      </c>
      <c r="B5518" t="str">
        <f>"1552378077071115"</f>
        <v>1552378077071115</v>
      </c>
      <c r="C5518" t="s">
        <v>40</v>
      </c>
      <c r="D5518">
        <v>6.0518720000000004</v>
      </c>
      <c r="E5518">
        <v>0.50649339999999998</v>
      </c>
      <c r="F5518" t="s">
        <v>47</v>
      </c>
      <c r="G5518">
        <v>-420.98700000000002</v>
      </c>
      <c r="H5518" s="1">
        <v>-1.4957510000000001E-6</v>
      </c>
      <c r="I5518">
        <v>72.4636</v>
      </c>
      <c r="J5518">
        <v>-420.23219999999998</v>
      </c>
      <c r="K5518">
        <v>1.110201</v>
      </c>
      <c r="L5518">
        <v>98.707459999999998</v>
      </c>
      <c r="M5518">
        <v>-7.471213E-3</v>
      </c>
      <c r="N5518">
        <v>0</v>
      </c>
      <c r="O5518">
        <v>-0.99987910000000002</v>
      </c>
      <c r="P5518">
        <v>-1.339075E-2</v>
      </c>
      <c r="Q5518">
        <v>7.148845E-3</v>
      </c>
      <c r="R5518">
        <v>-0.99988509999999997</v>
      </c>
      <c r="S5518">
        <v>-8.5693359999999996E-2</v>
      </c>
      <c r="T5518">
        <v>-0.12589810000000001</v>
      </c>
      <c r="U5518">
        <v>-3.0000309999999999</v>
      </c>
      <c r="V5518">
        <v>5.9087159999999996E-3</v>
      </c>
      <c r="W5518">
        <v>2.0796060000000002E-2</v>
      </c>
      <c r="X5518">
        <v>0.9997663</v>
      </c>
      <c r="Y5518">
        <v>2.105777E-2</v>
      </c>
      <c r="Z5518">
        <v>4.1913789999999999E-2</v>
      </c>
      <c r="AA5518">
        <v>0.99889930000000005</v>
      </c>
      <c r="AB5518">
        <v>22</v>
      </c>
      <c r="AC5518">
        <v>-0.75479999999998804</v>
      </c>
      <c r="AD5518">
        <v>-1.1102024957509999</v>
      </c>
      <c r="AE5518">
        <v>-26.243860000000002</v>
      </c>
      <c r="AF5518">
        <v>0.55769002649712096</v>
      </c>
      <c r="AG5518">
        <v>-1.1102024957509999</v>
      </c>
      <c r="AH5518">
        <v>26.201915758569001</v>
      </c>
      <c r="AI5518">
        <v>92.425681957155206</v>
      </c>
      <c r="AJ5518">
        <v>88.780682251790793</v>
      </c>
      <c r="AK5518">
        <v>26.231354466866001</v>
      </c>
      <c r="AL5518">
        <v>88.808387656336706</v>
      </c>
      <c r="AM5518">
        <v>89.661380317057606</v>
      </c>
      <c r="AN5518">
        <v>1.0000000218259899</v>
      </c>
    </row>
    <row r="5519" spans="1:40" x14ac:dyDescent="0.25">
      <c r="A5519" t="str">
        <f>"20190312160757104"</f>
        <v>20190312160757104</v>
      </c>
      <c r="B5519" t="str">
        <f>"1552378077090635"</f>
        <v>1552378077090635</v>
      </c>
      <c r="C5519" t="s">
        <v>40</v>
      </c>
      <c r="D5519">
        <v>6.0424829999999998</v>
      </c>
      <c r="E5519">
        <v>0.50671040000000001</v>
      </c>
      <c r="F5519" t="s">
        <v>47</v>
      </c>
      <c r="G5519">
        <v>-421.07600000000002</v>
      </c>
      <c r="H5519" s="1">
        <v>-9.7144519999999999E-7</v>
      </c>
      <c r="I5519">
        <v>71.186169999999905</v>
      </c>
      <c r="J5519">
        <v>-420.23340000000002</v>
      </c>
      <c r="K5519">
        <v>1.11012</v>
      </c>
      <c r="L5519">
        <v>98.492609999999999</v>
      </c>
      <c r="M5519">
        <v>-7.1142430000000001E-3</v>
      </c>
      <c r="N5519">
        <v>0</v>
      </c>
      <c r="O5519">
        <v>-0.99988180000000004</v>
      </c>
      <c r="P5519">
        <v>-1.3315560000000001E-2</v>
      </c>
      <c r="Q5519">
        <v>8.3322759999999996E-3</v>
      </c>
      <c r="R5519">
        <v>-0.99987700000000002</v>
      </c>
      <c r="S5519">
        <v>-9.1979980000000003E-2</v>
      </c>
      <c r="T5519">
        <v>-0.12101919999999999</v>
      </c>
      <c r="U5519">
        <v>-3</v>
      </c>
      <c r="V5519">
        <v>6.1944160000000003E-3</v>
      </c>
      <c r="W5519">
        <v>2.1974529999999999E-2</v>
      </c>
      <c r="X5519">
        <v>0.9997393</v>
      </c>
      <c r="Y5519">
        <v>2.3508370000000001E-2</v>
      </c>
      <c r="Z5519">
        <v>4.029042E-2</v>
      </c>
      <c r="AA5519">
        <v>0.9989114</v>
      </c>
      <c r="AB5519">
        <v>22</v>
      </c>
      <c r="AC5519">
        <v>-0.84259999999994695</v>
      </c>
      <c r="AD5519">
        <v>-1.1101209714452001</v>
      </c>
      <c r="AE5519">
        <v>-27.306439999999998</v>
      </c>
      <c r="AF5519">
        <v>0.64722728059024603</v>
      </c>
      <c r="AG5519">
        <v>-1.1101209714452001</v>
      </c>
      <c r="AH5519">
        <v>27.266721312823801</v>
      </c>
      <c r="AI5519">
        <v>92.330762664969996</v>
      </c>
      <c r="AJ5519">
        <v>88.6402314845798</v>
      </c>
      <c r="AK5519">
        <v>27.296984501500901</v>
      </c>
      <c r="AL5519">
        <v>88.740850772851005</v>
      </c>
      <c r="AM5519">
        <v>89.644998099361402</v>
      </c>
      <c r="AN5519">
        <v>0.99999995936139496</v>
      </c>
    </row>
    <row r="5520" spans="1:40" x14ac:dyDescent="0.25">
      <c r="A5520" t="str">
        <f>"20190312160757127"</f>
        <v>20190312160757127</v>
      </c>
      <c r="B5520" t="str">
        <f>"1552378077120891"</f>
        <v>1552378077120891</v>
      </c>
      <c r="C5520" t="s">
        <v>40</v>
      </c>
      <c r="D5520">
        <v>6.0292940000000002</v>
      </c>
      <c r="E5520">
        <v>0.50702449999999999</v>
      </c>
      <c r="F5520" t="s">
        <v>47</v>
      </c>
      <c r="G5520">
        <v>-421.14069999999998</v>
      </c>
      <c r="H5520" s="1">
        <v>-4.4198090000000001E-6</v>
      </c>
      <c r="I5520">
        <v>69.379980000000003</v>
      </c>
      <c r="J5520">
        <v>-420.2346</v>
      </c>
      <c r="K5520">
        <v>1.110026</v>
      </c>
      <c r="L5520">
        <v>98.266599999999997</v>
      </c>
      <c r="M5520">
        <v>-6.8990589999999999E-3</v>
      </c>
      <c r="N5520">
        <v>0</v>
      </c>
      <c r="O5520">
        <v>-0.99988339999999998</v>
      </c>
      <c r="P5520">
        <v>-1.30422E-2</v>
      </c>
      <c r="Q5520">
        <v>8.5895809999999902E-3</v>
      </c>
      <c r="R5520">
        <v>-0.99987839999999995</v>
      </c>
      <c r="S5520">
        <v>-9.3505859999999996E-2</v>
      </c>
      <c r="T5520">
        <v>-0.1143985</v>
      </c>
      <c r="U5520">
        <v>-3.0000610000000001</v>
      </c>
      <c r="V5520">
        <v>6.1410750000000002E-3</v>
      </c>
      <c r="W5520">
        <v>2.2227190000000001E-2</v>
      </c>
      <c r="X5520">
        <v>0.99973409999999996</v>
      </c>
      <c r="Y5520">
        <v>2.4233169999999998E-2</v>
      </c>
      <c r="Z5520">
        <v>3.8088179999999999E-2</v>
      </c>
      <c r="AA5520">
        <v>0.99898050000000005</v>
      </c>
      <c r="AB5520">
        <v>22</v>
      </c>
      <c r="AC5520">
        <v>-0.90609999999998003</v>
      </c>
      <c r="AD5520">
        <v>-1.1100304198090001</v>
      </c>
      <c r="AE5520">
        <v>-28.886619999999901</v>
      </c>
      <c r="AF5520">
        <v>0.70572835415257495</v>
      </c>
      <c r="AG5520">
        <v>-1.1100304198090001</v>
      </c>
      <c r="AH5520">
        <v>28.849625422386602</v>
      </c>
      <c r="AI5520">
        <v>92.202791447634993</v>
      </c>
      <c r="AJ5520">
        <v>88.598692602299707</v>
      </c>
      <c r="AK5520">
        <v>28.879596725972</v>
      </c>
      <c r="AL5520">
        <v>88.726370955621107</v>
      </c>
      <c r="AM5520">
        <v>89.648053163595506</v>
      </c>
      <c r="AN5520">
        <v>1.0000000157401301</v>
      </c>
    </row>
    <row r="5521" spans="1:40" x14ac:dyDescent="0.25">
      <c r="A5521" t="str">
        <f>"20190312160757149"</f>
        <v>20190312160757149</v>
      </c>
      <c r="B5521" t="str">
        <f>"1552378077141387"</f>
        <v>1552378077141387</v>
      </c>
      <c r="C5521" t="s">
        <v>40</v>
      </c>
      <c r="D5521">
        <v>6.0883599999999998</v>
      </c>
      <c r="E5521">
        <v>0.50723790000000002</v>
      </c>
      <c r="F5521" t="s">
        <v>47</v>
      </c>
      <c r="G5521">
        <v>-421.19299999999998</v>
      </c>
      <c r="H5521" s="1">
        <v>-3.9958589999999996E-6</v>
      </c>
      <c r="I5521">
        <v>68.163609999999906</v>
      </c>
      <c r="J5521">
        <v>-420.23579999999998</v>
      </c>
      <c r="K5521">
        <v>1.109937</v>
      </c>
      <c r="L5521">
        <v>98.056730000000002</v>
      </c>
      <c r="M5521">
        <v>-6.8419400000000003E-3</v>
      </c>
      <c r="N5521">
        <v>0</v>
      </c>
      <c r="O5521">
        <v>-0.99988370000000004</v>
      </c>
      <c r="P5521">
        <v>-1.353539E-2</v>
      </c>
      <c r="Q5521">
        <v>7.9929040000000003E-3</v>
      </c>
      <c r="R5521">
        <v>-0.9998764</v>
      </c>
      <c r="S5521">
        <v>-9.5520019999999997E-2</v>
      </c>
      <c r="T5521">
        <v>-0.1106255</v>
      </c>
      <c r="U5521">
        <v>-3.0000610000000001</v>
      </c>
      <c r="V5521">
        <v>6.6960179999999998E-3</v>
      </c>
      <c r="W5521">
        <v>2.1626039999999999E-2</v>
      </c>
      <c r="X5521">
        <v>0.99974370000000001</v>
      </c>
      <c r="Y5521">
        <v>2.4961790000000001E-2</v>
      </c>
      <c r="Z5521">
        <v>3.6833030000000003E-2</v>
      </c>
      <c r="AA5521">
        <v>0.99900960000000005</v>
      </c>
      <c r="AB5521">
        <v>22</v>
      </c>
      <c r="AC5521">
        <v>-0.95720000000005701</v>
      </c>
      <c r="AD5521">
        <v>-1.1099409958589901</v>
      </c>
      <c r="AE5521">
        <v>-29.89312</v>
      </c>
      <c r="AF5521">
        <v>0.75159652226472895</v>
      </c>
      <c r="AG5521">
        <v>-1.1099409958589901</v>
      </c>
      <c r="AH5521">
        <v>29.8578482256146</v>
      </c>
      <c r="AI5521">
        <v>92.128269684430606</v>
      </c>
      <c r="AJ5521">
        <v>88.558026820925804</v>
      </c>
      <c r="AK5521">
        <v>29.8879234308843</v>
      </c>
      <c r="AL5521">
        <v>88.760822569243601</v>
      </c>
      <c r="AM5521">
        <v>89.616253811608701</v>
      </c>
      <c r="AN5521">
        <v>0.99999999397641304</v>
      </c>
    </row>
    <row r="5522" spans="1:40" x14ac:dyDescent="0.25">
      <c r="A5522" t="str">
        <f>"20190312160757171"</f>
        <v>20190312160757171</v>
      </c>
      <c r="B5522" t="str">
        <f>"1552378077160908"</f>
        <v>1552378077160908</v>
      </c>
      <c r="C5522" t="s">
        <v>40</v>
      </c>
      <c r="D5522">
        <v>6.1462750000000002</v>
      </c>
      <c r="E5522">
        <v>0.5075731</v>
      </c>
      <c r="F5522" t="s">
        <v>47</v>
      </c>
      <c r="G5522">
        <v>-421.20580000000001</v>
      </c>
      <c r="H5522" s="1">
        <v>-4.1193590000000002E-6</v>
      </c>
      <c r="I5522">
        <v>68.463200000000001</v>
      </c>
      <c r="J5522">
        <v>-420.2373</v>
      </c>
      <c r="K5522">
        <v>1.109847</v>
      </c>
      <c r="L5522">
        <v>97.8399</v>
      </c>
      <c r="M5522">
        <v>-6.9279759999999998E-3</v>
      </c>
      <c r="N5522">
        <v>0</v>
      </c>
      <c r="O5522">
        <v>-0.99988299999999997</v>
      </c>
      <c r="P5522">
        <v>-1.453642E-2</v>
      </c>
      <c r="Q5522">
        <v>7.4672150000000001E-3</v>
      </c>
      <c r="R5522">
        <v>-0.99986660000000005</v>
      </c>
      <c r="S5522">
        <v>-9.8327639999999994E-2</v>
      </c>
      <c r="T5522">
        <v>-0.1125163</v>
      </c>
      <c r="U5522">
        <v>-2.9999389999999999</v>
      </c>
      <c r="V5522">
        <v>7.6158149999999997E-3</v>
      </c>
      <c r="W5522">
        <v>2.1095450000000002E-2</v>
      </c>
      <c r="X5522">
        <v>0.99974850000000004</v>
      </c>
      <c r="Y5522">
        <v>2.581027E-2</v>
      </c>
      <c r="Z5522">
        <v>3.7462200000000001E-2</v>
      </c>
      <c r="AA5522">
        <v>0.99896470000000004</v>
      </c>
      <c r="AB5522">
        <v>22</v>
      </c>
      <c r="AC5522">
        <v>-0.96850000000000602</v>
      </c>
      <c r="AD5522">
        <v>-1.1098511193589999</v>
      </c>
      <c r="AE5522">
        <v>-29.3767</v>
      </c>
      <c r="AF5522">
        <v>0.76384767477482396</v>
      </c>
      <c r="AG5522">
        <v>-1.1098511193589999</v>
      </c>
      <c r="AH5522">
        <v>29.3408716902508</v>
      </c>
      <c r="AI5522">
        <v>92.165510831715906</v>
      </c>
      <c r="AJ5522">
        <v>88.508723081463202</v>
      </c>
      <c r="AK5522">
        <v>29.371788919321201</v>
      </c>
      <c r="AL5522">
        <v>88.791230132206906</v>
      </c>
      <c r="AM5522">
        <v>89.563544614640506</v>
      </c>
      <c r="AN5522">
        <v>1.0000000409505301</v>
      </c>
    </row>
    <row r="5523" spans="1:40" x14ac:dyDescent="0.25">
      <c r="A5523" t="str">
        <f>"20190312160757193"</f>
        <v>20190312160757193</v>
      </c>
      <c r="B5523" t="str">
        <f>"1552378077181407"</f>
        <v>1552378077181407</v>
      </c>
      <c r="C5523" t="s">
        <v>40</v>
      </c>
      <c r="D5523">
        <v>6.1452150000000003</v>
      </c>
      <c r="E5523">
        <v>0.50761650000000003</v>
      </c>
      <c r="F5523" t="s">
        <v>47</v>
      </c>
      <c r="G5523">
        <v>-421.25749999999999</v>
      </c>
      <c r="H5523" s="1">
        <v>-4.1615270000000004E-6</v>
      </c>
      <c r="I5523">
        <v>68.560130000000001</v>
      </c>
      <c r="J5523">
        <v>-420.2389</v>
      </c>
      <c r="K5523">
        <v>1.109761</v>
      </c>
      <c r="L5523">
        <v>97.631960000000007</v>
      </c>
      <c r="M5523">
        <v>-7.1620919999999897E-3</v>
      </c>
      <c r="N5523">
        <v>0</v>
      </c>
      <c r="O5523">
        <v>-0.99988140000000003</v>
      </c>
      <c r="P5523">
        <v>-1.5295950000000001E-2</v>
      </c>
      <c r="Q5523">
        <v>8.3820950000000009E-3</v>
      </c>
      <c r="R5523">
        <v>-0.99984799999999996</v>
      </c>
      <c r="S5523">
        <v>-0.104522699999999</v>
      </c>
      <c r="T5523">
        <v>-0.11370470000000001</v>
      </c>
      <c r="U5523">
        <v>-2.9997250000000002</v>
      </c>
      <c r="V5523">
        <v>8.1467899999999992E-3</v>
      </c>
      <c r="W5523">
        <v>2.2005520000000001E-2</v>
      </c>
      <c r="X5523">
        <v>0.99972459999999996</v>
      </c>
      <c r="Y5523">
        <v>2.763869E-2</v>
      </c>
      <c r="Z5523">
        <v>3.7857679999999998E-2</v>
      </c>
      <c r="AA5523">
        <v>0.99890080000000003</v>
      </c>
      <c r="AB5523">
        <v>22</v>
      </c>
      <c r="AC5523">
        <v>-1.01859999999999</v>
      </c>
      <c r="AD5523">
        <v>-1.1097651615270001</v>
      </c>
      <c r="AE5523">
        <v>-29.071829999999899</v>
      </c>
      <c r="AF5523">
        <v>0.80916173354934096</v>
      </c>
      <c r="AG5523">
        <v>-1.1097651615270001</v>
      </c>
      <c r="AH5523">
        <v>29.036120820472998</v>
      </c>
      <c r="AI5523">
        <v>92.187939873299001</v>
      </c>
      <c r="AJ5523">
        <v>88.403727660495207</v>
      </c>
      <c r="AK5523">
        <v>29.068584996966798</v>
      </c>
      <c r="AL5523">
        <v>88.739074728333094</v>
      </c>
      <c r="AM5523">
        <v>89.533105065519607</v>
      </c>
      <c r="AN5523">
        <v>0.99999994447146501</v>
      </c>
    </row>
    <row r="5524" spans="1:40" x14ac:dyDescent="0.25">
      <c r="A5524" t="str">
        <f>"20190312160757216"</f>
        <v>20190312160757216</v>
      </c>
      <c r="B5524" t="str">
        <f>"1552378077210687"</f>
        <v>1552378077210687</v>
      </c>
      <c r="C5524" t="s">
        <v>40</v>
      </c>
      <c r="D5524">
        <v>6.1459489999999999</v>
      </c>
      <c r="E5524">
        <v>0.5078241</v>
      </c>
      <c r="F5524" t="s">
        <v>47</v>
      </c>
      <c r="G5524">
        <v>-421.30439999999999</v>
      </c>
      <c r="H5524" s="1">
        <v>-3.7971870000000001E-6</v>
      </c>
      <c r="I5524">
        <v>67.631439999999998</v>
      </c>
      <c r="J5524">
        <v>-420.24090000000001</v>
      </c>
      <c r="K5524">
        <v>1.1096539999999999</v>
      </c>
      <c r="L5524">
        <v>97.406369999999995</v>
      </c>
      <c r="M5524">
        <v>-7.5997669999999899E-3</v>
      </c>
      <c r="N5524">
        <v>0</v>
      </c>
      <c r="O5524">
        <v>-0.9998785</v>
      </c>
      <c r="P5524">
        <v>-1.6832090000000001E-2</v>
      </c>
      <c r="Q5524">
        <v>9.5073080000000008E-3</v>
      </c>
      <c r="R5524">
        <v>-0.99981359999999997</v>
      </c>
      <c r="S5524">
        <v>-0.1065369</v>
      </c>
      <c r="T5524">
        <v>-0.11096549999999999</v>
      </c>
      <c r="U5524">
        <v>-2.9997560000000001</v>
      </c>
      <c r="V5524">
        <v>9.2523369999999994E-3</v>
      </c>
      <c r="W5524">
        <v>2.3124840000000001E-2</v>
      </c>
      <c r="X5524">
        <v>0.99968979999999996</v>
      </c>
      <c r="Y5524">
        <v>2.7871859999999998E-2</v>
      </c>
      <c r="Z5524">
        <v>3.6945819999999997E-2</v>
      </c>
      <c r="AA5524">
        <v>0.9989285</v>
      </c>
      <c r="AB5524">
        <v>22</v>
      </c>
      <c r="AC5524">
        <v>-1.0634999999999699</v>
      </c>
      <c r="AD5524">
        <v>-1.1096577971870001</v>
      </c>
      <c r="AE5524">
        <v>-29.774930000000001</v>
      </c>
      <c r="AF5524">
        <v>0.83600612691929699</v>
      </c>
      <c r="AG5524">
        <v>-1.1096577971870001</v>
      </c>
      <c r="AH5524">
        <v>29.740898042121099</v>
      </c>
      <c r="AI5524">
        <v>92.135919424232995</v>
      </c>
      <c r="AJ5524">
        <v>88.389859894890805</v>
      </c>
      <c r="AK5524">
        <v>29.773331406192099</v>
      </c>
      <c r="AL5524">
        <v>88.674926189047099</v>
      </c>
      <c r="AM5524">
        <v>89.469730785469196</v>
      </c>
      <c r="AN5524">
        <v>1.00000003009451</v>
      </c>
    </row>
    <row r="5525" spans="1:40" x14ac:dyDescent="0.25">
      <c r="A5525" t="str">
        <f>"20190312160757238"</f>
        <v>20190312160757238</v>
      </c>
      <c r="B5525" t="str">
        <f>"1552378077231196"</f>
        <v>1552378077231196</v>
      </c>
      <c r="C5525" t="s">
        <v>40</v>
      </c>
      <c r="D5525">
        <v>5.989611</v>
      </c>
      <c r="E5525">
        <v>0.50787130000000003</v>
      </c>
      <c r="F5525" t="s">
        <v>47</v>
      </c>
      <c r="G5525">
        <v>-421.41340000000002</v>
      </c>
      <c r="H5525" s="1">
        <v>-3.258476E-6</v>
      </c>
      <c r="I5525">
        <v>66.308049999999994</v>
      </c>
      <c r="J5525">
        <v>-420.2432</v>
      </c>
      <c r="K5525">
        <v>1.1095429999999999</v>
      </c>
      <c r="L5525">
        <v>97.187290000000004</v>
      </c>
      <c r="M5525">
        <v>-8.1998929999999998E-3</v>
      </c>
      <c r="N5525">
        <v>0</v>
      </c>
      <c r="O5525">
        <v>-0.99987380000000003</v>
      </c>
      <c r="P5525">
        <v>-1.7359299999999901E-2</v>
      </c>
      <c r="Q5525">
        <v>9.6400170000000007E-3</v>
      </c>
      <c r="R5525">
        <v>-0.99980309999999994</v>
      </c>
      <c r="S5525">
        <v>-0.11309809999999999</v>
      </c>
      <c r="T5525">
        <v>-0.1070347</v>
      </c>
      <c r="U5525">
        <v>-2.9996640000000001</v>
      </c>
      <c r="V5525">
        <v>9.1857689999999999E-3</v>
      </c>
      <c r="W5525">
        <v>2.3253079999999999E-2</v>
      </c>
      <c r="X5525">
        <v>0.9996874</v>
      </c>
      <c r="Y5525">
        <v>2.9456800000000002E-2</v>
      </c>
      <c r="Z5525">
        <v>3.5637349999999998E-2</v>
      </c>
      <c r="AA5525">
        <v>0.9989306</v>
      </c>
      <c r="AB5525">
        <v>22</v>
      </c>
      <c r="AC5525">
        <v>-1.1702000000000199</v>
      </c>
      <c r="AD5525">
        <v>-1.1095462584760001</v>
      </c>
      <c r="AE5525">
        <v>-30.879239999999999</v>
      </c>
      <c r="AF5525">
        <v>0.91575012039461701</v>
      </c>
      <c r="AG5525">
        <v>-1.1095462584760001</v>
      </c>
      <c r="AH5525">
        <v>30.848027494356799</v>
      </c>
      <c r="AI5525">
        <v>92.059028490468805</v>
      </c>
      <c r="AJ5525">
        <v>88.299625073808897</v>
      </c>
      <c r="AK5525">
        <v>30.881555846091899</v>
      </c>
      <c r="AL5525">
        <v>88.667576549961197</v>
      </c>
      <c r="AM5525">
        <v>89.473544446159096</v>
      </c>
      <c r="AN5525">
        <v>0.99999999090018299</v>
      </c>
    </row>
    <row r="5526" spans="1:40" x14ac:dyDescent="0.25">
      <c r="A5526" t="str">
        <f>"20190312160757261"</f>
        <v>20190312160757261</v>
      </c>
      <c r="B5526" t="str">
        <f>"1552378077250699"</f>
        <v>1552378077250699</v>
      </c>
      <c r="C5526" t="s">
        <v>40</v>
      </c>
      <c r="D5526">
        <v>6.08812</v>
      </c>
      <c r="E5526">
        <v>0.50813379999999997</v>
      </c>
      <c r="F5526" t="s">
        <v>47</v>
      </c>
      <c r="G5526">
        <v>-421.45159999999998</v>
      </c>
      <c r="H5526" s="1">
        <v>-3.0138790000000001E-6</v>
      </c>
      <c r="I5526">
        <v>65.714200000000005</v>
      </c>
      <c r="J5526">
        <v>-420.2457</v>
      </c>
      <c r="K5526">
        <v>1.1094520000000001</v>
      </c>
      <c r="L5526">
        <v>96.972930000000005</v>
      </c>
      <c r="M5526">
        <v>-8.9196180000000007E-3</v>
      </c>
      <c r="N5526">
        <v>0</v>
      </c>
      <c r="O5526">
        <v>-0.99986759999999997</v>
      </c>
      <c r="P5526">
        <v>-1.8902789999999999E-2</v>
      </c>
      <c r="Q5526">
        <v>9.5840230000000005E-3</v>
      </c>
      <c r="R5526">
        <v>-0.99977570000000004</v>
      </c>
      <c r="S5526">
        <v>-0.11517330000000001</v>
      </c>
      <c r="T5526">
        <v>-0.10574749999999999</v>
      </c>
      <c r="U5526">
        <v>-2.999603</v>
      </c>
      <c r="V5526">
        <v>1.00149E-2</v>
      </c>
      <c r="W5526">
        <v>2.3192540000000001E-2</v>
      </c>
      <c r="X5526">
        <v>0.99968089999999998</v>
      </c>
      <c r="Y5526">
        <v>2.942873E-2</v>
      </c>
      <c r="Z5526">
        <v>3.5209240000000003E-2</v>
      </c>
      <c r="AA5526">
        <v>0.99894649999999996</v>
      </c>
      <c r="AB5526">
        <v>22</v>
      </c>
      <c r="AC5526">
        <v>-1.20589999999998</v>
      </c>
      <c r="AD5526">
        <v>-1.109455013879</v>
      </c>
      <c r="AE5526">
        <v>-31.25873</v>
      </c>
      <c r="AF5526">
        <v>0.92584568340555395</v>
      </c>
      <c r="AG5526">
        <v>-1.109455013879</v>
      </c>
      <c r="AH5526">
        <v>31.228961910510101</v>
      </c>
      <c r="AI5526">
        <v>92.033768669958704</v>
      </c>
      <c r="AJ5526">
        <v>88.301848244121402</v>
      </c>
      <c r="AK5526">
        <v>31.262375832066802</v>
      </c>
      <c r="AL5526">
        <v>88.671046246732701</v>
      </c>
      <c r="AM5526">
        <v>89.426024537368704</v>
      </c>
      <c r="AN5526">
        <v>1.0000000469792301</v>
      </c>
    </row>
    <row r="5527" spans="1:40" x14ac:dyDescent="0.25">
      <c r="A5527" t="str">
        <f>"20190312160757283"</f>
        <v>20190312160757283</v>
      </c>
      <c r="B5527" t="str">
        <f>"1552378077280956"</f>
        <v>1552378077280956</v>
      </c>
      <c r="C5527" t="s">
        <v>40</v>
      </c>
      <c r="D5527">
        <v>5.9323519999999998</v>
      </c>
      <c r="E5527">
        <v>0.4871547</v>
      </c>
      <c r="F5527" t="s">
        <v>47</v>
      </c>
      <c r="G5527">
        <v>-421.52379999999999</v>
      </c>
      <c r="H5527" s="1">
        <v>-2.9602649999999999E-6</v>
      </c>
      <c r="I5527">
        <v>65.544430000000006</v>
      </c>
      <c r="J5527">
        <v>-420.24860000000001</v>
      </c>
      <c r="K5527">
        <v>1.1093679999999999</v>
      </c>
      <c r="L5527">
        <v>96.753330000000005</v>
      </c>
      <c r="M5527">
        <v>-9.7973299999999999E-3</v>
      </c>
      <c r="N5527">
        <v>0</v>
      </c>
      <c r="O5527">
        <v>-0.99985919999999895</v>
      </c>
      <c r="P5527">
        <v>-2.1437500000000002E-2</v>
      </c>
      <c r="Q5527">
        <v>8.9927730000000008E-3</v>
      </c>
      <c r="R5527">
        <v>-0.99972989999999995</v>
      </c>
      <c r="S5527">
        <v>-0.1219788</v>
      </c>
      <c r="T5527">
        <v>-0.10588119999999999</v>
      </c>
      <c r="U5527">
        <v>-2.99939</v>
      </c>
      <c r="V5527">
        <v>1.167579E-2</v>
      </c>
      <c r="W5527">
        <v>2.2595210000000001E-2</v>
      </c>
      <c r="X5527">
        <v>0.99967649999999997</v>
      </c>
      <c r="Y5527">
        <v>3.0816920000000001E-2</v>
      </c>
      <c r="Z5527">
        <v>3.5253479999999997E-2</v>
      </c>
      <c r="AA5527">
        <v>0.99890319999999999</v>
      </c>
      <c r="AB5527">
        <v>22</v>
      </c>
      <c r="AC5527">
        <v>-1.2751999999999799</v>
      </c>
      <c r="AD5527">
        <v>-1.1093709602649999</v>
      </c>
      <c r="AE5527">
        <v>-31.2089</v>
      </c>
      <c r="AF5527">
        <v>0.96812526783372599</v>
      </c>
      <c r="AG5527">
        <v>-1.1093709602649999</v>
      </c>
      <c r="AH5527">
        <v>31.1805636491241</v>
      </c>
      <c r="AI5527">
        <v>92.036682120882205</v>
      </c>
      <c r="AJ5527">
        <v>88.221594777043094</v>
      </c>
      <c r="AK5527">
        <v>31.215309063643399</v>
      </c>
      <c r="AL5527">
        <v>88.705279627359999</v>
      </c>
      <c r="AM5527">
        <v>89.330840453657402</v>
      </c>
      <c r="AN5527">
        <v>0.99999998611965801</v>
      </c>
    </row>
    <row r="5528" spans="1:40" x14ac:dyDescent="0.25">
      <c r="A5528" t="str">
        <f>"20190312160757306"</f>
        <v>20190312160757306</v>
      </c>
      <c r="B5528" t="str">
        <f>"1552378077301452"</f>
        <v>1552378077301452</v>
      </c>
      <c r="C5528" t="s">
        <v>40</v>
      </c>
      <c r="D5528">
        <v>5.8723130000000001</v>
      </c>
      <c r="E5528">
        <v>0.46752700000000003</v>
      </c>
      <c r="F5528" t="s">
        <v>47</v>
      </c>
      <c r="G5528">
        <v>-419.87709999999998</v>
      </c>
      <c r="H5528" s="1">
        <v>-3.279135E-6</v>
      </c>
      <c r="I5528">
        <v>67.22569</v>
      </c>
      <c r="J5528">
        <v>-420.2518</v>
      </c>
      <c r="K5528">
        <v>1.1092959999999901</v>
      </c>
      <c r="L5528">
        <v>96.540469999999999</v>
      </c>
      <c r="M5528">
        <v>-1.0791510000000001E-2</v>
      </c>
      <c r="N5528">
        <v>0</v>
      </c>
      <c r="O5528">
        <v>-0.99984930000000005</v>
      </c>
      <c r="P5528">
        <v>-2.3423889999999999E-2</v>
      </c>
      <c r="Q5528">
        <v>9.1915120000000006E-3</v>
      </c>
      <c r="R5528">
        <v>-0.99968369999999995</v>
      </c>
      <c r="S5528">
        <v>3.7780759999999997E-2</v>
      </c>
      <c r="T5528">
        <v>-0.1128116</v>
      </c>
      <c r="U5528">
        <v>-3.0026549999999999</v>
      </c>
      <c r="V5528">
        <v>1.2672549999999999E-2</v>
      </c>
      <c r="W5528">
        <v>2.2788280000000001E-2</v>
      </c>
      <c r="X5528">
        <v>0.99965999999999999</v>
      </c>
      <c r="Y5528">
        <v>-2.3363510000000001E-2</v>
      </c>
      <c r="Z5528">
        <v>3.7534230000000002E-2</v>
      </c>
      <c r="AA5528">
        <v>0.99902219999999997</v>
      </c>
      <c r="AB5528">
        <v>22</v>
      </c>
      <c r="AC5528">
        <v>0.37470000000001802</v>
      </c>
      <c r="AD5528">
        <v>-1.10929927913499</v>
      </c>
      <c r="AE5528">
        <v>-29.314779999999999</v>
      </c>
      <c r="AF5528">
        <v>-0.69007019637658396</v>
      </c>
      <c r="AG5528">
        <v>-1.10929927913499</v>
      </c>
      <c r="AH5528">
        <v>29.2671268685163</v>
      </c>
      <c r="AI5528">
        <v>92.170015625623293</v>
      </c>
      <c r="AJ5528">
        <v>91.350688966777099</v>
      </c>
      <c r="AK5528">
        <v>29.296270358263101</v>
      </c>
      <c r="AL5528">
        <v>88.6942147097282</v>
      </c>
      <c r="AM5528">
        <v>89.273708320964104</v>
      </c>
      <c r="AN5528">
        <v>1.00000000741443</v>
      </c>
    </row>
    <row r="5529" spans="1:40" x14ac:dyDescent="0.25">
      <c r="A5529" t="str">
        <f>"20190312160757320"</f>
        <v>20190312160757320</v>
      </c>
      <c r="B5529" t="str">
        <f>"1552378077311211"</f>
        <v>1552378077311211</v>
      </c>
      <c r="C5529" t="s">
        <v>40</v>
      </c>
      <c r="D5529">
        <v>5.9315049999999996</v>
      </c>
      <c r="E5529">
        <v>0.46371319999999999</v>
      </c>
      <c r="F5529" t="s">
        <v>47</v>
      </c>
      <c r="G5529">
        <v>-419.03399999999999</v>
      </c>
      <c r="H5529" s="1">
        <v>-3.362263E-6</v>
      </c>
      <c r="I5529">
        <v>77.070849999999993</v>
      </c>
      <c r="J5529">
        <v>-420.25420000000003</v>
      </c>
      <c r="K5529">
        <v>1.1092489999999999</v>
      </c>
      <c r="L5529">
        <v>96.394810000000007</v>
      </c>
      <c r="M5529">
        <v>-1.155111E-2</v>
      </c>
      <c r="N5529">
        <v>0</v>
      </c>
      <c r="O5529">
        <v>-0.99984090000000003</v>
      </c>
      <c r="P5529">
        <v>-2.4312919999999998E-2</v>
      </c>
      <c r="Q5529">
        <v>9.4173369999999996E-3</v>
      </c>
      <c r="R5529">
        <v>-0.9996604</v>
      </c>
      <c r="S5529">
        <v>0.18807979999999999</v>
      </c>
      <c r="T5529">
        <v>-0.17132249999999999</v>
      </c>
      <c r="U5529">
        <v>-3.0069270000000001</v>
      </c>
      <c r="V5529">
        <v>1.2805209999999999E-2</v>
      </c>
      <c r="W5529">
        <v>2.301139E-2</v>
      </c>
      <c r="X5529">
        <v>0.99965320000000002</v>
      </c>
      <c r="Y5529">
        <v>-7.3851699999999895E-2</v>
      </c>
      <c r="Z5529">
        <v>5.6745030000000002E-2</v>
      </c>
      <c r="AA5529">
        <v>0.99565349999999997</v>
      </c>
      <c r="AB5529">
        <v>22</v>
      </c>
      <c r="AC5529">
        <v>1.2202000000000299</v>
      </c>
      <c r="AD5529">
        <v>-1.1092523622629999</v>
      </c>
      <c r="AE5529">
        <v>-19.32396</v>
      </c>
      <c r="AF5529">
        <v>-1.4386307823512401</v>
      </c>
      <c r="AG5529">
        <v>-1.1092523622629999</v>
      </c>
      <c r="AH5529">
        <v>19.245410885620199</v>
      </c>
      <c r="AI5529">
        <v>93.289563232799694</v>
      </c>
      <c r="AJ5529">
        <v>94.275016764105601</v>
      </c>
      <c r="AK5529">
        <v>19.330958059223601</v>
      </c>
      <c r="AL5529">
        <v>88.681428097245401</v>
      </c>
      <c r="AM5529">
        <v>89.266101120549195</v>
      </c>
      <c r="AN5529">
        <v>1.0000000088715499</v>
      </c>
    </row>
    <row r="5530" spans="1:40" x14ac:dyDescent="0.25">
      <c r="A5530" t="str">
        <f>"20190312160757335"</f>
        <v>20190312160757335</v>
      </c>
      <c r="B5530" t="str">
        <f>"1552378077330732"</f>
        <v>1552378077330732</v>
      </c>
      <c r="C5530" t="s">
        <v>40</v>
      </c>
      <c r="D5530">
        <v>5.8582390000000002</v>
      </c>
      <c r="E5530">
        <v>0.45944609999999902</v>
      </c>
      <c r="F5530" t="s">
        <v>47</v>
      </c>
      <c r="G5530">
        <v>-418.9135</v>
      </c>
      <c r="H5530" s="1">
        <v>-3.6534590000000002E-6</v>
      </c>
      <c r="I5530">
        <v>77.699839999999995</v>
      </c>
      <c r="J5530">
        <v>-420.25650000000002</v>
      </c>
      <c r="K5530">
        <v>1.109202</v>
      </c>
      <c r="L5530">
        <v>96.256990000000002</v>
      </c>
      <c r="M5530">
        <v>-1.2317939999999999E-2</v>
      </c>
      <c r="N5530">
        <v>0</v>
      </c>
      <c r="O5530">
        <v>-0.99983149999999998</v>
      </c>
      <c r="P5530">
        <v>-2.5170270000000002E-2</v>
      </c>
      <c r="Q5530">
        <v>1.0387E-2</v>
      </c>
      <c r="R5530">
        <v>-0.99962949999999995</v>
      </c>
      <c r="S5530">
        <v>0.21569820000000001</v>
      </c>
      <c r="T5530">
        <v>-0.17847550000000001</v>
      </c>
      <c r="U5530">
        <v>-3.007965</v>
      </c>
      <c r="V5530">
        <v>1.2900500000000001E-2</v>
      </c>
      <c r="W5530">
        <v>2.39791E-2</v>
      </c>
      <c r="X5530">
        <v>0.9996292</v>
      </c>
      <c r="Y5530">
        <v>-8.3682649999999997E-2</v>
      </c>
      <c r="Z5530">
        <v>5.9043970000000001E-2</v>
      </c>
      <c r="AA5530">
        <v>0.99474169999999995</v>
      </c>
      <c r="AB5530">
        <v>21</v>
      </c>
      <c r="AC5530">
        <v>1.34300000000001</v>
      </c>
      <c r="AD5530">
        <v>-1.109205653459</v>
      </c>
      <c r="AE5530">
        <v>-18.55715</v>
      </c>
      <c r="AF5530">
        <v>-1.56593957692135</v>
      </c>
      <c r="AG5530">
        <v>-1.109205653459</v>
      </c>
      <c r="AH5530">
        <v>18.473540008131199</v>
      </c>
      <c r="AI5530">
        <v>93.423832424657107</v>
      </c>
      <c r="AJ5530">
        <v>94.845186981679603</v>
      </c>
      <c r="AK5530">
        <v>18.5729422648179</v>
      </c>
      <c r="AL5530">
        <v>88.625967045381898</v>
      </c>
      <c r="AM5530">
        <v>89.260622665108201</v>
      </c>
      <c r="AN5530">
        <v>0.99999997881484903</v>
      </c>
    </row>
    <row r="5531" spans="1:40" x14ac:dyDescent="0.25">
      <c r="A5531" t="str">
        <f>"20190312160757350"</f>
        <v>20190312160757350</v>
      </c>
      <c r="B5531" t="str">
        <f>"1552378077341468"</f>
        <v>1552378077341468</v>
      </c>
      <c r="C5531" t="s">
        <v>40</v>
      </c>
      <c r="D5531">
        <v>5.8431989999999896</v>
      </c>
      <c r="E5531">
        <v>0.45821820000000002</v>
      </c>
      <c r="F5531" t="s">
        <v>47</v>
      </c>
      <c r="G5531">
        <v>-418.76350000000002</v>
      </c>
      <c r="H5531" s="1">
        <v>-3.8369679999999998E-6</v>
      </c>
      <c r="I5531">
        <v>78.065569999999994</v>
      </c>
      <c r="J5531">
        <v>-420.25920000000002</v>
      </c>
      <c r="K5531">
        <v>1.1091489999999999</v>
      </c>
      <c r="L5531">
        <v>96.116759999999999</v>
      </c>
      <c r="M5531">
        <v>-1.3161829999999999E-2</v>
      </c>
      <c r="N5531">
        <v>0</v>
      </c>
      <c r="O5531">
        <v>-0.99982079999999995</v>
      </c>
      <c r="P5531">
        <v>-2.6146599999999999E-2</v>
      </c>
      <c r="Q5531">
        <v>1.050384E-2</v>
      </c>
      <c r="R5531">
        <v>-0.99960320000000003</v>
      </c>
      <c r="S5531">
        <v>0.2469788</v>
      </c>
      <c r="T5531">
        <v>-0.18348610000000001</v>
      </c>
      <c r="U5531">
        <v>-3.0092469999999998</v>
      </c>
      <c r="V5531">
        <v>1.30362E-2</v>
      </c>
      <c r="W5531">
        <v>2.4093509999999999E-2</v>
      </c>
      <c r="X5531">
        <v>0.99962470000000003</v>
      </c>
      <c r="Y5531">
        <v>-9.4759640000000006E-2</v>
      </c>
      <c r="Z5531">
        <v>6.0614670000000002E-2</v>
      </c>
      <c r="AA5531">
        <v>0.99365309999999996</v>
      </c>
      <c r="AB5531">
        <v>21</v>
      </c>
      <c r="AC5531">
        <v>1.49569999999999</v>
      </c>
      <c r="AD5531">
        <v>-1.1091528369679999</v>
      </c>
      <c r="AE5531">
        <v>-18.051189999999998</v>
      </c>
      <c r="AF5531">
        <v>-1.7267044375726499</v>
      </c>
      <c r="AG5531">
        <v>-1.1091528369679999</v>
      </c>
      <c r="AH5531">
        <v>17.962583354282501</v>
      </c>
      <c r="AI5531">
        <v>93.517238901930796</v>
      </c>
      <c r="AJ5531">
        <v>95.4908484732874</v>
      </c>
      <c r="AK5531">
        <v>18.079439399219101</v>
      </c>
      <c r="AL5531">
        <v>88.619409956516506</v>
      </c>
      <c r="AM5531">
        <v>89.252842689539605</v>
      </c>
      <c r="AN5531">
        <v>0.999999990292325</v>
      </c>
    </row>
    <row r="5532" spans="1:40" x14ac:dyDescent="0.25">
      <c r="A5532" t="str">
        <f>"20190312160757373"</f>
        <v>20190312160757373</v>
      </c>
      <c r="B5532" t="str">
        <f>"1552378077360987"</f>
        <v>1552378077360987</v>
      </c>
      <c r="C5532" t="s">
        <v>40</v>
      </c>
      <c r="D5532">
        <v>5.8339600000000003</v>
      </c>
      <c r="E5532">
        <v>0.4566576</v>
      </c>
      <c r="F5532" t="s">
        <v>47</v>
      </c>
      <c r="G5532">
        <v>-418.74310000000003</v>
      </c>
      <c r="H5532" s="1">
        <v>-3.8748249999999998E-6</v>
      </c>
      <c r="I5532">
        <v>78.145390000000006</v>
      </c>
      <c r="J5532">
        <v>-420.2636</v>
      </c>
      <c r="K5532">
        <v>1.1090739999999999</v>
      </c>
      <c r="L5532">
        <v>95.900819999999996</v>
      </c>
      <c r="M5532">
        <v>-1.4541190000000001E-2</v>
      </c>
      <c r="N5532">
        <v>0</v>
      </c>
      <c r="O5532">
        <v>-0.99980150000000001</v>
      </c>
      <c r="P5532">
        <v>-2.8011979999999999E-2</v>
      </c>
      <c r="Q5532">
        <v>1.0305659999999999E-2</v>
      </c>
      <c r="R5532">
        <v>-0.99955459999999996</v>
      </c>
      <c r="S5532">
        <v>0.25390629999999997</v>
      </c>
      <c r="T5532">
        <v>-0.1857579</v>
      </c>
      <c r="U5532">
        <v>-3.0097960000000001</v>
      </c>
      <c r="V5532">
        <v>1.3526359999999999E-2</v>
      </c>
      <c r="W5532">
        <v>2.3891860000000001E-2</v>
      </c>
      <c r="X5532">
        <v>0.99962309999999999</v>
      </c>
      <c r="Y5532">
        <v>-9.8385210000000001E-2</v>
      </c>
      <c r="Z5532">
        <v>6.1332810000000001E-2</v>
      </c>
      <c r="AA5532">
        <v>0.99325660000000005</v>
      </c>
      <c r="AB5532">
        <v>21</v>
      </c>
      <c r="AC5532">
        <v>1.52049999999997</v>
      </c>
      <c r="AD5532">
        <v>-1.1090778748250001</v>
      </c>
      <c r="AE5532">
        <v>-17.755429999999901</v>
      </c>
      <c r="AF5532">
        <v>-1.77168585673499</v>
      </c>
      <c r="AG5532">
        <v>-1.1090778748250001</v>
      </c>
      <c r="AH5532">
        <v>17.663025119561802</v>
      </c>
      <c r="AI5532">
        <v>93.575046128725901</v>
      </c>
      <c r="AJ5532">
        <v>95.727882351463506</v>
      </c>
      <c r="AK5532">
        <v>17.7862694481347</v>
      </c>
      <c r="AL5532">
        <v>88.630967076635997</v>
      </c>
      <c r="AM5532">
        <v>89.224751764712806</v>
      </c>
      <c r="AN5532">
        <v>1.0000000627213499</v>
      </c>
    </row>
    <row r="5533" spans="1:40" x14ac:dyDescent="0.25">
      <c r="A5533" t="str">
        <f>"20190312160757394"</f>
        <v>20190312160757394</v>
      </c>
      <c r="B5533" t="str">
        <f>"1552378077390989"</f>
        <v>1552378077390989</v>
      </c>
      <c r="C5533" t="s">
        <v>40</v>
      </c>
      <c r="D5533">
        <v>5.8360779999999997</v>
      </c>
      <c r="E5533">
        <v>0.45527770000000001</v>
      </c>
      <c r="F5533" t="s">
        <v>47</v>
      </c>
      <c r="G5533">
        <v>-418.73200000000003</v>
      </c>
      <c r="H5533" s="1">
        <v>-3.9072449999999901E-6</v>
      </c>
      <c r="I5533">
        <v>78.216340000000002</v>
      </c>
      <c r="J5533">
        <v>-420.26830000000001</v>
      </c>
      <c r="K5533">
        <v>1.1090169999999999</v>
      </c>
      <c r="L5533">
        <v>95.689509999999999</v>
      </c>
      <c r="M5533">
        <v>-1.5997810000000001E-2</v>
      </c>
      <c r="N5533">
        <v>0</v>
      </c>
      <c r="O5533">
        <v>-0.99977939999999998</v>
      </c>
      <c r="P5533">
        <v>-2.9857930000000001E-2</v>
      </c>
      <c r="Q5533">
        <v>9.8465919999999995E-3</v>
      </c>
      <c r="R5533">
        <v>-0.9995058</v>
      </c>
      <c r="S5533">
        <v>0.26074219999999998</v>
      </c>
      <c r="T5533">
        <v>-0.18880839999999999</v>
      </c>
      <c r="U5533">
        <v>-3.0105900000000001</v>
      </c>
      <c r="V5533">
        <v>1.391861E-2</v>
      </c>
      <c r="W5533">
        <v>2.3429459999999999E-2</v>
      </c>
      <c r="X5533">
        <v>0.99962859999999998</v>
      </c>
      <c r="Y5533">
        <v>-0.1020462</v>
      </c>
      <c r="Z5533">
        <v>6.2300220000000003E-2</v>
      </c>
      <c r="AA5533">
        <v>0.99282689999999996</v>
      </c>
      <c r="AB5533">
        <v>21</v>
      </c>
      <c r="AC5533">
        <v>1.53630000000003</v>
      </c>
      <c r="AD5533">
        <v>-1.1090209072449999</v>
      </c>
      <c r="AE5533">
        <v>-17.4731699999999</v>
      </c>
      <c r="AF5533">
        <v>-1.8084324418759501</v>
      </c>
      <c r="AG5533">
        <v>-1.1090209072449999</v>
      </c>
      <c r="AH5533">
        <v>17.376889154318299</v>
      </c>
      <c r="AI5533">
        <v>93.632191857488394</v>
      </c>
      <c r="AJ5533">
        <v>95.941447752833398</v>
      </c>
      <c r="AK5533">
        <v>17.505902774521601</v>
      </c>
      <c r="AL5533">
        <v>88.6574679819728</v>
      </c>
      <c r="AM5533">
        <v>89.202277646344697</v>
      </c>
      <c r="AN5533">
        <v>1.0000000026190901</v>
      </c>
    </row>
    <row r="5534" spans="1:40" x14ac:dyDescent="0.25">
      <c r="A5534" t="str">
        <f>"20190312160757418"</f>
        <v>20190312160757418</v>
      </c>
      <c r="B5534" t="str">
        <f>"1552378077411485"</f>
        <v>1552378077411485</v>
      </c>
      <c r="C5534" t="s">
        <v>40</v>
      </c>
      <c r="D5534">
        <v>5.8355449999999998</v>
      </c>
      <c r="E5534">
        <v>0.45440009999999997</v>
      </c>
      <c r="F5534" t="s">
        <v>47</v>
      </c>
      <c r="G5534">
        <v>-418.76260000000002</v>
      </c>
      <c r="H5534" s="1">
        <v>-4.0914649999999998E-6</v>
      </c>
      <c r="I5534">
        <v>78.658419999999893</v>
      </c>
      <c r="J5534">
        <v>-420.27390000000003</v>
      </c>
      <c r="K5534">
        <v>1.1089709999999999</v>
      </c>
      <c r="L5534">
        <v>95.463560000000001</v>
      </c>
      <c r="M5534">
        <v>-1.7668639999999999E-2</v>
      </c>
      <c r="N5534">
        <v>0</v>
      </c>
      <c r="O5534">
        <v>-0.99975130000000001</v>
      </c>
      <c r="P5534">
        <v>-3.1709950000000001E-2</v>
      </c>
      <c r="Q5534">
        <v>1.055794E-2</v>
      </c>
      <c r="R5534">
        <v>-0.99944160000000004</v>
      </c>
      <c r="S5534">
        <v>0.26623540000000001</v>
      </c>
      <c r="T5534">
        <v>-0.19609170000000001</v>
      </c>
      <c r="U5534">
        <v>-3.0113530000000002</v>
      </c>
      <c r="V5534">
        <v>1.410521E-2</v>
      </c>
      <c r="W5534">
        <v>2.413831E-2</v>
      </c>
      <c r="X5534">
        <v>0.99960910000000003</v>
      </c>
      <c r="Y5534">
        <v>-0.10547049999999999</v>
      </c>
      <c r="Z5534">
        <v>6.4657809999999996E-2</v>
      </c>
      <c r="AA5534">
        <v>0.99231820000000004</v>
      </c>
      <c r="AB5534">
        <v>21</v>
      </c>
      <c r="AC5534">
        <v>1.5113000000000001</v>
      </c>
      <c r="AD5534">
        <v>-1.1089750914649901</v>
      </c>
      <c r="AE5534">
        <v>-16.805140000000002</v>
      </c>
      <c r="AF5534">
        <v>-1.8002388741762501</v>
      </c>
      <c r="AG5534">
        <v>-1.1089750914649901</v>
      </c>
      <c r="AH5534">
        <v>16.703655079187602</v>
      </c>
      <c r="AI5534">
        <v>93.7765531295682</v>
      </c>
      <c r="AJ5534">
        <v>96.151317520553206</v>
      </c>
      <c r="AK5534">
        <v>16.8369468361118</v>
      </c>
      <c r="AL5534">
        <v>88.616842349962695</v>
      </c>
      <c r="AM5534">
        <v>89.191568614491501</v>
      </c>
      <c r="AN5534">
        <v>0.99999998388080402</v>
      </c>
    </row>
    <row r="5535" spans="1:40" x14ac:dyDescent="0.25">
      <c r="A5535" t="str">
        <f>"20190312160757439"</f>
        <v>20190312160757439</v>
      </c>
      <c r="B5535" t="str">
        <f>"1552378077431005"</f>
        <v>1552378077431005</v>
      </c>
      <c r="C5535" t="s">
        <v>40</v>
      </c>
      <c r="D5535">
        <v>5.867432</v>
      </c>
      <c r="E5535">
        <v>0.453652</v>
      </c>
      <c r="F5535" t="s">
        <v>47</v>
      </c>
      <c r="G5535">
        <v>-418.76010000000002</v>
      </c>
      <c r="H5535" s="1">
        <v>-3.9981410000000004E-6</v>
      </c>
      <c r="I5535">
        <v>78.439869999999999</v>
      </c>
      <c r="J5535">
        <v>-420.27940000000001</v>
      </c>
      <c r="K5535">
        <v>1.108949</v>
      </c>
      <c r="L5535">
        <v>95.257080000000002</v>
      </c>
      <c r="M5535">
        <v>-1.926334E-2</v>
      </c>
      <c r="N5535">
        <v>0</v>
      </c>
      <c r="O5535">
        <v>-0.99972190000000005</v>
      </c>
      <c r="P5535">
        <v>-3.2976279999999997E-2</v>
      </c>
      <c r="Q5535">
        <v>1.199221E-2</v>
      </c>
      <c r="R5535">
        <v>-0.99938450000000001</v>
      </c>
      <c r="S5535">
        <v>0.2678528</v>
      </c>
      <c r="T5535">
        <v>-0.1962284</v>
      </c>
      <c r="U5535">
        <v>-3.0122680000000002</v>
      </c>
      <c r="V5535">
        <v>1.378302E-2</v>
      </c>
      <c r="W5535">
        <v>2.5571719999999999E-2</v>
      </c>
      <c r="X5535">
        <v>0.99957790000000002</v>
      </c>
      <c r="Y5535">
        <v>-0.1075586</v>
      </c>
      <c r="Z5535">
        <v>6.467154E-2</v>
      </c>
      <c r="AA5535">
        <v>0.99209309999999995</v>
      </c>
      <c r="AB5535">
        <v>21</v>
      </c>
      <c r="AC5535">
        <v>1.5192999999999801</v>
      </c>
      <c r="AD5535">
        <v>-1.108952998141</v>
      </c>
      <c r="AE5535">
        <v>-16.817209999999999</v>
      </c>
      <c r="AF5535">
        <v>-1.8350887481190701</v>
      </c>
      <c r="AG5535">
        <v>-1.108952998141</v>
      </c>
      <c r="AH5535">
        <v>16.712735917265199</v>
      </c>
      <c r="AI5535">
        <v>93.773612119560298</v>
      </c>
      <c r="AJ5535">
        <v>96.266078875403906</v>
      </c>
      <c r="AK5535">
        <v>16.849714220300701</v>
      </c>
      <c r="AL5535">
        <v>88.534688541218202</v>
      </c>
      <c r="AM5535">
        <v>89.210007713275601</v>
      </c>
      <c r="AN5535">
        <v>0.99999993133624199</v>
      </c>
    </row>
    <row r="5536" spans="1:40" x14ac:dyDescent="0.25">
      <c r="A5536" t="str">
        <f>"20190312160757463"</f>
        <v>20190312160757463</v>
      </c>
      <c r="B5536" t="str">
        <f>"1552378077450525"</f>
        <v>1552378077450525</v>
      </c>
      <c r="C5536" t="s">
        <v>40</v>
      </c>
      <c r="D5536">
        <v>5.8678080000000001</v>
      </c>
      <c r="E5536">
        <v>0.45311400000000002</v>
      </c>
      <c r="F5536" t="s">
        <v>47</v>
      </c>
      <c r="G5536">
        <v>-418.74299999999999</v>
      </c>
      <c r="H5536" s="1">
        <v>-3.8552430000000001E-6</v>
      </c>
      <c r="I5536">
        <v>78.099699999999999</v>
      </c>
      <c r="J5536">
        <v>-420.28550000000001</v>
      </c>
      <c r="K5536">
        <v>1.1089290000000001</v>
      </c>
      <c r="L5536">
        <v>95.044219999999996</v>
      </c>
      <c r="M5536">
        <v>-2.0952309999999998E-2</v>
      </c>
      <c r="N5536">
        <v>0</v>
      </c>
      <c r="O5536">
        <v>-0.99968789999999996</v>
      </c>
      <c r="P5536">
        <v>-3.4047550000000003E-2</v>
      </c>
      <c r="Q5536">
        <v>1.308028E-2</v>
      </c>
      <c r="R5536">
        <v>-0.99933479999999997</v>
      </c>
      <c r="S5536">
        <v>0.26980589999999999</v>
      </c>
      <c r="T5536">
        <v>-0.1947488</v>
      </c>
      <c r="U5536">
        <v>-3.0130919999999999</v>
      </c>
      <c r="V5536">
        <v>1.316959E-2</v>
      </c>
      <c r="W5536">
        <v>2.6659490000000001E-2</v>
      </c>
      <c r="X5536">
        <v>0.99955780000000005</v>
      </c>
      <c r="Y5536">
        <v>-0.10985499999999999</v>
      </c>
      <c r="Z5536">
        <v>6.4155320000000002E-2</v>
      </c>
      <c r="AA5536">
        <v>0.99187499999999995</v>
      </c>
      <c r="AB5536">
        <v>21</v>
      </c>
      <c r="AC5536">
        <v>1.54249999999996</v>
      </c>
      <c r="AD5536">
        <v>-1.108932855243</v>
      </c>
      <c r="AE5536">
        <v>-16.944519999999901</v>
      </c>
      <c r="AF5536">
        <v>-1.8891960239846499</v>
      </c>
      <c r="AG5536">
        <v>-1.108932855243</v>
      </c>
      <c r="AH5536">
        <v>16.8369570090236</v>
      </c>
      <c r="AI5536">
        <v>93.744798307288704</v>
      </c>
      <c r="AJ5536">
        <v>96.402112860785905</v>
      </c>
      <c r="AK5536">
        <v>16.9788667177225</v>
      </c>
      <c r="AL5536">
        <v>88.472342715345505</v>
      </c>
      <c r="AM5536">
        <v>89.245147936821297</v>
      </c>
      <c r="AN5536">
        <v>0.99999998102433396</v>
      </c>
    </row>
    <row r="5537" spans="1:40" x14ac:dyDescent="0.25">
      <c r="A5537" t="str">
        <f>"20190312160757485"</f>
        <v>20190312160757485</v>
      </c>
      <c r="B5537" t="str">
        <f>"1552378077480782"</f>
        <v>1552378077480782</v>
      </c>
      <c r="C5537" t="s">
        <v>40</v>
      </c>
      <c r="D5537">
        <v>5.8795320000000002</v>
      </c>
      <c r="E5537">
        <v>0.452428</v>
      </c>
      <c r="F5537" t="s">
        <v>47</v>
      </c>
      <c r="G5537">
        <v>-418.72590000000002</v>
      </c>
      <c r="H5537" s="1">
        <v>-3.6724650000000001E-6</v>
      </c>
      <c r="I5537">
        <v>77.666529999999995</v>
      </c>
      <c r="J5537">
        <v>-420.29199999999997</v>
      </c>
      <c r="K5537">
        <v>1.1089359999999999</v>
      </c>
      <c r="L5537">
        <v>94.830569999999994</v>
      </c>
      <c r="M5537">
        <v>-2.2669189999999999E-2</v>
      </c>
      <c r="N5537">
        <v>0</v>
      </c>
      <c r="O5537">
        <v>-0.99965040000000005</v>
      </c>
      <c r="P5537">
        <v>-3.5088710000000002E-2</v>
      </c>
      <c r="Q5537">
        <v>1.31085E-2</v>
      </c>
      <c r="R5537">
        <v>-0.99929840000000003</v>
      </c>
      <c r="S5537">
        <v>0.27047729999999998</v>
      </c>
      <c r="T5537">
        <v>-0.19231709999999999</v>
      </c>
      <c r="U5537">
        <v>-3.0137330000000002</v>
      </c>
      <c r="V5537">
        <v>1.249406E-2</v>
      </c>
      <c r="W5537">
        <v>2.6688569999999998E-2</v>
      </c>
      <c r="X5537">
        <v>0.9995657</v>
      </c>
      <c r="Y5537">
        <v>-0.1117669</v>
      </c>
      <c r="Z5537">
        <v>6.3333180000000003E-2</v>
      </c>
      <c r="AA5537">
        <v>0.99171419999999999</v>
      </c>
      <c r="AB5537">
        <v>21</v>
      </c>
      <c r="AC5537">
        <v>1.5660999999999401</v>
      </c>
      <c r="AD5537">
        <v>-1.108939672465</v>
      </c>
      <c r="AE5537">
        <v>-17.1640399999999</v>
      </c>
      <c r="AF5537">
        <v>-1.9467692113481201</v>
      </c>
      <c r="AG5537">
        <v>-1.108939672465</v>
      </c>
      <c r="AH5537">
        <v>17.053525216743399</v>
      </c>
      <c r="AI5537">
        <v>93.696593501261702</v>
      </c>
      <c r="AJ5537">
        <v>96.512488555473496</v>
      </c>
      <c r="AK5537">
        <v>17.200069182347001</v>
      </c>
      <c r="AL5537">
        <v>88.470675967009598</v>
      </c>
      <c r="AM5537">
        <v>89.283869355145995</v>
      </c>
      <c r="AN5537">
        <v>0.99999998496020903</v>
      </c>
    </row>
    <row r="5538" spans="1:40" x14ac:dyDescent="0.25">
      <c r="A5538" t="str">
        <f>"20190312160757507"</f>
        <v>20190312160757507</v>
      </c>
      <c r="B5538" t="str">
        <f>"1552378077501267"</f>
        <v>1552378077501267</v>
      </c>
      <c r="C5538" t="s">
        <v>40</v>
      </c>
      <c r="D5538">
        <v>5.9301949999999897</v>
      </c>
      <c r="E5538">
        <v>0.4518414</v>
      </c>
      <c r="F5538" t="s">
        <v>47</v>
      </c>
      <c r="G5538">
        <v>-418.72320000000002</v>
      </c>
      <c r="H5538" s="1">
        <v>-3.6240189999999998E-6</v>
      </c>
      <c r="I5538">
        <v>77.552509999999998</v>
      </c>
      <c r="J5538">
        <v>-420.2987</v>
      </c>
      <c r="K5538">
        <v>1.108951</v>
      </c>
      <c r="L5538">
        <v>94.619259999999997</v>
      </c>
      <c r="M5538">
        <v>-2.4370119999999999E-2</v>
      </c>
      <c r="N5538">
        <v>0</v>
      </c>
      <c r="O5538">
        <v>-0.99961049999999996</v>
      </c>
      <c r="P5538">
        <v>-3.5720370000000001E-2</v>
      </c>
      <c r="Q5538">
        <v>1.3760649999999999E-2</v>
      </c>
      <c r="R5538">
        <v>-0.99926729999999997</v>
      </c>
      <c r="S5538">
        <v>0.27368160000000002</v>
      </c>
      <c r="T5538">
        <v>-0.19346060000000001</v>
      </c>
      <c r="U5538">
        <v>-3.0142519999999999</v>
      </c>
      <c r="V5538">
        <v>1.142578E-2</v>
      </c>
      <c r="W5538">
        <v>2.7342080000000001E-2</v>
      </c>
      <c r="X5538">
        <v>0.99956080000000003</v>
      </c>
      <c r="Y5538">
        <v>-0.1144859</v>
      </c>
      <c r="Z5538">
        <v>6.3680570000000006E-2</v>
      </c>
      <c r="AA5538">
        <v>0.99138179999999998</v>
      </c>
      <c r="AB5538">
        <v>21</v>
      </c>
      <c r="AC5538">
        <v>1.5754999999999699</v>
      </c>
      <c r="AD5538">
        <v>-1.108954624019</v>
      </c>
      <c r="AE5538">
        <v>-17.066749999999999</v>
      </c>
      <c r="AF5538">
        <v>-1.9826888831059</v>
      </c>
      <c r="AG5538">
        <v>-1.108954624019</v>
      </c>
      <c r="AH5538">
        <v>16.952312502370599</v>
      </c>
      <c r="AI5538">
        <v>93.717468027548406</v>
      </c>
      <c r="AJ5538">
        <v>96.6708268899243</v>
      </c>
      <c r="AK5538">
        <v>17.103851459345499</v>
      </c>
      <c r="AL5538">
        <v>88.433218899075001</v>
      </c>
      <c r="AM5538">
        <v>89.345091903326505</v>
      </c>
      <c r="AN5538">
        <v>0.99999996534198599</v>
      </c>
    </row>
    <row r="5539" spans="1:40" x14ac:dyDescent="0.25">
      <c r="A5539" t="str">
        <f>"20190312160757529"</f>
        <v>20190312160757529</v>
      </c>
      <c r="B5539" t="str">
        <f>"1552378077520784"</f>
        <v>1552378077520784</v>
      </c>
      <c r="C5539" t="s">
        <v>40</v>
      </c>
      <c r="D5539">
        <v>6.1277460000000001</v>
      </c>
      <c r="E5539">
        <v>0.45202880000000001</v>
      </c>
      <c r="F5539" t="s">
        <v>47</v>
      </c>
      <c r="G5539">
        <v>-418.68270000000001</v>
      </c>
      <c r="H5539" s="1">
        <v>-3.3947490000000002E-6</v>
      </c>
      <c r="I5539">
        <v>77.001350000000002</v>
      </c>
      <c r="J5539">
        <v>-420.30590000000001</v>
      </c>
      <c r="K5539">
        <v>1.1089789999999999</v>
      </c>
      <c r="L5539">
        <v>94.408289999999994</v>
      </c>
      <c r="M5539">
        <v>-2.6058669999999999E-2</v>
      </c>
      <c r="N5539">
        <v>0</v>
      </c>
      <c r="O5539">
        <v>-0.99956789999999995</v>
      </c>
      <c r="P5539">
        <v>-3.6005849999999999E-2</v>
      </c>
      <c r="Q5539">
        <v>1.4638099999999999E-2</v>
      </c>
      <c r="R5539">
        <v>-0.99924449999999998</v>
      </c>
      <c r="S5539">
        <v>0.27651979999999998</v>
      </c>
      <c r="T5539">
        <v>-0.18975810000000001</v>
      </c>
      <c r="U5539">
        <v>-3.0146790000000001</v>
      </c>
      <c r="V5539">
        <v>1.002365E-2</v>
      </c>
      <c r="W5539">
        <v>2.82215E-2</v>
      </c>
      <c r="X5539">
        <v>0.99955139999999998</v>
      </c>
      <c r="Y5539">
        <v>-0.1170837</v>
      </c>
      <c r="Z5539">
        <v>6.2441730000000001E-2</v>
      </c>
      <c r="AA5539">
        <v>0.99115710000000001</v>
      </c>
      <c r="AB5539">
        <v>21</v>
      </c>
      <c r="AC5539">
        <v>1.62319999999999</v>
      </c>
      <c r="AD5539">
        <v>-1.1089823947490001</v>
      </c>
      <c r="AE5539">
        <v>-17.406939999999999</v>
      </c>
      <c r="AF5539">
        <v>-2.0679710898213202</v>
      </c>
      <c r="AG5539">
        <v>-1.1089823947490001</v>
      </c>
      <c r="AH5539">
        <v>17.2891560523701</v>
      </c>
      <c r="AI5539">
        <v>93.644203714567297</v>
      </c>
      <c r="AJ5539">
        <v>96.820793696257695</v>
      </c>
      <c r="AK5539">
        <v>17.447672147980299</v>
      </c>
      <c r="AL5539">
        <v>88.382812382667197</v>
      </c>
      <c r="AM5539">
        <v>89.425448666481103</v>
      </c>
      <c r="AN5539">
        <v>0.99999996393176505</v>
      </c>
    </row>
    <row r="5540" spans="1:40" x14ac:dyDescent="0.25">
      <c r="A5540" t="str">
        <f>"20190312160757552"</f>
        <v>20190312160757552</v>
      </c>
      <c r="B5540" t="str">
        <f>"1552378077541281"</f>
        <v>1552378077541281</v>
      </c>
      <c r="C5540" t="s">
        <v>40</v>
      </c>
      <c r="D5540">
        <v>6.0709569999999999</v>
      </c>
      <c r="E5540">
        <v>0.48523579999999999</v>
      </c>
      <c r="F5540" t="s">
        <v>47</v>
      </c>
      <c r="G5540">
        <v>-418.66649999999998</v>
      </c>
      <c r="H5540" s="1">
        <v>-3.1240270000000002E-6</v>
      </c>
      <c r="I5540">
        <v>76.363590000000002</v>
      </c>
      <c r="J5540">
        <v>-420.3134</v>
      </c>
      <c r="K5540">
        <v>1.1090009999999999</v>
      </c>
      <c r="L5540">
        <v>94.196349999999995</v>
      </c>
      <c r="M5540">
        <v>-2.773722E-2</v>
      </c>
      <c r="N5540">
        <v>0</v>
      </c>
      <c r="O5540">
        <v>-0.99952269999999999</v>
      </c>
      <c r="P5540">
        <v>-3.7376619999999999E-2</v>
      </c>
      <c r="Q5540">
        <v>1.4208230000000001E-2</v>
      </c>
      <c r="R5540">
        <v>-0.99920039999999999</v>
      </c>
      <c r="S5540">
        <v>0.27389530000000001</v>
      </c>
      <c r="T5540">
        <v>-0.1852858</v>
      </c>
      <c r="U5540">
        <v>-3.0148619999999999</v>
      </c>
      <c r="V5540">
        <v>9.7134930000000001E-3</v>
      </c>
      <c r="W5540">
        <v>2.7791570000000002E-2</v>
      </c>
      <c r="X5540">
        <v>0.99956659999999997</v>
      </c>
      <c r="Y5540">
        <v>-0.1178984</v>
      </c>
      <c r="Z5540">
        <v>6.096729E-2</v>
      </c>
      <c r="AA5540">
        <v>0.99115229999999999</v>
      </c>
      <c r="AB5540">
        <v>21</v>
      </c>
      <c r="AC5540">
        <v>1.64690000000001</v>
      </c>
      <c r="AD5540">
        <v>-1.1090041240270001</v>
      </c>
      <c r="AE5540">
        <v>-17.832759999999901</v>
      </c>
      <c r="AF5540">
        <v>-2.1327644991680401</v>
      </c>
      <c r="AG5540">
        <v>-1.1090041240270001</v>
      </c>
      <c r="AH5540">
        <v>17.712290117620199</v>
      </c>
      <c r="AI5540">
        <v>93.557105972268403</v>
      </c>
      <c r="AJ5540">
        <v>96.8660182371856</v>
      </c>
      <c r="AK5540">
        <v>17.874669109294501</v>
      </c>
      <c r="AL5540">
        <v>88.4074553706118</v>
      </c>
      <c r="AM5540">
        <v>89.443234062213904</v>
      </c>
      <c r="AN5540">
        <v>1.00000005557244</v>
      </c>
    </row>
    <row r="5541" spans="1:40" x14ac:dyDescent="0.25">
      <c r="A5541" t="str">
        <f>"20190312160757573"</f>
        <v>20190312160757573</v>
      </c>
      <c r="B5541" t="str">
        <f>"1552378077560800"</f>
        <v>1552378077560800</v>
      </c>
      <c r="C5541" t="s">
        <v>40</v>
      </c>
      <c r="D5541">
        <v>6.0082760000000004</v>
      </c>
      <c r="E5541">
        <v>0.48852040000000002</v>
      </c>
      <c r="F5541" t="s">
        <v>47</v>
      </c>
      <c r="G5541">
        <v>-420.267</v>
      </c>
      <c r="H5541" s="1">
        <v>-2.9810879999999998E-6</v>
      </c>
      <c r="I5541">
        <v>66.372469999999893</v>
      </c>
      <c r="J5541">
        <v>-420.3211</v>
      </c>
      <c r="K5541">
        <v>1.1090169999999999</v>
      </c>
      <c r="L5541">
        <v>93.988280000000003</v>
      </c>
      <c r="M5541">
        <v>-2.9365430000000001E-2</v>
      </c>
      <c r="N5541">
        <v>0</v>
      </c>
      <c r="O5541">
        <v>-0.99947629999999998</v>
      </c>
      <c r="P5541">
        <v>-3.9426650000000001E-2</v>
      </c>
      <c r="Q5541">
        <v>1.3595950000000001E-2</v>
      </c>
      <c r="R5541">
        <v>-0.99913050000000003</v>
      </c>
      <c r="S5541">
        <v>5.0048829999999999E-3</v>
      </c>
      <c r="T5541">
        <v>-0.1197443</v>
      </c>
      <c r="U5541">
        <v>-3.0042719999999998</v>
      </c>
      <c r="V5541">
        <v>1.0133079999999999E-2</v>
      </c>
      <c r="W5541">
        <v>2.7176200000000001E-2</v>
      </c>
      <c r="X5541">
        <v>0.99957929999999995</v>
      </c>
      <c r="Y5541">
        <v>-3.1031980000000001E-2</v>
      </c>
      <c r="Z5541">
        <v>3.9791E-2</v>
      </c>
      <c r="AA5541">
        <v>0.998726</v>
      </c>
      <c r="AB5541">
        <v>21</v>
      </c>
      <c r="AC5541">
        <v>5.4100000000005297E-2</v>
      </c>
      <c r="AD5541">
        <v>-1.1090199810879999</v>
      </c>
      <c r="AE5541">
        <v>-27.61581</v>
      </c>
      <c r="AF5541">
        <v>-0.86370881259277499</v>
      </c>
      <c r="AG5541">
        <v>-1.1090199810879999</v>
      </c>
      <c r="AH5541">
        <v>27.557866083144301</v>
      </c>
      <c r="AI5541">
        <v>92.303398942298898</v>
      </c>
      <c r="AJ5541">
        <v>91.795156252524293</v>
      </c>
      <c r="AK5541">
        <v>27.593693143323801</v>
      </c>
      <c r="AL5541">
        <v>88.442726712054196</v>
      </c>
      <c r="AM5541">
        <v>89.419192823734207</v>
      </c>
      <c r="AN5541">
        <v>1.0000000010726</v>
      </c>
    </row>
    <row r="5542" spans="1:40" x14ac:dyDescent="0.25">
      <c r="A5542" t="str">
        <f>"20190312160757597"</f>
        <v>20190312160757597</v>
      </c>
      <c r="B5542" t="str">
        <f>"1552378077591056"</f>
        <v>1552378077591056</v>
      </c>
      <c r="C5542" t="s">
        <v>40</v>
      </c>
      <c r="D5542">
        <v>6.0190149999999996</v>
      </c>
      <c r="E5542">
        <v>0.48977140000000002</v>
      </c>
      <c r="F5542" t="s">
        <v>47</v>
      </c>
      <c r="G5542">
        <v>-420.58019999999999</v>
      </c>
      <c r="H5542" s="1">
        <v>-2.606224E-6</v>
      </c>
      <c r="I5542">
        <v>65.304400000000001</v>
      </c>
      <c r="J5542">
        <v>-420.3297</v>
      </c>
      <c r="K5542">
        <v>1.1090329999999999</v>
      </c>
      <c r="L5542">
        <v>93.765590000000003</v>
      </c>
      <c r="M5542">
        <v>-3.1088109999999999E-2</v>
      </c>
      <c r="N5542">
        <v>0</v>
      </c>
      <c r="O5542">
        <v>-0.99942450000000005</v>
      </c>
      <c r="P5542">
        <v>-4.179248E-2</v>
      </c>
      <c r="Q5542">
        <v>1.2976990000000001E-2</v>
      </c>
      <c r="R5542">
        <v>-0.99904250000000006</v>
      </c>
      <c r="S5542">
        <v>-2.7130129999999999E-2</v>
      </c>
      <c r="T5542">
        <v>-0.1161109</v>
      </c>
      <c r="U5542">
        <v>-3.0031129999999999</v>
      </c>
      <c r="V5542">
        <v>1.077445E-2</v>
      </c>
      <c r="W5542">
        <v>2.6551769999999999E-2</v>
      </c>
      <c r="X5542">
        <v>0.99958939999999996</v>
      </c>
      <c r="Y5542">
        <v>-2.2067179999999999E-2</v>
      </c>
      <c r="Z5542">
        <v>3.8601169999999997E-2</v>
      </c>
      <c r="AA5542">
        <v>0.99901099999999998</v>
      </c>
      <c r="AB5542">
        <v>21</v>
      </c>
      <c r="AC5542">
        <v>-0.25049999999998801</v>
      </c>
      <c r="AD5542">
        <v>-1.1090356062240001</v>
      </c>
      <c r="AE5542">
        <v>-28.461189999999998</v>
      </c>
      <c r="AF5542">
        <v>-0.63354531068922204</v>
      </c>
      <c r="AG5542">
        <v>-1.1090356062240001</v>
      </c>
      <c r="AH5542">
        <v>28.412081546354401</v>
      </c>
      <c r="AI5542">
        <v>92.234790469009596</v>
      </c>
      <c r="AJ5542">
        <v>91.277395247651697</v>
      </c>
      <c r="AK5542">
        <v>28.4407756123714</v>
      </c>
      <c r="AL5542">
        <v>88.478516872272493</v>
      </c>
      <c r="AM5542">
        <v>89.382439824560393</v>
      </c>
      <c r="AN5542">
        <v>1.0000000269276399</v>
      </c>
    </row>
    <row r="5543" spans="1:40" x14ac:dyDescent="0.25">
      <c r="A5543" t="str">
        <f>"20190312160757619"</f>
        <v>20190312160757619</v>
      </c>
      <c r="B5543" t="str">
        <f>"1552378077610575"</f>
        <v>1552378077610575</v>
      </c>
      <c r="C5543" t="s">
        <v>40</v>
      </c>
      <c r="D5543">
        <v>5.9882580000000001</v>
      </c>
      <c r="E5543">
        <v>0.4899772</v>
      </c>
      <c r="F5543" t="s">
        <v>47</v>
      </c>
      <c r="G5543">
        <v>-420.75580000000002</v>
      </c>
      <c r="H5543" s="1">
        <v>-2.442479E-6</v>
      </c>
      <c r="I5543">
        <v>64.813800000000001</v>
      </c>
      <c r="J5543">
        <v>-420.3381</v>
      </c>
      <c r="K5543">
        <v>1.1090390000000001</v>
      </c>
      <c r="L5543">
        <v>93.558199999999999</v>
      </c>
      <c r="M5543">
        <v>-3.2681849999999998E-2</v>
      </c>
      <c r="N5543">
        <v>0</v>
      </c>
      <c r="O5543">
        <v>-0.99937359999999997</v>
      </c>
      <c r="P5543">
        <v>-4.3286230000000002E-2</v>
      </c>
      <c r="Q5543">
        <v>1.322833E-2</v>
      </c>
      <c r="R5543">
        <v>-0.99897550000000002</v>
      </c>
      <c r="S5543">
        <v>-4.4189449999999998E-2</v>
      </c>
      <c r="T5543">
        <v>-0.1150159</v>
      </c>
      <c r="U5543">
        <v>-3.0025330000000001</v>
      </c>
      <c r="V5543">
        <v>1.067483E-2</v>
      </c>
      <c r="W5543">
        <v>2.6797729999999999E-2</v>
      </c>
      <c r="X5543">
        <v>0.99958389999999997</v>
      </c>
      <c r="Y5543">
        <v>-1.7984150000000001E-2</v>
      </c>
      <c r="Z5543">
        <v>3.8242369999999998E-2</v>
      </c>
      <c r="AA5543">
        <v>0.99910659999999896</v>
      </c>
      <c r="AB5543">
        <v>21</v>
      </c>
      <c r="AC5543">
        <v>-0.417700000000024</v>
      </c>
      <c r="AD5543">
        <v>-1.1090414424789901</v>
      </c>
      <c r="AE5543">
        <v>-28.744399999999999</v>
      </c>
      <c r="AF5543">
        <v>-0.52125413001554699</v>
      </c>
      <c r="AG5543">
        <v>-1.1090414424789901</v>
      </c>
      <c r="AH5543">
        <v>28.6999796838751</v>
      </c>
      <c r="AI5543">
        <v>92.212591510648593</v>
      </c>
      <c r="AJ5543">
        <v>91.040501728800805</v>
      </c>
      <c r="AK5543">
        <v>28.7261294407033</v>
      </c>
      <c r="AL5543">
        <v>88.464419378339102</v>
      </c>
      <c r="AM5543">
        <v>89.388145951141297</v>
      </c>
      <c r="AN5543">
        <v>1.00000002173394</v>
      </c>
    </row>
    <row r="5544" spans="1:40" x14ac:dyDescent="0.25">
      <c r="A5544" t="str">
        <f>"20190312160757640"</f>
        <v>20190312160757640</v>
      </c>
      <c r="B5544" t="str">
        <f>"1552378077631072"</f>
        <v>1552378077631072</v>
      </c>
      <c r="C5544" t="s">
        <v>40</v>
      </c>
      <c r="D5544">
        <v>6.03756</v>
      </c>
      <c r="E5544">
        <v>0.49012519999999998</v>
      </c>
      <c r="F5544" t="s">
        <v>47</v>
      </c>
      <c r="G5544">
        <v>-420.8372</v>
      </c>
      <c r="H5544" s="1">
        <v>-2.0457709999999998E-6</v>
      </c>
      <c r="I5544">
        <v>63.838630000000002</v>
      </c>
      <c r="J5544">
        <v>-420.34679999999997</v>
      </c>
      <c r="K5544">
        <v>1.109048</v>
      </c>
      <c r="L5544">
        <v>93.351349999999996</v>
      </c>
      <c r="M5544">
        <v>-3.4266159999999997E-2</v>
      </c>
      <c r="N5544">
        <v>0</v>
      </c>
      <c r="O5544">
        <v>-0.99932030000000005</v>
      </c>
      <c r="P5544">
        <v>-4.5397979999999998E-2</v>
      </c>
      <c r="Q5544">
        <v>1.3103210000000001E-2</v>
      </c>
      <c r="R5544">
        <v>-0.99888310000000002</v>
      </c>
      <c r="S5544">
        <v>-5.0415040000000001E-2</v>
      </c>
      <c r="T5544">
        <v>-0.1120394</v>
      </c>
      <c r="U5544">
        <v>-3.00238</v>
      </c>
      <c r="V5544">
        <v>1.120236E-2</v>
      </c>
      <c r="W5544">
        <v>2.6664259999999999E-2</v>
      </c>
      <c r="X5544">
        <v>0.99958170000000002</v>
      </c>
      <c r="Y5544">
        <v>-1.7496689999999999E-2</v>
      </c>
      <c r="Z5544">
        <v>3.7252590000000002E-2</v>
      </c>
      <c r="AA5544">
        <v>0.9991527</v>
      </c>
      <c r="AB5544">
        <v>21</v>
      </c>
      <c r="AC5544">
        <v>-0.49040000000002198</v>
      </c>
      <c r="AD5544">
        <v>-1.109050045771</v>
      </c>
      <c r="AE5544">
        <v>-29.512719999999899</v>
      </c>
      <c r="AF5544">
        <v>-0.520534195150404</v>
      </c>
      <c r="AG5544">
        <v>-1.109050045771</v>
      </c>
      <c r="AH5544">
        <v>29.4705852285018</v>
      </c>
      <c r="AI5544">
        <v>92.154827233671696</v>
      </c>
      <c r="AJ5544">
        <v>91.011900894553705</v>
      </c>
      <c r="AK5544">
        <v>29.4960394216365</v>
      </c>
      <c r="AL5544">
        <v>88.472069384952107</v>
      </c>
      <c r="AM5544">
        <v>89.357910334871704</v>
      </c>
      <c r="AN5544">
        <v>1.0000000253029</v>
      </c>
    </row>
    <row r="5545" spans="1:40" x14ac:dyDescent="0.25">
      <c r="A5545" t="str">
        <f>"20190312160757663"</f>
        <v>20190312160757663</v>
      </c>
      <c r="B5545" t="str">
        <f>"1552378077650593"</f>
        <v>1552378077650593</v>
      </c>
      <c r="C5545" t="s">
        <v>40</v>
      </c>
      <c r="D5545">
        <v>6.0384549999999999</v>
      </c>
      <c r="E5545">
        <v>0.4900928</v>
      </c>
      <c r="F5545" t="s">
        <v>47</v>
      </c>
      <c r="G5545">
        <v>-420.92239999999998</v>
      </c>
      <c r="H5545" s="1">
        <v>-1.917159E-6</v>
      </c>
      <c r="I5545">
        <v>63.485959999999999</v>
      </c>
      <c r="J5545">
        <v>-420.35579999999999</v>
      </c>
      <c r="K5545">
        <v>1.1090599999999999</v>
      </c>
      <c r="L5545">
        <v>93.142330000000001</v>
      </c>
      <c r="M5545">
        <v>-3.5866059999999998E-2</v>
      </c>
      <c r="N5545">
        <v>0</v>
      </c>
      <c r="O5545">
        <v>-0.99926459999999995</v>
      </c>
      <c r="P5545">
        <v>-4.7279670000000003E-2</v>
      </c>
      <c r="Q5545">
        <v>1.2742079999999999E-2</v>
      </c>
      <c r="R5545">
        <v>-0.99880060000000004</v>
      </c>
      <c r="S5545">
        <v>-5.7861330000000002E-2</v>
      </c>
      <c r="T5545">
        <v>-0.1114864</v>
      </c>
      <c r="U5545">
        <v>-3.0021969999999998</v>
      </c>
      <c r="V5545">
        <v>1.148357E-2</v>
      </c>
      <c r="W5545">
        <v>2.6289119999999999E-2</v>
      </c>
      <c r="X5545">
        <v>0.99958840000000004</v>
      </c>
      <c r="Y5545">
        <v>-1.6618939999999999E-2</v>
      </c>
      <c r="Z5545">
        <v>3.7067559999999999E-2</v>
      </c>
      <c r="AA5545">
        <v>0.99917449999999997</v>
      </c>
      <c r="AB5545">
        <v>21</v>
      </c>
      <c r="AC5545">
        <v>-0.566599999999994</v>
      </c>
      <c r="AD5545">
        <v>-1.1090619171589999</v>
      </c>
      <c r="AE5545">
        <v>-29.656369999999999</v>
      </c>
      <c r="AF5545">
        <v>-0.49682499149456499</v>
      </c>
      <c r="AG5545">
        <v>-1.1090619171589999</v>
      </c>
      <c r="AH5545">
        <v>29.616204932569701</v>
      </c>
      <c r="AI5545">
        <v>92.144297748992798</v>
      </c>
      <c r="AJ5545">
        <v>90.961072001934497</v>
      </c>
      <c r="AK5545">
        <v>29.6411276441405</v>
      </c>
      <c r="AL5545">
        <v>88.493570792467906</v>
      </c>
      <c r="AM5545">
        <v>89.341797933072201</v>
      </c>
      <c r="AN5545">
        <v>0.99999997981243904</v>
      </c>
    </row>
    <row r="5546" spans="1:40" x14ac:dyDescent="0.25">
      <c r="A5546" t="str">
        <f>"20190312160757686"</f>
        <v>20190312160757686</v>
      </c>
      <c r="B5546" t="str">
        <f>"1552378077680847"</f>
        <v>1552378077680847</v>
      </c>
      <c r="C5546" t="s">
        <v>40</v>
      </c>
      <c r="D5546">
        <v>6.0427989999999996</v>
      </c>
      <c r="E5546">
        <v>0.49045369999999999</v>
      </c>
      <c r="F5546" t="s">
        <v>47</v>
      </c>
      <c r="G5546">
        <v>-420.9769</v>
      </c>
      <c r="H5546" s="1">
        <v>-2.0347920000000002E-6</v>
      </c>
      <c r="I5546">
        <v>63.72634</v>
      </c>
      <c r="J5546">
        <v>-420.36540000000002</v>
      </c>
      <c r="K5546">
        <v>1.1090679999999999</v>
      </c>
      <c r="L5546">
        <v>92.930599999999998</v>
      </c>
      <c r="M5546">
        <v>-3.7485560000000001E-2</v>
      </c>
      <c r="N5546">
        <v>0</v>
      </c>
      <c r="O5546">
        <v>-0.99920520000000002</v>
      </c>
      <c r="P5546">
        <v>-4.8754270000000002E-2</v>
      </c>
      <c r="Q5546">
        <v>1.248703E-2</v>
      </c>
      <c r="R5546">
        <v>-0.99873259999999997</v>
      </c>
      <c r="S5546">
        <v>-6.3385010000000006E-2</v>
      </c>
      <c r="T5546">
        <v>-0.1131852</v>
      </c>
      <c r="U5546">
        <v>-3.0020449999999999</v>
      </c>
      <c r="V5546">
        <v>1.1338040000000001E-2</v>
      </c>
      <c r="W5546">
        <v>2.601885E-2</v>
      </c>
      <c r="X5546">
        <v>0.99959710000000002</v>
      </c>
      <c r="Y5546">
        <v>-1.6401209999999999E-2</v>
      </c>
      <c r="Z5546">
        <v>3.7629500000000003E-2</v>
      </c>
      <c r="AA5546">
        <v>0.99915710000000002</v>
      </c>
      <c r="AB5546">
        <v>21</v>
      </c>
      <c r="AC5546">
        <v>-0.61149999999997795</v>
      </c>
      <c r="AD5546">
        <v>-1.1090700347919999</v>
      </c>
      <c r="AE5546">
        <v>-29.204260000000001</v>
      </c>
      <c r="AF5546">
        <v>-0.48307213992935399</v>
      </c>
      <c r="AG5546">
        <v>-1.1090700347919999</v>
      </c>
      <c r="AH5546">
        <v>29.164612329984699</v>
      </c>
      <c r="AI5546">
        <v>92.177492508134804</v>
      </c>
      <c r="AJ5546">
        <v>90.9489398909421</v>
      </c>
      <c r="AK5546">
        <v>29.1896900873021</v>
      </c>
      <c r="AL5546">
        <v>88.509061373191798</v>
      </c>
      <c r="AM5546">
        <v>89.350144189982601</v>
      </c>
      <c r="AN5546">
        <v>0.99999994701738504</v>
      </c>
    </row>
    <row r="5547" spans="1:40" x14ac:dyDescent="0.25">
      <c r="A5547" t="str">
        <f>"20190312160757708"</f>
        <v>20190312160757708</v>
      </c>
      <c r="B5547" t="str">
        <f>"1552378077700874"</f>
        <v>1552378077700874</v>
      </c>
      <c r="C5547" t="s">
        <v>40</v>
      </c>
      <c r="D5547">
        <v>6.0709379999999999</v>
      </c>
      <c r="E5547">
        <v>0.49052119999999999</v>
      </c>
      <c r="F5547" t="s">
        <v>47</v>
      </c>
      <c r="G5547">
        <v>-421.04239999999999</v>
      </c>
      <c r="H5547" s="1">
        <v>-2.2568900000000001E-6</v>
      </c>
      <c r="I5547">
        <v>64.203450000000004</v>
      </c>
      <c r="J5547">
        <v>-420.37520000000001</v>
      </c>
      <c r="K5547">
        <v>1.109076</v>
      </c>
      <c r="L5547">
        <v>92.719849999999994</v>
      </c>
      <c r="M5547">
        <v>-3.9096140000000001E-2</v>
      </c>
      <c r="N5547">
        <v>0</v>
      </c>
      <c r="O5547">
        <v>-0.99914380000000003</v>
      </c>
      <c r="P5547">
        <v>-4.961985E-2</v>
      </c>
      <c r="Q5547">
        <v>1.251093E-2</v>
      </c>
      <c r="R5547">
        <v>-0.99868979999999996</v>
      </c>
      <c r="S5547">
        <v>-7.0739750000000004E-2</v>
      </c>
      <c r="T5547">
        <v>-0.1158906</v>
      </c>
      <c r="U5547">
        <v>-3.0018009999999999</v>
      </c>
      <c r="V5547">
        <v>1.059247E-2</v>
      </c>
      <c r="W5547">
        <v>2.602933E-2</v>
      </c>
      <c r="X5547">
        <v>0.99960510000000002</v>
      </c>
      <c r="Y5547">
        <v>-1.556515E-2</v>
      </c>
      <c r="Z5547">
        <v>3.8526390000000001E-2</v>
      </c>
      <c r="AA5547">
        <v>0.99913629999999998</v>
      </c>
      <c r="AB5547">
        <v>21</v>
      </c>
      <c r="AC5547">
        <v>-0.66719999999997903</v>
      </c>
      <c r="AD5547">
        <v>-1.1090782568899999</v>
      </c>
      <c r="AE5547">
        <v>-28.516399999999901</v>
      </c>
      <c r="AF5547">
        <v>-0.44761676800025302</v>
      </c>
      <c r="AG5547">
        <v>-1.1090782568899999</v>
      </c>
      <c r="AH5547">
        <v>28.477628455904899</v>
      </c>
      <c r="AI5547">
        <v>92.230016040125093</v>
      </c>
      <c r="AJ5547">
        <v>90.900511779156503</v>
      </c>
      <c r="AK5547">
        <v>28.502732111562</v>
      </c>
      <c r="AL5547">
        <v>88.508460850454696</v>
      </c>
      <c r="AM5547">
        <v>89.3928791370478</v>
      </c>
      <c r="AN5547">
        <v>1.00000004119347</v>
      </c>
    </row>
    <row r="5548" spans="1:40" x14ac:dyDescent="0.25">
      <c r="A5548" t="str">
        <f>"20190312160757731"</f>
        <v>20190312160757731</v>
      </c>
      <c r="B5548" t="str">
        <f>"1552378077721371"</f>
        <v>1552378077721371</v>
      </c>
      <c r="C5548" t="s">
        <v>40</v>
      </c>
      <c r="D5548">
        <v>5.9694699999999896</v>
      </c>
      <c r="E5548">
        <v>0.4905967</v>
      </c>
      <c r="F5548" t="s">
        <v>47</v>
      </c>
      <c r="G5548">
        <v>-421.07900000000001</v>
      </c>
      <c r="H5548" s="1">
        <v>-2.304947E-6</v>
      </c>
      <c r="I5548">
        <v>64.292779999999993</v>
      </c>
      <c r="J5548">
        <v>-420.38529999999997</v>
      </c>
      <c r="K5548">
        <v>1.1090739999999999</v>
      </c>
      <c r="L5548">
        <v>92.511139999999997</v>
      </c>
      <c r="M5548">
        <v>-4.0689610000000001E-2</v>
      </c>
      <c r="N5548">
        <v>0</v>
      </c>
      <c r="O5548">
        <v>-0.99908010000000003</v>
      </c>
      <c r="P5548">
        <v>-5.0211939999999997E-2</v>
      </c>
      <c r="Q5548">
        <v>1.2803999999999999E-2</v>
      </c>
      <c r="R5548">
        <v>-0.99865619999999999</v>
      </c>
      <c r="S5548">
        <v>-7.4310299999999996E-2</v>
      </c>
      <c r="T5548">
        <v>-0.1171112</v>
      </c>
      <c r="U5548">
        <v>-3.001709</v>
      </c>
      <c r="V5548">
        <v>9.5908590000000002E-3</v>
      </c>
      <c r="W5548">
        <v>2.6307239999999999E-2</v>
      </c>
      <c r="X5548">
        <v>0.99960789999999999</v>
      </c>
      <c r="Y5548">
        <v>-1.5971740000000002E-2</v>
      </c>
      <c r="Z5548">
        <v>3.8928329999999997E-2</v>
      </c>
      <c r="AA5548">
        <v>0.99911430000000001</v>
      </c>
      <c r="AB5548">
        <v>21</v>
      </c>
      <c r="AC5548">
        <v>-0.69370000000003496</v>
      </c>
      <c r="AD5548">
        <v>-1.1090763049469901</v>
      </c>
      <c r="AE5548">
        <v>-28.218359999999901</v>
      </c>
      <c r="AF5548">
        <v>-0.45447229476133599</v>
      </c>
      <c r="AG5548">
        <v>-1.1090763049469901</v>
      </c>
      <c r="AH5548">
        <v>28.179710794123501</v>
      </c>
      <c r="AI5548">
        <v>92.253549092773795</v>
      </c>
      <c r="AJ5548">
        <v>90.923965732630805</v>
      </c>
      <c r="AK5548">
        <v>28.205189163651099</v>
      </c>
      <c r="AL5548">
        <v>88.492532271100799</v>
      </c>
      <c r="AM5548">
        <v>89.450285575649502</v>
      </c>
      <c r="AN5548">
        <v>1.0000000045975901</v>
      </c>
    </row>
    <row r="5549" spans="1:40" x14ac:dyDescent="0.25">
      <c r="A5549" t="str">
        <f>"20190312160757764"</f>
        <v>20190312160757764</v>
      </c>
      <c r="B5549" t="str">
        <f>"1552378077750651"</f>
        <v>1552378077750651</v>
      </c>
      <c r="C5549" t="s">
        <v>40</v>
      </c>
      <c r="D5549">
        <v>6.1106439999999997</v>
      </c>
      <c r="E5549">
        <v>0.49063299999999999</v>
      </c>
      <c r="F5549" t="s">
        <v>47</v>
      </c>
      <c r="G5549">
        <v>-421.11590000000001</v>
      </c>
      <c r="H5549" s="1">
        <v>-2.1028699999999998E-6</v>
      </c>
      <c r="I5549">
        <v>63.798810000000003</v>
      </c>
      <c r="J5549">
        <v>-420.40089999999998</v>
      </c>
      <c r="K5549">
        <v>1.109083</v>
      </c>
      <c r="L5549">
        <v>92.199860000000001</v>
      </c>
      <c r="M5549">
        <v>-4.3059430000000003E-2</v>
      </c>
      <c r="N5549">
        <v>0</v>
      </c>
      <c r="O5549">
        <v>-0.99898149999999997</v>
      </c>
      <c r="P5549">
        <v>-5.1334440000000002E-2</v>
      </c>
      <c r="Q5549">
        <v>1.331744E-2</v>
      </c>
      <c r="R5549">
        <v>-0.99859260000000005</v>
      </c>
      <c r="S5549">
        <v>-7.6385499999999995E-2</v>
      </c>
      <c r="T5549">
        <v>-0.1159463</v>
      </c>
      <c r="U5549">
        <v>-3.0016780000000001</v>
      </c>
      <c r="V5549">
        <v>8.3436499999999993E-3</v>
      </c>
      <c r="W5549">
        <v>2.6778659999999999E-2</v>
      </c>
      <c r="X5549">
        <v>0.99960649999999995</v>
      </c>
      <c r="Y5549">
        <v>-1.7652560000000001E-2</v>
      </c>
      <c r="Z5549">
        <v>3.8535449999999999E-2</v>
      </c>
      <c r="AA5549">
        <v>0.99910129999999997</v>
      </c>
      <c r="AB5549">
        <v>21</v>
      </c>
      <c r="AC5549">
        <v>-0.71500000000003106</v>
      </c>
      <c r="AD5549">
        <v>-1.10908510287</v>
      </c>
      <c r="AE5549">
        <v>-28.401050000000001</v>
      </c>
      <c r="AF5549">
        <v>-0.50793341577390205</v>
      </c>
      <c r="AG5549">
        <v>-1.10908510287</v>
      </c>
      <c r="AH5549">
        <v>28.362269702906101</v>
      </c>
      <c r="AI5549">
        <v>92.239008488692704</v>
      </c>
      <c r="AJ5549">
        <v>91.025987363356293</v>
      </c>
      <c r="AK5549">
        <v>28.388490780960101</v>
      </c>
      <c r="AL5549">
        <v>88.465512266398903</v>
      </c>
      <c r="AM5549">
        <v>89.521766986372597</v>
      </c>
      <c r="AN5549">
        <v>0.99999993398448095</v>
      </c>
    </row>
    <row r="5550" spans="1:40" x14ac:dyDescent="0.25">
      <c r="A5550" t="str">
        <f>"20190312160757786"</f>
        <v>20190312160757786</v>
      </c>
      <c r="B5550" t="str">
        <f>"1552378077780906"</f>
        <v>1552378077780906</v>
      </c>
      <c r="C5550" t="s">
        <v>40</v>
      </c>
      <c r="D5550">
        <v>5.9065699999999897</v>
      </c>
      <c r="E5550">
        <v>0.49029679999999998</v>
      </c>
      <c r="F5550" t="s">
        <v>47</v>
      </c>
      <c r="G5550">
        <v>-421.16770000000002</v>
      </c>
      <c r="H5550" s="1">
        <v>-1.980472E-6</v>
      </c>
      <c r="I5550">
        <v>63.481409999999997</v>
      </c>
      <c r="J5550">
        <v>-420.41199999999998</v>
      </c>
      <c r="K5550">
        <v>1.109078</v>
      </c>
      <c r="L5550">
        <v>91.987300000000005</v>
      </c>
      <c r="M5550">
        <v>-4.4668760000000002E-2</v>
      </c>
      <c r="N5550">
        <v>0</v>
      </c>
      <c r="O5550">
        <v>-0.9989114</v>
      </c>
      <c r="P5550">
        <v>-5.2189779999999998E-2</v>
      </c>
      <c r="Q5550">
        <v>1.378389E-2</v>
      </c>
      <c r="R5550">
        <v>-0.99854209999999999</v>
      </c>
      <c r="S5550">
        <v>-8.0139160000000001E-2</v>
      </c>
      <c r="T5550">
        <v>-0.1159226</v>
      </c>
      <c r="U5550">
        <v>-3.0016780000000001</v>
      </c>
      <c r="V5550">
        <v>7.5901619999999897E-3</v>
      </c>
      <c r="W5550">
        <v>2.7204800000000001E-2</v>
      </c>
      <c r="X5550">
        <v>0.99960110000000002</v>
      </c>
      <c r="Y5550">
        <v>-1.801475E-2</v>
      </c>
      <c r="Z5550">
        <v>3.852274E-2</v>
      </c>
      <c r="AA5550">
        <v>0.99909530000000002</v>
      </c>
      <c r="AB5550">
        <v>21</v>
      </c>
      <c r="AC5550">
        <v>-0.755700000000047</v>
      </c>
      <c r="AD5550">
        <v>-1.109079980472</v>
      </c>
      <c r="AE5550">
        <v>-28.505890000000001</v>
      </c>
      <c r="AF5550">
        <v>-0.51770913019232401</v>
      </c>
      <c r="AG5550">
        <v>-1.109079980472</v>
      </c>
      <c r="AH5550">
        <v>28.468127414796001</v>
      </c>
      <c r="AI5550">
        <v>92.230669821657202</v>
      </c>
      <c r="AJ5550">
        <v>91.041841581022695</v>
      </c>
      <c r="AK5550">
        <v>28.4944268173906</v>
      </c>
      <c r="AL5550">
        <v>88.441087500221101</v>
      </c>
      <c r="AM5550">
        <v>89.564950568046797</v>
      </c>
      <c r="AN5550">
        <v>1.00000003541171</v>
      </c>
    </row>
    <row r="5551" spans="1:40" x14ac:dyDescent="0.25">
      <c r="A5551" t="str">
        <f>"20190312160757809"</f>
        <v>20190312160757809</v>
      </c>
      <c r="B5551" t="str">
        <f>"1552378077801406"</f>
        <v>1552378077801406</v>
      </c>
      <c r="C5551" t="s">
        <v>40</v>
      </c>
      <c r="D5551">
        <v>5.8876169999999997</v>
      </c>
      <c r="E5551">
        <v>0.47550100000000001</v>
      </c>
      <c r="F5551" t="s">
        <v>47</v>
      </c>
      <c r="G5551">
        <v>-421.18279999999999</v>
      </c>
      <c r="H5551" s="1">
        <v>-1.8507980000000001E-6</v>
      </c>
      <c r="I5551">
        <v>63.169739999999997</v>
      </c>
      <c r="J5551">
        <v>-420.42320000000001</v>
      </c>
      <c r="K5551">
        <v>1.1090819999999999</v>
      </c>
      <c r="L5551">
        <v>91.778930000000003</v>
      </c>
      <c r="M5551">
        <v>-4.623406E-2</v>
      </c>
      <c r="N5551">
        <v>0</v>
      </c>
      <c r="O5551">
        <v>-0.99884099999999998</v>
      </c>
      <c r="P5551">
        <v>-5.3256169999999999E-2</v>
      </c>
      <c r="Q5551">
        <v>1.4254589999999999E-2</v>
      </c>
      <c r="R5551">
        <v>-0.99847949999999996</v>
      </c>
      <c r="S5551">
        <v>-8.0291749999999995E-2</v>
      </c>
      <c r="T5551">
        <v>-0.1155268</v>
      </c>
      <c r="U5551">
        <v>-3.00177</v>
      </c>
      <c r="V5551">
        <v>7.0919769999999898E-3</v>
      </c>
      <c r="W5551">
        <v>2.7636649999999999E-2</v>
      </c>
      <c r="X5551">
        <v>0.99959290000000001</v>
      </c>
      <c r="Y5551">
        <v>-1.9531420000000001E-2</v>
      </c>
      <c r="Z5551">
        <v>3.8385570000000001E-2</v>
      </c>
      <c r="AA5551">
        <v>0.99907210000000002</v>
      </c>
      <c r="AB5551">
        <v>21</v>
      </c>
      <c r="AC5551">
        <v>-0.75959999999997696</v>
      </c>
      <c r="AD5551">
        <v>-1.1090838507980001</v>
      </c>
      <c r="AE5551">
        <v>-28.609190000000002</v>
      </c>
      <c r="AF5551">
        <v>-0.56320406855331195</v>
      </c>
      <c r="AG5551">
        <v>-1.1090838507980001</v>
      </c>
      <c r="AH5551">
        <v>28.570805775791602</v>
      </c>
      <c r="AI5551">
        <v>92.222604772012104</v>
      </c>
      <c r="AJ5551">
        <v>91.129300922662296</v>
      </c>
      <c r="AK5551">
        <v>28.597870698514299</v>
      </c>
      <c r="AL5551">
        <v>88.4163349916915</v>
      </c>
      <c r="AM5551">
        <v>89.593500981539904</v>
      </c>
      <c r="AN5551">
        <v>1.0000000231457</v>
      </c>
    </row>
    <row r="5552" spans="1:40" x14ac:dyDescent="0.25">
      <c r="A5552" t="str">
        <f>"20190312160757830"</f>
        <v>20190312160757830</v>
      </c>
      <c r="B5552" t="str">
        <f>"1552378077820923"</f>
        <v>1552378077820923</v>
      </c>
      <c r="C5552" t="s">
        <v>40</v>
      </c>
      <c r="D5552">
        <v>5.8128909999999996</v>
      </c>
      <c r="E5552">
        <v>0.47590660000000001</v>
      </c>
      <c r="F5552" t="s">
        <v>94</v>
      </c>
      <c r="G5552">
        <v>-419.3528</v>
      </c>
      <c r="H5552">
        <v>1.475047</v>
      </c>
      <c r="I5552">
        <v>0.48397449999999997</v>
      </c>
      <c r="J5552">
        <v>-420.4341</v>
      </c>
      <c r="K5552">
        <v>1.1090960000000001</v>
      </c>
      <c r="L5552">
        <v>91.580569999999994</v>
      </c>
      <c r="M5552">
        <v>-4.7709349999999998E-2</v>
      </c>
      <c r="N5552">
        <v>0</v>
      </c>
      <c r="O5552">
        <v>-0.99877199999999999</v>
      </c>
      <c r="P5552">
        <v>-5.4236939999999997E-2</v>
      </c>
      <c r="Q5552">
        <v>1.403854E-2</v>
      </c>
      <c r="R5552">
        <v>-0.99842969999999998</v>
      </c>
      <c r="S5552">
        <v>3.5247800000000003E-2</v>
      </c>
      <c r="T5552">
        <v>1.2050150000000001E-2</v>
      </c>
      <c r="U5552">
        <v>-3.0062869999999999</v>
      </c>
      <c r="V5552">
        <v>6.5959410000000001E-3</v>
      </c>
      <c r="W5552">
        <v>2.738355E-2</v>
      </c>
      <c r="X5552">
        <v>0.99960320000000003</v>
      </c>
      <c r="Y5552">
        <v>-5.9420779999999999E-2</v>
      </c>
      <c r="Z5552">
        <v>-3.997759E-3</v>
      </c>
      <c r="AA5552">
        <v>0.99822500000000003</v>
      </c>
      <c r="AB5552">
        <v>21</v>
      </c>
      <c r="AC5552">
        <v>1.0812999999999899</v>
      </c>
      <c r="AD5552">
        <v>0.36595100000000003</v>
      </c>
      <c r="AE5552">
        <v>-91.096595500000006</v>
      </c>
      <c r="AF5552">
        <v>-5.4265277940818901</v>
      </c>
      <c r="AG5552">
        <v>0.36595100000000003</v>
      </c>
      <c r="AH5552">
        <v>90.9397816343008</v>
      </c>
      <c r="AI5552">
        <v>89.769846542604199</v>
      </c>
      <c r="AJ5552">
        <v>93.414885021091095</v>
      </c>
      <c r="AK5552">
        <v>91.102277730738706</v>
      </c>
      <c r="AL5552">
        <v>88.430841946744707</v>
      </c>
      <c r="AM5552">
        <v>89.621935887796596</v>
      </c>
      <c r="AN5552">
        <v>0.99999996134925795</v>
      </c>
    </row>
    <row r="5553" spans="1:40" x14ac:dyDescent="0.25">
      <c r="A5553" t="str">
        <f>"20190312160757853"</f>
        <v>20190312160757853</v>
      </c>
      <c r="B5553" t="str">
        <f>"1552378077841419"</f>
        <v>1552378077841419</v>
      </c>
      <c r="C5553" t="s">
        <v>40</v>
      </c>
      <c r="D5553">
        <v>5.8323640000000001</v>
      </c>
      <c r="E5553">
        <v>0.4757634</v>
      </c>
      <c r="F5553" t="s">
        <v>94</v>
      </c>
      <c r="G5553">
        <v>-419.55309999999997</v>
      </c>
      <c r="H5553">
        <v>3.691093</v>
      </c>
      <c r="I5553">
        <v>1.7789729999999999</v>
      </c>
      <c r="J5553">
        <v>-420.44600000000003</v>
      </c>
      <c r="K5553">
        <v>1.1091040000000001</v>
      </c>
      <c r="L5553">
        <v>91.37097</v>
      </c>
      <c r="M5553">
        <v>-4.9246989999999997E-2</v>
      </c>
      <c r="N5553">
        <v>0</v>
      </c>
      <c r="O5553">
        <v>-0.99869790000000003</v>
      </c>
      <c r="P5553">
        <v>-5.497341E-2</v>
      </c>
      <c r="Q5553">
        <v>1.389702E-2</v>
      </c>
      <c r="R5553">
        <v>-0.99839149999999999</v>
      </c>
      <c r="S5553">
        <v>2.9479979999999999E-2</v>
      </c>
      <c r="T5553">
        <v>8.6403250000000001E-2</v>
      </c>
      <c r="U5553">
        <v>-3.0051269999999999</v>
      </c>
      <c r="V5553">
        <v>5.7925069999999997E-3</v>
      </c>
      <c r="W5553">
        <v>2.719717E-2</v>
      </c>
      <c r="X5553">
        <v>0.99961330000000004</v>
      </c>
      <c r="Y5553">
        <v>-5.9042440000000002E-2</v>
      </c>
      <c r="Z5553">
        <v>-2.8661989999999998E-2</v>
      </c>
      <c r="AA5553">
        <v>0.99784390000000001</v>
      </c>
      <c r="AB5553">
        <v>21</v>
      </c>
      <c r="AC5553">
        <v>0.89289999999999703</v>
      </c>
      <c r="AD5553">
        <v>2.5819890000000001</v>
      </c>
      <c r="AE5553">
        <v>-89.591996999999907</v>
      </c>
      <c r="AF5553">
        <v>-5.2999421470930903</v>
      </c>
      <c r="AG5553">
        <v>2.5819890000000001</v>
      </c>
      <c r="AH5553">
        <v>89.365077445590899</v>
      </c>
      <c r="AI5553">
        <v>88.347937866516901</v>
      </c>
      <c r="AJ5553">
        <v>93.394044418354596</v>
      </c>
      <c r="AK5553">
        <v>89.559327380318706</v>
      </c>
      <c r="AL5553">
        <v>88.441524764835705</v>
      </c>
      <c r="AM5553">
        <v>89.667989122232299</v>
      </c>
      <c r="AN5553">
        <v>0.99999999436512199</v>
      </c>
    </row>
    <row r="5554" spans="1:40" x14ac:dyDescent="0.25">
      <c r="A5554" t="str">
        <f>"20190312160757876"</f>
        <v>20190312160757876</v>
      </c>
      <c r="B5554" t="str">
        <f>"1552378077871676"</f>
        <v>1552378077871676</v>
      </c>
      <c r="C5554" t="s">
        <v>40</v>
      </c>
      <c r="D5554">
        <v>5.8919620000000004</v>
      </c>
      <c r="E5554">
        <v>0.47601660000000001</v>
      </c>
      <c r="F5554" t="s">
        <v>94</v>
      </c>
      <c r="G5554">
        <v>-419.57279999999997</v>
      </c>
      <c r="H5554">
        <v>4.3552999999999997</v>
      </c>
      <c r="I5554">
        <v>0.48174479999999997</v>
      </c>
      <c r="J5554">
        <v>-420.45830000000001</v>
      </c>
      <c r="K5554">
        <v>1.109116</v>
      </c>
      <c r="L5554">
        <v>91.157870000000003</v>
      </c>
      <c r="M5554">
        <v>-5.0777950000000002E-2</v>
      </c>
      <c r="N5554">
        <v>0</v>
      </c>
      <c r="O5554">
        <v>-0.99862200000000001</v>
      </c>
      <c r="P5554">
        <v>-5.55982E-2</v>
      </c>
      <c r="Q5554">
        <v>1.3317310000000001E-2</v>
      </c>
      <c r="R5554">
        <v>-0.99836440000000004</v>
      </c>
      <c r="S5554">
        <v>2.886963E-2</v>
      </c>
      <c r="T5554">
        <v>0.1073234</v>
      </c>
      <c r="U5554">
        <v>-3.0049440000000001</v>
      </c>
      <c r="V5554">
        <v>4.8821659999999899E-3</v>
      </c>
      <c r="W5554">
        <v>2.65594E-2</v>
      </c>
      <c r="X5554">
        <v>0.9996353</v>
      </c>
      <c r="Y5554">
        <v>-6.0368480000000002E-2</v>
      </c>
      <c r="Z5554">
        <v>-3.5590410000000003E-2</v>
      </c>
      <c r="AA5554">
        <v>0.99754149999999997</v>
      </c>
      <c r="AB5554">
        <v>21</v>
      </c>
      <c r="AC5554">
        <v>0.88550000000003504</v>
      </c>
      <c r="AD5554">
        <v>3.2461839999999902</v>
      </c>
      <c r="AE5554">
        <v>-90.676125200000001</v>
      </c>
      <c r="AF5554">
        <v>-5.4820844779196696</v>
      </c>
      <c r="AG5554">
        <v>3.2461839999999902</v>
      </c>
      <c r="AH5554">
        <v>90.398316153219298</v>
      </c>
      <c r="AI5554">
        <v>87.947172729676396</v>
      </c>
      <c r="AJ5554">
        <v>93.470375485270196</v>
      </c>
      <c r="AK5554">
        <v>90.622549755137101</v>
      </c>
      <c r="AL5554">
        <v>88.478079487647193</v>
      </c>
      <c r="AM5554">
        <v>89.720172664364398</v>
      </c>
      <c r="AN5554">
        <v>0.99999998513965005</v>
      </c>
    </row>
    <row r="5555" spans="1:40" x14ac:dyDescent="0.25">
      <c r="A5555" t="str">
        <f>"20190312160757898"</f>
        <v>20190312160757898</v>
      </c>
      <c r="B5555" t="str">
        <f>"1552378077891197"</f>
        <v>1552378077891197</v>
      </c>
      <c r="C5555" t="s">
        <v>40</v>
      </c>
      <c r="D5555">
        <v>5.836195</v>
      </c>
      <c r="E5555">
        <v>0.47598400000000002</v>
      </c>
      <c r="F5555" t="s">
        <v>94</v>
      </c>
      <c r="G5555">
        <v>-419.71600000000001</v>
      </c>
      <c r="H5555">
        <v>4.5829069999999996</v>
      </c>
      <c r="I5555">
        <v>0.48028949999999998</v>
      </c>
      <c r="J5555">
        <v>-420.47070000000002</v>
      </c>
      <c r="K5555">
        <v>1.1091230000000001</v>
      </c>
      <c r="L5555">
        <v>90.950100000000006</v>
      </c>
      <c r="M5555">
        <v>-5.2226679999999998E-2</v>
      </c>
      <c r="N5555">
        <v>0</v>
      </c>
      <c r="O5555">
        <v>-0.9985482</v>
      </c>
      <c r="P5555">
        <v>-5.6879930000000002E-2</v>
      </c>
      <c r="Q5555">
        <v>1.2627009999999999E-2</v>
      </c>
      <c r="R5555">
        <v>-0.99830140000000001</v>
      </c>
      <c r="S5555">
        <v>2.4597170000000002E-2</v>
      </c>
      <c r="T5555">
        <v>0.115109199999999</v>
      </c>
      <c r="U5555">
        <v>-3.0047609999999998</v>
      </c>
      <c r="V5555">
        <v>4.711448E-3</v>
      </c>
      <c r="W5555">
        <v>2.580387E-2</v>
      </c>
      <c r="X5555">
        <v>0.99965590000000004</v>
      </c>
      <c r="Y5555">
        <v>-6.0398090000000001E-2</v>
      </c>
      <c r="Z5555">
        <v>-3.8166909999999998E-2</v>
      </c>
      <c r="AA5555">
        <v>0.99744440000000001</v>
      </c>
      <c r="AB5555">
        <v>21</v>
      </c>
      <c r="AC5555">
        <v>0.75470000000001303</v>
      </c>
      <c r="AD5555">
        <v>3.4737840000000002</v>
      </c>
      <c r="AE5555">
        <v>-90.469810499999994</v>
      </c>
      <c r="AF5555">
        <v>-5.4709530029451301</v>
      </c>
      <c r="AG5555">
        <v>3.4737840000000002</v>
      </c>
      <c r="AH5555">
        <v>90.173963934627906</v>
      </c>
      <c r="AI5555">
        <v>87.797922884819599</v>
      </c>
      <c r="AJ5555">
        <v>93.471941722089895</v>
      </c>
      <c r="AK5555">
        <v>90.406538888084199</v>
      </c>
      <c r="AL5555">
        <v>88.521383003303598</v>
      </c>
      <c r="AM5555">
        <v>89.7299629932171</v>
      </c>
      <c r="AN5555">
        <v>0.999999977927021</v>
      </c>
    </row>
    <row r="5556" spans="1:40" x14ac:dyDescent="0.25">
      <c r="A5556" t="str">
        <f>"20190312160757920"</f>
        <v>20190312160757920</v>
      </c>
      <c r="B5556" t="str">
        <f>"1552378077910714"</f>
        <v>1552378077910714</v>
      </c>
      <c r="C5556" t="s">
        <v>40</v>
      </c>
      <c r="D5556">
        <v>5.8644220000000002</v>
      </c>
      <c r="E5556">
        <v>0.47565000000000002</v>
      </c>
      <c r="F5556" t="s">
        <v>94</v>
      </c>
      <c r="G5556">
        <v>-419.83300000000003</v>
      </c>
      <c r="H5556">
        <v>4.5362489999999998</v>
      </c>
      <c r="I5556">
        <v>0.47909550000000001</v>
      </c>
      <c r="J5556">
        <v>-420.48329999999999</v>
      </c>
      <c r="K5556">
        <v>1.1091470000000001</v>
      </c>
      <c r="L5556">
        <v>90.741640000000004</v>
      </c>
      <c r="M5556">
        <v>-5.3637629999999999E-2</v>
      </c>
      <c r="N5556">
        <v>0</v>
      </c>
      <c r="O5556">
        <v>-0.99847470000000005</v>
      </c>
      <c r="P5556">
        <v>-5.8453369999999998E-2</v>
      </c>
      <c r="Q5556">
        <v>1.26473E-2</v>
      </c>
      <c r="R5556">
        <v>-0.9982105</v>
      </c>
      <c r="S5556">
        <v>2.1179199999999999E-2</v>
      </c>
      <c r="T5556">
        <v>0.11382680000000001</v>
      </c>
      <c r="U5556">
        <v>-3.004883</v>
      </c>
      <c r="V5556">
        <v>4.872566E-3</v>
      </c>
      <c r="W5556">
        <v>2.575763E-2</v>
      </c>
      <c r="X5556">
        <v>0.99965630000000005</v>
      </c>
      <c r="Y5556">
        <v>-6.0673770000000002E-2</v>
      </c>
      <c r="Z5556">
        <v>-3.7736369999999998E-2</v>
      </c>
      <c r="AA5556">
        <v>0.99744409999999994</v>
      </c>
      <c r="AB5556">
        <v>21</v>
      </c>
      <c r="AC5556">
        <v>0.65029999999995802</v>
      </c>
      <c r="AD5556">
        <v>3.4271020000000001</v>
      </c>
      <c r="AE5556">
        <v>-90.262544499999905</v>
      </c>
      <c r="AF5556">
        <v>-5.4833430770253004</v>
      </c>
      <c r="AG5556">
        <v>3.4271020000000001</v>
      </c>
      <c r="AH5556">
        <v>89.9680132952669</v>
      </c>
      <c r="AI5556">
        <v>87.822554685564</v>
      </c>
      <c r="AJ5556">
        <v>93.4877314572079</v>
      </c>
      <c r="AK5556">
        <v>90.200085896389695</v>
      </c>
      <c r="AL5556">
        <v>88.524033211326497</v>
      </c>
      <c r="AM5556">
        <v>89.720728758164299</v>
      </c>
      <c r="AN5556">
        <v>0.99999995776616402</v>
      </c>
    </row>
    <row r="5557" spans="1:40" x14ac:dyDescent="0.25">
      <c r="A5557" t="str">
        <f>"20190312160757953"</f>
        <v>20190312160757953</v>
      </c>
      <c r="B5557" t="str">
        <f>"1552378077940971"</f>
        <v>1552378077940971</v>
      </c>
      <c r="C5557" t="s">
        <v>40</v>
      </c>
      <c r="D5557">
        <v>5.8242370000000001</v>
      </c>
      <c r="E5557">
        <v>0.47567359999999997</v>
      </c>
      <c r="F5557" t="s">
        <v>94</v>
      </c>
      <c r="G5557">
        <v>-419.91579999999999</v>
      </c>
      <c r="H5557">
        <v>4.5009839999999999</v>
      </c>
      <c r="I5557">
        <v>0.47825810000000002</v>
      </c>
      <c r="J5557">
        <v>-420.50240000000002</v>
      </c>
      <c r="K5557">
        <v>1.1091869999999999</v>
      </c>
      <c r="L5557">
        <v>90.43356</v>
      </c>
      <c r="M5557">
        <v>-5.5623730000000003E-2</v>
      </c>
      <c r="N5557">
        <v>0</v>
      </c>
      <c r="O5557">
        <v>-0.998367</v>
      </c>
      <c r="P5557">
        <v>-6.0219689999999999E-2</v>
      </c>
      <c r="Q5557">
        <v>1.304202E-2</v>
      </c>
      <c r="R5557">
        <v>-0.99810019999999999</v>
      </c>
      <c r="S5557">
        <v>1.8890379999999998E-2</v>
      </c>
      <c r="T5557">
        <v>0.11292089999999901</v>
      </c>
      <c r="U5557">
        <v>-3.0050659999999998</v>
      </c>
      <c r="V5557">
        <v>4.6504279999999999E-3</v>
      </c>
      <c r="W5557">
        <v>2.6050790000000001E-2</v>
      </c>
      <c r="X5557">
        <v>0.99964980000000003</v>
      </c>
      <c r="Y5557">
        <v>-6.1899210000000003E-2</v>
      </c>
      <c r="Z5557">
        <v>-3.7426760000000003E-2</v>
      </c>
      <c r="AA5557">
        <v>0.99738039999999994</v>
      </c>
      <c r="AB5557">
        <v>21</v>
      </c>
      <c r="AC5557">
        <v>0.58660000000003198</v>
      </c>
      <c r="AD5557">
        <v>3.3917969999999902</v>
      </c>
      <c r="AE5557">
        <v>-89.955301899999995</v>
      </c>
      <c r="AF5557">
        <v>-5.5818294789203904</v>
      </c>
      <c r="AG5557">
        <v>3.3917969999999902</v>
      </c>
      <c r="AH5557">
        <v>89.655920145730704</v>
      </c>
      <c r="AI5557">
        <v>87.837644010961498</v>
      </c>
      <c r="AJ5557">
        <v>93.562542403562006</v>
      </c>
      <c r="AK5557">
        <v>89.893521036827707</v>
      </c>
      <c r="AL5557">
        <v>88.507230799093193</v>
      </c>
      <c r="AM5557">
        <v>89.733458682013193</v>
      </c>
      <c r="AN5557">
        <v>0.99999999639012305</v>
      </c>
    </row>
    <row r="5558" spans="1:40" x14ac:dyDescent="0.25">
      <c r="A5558" t="str">
        <f>"20190312160757976"</f>
        <v>20190312160757976</v>
      </c>
      <c r="B5558" t="str">
        <f>"1552378077971227"</f>
        <v>1552378077971227</v>
      </c>
      <c r="C5558" t="s">
        <v>40</v>
      </c>
      <c r="D5558">
        <v>5.8060939999999999</v>
      </c>
      <c r="E5558">
        <v>0.4757053</v>
      </c>
      <c r="F5558" t="s">
        <v>94</v>
      </c>
      <c r="G5558">
        <v>-420.10309999999998</v>
      </c>
      <c r="H5558">
        <v>4.4699350000000004</v>
      </c>
      <c r="I5558">
        <v>0.47635460000000002</v>
      </c>
      <c r="J5558">
        <v>-420.51530000000002</v>
      </c>
      <c r="K5558">
        <v>1.1092229999999901</v>
      </c>
      <c r="L5558">
        <v>90.227969999999999</v>
      </c>
      <c r="M5558">
        <v>-5.6849080000000003E-2</v>
      </c>
      <c r="N5558">
        <v>0</v>
      </c>
      <c r="O5558">
        <v>-0.99829909999999999</v>
      </c>
      <c r="P5558">
        <v>-6.0804080000000003E-2</v>
      </c>
      <c r="Q5558">
        <v>1.329731E-2</v>
      </c>
      <c r="R5558">
        <v>-0.99806150000000005</v>
      </c>
      <c r="S5558">
        <v>1.333618E-2</v>
      </c>
      <c r="T5558">
        <v>0.1122653</v>
      </c>
      <c r="U5558">
        <v>-3.0050349999999999</v>
      </c>
      <c r="V5558">
        <v>4.0060970000000001E-3</v>
      </c>
      <c r="W5558">
        <v>2.6229530000000001E-2</v>
      </c>
      <c r="X5558">
        <v>0.99964790000000003</v>
      </c>
      <c r="Y5558">
        <v>-6.1280880000000003E-2</v>
      </c>
      <c r="Z5558">
        <v>-3.7207200000000003E-2</v>
      </c>
      <c r="AA5558">
        <v>0.99742679999999995</v>
      </c>
      <c r="AB5558">
        <v>21</v>
      </c>
      <c r="AC5558">
        <v>0.41220000000004098</v>
      </c>
      <c r="AD5558">
        <v>3.3607119999999902</v>
      </c>
      <c r="AE5558">
        <v>-89.751615400000006</v>
      </c>
      <c r="AF5558">
        <v>-5.5065358239242901</v>
      </c>
      <c r="AG5558">
        <v>3.3607119999999902</v>
      </c>
      <c r="AH5558">
        <v>89.457582610352901</v>
      </c>
      <c r="AI5558">
        <v>87.852603984590303</v>
      </c>
      <c r="AJ5558">
        <v>93.522381003674695</v>
      </c>
      <c r="AK5558">
        <v>89.689884649358405</v>
      </c>
      <c r="AL5558">
        <v>88.496986226858795</v>
      </c>
      <c r="AM5558">
        <v>89.770387931931893</v>
      </c>
      <c r="AN5558">
        <v>0.99999998051580197</v>
      </c>
    </row>
    <row r="5559" spans="1:40" x14ac:dyDescent="0.25">
      <c r="A5559" t="str">
        <f>"20190312160757998"</f>
        <v>20190312160757998</v>
      </c>
      <c r="B5559" t="str">
        <f>"1552378077990747"</f>
        <v>1552378077990747</v>
      </c>
      <c r="C5559" t="s">
        <v>40</v>
      </c>
      <c r="D5559">
        <v>5.7967979999999999</v>
      </c>
      <c r="E5559">
        <v>0.47557179999999999</v>
      </c>
      <c r="F5559" t="s">
        <v>94</v>
      </c>
      <c r="G5559">
        <v>-420.1653</v>
      </c>
      <c r="H5559">
        <v>4.3473980000000001</v>
      </c>
      <c r="I5559">
        <v>0.47571950000000002</v>
      </c>
      <c r="J5559">
        <v>-420.52859999999998</v>
      </c>
      <c r="K5559">
        <v>1.1092799999999901</v>
      </c>
      <c r="L5559">
        <v>90.019409999999993</v>
      </c>
      <c r="M5559">
        <v>-5.7968329999999998E-2</v>
      </c>
      <c r="N5559">
        <v>0</v>
      </c>
      <c r="O5559">
        <v>-0.99823600000000001</v>
      </c>
      <c r="P5559">
        <v>-6.0934450000000001E-2</v>
      </c>
      <c r="Q5559">
        <v>1.3157510000000001E-2</v>
      </c>
      <c r="R5559">
        <v>-0.99805549999999998</v>
      </c>
      <c r="S5559">
        <v>1.171875E-2</v>
      </c>
      <c r="T5559">
        <v>0.10842010000000001</v>
      </c>
      <c r="U5559">
        <v>-3.005096</v>
      </c>
      <c r="V5559">
        <v>3.010609E-3</v>
      </c>
      <c r="W5559">
        <v>2.600121E-2</v>
      </c>
      <c r="X5559">
        <v>0.99965740000000003</v>
      </c>
      <c r="Y5559">
        <v>-6.1863149999999999E-2</v>
      </c>
      <c r="Z5559">
        <v>-3.592969E-2</v>
      </c>
      <c r="AA5559">
        <v>0.99743769999999998</v>
      </c>
      <c r="AB5559">
        <v>21</v>
      </c>
      <c r="AC5559">
        <v>0.36329999999998103</v>
      </c>
      <c r="AD5559">
        <v>3.2381180000000001</v>
      </c>
      <c r="AE5559">
        <v>-89.543690499999997</v>
      </c>
      <c r="AF5559">
        <v>-5.5465610891686001</v>
      </c>
      <c r="AG5559">
        <v>3.2381180000000001</v>
      </c>
      <c r="AH5559">
        <v>89.255310221167704</v>
      </c>
      <c r="AI5559">
        <v>87.926258598057601</v>
      </c>
      <c r="AJ5559">
        <v>93.555938678102507</v>
      </c>
      <c r="AK5559">
        <v>89.486089146719905</v>
      </c>
      <c r="AL5559">
        <v>88.510072524639597</v>
      </c>
      <c r="AM5559">
        <v>89.8274462151156</v>
      </c>
      <c r="AN5559">
        <v>1.0000000220313801</v>
      </c>
    </row>
    <row r="5560" spans="1:40" x14ac:dyDescent="0.25">
      <c r="A5560" t="str">
        <f>"20190312160758020"</f>
        <v>20190312160758020</v>
      </c>
      <c r="B5560" t="str">
        <f>"1552378078011243"</f>
        <v>1552378078011243</v>
      </c>
      <c r="C5560" t="s">
        <v>40</v>
      </c>
      <c r="D5560">
        <v>5.798826</v>
      </c>
      <c r="E5560">
        <v>0.47542020000000002</v>
      </c>
      <c r="F5560" t="s">
        <v>94</v>
      </c>
      <c r="G5560">
        <v>-420.16930000000002</v>
      </c>
      <c r="H5560">
        <v>4.3634740000000001</v>
      </c>
      <c r="I5560">
        <v>0.47567559999999898</v>
      </c>
      <c r="J5560">
        <v>-420.5419</v>
      </c>
      <c r="K5560">
        <v>1.1093440000000001</v>
      </c>
      <c r="L5560">
        <v>89.8125</v>
      </c>
      <c r="M5560">
        <v>-5.8978200000000001E-2</v>
      </c>
      <c r="N5560">
        <v>0</v>
      </c>
      <c r="O5560">
        <v>-0.99817809999999996</v>
      </c>
      <c r="P5560">
        <v>-6.1126850000000003E-2</v>
      </c>
      <c r="Q5560">
        <v>1.310711E-2</v>
      </c>
      <c r="R5560">
        <v>-0.99804459999999995</v>
      </c>
      <c r="S5560">
        <v>1.205444E-2</v>
      </c>
      <c r="T5560">
        <v>0.1092113</v>
      </c>
      <c r="U5560">
        <v>-3.0051269999999999</v>
      </c>
      <c r="V5560">
        <v>2.186669E-3</v>
      </c>
      <c r="W5560">
        <v>2.585964E-2</v>
      </c>
      <c r="X5560">
        <v>0.99966319999999997</v>
      </c>
      <c r="Y5560">
        <v>-6.2984120000000005E-2</v>
      </c>
      <c r="Z5560">
        <v>-3.6186669999999997E-2</v>
      </c>
      <c r="AA5560">
        <v>0.99735830000000003</v>
      </c>
      <c r="AB5560">
        <v>21</v>
      </c>
      <c r="AC5560">
        <v>0.37259999999997701</v>
      </c>
      <c r="AD5560">
        <v>3.25413</v>
      </c>
      <c r="AE5560">
        <v>-89.336824399999998</v>
      </c>
      <c r="AF5560">
        <v>-5.6338284787411999</v>
      </c>
      <c r="AG5560">
        <v>3.25413</v>
      </c>
      <c r="AH5560">
        <v>89.041172230821303</v>
      </c>
      <c r="AI5560">
        <v>87.911153118011796</v>
      </c>
      <c r="AJ5560">
        <v>93.620402369102095</v>
      </c>
      <c r="AK5560">
        <v>89.278551386229097</v>
      </c>
      <c r="AL5560">
        <v>88.518186595493006</v>
      </c>
      <c r="AM5560">
        <v>89.874671084150293</v>
      </c>
      <c r="AN5560">
        <v>1.0000000079682401</v>
      </c>
    </row>
    <row r="5561" spans="1:40" x14ac:dyDescent="0.25">
      <c r="A5561" t="str">
        <f>"20190312160758042"</f>
        <v>20190312160758042</v>
      </c>
      <c r="B5561" t="str">
        <f>"1552378078030763"</f>
        <v>1552378078030763</v>
      </c>
      <c r="C5561" t="s">
        <v>40</v>
      </c>
      <c r="D5561">
        <v>5.8968089999999904</v>
      </c>
      <c r="E5561">
        <v>0.47530859999999903</v>
      </c>
      <c r="F5561" t="s">
        <v>94</v>
      </c>
      <c r="G5561">
        <v>-420.1617</v>
      </c>
      <c r="H5561">
        <v>4.4327809999999896</v>
      </c>
      <c r="I5561">
        <v>0.4757557</v>
      </c>
      <c r="J5561">
        <v>-420.55500000000001</v>
      </c>
      <c r="K5561">
        <v>1.1094090000000001</v>
      </c>
      <c r="L5561">
        <v>89.609160000000003</v>
      </c>
      <c r="M5561">
        <v>-5.9871939999999998E-2</v>
      </c>
      <c r="N5561">
        <v>0</v>
      </c>
      <c r="O5561">
        <v>-0.99812559999999995</v>
      </c>
      <c r="P5561">
        <v>-6.1067980000000001E-2</v>
      </c>
      <c r="Q5561">
        <v>1.3789020000000001E-2</v>
      </c>
      <c r="R5561">
        <v>-0.99803839999999999</v>
      </c>
      <c r="S5561">
        <v>1.2786870000000001E-2</v>
      </c>
      <c r="T5561">
        <v>0.111795699999999</v>
      </c>
      <c r="U5561">
        <v>-3.005188</v>
      </c>
      <c r="V5561">
        <v>1.228959E-3</v>
      </c>
      <c r="W5561">
        <v>2.6449759999999999E-2</v>
      </c>
      <c r="X5561">
        <v>0.99964940000000002</v>
      </c>
      <c r="Y5561">
        <v>-6.4120490000000002E-2</v>
      </c>
      <c r="Z5561">
        <v>-3.7036720000000002E-2</v>
      </c>
      <c r="AA5561">
        <v>0.99725469999999905</v>
      </c>
      <c r="AB5561">
        <v>21</v>
      </c>
      <c r="AC5561">
        <v>0.39330000000000997</v>
      </c>
      <c r="AD5561">
        <v>3.3233719999999898</v>
      </c>
      <c r="AE5561">
        <v>-89.133404299999995</v>
      </c>
      <c r="AF5561">
        <v>-5.72165875777356</v>
      </c>
      <c r="AG5561">
        <v>3.3233719999999898</v>
      </c>
      <c r="AH5561">
        <v>88.826445625379193</v>
      </c>
      <c r="AI5561">
        <v>87.8617498768931</v>
      </c>
      <c r="AJ5561">
        <v>93.685553559316403</v>
      </c>
      <c r="AK5561">
        <v>89.072552578385498</v>
      </c>
      <c r="AL5561">
        <v>88.484363644681693</v>
      </c>
      <c r="AM5561">
        <v>89.929561175728196</v>
      </c>
      <c r="AN5561">
        <v>1.00000001153232</v>
      </c>
    </row>
    <row r="5562" spans="1:40" x14ac:dyDescent="0.25">
      <c r="A5562" t="str">
        <f>"20190312160758065"</f>
        <v>20190312160758065</v>
      </c>
      <c r="B5562" t="str">
        <f>"1552378078061019"</f>
        <v>1552378078061019</v>
      </c>
      <c r="C5562" t="s">
        <v>40</v>
      </c>
      <c r="D5562">
        <v>6.622236</v>
      </c>
      <c r="E5562">
        <v>0.43542120000000001</v>
      </c>
      <c r="F5562" t="s">
        <v>94</v>
      </c>
      <c r="G5562">
        <v>-420.1404</v>
      </c>
      <c r="H5562">
        <v>4.5159729999999998</v>
      </c>
      <c r="I5562">
        <v>0.47596929999999998</v>
      </c>
      <c r="J5562">
        <v>-420.56880000000001</v>
      </c>
      <c r="K5562">
        <v>1.109472</v>
      </c>
      <c r="L5562">
        <v>89.395969999999906</v>
      </c>
      <c r="M5562">
        <v>-6.0689420000000001E-2</v>
      </c>
      <c r="N5562">
        <v>0</v>
      </c>
      <c r="O5562">
        <v>-0.99807780000000001</v>
      </c>
      <c r="P5562">
        <v>-6.1008590000000001E-2</v>
      </c>
      <c r="Q5562">
        <v>1.3929169999999999E-2</v>
      </c>
      <c r="R5562">
        <v>-0.99804029999999999</v>
      </c>
      <c r="S5562">
        <v>1.397705E-2</v>
      </c>
      <c r="T5562">
        <v>0.1148525</v>
      </c>
      <c r="U5562">
        <v>-3.0051570000000001</v>
      </c>
      <c r="V5562">
        <v>3.4603219999999998E-4</v>
      </c>
      <c r="W5562">
        <v>2.6482180000000001E-2</v>
      </c>
      <c r="X5562">
        <v>0.99964920000000002</v>
      </c>
      <c r="Y5562">
        <v>-6.5332520000000005E-2</v>
      </c>
      <c r="Z5562">
        <v>-3.8044000000000001E-2</v>
      </c>
      <c r="AA5562">
        <v>0.99713810000000003</v>
      </c>
      <c r="AB5562">
        <v>21</v>
      </c>
      <c r="AC5562">
        <v>0.42840000000001</v>
      </c>
      <c r="AD5562">
        <v>3.406501</v>
      </c>
      <c r="AE5562">
        <v>-88.920000699999903</v>
      </c>
      <c r="AF5562">
        <v>-5.8160029246255203</v>
      </c>
      <c r="AG5562">
        <v>3.406501</v>
      </c>
      <c r="AH5562">
        <v>88.600037552692697</v>
      </c>
      <c r="AI5562">
        <v>87.802896003572201</v>
      </c>
      <c r="AJ5562">
        <v>93.755698370267197</v>
      </c>
      <c r="AK5562">
        <v>88.856045339756193</v>
      </c>
      <c r="AL5562">
        <v>88.482505408168194</v>
      </c>
      <c r="AM5562">
        <v>89.980166858690197</v>
      </c>
      <c r="AN5562">
        <v>0.99999997432823695</v>
      </c>
    </row>
    <row r="5563" spans="1:40" x14ac:dyDescent="0.25">
      <c r="A5563" t="str">
        <f>"20190312160758089"</f>
        <v>20190312160758089</v>
      </c>
      <c r="B5563" t="str">
        <f>"1552378078081515"</f>
        <v>1552378078081515</v>
      </c>
      <c r="C5563" t="s">
        <v>40</v>
      </c>
      <c r="D5563">
        <v>5.6385139999999998</v>
      </c>
      <c r="E5563">
        <v>0.43126819999999999</v>
      </c>
      <c r="F5563" t="s">
        <v>94</v>
      </c>
      <c r="G5563">
        <v>-410.91759999999999</v>
      </c>
      <c r="H5563">
        <v>7.574255</v>
      </c>
      <c r="I5563">
        <v>1.627813</v>
      </c>
      <c r="J5563">
        <v>-420.58280000000002</v>
      </c>
      <c r="K5563">
        <v>1.109524</v>
      </c>
      <c r="L5563">
        <v>89.180940000000007</v>
      </c>
      <c r="M5563">
        <v>-6.1378620000000002E-2</v>
      </c>
      <c r="N5563">
        <v>0</v>
      </c>
      <c r="O5563">
        <v>-0.99803739999999996</v>
      </c>
      <c r="P5563">
        <v>-6.1002750000000001E-2</v>
      </c>
      <c r="Q5563">
        <v>1.316431E-2</v>
      </c>
      <c r="R5563">
        <v>-0.99805109999999997</v>
      </c>
      <c r="S5563">
        <v>0.332428</v>
      </c>
      <c r="T5563">
        <v>0.22267319999999999</v>
      </c>
      <c r="U5563">
        <v>-3.0231020000000002</v>
      </c>
      <c r="V5563">
        <v>-3.5638249999999998E-4</v>
      </c>
      <c r="W5563">
        <v>2.5594120000000001E-2</v>
      </c>
      <c r="X5563">
        <v>0.99967240000000002</v>
      </c>
      <c r="Y5563">
        <v>-0.169823799999999</v>
      </c>
      <c r="Z5563">
        <v>-7.2499190000000005E-2</v>
      </c>
      <c r="AA5563">
        <v>0.98280400000000001</v>
      </c>
      <c r="AB5563">
        <v>21</v>
      </c>
      <c r="AC5563">
        <v>9.66520000000002</v>
      </c>
      <c r="AD5563">
        <v>6.4647309999999996</v>
      </c>
      <c r="AE5563">
        <v>-87.553127000000003</v>
      </c>
      <c r="AF5563">
        <v>-14.9408011269624</v>
      </c>
      <c r="AG5563">
        <v>6.4647309999999996</v>
      </c>
      <c r="AH5563">
        <v>86.329737771262501</v>
      </c>
      <c r="AI5563">
        <v>85.779947706865698</v>
      </c>
      <c r="AJ5563">
        <v>99.818730838397897</v>
      </c>
      <c r="AK5563">
        <v>87.851260143908902</v>
      </c>
      <c r="AL5563">
        <v>88.5334048646328</v>
      </c>
      <c r="AM5563">
        <v>90.0204259038033</v>
      </c>
      <c r="AN5563">
        <v>1.0000000466543999</v>
      </c>
    </row>
    <row r="5564" spans="1:40" x14ac:dyDescent="0.25">
      <c r="A5564" t="str">
        <f>"20190312160758110"</f>
        <v>20190312160758110</v>
      </c>
      <c r="B5564" t="str">
        <f>"1552378078101035"</f>
        <v>1552378078101035</v>
      </c>
      <c r="C5564" t="s">
        <v>40</v>
      </c>
      <c r="D5564">
        <v>5.5856599999999998</v>
      </c>
      <c r="E5564">
        <v>0.4299712</v>
      </c>
      <c r="F5564" t="s">
        <v>94</v>
      </c>
      <c r="G5564">
        <v>-410.03019999999998</v>
      </c>
      <c r="H5564">
        <v>8.1093649999999897</v>
      </c>
      <c r="I5564">
        <v>1.8758319999999999</v>
      </c>
      <c r="J5564">
        <v>-420.59589999999997</v>
      </c>
      <c r="K5564">
        <v>1.1095710000000001</v>
      </c>
      <c r="L5564">
        <v>88.978939999999994</v>
      </c>
      <c r="M5564">
        <v>-6.1898139999999997E-2</v>
      </c>
      <c r="N5564">
        <v>0</v>
      </c>
      <c r="O5564">
        <v>-0.99800659999999997</v>
      </c>
      <c r="P5564">
        <v>-6.0222030000000003E-2</v>
      </c>
      <c r="Q5564">
        <v>1.244294E-2</v>
      </c>
      <c r="R5564">
        <v>-0.99810779999999999</v>
      </c>
      <c r="S5564">
        <v>0.36563109999999999</v>
      </c>
      <c r="T5564">
        <v>0.2425332</v>
      </c>
      <c r="U5564">
        <v>-3.024994</v>
      </c>
      <c r="V5564">
        <v>-1.6639529999999999E-3</v>
      </c>
      <c r="W5564">
        <v>2.4751820000000001E-2</v>
      </c>
      <c r="X5564">
        <v>0.99969229999999998</v>
      </c>
      <c r="Y5564">
        <v>-0.18084710000000001</v>
      </c>
      <c r="Z5564">
        <v>-7.8745899999999994E-2</v>
      </c>
      <c r="AA5564">
        <v>0.98035369999999999</v>
      </c>
      <c r="AB5564">
        <v>21</v>
      </c>
      <c r="AC5564">
        <v>10.5656999999999</v>
      </c>
      <c r="AD5564">
        <v>6.9997939999999899</v>
      </c>
      <c r="AE5564">
        <v>-87.103107999999906</v>
      </c>
      <c r="AF5564">
        <v>-15.836574794820301</v>
      </c>
      <c r="AG5564">
        <v>6.9997939999999899</v>
      </c>
      <c r="AH5564">
        <v>85.736350206329007</v>
      </c>
      <c r="AI5564">
        <v>85.409846717287905</v>
      </c>
      <c r="AJ5564">
        <v>100.46528939250901</v>
      </c>
      <c r="AK5564">
        <v>87.4672279426796</v>
      </c>
      <c r="AL5564">
        <v>88.5816804130029</v>
      </c>
      <c r="AM5564">
        <v>90.095366740511906</v>
      </c>
      <c r="AN5564">
        <v>1.0000000580060899</v>
      </c>
    </row>
    <row r="5565" spans="1:40" x14ac:dyDescent="0.25">
      <c r="A5565" t="str">
        <f>"20190312160758132"</f>
        <v>20190312160758132</v>
      </c>
      <c r="B5565" t="str">
        <f>"1552378078121531"</f>
        <v>1552378078121531</v>
      </c>
      <c r="C5565" t="s">
        <v>40</v>
      </c>
      <c r="D5565">
        <v>5.5437099999999999</v>
      </c>
      <c r="E5565">
        <v>0.42951699999999998</v>
      </c>
      <c r="F5565" t="s">
        <v>94</v>
      </c>
      <c r="G5565">
        <v>-409.69880000000001</v>
      </c>
      <c r="H5565">
        <v>8.3496299999999994</v>
      </c>
      <c r="I5565">
        <v>1.8792040000000001</v>
      </c>
      <c r="J5565">
        <v>-420.60890000000001</v>
      </c>
      <c r="K5565">
        <v>1.1096250000000001</v>
      </c>
      <c r="L5565">
        <v>88.778319999999994</v>
      </c>
      <c r="M5565">
        <v>-6.2294399999999903E-2</v>
      </c>
      <c r="N5565">
        <v>0</v>
      </c>
      <c r="O5565">
        <v>-0.99798350000000002</v>
      </c>
      <c r="P5565">
        <v>-5.9558439999999997E-2</v>
      </c>
      <c r="Q5565">
        <v>1.237979E-2</v>
      </c>
      <c r="R5565">
        <v>-0.99814849999999999</v>
      </c>
      <c r="S5565">
        <v>0.3785095</v>
      </c>
      <c r="T5565">
        <v>0.25148089999999901</v>
      </c>
      <c r="U5565">
        <v>-3.0253909999999999</v>
      </c>
      <c r="V5565">
        <v>-2.7303200000000001E-3</v>
      </c>
      <c r="W5565">
        <v>2.456829E-2</v>
      </c>
      <c r="X5565">
        <v>0.99969439999999998</v>
      </c>
      <c r="Y5565">
        <v>-0.18530279999999999</v>
      </c>
      <c r="Z5565">
        <v>-8.1562739999999995E-2</v>
      </c>
      <c r="AA5565">
        <v>0.97929069999999996</v>
      </c>
      <c r="AB5565">
        <v>21</v>
      </c>
      <c r="AC5565">
        <v>10.9101</v>
      </c>
      <c r="AD5565">
        <v>7.2400049999999903</v>
      </c>
      <c r="AE5565">
        <v>-86.899115999999907</v>
      </c>
      <c r="AF5565">
        <v>-16.1919863999819</v>
      </c>
      <c r="AG5565">
        <v>7.2400049999999903</v>
      </c>
      <c r="AH5565">
        <v>85.466576999137899</v>
      </c>
      <c r="AI5565">
        <v>85.242180856983893</v>
      </c>
      <c r="AJ5565">
        <v>100.727771542288</v>
      </c>
      <c r="AK5565">
        <v>87.287650214258804</v>
      </c>
      <c r="AL5565">
        <v>88.592198987967095</v>
      </c>
      <c r="AM5565">
        <v>90.156483245039198</v>
      </c>
      <c r="AN5565">
        <v>0.99999997445609201</v>
      </c>
    </row>
    <row r="5566" spans="1:40" x14ac:dyDescent="0.25">
      <c r="A5566" t="str">
        <f>"20190312160758153"</f>
        <v>20190312160758153</v>
      </c>
      <c r="B5566" t="str">
        <f>"1552378078150811"</f>
        <v>1552378078150811</v>
      </c>
      <c r="C5566" t="s">
        <v>40</v>
      </c>
      <c r="D5566">
        <v>5.4881609999999998</v>
      </c>
      <c r="E5566">
        <v>0.42918230000000002</v>
      </c>
      <c r="F5566" t="s">
        <v>94</v>
      </c>
      <c r="G5566">
        <v>-409.58330000000001</v>
      </c>
      <c r="H5566">
        <v>8.444293</v>
      </c>
      <c r="I5566">
        <v>1.880379</v>
      </c>
      <c r="J5566">
        <v>-420.6223</v>
      </c>
      <c r="K5566">
        <v>1.109693</v>
      </c>
      <c r="L5566">
        <v>88.572109999999995</v>
      </c>
      <c r="M5566">
        <v>-6.2579389999999999E-2</v>
      </c>
      <c r="N5566">
        <v>0</v>
      </c>
      <c r="O5566">
        <v>-0.99796700000000005</v>
      </c>
      <c r="P5566">
        <v>-5.9284990000000003E-2</v>
      </c>
      <c r="Q5566">
        <v>1.221068E-2</v>
      </c>
      <c r="R5566">
        <v>-0.99816660000000001</v>
      </c>
      <c r="S5566">
        <v>0.38385010000000003</v>
      </c>
      <c r="T5566">
        <v>0.2553511</v>
      </c>
      <c r="U5566">
        <v>-3.025299</v>
      </c>
      <c r="V5566">
        <v>-3.2952229999999999E-3</v>
      </c>
      <c r="W5566">
        <v>2.4276079999999998E-2</v>
      </c>
      <c r="X5566">
        <v>0.99969989999999997</v>
      </c>
      <c r="Y5566">
        <v>-0.18727550000000001</v>
      </c>
      <c r="Z5566">
        <v>-8.2784700000000003E-2</v>
      </c>
      <c r="AA5566">
        <v>0.97881280000000004</v>
      </c>
      <c r="AB5566">
        <v>21</v>
      </c>
      <c r="AC5566">
        <v>11.0389999999999</v>
      </c>
      <c r="AD5566">
        <v>7.3346</v>
      </c>
      <c r="AE5566">
        <v>-86.691730999999905</v>
      </c>
      <c r="AF5566">
        <v>-16.327859625876702</v>
      </c>
      <c r="AG5566">
        <v>7.3346</v>
      </c>
      <c r="AH5566">
        <v>85.230571115761606</v>
      </c>
      <c r="AI5566">
        <v>85.168898587476207</v>
      </c>
      <c r="AJ5566">
        <v>100.84491725372899</v>
      </c>
      <c r="AK5566">
        <v>87.089870879690906</v>
      </c>
      <c r="AL5566">
        <v>88.608946472203598</v>
      </c>
      <c r="AM5566">
        <v>90.188858363073393</v>
      </c>
      <c r="AN5566">
        <v>1.0000000383073899</v>
      </c>
    </row>
    <row r="5567" spans="1:40" x14ac:dyDescent="0.25">
      <c r="A5567" t="str">
        <f>"20190312160758177"</f>
        <v>20190312160758177</v>
      </c>
      <c r="B5567" t="str">
        <f>"1552378078171310"</f>
        <v>1552378078171310</v>
      </c>
      <c r="C5567" t="s">
        <v>40</v>
      </c>
      <c r="D5567">
        <v>5.437424</v>
      </c>
      <c r="E5567">
        <v>0.42913220000000002</v>
      </c>
      <c r="F5567" t="s">
        <v>94</v>
      </c>
      <c r="G5567">
        <v>-409.51479999999998</v>
      </c>
      <c r="H5567">
        <v>8.4906240000000004</v>
      </c>
      <c r="I5567">
        <v>1.8810770000000001</v>
      </c>
      <c r="J5567">
        <v>-420.63569999999999</v>
      </c>
      <c r="K5567">
        <v>1.109758</v>
      </c>
      <c r="L5567">
        <v>88.361149999999995</v>
      </c>
      <c r="M5567">
        <v>-6.2730800000000003E-2</v>
      </c>
      <c r="N5567">
        <v>0</v>
      </c>
      <c r="O5567">
        <v>-0.99795919999999905</v>
      </c>
      <c r="P5567">
        <v>-5.8202049999999998E-2</v>
      </c>
      <c r="Q5567">
        <v>1.172428E-2</v>
      </c>
      <c r="R5567">
        <v>-0.99823629999999997</v>
      </c>
      <c r="S5567">
        <v>0.38763429999999999</v>
      </c>
      <c r="T5567">
        <v>0.2575828</v>
      </c>
      <c r="U5567">
        <v>-3.0253909999999999</v>
      </c>
      <c r="V5567">
        <v>-4.5365980000000002E-3</v>
      </c>
      <c r="W5567">
        <v>2.3666860000000001E-2</v>
      </c>
      <c r="X5567">
        <v>0.99970959999999998</v>
      </c>
      <c r="Y5567">
        <v>-0.1886178</v>
      </c>
      <c r="Z5567">
        <v>-8.3481990000000006E-2</v>
      </c>
      <c r="AA5567">
        <v>0.97849580000000003</v>
      </c>
      <c r="AB5567">
        <v>21</v>
      </c>
      <c r="AC5567">
        <v>11.120900000000001</v>
      </c>
      <c r="AD5567">
        <v>7.3808660000000001</v>
      </c>
      <c r="AE5567">
        <v>-86.480072999999905</v>
      </c>
      <c r="AF5567">
        <v>-16.406777942981101</v>
      </c>
      <c r="AG5567">
        <v>7.3808660000000001</v>
      </c>
      <c r="AH5567">
        <v>85.002945412094107</v>
      </c>
      <c r="AI5567">
        <v>85.126910892840698</v>
      </c>
      <c r="AJ5567">
        <v>100.92455977839199</v>
      </c>
      <c r="AK5567">
        <v>86.885903771047396</v>
      </c>
      <c r="AL5567">
        <v>88.643862177572402</v>
      </c>
      <c r="AM5567">
        <v>90.260001639041306</v>
      </c>
      <c r="AN5567">
        <v>0.99999999265791595</v>
      </c>
    </row>
    <row r="5568" spans="1:40" x14ac:dyDescent="0.25">
      <c r="A5568" t="str">
        <f>"20190312160758198"</f>
        <v>20190312160758198</v>
      </c>
      <c r="B5568" t="str">
        <f>"1552378078190828"</f>
        <v>1552378078190828</v>
      </c>
      <c r="C5568" t="s">
        <v>40</v>
      </c>
      <c r="D5568">
        <v>5.4560000000000004</v>
      </c>
      <c r="E5568">
        <v>0.42911860000000002</v>
      </c>
      <c r="F5568" t="s">
        <v>94</v>
      </c>
      <c r="G5568">
        <v>-409.46159999999998</v>
      </c>
      <c r="H5568">
        <v>8.5046099999999996</v>
      </c>
      <c r="I5568">
        <v>1.8816170000000001</v>
      </c>
      <c r="J5568">
        <v>-420.64850000000001</v>
      </c>
      <c r="K5568">
        <v>1.1098140000000001</v>
      </c>
      <c r="L5568">
        <v>88.159149999999997</v>
      </c>
      <c r="M5568">
        <v>-6.2773270000000006E-2</v>
      </c>
      <c r="N5568">
        <v>0</v>
      </c>
      <c r="O5568">
        <v>-0.99795780000000001</v>
      </c>
      <c r="P5568">
        <v>-5.7441220000000001E-2</v>
      </c>
      <c r="Q5568">
        <v>1.1238949999999999E-2</v>
      </c>
      <c r="R5568">
        <v>-0.99828609999999895</v>
      </c>
      <c r="S5568">
        <v>0.39086910000000002</v>
      </c>
      <c r="T5568">
        <v>0.25867099999999998</v>
      </c>
      <c r="U5568">
        <v>-3.025055</v>
      </c>
      <c r="V5568">
        <v>-5.3456299999999997E-3</v>
      </c>
      <c r="W5568">
        <v>2.3068120000000001E-2</v>
      </c>
      <c r="X5568">
        <v>0.99971960000000004</v>
      </c>
      <c r="Y5568">
        <v>-0.1896987</v>
      </c>
      <c r="Z5568">
        <v>-8.382647E-2</v>
      </c>
      <c r="AA5568">
        <v>0.97825740000000005</v>
      </c>
      <c r="AB5568">
        <v>21</v>
      </c>
      <c r="AC5568">
        <v>11.1869</v>
      </c>
      <c r="AD5568">
        <v>7.3947960000000004</v>
      </c>
      <c r="AE5568">
        <v>-86.277532999999906</v>
      </c>
      <c r="AF5568">
        <v>-16.462202115218901</v>
      </c>
      <c r="AG5568">
        <v>7.3947960000000004</v>
      </c>
      <c r="AH5568">
        <v>84.792471355017895</v>
      </c>
      <c r="AI5568">
        <v>85.106727550984004</v>
      </c>
      <c r="AJ5568">
        <v>100.987117312243</v>
      </c>
      <c r="AK5568">
        <v>86.691696862245493</v>
      </c>
      <c r="AL5568">
        <v>88.678176827998797</v>
      </c>
      <c r="AM5568">
        <v>90.306365023590402</v>
      </c>
      <c r="AN5568">
        <v>0.99999999627229497</v>
      </c>
    </row>
    <row r="5569" spans="1:40" x14ac:dyDescent="0.25">
      <c r="A5569" t="str">
        <f>"20190312160758221"</f>
        <v>20190312160758221</v>
      </c>
      <c r="B5569" t="str">
        <f>"1552378078211326"</f>
        <v>1552378078211326</v>
      </c>
      <c r="C5569" t="s">
        <v>40</v>
      </c>
      <c r="D5569">
        <v>5.4335420000000001</v>
      </c>
      <c r="E5569">
        <v>0.42919770000000002</v>
      </c>
      <c r="F5569" t="s">
        <v>94</v>
      </c>
      <c r="G5569">
        <v>-409.40609999999998</v>
      </c>
      <c r="H5569">
        <v>8.4910839999999901</v>
      </c>
      <c r="I5569">
        <v>1.8821829999999999</v>
      </c>
      <c r="J5569">
        <v>-420.6617</v>
      </c>
      <c r="K5569">
        <v>1.1098570000000001</v>
      </c>
      <c r="L5569">
        <v>87.95035</v>
      </c>
      <c r="M5569">
        <v>-6.2735730000000003E-2</v>
      </c>
      <c r="N5569">
        <v>0</v>
      </c>
      <c r="O5569">
        <v>-0.99796149999999995</v>
      </c>
      <c r="P5569">
        <v>-5.6358140000000001E-2</v>
      </c>
      <c r="Q5569">
        <v>1.148272E-2</v>
      </c>
      <c r="R5569">
        <v>-0.99834500000000004</v>
      </c>
      <c r="S5569">
        <v>0.39416499999999999</v>
      </c>
      <c r="T5569">
        <v>0.25879170000000001</v>
      </c>
      <c r="U5569">
        <v>-3.0249329999999999</v>
      </c>
      <c r="V5569">
        <v>-6.3953079999999997E-3</v>
      </c>
      <c r="W5569">
        <v>2.3201590000000001E-2</v>
      </c>
      <c r="X5569">
        <v>0.99971030000000005</v>
      </c>
      <c r="Y5569">
        <v>-0.19071450000000001</v>
      </c>
      <c r="Z5569">
        <v>-8.3854750000000006E-2</v>
      </c>
      <c r="AA5569">
        <v>0.97805739999999997</v>
      </c>
      <c r="AB5569">
        <v>21</v>
      </c>
      <c r="AC5569">
        <v>11.255599999999999</v>
      </c>
      <c r="AD5569">
        <v>7.3812269999999902</v>
      </c>
      <c r="AE5569">
        <v>-86.068167000000003</v>
      </c>
      <c r="AF5569">
        <v>-16.513930055209102</v>
      </c>
      <c r="AG5569">
        <v>7.3812269999999902</v>
      </c>
      <c r="AH5569">
        <v>84.580811137134503</v>
      </c>
      <c r="AI5569">
        <v>85.104502411153504</v>
      </c>
      <c r="AJ5569">
        <v>101.047698727564</v>
      </c>
      <c r="AK5569">
        <v>86.493387091207694</v>
      </c>
      <c r="AL5569">
        <v>88.670527449881405</v>
      </c>
      <c r="AM5569">
        <v>90.366525341126206</v>
      </c>
      <c r="AN5569">
        <v>0.99999994883451504</v>
      </c>
    </row>
    <row r="5570" spans="1:40" x14ac:dyDescent="0.25">
      <c r="A5570" t="str">
        <f>"20190312160758310"</f>
        <v>20190312160758310</v>
      </c>
      <c r="B5570" t="str">
        <f>"1552378078301115"</f>
        <v>1552378078301115</v>
      </c>
      <c r="C5570" t="s">
        <v>40</v>
      </c>
      <c r="D5570">
        <v>4.8769159999999996</v>
      </c>
      <c r="E5570">
        <v>0.50585820000000004</v>
      </c>
      <c r="F5570" t="s">
        <v>94</v>
      </c>
      <c r="G5570">
        <v>-409.36720000000003</v>
      </c>
      <c r="H5570">
        <v>8.4851709999999994</v>
      </c>
      <c r="I5570">
        <v>1.8825780000000001</v>
      </c>
      <c r="J5570">
        <v>-420.71339999999998</v>
      </c>
      <c r="K5570">
        <v>1.1099220000000001</v>
      </c>
      <c r="L5570">
        <v>87.112579999999994</v>
      </c>
      <c r="M5570">
        <v>-6.1946849999999998E-2</v>
      </c>
      <c r="N5570">
        <v>0</v>
      </c>
      <c r="O5570">
        <v>-0.99801459999999997</v>
      </c>
      <c r="P5570">
        <v>-5.1047719999999998E-2</v>
      </c>
      <c r="Q5570">
        <v>1.1585109999999999E-2</v>
      </c>
      <c r="R5570">
        <v>-0.99862890000000004</v>
      </c>
      <c r="S5570">
        <v>0.39688109999999999</v>
      </c>
      <c r="T5570">
        <v>0.25916430000000001</v>
      </c>
      <c r="U5570">
        <v>-3.024384</v>
      </c>
      <c r="V5570">
        <v>-1.092774E-2</v>
      </c>
      <c r="W5570">
        <v>2.2952750000000001E-2</v>
      </c>
      <c r="X5570">
        <v>0.99967680000000003</v>
      </c>
      <c r="Y5570">
        <v>-0.1908233</v>
      </c>
      <c r="Z5570">
        <v>-8.3990199999999904E-2</v>
      </c>
      <c r="AA5570">
        <v>0.97802460000000002</v>
      </c>
      <c r="AB5570">
        <v>21</v>
      </c>
      <c r="AC5570">
        <v>11.3461999999999</v>
      </c>
      <c r="AD5570">
        <v>7.3752490000000002</v>
      </c>
      <c r="AE5570">
        <v>-85.230001999999999</v>
      </c>
      <c r="AF5570">
        <v>-16.483200500010401</v>
      </c>
      <c r="AG5570">
        <v>7.3752490000000002</v>
      </c>
      <c r="AH5570">
        <v>83.7472027745372</v>
      </c>
      <c r="AI5570">
        <v>85.061460607430305</v>
      </c>
      <c r="AJ5570">
        <v>101.134683043295</v>
      </c>
      <c r="AK5570">
        <v>85.671956725027599</v>
      </c>
      <c r="AL5570">
        <v>88.684788763950706</v>
      </c>
      <c r="AM5570">
        <v>90.626290861945094</v>
      </c>
      <c r="AN5570">
        <v>0.99999997434615395</v>
      </c>
    </row>
    <row r="5571" spans="1:40" x14ac:dyDescent="0.25">
      <c r="A5571" t="str">
        <f>"20190312160758333"</f>
        <v>20190312160758333</v>
      </c>
      <c r="B5571" t="str">
        <f>"1552378078321611"</f>
        <v>1552378078321611</v>
      </c>
      <c r="C5571" t="s">
        <v>40</v>
      </c>
      <c r="D5571">
        <v>5.2135379999999998</v>
      </c>
      <c r="E5571">
        <v>0.48922909999999997</v>
      </c>
      <c r="F5571" t="s">
        <v>44</v>
      </c>
      <c r="G5571">
        <v>-420.76139999999998</v>
      </c>
      <c r="H5571">
        <v>0.87574769999999902</v>
      </c>
      <c r="I5571">
        <v>86.430490000000006</v>
      </c>
      <c r="J5571">
        <v>-420.72590000000002</v>
      </c>
      <c r="K5571">
        <v>1.109926</v>
      </c>
      <c r="L5571">
        <v>86.906769999999995</v>
      </c>
      <c r="M5571">
        <v>-6.1664469999999999E-2</v>
      </c>
      <c r="N5571">
        <v>0</v>
      </c>
      <c r="O5571">
        <v>-0.9980329</v>
      </c>
      <c r="P5571">
        <v>-5.0118309999999999E-2</v>
      </c>
      <c r="Q5571">
        <v>1.1754540000000001E-2</v>
      </c>
      <c r="R5571">
        <v>-0.99867430000000001</v>
      </c>
      <c r="S5571">
        <v>-0.2118835</v>
      </c>
      <c r="T5571">
        <v>-1.03176</v>
      </c>
      <c r="U5571">
        <v>-3.0052490000000001</v>
      </c>
      <c r="V5571">
        <v>-1.1575999999999999E-2</v>
      </c>
      <c r="W5571">
        <v>2.3050950000000001E-2</v>
      </c>
      <c r="X5571">
        <v>0.99966730000000004</v>
      </c>
      <c r="Y5571">
        <v>4.8918939999999999E-3</v>
      </c>
      <c r="Z5571">
        <v>0.32346360000000002</v>
      </c>
      <c r="AA5571">
        <v>0.94622799999999996</v>
      </c>
      <c r="AB5571">
        <v>21</v>
      </c>
      <c r="AC5571">
        <v>-3.5499999999956303E-2</v>
      </c>
      <c r="AD5571">
        <v>-0.23417830000000001</v>
      </c>
      <c r="AE5571">
        <v>-0.47627999999998799</v>
      </c>
      <c r="AF5571">
        <v>4.8862670831563097E-3</v>
      </c>
      <c r="AG5571">
        <v>-0.23417830000000001</v>
      </c>
      <c r="AH5571">
        <v>0.38500221149506297</v>
      </c>
      <c r="AI5571">
        <v>121.308086176201</v>
      </c>
      <c r="AJ5571">
        <v>89.272867939749801</v>
      </c>
      <c r="AK5571">
        <v>0.45065513938375001</v>
      </c>
      <c r="AL5571">
        <v>88.679160903256204</v>
      </c>
      <c r="AM5571">
        <v>90.663447028864695</v>
      </c>
      <c r="AN5571">
        <v>1.00000003038059</v>
      </c>
    </row>
    <row r="5572" spans="1:40" x14ac:dyDescent="0.25">
      <c r="A5572" t="str">
        <f>"20190312160758355"</f>
        <v>20190312160758355</v>
      </c>
      <c r="B5572" t="str">
        <f>"1552378078350892"</f>
        <v>1552378078350892</v>
      </c>
      <c r="C5572" t="s">
        <v>40</v>
      </c>
      <c r="D5572">
        <v>5.450761</v>
      </c>
      <c r="E5572">
        <v>0.48946210000000001</v>
      </c>
      <c r="F5572" t="s">
        <v>44</v>
      </c>
      <c r="G5572">
        <v>-420.7432</v>
      </c>
      <c r="H5572">
        <v>0.94778340000000005</v>
      </c>
      <c r="I5572">
        <v>86.20881</v>
      </c>
      <c r="J5572">
        <v>-420.73849999999999</v>
      </c>
      <c r="K5572">
        <v>1.1099300000000001</v>
      </c>
      <c r="L5572">
        <v>86.695980000000006</v>
      </c>
      <c r="M5572">
        <v>-6.1363479999999998E-2</v>
      </c>
      <c r="N5572">
        <v>0</v>
      </c>
      <c r="O5572">
        <v>-0.9980523</v>
      </c>
      <c r="P5572">
        <v>-4.9659469999999997E-2</v>
      </c>
      <c r="Q5572">
        <v>1.117163E-2</v>
      </c>
      <c r="R5572">
        <v>-0.99870400000000004</v>
      </c>
      <c r="S5572">
        <v>-7.3577879999999998E-2</v>
      </c>
      <c r="T5572">
        <v>-0.69891380000000003</v>
      </c>
      <c r="U5572">
        <v>-3.0085139999999999</v>
      </c>
      <c r="V5572">
        <v>-1.173396E-2</v>
      </c>
      <c r="W5572">
        <v>2.240501E-2</v>
      </c>
      <c r="X5572">
        <v>0.99968009999999996</v>
      </c>
      <c r="Y5572">
        <v>-3.7576499999999999E-2</v>
      </c>
      <c r="Z5572">
        <v>0.2255423</v>
      </c>
      <c r="AA5572">
        <v>0.97350840000000005</v>
      </c>
      <c r="AB5572">
        <v>21</v>
      </c>
      <c r="AC5572">
        <v>-4.7000000000139101E-3</v>
      </c>
      <c r="AD5572">
        <v>-0.162146599999999</v>
      </c>
      <c r="AE5572">
        <v>-0.48717000000000599</v>
      </c>
      <c r="AF5572">
        <v>-2.2691679105886001E-2</v>
      </c>
      <c r="AG5572">
        <v>-0.162146599999999</v>
      </c>
      <c r="AH5572">
        <v>0.438021481277171</v>
      </c>
      <c r="AI5572">
        <v>110.288537920453</v>
      </c>
      <c r="AJ5572">
        <v>92.965553712079895</v>
      </c>
      <c r="AK5572">
        <v>0.46762084026746698</v>
      </c>
      <c r="AL5572">
        <v>88.716180044583993</v>
      </c>
      <c r="AM5572">
        <v>90.672490641848</v>
      </c>
      <c r="AN5572">
        <v>0.99999998631319498</v>
      </c>
    </row>
    <row r="5573" spans="1:40" x14ac:dyDescent="0.25">
      <c r="A5573" t="str">
        <f>"20190312160758378"</f>
        <v>20190312160758378</v>
      </c>
      <c r="B5573" t="str">
        <f>"1552378078371391"</f>
        <v>1552378078371391</v>
      </c>
      <c r="C5573" t="s">
        <v>40</v>
      </c>
      <c r="D5573">
        <v>5.3416050000000004</v>
      </c>
      <c r="E5573">
        <v>0.49030550000000001</v>
      </c>
      <c r="F5573" t="s">
        <v>44</v>
      </c>
      <c r="G5573">
        <v>-420.7593</v>
      </c>
      <c r="H5573">
        <v>0.98695699999999997</v>
      </c>
      <c r="I5573">
        <v>85.815250000000006</v>
      </c>
      <c r="J5573">
        <v>-420.75110000000001</v>
      </c>
      <c r="K5573">
        <v>1.109917</v>
      </c>
      <c r="L5573">
        <v>86.484470000000002</v>
      </c>
      <c r="M5573">
        <v>-6.1053759999999999E-2</v>
      </c>
      <c r="N5573">
        <v>0</v>
      </c>
      <c r="O5573">
        <v>-0.99807199999999996</v>
      </c>
      <c r="P5573">
        <v>-4.9437349999999998E-2</v>
      </c>
      <c r="Q5573">
        <v>1.1311119999999999E-2</v>
      </c>
      <c r="R5573">
        <v>-0.99871359999999998</v>
      </c>
      <c r="S5573">
        <v>-7.0190429999999998E-2</v>
      </c>
      <c r="T5573">
        <v>-0.4196222</v>
      </c>
      <c r="U5573">
        <v>-3.005096</v>
      </c>
      <c r="V5573">
        <v>-1.164623E-2</v>
      </c>
      <c r="W5573">
        <v>2.2490340000000001E-2</v>
      </c>
      <c r="X5573">
        <v>0.99967919999999999</v>
      </c>
      <c r="Y5573">
        <v>-3.7956829999999997E-2</v>
      </c>
      <c r="Z5573">
        <v>0.13784160000000001</v>
      </c>
      <c r="AA5573">
        <v>0.98972669999999996</v>
      </c>
      <c r="AB5573">
        <v>21</v>
      </c>
      <c r="AC5573">
        <v>-8.1999999999879895E-3</v>
      </c>
      <c r="AD5573">
        <v>-0.12296</v>
      </c>
      <c r="AE5573">
        <v>-0.66921999999999504</v>
      </c>
      <c r="AF5573">
        <v>-3.1609305516912399E-2</v>
      </c>
      <c r="AG5573">
        <v>-0.12296</v>
      </c>
      <c r="AH5573">
        <v>0.64664523707495902</v>
      </c>
      <c r="AI5573">
        <v>100.7537565236</v>
      </c>
      <c r="AJ5573">
        <v>92.798504134951401</v>
      </c>
      <c r="AK5573">
        <v>0.65899041907071199</v>
      </c>
      <c r="AL5573">
        <v>88.711289750730799</v>
      </c>
      <c r="AM5573">
        <v>90.6674637629459</v>
      </c>
      <c r="AN5573">
        <v>0.99999997648958305</v>
      </c>
    </row>
    <row r="5574" spans="1:40" x14ac:dyDescent="0.25">
      <c r="A5574" t="str">
        <f>"20190312160758399"</f>
        <v>20190312160758399</v>
      </c>
      <c r="B5574" t="str">
        <f>"1552378078390907"</f>
        <v>1552378078390907</v>
      </c>
      <c r="C5574" t="s">
        <v>40</v>
      </c>
      <c r="D5574">
        <v>5.398396</v>
      </c>
      <c r="E5574">
        <v>0.49028719999999998</v>
      </c>
      <c r="F5574" t="s">
        <v>44</v>
      </c>
      <c r="G5574">
        <v>-420.7731</v>
      </c>
      <c r="H5574">
        <v>1.010535</v>
      </c>
      <c r="I5574">
        <v>85.616780000000006</v>
      </c>
      <c r="J5574">
        <v>-420.76319999999998</v>
      </c>
      <c r="K5574">
        <v>1.1099030000000001</v>
      </c>
      <c r="L5574">
        <v>86.28116</v>
      </c>
      <c r="M5574">
        <v>-6.0754589999999997E-2</v>
      </c>
      <c r="N5574">
        <v>0</v>
      </c>
      <c r="O5574">
        <v>-0.9980909</v>
      </c>
      <c r="P5574">
        <v>-4.919275E-2</v>
      </c>
      <c r="Q5574">
        <v>1.14369E-2</v>
      </c>
      <c r="R5574">
        <v>-0.99872430000000001</v>
      </c>
      <c r="S5574">
        <v>-7.5622560000000005E-2</v>
      </c>
      <c r="T5574">
        <v>-0.34408440000000001</v>
      </c>
      <c r="U5574">
        <v>-3.0039980000000002</v>
      </c>
      <c r="V5574">
        <v>-1.158996E-2</v>
      </c>
      <c r="W5574">
        <v>2.2569949999999998E-2</v>
      </c>
      <c r="X5574">
        <v>0.99967810000000001</v>
      </c>
      <c r="Y5574">
        <v>-3.5782179999999997E-2</v>
      </c>
      <c r="Z5574">
        <v>0.11342960000000001</v>
      </c>
      <c r="AA5574">
        <v>0.99290149999999999</v>
      </c>
      <c r="AB5574">
        <v>21</v>
      </c>
      <c r="AC5574">
        <v>-9.9000000000160002E-3</v>
      </c>
      <c r="AD5574">
        <v>-9.9368000000000095E-2</v>
      </c>
      <c r="AE5574">
        <v>-0.66437999999999398</v>
      </c>
      <c r="AF5574">
        <v>-2.9818043738581899E-2</v>
      </c>
      <c r="AG5574">
        <v>-9.9368000000000095E-2</v>
      </c>
      <c r="AH5574">
        <v>0.64923412600351205</v>
      </c>
      <c r="AI5574">
        <v>98.692806472965799</v>
      </c>
      <c r="AJ5574">
        <v>92.629634290097002</v>
      </c>
      <c r="AK5574">
        <v>0.65747096173438802</v>
      </c>
      <c r="AL5574">
        <v>88.706727327529904</v>
      </c>
      <c r="AM5574">
        <v>90.664239861205203</v>
      </c>
      <c r="AN5574">
        <v>1.0000000167176999</v>
      </c>
    </row>
    <row r="5575" spans="1:40" x14ac:dyDescent="0.25">
      <c r="A5575" t="str">
        <f>"20190312160758422"</f>
        <v>20190312160758422</v>
      </c>
      <c r="B5575" t="str">
        <f>"1552378078411404"</f>
        <v>1552378078411404</v>
      </c>
      <c r="C5575" t="s">
        <v>40</v>
      </c>
      <c r="D5575">
        <v>5.3722519999999996</v>
      </c>
      <c r="E5575">
        <v>0.49051460000000002</v>
      </c>
      <c r="F5575" t="s">
        <v>44</v>
      </c>
      <c r="G5575">
        <v>-420.78480000000002</v>
      </c>
      <c r="H5575">
        <v>1.0185709999999999</v>
      </c>
      <c r="I5575">
        <v>85.424580000000006</v>
      </c>
      <c r="J5575">
        <v>-420.7758</v>
      </c>
      <c r="K5575">
        <v>1.1098859999999999</v>
      </c>
      <c r="L5575">
        <v>86.069059999999993</v>
      </c>
      <c r="M5575">
        <v>-6.0446470000000002E-2</v>
      </c>
      <c r="N5575">
        <v>0</v>
      </c>
      <c r="O5575">
        <v>-0.99810989999999999</v>
      </c>
      <c r="P5575">
        <v>-4.8931290000000002E-2</v>
      </c>
      <c r="Q5575">
        <v>1.150907E-2</v>
      </c>
      <c r="R5575">
        <v>-0.99873610000000002</v>
      </c>
      <c r="S5575">
        <v>-7.4798580000000003E-2</v>
      </c>
      <c r="T5575">
        <v>-0.3203375</v>
      </c>
      <c r="U5575">
        <v>-3.0038149999999999</v>
      </c>
      <c r="V5575">
        <v>-1.154228E-2</v>
      </c>
      <c r="W5575">
        <v>2.2599979999999999E-2</v>
      </c>
      <c r="X5575">
        <v>0.99967799999999996</v>
      </c>
      <c r="Y5575">
        <v>-3.5723110000000002E-2</v>
      </c>
      <c r="Z5575">
        <v>0.1057022</v>
      </c>
      <c r="AA5575">
        <v>0.99375590000000003</v>
      </c>
      <c r="AB5575">
        <v>21</v>
      </c>
      <c r="AC5575">
        <v>-9.0000000000145502E-3</v>
      </c>
      <c r="AD5575">
        <v>-9.1315000000000202E-2</v>
      </c>
      <c r="AE5575">
        <v>-0.64447999999998695</v>
      </c>
      <c r="AF5575">
        <v>-2.9385579405854002E-2</v>
      </c>
      <c r="AG5575">
        <v>-9.1315000000000202E-2</v>
      </c>
      <c r="AH5575">
        <v>0.63117674789853195</v>
      </c>
      <c r="AI5575">
        <v>98.223319268308401</v>
      </c>
      <c r="AJ5575">
        <v>92.665584230661096</v>
      </c>
      <c r="AK5575">
        <v>0.63842464597616</v>
      </c>
      <c r="AL5575">
        <v>88.705006331005194</v>
      </c>
      <c r="AM5575">
        <v>90.661507550694395</v>
      </c>
      <c r="AN5575">
        <v>1.0000000435037899</v>
      </c>
    </row>
    <row r="5576" spans="1:40" x14ac:dyDescent="0.25">
      <c r="A5576" t="str">
        <f>"20190312160758445"</f>
        <v>20190312160758445</v>
      </c>
      <c r="B5576" t="str">
        <f>"1552378078441659"</f>
        <v>1552378078441659</v>
      </c>
      <c r="C5576" t="s">
        <v>40</v>
      </c>
      <c r="D5576">
        <v>5.4459179999999998</v>
      </c>
      <c r="E5576">
        <v>0.49113469999999998</v>
      </c>
      <c r="F5576" t="s">
        <v>44</v>
      </c>
      <c r="G5576">
        <v>-420.79689999999999</v>
      </c>
      <c r="H5576">
        <v>1.024106</v>
      </c>
      <c r="I5576">
        <v>85.232479999999995</v>
      </c>
      <c r="J5576">
        <v>-420.7885</v>
      </c>
      <c r="K5576">
        <v>1.109869</v>
      </c>
      <c r="L5576">
        <v>85.851839999999996</v>
      </c>
      <c r="M5576">
        <v>-6.0140220000000001E-2</v>
      </c>
      <c r="N5576">
        <v>0</v>
      </c>
      <c r="O5576">
        <v>-0.99812869999999998</v>
      </c>
      <c r="P5576">
        <v>-4.8518289999999999E-2</v>
      </c>
      <c r="Q5576">
        <v>1.1356420000000001E-2</v>
      </c>
      <c r="R5576">
        <v>-0.99875780000000003</v>
      </c>
      <c r="S5576">
        <v>-7.5561519999999993E-2</v>
      </c>
      <c r="T5576">
        <v>-0.30798880000000001</v>
      </c>
      <c r="U5576">
        <v>-3.0036320000000001</v>
      </c>
      <c r="V5576">
        <v>-1.1648149999999999E-2</v>
      </c>
      <c r="W5576">
        <v>2.24093E-2</v>
      </c>
      <c r="X5576">
        <v>0.99968100000000004</v>
      </c>
      <c r="Y5576">
        <v>-3.5152120000000002E-2</v>
      </c>
      <c r="Z5576">
        <v>0.1016803</v>
      </c>
      <c r="AA5576">
        <v>0.99419590000000002</v>
      </c>
      <c r="AB5576">
        <v>21</v>
      </c>
      <c r="AC5576">
        <v>-8.3999999999946305E-3</v>
      </c>
      <c r="AD5576">
        <v>-8.5763000000000006E-2</v>
      </c>
      <c r="AE5576">
        <v>-0.61935999999998603</v>
      </c>
      <c r="AF5576">
        <v>-2.8322964326334001E-2</v>
      </c>
      <c r="AG5576">
        <v>-8.5763000000000006E-2</v>
      </c>
      <c r="AH5576">
        <v>0.60710546849445202</v>
      </c>
      <c r="AI5576">
        <v>98.032084866910495</v>
      </c>
      <c r="AJ5576">
        <v>92.671052449352402</v>
      </c>
      <c r="AK5576">
        <v>0.61378704153240304</v>
      </c>
      <c r="AL5576">
        <v>88.715934174492403</v>
      </c>
      <c r="AM5576">
        <v>90.667572589301201</v>
      </c>
      <c r="AN5576">
        <v>0.999999978942956</v>
      </c>
    </row>
    <row r="5577" spans="1:40" x14ac:dyDescent="0.25">
      <c r="A5577" t="str">
        <f>"20190312160758468"</f>
        <v>20190312160758468</v>
      </c>
      <c r="B5577" t="str">
        <f>"1552378078461179"</f>
        <v>1552378078461179</v>
      </c>
      <c r="C5577" t="s">
        <v>40</v>
      </c>
      <c r="D5577">
        <v>5.3491739999999997</v>
      </c>
      <c r="E5577">
        <v>0.49119200000000002</v>
      </c>
      <c r="F5577" t="s">
        <v>44</v>
      </c>
      <c r="G5577">
        <v>-420.81079999999997</v>
      </c>
      <c r="H5577">
        <v>1.0302899999999999</v>
      </c>
      <c r="I5577">
        <v>85.029659999999893</v>
      </c>
      <c r="J5577">
        <v>-420.80070000000001</v>
      </c>
      <c r="K5577">
        <v>1.109855</v>
      </c>
      <c r="L5577">
        <v>85.643919999999994</v>
      </c>
      <c r="M5577">
        <v>-5.9857349999999997E-2</v>
      </c>
      <c r="N5577">
        <v>0</v>
      </c>
      <c r="O5577">
        <v>-0.99814630000000004</v>
      </c>
      <c r="P5577">
        <v>-4.7882590000000003E-2</v>
      </c>
      <c r="Q5577">
        <v>1.1350799999999999E-2</v>
      </c>
      <c r="R5577">
        <v>-0.99878880000000003</v>
      </c>
      <c r="S5577">
        <v>-7.9223630000000003E-2</v>
      </c>
      <c r="T5577">
        <v>-0.29079700000000003</v>
      </c>
      <c r="U5577">
        <v>-3.0032040000000002</v>
      </c>
      <c r="V5577">
        <v>-1.200091E-2</v>
      </c>
      <c r="W5577">
        <v>2.2368780000000001E-2</v>
      </c>
      <c r="X5577">
        <v>0.99967779999999995</v>
      </c>
      <c r="Y5577">
        <v>-3.3639049999999997E-2</v>
      </c>
      <c r="Z5577">
        <v>9.6075709999999995E-2</v>
      </c>
      <c r="AA5577">
        <v>0.99480550000000001</v>
      </c>
      <c r="AB5577">
        <v>21</v>
      </c>
      <c r="AC5577">
        <v>-1.00999999999658E-2</v>
      </c>
      <c r="AD5577">
        <v>-7.9565000000000094E-2</v>
      </c>
      <c r="AE5577">
        <v>-0.61426000000000103</v>
      </c>
      <c r="AF5577">
        <v>-2.6248043581993299E-2</v>
      </c>
      <c r="AG5577">
        <v>-7.9565000000000094E-2</v>
      </c>
      <c r="AH5577">
        <v>0.60363796993447605</v>
      </c>
      <c r="AI5577">
        <v>97.501813769954893</v>
      </c>
      <c r="AJ5577">
        <v>92.4898290325864</v>
      </c>
      <c r="AK5577">
        <v>0.60942460383832397</v>
      </c>
      <c r="AL5577">
        <v>88.718256465008295</v>
      </c>
      <c r="AM5577">
        <v>90.687790070973605</v>
      </c>
      <c r="AN5577">
        <v>1.00000004398617</v>
      </c>
    </row>
    <row r="5578" spans="1:40" x14ac:dyDescent="0.25">
      <c r="A5578" t="str">
        <f>"20190312160758490"</f>
        <v>20190312160758490</v>
      </c>
      <c r="B5578" t="str">
        <f>"1552378078481675"</f>
        <v>1552378078481675</v>
      </c>
      <c r="C5578" t="s">
        <v>40</v>
      </c>
      <c r="D5578">
        <v>6.585566</v>
      </c>
      <c r="E5578">
        <v>0.4912396</v>
      </c>
      <c r="F5578" t="s">
        <v>47</v>
      </c>
      <c r="G5578">
        <v>-421.10730000000001</v>
      </c>
      <c r="H5578" s="1">
        <v>-2.1299690000000001E-6</v>
      </c>
      <c r="I5578">
        <v>73.867350000000002</v>
      </c>
      <c r="J5578">
        <v>-420.81310000000002</v>
      </c>
      <c r="K5578">
        <v>1.1098440000000001</v>
      </c>
      <c r="L5578">
        <v>85.431579999999997</v>
      </c>
      <c r="M5578">
        <v>-5.9577360000000003E-2</v>
      </c>
      <c r="N5578">
        <v>0</v>
      </c>
      <c r="O5578">
        <v>-0.99816349999999998</v>
      </c>
      <c r="P5578">
        <v>-4.7207319999999997E-2</v>
      </c>
      <c r="Q5578">
        <v>1.156109E-2</v>
      </c>
      <c r="R5578">
        <v>-0.99881880000000001</v>
      </c>
      <c r="S5578">
        <v>-7.8186039999999998E-2</v>
      </c>
      <c r="T5578">
        <v>-0.28302159999999998</v>
      </c>
      <c r="U5578">
        <v>-3.0031129999999999</v>
      </c>
      <c r="V5578">
        <v>-1.239556E-2</v>
      </c>
      <c r="W5578">
        <v>2.2542300000000001E-2</v>
      </c>
      <c r="X5578">
        <v>0.99966900000000003</v>
      </c>
      <c r="Y5578">
        <v>-3.3695049999999997E-2</v>
      </c>
      <c r="Z5578">
        <v>9.3535199999999999E-2</v>
      </c>
      <c r="AA5578">
        <v>0.99504559999999997</v>
      </c>
      <c r="AB5578">
        <v>21</v>
      </c>
      <c r="AC5578">
        <v>-0.29419999999998903</v>
      </c>
      <c r="AD5578">
        <v>-1.1098461299689999</v>
      </c>
      <c r="AE5578">
        <v>-11.56423</v>
      </c>
      <c r="AF5578">
        <v>-0.39172462549729198</v>
      </c>
      <c r="AG5578">
        <v>-1.1098461299689999</v>
      </c>
      <c r="AH5578">
        <v>11.4557673422392</v>
      </c>
      <c r="AI5578">
        <v>95.530390294454904</v>
      </c>
      <c r="AJ5578">
        <v>91.958439404256595</v>
      </c>
      <c r="AK5578">
        <v>11.5160675585871</v>
      </c>
      <c r="AL5578">
        <v>88.708311882311605</v>
      </c>
      <c r="AM5578">
        <v>90.710412023611795</v>
      </c>
      <c r="AN5578">
        <v>0.99999995737900005</v>
      </c>
    </row>
    <row r="5579" spans="1:40" x14ac:dyDescent="0.25">
      <c r="A5579" t="str">
        <f>"20190312160758512"</f>
        <v>20190312160758512</v>
      </c>
      <c r="B5579" t="str">
        <f>"1552378078501196"</f>
        <v>1552378078501196</v>
      </c>
      <c r="C5579" t="s">
        <v>40</v>
      </c>
      <c r="D5579">
        <v>5.4292999999999996</v>
      </c>
      <c r="E5579">
        <v>0.49122880000000002</v>
      </c>
      <c r="F5579" t="s">
        <v>47</v>
      </c>
      <c r="G5579">
        <v>-421.12110000000001</v>
      </c>
      <c r="H5579" s="1">
        <v>-1.850771E-6</v>
      </c>
      <c r="I5579">
        <v>73.207939999999994</v>
      </c>
      <c r="J5579">
        <v>-420.8254</v>
      </c>
      <c r="K5579">
        <v>1.1098319999999999</v>
      </c>
      <c r="L5579">
        <v>85.219569999999905</v>
      </c>
      <c r="M5579">
        <v>-5.9302189999999998E-2</v>
      </c>
      <c r="N5579">
        <v>0</v>
      </c>
      <c r="O5579">
        <v>-0.99817999999999996</v>
      </c>
      <c r="P5579">
        <v>-4.6679680000000001E-2</v>
      </c>
      <c r="Q5579">
        <v>1.124236E-2</v>
      </c>
      <c r="R5579">
        <v>-0.99884709999999999</v>
      </c>
      <c r="S5579">
        <v>-7.5683589999999995E-2</v>
      </c>
      <c r="T5579">
        <v>-0.27266760000000001</v>
      </c>
      <c r="U5579">
        <v>-3.0031129999999999</v>
      </c>
      <c r="V5579">
        <v>-1.2648299999999999E-2</v>
      </c>
      <c r="W5579">
        <v>2.2188099999999999E-2</v>
      </c>
      <c r="X5579">
        <v>0.99967379999999995</v>
      </c>
      <c r="Y5579">
        <v>-3.4240230000000003E-2</v>
      </c>
      <c r="Z5579">
        <v>9.0144139999999998E-2</v>
      </c>
      <c r="AA5579">
        <v>0.99534</v>
      </c>
      <c r="AB5579">
        <v>21</v>
      </c>
      <c r="AC5579">
        <v>-0.29570000000001001</v>
      </c>
      <c r="AD5579">
        <v>-1.1098338507709999</v>
      </c>
      <c r="AE5579">
        <v>-12.011629999999901</v>
      </c>
      <c r="AF5579">
        <v>-0.41364991159138698</v>
      </c>
      <c r="AG5579">
        <v>-1.1098338507709999</v>
      </c>
      <c r="AH5579">
        <v>11.9064393304751</v>
      </c>
      <c r="AI5579">
        <v>95.3221261673079</v>
      </c>
      <c r="AJ5579">
        <v>91.989752353979199</v>
      </c>
      <c r="AK5579">
        <v>11.9652051781807</v>
      </c>
      <c r="AL5579">
        <v>88.728611178606997</v>
      </c>
      <c r="AM5579">
        <v>90.724892000871293</v>
      </c>
      <c r="AN5579">
        <v>0.99999999884046997</v>
      </c>
    </row>
    <row r="5580" spans="1:40" x14ac:dyDescent="0.25">
      <c r="A5580" t="str">
        <f>"20190312160758557"</f>
        <v>20190312160758557</v>
      </c>
      <c r="B5580" t="str">
        <f>"1552378078541211"</f>
        <v>1552378078541211</v>
      </c>
      <c r="C5580" t="s">
        <v>40</v>
      </c>
      <c r="D5580">
        <v>5.6781470000000001</v>
      </c>
      <c r="E5580">
        <v>0.49118220000000001</v>
      </c>
      <c r="F5580" t="s">
        <v>47</v>
      </c>
      <c r="G5580">
        <v>-421.1397</v>
      </c>
      <c r="H5580" s="1">
        <v>-1.5533020000000001E-6</v>
      </c>
      <c r="I5580">
        <v>72.503039999999999</v>
      </c>
      <c r="J5580">
        <v>-420.84969999999998</v>
      </c>
      <c r="K5580">
        <v>1.1098129999999999</v>
      </c>
      <c r="L5580">
        <v>84.799219999999906</v>
      </c>
      <c r="M5580">
        <v>-5.8754969999999997E-2</v>
      </c>
      <c r="N5580">
        <v>0</v>
      </c>
      <c r="O5580">
        <v>-0.99821289999999996</v>
      </c>
      <c r="P5580">
        <v>-4.6229300000000001E-2</v>
      </c>
      <c r="Q5580">
        <v>1.1166830000000001E-2</v>
      </c>
      <c r="R5580">
        <v>-0.99886870000000005</v>
      </c>
      <c r="S5580">
        <v>-7.421875E-2</v>
      </c>
      <c r="T5580">
        <v>-0.2620827</v>
      </c>
      <c r="U5580">
        <v>-3.0029599999999999</v>
      </c>
      <c r="V5580">
        <v>-1.255061E-2</v>
      </c>
      <c r="W5580">
        <v>2.205795E-2</v>
      </c>
      <c r="X5580">
        <v>0.99967790000000001</v>
      </c>
      <c r="Y5580">
        <v>-3.4168650000000002E-2</v>
      </c>
      <c r="Z5580">
        <v>8.6680899999999894E-2</v>
      </c>
      <c r="AA5580">
        <v>0.99565000000000003</v>
      </c>
      <c r="AB5580">
        <v>21</v>
      </c>
      <c r="AC5580">
        <v>-0.29000000000002002</v>
      </c>
      <c r="AD5580">
        <v>-1.1098145533020001</v>
      </c>
      <c r="AE5580">
        <v>-12.2961799999999</v>
      </c>
      <c r="AF5580">
        <v>-0.42950871844560701</v>
      </c>
      <c r="AG5580">
        <v>-1.1098145533020001</v>
      </c>
      <c r="AH5580">
        <v>12.1927047551961</v>
      </c>
      <c r="AI5580">
        <v>95.197686198019298</v>
      </c>
      <c r="AJ5580">
        <v>92.017506829993494</v>
      </c>
      <c r="AK5580">
        <v>12.2506414252203</v>
      </c>
      <c r="AL5580">
        <v>88.7360700353249</v>
      </c>
      <c r="AM5580">
        <v>90.719290889286995</v>
      </c>
      <c r="AN5580">
        <v>0.99999998735899198</v>
      </c>
    </row>
    <row r="5581" spans="1:40" x14ac:dyDescent="0.25">
      <c r="A5581" t="str">
        <f>"20190312160758580"</f>
        <v>20190312160758580</v>
      </c>
      <c r="B5581" t="str">
        <f>"1552378078571470"</f>
        <v>1552378078571470</v>
      </c>
      <c r="C5581" t="s">
        <v>40</v>
      </c>
      <c r="D5581">
        <v>5.4050039999999999</v>
      </c>
      <c r="E5581">
        <v>0.46210639999999997</v>
      </c>
      <c r="F5581" t="s">
        <v>47</v>
      </c>
      <c r="G5581">
        <v>-421.17259999999999</v>
      </c>
      <c r="H5581" s="1">
        <v>-1.088116E-6</v>
      </c>
      <c r="I5581">
        <v>71.398259999999993</v>
      </c>
      <c r="J5581">
        <v>-420.86200000000002</v>
      </c>
      <c r="K5581">
        <v>1.109812</v>
      </c>
      <c r="L5581">
        <v>84.583190000000002</v>
      </c>
      <c r="M5581">
        <v>-5.8470719999999997E-2</v>
      </c>
      <c r="N5581">
        <v>0</v>
      </c>
      <c r="O5581">
        <v>-0.9982299</v>
      </c>
      <c r="P5581">
        <v>-4.6489330000000002E-2</v>
      </c>
      <c r="Q5581">
        <v>1.0826860000000001E-2</v>
      </c>
      <c r="R5581">
        <v>-0.99886039999999998</v>
      </c>
      <c r="S5581">
        <v>-7.2357179999999993E-2</v>
      </c>
      <c r="T5581">
        <v>-0.24868309999999999</v>
      </c>
      <c r="U5581">
        <v>-3.0028380000000001</v>
      </c>
      <c r="V5581">
        <v>-1.200585E-2</v>
      </c>
      <c r="W5581">
        <v>2.1694689999999999E-2</v>
      </c>
      <c r="X5581">
        <v>0.99969260000000004</v>
      </c>
      <c r="Y5581">
        <v>-3.4490930000000003E-2</v>
      </c>
      <c r="Z5581">
        <v>8.2285620000000004E-2</v>
      </c>
      <c r="AA5581">
        <v>0.9960118</v>
      </c>
      <c r="AB5581">
        <v>21</v>
      </c>
      <c r="AC5581">
        <v>-0.31060000000002203</v>
      </c>
      <c r="AD5581">
        <v>-1.109813088116</v>
      </c>
      <c r="AE5581">
        <v>-13.18493</v>
      </c>
      <c r="AF5581">
        <v>-0.45766857888318802</v>
      </c>
      <c r="AG5581">
        <v>-1.109813088116</v>
      </c>
      <c r="AH5581">
        <v>13.0878547165958</v>
      </c>
      <c r="AI5581">
        <v>94.843978314057196</v>
      </c>
      <c r="AJ5581">
        <v>92.002757355166594</v>
      </c>
      <c r="AK5581">
        <v>13.1427960001428</v>
      </c>
      <c r="AL5581">
        <v>88.756888357159198</v>
      </c>
      <c r="AM5581">
        <v>90.688062976900397</v>
      </c>
      <c r="AN5581">
        <v>1.00000004725158</v>
      </c>
    </row>
    <row r="5582" spans="1:40" x14ac:dyDescent="0.25">
      <c r="A5582" t="str">
        <f>"20190312160758601"</f>
        <v>20190312160758601</v>
      </c>
      <c r="B5582" t="str">
        <f>"1552378078590988"</f>
        <v>1552378078590988</v>
      </c>
      <c r="C5582" t="s">
        <v>40</v>
      </c>
      <c r="D5582">
        <v>5.4507709999999996</v>
      </c>
      <c r="E5582">
        <v>0.42295700000000003</v>
      </c>
      <c r="F5582" t="s">
        <v>47</v>
      </c>
      <c r="G5582">
        <v>-419.34120000000001</v>
      </c>
      <c r="H5582" s="1">
        <v>-2.8658210000000001E-6</v>
      </c>
      <c r="I5582">
        <v>56.040689999999998</v>
      </c>
      <c r="J5582">
        <v>-420.87369999999999</v>
      </c>
      <c r="K5582">
        <v>1.1098110000000001</v>
      </c>
      <c r="L5582">
        <v>84.378360000000001</v>
      </c>
      <c r="M5582">
        <v>-5.8199649999999999E-2</v>
      </c>
      <c r="N5582">
        <v>0</v>
      </c>
      <c r="O5582">
        <v>-0.99824610000000003</v>
      </c>
      <c r="P5582">
        <v>-4.6492350000000002E-2</v>
      </c>
      <c r="Q5582">
        <v>1.122014E-2</v>
      </c>
      <c r="R5582">
        <v>-0.99885590000000002</v>
      </c>
      <c r="S5582">
        <v>0.16049189999999999</v>
      </c>
      <c r="T5582">
        <v>-0.1171222</v>
      </c>
      <c r="U5582">
        <v>-3.0121769999999999</v>
      </c>
      <c r="V5582">
        <v>-1.173071E-2</v>
      </c>
      <c r="W5582">
        <v>2.2067489999999999E-2</v>
      </c>
      <c r="X5582">
        <v>0.99968769999999996</v>
      </c>
      <c r="Y5582">
        <v>-0.11119610000000001</v>
      </c>
      <c r="Z5582">
        <v>3.8606880000000003E-2</v>
      </c>
      <c r="AA5582">
        <v>0.99304829999999999</v>
      </c>
      <c r="AB5582">
        <v>21</v>
      </c>
      <c r="AC5582">
        <v>1.53249999999997</v>
      </c>
      <c r="AD5582">
        <v>-1.1098138658209999</v>
      </c>
      <c r="AE5582">
        <v>-28.337669999999999</v>
      </c>
      <c r="AF5582">
        <v>-3.1743867361737701</v>
      </c>
      <c r="AG5582">
        <v>-1.1098138658209999</v>
      </c>
      <c r="AH5582">
        <v>28.1573726045755</v>
      </c>
      <c r="AI5582">
        <v>92.242932690369599</v>
      </c>
      <c r="AJ5582">
        <v>96.432213889761201</v>
      </c>
      <c r="AK5582">
        <v>28.357469033051299</v>
      </c>
      <c r="AL5582">
        <v>88.735523367835</v>
      </c>
      <c r="AM5582">
        <v>90.6722992859887</v>
      </c>
      <c r="AN5582">
        <v>1.0000000406016401</v>
      </c>
    </row>
    <row r="5583" spans="1:40" x14ac:dyDescent="0.25">
      <c r="A5583" t="str">
        <f>"20190312160758624"</f>
        <v>20190312160758624</v>
      </c>
      <c r="B5583" t="str">
        <f>"1552378078611484"</f>
        <v>1552378078611484</v>
      </c>
      <c r="C5583" t="s">
        <v>40</v>
      </c>
      <c r="D5583">
        <v>5.3629530000000001</v>
      </c>
      <c r="E5583">
        <v>0.41925560000000001</v>
      </c>
      <c r="F5583" t="s">
        <v>94</v>
      </c>
      <c r="G5583">
        <v>-407.65390000000002</v>
      </c>
      <c r="H5583">
        <v>7.3537410000000003</v>
      </c>
      <c r="I5583">
        <v>0.60296629999999996</v>
      </c>
      <c r="J5583">
        <v>-420.88560000000001</v>
      </c>
      <c r="K5583">
        <v>1.10981</v>
      </c>
      <c r="L5583">
        <v>84.169460000000001</v>
      </c>
      <c r="M5583">
        <v>-5.7922179999999997E-2</v>
      </c>
      <c r="N5583">
        <v>0</v>
      </c>
      <c r="O5583">
        <v>-0.99826230000000005</v>
      </c>
      <c r="P5583">
        <v>-4.5735669999999999E-2</v>
      </c>
      <c r="Q5583">
        <v>1.118947E-2</v>
      </c>
      <c r="R5583">
        <v>-0.99889110000000003</v>
      </c>
      <c r="S5583">
        <v>0.4770508</v>
      </c>
      <c r="T5583">
        <v>0.2253184</v>
      </c>
      <c r="U5583">
        <v>-3.0231319999999999</v>
      </c>
      <c r="V5583">
        <v>-1.2210749999999999E-2</v>
      </c>
      <c r="W5583">
        <v>2.2018389999999999E-2</v>
      </c>
      <c r="X5583">
        <v>0.99968299999999999</v>
      </c>
      <c r="Y5583">
        <v>-0.21241070000000001</v>
      </c>
      <c r="Z5583">
        <v>-7.2841290000000003E-2</v>
      </c>
      <c r="AA5583">
        <v>0.97446180000000004</v>
      </c>
      <c r="AB5583">
        <v>21</v>
      </c>
      <c r="AC5583">
        <v>13.231699999999901</v>
      </c>
      <c r="AD5583">
        <v>6.2439309999999999</v>
      </c>
      <c r="AE5583">
        <v>-83.566493699999995</v>
      </c>
      <c r="AF5583">
        <v>-17.952347284239298</v>
      </c>
      <c r="AG5583">
        <v>6.2439309999999999</v>
      </c>
      <c r="AH5583">
        <v>82.211976209757694</v>
      </c>
      <c r="AI5583">
        <v>85.756391114835097</v>
      </c>
      <c r="AJ5583">
        <v>102.318119938303</v>
      </c>
      <c r="AK5583">
        <v>84.380581176361005</v>
      </c>
      <c r="AL5583">
        <v>88.738337230795693</v>
      </c>
      <c r="AM5583">
        <v>90.6998114890919</v>
      </c>
      <c r="AN5583">
        <v>1.0000000062013701</v>
      </c>
    </row>
    <row r="5584" spans="1:40" x14ac:dyDescent="0.25">
      <c r="A5584" t="str">
        <f>"20190312160758647"</f>
        <v>20190312160758647</v>
      </c>
      <c r="B5584" t="str">
        <f>"1552378078640763"</f>
        <v>1552378078640763</v>
      </c>
      <c r="C5584" t="s">
        <v>40</v>
      </c>
      <c r="D5584">
        <v>5.5119109999999996</v>
      </c>
      <c r="E5584">
        <v>0.4169273</v>
      </c>
      <c r="F5584" t="s">
        <v>94</v>
      </c>
      <c r="G5584">
        <v>-407.03149999999999</v>
      </c>
      <c r="H5584">
        <v>8.4201630000000005</v>
      </c>
      <c r="I5584">
        <v>1.9063319999999999</v>
      </c>
      <c r="J5584">
        <v>-420.89789999999999</v>
      </c>
      <c r="K5584">
        <v>1.109799</v>
      </c>
      <c r="L5584">
        <v>83.951509999999999</v>
      </c>
      <c r="M5584">
        <v>-5.7631660000000001E-2</v>
      </c>
      <c r="N5584">
        <v>0</v>
      </c>
      <c r="O5584">
        <v>-0.99827949999999999</v>
      </c>
      <c r="P5584">
        <v>-4.5557550000000002E-2</v>
      </c>
      <c r="Q5584">
        <v>1.1132049999999999E-2</v>
      </c>
      <c r="R5584">
        <v>-0.99890009999999996</v>
      </c>
      <c r="S5584">
        <v>0.50921629999999996</v>
      </c>
      <c r="T5584">
        <v>0.26869710000000002</v>
      </c>
      <c r="U5584">
        <v>-3.0236510000000001</v>
      </c>
      <c r="V5584">
        <v>-1.2097790000000001E-2</v>
      </c>
      <c r="W5584">
        <v>2.1944970000000001E-2</v>
      </c>
      <c r="X5584">
        <v>0.99968599999999996</v>
      </c>
      <c r="Y5584">
        <v>-0.2220036</v>
      </c>
      <c r="Z5584">
        <v>-8.6585369999999995E-2</v>
      </c>
      <c r="AA5584">
        <v>0.9711938</v>
      </c>
      <c r="AB5584">
        <v>21</v>
      </c>
      <c r="AC5584">
        <v>13.866400000000001</v>
      </c>
      <c r="AD5584">
        <v>7.3103639999999999</v>
      </c>
      <c r="AE5584">
        <v>-82.045177999999893</v>
      </c>
      <c r="AF5584">
        <v>-18.429773047558999</v>
      </c>
      <c r="AG5584">
        <v>7.3103639999999999</v>
      </c>
      <c r="AH5584">
        <v>80.488345581389197</v>
      </c>
      <c r="AI5584">
        <v>84.940573355542796</v>
      </c>
      <c r="AJ5584">
        <v>102.896943463242</v>
      </c>
      <c r="AK5584">
        <v>82.894340764772195</v>
      </c>
      <c r="AL5584">
        <v>88.742544918945697</v>
      </c>
      <c r="AM5584">
        <v>90.693336181936004</v>
      </c>
      <c r="AN5584">
        <v>1.00000001841359</v>
      </c>
    </row>
    <row r="5585" spans="1:40" x14ac:dyDescent="0.25">
      <c r="A5585" t="str">
        <f>"20190312160758668"</f>
        <v>20190312160758668</v>
      </c>
      <c r="B5585" t="str">
        <f>"1552378078661263"</f>
        <v>1552378078661263</v>
      </c>
      <c r="C5585" t="s">
        <v>40</v>
      </c>
      <c r="D5585">
        <v>5.5383269999999998</v>
      </c>
      <c r="E5585">
        <v>0.41700019999999999</v>
      </c>
      <c r="F5585" t="s">
        <v>94</v>
      </c>
      <c r="G5585">
        <v>-406.33499999999998</v>
      </c>
      <c r="H5585">
        <v>9.1264160000000007</v>
      </c>
      <c r="I5585">
        <v>0.6163883</v>
      </c>
      <c r="J5585">
        <v>-420.90960000000001</v>
      </c>
      <c r="K5585">
        <v>1.1097969999999999</v>
      </c>
      <c r="L5585">
        <v>83.743440000000007</v>
      </c>
      <c r="M5585">
        <v>-5.7354219999999997E-2</v>
      </c>
      <c r="N5585">
        <v>0</v>
      </c>
      <c r="O5585">
        <v>-0.99829540000000005</v>
      </c>
      <c r="P5585">
        <v>-4.5409980000000003E-2</v>
      </c>
      <c r="Q5585">
        <v>1.073057E-2</v>
      </c>
      <c r="R5585">
        <v>-0.99891110000000005</v>
      </c>
      <c r="S5585">
        <v>0.52847290000000002</v>
      </c>
      <c r="T5585">
        <v>0.29091610000000001</v>
      </c>
      <c r="U5585">
        <v>-3.0241699999999998</v>
      </c>
      <c r="V5585">
        <v>-1.196729E-2</v>
      </c>
      <c r="W5585">
        <v>2.15307E-2</v>
      </c>
      <c r="X5585">
        <v>0.99969660000000005</v>
      </c>
      <c r="Y5585">
        <v>-0.22759940000000001</v>
      </c>
      <c r="Z5585">
        <v>-9.3558409999999995E-2</v>
      </c>
      <c r="AA5585">
        <v>0.9692499</v>
      </c>
      <c r="AB5585">
        <v>21</v>
      </c>
      <c r="AC5585">
        <v>14.5746</v>
      </c>
      <c r="AD5585">
        <v>8.0166190000000004</v>
      </c>
      <c r="AE5585">
        <v>-83.127051699999996</v>
      </c>
      <c r="AF5585">
        <v>-19.145819728307401</v>
      </c>
      <c r="AG5585">
        <v>8.0166190000000004</v>
      </c>
      <c r="AH5585">
        <v>81.419591206529503</v>
      </c>
      <c r="AI5585">
        <v>84.525136593855805</v>
      </c>
      <c r="AJ5585">
        <v>103.232697407009</v>
      </c>
      <c r="AK5585">
        <v>84.023677767034101</v>
      </c>
      <c r="AL5585">
        <v>88.766286477349595</v>
      </c>
      <c r="AM5585">
        <v>90.685850545981907</v>
      </c>
      <c r="AN5585">
        <v>1.0000000395619899</v>
      </c>
    </row>
    <row r="5586" spans="1:40" x14ac:dyDescent="0.25">
      <c r="A5586" t="str">
        <f>"20190312160758690"</f>
        <v>20190312160758690</v>
      </c>
      <c r="B5586" t="str">
        <f>"1552378078680783"</f>
        <v>1552378078680783</v>
      </c>
      <c r="C5586" t="s">
        <v>40</v>
      </c>
      <c r="D5586">
        <v>5.5387589999999998</v>
      </c>
      <c r="E5586">
        <v>0.41726469999999999</v>
      </c>
      <c r="F5586" t="s">
        <v>94</v>
      </c>
      <c r="G5586">
        <v>-406.38200000000001</v>
      </c>
      <c r="H5586">
        <v>9.2284780000000008</v>
      </c>
      <c r="I5586">
        <v>0.61591340000000006</v>
      </c>
      <c r="J5586">
        <v>-420.92110000000002</v>
      </c>
      <c r="K5586">
        <v>1.109799</v>
      </c>
      <c r="L5586">
        <v>83.536100000000005</v>
      </c>
      <c r="M5586">
        <v>-5.7077549999999998E-2</v>
      </c>
      <c r="N5586">
        <v>0</v>
      </c>
      <c r="O5586">
        <v>-0.99831139999999996</v>
      </c>
      <c r="P5586">
        <v>-4.4959390000000002E-2</v>
      </c>
      <c r="Q5586">
        <v>1.1055270000000001E-2</v>
      </c>
      <c r="R5586">
        <v>-0.99892780000000003</v>
      </c>
      <c r="S5586">
        <v>0.52850339999999996</v>
      </c>
      <c r="T5586">
        <v>0.29535270000000002</v>
      </c>
      <c r="U5586">
        <v>-3.0241389999999999</v>
      </c>
      <c r="V5586">
        <v>-1.214119E-2</v>
      </c>
      <c r="W5586">
        <v>2.1843910000000001E-2</v>
      </c>
      <c r="X5586">
        <v>0.99968769999999996</v>
      </c>
      <c r="Y5586">
        <v>-0.22731750000000001</v>
      </c>
      <c r="Z5586">
        <v>-9.4978339999999994E-2</v>
      </c>
      <c r="AA5586">
        <v>0.96917799999999998</v>
      </c>
      <c r="AB5586">
        <v>21</v>
      </c>
      <c r="AC5586">
        <v>14.539099999999999</v>
      </c>
      <c r="AD5586">
        <v>8.1186789999999895</v>
      </c>
      <c r="AE5586">
        <v>-82.920186599999994</v>
      </c>
      <c r="AF5586">
        <v>-19.071182867345101</v>
      </c>
      <c r="AG5586">
        <v>8.1186789999999895</v>
      </c>
      <c r="AH5586">
        <v>81.199897537045501</v>
      </c>
      <c r="AI5586">
        <v>84.440612935451199</v>
      </c>
      <c r="AJ5586">
        <v>103.217333817107</v>
      </c>
      <c r="AK5586">
        <v>83.803617611004398</v>
      </c>
      <c r="AL5586">
        <v>88.748336634684506</v>
      </c>
      <c r="AM5586">
        <v>90.695822051130193</v>
      </c>
      <c r="AN5586">
        <v>1.0000000312149899</v>
      </c>
    </row>
    <row r="5587" spans="1:40" x14ac:dyDescent="0.25">
      <c r="A5587" t="str">
        <f>"20190312160758713"</f>
        <v>20190312160758713</v>
      </c>
      <c r="B5587" t="str">
        <f>"1552378078701275"</f>
        <v>1552378078701275</v>
      </c>
      <c r="C5587" t="s">
        <v>40</v>
      </c>
      <c r="D5587">
        <v>5.5719339999999997</v>
      </c>
      <c r="E5587">
        <v>0.41752040000000001</v>
      </c>
      <c r="F5587" t="s">
        <v>94</v>
      </c>
      <c r="G5587">
        <v>-406.44850000000002</v>
      </c>
      <c r="H5587">
        <v>9.2687570000000008</v>
      </c>
      <c r="I5587">
        <v>0.61523439999999996</v>
      </c>
      <c r="J5587">
        <v>-420.93329999999997</v>
      </c>
      <c r="K5587">
        <v>1.109801</v>
      </c>
      <c r="L5587">
        <v>83.317719999999994</v>
      </c>
      <c r="M5587">
        <v>-5.6786030000000001E-2</v>
      </c>
      <c r="N5587">
        <v>0</v>
      </c>
      <c r="O5587">
        <v>-0.99832810000000005</v>
      </c>
      <c r="P5587">
        <v>-4.4900530000000001E-2</v>
      </c>
      <c r="Q5587">
        <v>1.1048870000000001E-2</v>
      </c>
      <c r="R5587">
        <v>-0.99893030000000005</v>
      </c>
      <c r="S5587">
        <v>0.52774049999999995</v>
      </c>
      <c r="T5587">
        <v>0.29751250000000001</v>
      </c>
      <c r="U5587">
        <v>-3.023682</v>
      </c>
      <c r="V5587">
        <v>-1.19081E-2</v>
      </c>
      <c r="W5587">
        <v>2.1827220000000001E-2</v>
      </c>
      <c r="X5587">
        <v>0.99969079999999999</v>
      </c>
      <c r="Y5587">
        <v>-0.22680900000000001</v>
      </c>
      <c r="Z5587">
        <v>-9.5690700000000004E-2</v>
      </c>
      <c r="AA5587">
        <v>0.96922699999999995</v>
      </c>
      <c r="AB5587">
        <v>21</v>
      </c>
      <c r="AC5587">
        <v>14.4847999999999</v>
      </c>
      <c r="AD5587">
        <v>8.1589559999999999</v>
      </c>
      <c r="AE5587">
        <v>-82.702485599999903</v>
      </c>
      <c r="AF5587">
        <v>-18.978826108915602</v>
      </c>
      <c r="AG5587">
        <v>8.1589559999999999</v>
      </c>
      <c r="AH5587">
        <v>80.981725988845</v>
      </c>
      <c r="AI5587">
        <v>84.397622572989405</v>
      </c>
      <c r="AJ5587">
        <v>103.18976169017699</v>
      </c>
      <c r="AK5587">
        <v>83.575141923988198</v>
      </c>
      <c r="AL5587">
        <v>88.749293043925306</v>
      </c>
      <c r="AM5587">
        <v>90.682462622325403</v>
      </c>
      <c r="AN5587">
        <v>0.999999962991588</v>
      </c>
    </row>
    <row r="5588" spans="1:40" x14ac:dyDescent="0.25">
      <c r="A5588" t="str">
        <f>"20190312160758736"</f>
        <v>20190312160758736</v>
      </c>
      <c r="B5588" t="str">
        <f>"1552378078731532"</f>
        <v>1552378078731532</v>
      </c>
      <c r="C5588" t="s">
        <v>40</v>
      </c>
      <c r="D5588">
        <v>5.6139580000000002</v>
      </c>
      <c r="E5588">
        <v>0.41772530000000002</v>
      </c>
      <c r="F5588" t="s">
        <v>94</v>
      </c>
      <c r="G5588">
        <v>-406.55869999999999</v>
      </c>
      <c r="H5588">
        <v>9.2573880000000006</v>
      </c>
      <c r="I5588">
        <v>0.61411479999999996</v>
      </c>
      <c r="J5588">
        <v>-420.94499999999999</v>
      </c>
      <c r="K5588">
        <v>1.1097980000000001</v>
      </c>
      <c r="L5588">
        <v>83.105319999999907</v>
      </c>
      <c r="M5588">
        <v>-5.6502669999999998E-2</v>
      </c>
      <c r="N5588">
        <v>0</v>
      </c>
      <c r="O5588">
        <v>-0.99834429999999996</v>
      </c>
      <c r="P5588">
        <v>-4.4454710000000001E-2</v>
      </c>
      <c r="Q5588">
        <v>1.1037379999999999E-2</v>
      </c>
      <c r="R5588">
        <v>-0.99895040000000002</v>
      </c>
      <c r="S5588">
        <v>0.52551269999999894</v>
      </c>
      <c r="T5588">
        <v>0.2978634</v>
      </c>
      <c r="U5588">
        <v>-3.0235289999999999</v>
      </c>
      <c r="V5588">
        <v>-1.2071129999999999E-2</v>
      </c>
      <c r="W5588">
        <v>2.1806720000000002E-2</v>
      </c>
      <c r="X5588">
        <v>0.9996893</v>
      </c>
      <c r="Y5588">
        <v>-0.2258454</v>
      </c>
      <c r="Z5588">
        <v>-9.5826400000000006E-2</v>
      </c>
      <c r="AA5588">
        <v>0.96943860000000004</v>
      </c>
      <c r="AB5588">
        <v>21</v>
      </c>
      <c r="AC5588">
        <v>14.3863</v>
      </c>
      <c r="AD5588">
        <v>8.1475899999999992</v>
      </c>
      <c r="AE5588">
        <v>-82.491205199999996</v>
      </c>
      <c r="AF5588">
        <v>-18.846134413623901</v>
      </c>
      <c r="AG5588">
        <v>8.1475899999999992</v>
      </c>
      <c r="AH5588">
        <v>80.781701171644301</v>
      </c>
      <c r="AI5588">
        <v>84.390300206915796</v>
      </c>
      <c r="AJ5588">
        <v>103.13205198342401</v>
      </c>
      <c r="AK5588">
        <v>83.350124470988703</v>
      </c>
      <c r="AL5588">
        <v>88.750467896936001</v>
      </c>
      <c r="AM5588">
        <v>90.691806136457203</v>
      </c>
      <c r="AN5588">
        <v>0.99999997087556203</v>
      </c>
    </row>
    <row r="5589" spans="1:40" x14ac:dyDescent="0.25">
      <c r="A5589" t="str">
        <f>"20190312160758757"</f>
        <v>20190312160758757</v>
      </c>
      <c r="B5589" t="str">
        <f>"1552378078751051"</f>
        <v>1552378078751051</v>
      </c>
      <c r="C5589" t="s">
        <v>40</v>
      </c>
      <c r="D5589">
        <v>5.6079369999999997</v>
      </c>
      <c r="E5589">
        <v>0.4176492</v>
      </c>
      <c r="F5589" t="s">
        <v>94</v>
      </c>
      <c r="G5589">
        <v>-406.60430000000002</v>
      </c>
      <c r="H5589">
        <v>9.2287630000000007</v>
      </c>
      <c r="I5589">
        <v>0.61365130000000001</v>
      </c>
      <c r="J5589">
        <v>-420.95679999999999</v>
      </c>
      <c r="K5589">
        <v>1.1097919999999999</v>
      </c>
      <c r="L5589">
        <v>82.891819999999996</v>
      </c>
      <c r="M5589">
        <v>-5.6217959999999997E-2</v>
      </c>
      <c r="N5589">
        <v>0</v>
      </c>
      <c r="O5589">
        <v>-0.99836080000000005</v>
      </c>
      <c r="P5589">
        <v>-4.385762E-2</v>
      </c>
      <c r="Q5589">
        <v>1.0988410000000001E-2</v>
      </c>
      <c r="R5589">
        <v>-0.99897780000000003</v>
      </c>
      <c r="S5589">
        <v>0.52557369999999903</v>
      </c>
      <c r="T5589">
        <v>0.29755280000000001</v>
      </c>
      <c r="U5589">
        <v>-3.0232540000000001</v>
      </c>
      <c r="V5589">
        <v>-1.2383379999999999E-2</v>
      </c>
      <c r="W5589">
        <v>2.1750470000000001E-2</v>
      </c>
      <c r="X5589">
        <v>0.99968670000000004</v>
      </c>
      <c r="Y5589">
        <v>-0.225603</v>
      </c>
      <c r="Z5589">
        <v>-9.5740850000000002E-2</v>
      </c>
      <c r="AA5589">
        <v>0.96950349999999996</v>
      </c>
      <c r="AB5589">
        <v>21</v>
      </c>
      <c r="AC5589">
        <v>14.3524999999999</v>
      </c>
      <c r="AD5589">
        <v>8.1189710000000002</v>
      </c>
      <c r="AE5589">
        <v>-82.278168699999995</v>
      </c>
      <c r="AF5589">
        <v>-18.778130212174599</v>
      </c>
      <c r="AG5589">
        <v>8.1189710000000002</v>
      </c>
      <c r="AH5589">
        <v>80.579669705276501</v>
      </c>
      <c r="AI5589">
        <v>84.395634111523506</v>
      </c>
      <c r="AJ5589">
        <v>103.117977078537</v>
      </c>
      <c r="AK5589">
        <v>83.136147578389</v>
      </c>
      <c r="AL5589">
        <v>88.753691541398297</v>
      </c>
      <c r="AM5589">
        <v>90.709701472569407</v>
      </c>
      <c r="AN5589">
        <v>0.99999996460116702</v>
      </c>
    </row>
    <row r="5590" spans="1:40" x14ac:dyDescent="0.25">
      <c r="A5590" t="str">
        <f>"20190312160758780"</f>
        <v>20190312160758780</v>
      </c>
      <c r="B5590" t="str">
        <f>"1552378078771551"</f>
        <v>1552378078771551</v>
      </c>
      <c r="C5590" t="s">
        <v>40</v>
      </c>
      <c r="D5590">
        <v>5.6367510000000003</v>
      </c>
      <c r="E5590">
        <v>0.41769279999999998</v>
      </c>
      <c r="F5590" t="s">
        <v>94</v>
      </c>
      <c r="G5590">
        <v>-406.58890000000002</v>
      </c>
      <c r="H5590">
        <v>9.1858470000000008</v>
      </c>
      <c r="I5590">
        <v>0.61380769999999996</v>
      </c>
      <c r="J5590">
        <v>-420.96839999999997</v>
      </c>
      <c r="K5590">
        <v>1.109782</v>
      </c>
      <c r="L5590">
        <v>82.680729999999997</v>
      </c>
      <c r="M5590">
        <v>-5.5936619999999999E-2</v>
      </c>
      <c r="N5590">
        <v>0</v>
      </c>
      <c r="O5590">
        <v>-0.99837629999999999</v>
      </c>
      <c r="P5590">
        <v>-4.3212569999999999E-2</v>
      </c>
      <c r="Q5590">
        <v>1.058016E-2</v>
      </c>
      <c r="R5590">
        <v>-0.99900979999999995</v>
      </c>
      <c r="S5590">
        <v>0.5278931</v>
      </c>
      <c r="T5590">
        <v>0.29672189999999998</v>
      </c>
      <c r="U5590">
        <v>-3.02298</v>
      </c>
      <c r="V5590">
        <v>-1.2747680000000001E-2</v>
      </c>
      <c r="W5590">
        <v>2.1336190000000001E-2</v>
      </c>
      <c r="X5590">
        <v>0.99969110000000005</v>
      </c>
      <c r="Y5590">
        <v>-0.22606970000000001</v>
      </c>
      <c r="Z5590">
        <v>-9.5475379999999999E-2</v>
      </c>
      <c r="AA5590">
        <v>0.96942090000000003</v>
      </c>
      <c r="AB5590">
        <v>21</v>
      </c>
      <c r="AC5590">
        <v>14.379499999999901</v>
      </c>
      <c r="AD5590">
        <v>8.0760649999999998</v>
      </c>
      <c r="AE5590">
        <v>-82.066922300000002</v>
      </c>
      <c r="AF5590">
        <v>-18.771424623050802</v>
      </c>
      <c r="AG5590">
        <v>8.0760649999999998</v>
      </c>
      <c r="AH5590">
        <v>80.378811926275802</v>
      </c>
      <c r="AI5590">
        <v>84.411834112863701</v>
      </c>
      <c r="AJ5590">
        <v>103.145087189688</v>
      </c>
      <c r="AK5590">
        <v>82.935774035953301</v>
      </c>
      <c r="AL5590">
        <v>88.777433610803001</v>
      </c>
      <c r="AM5590">
        <v>90.730574352897094</v>
      </c>
      <c r="AN5590">
        <v>1.00000001588415</v>
      </c>
    </row>
    <row r="5591" spans="1:40" x14ac:dyDescent="0.25">
      <c r="A5591" t="str">
        <f>"20190312160758801"</f>
        <v>20190312160758801</v>
      </c>
      <c r="B5591" t="str">
        <f>"1552378078791068"</f>
        <v>1552378078791068</v>
      </c>
      <c r="C5591" t="s">
        <v>40</v>
      </c>
      <c r="D5591">
        <v>5.6230960000000003</v>
      </c>
      <c r="E5591">
        <v>0.4177207</v>
      </c>
      <c r="F5591" t="s">
        <v>94</v>
      </c>
      <c r="G5591">
        <v>-406.59480000000002</v>
      </c>
      <c r="H5591">
        <v>9.1260480000000008</v>
      </c>
      <c r="I5591">
        <v>0.61374859999999998</v>
      </c>
      <c r="J5591">
        <v>-420.97980000000001</v>
      </c>
      <c r="K5591">
        <v>1.1097809999999999</v>
      </c>
      <c r="L5591">
        <v>82.471040000000002</v>
      </c>
      <c r="M5591">
        <v>-5.5657329999999998E-2</v>
      </c>
      <c r="N5591">
        <v>0</v>
      </c>
      <c r="O5591">
        <v>-0.99839219999999895</v>
      </c>
      <c r="P5591">
        <v>-4.2509419999999999E-2</v>
      </c>
      <c r="Q5591">
        <v>9.8766530000000009E-3</v>
      </c>
      <c r="R5591">
        <v>-0.99904769999999998</v>
      </c>
      <c r="S5591">
        <v>0.52941890000000003</v>
      </c>
      <c r="T5591">
        <v>0.29526140000000001</v>
      </c>
      <c r="U5591">
        <v>-3.0227659999999998</v>
      </c>
      <c r="V5591">
        <v>-1.317165E-2</v>
      </c>
      <c r="W5591">
        <v>2.062729E-2</v>
      </c>
      <c r="X5591">
        <v>0.99970049999999999</v>
      </c>
      <c r="Y5591">
        <v>-0.2262914</v>
      </c>
      <c r="Z5591">
        <v>-9.5012079999999999E-2</v>
      </c>
      <c r="AA5591">
        <v>0.96941469999999996</v>
      </c>
      <c r="AB5591">
        <v>21</v>
      </c>
      <c r="AC5591">
        <v>14.3849999999999</v>
      </c>
      <c r="AD5591">
        <v>8.0162669999999991</v>
      </c>
      <c r="AE5591">
        <v>-81.857291399999994</v>
      </c>
      <c r="AF5591">
        <v>-18.744541044227802</v>
      </c>
      <c r="AG5591">
        <v>8.0162669999999991</v>
      </c>
      <c r="AH5591">
        <v>80.183769778492902</v>
      </c>
      <c r="AI5591">
        <v>84.439828408307704</v>
      </c>
      <c r="AJ5591">
        <v>103.157734598986</v>
      </c>
      <c r="AK5591">
        <v>82.734849316744302</v>
      </c>
      <c r="AL5591">
        <v>88.818059553451306</v>
      </c>
      <c r="AM5591">
        <v>90.754862370160595</v>
      </c>
      <c r="AN5591">
        <v>1.0000000335783501</v>
      </c>
    </row>
    <row r="5592" spans="1:40" x14ac:dyDescent="0.25">
      <c r="A5592" t="str">
        <f>"20190312160758824"</f>
        <v>20190312160758824</v>
      </c>
      <c r="B5592" t="str">
        <f>"1552378078821324"</f>
        <v>1552378078821324</v>
      </c>
      <c r="C5592" t="s">
        <v>40</v>
      </c>
      <c r="D5592">
        <v>5.6390599999999997</v>
      </c>
      <c r="E5592">
        <v>0.41783429999999999</v>
      </c>
      <c r="F5592" t="s">
        <v>94</v>
      </c>
      <c r="G5592">
        <v>-406.59339999999997</v>
      </c>
      <c r="H5592">
        <v>9.0753869999999992</v>
      </c>
      <c r="I5592">
        <v>0.61375999999999997</v>
      </c>
      <c r="J5592">
        <v>-420.9914</v>
      </c>
      <c r="K5592">
        <v>1.109774</v>
      </c>
      <c r="L5592">
        <v>82.256619999999998</v>
      </c>
      <c r="M5592">
        <v>-5.5371940000000001E-2</v>
      </c>
      <c r="N5592">
        <v>0</v>
      </c>
      <c r="O5592">
        <v>-0.99840799999999996</v>
      </c>
      <c r="P5592">
        <v>-4.2641900000000003E-2</v>
      </c>
      <c r="Q5592">
        <v>9.6725470000000001E-3</v>
      </c>
      <c r="R5592">
        <v>-0.99904360000000003</v>
      </c>
      <c r="S5592">
        <v>0.53121949999999996</v>
      </c>
      <c r="T5592">
        <v>0.29412929999999998</v>
      </c>
      <c r="U5592">
        <v>-3.022583</v>
      </c>
      <c r="V5592">
        <v>-1.2753169999999999E-2</v>
      </c>
      <c r="W5592">
        <v>2.0418479999999999E-2</v>
      </c>
      <c r="X5592">
        <v>0.99971019999999999</v>
      </c>
      <c r="Y5592">
        <v>-0.22658919999999999</v>
      </c>
      <c r="Z5592">
        <v>-9.4650919999999999E-2</v>
      </c>
      <c r="AA5592">
        <v>0.96938049999999998</v>
      </c>
      <c r="AB5592">
        <v>21</v>
      </c>
      <c r="AC5592">
        <v>14.398</v>
      </c>
      <c r="AD5592">
        <v>7.9656129999999896</v>
      </c>
      <c r="AE5592">
        <v>-81.642859999999999</v>
      </c>
      <c r="AF5592">
        <v>-18.7240301353904</v>
      </c>
      <c r="AG5592">
        <v>7.9656129999999896</v>
      </c>
      <c r="AH5592">
        <v>79.981895962984694</v>
      </c>
      <c r="AI5592">
        <v>84.461292668340903</v>
      </c>
      <c r="AJ5592">
        <v>103.175856120132</v>
      </c>
      <c r="AK5592">
        <v>82.529655135656995</v>
      </c>
      <c r="AL5592">
        <v>88.830025990204007</v>
      </c>
      <c r="AM5592">
        <v>90.730874990234099</v>
      </c>
      <c r="AN5592">
        <v>1.0000000208272899</v>
      </c>
    </row>
    <row r="5593" spans="1:40" x14ac:dyDescent="0.25">
      <c r="A5593" t="str">
        <f>"20190312160758858"</f>
        <v>20190312160758858</v>
      </c>
      <c r="B5593" t="str">
        <f>"1552378078851583"</f>
        <v>1552378078851583</v>
      </c>
      <c r="C5593" t="s">
        <v>40</v>
      </c>
      <c r="D5593">
        <v>5.633839</v>
      </c>
      <c r="E5593">
        <v>0.41794740000000002</v>
      </c>
      <c r="F5593" t="s">
        <v>94</v>
      </c>
      <c r="G5593">
        <v>-406.68729999999999</v>
      </c>
      <c r="H5593">
        <v>9.0001529999999992</v>
      </c>
      <c r="I5593">
        <v>0.61280630000000003</v>
      </c>
      <c r="J5593">
        <v>-421.00880000000001</v>
      </c>
      <c r="K5593">
        <v>1.1097699999999999</v>
      </c>
      <c r="L5593">
        <v>81.93365</v>
      </c>
      <c r="M5593">
        <v>-5.4942280000000003E-2</v>
      </c>
      <c r="N5593">
        <v>0</v>
      </c>
      <c r="O5593">
        <v>-0.99843179999999998</v>
      </c>
      <c r="P5593">
        <v>-4.3131790000000003E-2</v>
      </c>
      <c r="Q5593">
        <v>9.588025E-3</v>
      </c>
      <c r="R5593">
        <v>-0.99902369999999996</v>
      </c>
      <c r="S5593">
        <v>0.52957149999999997</v>
      </c>
      <c r="T5593">
        <v>0.29211910000000002</v>
      </c>
      <c r="U5593">
        <v>-3.0226440000000001</v>
      </c>
      <c r="V5593">
        <v>-1.1832199999999999E-2</v>
      </c>
      <c r="W5593">
        <v>2.0336010000000002E-2</v>
      </c>
      <c r="X5593">
        <v>0.99972320000000003</v>
      </c>
      <c r="Y5593">
        <v>-0.22566430000000001</v>
      </c>
      <c r="Z5593">
        <v>-9.4026159999999998E-2</v>
      </c>
      <c r="AA5593">
        <v>0.96965699999999999</v>
      </c>
      <c r="AB5593">
        <v>21</v>
      </c>
      <c r="AC5593">
        <v>14.3215</v>
      </c>
      <c r="AD5593">
        <v>7.8903829999999902</v>
      </c>
      <c r="AE5593">
        <v>-81.320843699999998</v>
      </c>
      <c r="AF5593">
        <v>-18.5982513032287</v>
      </c>
      <c r="AG5593">
        <v>7.8903829999999902</v>
      </c>
      <c r="AH5593">
        <v>79.683490676002705</v>
      </c>
      <c r="AI5593">
        <v>84.492008974946302</v>
      </c>
      <c r="AJ5593">
        <v>103.13772969703901</v>
      </c>
      <c r="AK5593">
        <v>82.204694402067702</v>
      </c>
      <c r="AL5593">
        <v>88.834752148093102</v>
      </c>
      <c r="AM5593">
        <v>90.678091165939406</v>
      </c>
      <c r="AN5593">
        <v>1.0000000154388999</v>
      </c>
    </row>
    <row r="5594" spans="1:40" x14ac:dyDescent="0.25">
      <c r="A5594" t="str">
        <f>"20190312160758879"</f>
        <v>20190312160758879</v>
      </c>
      <c r="B5594" t="str">
        <f>"1552378078871099"</f>
        <v>1552378078871099</v>
      </c>
      <c r="C5594" t="s">
        <v>40</v>
      </c>
      <c r="D5594">
        <v>5.5904689999999997</v>
      </c>
      <c r="E5594">
        <v>0.41805170000000003</v>
      </c>
      <c r="F5594" t="s">
        <v>94</v>
      </c>
      <c r="G5594">
        <v>-406.81580000000002</v>
      </c>
      <c r="H5594">
        <v>8.8977240000000002</v>
      </c>
      <c r="I5594">
        <v>0.61149980000000004</v>
      </c>
      <c r="J5594">
        <v>-421.02010000000001</v>
      </c>
      <c r="K5594">
        <v>1.1097669999999999</v>
      </c>
      <c r="L5594">
        <v>81.722200000000001</v>
      </c>
      <c r="M5594">
        <v>-5.4661260000000003E-2</v>
      </c>
      <c r="N5594">
        <v>0</v>
      </c>
      <c r="O5594">
        <v>-0.99844710000000003</v>
      </c>
      <c r="P5594">
        <v>-4.3233899999999999E-2</v>
      </c>
      <c r="Q5594">
        <v>9.5642910000000008E-3</v>
      </c>
      <c r="R5594">
        <v>-0.9990194</v>
      </c>
      <c r="S5594">
        <v>0.5275879</v>
      </c>
      <c r="T5594">
        <v>0.2894968</v>
      </c>
      <c r="U5594">
        <v>-3.0229490000000001</v>
      </c>
      <c r="V5594">
        <v>-1.144893E-2</v>
      </c>
      <c r="W5594">
        <v>2.0320270000000001E-2</v>
      </c>
      <c r="X5594">
        <v>0.99972799999999995</v>
      </c>
      <c r="Y5594">
        <v>-0.22476960000000001</v>
      </c>
      <c r="Z5594">
        <v>-9.3197680000000005E-2</v>
      </c>
      <c r="AA5594">
        <v>0.96994480000000005</v>
      </c>
      <c r="AB5594">
        <v>21</v>
      </c>
      <c r="AC5594">
        <v>14.2042999999999</v>
      </c>
      <c r="AD5594">
        <v>7.7879569999999996</v>
      </c>
      <c r="AE5594">
        <v>-81.110700199999997</v>
      </c>
      <c r="AF5594">
        <v>-18.451881767786102</v>
      </c>
      <c r="AG5594">
        <v>7.7879569999999996</v>
      </c>
      <c r="AH5594">
        <v>79.501822070269995</v>
      </c>
      <c r="AI5594">
        <v>84.549164353112403</v>
      </c>
      <c r="AJ5594">
        <v>103.06665204271199</v>
      </c>
      <c r="AK5594">
        <v>81.985754418063905</v>
      </c>
      <c r="AL5594">
        <v>88.835654190115093</v>
      </c>
      <c r="AM5594">
        <v>90.656125160329793</v>
      </c>
      <c r="AN5594">
        <v>1.0000000326775</v>
      </c>
    </row>
    <row r="5595" spans="1:40" x14ac:dyDescent="0.25">
      <c r="A5595" t="str">
        <f>"20190312160758903"</f>
        <v>20190312160758903</v>
      </c>
      <c r="B5595" t="str">
        <f>"1552378078891595"</f>
        <v>1552378078891595</v>
      </c>
      <c r="C5595" t="s">
        <v>40</v>
      </c>
      <c r="D5595">
        <v>5.5803690000000001</v>
      </c>
      <c r="E5595">
        <v>0.41814620000000002</v>
      </c>
      <c r="F5595" t="s">
        <v>94</v>
      </c>
      <c r="G5595">
        <v>-406.9008</v>
      </c>
      <c r="H5595">
        <v>8.8450330000000008</v>
      </c>
      <c r="I5595">
        <v>0.61063389999999995</v>
      </c>
      <c r="J5595">
        <v>-421.03179999999998</v>
      </c>
      <c r="K5595">
        <v>1.1097680000000001</v>
      </c>
      <c r="L5595">
        <v>81.502840000000006</v>
      </c>
      <c r="M5595">
        <v>-5.4370040000000001E-2</v>
      </c>
      <c r="N5595">
        <v>0</v>
      </c>
      <c r="O5595">
        <v>-0.9984632</v>
      </c>
      <c r="P5595">
        <v>-4.3017699999999999E-2</v>
      </c>
      <c r="Q5595">
        <v>9.3097460000000007E-3</v>
      </c>
      <c r="R5595">
        <v>-0.99903149999999996</v>
      </c>
      <c r="S5595">
        <v>0.52621459999999998</v>
      </c>
      <c r="T5595">
        <v>0.28828480000000001</v>
      </c>
      <c r="U5595">
        <v>-3.0229490000000001</v>
      </c>
      <c r="V5595">
        <v>-1.137415E-2</v>
      </c>
      <c r="W5595">
        <v>2.007428E-2</v>
      </c>
      <c r="X5595">
        <v>0.99973380000000001</v>
      </c>
      <c r="Y5595">
        <v>-0.22406380000000001</v>
      </c>
      <c r="Z5595">
        <v>-9.2824439999999994E-2</v>
      </c>
      <c r="AA5595">
        <v>0.97014389999999995</v>
      </c>
      <c r="AB5595">
        <v>21</v>
      </c>
      <c r="AC5595">
        <v>14.130999999999901</v>
      </c>
      <c r="AD5595">
        <v>7.7352650000000001</v>
      </c>
      <c r="AE5595">
        <v>-80.892206099999996</v>
      </c>
      <c r="AF5595">
        <v>-18.3456759386427</v>
      </c>
      <c r="AG5595">
        <v>7.7352650000000001</v>
      </c>
      <c r="AH5595">
        <v>79.300541166275494</v>
      </c>
      <c r="AI5595">
        <v>84.571273416562505</v>
      </c>
      <c r="AJ5595">
        <v>103.025860093286</v>
      </c>
      <c r="AK5595">
        <v>81.761690170458607</v>
      </c>
      <c r="AL5595">
        <v>88.849751227353494</v>
      </c>
      <c r="AM5595">
        <v>90.651836193199699</v>
      </c>
      <c r="AN5595">
        <v>1.00000000943409</v>
      </c>
    </row>
    <row r="5596" spans="1:40" x14ac:dyDescent="0.25">
      <c r="A5596" t="str">
        <f>"20190312160758925"</f>
        <v>20190312160758925</v>
      </c>
      <c r="B5596" t="str">
        <f>"1552378078911116"</f>
        <v>1552378078911116</v>
      </c>
      <c r="C5596" t="s">
        <v>40</v>
      </c>
      <c r="D5596">
        <v>5.5756350000000001</v>
      </c>
      <c r="E5596">
        <v>0.45073269999999999</v>
      </c>
      <c r="F5596" t="s">
        <v>94</v>
      </c>
      <c r="G5596">
        <v>-406.9502</v>
      </c>
      <c r="H5596">
        <v>8.7840570000000007</v>
      </c>
      <c r="I5596">
        <v>0.61013219999999901</v>
      </c>
      <c r="J5596">
        <v>-421.04300000000001</v>
      </c>
      <c r="K5596">
        <v>1.109777</v>
      </c>
      <c r="L5596">
        <v>81.290469999999999</v>
      </c>
      <c r="M5596">
        <v>-5.408785E-2</v>
      </c>
      <c r="N5596">
        <v>0</v>
      </c>
      <c r="O5596">
        <v>-0.99847819999999998</v>
      </c>
      <c r="P5596">
        <v>-4.2302140000000002E-2</v>
      </c>
      <c r="Q5596">
        <v>8.9779519999999904E-3</v>
      </c>
      <c r="R5596">
        <v>-0.99906510000000004</v>
      </c>
      <c r="S5596">
        <v>0.52621459999999998</v>
      </c>
      <c r="T5596">
        <v>0.28678019999999999</v>
      </c>
      <c r="U5596">
        <v>-3.022888</v>
      </c>
      <c r="V5596">
        <v>-1.180755E-2</v>
      </c>
      <c r="W5596">
        <v>1.9748660000000001E-2</v>
      </c>
      <c r="X5596">
        <v>0.99973520000000005</v>
      </c>
      <c r="Y5596">
        <v>-0.22379930000000001</v>
      </c>
      <c r="Z5596">
        <v>-9.2351100000000005E-2</v>
      </c>
      <c r="AA5596">
        <v>0.9702501</v>
      </c>
      <c r="AB5596">
        <v>21</v>
      </c>
      <c r="AC5596">
        <v>14.0928</v>
      </c>
      <c r="AD5596">
        <v>7.6742800000000004</v>
      </c>
      <c r="AE5596">
        <v>-80.680337800000004</v>
      </c>
      <c r="AF5596">
        <v>-18.2757882698074</v>
      </c>
      <c r="AG5596">
        <v>7.6742800000000004</v>
      </c>
      <c r="AH5596">
        <v>79.105395705301405</v>
      </c>
      <c r="AI5596">
        <v>84.600243716987606</v>
      </c>
      <c r="AJ5596">
        <v>103.00884875278</v>
      </c>
      <c r="AK5596">
        <v>81.550981846287797</v>
      </c>
      <c r="AL5596">
        <v>88.868411510018802</v>
      </c>
      <c r="AM5596">
        <v>90.676670509844797</v>
      </c>
      <c r="AN5596">
        <v>0.99999994896391697</v>
      </c>
    </row>
    <row r="5597" spans="1:40" x14ac:dyDescent="0.25">
      <c r="A5597" t="str">
        <f>"20190312160758948"</f>
        <v>20190312160758948</v>
      </c>
      <c r="B5597" t="str">
        <f>"1552378078941373"</f>
        <v>1552378078941373</v>
      </c>
      <c r="C5597" t="s">
        <v>40</v>
      </c>
      <c r="D5597">
        <v>5.5408670000000004</v>
      </c>
      <c r="E5597">
        <v>0.45802090000000001</v>
      </c>
      <c r="F5597" t="s">
        <v>94</v>
      </c>
      <c r="G5597">
        <v>-413.93689999999998</v>
      </c>
      <c r="H5597">
        <v>0.19090409999999999</v>
      </c>
      <c r="I5597">
        <v>0.53904909999999995</v>
      </c>
      <c r="J5597">
        <v>-421.05439999999999</v>
      </c>
      <c r="K5597">
        <v>1.109775</v>
      </c>
      <c r="L5597">
        <v>81.072239999999994</v>
      </c>
      <c r="M5597">
        <v>-5.379768E-2</v>
      </c>
      <c r="N5597">
        <v>0</v>
      </c>
      <c r="O5597">
        <v>-0.99849390000000005</v>
      </c>
      <c r="P5597">
        <v>-4.1428220000000002E-2</v>
      </c>
      <c r="Q5597">
        <v>8.9517269999999996E-3</v>
      </c>
      <c r="R5597">
        <v>-0.99910180000000004</v>
      </c>
      <c r="S5597">
        <v>0.26525880000000002</v>
      </c>
      <c r="T5597">
        <v>-3.4301280000000003E-2</v>
      </c>
      <c r="U5597">
        <v>-3.0143430000000002</v>
      </c>
      <c r="V5597">
        <v>-1.239152E-2</v>
      </c>
      <c r="W5597">
        <v>1.9729110000000001E-2</v>
      </c>
      <c r="X5597">
        <v>0.99972859999999997</v>
      </c>
      <c r="Y5597">
        <v>-0.1411212</v>
      </c>
      <c r="Z5597">
        <v>1.1275159999999999E-2</v>
      </c>
      <c r="AA5597">
        <v>0.98992809999999998</v>
      </c>
      <c r="AB5597">
        <v>22</v>
      </c>
      <c r="AC5597">
        <v>7.1174999999999997</v>
      </c>
      <c r="AD5597">
        <v>-0.91887090000000005</v>
      </c>
      <c r="AE5597">
        <v>-80.533190899999994</v>
      </c>
      <c r="AF5597">
        <v>-11.4384636535144</v>
      </c>
      <c r="AG5597">
        <v>-0.91887090000000005</v>
      </c>
      <c r="AH5597">
        <v>80.023289558182796</v>
      </c>
      <c r="AI5597">
        <v>90.651253506470795</v>
      </c>
      <c r="AJ5597">
        <v>98.134708860300194</v>
      </c>
      <c r="AK5597">
        <v>80.8418805211532</v>
      </c>
      <c r="AL5597">
        <v>88.869531953147401</v>
      </c>
      <c r="AM5597">
        <v>90.710138173690396</v>
      </c>
      <c r="AN5597">
        <v>1.0000000306036301</v>
      </c>
    </row>
    <row r="5598" spans="1:40" x14ac:dyDescent="0.25">
      <c r="A5598" t="str">
        <f>"20190312160758969"</f>
        <v>20190312160758969</v>
      </c>
      <c r="B5598" t="str">
        <f>"1552378078960891"</f>
        <v>1552378078960891</v>
      </c>
      <c r="C5598" t="s">
        <v>40</v>
      </c>
      <c r="D5598">
        <v>6.5276969999999999</v>
      </c>
      <c r="E5598">
        <v>0.46101510000000001</v>
      </c>
      <c r="F5598" t="s">
        <v>47</v>
      </c>
      <c r="G5598">
        <v>-418.87619999999998</v>
      </c>
      <c r="H5598" s="1">
        <v>-3.06757599999999E-7</v>
      </c>
      <c r="I5598">
        <v>49.670839999999998</v>
      </c>
      <c r="J5598">
        <v>-421.06549999999999</v>
      </c>
      <c r="K5598">
        <v>1.1097729999999999</v>
      </c>
      <c r="L5598">
        <v>80.861540000000005</v>
      </c>
      <c r="M5598">
        <v>-5.3517479999999999E-2</v>
      </c>
      <c r="N5598">
        <v>0</v>
      </c>
      <c r="O5598">
        <v>-0.99850870000000003</v>
      </c>
      <c r="P5598">
        <v>-4.0886470000000001E-2</v>
      </c>
      <c r="Q5598">
        <v>9.0942650000000007E-3</v>
      </c>
      <c r="R5598">
        <v>-0.99912270000000003</v>
      </c>
      <c r="S5598">
        <v>0.2089539</v>
      </c>
      <c r="T5598">
        <v>-0.1064594</v>
      </c>
      <c r="U5598">
        <v>-3.0122990000000001</v>
      </c>
      <c r="V5598">
        <v>-1.26532E-2</v>
      </c>
      <c r="W5598">
        <v>1.9878340000000001E-2</v>
      </c>
      <c r="X5598">
        <v>0.99972240000000001</v>
      </c>
      <c r="Y5598">
        <v>-0.122451</v>
      </c>
      <c r="Z5598">
        <v>3.5068559999999999E-2</v>
      </c>
      <c r="AA5598">
        <v>0.99185480000000004</v>
      </c>
      <c r="AB5598">
        <v>22</v>
      </c>
      <c r="AC5598">
        <v>2.1892999999999998</v>
      </c>
      <c r="AD5598">
        <v>-1.1097733067576001</v>
      </c>
      <c r="AE5598">
        <v>-31.1907</v>
      </c>
      <c r="AF5598">
        <v>-3.8506560198200299</v>
      </c>
      <c r="AG5598">
        <v>-1.1097733067576001</v>
      </c>
      <c r="AH5598">
        <v>30.989783837802001</v>
      </c>
      <c r="AI5598">
        <v>92.035300845607495</v>
      </c>
      <c r="AJ5598">
        <v>97.083021040606994</v>
      </c>
      <c r="AK5598">
        <v>31.247813537735102</v>
      </c>
      <c r="AL5598">
        <v>88.860980065656307</v>
      </c>
      <c r="AM5598">
        <v>90.725137547413098</v>
      </c>
      <c r="AN5598">
        <v>1.0000000644665701</v>
      </c>
    </row>
    <row r="5599" spans="1:40" x14ac:dyDescent="0.25">
      <c r="A5599" t="str">
        <f>"20190312160758992"</f>
        <v>20190312160758992</v>
      </c>
      <c r="B5599" t="str">
        <f>"1552378078981388"</f>
        <v>1552378078981388</v>
      </c>
      <c r="C5599" t="s">
        <v>40</v>
      </c>
      <c r="D5599">
        <v>5.4809799999999997</v>
      </c>
      <c r="E5599">
        <v>0.4626691</v>
      </c>
      <c r="F5599" t="s">
        <v>47</v>
      </c>
      <c r="G5599">
        <v>-419.52769999999998</v>
      </c>
      <c r="H5599" s="1">
        <v>-2.821116E-6</v>
      </c>
      <c r="I5599">
        <v>56.013579999999997</v>
      </c>
      <c r="J5599">
        <v>-421.07670000000002</v>
      </c>
      <c r="K5599">
        <v>1.1097779999999999</v>
      </c>
      <c r="L5599">
        <v>80.645780000000002</v>
      </c>
      <c r="M5599">
        <v>-5.3230359999999997E-2</v>
      </c>
      <c r="N5599">
        <v>0</v>
      </c>
      <c r="O5599">
        <v>-0.99852399999999997</v>
      </c>
      <c r="P5599">
        <v>-4.011456E-2</v>
      </c>
      <c r="Q5599">
        <v>9.2083630000000007E-3</v>
      </c>
      <c r="R5599">
        <v>-0.99915299999999996</v>
      </c>
      <c r="S5599">
        <v>0.1863708</v>
      </c>
      <c r="T5599">
        <v>-0.1345005</v>
      </c>
      <c r="U5599">
        <v>-3.0114749999999999</v>
      </c>
      <c r="V5599">
        <v>-1.3137970000000001E-2</v>
      </c>
      <c r="W5599">
        <v>1.9998950000000001E-2</v>
      </c>
      <c r="X5599">
        <v>0.99971370000000004</v>
      </c>
      <c r="Y5599">
        <v>-0.11475200000000001</v>
      </c>
      <c r="Z5599">
        <v>4.4333539999999998E-2</v>
      </c>
      <c r="AA5599">
        <v>0.99240439999999996</v>
      </c>
      <c r="AB5599">
        <v>22</v>
      </c>
      <c r="AC5599">
        <v>1.5490000000000299</v>
      </c>
      <c r="AD5599">
        <v>-1.1097808211160001</v>
      </c>
      <c r="AE5599">
        <v>-24.632200000000001</v>
      </c>
      <c r="AF5599">
        <v>-2.85229384511159</v>
      </c>
      <c r="AG5599">
        <v>-1.1097808211160001</v>
      </c>
      <c r="AH5599">
        <v>24.465349397274501</v>
      </c>
      <c r="AI5599">
        <v>92.579783138177305</v>
      </c>
      <c r="AJ5599">
        <v>96.649811188929604</v>
      </c>
      <c r="AK5599">
        <v>24.656044183536402</v>
      </c>
      <c r="AL5599">
        <v>88.854068200703594</v>
      </c>
      <c r="AM5599">
        <v>90.752922463951194</v>
      </c>
      <c r="AN5599">
        <v>1.0000000231122499</v>
      </c>
    </row>
    <row r="5600" spans="1:40" x14ac:dyDescent="0.25">
      <c r="A5600" t="str">
        <f>"20190312160759014"</f>
        <v>20190312160759014</v>
      </c>
      <c r="B5600" t="str">
        <f>"1552378079000908"</f>
        <v>1552378079000908</v>
      </c>
      <c r="C5600" t="s">
        <v>40</v>
      </c>
      <c r="D5600">
        <v>5.5836540000000001</v>
      </c>
      <c r="E5600">
        <v>0.46385389999999999</v>
      </c>
      <c r="F5600" t="s">
        <v>47</v>
      </c>
      <c r="G5600">
        <v>-419.73149999999998</v>
      </c>
      <c r="H5600" s="1">
        <v>-3.4205900000000001E-6</v>
      </c>
      <c r="I5600">
        <v>57.495220000000003</v>
      </c>
      <c r="J5600">
        <v>-421.08789999999999</v>
      </c>
      <c r="K5600">
        <v>1.1097809999999999</v>
      </c>
      <c r="L5600">
        <v>80.431119999999893</v>
      </c>
      <c r="M5600">
        <v>-5.294509E-2</v>
      </c>
      <c r="N5600">
        <v>0</v>
      </c>
      <c r="O5600">
        <v>-0.99853919999999996</v>
      </c>
      <c r="P5600">
        <v>-3.9491800000000001E-2</v>
      </c>
      <c r="Q5600">
        <v>8.6067609999999992E-3</v>
      </c>
      <c r="R5600">
        <v>-0.99918320000000005</v>
      </c>
      <c r="S5600">
        <v>0.17495729999999901</v>
      </c>
      <c r="T5600">
        <v>-0.14433489999999999</v>
      </c>
      <c r="U5600">
        <v>-3.0108950000000001</v>
      </c>
      <c r="V5600">
        <v>-1.3476109999999999E-2</v>
      </c>
      <c r="W5600">
        <v>1.940302E-2</v>
      </c>
      <c r="X5600">
        <v>0.99972090000000002</v>
      </c>
      <c r="Y5600">
        <v>-0.1107218</v>
      </c>
      <c r="Z5600">
        <v>4.7594499999999998E-2</v>
      </c>
      <c r="AA5600">
        <v>0.99271120000000002</v>
      </c>
      <c r="AB5600">
        <v>22</v>
      </c>
      <c r="AC5600">
        <v>1.3564000000000001</v>
      </c>
      <c r="AD5600">
        <v>-1.1097844205899901</v>
      </c>
      <c r="AE5600">
        <v>-22.9359</v>
      </c>
      <c r="AF5600">
        <v>-2.5629317040535802</v>
      </c>
      <c r="AG5600">
        <v>-1.1097844205899901</v>
      </c>
      <c r="AH5600">
        <v>22.778763390535499</v>
      </c>
      <c r="AI5600">
        <v>92.771790666292105</v>
      </c>
      <c r="AJ5600">
        <v>96.419583613566701</v>
      </c>
      <c r="AK5600">
        <v>22.949342081676999</v>
      </c>
      <c r="AL5600">
        <v>88.888219054831794</v>
      </c>
      <c r="AM5600">
        <v>90.772293012551003</v>
      </c>
      <c r="AN5600">
        <v>0.99999998031133097</v>
      </c>
    </row>
    <row r="5601" spans="1:40" x14ac:dyDescent="0.25">
      <c r="A5601" t="str">
        <f>"20190312160759037"</f>
        <v>20190312160759037</v>
      </c>
      <c r="B5601" t="str">
        <f>"1552378079031167"</f>
        <v>1552378079031167</v>
      </c>
      <c r="C5601" t="s">
        <v>40</v>
      </c>
      <c r="D5601">
        <v>5.7838089999999998</v>
      </c>
      <c r="E5601">
        <v>0.46479019999999999</v>
      </c>
      <c r="F5601" t="s">
        <v>47</v>
      </c>
      <c r="G5601">
        <v>-419.85950000000003</v>
      </c>
      <c r="H5601" s="1">
        <v>-3.7534560000000002E-6</v>
      </c>
      <c r="I5601">
        <v>58.324080000000002</v>
      </c>
      <c r="J5601">
        <v>-421.09930000000003</v>
      </c>
      <c r="K5601">
        <v>1.1097809999999999</v>
      </c>
      <c r="L5601">
        <v>80.20917</v>
      </c>
      <c r="M5601">
        <v>-5.2649899999999999E-2</v>
      </c>
      <c r="N5601">
        <v>0</v>
      </c>
      <c r="O5601">
        <v>-0.99855470000000002</v>
      </c>
      <c r="P5601">
        <v>-3.8439719999999997E-2</v>
      </c>
      <c r="Q5601">
        <v>9.3009419999999995E-3</v>
      </c>
      <c r="R5601">
        <v>-0.99921800000000005</v>
      </c>
      <c r="S5601">
        <v>0.16726679999999999</v>
      </c>
      <c r="T5601">
        <v>-0.151120899999999</v>
      </c>
      <c r="U5601">
        <v>-3.010345</v>
      </c>
      <c r="V5601">
        <v>-1.423292E-2</v>
      </c>
      <c r="W5601">
        <v>2.0102410000000001E-2</v>
      </c>
      <c r="X5601">
        <v>0.99969660000000005</v>
      </c>
      <c r="Y5601">
        <v>-0.1079041</v>
      </c>
      <c r="Z5601">
        <v>4.9848290000000003E-2</v>
      </c>
      <c r="AA5601">
        <v>0.99291079999999998</v>
      </c>
      <c r="AB5601">
        <v>22</v>
      </c>
      <c r="AC5601">
        <v>1.2398</v>
      </c>
      <c r="AD5601">
        <v>-1.1097847534559999</v>
      </c>
      <c r="AE5601">
        <v>-21.885090000000002</v>
      </c>
      <c r="AF5601">
        <v>-2.3842836689722802</v>
      </c>
      <c r="AG5601">
        <v>-1.1097847534559999</v>
      </c>
      <c r="AH5601">
        <v>21.7337445899628</v>
      </c>
      <c r="AI5601">
        <v>92.905738325033894</v>
      </c>
      <c r="AJ5601">
        <v>96.2605540581919</v>
      </c>
      <c r="AK5601">
        <v>21.892283679755</v>
      </c>
      <c r="AL5601">
        <v>88.848139146495797</v>
      </c>
      <c r="AM5601">
        <v>90.815678630330893</v>
      </c>
      <c r="AN5601">
        <v>0.99999998747554697</v>
      </c>
    </row>
    <row r="5602" spans="1:40" x14ac:dyDescent="0.25">
      <c r="A5602" t="str">
        <f>"20190312160759058"</f>
        <v>20190312160759058</v>
      </c>
      <c r="B5602" t="str">
        <f>"1552378079051659"</f>
        <v>1552378079051659</v>
      </c>
      <c r="C5602" t="s">
        <v>40</v>
      </c>
      <c r="D5602">
        <v>5.3876289999999996</v>
      </c>
      <c r="E5602">
        <v>0.46470549999999999</v>
      </c>
      <c r="F5602" t="s">
        <v>47</v>
      </c>
      <c r="G5602">
        <v>-419.99889999999999</v>
      </c>
      <c r="H5602" s="1">
        <v>-1.1956779999999999E-7</v>
      </c>
      <c r="I5602">
        <v>59.868499999999997</v>
      </c>
      <c r="J5602">
        <v>-421.11</v>
      </c>
      <c r="K5602">
        <v>1.10978</v>
      </c>
      <c r="L5602">
        <v>80</v>
      </c>
      <c r="M5602">
        <v>-5.2371870000000001E-2</v>
      </c>
      <c r="N5602">
        <v>0</v>
      </c>
      <c r="O5602">
        <v>-0.99856929999999999</v>
      </c>
      <c r="P5602">
        <v>-3.7978499999999998E-2</v>
      </c>
      <c r="Q5602">
        <v>9.2250289999999992E-3</v>
      </c>
      <c r="R5602">
        <v>-0.99923620000000002</v>
      </c>
      <c r="S5602">
        <v>0.16284179999999901</v>
      </c>
      <c r="T5602">
        <v>-0.16423360000000001</v>
      </c>
      <c r="U5602">
        <v>-3.0101619999999998</v>
      </c>
      <c r="V5602">
        <v>-1.441599E-2</v>
      </c>
      <c r="W5602">
        <v>2.003137E-2</v>
      </c>
      <c r="X5602">
        <v>0.99969540000000001</v>
      </c>
      <c r="Y5602">
        <v>-0.10616299999999999</v>
      </c>
      <c r="Z5602">
        <v>5.417305E-2</v>
      </c>
      <c r="AA5602">
        <v>0.99287190000000003</v>
      </c>
      <c r="AB5602">
        <v>22</v>
      </c>
      <c r="AC5602">
        <v>1.11110000000002</v>
      </c>
      <c r="AD5602">
        <v>-1.1097801195678001</v>
      </c>
      <c r="AE5602">
        <v>-20.131499999999999</v>
      </c>
      <c r="AF5602">
        <v>-2.1574243835514602</v>
      </c>
      <c r="AG5602">
        <v>-1.1097801195678001</v>
      </c>
      <c r="AH5602">
        <v>19.9851264915435</v>
      </c>
      <c r="AI5602">
        <v>93.160065589834204</v>
      </c>
      <c r="AJ5602">
        <v>96.161305625170399</v>
      </c>
      <c r="AK5602">
        <v>20.131849710533899</v>
      </c>
      <c r="AL5602">
        <v>88.852210255259905</v>
      </c>
      <c r="AM5602">
        <v>90.826169789810294</v>
      </c>
      <c r="AN5602">
        <v>0.99999998466645801</v>
      </c>
    </row>
    <row r="5603" spans="1:40" x14ac:dyDescent="0.25">
      <c r="A5603" t="str">
        <f>"20190312160759684"</f>
        <v>20190312160759684</v>
      </c>
      <c r="B5603" t="str">
        <f>"1552378079680973"</f>
        <v>1552378079680973</v>
      </c>
      <c r="C5603" t="s">
        <v>40</v>
      </c>
      <c r="D5603">
        <v>5.3648910000000001</v>
      </c>
      <c r="E5603">
        <v>0.45159969999999999</v>
      </c>
      <c r="F5603" t="s">
        <v>47</v>
      </c>
      <c r="G5603">
        <v>-419.99360000000001</v>
      </c>
      <c r="H5603" s="1">
        <v>-4.2927399999999998E-6</v>
      </c>
      <c r="I5603">
        <v>59.604559999999999</v>
      </c>
      <c r="J5603">
        <v>-421.3972</v>
      </c>
      <c r="K5603">
        <v>1.1097649999999999</v>
      </c>
      <c r="L5603">
        <v>73.882930000000002</v>
      </c>
      <c r="M5603">
        <v>-4.4248999999999997E-2</v>
      </c>
      <c r="N5603">
        <v>0</v>
      </c>
      <c r="O5603">
        <v>-0.99896149999999995</v>
      </c>
      <c r="P5603">
        <v>-3.1575850000000003E-2</v>
      </c>
      <c r="Q5603">
        <v>4.668111E-3</v>
      </c>
      <c r="R5603">
        <v>-0.99949060000000001</v>
      </c>
      <c r="S5603">
        <v>0.16476440000000001</v>
      </c>
      <c r="T5603">
        <v>-0.16378799999999999</v>
      </c>
      <c r="U5603">
        <v>-3.0100709999999999</v>
      </c>
      <c r="V5603">
        <v>-1.2690409999999999E-2</v>
      </c>
      <c r="W5603">
        <v>1.5531690000000001E-2</v>
      </c>
      <c r="X5603">
        <v>0.99979879999999999</v>
      </c>
      <c r="Y5603">
        <v>-9.8707600000000006E-2</v>
      </c>
      <c r="Z5603">
        <v>5.4080049999999998E-2</v>
      </c>
      <c r="AA5603">
        <v>0.99364589999999997</v>
      </c>
      <c r="AB5603">
        <v>22</v>
      </c>
      <c r="AC5603">
        <v>1.40359999999998</v>
      </c>
      <c r="AD5603">
        <v>-1.10976929273999</v>
      </c>
      <c r="AE5603">
        <v>-14.278370000000001</v>
      </c>
      <c r="AF5603">
        <v>-2.0219681311515498</v>
      </c>
      <c r="AG5603">
        <v>-1.10976929273999</v>
      </c>
      <c r="AH5603">
        <v>14.1178023534254</v>
      </c>
      <c r="AI5603">
        <v>94.449434920921405</v>
      </c>
      <c r="AJ5603">
        <v>98.150541228155205</v>
      </c>
      <c r="AK5603">
        <v>14.3049741802244</v>
      </c>
      <c r="AL5603">
        <v>89.110063896035001</v>
      </c>
      <c r="AM5603">
        <v>90.727214204174203</v>
      </c>
      <c r="AN5603">
        <v>0.99999996019083104</v>
      </c>
    </row>
    <row r="5604" spans="1:40" x14ac:dyDescent="0.25">
      <c r="A5604" t="str">
        <f>"20190312160759698"</f>
        <v>20190312160759698</v>
      </c>
      <c r="B5604" t="str">
        <f>"1552378079690733"</f>
        <v>1552378079690733</v>
      </c>
      <c r="C5604" t="s">
        <v>40</v>
      </c>
      <c r="D5604">
        <v>5.3773739999999997</v>
      </c>
      <c r="E5604">
        <v>0.45173010000000002</v>
      </c>
      <c r="F5604" t="s">
        <v>94</v>
      </c>
      <c r="G5604">
        <v>-414.38869999999997</v>
      </c>
      <c r="H5604">
        <v>3.3152059999999999</v>
      </c>
      <c r="I5604">
        <v>1.831488</v>
      </c>
      <c r="J5604">
        <v>-421.40309999999999</v>
      </c>
      <c r="K5604">
        <v>1.109764</v>
      </c>
      <c r="L5604">
        <v>73.744569999999996</v>
      </c>
      <c r="M5604">
        <v>-4.4065680000000003E-2</v>
      </c>
      <c r="N5604">
        <v>0</v>
      </c>
      <c r="O5604">
        <v>-0.99896960000000001</v>
      </c>
      <c r="P5604">
        <v>-3.0950809999999999E-2</v>
      </c>
      <c r="Q5604">
        <v>4.7499200000000004E-3</v>
      </c>
      <c r="R5604">
        <v>-0.9995098</v>
      </c>
      <c r="S5604">
        <v>0.29281620000000003</v>
      </c>
      <c r="T5604">
        <v>9.2143299999999997E-2</v>
      </c>
      <c r="U5604">
        <v>-3.010345</v>
      </c>
      <c r="V5604">
        <v>-1.3132329999999999E-2</v>
      </c>
      <c r="W5604">
        <v>1.5613699999999999E-2</v>
      </c>
      <c r="X5604">
        <v>0.99979189999999996</v>
      </c>
      <c r="Y5604">
        <v>-0.14053560000000001</v>
      </c>
      <c r="Z5604">
        <v>-3.0326619999999999E-2</v>
      </c>
      <c r="AA5604">
        <v>0.98961100000000002</v>
      </c>
      <c r="AB5604">
        <v>22</v>
      </c>
      <c r="AC5604">
        <v>7.0144000000000197</v>
      </c>
      <c r="AD5604">
        <v>2.2054420000000001</v>
      </c>
      <c r="AE5604">
        <v>-71.913081999999903</v>
      </c>
      <c r="AF5604">
        <v>-10.167198933276399</v>
      </c>
      <c r="AG5604">
        <v>2.2054420000000001</v>
      </c>
      <c r="AH5604">
        <v>71.467523149604801</v>
      </c>
      <c r="AI5604">
        <v>88.250058421627699</v>
      </c>
      <c r="AJ5604">
        <v>98.0967500835404</v>
      </c>
      <c r="AK5604">
        <v>72.220791837970594</v>
      </c>
      <c r="AL5604">
        <v>89.105364574554599</v>
      </c>
      <c r="AM5604">
        <v>90.752540420259095</v>
      </c>
      <c r="AN5604">
        <v>1.0000000445122601</v>
      </c>
    </row>
    <row r="5605" spans="1:40" x14ac:dyDescent="0.25">
      <c r="A5605" t="str">
        <f>"20190312160759719"</f>
        <v>20190312160759719</v>
      </c>
      <c r="B5605" t="str">
        <f>"1552378079711228"</f>
        <v>1552378079711228</v>
      </c>
      <c r="C5605" t="s">
        <v>40</v>
      </c>
      <c r="D5605">
        <v>5.6330839999999904</v>
      </c>
      <c r="E5605">
        <v>0.45452779999999998</v>
      </c>
      <c r="F5605" t="s">
        <v>94</v>
      </c>
      <c r="G5605">
        <v>-414.26819999999998</v>
      </c>
      <c r="H5605">
        <v>3.0702189999999998</v>
      </c>
      <c r="I5605">
        <v>0.53568839999999995</v>
      </c>
      <c r="J5605">
        <v>-421.4117</v>
      </c>
      <c r="K5605">
        <v>1.109756</v>
      </c>
      <c r="L5605">
        <v>73.541929999999994</v>
      </c>
      <c r="M5605">
        <v>-4.3796889999999998E-2</v>
      </c>
      <c r="N5605">
        <v>0</v>
      </c>
      <c r="O5605">
        <v>-0.99898149999999997</v>
      </c>
      <c r="P5605">
        <v>-3.016514E-2</v>
      </c>
      <c r="Q5605">
        <v>5.0508509999999899E-3</v>
      </c>
      <c r="R5605">
        <v>-0.99953250000000005</v>
      </c>
      <c r="S5605">
        <v>0.2933655</v>
      </c>
      <c r="T5605">
        <v>8.0607769999999995E-2</v>
      </c>
      <c r="U5605">
        <v>-3.0101619999999998</v>
      </c>
      <c r="V5605">
        <v>-1.3649039999999999E-2</v>
      </c>
      <c r="W5605">
        <v>1.5915499999999999E-2</v>
      </c>
      <c r="X5605">
        <v>0.99978020000000001</v>
      </c>
      <c r="Y5605">
        <v>-0.14046439999999999</v>
      </c>
      <c r="Z5605">
        <v>-2.653488E-2</v>
      </c>
      <c r="AA5605">
        <v>0.98973009999999995</v>
      </c>
      <c r="AB5605">
        <v>22</v>
      </c>
      <c r="AC5605">
        <v>7.1435000000000102</v>
      </c>
      <c r="AD5605">
        <v>1.9604630000000001</v>
      </c>
      <c r="AE5605">
        <v>-73.006241599999996</v>
      </c>
      <c r="AF5605">
        <v>-10.3269032189228</v>
      </c>
      <c r="AG5605">
        <v>1.9604630000000001</v>
      </c>
      <c r="AH5605">
        <v>72.571463897146799</v>
      </c>
      <c r="AI5605">
        <v>88.468000069008497</v>
      </c>
      <c r="AJ5605">
        <v>98.0988039674654</v>
      </c>
      <c r="AK5605">
        <v>73.328750960603699</v>
      </c>
      <c r="AL5605">
        <v>89.088070541067907</v>
      </c>
      <c r="AM5605">
        <v>90.782155725065607</v>
      </c>
      <c r="AN5605">
        <v>1.0000000238725999</v>
      </c>
    </row>
    <row r="5606" spans="1:40" x14ac:dyDescent="0.25">
      <c r="A5606" t="str">
        <f>"20190312160759797"</f>
        <v>20190312160759797</v>
      </c>
      <c r="B5606" t="str">
        <f>"1552378079791264"</f>
        <v>1552378079791264</v>
      </c>
      <c r="C5606" t="s">
        <v>40</v>
      </c>
      <c r="D5606">
        <v>4.7440069999999999</v>
      </c>
      <c r="E5606">
        <v>0.48654599999999998</v>
      </c>
      <c r="F5606" t="s">
        <v>94</v>
      </c>
      <c r="G5606">
        <v>-414.78640000000001</v>
      </c>
      <c r="H5606">
        <v>2.9412799999999999</v>
      </c>
      <c r="I5606">
        <v>0.53041649999999996</v>
      </c>
      <c r="J5606">
        <v>-421.4443</v>
      </c>
      <c r="K5606">
        <v>1.1097619999999999</v>
      </c>
      <c r="L5606">
        <v>72.766139999999993</v>
      </c>
      <c r="M5606">
        <v>-4.2768590000000002E-2</v>
      </c>
      <c r="N5606">
        <v>0</v>
      </c>
      <c r="O5606">
        <v>-0.99902610000000003</v>
      </c>
      <c r="P5606">
        <v>-2.80678E-2</v>
      </c>
      <c r="Q5606">
        <v>5.1694360000000003E-3</v>
      </c>
      <c r="R5606">
        <v>-0.99959279999999995</v>
      </c>
      <c r="S5606">
        <v>0.27307130000000002</v>
      </c>
      <c r="T5606">
        <v>7.5487970000000001E-2</v>
      </c>
      <c r="U5606">
        <v>-3.009277</v>
      </c>
      <c r="V5606">
        <v>-1.4717839999999999E-2</v>
      </c>
      <c r="W5606">
        <v>1.6037079999999999E-2</v>
      </c>
      <c r="X5606">
        <v>0.99976310000000002</v>
      </c>
      <c r="Y5606">
        <v>-0.13285720000000001</v>
      </c>
      <c r="Z5606">
        <v>-2.4880510000000002E-2</v>
      </c>
      <c r="AA5606">
        <v>0.99082289999999995</v>
      </c>
      <c r="AB5606">
        <v>22</v>
      </c>
      <c r="AC5606">
        <v>6.6578999999999802</v>
      </c>
      <c r="AD5606">
        <v>1.831518</v>
      </c>
      <c r="AE5606">
        <v>-72.235723499999906</v>
      </c>
      <c r="AF5606">
        <v>-9.7352035254194504</v>
      </c>
      <c r="AG5606">
        <v>1.831518</v>
      </c>
      <c r="AH5606">
        <v>71.839061013873206</v>
      </c>
      <c r="AI5606">
        <v>88.552797607735101</v>
      </c>
      <c r="AJ5606">
        <v>97.717372631802107</v>
      </c>
      <c r="AK5606">
        <v>72.518820544880995</v>
      </c>
      <c r="AL5606">
        <v>89.081103636288603</v>
      </c>
      <c r="AM5606">
        <v>90.843409009937503</v>
      </c>
      <c r="AN5606">
        <v>1.0000000294353999</v>
      </c>
    </row>
    <row r="5607" spans="1:40" x14ac:dyDescent="0.25">
      <c r="A5607" t="str">
        <f>"20190312160759819"</f>
        <v>20190312160759819</v>
      </c>
      <c r="B5607" t="str">
        <f>"1552378079810780"</f>
        <v>1552378079810780</v>
      </c>
      <c r="C5607" t="s">
        <v>40</v>
      </c>
      <c r="D5607">
        <v>5.6010359999999997</v>
      </c>
      <c r="E5607">
        <v>0.48756139999999998</v>
      </c>
      <c r="F5607" t="s">
        <v>44</v>
      </c>
      <c r="G5607">
        <v>-421.44349999999997</v>
      </c>
      <c r="H5607">
        <v>0.83282939999999905</v>
      </c>
      <c r="I5607">
        <v>71.955460000000002</v>
      </c>
      <c r="J5607">
        <v>-421.45350000000002</v>
      </c>
      <c r="K5607">
        <v>1.109769</v>
      </c>
      <c r="L5607">
        <v>72.542140000000003</v>
      </c>
      <c r="M5607">
        <v>-4.2472009999999998E-2</v>
      </c>
      <c r="N5607">
        <v>0</v>
      </c>
      <c r="O5607">
        <v>-0.99903850000000005</v>
      </c>
      <c r="P5607">
        <v>-2.7550850000000002E-2</v>
      </c>
      <c r="Q5607">
        <v>5.1637180000000003E-3</v>
      </c>
      <c r="R5607">
        <v>-0.99960720000000003</v>
      </c>
      <c r="S5607">
        <v>3.7231450000000002E-3</v>
      </c>
      <c r="T5607">
        <v>-1.0270699999999999</v>
      </c>
      <c r="U5607">
        <v>-3.0066220000000001</v>
      </c>
      <c r="V5607">
        <v>-1.493856E-2</v>
      </c>
      <c r="W5607">
        <v>1.6032310000000001E-2</v>
      </c>
      <c r="X5607">
        <v>0.99975990000000003</v>
      </c>
      <c r="Y5607">
        <v>-4.3644259999999997E-2</v>
      </c>
      <c r="Z5607">
        <v>0.32267780000000001</v>
      </c>
      <c r="AA5607">
        <v>0.94550210000000001</v>
      </c>
      <c r="AB5607">
        <v>22</v>
      </c>
      <c r="AC5607">
        <v>1.00000000000477E-2</v>
      </c>
      <c r="AD5607">
        <v>-0.27693960000000001</v>
      </c>
      <c r="AE5607">
        <v>-0.58668000000000098</v>
      </c>
      <c r="AF5607">
        <v>-2.8550055472059299E-2</v>
      </c>
      <c r="AG5607">
        <v>-0.27693960000000001</v>
      </c>
      <c r="AH5607">
        <v>0.47901859488089599</v>
      </c>
      <c r="AI5607">
        <v>119.98990737040801</v>
      </c>
      <c r="AJ5607">
        <v>93.410858937088094</v>
      </c>
      <c r="AK5607">
        <v>0.55404824876294401</v>
      </c>
      <c r="AL5607">
        <v>89.081376969678999</v>
      </c>
      <c r="AM5607">
        <v>90.8560582886101</v>
      </c>
      <c r="AN5607">
        <v>1.0000000265933999</v>
      </c>
    </row>
    <row r="5608" spans="1:40" x14ac:dyDescent="0.25">
      <c r="A5608" t="str">
        <f>"20190312160759851"</f>
        <v>20190312160759851</v>
      </c>
      <c r="B5608" t="str">
        <f>"1552378079841036"</f>
        <v>1552378079841036</v>
      </c>
      <c r="C5608" t="s">
        <v>40</v>
      </c>
      <c r="D5608">
        <v>5.6524710000000002</v>
      </c>
      <c r="E5608">
        <v>0.47396830000000001</v>
      </c>
      <c r="F5608" t="s">
        <v>44</v>
      </c>
      <c r="G5608">
        <v>-421.45350000000002</v>
      </c>
      <c r="H5608">
        <v>0.87274370000000001</v>
      </c>
      <c r="I5608">
        <v>71.739230000000006</v>
      </c>
      <c r="J5608">
        <v>-421.4667</v>
      </c>
      <c r="K5608">
        <v>1.1097699999999999</v>
      </c>
      <c r="L5608">
        <v>72.218719999999905</v>
      </c>
      <c r="M5608">
        <v>-4.2043219999999999E-2</v>
      </c>
      <c r="N5608">
        <v>0</v>
      </c>
      <c r="O5608">
        <v>-0.99905659999999996</v>
      </c>
      <c r="P5608">
        <v>-2.7182169999999999E-2</v>
      </c>
      <c r="Q5608">
        <v>5.920257E-3</v>
      </c>
      <c r="R5608">
        <v>-0.99961270000000002</v>
      </c>
      <c r="S5608">
        <v>-2.13623E-4</v>
      </c>
      <c r="T5608">
        <v>-0.887308599999999</v>
      </c>
      <c r="U5608">
        <v>-3.0057680000000002</v>
      </c>
      <c r="V5608">
        <v>-1.487831E-2</v>
      </c>
      <c r="W5608">
        <v>1.6790380000000001E-2</v>
      </c>
      <c r="X5608">
        <v>0.99974830000000003</v>
      </c>
      <c r="Y5608">
        <v>-4.197683E-2</v>
      </c>
      <c r="Z5608">
        <v>0.2826283</v>
      </c>
      <c r="AA5608">
        <v>0.95831060000000001</v>
      </c>
      <c r="AB5608">
        <v>22</v>
      </c>
      <c r="AC5608">
        <v>1.31999999999834E-2</v>
      </c>
      <c r="AD5608">
        <v>-0.2370263</v>
      </c>
      <c r="AE5608">
        <v>-0.47948999999998398</v>
      </c>
      <c r="AF5608">
        <v>-2.6803919289165101E-2</v>
      </c>
      <c r="AG5608">
        <v>-0.2370263</v>
      </c>
      <c r="AH5608">
        <v>0.38460036970766698</v>
      </c>
      <c r="AI5608">
        <v>121.583249258169</v>
      </c>
      <c r="AJ5608">
        <v>93.986663450668104</v>
      </c>
      <c r="AK5608">
        <v>0.45256752132717698</v>
      </c>
      <c r="AL5608">
        <v>89.037936855546803</v>
      </c>
      <c r="AM5608">
        <v>90.852616047759696</v>
      </c>
      <c r="AN5608">
        <v>0.99999997216094405</v>
      </c>
    </row>
    <row r="5609" spans="1:40" x14ac:dyDescent="0.25">
      <c r="A5609" t="str">
        <f>"20190312160759874"</f>
        <v>20190312160759874</v>
      </c>
      <c r="B5609" t="str">
        <f>"1552378079871292"</f>
        <v>1552378079871292</v>
      </c>
      <c r="C5609" t="s">
        <v>40</v>
      </c>
      <c r="D5609">
        <v>5.5342269999999996</v>
      </c>
      <c r="E5609">
        <v>0.47400720000000002</v>
      </c>
      <c r="F5609" t="s">
        <v>47</v>
      </c>
      <c r="G5609">
        <v>-420.82639999999998</v>
      </c>
      <c r="H5609" s="1">
        <v>-3.1638609999999999E-6</v>
      </c>
      <c r="I5609">
        <v>56.451599999999999</v>
      </c>
      <c r="J5609">
        <v>-421.47579999999999</v>
      </c>
      <c r="K5609">
        <v>1.1097709999999901</v>
      </c>
      <c r="L5609">
        <v>71.994659999999996</v>
      </c>
      <c r="M5609">
        <v>-4.1746650000000003E-2</v>
      </c>
      <c r="N5609">
        <v>0</v>
      </c>
      <c r="O5609">
        <v>-0.99906899999999998</v>
      </c>
      <c r="P5609">
        <v>-2.7008529999999999E-2</v>
      </c>
      <c r="Q5609">
        <v>6.8815880000000001E-3</v>
      </c>
      <c r="R5609">
        <v>-0.99961149999999999</v>
      </c>
      <c r="S5609">
        <v>0.12207030000000001</v>
      </c>
      <c r="T5609">
        <v>-0.21155750000000001</v>
      </c>
      <c r="U5609">
        <v>-3.0057070000000001</v>
      </c>
      <c r="V5609">
        <v>-1.47546E-2</v>
      </c>
      <c r="W5609">
        <v>1.775297E-2</v>
      </c>
      <c r="X5609">
        <v>0.99973350000000005</v>
      </c>
      <c r="Y5609">
        <v>-8.2159010000000005E-2</v>
      </c>
      <c r="Z5609">
        <v>6.9972329999999999E-2</v>
      </c>
      <c r="AA5609">
        <v>0.99415980000000004</v>
      </c>
      <c r="AB5609">
        <v>22</v>
      </c>
      <c r="AC5609">
        <v>0.64940000000001397</v>
      </c>
      <c r="AD5609">
        <v>-1.1097741638609999</v>
      </c>
      <c r="AE5609">
        <v>-15.543059999999899</v>
      </c>
      <c r="AF5609">
        <v>-1.2911720216175999</v>
      </c>
      <c r="AG5609">
        <v>-1.1097741638609999</v>
      </c>
      <c r="AH5609">
        <v>15.423903145860001</v>
      </c>
      <c r="AI5609">
        <v>94.101133997470498</v>
      </c>
      <c r="AJ5609">
        <v>94.785210412848699</v>
      </c>
      <c r="AK5609">
        <v>15.517587187995799</v>
      </c>
      <c r="AL5609">
        <v>88.982776275738104</v>
      </c>
      <c r="AM5609">
        <v>90.845540274557194</v>
      </c>
      <c r="AN5609">
        <v>0.99999996859361495</v>
      </c>
    </row>
    <row r="5610" spans="1:40" x14ac:dyDescent="0.25">
      <c r="A5610" t="str">
        <f>"20190312160759897"</f>
        <v>20190312160759897</v>
      </c>
      <c r="B5610" t="str">
        <f>"1552378079890812"</f>
        <v>1552378079890812</v>
      </c>
      <c r="C5610" t="s">
        <v>40</v>
      </c>
      <c r="D5610">
        <v>5.6787809999999999</v>
      </c>
      <c r="E5610">
        <v>0.47478480000000001</v>
      </c>
      <c r="F5610" t="s">
        <v>47</v>
      </c>
      <c r="G5610">
        <v>-420.47070000000002</v>
      </c>
      <c r="H5610" s="1">
        <v>-3.5370260000000001E-6</v>
      </c>
      <c r="I5610">
        <v>47.542059999999999</v>
      </c>
      <c r="J5610">
        <v>-421.48500000000001</v>
      </c>
      <c r="K5610">
        <v>1.10978</v>
      </c>
      <c r="L5610">
        <v>71.767269999999996</v>
      </c>
      <c r="M5610">
        <v>-4.1444750000000002E-2</v>
      </c>
      <c r="N5610">
        <v>0</v>
      </c>
      <c r="O5610">
        <v>-0.99908169999999996</v>
      </c>
      <c r="P5610">
        <v>-2.6954079999999998E-2</v>
      </c>
      <c r="Q5610">
        <v>7.6043919999999997E-3</v>
      </c>
      <c r="R5610">
        <v>-0.99960760000000004</v>
      </c>
      <c r="S5610">
        <v>0.123535199999999</v>
      </c>
      <c r="T5610">
        <v>-0.13640070000000001</v>
      </c>
      <c r="U5610">
        <v>-3.0054319999999999</v>
      </c>
      <c r="V5610">
        <v>-1.450747E-2</v>
      </c>
      <c r="W5610">
        <v>1.847145E-2</v>
      </c>
      <c r="X5610">
        <v>0.9997241</v>
      </c>
      <c r="Y5610">
        <v>-8.2404169999999999E-2</v>
      </c>
      <c r="Z5610">
        <v>4.5183460000000002E-2</v>
      </c>
      <c r="AA5610">
        <v>0.99557419999999996</v>
      </c>
      <c r="AB5610">
        <v>22</v>
      </c>
      <c r="AC5610">
        <v>1.01429999999999</v>
      </c>
      <c r="AD5610">
        <v>-1.1097835370260001</v>
      </c>
      <c r="AE5610">
        <v>-24.225210000000001</v>
      </c>
      <c r="AF5610">
        <v>-2.0132776812490198</v>
      </c>
      <c r="AG5610">
        <v>-1.1097835370260001</v>
      </c>
      <c r="AH5610">
        <v>24.111839355784099</v>
      </c>
      <c r="AI5610">
        <v>92.626138543491706</v>
      </c>
      <c r="AJ5610">
        <v>94.772981275785895</v>
      </c>
      <c r="AK5610">
        <v>24.221182952944499</v>
      </c>
      <c r="AL5610">
        <v>88.941603647999898</v>
      </c>
      <c r="AM5610">
        <v>90.831387843016401</v>
      </c>
      <c r="AN5610">
        <v>0.99999996863585605</v>
      </c>
    </row>
    <row r="5611" spans="1:40" x14ac:dyDescent="0.25">
      <c r="A5611" t="str">
        <f>"20190312160759920"</f>
        <v>20190312160759920</v>
      </c>
      <c r="B5611" t="str">
        <f>"1552378079911308"</f>
        <v>1552378079911308</v>
      </c>
      <c r="C5611" t="s">
        <v>40</v>
      </c>
      <c r="D5611">
        <v>5.6334169999999997</v>
      </c>
      <c r="E5611">
        <v>0.47748930000000001</v>
      </c>
      <c r="F5611" t="s">
        <v>47</v>
      </c>
      <c r="G5611">
        <v>-420.62299999999999</v>
      </c>
      <c r="H5611" s="1">
        <v>-4.3993450000000001E-6</v>
      </c>
      <c r="I5611">
        <v>49.589739999999999</v>
      </c>
      <c r="J5611">
        <v>-421.49419999999998</v>
      </c>
      <c r="K5611">
        <v>1.109777</v>
      </c>
      <c r="L5611">
        <v>71.537719999999993</v>
      </c>
      <c r="M5611">
        <v>-4.114052E-2</v>
      </c>
      <c r="N5611">
        <v>0</v>
      </c>
      <c r="O5611">
        <v>-0.99909429999999999</v>
      </c>
      <c r="P5611">
        <v>-2.7110840000000001E-2</v>
      </c>
      <c r="Q5611">
        <v>7.4434380000000001E-3</v>
      </c>
      <c r="R5611">
        <v>-0.99960470000000001</v>
      </c>
      <c r="S5611">
        <v>0.1168213</v>
      </c>
      <c r="T5611">
        <v>-0.15039620000000001</v>
      </c>
      <c r="U5611">
        <v>-3.0054630000000002</v>
      </c>
      <c r="V5611">
        <v>-1.4046060000000001E-2</v>
      </c>
      <c r="W5611">
        <v>1.8300770000000001E-2</v>
      </c>
      <c r="X5611">
        <v>0.99973389999999995</v>
      </c>
      <c r="Y5611">
        <v>-7.9870990000000003E-2</v>
      </c>
      <c r="Z5611">
        <v>4.9816329999999999E-2</v>
      </c>
      <c r="AA5611">
        <v>0.99555959999999999</v>
      </c>
      <c r="AB5611">
        <v>22</v>
      </c>
      <c r="AC5611">
        <v>0.87119999999993003</v>
      </c>
      <c r="AD5611">
        <v>-1.1097813993449901</v>
      </c>
      <c r="AE5611">
        <v>-21.947979999999902</v>
      </c>
      <c r="AF5611">
        <v>-1.76895130957558</v>
      </c>
      <c r="AG5611">
        <v>-1.1097813993449901</v>
      </c>
      <c r="AH5611">
        <v>21.837806601251099</v>
      </c>
      <c r="AI5611">
        <v>92.899745255274297</v>
      </c>
      <c r="AJ5611">
        <v>94.631080055778398</v>
      </c>
      <c r="AK5611">
        <v>21.937424658414901</v>
      </c>
      <c r="AL5611">
        <v>88.951384620574999</v>
      </c>
      <c r="AM5611">
        <v>90.804941204238702</v>
      </c>
      <c r="AN5611">
        <v>1.00000004039666</v>
      </c>
    </row>
    <row r="5612" spans="1:40" x14ac:dyDescent="0.25">
      <c r="A5612" t="str">
        <f>"20190312160759964"</f>
        <v>20190312160759964</v>
      </c>
      <c r="B5612" t="str">
        <f>"1552378079951324"</f>
        <v>1552378079951324</v>
      </c>
      <c r="C5612" t="s">
        <v>40</v>
      </c>
      <c r="D5612">
        <v>5.9161479999999997</v>
      </c>
      <c r="E5612">
        <v>0.47911720000000002</v>
      </c>
      <c r="F5612" t="s">
        <v>47</v>
      </c>
      <c r="G5612">
        <v>-420.90519999999998</v>
      </c>
      <c r="H5612" s="1">
        <v>-1.659462E-6</v>
      </c>
      <c r="I5612">
        <v>52.895910000000001</v>
      </c>
      <c r="J5612">
        <v>-421.51150000000001</v>
      </c>
      <c r="K5612">
        <v>1.109766</v>
      </c>
      <c r="L5612">
        <v>71.098209999999995</v>
      </c>
      <c r="M5612">
        <v>-4.0557870000000003E-2</v>
      </c>
      <c r="N5612">
        <v>0</v>
      </c>
      <c r="O5612">
        <v>-0.99911839999999996</v>
      </c>
      <c r="P5612">
        <v>-2.6355650000000001E-2</v>
      </c>
      <c r="Q5612">
        <v>7.5188999999999898E-3</v>
      </c>
      <c r="R5612">
        <v>-0.99962439999999997</v>
      </c>
      <c r="S5612">
        <v>9.4940189999999994E-2</v>
      </c>
      <c r="T5612">
        <v>-0.17889859999999999</v>
      </c>
      <c r="U5612">
        <v>-3.005096</v>
      </c>
      <c r="V5612">
        <v>-1.421862E-2</v>
      </c>
      <c r="W5612">
        <v>1.835941E-2</v>
      </c>
      <c r="X5612">
        <v>0.99973029999999996</v>
      </c>
      <c r="Y5612">
        <v>-7.2035719999999998E-2</v>
      </c>
      <c r="Z5612">
        <v>5.9261229999999998E-2</v>
      </c>
      <c r="AA5612">
        <v>0.99563999999999997</v>
      </c>
      <c r="AB5612">
        <v>22</v>
      </c>
      <c r="AC5612">
        <v>0.60630000000003204</v>
      </c>
      <c r="AD5612">
        <v>-1.1097676594620001</v>
      </c>
      <c r="AE5612">
        <v>-18.202299999999902</v>
      </c>
      <c r="AF5612">
        <v>-1.33911875262488</v>
      </c>
      <c r="AG5612">
        <v>-1.1097676594620001</v>
      </c>
      <c r="AH5612">
        <v>18.0955400196688</v>
      </c>
      <c r="AI5612">
        <v>93.499907503863597</v>
      </c>
      <c r="AJ5612">
        <v>94.232327450291393</v>
      </c>
      <c r="AK5612">
        <v>18.178927138174402</v>
      </c>
      <c r="AL5612">
        <v>88.9480241416844</v>
      </c>
      <c r="AM5612">
        <v>90.814831753490793</v>
      </c>
      <c r="AN5612">
        <v>0.99999995491417004</v>
      </c>
    </row>
    <row r="5613" spans="1:40" x14ac:dyDescent="0.25">
      <c r="A5613" t="str">
        <f>"20190312160759987"</f>
        <v>20190312160759987</v>
      </c>
      <c r="B5613" t="str">
        <f>"1552378079981580"</f>
        <v>1552378079981580</v>
      </c>
      <c r="C5613" t="s">
        <v>40</v>
      </c>
      <c r="D5613">
        <v>5.5943139999999998</v>
      </c>
      <c r="E5613">
        <v>0.47959200000000002</v>
      </c>
      <c r="F5613" t="s">
        <v>47</v>
      </c>
      <c r="G5613">
        <v>-421.04419999999999</v>
      </c>
      <c r="H5613" s="1">
        <v>-2.3148120000000002E-6</v>
      </c>
      <c r="I5613">
        <v>54.337350000000001</v>
      </c>
      <c r="J5613">
        <v>-421.52050000000003</v>
      </c>
      <c r="K5613">
        <v>1.1097680000000001</v>
      </c>
      <c r="L5613">
        <v>70.866640000000004</v>
      </c>
      <c r="M5613">
        <v>-4.0251149999999999E-2</v>
      </c>
      <c r="N5613">
        <v>0</v>
      </c>
      <c r="O5613">
        <v>-0.99913079999999999</v>
      </c>
      <c r="P5613">
        <v>-2.5737030000000001E-2</v>
      </c>
      <c r="Q5613">
        <v>7.5398230000000002E-3</v>
      </c>
      <c r="R5613">
        <v>-0.99964039999999998</v>
      </c>
      <c r="S5613">
        <v>8.3770750000000005E-2</v>
      </c>
      <c r="T5613">
        <v>-0.19895489999999999</v>
      </c>
      <c r="U5613">
        <v>-3.0048219999999999</v>
      </c>
      <c r="V5613">
        <v>-1.4530380000000001E-2</v>
      </c>
      <c r="W5613">
        <v>1.8373239999999999E-2</v>
      </c>
      <c r="X5613">
        <v>0.99972559999999999</v>
      </c>
      <c r="Y5613">
        <v>-6.8022529999999998E-2</v>
      </c>
      <c r="Z5613">
        <v>6.5897670000000005E-2</v>
      </c>
      <c r="AA5613">
        <v>0.99550510000000003</v>
      </c>
      <c r="AB5613">
        <v>22</v>
      </c>
      <c r="AC5613">
        <v>0.47630000000003703</v>
      </c>
      <c r="AD5613">
        <v>-1.1097703148119999</v>
      </c>
      <c r="AE5613">
        <v>-16.52929</v>
      </c>
      <c r="AF5613">
        <v>-1.1361587303634999</v>
      </c>
      <c r="AG5613">
        <v>-1.1097703148119999</v>
      </c>
      <c r="AH5613">
        <v>16.422752341208099</v>
      </c>
      <c r="AI5613">
        <v>93.856704450668204</v>
      </c>
      <c r="AJ5613">
        <v>93.957530454824905</v>
      </c>
      <c r="AK5613">
        <v>16.499370935671301</v>
      </c>
      <c r="AL5613">
        <v>88.947231645955995</v>
      </c>
      <c r="AM5613">
        <v>90.832699325490694</v>
      </c>
      <c r="AN5613">
        <v>0.99999999159320097</v>
      </c>
    </row>
    <row r="5614" spans="1:40" x14ac:dyDescent="0.25">
      <c r="A5614" t="str">
        <f>"20190312160800008"</f>
        <v>20190312160800008</v>
      </c>
      <c r="B5614" t="str">
        <f>"1552378080001101"</f>
        <v>1552378080001101</v>
      </c>
      <c r="C5614" t="s">
        <v>40</v>
      </c>
      <c r="D5614">
        <v>5.683211</v>
      </c>
      <c r="E5614">
        <v>0.47975889999999999</v>
      </c>
      <c r="F5614" t="s">
        <v>47</v>
      </c>
      <c r="G5614">
        <v>-421.084</v>
      </c>
      <c r="H5614" s="1">
        <v>-2.5392499999999999E-6</v>
      </c>
      <c r="I5614">
        <v>54.835810000000002</v>
      </c>
      <c r="J5614">
        <v>-421.52910000000003</v>
      </c>
      <c r="K5614">
        <v>1.1097669999999999</v>
      </c>
      <c r="L5614">
        <v>70.644469999999998</v>
      </c>
      <c r="M5614">
        <v>-3.9956739999999998E-2</v>
      </c>
      <c r="N5614">
        <v>0</v>
      </c>
      <c r="O5614">
        <v>-0.99914289999999994</v>
      </c>
      <c r="P5614">
        <v>-2.5285499999999999E-2</v>
      </c>
      <c r="Q5614">
        <v>6.8260339999999999E-3</v>
      </c>
      <c r="R5614">
        <v>-0.99965749999999998</v>
      </c>
      <c r="S5614">
        <v>8.1817630000000002E-2</v>
      </c>
      <c r="T5614">
        <v>-0.20801149999999999</v>
      </c>
      <c r="U5614">
        <v>-3.0047609999999998</v>
      </c>
      <c r="V5614">
        <v>-1.468741E-2</v>
      </c>
      <c r="W5614">
        <v>1.7652379999999999E-2</v>
      </c>
      <c r="X5614">
        <v>0.99973630000000002</v>
      </c>
      <c r="Y5614">
        <v>-6.7076940000000002E-2</v>
      </c>
      <c r="Z5614">
        <v>6.8888809999999995E-2</v>
      </c>
      <c r="AA5614">
        <v>0.9953668</v>
      </c>
      <c r="AB5614">
        <v>22</v>
      </c>
      <c r="AC5614">
        <v>0.44510000000002398</v>
      </c>
      <c r="AD5614">
        <v>-1.10976953925</v>
      </c>
      <c r="AE5614">
        <v>-15.80866</v>
      </c>
      <c r="AF5614">
        <v>-1.0711693558388899</v>
      </c>
      <c r="AG5614">
        <v>-1.10976953925</v>
      </c>
      <c r="AH5614">
        <v>15.7009343421928</v>
      </c>
      <c r="AI5614">
        <v>94.033696806438002</v>
      </c>
      <c r="AJ5614">
        <v>93.902858751648793</v>
      </c>
      <c r="AK5614">
        <v>15.7765120174576</v>
      </c>
      <c r="AL5614">
        <v>88.988540591454907</v>
      </c>
      <c r="AM5614">
        <v>90.841688022645997</v>
      </c>
      <c r="AN5614">
        <v>0.999999998034931</v>
      </c>
    </row>
    <row r="5615" spans="1:40" x14ac:dyDescent="0.25">
      <c r="A5615" t="str">
        <f>"20190312160800030"</f>
        <v>20190312160800030</v>
      </c>
      <c r="B5615" t="str">
        <f>"1552378080021596"</f>
        <v>1552378080021596</v>
      </c>
      <c r="C5615" t="s">
        <v>40</v>
      </c>
      <c r="D5615">
        <v>5.5121529999999996</v>
      </c>
      <c r="E5615">
        <v>0.48015190000000002</v>
      </c>
      <c r="F5615" t="s">
        <v>47</v>
      </c>
      <c r="G5615">
        <v>-421.08850000000001</v>
      </c>
      <c r="H5615" s="1">
        <v>-2.392909E-6</v>
      </c>
      <c r="I5615">
        <v>54.49194</v>
      </c>
      <c r="J5615">
        <v>-421.53750000000002</v>
      </c>
      <c r="K5615">
        <v>1.1097619999999999</v>
      </c>
      <c r="L5615">
        <v>70.427340000000001</v>
      </c>
      <c r="M5615">
        <v>-3.96689E-2</v>
      </c>
      <c r="N5615">
        <v>0</v>
      </c>
      <c r="O5615">
        <v>-0.99915419999999999</v>
      </c>
      <c r="P5615">
        <v>-2.486091E-2</v>
      </c>
      <c r="Q5615">
        <v>6.1350909999999996E-3</v>
      </c>
      <c r="R5615">
        <v>-0.99967209999999995</v>
      </c>
      <c r="S5615">
        <v>8.1970210000000002E-2</v>
      </c>
      <c r="T5615">
        <v>-0.2064271</v>
      </c>
      <c r="U5615">
        <v>-3.0045169999999999</v>
      </c>
      <c r="V5615">
        <v>-1.4823930000000001E-2</v>
      </c>
      <c r="W5615">
        <v>1.695487E-2</v>
      </c>
      <c r="X5615">
        <v>0.99974640000000004</v>
      </c>
      <c r="Y5615">
        <v>-6.6843200000000005E-2</v>
      </c>
      <c r="Z5615">
        <v>6.837377E-2</v>
      </c>
      <c r="AA5615">
        <v>0.99541800000000003</v>
      </c>
      <c r="AB5615">
        <v>22</v>
      </c>
      <c r="AC5615">
        <v>0.449000000000012</v>
      </c>
      <c r="AD5615">
        <v>-1.109764392909</v>
      </c>
      <c r="AE5615">
        <v>-15.9354</v>
      </c>
      <c r="AF5615">
        <v>-1.0756108957111701</v>
      </c>
      <c r="AG5615">
        <v>-1.109764392909</v>
      </c>
      <c r="AH5615">
        <v>15.8283376047196</v>
      </c>
      <c r="AI5615">
        <v>94.001389311313901</v>
      </c>
      <c r="AJ5615">
        <v>93.8875443109618</v>
      </c>
      <c r="AK5615">
        <v>15.9036092487122</v>
      </c>
      <c r="AL5615">
        <v>89.028510997008695</v>
      </c>
      <c r="AM5615">
        <v>90.849501820626301</v>
      </c>
      <c r="AN5615">
        <v>1.0000000404151601</v>
      </c>
    </row>
    <row r="5616" spans="1:40" x14ac:dyDescent="0.25">
      <c r="A5616" t="str">
        <f>"20190312160800053"</f>
        <v>20190312160800053</v>
      </c>
      <c r="B5616" t="str">
        <f>"1552378080041117"</f>
        <v>1552378080041117</v>
      </c>
      <c r="C5616" t="s">
        <v>40</v>
      </c>
      <c r="D5616">
        <v>5.6173859999999998</v>
      </c>
      <c r="E5616">
        <v>0.48052309999999998</v>
      </c>
      <c r="F5616" t="s">
        <v>47</v>
      </c>
      <c r="G5616">
        <v>-421.12099999999998</v>
      </c>
      <c r="H5616" s="1">
        <v>-2.5395539999999998E-6</v>
      </c>
      <c r="I5616">
        <v>54.813589999999998</v>
      </c>
      <c r="J5616">
        <v>-421.5462</v>
      </c>
      <c r="K5616">
        <v>1.109764</v>
      </c>
      <c r="L5616">
        <v>70.200040000000001</v>
      </c>
      <c r="M5616">
        <v>-3.9367579999999999E-2</v>
      </c>
      <c r="N5616">
        <v>0</v>
      </c>
      <c r="O5616">
        <v>-0.99916629999999995</v>
      </c>
      <c r="P5616">
        <v>-2.447535E-2</v>
      </c>
      <c r="Q5616">
        <v>6.2142859999999899E-3</v>
      </c>
      <c r="R5616">
        <v>-0.99968120000000005</v>
      </c>
      <c r="S5616">
        <v>8.0139160000000001E-2</v>
      </c>
      <c r="T5616">
        <v>-0.2135321</v>
      </c>
      <c r="U5616">
        <v>-3.0042719999999998</v>
      </c>
      <c r="V5616">
        <v>-1.4907810000000001E-2</v>
      </c>
      <c r="W5616">
        <v>1.7024480000000002E-2</v>
      </c>
      <c r="X5616">
        <v>0.99974390000000002</v>
      </c>
      <c r="Y5616">
        <v>-6.5933850000000002E-2</v>
      </c>
      <c r="Z5616">
        <v>7.0725200000000002E-2</v>
      </c>
      <c r="AA5616">
        <v>0.99531440000000004</v>
      </c>
      <c r="AB5616">
        <v>22</v>
      </c>
      <c r="AC5616">
        <v>0.42520000000001701</v>
      </c>
      <c r="AD5616">
        <v>-1.109766539554</v>
      </c>
      <c r="AE5616">
        <v>-15.3864499999999</v>
      </c>
      <c r="AF5616">
        <v>-1.0253032989814701</v>
      </c>
      <c r="AG5616">
        <v>-1.109766539554</v>
      </c>
      <c r="AH5616">
        <v>15.278360582657999</v>
      </c>
      <c r="AI5616">
        <v>94.145177528700998</v>
      </c>
      <c r="AJ5616">
        <v>93.839260232706707</v>
      </c>
      <c r="AK5616">
        <v>15.352886722728501</v>
      </c>
      <c r="AL5616">
        <v>89.024521994156302</v>
      </c>
      <c r="AM5616">
        <v>90.854310083048105</v>
      </c>
      <c r="AN5616">
        <v>0.99999997065273705</v>
      </c>
    </row>
    <row r="5617" spans="1:40" x14ac:dyDescent="0.25">
      <c r="A5617" t="str">
        <f>"20190312160800076"</f>
        <v>20190312160800076</v>
      </c>
      <c r="B5617" t="str">
        <f>"1552378080071372"</f>
        <v>1552378080071372</v>
      </c>
      <c r="C5617" t="s">
        <v>40</v>
      </c>
      <c r="D5617">
        <v>5.5989170000000001</v>
      </c>
      <c r="E5617">
        <v>0.4809524</v>
      </c>
      <c r="F5617" t="s">
        <v>47</v>
      </c>
      <c r="G5617">
        <v>-421.14089999999999</v>
      </c>
      <c r="H5617" s="1">
        <v>-2.444958E-6</v>
      </c>
      <c r="I5617">
        <v>54.5807199999999</v>
      </c>
      <c r="J5617">
        <v>-421.55459999999999</v>
      </c>
      <c r="K5617">
        <v>1.1097629999999901</v>
      </c>
      <c r="L5617">
        <v>69.977019999999996</v>
      </c>
      <c r="M5617">
        <v>-3.9072040000000002E-2</v>
      </c>
      <c r="N5617">
        <v>0</v>
      </c>
      <c r="O5617">
        <v>-0.99917820000000002</v>
      </c>
      <c r="P5617">
        <v>-2.441277E-2</v>
      </c>
      <c r="Q5617">
        <v>5.9861100000000002E-3</v>
      </c>
      <c r="R5617">
        <v>-0.99968420000000002</v>
      </c>
      <c r="S5617">
        <v>7.794189E-2</v>
      </c>
      <c r="T5617">
        <v>-0.21344969999999999</v>
      </c>
      <c r="U5617">
        <v>-3.004181</v>
      </c>
      <c r="V5617">
        <v>-1.467476E-2</v>
      </c>
      <c r="W5617">
        <v>1.6781319999999999E-2</v>
      </c>
      <c r="X5617">
        <v>0.99975150000000002</v>
      </c>
      <c r="Y5617">
        <v>-6.4912059999999994E-2</v>
      </c>
      <c r="Z5617">
        <v>7.0704489999999995E-2</v>
      </c>
      <c r="AA5617">
        <v>0.99538300000000002</v>
      </c>
      <c r="AB5617">
        <v>22</v>
      </c>
      <c r="AC5617">
        <v>0.41370000000000501</v>
      </c>
      <c r="AD5617">
        <v>-1.1097654449579999</v>
      </c>
      <c r="AE5617">
        <v>-15.3963</v>
      </c>
      <c r="AF5617">
        <v>-1.0097415388269</v>
      </c>
      <c r="AG5617">
        <v>-1.1097654449579999</v>
      </c>
      <c r="AH5617">
        <v>15.288999805512899</v>
      </c>
      <c r="AI5617">
        <v>94.142590251820195</v>
      </c>
      <c r="AJ5617">
        <v>93.7785357886669</v>
      </c>
      <c r="AK5617">
        <v>15.3624435677085</v>
      </c>
      <c r="AL5617">
        <v>89.038456066317394</v>
      </c>
      <c r="AM5617">
        <v>90.840950412182906</v>
      </c>
      <c r="AN5617">
        <v>1.0000000115171199</v>
      </c>
    </row>
    <row r="5618" spans="1:40" x14ac:dyDescent="0.25">
      <c r="A5618" t="str">
        <f>"20190312160800098"</f>
        <v>20190312160800098</v>
      </c>
      <c r="B5618" t="str">
        <f>"1552378080090901"</f>
        <v>1552378080090901</v>
      </c>
      <c r="C5618" t="s">
        <v>40</v>
      </c>
      <c r="D5618">
        <v>5.5890300000000002</v>
      </c>
      <c r="E5618">
        <v>0.4812379</v>
      </c>
      <c r="F5618" t="s">
        <v>47</v>
      </c>
      <c r="G5618">
        <v>-421.1746</v>
      </c>
      <c r="H5618" s="1">
        <v>-2.4900100000000002E-6</v>
      </c>
      <c r="I5618">
        <v>54.664869999999901</v>
      </c>
      <c r="J5618">
        <v>-421.5634</v>
      </c>
      <c r="K5618">
        <v>1.109756</v>
      </c>
      <c r="L5618">
        <v>69.745059999999995</v>
      </c>
      <c r="M5618">
        <v>-3.8764699999999999E-2</v>
      </c>
      <c r="N5618">
        <v>0</v>
      </c>
      <c r="O5618">
        <v>-0.99919040000000003</v>
      </c>
      <c r="P5618">
        <v>-2.4009389999999999E-2</v>
      </c>
      <c r="Q5618">
        <v>5.9837270000000003E-3</v>
      </c>
      <c r="R5618">
        <v>-0.99969410000000003</v>
      </c>
      <c r="S5618">
        <v>7.455444E-2</v>
      </c>
      <c r="T5618">
        <v>-0.21772269999999999</v>
      </c>
      <c r="U5618">
        <v>-3.0040589999999998</v>
      </c>
      <c r="V5618">
        <v>-1.477058E-2</v>
      </c>
      <c r="W5618">
        <v>1.676416E-2</v>
      </c>
      <c r="X5618">
        <v>0.99975040000000004</v>
      </c>
      <c r="Y5618">
        <v>-6.3481869999999996E-2</v>
      </c>
      <c r="Z5618">
        <v>7.2121110000000002E-2</v>
      </c>
      <c r="AA5618">
        <v>0.99537359999999997</v>
      </c>
      <c r="AB5618">
        <v>23</v>
      </c>
      <c r="AC5618">
        <v>0.38880000000000298</v>
      </c>
      <c r="AD5618">
        <v>-1.1097584900099999</v>
      </c>
      <c r="AE5618">
        <v>-15.08019</v>
      </c>
      <c r="AF5618">
        <v>-0.96788249159964401</v>
      </c>
      <c r="AG5618">
        <v>-1.1097584900099999</v>
      </c>
      <c r="AH5618">
        <v>14.972749372123699</v>
      </c>
      <c r="AI5618">
        <v>94.230132348323394</v>
      </c>
      <c r="AJ5618">
        <v>93.698621361916693</v>
      </c>
      <c r="AK5618">
        <v>15.044985350080101</v>
      </c>
      <c r="AL5618">
        <v>89.039439422478196</v>
      </c>
      <c r="AM5618">
        <v>90.846441598934703</v>
      </c>
      <c r="AN5618">
        <v>1.0000000346971001</v>
      </c>
    </row>
    <row r="5619" spans="1:40" x14ac:dyDescent="0.25">
      <c r="A5619" t="str">
        <f>"20190312160800120"</f>
        <v>20190312160800120</v>
      </c>
      <c r="B5619" t="str">
        <f>"1552378080111389"</f>
        <v>1552378080111389</v>
      </c>
      <c r="C5619" t="s">
        <v>40</v>
      </c>
      <c r="D5619">
        <v>5.5105339999999998</v>
      </c>
      <c r="E5619">
        <v>0.48157480000000003</v>
      </c>
      <c r="F5619" t="s">
        <v>47</v>
      </c>
      <c r="G5619">
        <v>-421.17790000000002</v>
      </c>
      <c r="H5619" s="1">
        <v>-2.2352359999999999E-6</v>
      </c>
      <c r="I5619">
        <v>54.068899999999999</v>
      </c>
      <c r="J5619">
        <v>-421.57159999999999</v>
      </c>
      <c r="K5619">
        <v>1.109747</v>
      </c>
      <c r="L5619">
        <v>69.523499999999999</v>
      </c>
      <c r="M5619">
        <v>-3.8470989999999997E-2</v>
      </c>
      <c r="N5619">
        <v>0</v>
      </c>
      <c r="O5619">
        <v>-0.99920160000000002</v>
      </c>
      <c r="P5619">
        <v>-2.3402739999999998E-2</v>
      </c>
      <c r="Q5619">
        <v>6.0969029999999999E-3</v>
      </c>
      <c r="R5619">
        <v>-0.99970760000000003</v>
      </c>
      <c r="S5619">
        <v>7.3852539999999994E-2</v>
      </c>
      <c r="T5619">
        <v>-0.21265909999999999</v>
      </c>
      <c r="U5619">
        <v>-3.0039669999999998</v>
      </c>
      <c r="V5619">
        <v>-1.508376E-2</v>
      </c>
      <c r="W5619">
        <v>1.6865229999999998E-2</v>
      </c>
      <c r="X5619">
        <v>0.99974399999999997</v>
      </c>
      <c r="Y5619">
        <v>-6.2959780000000007E-2</v>
      </c>
      <c r="Z5619">
        <v>7.0456980000000002E-2</v>
      </c>
      <c r="AA5619">
        <v>0.99552600000000002</v>
      </c>
      <c r="AB5619">
        <v>23</v>
      </c>
      <c r="AC5619">
        <v>0.39369999999996702</v>
      </c>
      <c r="AD5619">
        <v>-1.1097492352359899</v>
      </c>
      <c r="AE5619">
        <v>-15.454599999999999</v>
      </c>
      <c r="AF5619">
        <v>-0.98293185150945805</v>
      </c>
      <c r="AG5619">
        <v>-1.1097492352359899</v>
      </c>
      <c r="AH5619">
        <v>15.348919415414599</v>
      </c>
      <c r="AI5619">
        <v>94.126948083608099</v>
      </c>
      <c r="AJ5619">
        <v>93.664169916366902</v>
      </c>
      <c r="AK5619">
        <v>15.4203445360572</v>
      </c>
      <c r="AL5619">
        <v>89.033647696204397</v>
      </c>
      <c r="AM5619">
        <v>90.864391503207997</v>
      </c>
      <c r="AN5619">
        <v>1.0000000106673399</v>
      </c>
    </row>
    <row r="5620" spans="1:40" x14ac:dyDescent="0.25">
      <c r="A5620" t="str">
        <f>"20190312160800143"</f>
        <v>20190312160800143</v>
      </c>
      <c r="B5620" t="str">
        <f>"1552378080130908"</f>
        <v>1552378080130908</v>
      </c>
      <c r="C5620" t="s">
        <v>40</v>
      </c>
      <c r="D5620">
        <v>5.694401</v>
      </c>
      <c r="E5620">
        <v>0.4817458</v>
      </c>
      <c r="F5620" t="s">
        <v>47</v>
      </c>
      <c r="G5620">
        <v>-421.18270000000001</v>
      </c>
      <c r="H5620" s="1">
        <v>-2.0071490000000001E-6</v>
      </c>
      <c r="I5620">
        <v>53.534280000000003</v>
      </c>
      <c r="J5620">
        <v>-421.58010000000002</v>
      </c>
      <c r="K5620">
        <v>1.1097399999999999</v>
      </c>
      <c r="L5620">
        <v>69.294309999999996</v>
      </c>
      <c r="M5620">
        <v>-3.8167279999999998E-2</v>
      </c>
      <c r="N5620">
        <v>0</v>
      </c>
      <c r="O5620">
        <v>-0.99921349999999998</v>
      </c>
      <c r="P5620">
        <v>-2.293015E-2</v>
      </c>
      <c r="Q5620">
        <v>5.5927149999999998E-3</v>
      </c>
      <c r="R5620">
        <v>-0.99972150000000004</v>
      </c>
      <c r="S5620">
        <v>7.3059079999999998E-2</v>
      </c>
      <c r="T5620">
        <v>-0.20848510000000001</v>
      </c>
      <c r="U5620">
        <v>-3.0038450000000001</v>
      </c>
      <c r="V5620">
        <v>-1.5252170000000001E-2</v>
      </c>
      <c r="W5620">
        <v>1.6349369999999998E-2</v>
      </c>
      <c r="X5620">
        <v>0.99975000000000003</v>
      </c>
      <c r="Y5620">
        <v>-6.239691E-2</v>
      </c>
      <c r="Z5620">
        <v>6.9086220000000004E-2</v>
      </c>
      <c r="AA5620">
        <v>0.99565740000000003</v>
      </c>
      <c r="AB5620">
        <v>23</v>
      </c>
      <c r="AC5620">
        <v>0.39740000000000397</v>
      </c>
      <c r="AD5620">
        <v>-1.1097420071489901</v>
      </c>
      <c r="AE5620">
        <v>-15.760029999999899</v>
      </c>
      <c r="AF5620">
        <v>-0.99373857613614003</v>
      </c>
      <c r="AG5620">
        <v>-1.1097420071489901</v>
      </c>
      <c r="AH5620">
        <v>15.6558004662058</v>
      </c>
      <c r="AI5620">
        <v>94.046442488250904</v>
      </c>
      <c r="AJ5620">
        <v>93.631928305771297</v>
      </c>
      <c r="AK5620">
        <v>15.726510481279201</v>
      </c>
      <c r="AL5620">
        <v>89.063208360539704</v>
      </c>
      <c r="AM5620">
        <v>90.874035690338403</v>
      </c>
      <c r="AN5620">
        <v>0.99999999654455296</v>
      </c>
    </row>
    <row r="5621" spans="1:40" x14ac:dyDescent="0.25">
      <c r="A5621" t="str">
        <f>"20190312160800187"</f>
        <v>20190312160800187</v>
      </c>
      <c r="B5621" t="str">
        <f>"1552378080181664"</f>
        <v>1552378080181664</v>
      </c>
      <c r="C5621" t="s">
        <v>40</v>
      </c>
      <c r="D5621">
        <v>5.6732559999999896</v>
      </c>
      <c r="E5621">
        <v>0.48225200000000001</v>
      </c>
      <c r="F5621" t="s">
        <v>47</v>
      </c>
      <c r="G5621">
        <v>-421.19110000000001</v>
      </c>
      <c r="H5621" s="1">
        <v>-1.9205519999999998E-6</v>
      </c>
      <c r="I5621">
        <v>53.32723</v>
      </c>
      <c r="J5621">
        <v>-421.59660000000002</v>
      </c>
      <c r="K5621">
        <v>1.1097379999999999</v>
      </c>
      <c r="L5621">
        <v>68.842959999999906</v>
      </c>
      <c r="M5621">
        <v>-3.7570260000000001E-2</v>
      </c>
      <c r="N5621">
        <v>0</v>
      </c>
      <c r="O5621">
        <v>-0.99923640000000002</v>
      </c>
      <c r="P5621">
        <v>-2.2406820000000001E-2</v>
      </c>
      <c r="Q5621">
        <v>5.4245379999999996E-3</v>
      </c>
      <c r="R5621">
        <v>-0.99973429999999996</v>
      </c>
      <c r="S5621">
        <v>7.318115E-2</v>
      </c>
      <c r="T5621">
        <v>-0.20876030000000001</v>
      </c>
      <c r="U5621">
        <v>-3.0036619999999998</v>
      </c>
      <c r="V5621">
        <v>-1.517785E-2</v>
      </c>
      <c r="W5621">
        <v>1.6161999999999999E-2</v>
      </c>
      <c r="X5621">
        <v>0.99975420000000004</v>
      </c>
      <c r="Y5621">
        <v>-6.1842349999999997E-2</v>
      </c>
      <c r="Z5621">
        <v>6.9184659999999995E-2</v>
      </c>
      <c r="AA5621">
        <v>0.99568520000000005</v>
      </c>
      <c r="AB5621">
        <v>23</v>
      </c>
      <c r="AC5621">
        <v>0.40550000000001701</v>
      </c>
      <c r="AD5621">
        <v>-1.109739920552</v>
      </c>
      <c r="AE5621">
        <v>-15.5157299999999</v>
      </c>
      <c r="AF5621">
        <v>-0.98315124592193004</v>
      </c>
      <c r="AG5621">
        <v>-1.109739920552</v>
      </c>
      <c r="AH5621">
        <v>15.410757122919</v>
      </c>
      <c r="AI5621">
        <v>94.110473944305795</v>
      </c>
      <c r="AJ5621">
        <v>93.650319146801195</v>
      </c>
      <c r="AK5621">
        <v>15.4819102233938</v>
      </c>
      <c r="AL5621">
        <v>89.073945310196393</v>
      </c>
      <c r="AM5621">
        <v>90.869773736058306</v>
      </c>
      <c r="AN5621">
        <v>1.00000001889613</v>
      </c>
    </row>
    <row r="5622" spans="1:40" x14ac:dyDescent="0.25">
      <c r="A5622" t="str">
        <f>"20190312160800208"</f>
        <v>20190312160800208</v>
      </c>
      <c r="B5622" t="str">
        <f>"1552378080201180"</f>
        <v>1552378080201180</v>
      </c>
      <c r="C5622" t="s">
        <v>40</v>
      </c>
      <c r="D5622">
        <v>5.6765489999999996</v>
      </c>
      <c r="E5622">
        <v>0.48182459999999999</v>
      </c>
      <c r="F5622" t="s">
        <v>47</v>
      </c>
      <c r="G5622">
        <v>-421.21969999999999</v>
      </c>
      <c r="H5622" s="1">
        <v>-1.720143E-6</v>
      </c>
      <c r="I5622">
        <v>52.842300000000002</v>
      </c>
      <c r="J5622">
        <v>-421.60419999999999</v>
      </c>
      <c r="K5622">
        <v>1.1097459999999999</v>
      </c>
      <c r="L5622">
        <v>68.628330000000005</v>
      </c>
      <c r="M5622">
        <v>-3.7286479999999997E-2</v>
      </c>
      <c r="N5622">
        <v>0</v>
      </c>
      <c r="O5622">
        <v>-0.99924710000000005</v>
      </c>
      <c r="P5622">
        <v>-2.2063900000000001E-2</v>
      </c>
      <c r="Q5622">
        <v>5.1087290000000002E-3</v>
      </c>
      <c r="R5622">
        <v>-0.99974379999999996</v>
      </c>
      <c r="S5622">
        <v>7.0739750000000004E-2</v>
      </c>
      <c r="T5622">
        <v>-0.2083132</v>
      </c>
      <c r="U5622">
        <v>-3.0035400000000001</v>
      </c>
      <c r="V5622">
        <v>-1.523704E-2</v>
      </c>
      <c r="W5622">
        <v>1.5838270000000002E-2</v>
      </c>
      <c r="X5622">
        <v>0.99975849999999999</v>
      </c>
      <c r="Y5622">
        <v>-6.0751180000000002E-2</v>
      </c>
      <c r="Z5622">
        <v>6.9044099999999997E-2</v>
      </c>
      <c r="AA5622">
        <v>0.99576209999999998</v>
      </c>
      <c r="AB5622">
        <v>23</v>
      </c>
      <c r="AC5622">
        <v>0.38450000000000201</v>
      </c>
      <c r="AD5622">
        <v>-1.1097477201429999</v>
      </c>
      <c r="AE5622">
        <v>-15.78603</v>
      </c>
      <c r="AF5622">
        <v>-0.96809045436170704</v>
      </c>
      <c r="AG5622">
        <v>-1.1097477201429999</v>
      </c>
      <c r="AH5622">
        <v>15.683253260361001</v>
      </c>
      <c r="AI5622">
        <v>94.039842054075606</v>
      </c>
      <c r="AJ5622">
        <v>93.532252370923402</v>
      </c>
      <c r="AK5622">
        <v>15.752243394476</v>
      </c>
      <c r="AL5622">
        <v>89.092496064883306</v>
      </c>
      <c r="AM5622">
        <v>90.873161367407405</v>
      </c>
      <c r="AN5622">
        <v>1.0000000382534</v>
      </c>
    </row>
    <row r="5623" spans="1:40" x14ac:dyDescent="0.25">
      <c r="A5623" t="str">
        <f>"20190312160800231"</f>
        <v>20190312160800231</v>
      </c>
      <c r="B5623" t="str">
        <f>"1552378080221676"</f>
        <v>1552378080221676</v>
      </c>
      <c r="C5623" t="s">
        <v>40</v>
      </c>
      <c r="D5623">
        <v>5.5626870000000004</v>
      </c>
      <c r="E5623">
        <v>0.48113230000000001</v>
      </c>
      <c r="F5623" t="s">
        <v>47</v>
      </c>
      <c r="G5623">
        <v>-421.20679999999999</v>
      </c>
      <c r="H5623" s="1">
        <v>-1.700559E-6</v>
      </c>
      <c r="I5623">
        <v>52.804659999999998</v>
      </c>
      <c r="J5623">
        <v>-421.61250000000001</v>
      </c>
      <c r="K5623">
        <v>1.1097429999999999</v>
      </c>
      <c r="L5623">
        <v>68.397919999999999</v>
      </c>
      <c r="M5623">
        <v>-3.6981180000000002E-2</v>
      </c>
      <c r="N5623">
        <v>0</v>
      </c>
      <c r="O5623">
        <v>-0.9992586</v>
      </c>
      <c r="P5623">
        <v>-2.1760760000000001E-2</v>
      </c>
      <c r="Q5623">
        <v>5.1447740000000004E-3</v>
      </c>
      <c r="R5623">
        <v>-0.99975029999999998</v>
      </c>
      <c r="S5623">
        <v>7.5439450000000005E-2</v>
      </c>
      <c r="T5623">
        <v>-0.21064250000000001</v>
      </c>
      <c r="U5623">
        <v>-3.0035099999999999</v>
      </c>
      <c r="V5623">
        <v>-1.5234650000000001E-2</v>
      </c>
      <c r="W5623">
        <v>1.5866870000000002E-2</v>
      </c>
      <c r="X5623">
        <v>0.99975809999999998</v>
      </c>
      <c r="Y5623">
        <v>-6.2002259999999997E-2</v>
      </c>
      <c r="Z5623">
        <v>6.9810250000000004E-2</v>
      </c>
      <c r="AA5623">
        <v>0.99563159999999895</v>
      </c>
      <c r="AB5623">
        <v>23</v>
      </c>
      <c r="AC5623">
        <v>0.40570000000002399</v>
      </c>
      <c r="AD5623">
        <v>-1.109744700559</v>
      </c>
      <c r="AE5623">
        <v>-15.593260000000001</v>
      </c>
      <c r="AF5623">
        <v>-0.97716674615838195</v>
      </c>
      <c r="AG5623">
        <v>-1.109744700559</v>
      </c>
      <c r="AH5623">
        <v>15.489189883344</v>
      </c>
      <c r="AI5623">
        <v>94.089930768294806</v>
      </c>
      <c r="AJ5623">
        <v>93.609835728514597</v>
      </c>
      <c r="AK5623">
        <v>15.5596076876155</v>
      </c>
      <c r="AL5623">
        <v>89.090857215229505</v>
      </c>
      <c r="AM5623">
        <v>90.873024778459296</v>
      </c>
      <c r="AN5623">
        <v>1.00000005531991</v>
      </c>
    </row>
    <row r="5624" spans="1:40" x14ac:dyDescent="0.25">
      <c r="A5624" t="str">
        <f>"20190312160800253"</f>
        <v>20190312160800253</v>
      </c>
      <c r="B5624" t="str">
        <f>"1552378080241196"</f>
        <v>1552378080241196</v>
      </c>
      <c r="C5624" t="s">
        <v>40</v>
      </c>
      <c r="D5624">
        <v>5.5244949999999999</v>
      </c>
      <c r="E5624">
        <v>0.48043269999999999</v>
      </c>
      <c r="F5624" t="s">
        <v>47</v>
      </c>
      <c r="G5624">
        <v>-421.1848</v>
      </c>
      <c r="H5624" s="1">
        <v>-1.63960199999999E-6</v>
      </c>
      <c r="I5624">
        <v>52.676250000000003</v>
      </c>
      <c r="J5624">
        <v>-421.62060000000002</v>
      </c>
      <c r="K5624">
        <v>1.109745</v>
      </c>
      <c r="L5624">
        <v>68.171019999999999</v>
      </c>
      <c r="M5624">
        <v>-3.668109E-2</v>
      </c>
      <c r="N5624">
        <v>0</v>
      </c>
      <c r="O5624">
        <v>-0.99926950000000003</v>
      </c>
      <c r="P5624">
        <v>-2.152082E-2</v>
      </c>
      <c r="Q5624">
        <v>4.8527750000000001E-3</v>
      </c>
      <c r="R5624">
        <v>-0.99975670000000005</v>
      </c>
      <c r="S5624">
        <v>8.1726069999999998E-2</v>
      </c>
      <c r="T5624">
        <v>-0.21201709999999999</v>
      </c>
      <c r="U5624">
        <v>-3.0036320000000001</v>
      </c>
      <c r="V5624">
        <v>-1.517466E-2</v>
      </c>
      <c r="W5624">
        <v>1.556459E-2</v>
      </c>
      <c r="X5624">
        <v>0.99976370000000003</v>
      </c>
      <c r="Y5624">
        <v>-6.3783000000000006E-2</v>
      </c>
      <c r="Z5624">
        <v>7.0256020000000002E-2</v>
      </c>
      <c r="AA5624">
        <v>0.99548769999999998</v>
      </c>
      <c r="AB5624">
        <v>23</v>
      </c>
      <c r="AC5624">
        <v>0.435800000000028</v>
      </c>
      <c r="AD5624">
        <v>-1.1097466396019999</v>
      </c>
      <c r="AE5624">
        <v>-15.4947699999999</v>
      </c>
      <c r="AF5624">
        <v>-0.99878516217090996</v>
      </c>
      <c r="AG5624">
        <v>-1.1097466396019999</v>
      </c>
      <c r="AH5624">
        <v>15.3894762755739</v>
      </c>
      <c r="AI5624">
        <v>94.115873069868698</v>
      </c>
      <c r="AJ5624">
        <v>93.713318686491903</v>
      </c>
      <c r="AK5624">
        <v>15.4617298333897</v>
      </c>
      <c r="AL5624">
        <v>89.108178664673005</v>
      </c>
      <c r="AM5624">
        <v>90.869582697904605</v>
      </c>
      <c r="AN5624">
        <v>0.99999999130283601</v>
      </c>
    </row>
    <row r="5625" spans="1:40" x14ac:dyDescent="0.25">
      <c r="A5625" t="str">
        <f>"20190312160800277"</f>
        <v>20190312160800277</v>
      </c>
      <c r="B5625" t="str">
        <f>"1552378080271456"</f>
        <v>1552378080271456</v>
      </c>
      <c r="C5625" t="s">
        <v>40</v>
      </c>
      <c r="D5625">
        <v>5.4531989999999997</v>
      </c>
      <c r="E5625">
        <v>0.4796298</v>
      </c>
      <c r="F5625" t="s">
        <v>47</v>
      </c>
      <c r="G5625">
        <v>-421.16300000000001</v>
      </c>
      <c r="H5625" s="1">
        <v>-1.585811E-6</v>
      </c>
      <c r="I5625">
        <v>52.564369999999997</v>
      </c>
      <c r="J5625">
        <v>-421.62860000000001</v>
      </c>
      <c r="K5625">
        <v>1.109742</v>
      </c>
      <c r="L5625">
        <v>67.9422</v>
      </c>
      <c r="M5625">
        <v>-3.637754E-2</v>
      </c>
      <c r="N5625">
        <v>0</v>
      </c>
      <c r="O5625">
        <v>-0.99928099999999997</v>
      </c>
      <c r="P5625">
        <v>-2.1031689999999999E-2</v>
      </c>
      <c r="Q5625">
        <v>4.3062880000000001E-3</v>
      </c>
      <c r="R5625">
        <v>-0.99976969999999998</v>
      </c>
      <c r="S5625">
        <v>8.8073730000000003E-2</v>
      </c>
      <c r="T5625">
        <v>-0.21358240000000001</v>
      </c>
      <c r="U5625">
        <v>-3.0036619999999998</v>
      </c>
      <c r="V5625">
        <v>-1.535976E-2</v>
      </c>
      <c r="W5625">
        <v>1.500247E-2</v>
      </c>
      <c r="X5625">
        <v>0.99976940000000003</v>
      </c>
      <c r="Y5625">
        <v>-6.5580479999999997E-2</v>
      </c>
      <c r="Z5625">
        <v>7.0766330000000002E-2</v>
      </c>
      <c r="AA5625">
        <v>0.99533479999999996</v>
      </c>
      <c r="AB5625">
        <v>23</v>
      </c>
      <c r="AC5625">
        <v>0.46559999999999402</v>
      </c>
      <c r="AD5625">
        <v>-1.1097435858110001</v>
      </c>
      <c r="AE5625">
        <v>-15.377829999999999</v>
      </c>
      <c r="AF5625">
        <v>-1.0194272301679499</v>
      </c>
      <c r="AG5625">
        <v>-1.1097435858110001</v>
      </c>
      <c r="AH5625">
        <v>15.271255218809101</v>
      </c>
      <c r="AI5625">
        <v>94.147111337683398</v>
      </c>
      <c r="AJ5625">
        <v>93.819093322650801</v>
      </c>
      <c r="AK5625">
        <v>15.345422726724101</v>
      </c>
      <c r="AL5625">
        <v>89.140389473976001</v>
      </c>
      <c r="AM5625">
        <v>90.880183162705507</v>
      </c>
      <c r="AN5625">
        <v>0.999999924754856</v>
      </c>
    </row>
    <row r="5626" spans="1:40" x14ac:dyDescent="0.25">
      <c r="A5626" t="str">
        <f>"20190312160800298"</f>
        <v>20190312160800298</v>
      </c>
      <c r="B5626" t="str">
        <f>"1552378080290972"</f>
        <v>1552378080290972</v>
      </c>
      <c r="C5626" t="s">
        <v>40</v>
      </c>
      <c r="D5626">
        <v>5.475479</v>
      </c>
      <c r="E5626">
        <v>0.47909249999999998</v>
      </c>
      <c r="F5626" t="s">
        <v>47</v>
      </c>
      <c r="G5626">
        <v>-421.13760000000002</v>
      </c>
      <c r="H5626" s="1">
        <v>-1.5838030000000001E-6</v>
      </c>
      <c r="I5626">
        <v>52.57544</v>
      </c>
      <c r="J5626">
        <v>-421.63659999999999</v>
      </c>
      <c r="K5626">
        <v>1.109742</v>
      </c>
      <c r="L5626">
        <v>67.712620000000001</v>
      </c>
      <c r="M5626">
        <v>-3.6073679999999997E-2</v>
      </c>
      <c r="N5626">
        <v>0</v>
      </c>
      <c r="O5626">
        <v>-0.99929199999999996</v>
      </c>
      <c r="P5626">
        <v>-2.0635520000000001E-2</v>
      </c>
      <c r="Q5626">
        <v>4.5350420000000004E-3</v>
      </c>
      <c r="R5626">
        <v>-0.99977660000000002</v>
      </c>
      <c r="S5626">
        <v>9.5977779999999999E-2</v>
      </c>
      <c r="T5626">
        <v>-0.21691369999999999</v>
      </c>
      <c r="U5626">
        <v>-3.0036320000000001</v>
      </c>
      <c r="V5626">
        <v>-1.5452189999999999E-2</v>
      </c>
      <c r="W5626">
        <v>1.521607E-2</v>
      </c>
      <c r="X5626">
        <v>0.99976480000000001</v>
      </c>
      <c r="Y5626">
        <v>-6.7891439999999997E-2</v>
      </c>
      <c r="Z5626">
        <v>7.1857889999999994E-2</v>
      </c>
      <c r="AA5626">
        <v>0.99510160000000003</v>
      </c>
      <c r="AB5626">
        <v>23</v>
      </c>
      <c r="AC5626">
        <v>0.49899999999996603</v>
      </c>
      <c r="AD5626">
        <v>-1.1097435838030001</v>
      </c>
      <c r="AE5626">
        <v>-15.137179999999899</v>
      </c>
      <c r="AF5626">
        <v>-1.0391809099496201</v>
      </c>
      <c r="AG5626">
        <v>-1.1097435838030001</v>
      </c>
      <c r="AH5626">
        <v>15.0286378464011</v>
      </c>
      <c r="AI5626">
        <v>94.213142412201904</v>
      </c>
      <c r="AJ5626">
        <v>93.955518715867001</v>
      </c>
      <c r="AK5626">
        <v>15.105342872761099</v>
      </c>
      <c r="AL5626">
        <v>89.128149743014305</v>
      </c>
      <c r="AM5626">
        <v>90.885483049109794</v>
      </c>
      <c r="AN5626">
        <v>0.99999997714054001</v>
      </c>
    </row>
    <row r="5627" spans="1:40" x14ac:dyDescent="0.25">
      <c r="A5627" t="str">
        <f>"20190312160800321"</f>
        <v>20190312160800321</v>
      </c>
      <c r="B5627" t="str">
        <f>"1552378080311469"</f>
        <v>1552378080311469</v>
      </c>
      <c r="C5627" t="s">
        <v>40</v>
      </c>
      <c r="D5627">
        <v>5.5116740000000002</v>
      </c>
      <c r="E5627">
        <v>0.47866710000000001</v>
      </c>
      <c r="F5627" t="s">
        <v>47</v>
      </c>
      <c r="G5627">
        <v>-421.11950000000002</v>
      </c>
      <c r="H5627" s="1">
        <v>-1.4884549999999901E-6</v>
      </c>
      <c r="I5627">
        <v>52.364379999999997</v>
      </c>
      <c r="J5627">
        <v>-421.64429999999999</v>
      </c>
      <c r="K5627">
        <v>1.1097399999999999</v>
      </c>
      <c r="L5627">
        <v>67.489500000000007</v>
      </c>
      <c r="M5627">
        <v>-3.5777789999999997E-2</v>
      </c>
      <c r="N5627">
        <v>0</v>
      </c>
      <c r="O5627">
        <v>-0.99930289999999999</v>
      </c>
      <c r="P5627">
        <v>-1.9971570000000001E-2</v>
      </c>
      <c r="Q5627">
        <v>4.8578270000000003E-3</v>
      </c>
      <c r="R5627">
        <v>-0.99978880000000003</v>
      </c>
      <c r="S5627">
        <v>0.1011963</v>
      </c>
      <c r="T5627">
        <v>-0.2171843</v>
      </c>
      <c r="U5627">
        <v>-3.0037539999999998</v>
      </c>
      <c r="V5627">
        <v>-1.5819670000000001E-2</v>
      </c>
      <c r="W5627">
        <v>1.552597E-2</v>
      </c>
      <c r="X5627">
        <v>0.99975429999999998</v>
      </c>
      <c r="Y5627">
        <v>-6.9321419999999995E-2</v>
      </c>
      <c r="Z5627">
        <v>7.1939740000000002E-2</v>
      </c>
      <c r="AA5627">
        <v>0.99499709999999997</v>
      </c>
      <c r="AB5627">
        <v>23</v>
      </c>
      <c r="AC5627">
        <v>0.52479999999996996</v>
      </c>
      <c r="AD5627">
        <v>-1.1097414884550001</v>
      </c>
      <c r="AE5627">
        <v>-15.125120000000001</v>
      </c>
      <c r="AF5627">
        <v>-1.05993901844883</v>
      </c>
      <c r="AG5627">
        <v>-1.1097414884550001</v>
      </c>
      <c r="AH5627">
        <v>15.015920568420601</v>
      </c>
      <c r="AI5627">
        <v>94.216268893251097</v>
      </c>
      <c r="AJ5627">
        <v>94.037679047984199</v>
      </c>
      <c r="AK5627">
        <v>15.0941335429082</v>
      </c>
      <c r="AL5627">
        <v>89.110391693092296</v>
      </c>
      <c r="AM5627">
        <v>90.906547424678195</v>
      </c>
      <c r="AN5627">
        <v>0.99999998903591902</v>
      </c>
    </row>
    <row r="5628" spans="1:40" x14ac:dyDescent="0.25">
      <c r="A5628" t="str">
        <f>"20190312160800343"</f>
        <v>20190312160800343</v>
      </c>
      <c r="B5628" t="str">
        <f>"1552378080330988"</f>
        <v>1552378080330988</v>
      </c>
      <c r="C5628" t="s">
        <v>40</v>
      </c>
      <c r="D5628">
        <v>5.511514</v>
      </c>
      <c r="E5628">
        <v>0.47823179999999998</v>
      </c>
      <c r="F5628" t="s">
        <v>47</v>
      </c>
      <c r="G5628">
        <v>-421.09820000000002</v>
      </c>
      <c r="H5628" s="1">
        <v>-1.3677940000000001E-6</v>
      </c>
      <c r="I5628">
        <v>52.096310000000003</v>
      </c>
      <c r="J5628">
        <v>-421.65230000000003</v>
      </c>
      <c r="K5628">
        <v>1.109737</v>
      </c>
      <c r="L5628">
        <v>67.258669999999995</v>
      </c>
      <c r="M5628">
        <v>-3.5472259999999999E-2</v>
      </c>
      <c r="N5628">
        <v>0</v>
      </c>
      <c r="O5628">
        <v>-0.99931380000000003</v>
      </c>
      <c r="P5628">
        <v>-1.9755020000000002E-2</v>
      </c>
      <c r="Q5628">
        <v>5.0593180000000001E-3</v>
      </c>
      <c r="R5628">
        <v>-0.99979220000000002</v>
      </c>
      <c r="S5628">
        <v>0.10656740000000001</v>
      </c>
      <c r="T5628">
        <v>-0.21655389999999999</v>
      </c>
      <c r="U5628">
        <v>-3.0038149999999999</v>
      </c>
      <c r="V5628">
        <v>-1.573095E-2</v>
      </c>
      <c r="W5628">
        <v>1.57143E-2</v>
      </c>
      <c r="X5628">
        <v>0.9997528</v>
      </c>
      <c r="Y5628">
        <v>-7.0793200000000001E-2</v>
      </c>
      <c r="Z5628">
        <v>7.1725800000000006E-2</v>
      </c>
      <c r="AA5628">
        <v>0.99490889999999998</v>
      </c>
      <c r="AB5628">
        <v>23</v>
      </c>
      <c r="AC5628">
        <v>0.55410000000000503</v>
      </c>
      <c r="AD5628">
        <v>-1.109738367794</v>
      </c>
      <c r="AE5628">
        <v>-15.16236</v>
      </c>
      <c r="AF5628">
        <v>-1.0858162132498199</v>
      </c>
      <c r="AG5628">
        <v>-1.109738367794</v>
      </c>
      <c r="AH5628">
        <v>15.052633553878</v>
      </c>
      <c r="AI5628">
        <v>94.205550410084697</v>
      </c>
      <c r="AJ5628">
        <v>94.125863811164805</v>
      </c>
      <c r="AK5628">
        <v>15.132491301872401</v>
      </c>
      <c r="AL5628">
        <v>89.099599900472001</v>
      </c>
      <c r="AM5628">
        <v>90.901465511806606</v>
      </c>
      <c r="AN5628">
        <v>1.0000000315601101</v>
      </c>
    </row>
    <row r="5629" spans="1:40" x14ac:dyDescent="0.25">
      <c r="A5629" t="str">
        <f>"20190312160800366"</f>
        <v>20190312160800366</v>
      </c>
      <c r="B5629" t="str">
        <f>"1552378080361244"</f>
        <v>1552378080361244</v>
      </c>
      <c r="C5629" t="s">
        <v>40</v>
      </c>
      <c r="D5629">
        <v>5.6197540000000004</v>
      </c>
      <c r="E5629">
        <v>0.47758329999999999</v>
      </c>
      <c r="F5629" t="s">
        <v>47</v>
      </c>
      <c r="G5629">
        <v>-421.08609999999999</v>
      </c>
      <c r="H5629" s="1">
        <v>-1.279614E-6</v>
      </c>
      <c r="I5629">
        <v>51.898290000000003</v>
      </c>
      <c r="J5629">
        <v>-421.66</v>
      </c>
      <c r="K5629">
        <v>1.109734</v>
      </c>
      <c r="L5629">
        <v>67.029359999999997</v>
      </c>
      <c r="M5629">
        <v>-3.5168779999999997E-2</v>
      </c>
      <c r="N5629">
        <v>0</v>
      </c>
      <c r="O5629">
        <v>-0.99932469999999995</v>
      </c>
      <c r="P5629">
        <v>-1.9719029999999999E-2</v>
      </c>
      <c r="Q5629">
        <v>4.9967680000000004E-3</v>
      </c>
      <c r="R5629">
        <v>-0.99979320000000005</v>
      </c>
      <c r="S5629">
        <v>0.11071780000000001</v>
      </c>
      <c r="T5629">
        <v>-0.21702270000000001</v>
      </c>
      <c r="U5629">
        <v>-3.0039060000000002</v>
      </c>
      <c r="V5629">
        <v>-1.5463060000000001E-2</v>
      </c>
      <c r="W5629">
        <v>1.5633250000000001E-2</v>
      </c>
      <c r="X5629">
        <v>0.99975820000000004</v>
      </c>
      <c r="Y5629">
        <v>-7.1861610000000006E-2</v>
      </c>
      <c r="Z5629">
        <v>7.1874690000000005E-2</v>
      </c>
      <c r="AA5629">
        <v>0.99482150000000003</v>
      </c>
      <c r="AB5629">
        <v>23</v>
      </c>
      <c r="AC5629">
        <v>0.57390000000003705</v>
      </c>
      <c r="AD5629">
        <v>-1.1097352796140001</v>
      </c>
      <c r="AE5629">
        <v>-15.1310699999999</v>
      </c>
      <c r="AF5629">
        <v>-1.09980901169816</v>
      </c>
      <c r="AG5629">
        <v>-1.1097352796140001</v>
      </c>
      <c r="AH5629">
        <v>15.0208434854943</v>
      </c>
      <c r="AI5629">
        <v>94.214078164717293</v>
      </c>
      <c r="AJ5629">
        <v>94.187658885249704</v>
      </c>
      <c r="AK5629">
        <v>15.1018817128445</v>
      </c>
      <c r="AL5629">
        <v>89.104244249021903</v>
      </c>
      <c r="AM5629">
        <v>90.886111700650304</v>
      </c>
      <c r="AN5629">
        <v>0.99999998159868198</v>
      </c>
    </row>
    <row r="5630" spans="1:40" x14ac:dyDescent="0.25">
      <c r="A5630" t="str">
        <f>"20190312160800388"</f>
        <v>20190312160800388</v>
      </c>
      <c r="B5630" t="str">
        <f>"1552378080381742"</f>
        <v>1552378080381742</v>
      </c>
      <c r="C5630" t="s">
        <v>40</v>
      </c>
      <c r="D5630">
        <v>5.5221770000000001</v>
      </c>
      <c r="E5630">
        <v>0.47726269999999998</v>
      </c>
      <c r="F5630" t="s">
        <v>47</v>
      </c>
      <c r="G5630">
        <v>-421.06360000000001</v>
      </c>
      <c r="H5630" s="1">
        <v>-1.12598E-6</v>
      </c>
      <c r="I5630">
        <v>51.554139999999997</v>
      </c>
      <c r="J5630">
        <v>-421.66770000000002</v>
      </c>
      <c r="K5630">
        <v>1.1097330000000001</v>
      </c>
      <c r="L5630">
        <v>66.802729999999997</v>
      </c>
      <c r="M5630">
        <v>-3.4869310000000001E-2</v>
      </c>
      <c r="N5630">
        <v>0</v>
      </c>
      <c r="O5630">
        <v>-0.99933550000000004</v>
      </c>
      <c r="P5630">
        <v>-1.9381530000000001E-2</v>
      </c>
      <c r="Q5630">
        <v>5.202033E-3</v>
      </c>
      <c r="R5630">
        <v>-0.99979879999999999</v>
      </c>
      <c r="S5630">
        <v>0.1157837</v>
      </c>
      <c r="T5630">
        <v>-0.21541579999999999</v>
      </c>
      <c r="U5630">
        <v>-3.0039669999999998</v>
      </c>
      <c r="V5630">
        <v>-1.550115E-2</v>
      </c>
      <c r="W5630">
        <v>1.58149E-2</v>
      </c>
      <c r="X5630">
        <v>0.99975480000000005</v>
      </c>
      <c r="Y5630">
        <v>-7.3238659999999997E-2</v>
      </c>
      <c r="Z5630">
        <v>7.1339100000000003E-2</v>
      </c>
      <c r="AA5630">
        <v>0.99475970000000002</v>
      </c>
      <c r="AB5630">
        <v>23</v>
      </c>
      <c r="AC5630">
        <v>0.60410000000001596</v>
      </c>
      <c r="AD5630">
        <v>-1.10973412598</v>
      </c>
      <c r="AE5630">
        <v>-15.24859</v>
      </c>
      <c r="AF5630">
        <v>-1.12949750203826</v>
      </c>
      <c r="AG5630">
        <v>-1.10973412598</v>
      </c>
      <c r="AH5630">
        <v>15.1381983612802</v>
      </c>
      <c r="AI5630">
        <v>94.181094797757495</v>
      </c>
      <c r="AJ5630">
        <v>94.267069785258698</v>
      </c>
      <c r="AK5630">
        <v>15.220785921329499</v>
      </c>
      <c r="AL5630">
        <v>89.093835226015003</v>
      </c>
      <c r="AM5630">
        <v>90.888297121814503</v>
      </c>
      <c r="AN5630">
        <v>1.00000002841818</v>
      </c>
    </row>
    <row r="5631" spans="1:40" x14ac:dyDescent="0.25">
      <c r="A5631" t="str">
        <f>"20190312160800410"</f>
        <v>20190312160800410</v>
      </c>
      <c r="B5631" t="str">
        <f>"1552378080401260"</f>
        <v>1552378080401260</v>
      </c>
      <c r="C5631" t="s">
        <v>40</v>
      </c>
      <c r="D5631">
        <v>5.5461859999999996</v>
      </c>
      <c r="E5631">
        <v>0.47692519999999999</v>
      </c>
      <c r="F5631" t="s">
        <v>47</v>
      </c>
      <c r="G5631">
        <v>-421.04899999999998</v>
      </c>
      <c r="H5631" s="1">
        <v>-9.8717810000000002E-7</v>
      </c>
      <c r="I5631">
        <v>51.239620000000002</v>
      </c>
      <c r="J5631">
        <v>-421.67500000000001</v>
      </c>
      <c r="K5631">
        <v>1.109731</v>
      </c>
      <c r="L5631">
        <v>66.580569999999994</v>
      </c>
      <c r="M5631">
        <v>-3.4575189999999999E-2</v>
      </c>
      <c r="N5631">
        <v>0</v>
      </c>
      <c r="O5631">
        <v>-0.99934599999999996</v>
      </c>
      <c r="P5631">
        <v>-1.8686129999999999E-2</v>
      </c>
      <c r="Q5631">
        <v>5.6703200000000004E-3</v>
      </c>
      <c r="R5631">
        <v>-0.99980939999999996</v>
      </c>
      <c r="S5631">
        <v>0.1194153</v>
      </c>
      <c r="T5631">
        <v>-0.21420349999999999</v>
      </c>
      <c r="U5631">
        <v>-3.0040279999999999</v>
      </c>
      <c r="V5631">
        <v>-1.5902429999999999E-2</v>
      </c>
      <c r="W5631">
        <v>1.625687E-2</v>
      </c>
      <c r="X5631">
        <v>0.9997414</v>
      </c>
      <c r="Y5631">
        <v>-7.4146210000000004E-2</v>
      </c>
      <c r="Z5631">
        <v>7.093526E-2</v>
      </c>
      <c r="AA5631">
        <v>0.99472139999999998</v>
      </c>
      <c r="AB5631">
        <v>23</v>
      </c>
      <c r="AC5631">
        <v>0.62599999999997602</v>
      </c>
      <c r="AD5631">
        <v>-1.1097319871781</v>
      </c>
      <c r="AE5631">
        <v>-15.3409499999999</v>
      </c>
      <c r="AF5631">
        <v>-1.1500636578351</v>
      </c>
      <c r="AG5631">
        <v>-1.1097319871781</v>
      </c>
      <c r="AH5631">
        <v>15.2305657534113</v>
      </c>
      <c r="AI5631">
        <v>94.155541716154502</v>
      </c>
      <c r="AJ5631">
        <v>94.318223228234103</v>
      </c>
      <c r="AK5631">
        <v>15.3141857331503</v>
      </c>
      <c r="AL5631">
        <v>89.068508946473997</v>
      </c>
      <c r="AM5631">
        <v>90.911300951935303</v>
      </c>
      <c r="AN5631">
        <v>1.0000000199880299</v>
      </c>
    </row>
    <row r="5632" spans="1:40" x14ac:dyDescent="0.25">
      <c r="A5632" t="str">
        <f>"20190312160800432"</f>
        <v>20190312160800432</v>
      </c>
      <c r="B5632" t="str">
        <f>"1552378080421757"</f>
        <v>1552378080421757</v>
      </c>
      <c r="C5632" t="s">
        <v>40</v>
      </c>
      <c r="D5632">
        <v>5.5240580000000001</v>
      </c>
      <c r="E5632">
        <v>0.47661880000000001</v>
      </c>
      <c r="F5632" t="s">
        <v>47</v>
      </c>
      <c r="G5632">
        <v>-421.03219999999999</v>
      </c>
      <c r="H5632" s="1">
        <v>-8.6274359999999999E-7</v>
      </c>
      <c r="I5632">
        <v>50.959969999999998</v>
      </c>
      <c r="J5632">
        <v>-421.68270000000001</v>
      </c>
      <c r="K5632">
        <v>1.109726</v>
      </c>
      <c r="L5632">
        <v>66.349669999999904</v>
      </c>
      <c r="M5632">
        <v>-3.4269870000000001E-2</v>
      </c>
      <c r="N5632">
        <v>0</v>
      </c>
      <c r="O5632">
        <v>-0.99935689999999999</v>
      </c>
      <c r="P5632">
        <v>-1.7933049999999999E-2</v>
      </c>
      <c r="Q5632">
        <v>5.8871000000000001E-3</v>
      </c>
      <c r="R5632">
        <v>-0.99982210000000005</v>
      </c>
      <c r="S5632">
        <v>0.12362670000000001</v>
      </c>
      <c r="T5632">
        <v>-0.2134192</v>
      </c>
      <c r="U5632">
        <v>-3.004089</v>
      </c>
      <c r="V5632">
        <v>-1.6350010000000002E-2</v>
      </c>
      <c r="W5632">
        <v>1.644663E-2</v>
      </c>
      <c r="X5632">
        <v>0.99973109999999998</v>
      </c>
      <c r="Y5632">
        <v>-7.5233649999999999E-2</v>
      </c>
      <c r="Z5632">
        <v>7.0671650000000003E-2</v>
      </c>
      <c r="AA5632">
        <v>0.9946585</v>
      </c>
      <c r="AB5632">
        <v>23</v>
      </c>
      <c r="AC5632">
        <v>0.65050000000002195</v>
      </c>
      <c r="AD5632">
        <v>-1.1097268627436001</v>
      </c>
      <c r="AE5632">
        <v>-15.3896999999999</v>
      </c>
      <c r="AF5632">
        <v>-1.17146991197984</v>
      </c>
      <c r="AG5632">
        <v>-1.1097268627436001</v>
      </c>
      <c r="AH5632">
        <v>15.2790618484091</v>
      </c>
      <c r="AI5632">
        <v>94.142016192501202</v>
      </c>
      <c r="AJ5632">
        <v>94.384380500164895</v>
      </c>
      <c r="AK5632">
        <v>15.364034835683</v>
      </c>
      <c r="AL5632">
        <v>89.057635067778804</v>
      </c>
      <c r="AM5632">
        <v>90.936955008877106</v>
      </c>
      <c r="AN5632">
        <v>1.0000000433862799</v>
      </c>
    </row>
    <row r="5633" spans="1:40" x14ac:dyDescent="0.25">
      <c r="A5633" t="str">
        <f>"20190312160800455"</f>
        <v>20190312160800455</v>
      </c>
      <c r="B5633" t="str">
        <f>"1552378080441277"</f>
        <v>1552378080441277</v>
      </c>
      <c r="C5633" t="s">
        <v>40</v>
      </c>
      <c r="D5633">
        <v>5.484591</v>
      </c>
      <c r="E5633">
        <v>0.47632600000000003</v>
      </c>
      <c r="F5633" t="s">
        <v>47</v>
      </c>
      <c r="G5633">
        <v>-421.01350000000002</v>
      </c>
      <c r="H5633" s="1">
        <v>-7.5854539999999996E-7</v>
      </c>
      <c r="I5633">
        <v>50.728679999999997</v>
      </c>
      <c r="J5633">
        <v>-421.69040000000001</v>
      </c>
      <c r="K5633">
        <v>1.1097250000000001</v>
      </c>
      <c r="L5633">
        <v>66.114009999999993</v>
      </c>
      <c r="M5633">
        <v>-3.395749E-2</v>
      </c>
      <c r="N5633">
        <v>0</v>
      </c>
      <c r="O5633">
        <v>-0.99936789999999998</v>
      </c>
      <c r="P5633">
        <v>-1.7591889999999999E-2</v>
      </c>
      <c r="Q5633">
        <v>5.4564640000000003E-3</v>
      </c>
      <c r="R5633">
        <v>-0.99983049999999996</v>
      </c>
      <c r="S5633">
        <v>0.12869259999999999</v>
      </c>
      <c r="T5633">
        <v>-0.21341280000000001</v>
      </c>
      <c r="U5633">
        <v>-3.004089</v>
      </c>
      <c r="V5633">
        <v>-1.6378259999999999E-2</v>
      </c>
      <c r="W5633">
        <v>1.598654E-2</v>
      </c>
      <c r="X5633">
        <v>0.99973800000000002</v>
      </c>
      <c r="Y5633">
        <v>-7.6596289999999997E-2</v>
      </c>
      <c r="Z5633">
        <v>7.0664500000000005E-2</v>
      </c>
      <c r="AA5633">
        <v>0.99455490000000002</v>
      </c>
      <c r="AB5633">
        <v>23</v>
      </c>
      <c r="AC5633">
        <v>0.67689999999998895</v>
      </c>
      <c r="AD5633">
        <v>-1.1097257585453999</v>
      </c>
      <c r="AE5633">
        <v>-15.3853299999999</v>
      </c>
      <c r="AF5633">
        <v>-1.1927920882447001</v>
      </c>
      <c r="AG5633">
        <v>-1.1097257585453999</v>
      </c>
      <c r="AH5633">
        <v>15.2741575542238</v>
      </c>
      <c r="AI5633">
        <v>94.142886236611204</v>
      </c>
      <c r="AJ5633">
        <v>94.465289372480498</v>
      </c>
      <c r="AK5633">
        <v>15.360798586538801</v>
      </c>
      <c r="AL5633">
        <v>89.083999656764306</v>
      </c>
      <c r="AM5633">
        <v>90.938567139640199</v>
      </c>
      <c r="AN5633">
        <v>0.99999994275289705</v>
      </c>
    </row>
    <row r="5634" spans="1:40" x14ac:dyDescent="0.25">
      <c r="A5634" t="str">
        <f>"20190312160800477"</f>
        <v>20190312160800477</v>
      </c>
      <c r="B5634" t="str">
        <f>"1552378080471533"</f>
        <v>1552378080471533</v>
      </c>
      <c r="C5634" t="s">
        <v>40</v>
      </c>
      <c r="D5634">
        <v>5.3811429999999998</v>
      </c>
      <c r="E5634">
        <v>0.47596470000000002</v>
      </c>
      <c r="F5634" t="s">
        <v>47</v>
      </c>
      <c r="G5634">
        <v>-421.00830000000002</v>
      </c>
      <c r="H5634" s="1">
        <v>-7.0198579999999996E-7</v>
      </c>
      <c r="I5634">
        <v>50.600070000000002</v>
      </c>
      <c r="J5634">
        <v>-421.6979</v>
      </c>
      <c r="K5634">
        <v>1.10972</v>
      </c>
      <c r="L5634">
        <v>65.88449</v>
      </c>
      <c r="M5634">
        <v>-3.365398E-2</v>
      </c>
      <c r="N5634">
        <v>0</v>
      </c>
      <c r="O5634">
        <v>-0.99937860000000001</v>
      </c>
      <c r="P5634">
        <v>-1.731976E-2</v>
      </c>
      <c r="Q5634">
        <v>6.1885480000000003E-3</v>
      </c>
      <c r="R5634">
        <v>-0.99983129999999998</v>
      </c>
      <c r="S5634">
        <v>0.13208010000000001</v>
      </c>
      <c r="T5634">
        <v>-0.2148786</v>
      </c>
      <c r="U5634">
        <v>-3.0039980000000002</v>
      </c>
      <c r="V5634">
        <v>-1.6347090000000002E-2</v>
      </c>
      <c r="W5634">
        <v>1.668072E-2</v>
      </c>
      <c r="X5634">
        <v>0.99972720000000004</v>
      </c>
      <c r="Y5634">
        <v>-7.7412629999999996E-2</v>
      </c>
      <c r="Z5634">
        <v>7.1146669999999995E-2</v>
      </c>
      <c r="AA5634">
        <v>0.99445740000000005</v>
      </c>
      <c r="AB5634">
        <v>23</v>
      </c>
      <c r="AC5634">
        <v>0.689599999999984</v>
      </c>
      <c r="AD5634">
        <v>-1.1097207019858</v>
      </c>
      <c r="AE5634">
        <v>-15.2844199999999</v>
      </c>
      <c r="AF5634">
        <v>-1.19732035904351</v>
      </c>
      <c r="AG5634">
        <v>-1.1097207019858</v>
      </c>
      <c r="AH5634">
        <v>15.172732344906001</v>
      </c>
      <c r="AI5634">
        <v>94.170197852697299</v>
      </c>
      <c r="AJ5634">
        <v>94.512010961924304</v>
      </c>
      <c r="AK5634">
        <v>15.260303499234601</v>
      </c>
      <c r="AL5634">
        <v>89.044220792815096</v>
      </c>
      <c r="AM5634">
        <v>90.936791358758896</v>
      </c>
      <c r="AN5634">
        <v>0.999999974095513</v>
      </c>
    </row>
    <row r="5635" spans="1:40" x14ac:dyDescent="0.25">
      <c r="A5635" t="str">
        <f>"20190312160800499"</f>
        <v>20190312160800499</v>
      </c>
      <c r="B5635" t="str">
        <f>"1552378080491053"</f>
        <v>1552378080491053</v>
      </c>
      <c r="C5635" t="s">
        <v>40</v>
      </c>
      <c r="D5635">
        <v>5.3628130000000001</v>
      </c>
      <c r="E5635">
        <v>0.4371525</v>
      </c>
      <c r="F5635" t="s">
        <v>47</v>
      </c>
      <c r="G5635">
        <v>-420.9837</v>
      </c>
      <c r="H5635" s="1">
        <v>-4.870616E-7</v>
      </c>
      <c r="I5635">
        <v>50.114339999999999</v>
      </c>
      <c r="J5635">
        <v>-421.70510000000002</v>
      </c>
      <c r="K5635">
        <v>1.109712</v>
      </c>
      <c r="L5635">
        <v>65.66104</v>
      </c>
      <c r="M5635">
        <v>-3.33578E-2</v>
      </c>
      <c r="N5635">
        <v>0</v>
      </c>
      <c r="O5635">
        <v>-0.99938910000000003</v>
      </c>
      <c r="P5635">
        <v>-1.6998019999999999E-2</v>
      </c>
      <c r="Q5635">
        <v>6.410954E-3</v>
      </c>
      <c r="R5635">
        <v>-0.99983549999999999</v>
      </c>
      <c r="S5635">
        <v>0.13604740000000001</v>
      </c>
      <c r="T5635">
        <v>-0.21139930000000001</v>
      </c>
      <c r="U5635">
        <v>-3.004181</v>
      </c>
      <c r="V5635">
        <v>-1.6372790000000002E-2</v>
      </c>
      <c r="W5635">
        <v>1.6862370000000002E-2</v>
      </c>
      <c r="X5635">
        <v>0.99972369999999999</v>
      </c>
      <c r="Y5635">
        <v>-7.8428800000000007E-2</v>
      </c>
      <c r="Z5635">
        <v>6.9992369999999998E-2</v>
      </c>
      <c r="AA5635">
        <v>0.9944596</v>
      </c>
      <c r="AB5635">
        <v>23</v>
      </c>
      <c r="AC5635">
        <v>0.72140000000001603</v>
      </c>
      <c r="AD5635">
        <v>-1.1097124870616</v>
      </c>
      <c r="AE5635">
        <v>-15.5466999999999</v>
      </c>
      <c r="AF5635">
        <v>-1.23335989978993</v>
      </c>
      <c r="AG5635">
        <v>-1.1097124870616</v>
      </c>
      <c r="AH5635">
        <v>15.4355062938803</v>
      </c>
      <c r="AI5635">
        <v>94.099098702537503</v>
      </c>
      <c r="AJ5635">
        <v>94.568460246130201</v>
      </c>
      <c r="AK5635">
        <v>15.5244160274958</v>
      </c>
      <c r="AL5635">
        <v>89.033811519142006</v>
      </c>
      <c r="AM5635">
        <v>90.938267152015499</v>
      </c>
      <c r="AN5635">
        <v>0.99999994205804299</v>
      </c>
    </row>
    <row r="5636" spans="1:40" x14ac:dyDescent="0.25">
      <c r="A5636" t="str">
        <f>"20190312160800522"</f>
        <v>20190312160800522</v>
      </c>
      <c r="B5636" t="str">
        <f>"1552378080511549"</f>
        <v>1552378080511549</v>
      </c>
      <c r="C5636" t="s">
        <v>40</v>
      </c>
      <c r="D5636">
        <v>5.5467440000000003</v>
      </c>
      <c r="E5636">
        <v>0.35474519999999998</v>
      </c>
      <c r="F5636" t="s">
        <v>47</v>
      </c>
      <c r="G5636">
        <v>-419.32600000000002</v>
      </c>
      <c r="H5636" s="1">
        <v>-1.69919599999999E-7</v>
      </c>
      <c r="I5636">
        <v>49.620379999999997</v>
      </c>
      <c r="J5636">
        <v>-421.71230000000003</v>
      </c>
      <c r="K5636">
        <v>1.1096950000000001</v>
      </c>
      <c r="L5636">
        <v>65.432369999999906</v>
      </c>
      <c r="M5636">
        <v>-3.3055099999999997E-2</v>
      </c>
      <c r="N5636">
        <v>0</v>
      </c>
      <c r="O5636">
        <v>-0.99939960000000005</v>
      </c>
      <c r="P5636">
        <v>-1.6862430000000001E-2</v>
      </c>
      <c r="Q5636">
        <v>6.4675280000000002E-3</v>
      </c>
      <c r="R5636">
        <v>-0.99983719999999998</v>
      </c>
      <c r="S5636">
        <v>0.44635010000000003</v>
      </c>
      <c r="T5636">
        <v>-0.20819589999999999</v>
      </c>
      <c r="U5636">
        <v>-3.00943</v>
      </c>
      <c r="V5636">
        <v>-1.6205460000000001E-2</v>
      </c>
      <c r="W5636">
        <v>1.687572E-2</v>
      </c>
      <c r="X5636">
        <v>0.99972620000000001</v>
      </c>
      <c r="Y5636">
        <v>-0.1789906</v>
      </c>
      <c r="Z5636">
        <v>6.8031830000000001E-2</v>
      </c>
      <c r="AA5636">
        <v>0.98149580000000003</v>
      </c>
      <c r="AB5636">
        <v>23</v>
      </c>
      <c r="AC5636">
        <v>2.3863000000000598</v>
      </c>
      <c r="AD5636">
        <v>-1.1096951699196</v>
      </c>
      <c r="AE5636">
        <v>-15.8119899999999</v>
      </c>
      <c r="AF5636">
        <v>-2.8937556258824801</v>
      </c>
      <c r="AG5636">
        <v>-1.1096951699196</v>
      </c>
      <c r="AH5636">
        <v>15.6491042494168</v>
      </c>
      <c r="AI5636">
        <v>93.988719865332499</v>
      </c>
      <c r="AJ5636">
        <v>100.476514454501</v>
      </c>
      <c r="AK5636">
        <v>15.953047006813</v>
      </c>
      <c r="AL5636">
        <v>89.033046510478897</v>
      </c>
      <c r="AM5636">
        <v>90.928677422906304</v>
      </c>
      <c r="AN5636">
        <v>0.99999994091288302</v>
      </c>
    </row>
    <row r="5637" spans="1:40" x14ac:dyDescent="0.25">
      <c r="A5637" t="str">
        <f>"20190312160800546"</f>
        <v>20190312160800546</v>
      </c>
      <c r="B5637" t="str">
        <f>"1552378080541805"</f>
        <v>1552378080541805</v>
      </c>
      <c r="C5637" t="s">
        <v>40</v>
      </c>
      <c r="D5637">
        <v>5.5220140000000004</v>
      </c>
      <c r="E5637">
        <v>0.34719809999999901</v>
      </c>
      <c r="F5637" t="s">
        <v>94</v>
      </c>
      <c r="G5637">
        <v>-397.96949999999998</v>
      </c>
      <c r="H5637">
        <v>0.77638459999999998</v>
      </c>
      <c r="I5637">
        <v>0.70144079999999998</v>
      </c>
      <c r="J5637">
        <v>-421.72</v>
      </c>
      <c r="K5637">
        <v>1.1096820000000001</v>
      </c>
      <c r="L5637">
        <v>65.189880000000002</v>
      </c>
      <c r="M5637">
        <v>-3.2734100000000002E-2</v>
      </c>
      <c r="N5637">
        <v>0</v>
      </c>
      <c r="O5637">
        <v>-0.99941029999999997</v>
      </c>
      <c r="P5637">
        <v>-1.6722109999999998E-2</v>
      </c>
      <c r="Q5637">
        <v>6.3306069999999898E-3</v>
      </c>
      <c r="R5637">
        <v>-0.99984030000000002</v>
      </c>
      <c r="S5637">
        <v>1.1074520000000001</v>
      </c>
      <c r="T5637">
        <v>-1.5547989999999999E-2</v>
      </c>
      <c r="U5637">
        <v>-3.0192869999999998</v>
      </c>
      <c r="V5637">
        <v>-1.6024360000000001E-2</v>
      </c>
      <c r="W5637">
        <v>1.6691210000000001E-2</v>
      </c>
      <c r="X5637">
        <v>0.99973230000000002</v>
      </c>
      <c r="Y5637">
        <v>-0.37490410000000002</v>
      </c>
      <c r="Z5637">
        <v>4.8011629999999998E-3</v>
      </c>
      <c r="AA5637">
        <v>0.92705119999999996</v>
      </c>
      <c r="AB5637">
        <v>23</v>
      </c>
      <c r="AC5637">
        <v>23.750499999999999</v>
      </c>
      <c r="AD5637">
        <v>-0.33329740000000002</v>
      </c>
      <c r="AE5637">
        <v>-64.488439200000002</v>
      </c>
      <c r="AF5637">
        <v>-25.848247178375601</v>
      </c>
      <c r="AG5637">
        <v>-0.33329740000000002</v>
      </c>
      <c r="AH5637">
        <v>63.674885096342898</v>
      </c>
      <c r="AI5637">
        <v>90.277881426654105</v>
      </c>
      <c r="AJ5637">
        <v>112.094250809941</v>
      </c>
      <c r="AK5637">
        <v>68.722150442078899</v>
      </c>
      <c r="AL5637">
        <v>89.043619724245104</v>
      </c>
      <c r="AM5637">
        <v>90.918295409418405</v>
      </c>
      <c r="AN5637">
        <v>1.0000000241339799</v>
      </c>
    </row>
    <row r="5638" spans="1:40" x14ac:dyDescent="0.25">
      <c r="A5638" t="str">
        <f>"20190312160800568"</f>
        <v>20190312160800568</v>
      </c>
      <c r="B5638" t="str">
        <f>"1552378080561324"</f>
        <v>1552378080561324</v>
      </c>
      <c r="C5638" t="s">
        <v>40</v>
      </c>
      <c r="D5638">
        <v>5.5208349999999999</v>
      </c>
      <c r="E5638">
        <v>0.3457654</v>
      </c>
      <c r="F5638" t="s">
        <v>94</v>
      </c>
      <c r="G5638">
        <v>-396.7894</v>
      </c>
      <c r="H5638">
        <v>1.083968</v>
      </c>
      <c r="I5638">
        <v>0.71344180000000001</v>
      </c>
      <c r="J5638">
        <v>-421.72719999999998</v>
      </c>
      <c r="K5638">
        <v>1.109674</v>
      </c>
      <c r="L5638">
        <v>64.958830000000006</v>
      </c>
      <c r="M5638">
        <v>-3.2428400000000003E-2</v>
      </c>
      <c r="N5638">
        <v>0</v>
      </c>
      <c r="O5638">
        <v>-0.99942109999999995</v>
      </c>
      <c r="P5638">
        <v>-1.6309870000000001E-2</v>
      </c>
      <c r="Q5638">
        <v>6.4638419999999896E-3</v>
      </c>
      <c r="R5638">
        <v>-0.99984629999999997</v>
      </c>
      <c r="S5638">
        <v>1.1677249999999999</v>
      </c>
      <c r="T5638">
        <v>-1.2055639999999999E-3</v>
      </c>
      <c r="U5638">
        <v>-3.0200200000000001</v>
      </c>
      <c r="V5638">
        <v>-1.6131119999999999E-2</v>
      </c>
      <c r="W5638">
        <v>1.6776550000000001E-2</v>
      </c>
      <c r="X5638">
        <v>0.99972919999999998</v>
      </c>
      <c r="Y5638">
        <v>-0.39069880000000001</v>
      </c>
      <c r="Z5638">
        <v>3.6967469999999998E-4</v>
      </c>
      <c r="AA5638">
        <v>0.92051850000000002</v>
      </c>
      <c r="AB5638">
        <v>23</v>
      </c>
      <c r="AC5638">
        <v>24.9377999999999</v>
      </c>
      <c r="AD5638">
        <v>-2.5706E-2</v>
      </c>
      <c r="AE5638">
        <v>-64.245388199999994</v>
      </c>
      <c r="AF5638">
        <v>-27.008164527329502</v>
      </c>
      <c r="AG5638">
        <v>-2.5706E-2</v>
      </c>
      <c r="AH5638">
        <v>63.4028508907667</v>
      </c>
      <c r="AI5638">
        <v>90.021371719142493</v>
      </c>
      <c r="AJ5638">
        <v>113.07289553692</v>
      </c>
      <c r="AK5638">
        <v>68.915623141712501</v>
      </c>
      <c r="AL5638">
        <v>89.038729461402198</v>
      </c>
      <c r="AM5638">
        <v>90.924415228681497</v>
      </c>
      <c r="AN5638">
        <v>1.00000006949749</v>
      </c>
    </row>
    <row r="5639" spans="1:40" x14ac:dyDescent="0.25">
      <c r="A5639" t="str">
        <f>"20190312160800590"</f>
        <v>20190312160800590</v>
      </c>
      <c r="B5639" t="str">
        <f>"1552378080580846"</f>
        <v>1552378080580846</v>
      </c>
      <c r="C5639" t="s">
        <v>40</v>
      </c>
      <c r="D5639">
        <v>5.5354739999999998</v>
      </c>
      <c r="E5639">
        <v>0.34479029999999999</v>
      </c>
      <c r="F5639" t="s">
        <v>94</v>
      </c>
      <c r="G5639">
        <v>-396.60329999999999</v>
      </c>
      <c r="H5639">
        <v>1.04345</v>
      </c>
      <c r="I5639">
        <v>0.71533389999999997</v>
      </c>
      <c r="J5639">
        <v>-421.7346</v>
      </c>
      <c r="K5639">
        <v>1.1096760000000001</v>
      </c>
      <c r="L5639">
        <v>64.721040000000002</v>
      </c>
      <c r="M5639">
        <v>-3.2113849999999999E-2</v>
      </c>
      <c r="N5639">
        <v>0</v>
      </c>
      <c r="O5639">
        <v>-0.99943130000000002</v>
      </c>
      <c r="P5639">
        <v>-1.541316E-2</v>
      </c>
      <c r="Q5639">
        <v>6.5804309999999899E-3</v>
      </c>
      <c r="R5639">
        <v>-0.99985959999999996</v>
      </c>
      <c r="S5639">
        <v>1.180939</v>
      </c>
      <c r="T5639">
        <v>-3.1139850000000001E-3</v>
      </c>
      <c r="U5639">
        <v>-3.0197449999999999</v>
      </c>
      <c r="V5639">
        <v>-1.6713160000000001E-2</v>
      </c>
      <c r="W5639">
        <v>1.6841390000000001E-2</v>
      </c>
      <c r="X5639">
        <v>0.99971849999999995</v>
      </c>
      <c r="Y5639">
        <v>-0.3939337</v>
      </c>
      <c r="Z5639">
        <v>9.5355380000000005E-4</v>
      </c>
      <c r="AA5639">
        <v>0.91913840000000002</v>
      </c>
      <c r="AB5639">
        <v>23</v>
      </c>
      <c r="AC5639">
        <v>25.1313</v>
      </c>
      <c r="AD5639">
        <v>-6.6226000000000104E-2</v>
      </c>
      <c r="AE5639">
        <v>-64.005706099999998</v>
      </c>
      <c r="AF5639">
        <v>-27.173889497166599</v>
      </c>
      <c r="AG5639">
        <v>-6.6226000000000104E-2</v>
      </c>
      <c r="AH5639">
        <v>63.165525493669399</v>
      </c>
      <c r="AI5639">
        <v>90.055182113836295</v>
      </c>
      <c r="AJ5639">
        <v>113.277436660223</v>
      </c>
      <c r="AK5639">
        <v>68.762695316419197</v>
      </c>
      <c r="AL5639">
        <v>89.0350138312713</v>
      </c>
      <c r="AM5639">
        <v>90.957773946987601</v>
      </c>
      <c r="AN5639">
        <v>1.00000002068828</v>
      </c>
    </row>
    <row r="5640" spans="1:40" x14ac:dyDescent="0.25">
      <c r="A5640" t="str">
        <f>"20190312160800613"</f>
        <v>20190312160800613</v>
      </c>
      <c r="B5640" t="str">
        <f>"1552378080601355"</f>
        <v>1552378080601355</v>
      </c>
      <c r="C5640" t="s">
        <v>40</v>
      </c>
      <c r="D5640">
        <v>5.4704889999999997</v>
      </c>
      <c r="E5640">
        <v>0.34411170000000002</v>
      </c>
      <c r="F5640" t="s">
        <v>94</v>
      </c>
      <c r="G5640">
        <v>-396.47789999999998</v>
      </c>
      <c r="H5640">
        <v>0.91404940000000001</v>
      </c>
      <c r="I5640">
        <v>0.71660610000000002</v>
      </c>
      <c r="J5640">
        <v>-421.74149999999997</v>
      </c>
      <c r="K5640">
        <v>1.109675</v>
      </c>
      <c r="L5640">
        <v>64.494380000000007</v>
      </c>
      <c r="M5640">
        <v>-3.1814080000000002E-2</v>
      </c>
      <c r="N5640">
        <v>0</v>
      </c>
      <c r="O5640">
        <v>-0.99944160000000004</v>
      </c>
      <c r="P5640">
        <v>-1.4707720000000001E-2</v>
      </c>
      <c r="Q5640">
        <v>7.1415539999999996E-3</v>
      </c>
      <c r="R5640">
        <v>-0.99986629999999999</v>
      </c>
      <c r="S5640">
        <v>1.191254</v>
      </c>
      <c r="T5640">
        <v>-9.2281099999999994E-3</v>
      </c>
      <c r="U5640">
        <v>-3.0188290000000002</v>
      </c>
      <c r="V5640">
        <v>-1.7118680000000001E-2</v>
      </c>
      <c r="W5640">
        <v>1.7348200000000001E-2</v>
      </c>
      <c r="X5640">
        <v>0.99970289999999995</v>
      </c>
      <c r="Y5640">
        <v>-0.3964703</v>
      </c>
      <c r="Z5640">
        <v>2.8233199999999998E-3</v>
      </c>
      <c r="AA5640">
        <v>0.91804319999999895</v>
      </c>
      <c r="AB5640">
        <v>23</v>
      </c>
      <c r="AC5640">
        <v>25.2636</v>
      </c>
      <c r="AD5640">
        <v>-0.19562560000000001</v>
      </c>
      <c r="AE5640">
        <v>-63.7777739</v>
      </c>
      <c r="AF5640">
        <v>-27.279725562693699</v>
      </c>
      <c r="AG5640">
        <v>-0.19562560000000001</v>
      </c>
      <c r="AH5640">
        <v>62.941194491418102</v>
      </c>
      <c r="AI5640">
        <v>90.163392249754594</v>
      </c>
      <c r="AJ5640">
        <v>113.432684033001</v>
      </c>
      <c r="AK5640">
        <v>68.598947952266599</v>
      </c>
      <c r="AL5640">
        <v>89.005971442180893</v>
      </c>
      <c r="AM5640">
        <v>90.981023726591303</v>
      </c>
      <c r="AN5640">
        <v>0.99999994875829401</v>
      </c>
    </row>
    <row r="5641" spans="1:40" x14ac:dyDescent="0.25">
      <c r="A5641" t="str">
        <f>"20190312160800633"</f>
        <v>20190312160800633</v>
      </c>
      <c r="B5641" t="str">
        <f>"1552378080631602"</f>
        <v>1552378080631602</v>
      </c>
      <c r="C5641" t="s">
        <v>40</v>
      </c>
      <c r="D5641">
        <v>3.4726149999999998</v>
      </c>
      <c r="E5641">
        <v>0.34308889999999997</v>
      </c>
      <c r="F5641" t="s">
        <v>94</v>
      </c>
      <c r="G5641">
        <v>-396.42200000000003</v>
      </c>
      <c r="H5641">
        <v>0.89747449999999995</v>
      </c>
      <c r="I5641">
        <v>0.71717830000000005</v>
      </c>
      <c r="J5641">
        <v>-421.7482</v>
      </c>
      <c r="K5641">
        <v>1.109669</v>
      </c>
      <c r="L5641">
        <v>64.27252</v>
      </c>
      <c r="M5641">
        <v>-3.1520550000000001E-2</v>
      </c>
      <c r="N5641">
        <v>0</v>
      </c>
      <c r="O5641">
        <v>-0.9994518</v>
      </c>
      <c r="P5641">
        <v>-1.4411169999999999E-2</v>
      </c>
      <c r="Q5641">
        <v>7.47657099999999E-3</v>
      </c>
      <c r="R5641">
        <v>-0.9998686</v>
      </c>
      <c r="S5641">
        <v>1.1981809999999999</v>
      </c>
      <c r="T5641">
        <v>-1.0043140000000001E-2</v>
      </c>
      <c r="U5641">
        <v>-3.018097</v>
      </c>
      <c r="V5641">
        <v>-1.7121939999999999E-2</v>
      </c>
      <c r="W5641">
        <v>1.7628060000000001E-2</v>
      </c>
      <c r="X5641">
        <v>0.99969799999999998</v>
      </c>
      <c r="Y5641">
        <v>-0.39809749999999999</v>
      </c>
      <c r="Z5641">
        <v>3.0710339999999998E-3</v>
      </c>
      <c r="AA5641">
        <v>0.91733799999999999</v>
      </c>
      <c r="AB5641">
        <v>23</v>
      </c>
      <c r="AC5641">
        <v>25.3262</v>
      </c>
      <c r="AD5641">
        <v>-0.21219449999999901</v>
      </c>
      <c r="AE5641">
        <v>-63.5553417</v>
      </c>
      <c r="AF5641">
        <v>-27.316753502445501</v>
      </c>
      <c r="AG5641">
        <v>-0.21219449999999901</v>
      </c>
      <c r="AH5641">
        <v>62.7248179863291</v>
      </c>
      <c r="AI5641">
        <v>90.177706877590794</v>
      </c>
      <c r="AJ5641">
        <v>113.533198513149</v>
      </c>
      <c r="AK5641">
        <v>68.415296826348097</v>
      </c>
      <c r="AL5641">
        <v>88.989934243922704</v>
      </c>
      <c r="AM5641">
        <v>90.9812153200061</v>
      </c>
      <c r="AN5641">
        <v>1.00000000026636</v>
      </c>
    </row>
    <row r="5642" spans="1:40" x14ac:dyDescent="0.25">
      <c r="A5642" t="str">
        <f>"20190312160800656"</f>
        <v>20190312160800656</v>
      </c>
      <c r="B5642" t="str">
        <f>"1552378080651122"</f>
        <v>1552378080651122</v>
      </c>
      <c r="C5642" t="s">
        <v>40</v>
      </c>
      <c r="D5642">
        <v>5.5036809999999896</v>
      </c>
      <c r="E5642">
        <v>0.3427</v>
      </c>
      <c r="F5642" t="s">
        <v>94</v>
      </c>
      <c r="G5642">
        <v>-396.31049999999999</v>
      </c>
      <c r="H5642">
        <v>0.89315489999999997</v>
      </c>
      <c r="I5642">
        <v>0.71831129999999999</v>
      </c>
      <c r="J5642">
        <v>-421.75529999999998</v>
      </c>
      <c r="K5642">
        <v>1.109659</v>
      </c>
      <c r="L5642">
        <v>64.037409999999994</v>
      </c>
      <c r="M5642">
        <v>-3.1209379999999998E-2</v>
      </c>
      <c r="N5642">
        <v>0</v>
      </c>
      <c r="O5642">
        <v>-0.99946210000000002</v>
      </c>
      <c r="P5642">
        <v>-1.3806479999999999E-2</v>
      </c>
      <c r="Q5642">
        <v>8.0989489999999994E-3</v>
      </c>
      <c r="R5642">
        <v>-0.99987219999999999</v>
      </c>
      <c r="S5642">
        <v>1.207916</v>
      </c>
      <c r="T5642">
        <v>-1.0282400000000001E-2</v>
      </c>
      <c r="U5642">
        <v>-3.0178829999999999</v>
      </c>
      <c r="V5642">
        <v>-1.7414929999999999E-2</v>
      </c>
      <c r="W5642">
        <v>1.8190640000000001E-2</v>
      </c>
      <c r="X5642">
        <v>0.99968279999999998</v>
      </c>
      <c r="Y5642">
        <v>-0.40038629999999997</v>
      </c>
      <c r="Z5642">
        <v>3.1410050000000001E-3</v>
      </c>
      <c r="AA5642">
        <v>0.91634110000000002</v>
      </c>
      <c r="AB5642">
        <v>23</v>
      </c>
      <c r="AC5642">
        <v>25.444799999999901</v>
      </c>
      <c r="AD5642">
        <v>-0.21650409999999901</v>
      </c>
      <c r="AE5642">
        <v>-63.319098699999898</v>
      </c>
      <c r="AF5642">
        <v>-27.408377989049502</v>
      </c>
      <c r="AG5642">
        <v>-0.21650409999999901</v>
      </c>
      <c r="AH5642">
        <v>62.493465071114002</v>
      </c>
      <c r="AI5642">
        <v>90.181781796763204</v>
      </c>
      <c r="AJ5642">
        <v>113.68129072749799</v>
      </c>
      <c r="AK5642">
        <v>68.240011976922105</v>
      </c>
      <c r="AL5642">
        <v>88.957695550331493</v>
      </c>
      <c r="AM5642">
        <v>90.998017644005699</v>
      </c>
      <c r="AN5642">
        <v>0.99999993989317504</v>
      </c>
    </row>
    <row r="5643" spans="1:40" x14ac:dyDescent="0.25">
      <c r="A5643" t="str">
        <f>"20190312160800678"</f>
        <v>20190312160800678</v>
      </c>
      <c r="B5643" t="str">
        <f>"1552378080671621"</f>
        <v>1552378080671621</v>
      </c>
      <c r="C5643" t="s">
        <v>40</v>
      </c>
      <c r="D5643">
        <v>5.5177100000000001</v>
      </c>
      <c r="E5643">
        <v>0.34257029999999999</v>
      </c>
      <c r="F5643" t="s">
        <v>94</v>
      </c>
      <c r="G5643">
        <v>-396.31180000000001</v>
      </c>
      <c r="H5643">
        <v>0.8969414</v>
      </c>
      <c r="I5643">
        <v>0.71829799999999999</v>
      </c>
      <c r="J5643">
        <v>-421.76220000000001</v>
      </c>
      <c r="K5643">
        <v>1.109658</v>
      </c>
      <c r="L5643">
        <v>63.804630000000003</v>
      </c>
      <c r="M5643">
        <v>-3.0901350000000001E-2</v>
      </c>
      <c r="N5643">
        <v>0</v>
      </c>
      <c r="O5643">
        <v>-0.99947229999999998</v>
      </c>
      <c r="P5643">
        <v>-1.334131E-2</v>
      </c>
      <c r="Q5643">
        <v>8.7153059999999904E-3</v>
      </c>
      <c r="R5643">
        <v>-0.99987320000000002</v>
      </c>
      <c r="S5643">
        <v>1.212402</v>
      </c>
      <c r="T5643">
        <v>-1.013732E-2</v>
      </c>
      <c r="U5643">
        <v>-3.0172119999999998</v>
      </c>
      <c r="V5643">
        <v>-1.7572529999999999E-2</v>
      </c>
      <c r="W5643">
        <v>1.8749399999999999E-2</v>
      </c>
      <c r="X5643">
        <v>0.99966980000000005</v>
      </c>
      <c r="Y5643">
        <v>-0.40134769999999997</v>
      </c>
      <c r="Z5643">
        <v>3.0958689999999998E-3</v>
      </c>
      <c r="AA5643">
        <v>0.91592059999999997</v>
      </c>
      <c r="AB5643">
        <v>23</v>
      </c>
      <c r="AC5643">
        <v>25.450399999999998</v>
      </c>
      <c r="AD5643">
        <v>-0.21271659999999901</v>
      </c>
      <c r="AE5643">
        <v>-63.086331999999999</v>
      </c>
      <c r="AF5643">
        <v>-27.387527404138499</v>
      </c>
      <c r="AG5643">
        <v>-0.21271659999999901</v>
      </c>
      <c r="AH5643">
        <v>62.269101428278503</v>
      </c>
      <c r="AI5643">
        <v>90.179163095625697</v>
      </c>
      <c r="AJ5643">
        <v>113.74110883245</v>
      </c>
      <c r="AK5643">
        <v>68.026192737427195</v>
      </c>
      <c r="AL5643">
        <v>88.925675583674106</v>
      </c>
      <c r="AM5643">
        <v>91.007060652065803</v>
      </c>
      <c r="AN5643">
        <v>1.0000000214214999</v>
      </c>
    </row>
    <row r="5644" spans="1:40" x14ac:dyDescent="0.25">
      <c r="A5644" t="str">
        <f>"20190312160800699"</f>
        <v>20190312160800699</v>
      </c>
      <c r="B5644" t="str">
        <f>"1552378080691138"</f>
        <v>1552378080691138</v>
      </c>
      <c r="C5644" t="s">
        <v>40</v>
      </c>
      <c r="D5644">
        <v>5.2096010000000001</v>
      </c>
      <c r="E5644">
        <v>0.3420396</v>
      </c>
      <c r="F5644" t="s">
        <v>94</v>
      </c>
      <c r="G5644">
        <v>-396.35180000000003</v>
      </c>
      <c r="H5644">
        <v>0.85776540000000001</v>
      </c>
      <c r="I5644">
        <v>0.71789360000000002</v>
      </c>
      <c r="J5644">
        <v>-421.76889999999997</v>
      </c>
      <c r="K5644">
        <v>1.1096539999999999</v>
      </c>
      <c r="L5644">
        <v>63.577300000000001</v>
      </c>
      <c r="M5644">
        <v>-3.0600579999999999E-2</v>
      </c>
      <c r="N5644">
        <v>0</v>
      </c>
      <c r="O5644">
        <v>-0.99948210000000004</v>
      </c>
      <c r="P5644">
        <v>-1.310745E-2</v>
      </c>
      <c r="Q5644">
        <v>8.7162799999999999E-3</v>
      </c>
      <c r="R5644">
        <v>-0.9998764</v>
      </c>
      <c r="S5644">
        <v>1.2150879999999999</v>
      </c>
      <c r="T5644">
        <v>-1.2046340000000001E-2</v>
      </c>
      <c r="U5644">
        <v>-3.016724</v>
      </c>
      <c r="V5644">
        <v>-1.750533E-2</v>
      </c>
      <c r="W5644">
        <v>1.8698380000000001E-2</v>
      </c>
      <c r="X5644">
        <v>0.99967189999999995</v>
      </c>
      <c r="Y5644">
        <v>-0.40182430000000002</v>
      </c>
      <c r="Z5644">
        <v>3.6784780000000002E-3</v>
      </c>
      <c r="AA5644">
        <v>0.91570940000000001</v>
      </c>
      <c r="AB5644">
        <v>23</v>
      </c>
      <c r="AC5644">
        <v>25.417099999999898</v>
      </c>
      <c r="AD5644">
        <v>-0.25188860000000002</v>
      </c>
      <c r="AE5644">
        <v>-62.859406399999997</v>
      </c>
      <c r="AF5644">
        <v>-27.328448290593499</v>
      </c>
      <c r="AG5644">
        <v>-0.25188860000000002</v>
      </c>
      <c r="AH5644">
        <v>62.051293026753001</v>
      </c>
      <c r="AI5644">
        <v>90.212854146538405</v>
      </c>
      <c r="AJ5644">
        <v>113.769511526378</v>
      </c>
      <c r="AK5644">
        <v>67.803174705395804</v>
      </c>
      <c r="AL5644">
        <v>88.928599289761394</v>
      </c>
      <c r="AM5644">
        <v>91.003208182108807</v>
      </c>
      <c r="AN5644">
        <v>0.99999998682132096</v>
      </c>
    </row>
    <row r="5645" spans="1:40" x14ac:dyDescent="0.25">
      <c r="A5645" t="str">
        <f>"20190312160800716"</f>
        <v>20190312160800716</v>
      </c>
      <c r="B5645" t="str">
        <f>"1552378080711634"</f>
        <v>1552378080711634</v>
      </c>
      <c r="C5645" t="s">
        <v>40</v>
      </c>
      <c r="D5645">
        <v>3.4479890000000002</v>
      </c>
      <c r="E5645">
        <v>0.34159919999999999</v>
      </c>
      <c r="F5645" t="s">
        <v>94</v>
      </c>
      <c r="G5645">
        <v>-396.34989999999999</v>
      </c>
      <c r="H5645">
        <v>0.8764999</v>
      </c>
      <c r="I5645">
        <v>0.71791269999999996</v>
      </c>
      <c r="J5645">
        <v>-421.77370000000002</v>
      </c>
      <c r="K5645">
        <v>1.109653</v>
      </c>
      <c r="L5645">
        <v>63.414639999999999</v>
      </c>
      <c r="M5645">
        <v>-3.038546E-2</v>
      </c>
      <c r="N5645">
        <v>0</v>
      </c>
      <c r="O5645">
        <v>-0.99948899999999996</v>
      </c>
      <c r="P5645">
        <v>-1.310001E-2</v>
      </c>
      <c r="Q5645">
        <v>8.9778859999999992E-3</v>
      </c>
      <c r="R5645">
        <v>-0.99987409999999999</v>
      </c>
      <c r="S5645">
        <v>1.2197880000000001</v>
      </c>
      <c r="T5645">
        <v>-1.11897E-2</v>
      </c>
      <c r="U5645">
        <v>-3.0164490000000002</v>
      </c>
      <c r="V5645">
        <v>-1.7297420000000001E-2</v>
      </c>
      <c r="W5645">
        <v>1.8925790000000001E-2</v>
      </c>
      <c r="X5645">
        <v>0.99967130000000004</v>
      </c>
      <c r="Y5645">
        <v>-0.40288299999999999</v>
      </c>
      <c r="Z5645">
        <v>3.4154329999999998E-3</v>
      </c>
      <c r="AA5645">
        <v>0.91524510000000003</v>
      </c>
      <c r="AB5645">
        <v>23</v>
      </c>
      <c r="AC5645">
        <v>25.4238</v>
      </c>
      <c r="AD5645">
        <v>-0.2331531</v>
      </c>
      <c r="AE5645">
        <v>-62.696727299999999</v>
      </c>
      <c r="AF5645">
        <v>-27.316897813349001</v>
      </c>
      <c r="AG5645">
        <v>-0.2331531</v>
      </c>
      <c r="AH5645">
        <v>61.894487602905997</v>
      </c>
      <c r="AI5645">
        <v>90.197453567767894</v>
      </c>
      <c r="AJ5645">
        <v>113.814084077654</v>
      </c>
      <c r="AK5645">
        <v>67.654969234633995</v>
      </c>
      <c r="AL5645">
        <v>88.915567415607597</v>
      </c>
      <c r="AM5645">
        <v>90.991296111374297</v>
      </c>
      <c r="AN5645">
        <v>1.0000000471547299</v>
      </c>
    </row>
    <row r="5646" spans="1:40" x14ac:dyDescent="0.25">
      <c r="A5646" t="str">
        <f>"20190312160800735"</f>
        <v>20190312160800735</v>
      </c>
      <c r="B5646" t="str">
        <f>"1552378080731154"</f>
        <v>1552378080731154</v>
      </c>
      <c r="C5646" t="s">
        <v>40</v>
      </c>
      <c r="D5646">
        <v>5.6289540000000002</v>
      </c>
      <c r="E5646">
        <v>0.34131260000000002</v>
      </c>
      <c r="F5646" t="s">
        <v>94</v>
      </c>
      <c r="G5646">
        <v>-396.34609999999998</v>
      </c>
      <c r="H5646">
        <v>0.88118390000000002</v>
      </c>
      <c r="I5646">
        <v>0.7179508</v>
      </c>
      <c r="J5646">
        <v>-421.77940000000001</v>
      </c>
      <c r="K5646">
        <v>1.1096520000000001</v>
      </c>
      <c r="L5646">
        <v>63.212679999999999</v>
      </c>
      <c r="M5646">
        <v>-3.0118519999999999E-2</v>
      </c>
      <c r="N5646">
        <v>0</v>
      </c>
      <c r="O5646">
        <v>-0.99949739999999998</v>
      </c>
      <c r="P5646">
        <v>-1.3107290000000001E-2</v>
      </c>
      <c r="Q5646">
        <v>9.0027730000000004E-3</v>
      </c>
      <c r="R5646">
        <v>-0.99987369999999998</v>
      </c>
      <c r="S5646">
        <v>1.2233889999999901</v>
      </c>
      <c r="T5646">
        <v>-1.0993360000000001E-2</v>
      </c>
      <c r="U5646">
        <v>-3.0165099999999998</v>
      </c>
      <c r="V5646">
        <v>-1.7023340000000001E-2</v>
      </c>
      <c r="W5646">
        <v>1.891292E-2</v>
      </c>
      <c r="X5646">
        <v>0.99967620000000001</v>
      </c>
      <c r="Y5646">
        <v>-0.4035707</v>
      </c>
      <c r="Z5646">
        <v>3.3542300000000001E-3</v>
      </c>
      <c r="AA5646">
        <v>0.91494229999999999</v>
      </c>
      <c r="AB5646">
        <v>23</v>
      </c>
      <c r="AC5646">
        <v>25.433299999999999</v>
      </c>
      <c r="AD5646">
        <v>-0.22846810000000001</v>
      </c>
      <c r="AE5646">
        <v>-62.494729200000002</v>
      </c>
      <c r="AF5646">
        <v>-27.303788418946699</v>
      </c>
      <c r="AG5646">
        <v>-0.22846810000000001</v>
      </c>
      <c r="AH5646">
        <v>61.699616458246602</v>
      </c>
      <c r="AI5646">
        <v>90.194012280000194</v>
      </c>
      <c r="AJ5646">
        <v>113.870716534601</v>
      </c>
      <c r="AK5646">
        <v>67.471414175145696</v>
      </c>
      <c r="AL5646">
        <v>88.916304891797793</v>
      </c>
      <c r="AM5646">
        <v>90.975587167301697</v>
      </c>
      <c r="AN5646">
        <v>0.99999999874706103</v>
      </c>
    </row>
    <row r="5647" spans="1:40" x14ac:dyDescent="0.25">
      <c r="A5647" t="str">
        <f>"20190312160800757"</f>
        <v>20190312160800757</v>
      </c>
      <c r="B5647" t="str">
        <f>"1552378080751650"</f>
        <v>1552378080751650</v>
      </c>
      <c r="C5647" t="s">
        <v>40</v>
      </c>
      <c r="D5647">
        <v>5.7088039999999998</v>
      </c>
      <c r="E5647">
        <v>0.39001039999999998</v>
      </c>
      <c r="F5647" t="s">
        <v>94</v>
      </c>
      <c r="G5647">
        <v>-396.39429999999999</v>
      </c>
      <c r="H5647">
        <v>0.83998320000000004</v>
      </c>
      <c r="I5647">
        <v>0.7174606</v>
      </c>
      <c r="J5647">
        <v>-421.78620000000001</v>
      </c>
      <c r="K5647">
        <v>1.109648</v>
      </c>
      <c r="L5647">
        <v>62.979100000000003</v>
      </c>
      <c r="M5647">
        <v>-2.9809769999999999E-2</v>
      </c>
      <c r="N5647">
        <v>0</v>
      </c>
      <c r="O5647">
        <v>-0.99950669999999997</v>
      </c>
      <c r="P5647">
        <v>-1.29094E-2</v>
      </c>
      <c r="Q5647">
        <v>8.720284E-3</v>
      </c>
      <c r="R5647">
        <v>-0.99987879999999996</v>
      </c>
      <c r="S5647">
        <v>1.225311</v>
      </c>
      <c r="T5647">
        <v>-1.301777E-2</v>
      </c>
      <c r="U5647">
        <v>-3.0165709999999999</v>
      </c>
      <c r="V5647">
        <v>-1.6912369999999999E-2</v>
      </c>
      <c r="W5647">
        <v>1.8590639999999999E-2</v>
      </c>
      <c r="X5647">
        <v>0.99968420000000002</v>
      </c>
      <c r="Y5647">
        <v>-0.40378150000000002</v>
      </c>
      <c r="Z5647">
        <v>3.9712300000000001E-3</v>
      </c>
      <c r="AA5647">
        <v>0.91484679999999996</v>
      </c>
      <c r="AB5647">
        <v>23</v>
      </c>
      <c r="AC5647">
        <v>25.3919</v>
      </c>
      <c r="AD5647">
        <v>-0.26966479999999898</v>
      </c>
      <c r="AE5647">
        <v>-62.2616394</v>
      </c>
      <c r="AF5647">
        <v>-27.236272275455701</v>
      </c>
      <c r="AG5647">
        <v>-0.26966479999999898</v>
      </c>
      <c r="AH5647">
        <v>61.476014544071397</v>
      </c>
      <c r="AI5647">
        <v>90.229785062228203</v>
      </c>
      <c r="AJ5647">
        <v>113.89521073111899</v>
      </c>
      <c r="AK5647">
        <v>67.239776998365997</v>
      </c>
      <c r="AL5647">
        <v>88.934773498893406</v>
      </c>
      <c r="AM5647">
        <v>90.9692210722352</v>
      </c>
      <c r="AN5647">
        <v>1.0000000699421301</v>
      </c>
    </row>
    <row r="5648" spans="1:40" x14ac:dyDescent="0.25">
      <c r="A5648" t="str">
        <f>"20190312160800779"</f>
        <v>20190312160800779</v>
      </c>
      <c r="B5648" t="str">
        <f>"1552378080771170"</f>
        <v>1552378080771170</v>
      </c>
      <c r="C5648" t="s">
        <v>40</v>
      </c>
      <c r="D5648">
        <v>5.5633860000000004</v>
      </c>
      <c r="E5648">
        <v>0.46372940000000001</v>
      </c>
      <c r="F5648" t="s">
        <v>82</v>
      </c>
      <c r="G5648">
        <v>-414.73689999999999</v>
      </c>
      <c r="H5648" s="1">
        <v>-2.6855719999999998E-6</v>
      </c>
      <c r="I5648">
        <v>37.57423</v>
      </c>
      <c r="J5648">
        <v>-421.7928</v>
      </c>
      <c r="K5648">
        <v>1.109645</v>
      </c>
      <c r="L5648">
        <v>62.745570000000001</v>
      </c>
      <c r="M5648">
        <v>-2.9501240000000001E-2</v>
      </c>
      <c r="N5648">
        <v>0</v>
      </c>
      <c r="O5648">
        <v>-0.99951639999999997</v>
      </c>
      <c r="P5648">
        <v>-1.2865329999999999E-2</v>
      </c>
      <c r="Q5648">
        <v>8.5390799999999992E-3</v>
      </c>
      <c r="R5648">
        <v>-0.99988089999999996</v>
      </c>
      <c r="S5648">
        <v>0.83584590000000003</v>
      </c>
      <c r="T5648">
        <v>-0.1315732</v>
      </c>
      <c r="U5648">
        <v>-3.0122990000000001</v>
      </c>
      <c r="V5648">
        <v>-1.66474E-2</v>
      </c>
      <c r="W5648">
        <v>1.8374189999999999E-2</v>
      </c>
      <c r="X5648">
        <v>0.99969260000000004</v>
      </c>
      <c r="Y5648">
        <v>-0.29545280000000002</v>
      </c>
      <c r="Z5648">
        <v>4.184537E-2</v>
      </c>
      <c r="AA5648">
        <v>0.95444050000000002</v>
      </c>
      <c r="AB5648">
        <v>24</v>
      </c>
      <c r="AC5648">
        <v>7.0559000000000003</v>
      </c>
      <c r="AD5648">
        <v>-1.1096476855720001</v>
      </c>
      <c r="AE5648">
        <v>-25.171339999999901</v>
      </c>
      <c r="AF5648">
        <v>-7.78142962444175</v>
      </c>
      <c r="AG5648">
        <v>-1.1096476855720001</v>
      </c>
      <c r="AH5648">
        <v>24.907337052492</v>
      </c>
      <c r="AI5648">
        <v>92.434984408935506</v>
      </c>
      <c r="AJ5648">
        <v>107.349595888064</v>
      </c>
      <c r="AK5648">
        <v>26.118143196496099</v>
      </c>
      <c r="AL5648">
        <v>88.947177236359295</v>
      </c>
      <c r="AM5648">
        <v>90.954030876298503</v>
      </c>
      <c r="AN5648">
        <v>1.0000000206398301</v>
      </c>
    </row>
    <row r="5649" spans="1:40" x14ac:dyDescent="0.25">
      <c r="A5649" t="str">
        <f>"20190312160800800"</f>
        <v>20190312160800800</v>
      </c>
      <c r="B5649" t="str">
        <f>"1552378080791666"</f>
        <v>1552378080791666</v>
      </c>
      <c r="C5649" t="s">
        <v>40</v>
      </c>
      <c r="D5649">
        <v>5.5413930000000002</v>
      </c>
      <c r="E5649">
        <v>0.46827869999999999</v>
      </c>
      <c r="F5649" t="s">
        <v>47</v>
      </c>
      <c r="G5649">
        <v>-420.7971</v>
      </c>
      <c r="H5649" s="1">
        <v>-6.2849149999999997E-7</v>
      </c>
      <c r="I5649">
        <v>50.559750000000001</v>
      </c>
      <c r="J5649">
        <v>-421.79910000000001</v>
      </c>
      <c r="K5649">
        <v>1.1096410000000001</v>
      </c>
      <c r="L5649">
        <v>62.519530000000003</v>
      </c>
      <c r="M5649">
        <v>-2.920238E-2</v>
      </c>
      <c r="N5649">
        <v>0</v>
      </c>
      <c r="O5649">
        <v>-0.99952569999999996</v>
      </c>
      <c r="P5649">
        <v>-1.2557779999999999E-2</v>
      </c>
      <c r="Q5649">
        <v>8.8715879999999997E-3</v>
      </c>
      <c r="R5649">
        <v>-0.99988220000000005</v>
      </c>
      <c r="S5649">
        <v>0.2456055</v>
      </c>
      <c r="T5649">
        <v>-0.27371479999999998</v>
      </c>
      <c r="U5649">
        <v>-3.0058590000000001</v>
      </c>
      <c r="V5649">
        <v>-1.665589E-2</v>
      </c>
      <c r="W5649">
        <v>1.8676930000000001E-2</v>
      </c>
      <c r="X5649">
        <v>0.99968679999999999</v>
      </c>
      <c r="Y5649">
        <v>-0.1101771</v>
      </c>
      <c r="Z5649">
        <v>9.0201909999999996E-2</v>
      </c>
      <c r="AA5649">
        <v>0.98981039999999998</v>
      </c>
      <c r="AB5649">
        <v>24</v>
      </c>
      <c r="AC5649">
        <v>1.002</v>
      </c>
      <c r="AD5649">
        <v>-1.1096416284914901</v>
      </c>
      <c r="AE5649">
        <v>-11.95978</v>
      </c>
      <c r="AF5649">
        <v>-1.3393937792534101</v>
      </c>
      <c r="AG5649">
        <v>-1.1096416284914901</v>
      </c>
      <c r="AH5649">
        <v>11.824338356274</v>
      </c>
      <c r="AI5649">
        <v>95.327285714725093</v>
      </c>
      <c r="AJ5649">
        <v>96.462593226716095</v>
      </c>
      <c r="AK5649">
        <v>11.9515797199884</v>
      </c>
      <c r="AL5649">
        <v>88.929828483298095</v>
      </c>
      <c r="AM5649">
        <v>90.954522868988903</v>
      </c>
      <c r="AN5649">
        <v>0.99999997224007797</v>
      </c>
    </row>
    <row r="5650" spans="1:40" x14ac:dyDescent="0.25">
      <c r="A5650" t="str">
        <f>"20190312160800823"</f>
        <v>20190312160800823</v>
      </c>
      <c r="B5650" t="str">
        <f>"1552378080811186"</f>
        <v>1552378080811186</v>
      </c>
      <c r="C5650" t="s">
        <v>40</v>
      </c>
      <c r="D5650">
        <v>5.5735239999999999</v>
      </c>
      <c r="E5650">
        <v>0.46946880000000002</v>
      </c>
      <c r="F5650" t="s">
        <v>47</v>
      </c>
      <c r="G5650">
        <v>-420.8879</v>
      </c>
      <c r="H5650" s="1">
        <v>-4.4223750000000002E-6</v>
      </c>
      <c r="I5650">
        <v>49.519289999999998</v>
      </c>
      <c r="J5650">
        <v>-421.80560000000003</v>
      </c>
      <c r="K5650">
        <v>1.1096299999999999</v>
      </c>
      <c r="L5650">
        <v>62.283869999999901</v>
      </c>
      <c r="M5650">
        <v>-2.889069E-2</v>
      </c>
      <c r="N5650">
        <v>0</v>
      </c>
      <c r="O5650">
        <v>-0.99953499999999995</v>
      </c>
      <c r="P5650">
        <v>-1.201116E-2</v>
      </c>
      <c r="Q5650">
        <v>8.4829720000000001E-3</v>
      </c>
      <c r="R5650">
        <v>-0.99989220000000001</v>
      </c>
      <c r="S5650">
        <v>0.21063229999999999</v>
      </c>
      <c r="T5650">
        <v>-0.25651790000000002</v>
      </c>
      <c r="U5650">
        <v>-3.00528</v>
      </c>
      <c r="V5650">
        <v>-1.689102E-2</v>
      </c>
      <c r="W5650">
        <v>1.8260720000000001E-2</v>
      </c>
      <c r="X5650">
        <v>0.99969059999999998</v>
      </c>
      <c r="Y5650">
        <v>-9.8456580000000002E-2</v>
      </c>
      <c r="Z5650">
        <v>8.4683419999999995E-2</v>
      </c>
      <c r="AA5650">
        <v>0.99153170000000002</v>
      </c>
      <c r="AB5650">
        <v>24</v>
      </c>
      <c r="AC5650">
        <v>0.91770000000002405</v>
      </c>
      <c r="AD5650">
        <v>-1.1096344223750001</v>
      </c>
      <c r="AE5650">
        <v>-12.764579999999899</v>
      </c>
      <c r="AF5650">
        <v>-1.2765149963600999</v>
      </c>
      <c r="AG5650">
        <v>-1.1096344223750001</v>
      </c>
      <c r="AH5650">
        <v>12.6377253995262</v>
      </c>
      <c r="AI5650">
        <v>94.992616829016498</v>
      </c>
      <c r="AJ5650">
        <v>95.767786022289101</v>
      </c>
      <c r="AK5650">
        <v>12.7504071449143</v>
      </c>
      <c r="AL5650">
        <v>88.953679687097093</v>
      </c>
      <c r="AM5650">
        <v>90.967991574667707</v>
      </c>
      <c r="AN5650">
        <v>1.0000000280899499</v>
      </c>
    </row>
    <row r="5651" spans="1:40" x14ac:dyDescent="0.25">
      <c r="A5651" t="str">
        <f>"20190312160800846"</f>
        <v>20190312160800846</v>
      </c>
      <c r="B5651" t="str">
        <f>"1552378080841443"</f>
        <v>1552378080841443</v>
      </c>
      <c r="C5651" t="s">
        <v>40</v>
      </c>
      <c r="D5651">
        <v>5.5044320000000004</v>
      </c>
      <c r="E5651">
        <v>0.47058820000000001</v>
      </c>
      <c r="F5651" t="s">
        <v>47</v>
      </c>
      <c r="G5651">
        <v>-420.87889999999999</v>
      </c>
      <c r="H5651" s="1">
        <v>-4.0933259999999997E-6</v>
      </c>
      <c r="I5651">
        <v>48.585630000000002</v>
      </c>
      <c r="J5651">
        <v>-421.81229999999999</v>
      </c>
      <c r="K5651">
        <v>1.1096189999999999</v>
      </c>
      <c r="L5651">
        <v>62.041139999999999</v>
      </c>
      <c r="M5651">
        <v>-2.8569890000000001E-2</v>
      </c>
      <c r="N5651">
        <v>0</v>
      </c>
      <c r="O5651">
        <v>-0.99954430000000005</v>
      </c>
      <c r="P5651">
        <v>-1.1479059999999999E-2</v>
      </c>
      <c r="Q5651">
        <v>8.2600019999999903E-3</v>
      </c>
      <c r="R5651">
        <v>-0.99990029999999996</v>
      </c>
      <c r="S5651">
        <v>0.2032776</v>
      </c>
      <c r="T5651">
        <v>-0.2434074</v>
      </c>
      <c r="U5651">
        <v>-3.0048219999999999</v>
      </c>
      <c r="V5651">
        <v>-1.7101789999999999E-2</v>
      </c>
      <c r="W5651">
        <v>1.801376E-2</v>
      </c>
      <c r="X5651">
        <v>0.99969149999999996</v>
      </c>
      <c r="Y5651">
        <v>-9.575583E-2</v>
      </c>
      <c r="Z5651">
        <v>8.0414780000000005E-2</v>
      </c>
      <c r="AA5651">
        <v>0.99215129999999996</v>
      </c>
      <c r="AB5651">
        <v>24</v>
      </c>
      <c r="AC5651">
        <v>0.933400000000006</v>
      </c>
      <c r="AD5651">
        <v>-1.1096230933260001</v>
      </c>
      <c r="AE5651">
        <v>-13.45551</v>
      </c>
      <c r="AF5651">
        <v>-1.3086029051997099</v>
      </c>
      <c r="AG5651">
        <v>-1.1096230933260001</v>
      </c>
      <c r="AH5651">
        <v>13.3331088915834</v>
      </c>
      <c r="AI5651">
        <v>94.734725631886107</v>
      </c>
      <c r="AJ5651">
        <v>95.605448689171993</v>
      </c>
      <c r="AK5651">
        <v>13.443046443703199</v>
      </c>
      <c r="AL5651">
        <v>88.967831783342504</v>
      </c>
      <c r="AM5651">
        <v>90.980067170666004</v>
      </c>
      <c r="AN5651">
        <v>1.0000000309713899</v>
      </c>
    </row>
    <row r="5652" spans="1:40" x14ac:dyDescent="0.25">
      <c r="A5652" t="str">
        <f>"20190312160800880"</f>
        <v>20190312160800880</v>
      </c>
      <c r="B5652" t="str">
        <f>"1552378080871701"</f>
        <v>1552378080871701</v>
      </c>
      <c r="C5652" t="s">
        <v>40</v>
      </c>
      <c r="D5652">
        <v>5.5423780000000002</v>
      </c>
      <c r="E5652">
        <v>0.47123379999999998</v>
      </c>
      <c r="F5652" t="s">
        <v>47</v>
      </c>
      <c r="G5652">
        <v>-420.9588</v>
      </c>
      <c r="H5652" s="1">
        <v>-4.2418440000000001E-6</v>
      </c>
      <c r="I5652">
        <v>48.95187</v>
      </c>
      <c r="J5652">
        <v>-421.82190000000003</v>
      </c>
      <c r="K5652">
        <v>1.1096189999999999</v>
      </c>
      <c r="L5652">
        <v>61.685789999999997</v>
      </c>
      <c r="M5652">
        <v>-2.810064E-2</v>
      </c>
      <c r="N5652">
        <v>0</v>
      </c>
      <c r="O5652">
        <v>-0.99955769999999999</v>
      </c>
      <c r="P5652">
        <v>-1.1086840000000001E-2</v>
      </c>
      <c r="Q5652">
        <v>7.9133829999999995E-3</v>
      </c>
      <c r="R5652">
        <v>-0.99990730000000005</v>
      </c>
      <c r="S5652">
        <v>0.19592290000000001</v>
      </c>
      <c r="T5652">
        <v>-0.25471639999999901</v>
      </c>
      <c r="U5652">
        <v>-3.0046689999999998</v>
      </c>
      <c r="V5652">
        <v>-1.702468E-2</v>
      </c>
      <c r="W5652">
        <v>1.7638549999999999E-2</v>
      </c>
      <c r="X5652">
        <v>0.99969949999999996</v>
      </c>
      <c r="Y5652">
        <v>-9.2853599999999994E-2</v>
      </c>
      <c r="Z5652">
        <v>8.4149230000000005E-2</v>
      </c>
      <c r="AA5652">
        <v>0.99211749999999999</v>
      </c>
      <c r="AB5652">
        <v>24</v>
      </c>
      <c r="AC5652">
        <v>0.86310000000003095</v>
      </c>
      <c r="AD5652">
        <v>-1.109623241844</v>
      </c>
      <c r="AE5652">
        <v>-12.733919999999999</v>
      </c>
      <c r="AF5652">
        <v>-1.21145062262464</v>
      </c>
      <c r="AG5652">
        <v>-1.109623241844</v>
      </c>
      <c r="AH5652">
        <v>12.6093283290435</v>
      </c>
      <c r="AI5652">
        <v>95.006150434294995</v>
      </c>
      <c r="AJ5652">
        <v>95.487890693902401</v>
      </c>
      <c r="AK5652">
        <v>12.715897029290399</v>
      </c>
      <c r="AL5652">
        <v>88.989333141962902</v>
      </c>
      <c r="AM5652">
        <v>90.975641210840493</v>
      </c>
      <c r="AN5652">
        <v>1.0000000242377201</v>
      </c>
    </row>
    <row r="5653" spans="1:40" x14ac:dyDescent="0.25">
      <c r="A5653" t="str">
        <f>"20190312160800900"</f>
        <v>20190312160800900</v>
      </c>
      <c r="B5653" t="str">
        <f>"1552378080891218"</f>
        <v>1552378080891218</v>
      </c>
      <c r="C5653" t="s">
        <v>40</v>
      </c>
      <c r="D5653">
        <v>5.5279379999999998</v>
      </c>
      <c r="E5653">
        <v>0.47189690000000001</v>
      </c>
      <c r="F5653" t="s">
        <v>47</v>
      </c>
      <c r="G5653">
        <v>-421.0188</v>
      </c>
      <c r="H5653" s="1">
        <v>-4.3037290000000001E-6</v>
      </c>
      <c r="I5653">
        <v>49.102420000000002</v>
      </c>
      <c r="J5653">
        <v>-421.82810000000001</v>
      </c>
      <c r="K5653">
        <v>1.1096159999999999</v>
      </c>
      <c r="L5653">
        <v>61.45496</v>
      </c>
      <c r="M5653">
        <v>-2.7795750000000001E-2</v>
      </c>
      <c r="N5653">
        <v>0</v>
      </c>
      <c r="O5653">
        <v>-0.99956630000000002</v>
      </c>
      <c r="P5653">
        <v>-1.140653E-2</v>
      </c>
      <c r="Q5653">
        <v>7.5382619999999996E-3</v>
      </c>
      <c r="R5653">
        <v>-0.99990650000000003</v>
      </c>
      <c r="S5653">
        <v>0.19174189999999999</v>
      </c>
      <c r="T5653">
        <v>-0.2649437</v>
      </c>
      <c r="U5653">
        <v>-3.0045169999999999</v>
      </c>
      <c r="V5653">
        <v>-1.6400319999999999E-2</v>
      </c>
      <c r="W5653">
        <v>1.7248550000000001E-2</v>
      </c>
      <c r="X5653">
        <v>0.99971670000000001</v>
      </c>
      <c r="Y5653">
        <v>-9.1159660000000003E-2</v>
      </c>
      <c r="Z5653">
        <v>8.7518730000000003E-2</v>
      </c>
      <c r="AA5653">
        <v>0.99198310000000001</v>
      </c>
      <c r="AB5653">
        <v>24</v>
      </c>
      <c r="AC5653">
        <v>0.80930000000000701</v>
      </c>
      <c r="AD5653">
        <v>-1.109620303729</v>
      </c>
      <c r="AE5653">
        <v>-12.3525399999999</v>
      </c>
      <c r="AF5653">
        <v>-1.1431664976818801</v>
      </c>
      <c r="AG5653">
        <v>-1.109620303729</v>
      </c>
      <c r="AH5653">
        <v>12.227028701116801</v>
      </c>
      <c r="AI5653">
        <v>95.163074894499999</v>
      </c>
      <c r="AJ5653">
        <v>95.341343656336704</v>
      </c>
      <c r="AK5653">
        <v>12.330381896673099</v>
      </c>
      <c r="AL5653">
        <v>89.011681853814594</v>
      </c>
      <c r="AM5653">
        <v>90.939851096577101</v>
      </c>
      <c r="AN5653">
        <v>0.99999998161604697</v>
      </c>
    </row>
    <row r="5654" spans="1:40" x14ac:dyDescent="0.25">
      <c r="A5654" t="str">
        <f>"20190312160800924"</f>
        <v>20190312160800924</v>
      </c>
      <c r="B5654" t="str">
        <f>"1552378080911714"</f>
        <v>1552378080911714</v>
      </c>
      <c r="C5654" t="s">
        <v>40</v>
      </c>
      <c r="D5654">
        <v>5.5262200000000004</v>
      </c>
      <c r="E5654">
        <v>0.47201149999999997</v>
      </c>
      <c r="F5654" t="s">
        <v>47</v>
      </c>
      <c r="G5654">
        <v>-421.07499999999999</v>
      </c>
      <c r="H5654" s="1">
        <v>-4.3632370000000004E-6</v>
      </c>
      <c r="I5654">
        <v>49.248040000000003</v>
      </c>
      <c r="J5654">
        <v>-421.83429999999998</v>
      </c>
      <c r="K5654">
        <v>1.1096220000000001</v>
      </c>
      <c r="L5654">
        <v>61.216189999999997</v>
      </c>
      <c r="M5654">
        <v>-2.7480540000000001E-2</v>
      </c>
      <c r="N5654">
        <v>0</v>
      </c>
      <c r="O5654">
        <v>-0.99957530000000006</v>
      </c>
      <c r="P5654">
        <v>-1.0896339999999999E-2</v>
      </c>
      <c r="Q5654">
        <v>7.4304150000000001E-3</v>
      </c>
      <c r="R5654">
        <v>-0.9999131</v>
      </c>
      <c r="S5654">
        <v>0.1853638</v>
      </c>
      <c r="T5654">
        <v>-0.27310800000000002</v>
      </c>
      <c r="U5654">
        <v>-3.0044559999999998</v>
      </c>
      <c r="V5654">
        <v>-1.6594850000000001E-2</v>
      </c>
      <c r="W5654">
        <v>1.712698E-2</v>
      </c>
      <c r="X5654">
        <v>0.99971560000000004</v>
      </c>
      <c r="Y5654">
        <v>-8.8734229999999997E-2</v>
      </c>
      <c r="Z5654">
        <v>9.0212749999999994E-2</v>
      </c>
      <c r="AA5654">
        <v>0.99196169999999995</v>
      </c>
      <c r="AB5654">
        <v>24</v>
      </c>
      <c r="AC5654">
        <v>0.75929999999999598</v>
      </c>
      <c r="AD5654">
        <v>-1.10962636323699</v>
      </c>
      <c r="AE5654">
        <v>-11.96815</v>
      </c>
      <c r="AF5654">
        <v>-1.0786846386923199</v>
      </c>
      <c r="AG5654">
        <v>-1.10962636323699</v>
      </c>
      <c r="AH5654">
        <v>11.8413815402682</v>
      </c>
      <c r="AI5654">
        <v>95.331464565889505</v>
      </c>
      <c r="AJ5654">
        <v>95.204964373187906</v>
      </c>
      <c r="AK5654">
        <v>11.9420746940364</v>
      </c>
      <c r="AL5654">
        <v>89.018648350652697</v>
      </c>
      <c r="AM5654">
        <v>90.950998013923197</v>
      </c>
      <c r="AN5654">
        <v>1.0000000016869</v>
      </c>
    </row>
    <row r="5655" spans="1:40" x14ac:dyDescent="0.25">
      <c r="A5655" t="str">
        <f>"20190312160800947"</f>
        <v>20190312160800947</v>
      </c>
      <c r="B5655" t="str">
        <f>"1552378080940993"</f>
        <v>1552378080940993</v>
      </c>
      <c r="C5655" t="s">
        <v>40</v>
      </c>
      <c r="D5655">
        <v>5.5549089999999897</v>
      </c>
      <c r="E5655">
        <v>0.47214420000000001</v>
      </c>
      <c r="F5655" t="s">
        <v>47</v>
      </c>
      <c r="G5655">
        <v>-421.08460000000002</v>
      </c>
      <c r="H5655" s="1">
        <v>-4.3085000000000003E-6</v>
      </c>
      <c r="I5655">
        <v>49.082180000000001</v>
      </c>
      <c r="J5655">
        <v>-421.8408</v>
      </c>
      <c r="K5655">
        <v>1.1096239999999999</v>
      </c>
      <c r="L5655">
        <v>60.968629999999997</v>
      </c>
      <c r="M5655">
        <v>-2.7154069999999999E-2</v>
      </c>
      <c r="N5655">
        <v>0</v>
      </c>
      <c r="O5655">
        <v>-0.99958409999999998</v>
      </c>
      <c r="P5655">
        <v>-1.077027E-2</v>
      </c>
      <c r="Q5655">
        <v>7.8997659999999904E-3</v>
      </c>
      <c r="R5655">
        <v>-0.99991070000000004</v>
      </c>
      <c r="S5655">
        <v>0.18563840000000001</v>
      </c>
      <c r="T5655">
        <v>-0.27473930000000002</v>
      </c>
      <c r="U5655">
        <v>-3.0043329999999999</v>
      </c>
      <c r="V5655">
        <v>-1.6394510000000001E-2</v>
      </c>
      <c r="W5655">
        <v>1.7585150000000001E-2</v>
      </c>
      <c r="X5655">
        <v>0.99971100000000002</v>
      </c>
      <c r="Y5655">
        <v>-8.8498709999999994E-2</v>
      </c>
      <c r="Z5655">
        <v>9.0752719999999995E-2</v>
      </c>
      <c r="AA5655">
        <v>0.99193339999999997</v>
      </c>
      <c r="AB5655">
        <v>24</v>
      </c>
      <c r="AC5655">
        <v>0.756199999999978</v>
      </c>
      <c r="AD5655">
        <v>-1.1096283085</v>
      </c>
      <c r="AE5655">
        <v>-11.88645</v>
      </c>
      <c r="AF5655">
        <v>-1.06941977690478</v>
      </c>
      <c r="AG5655">
        <v>-1.1096283085</v>
      </c>
      <c r="AH5655">
        <v>11.759464998898901</v>
      </c>
      <c r="AI5655">
        <v>95.368470573206196</v>
      </c>
      <c r="AJ5655">
        <v>95.196253144600902</v>
      </c>
      <c r="AK5655">
        <v>11.8600147850914</v>
      </c>
      <c r="AL5655">
        <v>88.992393237588402</v>
      </c>
      <c r="AM5655">
        <v>90.939523559163305</v>
      </c>
      <c r="AN5655">
        <v>1.0000000504898301</v>
      </c>
    </row>
    <row r="5656" spans="1:40" x14ac:dyDescent="0.25">
      <c r="A5656" t="str">
        <f>"20190312160800969"</f>
        <v>20190312160800969</v>
      </c>
      <c r="B5656" t="str">
        <f>"1552378080961490"</f>
        <v>1552378080961490</v>
      </c>
      <c r="C5656" t="s">
        <v>40</v>
      </c>
      <c r="D5656">
        <v>5.543857</v>
      </c>
      <c r="E5656">
        <v>0.4721494</v>
      </c>
      <c r="F5656" t="s">
        <v>47</v>
      </c>
      <c r="G5656">
        <v>-421.101</v>
      </c>
      <c r="H5656" s="1">
        <v>-4.262237E-6</v>
      </c>
      <c r="I5656">
        <v>48.9377</v>
      </c>
      <c r="J5656">
        <v>-421.84690000000001</v>
      </c>
      <c r="K5656">
        <v>1.1096220000000001</v>
      </c>
      <c r="L5656">
        <v>60.73068</v>
      </c>
      <c r="M5656">
        <v>-2.6839740000000001E-2</v>
      </c>
      <c r="N5656">
        <v>0</v>
      </c>
      <c r="O5656">
        <v>-0.99959299999999995</v>
      </c>
      <c r="P5656">
        <v>-9.9603399999999998E-3</v>
      </c>
      <c r="Q5656">
        <v>8.1605210000000004E-3</v>
      </c>
      <c r="R5656">
        <v>-0.99991730000000001</v>
      </c>
      <c r="S5656">
        <v>0.18475340000000001</v>
      </c>
      <c r="T5656">
        <v>-0.27710489999999999</v>
      </c>
      <c r="U5656">
        <v>-3.0044559999999998</v>
      </c>
      <c r="V5656">
        <v>-1.6890200000000001E-2</v>
      </c>
      <c r="W5656">
        <v>1.7836399999999999E-2</v>
      </c>
      <c r="X5656">
        <v>0.99969819999999998</v>
      </c>
      <c r="Y5656">
        <v>-8.788754E-2</v>
      </c>
      <c r="Z5656">
        <v>9.1528360000000003E-2</v>
      </c>
      <c r="AA5656">
        <v>0.99191649999999998</v>
      </c>
      <c r="AB5656">
        <v>24</v>
      </c>
      <c r="AC5656">
        <v>0.745900000000006</v>
      </c>
      <c r="AD5656">
        <v>-1.1096262622369999</v>
      </c>
      <c r="AE5656">
        <v>-11.79298</v>
      </c>
      <c r="AF5656">
        <v>-1.05288220873229</v>
      </c>
      <c r="AG5656">
        <v>-1.1096262622369999</v>
      </c>
      <c r="AH5656">
        <v>11.665840547311801</v>
      </c>
      <c r="AI5656">
        <v>95.411623137864495</v>
      </c>
      <c r="AJ5656">
        <v>95.157168446883105</v>
      </c>
      <c r="AK5656">
        <v>11.7656987494417</v>
      </c>
      <c r="AL5656">
        <v>88.977995316322804</v>
      </c>
      <c r="AM5656">
        <v>90.967937233800299</v>
      </c>
      <c r="AN5656">
        <v>0.99999995355211801</v>
      </c>
    </row>
    <row r="5657" spans="1:40" x14ac:dyDescent="0.25">
      <c r="A5657" t="str">
        <f>"20190312160800991"</f>
        <v>20190312160800991</v>
      </c>
      <c r="B5657" t="str">
        <f>"1552378080981011"</f>
        <v>1552378080981011</v>
      </c>
      <c r="C5657" t="s">
        <v>40</v>
      </c>
      <c r="D5657">
        <v>5.5438090000000004</v>
      </c>
      <c r="E5657">
        <v>0.47223100000000001</v>
      </c>
      <c r="F5657" t="s">
        <v>47</v>
      </c>
      <c r="G5657">
        <v>-421.10090000000002</v>
      </c>
      <c r="H5657" s="1">
        <v>-4.1970429999999999E-6</v>
      </c>
      <c r="I5657">
        <v>48.74615</v>
      </c>
      <c r="J5657">
        <v>-421.8528</v>
      </c>
      <c r="K5657">
        <v>1.109626</v>
      </c>
      <c r="L5657">
        <v>60.493740000000003</v>
      </c>
      <c r="M5657">
        <v>-2.6527459999999999E-2</v>
      </c>
      <c r="N5657">
        <v>0</v>
      </c>
      <c r="O5657">
        <v>-0.99960150000000003</v>
      </c>
      <c r="P5657">
        <v>-9.2560160000000006E-3</v>
      </c>
      <c r="Q5657">
        <v>8.3285649999999996E-3</v>
      </c>
      <c r="R5657">
        <v>-0.99992289999999995</v>
      </c>
      <c r="S5657">
        <v>0.1870117</v>
      </c>
      <c r="T5657">
        <v>-0.27817170000000002</v>
      </c>
      <c r="U5657">
        <v>-3.0043950000000001</v>
      </c>
      <c r="V5657">
        <v>-1.7281990000000001E-2</v>
      </c>
      <c r="W5657">
        <v>1.7996599999999901E-2</v>
      </c>
      <c r="X5657">
        <v>0.99968869999999999</v>
      </c>
      <c r="Y5657">
        <v>-8.831833E-2</v>
      </c>
      <c r="Z5657">
        <v>9.1876879999999994E-2</v>
      </c>
      <c r="AA5657">
        <v>0.99184600000000001</v>
      </c>
      <c r="AB5657">
        <v>24</v>
      </c>
      <c r="AC5657">
        <v>0.75189999999997703</v>
      </c>
      <c r="AD5657">
        <v>-1.109630197043</v>
      </c>
      <c r="AE5657">
        <v>-11.747590000000001</v>
      </c>
      <c r="AF5657">
        <v>-1.0539189755813101</v>
      </c>
      <c r="AG5657">
        <v>-1.109630197043</v>
      </c>
      <c r="AH5657">
        <v>11.6202563654854</v>
      </c>
      <c r="AI5657">
        <v>95.432529535757496</v>
      </c>
      <c r="AJ5657">
        <v>95.182359663538406</v>
      </c>
      <c r="AK5657">
        <v>11.7205965027759</v>
      </c>
      <c r="AL5657">
        <v>88.968815127857297</v>
      </c>
      <c r="AM5657">
        <v>90.990394776165402</v>
      </c>
      <c r="AN5657">
        <v>1.0000000208488</v>
      </c>
    </row>
    <row r="5658" spans="1:40" x14ac:dyDescent="0.25">
      <c r="A5658" t="str">
        <f>"20190312160801013"</f>
        <v>20190312160801013</v>
      </c>
      <c r="B5658" t="str">
        <f>"1552378081001506"</f>
        <v>1552378081001506</v>
      </c>
      <c r="C5658" t="s">
        <v>40</v>
      </c>
      <c r="D5658">
        <v>5.5422449999999897</v>
      </c>
      <c r="E5658">
        <v>0.47232570000000001</v>
      </c>
      <c r="F5658" t="s">
        <v>47</v>
      </c>
      <c r="G5658">
        <v>-421.10180000000003</v>
      </c>
      <c r="H5658" s="1">
        <v>-4.1307939999999997E-6</v>
      </c>
      <c r="I5658">
        <v>48.551000000000002</v>
      </c>
      <c r="J5658">
        <v>-421.85860000000002</v>
      </c>
      <c r="K5658">
        <v>1.1096299999999999</v>
      </c>
      <c r="L5658">
        <v>60.261539999999997</v>
      </c>
      <c r="M5658">
        <v>-2.6220799999999898E-2</v>
      </c>
      <c r="N5658">
        <v>0</v>
      </c>
      <c r="O5658">
        <v>-0.99960939999999998</v>
      </c>
      <c r="P5658">
        <v>-8.3949260000000005E-3</v>
      </c>
      <c r="Q5658">
        <v>8.0750769999999999E-3</v>
      </c>
      <c r="R5658">
        <v>-0.99993220000000005</v>
      </c>
      <c r="S5658">
        <v>0.1889343</v>
      </c>
      <c r="T5658">
        <v>-0.27913749999999998</v>
      </c>
      <c r="U5658">
        <v>-3.0043030000000002</v>
      </c>
      <c r="V5658">
        <v>-1.7836459999999998E-2</v>
      </c>
      <c r="W5658">
        <v>1.7736760000000001E-2</v>
      </c>
      <c r="X5658">
        <v>0.99968360000000001</v>
      </c>
      <c r="Y5658">
        <v>-8.8645050000000003E-2</v>
      </c>
      <c r="Z5658">
        <v>9.2193880000000006E-2</v>
      </c>
      <c r="AA5658">
        <v>0.99178739999999999</v>
      </c>
      <c r="AB5658">
        <v>24</v>
      </c>
      <c r="AC5658">
        <v>0.75679999999999803</v>
      </c>
      <c r="AD5658">
        <v>-1.1096341307940001</v>
      </c>
      <c r="AE5658">
        <v>-11.71054</v>
      </c>
      <c r="AF5658">
        <v>-1.05418814992454</v>
      </c>
      <c r="AG5658">
        <v>-1.1096341307940001</v>
      </c>
      <c r="AH5658">
        <v>11.5831016160886</v>
      </c>
      <c r="AI5658">
        <v>95.449716393344403</v>
      </c>
      <c r="AJ5658">
        <v>95.200212540952805</v>
      </c>
      <c r="AK5658">
        <v>11.683785499926801</v>
      </c>
      <c r="AL5658">
        <v>88.983705234831902</v>
      </c>
      <c r="AM5658">
        <v>91.022168871215399</v>
      </c>
      <c r="AN5658">
        <v>1.0000000160347899</v>
      </c>
    </row>
    <row r="5659" spans="1:40" x14ac:dyDescent="0.25">
      <c r="A5659" t="str">
        <f>"20190312160801037"</f>
        <v>20190312160801037</v>
      </c>
      <c r="B5659" t="str">
        <f>"1552378081031514"</f>
        <v>1552378081031514</v>
      </c>
      <c r="C5659" t="s">
        <v>40</v>
      </c>
      <c r="D5659">
        <v>5.5761649999999996</v>
      </c>
      <c r="E5659">
        <v>0.4723907</v>
      </c>
      <c r="F5659" t="s">
        <v>47</v>
      </c>
      <c r="G5659">
        <v>-421.108</v>
      </c>
      <c r="H5659" s="1">
        <v>-4.07500099999999E-6</v>
      </c>
      <c r="I5659">
        <v>48.400829999999999</v>
      </c>
      <c r="J5659">
        <v>-421.8648</v>
      </c>
      <c r="K5659">
        <v>1.1096299999999999</v>
      </c>
      <c r="L5659">
        <v>60.013550000000002</v>
      </c>
      <c r="M5659">
        <v>-2.589375E-2</v>
      </c>
      <c r="N5659">
        <v>0</v>
      </c>
      <c r="O5659">
        <v>-0.99961820000000001</v>
      </c>
      <c r="P5659">
        <v>-7.6283829999999999E-3</v>
      </c>
      <c r="Q5659">
        <v>8.1490160000000002E-3</v>
      </c>
      <c r="R5659">
        <v>-0.99993790000000005</v>
      </c>
      <c r="S5659">
        <v>0.1901245</v>
      </c>
      <c r="T5659">
        <v>-0.28104899999999999</v>
      </c>
      <c r="U5659">
        <v>-3.004089</v>
      </c>
      <c r="V5659">
        <v>-1.827546E-2</v>
      </c>
      <c r="W5659">
        <v>1.7805890000000001E-2</v>
      </c>
      <c r="X5659">
        <v>0.99967439999999996</v>
      </c>
      <c r="Y5659">
        <v>-8.8711239999999997E-2</v>
      </c>
      <c r="Z5659">
        <v>9.2826080000000005E-2</v>
      </c>
      <c r="AA5659">
        <v>0.99172260000000001</v>
      </c>
      <c r="AB5659">
        <v>24</v>
      </c>
      <c r="AC5659">
        <v>0.75679999999999803</v>
      </c>
      <c r="AD5659">
        <v>-1.1096340750010001</v>
      </c>
      <c r="AE5659">
        <v>-11.612719999999999</v>
      </c>
      <c r="AF5659">
        <v>-1.04773127950752</v>
      </c>
      <c r="AG5659">
        <v>-1.1096340750010001</v>
      </c>
      <c r="AH5659">
        <v>11.484810710674999</v>
      </c>
      <c r="AI5659">
        <v>95.495965291388998</v>
      </c>
      <c r="AJ5659">
        <v>95.212525862705604</v>
      </c>
      <c r="AK5659">
        <v>11.585763059656401</v>
      </c>
      <c r="AL5659">
        <v>88.979743709246804</v>
      </c>
      <c r="AM5659">
        <v>91.047331109861702</v>
      </c>
      <c r="AN5659">
        <v>0.99999997408613095</v>
      </c>
    </row>
    <row r="5660" spans="1:40" x14ac:dyDescent="0.25">
      <c r="A5660" t="str">
        <f>"20190312160801058"</f>
        <v>20190312160801058</v>
      </c>
      <c r="B5660" t="str">
        <f>"1552378081051033"</f>
        <v>1552378081051033</v>
      </c>
      <c r="C5660" t="s">
        <v>40</v>
      </c>
      <c r="D5660">
        <v>5.573728</v>
      </c>
      <c r="E5660">
        <v>0.47244510000000001</v>
      </c>
      <c r="F5660" t="s">
        <v>47</v>
      </c>
      <c r="G5660">
        <v>-421.1157</v>
      </c>
      <c r="H5660" s="1">
        <v>-4.0250999999999998E-6</v>
      </c>
      <c r="I5660">
        <v>48.279710000000001</v>
      </c>
      <c r="J5660">
        <v>-421.87079999999997</v>
      </c>
      <c r="K5660">
        <v>1.109626</v>
      </c>
      <c r="L5660">
        <v>59.770139999999998</v>
      </c>
      <c r="M5660">
        <v>-2.557328E-2</v>
      </c>
      <c r="N5660">
        <v>0</v>
      </c>
      <c r="O5660">
        <v>-0.99962660000000003</v>
      </c>
      <c r="P5660">
        <v>-7.1281249999999999E-3</v>
      </c>
      <c r="Q5660">
        <v>8.5300529999999992E-3</v>
      </c>
      <c r="R5660">
        <v>-0.99993840000000001</v>
      </c>
      <c r="S5660">
        <v>0.19177250000000001</v>
      </c>
      <c r="T5660">
        <v>-0.2840762</v>
      </c>
      <c r="U5660">
        <v>-3.0039669999999998</v>
      </c>
      <c r="V5660">
        <v>-1.845552E-2</v>
      </c>
      <c r="W5660">
        <v>1.8183009999999999E-2</v>
      </c>
      <c r="X5660">
        <v>0.99966429999999995</v>
      </c>
      <c r="Y5660">
        <v>-8.8930389999999998E-2</v>
      </c>
      <c r="Z5660">
        <v>9.3819529999999998E-2</v>
      </c>
      <c r="AA5660">
        <v>0.99160950000000003</v>
      </c>
      <c r="AB5660">
        <v>24</v>
      </c>
      <c r="AC5660">
        <v>0.75509999999997002</v>
      </c>
      <c r="AD5660">
        <v>-1.1096300251</v>
      </c>
      <c r="AE5660">
        <v>-11.49043</v>
      </c>
      <c r="AF5660">
        <v>-1.0390662153055701</v>
      </c>
      <c r="AG5660">
        <v>-1.1096300251</v>
      </c>
      <c r="AH5660">
        <v>11.361858179915</v>
      </c>
      <c r="AI5660">
        <v>95.554937480559602</v>
      </c>
      <c r="AJ5660">
        <v>95.225286630433203</v>
      </c>
      <c r="AK5660">
        <v>11.463104234582101</v>
      </c>
      <c r="AL5660">
        <v>88.958132821241804</v>
      </c>
      <c r="AM5660">
        <v>91.057658349547793</v>
      </c>
      <c r="AN5660">
        <v>0.99999997038280897</v>
      </c>
    </row>
    <row r="5661" spans="1:40" x14ac:dyDescent="0.25">
      <c r="A5661" t="str">
        <f>"20190312160801080"</f>
        <v>20190312160801080</v>
      </c>
      <c r="B5661" t="str">
        <f>"1552378081071529"</f>
        <v>1552378081071529</v>
      </c>
      <c r="C5661" t="s">
        <v>40</v>
      </c>
      <c r="D5661">
        <v>5.57538</v>
      </c>
      <c r="E5661">
        <v>0.47256399999999998</v>
      </c>
      <c r="F5661" t="s">
        <v>47</v>
      </c>
      <c r="G5661">
        <v>-421.1173</v>
      </c>
      <c r="H5661" s="1">
        <v>-3.922004E-6</v>
      </c>
      <c r="I5661">
        <v>48.038400000000003</v>
      </c>
      <c r="J5661">
        <v>-421.87630000000001</v>
      </c>
      <c r="K5661">
        <v>1.1096299999999999</v>
      </c>
      <c r="L5661">
        <v>59.539119999999997</v>
      </c>
      <c r="M5661">
        <v>-2.52689E-2</v>
      </c>
      <c r="N5661">
        <v>0</v>
      </c>
      <c r="O5661">
        <v>-0.99963400000000002</v>
      </c>
      <c r="P5661">
        <v>-6.7717380000000002E-3</v>
      </c>
      <c r="Q5661">
        <v>8.5305280000000008E-3</v>
      </c>
      <c r="R5661">
        <v>-0.99994079999999996</v>
      </c>
      <c r="S5661">
        <v>0.1929321</v>
      </c>
      <c r="T5661">
        <v>-0.28412900000000002</v>
      </c>
      <c r="U5661">
        <v>-3.0039980000000002</v>
      </c>
      <c r="V5661">
        <v>-1.850748E-2</v>
      </c>
      <c r="W5661">
        <v>1.8181099999999999E-2</v>
      </c>
      <c r="X5661">
        <v>0.99966339999999998</v>
      </c>
      <c r="Y5661">
        <v>-8.9007619999999996E-2</v>
      </c>
      <c r="Z5661">
        <v>9.3835479999999999E-2</v>
      </c>
      <c r="AA5661">
        <v>0.99160099999999995</v>
      </c>
      <c r="AB5661">
        <v>24</v>
      </c>
      <c r="AC5661">
        <v>0.759000000000014</v>
      </c>
      <c r="AD5661">
        <v>-1.1096339220039999</v>
      </c>
      <c r="AE5661">
        <v>-11.5007199999999</v>
      </c>
      <c r="AF5661">
        <v>-1.0397445801273</v>
      </c>
      <c r="AG5661">
        <v>-1.1096339220039999</v>
      </c>
      <c r="AH5661">
        <v>11.3724587104579</v>
      </c>
      <c r="AI5661">
        <v>95.5498241057185</v>
      </c>
      <c r="AJ5661">
        <v>95.223832313423301</v>
      </c>
      <c r="AK5661">
        <v>11.473673054163401</v>
      </c>
      <c r="AL5661">
        <v>88.958242301234307</v>
      </c>
      <c r="AM5661">
        <v>91.060636375121305</v>
      </c>
      <c r="AN5661">
        <v>0.99999999625636005</v>
      </c>
    </row>
    <row r="5662" spans="1:40" x14ac:dyDescent="0.25">
      <c r="A5662" t="str">
        <f>"20190312160801102"</f>
        <v>20190312160801102</v>
      </c>
      <c r="B5662" t="str">
        <f>"1552378081091049"</f>
        <v>1552378081091049</v>
      </c>
      <c r="C5662" t="s">
        <v>40</v>
      </c>
      <c r="D5662">
        <v>5.5969239999999996</v>
      </c>
      <c r="E5662">
        <v>0.47274500000000003</v>
      </c>
      <c r="F5662" t="s">
        <v>47</v>
      </c>
      <c r="G5662">
        <v>-421.12799999999999</v>
      </c>
      <c r="H5662" s="1">
        <v>-3.8556500000000001E-6</v>
      </c>
      <c r="I5662">
        <v>47.877099999999999</v>
      </c>
      <c r="J5662">
        <v>-421.88209999999998</v>
      </c>
      <c r="K5662">
        <v>1.109629</v>
      </c>
      <c r="L5662">
        <v>59.29636</v>
      </c>
      <c r="M5662">
        <v>-2.4949010000000001E-2</v>
      </c>
      <c r="N5662">
        <v>0</v>
      </c>
      <c r="O5662">
        <v>-0.99964209999999998</v>
      </c>
      <c r="P5662">
        <v>-6.3847349999999999E-3</v>
      </c>
      <c r="Q5662">
        <v>8.4265720000000002E-3</v>
      </c>
      <c r="R5662">
        <v>-0.99994419999999995</v>
      </c>
      <c r="S5662">
        <v>0.192749</v>
      </c>
      <c r="T5662">
        <v>-0.28581980000000001</v>
      </c>
      <c r="U5662">
        <v>-3.0039060000000002</v>
      </c>
      <c r="V5662">
        <v>-1.8574730000000001E-2</v>
      </c>
      <c r="W5662">
        <v>1.807574E-2</v>
      </c>
      <c r="X5662">
        <v>0.99966410000000006</v>
      </c>
      <c r="Y5662">
        <v>-8.8627239999999996E-2</v>
      </c>
      <c r="Z5662">
        <v>9.4394649999999997E-2</v>
      </c>
      <c r="AA5662">
        <v>0.99158199999999996</v>
      </c>
      <c r="AB5662">
        <v>24</v>
      </c>
      <c r="AC5662">
        <v>0.75409999999993704</v>
      </c>
      <c r="AD5662">
        <v>-1.1096328556499999</v>
      </c>
      <c r="AE5662">
        <v>-11.41926</v>
      </c>
      <c r="AF5662">
        <v>-1.02910274340156</v>
      </c>
      <c r="AG5662">
        <v>-1.1096328556499999</v>
      </c>
      <c r="AH5662">
        <v>11.2907413544444</v>
      </c>
      <c r="AI5662">
        <v>95.5898736545237</v>
      </c>
      <c r="AJ5662">
        <v>95.207875305284205</v>
      </c>
      <c r="AK5662">
        <v>11.3917153170089</v>
      </c>
      <c r="AL5662">
        <v>88.964280014737</v>
      </c>
      <c r="AM5662">
        <v>91.064488742987805</v>
      </c>
      <c r="AN5662">
        <v>1.0000000328999601</v>
      </c>
    </row>
    <row r="5663" spans="1:40" x14ac:dyDescent="0.25">
      <c r="A5663" t="str">
        <f>"20190312160801125"</f>
        <v>20190312160801125</v>
      </c>
      <c r="B5663" t="str">
        <f>"1552378081121305"</f>
        <v>1552378081121305</v>
      </c>
      <c r="C5663" t="s">
        <v>40</v>
      </c>
      <c r="D5663">
        <v>5.5352670000000002</v>
      </c>
      <c r="E5663">
        <v>0.47283049999999999</v>
      </c>
      <c r="F5663" t="s">
        <v>47</v>
      </c>
      <c r="G5663">
        <v>-421.13819999999998</v>
      </c>
      <c r="H5663" s="1">
        <v>-3.7854650000000001E-6</v>
      </c>
      <c r="I5663">
        <v>47.707180000000001</v>
      </c>
      <c r="J5663">
        <v>-421.88780000000003</v>
      </c>
      <c r="K5663">
        <v>1.1096250000000001</v>
      </c>
      <c r="L5663">
        <v>59.052399999999999</v>
      </c>
      <c r="M5663">
        <v>-2.462756E-2</v>
      </c>
      <c r="N5663">
        <v>0</v>
      </c>
      <c r="O5663">
        <v>-0.99965020000000004</v>
      </c>
      <c r="P5663">
        <v>-6.1028430000000002E-3</v>
      </c>
      <c r="Q5663">
        <v>8.3194740000000003E-3</v>
      </c>
      <c r="R5663">
        <v>-0.99994700000000003</v>
      </c>
      <c r="S5663">
        <v>0.19281010000000001</v>
      </c>
      <c r="T5663">
        <v>-0.28760740000000001</v>
      </c>
      <c r="U5663">
        <v>-3.0038149999999999</v>
      </c>
      <c r="V5663">
        <v>-1.8534729999999999E-2</v>
      </c>
      <c r="W5663">
        <v>1.7967509999999999E-2</v>
      </c>
      <c r="X5663">
        <v>0.99966679999999997</v>
      </c>
      <c r="Y5663">
        <v>-8.8325340000000002E-2</v>
      </c>
      <c r="Z5663">
        <v>9.4984929999999995E-2</v>
      </c>
      <c r="AA5663">
        <v>0.99155260000000001</v>
      </c>
      <c r="AB5663">
        <v>24</v>
      </c>
      <c r="AC5663">
        <v>0.74960000000004301</v>
      </c>
      <c r="AD5663">
        <v>-1.109628785465</v>
      </c>
      <c r="AE5663">
        <v>-11.3452199999999</v>
      </c>
      <c r="AF5663">
        <v>-1.01908452340658</v>
      </c>
      <c r="AG5663">
        <v>-1.109628785465</v>
      </c>
      <c r="AH5663">
        <v>11.2164866001817</v>
      </c>
      <c r="AI5663">
        <v>95.626768436537802</v>
      </c>
      <c r="AJ5663">
        <v>95.191408987367097</v>
      </c>
      <c r="AK5663">
        <v>11.317216131162001</v>
      </c>
      <c r="AL5663">
        <v>88.970482150612497</v>
      </c>
      <c r="AM5663">
        <v>91.062194063043194</v>
      </c>
      <c r="AN5663">
        <v>1.0000000393270001</v>
      </c>
    </row>
    <row r="5664" spans="1:40" x14ac:dyDescent="0.25">
      <c r="A5664" t="str">
        <f>"20190312160801149"</f>
        <v>20190312160801149</v>
      </c>
      <c r="B5664" t="str">
        <f>"1552378081141801"</f>
        <v>1552378081141801</v>
      </c>
      <c r="C5664" t="s">
        <v>40</v>
      </c>
      <c r="D5664">
        <v>5.6019969999999999</v>
      </c>
      <c r="E5664">
        <v>0.47291060000000001</v>
      </c>
      <c r="F5664" t="s">
        <v>47</v>
      </c>
      <c r="G5664">
        <v>-421.14760000000001</v>
      </c>
      <c r="H5664" s="1">
        <v>-3.716824E-6</v>
      </c>
      <c r="I5664">
        <v>47.541319999999999</v>
      </c>
      <c r="J5664">
        <v>-421.89370000000002</v>
      </c>
      <c r="K5664">
        <v>1.1096189999999999</v>
      </c>
      <c r="L5664">
        <v>58.797730000000001</v>
      </c>
      <c r="M5664">
        <v>-2.4292040000000001E-2</v>
      </c>
      <c r="N5664">
        <v>0</v>
      </c>
      <c r="O5664">
        <v>-0.9996583</v>
      </c>
      <c r="P5664">
        <v>-5.9758719999999897E-3</v>
      </c>
      <c r="Q5664">
        <v>8.0561460000000001E-3</v>
      </c>
      <c r="R5664">
        <v>-0.9999498</v>
      </c>
      <c r="S5664">
        <v>0.19314580000000001</v>
      </c>
      <c r="T5664">
        <v>-0.28955160000000002</v>
      </c>
      <c r="U5664">
        <v>-3.0037539999999998</v>
      </c>
      <c r="V5664">
        <v>-1.832603E-2</v>
      </c>
      <c r="W5664">
        <v>1.770387E-2</v>
      </c>
      <c r="X5664">
        <v>0.99967530000000004</v>
      </c>
      <c r="Y5664">
        <v>-8.8098739999999995E-2</v>
      </c>
      <c r="Z5664">
        <v>9.5624829999999994E-2</v>
      </c>
      <c r="AA5664">
        <v>0.99151120000000004</v>
      </c>
      <c r="AB5664">
        <v>24</v>
      </c>
      <c r="AC5664">
        <v>0.74610000000001198</v>
      </c>
      <c r="AD5664">
        <v>-1.109622716824</v>
      </c>
      <c r="AE5664">
        <v>-11.256410000000001</v>
      </c>
      <c r="AF5664">
        <v>-1.00956624630096</v>
      </c>
      <c r="AG5664">
        <v>-1.109622716824</v>
      </c>
      <c r="AH5664">
        <v>11.127307119222699</v>
      </c>
      <c r="AI5664">
        <v>95.671604905035807</v>
      </c>
      <c r="AJ5664">
        <v>95.184178520722895</v>
      </c>
      <c r="AK5664">
        <v>11.2279762337149</v>
      </c>
      <c r="AL5664">
        <v>88.985589960394805</v>
      </c>
      <c r="AM5664">
        <v>91.050227584818003</v>
      </c>
      <c r="AN5664">
        <v>0.99999998790931299</v>
      </c>
    </row>
    <row r="5665" spans="1:40" x14ac:dyDescent="0.25">
      <c r="A5665" t="str">
        <f>"20190312160801170"</f>
        <v>20190312160801170</v>
      </c>
      <c r="B5665" t="str">
        <f>"1552378081161321"</f>
        <v>1552378081161321</v>
      </c>
      <c r="C5665" t="s">
        <v>40</v>
      </c>
      <c r="D5665">
        <v>5.5723190000000002</v>
      </c>
      <c r="E5665">
        <v>0.4729138</v>
      </c>
      <c r="F5665" t="s">
        <v>47</v>
      </c>
      <c r="G5665">
        <v>-421.15910000000002</v>
      </c>
      <c r="H5665" s="1">
        <v>-3.6400260000000002E-6</v>
      </c>
      <c r="I5665">
        <v>47.35521</v>
      </c>
      <c r="J5665">
        <v>-421.899</v>
      </c>
      <c r="K5665">
        <v>1.109615</v>
      </c>
      <c r="L5665">
        <v>58.564540000000001</v>
      </c>
      <c r="M5665">
        <v>-2.3984829999999999E-2</v>
      </c>
      <c r="N5665">
        <v>0</v>
      </c>
      <c r="O5665">
        <v>-0.99966569999999999</v>
      </c>
      <c r="P5665">
        <v>-6.1112090000000003E-3</v>
      </c>
      <c r="Q5665">
        <v>7.4032949999999998E-3</v>
      </c>
      <c r="R5665">
        <v>-0.99995389999999995</v>
      </c>
      <c r="S5665">
        <v>0.1928406</v>
      </c>
      <c r="T5665">
        <v>-0.29127589999999998</v>
      </c>
      <c r="U5665">
        <v>-3.0036619999999998</v>
      </c>
      <c r="V5665">
        <v>-1.7883389999999999E-2</v>
      </c>
      <c r="W5665">
        <v>1.7050699999999998E-2</v>
      </c>
      <c r="X5665">
        <v>0.99969470000000005</v>
      </c>
      <c r="Y5665">
        <v>-8.7690740000000003E-2</v>
      </c>
      <c r="Z5665">
        <v>9.6195030000000001E-2</v>
      </c>
      <c r="AA5665">
        <v>0.99149219999999905</v>
      </c>
      <c r="AB5665">
        <v>24</v>
      </c>
      <c r="AC5665">
        <v>0.73989999999997702</v>
      </c>
      <c r="AD5665">
        <v>-1.109618640026</v>
      </c>
      <c r="AE5665">
        <v>-11.20933</v>
      </c>
      <c r="AF5665">
        <v>-0.99880852327052705</v>
      </c>
      <c r="AG5665">
        <v>-1.109618640026</v>
      </c>
      <c r="AH5665">
        <v>11.0802518493383</v>
      </c>
      <c r="AI5665">
        <v>95.695809304314594</v>
      </c>
      <c r="AJ5665">
        <v>95.150899000703404</v>
      </c>
      <c r="AK5665">
        <v>11.180378036417901</v>
      </c>
      <c r="AL5665">
        <v>89.023019526562095</v>
      </c>
      <c r="AM5665">
        <v>91.024846377978804</v>
      </c>
      <c r="AN5665">
        <v>1.00000001760823</v>
      </c>
    </row>
    <row r="5666" spans="1:40" x14ac:dyDescent="0.25">
      <c r="A5666" t="str">
        <f>"20190312160801192"</f>
        <v>20190312160801192</v>
      </c>
      <c r="B5666" t="str">
        <f>"1552378081180842"</f>
        <v>1552378081180842</v>
      </c>
      <c r="C5666" t="s">
        <v>40</v>
      </c>
      <c r="D5666">
        <v>5.5862569999999998</v>
      </c>
      <c r="E5666">
        <v>0.47291499999999997</v>
      </c>
      <c r="F5666" t="s">
        <v>47</v>
      </c>
      <c r="G5666">
        <v>-421.17070000000001</v>
      </c>
      <c r="H5666" s="1">
        <v>-3.5832299999999998E-6</v>
      </c>
      <c r="I5666">
        <v>47.215589999999999</v>
      </c>
      <c r="J5666">
        <v>-421.90440000000001</v>
      </c>
      <c r="K5666">
        <v>1.109613</v>
      </c>
      <c r="L5666">
        <v>58.329590000000003</v>
      </c>
      <c r="M5666">
        <v>-2.367499E-2</v>
      </c>
      <c r="N5666">
        <v>0</v>
      </c>
      <c r="O5666">
        <v>-0.99967309999999998</v>
      </c>
      <c r="P5666">
        <v>-5.9751169999999899E-3</v>
      </c>
      <c r="Q5666">
        <v>7.3606610000000001E-3</v>
      </c>
      <c r="R5666">
        <v>-0.99995520000000004</v>
      </c>
      <c r="S5666">
        <v>0.192749</v>
      </c>
      <c r="T5666">
        <v>-0.29365839999999999</v>
      </c>
      <c r="U5666">
        <v>-3.003479</v>
      </c>
      <c r="V5666">
        <v>-1.7709880000000001E-2</v>
      </c>
      <c r="W5666">
        <v>1.7008740000000001E-2</v>
      </c>
      <c r="X5666">
        <v>0.99969850000000005</v>
      </c>
      <c r="Y5666">
        <v>-8.7350839999999999E-2</v>
      </c>
      <c r="Z5666">
        <v>9.6982910000000006E-2</v>
      </c>
      <c r="AA5666">
        <v>0.99144549999999998</v>
      </c>
      <c r="AB5666">
        <v>24</v>
      </c>
      <c r="AC5666">
        <v>0.73369999999999802</v>
      </c>
      <c r="AD5666">
        <v>-1.10961658323</v>
      </c>
      <c r="AE5666">
        <v>-11.114000000000001</v>
      </c>
      <c r="AF5666">
        <v>-0.986836395031359</v>
      </c>
      <c r="AG5666">
        <v>-1.10961658323</v>
      </c>
      <c r="AH5666">
        <v>10.984495791355799</v>
      </c>
      <c r="AI5666">
        <v>95.745275468206003</v>
      </c>
      <c r="AJ5666">
        <v>95.133615361543903</v>
      </c>
      <c r="AK5666">
        <v>11.0844144104527</v>
      </c>
      <c r="AL5666">
        <v>89.025424002594207</v>
      </c>
      <c r="AM5666">
        <v>91.014901244797898</v>
      </c>
      <c r="AN5666">
        <v>1.0000000139941201</v>
      </c>
    </row>
    <row r="5667" spans="1:40" x14ac:dyDescent="0.25">
      <c r="A5667" t="str">
        <f>"20190312160801215"</f>
        <v>20190312160801215</v>
      </c>
      <c r="B5667" t="str">
        <f>"1552378081201337"</f>
        <v>1552378081201337</v>
      </c>
      <c r="C5667" t="s">
        <v>40</v>
      </c>
      <c r="D5667">
        <v>5.5930330000000001</v>
      </c>
      <c r="E5667">
        <v>0.47290270000000001</v>
      </c>
      <c r="F5667" t="s">
        <v>47</v>
      </c>
      <c r="G5667">
        <v>-421.17849999999999</v>
      </c>
      <c r="H5667" s="1">
        <v>-3.493213E-6</v>
      </c>
      <c r="I5667">
        <v>47.00094</v>
      </c>
      <c r="J5667">
        <v>-421.90980000000002</v>
      </c>
      <c r="K5667">
        <v>1.10961</v>
      </c>
      <c r="L5667">
        <v>58.085329999999999</v>
      </c>
      <c r="M5667">
        <v>-2.335373E-2</v>
      </c>
      <c r="N5667">
        <v>0</v>
      </c>
      <c r="O5667">
        <v>-0.99968089999999998</v>
      </c>
      <c r="P5667">
        <v>-5.4586729999999998E-3</v>
      </c>
      <c r="Q5667">
        <v>7.8791739999999992E-3</v>
      </c>
      <c r="R5667">
        <v>-0.99995460000000003</v>
      </c>
      <c r="S5667">
        <v>0.1924438</v>
      </c>
      <c r="T5667">
        <v>-0.29418129999999998</v>
      </c>
      <c r="U5667">
        <v>-3.0034480000000001</v>
      </c>
      <c r="V5667">
        <v>-1.7905170000000002E-2</v>
      </c>
      <c r="W5667">
        <v>1.7527939999999999E-2</v>
      </c>
      <c r="X5667">
        <v>0.99968610000000002</v>
      </c>
      <c r="Y5667">
        <v>-8.6929930000000002E-2</v>
      </c>
      <c r="Z5667">
        <v>9.7158179999999997E-2</v>
      </c>
      <c r="AA5667">
        <v>0.99146529999999999</v>
      </c>
      <c r="AB5667">
        <v>24</v>
      </c>
      <c r="AC5667">
        <v>0.73130000000003204</v>
      </c>
      <c r="AD5667">
        <v>-1.109613493213</v>
      </c>
      <c r="AE5667">
        <v>-11.084390000000001</v>
      </c>
      <c r="AF5667">
        <v>-0.98019422610361495</v>
      </c>
      <c r="AG5667">
        <v>-1.109613493213</v>
      </c>
      <c r="AH5667">
        <v>10.954980936741901</v>
      </c>
      <c r="AI5667">
        <v>95.760819846898499</v>
      </c>
      <c r="AJ5667">
        <v>95.112910596393505</v>
      </c>
      <c r="AK5667">
        <v>11.054575077748799</v>
      </c>
      <c r="AL5667">
        <v>88.995671644982707</v>
      </c>
      <c r="AM5667">
        <v>91.026103086628694</v>
      </c>
      <c r="AN5667">
        <v>1.00000006116328</v>
      </c>
    </row>
    <row r="5668" spans="1:40" x14ac:dyDescent="0.25">
      <c r="A5668" t="str">
        <f>"20190312160801237"</f>
        <v>20190312160801237</v>
      </c>
      <c r="B5668" t="str">
        <f>"1552378081231596"</f>
        <v>1552378081231596</v>
      </c>
      <c r="C5668" t="s">
        <v>40</v>
      </c>
      <c r="D5668">
        <v>5.664879</v>
      </c>
      <c r="E5668">
        <v>0.47307769999999999</v>
      </c>
      <c r="F5668" t="s">
        <v>47</v>
      </c>
      <c r="G5668">
        <v>-421.17590000000001</v>
      </c>
      <c r="H5668" s="1">
        <v>-3.362162E-6</v>
      </c>
      <c r="I5668">
        <v>46.697040000000001</v>
      </c>
      <c r="J5668">
        <v>-421.91520000000003</v>
      </c>
      <c r="K5668">
        <v>1.1096109999999999</v>
      </c>
      <c r="L5668">
        <v>57.836669999999998</v>
      </c>
      <c r="M5668">
        <v>-2.3026919999999999E-2</v>
      </c>
      <c r="N5668">
        <v>0</v>
      </c>
      <c r="O5668">
        <v>-0.99968809999999997</v>
      </c>
      <c r="P5668">
        <v>-5.2236160000000004E-3</v>
      </c>
      <c r="Q5668">
        <v>7.2983169999999899E-3</v>
      </c>
      <c r="R5668">
        <v>-0.99995970000000001</v>
      </c>
      <c r="S5668">
        <v>0.19354250000000001</v>
      </c>
      <c r="T5668">
        <v>-0.29264570000000001</v>
      </c>
      <c r="U5668">
        <v>-3.0035099999999999</v>
      </c>
      <c r="V5668">
        <v>-1.7812870000000001E-2</v>
      </c>
      <c r="W5668">
        <v>1.6948189999999998E-2</v>
      </c>
      <c r="X5668">
        <v>0.99969770000000002</v>
      </c>
      <c r="Y5668">
        <v>-8.6967329999999995E-2</v>
      </c>
      <c r="Z5668">
        <v>9.6653660000000002E-2</v>
      </c>
      <c r="AA5668">
        <v>0.99151129999999998</v>
      </c>
      <c r="AB5668">
        <v>24</v>
      </c>
      <c r="AC5668">
        <v>0.73930000000001395</v>
      </c>
      <c r="AD5668">
        <v>-1.109614362162</v>
      </c>
      <c r="AE5668">
        <v>-11.139629999999899</v>
      </c>
      <c r="AF5668">
        <v>-0.98588814779258205</v>
      </c>
      <c r="AG5668">
        <v>-1.109614362162</v>
      </c>
      <c r="AH5668">
        <v>11.0108796904192</v>
      </c>
      <c r="AI5668">
        <v>95.731741877070604</v>
      </c>
      <c r="AJ5668">
        <v>95.116484877984703</v>
      </c>
      <c r="AK5668">
        <v>11.110476633770499</v>
      </c>
      <c r="AL5668">
        <v>89.028893763540594</v>
      </c>
      <c r="AM5668">
        <v>91.020802870865694</v>
      </c>
      <c r="AN5668">
        <v>1.0000000154336</v>
      </c>
    </row>
    <row r="5669" spans="1:40" x14ac:dyDescent="0.25">
      <c r="A5669" t="str">
        <f>"20190312160801259"</f>
        <v>20190312160801259</v>
      </c>
      <c r="B5669" t="str">
        <f>"1552378081251113"</f>
        <v>1552378081251113</v>
      </c>
      <c r="C5669" t="s">
        <v>40</v>
      </c>
      <c r="D5669">
        <v>5.6811059999999998</v>
      </c>
      <c r="E5669">
        <v>0.47310469999999999</v>
      </c>
      <c r="F5669" t="s">
        <v>47</v>
      </c>
      <c r="G5669">
        <v>-421.18349999999998</v>
      </c>
      <c r="H5669" s="1">
        <v>-3.2684139999999999E-6</v>
      </c>
      <c r="I5669">
        <v>46.473799999999997</v>
      </c>
      <c r="J5669">
        <v>-421.9205</v>
      </c>
      <c r="K5669">
        <v>1.1096060000000001</v>
      </c>
      <c r="L5669">
        <v>57.59131</v>
      </c>
      <c r="M5669">
        <v>-2.270411E-2</v>
      </c>
      <c r="N5669">
        <v>0</v>
      </c>
      <c r="O5669">
        <v>-0.99969569999999996</v>
      </c>
      <c r="P5669">
        <v>-4.7623049999999997E-3</v>
      </c>
      <c r="Q5669">
        <v>6.4888659999999898E-3</v>
      </c>
      <c r="R5669">
        <v>-0.99996790000000002</v>
      </c>
      <c r="S5669">
        <v>0.1933899</v>
      </c>
      <c r="T5669">
        <v>-0.29327690000000001</v>
      </c>
      <c r="U5669">
        <v>-3.0032649999999999</v>
      </c>
      <c r="V5669">
        <v>-1.7951350000000001E-2</v>
      </c>
      <c r="W5669">
        <v>1.6140060000000001E-2</v>
      </c>
      <c r="X5669">
        <v>0.99970859999999995</v>
      </c>
      <c r="Y5669">
        <v>-8.6599309999999999E-2</v>
      </c>
      <c r="Z5669">
        <v>9.687076E-2</v>
      </c>
      <c r="AA5669">
        <v>0.99152240000000003</v>
      </c>
      <c r="AB5669">
        <v>24</v>
      </c>
      <c r="AC5669">
        <v>0.73700000000002297</v>
      </c>
      <c r="AD5669">
        <v>-1.10960926841399</v>
      </c>
      <c r="AE5669">
        <v>-11.117509999999999</v>
      </c>
      <c r="AF5669">
        <v>-0.97952011176738796</v>
      </c>
      <c r="AG5669">
        <v>-1.10960926841399</v>
      </c>
      <c r="AH5669">
        <v>10.9889229590699</v>
      </c>
      <c r="AI5669">
        <v>95.743294224350095</v>
      </c>
      <c r="AJ5669">
        <v>95.093714343246603</v>
      </c>
      <c r="AK5669">
        <v>11.0881522436464</v>
      </c>
      <c r="AL5669">
        <v>89.075202543390901</v>
      </c>
      <c r="AM5669">
        <v>91.028725836931898</v>
      </c>
      <c r="AN5669">
        <v>1.0000000187087901</v>
      </c>
    </row>
    <row r="5670" spans="1:40" x14ac:dyDescent="0.25">
      <c r="A5670" t="str">
        <f>"20190312160801281"</f>
        <v>20190312160801281</v>
      </c>
      <c r="B5670" t="str">
        <f>"1552378081271609"</f>
        <v>1552378081271609</v>
      </c>
      <c r="C5670" t="s">
        <v>40</v>
      </c>
      <c r="D5670">
        <v>5.649349</v>
      </c>
      <c r="E5670">
        <v>0.47312720000000003</v>
      </c>
      <c r="F5670" t="s">
        <v>47</v>
      </c>
      <c r="G5670">
        <v>-421.19220000000001</v>
      </c>
      <c r="H5670" s="1">
        <v>-3.2221169999999999E-6</v>
      </c>
      <c r="I5670">
        <v>46.360489999999999</v>
      </c>
      <c r="J5670">
        <v>-421.92559999999997</v>
      </c>
      <c r="K5670">
        <v>1.1096060000000001</v>
      </c>
      <c r="L5670">
        <v>57.351930000000003</v>
      </c>
      <c r="M5670">
        <v>-2.23889E-2</v>
      </c>
      <c r="N5670">
        <v>0</v>
      </c>
      <c r="O5670">
        <v>-0.9997026</v>
      </c>
      <c r="P5670">
        <v>-4.0942230000000001E-3</v>
      </c>
      <c r="Q5670">
        <v>6.7756040000000002E-3</v>
      </c>
      <c r="R5670">
        <v>-0.99996870000000004</v>
      </c>
      <c r="S5670">
        <v>0.19473270000000001</v>
      </c>
      <c r="T5670">
        <v>-0.2966937</v>
      </c>
      <c r="U5670">
        <v>-3.0029599999999999</v>
      </c>
      <c r="V5670">
        <v>-1.8304020000000001E-2</v>
      </c>
      <c r="W5670">
        <v>1.642851E-2</v>
      </c>
      <c r="X5670">
        <v>0.99969750000000002</v>
      </c>
      <c r="Y5670">
        <v>-8.6726020000000001E-2</v>
      </c>
      <c r="Z5670">
        <v>9.7997440000000005E-2</v>
      </c>
      <c r="AA5670">
        <v>0.99140059999999997</v>
      </c>
      <c r="AB5670">
        <v>24</v>
      </c>
      <c r="AC5670">
        <v>0.73339999999995997</v>
      </c>
      <c r="AD5670">
        <v>-1.109609222117</v>
      </c>
      <c r="AE5670">
        <v>-10.9914399999999</v>
      </c>
      <c r="AF5670">
        <v>-0.969477424661077</v>
      </c>
      <c r="AG5670">
        <v>-1.109609222117</v>
      </c>
      <c r="AH5670">
        <v>10.8620556668111</v>
      </c>
      <c r="AI5670">
        <v>95.8098590799259</v>
      </c>
      <c r="AJ5670">
        <v>95.100339017305103</v>
      </c>
      <c r="AK5670">
        <v>10.9615406039315</v>
      </c>
      <c r="AL5670">
        <v>89.058673378277206</v>
      </c>
      <c r="AM5670">
        <v>91.048943229493901</v>
      </c>
      <c r="AN5670">
        <v>1.00000001229761</v>
      </c>
    </row>
    <row r="5671" spans="1:40" x14ac:dyDescent="0.25">
      <c r="A5671" t="str">
        <f>"20190312160801303"</f>
        <v>20190312160801303</v>
      </c>
      <c r="B5671" t="str">
        <f>"1552378081291129"</f>
        <v>1552378081291129</v>
      </c>
      <c r="C5671" t="s">
        <v>40</v>
      </c>
      <c r="D5671">
        <v>5.7558669999999896</v>
      </c>
      <c r="E5671">
        <v>0.47317199999999998</v>
      </c>
      <c r="F5671" t="s">
        <v>47</v>
      </c>
      <c r="G5671">
        <v>-421.18380000000002</v>
      </c>
      <c r="H5671" s="1">
        <v>-3.077301E-6</v>
      </c>
      <c r="I5671">
        <v>46.028170000000003</v>
      </c>
      <c r="J5671">
        <v>-421.93079999999998</v>
      </c>
      <c r="K5671">
        <v>1.1096010000000001</v>
      </c>
      <c r="L5671">
        <v>57.1034199999999</v>
      </c>
      <c r="M5671">
        <v>-2.2061859999999999E-2</v>
      </c>
      <c r="N5671">
        <v>0</v>
      </c>
      <c r="O5671">
        <v>-0.99971030000000005</v>
      </c>
      <c r="P5671">
        <v>-3.465376E-3</v>
      </c>
      <c r="Q5671">
        <v>6.5342639999999997E-3</v>
      </c>
      <c r="R5671">
        <v>-0.999973</v>
      </c>
      <c r="S5671">
        <v>0.19671630000000001</v>
      </c>
      <c r="T5671">
        <v>-0.29425249999999997</v>
      </c>
      <c r="U5671">
        <v>-3.0028990000000002</v>
      </c>
      <c r="V5671">
        <v>-1.860583E-2</v>
      </c>
      <c r="W5671">
        <v>1.6188689999999999E-2</v>
      </c>
      <c r="X5671">
        <v>0.99969580000000002</v>
      </c>
      <c r="Y5671">
        <v>-8.7058689999999994E-2</v>
      </c>
      <c r="Z5671">
        <v>9.7198350000000003E-2</v>
      </c>
      <c r="AA5671">
        <v>0.9914501</v>
      </c>
      <c r="AB5671">
        <v>25</v>
      </c>
      <c r="AC5671">
        <v>0.74699999999995703</v>
      </c>
      <c r="AD5671">
        <v>-1.1096040773010001</v>
      </c>
      <c r="AE5671">
        <v>-11.075249999999899</v>
      </c>
      <c r="AF5671">
        <v>-0.98136418419434102</v>
      </c>
      <c r="AG5671">
        <v>-1.1096040773010001</v>
      </c>
      <c r="AH5671">
        <v>10.946692440344799</v>
      </c>
      <c r="AI5671">
        <v>95.765014953571793</v>
      </c>
      <c r="AJ5671">
        <v>95.122836270652002</v>
      </c>
      <c r="AK5671">
        <v>11.0464642421856</v>
      </c>
      <c r="AL5671">
        <v>89.072415841869599</v>
      </c>
      <c r="AM5671">
        <v>91.066236820983505</v>
      </c>
      <c r="AN5671">
        <v>0.99999997156577203</v>
      </c>
    </row>
    <row r="5672" spans="1:40" x14ac:dyDescent="0.25">
      <c r="A5672" t="str">
        <f>"20190312160801328"</f>
        <v>20190312160801328</v>
      </c>
      <c r="B5672" t="str">
        <f>"1552378081321388"</f>
        <v>1552378081321388</v>
      </c>
      <c r="C5672" t="s">
        <v>40</v>
      </c>
      <c r="D5672">
        <v>5.7216060000000004</v>
      </c>
      <c r="E5672">
        <v>0.47319990000000001</v>
      </c>
      <c r="F5672" t="s">
        <v>47</v>
      </c>
      <c r="G5672">
        <v>-421.1866</v>
      </c>
      <c r="H5672" s="1">
        <v>-2.9890219999999999E-6</v>
      </c>
      <c r="I5672">
        <v>45.820639999999997</v>
      </c>
      <c r="J5672">
        <v>-421.93610000000001</v>
      </c>
      <c r="K5672">
        <v>1.109604</v>
      </c>
      <c r="L5672">
        <v>56.844940000000001</v>
      </c>
      <c r="M5672">
        <v>-2.1721959999999998E-2</v>
      </c>
      <c r="N5672">
        <v>0</v>
      </c>
      <c r="O5672">
        <v>-0.99971719999999997</v>
      </c>
      <c r="P5672">
        <v>-3.4968780000000001E-3</v>
      </c>
      <c r="Q5672">
        <v>5.8564050000000003E-3</v>
      </c>
      <c r="R5672">
        <v>-0.99997650000000005</v>
      </c>
      <c r="S5672">
        <v>0.19805909999999999</v>
      </c>
      <c r="T5672">
        <v>-0.29530190000000001</v>
      </c>
      <c r="U5672">
        <v>-3.0027159999999999</v>
      </c>
      <c r="V5672">
        <v>-1.8234210000000001E-2</v>
      </c>
      <c r="W5672">
        <v>1.55131E-2</v>
      </c>
      <c r="X5672">
        <v>0.99971339999999997</v>
      </c>
      <c r="Y5672">
        <v>-8.716314E-2</v>
      </c>
      <c r="Z5672">
        <v>9.7546789999999994E-2</v>
      </c>
      <c r="AA5672">
        <v>0.99140669999999997</v>
      </c>
      <c r="AB5672">
        <v>25</v>
      </c>
      <c r="AC5672">
        <v>0.74950000000001105</v>
      </c>
      <c r="AD5672">
        <v>-1.1096069890219999</v>
      </c>
      <c r="AE5672">
        <v>-11.024299999999901</v>
      </c>
      <c r="AF5672">
        <v>-0.97893219073337201</v>
      </c>
      <c r="AG5672">
        <v>-1.1096069890219999</v>
      </c>
      <c r="AH5672">
        <v>10.895546327059201</v>
      </c>
      <c r="AI5672">
        <v>95.791807536395794</v>
      </c>
      <c r="AJ5672">
        <v>95.134068829098496</v>
      </c>
      <c r="AK5672">
        <v>10.995565727566399</v>
      </c>
      <c r="AL5672">
        <v>89.111129199382603</v>
      </c>
      <c r="AM5672">
        <v>91.044926920883896</v>
      </c>
      <c r="AN5672">
        <v>1.0000000124127399</v>
      </c>
    </row>
    <row r="5673" spans="1:40" x14ac:dyDescent="0.25">
      <c r="A5673" t="str">
        <f>"20190312160801349"</f>
        <v>20190312160801349</v>
      </c>
      <c r="B5673" t="str">
        <f>"1552378081340905"</f>
        <v>1552378081340905</v>
      </c>
      <c r="C5673" t="s">
        <v>40</v>
      </c>
      <c r="D5673">
        <v>5.7416539999999996</v>
      </c>
      <c r="E5673">
        <v>0.47324569999999999</v>
      </c>
      <c r="F5673" t="s">
        <v>47</v>
      </c>
      <c r="G5673">
        <v>-421.20170000000002</v>
      </c>
      <c r="H5673" s="1">
        <v>-2.9343130000000002E-6</v>
      </c>
      <c r="I5673">
        <v>45.683750000000003</v>
      </c>
      <c r="J5673">
        <v>-421.9409</v>
      </c>
      <c r="K5673">
        <v>1.1096010000000001</v>
      </c>
      <c r="L5673">
        <v>56.608759999999997</v>
      </c>
      <c r="M5673">
        <v>-2.141154E-2</v>
      </c>
      <c r="N5673">
        <v>0</v>
      </c>
      <c r="O5673">
        <v>-0.9997241</v>
      </c>
      <c r="P5673">
        <v>-3.458198E-3</v>
      </c>
      <c r="Q5673">
        <v>5.8975919999999897E-3</v>
      </c>
      <c r="R5673">
        <v>-0.99997689999999995</v>
      </c>
      <c r="S5673">
        <v>0.19757079999999999</v>
      </c>
      <c r="T5673">
        <v>-0.2984986</v>
      </c>
      <c r="U5673">
        <v>-3.0025019999999998</v>
      </c>
      <c r="V5673">
        <v>-1.7961999999999999E-2</v>
      </c>
      <c r="W5673">
        <v>1.555601E-2</v>
      </c>
      <c r="X5673">
        <v>0.99971770000000004</v>
      </c>
      <c r="Y5673">
        <v>-8.6691080000000004E-2</v>
      </c>
      <c r="Z5673">
        <v>9.8602980000000007E-2</v>
      </c>
      <c r="AA5673">
        <v>0.99134359999999999</v>
      </c>
      <c r="AB5673">
        <v>25</v>
      </c>
      <c r="AC5673">
        <v>0.73919999999998198</v>
      </c>
      <c r="AD5673">
        <v>-1.109603934313</v>
      </c>
      <c r="AE5673">
        <v>-10.925009999999901</v>
      </c>
      <c r="AF5673">
        <v>-0.96307336319103898</v>
      </c>
      <c r="AG5673">
        <v>-1.109603934313</v>
      </c>
      <c r="AH5673">
        <v>10.795819740084299</v>
      </c>
      <c r="AI5673">
        <v>95.845254186950299</v>
      </c>
      <c r="AJ5673">
        <v>95.097747083435394</v>
      </c>
      <c r="AK5673">
        <v>10.895340979259201</v>
      </c>
      <c r="AL5673">
        <v>89.108670375464499</v>
      </c>
      <c r="AM5673">
        <v>91.029326650398104</v>
      </c>
      <c r="AN5673">
        <v>1.0000000512922</v>
      </c>
    </row>
    <row r="5674" spans="1:40" x14ac:dyDescent="0.25">
      <c r="A5674" t="str">
        <f>"20190312160801372"</f>
        <v>20190312160801372</v>
      </c>
      <c r="B5674" t="str">
        <f>"1552378081361401"</f>
        <v>1552378081361401</v>
      </c>
      <c r="C5674" t="s">
        <v>40</v>
      </c>
      <c r="D5674">
        <v>5.6652430000000003</v>
      </c>
      <c r="E5674">
        <v>0.47329529999999997</v>
      </c>
      <c r="F5674" t="s">
        <v>47</v>
      </c>
      <c r="G5674">
        <v>-421.2072</v>
      </c>
      <c r="H5674" s="1">
        <v>-2.8408960000000001E-6</v>
      </c>
      <c r="I5674">
        <v>45.46255</v>
      </c>
      <c r="J5674">
        <v>-421.94580000000002</v>
      </c>
      <c r="K5674">
        <v>1.1096010000000001</v>
      </c>
      <c r="L5674">
        <v>56.364289999999997</v>
      </c>
      <c r="M5674">
        <v>-2.109024E-2</v>
      </c>
      <c r="N5674">
        <v>0</v>
      </c>
      <c r="O5674">
        <v>-0.99973100000000004</v>
      </c>
      <c r="P5674">
        <v>-3.1371419999999999E-3</v>
      </c>
      <c r="Q5674">
        <v>6.0063299999999998E-3</v>
      </c>
      <c r="R5674">
        <v>-0.99997740000000002</v>
      </c>
      <c r="S5674">
        <v>0.1976318</v>
      </c>
      <c r="T5674">
        <v>-0.29889880000000002</v>
      </c>
      <c r="U5674">
        <v>-3.0025019999999998</v>
      </c>
      <c r="V5674">
        <v>-1.7961970000000001E-2</v>
      </c>
      <c r="W5674">
        <v>1.56671E-2</v>
      </c>
      <c r="X5674">
        <v>0.99971589999999999</v>
      </c>
      <c r="Y5674">
        <v>-8.6390120000000001E-2</v>
      </c>
      <c r="Z5674">
        <v>9.8736130000000005E-2</v>
      </c>
      <c r="AA5674">
        <v>0.99135660000000003</v>
      </c>
      <c r="AB5674">
        <v>25</v>
      </c>
      <c r="AC5674">
        <v>0.73860000000001902</v>
      </c>
      <c r="AD5674">
        <v>-1.1096038408960001</v>
      </c>
      <c r="AE5674">
        <v>-10.90174</v>
      </c>
      <c r="AF5674">
        <v>-0.95848256698286505</v>
      </c>
      <c r="AG5674">
        <v>-1.1096038408960001</v>
      </c>
      <c r="AH5674">
        <v>10.7726462794794</v>
      </c>
      <c r="AI5674">
        <v>95.857860755030103</v>
      </c>
      <c r="AJ5674">
        <v>95.084430994646993</v>
      </c>
      <c r="AK5674">
        <v>10.871973941181199</v>
      </c>
      <c r="AL5674">
        <v>89.102304552839797</v>
      </c>
      <c r="AM5674">
        <v>91.029326784506793</v>
      </c>
      <c r="AN5674">
        <v>0.99999998555074998</v>
      </c>
    </row>
    <row r="5675" spans="1:40" x14ac:dyDescent="0.25">
      <c r="A5675" t="str">
        <f>"20190312160801394"</f>
        <v>20190312160801394</v>
      </c>
      <c r="B5675" t="str">
        <f>"1552378081380921"</f>
        <v>1552378081380921</v>
      </c>
      <c r="C5675" t="s">
        <v>40</v>
      </c>
      <c r="D5675">
        <v>5.7453580000000004</v>
      </c>
      <c r="E5675">
        <v>0.47327550000000002</v>
      </c>
      <c r="F5675" t="s">
        <v>47</v>
      </c>
      <c r="G5675">
        <v>-421.21089999999998</v>
      </c>
      <c r="H5675" s="1">
        <v>-2.7415130000000001E-6</v>
      </c>
      <c r="I5675">
        <v>45.228610000000003</v>
      </c>
      <c r="J5675">
        <v>-421.95060000000001</v>
      </c>
      <c r="K5675">
        <v>1.109599</v>
      </c>
      <c r="L5675">
        <v>56.115600000000001</v>
      </c>
      <c r="M5675">
        <v>-2.076341E-2</v>
      </c>
      <c r="N5675">
        <v>0</v>
      </c>
      <c r="O5675">
        <v>-0.99973769999999995</v>
      </c>
      <c r="P5675">
        <v>-2.5623019999999998E-3</v>
      </c>
      <c r="Q5675">
        <v>6.2085559999999996E-3</v>
      </c>
      <c r="R5675">
        <v>-0.99997760000000002</v>
      </c>
      <c r="S5675">
        <v>0.19815060000000001</v>
      </c>
      <c r="T5675">
        <v>-0.29917850000000001</v>
      </c>
      <c r="U5675">
        <v>-3.002472</v>
      </c>
      <c r="V5675">
        <v>-1.8210279999999999E-2</v>
      </c>
      <c r="W5675">
        <v>1.5871639999999999E-2</v>
      </c>
      <c r="X5675">
        <v>0.99970820000000005</v>
      </c>
      <c r="Y5675">
        <v>-8.6235049999999994E-2</v>
      </c>
      <c r="Z5675">
        <v>9.8829719999999996E-2</v>
      </c>
      <c r="AA5675">
        <v>0.99136080000000004</v>
      </c>
      <c r="AB5675">
        <v>25</v>
      </c>
      <c r="AC5675">
        <v>0.739700000000027</v>
      </c>
      <c r="AD5675">
        <v>-1.109601741513</v>
      </c>
      <c r="AE5675">
        <v>-10.886990000000001</v>
      </c>
      <c r="AF5675">
        <v>-0.955720018239267</v>
      </c>
      <c r="AG5675">
        <v>-1.109601741513</v>
      </c>
      <c r="AH5675">
        <v>10.758045680390101</v>
      </c>
      <c r="AI5675">
        <v>95.865814401583904</v>
      </c>
      <c r="AJ5675">
        <v>95.0766978443163</v>
      </c>
      <c r="AK5675">
        <v>10.857263174455699</v>
      </c>
      <c r="AL5675">
        <v>89.090583833464095</v>
      </c>
      <c r="AM5675">
        <v>91.0435613221983</v>
      </c>
      <c r="AN5675">
        <v>1.0000000042006001</v>
      </c>
    </row>
    <row r="5676" spans="1:40" x14ac:dyDescent="0.25">
      <c r="A5676" t="str">
        <f>"20190312160801416"</f>
        <v>20190312160801416</v>
      </c>
      <c r="B5676" t="str">
        <f>"1552378081411177"</f>
        <v>1552378081411177</v>
      </c>
      <c r="C5676" t="s">
        <v>40</v>
      </c>
      <c r="D5676">
        <v>5.7257360000000004</v>
      </c>
      <c r="E5676">
        <v>0.4733386</v>
      </c>
      <c r="F5676" t="s">
        <v>47</v>
      </c>
      <c r="G5676">
        <v>-421.20909999999998</v>
      </c>
      <c r="H5676" s="1">
        <v>-2.6329210000000002E-6</v>
      </c>
      <c r="I5676">
        <v>44.976559999999999</v>
      </c>
      <c r="J5676">
        <v>-421.9554</v>
      </c>
      <c r="K5676">
        <v>1.109599</v>
      </c>
      <c r="L5676">
        <v>55.8686199999999</v>
      </c>
      <c r="M5676">
        <v>-2.0438729999999999E-2</v>
      </c>
      <c r="N5676">
        <v>0</v>
      </c>
      <c r="O5676">
        <v>-0.99974439999999998</v>
      </c>
      <c r="P5676">
        <v>-1.8921330000000001E-3</v>
      </c>
      <c r="Q5676">
        <v>6.1098699999999999E-3</v>
      </c>
      <c r="R5676">
        <v>-0.99997959999999997</v>
      </c>
      <c r="S5676">
        <v>0.1998596</v>
      </c>
      <c r="T5676">
        <v>-0.29908449999999998</v>
      </c>
      <c r="U5676">
        <v>-3.0024410000000001</v>
      </c>
      <c r="V5676">
        <v>-1.8554959999999999E-2</v>
      </c>
      <c r="W5676">
        <v>1.577485E-2</v>
      </c>
      <c r="X5676">
        <v>0.99970340000000002</v>
      </c>
      <c r="Y5676">
        <v>-8.6474179999999998E-2</v>
      </c>
      <c r="Z5676">
        <v>9.8798120000000003E-2</v>
      </c>
      <c r="AA5676">
        <v>0.99134310000000003</v>
      </c>
      <c r="AB5676">
        <v>25</v>
      </c>
      <c r="AC5676">
        <v>0.74630000000001895</v>
      </c>
      <c r="AD5676">
        <v>-1.1096016329209999</v>
      </c>
      <c r="AE5676">
        <v>-10.892059999999899</v>
      </c>
      <c r="AF5676">
        <v>-0.95886969771158603</v>
      </c>
      <c r="AG5676">
        <v>-1.1096016329209999</v>
      </c>
      <c r="AH5676">
        <v>10.7633501702046</v>
      </c>
      <c r="AI5676">
        <v>95.8628152550165</v>
      </c>
      <c r="AJ5676">
        <v>95.090843843348793</v>
      </c>
      <c r="AK5676">
        <v>10.8627967746531</v>
      </c>
      <c r="AL5676">
        <v>89.096130191745004</v>
      </c>
      <c r="AM5676">
        <v>91.063314222781102</v>
      </c>
      <c r="AN5676">
        <v>1.0000000102023401</v>
      </c>
    </row>
    <row r="5677" spans="1:40" x14ac:dyDescent="0.25">
      <c r="A5677" t="str">
        <f>"20190312160801438"</f>
        <v>20190312160801438</v>
      </c>
      <c r="B5677" t="str">
        <f>"1552378081431676"</f>
        <v>1552378081431676</v>
      </c>
      <c r="C5677" t="s">
        <v>40</v>
      </c>
      <c r="D5677">
        <v>5.923127</v>
      </c>
      <c r="E5677">
        <v>0.47330810000000001</v>
      </c>
      <c r="F5677" t="s">
        <v>47</v>
      </c>
      <c r="G5677">
        <v>-421.2106</v>
      </c>
      <c r="H5677" s="1">
        <v>-2.539125E-6</v>
      </c>
      <c r="I5677">
        <v>44.75705</v>
      </c>
      <c r="J5677">
        <v>-421.96010000000001</v>
      </c>
      <c r="K5677">
        <v>1.1096010000000001</v>
      </c>
      <c r="L5677">
        <v>55.620910000000002</v>
      </c>
      <c r="M5677">
        <v>-2.0112620000000001E-2</v>
      </c>
      <c r="N5677">
        <v>0</v>
      </c>
      <c r="O5677">
        <v>-0.99975099999999995</v>
      </c>
      <c r="P5677">
        <v>-1.3024390000000001E-3</v>
      </c>
      <c r="Q5677">
        <v>5.8606200000000004E-3</v>
      </c>
      <c r="R5677">
        <v>-0.99998220000000004</v>
      </c>
      <c r="S5677">
        <v>0.20126340000000001</v>
      </c>
      <c r="T5677">
        <v>-0.29980849999999998</v>
      </c>
      <c r="U5677">
        <v>-3.0022890000000002</v>
      </c>
      <c r="V5677">
        <v>-1.8818640000000001E-2</v>
      </c>
      <c r="W5677">
        <v>1.552836E-2</v>
      </c>
      <c r="X5677">
        <v>0.99970230000000004</v>
      </c>
      <c r="Y5677">
        <v>-8.6612439999999999E-2</v>
      </c>
      <c r="Z5677">
        <v>9.903874E-2</v>
      </c>
      <c r="AA5677">
        <v>0.99130700000000005</v>
      </c>
      <c r="AB5677">
        <v>25</v>
      </c>
      <c r="AC5677">
        <v>0.74950000000001105</v>
      </c>
      <c r="AD5677">
        <v>-1.1096035391249901</v>
      </c>
      <c r="AE5677">
        <v>-10.863859999999899</v>
      </c>
      <c r="AF5677">
        <v>-0.95791366009952705</v>
      </c>
      <c r="AG5677">
        <v>-1.1096035391249901</v>
      </c>
      <c r="AH5677">
        <v>10.7351288471327</v>
      </c>
      <c r="AI5677">
        <v>95.878055179045603</v>
      </c>
      <c r="AJ5677">
        <v>95.099094199857404</v>
      </c>
      <c r="AK5677">
        <v>10.8347501105833</v>
      </c>
      <c r="AL5677">
        <v>89.110254731538703</v>
      </c>
      <c r="AM5677">
        <v>91.078422364033997</v>
      </c>
      <c r="AN5677">
        <v>0.99999997990051404</v>
      </c>
    </row>
    <row r="5678" spans="1:40" x14ac:dyDescent="0.25">
      <c r="A5678" t="str">
        <f>"20190312160801459"</f>
        <v>20190312160801459</v>
      </c>
      <c r="B5678" t="str">
        <f>"1552378081451193"</f>
        <v>1552378081451193</v>
      </c>
      <c r="C5678" t="s">
        <v>40</v>
      </c>
      <c r="D5678">
        <v>5.7614979999999996</v>
      </c>
      <c r="E5678">
        <v>0.46967569999999997</v>
      </c>
      <c r="F5678" t="s">
        <v>47</v>
      </c>
      <c r="G5678">
        <v>-421.20650000000001</v>
      </c>
      <c r="H5678" s="1">
        <v>-2.4357919999999998E-6</v>
      </c>
      <c r="I5678">
        <v>44.518659999999997</v>
      </c>
      <c r="J5678">
        <v>-421.96460000000002</v>
      </c>
      <c r="K5678">
        <v>1.1095950000000001</v>
      </c>
      <c r="L5678">
        <v>55.377200000000002</v>
      </c>
      <c r="M5678">
        <v>-1.9792299999999999E-2</v>
      </c>
      <c r="N5678">
        <v>0</v>
      </c>
      <c r="O5678">
        <v>-0.99975749999999997</v>
      </c>
      <c r="P5678">
        <v>-7.8903229999999897E-4</v>
      </c>
      <c r="Q5678">
        <v>5.9190969999999999E-3</v>
      </c>
      <c r="R5678">
        <v>-0.99998260000000005</v>
      </c>
      <c r="S5678">
        <v>0.2037659</v>
      </c>
      <c r="T5678">
        <v>-0.30003950000000001</v>
      </c>
      <c r="U5678">
        <v>-3.002075</v>
      </c>
      <c r="V5678">
        <v>-1.901168E-2</v>
      </c>
      <c r="W5678">
        <v>1.5588909999999999E-2</v>
      </c>
      <c r="X5678">
        <v>0.99969770000000002</v>
      </c>
      <c r="Y5678">
        <v>-8.7120009999999998E-2</v>
      </c>
      <c r="Z5678">
        <v>9.9117300000000005E-2</v>
      </c>
      <c r="AA5678">
        <v>0.99125469999999904</v>
      </c>
      <c r="AB5678">
        <v>25</v>
      </c>
      <c r="AC5678">
        <v>0.75810000000001299</v>
      </c>
      <c r="AD5678">
        <v>-1.109597435792</v>
      </c>
      <c r="AE5678">
        <v>-10.85854</v>
      </c>
      <c r="AF5678">
        <v>-0.96287134942574404</v>
      </c>
      <c r="AG5678">
        <v>-1.109597435792</v>
      </c>
      <c r="AH5678">
        <v>10.729908176168999</v>
      </c>
      <c r="AI5678">
        <v>95.880600976888999</v>
      </c>
      <c r="AJ5678">
        <v>95.127824860163699</v>
      </c>
      <c r="AK5678">
        <v>10.830016490018799</v>
      </c>
      <c r="AL5678">
        <v>89.106785047427607</v>
      </c>
      <c r="AM5678">
        <v>91.089487087519501</v>
      </c>
      <c r="AN5678">
        <v>0.99999997473834901</v>
      </c>
    </row>
    <row r="5679" spans="1:40" x14ac:dyDescent="0.25">
      <c r="A5679" t="str">
        <f>"20190312160801482"</f>
        <v>20190312160801482</v>
      </c>
      <c r="B5679" t="str">
        <f>"1552378081471689"</f>
        <v>1552378081471689</v>
      </c>
      <c r="C5679" t="s">
        <v>40</v>
      </c>
      <c r="D5679">
        <v>5.7678260000000003</v>
      </c>
      <c r="E5679">
        <v>0.46968460000000001</v>
      </c>
      <c r="F5679" t="s">
        <v>82</v>
      </c>
      <c r="G5679">
        <v>-420.49329999999998</v>
      </c>
      <c r="H5679" s="1">
        <v>-1.9826049999999998E-6</v>
      </c>
      <c r="I5679">
        <v>36.612020000000001</v>
      </c>
      <c r="J5679">
        <v>-421.9692</v>
      </c>
      <c r="K5679">
        <v>1.1095969999999999</v>
      </c>
      <c r="L5679">
        <v>55.128909999999998</v>
      </c>
      <c r="M5679">
        <v>-1.9466250000000001E-2</v>
      </c>
      <c r="N5679">
        <v>0</v>
      </c>
      <c r="O5679">
        <v>-0.99976370000000003</v>
      </c>
      <c r="P5679">
        <v>-4.1929670000000001E-4</v>
      </c>
      <c r="Q5679">
        <v>6.1904430000000003E-3</v>
      </c>
      <c r="R5679">
        <v>-0.9999808</v>
      </c>
      <c r="S5679">
        <v>0.235321</v>
      </c>
      <c r="T5679">
        <v>-0.17746770000000001</v>
      </c>
      <c r="U5679">
        <v>-3.0012819999999998</v>
      </c>
      <c r="V5679">
        <v>-1.905546E-2</v>
      </c>
      <c r="W5679">
        <v>1.5863530000000001E-2</v>
      </c>
      <c r="X5679">
        <v>0.99969260000000004</v>
      </c>
      <c r="Y5679">
        <v>-9.7424469999999999E-2</v>
      </c>
      <c r="Z5679">
        <v>5.8780430000000002E-2</v>
      </c>
      <c r="AA5679">
        <v>0.99350559999999999</v>
      </c>
      <c r="AB5679">
        <v>25</v>
      </c>
      <c r="AC5679">
        <v>1.47590000000002</v>
      </c>
      <c r="AD5679">
        <v>-1.1095989826049999</v>
      </c>
      <c r="AE5679">
        <v>-18.51689</v>
      </c>
      <c r="AF5679">
        <v>-1.82956339921249</v>
      </c>
      <c r="AG5679">
        <v>-1.1095989826049999</v>
      </c>
      <c r="AH5679">
        <v>18.4189275237405</v>
      </c>
      <c r="AI5679">
        <v>93.430622368586697</v>
      </c>
      <c r="AJ5679">
        <v>95.672617424823599</v>
      </c>
      <c r="AK5679">
        <v>18.5427992293165</v>
      </c>
      <c r="AL5679">
        <v>89.091048582664996</v>
      </c>
      <c r="AM5679">
        <v>91.092000915573905</v>
      </c>
      <c r="AN5679">
        <v>1.0000000283173101</v>
      </c>
    </row>
    <row r="5680" spans="1:40" x14ac:dyDescent="0.25">
      <c r="A5680" t="str">
        <f>"20190312160801504"</f>
        <v>20190312160801504</v>
      </c>
      <c r="B5680" t="str">
        <f>"1552378081491210"</f>
        <v>1552378081491210</v>
      </c>
      <c r="C5680" t="s">
        <v>40</v>
      </c>
      <c r="D5680">
        <v>5.7392339999999997</v>
      </c>
      <c r="E5680">
        <v>0.46968729999999997</v>
      </c>
      <c r="F5680" t="s">
        <v>82</v>
      </c>
      <c r="G5680">
        <v>-420.47910000000002</v>
      </c>
      <c r="H5680" s="1">
        <v>-2.2126159999999998E-6</v>
      </c>
      <c r="I5680">
        <v>36.247050000000002</v>
      </c>
      <c r="J5680">
        <v>-421.97370000000001</v>
      </c>
      <c r="K5680">
        <v>1.1095980000000001</v>
      </c>
      <c r="L5680">
        <v>54.880830000000003</v>
      </c>
      <c r="M5680">
        <v>-1.9140790000000001E-2</v>
      </c>
      <c r="N5680">
        <v>0</v>
      </c>
      <c r="O5680">
        <v>-0.99976989999999999</v>
      </c>
      <c r="P5680">
        <v>-4.0642260000000002E-4</v>
      </c>
      <c r="Q5680">
        <v>6.4348419999999996E-3</v>
      </c>
      <c r="R5680">
        <v>-0.99997930000000002</v>
      </c>
      <c r="S5680">
        <v>0.2368469</v>
      </c>
      <c r="T5680">
        <v>-0.17636949999999901</v>
      </c>
      <c r="U5680">
        <v>-3.0012509999999999</v>
      </c>
      <c r="V5680">
        <v>-1.874315E-2</v>
      </c>
      <c r="W5680">
        <v>1.61105E-2</v>
      </c>
      <c r="X5680">
        <v>0.99969450000000004</v>
      </c>
      <c r="Y5680">
        <v>-9.7604979999999994E-2</v>
      </c>
      <c r="Z5680">
        <v>5.8417440000000001E-2</v>
      </c>
      <c r="AA5680">
        <v>0.99350930000000004</v>
      </c>
      <c r="AB5680">
        <v>25</v>
      </c>
      <c r="AC5680">
        <v>1.4945999999999899</v>
      </c>
      <c r="AD5680">
        <v>-1.1096002126159901</v>
      </c>
      <c r="AE5680">
        <v>-18.633779999999899</v>
      </c>
      <c r="AF5680">
        <v>-1.84450944904394</v>
      </c>
      <c r="AG5680">
        <v>-1.1096002126159901</v>
      </c>
      <c r="AH5680">
        <v>18.536447844667801</v>
      </c>
      <c r="AI5680">
        <v>93.408868477768294</v>
      </c>
      <c r="AJ5680">
        <v>95.682634216910202</v>
      </c>
      <c r="AK5680">
        <v>18.661010863228601</v>
      </c>
      <c r="AL5680">
        <v>89.076896385203796</v>
      </c>
      <c r="AM5680">
        <v>91.074105722622406</v>
      </c>
      <c r="AN5680">
        <v>0.99999997360621096</v>
      </c>
    </row>
    <row r="5681" spans="1:40" x14ac:dyDescent="0.25">
      <c r="A5681" t="str">
        <f>"20190312160801527"</f>
        <v>20190312160801527</v>
      </c>
      <c r="B5681" t="str">
        <f>"1552378081521465"</f>
        <v>1552378081521465</v>
      </c>
      <c r="C5681" t="s">
        <v>40</v>
      </c>
      <c r="D5681">
        <v>5.7538489999999998</v>
      </c>
      <c r="E5681">
        <v>0.46946690000000002</v>
      </c>
      <c r="F5681" t="s">
        <v>82</v>
      </c>
      <c r="G5681">
        <v>-420.45069999999998</v>
      </c>
      <c r="H5681" s="1">
        <v>-2.5888090000000001E-6</v>
      </c>
      <c r="I5681">
        <v>35.648989999999998</v>
      </c>
      <c r="J5681">
        <v>-421.97809999999998</v>
      </c>
      <c r="K5681">
        <v>1.109602</v>
      </c>
      <c r="L5681">
        <v>54.63165</v>
      </c>
      <c r="M5681">
        <v>-1.881418E-2</v>
      </c>
      <c r="N5681">
        <v>0</v>
      </c>
      <c r="O5681">
        <v>-0.99977629999999995</v>
      </c>
      <c r="P5681">
        <v>-3.4837629999999898E-4</v>
      </c>
      <c r="Q5681">
        <v>7.0607380000000004E-3</v>
      </c>
      <c r="R5681">
        <v>-0.99997550000000002</v>
      </c>
      <c r="S5681">
        <v>0.23767089999999999</v>
      </c>
      <c r="T5681">
        <v>-0.17316199999999901</v>
      </c>
      <c r="U5681">
        <v>-3.0012819999999998</v>
      </c>
      <c r="V5681">
        <v>-1.8474580000000001E-2</v>
      </c>
      <c r="W5681">
        <v>1.6742699999999999E-2</v>
      </c>
      <c r="X5681">
        <v>0.99968919999999994</v>
      </c>
      <c r="Y5681">
        <v>-9.7554970000000005E-2</v>
      </c>
      <c r="Z5681">
        <v>5.7358039999999999E-2</v>
      </c>
      <c r="AA5681">
        <v>0.99357589999999996</v>
      </c>
      <c r="AB5681">
        <v>25</v>
      </c>
      <c r="AC5681">
        <v>1.5274000000000001</v>
      </c>
      <c r="AD5681">
        <v>-1.109604588809</v>
      </c>
      <c r="AE5681">
        <v>-18.982659999999999</v>
      </c>
      <c r="AF5681">
        <v>-1.8779142553625301</v>
      </c>
      <c r="AG5681">
        <v>-1.109604588809</v>
      </c>
      <c r="AH5681">
        <v>18.8864450783562</v>
      </c>
      <c r="AI5681">
        <v>93.345879272367995</v>
      </c>
      <c r="AJ5681">
        <v>95.678361277795105</v>
      </c>
      <c r="AK5681">
        <v>19.011985482630799</v>
      </c>
      <c r="AL5681">
        <v>89.040669188989796</v>
      </c>
      <c r="AM5681">
        <v>91.058724036159504</v>
      </c>
      <c r="AN5681">
        <v>1.0000000623530501</v>
      </c>
    </row>
    <row r="5682" spans="1:40" x14ac:dyDescent="0.25">
      <c r="A5682" t="str">
        <f>"20190312160801573"</f>
        <v>20190312160801573</v>
      </c>
      <c r="B5682" t="str">
        <f>"1552378081561481"</f>
        <v>1552378081561481</v>
      </c>
      <c r="C5682" t="s">
        <v>40</v>
      </c>
      <c r="D5682">
        <v>5.7614970000000003</v>
      </c>
      <c r="E5682">
        <v>0.46980899999999998</v>
      </c>
      <c r="F5682" t="s">
        <v>82</v>
      </c>
      <c r="G5682">
        <v>-420.43900000000002</v>
      </c>
      <c r="H5682" s="1">
        <v>-2.8002809999999998E-6</v>
      </c>
      <c r="I5682">
        <v>35.31371</v>
      </c>
      <c r="J5682">
        <v>-421.98689999999999</v>
      </c>
      <c r="K5682">
        <v>1.10961</v>
      </c>
      <c r="L5682">
        <v>54.124630000000003</v>
      </c>
      <c r="M5682">
        <v>-1.8150369999999999E-2</v>
      </c>
      <c r="N5682">
        <v>0</v>
      </c>
      <c r="O5682">
        <v>-0.99978800000000001</v>
      </c>
      <c r="P5682">
        <v>3.2585650000000003E-4</v>
      </c>
      <c r="Q5682">
        <v>7.2713279999999996E-3</v>
      </c>
      <c r="R5682">
        <v>-0.99997369999999997</v>
      </c>
      <c r="S5682">
        <v>0.23913570000000001</v>
      </c>
      <c r="T5682">
        <v>-0.1723962</v>
      </c>
      <c r="U5682">
        <v>-3.0013730000000001</v>
      </c>
      <c r="V5682">
        <v>-1.848499E-2</v>
      </c>
      <c r="W5682">
        <v>1.6994909999999998E-2</v>
      </c>
      <c r="X5682">
        <v>0.99968469999999998</v>
      </c>
      <c r="Y5682">
        <v>-9.7374849999999999E-2</v>
      </c>
      <c r="Z5682">
        <v>5.7103939999999999E-2</v>
      </c>
      <c r="AA5682">
        <v>0.99360820000000005</v>
      </c>
      <c r="AB5682">
        <v>25</v>
      </c>
      <c r="AC5682">
        <v>1.5478999999999601</v>
      </c>
      <c r="AD5682">
        <v>-1.109612800281</v>
      </c>
      <c r="AE5682">
        <v>-18.810919999999999</v>
      </c>
      <c r="AF5682">
        <v>-1.8825798123712101</v>
      </c>
      <c r="AG5682">
        <v>-1.109612800281</v>
      </c>
      <c r="AH5682">
        <v>18.715042752794101</v>
      </c>
      <c r="AI5682">
        <v>93.376090069920707</v>
      </c>
      <c r="AJ5682">
        <v>95.744163013338493</v>
      </c>
      <c r="AK5682">
        <v>18.842191288579102</v>
      </c>
      <c r="AL5682">
        <v>89.0262165144769</v>
      </c>
      <c r="AM5682">
        <v>91.059325234208103</v>
      </c>
      <c r="AN5682">
        <v>1.0000000106176401</v>
      </c>
    </row>
    <row r="5683" spans="1:40" x14ac:dyDescent="0.25">
      <c r="A5683" t="str">
        <f>"20190312160801595"</f>
        <v>20190312160801595</v>
      </c>
      <c r="B5683" t="str">
        <f>"1552378081581001"</f>
        <v>1552378081581001</v>
      </c>
      <c r="C5683" t="s">
        <v>40</v>
      </c>
      <c r="D5683">
        <v>5.7346130000000004</v>
      </c>
      <c r="E5683">
        <v>0.4698253</v>
      </c>
      <c r="F5683" t="s">
        <v>82</v>
      </c>
      <c r="G5683">
        <v>-420.83589999999998</v>
      </c>
      <c r="H5683" s="1">
        <v>-2.4466290000000001E-7</v>
      </c>
      <c r="I5683">
        <v>39.583390000000001</v>
      </c>
      <c r="J5683">
        <v>-421.99110000000002</v>
      </c>
      <c r="K5683">
        <v>1.1096159999999999</v>
      </c>
      <c r="L5683">
        <v>53.875369999999997</v>
      </c>
      <c r="M5683">
        <v>-1.782425E-2</v>
      </c>
      <c r="N5683">
        <v>0</v>
      </c>
      <c r="O5683">
        <v>-0.9997935</v>
      </c>
      <c r="P5683">
        <v>4.6634070000000001E-4</v>
      </c>
      <c r="Q5683">
        <v>7.1640260000000004E-3</v>
      </c>
      <c r="R5683">
        <v>-0.99997440000000004</v>
      </c>
      <c r="S5683">
        <v>0.23757929999999999</v>
      </c>
      <c r="T5683">
        <v>-0.229049</v>
      </c>
      <c r="U5683">
        <v>-3.0016479999999999</v>
      </c>
      <c r="V5683">
        <v>-1.8299099999999999E-2</v>
      </c>
      <c r="W5683">
        <v>1.6924829999999998E-2</v>
      </c>
      <c r="X5683">
        <v>0.9996893</v>
      </c>
      <c r="Y5683">
        <v>-9.6432870000000004E-2</v>
      </c>
      <c r="Z5683">
        <v>7.5773240000000006E-2</v>
      </c>
      <c r="AA5683">
        <v>0.99245110000000003</v>
      </c>
      <c r="AB5683">
        <v>25</v>
      </c>
      <c r="AC5683">
        <v>1.15520000000003</v>
      </c>
      <c r="AD5683">
        <v>-1.1096162446629001</v>
      </c>
      <c r="AE5683">
        <v>-14.291979999999899</v>
      </c>
      <c r="AF5683">
        <v>-1.40137997347176</v>
      </c>
      <c r="AG5683">
        <v>-1.1096162446629001</v>
      </c>
      <c r="AH5683">
        <v>14.184172958781099</v>
      </c>
      <c r="AI5683">
        <v>94.451506433689403</v>
      </c>
      <c r="AJ5683">
        <v>95.642445621660301</v>
      </c>
      <c r="AK5683">
        <v>14.2963588568938</v>
      </c>
      <c r="AL5683">
        <v>89.030232371644104</v>
      </c>
      <c r="AM5683">
        <v>91.048669943208395</v>
      </c>
      <c r="AN5683">
        <v>1.00000000173291</v>
      </c>
    </row>
    <row r="5684" spans="1:40" x14ac:dyDescent="0.25">
      <c r="A5684" t="str">
        <f>"20190312160801617"</f>
        <v>20190312160801617</v>
      </c>
      <c r="B5684" t="str">
        <f>"1552378081611257"</f>
        <v>1552378081611257</v>
      </c>
      <c r="C5684" t="s">
        <v>40</v>
      </c>
      <c r="D5684">
        <v>5.7443119999999999</v>
      </c>
      <c r="E5684">
        <v>0.46980830000000001</v>
      </c>
      <c r="F5684" t="s">
        <v>47</v>
      </c>
      <c r="G5684">
        <v>-420.87</v>
      </c>
      <c r="H5684" s="1">
        <v>-2.9744710000000002E-7</v>
      </c>
      <c r="I5684">
        <v>39.742840000000001</v>
      </c>
      <c r="J5684">
        <v>-421.99520000000001</v>
      </c>
      <c r="K5684">
        <v>1.1096220000000001</v>
      </c>
      <c r="L5684">
        <v>53.625639999999997</v>
      </c>
      <c r="M5684">
        <v>-1.7497229999999999E-2</v>
      </c>
      <c r="N5684">
        <v>0</v>
      </c>
      <c r="O5684">
        <v>-0.99979899999999999</v>
      </c>
      <c r="P5684">
        <v>4.3006309999999999E-4</v>
      </c>
      <c r="Q5684">
        <v>7.107029E-3</v>
      </c>
      <c r="R5684">
        <v>-0.9999749</v>
      </c>
      <c r="S5684">
        <v>0.23809810000000001</v>
      </c>
      <c r="T5684">
        <v>-0.23567460000000001</v>
      </c>
      <c r="U5684">
        <v>-3.0016479999999999</v>
      </c>
      <c r="V5684">
        <v>-1.7936339999999999E-2</v>
      </c>
      <c r="W5684">
        <v>1.691434E-2</v>
      </c>
      <c r="X5684">
        <v>0.99969609999999998</v>
      </c>
      <c r="Y5684">
        <v>-9.6264500000000003E-2</v>
      </c>
      <c r="Z5684">
        <v>7.79527E-2</v>
      </c>
      <c r="AA5684">
        <v>0.99229860000000003</v>
      </c>
      <c r="AB5684">
        <v>25</v>
      </c>
      <c r="AC5684">
        <v>1.1252</v>
      </c>
      <c r="AD5684">
        <v>-1.1096222974470999</v>
      </c>
      <c r="AE5684">
        <v>-13.8828</v>
      </c>
      <c r="AF5684">
        <v>-1.35932260503422</v>
      </c>
      <c r="AG5684">
        <v>-1.1096222974470999</v>
      </c>
      <c r="AH5684">
        <v>13.773568035170801</v>
      </c>
      <c r="AI5684">
        <v>94.5837264785755</v>
      </c>
      <c r="AJ5684">
        <v>95.636307012260204</v>
      </c>
      <c r="AK5684">
        <v>13.884890925283701</v>
      </c>
      <c r="AL5684">
        <v>89.030833536981106</v>
      </c>
      <c r="AM5684">
        <v>91.027878703133396</v>
      </c>
      <c r="AN5684">
        <v>1.00000004977271</v>
      </c>
    </row>
    <row r="5685" spans="1:40" x14ac:dyDescent="0.25">
      <c r="A5685" t="str">
        <f>"20190312160801639"</f>
        <v>20190312160801639</v>
      </c>
      <c r="B5685" t="str">
        <f>"1552378081631753"</f>
        <v>1552378081631753</v>
      </c>
      <c r="C5685" t="s">
        <v>40</v>
      </c>
      <c r="D5685">
        <v>5.7733349999999897</v>
      </c>
      <c r="E5685">
        <v>0.46997899999999998</v>
      </c>
      <c r="F5685" t="s">
        <v>47</v>
      </c>
      <c r="G5685">
        <v>-420.89519999999999</v>
      </c>
      <c r="H5685" s="1">
        <v>-3.023325E-7</v>
      </c>
      <c r="I5685">
        <v>39.738630000000001</v>
      </c>
      <c r="J5685">
        <v>-421.99919999999997</v>
      </c>
      <c r="K5685">
        <v>1.1096280000000001</v>
      </c>
      <c r="L5685">
        <v>53.372529999999998</v>
      </c>
      <c r="M5685">
        <v>-1.7166210000000001E-2</v>
      </c>
      <c r="N5685">
        <v>0</v>
      </c>
      <c r="O5685">
        <v>-0.99980420000000003</v>
      </c>
      <c r="P5685">
        <v>3.9583359999999999E-4</v>
      </c>
      <c r="Q5685">
        <v>7.198889E-3</v>
      </c>
      <c r="R5685">
        <v>-0.99997449999999999</v>
      </c>
      <c r="S5685">
        <v>0.23776249999999999</v>
      </c>
      <c r="T5685">
        <v>-0.2398448</v>
      </c>
      <c r="U5685">
        <v>-3.0016780000000001</v>
      </c>
      <c r="V5685">
        <v>-1.7571150000000001E-2</v>
      </c>
      <c r="W5685">
        <v>1.7057369999999999E-2</v>
      </c>
      <c r="X5685">
        <v>0.99970009999999998</v>
      </c>
      <c r="Y5685">
        <v>-9.5815339999999999E-2</v>
      </c>
      <c r="Z5685">
        <v>7.9325370000000006E-2</v>
      </c>
      <c r="AA5685">
        <v>0.99223329999999998</v>
      </c>
      <c r="AB5685">
        <v>25</v>
      </c>
      <c r="AC5685">
        <v>1.1039999999999801</v>
      </c>
      <c r="AD5685">
        <v>-1.1096283023325</v>
      </c>
      <c r="AE5685">
        <v>-13.633900000000001</v>
      </c>
      <c r="AF5685">
        <v>-1.32914424961962</v>
      </c>
      <c r="AG5685">
        <v>-1.1096283023325</v>
      </c>
      <c r="AH5685">
        <v>13.5239405310775</v>
      </c>
      <c r="AI5685">
        <v>94.668174184046805</v>
      </c>
      <c r="AJ5685">
        <v>95.613051329247995</v>
      </c>
      <c r="AK5685">
        <v>13.6343267854982</v>
      </c>
      <c r="AL5685">
        <v>89.022637285606294</v>
      </c>
      <c r="AM5685">
        <v>91.006951067792798</v>
      </c>
      <c r="AN5685">
        <v>0.99999999456182398</v>
      </c>
    </row>
    <row r="5686" spans="1:40" x14ac:dyDescent="0.25">
      <c r="A5686" t="str">
        <f>"20190312160801662"</f>
        <v>20190312160801662</v>
      </c>
      <c r="B5686" t="str">
        <f>"1552378081651273"</f>
        <v>1552378081651273</v>
      </c>
      <c r="C5686" t="s">
        <v>40</v>
      </c>
      <c r="D5686">
        <v>5.7699740000000004</v>
      </c>
      <c r="E5686">
        <v>0.47013480000000002</v>
      </c>
      <c r="F5686" t="s">
        <v>82</v>
      </c>
      <c r="G5686">
        <v>-420.90339999999998</v>
      </c>
      <c r="H5686" s="1">
        <v>-3.1514279999999999E-7</v>
      </c>
      <c r="I5686">
        <v>39.445889999999999</v>
      </c>
      <c r="J5686">
        <v>-422.00319999999999</v>
      </c>
      <c r="K5686">
        <v>1.1096469999999901</v>
      </c>
      <c r="L5686">
        <v>53.121670000000002</v>
      </c>
      <c r="M5686">
        <v>-1.6837999999999999E-2</v>
      </c>
      <c r="N5686">
        <v>0</v>
      </c>
      <c r="O5686">
        <v>-0.99980919999999895</v>
      </c>
      <c r="P5686">
        <v>-1.109599E-4</v>
      </c>
      <c r="Q5686">
        <v>7.2995730000000002E-3</v>
      </c>
      <c r="R5686">
        <v>-0.99997349999999996</v>
      </c>
      <c r="S5686">
        <v>0.23617550000000001</v>
      </c>
      <c r="T5686">
        <v>-0.2391663</v>
      </c>
      <c r="U5686">
        <v>-3.001709</v>
      </c>
      <c r="V5686">
        <v>-1.673641E-2</v>
      </c>
      <c r="W5686">
        <v>1.721375E-2</v>
      </c>
      <c r="X5686">
        <v>0.99971180000000004</v>
      </c>
      <c r="Y5686">
        <v>-9.4967800000000005E-2</v>
      </c>
      <c r="Z5686">
        <v>7.9107079999999996E-2</v>
      </c>
      <c r="AA5686">
        <v>0.9923322</v>
      </c>
      <c r="AB5686">
        <v>25</v>
      </c>
      <c r="AC5686">
        <v>1.0998000000000101</v>
      </c>
      <c r="AD5686">
        <v>-1.1096473151427999</v>
      </c>
      <c r="AE5686">
        <v>-13.6757799999999</v>
      </c>
      <c r="AF5686">
        <v>-1.3212851778199199</v>
      </c>
      <c r="AG5686">
        <v>-1.1096473151427999</v>
      </c>
      <c r="AH5686">
        <v>13.5665782022225</v>
      </c>
      <c r="AI5686">
        <v>94.654045561984802</v>
      </c>
      <c r="AJ5686">
        <v>95.562644965687497</v>
      </c>
      <c r="AK5686">
        <v>13.6758603313337</v>
      </c>
      <c r="AL5686">
        <v>89.013676112314698</v>
      </c>
      <c r="AM5686">
        <v>90.959112502792095</v>
      </c>
      <c r="AN5686">
        <v>1.00000005183399</v>
      </c>
    </row>
    <row r="5687" spans="1:40" x14ac:dyDescent="0.25">
      <c r="A5687" t="str">
        <f>"20190312160801683"</f>
        <v>20190312160801683</v>
      </c>
      <c r="B5687" t="str">
        <f>"1552378081671770"</f>
        <v>1552378081671770</v>
      </c>
      <c r="C5687" t="s">
        <v>40</v>
      </c>
      <c r="D5687">
        <v>5.7557159999999996</v>
      </c>
      <c r="E5687">
        <v>0.47000920000000002</v>
      </c>
      <c r="F5687" t="s">
        <v>82</v>
      </c>
      <c r="G5687">
        <v>-420.916</v>
      </c>
      <c r="H5687" s="1">
        <v>-4.3272410000000002E-7</v>
      </c>
      <c r="I5687">
        <v>39.146819999999998</v>
      </c>
      <c r="J5687">
        <v>-422.00689999999997</v>
      </c>
      <c r="K5687">
        <v>1.1096520000000001</v>
      </c>
      <c r="L5687">
        <v>52.878540000000001</v>
      </c>
      <c r="M5687">
        <v>-1.6519590000000001E-2</v>
      </c>
      <c r="N5687">
        <v>0</v>
      </c>
      <c r="O5687">
        <v>-0.99981399999999998</v>
      </c>
      <c r="P5687">
        <v>-5.9924019999999998E-4</v>
      </c>
      <c r="Q5687">
        <v>7.5573669999999997E-3</v>
      </c>
      <c r="R5687">
        <v>-0.99997159999999996</v>
      </c>
      <c r="S5687">
        <v>0.23352049999999999</v>
      </c>
      <c r="T5687">
        <v>-0.23835719999999999</v>
      </c>
      <c r="U5687">
        <v>-3.001862</v>
      </c>
      <c r="V5687">
        <v>-1.5929740000000001E-2</v>
      </c>
      <c r="W5687">
        <v>1.753271E-2</v>
      </c>
      <c r="X5687">
        <v>0.99971940000000004</v>
      </c>
      <c r="Y5687">
        <v>-9.3776040000000005E-2</v>
      </c>
      <c r="Z5687">
        <v>7.8844949999999997E-2</v>
      </c>
      <c r="AA5687">
        <v>0.99246639999999997</v>
      </c>
      <c r="AB5687">
        <v>25</v>
      </c>
      <c r="AC5687">
        <v>1.09089999999997</v>
      </c>
      <c r="AD5687">
        <v>-1.1096524327241</v>
      </c>
      <c r="AE5687">
        <v>-13.731719999999999</v>
      </c>
      <c r="AF5687">
        <v>-1.3091096601533001</v>
      </c>
      <c r="AG5687">
        <v>-1.1096524327241</v>
      </c>
      <c r="AH5687">
        <v>13.6234187019858</v>
      </c>
      <c r="AI5687">
        <v>94.635308741116106</v>
      </c>
      <c r="AJ5687">
        <v>95.488847271623598</v>
      </c>
      <c r="AK5687">
        <v>13.731082759687</v>
      </c>
      <c r="AL5687">
        <v>88.995398256386096</v>
      </c>
      <c r="AM5687">
        <v>90.912885793113205</v>
      </c>
      <c r="AN5687">
        <v>1.00000001563638</v>
      </c>
    </row>
    <row r="5688" spans="1:40" x14ac:dyDescent="0.25">
      <c r="A5688" t="str">
        <f>"20190312160801705"</f>
        <v>20190312160801705</v>
      </c>
      <c r="B5688" t="str">
        <f>"1552378081701049"</f>
        <v>1552378081701049</v>
      </c>
      <c r="C5688" t="s">
        <v>40</v>
      </c>
      <c r="D5688">
        <v>5.7442950000000002</v>
      </c>
      <c r="E5688">
        <v>0.46972209999999998</v>
      </c>
      <c r="F5688" t="s">
        <v>82</v>
      </c>
      <c r="G5688">
        <v>-420.9212</v>
      </c>
      <c r="H5688" s="1">
        <v>-5.7087409999999997E-7</v>
      </c>
      <c r="I5688">
        <v>38.926749999999998</v>
      </c>
      <c r="J5688">
        <v>-422.01069999999999</v>
      </c>
      <c r="K5688">
        <v>1.1096629999999901</v>
      </c>
      <c r="L5688">
        <v>52.623690000000003</v>
      </c>
      <c r="M5688">
        <v>-1.6185709999999999E-2</v>
      </c>
      <c r="N5688">
        <v>0</v>
      </c>
      <c r="O5688">
        <v>-0.99981869999999995</v>
      </c>
      <c r="P5688">
        <v>-6.8911119999999905E-4</v>
      </c>
      <c r="Q5688">
        <v>7.8642E-3</v>
      </c>
      <c r="R5688">
        <v>-0.9999692</v>
      </c>
      <c r="S5688">
        <v>0.23361209999999999</v>
      </c>
      <c r="T5688">
        <v>-0.23876449999999999</v>
      </c>
      <c r="U5688">
        <v>-3.002014</v>
      </c>
      <c r="V5688">
        <v>-1.5506320000000001E-2</v>
      </c>
      <c r="W5688">
        <v>1.7914590000000001E-2</v>
      </c>
      <c r="X5688">
        <v>0.99971929999999998</v>
      </c>
      <c r="Y5688">
        <v>-9.3468999999999997E-2</v>
      </c>
      <c r="Z5688">
        <v>7.8976589999999999E-2</v>
      </c>
      <c r="AA5688">
        <v>0.9924849</v>
      </c>
      <c r="AB5688">
        <v>25</v>
      </c>
      <c r="AC5688">
        <v>1.0894999999999799</v>
      </c>
      <c r="AD5688">
        <v>-1.1096635708740901</v>
      </c>
      <c r="AE5688">
        <v>-13.69694</v>
      </c>
      <c r="AF5688">
        <v>-1.3025674642971601</v>
      </c>
      <c r="AG5688">
        <v>-1.1096635708740901</v>
      </c>
      <c r="AH5688">
        <v>13.5888804846106</v>
      </c>
      <c r="AI5688">
        <v>94.647189362589998</v>
      </c>
      <c r="AJ5688">
        <v>95.475380558882605</v>
      </c>
      <c r="AK5688">
        <v>13.696193196089199</v>
      </c>
      <c r="AL5688">
        <v>88.973514720282694</v>
      </c>
      <c r="AM5688">
        <v>90.888624891270197</v>
      </c>
      <c r="AN5688">
        <v>1.0000000286436499</v>
      </c>
    </row>
    <row r="5689" spans="1:40" x14ac:dyDescent="0.25">
      <c r="A5689" t="str">
        <f>"20190312160801728"</f>
        <v>20190312160801728</v>
      </c>
      <c r="B5689" t="str">
        <f>"1552378081721549"</f>
        <v>1552378081721549</v>
      </c>
      <c r="C5689" t="s">
        <v>40</v>
      </c>
      <c r="D5689">
        <v>5.7216009999999997</v>
      </c>
      <c r="E5689">
        <v>0.46959269999999997</v>
      </c>
      <c r="F5689" t="s">
        <v>82</v>
      </c>
      <c r="G5689">
        <v>-420.916</v>
      </c>
      <c r="H5689" s="1">
        <v>-7.4324719999999899E-7</v>
      </c>
      <c r="I5689">
        <v>38.654440000000001</v>
      </c>
      <c r="J5689">
        <v>-422.01440000000002</v>
      </c>
      <c r="K5689">
        <v>1.109675</v>
      </c>
      <c r="L5689">
        <v>52.369720000000001</v>
      </c>
      <c r="M5689">
        <v>-1.58528E-2</v>
      </c>
      <c r="N5689">
        <v>0</v>
      </c>
      <c r="O5689">
        <v>-0.99982280000000001</v>
      </c>
      <c r="P5689">
        <v>-4.9149359999999995E-4</v>
      </c>
      <c r="Q5689">
        <v>7.7406829999999999E-3</v>
      </c>
      <c r="R5689">
        <v>-0.99997000000000003</v>
      </c>
      <c r="S5689">
        <v>0.23526</v>
      </c>
      <c r="T5689">
        <v>-0.2384782</v>
      </c>
      <c r="U5689">
        <v>-3.0021360000000001</v>
      </c>
      <c r="V5689">
        <v>-1.537095E-2</v>
      </c>
      <c r="W5689">
        <v>1.7877879999999999E-2</v>
      </c>
      <c r="X5689">
        <v>0.999722</v>
      </c>
      <c r="Y5689">
        <v>-9.3676490000000001E-2</v>
      </c>
      <c r="Z5689">
        <v>7.8877459999999996E-2</v>
      </c>
      <c r="AA5689">
        <v>0.99247320000000006</v>
      </c>
      <c r="AB5689">
        <v>25</v>
      </c>
      <c r="AC5689">
        <v>1.09840000000002</v>
      </c>
      <c r="AD5689">
        <v>-1.1096757432472</v>
      </c>
      <c r="AE5689">
        <v>-13.7152799999999</v>
      </c>
      <c r="AF5689">
        <v>-1.3071962440245199</v>
      </c>
      <c r="AG5689">
        <v>-1.1096757432472</v>
      </c>
      <c r="AH5689">
        <v>13.607633406295101</v>
      </c>
      <c r="AI5689">
        <v>94.640772257171193</v>
      </c>
      <c r="AJ5689">
        <v>95.487192778221996</v>
      </c>
      <c r="AK5689">
        <v>13.7152407633137</v>
      </c>
      <c r="AL5689">
        <v>88.975618336371198</v>
      </c>
      <c r="AM5689">
        <v>90.880866055022395</v>
      </c>
      <c r="AN5689">
        <v>0.99999998099059795</v>
      </c>
    </row>
    <row r="5690" spans="1:40" x14ac:dyDescent="0.25">
      <c r="A5690" t="str">
        <f>"20190312160801749"</f>
        <v>20190312160801749</v>
      </c>
      <c r="B5690" t="str">
        <f>"1552378081741066"</f>
        <v>1552378081741066</v>
      </c>
      <c r="C5690" t="s">
        <v>40</v>
      </c>
      <c r="D5690">
        <v>5.7321289999999996</v>
      </c>
      <c r="E5690">
        <v>0.46966439999999998</v>
      </c>
      <c r="F5690" t="s">
        <v>82</v>
      </c>
      <c r="G5690">
        <v>-420.91430000000003</v>
      </c>
      <c r="H5690" s="1">
        <v>-8.9786539999999997E-7</v>
      </c>
      <c r="I5690">
        <v>38.410800000000002</v>
      </c>
      <c r="J5690">
        <v>-422.01799999999997</v>
      </c>
      <c r="K5690">
        <v>1.109693</v>
      </c>
      <c r="L5690">
        <v>52.123840000000001</v>
      </c>
      <c r="M5690">
        <v>-1.5530749999999999E-2</v>
      </c>
      <c r="N5690">
        <v>0</v>
      </c>
      <c r="O5690">
        <v>-0.99982709999999997</v>
      </c>
      <c r="P5690" s="1">
        <v>-7.7558459999999997E-5</v>
      </c>
      <c r="Q5690">
        <v>7.143646E-3</v>
      </c>
      <c r="R5690">
        <v>-0.9999749</v>
      </c>
      <c r="S5690">
        <v>0.2366028</v>
      </c>
      <c r="T5690">
        <v>-0.23865</v>
      </c>
      <c r="U5690">
        <v>-3.0020449999999999</v>
      </c>
      <c r="V5690">
        <v>-1.546261E-2</v>
      </c>
      <c r="W5690">
        <v>1.7380139999999999E-2</v>
      </c>
      <c r="X5690">
        <v>0.99972939999999999</v>
      </c>
      <c r="Y5690">
        <v>-9.3799010000000002E-2</v>
      </c>
      <c r="Z5690">
        <v>7.8935099999999994E-2</v>
      </c>
      <c r="AA5690">
        <v>0.99245700000000003</v>
      </c>
      <c r="AB5690">
        <v>25</v>
      </c>
      <c r="AC5690">
        <v>1.1036999999999999</v>
      </c>
      <c r="AD5690">
        <v>-1.1096938978653901</v>
      </c>
      <c r="AE5690">
        <v>-13.713039999999999</v>
      </c>
      <c r="AF5690">
        <v>-1.3080412809112001</v>
      </c>
      <c r="AG5690">
        <v>-1.1096938978653901</v>
      </c>
      <c r="AH5690">
        <v>13.6057207019762</v>
      </c>
      <c r="AI5690">
        <v>94.641464141089799</v>
      </c>
      <c r="AJ5690">
        <v>95.491485474829304</v>
      </c>
      <c r="AK5690">
        <v>13.7134251140884</v>
      </c>
      <c r="AL5690">
        <v>89.004141207300904</v>
      </c>
      <c r="AM5690">
        <v>90.886111439593094</v>
      </c>
      <c r="AN5690">
        <v>1.0000000173993899</v>
      </c>
    </row>
    <row r="5691" spans="1:40" x14ac:dyDescent="0.25">
      <c r="A5691" t="str">
        <f>"20190312160801773"</f>
        <v>20190312160801773</v>
      </c>
      <c r="B5691" t="str">
        <f>"1552378081761562"</f>
        <v>1552378081761562</v>
      </c>
      <c r="C5691" t="s">
        <v>40</v>
      </c>
      <c r="D5691">
        <v>5.7195029999999996</v>
      </c>
      <c r="E5691">
        <v>0.46952759999999999</v>
      </c>
      <c r="F5691" t="s">
        <v>82</v>
      </c>
      <c r="G5691">
        <v>-420.92169999999999</v>
      </c>
      <c r="H5691" s="1">
        <v>-9.8467969999999992E-7</v>
      </c>
      <c r="I5691">
        <v>38.275840000000002</v>
      </c>
      <c r="J5691">
        <v>-422.02159999999998</v>
      </c>
      <c r="K5691">
        <v>1.1097159999999999</v>
      </c>
      <c r="L5691">
        <v>51.865389999999998</v>
      </c>
      <c r="M5691">
        <v>-1.519212E-2</v>
      </c>
      <c r="N5691">
        <v>0</v>
      </c>
      <c r="O5691">
        <v>-0.99983069999999996</v>
      </c>
      <c r="P5691">
        <v>2.1444770000000001E-4</v>
      </c>
      <c r="Q5691">
        <v>7.1455379999999999E-3</v>
      </c>
      <c r="R5691">
        <v>-0.99997429999999998</v>
      </c>
      <c r="S5691">
        <v>0.2376404</v>
      </c>
      <c r="T5691">
        <v>-0.24054600000000001</v>
      </c>
      <c r="U5691">
        <v>-3.0018009999999999</v>
      </c>
      <c r="V5691">
        <v>-1.5416330000000001E-2</v>
      </c>
      <c r="W5691">
        <v>1.7506009999999999E-2</v>
      </c>
      <c r="X5691">
        <v>0.9997279</v>
      </c>
      <c r="Y5691">
        <v>-9.3805150000000004E-2</v>
      </c>
      <c r="Z5691">
        <v>7.9564179999999998E-2</v>
      </c>
      <c r="AA5691">
        <v>0.99240620000000002</v>
      </c>
      <c r="AB5691">
        <v>25</v>
      </c>
      <c r="AC5691">
        <v>1.0998999999999901</v>
      </c>
      <c r="AD5691">
        <v>-1.1097169846796999</v>
      </c>
      <c r="AE5691">
        <v>-13.589549999999999</v>
      </c>
      <c r="AF5691">
        <v>-1.2976415193797</v>
      </c>
      <c r="AG5691">
        <v>-1.1097169846796999</v>
      </c>
      <c r="AH5691">
        <v>13.481954339123901</v>
      </c>
      <c r="AI5691">
        <v>94.683932346370497</v>
      </c>
      <c r="AJ5691">
        <v>95.497797624238402</v>
      </c>
      <c r="AK5691">
        <v>13.589644517099201</v>
      </c>
      <c r="AL5691">
        <v>88.996928271635895</v>
      </c>
      <c r="AM5691">
        <v>90.883461030982801</v>
      </c>
      <c r="AN5691">
        <v>0.99999999882759905</v>
      </c>
    </row>
    <row r="5692" spans="1:40" x14ac:dyDescent="0.25">
      <c r="A5692" t="str">
        <f>"20190312160801796"</f>
        <v>20190312160801796</v>
      </c>
      <c r="B5692" t="str">
        <f>"1552378081790841"</f>
        <v>1552378081790841</v>
      </c>
      <c r="C5692" t="s">
        <v>40</v>
      </c>
      <c r="D5692">
        <v>5.6773360000000004</v>
      </c>
      <c r="E5692">
        <v>0.46939639999999999</v>
      </c>
      <c r="F5692" t="s">
        <v>82</v>
      </c>
      <c r="G5692">
        <v>-420.91669999999999</v>
      </c>
      <c r="H5692" s="1">
        <v>-1.1406529999999999E-6</v>
      </c>
      <c r="I5692">
        <v>38.02937</v>
      </c>
      <c r="J5692">
        <v>-422.02510000000001</v>
      </c>
      <c r="K5692">
        <v>1.109747</v>
      </c>
      <c r="L5692">
        <v>51.609990000000003</v>
      </c>
      <c r="M5692">
        <v>-1.485436E-2</v>
      </c>
      <c r="N5692">
        <v>0</v>
      </c>
      <c r="O5692">
        <v>-0.99983449999999996</v>
      </c>
      <c r="P5692">
        <v>6.7440920000000001E-4</v>
      </c>
      <c r="Q5692">
        <v>7.0833989999999998E-3</v>
      </c>
      <c r="R5692">
        <v>-0.99997480000000005</v>
      </c>
      <c r="S5692">
        <v>0.2397156</v>
      </c>
      <c r="T5692">
        <v>-0.2407542</v>
      </c>
      <c r="U5692">
        <v>-3.0017399999999999</v>
      </c>
      <c r="V5692">
        <v>-1.553882E-2</v>
      </c>
      <c r="W5692">
        <v>1.7598019999999999E-2</v>
      </c>
      <c r="X5692">
        <v>0.99972439999999996</v>
      </c>
      <c r="Y5692">
        <v>-9.4151780000000004E-2</v>
      </c>
      <c r="Z5692">
        <v>7.9631370000000007E-2</v>
      </c>
      <c r="AA5692">
        <v>0.99236800000000003</v>
      </c>
      <c r="AB5692">
        <v>25</v>
      </c>
      <c r="AC5692">
        <v>1.10840000000001</v>
      </c>
      <c r="AD5692">
        <v>-1.1097481406530001</v>
      </c>
      <c r="AE5692">
        <v>-13.58062</v>
      </c>
      <c r="AF5692">
        <v>-1.3013878116412301</v>
      </c>
      <c r="AG5692">
        <v>-1.1097481406530001</v>
      </c>
      <c r="AH5692">
        <v>13.473284322044201</v>
      </c>
      <c r="AI5692">
        <v>94.686912465768501</v>
      </c>
      <c r="AJ5692">
        <v>95.517098188487594</v>
      </c>
      <c r="AK5692">
        <v>13.5814042570941</v>
      </c>
      <c r="AL5692">
        <v>88.991655686586299</v>
      </c>
      <c r="AM5692">
        <v>90.890482535995204</v>
      </c>
      <c r="AN5692">
        <v>1.0000000105951301</v>
      </c>
    </row>
    <row r="5693" spans="1:40" x14ac:dyDescent="0.25">
      <c r="A5693" t="str">
        <f>"20190312160801818"</f>
        <v>20190312160801818</v>
      </c>
      <c r="B5693" t="str">
        <f>"1552378081811337"</f>
        <v>1552378081811337</v>
      </c>
      <c r="C5693" t="s">
        <v>40</v>
      </c>
      <c r="D5693">
        <v>5.6619099999999998</v>
      </c>
      <c r="E5693">
        <v>0.46941349999999998</v>
      </c>
      <c r="F5693" t="s">
        <v>82</v>
      </c>
      <c r="G5693">
        <v>-420.91419999999999</v>
      </c>
      <c r="H5693" s="1">
        <v>-1.272326E-6</v>
      </c>
      <c r="I5693">
        <v>37.821669999999997</v>
      </c>
      <c r="J5693">
        <v>-422.02850000000001</v>
      </c>
      <c r="K5693">
        <v>1.109788</v>
      </c>
      <c r="L5693">
        <v>51.355379999999997</v>
      </c>
      <c r="M5693">
        <v>-1.452615E-2</v>
      </c>
      <c r="N5693">
        <v>0</v>
      </c>
      <c r="O5693">
        <v>-0.99983710000000003</v>
      </c>
      <c r="P5693">
        <v>1.1322459999999999E-3</v>
      </c>
      <c r="Q5693">
        <v>7.3579090000000002E-3</v>
      </c>
      <c r="R5693">
        <v>-0.99997239999999998</v>
      </c>
      <c r="S5693">
        <v>0.24182129999999999</v>
      </c>
      <c r="T5693">
        <v>-0.2415842</v>
      </c>
      <c r="U5693">
        <v>-3.001617</v>
      </c>
      <c r="V5693">
        <v>-1.5668350000000001E-2</v>
      </c>
      <c r="W5693">
        <v>1.8070969999999999E-2</v>
      </c>
      <c r="X5693">
        <v>0.99971399999999999</v>
      </c>
      <c r="Y5693">
        <v>-9.4518169999999999E-2</v>
      </c>
      <c r="Z5693">
        <v>7.9904299999999998E-2</v>
      </c>
      <c r="AA5693">
        <v>0.99231119999999995</v>
      </c>
      <c r="AB5693">
        <v>25</v>
      </c>
      <c r="AC5693">
        <v>1.1143000000000101</v>
      </c>
      <c r="AD5693">
        <v>-1.1097892723260001</v>
      </c>
      <c r="AE5693">
        <v>-13.5337099999999</v>
      </c>
      <c r="AF5693">
        <v>-1.30208970906572</v>
      </c>
      <c r="AG5693">
        <v>-1.1097892723260001</v>
      </c>
      <c r="AH5693">
        <v>13.426419073876801</v>
      </c>
      <c r="AI5693">
        <v>94.703197685335397</v>
      </c>
      <c r="AJ5693">
        <v>95.539203697879401</v>
      </c>
      <c r="AK5693">
        <v>13.534984262524601</v>
      </c>
      <c r="AL5693">
        <v>88.964553398116294</v>
      </c>
      <c r="AM5693">
        <v>90.897913635601199</v>
      </c>
      <c r="AN5693">
        <v>1.00000006947222</v>
      </c>
    </row>
    <row r="5694" spans="1:40" x14ac:dyDescent="0.25">
      <c r="A5694" t="str">
        <f>"20190312160801839"</f>
        <v>20190312160801839</v>
      </c>
      <c r="B5694" t="str">
        <f>"1552378081830857"</f>
        <v>1552378081830857</v>
      </c>
      <c r="C5694" t="s">
        <v>40</v>
      </c>
      <c r="D5694">
        <v>5.6856559999999998</v>
      </c>
      <c r="E5694">
        <v>0.46938560000000001</v>
      </c>
      <c r="F5694" t="s">
        <v>82</v>
      </c>
      <c r="G5694">
        <v>-420.90969999999999</v>
      </c>
      <c r="H5694" s="1">
        <v>-1.447733E-6</v>
      </c>
      <c r="I5694">
        <v>37.544719999999998</v>
      </c>
      <c r="J5694">
        <v>-422.03160000000003</v>
      </c>
      <c r="K5694">
        <v>1.1098239999999999</v>
      </c>
      <c r="L5694">
        <v>51.116210000000002</v>
      </c>
      <c r="M5694">
        <v>-1.422147E-2</v>
      </c>
      <c r="N5694">
        <v>0</v>
      </c>
      <c r="O5694">
        <v>-0.99983920000000004</v>
      </c>
      <c r="P5694">
        <v>1.4929639999999901E-3</v>
      </c>
      <c r="Q5694">
        <v>7.1009180000000003E-3</v>
      </c>
      <c r="R5694">
        <v>-0.99997369999999997</v>
      </c>
      <c r="S5694">
        <v>0.24316409999999999</v>
      </c>
      <c r="T5694">
        <v>-0.24119989999999999</v>
      </c>
      <c r="U5694">
        <v>-3.0015869999999998</v>
      </c>
      <c r="V5694">
        <v>-1.5724620000000002E-2</v>
      </c>
      <c r="W5694">
        <v>1.8022819999999998E-2</v>
      </c>
      <c r="X5694">
        <v>0.99971390000000004</v>
      </c>
      <c r="Y5694">
        <v>-9.4657530000000004E-2</v>
      </c>
      <c r="Z5694">
        <v>7.977737E-2</v>
      </c>
      <c r="AA5694">
        <v>0.99230819999999997</v>
      </c>
      <c r="AB5694">
        <v>25</v>
      </c>
      <c r="AC5694">
        <v>1.1219000000000301</v>
      </c>
      <c r="AD5694">
        <v>-1.1098254477329901</v>
      </c>
      <c r="AE5694">
        <v>-13.571489999999899</v>
      </c>
      <c r="AF5694">
        <v>-1.3061293175783</v>
      </c>
      <c r="AG5694">
        <v>-1.1098254477329901</v>
      </c>
      <c r="AH5694">
        <v>13.464729072638701</v>
      </c>
      <c r="AI5694">
        <v>94.690017256334201</v>
      </c>
      <c r="AJ5694">
        <v>95.540570887690905</v>
      </c>
      <c r="AK5694">
        <v>13.573378920454401</v>
      </c>
      <c r="AL5694">
        <v>88.9673125505755</v>
      </c>
      <c r="AM5694">
        <v>90.901137886753503</v>
      </c>
      <c r="AN5694">
        <v>0.99999998378405297</v>
      </c>
    </row>
    <row r="5695" spans="1:40" x14ac:dyDescent="0.25">
      <c r="A5695" t="str">
        <f>"20190312160801862"</f>
        <v>20190312160801862</v>
      </c>
      <c r="B5695" t="str">
        <f>"1552378081851354"</f>
        <v>1552378081851354</v>
      </c>
      <c r="C5695" t="s">
        <v>40</v>
      </c>
      <c r="D5695">
        <v>5.6523139999999996</v>
      </c>
      <c r="E5695">
        <v>0.46941349999999998</v>
      </c>
      <c r="F5695" t="s">
        <v>82</v>
      </c>
      <c r="G5695">
        <v>-420.90440000000001</v>
      </c>
      <c r="H5695" s="1">
        <v>-1.612208E-6</v>
      </c>
      <c r="I5695">
        <v>37.284799999999997</v>
      </c>
      <c r="J5695">
        <v>-422.03489999999999</v>
      </c>
      <c r="K5695">
        <v>1.1098629999999901</v>
      </c>
      <c r="L5695">
        <v>50.863370000000003</v>
      </c>
      <c r="M5695">
        <v>-1.3894119999999999E-2</v>
      </c>
      <c r="N5695">
        <v>0</v>
      </c>
      <c r="O5695">
        <v>-0.99984119999999999</v>
      </c>
      <c r="P5695">
        <v>1.7585319999999999E-3</v>
      </c>
      <c r="Q5695">
        <v>6.9613289999999996E-3</v>
      </c>
      <c r="R5695">
        <v>-0.99997460000000005</v>
      </c>
      <c r="S5695">
        <v>0.24459839999999999</v>
      </c>
      <c r="T5695">
        <v>-0.24083379999999999</v>
      </c>
      <c r="U5695">
        <v>-3.0014340000000002</v>
      </c>
      <c r="V5695">
        <v>-1.5662619999999999E-2</v>
      </c>
      <c r="W5695">
        <v>1.8137239999999999E-2</v>
      </c>
      <c r="X5695">
        <v>0.99971279999999996</v>
      </c>
      <c r="Y5695">
        <v>-9.4807539999999996E-2</v>
      </c>
      <c r="Z5695">
        <v>7.9659510000000003E-2</v>
      </c>
      <c r="AA5695">
        <v>0.9923033</v>
      </c>
      <c r="AB5695">
        <v>25</v>
      </c>
      <c r="AC5695">
        <v>1.1304999999999801</v>
      </c>
      <c r="AD5695">
        <v>-1.10986461220799</v>
      </c>
      <c r="AE5695">
        <v>-13.578569999999999</v>
      </c>
      <c r="AF5695">
        <v>-1.3103707598829799</v>
      </c>
      <c r="AG5695">
        <v>-1.10986461220799</v>
      </c>
      <c r="AH5695">
        <v>13.472164874164999</v>
      </c>
      <c r="AI5695">
        <v>94.6874875385856</v>
      </c>
      <c r="AJ5695">
        <v>95.555401769630805</v>
      </c>
      <c r="AK5695">
        <v>13.581167011066301</v>
      </c>
      <c r="AL5695">
        <v>88.960755691480799</v>
      </c>
      <c r="AM5695">
        <v>90.897586394715901</v>
      </c>
      <c r="AN5695">
        <v>0.99999997981195998</v>
      </c>
    </row>
    <row r="5696" spans="1:40" x14ac:dyDescent="0.25">
      <c r="A5696" t="str">
        <f>"20190312160801884"</f>
        <v>20190312160801884</v>
      </c>
      <c r="B5696" t="str">
        <f>"1552378081870873"</f>
        <v>1552378081870873</v>
      </c>
      <c r="C5696" t="s">
        <v>40</v>
      </c>
      <c r="D5696">
        <v>5.7314319999999999</v>
      </c>
      <c r="E5696">
        <v>0.46933900000000001</v>
      </c>
      <c r="F5696" t="s">
        <v>82</v>
      </c>
      <c r="G5696">
        <v>-420.91129999999998</v>
      </c>
      <c r="H5696" s="1">
        <v>-1.7332329999999901E-6</v>
      </c>
      <c r="I5696">
        <v>37.095910000000003</v>
      </c>
      <c r="J5696">
        <v>-422.03789999999998</v>
      </c>
      <c r="K5696">
        <v>1.1099019999999999</v>
      </c>
      <c r="L5696">
        <v>50.611910000000002</v>
      </c>
      <c r="M5696">
        <v>-1.35637E-2</v>
      </c>
      <c r="N5696">
        <v>0</v>
      </c>
      <c r="O5696">
        <v>-0.99984229999999996</v>
      </c>
      <c r="P5696">
        <v>2.068182E-3</v>
      </c>
      <c r="Q5696">
        <v>6.356446E-3</v>
      </c>
      <c r="R5696">
        <v>-0.99997780000000003</v>
      </c>
      <c r="S5696">
        <v>0.24493409999999999</v>
      </c>
      <c r="T5696">
        <v>-0.24195349999999999</v>
      </c>
      <c r="U5696">
        <v>-3.0013429999999999</v>
      </c>
      <c r="V5696">
        <v>-1.5641260000000001E-2</v>
      </c>
      <c r="W5696">
        <v>1.7808279999999999E-2</v>
      </c>
      <c r="X5696">
        <v>0.99971909999999997</v>
      </c>
      <c r="Y5696">
        <v>-9.4588920000000007E-2</v>
      </c>
      <c r="Z5696">
        <v>8.0030950000000003E-2</v>
      </c>
      <c r="AA5696">
        <v>0.99229429999999996</v>
      </c>
      <c r="AB5696">
        <v>25</v>
      </c>
      <c r="AC5696">
        <v>1.1265999999999901</v>
      </c>
      <c r="AD5696">
        <v>-1.109903733233</v>
      </c>
      <c r="AE5696">
        <v>-13.515999999999901</v>
      </c>
      <c r="AF5696">
        <v>-1.30112201026675</v>
      </c>
      <c r="AG5696">
        <v>-1.109903733233</v>
      </c>
      <c r="AH5696">
        <v>13.409672718514599</v>
      </c>
      <c r="AI5696">
        <v>94.709506207486996</v>
      </c>
      <c r="AJ5696">
        <v>95.541981985575305</v>
      </c>
      <c r="AK5696">
        <v>13.518288619508001</v>
      </c>
      <c r="AL5696">
        <v>88.979606809080593</v>
      </c>
      <c r="AM5696">
        <v>90.896356857534201</v>
      </c>
      <c r="AN5696">
        <v>1.0000000313778701</v>
      </c>
    </row>
    <row r="5697" spans="1:40" x14ac:dyDescent="0.25">
      <c r="A5697" t="str">
        <f>"20190312160801900"</f>
        <v>20190312160801900</v>
      </c>
      <c r="B5697" t="str">
        <f>"1552378081891370"</f>
        <v>1552378081891370</v>
      </c>
      <c r="C5697" t="s">
        <v>40</v>
      </c>
      <c r="D5697">
        <v>5.72783</v>
      </c>
      <c r="E5697">
        <v>0.46936220000000001</v>
      </c>
      <c r="F5697" t="s">
        <v>82</v>
      </c>
      <c r="G5697">
        <v>-420.89800000000002</v>
      </c>
      <c r="H5697" s="1">
        <v>-1.9583049999999999E-6</v>
      </c>
      <c r="I5697">
        <v>36.738909999999997</v>
      </c>
      <c r="J5697">
        <v>-422.0401</v>
      </c>
      <c r="K5697">
        <v>1.109928</v>
      </c>
      <c r="L5697">
        <v>50.433839999999996</v>
      </c>
      <c r="M5697">
        <v>-1.3328939999999999E-2</v>
      </c>
      <c r="N5697">
        <v>0</v>
      </c>
      <c r="O5697">
        <v>-0.99984329999999999</v>
      </c>
      <c r="P5697">
        <v>2.2315289999999999E-3</v>
      </c>
      <c r="Q5697">
        <v>6.0175749999999998E-3</v>
      </c>
      <c r="R5697">
        <v>-0.99997930000000002</v>
      </c>
      <c r="S5697">
        <v>0.246582</v>
      </c>
      <c r="T5697">
        <v>-0.24009920000000001</v>
      </c>
      <c r="U5697">
        <v>-3.0010680000000001</v>
      </c>
      <c r="V5697">
        <v>-1.556979E-2</v>
      </c>
      <c r="W5697">
        <v>1.7662859999999999E-2</v>
      </c>
      <c r="X5697">
        <v>0.99972280000000002</v>
      </c>
      <c r="Y5697">
        <v>-9.49078E-2</v>
      </c>
      <c r="Z5697">
        <v>7.9426109999999994E-2</v>
      </c>
      <c r="AA5697">
        <v>0.99231239999999998</v>
      </c>
      <c r="AB5697">
        <v>25</v>
      </c>
      <c r="AC5697">
        <v>1.1420999999999699</v>
      </c>
      <c r="AD5697">
        <v>-1.109929958305</v>
      </c>
      <c r="AE5697">
        <v>-13.694929999999999</v>
      </c>
      <c r="AF5697">
        <v>-1.3159654945249699</v>
      </c>
      <c r="AG5697">
        <v>-1.109929958305</v>
      </c>
      <c r="AH5697">
        <v>13.589839830633901</v>
      </c>
      <c r="AI5697">
        <v>94.647540884120403</v>
      </c>
      <c r="AJ5697">
        <v>95.530964001701506</v>
      </c>
      <c r="AK5697">
        <v>13.6984472228573</v>
      </c>
      <c r="AL5697">
        <v>88.987940076391197</v>
      </c>
      <c r="AM5697">
        <v>90.892258473680897</v>
      </c>
      <c r="AN5697">
        <v>1.0000000359119301</v>
      </c>
    </row>
    <row r="5698" spans="1:40" x14ac:dyDescent="0.25">
      <c r="A5698" t="str">
        <f>"20190312160801918"</f>
        <v>20190312160801918</v>
      </c>
      <c r="B5698" t="str">
        <f>"1552378081910889"</f>
        <v>1552378081910889</v>
      </c>
      <c r="C5698" t="s">
        <v>40</v>
      </c>
      <c r="D5698">
        <v>5.6359779999999997</v>
      </c>
      <c r="E5698">
        <v>0.46940419999999999</v>
      </c>
      <c r="F5698" t="s">
        <v>82</v>
      </c>
      <c r="G5698">
        <v>-420.89249999999998</v>
      </c>
      <c r="H5698" s="1">
        <v>-2.1116229999999998E-6</v>
      </c>
      <c r="I5698">
        <v>36.496479999999998</v>
      </c>
      <c r="J5698">
        <v>-422.04250000000002</v>
      </c>
      <c r="K5698">
        <v>1.1099410000000001</v>
      </c>
      <c r="L5698">
        <v>50.232059999999997</v>
      </c>
      <c r="M5698">
        <v>-1.306475E-2</v>
      </c>
      <c r="N5698">
        <v>0</v>
      </c>
      <c r="O5698">
        <v>-0.99984430000000002</v>
      </c>
      <c r="P5698">
        <v>2.4033309999999999E-3</v>
      </c>
      <c r="Q5698">
        <v>5.4931569999999898E-3</v>
      </c>
      <c r="R5698">
        <v>-0.99998200000000004</v>
      </c>
      <c r="S5698">
        <v>0.24710080000000001</v>
      </c>
      <c r="T5698">
        <v>-0.23898649999999999</v>
      </c>
      <c r="U5698">
        <v>-3.0009459999999999</v>
      </c>
      <c r="V5698">
        <v>-1.547692E-2</v>
      </c>
      <c r="W5698">
        <v>1.7345340000000001E-2</v>
      </c>
      <c r="X5698">
        <v>0.9997298</v>
      </c>
      <c r="Y5698">
        <v>-9.4820849999999998E-2</v>
      </c>
      <c r="Z5698">
        <v>7.9063720000000004E-2</v>
      </c>
      <c r="AA5698">
        <v>0.9923497</v>
      </c>
      <c r="AB5698">
        <v>25</v>
      </c>
      <c r="AC5698">
        <v>1.1500000000000301</v>
      </c>
      <c r="AD5698">
        <v>-1.1099431116230001</v>
      </c>
      <c r="AE5698">
        <v>-13.735580000000001</v>
      </c>
      <c r="AF5698">
        <v>-1.32080169531075</v>
      </c>
      <c r="AG5698">
        <v>-1.1099431116230001</v>
      </c>
      <c r="AH5698">
        <v>13.6309924034675</v>
      </c>
      <c r="AI5698">
        <v>94.633597964530907</v>
      </c>
      <c r="AJ5698">
        <v>95.534508678766599</v>
      </c>
      <c r="AK5698">
        <v>13.739739616629</v>
      </c>
      <c r="AL5698">
        <v>89.006135417943497</v>
      </c>
      <c r="AM5698">
        <v>90.886931012985698</v>
      </c>
      <c r="AN5698">
        <v>1.00000003444022</v>
      </c>
    </row>
    <row r="5699" spans="1:40" x14ac:dyDescent="0.25">
      <c r="A5699" t="str">
        <f>"20190312160801940"</f>
        <v>20190312160801940</v>
      </c>
      <c r="B5699" t="str">
        <f>"1552378081931386"</f>
        <v>1552378081931386</v>
      </c>
      <c r="C5699" t="s">
        <v>40</v>
      </c>
      <c r="D5699">
        <v>5.6530079999999998</v>
      </c>
      <c r="E5699">
        <v>0.46955439999999998</v>
      </c>
      <c r="F5699" t="s">
        <v>82</v>
      </c>
      <c r="G5699">
        <v>-420.89789999999999</v>
      </c>
      <c r="H5699" s="1">
        <v>-2.2147990000000001E-6</v>
      </c>
      <c r="I5699">
        <v>36.335340000000002</v>
      </c>
      <c r="J5699">
        <v>-422.0453</v>
      </c>
      <c r="K5699">
        <v>1.109964</v>
      </c>
      <c r="L5699">
        <v>49.986910000000002</v>
      </c>
      <c r="M5699">
        <v>-1.274869E-2</v>
      </c>
      <c r="N5699">
        <v>0</v>
      </c>
      <c r="O5699">
        <v>-0.99984589999999995</v>
      </c>
      <c r="P5699">
        <v>2.6343640000000001E-3</v>
      </c>
      <c r="Q5699">
        <v>5.2854959999999998E-3</v>
      </c>
      <c r="R5699">
        <v>-0.99998279999999995</v>
      </c>
      <c r="S5699">
        <v>0.24716189999999999</v>
      </c>
      <c r="T5699">
        <v>-0.23967620000000001</v>
      </c>
      <c r="U5699">
        <v>-3.0007929999999998</v>
      </c>
      <c r="V5699">
        <v>-1.539254E-2</v>
      </c>
      <c r="W5699">
        <v>1.7367750000000001E-2</v>
      </c>
      <c r="X5699">
        <v>0.99973069999999997</v>
      </c>
      <c r="Y5699">
        <v>-9.4528870000000001E-2</v>
      </c>
      <c r="Z5699">
        <v>7.9295989999999997E-2</v>
      </c>
      <c r="AA5699">
        <v>0.99235899999999999</v>
      </c>
      <c r="AB5699">
        <v>25</v>
      </c>
      <c r="AC5699">
        <v>1.1474</v>
      </c>
      <c r="AD5699">
        <v>-1.1099662147989999</v>
      </c>
      <c r="AE5699">
        <v>-13.6515699999999</v>
      </c>
      <c r="AF5699">
        <v>-1.3127416459888299</v>
      </c>
      <c r="AG5699">
        <v>-1.1099662147989999</v>
      </c>
      <c r="AH5699">
        <v>13.5469037643654</v>
      </c>
      <c r="AI5699">
        <v>94.662327056619503</v>
      </c>
      <c r="AJ5699">
        <v>95.534876920924802</v>
      </c>
      <c r="AK5699">
        <v>13.655545292227799</v>
      </c>
      <c r="AL5699">
        <v>89.004851212522894</v>
      </c>
      <c r="AM5699">
        <v>90.882095446886098</v>
      </c>
      <c r="AN5699">
        <v>1.0000000207751001</v>
      </c>
    </row>
    <row r="5700" spans="1:40" x14ac:dyDescent="0.25">
      <c r="A5700" t="str">
        <f>"20190312160801962"</f>
        <v>20190312160801962</v>
      </c>
      <c r="B5700" t="str">
        <f>"1552378081950905"</f>
        <v>1552378081950905</v>
      </c>
      <c r="C5700" t="s">
        <v>40</v>
      </c>
      <c r="D5700">
        <v>5.6443390000000004</v>
      </c>
      <c r="E5700">
        <v>0.46963739999999998</v>
      </c>
      <c r="F5700" t="s">
        <v>82</v>
      </c>
      <c r="G5700">
        <v>-420.91149999999999</v>
      </c>
      <c r="H5700" s="1">
        <v>-2.2975349999999999E-6</v>
      </c>
      <c r="I5700">
        <v>36.208170000000003</v>
      </c>
      <c r="J5700">
        <v>-422.04820000000001</v>
      </c>
      <c r="K5700">
        <v>1.1099760000000001</v>
      </c>
      <c r="L5700">
        <v>49.737729999999999</v>
      </c>
      <c r="M5700">
        <v>-1.243114E-2</v>
      </c>
      <c r="N5700">
        <v>0</v>
      </c>
      <c r="O5700">
        <v>-0.99984740000000005</v>
      </c>
      <c r="P5700">
        <v>3.1084179999999999E-3</v>
      </c>
      <c r="Q5700">
        <v>4.9834939999999998E-3</v>
      </c>
      <c r="R5700">
        <v>-0.99998299999999996</v>
      </c>
      <c r="S5700">
        <v>0.24691769999999999</v>
      </c>
      <c r="T5700">
        <v>-0.24172579999999999</v>
      </c>
      <c r="U5700">
        <v>-3.000702</v>
      </c>
      <c r="V5700">
        <v>-1.5548920000000001E-2</v>
      </c>
      <c r="W5700">
        <v>1.728002E-2</v>
      </c>
      <c r="X5700">
        <v>0.9997298</v>
      </c>
      <c r="Y5700">
        <v>-9.4130539999999999E-2</v>
      </c>
      <c r="Z5700">
        <v>7.9974390000000006E-2</v>
      </c>
      <c r="AA5700">
        <v>0.99234250000000002</v>
      </c>
      <c r="AB5700">
        <v>25</v>
      </c>
      <c r="AC5700">
        <v>1.13670000000001</v>
      </c>
      <c r="AD5700">
        <v>-1.1099782975350001</v>
      </c>
      <c r="AE5700">
        <v>-13.529559999999901</v>
      </c>
      <c r="AF5700">
        <v>-1.2961498036090899</v>
      </c>
      <c r="AG5700">
        <v>-1.1099782975350001</v>
      </c>
      <c r="AH5700">
        <v>13.424658574074501</v>
      </c>
      <c r="AI5700">
        <v>94.704802230184598</v>
      </c>
      <c r="AJ5700">
        <v>95.514809566575494</v>
      </c>
      <c r="AK5700">
        <v>13.5326831768452</v>
      </c>
      <c r="AL5700">
        <v>89.009878525338095</v>
      </c>
      <c r="AM5700">
        <v>90.891056430743802</v>
      </c>
      <c r="AN5700">
        <v>1.0000000205062001</v>
      </c>
    </row>
    <row r="5701" spans="1:40" x14ac:dyDescent="0.25">
      <c r="A5701" t="str">
        <f>"20190312160801988"</f>
        <v>20190312160801988</v>
      </c>
      <c r="B5701" t="str">
        <f>"1552378081981161"</f>
        <v>1552378081981161</v>
      </c>
      <c r="C5701" t="s">
        <v>40</v>
      </c>
      <c r="D5701">
        <v>5.5852510000000004</v>
      </c>
      <c r="E5701">
        <v>0.46970050000000002</v>
      </c>
      <c r="F5701" t="s">
        <v>82</v>
      </c>
      <c r="G5701">
        <v>-420.90839999999997</v>
      </c>
      <c r="H5701" s="1">
        <v>-2.4791670000000001E-6</v>
      </c>
      <c r="I5701">
        <v>35.921729999999997</v>
      </c>
      <c r="J5701">
        <v>-422.05130000000003</v>
      </c>
      <c r="K5701">
        <v>1.1099909999999999</v>
      </c>
      <c r="L5701">
        <v>49.447659999999999</v>
      </c>
      <c r="M5701">
        <v>-1.2061290000000001E-2</v>
      </c>
      <c r="N5701">
        <v>0</v>
      </c>
      <c r="O5701">
        <v>-0.99984899999999999</v>
      </c>
      <c r="P5701">
        <v>3.2765310000000001E-3</v>
      </c>
      <c r="Q5701">
        <v>4.7303709999999997E-3</v>
      </c>
      <c r="R5701">
        <v>-0.99998370000000003</v>
      </c>
      <c r="S5701">
        <v>0.2475281</v>
      </c>
      <c r="T5701">
        <v>-0.24105950000000001</v>
      </c>
      <c r="U5701">
        <v>-3.0004879999999998</v>
      </c>
      <c r="V5701">
        <v>-1.534728E-2</v>
      </c>
      <c r="W5701">
        <v>1.7251889999999999E-2</v>
      </c>
      <c r="X5701">
        <v>0.99973339999999999</v>
      </c>
      <c r="Y5701">
        <v>-9.3970029999999996E-2</v>
      </c>
      <c r="Z5701">
        <v>7.9761490000000004E-2</v>
      </c>
      <c r="AA5701">
        <v>0.9923748</v>
      </c>
      <c r="AB5701">
        <v>25</v>
      </c>
      <c r="AC5701">
        <v>1.14290000000005</v>
      </c>
      <c r="AD5701">
        <v>-1.1099934791670001</v>
      </c>
      <c r="AE5701">
        <v>-13.525930000000001</v>
      </c>
      <c r="AF5701">
        <v>-1.2972950610781999</v>
      </c>
      <c r="AG5701">
        <v>-1.1099934791670001</v>
      </c>
      <c r="AH5701">
        <v>13.4214140373607</v>
      </c>
      <c r="AI5701">
        <v>94.705949825868402</v>
      </c>
      <c r="AJ5701">
        <v>95.520978381216196</v>
      </c>
      <c r="AK5701">
        <v>13.529575557332</v>
      </c>
      <c r="AL5701">
        <v>89.011490494281503</v>
      </c>
      <c r="AM5701">
        <v>90.879499779405407</v>
      </c>
      <c r="AN5701">
        <v>1.0000000188937599</v>
      </c>
    </row>
    <row r="5702" spans="1:40" x14ac:dyDescent="0.25">
      <c r="A5702" t="str">
        <f>"20190312160802020"</f>
        <v>20190312160802020</v>
      </c>
      <c r="B5702" t="str">
        <f>"1552378082011417"</f>
        <v>1552378082011417</v>
      </c>
      <c r="C5702" t="s">
        <v>40</v>
      </c>
      <c r="D5702">
        <v>5.6191879999999896</v>
      </c>
      <c r="E5702">
        <v>0.46966439999999998</v>
      </c>
      <c r="F5702" t="s">
        <v>82</v>
      </c>
      <c r="G5702">
        <v>-420.90449999999998</v>
      </c>
      <c r="H5702" s="1">
        <v>-2.7089320000000001E-6</v>
      </c>
      <c r="I5702">
        <v>35.55941</v>
      </c>
      <c r="J5702">
        <v>-422.05500000000001</v>
      </c>
      <c r="K5702">
        <v>1.110012</v>
      </c>
      <c r="L5702">
        <v>49.098019999999998</v>
      </c>
      <c r="M5702">
        <v>-1.1609120000000001E-2</v>
      </c>
      <c r="N5702">
        <v>0</v>
      </c>
      <c r="O5702">
        <v>-0.99985119999999905</v>
      </c>
      <c r="P5702">
        <v>3.634207E-3</v>
      </c>
      <c r="Q5702">
        <v>4.3089540000000003E-3</v>
      </c>
      <c r="R5702">
        <v>-0.99998430000000005</v>
      </c>
      <c r="S5702">
        <v>0.24774170000000001</v>
      </c>
      <c r="T5702">
        <v>-0.23979890000000001</v>
      </c>
      <c r="U5702">
        <v>-3.0003660000000001</v>
      </c>
      <c r="V5702">
        <v>-1.5252460000000001E-2</v>
      </c>
      <c r="W5702">
        <v>1.7064530000000001E-2</v>
      </c>
      <c r="X5702">
        <v>0.99973800000000002</v>
      </c>
      <c r="Y5702">
        <v>-9.3595990000000004E-2</v>
      </c>
      <c r="Z5702">
        <v>7.9352030000000004E-2</v>
      </c>
      <c r="AA5702">
        <v>0.99244299999999996</v>
      </c>
      <c r="AB5702">
        <v>25</v>
      </c>
      <c r="AC5702">
        <v>1.1505000000000201</v>
      </c>
      <c r="AD5702">
        <v>-1.110014708932</v>
      </c>
      <c r="AE5702">
        <v>-13.538609999999901</v>
      </c>
      <c r="AF5702">
        <v>-1.2989375293710099</v>
      </c>
      <c r="AG5702">
        <v>-1.110014708932</v>
      </c>
      <c r="AH5702">
        <v>13.4346774771036</v>
      </c>
      <c r="AI5702">
        <v>94.701402181444806</v>
      </c>
      <c r="AJ5702">
        <v>95.5225013531754</v>
      </c>
      <c r="AK5702">
        <v>13.542892241801599</v>
      </c>
      <c r="AL5702">
        <v>89.022226946662798</v>
      </c>
      <c r="AM5702">
        <v>90.874062796150895</v>
      </c>
      <c r="AN5702">
        <v>0.99999995218208504</v>
      </c>
    </row>
    <row r="5703" spans="1:40" x14ac:dyDescent="0.25">
      <c r="A5703" t="str">
        <f>"20190312160802040"</f>
        <v>20190312160802040</v>
      </c>
      <c r="B5703" t="str">
        <f>"1552378082030938"</f>
        <v>1552378082030938</v>
      </c>
      <c r="C5703" t="s">
        <v>40</v>
      </c>
      <c r="D5703">
        <v>5.7167909999999997</v>
      </c>
      <c r="E5703">
        <v>0.4696282</v>
      </c>
      <c r="F5703" t="s">
        <v>82</v>
      </c>
      <c r="G5703">
        <v>-420.89299999999997</v>
      </c>
      <c r="H5703" s="1">
        <v>-2.995792E-6</v>
      </c>
      <c r="I5703">
        <v>35.105580000000003</v>
      </c>
      <c r="J5703">
        <v>-422.0573</v>
      </c>
      <c r="K5703">
        <v>1.110025</v>
      </c>
      <c r="L5703">
        <v>48.869259999999997</v>
      </c>
      <c r="M5703">
        <v>-1.1309380000000001E-2</v>
      </c>
      <c r="N5703">
        <v>0</v>
      </c>
      <c r="O5703">
        <v>-0.99985279999999999</v>
      </c>
      <c r="P5703">
        <v>3.110926E-3</v>
      </c>
      <c r="Q5703">
        <v>3.6223380000000001E-3</v>
      </c>
      <c r="R5703">
        <v>-0.99998869999999895</v>
      </c>
      <c r="S5703">
        <v>0.24914549999999999</v>
      </c>
      <c r="T5703">
        <v>-0.2380034</v>
      </c>
      <c r="U5703">
        <v>-3.0001829999999998</v>
      </c>
      <c r="V5703">
        <v>-1.4429310000000001E-2</v>
      </c>
      <c r="W5703">
        <v>1.6510520000000001E-2</v>
      </c>
      <c r="X5703">
        <v>0.99975959999999997</v>
      </c>
      <c r="Y5703">
        <v>-9.3767600000000006E-2</v>
      </c>
      <c r="Z5703">
        <v>7.8764609999999999E-2</v>
      </c>
      <c r="AA5703">
        <v>0.99247350000000001</v>
      </c>
      <c r="AB5703">
        <v>25</v>
      </c>
      <c r="AC5703">
        <v>1.1642999999999599</v>
      </c>
      <c r="AD5703">
        <v>-1.1100279957920001</v>
      </c>
      <c r="AE5703">
        <v>-13.7636799999999</v>
      </c>
      <c r="AF5703">
        <v>-1.31142789308481</v>
      </c>
      <c r="AG5703">
        <v>-1.1100279957920001</v>
      </c>
      <c r="AH5703">
        <v>13.661404848356</v>
      </c>
      <c r="AI5703">
        <v>94.624076406480199</v>
      </c>
      <c r="AJ5703">
        <v>95.483312127978607</v>
      </c>
      <c r="AK5703">
        <v>13.7690227576574</v>
      </c>
      <c r="AL5703">
        <v>89.053973930831802</v>
      </c>
      <c r="AM5703">
        <v>90.826879948771605</v>
      </c>
      <c r="AN5703">
        <v>1.0000000300249501</v>
      </c>
    </row>
    <row r="5704" spans="1:40" x14ac:dyDescent="0.25">
      <c r="A5704" t="str">
        <f>"20190312160802063"</f>
        <v>20190312160802063</v>
      </c>
      <c r="B5704" t="str">
        <f>"1552378082051434"</f>
        <v>1552378082051434</v>
      </c>
      <c r="C5704" t="s">
        <v>40</v>
      </c>
      <c r="D5704">
        <v>5.6486780000000003</v>
      </c>
      <c r="E5704">
        <v>0.46958949999999999</v>
      </c>
      <c r="F5704" t="s">
        <v>82</v>
      </c>
      <c r="G5704">
        <v>-420.89600000000002</v>
      </c>
      <c r="H5704" s="1">
        <v>-3.1659559999999999E-6</v>
      </c>
      <c r="I5704">
        <v>34.838520000000003</v>
      </c>
      <c r="J5704">
        <v>-422.0598</v>
      </c>
      <c r="K5704">
        <v>1.110031</v>
      </c>
      <c r="L5704">
        <v>48.618899999999996</v>
      </c>
      <c r="M5704">
        <v>-1.097591E-2</v>
      </c>
      <c r="N5704">
        <v>0</v>
      </c>
      <c r="O5704">
        <v>-0.99985520000000006</v>
      </c>
      <c r="P5704">
        <v>3.0957329999999998E-3</v>
      </c>
      <c r="Q5704">
        <v>3.3240969999999998E-3</v>
      </c>
      <c r="R5704">
        <v>-0.99999000000000005</v>
      </c>
      <c r="S5704">
        <v>0.2483215</v>
      </c>
      <c r="T5704">
        <v>-0.23735149999999999</v>
      </c>
      <c r="U5704">
        <v>-3.0001220000000002</v>
      </c>
      <c r="V5704">
        <v>-1.408039E-2</v>
      </c>
      <c r="W5704">
        <v>1.6339349999999999E-2</v>
      </c>
      <c r="X5704">
        <v>0.99976739999999997</v>
      </c>
      <c r="Y5704">
        <v>-9.316787E-2</v>
      </c>
      <c r="Z5704">
        <v>7.8555349999999996E-2</v>
      </c>
      <c r="AA5704">
        <v>0.99254659999999995</v>
      </c>
      <c r="AB5704">
        <v>25</v>
      </c>
      <c r="AC5704">
        <v>1.1638000000000299</v>
      </c>
      <c r="AD5704">
        <v>-1.110034165956</v>
      </c>
      <c r="AE5704">
        <v>-13.7803799999999</v>
      </c>
      <c r="AF5704">
        <v>-1.306577081972</v>
      </c>
      <c r="AG5704">
        <v>-1.110034165956</v>
      </c>
      <c r="AH5704">
        <v>13.6786483418574</v>
      </c>
      <c r="AI5704">
        <v>94.618505559217795</v>
      </c>
      <c r="AJ5704">
        <v>95.456307623838597</v>
      </c>
      <c r="AK5704">
        <v>13.785671546244</v>
      </c>
      <c r="AL5704">
        <v>89.063782584373399</v>
      </c>
      <c r="AM5704">
        <v>90.8068812685067</v>
      </c>
      <c r="AN5704">
        <v>1.0000000429218601</v>
      </c>
    </row>
    <row r="5705" spans="1:40" x14ac:dyDescent="0.25">
      <c r="A5705" t="str">
        <f>"20190312160802085"</f>
        <v>20190312160802085</v>
      </c>
      <c r="B5705" t="str">
        <f>"1552378082081690"</f>
        <v>1552378082081690</v>
      </c>
      <c r="C5705" t="s">
        <v>40</v>
      </c>
      <c r="D5705">
        <v>5.6413719999999996</v>
      </c>
      <c r="E5705">
        <v>0.46953319999999998</v>
      </c>
      <c r="F5705" t="s">
        <v>82</v>
      </c>
      <c r="G5705">
        <v>-420.89089999999999</v>
      </c>
      <c r="H5705" s="1">
        <v>-3.3457669999999999E-6</v>
      </c>
      <c r="I5705">
        <v>34.50318</v>
      </c>
      <c r="J5705">
        <v>-422.06209999999999</v>
      </c>
      <c r="K5705">
        <v>1.1100540000000001</v>
      </c>
      <c r="L5705">
        <v>48.367980000000003</v>
      </c>
      <c r="M5705">
        <v>-1.062517E-2</v>
      </c>
      <c r="N5705">
        <v>0</v>
      </c>
      <c r="O5705">
        <v>-0.99985760000000001</v>
      </c>
      <c r="P5705">
        <v>3.5398000000000001E-3</v>
      </c>
      <c r="Q5705">
        <v>3.375636E-3</v>
      </c>
      <c r="R5705">
        <v>-0.99998860000000001</v>
      </c>
      <c r="S5705">
        <v>0.2484131</v>
      </c>
      <c r="T5705">
        <v>-0.2359194</v>
      </c>
      <c r="U5705">
        <v>-3.0000610000000001</v>
      </c>
      <c r="V5705">
        <v>-1.4174269999999999E-2</v>
      </c>
      <c r="W5705">
        <v>1.650194E-2</v>
      </c>
      <c r="X5705">
        <v>0.99976339999999997</v>
      </c>
      <c r="Y5705">
        <v>-9.2853400000000003E-2</v>
      </c>
      <c r="Z5705">
        <v>7.8087329999999996E-2</v>
      </c>
      <c r="AA5705">
        <v>0.99261299999999997</v>
      </c>
      <c r="AB5705">
        <v>25</v>
      </c>
      <c r="AC5705">
        <v>1.17119999999999</v>
      </c>
      <c r="AD5705">
        <v>-1.110057345767</v>
      </c>
      <c r="AE5705">
        <v>-13.864799999999899</v>
      </c>
      <c r="AF5705">
        <v>-1.3101238939908999</v>
      </c>
      <c r="AG5705">
        <v>-1.110057345767</v>
      </c>
      <c r="AH5705">
        <v>13.763968878874101</v>
      </c>
      <c r="AI5705">
        <v>94.590238799361799</v>
      </c>
      <c r="AJ5705">
        <v>95.437319357600401</v>
      </c>
      <c r="AK5705">
        <v>13.8706701794511</v>
      </c>
      <c r="AL5705">
        <v>89.054465604989304</v>
      </c>
      <c r="AM5705">
        <v>90.812263623018893</v>
      </c>
      <c r="AN5705">
        <v>1.00000003996667</v>
      </c>
    </row>
    <row r="5706" spans="1:40" x14ac:dyDescent="0.25">
      <c r="A5706" t="str">
        <f>"20190312160802109"</f>
        <v>20190312160802109</v>
      </c>
      <c r="B5706" t="str">
        <f>"1552378082101210"</f>
        <v>1552378082101210</v>
      </c>
      <c r="C5706" t="s">
        <v>40</v>
      </c>
      <c r="D5706">
        <v>5.6338239999999997</v>
      </c>
      <c r="E5706">
        <v>0.46952640000000001</v>
      </c>
      <c r="F5706" t="s">
        <v>82</v>
      </c>
      <c r="G5706">
        <v>-420.86860000000001</v>
      </c>
      <c r="H5706" s="1">
        <v>-3.5173620000000002E-6</v>
      </c>
      <c r="I5706">
        <v>34.051220000000001</v>
      </c>
      <c r="J5706">
        <v>-422.06439999999998</v>
      </c>
      <c r="K5706">
        <v>1.1100810000000001</v>
      </c>
      <c r="L5706">
        <v>48.1098</v>
      </c>
      <c r="M5706">
        <v>-1.022984E-2</v>
      </c>
      <c r="N5706">
        <v>0</v>
      </c>
      <c r="O5706">
        <v>-0.99986019999999998</v>
      </c>
      <c r="P5706">
        <v>3.9019530000000001E-3</v>
      </c>
      <c r="Q5706">
        <v>3.022056E-3</v>
      </c>
      <c r="R5706">
        <v>-0.99998810000000005</v>
      </c>
      <c r="S5706">
        <v>0.25009160000000002</v>
      </c>
      <c r="T5706">
        <v>-0.2326019</v>
      </c>
      <c r="U5706">
        <v>-2.9999389999999999</v>
      </c>
      <c r="V5706">
        <v>-1.4141910000000001E-2</v>
      </c>
      <c r="W5706">
        <v>1.6246859999999998E-2</v>
      </c>
      <c r="X5706">
        <v>0.99976799999999999</v>
      </c>
      <c r="Y5706">
        <v>-9.3021679999999995E-2</v>
      </c>
      <c r="Z5706">
        <v>7.6997079999999996E-2</v>
      </c>
      <c r="AA5706">
        <v>0.99268250000000002</v>
      </c>
      <c r="AB5706">
        <v>25</v>
      </c>
      <c r="AC5706">
        <v>1.19579999999996</v>
      </c>
      <c r="AD5706">
        <v>-1.110084517362</v>
      </c>
      <c r="AE5706">
        <v>-14.058579999999999</v>
      </c>
      <c r="AF5706">
        <v>-1.3313259672695601</v>
      </c>
      <c r="AG5706">
        <v>-1.110084517362</v>
      </c>
      <c r="AH5706">
        <v>13.9592013282214</v>
      </c>
      <c r="AI5706">
        <v>94.526339162144794</v>
      </c>
      <c r="AJ5706">
        <v>95.447971830870202</v>
      </c>
      <c r="AK5706">
        <v>14.0664145463097</v>
      </c>
      <c r="AL5706">
        <v>89.069082538041499</v>
      </c>
      <c r="AM5706">
        <v>90.810405736405599</v>
      </c>
      <c r="AN5706">
        <v>1.0000000039511501</v>
      </c>
    </row>
    <row r="5707" spans="1:40" x14ac:dyDescent="0.25">
      <c r="A5707" t="str">
        <f>"20190312160802130"</f>
        <v>20190312160802130</v>
      </c>
      <c r="B5707" t="str">
        <f>"1552378082121707"</f>
        <v>1552378082121707</v>
      </c>
      <c r="C5707" t="s">
        <v>40</v>
      </c>
      <c r="D5707">
        <v>5.6476030000000002</v>
      </c>
      <c r="E5707">
        <v>0.46951900000000002</v>
      </c>
      <c r="F5707" t="s">
        <v>82</v>
      </c>
      <c r="G5707">
        <v>-420.87079999999997</v>
      </c>
      <c r="H5707" s="1">
        <v>-3.6097290000000001E-6</v>
      </c>
      <c r="I5707">
        <v>33.870199999999997</v>
      </c>
      <c r="J5707">
        <v>-422.06630000000001</v>
      </c>
      <c r="K5707">
        <v>1.110115</v>
      </c>
      <c r="L5707">
        <v>47.873869999999997</v>
      </c>
      <c r="M5707">
        <v>-9.8172959999999997E-3</v>
      </c>
      <c r="N5707">
        <v>0</v>
      </c>
      <c r="O5707">
        <v>-0.9998631</v>
      </c>
      <c r="P5707">
        <v>4.5284890000000001E-3</v>
      </c>
      <c r="Q5707">
        <v>2.265371E-3</v>
      </c>
      <c r="R5707">
        <v>-0.99998719999999996</v>
      </c>
      <c r="S5707">
        <v>0.2514343</v>
      </c>
      <c r="T5707">
        <v>-0.2338537</v>
      </c>
      <c r="U5707">
        <v>-2.9997560000000001</v>
      </c>
      <c r="V5707">
        <v>-1.4356590000000001E-2</v>
      </c>
      <c r="W5707">
        <v>1.5567930000000001E-2</v>
      </c>
      <c r="X5707">
        <v>0.99977579999999999</v>
      </c>
      <c r="Y5707">
        <v>-9.3054479999999995E-2</v>
      </c>
      <c r="Z5707">
        <v>7.741257E-2</v>
      </c>
      <c r="AA5707">
        <v>0.9926471</v>
      </c>
      <c r="AB5707">
        <v>25</v>
      </c>
      <c r="AC5707">
        <v>1.19550000000003</v>
      </c>
      <c r="AD5707">
        <v>-1.1101186097289999</v>
      </c>
      <c r="AE5707">
        <v>-14.00367</v>
      </c>
      <c r="AF5707">
        <v>-1.32466840112531</v>
      </c>
      <c r="AG5707">
        <v>-1.1101186097289999</v>
      </c>
      <c r="AH5707">
        <v>13.9045099060288</v>
      </c>
      <c r="AI5707">
        <v>94.544251746101494</v>
      </c>
      <c r="AJ5707">
        <v>95.442085379826196</v>
      </c>
      <c r="AK5707">
        <v>14.011513316821301</v>
      </c>
      <c r="AL5707">
        <v>89.107987335926794</v>
      </c>
      <c r="AM5707">
        <v>90.822699932270297</v>
      </c>
      <c r="AN5707">
        <v>1.00000006119327</v>
      </c>
    </row>
    <row r="5708" spans="1:40" x14ac:dyDescent="0.25">
      <c r="A5708" t="str">
        <f>"20190312160802176"</f>
        <v>20190312160802176</v>
      </c>
      <c r="B5708" t="str">
        <f>"1552378082171481"</f>
        <v>1552378082171481</v>
      </c>
      <c r="C5708" t="s">
        <v>40</v>
      </c>
      <c r="D5708">
        <v>5.5560359999999998</v>
      </c>
      <c r="E5708">
        <v>0.46957789999999999</v>
      </c>
      <c r="F5708" t="s">
        <v>82</v>
      </c>
      <c r="G5708">
        <v>-420.88220000000001</v>
      </c>
      <c r="H5708" s="1">
        <v>-3.6237070000000001E-6</v>
      </c>
      <c r="I5708">
        <v>33.844070000000002</v>
      </c>
      <c r="J5708">
        <v>-422.06979999999999</v>
      </c>
      <c r="K5708">
        <v>1.1102369999999999</v>
      </c>
      <c r="L5708">
        <v>47.379240000000003</v>
      </c>
      <c r="M5708">
        <v>-8.7000240000000006E-3</v>
      </c>
      <c r="N5708">
        <v>0</v>
      </c>
      <c r="O5708">
        <v>-0.99987199999999998</v>
      </c>
      <c r="P5708">
        <v>8.4310099999999992E-3</v>
      </c>
      <c r="Q5708">
        <v>2.906671E-3</v>
      </c>
      <c r="R5708">
        <v>-0.99996059999999998</v>
      </c>
      <c r="S5708">
        <v>0.25314330000000002</v>
      </c>
      <c r="T5708">
        <v>-0.2373314</v>
      </c>
      <c r="U5708">
        <v>-2.9994200000000002</v>
      </c>
      <c r="V5708">
        <v>-1.7146620000000001E-2</v>
      </c>
      <c r="W5708">
        <v>1.6335539999999999E-2</v>
      </c>
      <c r="X5708">
        <v>0.99971960000000004</v>
      </c>
      <c r="Y5708">
        <v>-9.2505219999999999E-2</v>
      </c>
      <c r="Z5708">
        <v>7.8566810000000001E-2</v>
      </c>
      <c r="AA5708">
        <v>0.99260769999999998</v>
      </c>
      <c r="AB5708">
        <v>25</v>
      </c>
      <c r="AC5708">
        <v>1.18759999999997</v>
      </c>
      <c r="AD5708">
        <v>-1.1102406237069999</v>
      </c>
      <c r="AE5708">
        <v>-13.535170000000001</v>
      </c>
      <c r="AF5708">
        <v>-1.2966642440266301</v>
      </c>
      <c r="AG5708">
        <v>-1.1102406237069999</v>
      </c>
      <c r="AH5708">
        <v>13.4346226836134</v>
      </c>
      <c r="AI5708">
        <v>94.702449468928606</v>
      </c>
      <c r="AJ5708">
        <v>95.5129182999964</v>
      </c>
      <c r="AK5708">
        <v>13.5426385558844</v>
      </c>
      <c r="AL5708">
        <v>89.064000933462097</v>
      </c>
      <c r="AM5708">
        <v>90.982608165035202</v>
      </c>
      <c r="AN5708">
        <v>1.0000000675343299</v>
      </c>
    </row>
    <row r="5709" spans="1:40" x14ac:dyDescent="0.25">
      <c r="A5709" t="str">
        <f>"20190312160802198"</f>
        <v>20190312160802198</v>
      </c>
      <c r="B5709" t="str">
        <f>"1552378082191001"</f>
        <v>1552378082191001</v>
      </c>
      <c r="C5709" t="s">
        <v>40</v>
      </c>
      <c r="D5709">
        <v>5.6012469999999999</v>
      </c>
      <c r="E5709">
        <v>0.46952650000000001</v>
      </c>
      <c r="F5709" t="s">
        <v>82</v>
      </c>
      <c r="G5709">
        <v>-420.8143</v>
      </c>
      <c r="H5709" s="1">
        <v>-3.9699550000000003E-6</v>
      </c>
      <c r="I5709">
        <v>33.156790000000001</v>
      </c>
      <c r="J5709">
        <v>-422.07119999999998</v>
      </c>
      <c r="K5709">
        <v>1.110331</v>
      </c>
      <c r="L5709">
        <v>47.125489999999999</v>
      </c>
      <c r="M5709">
        <v>-7.9379989999999994E-3</v>
      </c>
      <c r="N5709">
        <v>0</v>
      </c>
      <c r="O5709">
        <v>-0.99987720000000002</v>
      </c>
      <c r="P5709">
        <v>1.0905649999999999E-2</v>
      </c>
      <c r="Q5709">
        <v>2.686361E-3</v>
      </c>
      <c r="R5709">
        <v>-0.99993679999999996</v>
      </c>
      <c r="S5709">
        <v>0.26470949999999999</v>
      </c>
      <c r="T5709">
        <v>-0.2340757</v>
      </c>
      <c r="U5709">
        <v>-2.9985659999999998</v>
      </c>
      <c r="V5709">
        <v>-1.8862299999999999E-2</v>
      </c>
      <c r="W5709">
        <v>1.6164379999999999E-2</v>
      </c>
      <c r="X5709">
        <v>0.99969140000000001</v>
      </c>
      <c r="Y5709">
        <v>-9.5577400000000007E-2</v>
      </c>
      <c r="Z5709">
        <v>7.7494140000000003E-2</v>
      </c>
      <c r="AA5709">
        <v>0.99240090000000003</v>
      </c>
      <c r="AB5709">
        <v>25</v>
      </c>
      <c r="AC5709">
        <v>1.2568999999999699</v>
      </c>
      <c r="AD5709">
        <v>-1.110334969955</v>
      </c>
      <c r="AE5709">
        <v>-13.968699999999901</v>
      </c>
      <c r="AF5709">
        <v>-1.3592350434085501</v>
      </c>
      <c r="AG5709">
        <v>-1.110334969955</v>
      </c>
      <c r="AH5709">
        <v>13.8713430577978</v>
      </c>
      <c r="AI5709">
        <v>94.554774468651502</v>
      </c>
      <c r="AJ5709">
        <v>95.596473236627403</v>
      </c>
      <c r="AK5709">
        <v>13.9819355554175</v>
      </c>
      <c r="AL5709">
        <v>89.073808896463902</v>
      </c>
      <c r="AM5709">
        <v>91.080935537174497</v>
      </c>
      <c r="AN5709">
        <v>0.99999998438801696</v>
      </c>
    </row>
    <row r="5710" spans="1:40" x14ac:dyDescent="0.25">
      <c r="A5710" t="str">
        <f>"20190312160802220"</f>
        <v>20190312160802220</v>
      </c>
      <c r="B5710" t="str">
        <f>"1552378082211498"</f>
        <v>1552378082211498</v>
      </c>
      <c r="C5710" t="s">
        <v>40</v>
      </c>
      <c r="D5710">
        <v>5.6131510000000002</v>
      </c>
      <c r="E5710">
        <v>0.46950979999999998</v>
      </c>
      <c r="F5710" t="s">
        <v>82</v>
      </c>
      <c r="G5710">
        <v>-420.77080000000001</v>
      </c>
      <c r="H5710" s="1">
        <v>-4.1339569999999996E-6</v>
      </c>
      <c r="I5710">
        <v>32.829970000000003</v>
      </c>
      <c r="J5710">
        <v>-422.07209999999998</v>
      </c>
      <c r="K5710">
        <v>1.110419</v>
      </c>
      <c r="L5710">
        <v>46.886139999999997</v>
      </c>
      <c r="M5710">
        <v>-7.1106869999999897E-3</v>
      </c>
      <c r="N5710">
        <v>0</v>
      </c>
      <c r="O5710">
        <v>-0.99988319999999997</v>
      </c>
      <c r="P5710">
        <v>1.378093E-2</v>
      </c>
      <c r="Q5710">
        <v>2.6553140000000002E-3</v>
      </c>
      <c r="R5710">
        <v>-0.99990199999999996</v>
      </c>
      <c r="S5710">
        <v>0.27270509999999998</v>
      </c>
      <c r="T5710">
        <v>-0.2328421</v>
      </c>
      <c r="U5710">
        <v>-2.997833</v>
      </c>
      <c r="V5710">
        <v>-2.0913459999999998E-2</v>
      </c>
      <c r="W5710">
        <v>1.6171060000000001E-2</v>
      </c>
      <c r="X5710">
        <v>0.9996505</v>
      </c>
      <c r="Y5710">
        <v>-9.7403470000000006E-2</v>
      </c>
      <c r="Z5710">
        <v>7.709162E-2</v>
      </c>
      <c r="AA5710">
        <v>0.99225469999999905</v>
      </c>
      <c r="AB5710">
        <v>25</v>
      </c>
      <c r="AC5710">
        <v>1.3012999999999599</v>
      </c>
      <c r="AD5710">
        <v>-1.1104231339569901</v>
      </c>
      <c r="AE5710">
        <v>-14.05617</v>
      </c>
      <c r="AF5710">
        <v>-1.3926080814366599</v>
      </c>
      <c r="AG5710">
        <v>-1.1104231339569901</v>
      </c>
      <c r="AH5710">
        <v>13.9601777368621</v>
      </c>
      <c r="AI5710">
        <v>94.525489323670101</v>
      </c>
      <c r="AJ5710">
        <v>95.696737197711201</v>
      </c>
      <c r="AK5710">
        <v>14.0733421492441</v>
      </c>
      <c r="AL5710">
        <v>89.0734261242239</v>
      </c>
      <c r="AM5710">
        <v>91.1984970970435</v>
      </c>
      <c r="AN5710">
        <v>0.99999999907047199</v>
      </c>
    </row>
    <row r="5711" spans="1:40" x14ac:dyDescent="0.25">
      <c r="A5711" t="str">
        <f>"20190312160802241"</f>
        <v>20190312160802241</v>
      </c>
      <c r="B5711" t="str">
        <f>"1552378082231018"</f>
        <v>1552378082231018</v>
      </c>
      <c r="C5711" t="s">
        <v>40</v>
      </c>
      <c r="D5711">
        <v>6.3785379999999998</v>
      </c>
      <c r="E5711">
        <v>0.46947139999999998</v>
      </c>
      <c r="F5711" t="s">
        <v>82</v>
      </c>
      <c r="G5711">
        <v>-420.7167</v>
      </c>
      <c r="H5711" s="1">
        <v>-4.3141690000000003E-6</v>
      </c>
      <c r="I5711">
        <v>32.470120000000001</v>
      </c>
      <c r="J5711">
        <v>-422.07279999999997</v>
      </c>
      <c r="K5711">
        <v>1.110503</v>
      </c>
      <c r="L5711">
        <v>46.647739999999999</v>
      </c>
      <c r="M5711">
        <v>-6.1655950000000003E-3</v>
      </c>
      <c r="N5711">
        <v>0</v>
      </c>
      <c r="O5711">
        <v>-0.99988880000000002</v>
      </c>
      <c r="P5711">
        <v>1.6994080000000002E-2</v>
      </c>
      <c r="Q5711">
        <v>2.0765810000000001E-3</v>
      </c>
      <c r="R5711">
        <v>-0.99985360000000001</v>
      </c>
      <c r="S5711">
        <v>0.28179929999999997</v>
      </c>
      <c r="T5711">
        <v>-0.23085310000000001</v>
      </c>
      <c r="U5711">
        <v>-2.9970400000000001</v>
      </c>
      <c r="V5711">
        <v>-2.3183510000000001E-2</v>
      </c>
      <c r="W5711">
        <v>1.5622759999999999E-2</v>
      </c>
      <c r="X5711">
        <v>0.99960919999999998</v>
      </c>
      <c r="Y5711">
        <v>-9.9476350000000005E-2</v>
      </c>
      <c r="Z5711">
        <v>7.6439279999999998E-2</v>
      </c>
      <c r="AA5711">
        <v>0.99209950000000002</v>
      </c>
      <c r="AB5711">
        <v>25</v>
      </c>
      <c r="AC5711">
        <v>1.3560999999999599</v>
      </c>
      <c r="AD5711">
        <v>-1.1105073141689901</v>
      </c>
      <c r="AE5711">
        <v>-14.1776199999999</v>
      </c>
      <c r="AF5711">
        <v>-1.4347727795038201</v>
      </c>
      <c r="AG5711">
        <v>-1.1105073141689901</v>
      </c>
      <c r="AH5711">
        <v>14.083366148525799</v>
      </c>
      <c r="AI5711">
        <v>94.485459598239999</v>
      </c>
      <c r="AJ5711">
        <v>95.817059404983993</v>
      </c>
      <c r="AK5711">
        <v>14.1997535717022</v>
      </c>
      <c r="AL5711">
        <v>89.104845415729102</v>
      </c>
      <c r="AM5711">
        <v>91.328598405107996</v>
      </c>
      <c r="AN5711">
        <v>1.0000000492452801</v>
      </c>
    </row>
    <row r="5712" spans="1:40" x14ac:dyDescent="0.25">
      <c r="A5712" t="str">
        <f>"20190312160802265"</f>
        <v>20190312160802265</v>
      </c>
      <c r="B5712" t="str">
        <f>"1552378082251514"</f>
        <v>1552378082251514</v>
      </c>
      <c r="C5712" t="s">
        <v>40</v>
      </c>
      <c r="D5712">
        <v>5.580775</v>
      </c>
      <c r="E5712">
        <v>0.46945629999999999</v>
      </c>
      <c r="F5712" t="s">
        <v>82</v>
      </c>
      <c r="G5712">
        <v>-420.67259999999999</v>
      </c>
      <c r="H5712" s="1">
        <v>-4.4323059999999996E-6</v>
      </c>
      <c r="I5712">
        <v>32.233259999999902</v>
      </c>
      <c r="J5712">
        <v>-422.07310000000001</v>
      </c>
      <c r="K5712">
        <v>1.1106</v>
      </c>
      <c r="L5712">
        <v>46.396450000000002</v>
      </c>
      <c r="M5712">
        <v>-5.0183459999999999E-3</v>
      </c>
      <c r="N5712">
        <v>0</v>
      </c>
      <c r="O5712">
        <v>-0.99989490000000003</v>
      </c>
      <c r="P5712">
        <v>2.0598269999999998E-2</v>
      </c>
      <c r="Q5712">
        <v>1.7609100000000001E-3</v>
      </c>
      <c r="R5712">
        <v>-0.99978659999999997</v>
      </c>
      <c r="S5712">
        <v>0.29101559999999999</v>
      </c>
      <c r="T5712">
        <v>-0.23081299999999999</v>
      </c>
      <c r="U5712">
        <v>-2.9959720000000001</v>
      </c>
      <c r="V5712">
        <v>-2.564307E-2</v>
      </c>
      <c r="W5712">
        <v>1.5332399999999901E-2</v>
      </c>
      <c r="X5712">
        <v>0.99955360000000004</v>
      </c>
      <c r="Y5712">
        <v>-0.1013918</v>
      </c>
      <c r="Z5712">
        <v>7.6435279999999994E-2</v>
      </c>
      <c r="AA5712">
        <v>0.99190590000000001</v>
      </c>
      <c r="AB5712">
        <v>25</v>
      </c>
      <c r="AC5712">
        <v>1.4005000000000201</v>
      </c>
      <c r="AD5712">
        <v>-1.110604432306</v>
      </c>
      <c r="AE5712">
        <v>-14.16319</v>
      </c>
      <c r="AF5712">
        <v>-1.4626580910156699</v>
      </c>
      <c r="AG5712">
        <v>-1.110604432306</v>
      </c>
      <c r="AH5712">
        <v>14.070303804068599</v>
      </c>
      <c r="AI5712">
        <v>94.489052282036596</v>
      </c>
      <c r="AJ5712">
        <v>95.934783421271504</v>
      </c>
      <c r="AK5712">
        <v>14.1896532739549</v>
      </c>
      <c r="AL5712">
        <v>89.121483788708403</v>
      </c>
      <c r="AM5712">
        <v>91.469573500687304</v>
      </c>
      <c r="AN5712">
        <v>1.00000002440087</v>
      </c>
    </row>
    <row r="5713" spans="1:40" x14ac:dyDescent="0.25">
      <c r="A5713" t="str">
        <f>"20190312160802287"</f>
        <v>20190312160802287</v>
      </c>
      <c r="B5713" t="str">
        <f>"1552378082281770"</f>
        <v>1552378082281770</v>
      </c>
      <c r="C5713" t="s">
        <v>40</v>
      </c>
      <c r="D5713">
        <v>5.4569580000000002</v>
      </c>
      <c r="E5713">
        <v>0.46950809999999998</v>
      </c>
      <c r="F5713" t="s">
        <v>82</v>
      </c>
      <c r="G5713">
        <v>-420.61649999999997</v>
      </c>
      <c r="H5713" s="1">
        <v>-4.5782880000000004E-6</v>
      </c>
      <c r="I5713">
        <v>31.940359999999998</v>
      </c>
      <c r="J5713">
        <v>-422.0729</v>
      </c>
      <c r="K5713">
        <v>1.1107039999999999</v>
      </c>
      <c r="L5713">
        <v>46.14526</v>
      </c>
      <c r="M5713">
        <v>-3.7056620000000002E-3</v>
      </c>
      <c r="N5713">
        <v>0</v>
      </c>
      <c r="O5713">
        <v>-0.99990009999999996</v>
      </c>
      <c r="P5713">
        <v>2.408509E-2</v>
      </c>
      <c r="Q5713">
        <v>1.6398980000000001E-3</v>
      </c>
      <c r="R5713">
        <v>-0.99970879999999995</v>
      </c>
      <c r="S5713">
        <v>0.30175780000000002</v>
      </c>
      <c r="T5713">
        <v>-0.23008190000000001</v>
      </c>
      <c r="U5713">
        <v>-2.9948429999999999</v>
      </c>
      <c r="V5713">
        <v>-2.7821220000000001E-2</v>
      </c>
      <c r="W5713">
        <v>1.5230850000000001E-2</v>
      </c>
      <c r="X5713">
        <v>0.99949690000000002</v>
      </c>
      <c r="Y5713">
        <v>-0.103646699999999</v>
      </c>
      <c r="Z5713">
        <v>7.6201450000000004E-2</v>
      </c>
      <c r="AA5713">
        <v>0.99169079999999998</v>
      </c>
      <c r="AB5713">
        <v>25</v>
      </c>
      <c r="AC5713">
        <v>1.4564000000000299</v>
      </c>
      <c r="AD5713">
        <v>-1.110708578288</v>
      </c>
      <c r="AE5713">
        <v>-14.2049</v>
      </c>
      <c r="AF5713">
        <v>-1.4999581423667201</v>
      </c>
      <c r="AG5713">
        <v>-1.110708578288</v>
      </c>
      <c r="AH5713">
        <v>14.1140099450993</v>
      </c>
      <c r="AI5713">
        <v>94.474550368864101</v>
      </c>
      <c r="AJ5713">
        <v>96.066305671116496</v>
      </c>
      <c r="AK5713">
        <v>14.2368825486866</v>
      </c>
      <c r="AL5713">
        <v>89.127302855951399</v>
      </c>
      <c r="AM5713">
        <v>91.594429148646995</v>
      </c>
      <c r="AN5713">
        <v>1.00000002609181</v>
      </c>
    </row>
    <row r="5714" spans="1:40" x14ac:dyDescent="0.25">
      <c r="A5714" t="str">
        <f>"20190312160802309"</f>
        <v>20190312160802309</v>
      </c>
      <c r="B5714" t="str">
        <f>"1552378082301290"</f>
        <v>1552378082301290</v>
      </c>
      <c r="C5714" t="s">
        <v>40</v>
      </c>
      <c r="D5714">
        <v>5.5721579999999999</v>
      </c>
      <c r="E5714">
        <v>0.46953210000000001</v>
      </c>
      <c r="F5714" t="s">
        <v>82</v>
      </c>
      <c r="G5714">
        <v>-420.55329999999998</v>
      </c>
      <c r="H5714" s="1">
        <v>-4.7763759999999999E-6</v>
      </c>
      <c r="I5714">
        <v>31.54439</v>
      </c>
      <c r="J5714">
        <v>-422.07229999999998</v>
      </c>
      <c r="K5714">
        <v>1.110822</v>
      </c>
      <c r="L5714">
        <v>45.909700000000001</v>
      </c>
      <c r="M5714">
        <v>-2.314104E-3</v>
      </c>
      <c r="N5714">
        <v>0</v>
      </c>
      <c r="O5714">
        <v>-0.99990400000000002</v>
      </c>
      <c r="P5714">
        <v>2.6958989999999999E-2</v>
      </c>
      <c r="Q5714">
        <v>1.1535650000000001E-3</v>
      </c>
      <c r="R5714">
        <v>-0.99963590000000002</v>
      </c>
      <c r="S5714">
        <v>0.31158449999999999</v>
      </c>
      <c r="T5714">
        <v>-0.22773840000000001</v>
      </c>
      <c r="U5714">
        <v>-2.993744</v>
      </c>
      <c r="V5714">
        <v>-2.9306479999999999E-2</v>
      </c>
      <c r="W5714">
        <v>1.4758830000000001E-2</v>
      </c>
      <c r="X5714">
        <v>0.9994615</v>
      </c>
      <c r="Y5714">
        <v>-0.10552599999999999</v>
      </c>
      <c r="Z5714">
        <v>7.543764E-2</v>
      </c>
      <c r="AA5714">
        <v>0.99155099999999996</v>
      </c>
      <c r="AB5714">
        <v>25</v>
      </c>
      <c r="AC5714">
        <v>1.5189999999999999</v>
      </c>
      <c r="AD5714">
        <v>-1.110826776376</v>
      </c>
      <c r="AE5714">
        <v>-14.3653099999999</v>
      </c>
      <c r="AF5714">
        <v>-1.5431168630258301</v>
      </c>
      <c r="AG5714">
        <v>-1.110826776376</v>
      </c>
      <c r="AH5714">
        <v>14.2773292060979</v>
      </c>
      <c r="AI5714">
        <v>94.423195177273101</v>
      </c>
      <c r="AJ5714">
        <v>96.168674939336796</v>
      </c>
      <c r="AK5714">
        <v>14.403377209507701</v>
      </c>
      <c r="AL5714">
        <v>89.154350620964493</v>
      </c>
      <c r="AM5714">
        <v>91.679561069794602</v>
      </c>
      <c r="AN5714">
        <v>0.99999999140760398</v>
      </c>
    </row>
    <row r="5715" spans="1:40" x14ac:dyDescent="0.25">
      <c r="A5715" t="str">
        <f>"20190312160802330"</f>
        <v>20190312160802330</v>
      </c>
      <c r="B5715" t="str">
        <f>"1552378082320809"</f>
        <v>1552378082320809</v>
      </c>
      <c r="C5715" t="s">
        <v>40</v>
      </c>
      <c r="D5715">
        <v>5.3427939999999996</v>
      </c>
      <c r="E5715">
        <v>0.46964820000000002</v>
      </c>
      <c r="F5715" t="s">
        <v>82</v>
      </c>
      <c r="G5715">
        <v>-420.517</v>
      </c>
      <c r="H5715" s="1">
        <v>-4.8709789999999997E-6</v>
      </c>
      <c r="I5715">
        <v>31.354590000000002</v>
      </c>
      <c r="J5715">
        <v>-422.07119999999998</v>
      </c>
      <c r="K5715">
        <v>1.110949</v>
      </c>
      <c r="L5715">
        <v>45.674500000000002</v>
      </c>
      <c r="M5715">
        <v>-7.608844E-4</v>
      </c>
      <c r="N5715">
        <v>0</v>
      </c>
      <c r="O5715">
        <v>-0.99990610000000002</v>
      </c>
      <c r="P5715">
        <v>2.988905E-2</v>
      </c>
      <c r="Q5715">
        <v>8.850711E-4</v>
      </c>
      <c r="R5715">
        <v>-0.99955300000000002</v>
      </c>
      <c r="S5715">
        <v>0.31979370000000001</v>
      </c>
      <c r="T5715">
        <v>-0.22840189999999999</v>
      </c>
      <c r="U5715">
        <v>-2.992737</v>
      </c>
      <c r="V5715">
        <v>-3.0687699999999998E-2</v>
      </c>
      <c r="W5715">
        <v>1.450041E-2</v>
      </c>
      <c r="X5715">
        <v>0.99942390000000003</v>
      </c>
      <c r="Y5715">
        <v>-0.1067037</v>
      </c>
      <c r="Z5715">
        <v>7.5666049999999999E-2</v>
      </c>
      <c r="AA5715">
        <v>0.99140760000000006</v>
      </c>
      <c r="AB5715">
        <v>25</v>
      </c>
      <c r="AC5715">
        <v>1.55419999999998</v>
      </c>
      <c r="AD5715">
        <v>-1.1109538709789999</v>
      </c>
      <c r="AE5715">
        <v>-14.31991</v>
      </c>
      <c r="AF5715">
        <v>-1.5558410607762101</v>
      </c>
      <c r="AG5715">
        <v>-1.1109538709789999</v>
      </c>
      <c r="AH5715">
        <v>14.2340484185927</v>
      </c>
      <c r="AI5715">
        <v>94.4365161715737</v>
      </c>
      <c r="AJ5715">
        <v>96.237904877098998</v>
      </c>
      <c r="AK5715">
        <v>14.3618590124218</v>
      </c>
      <c r="AL5715">
        <v>89.169158641815301</v>
      </c>
      <c r="AM5715">
        <v>91.758736633806294</v>
      </c>
      <c r="AN5715">
        <v>1.00000006435633</v>
      </c>
    </row>
    <row r="5716" spans="1:40" x14ac:dyDescent="0.25">
      <c r="A5716" t="str">
        <f>"20190312160802353"</f>
        <v>20190312160802353</v>
      </c>
      <c r="B5716" t="str">
        <f>"1552378082341306"</f>
        <v>1552378082341306</v>
      </c>
      <c r="C5716" t="s">
        <v>40</v>
      </c>
      <c r="D5716">
        <v>5.3550129999999996</v>
      </c>
      <c r="E5716">
        <v>0.46981850000000003</v>
      </c>
      <c r="F5716" t="s">
        <v>82</v>
      </c>
      <c r="G5716">
        <v>-420.48360000000002</v>
      </c>
      <c r="H5716" s="1">
        <v>-4.9609609999999996E-6</v>
      </c>
      <c r="I5716">
        <v>31.174199999999999</v>
      </c>
      <c r="J5716">
        <v>-422.0693</v>
      </c>
      <c r="K5716">
        <v>1.111092</v>
      </c>
      <c r="L5716">
        <v>45.42371</v>
      </c>
      <c r="M5716">
        <v>1.082146E-3</v>
      </c>
      <c r="N5716">
        <v>0</v>
      </c>
      <c r="O5716">
        <v>-0.9999053</v>
      </c>
      <c r="P5716">
        <v>3.3395639999999997E-2</v>
      </c>
      <c r="Q5716">
        <v>1.0843980000000001E-3</v>
      </c>
      <c r="R5716">
        <v>-0.99944169999999999</v>
      </c>
      <c r="S5716">
        <v>0.32754519999999998</v>
      </c>
      <c r="T5716">
        <v>-0.22921649999999999</v>
      </c>
      <c r="U5716">
        <v>-2.9917600000000002</v>
      </c>
      <c r="V5716">
        <v>-3.2357440000000001E-2</v>
      </c>
      <c r="W5716">
        <v>1.4705910000000001E-2</v>
      </c>
      <c r="X5716">
        <v>0.99936820000000004</v>
      </c>
      <c r="Y5716">
        <v>-0.10744190000000001</v>
      </c>
      <c r="Z5716">
        <v>7.5945299999999993E-2</v>
      </c>
      <c r="AA5716">
        <v>0.99130649999999998</v>
      </c>
      <c r="AB5716">
        <v>24</v>
      </c>
      <c r="AC5716">
        <v>1.5856999999999699</v>
      </c>
      <c r="AD5716">
        <v>-1.111096960961</v>
      </c>
      <c r="AE5716">
        <v>-14.249510000000001</v>
      </c>
      <c r="AF5716">
        <v>-1.56090335217503</v>
      </c>
      <c r="AG5716">
        <v>-1.111096960961</v>
      </c>
      <c r="AH5716">
        <v>14.1661410868406</v>
      </c>
      <c r="AI5716">
        <v>94.457845203481298</v>
      </c>
      <c r="AJ5716">
        <v>96.287799632870801</v>
      </c>
      <c r="AK5716">
        <v>14.295121861102199</v>
      </c>
      <c r="AL5716">
        <v>89.1573830781645</v>
      </c>
      <c r="AM5716">
        <v>91.8544689610235</v>
      </c>
      <c r="AN5716">
        <v>1.00000003344176</v>
      </c>
    </row>
    <row r="5717" spans="1:40" x14ac:dyDescent="0.25">
      <c r="A5717" t="str">
        <f>"20190312160802377"</f>
        <v>20190312160802377</v>
      </c>
      <c r="B5717" t="str">
        <f>"1552378082371565"</f>
        <v>1552378082371565</v>
      </c>
      <c r="C5717" t="s">
        <v>40</v>
      </c>
      <c r="D5717">
        <v>5.3182179999999999</v>
      </c>
      <c r="E5717">
        <v>0.470082</v>
      </c>
      <c r="F5717" t="s">
        <v>82</v>
      </c>
      <c r="G5717">
        <v>-420.44499999999999</v>
      </c>
      <c r="H5717" s="1">
        <v>-5.0676319999999996E-6</v>
      </c>
      <c r="I5717">
        <v>30.960450000000002</v>
      </c>
      <c r="J5717">
        <v>-422.0668</v>
      </c>
      <c r="K5717">
        <v>1.111219</v>
      </c>
      <c r="L5717">
        <v>45.177549999999997</v>
      </c>
      <c r="M5717">
        <v>3.1027189999999999E-3</v>
      </c>
      <c r="N5717">
        <v>0</v>
      </c>
      <c r="O5717">
        <v>-0.99990100000000004</v>
      </c>
      <c r="P5717">
        <v>3.7171929999999999E-2</v>
      </c>
      <c r="Q5717">
        <v>7.9228939999999998E-4</v>
      </c>
      <c r="R5717">
        <v>-0.99930890000000006</v>
      </c>
      <c r="S5717">
        <v>0.33587650000000002</v>
      </c>
      <c r="T5717">
        <v>-0.22975100000000001</v>
      </c>
      <c r="U5717">
        <v>-2.9906920000000001</v>
      </c>
      <c r="V5717">
        <v>-3.4117849999999998E-2</v>
      </c>
      <c r="W5717">
        <v>1.44165E-2</v>
      </c>
      <c r="X5717">
        <v>0.99931380000000003</v>
      </c>
      <c r="Y5717">
        <v>-0.1081976</v>
      </c>
      <c r="Z5717">
        <v>7.6133060000000002E-2</v>
      </c>
      <c r="AA5717">
        <v>0.99120989999999998</v>
      </c>
      <c r="AB5717">
        <v>24</v>
      </c>
      <c r="AC5717">
        <v>1.6217999999999999</v>
      </c>
      <c r="AD5717">
        <v>-1.111224067632</v>
      </c>
      <c r="AE5717">
        <v>-14.217099999999901</v>
      </c>
      <c r="AF5717">
        <v>-1.5682189440461101</v>
      </c>
      <c r="AG5717">
        <v>-1.111224067632</v>
      </c>
      <c r="AH5717">
        <v>14.136809443346401</v>
      </c>
      <c r="AI5717">
        <v>94.467203498889006</v>
      </c>
      <c r="AJ5717">
        <v>96.330031961019301</v>
      </c>
      <c r="AK5717">
        <v>14.266867589714201</v>
      </c>
      <c r="AL5717">
        <v>89.173966752549006</v>
      </c>
      <c r="AM5717">
        <v>91.955391605656203</v>
      </c>
      <c r="AN5717">
        <v>0.99999996701565497</v>
      </c>
    </row>
    <row r="5718" spans="1:40" x14ac:dyDescent="0.25">
      <c r="A5718" t="str">
        <f>"20190312160802398"</f>
        <v>20190312160802398</v>
      </c>
      <c r="B5718" t="str">
        <f>"1552378082391082"</f>
        <v>1552378082391082</v>
      </c>
      <c r="C5718" t="s">
        <v>40</v>
      </c>
      <c r="D5718">
        <v>5.3835050000000004</v>
      </c>
      <c r="E5718">
        <v>0.47017629999999999</v>
      </c>
      <c r="F5718" t="s">
        <v>82</v>
      </c>
      <c r="G5718">
        <v>-420.39580000000001</v>
      </c>
      <c r="H5718" s="1">
        <v>-5.1958929999999997E-6</v>
      </c>
      <c r="I5718">
        <v>30.703119999999998</v>
      </c>
      <c r="J5718">
        <v>-422.06369999999998</v>
      </c>
      <c r="K5718">
        <v>1.1113309999999901</v>
      </c>
      <c r="L5718">
        <v>44.937469999999998</v>
      </c>
      <c r="M5718">
        <v>5.2478129999999996E-3</v>
      </c>
      <c r="N5718">
        <v>0</v>
      </c>
      <c r="O5718">
        <v>-0.99989189999999994</v>
      </c>
      <c r="P5718">
        <v>3.9887029999999997E-2</v>
      </c>
      <c r="Q5718">
        <v>1.556222E-4</v>
      </c>
      <c r="R5718">
        <v>-0.99920450000000005</v>
      </c>
      <c r="S5718">
        <v>0.34512330000000002</v>
      </c>
      <c r="T5718">
        <v>-0.2295015</v>
      </c>
      <c r="U5718">
        <v>-2.9894099999999999</v>
      </c>
      <c r="V5718">
        <v>-3.4691390000000003E-2</v>
      </c>
      <c r="W5718">
        <v>1.378427E-2</v>
      </c>
      <c r="X5718">
        <v>0.99930300000000005</v>
      </c>
      <c r="Y5718">
        <v>-0.1091394</v>
      </c>
      <c r="Z5718">
        <v>7.6064939999999998E-2</v>
      </c>
      <c r="AA5718">
        <v>0.99111190000000005</v>
      </c>
      <c r="AB5718">
        <v>24</v>
      </c>
      <c r="AC5718">
        <v>1.66789999999997</v>
      </c>
      <c r="AD5718">
        <v>-1.1113361958929999</v>
      </c>
      <c r="AE5718">
        <v>-14.234349999999999</v>
      </c>
      <c r="AF5718">
        <v>-1.5836482495073201</v>
      </c>
      <c r="AG5718">
        <v>-1.1113361958929999</v>
      </c>
      <c r="AH5718">
        <v>14.1577764670623</v>
      </c>
      <c r="AI5718">
        <v>94.460610340115295</v>
      </c>
      <c r="AJ5718">
        <v>96.382410776955496</v>
      </c>
      <c r="AK5718">
        <v>14.2893542334765</v>
      </c>
      <c r="AL5718">
        <v>89.210194486532203</v>
      </c>
      <c r="AM5718">
        <v>91.988258130443896</v>
      </c>
      <c r="AN5718">
        <v>0.99999999222428204</v>
      </c>
    </row>
    <row r="5719" spans="1:40" x14ac:dyDescent="0.25">
      <c r="A5719" t="str">
        <f>"20190312160802422"</f>
        <v>20190312160802422</v>
      </c>
      <c r="B5719" t="str">
        <f>"1552378082411578"</f>
        <v>1552378082411578</v>
      </c>
      <c r="C5719" t="s">
        <v>40</v>
      </c>
      <c r="D5719">
        <v>5.2727719999999998</v>
      </c>
      <c r="E5719">
        <v>0.47647060000000002</v>
      </c>
      <c r="F5719" t="s">
        <v>82</v>
      </c>
      <c r="G5719">
        <v>-420.36799999999999</v>
      </c>
      <c r="H5719" s="1">
        <v>-5.2699869999999998E-6</v>
      </c>
      <c r="I5719">
        <v>30.55453</v>
      </c>
      <c r="J5719">
        <v>-422.0598</v>
      </c>
      <c r="K5719">
        <v>1.1114310000000001</v>
      </c>
      <c r="L5719">
        <v>44.691040000000001</v>
      </c>
      <c r="M5719">
        <v>7.5920989999999997E-3</v>
      </c>
      <c r="N5719">
        <v>0</v>
      </c>
      <c r="O5719">
        <v>-0.9998764</v>
      </c>
      <c r="P5719">
        <v>4.2411999999999998E-2</v>
      </c>
      <c r="Q5719">
        <v>-1.72774E-4</v>
      </c>
      <c r="R5719">
        <v>-0.99910010000000005</v>
      </c>
      <c r="S5719">
        <v>0.35232540000000001</v>
      </c>
      <c r="T5719">
        <v>-0.23090469999999999</v>
      </c>
      <c r="U5719">
        <v>-2.9883730000000002</v>
      </c>
      <c r="V5719">
        <v>-3.4875469999999999E-2</v>
      </c>
      <c r="W5719">
        <v>1.346196E-2</v>
      </c>
      <c r="X5719">
        <v>0.99930099999999999</v>
      </c>
      <c r="Y5719">
        <v>-0.1092004</v>
      </c>
      <c r="Z5719">
        <v>7.6540949999999996E-2</v>
      </c>
      <c r="AA5719">
        <v>0.99106850000000002</v>
      </c>
      <c r="AB5719">
        <v>24</v>
      </c>
      <c r="AC5719">
        <v>1.69179999999994</v>
      </c>
      <c r="AD5719">
        <v>-1.111436269987</v>
      </c>
      <c r="AE5719">
        <v>-14.136509999999999</v>
      </c>
      <c r="AF5719">
        <v>-1.57481819503392</v>
      </c>
      <c r="AG5719">
        <v>-1.111436269987</v>
      </c>
      <c r="AH5719">
        <v>14.063245375827499</v>
      </c>
      <c r="AI5719">
        <v>94.490813093180407</v>
      </c>
      <c r="AJ5719">
        <v>96.3894278828284</v>
      </c>
      <c r="AK5719">
        <v>14.1947248451806</v>
      </c>
      <c r="AL5719">
        <v>89.228663213713602</v>
      </c>
      <c r="AM5719">
        <v>91.998803719116793</v>
      </c>
      <c r="AN5719">
        <v>1.0000000056878799</v>
      </c>
    </row>
    <row r="5720" spans="1:40" x14ac:dyDescent="0.25">
      <c r="A5720" t="str">
        <f>"20190312160802442"</f>
        <v>20190312160802442</v>
      </c>
      <c r="B5720" t="str">
        <f>"1552378082431098"</f>
        <v>1552378082431098</v>
      </c>
      <c r="C5720" t="s">
        <v>40</v>
      </c>
      <c r="D5720">
        <v>5.2329660000000002</v>
      </c>
      <c r="E5720">
        <v>0.4768733</v>
      </c>
      <c r="F5720" t="s">
        <v>82</v>
      </c>
      <c r="G5720">
        <v>-419.60919999999999</v>
      </c>
      <c r="H5720" s="1">
        <v>-6.4615800000000004E-6</v>
      </c>
      <c r="I5720">
        <v>21.190670000000001</v>
      </c>
      <c r="J5720">
        <v>-422.05549999999999</v>
      </c>
      <c r="K5720">
        <v>1.111505</v>
      </c>
      <c r="L5720">
        <v>44.464260000000003</v>
      </c>
      <c r="M5720">
        <v>9.8615070000000003E-3</v>
      </c>
      <c r="N5720">
        <v>0</v>
      </c>
      <c r="O5720">
        <v>-0.99985670000000004</v>
      </c>
      <c r="P5720">
        <v>4.4094179999999997E-2</v>
      </c>
      <c r="Q5720" s="1">
        <v>-9.6939039999999997E-6</v>
      </c>
      <c r="R5720">
        <v>-0.99902780000000002</v>
      </c>
      <c r="S5720">
        <v>0.31173709999999999</v>
      </c>
      <c r="T5720">
        <v>-0.14138399999999901</v>
      </c>
      <c r="U5720">
        <v>-2.9894409999999998</v>
      </c>
      <c r="V5720">
        <v>-3.4292629999999998E-2</v>
      </c>
      <c r="W5720">
        <v>1.363266E-2</v>
      </c>
      <c r="X5720">
        <v>0.99931879999999995</v>
      </c>
      <c r="Y5720">
        <v>-9.3788070000000001E-2</v>
      </c>
      <c r="Z5720">
        <v>4.7006949999999999E-2</v>
      </c>
      <c r="AA5720">
        <v>0.99448190000000003</v>
      </c>
      <c r="AB5720">
        <v>24</v>
      </c>
      <c r="AC5720">
        <v>2.4462999999999999</v>
      </c>
      <c r="AD5720">
        <v>-1.1115114615799999</v>
      </c>
      <c r="AE5720">
        <v>-23.273589999999899</v>
      </c>
      <c r="AF5720">
        <v>-2.2116572377295598</v>
      </c>
      <c r="AG5720">
        <v>-1.1115114615799999</v>
      </c>
      <c r="AH5720">
        <v>23.244146968457098</v>
      </c>
      <c r="AI5720">
        <v>92.725449687505204</v>
      </c>
      <c r="AJ5720">
        <v>95.4352728434433</v>
      </c>
      <c r="AK5720">
        <v>23.375569592154498</v>
      </c>
      <c r="AL5720">
        <v>89.218881882263204</v>
      </c>
      <c r="AM5720">
        <v>91.965391085454996</v>
      </c>
      <c r="AN5720">
        <v>0.999999948962214</v>
      </c>
    </row>
    <row r="5721" spans="1:40" x14ac:dyDescent="0.25">
      <c r="A5721" t="str">
        <f>"20190312160802466"</f>
        <v>20190312160802466</v>
      </c>
      <c r="B5721" t="str">
        <f>"1552378082461354"</f>
        <v>1552378082461354</v>
      </c>
      <c r="C5721" t="s">
        <v>40</v>
      </c>
      <c r="D5721">
        <v>5.2449830000000004</v>
      </c>
      <c r="E5721">
        <v>0.47679070000000001</v>
      </c>
      <c r="F5721" t="s">
        <v>82</v>
      </c>
      <c r="G5721">
        <v>-419.50749999999999</v>
      </c>
      <c r="H5721" s="1">
        <v>-6.3841259999999999E-6</v>
      </c>
      <c r="I5721">
        <v>20.18468</v>
      </c>
      <c r="J5721">
        <v>-422.05020000000002</v>
      </c>
      <c r="K5721">
        <v>1.111572</v>
      </c>
      <c r="L5721">
        <v>44.2149</v>
      </c>
      <c r="M5721">
        <v>1.2472840000000001E-2</v>
      </c>
      <c r="N5721">
        <v>0</v>
      </c>
      <c r="O5721">
        <v>-0.99982720000000003</v>
      </c>
      <c r="P5721">
        <v>4.6604130000000001E-2</v>
      </c>
      <c r="Q5721">
        <v>-3.440998E-4</v>
      </c>
      <c r="R5721">
        <v>-0.99891379999999996</v>
      </c>
      <c r="S5721">
        <v>0.31369019999999997</v>
      </c>
      <c r="T5721">
        <v>-0.13683879999999901</v>
      </c>
      <c r="U5721">
        <v>-2.9890750000000001</v>
      </c>
      <c r="V5721">
        <v>-3.419461E-2</v>
      </c>
      <c r="W5721">
        <v>1.330462E-2</v>
      </c>
      <c r="X5721">
        <v>0.99932659999999995</v>
      </c>
      <c r="Y5721">
        <v>-9.1850280000000006E-2</v>
      </c>
      <c r="Z5721">
        <v>4.55051E-2</v>
      </c>
      <c r="AA5721">
        <v>0.99473259999999997</v>
      </c>
      <c r="AB5721">
        <v>24</v>
      </c>
      <c r="AC5721">
        <v>2.5427000000000199</v>
      </c>
      <c r="AD5721">
        <v>-1.1115783841259901</v>
      </c>
      <c r="AE5721">
        <v>-24.03022</v>
      </c>
      <c r="AF5721">
        <v>-2.2380128187366202</v>
      </c>
      <c r="AG5721">
        <v>-1.1115783841259901</v>
      </c>
      <c r="AH5721">
        <v>24.0092628782281</v>
      </c>
      <c r="AI5721">
        <v>92.639355676928602</v>
      </c>
      <c r="AJ5721">
        <v>95.325412232442105</v>
      </c>
      <c r="AK5721">
        <v>24.138952169403399</v>
      </c>
      <c r="AL5721">
        <v>89.237678910999705</v>
      </c>
      <c r="AM5721">
        <v>91.959762431552406</v>
      </c>
      <c r="AN5721">
        <v>0.99999996886697695</v>
      </c>
    </row>
    <row r="5722" spans="1:40" x14ac:dyDescent="0.25">
      <c r="A5722" t="str">
        <f>"20190312160802510"</f>
        <v>20190312160802510</v>
      </c>
      <c r="B5722" t="str">
        <f>"1552378082501370"</f>
        <v>1552378082501370</v>
      </c>
      <c r="C5722" t="s">
        <v>40</v>
      </c>
      <c r="D5722">
        <v>5.1859919999999997</v>
      </c>
      <c r="E5722">
        <v>0.47681079999999998</v>
      </c>
      <c r="F5722" t="s">
        <v>82</v>
      </c>
      <c r="G5722">
        <v>-419.45479999999998</v>
      </c>
      <c r="H5722" s="1">
        <v>-6.3950499999999999E-6</v>
      </c>
      <c r="I5722">
        <v>20.11713</v>
      </c>
      <c r="J5722">
        <v>-422.03769999999997</v>
      </c>
      <c r="K5722">
        <v>1.1116870000000001</v>
      </c>
      <c r="L5722">
        <v>43.734070000000003</v>
      </c>
      <c r="M5722">
        <v>1.779267E-2</v>
      </c>
      <c r="N5722">
        <v>0</v>
      </c>
      <c r="O5722">
        <v>-0.99974620000000003</v>
      </c>
      <c r="P5722">
        <v>5.2068709999999997E-2</v>
      </c>
      <c r="Q5722">
        <v>1.2763450000000001E-4</v>
      </c>
      <c r="R5722">
        <v>-0.99864370000000002</v>
      </c>
      <c r="S5722">
        <v>0.32183840000000002</v>
      </c>
      <c r="T5722">
        <v>-0.13783870000000001</v>
      </c>
      <c r="U5722">
        <v>-2.9881899999999999</v>
      </c>
      <c r="V5722">
        <v>-3.4350690000000003E-2</v>
      </c>
      <c r="W5722">
        <v>1.3783800000000001E-2</v>
      </c>
      <c r="X5722">
        <v>0.99931479999999995</v>
      </c>
      <c r="Y5722">
        <v>-8.9262599999999998E-2</v>
      </c>
      <c r="Z5722">
        <v>4.5843679999999998E-2</v>
      </c>
      <c r="AA5722">
        <v>0.99495259999999996</v>
      </c>
      <c r="AB5722">
        <v>24</v>
      </c>
      <c r="AC5722">
        <v>2.5828999999999902</v>
      </c>
      <c r="AD5722">
        <v>-1.1116933950499901</v>
      </c>
      <c r="AE5722">
        <v>-23.61694</v>
      </c>
      <c r="AF5722">
        <v>-2.1575184574301698</v>
      </c>
      <c r="AG5722">
        <v>-1.1116933950499901</v>
      </c>
      <c r="AH5722">
        <v>23.6074715176957</v>
      </c>
      <c r="AI5722">
        <v>92.684936140445004</v>
      </c>
      <c r="AJ5722">
        <v>95.221832072831603</v>
      </c>
      <c r="AK5722">
        <v>23.731908047132698</v>
      </c>
      <c r="AL5722">
        <v>89.210221437101396</v>
      </c>
      <c r="AM5722">
        <v>91.968723898054407</v>
      </c>
      <c r="AN5722">
        <v>1.00000001627247</v>
      </c>
    </row>
    <row r="5723" spans="1:40" x14ac:dyDescent="0.25">
      <c r="A5723" t="str">
        <f>"20190312160802532"</f>
        <v>20190312160802532</v>
      </c>
      <c r="B5723" t="str">
        <f>"1552378082521866"</f>
        <v>1552378082521866</v>
      </c>
      <c r="C5723" t="s">
        <v>40</v>
      </c>
      <c r="D5723">
        <v>5.1737159999999998</v>
      </c>
      <c r="E5723">
        <v>0.40809420000000002</v>
      </c>
      <c r="F5723" t="s">
        <v>82</v>
      </c>
      <c r="G5723">
        <v>-419.2833</v>
      </c>
      <c r="H5723" s="1">
        <v>-1.271728E-5</v>
      </c>
      <c r="I5723">
        <v>19.38672</v>
      </c>
      <c r="J5723">
        <v>-422.03039999999999</v>
      </c>
      <c r="K5723">
        <v>1.111737</v>
      </c>
      <c r="L5723">
        <v>43.497340000000001</v>
      </c>
      <c r="M5723">
        <v>2.0523659999999999E-2</v>
      </c>
      <c r="N5723">
        <v>0</v>
      </c>
      <c r="O5723">
        <v>-0.99969419999999998</v>
      </c>
      <c r="P5723">
        <v>5.5428869999999998E-2</v>
      </c>
      <c r="Q5723">
        <v>-3.2548320000000001E-4</v>
      </c>
      <c r="R5723">
        <v>-0.99846290000000004</v>
      </c>
      <c r="S5723">
        <v>0.337860099999999</v>
      </c>
      <c r="T5723">
        <v>-0.1363627</v>
      </c>
      <c r="U5723">
        <v>-2.9864809999999999</v>
      </c>
      <c r="V5723">
        <v>-3.4983229999999997E-2</v>
      </c>
      <c r="W5723">
        <v>1.3330369999999999E-2</v>
      </c>
      <c r="X5723">
        <v>0.99929900000000005</v>
      </c>
      <c r="Y5723">
        <v>-9.1877920000000002E-2</v>
      </c>
      <c r="Z5723">
        <v>4.5357260000000003E-2</v>
      </c>
      <c r="AA5723">
        <v>0.99473670000000003</v>
      </c>
      <c r="AB5723">
        <v>24</v>
      </c>
      <c r="AC5723">
        <v>2.7470999999999801</v>
      </c>
      <c r="AD5723">
        <v>-1.1117497172799999</v>
      </c>
      <c r="AE5723">
        <v>-24.110620000000001</v>
      </c>
      <c r="AF5723">
        <v>-2.24691990398623</v>
      </c>
      <c r="AG5723">
        <v>-1.1117497172799999</v>
      </c>
      <c r="AH5723">
        <v>24.1113187582324</v>
      </c>
      <c r="AI5723">
        <v>92.628610409998799</v>
      </c>
      <c r="AJ5723">
        <v>95.323984574718594</v>
      </c>
      <c r="AK5723">
        <v>24.2412938753255</v>
      </c>
      <c r="AL5723">
        <v>89.236203443881706</v>
      </c>
      <c r="AM5723">
        <v>92.004978701088206</v>
      </c>
      <c r="AN5723">
        <v>1.0000000082732801</v>
      </c>
    </row>
    <row r="5724" spans="1:40" x14ac:dyDescent="0.25">
      <c r="A5724" t="str">
        <f>"20190312160802555"</f>
        <v>20190312160802555</v>
      </c>
      <c r="B5724" t="str">
        <f>"1552378082551146"</f>
        <v>1552378082551146</v>
      </c>
      <c r="C5724" t="s">
        <v>40</v>
      </c>
      <c r="D5724">
        <v>5.2071550000000002</v>
      </c>
      <c r="E5724">
        <v>0.36668469999999997</v>
      </c>
      <c r="F5724" t="s">
        <v>82</v>
      </c>
      <c r="G5724">
        <v>-418.58789999999999</v>
      </c>
      <c r="H5724" s="1">
        <v>-4.766567E-6</v>
      </c>
      <c r="I5724">
        <v>32.091920000000002</v>
      </c>
      <c r="J5724">
        <v>-422.02229999999997</v>
      </c>
      <c r="K5724">
        <v>1.1117779999999999</v>
      </c>
      <c r="L5724">
        <v>43.257510000000003</v>
      </c>
      <c r="M5724">
        <v>2.3354090000000001E-2</v>
      </c>
      <c r="N5724">
        <v>0</v>
      </c>
      <c r="O5724">
        <v>-0.99963190000000002</v>
      </c>
      <c r="P5724">
        <v>5.9272619999999998E-2</v>
      </c>
      <c r="Q5724">
        <v>-1.211866E-3</v>
      </c>
      <c r="R5724">
        <v>-0.99824139999999995</v>
      </c>
      <c r="S5724">
        <v>0.89190669999999905</v>
      </c>
      <c r="T5724">
        <v>-0.28803959999999901</v>
      </c>
      <c r="U5724">
        <v>-2.9550169999999998</v>
      </c>
      <c r="V5724">
        <v>-3.5998580000000002E-2</v>
      </c>
      <c r="W5724">
        <v>1.244162E-2</v>
      </c>
      <c r="X5724">
        <v>0.99927440000000001</v>
      </c>
      <c r="Y5724">
        <v>-0.26525840000000001</v>
      </c>
      <c r="Z5724">
        <v>9.3181650000000005E-2</v>
      </c>
      <c r="AA5724">
        <v>0.95966410000000002</v>
      </c>
      <c r="AB5724">
        <v>24</v>
      </c>
      <c r="AC5724">
        <v>3.4343999999999801</v>
      </c>
      <c r="AD5724">
        <v>-1.1117827665669999</v>
      </c>
      <c r="AE5724">
        <v>-11.1655899999999</v>
      </c>
      <c r="AF5724">
        <v>-3.1441969239605001</v>
      </c>
      <c r="AG5724">
        <v>-1.1117827665669999</v>
      </c>
      <c r="AH5724">
        <v>11.1418397814501</v>
      </c>
      <c r="AI5724">
        <v>95.485514064583299</v>
      </c>
      <c r="AJ5724">
        <v>105.758922214104</v>
      </c>
      <c r="AK5724">
        <v>11.6302462971419</v>
      </c>
      <c r="AL5724">
        <v>89.287129298022407</v>
      </c>
      <c r="AM5724">
        <v>92.063172181432293</v>
      </c>
      <c r="AN5724">
        <v>1.0000000090828001</v>
      </c>
    </row>
    <row r="5725" spans="1:40" x14ac:dyDescent="0.25">
      <c r="A5725" t="str">
        <f>"20190312160802577"</f>
        <v>20190312160802577</v>
      </c>
      <c r="B5725" t="str">
        <f>"1552378082571645"</f>
        <v>1552378082571645</v>
      </c>
      <c r="C5725" t="s">
        <v>40</v>
      </c>
      <c r="D5725">
        <v>5.1841679999999997</v>
      </c>
      <c r="E5725">
        <v>0.36734319999999998</v>
      </c>
      <c r="F5725" t="s">
        <v>82</v>
      </c>
      <c r="G5725">
        <v>-412.45729999999998</v>
      </c>
      <c r="H5725" s="1">
        <v>-8.9846649999999998E-6</v>
      </c>
      <c r="I5725">
        <v>20.571300000000001</v>
      </c>
      <c r="J5725">
        <v>-422.01310000000001</v>
      </c>
      <c r="K5725">
        <v>1.111812</v>
      </c>
      <c r="L5725">
        <v>43.011870000000002</v>
      </c>
      <c r="M5725">
        <v>2.631327E-2</v>
      </c>
      <c r="N5725">
        <v>0</v>
      </c>
      <c r="O5725">
        <v>-0.99955819999999995</v>
      </c>
      <c r="P5725">
        <v>6.3181639999999997E-2</v>
      </c>
      <c r="Q5725">
        <v>-1.992728E-3</v>
      </c>
      <c r="R5725">
        <v>-0.99800029999999995</v>
      </c>
      <c r="S5725">
        <v>1.236084</v>
      </c>
      <c r="T5725">
        <v>-0.1436759</v>
      </c>
      <c r="U5725">
        <v>-2.9317319999999998</v>
      </c>
      <c r="V5725">
        <v>-3.695093E-2</v>
      </c>
      <c r="W5725">
        <v>1.165823E-2</v>
      </c>
      <c r="X5725">
        <v>0.9992491</v>
      </c>
      <c r="Y5725">
        <v>-0.36372139999999997</v>
      </c>
      <c r="Z5725">
        <v>4.5319650000000003E-2</v>
      </c>
      <c r="AA5725">
        <v>0.93040469999999997</v>
      </c>
      <c r="AB5725">
        <v>24</v>
      </c>
      <c r="AC5725">
        <v>9.5558000000000298</v>
      </c>
      <c r="AD5725">
        <v>-1.111820984665</v>
      </c>
      <c r="AE5725">
        <v>-22.440570000000001</v>
      </c>
      <c r="AF5725">
        <v>-8.9433657496836805</v>
      </c>
      <c r="AG5725">
        <v>-1.111820984665</v>
      </c>
      <c r="AH5725">
        <v>22.6372281300916</v>
      </c>
      <c r="AI5725">
        <v>92.615399050654204</v>
      </c>
      <c r="AJ5725">
        <v>111.557655689808</v>
      </c>
      <c r="AK5725">
        <v>24.365221818164599</v>
      </c>
      <c r="AL5725">
        <v>89.332017508927294</v>
      </c>
      <c r="AM5725">
        <v>92.117758347902495</v>
      </c>
      <c r="AN5725">
        <v>1.0000000247027001</v>
      </c>
    </row>
    <row r="5726" spans="1:40" x14ac:dyDescent="0.25">
      <c r="A5726" t="str">
        <f>"20190312160802599"</f>
        <v>20190312160802599</v>
      </c>
      <c r="B5726" t="str">
        <f>"1552378082591163"</f>
        <v>1552378082591163</v>
      </c>
      <c r="C5726" t="s">
        <v>40</v>
      </c>
      <c r="D5726">
        <v>5.1649469999999997</v>
      </c>
      <c r="E5726">
        <v>0.36773109999999998</v>
      </c>
      <c r="F5726" t="s">
        <v>82</v>
      </c>
      <c r="G5726">
        <v>-412.9194</v>
      </c>
      <c r="H5726" s="1">
        <v>-8.9178150000000006E-6</v>
      </c>
      <c r="I5726">
        <v>21.584309999999999</v>
      </c>
      <c r="J5726">
        <v>-422.00349999999997</v>
      </c>
      <c r="K5726">
        <v>1.111828</v>
      </c>
      <c r="L5726">
        <v>42.775359999999999</v>
      </c>
      <c r="M5726">
        <v>2.9200500000000001E-2</v>
      </c>
      <c r="N5726">
        <v>0</v>
      </c>
      <c r="O5726">
        <v>-0.99947790000000003</v>
      </c>
      <c r="P5726">
        <v>6.6014539999999997E-2</v>
      </c>
      <c r="Q5726">
        <v>-2.6278540000000002E-3</v>
      </c>
      <c r="R5726">
        <v>-0.99781540000000002</v>
      </c>
      <c r="S5726">
        <v>1.242218</v>
      </c>
      <c r="T5726">
        <v>-0.1518776</v>
      </c>
      <c r="U5726">
        <v>-2.927063</v>
      </c>
      <c r="V5726">
        <v>-3.6899260000000003E-2</v>
      </c>
      <c r="W5726">
        <v>1.1025989999999999E-2</v>
      </c>
      <c r="X5726">
        <v>0.99925819999999999</v>
      </c>
      <c r="Y5726">
        <v>-0.36316769999999998</v>
      </c>
      <c r="Z5726">
        <v>4.7951420000000002E-2</v>
      </c>
      <c r="AA5726">
        <v>0.93048909999999996</v>
      </c>
      <c r="AB5726">
        <v>24</v>
      </c>
      <c r="AC5726">
        <v>9.0840999999999692</v>
      </c>
      <c r="AD5726">
        <v>-1.111836917815</v>
      </c>
      <c r="AE5726">
        <v>-21.191050000000001</v>
      </c>
      <c r="AF5726">
        <v>-8.4417460288694297</v>
      </c>
      <c r="AG5726">
        <v>-1.111836917815</v>
      </c>
      <c r="AH5726">
        <v>21.3975379824352</v>
      </c>
      <c r="AI5726">
        <v>92.767258318478497</v>
      </c>
      <c r="AJ5726">
        <v>111.53020120846401</v>
      </c>
      <c r="AK5726">
        <v>23.029413563039402</v>
      </c>
      <c r="AL5726">
        <v>89.3682445316024</v>
      </c>
      <c r="AM5726">
        <v>92.114780448893598</v>
      </c>
      <c r="AN5726">
        <v>1.0000000390556301</v>
      </c>
    </row>
    <row r="5727" spans="1:40" x14ac:dyDescent="0.25">
      <c r="A5727" t="str">
        <f>"20190312160802622"</f>
        <v>20190312160802622</v>
      </c>
      <c r="B5727" t="str">
        <f>"1552378082611658"</f>
        <v>1552378082611658</v>
      </c>
      <c r="C5727" t="s">
        <v>40</v>
      </c>
      <c r="D5727">
        <v>5.1427519999999998</v>
      </c>
      <c r="E5727">
        <v>0.36839309999999997</v>
      </c>
      <c r="F5727" t="s">
        <v>82</v>
      </c>
      <c r="G5727">
        <v>-412.74369999999999</v>
      </c>
      <c r="H5727" s="1">
        <v>-8.9310509999999992E-6</v>
      </c>
      <c r="I5727">
        <v>21.077030000000001</v>
      </c>
      <c r="J5727">
        <v>-421.99310000000003</v>
      </c>
      <c r="K5727">
        <v>1.1118349999999999</v>
      </c>
      <c r="L5727">
        <v>42.532870000000003</v>
      </c>
      <c r="M5727">
        <v>3.218969E-2</v>
      </c>
      <c r="N5727">
        <v>0</v>
      </c>
      <c r="O5727">
        <v>-0.99938610000000005</v>
      </c>
      <c r="P5727">
        <v>6.8805939999999996E-2</v>
      </c>
      <c r="Q5727">
        <v>-2.7944810000000001E-3</v>
      </c>
      <c r="R5727">
        <v>-0.99762649999999997</v>
      </c>
      <c r="S5727">
        <v>1.247681</v>
      </c>
      <c r="T5727">
        <v>-0.14980950000000001</v>
      </c>
      <c r="U5727">
        <v>-2.923645</v>
      </c>
      <c r="V5727">
        <v>-3.6705399999999999E-2</v>
      </c>
      <c r="W5727">
        <v>1.086292E-2</v>
      </c>
      <c r="X5727">
        <v>0.99926709999999996</v>
      </c>
      <c r="Y5727">
        <v>-0.36225580000000002</v>
      </c>
      <c r="Z5727">
        <v>4.7336240000000002E-2</v>
      </c>
      <c r="AA5727">
        <v>0.93087600000000004</v>
      </c>
      <c r="AB5727">
        <v>24</v>
      </c>
      <c r="AC5727">
        <v>9.2494000000000298</v>
      </c>
      <c r="AD5727">
        <v>-1.111843931051</v>
      </c>
      <c r="AE5727">
        <v>-21.455839999999998</v>
      </c>
      <c r="AF5727">
        <v>-8.53455650169313</v>
      </c>
      <c r="AG5727">
        <v>-1.111843931051</v>
      </c>
      <c r="AH5727">
        <v>21.693358309040299</v>
      </c>
      <c r="AI5727">
        <v>92.730621470546197</v>
      </c>
      <c r="AJ5727">
        <v>111.475566688741</v>
      </c>
      <c r="AK5727">
        <v>23.338308557648599</v>
      </c>
      <c r="AL5727">
        <v>89.377588297591103</v>
      </c>
      <c r="AM5727">
        <v>92.103661180947199</v>
      </c>
      <c r="AN5727">
        <v>1.0000000132812401</v>
      </c>
    </row>
    <row r="5728" spans="1:40" x14ac:dyDescent="0.25">
      <c r="A5728" t="str">
        <f>"20190312160802644"</f>
        <v>20190312160802644</v>
      </c>
      <c r="B5728" t="str">
        <f>"1552378082641915"</f>
        <v>1552378082641915</v>
      </c>
      <c r="C5728" t="s">
        <v>40</v>
      </c>
      <c r="D5728">
        <v>5.1588139999999996</v>
      </c>
      <c r="E5728">
        <v>0.3690312</v>
      </c>
      <c r="F5728" t="s">
        <v>82</v>
      </c>
      <c r="G5728">
        <v>-412.57850000000002</v>
      </c>
      <c r="H5728" s="1">
        <v>-8.938036E-6</v>
      </c>
      <c r="I5728">
        <v>20.545739999999999</v>
      </c>
      <c r="J5728">
        <v>-421.98230000000001</v>
      </c>
      <c r="K5728">
        <v>1.111837</v>
      </c>
      <c r="L5728">
        <v>42.30133</v>
      </c>
      <c r="M5728">
        <v>3.5061500000000002E-2</v>
      </c>
      <c r="N5728">
        <v>0</v>
      </c>
      <c r="O5728">
        <v>-0.99928930000000005</v>
      </c>
      <c r="P5728">
        <v>7.1310330000000005E-2</v>
      </c>
      <c r="Q5728">
        <v>-2.8494639999999999E-3</v>
      </c>
      <c r="R5728">
        <v>-0.99745039999999996</v>
      </c>
      <c r="S5728">
        <v>1.2505189999999999</v>
      </c>
      <c r="T5728">
        <v>-0.1476837</v>
      </c>
      <c r="U5728">
        <v>-2.9205019999999999</v>
      </c>
      <c r="V5728">
        <v>-3.6341859999999997E-2</v>
      </c>
      <c r="W5728">
        <v>1.0811899999999999E-2</v>
      </c>
      <c r="X5728">
        <v>0.99928090000000003</v>
      </c>
      <c r="Y5728">
        <v>-0.36071520000000001</v>
      </c>
      <c r="Z5728">
        <v>4.6711160000000002E-2</v>
      </c>
      <c r="AA5728">
        <v>0.93150560000000004</v>
      </c>
      <c r="AB5728">
        <v>24</v>
      </c>
      <c r="AC5728">
        <v>9.4037999999999897</v>
      </c>
      <c r="AD5728">
        <v>-1.111845938036</v>
      </c>
      <c r="AE5728">
        <v>-21.755589999999899</v>
      </c>
      <c r="AF5728">
        <v>-8.6161988677285404</v>
      </c>
      <c r="AG5728">
        <v>-1.111845938036</v>
      </c>
      <c r="AH5728">
        <v>22.023487519778101</v>
      </c>
      <c r="AI5728">
        <v>92.691755975552894</v>
      </c>
      <c r="AJ5728">
        <v>111.36681484656</v>
      </c>
      <c r="AK5728">
        <v>23.6750731118617</v>
      </c>
      <c r="AL5728">
        <v>89.380511674662998</v>
      </c>
      <c r="AM5728">
        <v>92.082815667709298</v>
      </c>
      <c r="AN5728">
        <v>0.99999997253733897</v>
      </c>
    </row>
    <row r="5729" spans="1:40" x14ac:dyDescent="0.25">
      <c r="A5729" t="str">
        <f>"20190312160802667"</f>
        <v>20190312160802667</v>
      </c>
      <c r="B5729" t="str">
        <f>"1552378082661435"</f>
        <v>1552378082661435</v>
      </c>
      <c r="C5729" t="s">
        <v>40</v>
      </c>
      <c r="D5729">
        <v>5.1578119999999998</v>
      </c>
      <c r="E5729">
        <v>0.36922729999999998</v>
      </c>
      <c r="F5729" t="s">
        <v>82</v>
      </c>
      <c r="G5729">
        <v>-412.49059999999997</v>
      </c>
      <c r="H5729" s="1">
        <v>-8.9354820000000002E-6</v>
      </c>
      <c r="I5729">
        <v>20.200410000000002</v>
      </c>
      <c r="J5729">
        <v>-421.97019999999998</v>
      </c>
      <c r="K5729">
        <v>1.1118349999999999</v>
      </c>
      <c r="L5729">
        <v>42.055109999999999</v>
      </c>
      <c r="M5729">
        <v>3.8129419999999997E-2</v>
      </c>
      <c r="N5729">
        <v>0</v>
      </c>
      <c r="O5729">
        <v>-0.99917690000000003</v>
      </c>
      <c r="P5729">
        <v>7.4024870000000006E-2</v>
      </c>
      <c r="Q5729">
        <v>-3.21471E-3</v>
      </c>
      <c r="R5729">
        <v>-0.9972512</v>
      </c>
      <c r="S5729">
        <v>1.2530520000000001</v>
      </c>
      <c r="T5729">
        <v>-0.14678079999999999</v>
      </c>
      <c r="U5729">
        <v>-2.9176639999999998</v>
      </c>
      <c r="V5729">
        <v>-3.5992730000000001E-2</v>
      </c>
      <c r="W5729">
        <v>1.0449999999999999E-2</v>
      </c>
      <c r="X5729">
        <v>0.9992974</v>
      </c>
      <c r="Y5729">
        <v>-0.35886679999999999</v>
      </c>
      <c r="Z5729">
        <v>4.6469160000000002E-2</v>
      </c>
      <c r="AA5729">
        <v>0.93223129999999998</v>
      </c>
      <c r="AB5729">
        <v>24</v>
      </c>
      <c r="AC5729">
        <v>9.4795999999999996</v>
      </c>
      <c r="AD5729">
        <v>-1.111843935482</v>
      </c>
      <c r="AE5729">
        <v>-21.854700000000001</v>
      </c>
      <c r="AF5729">
        <v>-8.6205396880737606</v>
      </c>
      <c r="AG5729">
        <v>-1.111843935482</v>
      </c>
      <c r="AH5729">
        <v>22.1520356873555</v>
      </c>
      <c r="AI5729">
        <v>92.678031450947898</v>
      </c>
      <c r="AJ5729">
        <v>111.263668069937</v>
      </c>
      <c r="AK5729">
        <v>23.796272534672202</v>
      </c>
      <c r="AL5729">
        <v>89.401248198063499</v>
      </c>
      <c r="AM5729">
        <v>92.062789754813295</v>
      </c>
      <c r="AN5729">
        <v>0.99999998637980603</v>
      </c>
    </row>
    <row r="5730" spans="1:40" x14ac:dyDescent="0.25">
      <c r="A5730" t="str">
        <f>"20190312160802688"</f>
        <v>20190312160802688</v>
      </c>
      <c r="B5730" t="str">
        <f>"1552378082681930"</f>
        <v>1552378082681930</v>
      </c>
      <c r="C5730" t="s">
        <v>40</v>
      </c>
      <c r="D5730">
        <v>5.1393509999999996</v>
      </c>
      <c r="E5730">
        <v>0.36944369999999999</v>
      </c>
      <c r="F5730" t="s">
        <v>82</v>
      </c>
      <c r="G5730">
        <v>-412.35919999999999</v>
      </c>
      <c r="H5730" s="1">
        <v>-8.9453799999999994E-6</v>
      </c>
      <c r="I5730">
        <v>19.82105</v>
      </c>
      <c r="J5730">
        <v>-421.9581</v>
      </c>
      <c r="K5730">
        <v>1.111837</v>
      </c>
      <c r="L5730">
        <v>41.826320000000003</v>
      </c>
      <c r="M5730">
        <v>4.0990770000000003E-2</v>
      </c>
      <c r="N5730">
        <v>0</v>
      </c>
      <c r="O5730">
        <v>-0.99906360000000005</v>
      </c>
      <c r="P5730">
        <v>7.5909530000000003E-2</v>
      </c>
      <c r="Q5730">
        <v>-3.8544780000000002E-3</v>
      </c>
      <c r="R5730">
        <v>-0.99710730000000003</v>
      </c>
      <c r="S5730">
        <v>1.259735</v>
      </c>
      <c r="T5730">
        <v>-0.14573229999999901</v>
      </c>
      <c r="U5730">
        <v>-2.9142760000000001</v>
      </c>
      <c r="V5730">
        <v>-3.5016100000000001E-2</v>
      </c>
      <c r="W5730">
        <v>9.8167910000000001E-3</v>
      </c>
      <c r="X5730">
        <v>0.99933850000000002</v>
      </c>
      <c r="Y5730">
        <v>-0.35839539999999998</v>
      </c>
      <c r="Z5730">
        <v>4.6163339999999997E-2</v>
      </c>
      <c r="AA5730">
        <v>0.93242780000000003</v>
      </c>
      <c r="AB5730">
        <v>24</v>
      </c>
      <c r="AC5730">
        <v>9.5989000000000093</v>
      </c>
      <c r="AD5730">
        <v>-1.11184594538</v>
      </c>
      <c r="AE5730">
        <v>-22.005269999999999</v>
      </c>
      <c r="AF5730">
        <v>-8.6701356691914402</v>
      </c>
      <c r="AG5730">
        <v>-1.11184594538</v>
      </c>
      <c r="AH5730">
        <v>22.3323770607829</v>
      </c>
      <c r="AI5730">
        <v>92.657267107225394</v>
      </c>
      <c r="AJ5730">
        <v>111.21778829847</v>
      </c>
      <c r="AK5730">
        <v>23.982129161386499</v>
      </c>
      <c r="AL5730">
        <v>89.4375302544493</v>
      </c>
      <c r="AM5730">
        <v>92.006781766824901</v>
      </c>
      <c r="AN5730">
        <v>0.99999996711349803</v>
      </c>
    </row>
    <row r="5731" spans="1:40" x14ac:dyDescent="0.25">
      <c r="A5731" t="str">
        <f>"20190312160802711"</f>
        <v>20190312160802711</v>
      </c>
      <c r="B5731" t="str">
        <f>"1552378082701451"</f>
        <v>1552378082701451</v>
      </c>
      <c r="C5731" t="s">
        <v>40</v>
      </c>
      <c r="D5731">
        <v>5.4890189999999999</v>
      </c>
      <c r="E5731">
        <v>0.36986540000000001</v>
      </c>
      <c r="F5731" t="s">
        <v>82</v>
      </c>
      <c r="G5731">
        <v>-412.3347</v>
      </c>
      <c r="H5731" s="1">
        <v>-8.9368610000000008E-6</v>
      </c>
      <c r="I5731">
        <v>19.64676</v>
      </c>
      <c r="J5731">
        <v>-421.94499999999999</v>
      </c>
      <c r="K5731">
        <v>1.1118429999999999</v>
      </c>
      <c r="L5731">
        <v>41.588650000000001</v>
      </c>
      <c r="M5731">
        <v>4.3980909999999998E-2</v>
      </c>
      <c r="N5731">
        <v>0</v>
      </c>
      <c r="O5731">
        <v>-0.9989365</v>
      </c>
      <c r="P5731">
        <v>7.8296840000000006E-2</v>
      </c>
      <c r="Q5731">
        <v>-4.2810529999999999E-3</v>
      </c>
      <c r="R5731">
        <v>-0.99692080000000005</v>
      </c>
      <c r="S5731">
        <v>1.263458</v>
      </c>
      <c r="T5731">
        <v>-0.1459743</v>
      </c>
      <c r="U5731">
        <v>-2.9119570000000001</v>
      </c>
      <c r="V5731">
        <v>-3.4416290000000002E-2</v>
      </c>
      <c r="W5731">
        <v>9.3933790000000003E-3</v>
      </c>
      <c r="X5731">
        <v>0.99936340000000001</v>
      </c>
      <c r="Y5731">
        <v>-0.35687340000000001</v>
      </c>
      <c r="Z5731">
        <v>4.6267200000000001E-2</v>
      </c>
      <c r="AA5731">
        <v>0.93300629999999996</v>
      </c>
      <c r="AB5731">
        <v>24</v>
      </c>
      <c r="AC5731">
        <v>9.6102999999999899</v>
      </c>
      <c r="AD5731">
        <v>-1.111851936861</v>
      </c>
      <c r="AE5731">
        <v>-21.941890000000001</v>
      </c>
      <c r="AF5731">
        <v>-8.6173169857296692</v>
      </c>
      <c r="AG5731">
        <v>-1.111851936861</v>
      </c>
      <c r="AH5731">
        <v>22.295331090872001</v>
      </c>
      <c r="AI5731">
        <v>92.663234209569595</v>
      </c>
      <c r="AJ5731">
        <v>111.131900566589</v>
      </c>
      <c r="AK5731">
        <v>23.928563584420399</v>
      </c>
      <c r="AL5731">
        <v>89.461791091841803</v>
      </c>
      <c r="AM5731">
        <v>91.972384783099301</v>
      </c>
      <c r="AN5731">
        <v>0.99999996092298005</v>
      </c>
    </row>
    <row r="5732" spans="1:40" x14ac:dyDescent="0.25">
      <c r="A5732" t="str">
        <f>"20190312160802726"</f>
        <v>20190312160802726</v>
      </c>
      <c r="B5732" t="str">
        <f>"1552378082721801"</f>
        <v>1552378082721801</v>
      </c>
      <c r="C5732" t="s">
        <v>40</v>
      </c>
      <c r="D5732">
        <v>5.124104</v>
      </c>
      <c r="E5732">
        <v>0.37382209999999899</v>
      </c>
      <c r="F5732" t="s">
        <v>82</v>
      </c>
      <c r="G5732">
        <v>-412.41039999999998</v>
      </c>
      <c r="H5732" s="1">
        <v>-8.9146049999999997E-6</v>
      </c>
      <c r="I5732">
        <v>19.69933</v>
      </c>
      <c r="J5732">
        <v>-421.93579999999997</v>
      </c>
      <c r="K5732">
        <v>1.1118509999999999</v>
      </c>
      <c r="L5732">
        <v>41.43036</v>
      </c>
      <c r="M5732">
        <v>4.5988300000000003E-2</v>
      </c>
      <c r="N5732">
        <v>0</v>
      </c>
      <c r="O5732">
        <v>-0.99884609999999996</v>
      </c>
      <c r="P5732">
        <v>7.9886899999999997E-2</v>
      </c>
      <c r="Q5732">
        <v>-4.1307260000000004E-3</v>
      </c>
      <c r="R5732">
        <v>-0.99679549999999995</v>
      </c>
      <c r="S5732">
        <v>1.2671509999999999</v>
      </c>
      <c r="T5732">
        <v>-0.14776489999999901</v>
      </c>
      <c r="U5732">
        <v>-2.9090880000000001</v>
      </c>
      <c r="V5732">
        <v>-3.4002610000000003E-2</v>
      </c>
      <c r="W5732">
        <v>9.5459599999999992E-3</v>
      </c>
      <c r="X5732">
        <v>0.99937619999999905</v>
      </c>
      <c r="Y5732">
        <v>-0.3563172</v>
      </c>
      <c r="Z5732">
        <v>4.686299E-2</v>
      </c>
      <c r="AA5732">
        <v>0.93318909999999999</v>
      </c>
      <c r="AB5732">
        <v>24</v>
      </c>
      <c r="AC5732">
        <v>9.5253999999999905</v>
      </c>
      <c r="AD5732">
        <v>-1.1118599146050001</v>
      </c>
      <c r="AE5732">
        <v>-21.731030000000001</v>
      </c>
      <c r="AF5732">
        <v>-8.4971920822034797</v>
      </c>
      <c r="AG5732">
        <v>-1.1118599146050001</v>
      </c>
      <c r="AH5732">
        <v>22.0976082864108</v>
      </c>
      <c r="AI5732">
        <v>92.6888301568776</v>
      </c>
      <c r="AJ5732">
        <v>111.033246377444</v>
      </c>
      <c r="AK5732">
        <v>23.701113850011701</v>
      </c>
      <c r="AL5732">
        <v>89.453048498677504</v>
      </c>
      <c r="AM5732">
        <v>91.948670386142894</v>
      </c>
      <c r="AN5732">
        <v>1.00000004598278</v>
      </c>
    </row>
    <row r="5733" spans="1:40" x14ac:dyDescent="0.25">
      <c r="A5733" t="str">
        <f>"20190312160802744"</f>
        <v>20190312160802744</v>
      </c>
      <c r="B5733" t="str">
        <f>"1552378082741320"</f>
        <v>1552378082741320</v>
      </c>
      <c r="C5733" t="s">
        <v>40</v>
      </c>
      <c r="D5733">
        <v>5.1077170000000001</v>
      </c>
      <c r="E5733">
        <v>0.43574800000000002</v>
      </c>
      <c r="F5733" t="s">
        <v>82</v>
      </c>
      <c r="G5733">
        <v>-412.8424</v>
      </c>
      <c r="H5733" s="1">
        <v>-8.7972969999999997E-6</v>
      </c>
      <c r="I5733">
        <v>20.097619999999999</v>
      </c>
      <c r="J5733">
        <v>-421.92419999999998</v>
      </c>
      <c r="K5733">
        <v>1.111861</v>
      </c>
      <c r="L5733">
        <v>41.238529999999997</v>
      </c>
      <c r="M5733">
        <v>4.8440089999999998E-2</v>
      </c>
      <c r="N5733">
        <v>0</v>
      </c>
      <c r="O5733">
        <v>-0.99873020000000001</v>
      </c>
      <c r="P5733">
        <v>8.2130850000000005E-2</v>
      </c>
      <c r="Q5733">
        <v>-3.8615450000000001E-3</v>
      </c>
      <c r="R5733">
        <v>-0.996614</v>
      </c>
      <c r="S5733">
        <v>1.240265</v>
      </c>
      <c r="T5733">
        <v>-0.15165000000000001</v>
      </c>
      <c r="U5733">
        <v>-2.909637</v>
      </c>
      <c r="V5733">
        <v>-3.3800940000000002E-2</v>
      </c>
      <c r="W5733">
        <v>9.8158370000000009E-3</v>
      </c>
      <c r="X5733">
        <v>0.99938039999999995</v>
      </c>
      <c r="Y5733">
        <v>-0.34664200000000001</v>
      </c>
      <c r="Z5733">
        <v>4.8249819999999999E-2</v>
      </c>
      <c r="AA5733">
        <v>0.93675569999999997</v>
      </c>
      <c r="AB5733">
        <v>24</v>
      </c>
      <c r="AC5733">
        <v>9.0817999999999799</v>
      </c>
      <c r="AD5733">
        <v>-1.111869797297</v>
      </c>
      <c r="AE5733">
        <v>-21.140909999999899</v>
      </c>
      <c r="AF5733">
        <v>-8.0282241692899401</v>
      </c>
      <c r="AG5733">
        <v>-1.111869797297</v>
      </c>
      <c r="AH5733">
        <v>21.505834282770898</v>
      </c>
      <c r="AI5733">
        <v>92.773008656496401</v>
      </c>
      <c r="AJ5733">
        <v>110.47082829326899</v>
      </c>
      <c r="AK5733">
        <v>22.9823746805355</v>
      </c>
      <c r="AL5733">
        <v>89.437584946470693</v>
      </c>
      <c r="AM5733">
        <v>91.937113489084894</v>
      </c>
      <c r="AN5733">
        <v>1.00000001905252</v>
      </c>
    </row>
    <row r="5734" spans="1:40" x14ac:dyDescent="0.25">
      <c r="A5734" t="str">
        <f>"20190312160802767"</f>
        <v>20190312160802767</v>
      </c>
      <c r="B5734" t="str">
        <f>"1552378082761828"</f>
        <v>1552378082761828</v>
      </c>
      <c r="C5734" t="s">
        <v>40</v>
      </c>
      <c r="D5734">
        <v>5.133667</v>
      </c>
      <c r="E5734">
        <v>0.435915</v>
      </c>
      <c r="F5734" t="s">
        <v>82</v>
      </c>
      <c r="G5734">
        <v>-417.92849999999999</v>
      </c>
      <c r="H5734" s="1">
        <v>-7.5478599999999999E-6</v>
      </c>
      <c r="I5734">
        <v>25.603290000000001</v>
      </c>
      <c r="J5734">
        <v>-421.90870000000001</v>
      </c>
      <c r="K5734">
        <v>1.1118809999999999</v>
      </c>
      <c r="L5734">
        <v>40.994540000000001</v>
      </c>
      <c r="M5734">
        <v>5.1595700000000001E-2</v>
      </c>
      <c r="N5734">
        <v>0</v>
      </c>
      <c r="O5734">
        <v>-0.99857220000000002</v>
      </c>
      <c r="P5734">
        <v>8.4684250000000003E-2</v>
      </c>
      <c r="Q5734">
        <v>-3.2173340000000001E-3</v>
      </c>
      <c r="R5734">
        <v>-0.99640269999999997</v>
      </c>
      <c r="S5734">
        <v>0.75320430000000005</v>
      </c>
      <c r="T5734">
        <v>-0.209591</v>
      </c>
      <c r="U5734">
        <v>-2.9472960000000001</v>
      </c>
      <c r="V5734">
        <v>-3.3206949999999999E-2</v>
      </c>
      <c r="W5734">
        <v>1.046192E-2</v>
      </c>
      <c r="X5734">
        <v>0.9993938</v>
      </c>
      <c r="Y5734">
        <v>-0.19668679999999999</v>
      </c>
      <c r="Z5734">
        <v>6.8997069999999994E-2</v>
      </c>
      <c r="AA5734">
        <v>0.9780356</v>
      </c>
      <c r="AB5734">
        <v>24</v>
      </c>
      <c r="AC5734">
        <v>3.9802000000000199</v>
      </c>
      <c r="AD5734">
        <v>-1.11188854785999</v>
      </c>
      <c r="AE5734">
        <v>-15.391249999999999</v>
      </c>
      <c r="AF5734">
        <v>-3.1652158924299201</v>
      </c>
      <c r="AG5734">
        <v>-1.11188854785999</v>
      </c>
      <c r="AH5734">
        <v>15.500303541845099</v>
      </c>
      <c r="AI5734">
        <v>94.020304821632095</v>
      </c>
      <c r="AJ5734">
        <v>101.541322577358</v>
      </c>
      <c r="AK5734">
        <v>15.8592023026976</v>
      </c>
      <c r="AL5734">
        <v>89.400565239391</v>
      </c>
      <c r="AM5734">
        <v>91.903072002597796</v>
      </c>
      <c r="AN5734">
        <v>1.0000000603884101</v>
      </c>
    </row>
    <row r="5735" spans="1:40" x14ac:dyDescent="0.25">
      <c r="A5735" t="str">
        <f>"20190312160802790"</f>
        <v>20190312160802790</v>
      </c>
      <c r="B5735" t="str">
        <f>"1552378082781336"</f>
        <v>1552378082781336</v>
      </c>
      <c r="C5735" t="s">
        <v>40</v>
      </c>
      <c r="D5735">
        <v>4.9558090000000004</v>
      </c>
      <c r="E5735">
        <v>0.43560529999999997</v>
      </c>
      <c r="F5735" t="s">
        <v>82</v>
      </c>
      <c r="G5735">
        <v>-417.55509999999998</v>
      </c>
      <c r="H5735" s="1">
        <v>-7.5120259999999997E-6</v>
      </c>
      <c r="I5735">
        <v>24.119630000000001</v>
      </c>
      <c r="J5735">
        <v>-421.89319999999998</v>
      </c>
      <c r="K5735">
        <v>1.1119030000000001</v>
      </c>
      <c r="L5735">
        <v>40.761899999999997</v>
      </c>
      <c r="M5735">
        <v>5.4648469999999998E-2</v>
      </c>
      <c r="N5735">
        <v>0</v>
      </c>
      <c r="O5735">
        <v>-0.99840960000000001</v>
      </c>
      <c r="P5735">
        <v>8.7375129999999995E-2</v>
      </c>
      <c r="Q5735">
        <v>-3.4863590000000001E-3</v>
      </c>
      <c r="R5735">
        <v>-0.99616930000000004</v>
      </c>
      <c r="S5735">
        <v>0.75994869999999903</v>
      </c>
      <c r="T5735">
        <v>-0.19408690000000001</v>
      </c>
      <c r="U5735">
        <v>-2.9456180000000001</v>
      </c>
      <c r="V5735">
        <v>-3.2850110000000002E-2</v>
      </c>
      <c r="W5735">
        <v>1.019347E-2</v>
      </c>
      <c r="X5735">
        <v>0.99940830000000003</v>
      </c>
      <c r="Y5735">
        <v>-0.1960083</v>
      </c>
      <c r="Z5735">
        <v>6.3921270000000002E-2</v>
      </c>
      <c r="AA5735">
        <v>0.97851659999999996</v>
      </c>
      <c r="AB5735">
        <v>24</v>
      </c>
      <c r="AC5735">
        <v>4.3380999999999901</v>
      </c>
      <c r="AD5735">
        <v>-1.111910512026</v>
      </c>
      <c r="AE5735">
        <v>-16.64227</v>
      </c>
      <c r="AF5735">
        <v>-3.4078100468086201</v>
      </c>
      <c r="AG5735">
        <v>-1.111910512026</v>
      </c>
      <c r="AH5735">
        <v>16.784332589348899</v>
      </c>
      <c r="AI5735">
        <v>93.714560169602393</v>
      </c>
      <c r="AJ5735">
        <v>101.477049074202</v>
      </c>
      <c r="AK5735">
        <v>17.162847513503198</v>
      </c>
      <c r="AL5735">
        <v>89.415947071700401</v>
      </c>
      <c r="AM5735">
        <v>91.882609200398093</v>
      </c>
      <c r="AN5735">
        <v>0.99999999333327105</v>
      </c>
    </row>
    <row r="5736" spans="1:40" x14ac:dyDescent="0.25">
      <c r="A5736" t="str">
        <f>"20190312160802812"</f>
        <v>20190312160802812</v>
      </c>
      <c r="B5736" t="str">
        <f>"1552378082801832"</f>
        <v>1552378082801832</v>
      </c>
      <c r="C5736" t="s">
        <v>40</v>
      </c>
      <c r="D5736">
        <v>5.0989459999999998</v>
      </c>
      <c r="E5736">
        <v>0.43526860000000001</v>
      </c>
      <c r="F5736" t="s">
        <v>82</v>
      </c>
      <c r="G5736">
        <v>-417.12290000000002</v>
      </c>
      <c r="H5736" s="1">
        <v>-7.486899E-6</v>
      </c>
      <c r="I5736">
        <v>22.54729</v>
      </c>
      <c r="J5736">
        <v>-421.87670000000003</v>
      </c>
      <c r="K5736">
        <v>1.1119319999999999</v>
      </c>
      <c r="L5736">
        <v>40.526249999999997</v>
      </c>
      <c r="M5736">
        <v>5.7792280000000001E-2</v>
      </c>
      <c r="N5736">
        <v>0</v>
      </c>
      <c r="O5736">
        <v>-0.99823289999999998</v>
      </c>
      <c r="P5736">
        <v>9.0020390000000006E-2</v>
      </c>
      <c r="Q5736">
        <v>-3.553334E-3</v>
      </c>
      <c r="R5736">
        <v>-0.99593399999999999</v>
      </c>
      <c r="S5736">
        <v>0.77084350000000001</v>
      </c>
      <c r="T5736">
        <v>-0.17967359999999999</v>
      </c>
      <c r="U5736">
        <v>-2.943298</v>
      </c>
      <c r="V5736">
        <v>-3.2357839999999999E-2</v>
      </c>
      <c r="W5736">
        <v>1.012767E-2</v>
      </c>
      <c r="X5736">
        <v>0.99942509999999996</v>
      </c>
      <c r="Y5736">
        <v>-0.19657359999999999</v>
      </c>
      <c r="Z5736">
        <v>5.9190729999999997E-2</v>
      </c>
      <c r="AA5736">
        <v>0.97870080000000004</v>
      </c>
      <c r="AB5736">
        <v>24</v>
      </c>
      <c r="AC5736">
        <v>4.7538000000000098</v>
      </c>
      <c r="AD5736">
        <v>-1.111939486899</v>
      </c>
      <c r="AE5736">
        <v>-17.978959999999901</v>
      </c>
      <c r="AF5736">
        <v>-3.6935041663991601</v>
      </c>
      <c r="AG5736">
        <v>-1.111939486899</v>
      </c>
      <c r="AH5736">
        <v>18.158745085652701</v>
      </c>
      <c r="AI5736">
        <v>93.433954879185904</v>
      </c>
      <c r="AJ5736">
        <v>101.497169248559</v>
      </c>
      <c r="AK5736">
        <v>18.563900601313499</v>
      </c>
      <c r="AL5736">
        <v>89.419717370232405</v>
      </c>
      <c r="AM5736">
        <v>91.854386362239694</v>
      </c>
      <c r="AN5736">
        <v>1.00000006500955</v>
      </c>
    </row>
    <row r="5737" spans="1:40" x14ac:dyDescent="0.25">
      <c r="A5737" t="str">
        <f>"20190312160802834"</f>
        <v>20190312160802834</v>
      </c>
      <c r="B5737" t="str">
        <f>"1552378082831113"</f>
        <v>1552378082831113</v>
      </c>
      <c r="C5737" t="s">
        <v>40</v>
      </c>
      <c r="D5737">
        <v>5.1092149999999998</v>
      </c>
      <c r="E5737">
        <v>0.43508980000000003</v>
      </c>
      <c r="F5737" t="s">
        <v>82</v>
      </c>
      <c r="G5737">
        <v>-416.8494</v>
      </c>
      <c r="H5737" s="1">
        <v>-7.4908789999999998E-6</v>
      </c>
      <c r="I5737">
        <v>21.603819999999999</v>
      </c>
      <c r="J5737">
        <v>-421.85980000000001</v>
      </c>
      <c r="K5737">
        <v>1.1119669999999999</v>
      </c>
      <c r="L5737">
        <v>40.295259999999999</v>
      </c>
      <c r="M5737">
        <v>6.0934540000000002E-2</v>
      </c>
      <c r="N5737">
        <v>0</v>
      </c>
      <c r="O5737">
        <v>-0.99804590000000004</v>
      </c>
      <c r="P5737">
        <v>9.2387819999999996E-2</v>
      </c>
      <c r="Q5737">
        <v>-2.820459E-3</v>
      </c>
      <c r="R5737">
        <v>-0.99571940000000003</v>
      </c>
      <c r="S5737">
        <v>0.78137209999999901</v>
      </c>
      <c r="T5737">
        <v>-0.1728227</v>
      </c>
      <c r="U5737">
        <v>-2.9410099999999999</v>
      </c>
      <c r="V5737">
        <v>-3.1591269999999998E-2</v>
      </c>
      <c r="W5737">
        <v>1.086291E-2</v>
      </c>
      <c r="X5737">
        <v>0.99944189999999999</v>
      </c>
      <c r="Y5737">
        <v>-0.19698289999999999</v>
      </c>
      <c r="Z5737">
        <v>5.6940230000000001E-2</v>
      </c>
      <c r="AA5737">
        <v>0.97875199999999996</v>
      </c>
      <c r="AB5737">
        <v>24</v>
      </c>
      <c r="AC5737">
        <v>5.0103999999999997</v>
      </c>
      <c r="AD5737">
        <v>-1.1119744908789999</v>
      </c>
      <c r="AE5737">
        <v>-18.69144</v>
      </c>
      <c r="AF5737">
        <v>-3.8493142532555802</v>
      </c>
      <c r="AG5737">
        <v>-1.1119744908789999</v>
      </c>
      <c r="AH5737">
        <v>18.899630614356301</v>
      </c>
      <c r="AI5737">
        <v>93.299573253821805</v>
      </c>
      <c r="AJ5737">
        <v>101.51205412675201</v>
      </c>
      <c r="AK5737">
        <v>19.319672482933001</v>
      </c>
      <c r="AL5737">
        <v>89.377588900480404</v>
      </c>
      <c r="AM5737">
        <v>91.810454396346302</v>
      </c>
      <c r="AN5737">
        <v>1.00000006131474</v>
      </c>
    </row>
    <row r="5738" spans="1:40" x14ac:dyDescent="0.25">
      <c r="A5738" t="str">
        <f>"20190312160802849"</f>
        <v>20190312160802849</v>
      </c>
      <c r="B5738" t="str">
        <f>"1552378082841849"</f>
        <v>1552378082841849</v>
      </c>
      <c r="C5738" t="s">
        <v>40</v>
      </c>
      <c r="D5738">
        <v>5.099227</v>
      </c>
      <c r="E5738">
        <v>0.43514730000000001</v>
      </c>
      <c r="F5738" t="s">
        <v>82</v>
      </c>
      <c r="G5738">
        <v>-416.70499999999998</v>
      </c>
      <c r="H5738" s="1">
        <v>-7.4941809999999999E-6</v>
      </c>
      <c r="I5738">
        <v>21.111429999999999</v>
      </c>
      <c r="J5738">
        <v>-421.84780000000001</v>
      </c>
      <c r="K5738">
        <v>1.111985</v>
      </c>
      <c r="L5738">
        <v>40.139830000000003</v>
      </c>
      <c r="M5738">
        <v>6.3092339999999997E-2</v>
      </c>
      <c r="N5738">
        <v>0</v>
      </c>
      <c r="O5738">
        <v>-0.99791180000000002</v>
      </c>
      <c r="P5738">
        <v>9.4141680000000005E-2</v>
      </c>
      <c r="Q5738">
        <v>-2.2641839999999998E-3</v>
      </c>
      <c r="R5738">
        <v>-0.99555649999999996</v>
      </c>
      <c r="S5738">
        <v>0.78976440000000003</v>
      </c>
      <c r="T5738">
        <v>-0.170365299999999</v>
      </c>
      <c r="U5738">
        <v>-2.9391479999999999</v>
      </c>
      <c r="V5738">
        <v>-3.1194090000000001E-2</v>
      </c>
      <c r="W5738">
        <v>1.14203E-2</v>
      </c>
      <c r="X5738">
        <v>0.99944809999999995</v>
      </c>
      <c r="Y5738">
        <v>-0.19763729999999999</v>
      </c>
      <c r="Z5738">
        <v>5.6132069999999999E-2</v>
      </c>
      <c r="AA5738">
        <v>0.97866679999999995</v>
      </c>
      <c r="AB5738">
        <v>24</v>
      </c>
      <c r="AC5738">
        <v>5.1428000000000198</v>
      </c>
      <c r="AD5738">
        <v>-1.111992494181</v>
      </c>
      <c r="AE5738">
        <v>-19.028400000000001</v>
      </c>
      <c r="AF5738">
        <v>-3.9194169105392702</v>
      </c>
      <c r="AG5738">
        <v>-1.111992494181</v>
      </c>
      <c r="AH5738">
        <v>19.253707981898302</v>
      </c>
      <c r="AI5738">
        <v>93.239142610386907</v>
      </c>
      <c r="AJ5738">
        <v>101.50630289499099</v>
      </c>
      <c r="AK5738">
        <v>19.680031180817501</v>
      </c>
      <c r="AL5738">
        <v>89.345650784680103</v>
      </c>
      <c r="AM5738">
        <v>91.787696310822099</v>
      </c>
      <c r="AN5738">
        <v>0.99999999954831298</v>
      </c>
    </row>
    <row r="5739" spans="1:40" x14ac:dyDescent="0.25">
      <c r="A5739" t="str">
        <f>"20190312160802863"</f>
        <v>20190312160802863</v>
      </c>
      <c r="B5739" t="str">
        <f>"1552378082851609"</f>
        <v>1552378082851609</v>
      </c>
      <c r="C5739" t="s">
        <v>40</v>
      </c>
      <c r="D5739">
        <v>5.1182309999999998</v>
      </c>
      <c r="E5739">
        <v>0.43524429999999997</v>
      </c>
      <c r="F5739" t="s">
        <v>82</v>
      </c>
      <c r="G5739">
        <v>-416.6198</v>
      </c>
      <c r="H5739" s="1">
        <v>-7.4953400000000003E-6</v>
      </c>
      <c r="I5739">
        <v>20.812740000000002</v>
      </c>
      <c r="J5739">
        <v>-421.83580000000001</v>
      </c>
      <c r="K5739">
        <v>1.1120099999999999</v>
      </c>
      <c r="L5739">
        <v>39.987549999999999</v>
      </c>
      <c r="M5739">
        <v>6.5234479999999997E-2</v>
      </c>
      <c r="N5739">
        <v>0</v>
      </c>
      <c r="O5739">
        <v>-0.99777389999999999</v>
      </c>
      <c r="P5739">
        <v>9.592734E-2</v>
      </c>
      <c r="Q5739">
        <v>-1.9000950000000001E-3</v>
      </c>
      <c r="R5739">
        <v>-0.99538680000000002</v>
      </c>
      <c r="S5739">
        <v>0.79470830000000003</v>
      </c>
      <c r="T5739">
        <v>-0.1690314</v>
      </c>
      <c r="U5739">
        <v>-2.9378660000000001</v>
      </c>
      <c r="V5739">
        <v>-3.0844159999999999E-2</v>
      </c>
      <c r="W5739">
        <v>1.1785540000000001E-2</v>
      </c>
      <c r="X5739">
        <v>0.99945470000000003</v>
      </c>
      <c r="Y5739">
        <v>-0.19718160000000001</v>
      </c>
      <c r="Z5739">
        <v>5.5696410000000002E-2</v>
      </c>
      <c r="AA5739">
        <v>0.97878359999999998</v>
      </c>
      <c r="AB5739">
        <v>24</v>
      </c>
      <c r="AC5739">
        <v>5.2160000000000002</v>
      </c>
      <c r="AD5739">
        <v>-1.1120174953399999</v>
      </c>
      <c r="AE5739">
        <v>-19.174810000000001</v>
      </c>
      <c r="AF5739">
        <v>-3.94156574242299</v>
      </c>
      <c r="AG5739">
        <v>-1.1120174953399999</v>
      </c>
      <c r="AH5739">
        <v>19.413460720013202</v>
      </c>
      <c r="AI5739">
        <v>93.2129503425233</v>
      </c>
      <c r="AJ5739">
        <v>101.476907868689</v>
      </c>
      <c r="AK5739">
        <v>19.840740423161702</v>
      </c>
      <c r="AL5739">
        <v>89.324722651540796</v>
      </c>
      <c r="AM5739">
        <v>91.767643366724698</v>
      </c>
      <c r="AN5739">
        <v>0.99999997925564299</v>
      </c>
    </row>
    <row r="5740" spans="1:40" x14ac:dyDescent="0.25">
      <c r="A5740" t="str">
        <f>"20190312160802878"</f>
        <v>20190312160802878</v>
      </c>
      <c r="B5740" t="str">
        <f>"1552378082871128"</f>
        <v>1552378082871128</v>
      </c>
      <c r="C5740" t="s">
        <v>40</v>
      </c>
      <c r="D5740">
        <v>5.1521030000000003</v>
      </c>
      <c r="E5740">
        <v>0.43509690000000001</v>
      </c>
      <c r="F5740" t="s">
        <v>82</v>
      </c>
      <c r="G5740">
        <v>-416.6662</v>
      </c>
      <c r="H5740" s="1">
        <v>-7.4972029999999999E-6</v>
      </c>
      <c r="I5740">
        <v>21.000319999999999</v>
      </c>
      <c r="J5740">
        <v>-421.8227</v>
      </c>
      <c r="K5740">
        <v>1.1120460000000001</v>
      </c>
      <c r="L5740">
        <v>39.824950000000001</v>
      </c>
      <c r="M5740">
        <v>6.7552409999999993E-2</v>
      </c>
      <c r="N5740">
        <v>0</v>
      </c>
      <c r="O5740">
        <v>-0.9976197</v>
      </c>
      <c r="P5740">
        <v>9.6985080000000001E-2</v>
      </c>
      <c r="Q5740">
        <v>-2.0442490000000002E-3</v>
      </c>
      <c r="R5740">
        <v>-0.99528399999999995</v>
      </c>
      <c r="S5740">
        <v>0.79952999999999996</v>
      </c>
      <c r="T5740">
        <v>-0.1719822</v>
      </c>
      <c r="U5740">
        <v>-2.9365230000000002</v>
      </c>
      <c r="V5740">
        <v>-2.958411E-2</v>
      </c>
      <c r="W5740">
        <v>1.1646790000000001E-2</v>
      </c>
      <c r="X5740">
        <v>0.99949440000000001</v>
      </c>
      <c r="Y5740">
        <v>-0.19649939999999999</v>
      </c>
      <c r="Z5740">
        <v>5.6669270000000001E-2</v>
      </c>
      <c r="AA5740">
        <v>0.97886499999999999</v>
      </c>
      <c r="AB5740">
        <v>24</v>
      </c>
      <c r="AC5740">
        <v>5.1564999999999896</v>
      </c>
      <c r="AD5740">
        <v>-1.1120534972029901</v>
      </c>
      <c r="AE5740">
        <v>-18.824629999999999</v>
      </c>
      <c r="AF5740">
        <v>-3.8604162035923499</v>
      </c>
      <c r="AG5740">
        <v>-1.1120534972029901</v>
      </c>
      <c r="AH5740">
        <v>19.0680895513837</v>
      </c>
      <c r="AI5740">
        <v>93.271493031560397</v>
      </c>
      <c r="AJ5740">
        <v>101.44507946848999</v>
      </c>
      <c r="AK5740">
        <v>19.486700987729701</v>
      </c>
      <c r="AL5740">
        <v>89.332672974925302</v>
      </c>
      <c r="AM5740">
        <v>91.695407089013699</v>
      </c>
      <c r="AN5740">
        <v>0.99999996145657699</v>
      </c>
    </row>
    <row r="5741" spans="1:40" x14ac:dyDescent="0.25">
      <c r="A5741" t="str">
        <f>"20190312160802901"</f>
        <v>20190312160802901</v>
      </c>
      <c r="B5741" t="str">
        <f>"1552378082891626"</f>
        <v>1552378082891626</v>
      </c>
      <c r="C5741" t="s">
        <v>40</v>
      </c>
      <c r="D5741">
        <v>5.1594220000000002</v>
      </c>
      <c r="E5741">
        <v>0.4350714</v>
      </c>
      <c r="F5741" t="s">
        <v>82</v>
      </c>
      <c r="G5741">
        <v>-416.61939999999998</v>
      </c>
      <c r="H5741" s="1">
        <v>-7.4966250000000004E-6</v>
      </c>
      <c r="I5741">
        <v>20.824470000000002</v>
      </c>
      <c r="J5741">
        <v>-421.80329999999998</v>
      </c>
      <c r="K5741">
        <v>1.112093</v>
      </c>
      <c r="L5741">
        <v>39.594760000000001</v>
      </c>
      <c r="M5741">
        <v>7.089761E-2</v>
      </c>
      <c r="N5741">
        <v>0</v>
      </c>
      <c r="O5741">
        <v>-0.99738760000000004</v>
      </c>
      <c r="P5741">
        <v>9.8545649999999999E-2</v>
      </c>
      <c r="Q5741">
        <v>-1.940869E-3</v>
      </c>
      <c r="R5741">
        <v>-0.99513090000000004</v>
      </c>
      <c r="S5741">
        <v>0.803894</v>
      </c>
      <c r="T5741">
        <v>-0.17181070000000001</v>
      </c>
      <c r="U5741">
        <v>-2.9355470000000001</v>
      </c>
      <c r="V5741">
        <v>-2.7801079999999999E-2</v>
      </c>
      <c r="W5741">
        <v>1.175884E-2</v>
      </c>
      <c r="X5741">
        <v>0.99954430000000005</v>
      </c>
      <c r="Y5741">
        <v>-0.19464870000000001</v>
      </c>
      <c r="Z5741">
        <v>5.661095E-2</v>
      </c>
      <c r="AA5741">
        <v>0.97923800000000005</v>
      </c>
      <c r="AB5741">
        <v>24</v>
      </c>
      <c r="AC5741">
        <v>5.1838999999999897</v>
      </c>
      <c r="AD5741">
        <v>-1.1121004966249901</v>
      </c>
      <c r="AE5741">
        <v>-18.770289999999999</v>
      </c>
      <c r="AF5741">
        <v>-3.8274730982447398</v>
      </c>
      <c r="AG5741">
        <v>-1.1121004966249901</v>
      </c>
      <c r="AH5741">
        <v>19.0285461730845</v>
      </c>
      <c r="AI5741">
        <v>93.279246364709493</v>
      </c>
      <c r="AJ5741">
        <v>101.372930072253</v>
      </c>
      <c r="AK5741">
        <v>19.4414991009847</v>
      </c>
      <c r="AL5741">
        <v>89.326252561475201</v>
      </c>
      <c r="AM5741">
        <v>91.593200007241904</v>
      </c>
      <c r="AN5741">
        <v>0.99999998901490095</v>
      </c>
    </row>
    <row r="5742" spans="1:40" x14ac:dyDescent="0.25">
      <c r="A5742" t="str">
        <f>"20190312160802923"</f>
        <v>20190312160802923</v>
      </c>
      <c r="B5742" t="str">
        <f>"1552378082911144"</f>
        <v>1552378082911144</v>
      </c>
      <c r="C5742" t="s">
        <v>40</v>
      </c>
      <c r="D5742">
        <v>5.1121619999999997</v>
      </c>
      <c r="E5742">
        <v>0.43523499999999998</v>
      </c>
      <c r="F5742" t="s">
        <v>82</v>
      </c>
      <c r="G5742">
        <v>-416.57679999999999</v>
      </c>
      <c r="H5742" s="1">
        <v>-7.4922019999999997E-6</v>
      </c>
      <c r="I5742">
        <v>20.625080000000001</v>
      </c>
      <c r="J5742">
        <v>-421.78280000000001</v>
      </c>
      <c r="K5742">
        <v>1.112141</v>
      </c>
      <c r="L5742">
        <v>39.362819999999999</v>
      </c>
      <c r="M5742">
        <v>7.4336059999999995E-2</v>
      </c>
      <c r="N5742">
        <v>0</v>
      </c>
      <c r="O5742">
        <v>-0.9971371</v>
      </c>
      <c r="P5742">
        <v>9.9684079999999994E-2</v>
      </c>
      <c r="Q5742">
        <v>-1.8711859999999999E-3</v>
      </c>
      <c r="R5742">
        <v>-0.99501759999999995</v>
      </c>
      <c r="S5742">
        <v>0.80844119999999997</v>
      </c>
      <c r="T5742">
        <v>-0.1720235</v>
      </c>
      <c r="U5742">
        <v>-2.9342959999999998</v>
      </c>
      <c r="V5742">
        <v>-2.549939E-2</v>
      </c>
      <c r="W5742">
        <v>1.1840369999999999E-2</v>
      </c>
      <c r="X5742">
        <v>0.99960470000000001</v>
      </c>
      <c r="Y5742">
        <v>-0.1927828</v>
      </c>
      <c r="Z5742">
        <v>5.6681830000000002E-2</v>
      </c>
      <c r="AA5742">
        <v>0.97960290000000005</v>
      </c>
      <c r="AB5742">
        <v>24</v>
      </c>
      <c r="AC5742">
        <v>5.2060000000000102</v>
      </c>
      <c r="AD5742">
        <v>-1.112148492202</v>
      </c>
      <c r="AE5742">
        <v>-18.737739999999999</v>
      </c>
      <c r="AF5742">
        <v>-3.78618792637588</v>
      </c>
      <c r="AG5742">
        <v>-1.112148492202</v>
      </c>
      <c r="AH5742">
        <v>19.010745676966501</v>
      </c>
      <c r="AI5742">
        <v>93.283701824408297</v>
      </c>
      <c r="AJ5742">
        <v>101.263670308489</v>
      </c>
      <c r="AK5742">
        <v>19.415986827273102</v>
      </c>
      <c r="AL5742">
        <v>89.321580908400406</v>
      </c>
      <c r="AM5742">
        <v>91.461268281478198</v>
      </c>
      <c r="AN5742">
        <v>0.99999998475709895</v>
      </c>
    </row>
    <row r="5743" spans="1:40" x14ac:dyDescent="0.25">
      <c r="A5743" t="str">
        <f>"20190312160802957"</f>
        <v>20190312160802957</v>
      </c>
      <c r="B5743" t="str">
        <f>"1552378082951160"</f>
        <v>1552378082951160</v>
      </c>
      <c r="C5743" t="s">
        <v>40</v>
      </c>
      <c r="D5743">
        <v>5.0646820000000004</v>
      </c>
      <c r="E5743">
        <v>0.43527739999999998</v>
      </c>
      <c r="F5743" t="s">
        <v>82</v>
      </c>
      <c r="G5743">
        <v>-416.5</v>
      </c>
      <c r="H5743" s="1">
        <v>-7.4836260000000001E-6</v>
      </c>
      <c r="I5743">
        <v>20.259530000000002</v>
      </c>
      <c r="J5743">
        <v>-421.75029999999998</v>
      </c>
      <c r="K5743">
        <v>1.112209</v>
      </c>
      <c r="L5743">
        <v>39.01202</v>
      </c>
      <c r="M5743">
        <v>7.9671119999999998E-2</v>
      </c>
      <c r="N5743">
        <v>0</v>
      </c>
      <c r="O5743">
        <v>-0.99672519999999998</v>
      </c>
      <c r="P5743">
        <v>0.1035471</v>
      </c>
      <c r="Q5743">
        <v>-6.1692620000000002E-4</v>
      </c>
      <c r="R5743">
        <v>-0.99462470000000003</v>
      </c>
      <c r="S5743">
        <v>0.81121829999999995</v>
      </c>
      <c r="T5743">
        <v>-0.17077790000000001</v>
      </c>
      <c r="U5743">
        <v>-2.9334410000000002</v>
      </c>
      <c r="V5743">
        <v>-2.4040430000000002E-2</v>
      </c>
      <c r="W5743">
        <v>1.310151E-2</v>
      </c>
      <c r="X5743">
        <v>0.99962510000000004</v>
      </c>
      <c r="Y5743">
        <v>-0.18847120000000001</v>
      </c>
      <c r="Z5743">
        <v>5.6270399999999998E-2</v>
      </c>
      <c r="AA5743">
        <v>0.98046529999999998</v>
      </c>
      <c r="AB5743">
        <v>24</v>
      </c>
      <c r="AC5743">
        <v>5.2502999999999798</v>
      </c>
      <c r="AD5743">
        <v>-1.112216483626</v>
      </c>
      <c r="AE5743">
        <v>-18.752489999999899</v>
      </c>
      <c r="AF5743">
        <v>-3.72727388015567</v>
      </c>
      <c r="AG5743">
        <v>-1.112216483626</v>
      </c>
      <c r="AH5743">
        <v>19.049067243338399</v>
      </c>
      <c r="AI5743">
        <v>93.279481601832202</v>
      </c>
      <c r="AJ5743">
        <v>101.071020844584</v>
      </c>
      <c r="AK5743">
        <v>19.442133600131701</v>
      </c>
      <c r="AL5743">
        <v>89.249317269601704</v>
      </c>
      <c r="AM5743">
        <v>91.377666201292399</v>
      </c>
      <c r="AN5743">
        <v>0.99999996619443698</v>
      </c>
    </row>
    <row r="5744" spans="1:40" x14ac:dyDescent="0.25">
      <c r="A5744" t="str">
        <f>"20190312160802979"</f>
        <v>20190312160802979</v>
      </c>
      <c r="B5744" t="str">
        <f>"1552378082971660"</f>
        <v>1552378082971660</v>
      </c>
      <c r="C5744" t="s">
        <v>40</v>
      </c>
      <c r="D5744">
        <v>5.1504709999999996</v>
      </c>
      <c r="E5744">
        <v>0.43535469999999998</v>
      </c>
      <c r="F5744" t="s">
        <v>82</v>
      </c>
      <c r="G5744">
        <v>-416.2826</v>
      </c>
      <c r="H5744" s="1">
        <v>-1.176512E-5</v>
      </c>
      <c r="I5744">
        <v>19.520949999999999</v>
      </c>
      <c r="J5744">
        <v>-421.7278</v>
      </c>
      <c r="K5744">
        <v>1.112255</v>
      </c>
      <c r="L5744">
        <v>38.782870000000003</v>
      </c>
      <c r="M5744">
        <v>8.3256709999999998E-2</v>
      </c>
      <c r="N5744">
        <v>0</v>
      </c>
      <c r="O5744">
        <v>-0.99643179999999998</v>
      </c>
      <c r="P5744">
        <v>0.1069735</v>
      </c>
      <c r="Q5744">
        <v>1.1376450000000001E-3</v>
      </c>
      <c r="R5744">
        <v>-0.99426130000000001</v>
      </c>
      <c r="S5744">
        <v>0.82208250000000005</v>
      </c>
      <c r="T5744">
        <v>-0.1672257</v>
      </c>
      <c r="U5744">
        <v>-2.930542</v>
      </c>
      <c r="V5744">
        <v>-2.389923E-2</v>
      </c>
      <c r="W5744">
        <v>1.485562E-2</v>
      </c>
      <c r="X5744">
        <v>0.99960400000000005</v>
      </c>
      <c r="Y5744">
        <v>-0.18857760000000001</v>
      </c>
      <c r="Z5744">
        <v>5.5104210000000001E-2</v>
      </c>
      <c r="AA5744">
        <v>0.98051109999999997</v>
      </c>
      <c r="AB5744">
        <v>23</v>
      </c>
      <c r="AC5744">
        <v>5.4451999999999998</v>
      </c>
      <c r="AD5744">
        <v>-1.11226676512</v>
      </c>
      <c r="AE5744">
        <v>-19.26192</v>
      </c>
      <c r="AF5744">
        <v>-3.8106872018387001</v>
      </c>
      <c r="AG5744">
        <v>-1.11226676512</v>
      </c>
      <c r="AH5744">
        <v>19.587944405610099</v>
      </c>
      <c r="AI5744">
        <v>93.190266516174802</v>
      </c>
      <c r="AJ5744">
        <v>101.008952912742</v>
      </c>
      <c r="AK5744">
        <v>19.986146210420898</v>
      </c>
      <c r="AL5744">
        <v>89.148804369957503</v>
      </c>
      <c r="AM5744">
        <v>91.369606552407603</v>
      </c>
      <c r="AN5744">
        <v>1.0000000097280799</v>
      </c>
    </row>
    <row r="5745" spans="1:40" x14ac:dyDescent="0.25">
      <c r="A5745" t="str">
        <f>"20190312160803002"</f>
        <v>20190312160803002</v>
      </c>
      <c r="B5745" t="str">
        <f>"1552378082991176"</f>
        <v>1552378082991176</v>
      </c>
      <c r="C5745" t="s">
        <v>40</v>
      </c>
      <c r="D5745">
        <v>5.1600619999999999</v>
      </c>
      <c r="E5745">
        <v>0.43544300000000002</v>
      </c>
      <c r="F5745" t="s">
        <v>82</v>
      </c>
      <c r="G5745">
        <v>-416.06540000000001</v>
      </c>
      <c r="H5745" s="1">
        <v>-1.184831E-5</v>
      </c>
      <c r="I5745">
        <v>18.84262</v>
      </c>
      <c r="J5745">
        <v>-421.70370000000003</v>
      </c>
      <c r="K5745">
        <v>1.112298</v>
      </c>
      <c r="L5745">
        <v>38.545679999999997</v>
      </c>
      <c r="M5745">
        <v>8.703727E-2</v>
      </c>
      <c r="N5745">
        <v>0</v>
      </c>
      <c r="O5745">
        <v>-0.99610880000000002</v>
      </c>
      <c r="P5745">
        <v>0.1106746</v>
      </c>
      <c r="Q5745">
        <v>1.726488E-3</v>
      </c>
      <c r="R5745">
        <v>-0.99385540000000006</v>
      </c>
      <c r="S5745">
        <v>0.8314819</v>
      </c>
      <c r="T5745">
        <v>-0.163326</v>
      </c>
      <c r="U5745">
        <v>-2.9280400000000002</v>
      </c>
      <c r="V5745">
        <v>-2.383277E-2</v>
      </c>
      <c r="W5745">
        <v>1.544397E-2</v>
      </c>
      <c r="X5745">
        <v>0.9995967</v>
      </c>
      <c r="Y5745">
        <v>-0.18800339999999999</v>
      </c>
      <c r="Z5745">
        <v>5.3820970000000003E-2</v>
      </c>
      <c r="AA5745">
        <v>0.98069260000000003</v>
      </c>
      <c r="AB5745">
        <v>23</v>
      </c>
      <c r="AC5745">
        <v>5.6383000000000099</v>
      </c>
      <c r="AD5745">
        <v>-1.11230984831</v>
      </c>
      <c r="AE5745">
        <v>-19.703060000000001</v>
      </c>
      <c r="AF5745">
        <v>-3.8903736341400199</v>
      </c>
      <c r="AG5745">
        <v>-1.11230984831</v>
      </c>
      <c r="AH5745">
        <v>20.059970536603501</v>
      </c>
      <c r="AI5745">
        <v>93.115819550702</v>
      </c>
      <c r="AJ5745">
        <v>100.97553159306899</v>
      </c>
      <c r="AK5745">
        <v>20.463984415095201</v>
      </c>
      <c r="AL5745">
        <v>89.115090555457797</v>
      </c>
      <c r="AM5745">
        <v>91.365809307220403</v>
      </c>
      <c r="AN5745">
        <v>1.00000003989306</v>
      </c>
    </row>
    <row r="5746" spans="1:40" x14ac:dyDescent="0.25">
      <c r="A5746" t="str">
        <f>"20190312160803024"</f>
        <v>20190312160803024</v>
      </c>
      <c r="B5746" t="str">
        <f>"1552378083011672"</f>
        <v>1552378083011672</v>
      </c>
      <c r="C5746" t="s">
        <v>40</v>
      </c>
      <c r="D5746">
        <v>5.1879619999999997</v>
      </c>
      <c r="E5746">
        <v>0.43548740000000002</v>
      </c>
      <c r="F5746" t="s">
        <v>82</v>
      </c>
      <c r="G5746">
        <v>-415.90750000000003</v>
      </c>
      <c r="H5746" s="1">
        <v>-1.18933199999999E-5</v>
      </c>
      <c r="I5746">
        <v>18.419560000000001</v>
      </c>
      <c r="J5746">
        <v>-421.67919999999998</v>
      </c>
      <c r="K5746">
        <v>1.1123419999999999</v>
      </c>
      <c r="L5746">
        <v>38.314819999999997</v>
      </c>
      <c r="M5746">
        <v>9.0792150000000002E-2</v>
      </c>
      <c r="N5746">
        <v>0</v>
      </c>
      <c r="O5746">
        <v>-0.99577360000000004</v>
      </c>
      <c r="P5746">
        <v>0.114467</v>
      </c>
      <c r="Q5746">
        <v>1.9465769999999999E-3</v>
      </c>
      <c r="R5746">
        <v>-0.99342529999999996</v>
      </c>
      <c r="S5746">
        <v>0.84237669999999998</v>
      </c>
      <c r="T5746">
        <v>-0.16165689999999999</v>
      </c>
      <c r="U5746">
        <v>-2.9250180000000001</v>
      </c>
      <c r="V5746">
        <v>-2.3882259999999999E-2</v>
      </c>
      <c r="W5746">
        <v>1.5663759999999999E-2</v>
      </c>
      <c r="X5746">
        <v>0.99959209999999998</v>
      </c>
      <c r="Y5746">
        <v>-0.18795129999999999</v>
      </c>
      <c r="Z5746">
        <v>5.3271899999999997E-2</v>
      </c>
      <c r="AA5746">
        <v>0.98073259999999995</v>
      </c>
      <c r="AB5746">
        <v>23</v>
      </c>
      <c r="AC5746">
        <v>5.7716999999999503</v>
      </c>
      <c r="AD5746">
        <v>-1.1123538933199999</v>
      </c>
      <c r="AE5746">
        <v>-19.89526</v>
      </c>
      <c r="AF5746">
        <v>-3.9300193876063201</v>
      </c>
      <c r="AG5746">
        <v>-1.1123538933199999</v>
      </c>
      <c r="AH5746">
        <v>20.278679406624001</v>
      </c>
      <c r="AI5746">
        <v>93.082480413931407</v>
      </c>
      <c r="AJ5746">
        <v>100.967988619949</v>
      </c>
      <c r="AK5746">
        <v>20.685918448248401</v>
      </c>
      <c r="AL5746">
        <v>89.1024959940478</v>
      </c>
      <c r="AM5746">
        <v>91.368650700345796</v>
      </c>
      <c r="AN5746">
        <v>1.00000004105122</v>
      </c>
    </row>
    <row r="5747" spans="1:40" x14ac:dyDescent="0.25">
      <c r="A5747" t="str">
        <f>"20190312160803046"</f>
        <v>20190312160803046</v>
      </c>
      <c r="B5747" t="str">
        <f>"1552378083041929"</f>
        <v>1552378083041929</v>
      </c>
      <c r="C5747" t="s">
        <v>40</v>
      </c>
      <c r="D5747">
        <v>5.1284289999999997</v>
      </c>
      <c r="E5747">
        <v>0.4355058</v>
      </c>
      <c r="F5747" t="s">
        <v>82</v>
      </c>
      <c r="G5747">
        <v>-415.79340000000002</v>
      </c>
      <c r="H5747" s="1">
        <v>-1.191362E-5</v>
      </c>
      <c r="I5747">
        <v>18.168980000000001</v>
      </c>
      <c r="J5747">
        <v>-421.6542</v>
      </c>
      <c r="K5747">
        <v>1.1123829999999999</v>
      </c>
      <c r="L5747">
        <v>38.088070000000002</v>
      </c>
      <c r="M5747">
        <v>9.4557740000000001E-2</v>
      </c>
      <c r="N5747">
        <v>0</v>
      </c>
      <c r="O5747">
        <v>-0.99542299999999995</v>
      </c>
      <c r="P5747">
        <v>0.118615899999999</v>
      </c>
      <c r="Q5747">
        <v>2.826126E-3</v>
      </c>
      <c r="R5747">
        <v>-0.9929365</v>
      </c>
      <c r="S5747">
        <v>0.85363770000000005</v>
      </c>
      <c r="T5747">
        <v>-0.1613281</v>
      </c>
      <c r="U5747">
        <v>-2.9218139999999999</v>
      </c>
      <c r="V5747">
        <v>-2.4284679999999999E-2</v>
      </c>
      <c r="W5747">
        <v>1.6539599999999901E-2</v>
      </c>
      <c r="X5747">
        <v>0.99956829999999997</v>
      </c>
      <c r="Y5747">
        <v>-0.1880105</v>
      </c>
      <c r="Z5747">
        <v>5.3163349999999998E-2</v>
      </c>
      <c r="AA5747">
        <v>0.98072709999999996</v>
      </c>
      <c r="AB5747">
        <v>23</v>
      </c>
      <c r="AC5747">
        <v>5.8607999999999798</v>
      </c>
      <c r="AD5747">
        <v>-1.11239491362</v>
      </c>
      <c r="AE5747">
        <v>-19.919090000000001</v>
      </c>
      <c r="AF5747">
        <v>-3.9395425600732499</v>
      </c>
      <c r="AG5747">
        <v>-1.11239491362</v>
      </c>
      <c r="AH5747">
        <v>20.325720088731</v>
      </c>
      <c r="AI5747">
        <v>93.075461928508403</v>
      </c>
      <c r="AJ5747">
        <v>100.96909345138501</v>
      </c>
      <c r="AK5747">
        <v>20.733844678494101</v>
      </c>
      <c r="AL5747">
        <v>89.052307556461301</v>
      </c>
      <c r="AM5747">
        <v>91.391736818259005</v>
      </c>
      <c r="AN5747">
        <v>1.0000000452078699</v>
      </c>
    </row>
    <row r="5748" spans="1:40" x14ac:dyDescent="0.25">
      <c r="A5748" t="str">
        <f>"20190312160803069"</f>
        <v>20190312160803069</v>
      </c>
      <c r="B5748" t="str">
        <f>"1552378083061453"</f>
        <v>1552378083061453</v>
      </c>
      <c r="C5748" t="s">
        <v>40</v>
      </c>
      <c r="D5748">
        <v>5.2239959999999996</v>
      </c>
      <c r="E5748">
        <v>0.43584519999999999</v>
      </c>
      <c r="F5748" t="s">
        <v>82</v>
      </c>
      <c r="G5748">
        <v>-415.65550000000002</v>
      </c>
      <c r="H5748" s="1">
        <v>-1.1940410000000001E-5</v>
      </c>
      <c r="I5748">
        <v>17.856169999999999</v>
      </c>
      <c r="J5748">
        <v>-421.62779999999998</v>
      </c>
      <c r="K5748">
        <v>1.1124320000000001</v>
      </c>
      <c r="L5748">
        <v>37.85736</v>
      </c>
      <c r="M5748">
        <v>9.846908E-2</v>
      </c>
      <c r="N5748">
        <v>0</v>
      </c>
      <c r="O5748">
        <v>-0.99504360000000003</v>
      </c>
      <c r="P5748">
        <v>0.1223902</v>
      </c>
      <c r="Q5748">
        <v>3.1681719999999999E-3</v>
      </c>
      <c r="R5748">
        <v>-0.99247739999999995</v>
      </c>
      <c r="S5748">
        <v>0.86529539999999905</v>
      </c>
      <c r="T5748">
        <v>-0.16046150000000001</v>
      </c>
      <c r="U5748">
        <v>-2.9184269999999999</v>
      </c>
      <c r="V5748">
        <v>-2.416014E-2</v>
      </c>
      <c r="W5748">
        <v>1.6881920000000002E-2</v>
      </c>
      <c r="X5748">
        <v>0.9995655</v>
      </c>
      <c r="Y5748">
        <v>-0.18806629999999999</v>
      </c>
      <c r="Z5748">
        <v>5.2877609999999999E-2</v>
      </c>
      <c r="AA5748">
        <v>0.98073189999999999</v>
      </c>
      <c r="AB5748">
        <v>23</v>
      </c>
      <c r="AC5748">
        <v>5.9722999999999598</v>
      </c>
      <c r="AD5748">
        <v>-1.1124439404099999</v>
      </c>
      <c r="AE5748">
        <v>-20.001190000000001</v>
      </c>
      <c r="AF5748">
        <v>-3.9623278402293001</v>
      </c>
      <c r="AG5748">
        <v>-1.1124439404099999</v>
      </c>
      <c r="AH5748">
        <v>20.434073714405901</v>
      </c>
      <c r="AI5748">
        <v>93.059269815879404</v>
      </c>
      <c r="AJ5748">
        <v>100.973914800125</v>
      </c>
      <c r="AK5748">
        <v>20.844398336238498</v>
      </c>
      <c r="AL5748">
        <v>89.032691234985705</v>
      </c>
      <c r="AM5748">
        <v>91.384606186785604</v>
      </c>
      <c r="AN5748">
        <v>0.99999995018897603</v>
      </c>
    </row>
    <row r="5749" spans="1:40" x14ac:dyDescent="0.25">
      <c r="A5749" t="str">
        <f>"20190312160803090"</f>
        <v>20190312160803090</v>
      </c>
      <c r="B5749" t="str">
        <f>"1552378083081945"</f>
        <v>1552378083081945</v>
      </c>
      <c r="C5749" t="s">
        <v>40</v>
      </c>
      <c r="D5749">
        <v>5.249727</v>
      </c>
      <c r="E5749">
        <v>0.4362202</v>
      </c>
      <c r="F5749" t="s">
        <v>82</v>
      </c>
      <c r="G5749">
        <v>-415.69569999999999</v>
      </c>
      <c r="H5749" s="1">
        <v>-1.190793E-5</v>
      </c>
      <c r="I5749">
        <v>18.058910000000001</v>
      </c>
      <c r="J5749">
        <v>-421.60120000000001</v>
      </c>
      <c r="K5749">
        <v>1.1124810000000001</v>
      </c>
      <c r="L5749">
        <v>37.63373</v>
      </c>
      <c r="M5749">
        <v>0.10233929999999999</v>
      </c>
      <c r="N5749">
        <v>0</v>
      </c>
      <c r="O5749">
        <v>-0.9946528</v>
      </c>
      <c r="P5749">
        <v>0.1255887</v>
      </c>
      <c r="Q5749">
        <v>4.1129590000000002E-3</v>
      </c>
      <c r="R5749">
        <v>-0.99207400000000001</v>
      </c>
      <c r="S5749">
        <v>0.873565699999999</v>
      </c>
      <c r="T5749">
        <v>-0.16381899999999999</v>
      </c>
      <c r="U5749">
        <v>-2.915527</v>
      </c>
      <c r="V5749">
        <v>-2.3501999999999999E-2</v>
      </c>
      <c r="W5749">
        <v>1.7830680000000002E-2</v>
      </c>
      <c r="X5749">
        <v>0.99956480000000003</v>
      </c>
      <c r="Y5749">
        <v>-0.1870491</v>
      </c>
      <c r="Z5749">
        <v>5.3984129999999998E-2</v>
      </c>
      <c r="AA5749">
        <v>0.98086609999999996</v>
      </c>
      <c r="AB5749">
        <v>23</v>
      </c>
      <c r="AC5749">
        <v>5.9055000000000097</v>
      </c>
      <c r="AD5749">
        <v>-1.1124929079299899</v>
      </c>
      <c r="AE5749">
        <v>-19.574819999999999</v>
      </c>
      <c r="AF5749">
        <v>-3.85959488631942</v>
      </c>
      <c r="AG5749">
        <v>-1.1124929079299899</v>
      </c>
      <c r="AH5749">
        <v>20.017185206694698</v>
      </c>
      <c r="AI5749">
        <v>93.123631666243995</v>
      </c>
      <c r="AJ5749">
        <v>100.913502843836</v>
      </c>
      <c r="AK5749">
        <v>20.416214555000501</v>
      </c>
      <c r="AL5749">
        <v>88.978323181785299</v>
      </c>
      <c r="AM5749">
        <v>91.346903526428804</v>
      </c>
      <c r="AN5749">
        <v>1.0000000332761501</v>
      </c>
    </row>
    <row r="5750" spans="1:40" x14ac:dyDescent="0.25">
      <c r="A5750" t="str">
        <f>"20190312160803113"</f>
        <v>20190312160803113</v>
      </c>
      <c r="B5750" t="str">
        <f>"1552378083101465"</f>
        <v>1552378083101465</v>
      </c>
      <c r="C5750" t="s">
        <v>40</v>
      </c>
      <c r="D5750">
        <v>5.2539680000000004</v>
      </c>
      <c r="E5750">
        <v>0.44488470000000002</v>
      </c>
      <c r="F5750" t="s">
        <v>82</v>
      </c>
      <c r="G5750">
        <v>-415.7</v>
      </c>
      <c r="H5750" s="1">
        <v>-1.18995899999999E-5</v>
      </c>
      <c r="I5750">
        <v>18.102609999999999</v>
      </c>
      <c r="J5750">
        <v>-421.57299999999998</v>
      </c>
      <c r="K5750">
        <v>1.1125240000000001</v>
      </c>
      <c r="L5750">
        <v>37.40448</v>
      </c>
      <c r="M5750">
        <v>0.1063914</v>
      </c>
      <c r="N5750">
        <v>0</v>
      </c>
      <c r="O5750">
        <v>-0.99422759999999999</v>
      </c>
      <c r="P5750">
        <v>0.12826949999999901</v>
      </c>
      <c r="Q5750">
        <v>4.2988030000000003E-3</v>
      </c>
      <c r="R5750">
        <v>-0.99173029999999995</v>
      </c>
      <c r="S5750">
        <v>0.88021849999999902</v>
      </c>
      <c r="T5750">
        <v>-0.16593810000000001</v>
      </c>
      <c r="U5750">
        <v>-2.9132389999999999</v>
      </c>
      <c r="V5750">
        <v>-2.21335E-2</v>
      </c>
      <c r="W5750">
        <v>1.8024729999999999E-2</v>
      </c>
      <c r="X5750">
        <v>0.99959249999999999</v>
      </c>
      <c r="Y5750">
        <v>-0.18530089999999999</v>
      </c>
      <c r="Z5750">
        <v>5.4677879999999998E-2</v>
      </c>
      <c r="AA5750">
        <v>0.98115940000000001</v>
      </c>
      <c r="AB5750">
        <v>23</v>
      </c>
      <c r="AC5750">
        <v>5.8730000000000402</v>
      </c>
      <c r="AD5750">
        <v>-1.1125358995899901</v>
      </c>
      <c r="AE5750">
        <v>-19.301870000000001</v>
      </c>
      <c r="AF5750">
        <v>-3.7744328747829701</v>
      </c>
      <c r="AG5750">
        <v>-1.1125358995899901</v>
      </c>
      <c r="AH5750">
        <v>19.757118816270399</v>
      </c>
      <c r="AI5750">
        <v>93.165823973247996</v>
      </c>
      <c r="AJ5750">
        <v>100.815559590151</v>
      </c>
      <c r="AK5750">
        <v>20.1451687402798</v>
      </c>
      <c r="AL5750">
        <v>88.967203088146903</v>
      </c>
      <c r="AM5750">
        <v>91.268465841312306</v>
      </c>
      <c r="AN5750">
        <v>0.99999997438503596</v>
      </c>
    </row>
    <row r="5751" spans="1:40" x14ac:dyDescent="0.25">
      <c r="A5751" t="str">
        <f>"20190312160803136"</f>
        <v>20190312160803136</v>
      </c>
      <c r="B5751" t="str">
        <f>"1552378083131720"</f>
        <v>1552378083131720</v>
      </c>
      <c r="C5751" t="s">
        <v>40</v>
      </c>
      <c r="D5751">
        <v>5.1926880000000004</v>
      </c>
      <c r="E5751">
        <v>0.44320199999999998</v>
      </c>
      <c r="F5751" t="s">
        <v>82</v>
      </c>
      <c r="G5751">
        <v>-418.42099999999999</v>
      </c>
      <c r="H5751" s="1">
        <v>-7.4383209999999902E-6</v>
      </c>
      <c r="I5751">
        <v>26.166530000000002</v>
      </c>
      <c r="J5751">
        <v>-421.54340000000002</v>
      </c>
      <c r="K5751">
        <v>1.1125750000000001</v>
      </c>
      <c r="L5751">
        <v>37.173340000000003</v>
      </c>
      <c r="M5751">
        <v>0.1105732</v>
      </c>
      <c r="N5751">
        <v>0</v>
      </c>
      <c r="O5751">
        <v>-0.99377159999999998</v>
      </c>
      <c r="P5751">
        <v>0.1312567</v>
      </c>
      <c r="Q5751">
        <v>4.531701E-3</v>
      </c>
      <c r="R5751">
        <v>-0.99133859999999996</v>
      </c>
      <c r="S5751">
        <v>0.81909180000000004</v>
      </c>
      <c r="T5751">
        <v>-0.28910789999999997</v>
      </c>
      <c r="U5751">
        <v>-2.9203489999999999</v>
      </c>
      <c r="V5751">
        <v>-2.0943690000000001E-2</v>
      </c>
      <c r="W5751">
        <v>1.8265960000000001E-2</v>
      </c>
      <c r="X5751">
        <v>0.9996138</v>
      </c>
      <c r="Y5751">
        <v>-0.160694899999999</v>
      </c>
      <c r="Z5751">
        <v>9.5160599999999998E-2</v>
      </c>
      <c r="AA5751">
        <v>0.982406</v>
      </c>
      <c r="AB5751">
        <v>23</v>
      </c>
      <c r="AC5751">
        <v>3.1224000000000198</v>
      </c>
      <c r="AD5751">
        <v>-1.1125824383209999</v>
      </c>
      <c r="AE5751">
        <v>-11.00681</v>
      </c>
      <c r="AF5751">
        <v>-1.8684064545590899</v>
      </c>
      <c r="AG5751">
        <v>-1.1125824383209999</v>
      </c>
      <c r="AH5751">
        <v>11.178877632963101</v>
      </c>
      <c r="AI5751">
        <v>95.606407418161993</v>
      </c>
      <c r="AJ5751">
        <v>99.488551878992894</v>
      </c>
      <c r="AK5751">
        <v>11.38841900767</v>
      </c>
      <c r="AL5751">
        <v>88.953379394794496</v>
      </c>
      <c r="AM5751">
        <v>91.200273047442295</v>
      </c>
      <c r="AN5751">
        <v>1.0000000162979801</v>
      </c>
    </row>
    <row r="5752" spans="1:40" x14ac:dyDescent="0.25">
      <c r="A5752" t="str">
        <f>"20190312160803158"</f>
        <v>20190312160803158</v>
      </c>
      <c r="B5752" t="str">
        <f>"1552378083151240"</f>
        <v>1552378083151240</v>
      </c>
      <c r="C5752" t="s">
        <v>40</v>
      </c>
      <c r="D5752">
        <v>5.1629110000000003</v>
      </c>
      <c r="E5752">
        <v>0.44313150000000001</v>
      </c>
      <c r="F5752" t="s">
        <v>82</v>
      </c>
      <c r="G5752">
        <v>-418.12259999999998</v>
      </c>
      <c r="H5752" s="1">
        <v>-7.4480469999999999E-6</v>
      </c>
      <c r="I5752">
        <v>25.321770000000001</v>
      </c>
      <c r="J5752">
        <v>-421.5127</v>
      </c>
      <c r="K5752">
        <v>1.112625</v>
      </c>
      <c r="L5752">
        <v>36.941830000000003</v>
      </c>
      <c r="M5752">
        <v>0.11485960000000001</v>
      </c>
      <c r="N5752">
        <v>0</v>
      </c>
      <c r="O5752">
        <v>-0.99328490000000003</v>
      </c>
      <c r="P5752">
        <v>0.13540669999999999</v>
      </c>
      <c r="Q5752">
        <v>5.1054439999999998E-3</v>
      </c>
      <c r="R5752">
        <v>-0.99077709999999997</v>
      </c>
      <c r="S5752">
        <v>0.84167479999999995</v>
      </c>
      <c r="T5752">
        <v>-0.27374480000000001</v>
      </c>
      <c r="U5752">
        <v>-2.9160159999999999</v>
      </c>
      <c r="V5752">
        <v>-2.082287E-2</v>
      </c>
      <c r="W5752">
        <v>1.8841409999999999E-2</v>
      </c>
      <c r="X5752">
        <v>0.99960570000000004</v>
      </c>
      <c r="Y5752">
        <v>-0.16398470000000001</v>
      </c>
      <c r="Z5752">
        <v>9.0091089999999999E-2</v>
      </c>
      <c r="AA5752">
        <v>0.9823404</v>
      </c>
      <c r="AB5752">
        <v>23</v>
      </c>
      <c r="AC5752">
        <v>3.3901000000000101</v>
      </c>
      <c r="AD5752">
        <v>-1.112632448047</v>
      </c>
      <c r="AE5752">
        <v>-11.620059999999899</v>
      </c>
      <c r="AF5752">
        <v>-2.0158233400944399</v>
      </c>
      <c r="AG5752">
        <v>-1.112632448047</v>
      </c>
      <c r="AH5752">
        <v>11.832588714349001</v>
      </c>
      <c r="AI5752">
        <v>95.295935871002399</v>
      </c>
      <c r="AJ5752">
        <v>99.668201949862507</v>
      </c>
      <c r="AK5752">
        <v>12.054528210836599</v>
      </c>
      <c r="AL5752">
        <v>88.920402923445494</v>
      </c>
      <c r="AM5752">
        <v>91.193360585188202</v>
      </c>
      <c r="AN5752">
        <v>1.0000000730591501</v>
      </c>
    </row>
    <row r="5753" spans="1:40" x14ac:dyDescent="0.25">
      <c r="A5753" t="str">
        <f>"20190312160803180"</f>
        <v>20190312160803180</v>
      </c>
      <c r="B5753" t="str">
        <f>"1552378083171737"</f>
        <v>1552378083171737</v>
      </c>
      <c r="C5753" t="s">
        <v>40</v>
      </c>
      <c r="D5753">
        <v>5.2429449999999997</v>
      </c>
      <c r="E5753">
        <v>0.44332250000000001</v>
      </c>
      <c r="F5753" t="s">
        <v>82</v>
      </c>
      <c r="G5753">
        <v>-418.12079999999997</v>
      </c>
      <c r="H5753" s="1">
        <v>-7.4557090000000001E-6</v>
      </c>
      <c r="I5753">
        <v>25.384139999999999</v>
      </c>
      <c r="J5753">
        <v>-421.4819</v>
      </c>
      <c r="K5753">
        <v>1.112679</v>
      </c>
      <c r="L5753">
        <v>36.717559999999999</v>
      </c>
      <c r="M5753">
        <v>0.11908680000000001</v>
      </c>
      <c r="N5753">
        <v>0</v>
      </c>
      <c r="O5753">
        <v>-0.99278690000000003</v>
      </c>
      <c r="P5753">
        <v>0.13966709999999999</v>
      </c>
      <c r="Q5753">
        <v>5.3010940000000001E-3</v>
      </c>
      <c r="R5753">
        <v>-0.99018450000000002</v>
      </c>
      <c r="S5753">
        <v>0.85476679999999905</v>
      </c>
      <c r="T5753">
        <v>-0.2803833</v>
      </c>
      <c r="U5753">
        <v>-2.9125369999999999</v>
      </c>
      <c r="V5753">
        <v>-2.0870940000000001E-2</v>
      </c>
      <c r="W5753">
        <v>1.9037350000000001E-2</v>
      </c>
      <c r="X5753">
        <v>0.99960090000000001</v>
      </c>
      <c r="Y5753">
        <v>-0.16411339999999999</v>
      </c>
      <c r="Z5753">
        <v>9.2235510000000007E-2</v>
      </c>
      <c r="AA5753">
        <v>0.98211990000000005</v>
      </c>
      <c r="AB5753">
        <v>23</v>
      </c>
      <c r="AC5753">
        <v>3.36110000000002</v>
      </c>
      <c r="AD5753">
        <v>-1.1126864557089999</v>
      </c>
      <c r="AE5753">
        <v>-11.33342</v>
      </c>
      <c r="AF5753">
        <v>-1.9699337965645101</v>
      </c>
      <c r="AG5753">
        <v>-1.1126864557089999</v>
      </c>
      <c r="AH5753">
        <v>11.550720438436899</v>
      </c>
      <c r="AI5753">
        <v>95.424506046637205</v>
      </c>
      <c r="AJ5753">
        <v>99.678469678526596</v>
      </c>
      <c r="AK5753">
        <v>11.770210404172399</v>
      </c>
      <c r="AL5753">
        <v>88.909174282454202</v>
      </c>
      <c r="AM5753">
        <v>91.196120423838806</v>
      </c>
      <c r="AN5753">
        <v>0.99999998805615797</v>
      </c>
    </row>
    <row r="5754" spans="1:40" x14ac:dyDescent="0.25">
      <c r="A5754" t="str">
        <f>"20190312160803202"</f>
        <v>20190312160803202</v>
      </c>
      <c r="B5754" t="str">
        <f>"1552378083191258"</f>
        <v>1552378083191258</v>
      </c>
      <c r="C5754" t="s">
        <v>40</v>
      </c>
      <c r="D5754">
        <v>5.2189750000000004</v>
      </c>
      <c r="E5754">
        <v>0.44377640000000002</v>
      </c>
      <c r="F5754" t="s">
        <v>82</v>
      </c>
      <c r="G5754">
        <v>-418.09120000000001</v>
      </c>
      <c r="H5754" s="1">
        <v>-7.4591909999999899E-6</v>
      </c>
      <c r="I5754">
        <v>25.322949999999999</v>
      </c>
      <c r="J5754">
        <v>-421.44940000000003</v>
      </c>
      <c r="K5754">
        <v>1.1127260000000001</v>
      </c>
      <c r="L5754">
        <v>36.489350000000002</v>
      </c>
      <c r="M5754">
        <v>0.123466699999999</v>
      </c>
      <c r="N5754">
        <v>0</v>
      </c>
      <c r="O5754">
        <v>-0.99225180000000002</v>
      </c>
      <c r="P5754">
        <v>0.144729</v>
      </c>
      <c r="Q5754">
        <v>6.2722539999999997E-3</v>
      </c>
      <c r="R5754">
        <v>-0.98945179999999999</v>
      </c>
      <c r="S5754">
        <v>0.86566160000000003</v>
      </c>
      <c r="T5754">
        <v>-0.28407919999999998</v>
      </c>
      <c r="U5754">
        <v>-2.9091490000000002</v>
      </c>
      <c r="V5754">
        <v>-2.1580720000000001E-2</v>
      </c>
      <c r="W5754">
        <v>2.0003719999999999E-2</v>
      </c>
      <c r="X5754">
        <v>0.99956699999999998</v>
      </c>
      <c r="Y5754">
        <v>-0.16342010000000001</v>
      </c>
      <c r="Z5754">
        <v>9.3425930000000004E-2</v>
      </c>
      <c r="AA5754">
        <v>0.98212299999999997</v>
      </c>
      <c r="AB5754">
        <v>23</v>
      </c>
      <c r="AC5754">
        <v>3.3582000000000098</v>
      </c>
      <c r="AD5754">
        <v>-1.1127334591910001</v>
      </c>
      <c r="AE5754">
        <v>-11.166399999999999</v>
      </c>
      <c r="AF5754">
        <v>-1.9360585930111101</v>
      </c>
      <c r="AG5754">
        <v>-1.1127334591910001</v>
      </c>
      <c r="AH5754">
        <v>11.3918717560917</v>
      </c>
      <c r="AI5754">
        <v>95.500454481191099</v>
      </c>
      <c r="AJ5754">
        <v>99.645309796089293</v>
      </c>
      <c r="AK5754">
        <v>11.608670928836499</v>
      </c>
      <c r="AL5754">
        <v>88.853794855219306</v>
      </c>
      <c r="AM5754">
        <v>91.236827653716404</v>
      </c>
      <c r="AN5754">
        <v>1.0000000318892699</v>
      </c>
    </row>
    <row r="5755" spans="1:40" x14ac:dyDescent="0.25">
      <c r="A5755" t="str">
        <f>"20190312160803247"</f>
        <v>20190312160803247</v>
      </c>
      <c r="B5755" t="str">
        <f>"1552378083241033"</f>
        <v>1552378083241033</v>
      </c>
      <c r="C5755" t="s">
        <v>40</v>
      </c>
      <c r="D5755">
        <v>5.2271190000000001</v>
      </c>
      <c r="E5755">
        <v>0.44388420000000001</v>
      </c>
      <c r="F5755" t="s">
        <v>82</v>
      </c>
      <c r="G5755">
        <v>-418.0215</v>
      </c>
      <c r="H5755" s="1">
        <v>-7.461926E-6</v>
      </c>
      <c r="I5755">
        <v>25.129670000000001</v>
      </c>
      <c r="J5755">
        <v>-421.38170000000002</v>
      </c>
      <c r="K5755">
        <v>1.1128199999999999</v>
      </c>
      <c r="L5755">
        <v>36.036929999999998</v>
      </c>
      <c r="M5755">
        <v>0.1324282</v>
      </c>
      <c r="N5755">
        <v>0</v>
      </c>
      <c r="O5755">
        <v>-0.99109539999999996</v>
      </c>
      <c r="P5755">
        <v>0.15548049999999999</v>
      </c>
      <c r="Q5755">
        <v>6.5065169999999999E-3</v>
      </c>
      <c r="R5755">
        <v>-0.98781779999999997</v>
      </c>
      <c r="S5755">
        <v>0.87677000000000005</v>
      </c>
      <c r="T5755">
        <v>-0.28461180000000003</v>
      </c>
      <c r="U5755">
        <v>-2.905548</v>
      </c>
      <c r="V5755">
        <v>-2.3425149999999999E-2</v>
      </c>
      <c r="W5755">
        <v>2.0226359999999999E-2</v>
      </c>
      <c r="X5755">
        <v>0.99952099999999999</v>
      </c>
      <c r="Y5755">
        <v>-0.158278</v>
      </c>
      <c r="Z5755">
        <v>9.3536540000000001E-2</v>
      </c>
      <c r="AA5755">
        <v>0.9829542</v>
      </c>
      <c r="AB5755">
        <v>23</v>
      </c>
      <c r="AC5755">
        <v>3.3602000000000198</v>
      </c>
      <c r="AD5755">
        <v>-1.1128274619259999</v>
      </c>
      <c r="AE5755">
        <v>-10.9072599999999</v>
      </c>
      <c r="AF5755">
        <v>-1.8682698763318699</v>
      </c>
      <c r="AG5755">
        <v>-1.1128274619259999</v>
      </c>
      <c r="AH5755">
        <v>11.150199114832199</v>
      </c>
      <c r="AI5755">
        <v>95.621585157672797</v>
      </c>
      <c r="AJ5755">
        <v>99.511828520098007</v>
      </c>
      <c r="AK5755">
        <v>11.3602710175079</v>
      </c>
      <c r="AL5755">
        <v>88.841035946954406</v>
      </c>
      <c r="AM5755">
        <v>91.342559662817607</v>
      </c>
      <c r="AN5755">
        <v>1.0000000363661801</v>
      </c>
    </row>
    <row r="5756" spans="1:40" x14ac:dyDescent="0.25">
      <c r="A5756" t="str">
        <f>"20190312160803270"</f>
        <v>20190312160803270</v>
      </c>
      <c r="B5756" t="str">
        <f>"1552378083261533"</f>
        <v>1552378083261533</v>
      </c>
      <c r="C5756" t="s">
        <v>40</v>
      </c>
      <c r="D5756">
        <v>5.2631030000000001</v>
      </c>
      <c r="E5756">
        <v>0.4436581</v>
      </c>
      <c r="F5756" t="s">
        <v>82</v>
      </c>
      <c r="G5756">
        <v>-417.74099999999999</v>
      </c>
      <c r="H5756" s="1">
        <v>-7.4810019999999997E-6</v>
      </c>
      <c r="I5756">
        <v>24.423850000000002</v>
      </c>
      <c r="J5756">
        <v>-421.34550000000002</v>
      </c>
      <c r="K5756">
        <v>1.1128910000000001</v>
      </c>
      <c r="L5756">
        <v>35.806849999999997</v>
      </c>
      <c r="M5756">
        <v>0.1371532</v>
      </c>
      <c r="N5756">
        <v>0</v>
      </c>
      <c r="O5756">
        <v>-0.99045240000000001</v>
      </c>
      <c r="P5756">
        <v>0.15967219999999999</v>
      </c>
      <c r="Q5756">
        <v>6.23765E-3</v>
      </c>
      <c r="R5756">
        <v>-0.98715039999999998</v>
      </c>
      <c r="S5756">
        <v>0.90786739999999999</v>
      </c>
      <c r="T5756">
        <v>-0.27750419999999998</v>
      </c>
      <c r="U5756">
        <v>-2.8959350000000001</v>
      </c>
      <c r="V5756">
        <v>-2.2901939999999999E-2</v>
      </c>
      <c r="W5756">
        <v>1.996272E-2</v>
      </c>
      <c r="X5756">
        <v>0.99953840000000005</v>
      </c>
      <c r="Y5756">
        <v>-0.16417319999999999</v>
      </c>
      <c r="Z5756">
        <v>9.1235010000000005E-2</v>
      </c>
      <c r="AA5756">
        <v>0.9822033</v>
      </c>
      <c r="AB5756">
        <v>23</v>
      </c>
      <c r="AC5756">
        <v>3.60450000000003</v>
      </c>
      <c r="AD5756">
        <v>-1.112898481002</v>
      </c>
      <c r="AE5756">
        <v>-11.3829999999999</v>
      </c>
      <c r="AF5756">
        <v>-1.99176118155806</v>
      </c>
      <c r="AG5756">
        <v>-1.112898481002</v>
      </c>
      <c r="AH5756">
        <v>11.668454072812899</v>
      </c>
      <c r="AI5756">
        <v>95.370979519492806</v>
      </c>
      <c r="AJ5756">
        <v>99.686811714765994</v>
      </c>
      <c r="AK5756">
        <v>11.8894270712563</v>
      </c>
      <c r="AL5756">
        <v>88.8561444274537</v>
      </c>
      <c r="AM5756">
        <v>91.312560830012103</v>
      </c>
      <c r="AN5756">
        <v>1.00000001106006</v>
      </c>
    </row>
    <row r="5757" spans="1:40" x14ac:dyDescent="0.25">
      <c r="A5757" t="str">
        <f>"20190312160803291"</f>
        <v>20190312160803291</v>
      </c>
      <c r="B5757" t="str">
        <f>"1552378083281049"</f>
        <v>1552378083281049</v>
      </c>
      <c r="C5757" t="s">
        <v>40</v>
      </c>
      <c r="D5757">
        <v>5.2315899999999997</v>
      </c>
      <c r="E5757">
        <v>0.44368570000000002</v>
      </c>
      <c r="F5757" t="s">
        <v>82</v>
      </c>
      <c r="G5757">
        <v>-417.53210000000001</v>
      </c>
      <c r="H5757" s="1">
        <v>-7.4904889999999996E-6</v>
      </c>
      <c r="I5757">
        <v>23.856439999999999</v>
      </c>
      <c r="J5757">
        <v>-421.3107</v>
      </c>
      <c r="K5757">
        <v>1.1129739999999999</v>
      </c>
      <c r="L5757">
        <v>35.59348</v>
      </c>
      <c r="M5757">
        <v>0.14165759999999999</v>
      </c>
      <c r="N5757">
        <v>0</v>
      </c>
      <c r="O5757">
        <v>-0.98981810000000003</v>
      </c>
      <c r="P5757">
        <v>0.16393469999999999</v>
      </c>
      <c r="Q5757">
        <v>7.2014419999999997E-3</v>
      </c>
      <c r="R5757">
        <v>-0.98644489999999996</v>
      </c>
      <c r="S5757">
        <v>0.9226685</v>
      </c>
      <c r="T5757">
        <v>-0.26927570000000001</v>
      </c>
      <c r="U5757">
        <v>-2.8915099999999998</v>
      </c>
      <c r="V5757">
        <v>-2.2684159999999998E-2</v>
      </c>
      <c r="W5757">
        <v>2.092954E-2</v>
      </c>
      <c r="X5757">
        <v>0.99952359999999896</v>
      </c>
      <c r="Y5757">
        <v>-0.16475970000000001</v>
      </c>
      <c r="Z5757">
        <v>8.8524660000000005E-2</v>
      </c>
      <c r="AA5757">
        <v>0.98235309999999998</v>
      </c>
      <c r="AB5757">
        <v>23</v>
      </c>
      <c r="AC5757">
        <v>3.77859999999998</v>
      </c>
      <c r="AD5757">
        <v>-1.1129814904890001</v>
      </c>
      <c r="AE5757">
        <v>-11.737039999999901</v>
      </c>
      <c r="AF5757">
        <v>-2.0608951766933399</v>
      </c>
      <c r="AG5757">
        <v>-1.1129814904890001</v>
      </c>
      <c r="AH5757">
        <v>12.0557510658933</v>
      </c>
      <c r="AI5757">
        <v>95.199565802698103</v>
      </c>
      <c r="AJ5757">
        <v>99.700775339910905</v>
      </c>
      <c r="AK5757">
        <v>12.281170566777201</v>
      </c>
      <c r="AL5757">
        <v>88.800738150957898</v>
      </c>
      <c r="AM5757">
        <v>91.300102924710302</v>
      </c>
      <c r="AN5757">
        <v>1.0000000218582299</v>
      </c>
    </row>
    <row r="5758" spans="1:40" x14ac:dyDescent="0.25">
      <c r="A5758" t="str">
        <f>"20190312160803315"</f>
        <v>20190312160803315</v>
      </c>
      <c r="B5758" t="str">
        <f>"1552378083311305"</f>
        <v>1552378083311305</v>
      </c>
      <c r="C5758" t="s">
        <v>40</v>
      </c>
      <c r="D5758">
        <v>5.2216040000000001</v>
      </c>
      <c r="E5758">
        <v>0.44385989999999997</v>
      </c>
      <c r="F5758" t="s">
        <v>82</v>
      </c>
      <c r="G5758">
        <v>-417.35359999999997</v>
      </c>
      <c r="H5758" s="1">
        <v>-7.4982740000000004E-6</v>
      </c>
      <c r="I5758">
        <v>23.368569999999998</v>
      </c>
      <c r="J5758">
        <v>-421.27229999999997</v>
      </c>
      <c r="K5758">
        <v>1.1130690000000001</v>
      </c>
      <c r="L5758">
        <v>35.365139999999997</v>
      </c>
      <c r="M5758">
        <v>0.14661950000000001</v>
      </c>
      <c r="N5758">
        <v>0</v>
      </c>
      <c r="O5758">
        <v>-0.98909559999999996</v>
      </c>
      <c r="P5758">
        <v>0.1692013</v>
      </c>
      <c r="Q5758">
        <v>8.8867219999999997E-3</v>
      </c>
      <c r="R5758">
        <v>-0.98554189999999997</v>
      </c>
      <c r="S5758">
        <v>0.93475339999999996</v>
      </c>
      <c r="T5758">
        <v>-0.26291009999999998</v>
      </c>
      <c r="U5758">
        <v>-2.8877869999999999</v>
      </c>
      <c r="V5758">
        <v>-2.303028E-2</v>
      </c>
      <c r="W5758">
        <v>2.2613810000000002E-2</v>
      </c>
      <c r="X5758">
        <v>0.99947900000000001</v>
      </c>
      <c r="Y5758">
        <v>-0.16396359999999999</v>
      </c>
      <c r="Z5758">
        <v>8.6411440000000006E-2</v>
      </c>
      <c r="AA5758">
        <v>0.98267439999999995</v>
      </c>
      <c r="AB5758">
        <v>23</v>
      </c>
      <c r="AC5758">
        <v>3.9186999999999999</v>
      </c>
      <c r="AD5758">
        <v>-1.113076498274</v>
      </c>
      <c r="AE5758">
        <v>-11.99657</v>
      </c>
      <c r="AF5758">
        <v>-2.1008995435195299</v>
      </c>
      <c r="AG5758">
        <v>-1.113076498274</v>
      </c>
      <c r="AH5758">
        <v>12.3454792904818</v>
      </c>
      <c r="AI5758">
        <v>95.079263345546195</v>
      </c>
      <c r="AJ5758">
        <v>99.657824464349503</v>
      </c>
      <c r="AK5758">
        <v>12.5723337966619</v>
      </c>
      <c r="AL5758">
        <v>88.7042137036307</v>
      </c>
      <c r="AM5758">
        <v>91.319992100414893</v>
      </c>
      <c r="AN5758">
        <v>1.00000002482029</v>
      </c>
    </row>
    <row r="5759" spans="1:40" x14ac:dyDescent="0.25">
      <c r="A5759" t="str">
        <f>"20190312160803336"</f>
        <v>20190312160803336</v>
      </c>
      <c r="B5759" t="str">
        <f>"1552378083331801"</f>
        <v>1552378083331801</v>
      </c>
      <c r="C5759" t="s">
        <v>40</v>
      </c>
      <c r="D5759">
        <v>5.201606</v>
      </c>
      <c r="E5759">
        <v>0.44413459999999899</v>
      </c>
      <c r="F5759" t="s">
        <v>82</v>
      </c>
      <c r="G5759">
        <v>-417.20209999999997</v>
      </c>
      <c r="H5759" s="1">
        <v>-7.509582E-6</v>
      </c>
      <c r="I5759">
        <v>22.996120000000001</v>
      </c>
      <c r="J5759">
        <v>-421.23320000000001</v>
      </c>
      <c r="K5759">
        <v>1.11317</v>
      </c>
      <c r="L5759">
        <v>35.141419999999997</v>
      </c>
      <c r="M5759">
        <v>0.15165899999999999</v>
      </c>
      <c r="N5759">
        <v>0</v>
      </c>
      <c r="O5759">
        <v>-0.98833510000000002</v>
      </c>
      <c r="P5759">
        <v>0.1738479</v>
      </c>
      <c r="Q5759">
        <v>8.8501420000000001E-3</v>
      </c>
      <c r="R5759">
        <v>-0.98473299999999997</v>
      </c>
      <c r="S5759">
        <v>0.94885249999999999</v>
      </c>
      <c r="T5759">
        <v>-0.25947920000000002</v>
      </c>
      <c r="U5759">
        <v>-2.8834529999999998</v>
      </c>
      <c r="V5759">
        <v>-2.2654750000000001E-2</v>
      </c>
      <c r="W5759">
        <v>2.258282E-2</v>
      </c>
      <c r="X5759">
        <v>0.99948820000000005</v>
      </c>
      <c r="Y5759">
        <v>-0.16374149999999901</v>
      </c>
      <c r="Z5759">
        <v>8.5254289999999996E-2</v>
      </c>
      <c r="AA5759">
        <v>0.98281249999999998</v>
      </c>
      <c r="AB5759">
        <v>23</v>
      </c>
      <c r="AC5759">
        <v>4.0311000000000297</v>
      </c>
      <c r="AD5759">
        <v>-1.113177509582</v>
      </c>
      <c r="AE5759">
        <v>-12.145300000000001</v>
      </c>
      <c r="AF5759">
        <v>-2.1262511816371599</v>
      </c>
      <c r="AG5759">
        <v>-1.113177509582</v>
      </c>
      <c r="AH5759">
        <v>12.5214478451304</v>
      </c>
      <c r="AI5759">
        <v>95.009002432615105</v>
      </c>
      <c r="AJ5759">
        <v>99.637393946466105</v>
      </c>
      <c r="AK5759">
        <v>12.7493829024614</v>
      </c>
      <c r="AL5759">
        <v>88.705989645772206</v>
      </c>
      <c r="AM5759">
        <v>91.298463891229403</v>
      </c>
      <c r="AN5759">
        <v>0.99999994169797501</v>
      </c>
    </row>
    <row r="5760" spans="1:40" x14ac:dyDescent="0.25">
      <c r="A5760" t="str">
        <f>"20190312160803359"</f>
        <v>20190312160803359</v>
      </c>
      <c r="B5760" t="str">
        <f>"1552378083351335"</f>
        <v>1552378083351335</v>
      </c>
      <c r="C5760" t="s">
        <v>40</v>
      </c>
      <c r="D5760">
        <v>5.2473960000000002</v>
      </c>
      <c r="E5760">
        <v>0.4444842</v>
      </c>
      <c r="F5760" t="s">
        <v>82</v>
      </c>
      <c r="G5760">
        <v>-417.1567</v>
      </c>
      <c r="H5760" s="1">
        <v>-7.517332E-6</v>
      </c>
      <c r="I5760">
        <v>22.923570000000002</v>
      </c>
      <c r="J5760">
        <v>-421.1927</v>
      </c>
      <c r="K5760">
        <v>1.1132660000000001</v>
      </c>
      <c r="L5760">
        <v>34.9176</v>
      </c>
      <c r="M5760">
        <v>0.1568454</v>
      </c>
      <c r="N5760">
        <v>0</v>
      </c>
      <c r="O5760">
        <v>-0.98752499999999999</v>
      </c>
      <c r="P5760">
        <v>0.1787116</v>
      </c>
      <c r="Q5760">
        <v>8.9876729999999998E-3</v>
      </c>
      <c r="R5760">
        <v>-0.98386059999999997</v>
      </c>
      <c r="S5760">
        <v>0.96066280000000004</v>
      </c>
      <c r="T5760">
        <v>-0.26233289999999998</v>
      </c>
      <c r="U5760">
        <v>-2.8792719999999998</v>
      </c>
      <c r="V5760">
        <v>-2.235299E-2</v>
      </c>
      <c r="W5760">
        <v>2.2725840000000001E-2</v>
      </c>
      <c r="X5760">
        <v>0.99949180000000004</v>
      </c>
      <c r="Y5760">
        <v>-0.16259370000000001</v>
      </c>
      <c r="Z5760">
        <v>8.6151759999999994E-2</v>
      </c>
      <c r="AA5760">
        <v>0.98292480000000004</v>
      </c>
      <c r="AB5760">
        <v>23</v>
      </c>
      <c r="AC5760">
        <v>4.0359999999999996</v>
      </c>
      <c r="AD5760">
        <v>-1.1132735173320001</v>
      </c>
      <c r="AE5760">
        <v>-11.99403</v>
      </c>
      <c r="AF5760">
        <v>-2.0884836425915299</v>
      </c>
      <c r="AG5760">
        <v>-1.1132735173320001</v>
      </c>
      <c r="AH5760">
        <v>12.3828111754777</v>
      </c>
      <c r="AI5760">
        <v>95.066179649461603</v>
      </c>
      <c r="AJ5760">
        <v>99.573403197316395</v>
      </c>
      <c r="AK5760">
        <v>12.606948657676901</v>
      </c>
      <c r="AL5760">
        <v>88.697793161080298</v>
      </c>
      <c r="AM5760">
        <v>91.281169615437307</v>
      </c>
      <c r="AN5760">
        <v>0.99999998911644195</v>
      </c>
    </row>
    <row r="5761" spans="1:40" x14ac:dyDescent="0.25">
      <c r="A5761" t="str">
        <f>"20190312160803381"</f>
        <v>20190312160803381</v>
      </c>
      <c r="B5761" t="str">
        <f>"1552378083371817"</f>
        <v>1552378083371817</v>
      </c>
      <c r="C5761" t="s">
        <v>40</v>
      </c>
      <c r="D5761">
        <v>5.284116</v>
      </c>
      <c r="E5761">
        <v>0.44467430000000002</v>
      </c>
      <c r="F5761" t="s">
        <v>82</v>
      </c>
      <c r="G5761">
        <v>-417.12130000000002</v>
      </c>
      <c r="H5761" s="1">
        <v>-7.5245529999999997E-6</v>
      </c>
      <c r="I5761">
        <v>22.877109999999998</v>
      </c>
      <c r="J5761">
        <v>-421.15210000000002</v>
      </c>
      <c r="K5761">
        <v>1.113354</v>
      </c>
      <c r="L5761">
        <v>34.699800000000003</v>
      </c>
      <c r="M5761">
        <v>0.16204070000000001</v>
      </c>
      <c r="N5761">
        <v>0</v>
      </c>
      <c r="O5761">
        <v>-0.98668579999999995</v>
      </c>
      <c r="P5761">
        <v>0.18431990000000001</v>
      </c>
      <c r="Q5761">
        <v>9.5602900000000008E-3</v>
      </c>
      <c r="R5761">
        <v>-0.98282000000000003</v>
      </c>
      <c r="S5761">
        <v>0.97219849999999997</v>
      </c>
      <c r="T5761">
        <v>-0.26583040000000002</v>
      </c>
      <c r="U5761">
        <v>-2.8750610000000001</v>
      </c>
      <c r="V5761">
        <v>-2.2803070000000002E-2</v>
      </c>
      <c r="W5761">
        <v>2.3298369999999999E-2</v>
      </c>
      <c r="X5761">
        <v>0.99946840000000003</v>
      </c>
      <c r="Y5761">
        <v>-0.16134499999999999</v>
      </c>
      <c r="Z5761">
        <v>8.7256130000000001E-2</v>
      </c>
      <c r="AA5761">
        <v>0.98303309999999999</v>
      </c>
      <c r="AB5761">
        <v>23</v>
      </c>
      <c r="AC5761">
        <v>4.0307999999999904</v>
      </c>
      <c r="AD5761">
        <v>-1.113361524553</v>
      </c>
      <c r="AE5761">
        <v>-11.82269</v>
      </c>
      <c r="AF5761">
        <v>-2.04532637992508</v>
      </c>
      <c r="AG5761">
        <v>-1.113361524553</v>
      </c>
      <c r="AH5761">
        <v>12.2225232382323</v>
      </c>
      <c r="AI5761">
        <v>95.133769732035304</v>
      </c>
      <c r="AJ5761">
        <v>99.499897179088904</v>
      </c>
      <c r="AK5761">
        <v>12.4423875600265</v>
      </c>
      <c r="AL5761">
        <v>88.664980850679598</v>
      </c>
      <c r="AM5761">
        <v>91.306987840793894</v>
      </c>
      <c r="AN5761">
        <v>0.99999993832231904</v>
      </c>
    </row>
    <row r="5762" spans="1:40" x14ac:dyDescent="0.25">
      <c r="A5762" t="str">
        <f>"20190312160803404"</f>
        <v>20190312160803404</v>
      </c>
      <c r="B5762" t="str">
        <f>"1552378083391337"</f>
        <v>1552378083391337</v>
      </c>
      <c r="C5762" t="s">
        <v>40</v>
      </c>
      <c r="D5762">
        <v>5.2523949999999999</v>
      </c>
      <c r="E5762">
        <v>0.44490980000000002</v>
      </c>
      <c r="F5762" t="s">
        <v>82</v>
      </c>
      <c r="G5762">
        <v>-416.97829999999999</v>
      </c>
      <c r="H5762" s="1">
        <v>-7.5402810000000002E-6</v>
      </c>
      <c r="I5762">
        <v>22.56765</v>
      </c>
      <c r="J5762">
        <v>-421.10849999999999</v>
      </c>
      <c r="K5762">
        <v>1.1134470000000001</v>
      </c>
      <c r="L5762">
        <v>34.473999999999997</v>
      </c>
      <c r="M5762">
        <v>0.16759930000000001</v>
      </c>
      <c r="N5762">
        <v>0</v>
      </c>
      <c r="O5762">
        <v>-0.98575659999999998</v>
      </c>
      <c r="P5762">
        <v>0.1909264</v>
      </c>
      <c r="Q5762">
        <v>1.0707700000000001E-2</v>
      </c>
      <c r="R5762">
        <v>-0.98154600000000003</v>
      </c>
      <c r="S5762">
        <v>0.98730469999999904</v>
      </c>
      <c r="T5762">
        <v>-0.26336409999999999</v>
      </c>
      <c r="U5762">
        <v>-2.8698429999999999</v>
      </c>
      <c r="V5762">
        <v>-2.3909509999999998E-2</v>
      </c>
      <c r="W5762">
        <v>2.444054E-2</v>
      </c>
      <c r="X5762">
        <v>0.99941530000000001</v>
      </c>
      <c r="Y5762">
        <v>-0.1609836</v>
      </c>
      <c r="Z5762">
        <v>8.6410719999999996E-2</v>
      </c>
      <c r="AA5762">
        <v>0.98316709999999996</v>
      </c>
      <c r="AB5762">
        <v>23</v>
      </c>
      <c r="AC5762">
        <v>4.1302000000000003</v>
      </c>
      <c r="AD5762">
        <v>-1.1134545402810001</v>
      </c>
      <c r="AE5762">
        <v>-11.90635</v>
      </c>
      <c r="AF5762">
        <v>-2.0599970075154599</v>
      </c>
      <c r="AG5762">
        <v>-1.1134545402810001</v>
      </c>
      <c r="AH5762">
        <v>12.3339088445753</v>
      </c>
      <c r="AI5762">
        <v>95.088339570055595</v>
      </c>
      <c r="AJ5762">
        <v>99.481962183441695</v>
      </c>
      <c r="AK5762">
        <v>12.554229409666601</v>
      </c>
      <c r="AL5762">
        <v>88.5995207208869</v>
      </c>
      <c r="AM5762">
        <v>91.370454058078394</v>
      </c>
      <c r="AN5762">
        <v>0.99999997326901002</v>
      </c>
    </row>
    <row r="5763" spans="1:40" x14ac:dyDescent="0.25">
      <c r="A5763" t="str">
        <f>"20190312160803426"</f>
        <v>20190312160803426</v>
      </c>
      <c r="B5763" t="str">
        <f>"1552378083421593"</f>
        <v>1552378083421593</v>
      </c>
      <c r="C5763" t="s">
        <v>40</v>
      </c>
      <c r="D5763">
        <v>5.3020319999999996</v>
      </c>
      <c r="E5763">
        <v>0.45337240000000001</v>
      </c>
      <c r="F5763" t="s">
        <v>82</v>
      </c>
      <c r="G5763">
        <v>-416.82400000000001</v>
      </c>
      <c r="H5763" s="1">
        <v>-7.5661100000000001E-6</v>
      </c>
      <c r="I5763">
        <v>22.26454</v>
      </c>
      <c r="J5763">
        <v>-421.06389999999999</v>
      </c>
      <c r="K5763">
        <v>1.113548</v>
      </c>
      <c r="L5763">
        <v>34.250889999999998</v>
      </c>
      <c r="M5763">
        <v>0.17327699999999999</v>
      </c>
      <c r="N5763">
        <v>0</v>
      </c>
      <c r="O5763">
        <v>-0.9847745</v>
      </c>
      <c r="P5763">
        <v>0.19767760000000001</v>
      </c>
      <c r="Q5763">
        <v>1.08816E-2</v>
      </c>
      <c r="R5763">
        <v>-0.98020680000000004</v>
      </c>
      <c r="S5763">
        <v>1.0049440000000001</v>
      </c>
      <c r="T5763">
        <v>-0.26116440000000002</v>
      </c>
      <c r="U5763">
        <v>-2.8637700000000001</v>
      </c>
      <c r="V5763">
        <v>-2.5036929999999999E-2</v>
      </c>
      <c r="W5763">
        <v>2.4609289999999999E-2</v>
      </c>
      <c r="X5763">
        <v>0.99938360000000004</v>
      </c>
      <c r="Y5763">
        <v>-0.16136159999999999</v>
      </c>
      <c r="Z5763">
        <v>8.5651229999999995E-2</v>
      </c>
      <c r="AA5763">
        <v>0.98317160000000003</v>
      </c>
      <c r="AB5763">
        <v>23</v>
      </c>
      <c r="AC5763">
        <v>4.2398999999999702</v>
      </c>
      <c r="AD5763">
        <v>-1.1135555661100001</v>
      </c>
      <c r="AE5763">
        <v>-11.98635</v>
      </c>
      <c r="AF5763">
        <v>-2.08261482523258</v>
      </c>
      <c r="AG5763">
        <v>-1.1135555661100001</v>
      </c>
      <c r="AH5763">
        <v>12.444287398237099</v>
      </c>
      <c r="AI5763">
        <v>95.043621689629504</v>
      </c>
      <c r="AJ5763">
        <v>99.500695567582099</v>
      </c>
      <c r="AK5763">
        <v>12.666395673553501</v>
      </c>
      <c r="AL5763">
        <v>88.589849218213104</v>
      </c>
      <c r="AM5763">
        <v>91.435095016702903</v>
      </c>
      <c r="AN5763">
        <v>1.0000000224835399</v>
      </c>
    </row>
    <row r="5764" spans="1:40" x14ac:dyDescent="0.25">
      <c r="A5764" t="str">
        <f>"20190312160803448"</f>
        <v>20190312160803448</v>
      </c>
      <c r="B5764" t="str">
        <f>"1552378083441112"</f>
        <v>1552378083441112</v>
      </c>
      <c r="C5764" t="s">
        <v>40</v>
      </c>
      <c r="D5764">
        <v>5.3073739999999896</v>
      </c>
      <c r="E5764">
        <v>0.45045970000000002</v>
      </c>
      <c r="F5764" t="s">
        <v>82</v>
      </c>
      <c r="G5764">
        <v>-418.11399999999998</v>
      </c>
      <c r="H5764" s="1">
        <v>-7.461742E-6</v>
      </c>
      <c r="I5764">
        <v>25.416589999999999</v>
      </c>
      <c r="J5764">
        <v>-421.0188</v>
      </c>
      <c r="K5764">
        <v>1.1136600000000001</v>
      </c>
      <c r="L5764">
        <v>34.032319999999999</v>
      </c>
      <c r="M5764">
        <v>0.17902399999999999</v>
      </c>
      <c r="N5764">
        <v>0</v>
      </c>
      <c r="O5764">
        <v>-0.98374569999999995</v>
      </c>
      <c r="P5764">
        <v>0.20469850000000001</v>
      </c>
      <c r="Q5764">
        <v>1.0924069999999999E-2</v>
      </c>
      <c r="R5764">
        <v>-0.97876430000000003</v>
      </c>
      <c r="S5764">
        <v>0.95877080000000003</v>
      </c>
      <c r="T5764">
        <v>-0.36191800000000002</v>
      </c>
      <c r="U5764">
        <v>-2.8712460000000002</v>
      </c>
      <c r="V5764">
        <v>-2.637215E-2</v>
      </c>
      <c r="W5764">
        <v>2.464504E-2</v>
      </c>
      <c r="X5764">
        <v>0.99934829999999997</v>
      </c>
      <c r="Y5764">
        <v>-0.13953370000000001</v>
      </c>
      <c r="Z5764">
        <v>0.1183049</v>
      </c>
      <c r="AA5764">
        <v>0.98312469999999996</v>
      </c>
      <c r="AB5764">
        <v>23</v>
      </c>
      <c r="AC5764">
        <v>2.9047999999999599</v>
      </c>
      <c r="AD5764">
        <v>-1.1136674617419999</v>
      </c>
      <c r="AE5764">
        <v>-8.6157299999999992</v>
      </c>
      <c r="AF5764">
        <v>-1.2958489166403899</v>
      </c>
      <c r="AG5764">
        <v>-1.1136674617419999</v>
      </c>
      <c r="AH5764">
        <v>8.8636142280567398</v>
      </c>
      <c r="AI5764">
        <v>97.086833470435195</v>
      </c>
      <c r="AJ5764">
        <v>98.317642176636696</v>
      </c>
      <c r="AK5764">
        <v>9.0268010288202802</v>
      </c>
      <c r="AL5764">
        <v>88.587800165385303</v>
      </c>
      <c r="AM5764">
        <v>91.511647423504996</v>
      </c>
      <c r="AN5764">
        <v>0.99999994650255497</v>
      </c>
    </row>
    <row r="5765" spans="1:40" x14ac:dyDescent="0.25">
      <c r="A5765" t="str">
        <f>"20190312160803470"</f>
        <v>20190312160803470</v>
      </c>
      <c r="B5765" t="str">
        <f>"1552378083461610"</f>
        <v>1552378083461610</v>
      </c>
      <c r="C5765" t="s">
        <v>40</v>
      </c>
      <c r="D5765">
        <v>5.2860519999999998</v>
      </c>
      <c r="E5765">
        <v>0.45070379999999899</v>
      </c>
      <c r="F5765" t="s">
        <v>82</v>
      </c>
      <c r="G5765">
        <v>-416.34519999999998</v>
      </c>
      <c r="H5765" s="1">
        <v>-7.5833249999999999E-6</v>
      </c>
      <c r="I5765">
        <v>20.69407</v>
      </c>
      <c r="J5765">
        <v>-420.97250000000003</v>
      </c>
      <c r="K5765">
        <v>1.1137790000000001</v>
      </c>
      <c r="L5765">
        <v>33.815829999999998</v>
      </c>
      <c r="M5765">
        <v>0.1849074</v>
      </c>
      <c r="N5765">
        <v>0</v>
      </c>
      <c r="O5765">
        <v>-0.98265670000000005</v>
      </c>
      <c r="P5765">
        <v>0.21119969999999999</v>
      </c>
      <c r="Q5765">
        <v>1.102914E-2</v>
      </c>
      <c r="R5765">
        <v>-0.97738100000000006</v>
      </c>
      <c r="S5765">
        <v>1.0015259999999999</v>
      </c>
      <c r="T5765">
        <v>-0.23865220000000001</v>
      </c>
      <c r="U5765">
        <v>-2.8583069999999999</v>
      </c>
      <c r="V5765">
        <v>-2.7043500000000002E-2</v>
      </c>
      <c r="W5765">
        <v>2.474991E-2</v>
      </c>
      <c r="X5765">
        <v>0.99932779999999999</v>
      </c>
      <c r="Y5765">
        <v>-0.14942420000000001</v>
      </c>
      <c r="Z5765">
        <v>7.8296149999999995E-2</v>
      </c>
      <c r="AA5765">
        <v>0.9856684</v>
      </c>
      <c r="AB5765">
        <v>23</v>
      </c>
      <c r="AC5765">
        <v>4.6273000000000399</v>
      </c>
      <c r="AD5765">
        <v>-1.113786583325</v>
      </c>
      <c r="AE5765">
        <v>-13.121759999999901</v>
      </c>
      <c r="AF5765">
        <v>-2.10743943936972</v>
      </c>
      <c r="AG5765">
        <v>-1.113786583325</v>
      </c>
      <c r="AH5765">
        <v>13.663593741824201</v>
      </c>
      <c r="AI5765">
        <v>94.605931382763799</v>
      </c>
      <c r="AJ5765">
        <v>98.768068702023896</v>
      </c>
      <c r="AK5765">
        <v>13.869953694422501</v>
      </c>
      <c r="AL5765">
        <v>88.581789771379803</v>
      </c>
      <c r="AM5765">
        <v>91.550142339241006</v>
      </c>
      <c r="AN5765">
        <v>0.999999980395048</v>
      </c>
    </row>
    <row r="5766" spans="1:40" x14ac:dyDescent="0.25">
      <c r="A5766" t="str">
        <f>"20190312160803492"</f>
        <v>20190312160803492</v>
      </c>
      <c r="B5766" t="str">
        <f>"1552378083481129"</f>
        <v>1552378083481129</v>
      </c>
      <c r="C5766" t="s">
        <v>40</v>
      </c>
      <c r="D5766">
        <v>5.3947289999999999</v>
      </c>
      <c r="E5766">
        <v>0.45361499999999999</v>
      </c>
      <c r="F5766" t="s">
        <v>82</v>
      </c>
      <c r="G5766">
        <v>-416.23880000000003</v>
      </c>
      <c r="H5766" s="1">
        <v>-7.6092300000000003E-6</v>
      </c>
      <c r="I5766">
        <v>20.56634</v>
      </c>
      <c r="J5766">
        <v>-420.92399999999998</v>
      </c>
      <c r="K5766">
        <v>1.1139079999999999</v>
      </c>
      <c r="L5766">
        <v>33.596469999999997</v>
      </c>
      <c r="M5766">
        <v>0.191078</v>
      </c>
      <c r="N5766">
        <v>0</v>
      </c>
      <c r="O5766">
        <v>-0.98147530000000005</v>
      </c>
      <c r="P5766">
        <v>0.2183553</v>
      </c>
      <c r="Q5766">
        <v>1.1379220000000001E-2</v>
      </c>
      <c r="R5766">
        <v>-0.97580290000000003</v>
      </c>
      <c r="S5766">
        <v>1.018921</v>
      </c>
      <c r="T5766">
        <v>-0.23974319999999999</v>
      </c>
      <c r="U5766">
        <v>-2.8519589999999999</v>
      </c>
      <c r="V5766">
        <v>-2.8099200000000001E-2</v>
      </c>
      <c r="W5766">
        <v>2.5095989999999999E-2</v>
      </c>
      <c r="X5766">
        <v>0.99929000000000001</v>
      </c>
      <c r="Y5766">
        <v>-0.14922920000000001</v>
      </c>
      <c r="Z5766">
        <v>7.8598799999999996E-2</v>
      </c>
      <c r="AA5766">
        <v>0.98567380000000004</v>
      </c>
      <c r="AB5766">
        <v>23</v>
      </c>
      <c r="AC5766">
        <v>4.6852</v>
      </c>
      <c r="AD5766">
        <v>-1.11391560923</v>
      </c>
      <c r="AE5766">
        <v>-13.03013</v>
      </c>
      <c r="AF5766">
        <v>-2.0952834306919499</v>
      </c>
      <c r="AG5766">
        <v>-1.11391560923</v>
      </c>
      <c r="AH5766">
        <v>13.597332148694701</v>
      </c>
      <c r="AI5766">
        <v>94.6289120604755</v>
      </c>
      <c r="AJ5766">
        <v>98.760100341706504</v>
      </c>
      <c r="AK5766">
        <v>13.8028425406271</v>
      </c>
      <c r="AL5766">
        <v>88.561954626600198</v>
      </c>
      <c r="AM5766">
        <v>91.610685028750495</v>
      </c>
      <c r="AN5766">
        <v>0.99999993892735795</v>
      </c>
    </row>
    <row r="5767" spans="1:40" x14ac:dyDescent="0.25">
      <c r="A5767" t="str">
        <f>"20190312160803506"</f>
        <v>20190312160803506</v>
      </c>
      <c r="B5767" t="str">
        <f>"1552378083501625"</f>
        <v>1552378083501625</v>
      </c>
      <c r="C5767" t="s">
        <v>40</v>
      </c>
      <c r="D5767">
        <v>5.3200690000000002</v>
      </c>
      <c r="E5767">
        <v>0.45378269999999998</v>
      </c>
      <c r="F5767" t="s">
        <v>82</v>
      </c>
      <c r="G5767">
        <v>-417.6925</v>
      </c>
      <c r="H5767" s="1">
        <v>-7.5115470000000002E-6</v>
      </c>
      <c r="I5767">
        <v>24.5442</v>
      </c>
      <c r="J5767">
        <v>-420.8938</v>
      </c>
      <c r="K5767">
        <v>1.113991</v>
      </c>
      <c r="L5767">
        <v>33.464509999999997</v>
      </c>
      <c r="M5767">
        <v>0.19492229999999999</v>
      </c>
      <c r="N5767">
        <v>0</v>
      </c>
      <c r="O5767">
        <v>-0.98071870000000005</v>
      </c>
      <c r="P5767">
        <v>0.22270870000000001</v>
      </c>
      <c r="Q5767">
        <v>1.190512E-2</v>
      </c>
      <c r="R5767">
        <v>-0.97481229999999996</v>
      </c>
      <c r="S5767">
        <v>1.0176700000000001</v>
      </c>
      <c r="T5767">
        <v>-0.3507979</v>
      </c>
      <c r="U5767">
        <v>-2.8507690000000001</v>
      </c>
      <c r="V5767">
        <v>-2.865585E-2</v>
      </c>
      <c r="W5767">
        <v>2.56213E-2</v>
      </c>
      <c r="X5767">
        <v>0.99926090000000001</v>
      </c>
      <c r="Y5767">
        <v>-0.14390729999999999</v>
      </c>
      <c r="Z5767">
        <v>0.11455510000000001</v>
      </c>
      <c r="AA5767">
        <v>0.98293830000000004</v>
      </c>
      <c r="AB5767">
        <v>23</v>
      </c>
      <c r="AC5767">
        <v>3.2012999999999998</v>
      </c>
      <c r="AD5767">
        <v>-1.1139985115469999</v>
      </c>
      <c r="AE5767">
        <v>-8.92030999999999</v>
      </c>
      <c r="AF5767">
        <v>-1.3818525912191899</v>
      </c>
      <c r="AG5767">
        <v>-1.1139985115469999</v>
      </c>
      <c r="AH5767">
        <v>9.2454992783645302</v>
      </c>
      <c r="AI5767">
        <v>96.795731047261697</v>
      </c>
      <c r="AJ5767">
        <v>98.500627185668804</v>
      </c>
      <c r="AK5767">
        <v>9.4143383290503806</v>
      </c>
      <c r="AL5767">
        <v>88.531846953028193</v>
      </c>
      <c r="AM5767">
        <v>91.642623474783605</v>
      </c>
      <c r="AN5767">
        <v>0.999999977510861</v>
      </c>
    </row>
    <row r="5768" spans="1:40" x14ac:dyDescent="0.25">
      <c r="A5768" t="str">
        <f>"20190312160803521"</f>
        <v>20190312160803521</v>
      </c>
      <c r="B5768" t="str">
        <f>"1552378083511385"</f>
        <v>1552378083511385</v>
      </c>
      <c r="C5768" t="s">
        <v>40</v>
      </c>
      <c r="D5768">
        <v>9.8249619999999993</v>
      </c>
      <c r="E5768">
        <v>0.4542582</v>
      </c>
      <c r="F5768" t="s">
        <v>82</v>
      </c>
      <c r="G5768">
        <v>-417.22590000000002</v>
      </c>
      <c r="H5768" s="1">
        <v>-7.5377449999999996E-6</v>
      </c>
      <c r="I5768">
        <v>23.32085</v>
      </c>
      <c r="J5768">
        <v>-420.86259999999999</v>
      </c>
      <c r="K5768">
        <v>1.114079</v>
      </c>
      <c r="L5768">
        <v>33.33005</v>
      </c>
      <c r="M5768">
        <v>0.19890720000000001</v>
      </c>
      <c r="N5768">
        <v>0</v>
      </c>
      <c r="O5768">
        <v>-0.97991810000000001</v>
      </c>
      <c r="P5768">
        <v>0.22713800000000001</v>
      </c>
      <c r="Q5768">
        <v>1.2275339999999999E-2</v>
      </c>
      <c r="R5768">
        <v>-0.97378520000000002</v>
      </c>
      <c r="S5768">
        <v>1.029175</v>
      </c>
      <c r="T5768">
        <v>-0.31257499999999999</v>
      </c>
      <c r="U5768">
        <v>-2.8461910000000001</v>
      </c>
      <c r="V5768">
        <v>-2.9145859999999999E-2</v>
      </c>
      <c r="W5768">
        <v>2.5991199999999999E-2</v>
      </c>
      <c r="X5768">
        <v>0.99923720000000005</v>
      </c>
      <c r="Y5768">
        <v>-0.1443701</v>
      </c>
      <c r="Z5768">
        <v>0.1021758</v>
      </c>
      <c r="AA5768">
        <v>0.98423439999999995</v>
      </c>
      <c r="AB5768">
        <v>23</v>
      </c>
      <c r="AC5768">
        <v>3.6366999999999599</v>
      </c>
      <c r="AD5768">
        <v>-1.114086537745</v>
      </c>
      <c r="AE5768">
        <v>-10.0092</v>
      </c>
      <c r="AF5768">
        <v>-1.55589256430127</v>
      </c>
      <c r="AG5768">
        <v>-1.114086537745</v>
      </c>
      <c r="AH5768">
        <v>10.4185727142108</v>
      </c>
      <c r="AI5768">
        <v>96.037154843496793</v>
      </c>
      <c r="AJ5768">
        <v>98.493687032682502</v>
      </c>
      <c r="AK5768">
        <v>10.5928583435507</v>
      </c>
      <c r="AL5768">
        <v>88.510646220549006</v>
      </c>
      <c r="AM5768">
        <v>91.670735865605906</v>
      </c>
      <c r="AN5768">
        <v>1.0000000027481999</v>
      </c>
    </row>
    <row r="5769" spans="1:40" x14ac:dyDescent="0.25">
      <c r="A5769" t="str">
        <f>"20190312160803537"</f>
        <v>20190312160803537</v>
      </c>
      <c r="B5769" t="str">
        <f>"1552378083531882"</f>
        <v>1552378083531882</v>
      </c>
      <c r="C5769" t="s">
        <v>40</v>
      </c>
      <c r="D5769">
        <v>5.2314569999999998</v>
      </c>
      <c r="E5769">
        <v>0.45484920000000001</v>
      </c>
      <c r="F5769" t="s">
        <v>82</v>
      </c>
      <c r="G5769">
        <v>-417.01650000000001</v>
      </c>
      <c r="H5769" s="1">
        <v>-7.5529059999999999E-6</v>
      </c>
      <c r="I5769">
        <v>22.80226</v>
      </c>
      <c r="J5769">
        <v>-420.82229999999998</v>
      </c>
      <c r="K5769">
        <v>1.114187</v>
      </c>
      <c r="L5769">
        <v>33.160919999999997</v>
      </c>
      <c r="M5769">
        <v>0.20404359999999999</v>
      </c>
      <c r="N5769">
        <v>0</v>
      </c>
      <c r="O5769">
        <v>-0.97886130000000005</v>
      </c>
      <c r="P5769">
        <v>0.23337069999999999</v>
      </c>
      <c r="Q5769">
        <v>1.274252E-2</v>
      </c>
      <c r="R5769">
        <v>-0.97230450000000002</v>
      </c>
      <c r="S5769">
        <v>1.0383910000000001</v>
      </c>
      <c r="T5769">
        <v>-0.30078700000000003</v>
      </c>
      <c r="U5769">
        <v>-2.842346</v>
      </c>
      <c r="V5769">
        <v>-3.0319039999999998E-2</v>
      </c>
      <c r="W5769">
        <v>2.6452139999999999E-2</v>
      </c>
      <c r="X5769">
        <v>0.99919020000000003</v>
      </c>
      <c r="Y5769">
        <v>-0.14256079999999999</v>
      </c>
      <c r="Z5769">
        <v>9.8289180000000004E-2</v>
      </c>
      <c r="AA5769">
        <v>0.98489369999999998</v>
      </c>
      <c r="AB5769">
        <v>23</v>
      </c>
      <c r="AC5769">
        <v>3.8057999999999699</v>
      </c>
      <c r="AD5769">
        <v>-1.114194552906</v>
      </c>
      <c r="AE5769">
        <v>-10.35866</v>
      </c>
      <c r="AF5769">
        <v>-1.59562558014235</v>
      </c>
      <c r="AG5769">
        <v>-1.114194552906</v>
      </c>
      <c r="AH5769">
        <v>10.8071515593314</v>
      </c>
      <c r="AI5769">
        <v>95.823586026790906</v>
      </c>
      <c r="AJ5769">
        <v>98.398776967442004</v>
      </c>
      <c r="AK5769">
        <v>10.980982438747899</v>
      </c>
      <c r="AL5769">
        <v>88.484227227396104</v>
      </c>
      <c r="AM5769">
        <v>91.738027627583804</v>
      </c>
      <c r="AN5769">
        <v>1.0000000078365701</v>
      </c>
    </row>
    <row r="5770" spans="1:40" x14ac:dyDescent="0.25">
      <c r="A5770" t="str">
        <f>"20190312160803551"</f>
        <v>20190312160803551</v>
      </c>
      <c r="B5770" t="str">
        <f>"1552378083541641"</f>
        <v>1552378083541641</v>
      </c>
      <c r="C5770" t="s">
        <v>40</v>
      </c>
      <c r="D5770">
        <v>5.2818180000000003</v>
      </c>
      <c r="E5770">
        <v>0.45525149999999998</v>
      </c>
      <c r="F5770" t="s">
        <v>82</v>
      </c>
      <c r="G5770">
        <v>-416.97379999999998</v>
      </c>
      <c r="H5770" s="1">
        <v>-7.5652369999999902E-6</v>
      </c>
      <c r="I5770">
        <v>22.77852</v>
      </c>
      <c r="J5770">
        <v>-420.79050000000001</v>
      </c>
      <c r="K5770">
        <v>1.1142719999999999</v>
      </c>
      <c r="L5770">
        <v>33.030299999999997</v>
      </c>
      <c r="M5770">
        <v>0.20810529999999999</v>
      </c>
      <c r="N5770">
        <v>0</v>
      </c>
      <c r="O5770">
        <v>-0.97800569999999998</v>
      </c>
      <c r="P5770">
        <v>0.23805280000000001</v>
      </c>
      <c r="Q5770">
        <v>1.266698E-2</v>
      </c>
      <c r="R5770">
        <v>-0.97116970000000002</v>
      </c>
      <c r="S5770">
        <v>1.051636</v>
      </c>
      <c r="T5770">
        <v>-0.30445860000000002</v>
      </c>
      <c r="U5770">
        <v>-2.8370359999999999</v>
      </c>
      <c r="V5770">
        <v>-3.0989929999999999E-2</v>
      </c>
      <c r="W5770">
        <v>2.63754E-2</v>
      </c>
      <c r="X5770">
        <v>0.99917160000000005</v>
      </c>
      <c r="Y5770">
        <v>-0.14305370000000001</v>
      </c>
      <c r="Z5770">
        <v>9.9439899999999901E-2</v>
      </c>
      <c r="AA5770">
        <v>0.98470679999999999</v>
      </c>
      <c r="AB5770">
        <v>23</v>
      </c>
      <c r="AC5770">
        <v>3.81670000000002</v>
      </c>
      <c r="AD5770">
        <v>-1.1142795652369999</v>
      </c>
      <c r="AE5770">
        <v>-10.251779999999901</v>
      </c>
      <c r="AF5770">
        <v>-1.5830370881520299</v>
      </c>
      <c r="AG5770">
        <v>-1.1142795652369999</v>
      </c>
      <c r="AH5770">
        <v>10.710512026477801</v>
      </c>
      <c r="AI5770">
        <v>95.876078337781095</v>
      </c>
      <c r="AJ5770">
        <v>98.407571576177403</v>
      </c>
      <c r="AK5770">
        <v>10.8840568374708</v>
      </c>
      <c r="AL5770">
        <v>88.488625570614403</v>
      </c>
      <c r="AM5770">
        <v>91.776494818289805</v>
      </c>
      <c r="AN5770">
        <v>0.99999996186656104</v>
      </c>
    </row>
    <row r="5771" spans="1:40" x14ac:dyDescent="0.25">
      <c r="A5771" t="str">
        <f>"20190312160803593"</f>
        <v>20190312160803593</v>
      </c>
      <c r="B5771" t="str">
        <f>"1552378083581660"</f>
        <v>1552378083581660</v>
      </c>
      <c r="C5771" t="s">
        <v>40</v>
      </c>
      <c r="D5771">
        <v>5.2151009999999998</v>
      </c>
      <c r="E5771">
        <v>0.45610889999999998</v>
      </c>
      <c r="F5771" t="s">
        <v>82</v>
      </c>
      <c r="G5771">
        <v>-416.91070000000002</v>
      </c>
      <c r="H5771" s="1">
        <v>-7.5763819999999999E-6</v>
      </c>
      <c r="I5771">
        <v>22.68092</v>
      </c>
      <c r="J5771">
        <v>-420.68720000000002</v>
      </c>
      <c r="K5771">
        <v>1.1145</v>
      </c>
      <c r="L5771">
        <v>32.624510000000001</v>
      </c>
      <c r="M5771">
        <v>0.22121930000000001</v>
      </c>
      <c r="N5771">
        <v>0</v>
      </c>
      <c r="O5771">
        <v>-0.97512270000000001</v>
      </c>
      <c r="P5771">
        <v>0.2530963</v>
      </c>
      <c r="Q5771">
        <v>1.3983600000000001E-2</v>
      </c>
      <c r="R5771">
        <v>-0.96734039999999999</v>
      </c>
      <c r="S5771">
        <v>1.06192</v>
      </c>
      <c r="T5771">
        <v>-0.30499009999999999</v>
      </c>
      <c r="U5771">
        <v>-2.8327330000000002</v>
      </c>
      <c r="V5771">
        <v>-3.3113150000000001E-2</v>
      </c>
      <c r="W5771">
        <v>2.7687650000000001E-2</v>
      </c>
      <c r="X5771">
        <v>0.99906799999999996</v>
      </c>
      <c r="Y5771">
        <v>-0.13338420000000001</v>
      </c>
      <c r="Z5771">
        <v>9.9323980000000006E-2</v>
      </c>
      <c r="AA5771">
        <v>0.98607469999999997</v>
      </c>
      <c r="AB5771">
        <v>23</v>
      </c>
      <c r="AC5771">
        <v>3.7764999999999902</v>
      </c>
      <c r="AD5771">
        <v>-1.114507576382</v>
      </c>
      <c r="AE5771">
        <v>-9.9435899999999897</v>
      </c>
      <c r="AF5771">
        <v>-1.4668786694295299</v>
      </c>
      <c r="AG5771">
        <v>-1.114507576382</v>
      </c>
      <c r="AH5771">
        <v>10.418314071128099</v>
      </c>
      <c r="AI5771">
        <v>96.046846747729006</v>
      </c>
      <c r="AJ5771">
        <v>98.014453350913897</v>
      </c>
      <c r="AK5771">
        <v>10.579939898378701</v>
      </c>
      <c r="AL5771">
        <v>88.413411716170302</v>
      </c>
      <c r="AM5771">
        <v>91.898318707217001</v>
      </c>
      <c r="AN5771">
        <v>0.99999997764472204</v>
      </c>
    </row>
    <row r="5772" spans="1:40" x14ac:dyDescent="0.25">
      <c r="A5772" t="str">
        <f>"20190312160803608"</f>
        <v>20190312160803608</v>
      </c>
      <c r="B5772" t="str">
        <f>"1552378083601181"</f>
        <v>1552378083601181</v>
      </c>
      <c r="C5772" t="s">
        <v>40</v>
      </c>
      <c r="D5772">
        <v>5.1957209999999998</v>
      </c>
      <c r="E5772">
        <v>0.45719330000000002</v>
      </c>
      <c r="F5772" t="s">
        <v>82</v>
      </c>
      <c r="G5772">
        <v>-416.60719999999998</v>
      </c>
      <c r="H5772" s="1">
        <v>-7.6347229999999995E-6</v>
      </c>
      <c r="I5772">
        <v>22.162520000000001</v>
      </c>
      <c r="J5772">
        <v>-420.65230000000003</v>
      </c>
      <c r="K5772">
        <v>1.114573</v>
      </c>
      <c r="L5772">
        <v>32.49353</v>
      </c>
      <c r="M5772">
        <v>0.2256425</v>
      </c>
      <c r="N5772">
        <v>0</v>
      </c>
      <c r="O5772">
        <v>-0.97410850000000004</v>
      </c>
      <c r="P5772">
        <v>0.25777699999999998</v>
      </c>
      <c r="Q5772">
        <v>1.4134249999999999E-2</v>
      </c>
      <c r="R5772">
        <v>-0.96610130000000005</v>
      </c>
      <c r="S5772">
        <v>1.0989990000000001</v>
      </c>
      <c r="T5772">
        <v>-0.30020819999999998</v>
      </c>
      <c r="U5772">
        <v>-2.818085</v>
      </c>
      <c r="V5772">
        <v>-3.3423130000000002E-2</v>
      </c>
      <c r="W5772">
        <v>2.784066E-2</v>
      </c>
      <c r="X5772">
        <v>0.99905339999999998</v>
      </c>
      <c r="Y5772">
        <v>-0.14193159999999999</v>
      </c>
      <c r="Z5772">
        <v>9.7822099999999995E-2</v>
      </c>
      <c r="AA5772">
        <v>0.98503110000000005</v>
      </c>
      <c r="AB5772">
        <v>23</v>
      </c>
      <c r="AC5772">
        <v>4.0451000000000397</v>
      </c>
      <c r="AD5772">
        <v>-1.1145806347229901</v>
      </c>
      <c r="AE5772">
        <v>-10.331009999999999</v>
      </c>
      <c r="AF5772">
        <v>-1.5933303824201099</v>
      </c>
      <c r="AG5772">
        <v>-1.1145806347229901</v>
      </c>
      <c r="AH5772">
        <v>10.8676783574745</v>
      </c>
      <c r="AI5772">
        <v>95.794222620241996</v>
      </c>
      <c r="AJ5772">
        <v>98.340816693380702</v>
      </c>
      <c r="AK5772">
        <v>11.040263791248901</v>
      </c>
      <c r="AL5772">
        <v>88.404641466933199</v>
      </c>
      <c r="AM5772">
        <v>91.916104111369904</v>
      </c>
      <c r="AN5772">
        <v>0.999999952009895</v>
      </c>
    </row>
    <row r="5773" spans="1:40" x14ac:dyDescent="0.25">
      <c r="A5773" t="str">
        <f>"20190312160803629"</f>
        <v>20190312160803629</v>
      </c>
      <c r="B5773" t="str">
        <f>"1552378083621676"</f>
        <v>1552378083621676</v>
      </c>
      <c r="C5773" t="s">
        <v>40</v>
      </c>
      <c r="D5773">
        <v>5.2093350000000003</v>
      </c>
      <c r="E5773">
        <v>0.45751259999999999</v>
      </c>
      <c r="F5773" t="s">
        <v>82</v>
      </c>
      <c r="G5773">
        <v>-416.5573</v>
      </c>
      <c r="H5773" s="1">
        <v>-7.6422990000000003E-6</v>
      </c>
      <c r="I5773">
        <v>22.056480000000001</v>
      </c>
      <c r="J5773">
        <v>-420.59640000000002</v>
      </c>
      <c r="K5773">
        <v>1.114687</v>
      </c>
      <c r="L5773">
        <v>32.288509999999903</v>
      </c>
      <c r="M5773">
        <v>0.2327024</v>
      </c>
      <c r="N5773">
        <v>0</v>
      </c>
      <c r="O5773">
        <v>-0.97244569999999997</v>
      </c>
      <c r="P5773">
        <v>0.26609579999999999</v>
      </c>
      <c r="Q5773">
        <v>1.4167829999999999E-2</v>
      </c>
      <c r="R5773">
        <v>-0.96384259999999999</v>
      </c>
      <c r="S5773">
        <v>1.1044620000000001</v>
      </c>
      <c r="T5773">
        <v>-0.30061320000000002</v>
      </c>
      <c r="U5773">
        <v>-2.814972</v>
      </c>
      <c r="V5773">
        <v>-3.4797439999999999E-2</v>
      </c>
      <c r="W5773">
        <v>2.7869729999999999E-2</v>
      </c>
      <c r="X5773">
        <v>0.9990057</v>
      </c>
      <c r="Y5773">
        <v>-0.1367746</v>
      </c>
      <c r="Z5773">
        <v>9.7807790000000006E-2</v>
      </c>
      <c r="AA5773">
        <v>0.98576180000000002</v>
      </c>
      <c r="AB5773">
        <v>22</v>
      </c>
      <c r="AC5773">
        <v>4.0391000000000101</v>
      </c>
      <c r="AD5773">
        <v>-1.1146946422990001</v>
      </c>
      <c r="AE5773">
        <v>-10.2320299999999</v>
      </c>
      <c r="AF5773">
        <v>-1.5312184992420901</v>
      </c>
      <c r="AG5773">
        <v>-1.1146946422990001</v>
      </c>
      <c r="AH5773">
        <v>10.7803899321648</v>
      </c>
      <c r="AI5773">
        <v>95.845161357956599</v>
      </c>
      <c r="AJ5773">
        <v>98.084068330519401</v>
      </c>
      <c r="AK5773">
        <v>10.945500506030401</v>
      </c>
      <c r="AL5773">
        <v>88.402975286538904</v>
      </c>
      <c r="AM5773">
        <v>91.994924269715597</v>
      </c>
      <c r="AN5773">
        <v>0.99999998615665797</v>
      </c>
    </row>
    <row r="5774" spans="1:40" x14ac:dyDescent="0.25">
      <c r="A5774" t="str">
        <f>"20190312160803650"</f>
        <v>20190312160803650</v>
      </c>
      <c r="B5774" t="str">
        <f>"1552378083641197"</f>
        <v>1552378083641197</v>
      </c>
      <c r="C5774" t="s">
        <v>40</v>
      </c>
      <c r="D5774">
        <v>5.3285519999999904</v>
      </c>
      <c r="E5774">
        <v>0.45752700000000002</v>
      </c>
      <c r="F5774" t="s">
        <v>82</v>
      </c>
      <c r="G5774">
        <v>-416.41660000000002</v>
      </c>
      <c r="H5774" s="1">
        <v>-7.6750399999999996E-6</v>
      </c>
      <c r="I5774">
        <v>21.872219999999999</v>
      </c>
      <c r="J5774">
        <v>-420.53859999999997</v>
      </c>
      <c r="K5774">
        <v>1.1147990000000001</v>
      </c>
      <c r="L5774">
        <v>32.083219999999997</v>
      </c>
      <c r="M5774">
        <v>0.23996190000000001</v>
      </c>
      <c r="N5774">
        <v>0</v>
      </c>
      <c r="O5774">
        <v>-0.97067950000000003</v>
      </c>
      <c r="P5774">
        <v>0.27413280000000001</v>
      </c>
      <c r="Q5774">
        <v>1.3419210000000001E-2</v>
      </c>
      <c r="R5774">
        <v>-0.96159839999999996</v>
      </c>
      <c r="S5774">
        <v>1.126007</v>
      </c>
      <c r="T5774">
        <v>-0.30029250000000002</v>
      </c>
      <c r="U5774">
        <v>-2.8060909999999999</v>
      </c>
      <c r="V5774">
        <v>-3.5669909999999999E-2</v>
      </c>
      <c r="W5774">
        <v>2.7122819999999999E-2</v>
      </c>
      <c r="X5774">
        <v>0.99899550000000004</v>
      </c>
      <c r="Y5774">
        <v>-0.1369763</v>
      </c>
      <c r="Z5774">
        <v>9.7592410000000004E-2</v>
      </c>
      <c r="AA5774">
        <v>0.9857551</v>
      </c>
      <c r="AB5774">
        <v>22</v>
      </c>
      <c r="AC5774">
        <v>4.1219999999999501</v>
      </c>
      <c r="AD5774">
        <v>-1.1148066750400001</v>
      </c>
      <c r="AE5774">
        <v>-10.211</v>
      </c>
      <c r="AF5774">
        <v>-1.53530875800838</v>
      </c>
      <c r="AG5774">
        <v>-1.1148066750400001</v>
      </c>
      <c r="AH5774">
        <v>10.791215974015801</v>
      </c>
      <c r="AI5774">
        <v>95.839729555516996</v>
      </c>
      <c r="AJ5774">
        <v>98.0973526312535</v>
      </c>
      <c r="AK5774">
        <v>10.956747195358</v>
      </c>
      <c r="AL5774">
        <v>88.445786286019995</v>
      </c>
      <c r="AM5774">
        <v>92.044921565025405</v>
      </c>
      <c r="AN5774">
        <v>0.99999999943220497</v>
      </c>
    </row>
    <row r="5775" spans="1:40" x14ac:dyDescent="0.25">
      <c r="A5775" t="str">
        <f>"20190312160803672"</f>
        <v>20190312160803672</v>
      </c>
      <c r="B5775" t="str">
        <f>"1552378083661693"</f>
        <v>1552378083661693</v>
      </c>
      <c r="C5775" t="s">
        <v>40</v>
      </c>
      <c r="D5775">
        <v>5.925999</v>
      </c>
      <c r="E5775">
        <v>0.45834819999999998</v>
      </c>
      <c r="F5775" t="s">
        <v>82</v>
      </c>
      <c r="G5775">
        <v>-416.36880000000002</v>
      </c>
      <c r="H5775" s="1">
        <v>-7.6989649999999996E-6</v>
      </c>
      <c r="I5775">
        <v>21.937760000000001</v>
      </c>
      <c r="J5775">
        <v>-420.47789999999998</v>
      </c>
      <c r="K5775">
        <v>1.1149150000000001</v>
      </c>
      <c r="L5775">
        <v>31.874600000000001</v>
      </c>
      <c r="M5775">
        <v>0.2475253</v>
      </c>
      <c r="N5775">
        <v>0</v>
      </c>
      <c r="O5775">
        <v>-0.96877820000000003</v>
      </c>
      <c r="P5775">
        <v>0.2824528</v>
      </c>
      <c r="Q5775">
        <v>1.3056470000000001E-2</v>
      </c>
      <c r="R5775">
        <v>-0.9591925</v>
      </c>
      <c r="S5775">
        <v>1.1493230000000001</v>
      </c>
      <c r="T5775">
        <v>-0.30727670000000001</v>
      </c>
      <c r="U5775">
        <v>-2.7964169999999999</v>
      </c>
      <c r="V5775">
        <v>-3.6534839999999999E-2</v>
      </c>
      <c r="W5775">
        <v>2.6761500000000001E-2</v>
      </c>
      <c r="X5775">
        <v>0.99897400000000003</v>
      </c>
      <c r="Y5775">
        <v>-0.1373964</v>
      </c>
      <c r="Z5775">
        <v>9.9713120000000002E-2</v>
      </c>
      <c r="AA5775">
        <v>0.98548440000000004</v>
      </c>
      <c r="AB5775">
        <v>22</v>
      </c>
      <c r="AC5775">
        <v>4.10909999999995</v>
      </c>
      <c r="AD5775">
        <v>-1.1149226989649901</v>
      </c>
      <c r="AE5775">
        <v>-9.9368400000000001</v>
      </c>
      <c r="AF5775">
        <v>-1.5051578898715401</v>
      </c>
      <c r="AG5775">
        <v>-1.1149226989649901</v>
      </c>
      <c r="AH5775">
        <v>10.531543590806301</v>
      </c>
      <c r="AI5775">
        <v>95.982768363897904</v>
      </c>
      <c r="AJ5775">
        <v>98.133576721397006</v>
      </c>
      <c r="AK5775">
        <v>10.6968202426311</v>
      </c>
      <c r="AL5775">
        <v>88.466495935030295</v>
      </c>
      <c r="AM5775">
        <v>92.094508565487999</v>
      </c>
      <c r="AN5775">
        <v>1.00000001254603</v>
      </c>
    </row>
    <row r="5776" spans="1:40" x14ac:dyDescent="0.25">
      <c r="A5776" t="str">
        <f>"20190312160803695"</f>
        <v>20190312160803695</v>
      </c>
      <c r="B5776" t="str">
        <f>"1552378083690973"</f>
        <v>1552378083690973</v>
      </c>
      <c r="C5776" t="s">
        <v>40</v>
      </c>
      <c r="D5776">
        <v>5.0917649999999997</v>
      </c>
      <c r="E5776">
        <v>0.45938410000000002</v>
      </c>
      <c r="F5776" t="s">
        <v>82</v>
      </c>
      <c r="G5776">
        <v>-416.20260000000002</v>
      </c>
      <c r="H5776" s="1">
        <v>-7.7319989999999903E-6</v>
      </c>
      <c r="I5776">
        <v>21.663519999999998</v>
      </c>
      <c r="J5776">
        <v>-420.41320000000002</v>
      </c>
      <c r="K5776">
        <v>1.115022</v>
      </c>
      <c r="L5776">
        <v>31.65973</v>
      </c>
      <c r="M5776">
        <v>0.25551970000000002</v>
      </c>
      <c r="N5776">
        <v>0</v>
      </c>
      <c r="O5776">
        <v>-0.9667</v>
      </c>
      <c r="P5776">
        <v>0.29122730000000002</v>
      </c>
      <c r="Q5776">
        <v>1.3394619999999999E-2</v>
      </c>
      <c r="R5776">
        <v>-0.95656010000000002</v>
      </c>
      <c r="S5776">
        <v>1.1673279999999999</v>
      </c>
      <c r="T5776">
        <v>-0.30442049999999998</v>
      </c>
      <c r="U5776">
        <v>-2.7880549999999999</v>
      </c>
      <c r="V5776">
        <v>-3.7446220000000002E-2</v>
      </c>
      <c r="W5776">
        <v>2.7100889999999999E-2</v>
      </c>
      <c r="X5776">
        <v>0.99893109999999996</v>
      </c>
      <c r="Y5776">
        <v>-0.13572010000000001</v>
      </c>
      <c r="Z5776">
        <v>9.8648280000000005E-2</v>
      </c>
      <c r="AA5776">
        <v>0.98582380000000003</v>
      </c>
      <c r="AB5776">
        <v>22</v>
      </c>
      <c r="AC5776">
        <v>4.2106000000000003</v>
      </c>
      <c r="AD5776">
        <v>-1.1150297319989999</v>
      </c>
      <c r="AE5776">
        <v>-9.9962099999999907</v>
      </c>
      <c r="AF5776">
        <v>-1.5004547596675899</v>
      </c>
      <c r="AG5776">
        <v>-1.1150297319989999</v>
      </c>
      <c r="AH5776">
        <v>10.6279954190141</v>
      </c>
      <c r="AI5776">
        <v>95.930852935158597</v>
      </c>
      <c r="AJ5776">
        <v>98.035879201881897</v>
      </c>
      <c r="AK5776">
        <v>10.7911511163377</v>
      </c>
      <c r="AL5776">
        <v>88.447043261069595</v>
      </c>
      <c r="AM5776">
        <v>92.146800954038696</v>
      </c>
      <c r="AN5776">
        <v>1.00000001008914</v>
      </c>
    </row>
    <row r="5777" spans="1:40" x14ac:dyDescent="0.25">
      <c r="A5777" t="str">
        <f>"20190312160803708"</f>
        <v>20190312160803708</v>
      </c>
      <c r="B5777" t="str">
        <f>"1552378083701708"</f>
        <v>1552378083701708</v>
      </c>
      <c r="C5777" t="s">
        <v>40</v>
      </c>
      <c r="D5777">
        <v>5.0840540000000001</v>
      </c>
      <c r="E5777">
        <v>0.45979759999999997</v>
      </c>
      <c r="F5777" t="s">
        <v>82</v>
      </c>
      <c r="G5777">
        <v>-415.90469999999999</v>
      </c>
      <c r="H5777" s="1">
        <v>-7.7824759999999998E-6</v>
      </c>
      <c r="I5777">
        <v>21.08436</v>
      </c>
      <c r="J5777">
        <v>-420.37400000000002</v>
      </c>
      <c r="K5777">
        <v>1.115083</v>
      </c>
      <c r="L5777">
        <v>31.533259999999999</v>
      </c>
      <c r="M5777">
        <v>0.26033909999999999</v>
      </c>
      <c r="N5777">
        <v>0</v>
      </c>
      <c r="O5777">
        <v>-0.96541299999999997</v>
      </c>
      <c r="P5777">
        <v>0.29669179999999901</v>
      </c>
      <c r="Q5777">
        <v>1.331765E-2</v>
      </c>
      <c r="R5777">
        <v>-0.95488070000000003</v>
      </c>
      <c r="S5777">
        <v>1.184998</v>
      </c>
      <c r="T5777">
        <v>-0.29306520000000003</v>
      </c>
      <c r="U5777">
        <v>-2.779541</v>
      </c>
      <c r="V5777">
        <v>-3.8177929999999999E-2</v>
      </c>
      <c r="W5777">
        <v>2.702272E-2</v>
      </c>
      <c r="X5777">
        <v>0.9989055</v>
      </c>
      <c r="Y5777">
        <v>-0.1373122</v>
      </c>
      <c r="Z5777">
        <v>9.4960589999999998E-2</v>
      </c>
      <c r="AA5777">
        <v>0.98596539999999999</v>
      </c>
      <c r="AB5777">
        <v>22</v>
      </c>
      <c r="AC5777">
        <v>4.4693000000000298</v>
      </c>
      <c r="AD5777">
        <v>-1.1150907824759999</v>
      </c>
      <c r="AE5777">
        <v>-10.448899999999901</v>
      </c>
      <c r="AF5777">
        <v>-1.57941780579319</v>
      </c>
      <c r="AG5777">
        <v>-1.1150907824759999</v>
      </c>
      <c r="AH5777">
        <v>11.1448730742992</v>
      </c>
      <c r="AI5777">
        <v>95.657507630656596</v>
      </c>
      <c r="AJ5777">
        <v>98.066072428990296</v>
      </c>
      <c r="AK5777">
        <v>11.311329890895101</v>
      </c>
      <c r="AL5777">
        <v>88.451523681646293</v>
      </c>
      <c r="AM5777">
        <v>92.188765697811604</v>
      </c>
      <c r="AN5777">
        <v>0.99999998983276595</v>
      </c>
    </row>
    <row r="5778" spans="1:40" x14ac:dyDescent="0.25">
      <c r="A5778" t="str">
        <f>"20190312160803720"</f>
        <v>20190312160803720</v>
      </c>
      <c r="B5778" t="str">
        <f>"1552378083711468"</f>
        <v>1552378083711468</v>
      </c>
      <c r="C5778" t="s">
        <v>40</v>
      </c>
      <c r="D5778">
        <v>4.9460059999999997</v>
      </c>
      <c r="E5778">
        <v>0.4602155</v>
      </c>
      <c r="F5778" t="s">
        <v>82</v>
      </c>
      <c r="G5778">
        <v>-415.78160000000003</v>
      </c>
      <c r="H5778" s="1">
        <v>-7.8088810000000004E-6</v>
      </c>
      <c r="I5778">
        <v>20.900670000000002</v>
      </c>
      <c r="J5778">
        <v>-420.33870000000002</v>
      </c>
      <c r="K5778">
        <v>1.1151260000000001</v>
      </c>
      <c r="L5778">
        <v>31.421230000000001</v>
      </c>
      <c r="M5778">
        <v>0.26465029999999901</v>
      </c>
      <c r="N5778">
        <v>0</v>
      </c>
      <c r="O5778">
        <v>-0.96423999999999999</v>
      </c>
      <c r="P5778">
        <v>0.30132229999999999</v>
      </c>
      <c r="Q5778">
        <v>1.2738650000000001E-2</v>
      </c>
      <c r="R5778">
        <v>-0.95343739999999999</v>
      </c>
      <c r="S5778">
        <v>1.1979679999999999</v>
      </c>
      <c r="T5778">
        <v>-0.29087970000000002</v>
      </c>
      <c r="U5778">
        <v>-2.77359</v>
      </c>
      <c r="V5778">
        <v>-3.8556229999999997E-2</v>
      </c>
      <c r="W5778">
        <v>2.6445469999999999E-2</v>
      </c>
      <c r="X5778">
        <v>0.99890639999999997</v>
      </c>
      <c r="Y5778">
        <v>-0.13757049999999901</v>
      </c>
      <c r="Z5778">
        <v>9.4189599999999998E-2</v>
      </c>
      <c r="AA5778">
        <v>0.98600339999999997</v>
      </c>
      <c r="AB5778">
        <v>22</v>
      </c>
      <c r="AC5778">
        <v>4.5570999999999904</v>
      </c>
      <c r="AD5778">
        <v>-1.1151338088809899</v>
      </c>
      <c r="AE5778">
        <v>-10.5205599999999</v>
      </c>
      <c r="AF5778">
        <v>-1.59494260496881</v>
      </c>
      <c r="AG5778">
        <v>-1.1151338088809899</v>
      </c>
      <c r="AH5778">
        <v>11.245145885935701</v>
      </c>
      <c r="AI5778">
        <v>95.607507122769405</v>
      </c>
      <c r="AJ5778">
        <v>98.072637735445795</v>
      </c>
      <c r="AK5778">
        <v>11.4123035063404</v>
      </c>
      <c r="AL5778">
        <v>88.484609467931804</v>
      </c>
      <c r="AM5778">
        <v>92.210430486486004</v>
      </c>
      <c r="AN5778">
        <v>0.99999997085814596</v>
      </c>
    </row>
    <row r="5779" spans="1:40" x14ac:dyDescent="0.25">
      <c r="A5779" t="str">
        <f>"20190312160803732"</f>
        <v>20190312160803732</v>
      </c>
      <c r="B5779" t="str">
        <f>"1552378083721229"</f>
        <v>1552378083721229</v>
      </c>
      <c r="C5779" t="s">
        <v>40</v>
      </c>
      <c r="D5779">
        <v>5.0455040000000002</v>
      </c>
      <c r="E5779">
        <v>0.4606034</v>
      </c>
      <c r="F5779" t="s">
        <v>82</v>
      </c>
      <c r="G5779">
        <v>-415.71159999999998</v>
      </c>
      <c r="H5779" s="1">
        <v>-7.8256220000000003E-6</v>
      </c>
      <c r="I5779">
        <v>20.813569999999999</v>
      </c>
      <c r="J5779">
        <v>-420.29950000000002</v>
      </c>
      <c r="K5779">
        <v>1.115173</v>
      </c>
      <c r="L5779">
        <v>31.298249999999999</v>
      </c>
      <c r="M5779">
        <v>0.26942129999999997</v>
      </c>
      <c r="N5779">
        <v>0</v>
      </c>
      <c r="O5779">
        <v>-0.96291769999999999</v>
      </c>
      <c r="P5779">
        <v>0.30684099999999997</v>
      </c>
      <c r="Q5779">
        <v>1.204587E-2</v>
      </c>
      <c r="R5779">
        <v>-0.95168489999999994</v>
      </c>
      <c r="S5779">
        <v>1.2077329999999999</v>
      </c>
      <c r="T5779">
        <v>-0.29106120000000002</v>
      </c>
      <c r="U5779">
        <v>-2.768707</v>
      </c>
      <c r="V5779">
        <v>-3.9389540000000001E-2</v>
      </c>
      <c r="W5779">
        <v>2.5749999999999999E-2</v>
      </c>
      <c r="X5779">
        <v>0.99889209999999995</v>
      </c>
      <c r="Y5779">
        <v>-0.1362246</v>
      </c>
      <c r="Z5779">
        <v>9.4153829999999994E-2</v>
      </c>
      <c r="AA5779">
        <v>0.98619369999999995</v>
      </c>
      <c r="AB5779">
        <v>22</v>
      </c>
      <c r="AC5779">
        <v>4.5879000000000403</v>
      </c>
      <c r="AD5779">
        <v>-1.1151808256219999</v>
      </c>
      <c r="AE5779">
        <v>-10.4846799999999</v>
      </c>
      <c r="AF5779">
        <v>-1.5781501324282099</v>
      </c>
      <c r="AG5779">
        <v>-1.1151808256219999</v>
      </c>
      <c r="AH5779">
        <v>11.226509173259</v>
      </c>
      <c r="AI5779">
        <v>95.617965659904698</v>
      </c>
      <c r="AJ5779">
        <v>98.001837552342707</v>
      </c>
      <c r="AK5779">
        <v>11.3916063104194</v>
      </c>
      <c r="AL5779">
        <v>88.524470604564598</v>
      </c>
      <c r="AM5779">
        <v>92.258187547708502</v>
      </c>
      <c r="AN5779">
        <v>1.00000001290191</v>
      </c>
    </row>
    <row r="5780" spans="1:40" x14ac:dyDescent="0.25">
      <c r="A5780" t="str">
        <f>"20190312160803750"</f>
        <v>20190312160803750</v>
      </c>
      <c r="B5780" t="str">
        <f>"1552378083741724"</f>
        <v>1552378083741724</v>
      </c>
      <c r="C5780" t="s">
        <v>40</v>
      </c>
      <c r="D5780">
        <v>4.9302020000000004</v>
      </c>
      <c r="E5780">
        <v>0.4613603</v>
      </c>
      <c r="F5780" t="s">
        <v>82</v>
      </c>
      <c r="G5780">
        <v>-415.66399999999999</v>
      </c>
      <c r="H5780" s="1">
        <v>-7.8423540000000005E-6</v>
      </c>
      <c r="I5780">
        <v>20.807870000000001</v>
      </c>
      <c r="J5780">
        <v>-420.25020000000001</v>
      </c>
      <c r="K5780">
        <v>1.1152249999999999</v>
      </c>
      <c r="L5780">
        <v>31.148319999999998</v>
      </c>
      <c r="M5780">
        <v>0.27535690000000002</v>
      </c>
      <c r="N5780">
        <v>0</v>
      </c>
      <c r="O5780">
        <v>-0.96123700000000001</v>
      </c>
      <c r="P5780">
        <v>0.31350479999999997</v>
      </c>
      <c r="Q5780">
        <v>1.0446860000000001E-2</v>
      </c>
      <c r="R5780">
        <v>-0.94952950000000003</v>
      </c>
      <c r="S5780">
        <v>1.2206729999999999</v>
      </c>
      <c r="T5780">
        <v>-0.2936629</v>
      </c>
      <c r="U5780">
        <v>-2.762451</v>
      </c>
      <c r="V5780">
        <v>-4.0207529999999998E-2</v>
      </c>
      <c r="W5780">
        <v>2.4149759999999999E-2</v>
      </c>
      <c r="X5780">
        <v>0.99889950000000005</v>
      </c>
      <c r="Y5780">
        <v>-0.13477220000000001</v>
      </c>
      <c r="Z5780">
        <v>9.4862130000000003E-2</v>
      </c>
      <c r="AA5780">
        <v>0.98632529999999996</v>
      </c>
      <c r="AB5780">
        <v>22</v>
      </c>
      <c r="AC5780">
        <v>4.5862000000000096</v>
      </c>
      <c r="AD5780">
        <v>-1.1152328423540001</v>
      </c>
      <c r="AE5780">
        <v>-10.340450000000001</v>
      </c>
      <c r="AF5780">
        <v>-1.54623923561821</v>
      </c>
      <c r="AG5780">
        <v>-1.1152328423540001</v>
      </c>
      <c r="AH5780">
        <v>11.095746718185399</v>
      </c>
      <c r="AI5780">
        <v>95.684950540203204</v>
      </c>
      <c r="AJ5780">
        <v>97.933318519807202</v>
      </c>
      <c r="AK5780">
        <v>11.258338922796399</v>
      </c>
      <c r="AL5780">
        <v>88.616186190986994</v>
      </c>
      <c r="AM5780">
        <v>92.305015480572607</v>
      </c>
      <c r="AN5780">
        <v>1.0000000337385</v>
      </c>
    </row>
    <row r="5781" spans="1:40" x14ac:dyDescent="0.25">
      <c r="A5781" t="str">
        <f>"20190312160803763"</f>
        <v>20190312160803763</v>
      </c>
      <c r="B5781" t="str">
        <f>"1552378083751484"</f>
        <v>1552378083751484</v>
      </c>
      <c r="C5781" t="s">
        <v>40</v>
      </c>
      <c r="D5781">
        <v>4.9379530000000003</v>
      </c>
      <c r="E5781">
        <v>0.46169179999999999</v>
      </c>
      <c r="F5781" t="s">
        <v>82</v>
      </c>
      <c r="G5781">
        <v>-415.62700000000001</v>
      </c>
      <c r="H5781" s="1">
        <v>-7.8573089999999998E-6</v>
      </c>
      <c r="I5781">
        <v>20.822759999999999</v>
      </c>
      <c r="J5781">
        <v>-420.2097</v>
      </c>
      <c r="K5781">
        <v>1.115278</v>
      </c>
      <c r="L5781">
        <v>31.02704</v>
      </c>
      <c r="M5781">
        <v>0.28022970000000003</v>
      </c>
      <c r="N5781">
        <v>0</v>
      </c>
      <c r="O5781">
        <v>-0.9598274</v>
      </c>
      <c r="P5781">
        <v>0.31836130000000001</v>
      </c>
      <c r="Q5781">
        <v>9.6055710000000002E-3</v>
      </c>
      <c r="R5781">
        <v>-0.94792089999999996</v>
      </c>
      <c r="S5781">
        <v>1.2337340000000001</v>
      </c>
      <c r="T5781">
        <v>-0.29760310000000001</v>
      </c>
      <c r="U5781">
        <v>-2.7554020000000001</v>
      </c>
      <c r="V5781">
        <v>-4.0243569999999999E-2</v>
      </c>
      <c r="W5781">
        <v>2.3316E-2</v>
      </c>
      <c r="X5781">
        <v>0.99891779999999997</v>
      </c>
      <c r="Y5781">
        <v>-0.1345297</v>
      </c>
      <c r="Z5781">
        <v>9.6050490000000002E-2</v>
      </c>
      <c r="AA5781">
        <v>0.98624339999999999</v>
      </c>
      <c r="AB5781">
        <v>22</v>
      </c>
      <c r="AC5781">
        <v>4.58270000000004</v>
      </c>
      <c r="AD5781">
        <v>-1.1152858573090001</v>
      </c>
      <c r="AE5781">
        <v>-10.204280000000001</v>
      </c>
      <c r="AF5781">
        <v>-1.5240644501193701</v>
      </c>
      <c r="AG5781">
        <v>-1.1152858573090001</v>
      </c>
      <c r="AH5781">
        <v>10.9706235457689</v>
      </c>
      <c r="AI5781">
        <v>95.749965297394894</v>
      </c>
      <c r="AJ5781">
        <v>97.909041779164298</v>
      </c>
      <c r="AK5781">
        <v>11.1319906564195</v>
      </c>
      <c r="AL5781">
        <v>88.663970501857094</v>
      </c>
      <c r="AM5781">
        <v>92.307037128916605</v>
      </c>
      <c r="AN5781">
        <v>0.999999975969592</v>
      </c>
    </row>
    <row r="5782" spans="1:40" x14ac:dyDescent="0.25">
      <c r="A5782" t="str">
        <f>"20190312160803775"</f>
        <v>20190312160803775</v>
      </c>
      <c r="B5782" t="str">
        <f>"1552378083771004"</f>
        <v>1552378083771004</v>
      </c>
      <c r="C5782" t="s">
        <v>40</v>
      </c>
      <c r="D5782">
        <v>5.0202359999999997</v>
      </c>
      <c r="E5782">
        <v>0.46241929999999998</v>
      </c>
      <c r="F5782" t="s">
        <v>82</v>
      </c>
      <c r="G5782">
        <v>-415.54520000000002</v>
      </c>
      <c r="H5782" s="1">
        <v>-7.8778060000000008E-6</v>
      </c>
      <c r="I5782">
        <v>20.730409999999999</v>
      </c>
      <c r="J5782">
        <v>-420.17039999999997</v>
      </c>
      <c r="K5782">
        <v>1.1153310000000001</v>
      </c>
      <c r="L5782">
        <v>30.911100000000001</v>
      </c>
      <c r="M5782">
        <v>0.28492729999999999</v>
      </c>
      <c r="N5782">
        <v>0</v>
      </c>
      <c r="O5782">
        <v>-0.95844320000000005</v>
      </c>
      <c r="P5782">
        <v>0.32318609999999998</v>
      </c>
      <c r="Q5782">
        <v>9.1327839999999997E-3</v>
      </c>
      <c r="R5782">
        <v>-0.9462914</v>
      </c>
      <c r="S5782">
        <v>1.245544</v>
      </c>
      <c r="T5782">
        <v>-0.2978151</v>
      </c>
      <c r="U5782">
        <v>-2.7495120000000002</v>
      </c>
      <c r="V5782">
        <v>-4.0435470000000001E-2</v>
      </c>
      <c r="W5782">
        <v>2.2847880000000001E-2</v>
      </c>
      <c r="X5782">
        <v>0.9989209</v>
      </c>
      <c r="Y5782">
        <v>-0.1339844</v>
      </c>
      <c r="Z5782">
        <v>9.6022869999999996E-2</v>
      </c>
      <c r="AA5782">
        <v>0.98632030000000004</v>
      </c>
      <c r="AB5782">
        <v>22</v>
      </c>
      <c r="AC5782">
        <v>4.6251999999999498</v>
      </c>
      <c r="AD5782">
        <v>-1.1153388778059901</v>
      </c>
      <c r="AE5782">
        <v>-10.18069</v>
      </c>
      <c r="AF5782">
        <v>-1.5172953807706799</v>
      </c>
      <c r="AG5782">
        <v>-1.1153388778059901</v>
      </c>
      <c r="AH5782">
        <v>10.967470935604901</v>
      </c>
      <c r="AI5782">
        <v>95.752327267569299</v>
      </c>
      <c r="AJ5782">
        <v>97.876590803206597</v>
      </c>
      <c r="AK5782">
        <v>11.1279640908924</v>
      </c>
      <c r="AL5782">
        <v>88.690798993581595</v>
      </c>
      <c r="AM5782">
        <v>92.318018993924298</v>
      </c>
      <c r="AN5782">
        <v>1.0000000086557099</v>
      </c>
    </row>
    <row r="5783" spans="1:40" x14ac:dyDescent="0.25">
      <c r="A5783" t="str">
        <f>"20190312160803788"</f>
        <v>20190312160803788</v>
      </c>
      <c r="B5783" t="str">
        <f>"1552378083781740"</f>
        <v>1552378083781740</v>
      </c>
      <c r="C5783" t="s">
        <v>40</v>
      </c>
      <c r="D5783">
        <v>4.9858729999999998</v>
      </c>
      <c r="E5783">
        <v>0.4627522</v>
      </c>
      <c r="F5783" t="s">
        <v>82</v>
      </c>
      <c r="G5783">
        <v>-415.46609999999998</v>
      </c>
      <c r="H5783" s="1">
        <v>-7.8951929999999994E-6</v>
      </c>
      <c r="I5783">
        <v>20.616399999999999</v>
      </c>
      <c r="J5783">
        <v>-420.12639999999999</v>
      </c>
      <c r="K5783">
        <v>1.1153919999999999</v>
      </c>
      <c r="L5783">
        <v>30.784479999999999</v>
      </c>
      <c r="M5783">
        <v>0.2901571</v>
      </c>
      <c r="N5783">
        <v>0</v>
      </c>
      <c r="O5783">
        <v>-0.95687259999999996</v>
      </c>
      <c r="P5783">
        <v>0.32836900000000002</v>
      </c>
      <c r="Q5783">
        <v>9.1849749999999997E-3</v>
      </c>
      <c r="R5783">
        <v>-0.94450520000000004</v>
      </c>
      <c r="S5783">
        <v>1.2542719999999901</v>
      </c>
      <c r="T5783">
        <v>-0.29737249999999998</v>
      </c>
      <c r="U5783">
        <v>-2.7447810000000001</v>
      </c>
      <c r="V5783">
        <v>-4.0461150000000001E-2</v>
      </c>
      <c r="W5783">
        <v>2.2908890000000001E-2</v>
      </c>
      <c r="X5783">
        <v>0.99891850000000004</v>
      </c>
      <c r="Y5783">
        <v>-0.13181809999999999</v>
      </c>
      <c r="Z5783">
        <v>9.5753169999999999E-2</v>
      </c>
      <c r="AA5783">
        <v>0.98663840000000003</v>
      </c>
      <c r="AB5783">
        <v>22</v>
      </c>
      <c r="AC5783">
        <v>4.6603000000000003</v>
      </c>
      <c r="AD5783">
        <v>-1.115399895193</v>
      </c>
      <c r="AE5783">
        <v>-10.16808</v>
      </c>
      <c r="AF5783">
        <v>-1.49426699824478</v>
      </c>
      <c r="AG5783">
        <v>-1.115399895193</v>
      </c>
      <c r="AH5783">
        <v>10.9737782413897</v>
      </c>
      <c r="AI5783">
        <v>95.751031508702198</v>
      </c>
      <c r="AJ5783">
        <v>97.754107718809195</v>
      </c>
      <c r="AK5783">
        <v>11.131071811799499</v>
      </c>
      <c r="AL5783">
        <v>88.687302511635593</v>
      </c>
      <c r="AM5783">
        <v>92.319495094621104</v>
      </c>
      <c r="AN5783">
        <v>1.0000000457713001</v>
      </c>
    </row>
    <row r="5784" spans="1:40" x14ac:dyDescent="0.25">
      <c r="A5784" t="str">
        <f>"20190312160803801"</f>
        <v>20190312160803801</v>
      </c>
      <c r="B5784" t="str">
        <f>"1552378083791501"</f>
        <v>1552378083791501</v>
      </c>
      <c r="C5784" t="s">
        <v>40</v>
      </c>
      <c r="D5784">
        <v>4.9614190000000002</v>
      </c>
      <c r="E5784">
        <v>0.46306649999999999</v>
      </c>
      <c r="F5784" t="s">
        <v>82</v>
      </c>
      <c r="G5784">
        <v>-415.36860000000001</v>
      </c>
      <c r="H5784" s="1">
        <v>-7.9187540000000003E-6</v>
      </c>
      <c r="I5784">
        <v>20.497399999999999</v>
      </c>
      <c r="J5784">
        <v>-420.08600000000001</v>
      </c>
      <c r="K5784">
        <v>1.1154459999999999</v>
      </c>
      <c r="L5784">
        <v>30.670290000000001</v>
      </c>
      <c r="M5784">
        <v>0.29492479999999999</v>
      </c>
      <c r="N5784">
        <v>0</v>
      </c>
      <c r="O5784">
        <v>-0.95541390000000004</v>
      </c>
      <c r="P5784">
        <v>0.33340510000000001</v>
      </c>
      <c r="Q5784">
        <v>9.3607229999999996E-3</v>
      </c>
      <c r="R5784">
        <v>-0.94273770000000001</v>
      </c>
      <c r="S5784">
        <v>1.2666930000000001</v>
      </c>
      <c r="T5784">
        <v>-0.29695729999999998</v>
      </c>
      <c r="U5784">
        <v>-2.7387700000000001</v>
      </c>
      <c r="V5784">
        <v>-4.0817260000000001E-2</v>
      </c>
      <c r="W5784">
        <v>2.3087659999999999E-2</v>
      </c>
      <c r="X5784">
        <v>0.99889989999999995</v>
      </c>
      <c r="Y5784">
        <v>-0.1313945</v>
      </c>
      <c r="Z5784">
        <v>9.5511789999999999E-2</v>
      </c>
      <c r="AA5784">
        <v>0.98671830000000005</v>
      </c>
      <c r="AB5784">
        <v>22</v>
      </c>
      <c r="AC5784">
        <v>4.7173999999999898</v>
      </c>
      <c r="AD5784">
        <v>-1.115453918754</v>
      </c>
      <c r="AE5784">
        <v>-10.172890000000001</v>
      </c>
      <c r="AF5784">
        <v>-1.49221962661818</v>
      </c>
      <c r="AG5784">
        <v>-1.115453918754</v>
      </c>
      <c r="AH5784">
        <v>11.0028548100669</v>
      </c>
      <c r="AI5784">
        <v>95.736626111338197</v>
      </c>
      <c r="AJ5784">
        <v>97.723396153448604</v>
      </c>
      <c r="AK5784">
        <v>11.159470006695701</v>
      </c>
      <c r="AL5784">
        <v>88.677057040626494</v>
      </c>
      <c r="AM5784">
        <v>92.339930555065195</v>
      </c>
      <c r="AN5784">
        <v>1.0000000494890899</v>
      </c>
    </row>
    <row r="5785" spans="1:40" x14ac:dyDescent="0.25">
      <c r="A5785" t="str">
        <f>"20190312160803813"</f>
        <v>20190312160803813</v>
      </c>
      <c r="B5785" t="str">
        <f>"1552378083801261"</f>
        <v>1552378083801261</v>
      </c>
      <c r="C5785" t="s">
        <v>40</v>
      </c>
      <c r="D5785">
        <v>4.9393750000000001</v>
      </c>
      <c r="E5785">
        <v>0.46342529999999998</v>
      </c>
      <c r="F5785" t="s">
        <v>82</v>
      </c>
      <c r="G5785">
        <v>-415.27690000000001</v>
      </c>
      <c r="H5785" s="1">
        <v>-7.9418099999999998E-6</v>
      </c>
      <c r="I5785">
        <v>20.394539999999999</v>
      </c>
      <c r="J5785">
        <v>-420.04640000000001</v>
      </c>
      <c r="K5785">
        <v>1.115497</v>
      </c>
      <c r="L5785">
        <v>30.559719999999999</v>
      </c>
      <c r="M5785">
        <v>0.2995738</v>
      </c>
      <c r="N5785">
        <v>0</v>
      </c>
      <c r="O5785">
        <v>-0.95396619999999999</v>
      </c>
      <c r="P5785">
        <v>0.33848410000000001</v>
      </c>
      <c r="Q5785">
        <v>9.5434660000000004E-3</v>
      </c>
      <c r="R5785">
        <v>-0.94092419999999999</v>
      </c>
      <c r="S5785">
        <v>1.2789919999999999</v>
      </c>
      <c r="T5785">
        <v>-0.29665639999999999</v>
      </c>
      <c r="U5785">
        <v>-2.7328489999999999</v>
      </c>
      <c r="V5785">
        <v>-4.1346269999999997E-2</v>
      </c>
      <c r="W5785">
        <v>2.3271190000000001E-2</v>
      </c>
      <c r="X5785">
        <v>0.99887380000000003</v>
      </c>
      <c r="Y5785">
        <v>-0.13103719999999999</v>
      </c>
      <c r="Z5785">
        <v>9.5305230000000005E-2</v>
      </c>
      <c r="AA5785">
        <v>0.98678580000000005</v>
      </c>
      <c r="AB5785">
        <v>22</v>
      </c>
      <c r="AC5785">
        <v>4.7694999999999901</v>
      </c>
      <c r="AD5785">
        <v>-1.11550494181</v>
      </c>
      <c r="AE5785">
        <v>-10.165179999999999</v>
      </c>
      <c r="AF5785">
        <v>-1.49016634889321</v>
      </c>
      <c r="AG5785">
        <v>-1.11550494181</v>
      </c>
      <c r="AH5785">
        <v>11.0184427780384</v>
      </c>
      <c r="AI5785">
        <v>95.729110971354999</v>
      </c>
      <c r="AJ5785">
        <v>97.702116365438101</v>
      </c>
      <c r="AK5785">
        <v>11.174570608103201</v>
      </c>
      <c r="AL5785">
        <v>88.666538608419501</v>
      </c>
      <c r="AM5785">
        <v>92.370284600271702</v>
      </c>
      <c r="AN5785">
        <v>0.999999965326683</v>
      </c>
    </row>
    <row r="5786" spans="1:40" x14ac:dyDescent="0.25">
      <c r="A5786" t="str">
        <f>"20190312160803829"</f>
        <v>20190312160803829</v>
      </c>
      <c r="B5786" t="str">
        <f>"1552378083821756"</f>
        <v>1552378083821756</v>
      </c>
      <c r="C5786" t="s">
        <v>40</v>
      </c>
      <c r="D5786">
        <v>4.9253119999999999</v>
      </c>
      <c r="E5786">
        <v>0.46355390000000002</v>
      </c>
      <c r="F5786" t="s">
        <v>82</v>
      </c>
      <c r="G5786">
        <v>-415.19029999999998</v>
      </c>
      <c r="H5786" s="1">
        <v>-7.964112E-6</v>
      </c>
      <c r="I5786">
        <v>20.302479999999999</v>
      </c>
      <c r="J5786">
        <v>-419.99380000000002</v>
      </c>
      <c r="K5786">
        <v>1.115564</v>
      </c>
      <c r="L5786">
        <v>30.416319999999999</v>
      </c>
      <c r="M5786">
        <v>0.3057163</v>
      </c>
      <c r="N5786">
        <v>0</v>
      </c>
      <c r="O5786">
        <v>-0.95201519999999995</v>
      </c>
      <c r="P5786">
        <v>0.34598329999999999</v>
      </c>
      <c r="Q5786">
        <v>9.2137480000000008E-3</v>
      </c>
      <c r="R5786">
        <v>-0.93819540000000001</v>
      </c>
      <c r="S5786">
        <v>1.2910459999999999</v>
      </c>
      <c r="T5786">
        <v>-0.29656470000000001</v>
      </c>
      <c r="U5786">
        <v>-2.7269589999999999</v>
      </c>
      <c r="V5786">
        <v>-4.287929E-2</v>
      </c>
      <c r="W5786">
        <v>2.2930349999999999E-2</v>
      </c>
      <c r="X5786">
        <v>0.99881710000000001</v>
      </c>
      <c r="Y5786">
        <v>-0.12904060000000001</v>
      </c>
      <c r="Z5786">
        <v>9.5101459999999999E-2</v>
      </c>
      <c r="AA5786">
        <v>0.98706850000000002</v>
      </c>
      <c r="AB5786">
        <v>22</v>
      </c>
      <c r="AC5786">
        <v>4.8035000000000396</v>
      </c>
      <c r="AD5786">
        <v>-1.1155719641120001</v>
      </c>
      <c r="AE5786">
        <v>-10.11384</v>
      </c>
      <c r="AF5786">
        <v>-1.4666313382384699</v>
      </c>
      <c r="AG5786">
        <v>-1.1155719641120001</v>
      </c>
      <c r="AH5786">
        <v>10.9890828176953</v>
      </c>
      <c r="AI5786">
        <v>95.74599910181</v>
      </c>
      <c r="AJ5786">
        <v>97.601919150843003</v>
      </c>
      <c r="AK5786">
        <v>11.142506426454601</v>
      </c>
      <c r="AL5786">
        <v>88.686072583187197</v>
      </c>
      <c r="AM5786">
        <v>92.458202531791599</v>
      </c>
      <c r="AN5786">
        <v>1.0000000168572101</v>
      </c>
    </row>
    <row r="5787" spans="1:40" x14ac:dyDescent="0.25">
      <c r="A5787" t="str">
        <f>"20190312160803844"</f>
        <v>20190312160803844</v>
      </c>
      <c r="B5787" t="str">
        <f>"1552378083831516"</f>
        <v>1552378083831516</v>
      </c>
      <c r="C5787" t="s">
        <v>40</v>
      </c>
      <c r="D5787">
        <v>5.0018339999999997</v>
      </c>
      <c r="E5787">
        <v>0.43086219999999997</v>
      </c>
      <c r="F5787" t="s">
        <v>82</v>
      </c>
      <c r="G5787">
        <v>-415.0883</v>
      </c>
      <c r="H5787" s="1">
        <v>-7.9956899999999997E-6</v>
      </c>
      <c r="I5787">
        <v>20.24747</v>
      </c>
      <c r="J5787">
        <v>-419.94569999999999</v>
      </c>
      <c r="K5787">
        <v>1.1156219999999999</v>
      </c>
      <c r="L5787">
        <v>30.287960000000002</v>
      </c>
      <c r="M5787">
        <v>0.31128660000000002</v>
      </c>
      <c r="N5787">
        <v>0</v>
      </c>
      <c r="O5787">
        <v>-0.95020819999999995</v>
      </c>
      <c r="P5787">
        <v>0.35232390000000002</v>
      </c>
      <c r="Q5787">
        <v>8.4734029999999991E-3</v>
      </c>
      <c r="R5787">
        <v>-0.93583989999999995</v>
      </c>
      <c r="S5787">
        <v>1.3107599999999999</v>
      </c>
      <c r="T5787">
        <v>-0.29808590000000001</v>
      </c>
      <c r="U5787">
        <v>-2.7171630000000002</v>
      </c>
      <c r="V5787">
        <v>-4.3779690000000003E-2</v>
      </c>
      <c r="W5787">
        <v>2.2186190000000001E-2</v>
      </c>
      <c r="X5787">
        <v>0.99879490000000004</v>
      </c>
      <c r="Y5787">
        <v>-0.1304159</v>
      </c>
      <c r="Z5787">
        <v>9.5475470000000007E-2</v>
      </c>
      <c r="AA5787">
        <v>0.98685160000000005</v>
      </c>
      <c r="AB5787">
        <v>22</v>
      </c>
      <c r="AC5787">
        <v>4.8573999999999797</v>
      </c>
      <c r="AD5787">
        <v>-1.11562999569</v>
      </c>
      <c r="AE5787">
        <v>-10.040489999999901</v>
      </c>
      <c r="AF5787">
        <v>-1.4754626766877501</v>
      </c>
      <c r="AG5787">
        <v>-1.11562999569</v>
      </c>
      <c r="AH5787">
        <v>10.9442399213213</v>
      </c>
      <c r="AI5787">
        <v>95.768660133652205</v>
      </c>
      <c r="AJ5787">
        <v>97.678114498997502</v>
      </c>
      <c r="AK5787">
        <v>11.0994598000545</v>
      </c>
      <c r="AL5787">
        <v>88.728720731319299</v>
      </c>
      <c r="AM5787">
        <v>92.509811440049404</v>
      </c>
      <c r="AN5787">
        <v>1.0000000702745999</v>
      </c>
    </row>
    <row r="5788" spans="1:40" x14ac:dyDescent="0.25">
      <c r="A5788" t="str">
        <f>"20190312160803863"</f>
        <v>20190312160803863</v>
      </c>
      <c r="B5788" t="str">
        <f>"1552378083851038"</f>
        <v>1552378083851038</v>
      </c>
      <c r="C5788" t="s">
        <v>40</v>
      </c>
      <c r="D5788">
        <v>4.9301700000000004</v>
      </c>
      <c r="E5788">
        <v>0.38661479999999998</v>
      </c>
      <c r="F5788" t="s">
        <v>82</v>
      </c>
      <c r="G5788">
        <v>-413.87549999999999</v>
      </c>
      <c r="H5788" s="1">
        <v>-8.4314229999999999E-6</v>
      </c>
      <c r="I5788">
        <v>20.195209999999999</v>
      </c>
      <c r="J5788">
        <v>-419.8775</v>
      </c>
      <c r="K5788">
        <v>1.115707</v>
      </c>
      <c r="L5788">
        <v>30.110019999999999</v>
      </c>
      <c r="M5788">
        <v>0.31912170000000001</v>
      </c>
      <c r="N5788">
        <v>0</v>
      </c>
      <c r="O5788">
        <v>-0.94760529999999998</v>
      </c>
      <c r="P5788">
        <v>0.36169879999999999</v>
      </c>
      <c r="Q5788">
        <v>6.7375469999999896E-3</v>
      </c>
      <c r="R5788">
        <v>-0.93227059999999995</v>
      </c>
      <c r="S5788">
        <v>1.573334</v>
      </c>
      <c r="T5788">
        <v>-0.28916310000000001</v>
      </c>
      <c r="U5788">
        <v>-2.6159669999999999</v>
      </c>
      <c r="V5788">
        <v>-4.5533009999999999E-2</v>
      </c>
      <c r="W5788">
        <v>2.0437549999999999E-2</v>
      </c>
      <c r="X5788">
        <v>0.99875369999999997</v>
      </c>
      <c r="Y5788">
        <v>-0.21262439999999999</v>
      </c>
      <c r="Z5788">
        <v>9.2636880000000005E-2</v>
      </c>
      <c r="AA5788">
        <v>0.97273290000000001</v>
      </c>
      <c r="AB5788">
        <v>22</v>
      </c>
      <c r="AC5788">
        <v>6.0019999999999998</v>
      </c>
      <c r="AD5788">
        <v>-1.115715431423</v>
      </c>
      <c r="AE5788">
        <v>-9.9148099999999992</v>
      </c>
      <c r="AF5788">
        <v>-2.5005823113163101</v>
      </c>
      <c r="AG5788">
        <v>-1.115715431423</v>
      </c>
      <c r="AH5788">
        <v>11.2079923437138</v>
      </c>
      <c r="AI5788">
        <v>95.549307646575301</v>
      </c>
      <c r="AJ5788">
        <v>102.577110796973</v>
      </c>
      <c r="AK5788">
        <v>11.5376264975224</v>
      </c>
      <c r="AL5788">
        <v>88.828933049708894</v>
      </c>
      <c r="AM5788">
        <v>92.610297326693996</v>
      </c>
      <c r="AN5788">
        <v>0.99999995085667504</v>
      </c>
    </row>
    <row r="5789" spans="1:40" x14ac:dyDescent="0.25">
      <c r="A5789" t="str">
        <f>"20190312160803884"</f>
        <v>20190312160803884</v>
      </c>
      <c r="B5789" t="str">
        <f>"1552378083871532"</f>
        <v>1552378083871532</v>
      </c>
      <c r="C5789" t="s">
        <v>40</v>
      </c>
      <c r="D5789">
        <v>4.9043910000000004</v>
      </c>
      <c r="E5789">
        <v>0.38719720000000002</v>
      </c>
      <c r="F5789" t="s">
        <v>82</v>
      </c>
      <c r="G5789">
        <v>-410.58699999999999</v>
      </c>
      <c r="H5789" s="1">
        <v>-1.027877E-5</v>
      </c>
      <c r="I5789">
        <v>18.204419999999999</v>
      </c>
      <c r="J5789">
        <v>-419.80399999999997</v>
      </c>
      <c r="K5789">
        <v>1.115785</v>
      </c>
      <c r="L5789">
        <v>29.923249999999999</v>
      </c>
      <c r="M5789">
        <v>0.32749240000000002</v>
      </c>
      <c r="N5789">
        <v>0</v>
      </c>
      <c r="O5789">
        <v>-0.94474480000000005</v>
      </c>
      <c r="P5789">
        <v>0.37212319999999999</v>
      </c>
      <c r="Q5789">
        <v>5.3126409999999999E-3</v>
      </c>
      <c r="R5789">
        <v>-0.9281684</v>
      </c>
      <c r="S5789">
        <v>1.928558</v>
      </c>
      <c r="T5789">
        <v>-0.23160449999999999</v>
      </c>
      <c r="U5789">
        <v>-2.4714049999999999</v>
      </c>
      <c r="V5789">
        <v>-4.787069E-2</v>
      </c>
      <c r="W5789">
        <v>1.8991589999999999E-2</v>
      </c>
      <c r="X5789">
        <v>0.99867300000000003</v>
      </c>
      <c r="Y5789">
        <v>-0.32131579999999998</v>
      </c>
      <c r="Z5789">
        <v>7.3615949999999999E-2</v>
      </c>
      <c r="AA5789">
        <v>0.94410640000000001</v>
      </c>
      <c r="AB5789">
        <v>22</v>
      </c>
      <c r="AC5789">
        <v>9.2170000000000396</v>
      </c>
      <c r="AD5789">
        <v>-1.1157952787700001</v>
      </c>
      <c r="AE5789">
        <v>-11.718829999999899</v>
      </c>
      <c r="AF5789">
        <v>-4.8432599180952103</v>
      </c>
      <c r="AG5789">
        <v>-1.1157952787700001</v>
      </c>
      <c r="AH5789">
        <v>14.0127679304805</v>
      </c>
      <c r="AI5789">
        <v>94.303885750687002</v>
      </c>
      <c r="AJ5789">
        <v>109.066783436124</v>
      </c>
      <c r="AK5789">
        <v>14.8680809391076</v>
      </c>
      <c r="AL5789">
        <v>88.911796648600202</v>
      </c>
      <c r="AM5789">
        <v>92.7443324208473</v>
      </c>
      <c r="AN5789">
        <v>1.0000000221904</v>
      </c>
    </row>
    <row r="5790" spans="1:40" x14ac:dyDescent="0.25">
      <c r="A5790" t="str">
        <f>"20190312160803896"</f>
        <v>20190312160803896</v>
      </c>
      <c r="B5790" t="str">
        <f>"1552378083891053"</f>
        <v>1552378083891053</v>
      </c>
      <c r="C5790" t="s">
        <v>40</v>
      </c>
      <c r="D5790">
        <v>4.932239</v>
      </c>
      <c r="E5790">
        <v>0.38977279999999997</v>
      </c>
      <c r="F5790" t="s">
        <v>82</v>
      </c>
      <c r="G5790">
        <v>-410.72710000000001</v>
      </c>
      <c r="H5790" s="1">
        <v>-1.026664E-5</v>
      </c>
      <c r="I5790">
        <v>18.5243</v>
      </c>
      <c r="J5790">
        <v>-419.75790000000001</v>
      </c>
      <c r="K5790">
        <v>1.115829</v>
      </c>
      <c r="L5790">
        <v>29.80847</v>
      </c>
      <c r="M5790">
        <v>0.33269490000000002</v>
      </c>
      <c r="N5790">
        <v>0</v>
      </c>
      <c r="O5790">
        <v>-0.94292509999999996</v>
      </c>
      <c r="P5790">
        <v>0.37807469999999999</v>
      </c>
      <c r="Q5790">
        <v>5.4300479999999998E-3</v>
      </c>
      <c r="R5790">
        <v>-0.92575960000000002</v>
      </c>
      <c r="S5790">
        <v>1.9517519999999999</v>
      </c>
      <c r="T5790">
        <v>-0.23992289999999999</v>
      </c>
      <c r="U5790">
        <v>-2.45105</v>
      </c>
      <c r="V5790">
        <v>-4.8782029999999997E-2</v>
      </c>
      <c r="W5790">
        <v>1.9104099999999999E-2</v>
      </c>
      <c r="X5790">
        <v>0.99862669999999998</v>
      </c>
      <c r="Y5790">
        <v>-0.32524740000000002</v>
      </c>
      <c r="Z5790">
        <v>7.6267000000000001E-2</v>
      </c>
      <c r="AA5790">
        <v>0.94254839999999995</v>
      </c>
      <c r="AB5790">
        <v>22</v>
      </c>
      <c r="AC5790">
        <v>9.0307999999999993</v>
      </c>
      <c r="AD5790">
        <v>-1.1158392666399899</v>
      </c>
      <c r="AE5790">
        <v>-11.28417</v>
      </c>
      <c r="AF5790">
        <v>-4.7334592501839499</v>
      </c>
      <c r="AG5790">
        <v>-1.1158392666399899</v>
      </c>
      <c r="AH5790">
        <v>13.565179658494699</v>
      </c>
      <c r="AI5790">
        <v>94.440968933434107</v>
      </c>
      <c r="AJ5790">
        <v>109.236018620046</v>
      </c>
      <c r="AK5790">
        <v>14.4105805889064</v>
      </c>
      <c r="AL5790">
        <v>88.9053490731729</v>
      </c>
      <c r="AM5790">
        <v>92.796625037794001</v>
      </c>
      <c r="AN5790">
        <v>0.99999996952030901</v>
      </c>
    </row>
    <row r="5791" spans="1:40" x14ac:dyDescent="0.25">
      <c r="A5791" t="str">
        <f>"20190312160803918"</f>
        <v>20190312160803918</v>
      </c>
      <c r="B5791" t="str">
        <f>"1552378083911548"</f>
        <v>1552378083911548</v>
      </c>
      <c r="C5791" t="s">
        <v>40</v>
      </c>
      <c r="D5791">
        <v>4.9497849999999897</v>
      </c>
      <c r="E5791">
        <v>0.39194889999999999</v>
      </c>
      <c r="F5791" t="s">
        <v>82</v>
      </c>
      <c r="G5791">
        <v>-410.81240000000003</v>
      </c>
      <c r="H5791" s="1">
        <v>-1.0285680000000001E-5</v>
      </c>
      <c r="I5791">
        <v>18.578060000000001</v>
      </c>
      <c r="J5791">
        <v>-419.67790000000002</v>
      </c>
      <c r="K5791">
        <v>1.115896</v>
      </c>
      <c r="L5791">
        <v>29.6145</v>
      </c>
      <c r="M5791">
        <v>0.3416228</v>
      </c>
      <c r="N5791">
        <v>0</v>
      </c>
      <c r="O5791">
        <v>-0.93972699999999998</v>
      </c>
      <c r="P5791">
        <v>0.38919769999999998</v>
      </c>
      <c r="Q5791">
        <v>4.724509E-3</v>
      </c>
      <c r="R5791">
        <v>-0.92114229999999997</v>
      </c>
      <c r="S5791">
        <v>1.948547</v>
      </c>
      <c r="T5791">
        <v>-0.2430571</v>
      </c>
      <c r="U5791">
        <v>-2.446259</v>
      </c>
      <c r="V5791">
        <v>-5.133062E-2</v>
      </c>
      <c r="W5791">
        <v>1.8373710000000001E-2</v>
      </c>
      <c r="X5791">
        <v>0.99851270000000003</v>
      </c>
      <c r="Y5791">
        <v>-0.31636379999999997</v>
      </c>
      <c r="Z5791">
        <v>7.7139920000000001E-2</v>
      </c>
      <c r="AA5791">
        <v>0.94549640000000001</v>
      </c>
      <c r="AB5791">
        <v>22</v>
      </c>
      <c r="AC5791">
        <v>8.8654999999999902</v>
      </c>
      <c r="AD5791">
        <v>-1.1159062856799999</v>
      </c>
      <c r="AE5791">
        <v>-11.036440000000001</v>
      </c>
      <c r="AF5791">
        <v>-4.5331542389703996</v>
      </c>
      <c r="AG5791">
        <v>-1.1159062856799999</v>
      </c>
      <c r="AH5791">
        <v>13.3185261725981</v>
      </c>
      <c r="AI5791">
        <v>94.535063594678206</v>
      </c>
      <c r="AJ5791">
        <v>108.79675423636201</v>
      </c>
      <c r="AK5791">
        <v>14.113039134179999</v>
      </c>
      <c r="AL5791">
        <v>88.947204741160306</v>
      </c>
      <c r="AM5791">
        <v>92.942818099970495</v>
      </c>
      <c r="AN5791">
        <v>1.00000001891501</v>
      </c>
    </row>
    <row r="5792" spans="1:40" x14ac:dyDescent="0.25">
      <c r="A5792" t="str">
        <f>"20190312160803940"</f>
        <v>20190312160803940</v>
      </c>
      <c r="B5792" t="str">
        <f>"1552378083931068"</f>
        <v>1552378083931068</v>
      </c>
      <c r="C5792" t="s">
        <v>40</v>
      </c>
      <c r="D5792">
        <v>4.945119</v>
      </c>
      <c r="E5792">
        <v>0.39397090000000001</v>
      </c>
      <c r="F5792" t="s">
        <v>82</v>
      </c>
      <c r="G5792">
        <v>-410.83479999999997</v>
      </c>
      <c r="H5792" s="1">
        <v>-1.0277640000000001E-5</v>
      </c>
      <c r="I5792">
        <v>18.661819999999999</v>
      </c>
      <c r="J5792">
        <v>-419.59469999999999</v>
      </c>
      <c r="K5792">
        <v>1.1159460000000001</v>
      </c>
      <c r="L5792">
        <v>29.418610000000001</v>
      </c>
      <c r="M5792">
        <v>0.35077209999999998</v>
      </c>
      <c r="N5792">
        <v>0</v>
      </c>
      <c r="O5792">
        <v>-0.93634980000000001</v>
      </c>
      <c r="P5792">
        <v>0.40031299999999997</v>
      </c>
      <c r="Q5792">
        <v>3.4967520000000001E-3</v>
      </c>
      <c r="R5792">
        <v>-0.91637210000000002</v>
      </c>
      <c r="S5792">
        <v>1.9614259999999999</v>
      </c>
      <c r="T5792">
        <v>-0.24751280000000001</v>
      </c>
      <c r="U5792">
        <v>-2.4293520000000002</v>
      </c>
      <c r="V5792">
        <v>-5.36547E-2</v>
      </c>
      <c r="W5792">
        <v>1.71245999999999E-2</v>
      </c>
      <c r="X5792">
        <v>0.99841270000000004</v>
      </c>
      <c r="Y5792">
        <v>-0.31328010000000001</v>
      </c>
      <c r="Z5792">
        <v>7.8479649999999998E-2</v>
      </c>
      <c r="AA5792">
        <v>0.94641240000000004</v>
      </c>
      <c r="AB5792">
        <v>22</v>
      </c>
      <c r="AC5792">
        <v>8.7599000000000107</v>
      </c>
      <c r="AD5792">
        <v>-1.1159562776399901</v>
      </c>
      <c r="AE5792">
        <v>-10.756789999999899</v>
      </c>
      <c r="AF5792">
        <v>-4.4011286017849098</v>
      </c>
      <c r="AG5792">
        <v>-1.1159562776399901</v>
      </c>
      <c r="AH5792">
        <v>13.0616882336437</v>
      </c>
      <c r="AI5792">
        <v>94.628841243626198</v>
      </c>
      <c r="AJ5792">
        <v>108.621215243769</v>
      </c>
      <c r="AK5792">
        <v>13.8283401352426</v>
      </c>
      <c r="AL5792">
        <v>89.018784732109296</v>
      </c>
      <c r="AM5792">
        <v>93.076116292272999</v>
      </c>
      <c r="AN5792">
        <v>0.99999999913926996</v>
      </c>
    </row>
    <row r="5793" spans="1:40" x14ac:dyDescent="0.25">
      <c r="A5793" t="str">
        <f>"20190312160803962"</f>
        <v>20190312160803962</v>
      </c>
      <c r="B5793" t="str">
        <f>"1552378083951565"</f>
        <v>1552378083951565</v>
      </c>
      <c r="C5793" t="s">
        <v>40</v>
      </c>
      <c r="D5793">
        <v>5.007428</v>
      </c>
      <c r="E5793">
        <v>0.3955687</v>
      </c>
      <c r="F5793" t="s">
        <v>82</v>
      </c>
      <c r="G5793">
        <v>-411.0874</v>
      </c>
      <c r="H5793" s="1">
        <v>-1.0275530000000001E-5</v>
      </c>
      <c r="I5793">
        <v>19.034500000000001</v>
      </c>
      <c r="J5793">
        <v>-419.51100000000002</v>
      </c>
      <c r="K5793">
        <v>1.1159840000000001</v>
      </c>
      <c r="L5793">
        <v>29.22711</v>
      </c>
      <c r="M5793">
        <v>0.35983749999999998</v>
      </c>
      <c r="N5793">
        <v>0</v>
      </c>
      <c r="O5793">
        <v>-0.93290320000000004</v>
      </c>
      <c r="P5793">
        <v>0.40999590000000002</v>
      </c>
      <c r="Q5793">
        <v>1.745164E-3</v>
      </c>
      <c r="R5793">
        <v>-0.9120859</v>
      </c>
      <c r="S5793">
        <v>1.9757690000000001</v>
      </c>
      <c r="T5793">
        <v>-0.25917459999999998</v>
      </c>
      <c r="U5793">
        <v>-2.4116520000000001</v>
      </c>
      <c r="V5793">
        <v>-5.4519829999999998E-2</v>
      </c>
      <c r="W5793">
        <v>1.5372449999999999E-2</v>
      </c>
      <c r="X5793">
        <v>0.99839440000000002</v>
      </c>
      <c r="Y5793">
        <v>-0.31063679999999999</v>
      </c>
      <c r="Z5793">
        <v>8.2071099999999994E-2</v>
      </c>
      <c r="AA5793">
        <v>0.94697889999999996</v>
      </c>
      <c r="AB5793">
        <v>22</v>
      </c>
      <c r="AC5793">
        <v>8.4235999999999596</v>
      </c>
      <c r="AD5793">
        <v>-1.1159942755299901</v>
      </c>
      <c r="AE5793">
        <v>-10.192609999999901</v>
      </c>
      <c r="AF5793">
        <v>-4.1615144689096599</v>
      </c>
      <c r="AG5793">
        <v>-1.1159942755299901</v>
      </c>
      <c r="AH5793">
        <v>12.4524539776629</v>
      </c>
      <c r="AI5793">
        <v>94.858433075858898</v>
      </c>
      <c r="AJ5793">
        <v>108.479232017596</v>
      </c>
      <c r="AK5793">
        <v>13.176769557208299</v>
      </c>
      <c r="AL5793">
        <v>89.119188845765905</v>
      </c>
      <c r="AM5793">
        <v>93.125675293929802</v>
      </c>
      <c r="AN5793">
        <v>1.0000000510167899</v>
      </c>
    </row>
    <row r="5794" spans="1:40" x14ac:dyDescent="0.25">
      <c r="A5794" t="str">
        <f>"20190312160803985"</f>
        <v>20190312160803985</v>
      </c>
      <c r="B5794" t="str">
        <f>"1552378083981821"</f>
        <v>1552378083981821</v>
      </c>
      <c r="C5794" t="s">
        <v>40</v>
      </c>
      <c r="D5794">
        <v>5.0133720000000004</v>
      </c>
      <c r="E5794">
        <v>0.39760810000000002</v>
      </c>
      <c r="F5794" t="s">
        <v>82</v>
      </c>
      <c r="G5794">
        <v>-411.23129999999998</v>
      </c>
      <c r="H5794" s="1">
        <v>-1.027068E-5</v>
      </c>
      <c r="I5794">
        <v>19.256399999999999</v>
      </c>
      <c r="J5794">
        <v>-419.4205</v>
      </c>
      <c r="K5794">
        <v>1.1160129999999999</v>
      </c>
      <c r="L5794">
        <v>29.025510000000001</v>
      </c>
      <c r="M5794">
        <v>0.36949929999999997</v>
      </c>
      <c r="N5794">
        <v>0</v>
      </c>
      <c r="O5794">
        <v>-0.92911849999999996</v>
      </c>
      <c r="P5794">
        <v>0.42031160000000001</v>
      </c>
      <c r="Q5794">
        <v>-8.2476259999999895E-4</v>
      </c>
      <c r="R5794">
        <v>-0.9073793</v>
      </c>
      <c r="S5794">
        <v>1.989258</v>
      </c>
      <c r="T5794">
        <v>-0.26812239999999998</v>
      </c>
      <c r="U5794">
        <v>-2.395508</v>
      </c>
      <c r="V5794">
        <v>-5.5443979999999997E-2</v>
      </c>
      <c r="W5794">
        <v>1.2801119999999999E-2</v>
      </c>
      <c r="X5794">
        <v>0.99837969999999998</v>
      </c>
      <c r="Y5794">
        <v>-0.30690269999999997</v>
      </c>
      <c r="Z5794">
        <v>8.473559E-2</v>
      </c>
      <c r="AA5794">
        <v>0.94796130000000001</v>
      </c>
      <c r="AB5794">
        <v>22</v>
      </c>
      <c r="AC5794">
        <v>8.1892000000000191</v>
      </c>
      <c r="AD5794">
        <v>-1.11602327068</v>
      </c>
      <c r="AE5794">
        <v>-9.7691099999999906</v>
      </c>
      <c r="AF5794">
        <v>-3.9690542930880701</v>
      </c>
      <c r="AG5794">
        <v>-1.11602327068</v>
      </c>
      <c r="AH5794">
        <v>12.011762923334</v>
      </c>
      <c r="AI5794">
        <v>95.041553478247494</v>
      </c>
      <c r="AJ5794">
        <v>108.28513690388</v>
      </c>
      <c r="AK5794">
        <v>12.699659383170999</v>
      </c>
      <c r="AL5794">
        <v>89.2665297918454</v>
      </c>
      <c r="AM5794">
        <v>93.178596687234403</v>
      </c>
      <c r="AN5794">
        <v>0.99999996448179096</v>
      </c>
    </row>
    <row r="5795" spans="1:40" x14ac:dyDescent="0.25">
      <c r="A5795" t="str">
        <f>"20190312160804008"</f>
        <v>20190312160804008</v>
      </c>
      <c r="B5795" t="str">
        <f>"1552378084001340"</f>
        <v>1552378084001340</v>
      </c>
      <c r="C5795" t="s">
        <v>40</v>
      </c>
      <c r="D5795">
        <v>5.0724039999999997</v>
      </c>
      <c r="E5795">
        <v>0.39885900000000002</v>
      </c>
      <c r="F5795" t="s">
        <v>82</v>
      </c>
      <c r="G5795">
        <v>-411.41289999999998</v>
      </c>
      <c r="H5795" s="1">
        <v>-1.027087E-5</v>
      </c>
      <c r="I5795">
        <v>19.50806</v>
      </c>
      <c r="J5795">
        <v>-419.32690000000002</v>
      </c>
      <c r="K5795">
        <v>1.116053</v>
      </c>
      <c r="L5795">
        <v>28.823180000000001</v>
      </c>
      <c r="M5795">
        <v>0.3793241</v>
      </c>
      <c r="N5795">
        <v>0</v>
      </c>
      <c r="O5795">
        <v>-0.92515069999999999</v>
      </c>
      <c r="P5795">
        <v>0.43203809999999898</v>
      </c>
      <c r="Q5795">
        <v>-2.5739030000000002E-3</v>
      </c>
      <c r="R5795">
        <v>-0.90185170000000003</v>
      </c>
      <c r="S5795">
        <v>2.001465</v>
      </c>
      <c r="T5795">
        <v>-0.2789452</v>
      </c>
      <c r="U5795">
        <v>-2.3788450000000001</v>
      </c>
      <c r="V5795">
        <v>-5.778204E-2</v>
      </c>
      <c r="W5795">
        <v>1.102742E-2</v>
      </c>
      <c r="X5795">
        <v>0.9982683</v>
      </c>
      <c r="Y5795">
        <v>-0.30272919999999998</v>
      </c>
      <c r="Z5795">
        <v>8.7980119999999995E-2</v>
      </c>
      <c r="AA5795">
        <v>0.94900709999999999</v>
      </c>
      <c r="AB5795">
        <v>22</v>
      </c>
      <c r="AC5795">
        <v>7.9140000000000397</v>
      </c>
      <c r="AD5795">
        <v>-1.11606327087</v>
      </c>
      <c r="AE5795">
        <v>-9.3151199999999896</v>
      </c>
      <c r="AF5795">
        <v>-3.75726487216355</v>
      </c>
      <c r="AG5795">
        <v>-1.11606327087</v>
      </c>
      <c r="AH5795">
        <v>11.524991729875699</v>
      </c>
      <c r="AI5795">
        <v>95.260355818772595</v>
      </c>
      <c r="AJ5795">
        <v>108.056496768459</v>
      </c>
      <c r="AK5795">
        <v>12.1732522736483</v>
      </c>
      <c r="AL5795">
        <v>89.368162558531594</v>
      </c>
      <c r="AM5795">
        <v>93.312713758427407</v>
      </c>
      <c r="AN5795">
        <v>0.99999998346165297</v>
      </c>
    </row>
    <row r="5796" spans="1:40" x14ac:dyDescent="0.25">
      <c r="A5796" t="str">
        <f>"20190312160804030"</f>
        <v>20190312160804030</v>
      </c>
      <c r="B5796" t="str">
        <f>"1552378084021836"</f>
        <v>1552378084021836</v>
      </c>
      <c r="C5796" t="s">
        <v>40</v>
      </c>
      <c r="D5796">
        <v>5.1086519999999904</v>
      </c>
      <c r="E5796">
        <v>0.39947440000000001</v>
      </c>
      <c r="F5796" t="s">
        <v>82</v>
      </c>
      <c r="G5796">
        <v>-411.45280000000002</v>
      </c>
      <c r="H5796" s="1">
        <v>-9.2578389999999997E-6</v>
      </c>
      <c r="I5796">
        <v>19.64986</v>
      </c>
      <c r="J5796">
        <v>-419.23809999999997</v>
      </c>
      <c r="K5796">
        <v>1.1161049999999999</v>
      </c>
      <c r="L5796">
        <v>28.63654</v>
      </c>
      <c r="M5796">
        <v>0.38850059999999997</v>
      </c>
      <c r="N5796">
        <v>0</v>
      </c>
      <c r="O5796">
        <v>-0.9213346</v>
      </c>
      <c r="P5796">
        <v>0.44321159999999998</v>
      </c>
      <c r="Q5796">
        <v>-3.2879799999999998E-3</v>
      </c>
      <c r="R5796">
        <v>-0.89641119999999996</v>
      </c>
      <c r="S5796">
        <v>2.0228579999999998</v>
      </c>
      <c r="T5796">
        <v>-0.28671669999999999</v>
      </c>
      <c r="U5796">
        <v>-2.3566280000000002</v>
      </c>
      <c r="V5796">
        <v>-6.0257119999999997E-2</v>
      </c>
      <c r="W5796">
        <v>1.02855E-2</v>
      </c>
      <c r="X5796">
        <v>0.99812990000000001</v>
      </c>
      <c r="Y5796">
        <v>-0.30248409999999998</v>
      </c>
      <c r="Z5796">
        <v>9.0278709999999998E-2</v>
      </c>
      <c r="AA5796">
        <v>0.94886939999999997</v>
      </c>
      <c r="AB5796">
        <v>22</v>
      </c>
      <c r="AC5796">
        <v>7.7852999999999497</v>
      </c>
      <c r="AD5796">
        <v>-1.116114257839</v>
      </c>
      <c r="AE5796">
        <v>-8.9866799999999998</v>
      </c>
      <c r="AF5796">
        <v>-3.6497616821827599</v>
      </c>
      <c r="AG5796">
        <v>-1.116114257839</v>
      </c>
      <c r="AH5796">
        <v>11.206769322344901</v>
      </c>
      <c r="AI5796">
        <v>95.4096297829864</v>
      </c>
      <c r="AJ5796">
        <v>108.039121078866</v>
      </c>
      <c r="AK5796">
        <v>11.8388407379072</v>
      </c>
      <c r="AL5796">
        <v>89.410673871295401</v>
      </c>
      <c r="AM5796">
        <v>93.454754314348307</v>
      </c>
      <c r="AN5796">
        <v>1.00000000464747</v>
      </c>
    </row>
    <row r="5797" spans="1:40" x14ac:dyDescent="0.25">
      <c r="A5797" t="str">
        <f>"20190312160804052"</f>
        <v>20190312160804052</v>
      </c>
      <c r="B5797" t="str">
        <f>"1552378084041357"</f>
        <v>1552378084041357</v>
      </c>
      <c r="C5797" t="s">
        <v>40</v>
      </c>
      <c r="D5797">
        <v>5.1127669999999998</v>
      </c>
      <c r="E5797">
        <v>0.41263499999999997</v>
      </c>
      <c r="F5797" t="s">
        <v>82</v>
      </c>
      <c r="G5797">
        <v>-411.315</v>
      </c>
      <c r="H5797" s="1">
        <v>-1.0218480000000001E-5</v>
      </c>
      <c r="I5797">
        <v>19.608989999999999</v>
      </c>
      <c r="J5797">
        <v>-419.14609999999999</v>
      </c>
      <c r="K5797">
        <v>1.1161559999999999</v>
      </c>
      <c r="L5797">
        <v>28.44839</v>
      </c>
      <c r="M5797">
        <v>0.3978643</v>
      </c>
      <c r="N5797">
        <v>0</v>
      </c>
      <c r="O5797">
        <v>-0.91732950000000002</v>
      </c>
      <c r="P5797">
        <v>0.45433400000000002</v>
      </c>
      <c r="Q5797">
        <v>-3.0695710000000001E-3</v>
      </c>
      <c r="R5797">
        <v>-0.89082640000000002</v>
      </c>
      <c r="S5797">
        <v>2.0476990000000002</v>
      </c>
      <c r="T5797">
        <v>-0.28845870000000001</v>
      </c>
      <c r="U5797">
        <v>-2.3331599999999999</v>
      </c>
      <c r="V5797">
        <v>-6.2517580000000003E-2</v>
      </c>
      <c r="W5797">
        <v>1.047813E-2</v>
      </c>
      <c r="X5797">
        <v>0.99798889999999996</v>
      </c>
      <c r="Y5797">
        <v>-0.30318460000000003</v>
      </c>
      <c r="Z5797">
        <v>9.0644080000000002E-2</v>
      </c>
      <c r="AA5797">
        <v>0.94861099999999998</v>
      </c>
      <c r="AB5797">
        <v>22</v>
      </c>
      <c r="AC5797">
        <v>7.8310999999999904</v>
      </c>
      <c r="AD5797">
        <v>-1.1161662184800001</v>
      </c>
      <c r="AE5797">
        <v>-8.8393999999999995</v>
      </c>
      <c r="AF5797">
        <v>-3.6347338863341601</v>
      </c>
      <c r="AG5797">
        <v>-1.1161662184800001</v>
      </c>
      <c r="AH5797">
        <v>11.126147998650399</v>
      </c>
      <c r="AI5797">
        <v>95.447234466489903</v>
      </c>
      <c r="AJ5797">
        <v>108.091383723831</v>
      </c>
      <c r="AK5797">
        <v>11.757903160836699</v>
      </c>
      <c r="AL5797">
        <v>89.399636412772693</v>
      </c>
      <c r="AM5797">
        <v>93.584527819322801</v>
      </c>
      <c r="AN5797">
        <v>1.0000000417702799</v>
      </c>
    </row>
    <row r="5798" spans="1:40" x14ac:dyDescent="0.25">
      <c r="A5798" t="str">
        <f>"20190312160804073"</f>
        <v>20190312160804073</v>
      </c>
      <c r="B5798" t="str">
        <f>"1552378084071612"</f>
        <v>1552378084071612</v>
      </c>
      <c r="C5798" t="s">
        <v>40</v>
      </c>
      <c r="D5798">
        <v>5.1535690000000001</v>
      </c>
      <c r="E5798">
        <v>0.41305730000000002</v>
      </c>
      <c r="F5798" t="s">
        <v>82</v>
      </c>
      <c r="G5798">
        <v>-412.3605</v>
      </c>
      <c r="H5798" s="1">
        <v>-9.0019839999999906E-6</v>
      </c>
      <c r="I5798">
        <v>20.39254</v>
      </c>
      <c r="J5798">
        <v>-419.05430000000001</v>
      </c>
      <c r="K5798">
        <v>1.116206</v>
      </c>
      <c r="L5798">
        <v>28.265840000000001</v>
      </c>
      <c r="M5798">
        <v>0.40706500000000001</v>
      </c>
      <c r="N5798">
        <v>0</v>
      </c>
      <c r="O5798">
        <v>-0.91328359999999997</v>
      </c>
      <c r="P5798">
        <v>0.46550999999999998</v>
      </c>
      <c r="Q5798">
        <v>-4.3818750000000004E-3</v>
      </c>
      <c r="R5798">
        <v>-0.88503189999999998</v>
      </c>
      <c r="S5798">
        <v>1.9835510000000001</v>
      </c>
      <c r="T5798">
        <v>-0.3262775</v>
      </c>
      <c r="U5798">
        <v>-2.354889</v>
      </c>
      <c r="V5798">
        <v>-6.5030400000000002E-2</v>
      </c>
      <c r="W5798">
        <v>9.1354209999999995E-3</v>
      </c>
      <c r="X5798">
        <v>0.99784150000000005</v>
      </c>
      <c r="Y5798">
        <v>-0.27340120000000001</v>
      </c>
      <c r="Z5798">
        <v>0.1022965</v>
      </c>
      <c r="AA5798">
        <v>0.95644510000000005</v>
      </c>
      <c r="AB5798">
        <v>22</v>
      </c>
      <c r="AC5798">
        <v>6.6938000000000004</v>
      </c>
      <c r="AD5798">
        <v>-1.116215001984</v>
      </c>
      <c r="AE5798">
        <v>-7.8733000000000004</v>
      </c>
      <c r="AF5798">
        <v>-2.8751569138615398</v>
      </c>
      <c r="AG5798">
        <v>-1.116215001984</v>
      </c>
      <c r="AH5798">
        <v>9.8020585003385392</v>
      </c>
      <c r="AI5798">
        <v>96.236071654684295</v>
      </c>
      <c r="AJ5798">
        <v>106.347560240409</v>
      </c>
      <c r="AK5798">
        <v>10.2758364162747</v>
      </c>
      <c r="AL5798">
        <v>89.476571669707994</v>
      </c>
      <c r="AM5798">
        <v>93.728754316829097</v>
      </c>
      <c r="AN5798">
        <v>1.00000003398162</v>
      </c>
    </row>
    <row r="5799" spans="1:40" x14ac:dyDescent="0.25">
      <c r="A5799" t="str">
        <f>"20190312160804097"</f>
        <v>20190312160804097</v>
      </c>
      <c r="B5799" t="str">
        <f>"1552378084091133"</f>
        <v>1552378084091133</v>
      </c>
      <c r="C5799" t="s">
        <v>40</v>
      </c>
      <c r="D5799">
        <v>5.1304160000000003</v>
      </c>
      <c r="E5799">
        <v>0.37986399999999998</v>
      </c>
      <c r="F5799" t="s">
        <v>82</v>
      </c>
      <c r="G5799">
        <v>-412.24549999999999</v>
      </c>
      <c r="H5799" s="1">
        <v>-9.041349E-6</v>
      </c>
      <c r="I5799">
        <v>20.36777</v>
      </c>
      <c r="J5799">
        <v>-418.95060000000001</v>
      </c>
      <c r="K5799">
        <v>1.1162589999999999</v>
      </c>
      <c r="L5799">
        <v>28.065249999999999</v>
      </c>
      <c r="M5799">
        <v>0.41731750000000001</v>
      </c>
      <c r="N5799">
        <v>0</v>
      </c>
      <c r="O5799">
        <v>-0.90864429999999996</v>
      </c>
      <c r="P5799">
        <v>0.47792800000000002</v>
      </c>
      <c r="Q5799">
        <v>-4.6060700000000003E-3</v>
      </c>
      <c r="R5799">
        <v>-0.87838709999999898</v>
      </c>
      <c r="S5799">
        <v>2.0096129999999999</v>
      </c>
      <c r="T5799">
        <v>-0.32944630000000003</v>
      </c>
      <c r="U5799">
        <v>-2.3310849999999999</v>
      </c>
      <c r="V5799">
        <v>-6.7851359999999999E-2</v>
      </c>
      <c r="W5799">
        <v>8.8755569999999992E-3</v>
      </c>
      <c r="X5799">
        <v>0.99765599999999999</v>
      </c>
      <c r="Y5799">
        <v>-0.2734801</v>
      </c>
      <c r="Z5799">
        <v>0.1029833</v>
      </c>
      <c r="AA5799">
        <v>0.9563488</v>
      </c>
      <c r="AB5799">
        <v>22</v>
      </c>
      <c r="AC5799">
        <v>6.7051000000000096</v>
      </c>
      <c r="AD5799">
        <v>-1.116268041349</v>
      </c>
      <c r="AE5799">
        <v>-7.6974799999999899</v>
      </c>
      <c r="AF5799">
        <v>-2.8465261484050499</v>
      </c>
      <c r="AG5799">
        <v>-1.116268041349</v>
      </c>
      <c r="AH5799">
        <v>9.6777445928306101</v>
      </c>
      <c r="AI5799">
        <v>96.314459589086695</v>
      </c>
      <c r="AJ5799">
        <v>106.39025240612</v>
      </c>
      <c r="AK5799">
        <v>10.1492613454257</v>
      </c>
      <c r="AL5799">
        <v>89.491461385745595</v>
      </c>
      <c r="AM5799">
        <v>93.890739053095899</v>
      </c>
      <c r="AN5799">
        <v>1.00000003845095</v>
      </c>
    </row>
    <row r="5800" spans="1:40" x14ac:dyDescent="0.25">
      <c r="A5800" t="str">
        <f>"20190312160804118"</f>
        <v>20190312160804118</v>
      </c>
      <c r="B5800" t="str">
        <f>"1552378084111632"</f>
        <v>1552378084111632</v>
      </c>
      <c r="C5800" t="s">
        <v>40</v>
      </c>
      <c r="D5800">
        <v>5.1769210000000001</v>
      </c>
      <c r="E5800">
        <v>0.36030479999999998</v>
      </c>
      <c r="F5800" t="s">
        <v>82</v>
      </c>
      <c r="G5800">
        <v>-407.06939999999997</v>
      </c>
      <c r="H5800" s="1">
        <v>-4.4678200000000004E-6</v>
      </c>
      <c r="I5800">
        <v>16.697299999999998</v>
      </c>
      <c r="J5800">
        <v>-418.85359999999997</v>
      </c>
      <c r="K5800">
        <v>1.1163080000000001</v>
      </c>
      <c r="L5800">
        <v>27.882899999999999</v>
      </c>
      <c r="M5800">
        <v>0.42675859999999899</v>
      </c>
      <c r="N5800">
        <v>0</v>
      </c>
      <c r="O5800">
        <v>-0.90424819999999995</v>
      </c>
      <c r="P5800">
        <v>0.48880469999999998</v>
      </c>
      <c r="Q5800">
        <v>-4.994615E-3</v>
      </c>
      <c r="R5800">
        <v>-0.87237889999999996</v>
      </c>
      <c r="S5800">
        <v>2.2748110000000001</v>
      </c>
      <c r="T5800">
        <v>-0.21372340000000001</v>
      </c>
      <c r="U5800">
        <v>-2.1765439999999998</v>
      </c>
      <c r="V5800">
        <v>-6.9852339999999999E-2</v>
      </c>
      <c r="W5800">
        <v>8.4640600000000007E-3</v>
      </c>
      <c r="X5800">
        <v>0.99752149999999995</v>
      </c>
      <c r="Y5800">
        <v>-0.3566242</v>
      </c>
      <c r="Z5800">
        <v>6.6600880000000001E-2</v>
      </c>
      <c r="AA5800">
        <v>0.931871</v>
      </c>
      <c r="AB5800">
        <v>22</v>
      </c>
      <c r="AC5800">
        <v>11.784199999999901</v>
      </c>
      <c r="AD5800">
        <v>-1.11631246782</v>
      </c>
      <c r="AE5800">
        <v>-11.185600000000001</v>
      </c>
      <c r="AF5800">
        <v>-5.8552750203003496</v>
      </c>
      <c r="AG5800">
        <v>-1.11631246782</v>
      </c>
      <c r="AH5800">
        <v>15.0740174319419</v>
      </c>
      <c r="AI5800">
        <v>93.948895457334601</v>
      </c>
      <c r="AJ5800">
        <v>111.227909346139</v>
      </c>
      <c r="AK5800">
        <v>16.209762509909101</v>
      </c>
      <c r="AL5800">
        <v>89.515039326053298</v>
      </c>
      <c r="AM5800">
        <v>94.005649616665096</v>
      </c>
      <c r="AN5800">
        <v>1.0000000663387001</v>
      </c>
    </row>
    <row r="5801" spans="1:40" x14ac:dyDescent="0.25">
      <c r="A5801" t="str">
        <f>"20190312160804141"</f>
        <v>20190312160804141</v>
      </c>
      <c r="B5801" t="str">
        <f>"1552378084131149"</f>
        <v>1552378084131149</v>
      </c>
      <c r="C5801" t="s">
        <v>40</v>
      </c>
      <c r="D5801">
        <v>5.16784</v>
      </c>
      <c r="E5801">
        <v>0.354072</v>
      </c>
      <c r="F5801" t="s">
        <v>82</v>
      </c>
      <c r="G5801">
        <v>-400.11200000000002</v>
      </c>
      <c r="H5801" s="1">
        <v>-6.8108219999999901E-6</v>
      </c>
      <c r="I5801">
        <v>11.958729999999999</v>
      </c>
      <c r="J5801">
        <v>-418.75279999999998</v>
      </c>
      <c r="K5801">
        <v>1.116355</v>
      </c>
      <c r="L5801">
        <v>27.698460000000001</v>
      </c>
      <c r="M5801">
        <v>0.43641020000000003</v>
      </c>
      <c r="N5801">
        <v>0</v>
      </c>
      <c r="O5801">
        <v>-0.89962969999999898</v>
      </c>
      <c r="P5801">
        <v>0.50002279999999999</v>
      </c>
      <c r="Q5801">
        <v>-4.743995E-3</v>
      </c>
      <c r="R5801">
        <v>-0.86599950000000003</v>
      </c>
      <c r="S5801">
        <v>2.4383240000000002</v>
      </c>
      <c r="T5801">
        <v>-0.14523549999999999</v>
      </c>
      <c r="U5801">
        <v>-2.071777</v>
      </c>
      <c r="V5801">
        <v>-7.2055750000000002E-2</v>
      </c>
      <c r="W5801">
        <v>8.6881659999999902E-3</v>
      </c>
      <c r="X5801">
        <v>0.99736279999999999</v>
      </c>
      <c r="Y5801">
        <v>-0.40220319999999998</v>
      </c>
      <c r="Z5801">
        <v>4.496029E-2</v>
      </c>
      <c r="AA5801">
        <v>0.91444579999999998</v>
      </c>
      <c r="AB5801">
        <v>22</v>
      </c>
      <c r="AC5801">
        <v>18.640799999999999</v>
      </c>
      <c r="AD5801">
        <v>-1.1163618108219999</v>
      </c>
      <c r="AE5801">
        <v>-15.7397299999999</v>
      </c>
      <c r="AF5801">
        <v>-9.8812017458260595</v>
      </c>
      <c r="AG5801">
        <v>-1.1163618108219999</v>
      </c>
      <c r="AH5801">
        <v>22.250745071544699</v>
      </c>
      <c r="AI5801">
        <v>92.625388960332401</v>
      </c>
      <c r="AJ5801">
        <v>113.945245254093</v>
      </c>
      <c r="AK5801">
        <v>24.371706297944101</v>
      </c>
      <c r="AL5801">
        <v>89.502198511126593</v>
      </c>
      <c r="AM5801">
        <v>94.1322273668886</v>
      </c>
      <c r="AN5801">
        <v>1.0000000350801701</v>
      </c>
    </row>
    <row r="5802" spans="1:40" x14ac:dyDescent="0.25">
      <c r="A5802" t="str">
        <f>"20190312160804163"</f>
        <v>20190312160804163</v>
      </c>
      <c r="B5802" t="str">
        <f>"1552378084151649"</f>
        <v>1552378084151649</v>
      </c>
      <c r="C5802" t="s">
        <v>40</v>
      </c>
      <c r="D5802">
        <v>5.1770880000000004</v>
      </c>
      <c r="E5802">
        <v>0.352216799999999</v>
      </c>
      <c r="F5802" t="s">
        <v>47</v>
      </c>
      <c r="G5802">
        <v>-397.28519999999997</v>
      </c>
      <c r="H5802" s="1">
        <v>-3.4668259999999999E-6</v>
      </c>
      <c r="I5802">
        <v>10.44563</v>
      </c>
      <c r="J5802">
        <v>-418.65089999999998</v>
      </c>
      <c r="K5802">
        <v>1.116395</v>
      </c>
      <c r="L5802">
        <v>27.516719999999999</v>
      </c>
      <c r="M5802">
        <v>0.44601950000000001</v>
      </c>
      <c r="N5802">
        <v>0</v>
      </c>
      <c r="O5802">
        <v>-0.89490419999999904</v>
      </c>
      <c r="P5802">
        <v>0.51074589999999997</v>
      </c>
      <c r="Q5802">
        <v>-4.181672E-3</v>
      </c>
      <c r="R5802">
        <v>-0.85972150000000003</v>
      </c>
      <c r="S5802">
        <v>2.5078429999999998</v>
      </c>
      <c r="T5802">
        <v>-0.1304128</v>
      </c>
      <c r="U5802">
        <v>-2.0154719999999999</v>
      </c>
      <c r="V5802">
        <v>-7.3777350000000005E-2</v>
      </c>
      <c r="W5802">
        <v>9.2312620000000005E-3</v>
      </c>
      <c r="X5802">
        <v>0.99723200000000001</v>
      </c>
      <c r="Y5802">
        <v>-0.41750809999999999</v>
      </c>
      <c r="Z5802">
        <v>4.0205520000000002E-2</v>
      </c>
      <c r="AA5802">
        <v>0.90778329999999996</v>
      </c>
      <c r="AB5802">
        <v>22</v>
      </c>
      <c r="AC5802">
        <v>21.3657</v>
      </c>
      <c r="AD5802">
        <v>-1.1163984668260001</v>
      </c>
      <c r="AE5802">
        <v>-17.071089999999899</v>
      </c>
      <c r="AF5802">
        <v>-11.488297299748499</v>
      </c>
      <c r="AG5802">
        <v>-1.1163984668260001</v>
      </c>
      <c r="AH5802">
        <v>24.7678784188337</v>
      </c>
      <c r="AI5802">
        <v>92.341514855026404</v>
      </c>
      <c r="AJ5802">
        <v>114.88368893697999</v>
      </c>
      <c r="AK5802">
        <v>27.325356754382401</v>
      </c>
      <c r="AL5802">
        <v>89.471080129041894</v>
      </c>
      <c r="AM5802">
        <v>94.2311556487454</v>
      </c>
      <c r="AN5802">
        <v>0.99999998769756704</v>
      </c>
    </row>
    <row r="5803" spans="1:40" x14ac:dyDescent="0.25">
      <c r="A5803" t="str">
        <f>"20190312160804185"</f>
        <v>20190312160804185</v>
      </c>
      <c r="B5803" t="str">
        <f>"1552378084180924"</f>
        <v>1552378084180924</v>
      </c>
      <c r="C5803" t="s">
        <v>40</v>
      </c>
      <c r="D5803">
        <v>5.212307</v>
      </c>
      <c r="E5803">
        <v>0.35230699999999998</v>
      </c>
      <c r="F5803" t="s">
        <v>47</v>
      </c>
      <c r="G5803">
        <v>-396.31700000000001</v>
      </c>
      <c r="H5803" s="1">
        <v>-3.9108699999999997E-6</v>
      </c>
      <c r="I5803">
        <v>10.174110000000001</v>
      </c>
      <c r="J5803">
        <v>-418.5446</v>
      </c>
      <c r="K5803">
        <v>1.116422</v>
      </c>
      <c r="L5803">
        <v>27.332149999999999</v>
      </c>
      <c r="M5803">
        <v>0.45588139999999999</v>
      </c>
      <c r="N5803">
        <v>0</v>
      </c>
      <c r="O5803">
        <v>-0.88992039999999994</v>
      </c>
      <c r="P5803">
        <v>0.52090530000000002</v>
      </c>
      <c r="Q5803">
        <v>-4.2027130000000003E-3</v>
      </c>
      <c r="R5803">
        <v>-0.85360400000000003</v>
      </c>
      <c r="S5803">
        <v>2.5455019999999999</v>
      </c>
      <c r="T5803">
        <v>-0.12724150000000001</v>
      </c>
      <c r="U5803">
        <v>-1.9766239999999999</v>
      </c>
      <c r="V5803">
        <v>-7.4583830000000004E-2</v>
      </c>
      <c r="W5803">
        <v>9.2064680000000006E-3</v>
      </c>
      <c r="X5803">
        <v>0.99717219999999995</v>
      </c>
      <c r="Y5803">
        <v>-0.42267329999999997</v>
      </c>
      <c r="Z5803">
        <v>3.9105019999999997E-2</v>
      </c>
      <c r="AA5803">
        <v>0.90543810000000002</v>
      </c>
      <c r="AB5803">
        <v>22</v>
      </c>
      <c r="AC5803">
        <v>22.227599999999999</v>
      </c>
      <c r="AD5803">
        <v>-1.1164259108700001</v>
      </c>
      <c r="AE5803">
        <v>-17.15804</v>
      </c>
      <c r="AF5803">
        <v>-11.941165541757099</v>
      </c>
      <c r="AG5803">
        <v>-1.1164259108700001</v>
      </c>
      <c r="AH5803">
        <v>25.365058423199699</v>
      </c>
      <c r="AI5803">
        <v>92.280436784326298</v>
      </c>
      <c r="AJ5803">
        <v>115.209754618115</v>
      </c>
      <c r="AK5803">
        <v>28.057512899799999</v>
      </c>
      <c r="AL5803">
        <v>89.472500761945696</v>
      </c>
      <c r="AM5803">
        <v>94.277492373871198</v>
      </c>
      <c r="AN5803">
        <v>0.99999995160166999</v>
      </c>
    </row>
    <row r="5804" spans="1:40" x14ac:dyDescent="0.25">
      <c r="A5804" t="str">
        <f>"20190312160804208"</f>
        <v>20190312160804208</v>
      </c>
      <c r="B5804" t="str">
        <f>"1552378084201421"</f>
        <v>1552378084201421</v>
      </c>
      <c r="C5804" t="s">
        <v>40</v>
      </c>
      <c r="D5804">
        <v>5.2634040000000004</v>
      </c>
      <c r="E5804">
        <v>0.35333209999999998</v>
      </c>
      <c r="F5804" t="s">
        <v>47</v>
      </c>
      <c r="G5804">
        <v>-396.20639999999997</v>
      </c>
      <c r="H5804" s="1">
        <v>-3.8923939999999996E-6</v>
      </c>
      <c r="I5804">
        <v>10.40314</v>
      </c>
      <c r="J5804">
        <v>-418.43520000000001</v>
      </c>
      <c r="K5804">
        <v>1.116457</v>
      </c>
      <c r="L5804">
        <v>27.147089999999999</v>
      </c>
      <c r="M5804">
        <v>0.46587640000000002</v>
      </c>
      <c r="N5804">
        <v>0</v>
      </c>
      <c r="O5804">
        <v>-0.88472879999999998</v>
      </c>
      <c r="P5804">
        <v>0.53037140000000005</v>
      </c>
      <c r="Q5804">
        <v>-3.9467950000000003E-3</v>
      </c>
      <c r="R5804">
        <v>-0.84775599999999995</v>
      </c>
      <c r="S5804">
        <v>2.568451</v>
      </c>
      <c r="T5804">
        <v>-0.12836689999999901</v>
      </c>
      <c r="U5804">
        <v>-1.9465030000000001</v>
      </c>
      <c r="V5804">
        <v>-7.4451920000000005E-2</v>
      </c>
      <c r="W5804">
        <v>9.4739620000000007E-3</v>
      </c>
      <c r="X5804">
        <v>0.99717960000000005</v>
      </c>
      <c r="Y5804">
        <v>-0.42309590000000002</v>
      </c>
      <c r="Z5804">
        <v>3.9338270000000002E-2</v>
      </c>
      <c r="AA5804">
        <v>0.9052306</v>
      </c>
      <c r="AB5804">
        <v>22</v>
      </c>
      <c r="AC5804">
        <v>22.2288</v>
      </c>
      <c r="AD5804">
        <v>-1.116460892394</v>
      </c>
      <c r="AE5804">
        <v>-16.743950000000002</v>
      </c>
      <c r="AF5804">
        <v>-11.8480501953568</v>
      </c>
      <c r="AG5804">
        <v>-1.116460892394</v>
      </c>
      <c r="AH5804">
        <v>25.131974720142299</v>
      </c>
      <c r="AI5804">
        <v>92.301049933896294</v>
      </c>
      <c r="AJ5804">
        <v>115.24075170675199</v>
      </c>
      <c r="AK5804">
        <v>27.8071741047128</v>
      </c>
      <c r="AL5804">
        <v>89.457173841342296</v>
      </c>
      <c r="AM5804">
        <v>94.269923576253703</v>
      </c>
      <c r="AN5804">
        <v>0.99999999950191198</v>
      </c>
    </row>
    <row r="5805" spans="1:40" x14ac:dyDescent="0.25">
      <c r="A5805" t="str">
        <f>"20190312160804231"</f>
        <v>20190312160804231</v>
      </c>
      <c r="B5805" t="str">
        <f>"1552378084220941"</f>
        <v>1552378084220941</v>
      </c>
      <c r="C5805" t="s">
        <v>40</v>
      </c>
      <c r="D5805">
        <v>5.258807</v>
      </c>
      <c r="E5805">
        <v>0.35423480000000002</v>
      </c>
      <c r="F5805" t="s">
        <v>47</v>
      </c>
      <c r="G5805">
        <v>-396.78070000000002</v>
      </c>
      <c r="H5805" s="1">
        <v>-3.5044899999999998E-6</v>
      </c>
      <c r="I5805">
        <v>11.032209999999999</v>
      </c>
      <c r="J5805">
        <v>-418.32670000000002</v>
      </c>
      <c r="K5805">
        <v>1.1165</v>
      </c>
      <c r="L5805">
        <v>26.968260000000001</v>
      </c>
      <c r="M5805">
        <v>0.47563650000000002</v>
      </c>
      <c r="N5805">
        <v>0</v>
      </c>
      <c r="O5805">
        <v>-0.87952009999999903</v>
      </c>
      <c r="P5805">
        <v>0.5394352</v>
      </c>
      <c r="Q5805">
        <v>-3.6628199999999998E-3</v>
      </c>
      <c r="R5805">
        <v>-0.84201939999999997</v>
      </c>
      <c r="S5805">
        <v>2.5829469999999999</v>
      </c>
      <c r="T5805">
        <v>-0.13317119999999999</v>
      </c>
      <c r="U5805">
        <v>-1.92218</v>
      </c>
      <c r="V5805">
        <v>-7.4121240000000005E-2</v>
      </c>
      <c r="W5805">
        <v>9.7724479999999996E-3</v>
      </c>
      <c r="X5805">
        <v>0.99720140000000002</v>
      </c>
      <c r="Y5805">
        <v>-0.420933</v>
      </c>
      <c r="Z5805">
        <v>4.0696509999999998E-2</v>
      </c>
      <c r="AA5805">
        <v>0.90617840000000005</v>
      </c>
      <c r="AB5805">
        <v>22</v>
      </c>
      <c r="AC5805">
        <v>21.5459999999999</v>
      </c>
      <c r="AD5805">
        <v>-1.11650350449</v>
      </c>
      <c r="AE5805">
        <v>-15.9360499999999</v>
      </c>
      <c r="AF5805">
        <v>-11.3518878256783</v>
      </c>
      <c r="AG5805">
        <v>-1.11650350449</v>
      </c>
      <c r="AH5805">
        <v>24.224693278422599</v>
      </c>
      <c r="AI5805">
        <v>92.389818498541004</v>
      </c>
      <c r="AJ5805">
        <v>115.108169522475</v>
      </c>
      <c r="AK5805">
        <v>26.775879102579999</v>
      </c>
      <c r="AL5805">
        <v>89.440071087087901</v>
      </c>
      <c r="AM5805">
        <v>94.250935692456196</v>
      </c>
      <c r="AN5805">
        <v>1.0000000455605</v>
      </c>
    </row>
    <row r="5806" spans="1:40" x14ac:dyDescent="0.25">
      <c r="A5806" t="str">
        <f>"20190312160804254"</f>
        <v>20190312160804254</v>
      </c>
      <c r="B5806" t="str">
        <f>"1552378084241437"</f>
        <v>1552378084241437</v>
      </c>
      <c r="C5806" t="s">
        <v>40</v>
      </c>
      <c r="D5806">
        <v>5.2825490000000004</v>
      </c>
      <c r="E5806">
        <v>0.35534349999999998</v>
      </c>
      <c r="F5806" t="s">
        <v>47</v>
      </c>
      <c r="G5806">
        <v>-396.76670000000001</v>
      </c>
      <c r="H5806" s="1">
        <v>-3.4620329999999999E-6</v>
      </c>
      <c r="I5806">
        <v>11.212009999999999</v>
      </c>
      <c r="J5806">
        <v>-418.2131</v>
      </c>
      <c r="K5806">
        <v>1.1165430000000001</v>
      </c>
      <c r="L5806">
        <v>26.78586</v>
      </c>
      <c r="M5806">
        <v>0.48569129999999999</v>
      </c>
      <c r="N5806">
        <v>0</v>
      </c>
      <c r="O5806">
        <v>-0.87400730000000004</v>
      </c>
      <c r="P5806">
        <v>0.54906869999999997</v>
      </c>
      <c r="Q5806">
        <v>-3.2202480000000002E-3</v>
      </c>
      <c r="R5806">
        <v>-0.83577099999999904</v>
      </c>
      <c r="S5806">
        <v>2.5974729999999999</v>
      </c>
      <c r="T5806">
        <v>-0.1345122</v>
      </c>
      <c r="U5806">
        <v>-1.8982540000000001</v>
      </c>
      <c r="V5806">
        <v>-7.4144680000000004E-2</v>
      </c>
      <c r="W5806">
        <v>1.022351E-2</v>
      </c>
      <c r="X5806">
        <v>0.9971951</v>
      </c>
      <c r="Y5806">
        <v>-0.4183675</v>
      </c>
      <c r="Z5806">
        <v>4.0970270000000003E-2</v>
      </c>
      <c r="AA5806">
        <v>0.90735330000000003</v>
      </c>
      <c r="AB5806">
        <v>21</v>
      </c>
      <c r="AC5806">
        <v>21.446399999999901</v>
      </c>
      <c r="AD5806">
        <v>-1.1165464620329999</v>
      </c>
      <c r="AE5806">
        <v>-15.573849999999901</v>
      </c>
      <c r="AF5806">
        <v>-11.161621971393499</v>
      </c>
      <c r="AG5806">
        <v>-1.1165464620329999</v>
      </c>
      <c r="AH5806">
        <v>23.988004112494899</v>
      </c>
      <c r="AI5806">
        <v>92.416522734664099</v>
      </c>
      <c r="AJ5806">
        <v>114.95256607312901</v>
      </c>
      <c r="AK5806">
        <v>26.481178643241002</v>
      </c>
      <c r="AL5806">
        <v>89.414225826893897</v>
      </c>
      <c r="AM5806">
        <v>94.252301838579498</v>
      </c>
      <c r="AN5806">
        <v>1.0000000105965099</v>
      </c>
    </row>
    <row r="5807" spans="1:40" x14ac:dyDescent="0.25">
      <c r="A5807" t="str">
        <f>"20190312160804276"</f>
        <v>20190312160804276</v>
      </c>
      <c r="B5807" t="str">
        <f>"1552378084271694"</f>
        <v>1552378084271694</v>
      </c>
      <c r="C5807" t="s">
        <v>40</v>
      </c>
      <c r="D5807">
        <v>5.2964159999999998</v>
      </c>
      <c r="E5807">
        <v>0.35683179999999998</v>
      </c>
      <c r="F5807" t="s">
        <v>47</v>
      </c>
      <c r="G5807">
        <v>-396.89890000000003</v>
      </c>
      <c r="H5807" s="1">
        <v>-3.334785E-6</v>
      </c>
      <c r="I5807">
        <v>11.49943</v>
      </c>
      <c r="J5807">
        <v>-418.10210000000001</v>
      </c>
      <c r="K5807">
        <v>1.116581</v>
      </c>
      <c r="L5807">
        <v>26.61252</v>
      </c>
      <c r="M5807">
        <v>0.49536069999999999</v>
      </c>
      <c r="N5807">
        <v>0</v>
      </c>
      <c r="O5807">
        <v>-0.86856339999999999</v>
      </c>
      <c r="P5807">
        <v>0.55792900000000001</v>
      </c>
      <c r="Q5807">
        <v>-2.9475399999999998E-3</v>
      </c>
      <c r="R5807">
        <v>-0.82988390000000001</v>
      </c>
      <c r="S5807">
        <v>2.611755</v>
      </c>
      <c r="T5807">
        <v>-0.1368171</v>
      </c>
      <c r="U5807">
        <v>-1.873138</v>
      </c>
      <c r="V5807">
        <v>-7.3691770000000004E-2</v>
      </c>
      <c r="W5807">
        <v>1.0511980000000001E-2</v>
      </c>
      <c r="X5807">
        <v>0.99722560000000005</v>
      </c>
      <c r="Y5807">
        <v>-0.41636840000000003</v>
      </c>
      <c r="Z5807">
        <v>4.1546720000000002E-2</v>
      </c>
      <c r="AA5807">
        <v>0.9082462</v>
      </c>
      <c r="AB5807">
        <v>21</v>
      </c>
      <c r="AC5807">
        <v>21.203199999999899</v>
      </c>
      <c r="AD5807">
        <v>-1.116584334785</v>
      </c>
      <c r="AE5807">
        <v>-15.11309</v>
      </c>
      <c r="AF5807">
        <v>-10.9110053794516</v>
      </c>
      <c r="AG5807">
        <v>-1.116584334785</v>
      </c>
      <c r="AH5807">
        <v>23.589075465950501</v>
      </c>
      <c r="AI5807">
        <v>92.460006581206798</v>
      </c>
      <c r="AJ5807">
        <v>114.822658210149</v>
      </c>
      <c r="AK5807">
        <v>26.014251484627</v>
      </c>
      <c r="AL5807">
        <v>89.397696781388007</v>
      </c>
      <c r="AM5807">
        <v>94.226292425829996</v>
      </c>
      <c r="AN5807">
        <v>0.99999993799230402</v>
      </c>
    </row>
    <row r="5808" spans="1:40" x14ac:dyDescent="0.25">
      <c r="A5808" t="str">
        <f>"20190312160804299"</f>
        <v>20190312160804299</v>
      </c>
      <c r="B5808" t="str">
        <f>"1552378084291217"</f>
        <v>1552378084291217</v>
      </c>
      <c r="C5808" t="s">
        <v>40</v>
      </c>
      <c r="D5808">
        <v>5.3310760000000004</v>
      </c>
      <c r="E5808">
        <v>0.35750199999999999</v>
      </c>
      <c r="F5808" t="s">
        <v>44</v>
      </c>
      <c r="G5808">
        <v>-417.22399999999999</v>
      </c>
      <c r="H5808">
        <v>1.0693269999999999</v>
      </c>
      <c r="I5808">
        <v>25.992229999999999</v>
      </c>
      <c r="J5808">
        <v>-417.98250000000002</v>
      </c>
      <c r="K5808">
        <v>1.1166210000000001</v>
      </c>
      <c r="L5808">
        <v>26.43085</v>
      </c>
      <c r="M5808">
        <v>0.50559940000000003</v>
      </c>
      <c r="N5808">
        <v>0</v>
      </c>
      <c r="O5808">
        <v>-0.86264319999999906</v>
      </c>
      <c r="P5808">
        <v>0.56642300000000001</v>
      </c>
      <c r="Q5808">
        <v>-3.8537369999999999E-3</v>
      </c>
      <c r="R5808">
        <v>-0.82410599999999901</v>
      </c>
      <c r="S5808">
        <v>2.6218569999999999</v>
      </c>
      <c r="T5808">
        <v>-0.1410785</v>
      </c>
      <c r="U5808">
        <v>-1.851807</v>
      </c>
      <c r="V5808">
        <v>-7.2126460000000003E-2</v>
      </c>
      <c r="W5808">
        <v>9.6408469999999993E-3</v>
      </c>
      <c r="X5808">
        <v>0.99734889999999998</v>
      </c>
      <c r="Y5808">
        <v>-0.41213569999999999</v>
      </c>
      <c r="Z5808">
        <v>4.2678170000000001E-2</v>
      </c>
      <c r="AA5808">
        <v>0.9101224</v>
      </c>
      <c r="AB5808">
        <v>21</v>
      </c>
      <c r="AC5808">
        <v>0.75850000000002604</v>
      </c>
      <c r="AD5808">
        <v>-4.7293999999999697E-2</v>
      </c>
      <c r="AE5808">
        <v>-0.43862000000000001</v>
      </c>
      <c r="AF5808">
        <v>-0.431338865921716</v>
      </c>
      <c r="AG5808">
        <v>-4.7293999999999697E-2</v>
      </c>
      <c r="AH5808">
        <v>0.75973848571501401</v>
      </c>
      <c r="AI5808">
        <v>93.098631500632095</v>
      </c>
      <c r="AJ5808">
        <v>119.585592263289</v>
      </c>
      <c r="AK5808">
        <v>0.87492428607690098</v>
      </c>
      <c r="AL5808">
        <v>89.447611598837398</v>
      </c>
      <c r="AM5808">
        <v>94.136325798171299</v>
      </c>
      <c r="AN5808">
        <v>1.0000000002470999</v>
      </c>
    </row>
    <row r="5809" spans="1:40" x14ac:dyDescent="0.25">
      <c r="A5809" t="str">
        <f>"20190312160804319"</f>
        <v>20190312160804319</v>
      </c>
      <c r="B5809" t="str">
        <f>"1552378084311713"</f>
        <v>1552378084311713</v>
      </c>
      <c r="C5809" t="s">
        <v>40</v>
      </c>
      <c r="D5809">
        <v>5.3322409999999998</v>
      </c>
      <c r="E5809">
        <v>0.32421509999999998</v>
      </c>
      <c r="F5809" t="s">
        <v>47</v>
      </c>
      <c r="G5809">
        <v>-397.625</v>
      </c>
      <c r="H5809" s="1">
        <v>-2.8380420000000001E-6</v>
      </c>
      <c r="I5809">
        <v>12.31836</v>
      </c>
      <c r="J5809">
        <v>-417.87419999999997</v>
      </c>
      <c r="K5809">
        <v>1.116641</v>
      </c>
      <c r="L5809">
        <v>26.27026</v>
      </c>
      <c r="M5809">
        <v>0.51472119999999999</v>
      </c>
      <c r="N5809">
        <v>0</v>
      </c>
      <c r="O5809">
        <v>-0.85723150000000004</v>
      </c>
      <c r="P5809">
        <v>0.57379199999999997</v>
      </c>
      <c r="Q5809">
        <v>-4.3887559999999997E-3</v>
      </c>
      <c r="R5809">
        <v>-0.81898970000000004</v>
      </c>
      <c r="S5809">
        <v>2.6363530000000002</v>
      </c>
      <c r="T5809">
        <v>-0.14460590000000001</v>
      </c>
      <c r="U5809">
        <v>-1.8276060000000001</v>
      </c>
      <c r="V5809">
        <v>-7.048691E-2</v>
      </c>
      <c r="W5809">
        <v>9.142575E-3</v>
      </c>
      <c r="X5809">
        <v>0.99747079999999999</v>
      </c>
      <c r="Y5809">
        <v>-0.4104138</v>
      </c>
      <c r="Z5809">
        <v>4.359292E-2</v>
      </c>
      <c r="AA5809">
        <v>0.91085680000000002</v>
      </c>
      <c r="AB5809">
        <v>21</v>
      </c>
      <c r="AC5809">
        <v>20.249199999999899</v>
      </c>
      <c r="AD5809">
        <v>-1.1166438380419901</v>
      </c>
      <c r="AE5809">
        <v>-13.951899999999901</v>
      </c>
      <c r="AF5809">
        <v>-10.1570694842598</v>
      </c>
      <c r="AG5809">
        <v>-1.1166438380419901</v>
      </c>
      <c r="AH5809">
        <v>22.339056809679899</v>
      </c>
      <c r="AI5809">
        <v>92.605359317020998</v>
      </c>
      <c r="AJ5809">
        <v>114.450230965565</v>
      </c>
      <c r="AK5809">
        <v>24.565146307629099</v>
      </c>
      <c r="AL5809">
        <v>89.476161737655303</v>
      </c>
      <c r="AM5809">
        <v>94.042123430622297</v>
      </c>
      <c r="AN5809">
        <v>0.99999999400580897</v>
      </c>
    </row>
    <row r="5810" spans="1:40" x14ac:dyDescent="0.25">
      <c r="A5810" t="str">
        <f>"20190312160804342"</f>
        <v>20190312160804342</v>
      </c>
      <c r="B5810" t="str">
        <f>"1552378084330996"</f>
        <v>1552378084330996</v>
      </c>
      <c r="C5810" t="s">
        <v>40</v>
      </c>
      <c r="D5810">
        <v>5.4271070000000003</v>
      </c>
      <c r="E5810">
        <v>0.2940314</v>
      </c>
      <c r="F5810" t="s">
        <v>45</v>
      </c>
      <c r="G5810">
        <v>-368.61130000000003</v>
      </c>
      <c r="H5810">
        <v>-0.05</v>
      </c>
      <c r="I5810">
        <v>-2.090103</v>
      </c>
      <c r="J5810">
        <v>-417.75569999999999</v>
      </c>
      <c r="K5810">
        <v>1.1166529999999999</v>
      </c>
      <c r="L5810">
        <v>26.098880000000001</v>
      </c>
      <c r="M5810">
        <v>0.52453289999999997</v>
      </c>
      <c r="N5810">
        <v>0</v>
      </c>
      <c r="O5810">
        <v>-0.85126299999999899</v>
      </c>
      <c r="P5810">
        <v>0.58239609999999997</v>
      </c>
      <c r="Q5810">
        <v>-4.5342400000000001E-3</v>
      </c>
      <c r="R5810">
        <v>-0.81289250000000002</v>
      </c>
      <c r="S5810">
        <v>2.8697509999999999</v>
      </c>
      <c r="T5810">
        <v>-6.7961339999999995E-2</v>
      </c>
      <c r="U5810">
        <v>-1.6520999999999999</v>
      </c>
      <c r="V5810">
        <v>-6.9547109999999995E-2</v>
      </c>
      <c r="W5810">
        <v>9.0228919999999994E-3</v>
      </c>
      <c r="X5810">
        <v>0.99753789999999998</v>
      </c>
      <c r="Y5810">
        <v>-0.47589340000000002</v>
      </c>
      <c r="Z5810">
        <v>2.019599E-2</v>
      </c>
      <c r="AA5810">
        <v>0.87927109999999997</v>
      </c>
      <c r="AB5810">
        <v>21</v>
      </c>
      <c r="AC5810">
        <v>49.144399999999898</v>
      </c>
      <c r="AD5810">
        <v>-1.1666529999999999</v>
      </c>
      <c r="AE5810">
        <v>-28.188983</v>
      </c>
      <c r="AF5810">
        <v>-27.040223311151699</v>
      </c>
      <c r="AG5810">
        <v>-1.1666529999999999</v>
      </c>
      <c r="AH5810">
        <v>49.758383306228701</v>
      </c>
      <c r="AI5810">
        <v>91.180181117940506</v>
      </c>
      <c r="AJ5810">
        <v>118.52100621133999</v>
      </c>
      <c r="AK5810">
        <v>56.643017797332703</v>
      </c>
      <c r="AL5810">
        <v>89.483019373841699</v>
      </c>
      <c r="AM5810">
        <v>93.988137595467904</v>
      </c>
      <c r="AN5810">
        <v>1.0000000375128999</v>
      </c>
    </row>
    <row r="5811" spans="1:40" x14ac:dyDescent="0.25">
      <c r="A5811" t="str">
        <f>"20190312160804364"</f>
        <v>20190312160804364</v>
      </c>
      <c r="B5811" t="str">
        <f>"1552378084361252"</f>
        <v>1552378084361252</v>
      </c>
      <c r="C5811" t="s">
        <v>40</v>
      </c>
      <c r="D5811">
        <v>5.4431659999999997</v>
      </c>
      <c r="E5811">
        <v>0.29199940000000002</v>
      </c>
      <c r="F5811" t="s">
        <v>95</v>
      </c>
      <c r="G5811">
        <v>-364.1438</v>
      </c>
      <c r="H5811">
        <v>0.96997199999999995</v>
      </c>
      <c r="I5811">
        <v>0.32340099999999999</v>
      </c>
      <c r="J5811">
        <v>-417.63560000000001</v>
      </c>
      <c r="K5811">
        <v>1.1166590000000001</v>
      </c>
      <c r="L5811">
        <v>25.92944</v>
      </c>
      <c r="M5811">
        <v>0.53430369999999905</v>
      </c>
      <c r="N5811">
        <v>0</v>
      </c>
      <c r="O5811">
        <v>-0.84516449999999999</v>
      </c>
      <c r="P5811">
        <v>0.59125229999999995</v>
      </c>
      <c r="Q5811">
        <v>-5.4288469999999997E-3</v>
      </c>
      <c r="R5811">
        <v>-0.80646839999999997</v>
      </c>
      <c r="S5811">
        <v>3.0824889999999998</v>
      </c>
      <c r="T5811">
        <v>-8.4335799999999995E-3</v>
      </c>
      <c r="U5811">
        <v>-1.481995</v>
      </c>
      <c r="V5811">
        <v>-6.89554E-2</v>
      </c>
      <c r="W5811">
        <v>8.1469750000000007E-3</v>
      </c>
      <c r="X5811">
        <v>0.99758650000000004</v>
      </c>
      <c r="Y5811">
        <v>-0.53024359999999904</v>
      </c>
      <c r="Z5811">
        <v>2.4623090000000002E-3</v>
      </c>
      <c r="AA5811">
        <v>0.84784169999999903</v>
      </c>
      <c r="AB5811">
        <v>21</v>
      </c>
      <c r="AC5811">
        <v>53.491799999999998</v>
      </c>
      <c r="AD5811">
        <v>-0.14668700000000001</v>
      </c>
      <c r="AE5811">
        <v>-25.606038999999999</v>
      </c>
      <c r="AF5811">
        <v>-31.531189951954101</v>
      </c>
      <c r="AG5811">
        <v>-0.14668700000000001</v>
      </c>
      <c r="AH5811">
        <v>50.227312559665101</v>
      </c>
      <c r="AI5811">
        <v>90.141718732402396</v>
      </c>
      <c r="AJ5811">
        <v>122.119360967514</v>
      </c>
      <c r="AK5811">
        <v>59.304471870411803</v>
      </c>
      <c r="AL5811">
        <v>89.5332075634429</v>
      </c>
      <c r="AM5811">
        <v>93.954122408514706</v>
      </c>
      <c r="AN5811">
        <v>1.00000002268653</v>
      </c>
    </row>
    <row r="5812" spans="1:40" x14ac:dyDescent="0.25">
      <c r="A5812" t="str">
        <f>"20190312160804387"</f>
        <v>20190312160804387</v>
      </c>
      <c r="B5812" t="str">
        <f>"1552378084381752"</f>
        <v>1552378084381752</v>
      </c>
      <c r="C5812" t="s">
        <v>40</v>
      </c>
      <c r="D5812">
        <v>5.4143350000000003</v>
      </c>
      <c r="E5812">
        <v>0.29276920000000001</v>
      </c>
      <c r="F5812" t="s">
        <v>95</v>
      </c>
      <c r="G5812">
        <v>-362.25130000000001</v>
      </c>
      <c r="H5812">
        <v>1.0558399999999999</v>
      </c>
      <c r="I5812">
        <v>0.32337280000000002</v>
      </c>
      <c r="J5812">
        <v>-417.50799999999998</v>
      </c>
      <c r="K5812">
        <v>1.116655</v>
      </c>
      <c r="L5812">
        <v>25.753910000000001</v>
      </c>
      <c r="M5812">
        <v>0.54448469999999904</v>
      </c>
      <c r="N5812">
        <v>0</v>
      </c>
      <c r="O5812">
        <v>-0.83864119999999998</v>
      </c>
      <c r="P5812">
        <v>0.60022989999999998</v>
      </c>
      <c r="Q5812">
        <v>-6.2548969999999997E-3</v>
      </c>
      <c r="R5812">
        <v>-0.79980319999999905</v>
      </c>
      <c r="S5812">
        <v>3.1116640000000002</v>
      </c>
      <c r="T5812">
        <v>-3.4170149999999998E-3</v>
      </c>
      <c r="U5812">
        <v>-1.4386289999999999</v>
      </c>
      <c r="V5812">
        <v>-6.8032969999999998E-2</v>
      </c>
      <c r="W5812">
        <v>7.3459129999999999E-3</v>
      </c>
      <c r="X5812">
        <v>0.99765599999999999</v>
      </c>
      <c r="Y5812">
        <v>-0.53278389999999998</v>
      </c>
      <c r="Z5812">
        <v>9.9264430000000009E-4</v>
      </c>
      <c r="AA5812">
        <v>0.84625079999999997</v>
      </c>
      <c r="AB5812">
        <v>21</v>
      </c>
      <c r="AC5812">
        <v>55.256700000000002</v>
      </c>
      <c r="AD5812">
        <v>-6.0815000000000001E-2</v>
      </c>
      <c r="AE5812">
        <v>-25.4305372</v>
      </c>
      <c r="AF5812">
        <v>-32.4975061417449</v>
      </c>
      <c r="AG5812">
        <v>-6.0815000000000001E-2</v>
      </c>
      <c r="AH5812">
        <v>51.419060812314299</v>
      </c>
      <c r="AI5812">
        <v>90.057283808425893</v>
      </c>
      <c r="AJ5812">
        <v>122.29341178809599</v>
      </c>
      <c r="AK5812">
        <v>60.827719164188998</v>
      </c>
      <c r="AL5812">
        <v>89.579106390712099</v>
      </c>
      <c r="AM5812">
        <v>93.901120838141907</v>
      </c>
      <c r="AN5812">
        <v>0.99999997089041104</v>
      </c>
    </row>
    <row r="5813" spans="1:40" x14ac:dyDescent="0.25">
      <c r="A5813" t="str">
        <f>"20190312160804409"</f>
        <v>20190312160804409</v>
      </c>
      <c r="B5813" t="str">
        <f>"1552378084401268"</f>
        <v>1552378084401268</v>
      </c>
      <c r="C5813" t="s">
        <v>40</v>
      </c>
      <c r="D5813">
        <v>5.4764350000000004</v>
      </c>
      <c r="E5813">
        <v>0.29430699999999999</v>
      </c>
      <c r="F5813" t="s">
        <v>95</v>
      </c>
      <c r="G5813">
        <v>-360.74419999999998</v>
      </c>
      <c r="H5813">
        <v>1.013736</v>
      </c>
      <c r="I5813">
        <v>0.1666665</v>
      </c>
      <c r="J5813">
        <v>-417.387</v>
      </c>
      <c r="K5813">
        <v>1.116654</v>
      </c>
      <c r="L5813">
        <v>25.591550000000002</v>
      </c>
      <c r="M5813">
        <v>0.55394730000000003</v>
      </c>
      <c r="N5813">
        <v>0</v>
      </c>
      <c r="O5813">
        <v>-0.83242090000000002</v>
      </c>
      <c r="P5813">
        <v>0.60902369999999995</v>
      </c>
      <c r="Q5813">
        <v>-6.4027959999999997E-3</v>
      </c>
      <c r="R5813">
        <v>-0.7931262</v>
      </c>
      <c r="S5813">
        <v>3.122528</v>
      </c>
      <c r="T5813">
        <v>-5.6614880000000001E-3</v>
      </c>
      <c r="U5813">
        <v>-1.407532</v>
      </c>
      <c r="V5813">
        <v>-6.7747619999999995E-2</v>
      </c>
      <c r="W5813">
        <v>7.2114479999999996E-3</v>
      </c>
      <c r="X5813">
        <v>0.99767640000000002</v>
      </c>
      <c r="Y5813">
        <v>-0.53129879999999996</v>
      </c>
      <c r="Z5813">
        <v>1.6394809999999999E-3</v>
      </c>
      <c r="AA5813">
        <v>0.84718300000000002</v>
      </c>
      <c r="AB5813">
        <v>21</v>
      </c>
      <c r="AC5813">
        <v>56.642799999999902</v>
      </c>
      <c r="AD5813">
        <v>-0.102918</v>
      </c>
      <c r="AE5813">
        <v>-25.4248835</v>
      </c>
      <c r="AF5813">
        <v>-33.070116223467203</v>
      </c>
      <c r="AG5813">
        <v>-0.102918</v>
      </c>
      <c r="AH5813">
        <v>52.546909725052302</v>
      </c>
      <c r="AI5813">
        <v>90.094975604574003</v>
      </c>
      <c r="AJ5813">
        <v>122.18403947134099</v>
      </c>
      <c r="AK5813">
        <v>62.087204002122299</v>
      </c>
      <c r="AL5813">
        <v>89.586810872507897</v>
      </c>
      <c r="AM5813">
        <v>93.884729421457195</v>
      </c>
      <c r="AN5813">
        <v>0.99999997205743996</v>
      </c>
    </row>
    <row r="5814" spans="1:40" x14ac:dyDescent="0.25">
      <c r="A5814" t="str">
        <f>"20190312160804420"</f>
        <v>20190312160804420</v>
      </c>
      <c r="B5814" t="str">
        <f>"1552378084411029"</f>
        <v>1552378084411029</v>
      </c>
      <c r="C5814" t="s">
        <v>40</v>
      </c>
      <c r="D5814">
        <v>5.5414190000000003</v>
      </c>
      <c r="E5814">
        <v>0.29512179999999999</v>
      </c>
      <c r="F5814" t="s">
        <v>95</v>
      </c>
      <c r="G5814">
        <v>-360.12290000000002</v>
      </c>
      <c r="H5814">
        <v>0.93268430000000002</v>
      </c>
      <c r="I5814">
        <v>0.32341379999999997</v>
      </c>
      <c r="J5814">
        <v>-417.32650000000001</v>
      </c>
      <c r="K5814">
        <v>1.11664599999999</v>
      </c>
      <c r="L5814">
        <v>25.511959999999998</v>
      </c>
      <c r="M5814">
        <v>0.55859840000000005</v>
      </c>
      <c r="N5814">
        <v>0</v>
      </c>
      <c r="O5814">
        <v>-0.82930700000000002</v>
      </c>
      <c r="P5814">
        <v>0.61377230000000005</v>
      </c>
      <c r="Q5814">
        <v>-6.2210369999999996E-3</v>
      </c>
      <c r="R5814">
        <v>-0.78945849999999995</v>
      </c>
      <c r="S5814">
        <v>3.1282040000000002</v>
      </c>
      <c r="T5814">
        <v>-1.0049819999999999E-2</v>
      </c>
      <c r="U5814">
        <v>-1.380341</v>
      </c>
      <c r="V5814">
        <v>-6.8151870000000003E-2</v>
      </c>
      <c r="W5814">
        <v>7.3897809999999998E-3</v>
      </c>
      <c r="X5814">
        <v>0.99764759999999997</v>
      </c>
      <c r="Y5814">
        <v>-0.53327179999999996</v>
      </c>
      <c r="Z5814">
        <v>2.9121360000000001E-3</v>
      </c>
      <c r="AA5814">
        <v>0.84593890000000005</v>
      </c>
      <c r="AB5814">
        <v>21</v>
      </c>
      <c r="AC5814">
        <v>57.203600000000002</v>
      </c>
      <c r="AD5814">
        <v>-0.18396169999999901</v>
      </c>
      <c r="AE5814">
        <v>-25.188546200000001</v>
      </c>
      <c r="AF5814">
        <v>-33.372408482060898</v>
      </c>
      <c r="AG5814">
        <v>-0.18396169999999901</v>
      </c>
      <c r="AH5814">
        <v>52.848172927749502</v>
      </c>
      <c r="AI5814">
        <v>90.168634607309002</v>
      </c>
      <c r="AJ5814">
        <v>122.271470724323</v>
      </c>
      <c r="AK5814">
        <v>62.503446877767601</v>
      </c>
      <c r="AL5814">
        <v>89.576592887725397</v>
      </c>
      <c r="AM5814">
        <v>93.907950452014404</v>
      </c>
      <c r="AN5814">
        <v>1.0000000100167401</v>
      </c>
    </row>
    <row r="5815" spans="1:40" x14ac:dyDescent="0.25">
      <c r="A5815" t="str">
        <f>"20190312160804432"</f>
        <v>20190312160804432</v>
      </c>
      <c r="B5815" t="str">
        <f>"1552378084421765"</f>
        <v>1552378084421765</v>
      </c>
      <c r="C5815" t="s">
        <v>40</v>
      </c>
      <c r="D5815">
        <v>5.453716</v>
      </c>
      <c r="E5815">
        <v>0.29568489999999997</v>
      </c>
      <c r="F5815" t="s">
        <v>95</v>
      </c>
      <c r="G5815">
        <v>-359.56360000000001</v>
      </c>
      <c r="H5815">
        <v>0.84497579999999906</v>
      </c>
      <c r="I5815">
        <v>0.32344289999999998</v>
      </c>
      <c r="J5815">
        <v>-417.25940000000003</v>
      </c>
      <c r="K5815">
        <v>1.1166370000000001</v>
      </c>
      <c r="L5815">
        <v>25.424410000000002</v>
      </c>
      <c r="M5815">
        <v>0.56371610000000005</v>
      </c>
      <c r="N5815">
        <v>0</v>
      </c>
      <c r="O5815">
        <v>-0.82583680000000004</v>
      </c>
      <c r="P5815">
        <v>0.61908200000000002</v>
      </c>
      <c r="Q5815">
        <v>-6.5108900000000001E-3</v>
      </c>
      <c r="R5815">
        <v>-0.78529939999999998</v>
      </c>
      <c r="S5815">
        <v>3.131348</v>
      </c>
      <c r="T5815">
        <v>-1.472735E-2</v>
      </c>
      <c r="U5815">
        <v>-1.3654790000000001</v>
      </c>
      <c r="V5815">
        <v>-6.8706219999999998E-2</v>
      </c>
      <c r="W5815">
        <v>7.0941490000000001E-3</v>
      </c>
      <c r="X5815">
        <v>0.99761169999999999</v>
      </c>
      <c r="Y5815">
        <v>-0.53171590000000002</v>
      </c>
      <c r="Z5815">
        <v>4.2603839999999999E-3</v>
      </c>
      <c r="AA5815">
        <v>0.84691209999999995</v>
      </c>
      <c r="AB5815">
        <v>21</v>
      </c>
      <c r="AC5815">
        <v>57.695799999999998</v>
      </c>
      <c r="AD5815">
        <v>-0.27166119999999999</v>
      </c>
      <c r="AE5815">
        <v>-25.100967099999998</v>
      </c>
      <c r="AF5815">
        <v>-33.500518500849402</v>
      </c>
      <c r="AG5815">
        <v>-0.27166119999999999</v>
      </c>
      <c r="AH5815">
        <v>53.258159484547598</v>
      </c>
      <c r="AI5815">
        <v>90.247383289001704</v>
      </c>
      <c r="AJ5815">
        <v>122.170768650721</v>
      </c>
      <c r="AK5815">
        <v>62.918916800234598</v>
      </c>
      <c r="AL5815">
        <v>89.593531788669907</v>
      </c>
      <c r="AM5815">
        <v>93.939779505209401</v>
      </c>
      <c r="AN5815">
        <v>0.99999998779680599</v>
      </c>
    </row>
    <row r="5816" spans="1:40" x14ac:dyDescent="0.25">
      <c r="A5816" t="str">
        <f>"20190312160804444"</f>
        <v>20190312160804444</v>
      </c>
      <c r="B5816" t="str">
        <f>"1552378084441811"</f>
        <v>1552378084441811</v>
      </c>
      <c r="C5816" t="s">
        <v>40</v>
      </c>
      <c r="D5816">
        <v>5.4949579999999996</v>
      </c>
      <c r="E5816">
        <v>0.29716819999999999</v>
      </c>
      <c r="F5816" t="s">
        <v>95</v>
      </c>
      <c r="G5816">
        <v>-358.4452</v>
      </c>
      <c r="H5816">
        <v>0.81993280000000002</v>
      </c>
      <c r="I5816">
        <v>0.166731399999999</v>
      </c>
      <c r="J5816">
        <v>-417.19240000000002</v>
      </c>
      <c r="K5816">
        <v>1.116622</v>
      </c>
      <c r="L5816">
        <v>25.338529999999999</v>
      </c>
      <c r="M5816">
        <v>0.56875220000000004</v>
      </c>
      <c r="N5816">
        <v>0</v>
      </c>
      <c r="O5816">
        <v>-0.82237680000000002</v>
      </c>
      <c r="P5816">
        <v>0.62421729999999997</v>
      </c>
      <c r="Q5816">
        <v>-6.8269699999999999E-3</v>
      </c>
      <c r="R5816">
        <v>-0.78122139999999995</v>
      </c>
      <c r="S5816">
        <v>3.1369020000000001</v>
      </c>
      <c r="T5816">
        <v>-1.5824910000000001E-2</v>
      </c>
      <c r="U5816">
        <v>-1.347137</v>
      </c>
      <c r="V5816">
        <v>-6.9146869999999999E-2</v>
      </c>
      <c r="W5816">
        <v>6.7732460000000001E-3</v>
      </c>
      <c r="X5816">
        <v>0.99758349999999996</v>
      </c>
      <c r="Y5816">
        <v>-0.53126049999999903</v>
      </c>
      <c r="Z5816">
        <v>4.5707309999999998E-3</v>
      </c>
      <c r="AA5816">
        <v>0.84719619999999995</v>
      </c>
      <c r="AB5816">
        <v>21</v>
      </c>
      <c r="AC5816">
        <v>58.747199999999999</v>
      </c>
      <c r="AD5816">
        <v>-0.29668919999999899</v>
      </c>
      <c r="AE5816">
        <v>-25.171798599999999</v>
      </c>
      <c r="AF5816">
        <v>-33.9987806964184</v>
      </c>
      <c r="AG5816">
        <v>-0.29668919999999899</v>
      </c>
      <c r="AH5816">
        <v>54.1180175217401</v>
      </c>
      <c r="AI5816">
        <v>90.265975966162799</v>
      </c>
      <c r="AJ5816">
        <v>122.138436676095</v>
      </c>
      <c r="AK5816">
        <v>63.912165773097698</v>
      </c>
      <c r="AL5816">
        <v>89.611918624389006</v>
      </c>
      <c r="AM5816">
        <v>93.965078821577706</v>
      </c>
      <c r="AN5816">
        <v>1.00000000298221</v>
      </c>
    </row>
    <row r="5817" spans="1:40" x14ac:dyDescent="0.25">
      <c r="A5817" t="str">
        <f>"20190312160804456"</f>
        <v>20190312160804456</v>
      </c>
      <c r="B5817" t="str">
        <f>"1552378084451571"</f>
        <v>1552378084451571</v>
      </c>
      <c r="C5817" t="s">
        <v>40</v>
      </c>
      <c r="D5817">
        <v>5.4419639999999996</v>
      </c>
      <c r="E5817">
        <v>0.29764210000000002</v>
      </c>
      <c r="F5817" t="s">
        <v>95</v>
      </c>
      <c r="G5817">
        <v>-358.20699999999999</v>
      </c>
      <c r="H5817">
        <v>0.65670669999999898</v>
      </c>
      <c r="I5817">
        <v>0.25473309999999999</v>
      </c>
      <c r="J5817">
        <v>-417.12279999999998</v>
      </c>
      <c r="K5817">
        <v>1.1166100000000001</v>
      </c>
      <c r="L5817">
        <v>25.25009</v>
      </c>
      <c r="M5817">
        <v>0.57393269999999996</v>
      </c>
      <c r="N5817">
        <v>0</v>
      </c>
      <c r="O5817">
        <v>-0.81876949999999904</v>
      </c>
      <c r="P5817">
        <v>0.62962940000000001</v>
      </c>
      <c r="Q5817">
        <v>-7.2295429999999997E-3</v>
      </c>
      <c r="R5817">
        <v>-0.77686219999999995</v>
      </c>
      <c r="S5817">
        <v>3.1364749999999999</v>
      </c>
      <c r="T5817">
        <v>-2.445543E-2</v>
      </c>
      <c r="U5817">
        <v>-1.333801</v>
      </c>
      <c r="V5817">
        <v>-6.9774959999999997E-2</v>
      </c>
      <c r="W5817">
        <v>6.3631740000000001E-3</v>
      </c>
      <c r="X5817">
        <v>0.99754240000000005</v>
      </c>
      <c r="Y5817">
        <v>-0.52889819999999999</v>
      </c>
      <c r="Z5817">
        <v>7.0536940000000001E-3</v>
      </c>
      <c r="AA5817">
        <v>0.84865590000000002</v>
      </c>
      <c r="AB5817">
        <v>21</v>
      </c>
      <c r="AC5817">
        <v>58.915799999999898</v>
      </c>
      <c r="AD5817">
        <v>-0.45990330000000001</v>
      </c>
      <c r="AE5817">
        <v>-24.995356899999901</v>
      </c>
      <c r="AF5817">
        <v>-33.8947479756809</v>
      </c>
      <c r="AG5817">
        <v>-0.45990330000000001</v>
      </c>
      <c r="AH5817">
        <v>54.282247802924203</v>
      </c>
      <c r="AI5817">
        <v>90.411749092952803</v>
      </c>
      <c r="AJ5817">
        <v>121.981348602582</v>
      </c>
      <c r="AK5817">
        <v>63.997092730204102</v>
      </c>
      <c r="AL5817">
        <v>89.635414502302098</v>
      </c>
      <c r="AM5817">
        <v>94.001143158244901</v>
      </c>
      <c r="AN5817">
        <v>0.99999993741205595</v>
      </c>
    </row>
    <row r="5818" spans="1:40" x14ac:dyDescent="0.25">
      <c r="A5818" t="str">
        <f>"20190312160804468"</f>
        <v>20190312160804468</v>
      </c>
      <c r="B5818" t="str">
        <f>"1552378084461332"</f>
        <v>1552378084461332</v>
      </c>
      <c r="C5818" t="s">
        <v>40</v>
      </c>
      <c r="D5818">
        <v>5.4724089999999999</v>
      </c>
      <c r="E5818">
        <v>0.29825259999999998</v>
      </c>
      <c r="F5818" t="s">
        <v>95</v>
      </c>
      <c r="G5818">
        <v>-357.52100000000002</v>
      </c>
      <c r="H5818">
        <v>0.67171320000000001</v>
      </c>
      <c r="I5818">
        <v>0.3234997</v>
      </c>
      <c r="J5818">
        <v>-417.05459999999999</v>
      </c>
      <c r="K5818">
        <v>1.1165940000000001</v>
      </c>
      <c r="L5818">
        <v>25.164919999999999</v>
      </c>
      <c r="M5818">
        <v>0.57893509999999904</v>
      </c>
      <c r="N5818">
        <v>0</v>
      </c>
      <c r="O5818">
        <v>-0.81524010000000002</v>
      </c>
      <c r="P5818">
        <v>0.6343879</v>
      </c>
      <c r="Q5818">
        <v>-7.4729339999999997E-3</v>
      </c>
      <c r="R5818">
        <v>-0.77297899999999997</v>
      </c>
      <c r="S5818">
        <v>3.1427610000000001</v>
      </c>
      <c r="T5818">
        <v>-2.345908E-2</v>
      </c>
      <c r="U5818">
        <v>-1.314362</v>
      </c>
      <c r="V5818">
        <v>-6.9789799999999999E-2</v>
      </c>
      <c r="W5818">
        <v>6.1219000000000004E-3</v>
      </c>
      <c r="X5818">
        <v>0.99754290000000001</v>
      </c>
      <c r="Y5818">
        <v>-0.52877369999999901</v>
      </c>
      <c r="Z5818">
        <v>6.7550580000000004E-3</v>
      </c>
      <c r="AA5818">
        <v>0.84873589999999999</v>
      </c>
      <c r="AB5818">
        <v>21</v>
      </c>
      <c r="AC5818">
        <v>59.5336</v>
      </c>
      <c r="AD5818">
        <v>-0.44488080000000002</v>
      </c>
      <c r="AE5818">
        <v>-24.841420299999999</v>
      </c>
      <c r="AF5818">
        <v>-34.154702050137203</v>
      </c>
      <c r="AG5818">
        <v>-0.44488080000000002</v>
      </c>
      <c r="AH5818">
        <v>54.7211678396325</v>
      </c>
      <c r="AI5818">
        <v>90.395151074602097</v>
      </c>
      <c r="AJ5818">
        <v>121.970714146546</v>
      </c>
      <c r="AK5818">
        <v>64.506959320627402</v>
      </c>
      <c r="AL5818">
        <v>89.649238764354806</v>
      </c>
      <c r="AM5818">
        <v>94.001989372156302</v>
      </c>
      <c r="AN5818">
        <v>0.99999996559202897</v>
      </c>
    </row>
    <row r="5819" spans="1:40" x14ac:dyDescent="0.25">
      <c r="A5819" t="str">
        <f>"20190312160804479"</f>
        <v>20190312160804479</v>
      </c>
      <c r="B5819" t="str">
        <f>"1552378084471091"</f>
        <v>1552378084471091</v>
      </c>
      <c r="C5819" t="s">
        <v>40</v>
      </c>
      <c r="D5819">
        <v>5.4549629999999896</v>
      </c>
      <c r="E5819">
        <v>0.298929099999999</v>
      </c>
      <c r="F5819" t="s">
        <v>95</v>
      </c>
      <c r="G5819">
        <v>-356.45699999999999</v>
      </c>
      <c r="H5819">
        <v>0.69089690000000004</v>
      </c>
      <c r="I5819">
        <v>0.1667747</v>
      </c>
      <c r="J5819">
        <v>-416.98419999999999</v>
      </c>
      <c r="K5819">
        <v>1.1165780000000001</v>
      </c>
      <c r="L5819">
        <v>25.077909999999999</v>
      </c>
      <c r="M5819">
        <v>0.58404500000000004</v>
      </c>
      <c r="N5819">
        <v>0</v>
      </c>
      <c r="O5819">
        <v>-0.81158730000000001</v>
      </c>
      <c r="P5819">
        <v>0.63948680000000002</v>
      </c>
      <c r="Q5819">
        <v>-7.6922539999999999E-3</v>
      </c>
      <c r="R5819">
        <v>-0.76876369999999905</v>
      </c>
      <c r="S5819">
        <v>3.1469119999999999</v>
      </c>
      <c r="T5819">
        <v>-2.210701E-2</v>
      </c>
      <c r="U5819">
        <v>-1.298187</v>
      </c>
      <c r="V5819">
        <v>-7.0118570000000005E-2</v>
      </c>
      <c r="W5819">
        <v>5.9001740000000002E-3</v>
      </c>
      <c r="X5819">
        <v>0.9975212</v>
      </c>
      <c r="Y5819">
        <v>-0.52756380000000003</v>
      </c>
      <c r="Z5819">
        <v>6.3530180000000002E-3</v>
      </c>
      <c r="AA5819">
        <v>0.84949169999999996</v>
      </c>
      <c r="AB5819">
        <v>21</v>
      </c>
      <c r="AC5819">
        <v>60.527199999999901</v>
      </c>
      <c r="AD5819">
        <v>-0.42568109999999998</v>
      </c>
      <c r="AE5819">
        <v>-24.911135300000002</v>
      </c>
      <c r="AF5819">
        <v>-34.576180735958602</v>
      </c>
      <c r="AG5819">
        <v>-0.42568109999999998</v>
      </c>
      <c r="AH5819">
        <v>55.571862859573798</v>
      </c>
      <c r="AI5819">
        <v>90.3726396914209</v>
      </c>
      <c r="AJ5819">
        <v>121.889403916478</v>
      </c>
      <c r="AK5819">
        <v>65.451702960028896</v>
      </c>
      <c r="AL5819">
        <v>89.661942964968105</v>
      </c>
      <c r="AM5819">
        <v>94.020867675434303</v>
      </c>
      <c r="AN5819">
        <v>0.99999998518075695</v>
      </c>
    </row>
    <row r="5820" spans="1:40" x14ac:dyDescent="0.25">
      <c r="A5820" t="str">
        <f>"20190312160804490"</f>
        <v>20190312160804490</v>
      </c>
      <c r="B5820" t="str">
        <f>"1552378084481827"</f>
        <v>1552378084481827</v>
      </c>
      <c r="C5820" t="s">
        <v>40</v>
      </c>
      <c r="D5820">
        <v>5.5686419999999996</v>
      </c>
      <c r="E5820">
        <v>0.299533099999999</v>
      </c>
      <c r="F5820" t="s">
        <v>95</v>
      </c>
      <c r="G5820">
        <v>-356.06909999999999</v>
      </c>
      <c r="H5820">
        <v>0.67540919999999904</v>
      </c>
      <c r="I5820">
        <v>0.32031300000000001</v>
      </c>
      <c r="J5820">
        <v>-416.92020000000002</v>
      </c>
      <c r="K5820">
        <v>1.1165639999999999</v>
      </c>
      <c r="L5820">
        <v>24.99963</v>
      </c>
      <c r="M5820">
        <v>0.58863789999999905</v>
      </c>
      <c r="N5820">
        <v>0</v>
      </c>
      <c r="O5820">
        <v>-0.80826229999999999</v>
      </c>
      <c r="P5820">
        <v>0.6439551</v>
      </c>
      <c r="Q5820">
        <v>-8.1721999999999993E-3</v>
      </c>
      <c r="R5820">
        <v>-0.76501989999999997</v>
      </c>
      <c r="S5820">
        <v>3.1513369999999998</v>
      </c>
      <c r="T5820">
        <v>-2.2823099999999999E-2</v>
      </c>
      <c r="U5820">
        <v>-1.2807919999999999</v>
      </c>
      <c r="V5820">
        <v>-7.0268590000000006E-2</v>
      </c>
      <c r="W5820">
        <v>5.4195299999999997E-3</v>
      </c>
      <c r="X5820">
        <v>0.99751339999999999</v>
      </c>
      <c r="Y5820">
        <v>-0.52718219999999905</v>
      </c>
      <c r="Z5820">
        <v>6.5491339999999999E-3</v>
      </c>
      <c r="AA5820">
        <v>0.84972700000000001</v>
      </c>
      <c r="AB5820">
        <v>21</v>
      </c>
      <c r="AC5820">
        <v>60.851100000000002</v>
      </c>
      <c r="AD5820">
        <v>-0.44115480000000001</v>
      </c>
      <c r="AE5820">
        <v>-24.679317000000001</v>
      </c>
      <c r="AF5820">
        <v>-34.658673510102503</v>
      </c>
      <c r="AG5820">
        <v>-0.44115480000000001</v>
      </c>
      <c r="AH5820">
        <v>55.770173036775901</v>
      </c>
      <c r="AI5820">
        <v>90.384938284200899</v>
      </c>
      <c r="AJ5820">
        <v>121.859106557098</v>
      </c>
      <c r="AK5820">
        <v>65.6637683017764</v>
      </c>
      <c r="AL5820">
        <v>89.689482288528595</v>
      </c>
      <c r="AM5820">
        <v>94.029473494414304</v>
      </c>
      <c r="AN5820">
        <v>1.0000000146127801</v>
      </c>
    </row>
    <row r="5821" spans="1:40" x14ac:dyDescent="0.25">
      <c r="A5821" t="str">
        <f>"20190312160804501"</f>
        <v>20190312160804501</v>
      </c>
      <c r="B5821" t="str">
        <f>"1552378084491587"</f>
        <v>1552378084491587</v>
      </c>
      <c r="C5821" t="s">
        <v>40</v>
      </c>
      <c r="D5821">
        <v>5.6149469999999999</v>
      </c>
      <c r="E5821">
        <v>0.30030420000000002</v>
      </c>
      <c r="F5821" t="s">
        <v>95</v>
      </c>
      <c r="G5821">
        <v>-355.39710000000002</v>
      </c>
      <c r="H5821">
        <v>0.59552039999999995</v>
      </c>
      <c r="I5821">
        <v>0.32352639999999999</v>
      </c>
      <c r="J5821">
        <v>-416.85939999999999</v>
      </c>
      <c r="K5821">
        <v>1.1165480000000001</v>
      </c>
      <c r="L5821">
        <v>24.926480000000002</v>
      </c>
      <c r="M5821">
        <v>0.59294179999999996</v>
      </c>
      <c r="N5821">
        <v>0</v>
      </c>
      <c r="O5821">
        <v>-0.8051102</v>
      </c>
      <c r="P5821">
        <v>0.64802990000000005</v>
      </c>
      <c r="Q5821">
        <v>-8.8068350000000007E-3</v>
      </c>
      <c r="R5821">
        <v>-0.76156400000000002</v>
      </c>
      <c r="S5821">
        <v>3.1550289999999999</v>
      </c>
      <c r="T5821">
        <v>-2.6720170000000001E-2</v>
      </c>
      <c r="U5821">
        <v>-1.265442</v>
      </c>
      <c r="V5821">
        <v>-7.0265969999999997E-2</v>
      </c>
      <c r="W5821">
        <v>4.7862979999999996E-3</v>
      </c>
      <c r="X5821">
        <v>0.99751679999999998</v>
      </c>
      <c r="Y5821">
        <v>-0.52654179999999995</v>
      </c>
      <c r="Z5821">
        <v>7.6555679999999997E-3</v>
      </c>
      <c r="AA5821">
        <v>0.85011479999999995</v>
      </c>
      <c r="AB5821">
        <v>21</v>
      </c>
      <c r="AC5821">
        <v>61.4622999999999</v>
      </c>
      <c r="AD5821">
        <v>-0.52102759999999904</v>
      </c>
      <c r="AE5821">
        <v>-24.602953599999999</v>
      </c>
      <c r="AF5821">
        <v>-34.897440639128902</v>
      </c>
      <c r="AG5821">
        <v>-0.52102759999999904</v>
      </c>
      <c r="AH5821">
        <v>56.254292235269403</v>
      </c>
      <c r="AI5821">
        <v>90.450940808053801</v>
      </c>
      <c r="AJ5821">
        <v>121.813462431495</v>
      </c>
      <c r="AK5821">
        <v>66.201572698936602</v>
      </c>
      <c r="AL5821">
        <v>89.725764275498904</v>
      </c>
      <c r="AM5821">
        <v>94.029310059758103</v>
      </c>
      <c r="AN5821">
        <v>0.99999999073541201</v>
      </c>
    </row>
    <row r="5822" spans="1:40" x14ac:dyDescent="0.25">
      <c r="A5822" t="str">
        <f>"20190312160804512"</f>
        <v>20190312160804512</v>
      </c>
      <c r="B5822" t="str">
        <f>"1552378084501347"</f>
        <v>1552378084501347</v>
      </c>
      <c r="C5822" t="s">
        <v>40</v>
      </c>
      <c r="D5822">
        <v>5.5624890000000002</v>
      </c>
      <c r="E5822">
        <v>0.30030420000000002</v>
      </c>
      <c r="F5822" t="s">
        <v>96</v>
      </c>
      <c r="G5822">
        <v>-350.39</v>
      </c>
      <c r="H5822">
        <v>0.45271549999999999</v>
      </c>
      <c r="I5822">
        <v>-1.4443539999999999</v>
      </c>
      <c r="J5822">
        <v>-416.79379999999998</v>
      </c>
      <c r="K5822">
        <v>1.1165309999999999</v>
      </c>
      <c r="L5822">
        <v>24.847989999999999</v>
      </c>
      <c r="M5822">
        <v>0.59754980000000002</v>
      </c>
      <c r="N5822">
        <v>0</v>
      </c>
      <c r="O5822">
        <v>-0.80169599999999996</v>
      </c>
      <c r="P5822">
        <v>0.65223909999999996</v>
      </c>
      <c r="Q5822">
        <v>-9.1949609999999998E-3</v>
      </c>
      <c r="R5822">
        <v>-0.75795769999999996</v>
      </c>
      <c r="S5822">
        <v>3.1570130000000001</v>
      </c>
      <c r="T5822">
        <v>-3.1529189999999999E-2</v>
      </c>
      <c r="U5822">
        <v>-1.252502</v>
      </c>
      <c r="V5822">
        <v>-7.0067740000000003E-2</v>
      </c>
      <c r="W5822">
        <v>4.4034019999999998E-3</v>
      </c>
      <c r="X5822">
        <v>0.99753250000000004</v>
      </c>
      <c r="Y5822">
        <v>-0.52484299999999995</v>
      </c>
      <c r="Z5822">
        <v>9.0156639999999996E-3</v>
      </c>
      <c r="AA5822">
        <v>0.85115130000000006</v>
      </c>
      <c r="AB5822">
        <v>21</v>
      </c>
      <c r="AC5822">
        <v>66.403799999999904</v>
      </c>
      <c r="AD5822">
        <v>-0.663815499999999</v>
      </c>
      <c r="AE5822">
        <v>-26.292344</v>
      </c>
      <c r="AF5822">
        <v>-37.5255204941041</v>
      </c>
      <c r="AG5822">
        <v>-0.663815499999999</v>
      </c>
      <c r="AH5822">
        <v>60.759411873835901</v>
      </c>
      <c r="AI5822">
        <v>90.532571504669406</v>
      </c>
      <c r="AJ5822">
        <v>121.69982449256599</v>
      </c>
      <c r="AK5822">
        <v>71.416464982704795</v>
      </c>
      <c r="AL5822">
        <v>89.747702830356303</v>
      </c>
      <c r="AM5822">
        <v>94.017917072293699</v>
      </c>
      <c r="AN5822">
        <v>0.99999998334706497</v>
      </c>
    </row>
    <row r="5823" spans="1:40" x14ac:dyDescent="0.25">
      <c r="A5823" t="str">
        <f>"20190312160804523"</f>
        <v>20190312160804523</v>
      </c>
      <c r="B5823" t="str">
        <f>"1552378084511107"</f>
        <v>1552378084511107</v>
      </c>
      <c r="C5823" t="s">
        <v>40</v>
      </c>
      <c r="D5823">
        <v>5.5109890000000004</v>
      </c>
      <c r="E5823">
        <v>0.31583870000000003</v>
      </c>
      <c r="F5823" t="s">
        <v>96</v>
      </c>
      <c r="G5823">
        <v>-350.39</v>
      </c>
      <c r="H5823">
        <v>0.43258489999999999</v>
      </c>
      <c r="I5823">
        <v>-1.070357</v>
      </c>
      <c r="J5823">
        <v>-416.7303</v>
      </c>
      <c r="K5823">
        <v>1.1165160000000001</v>
      </c>
      <c r="L5823">
        <v>24.77338</v>
      </c>
      <c r="M5823">
        <v>0.601944699999999</v>
      </c>
      <c r="N5823">
        <v>0</v>
      </c>
      <c r="O5823">
        <v>-0.79840149999999999</v>
      </c>
      <c r="P5823">
        <v>0.65597669999999997</v>
      </c>
      <c r="Q5823">
        <v>-9.8613190000000003E-3</v>
      </c>
      <c r="R5823">
        <v>-0.75471709999999903</v>
      </c>
      <c r="S5823">
        <v>3.1640009999999998</v>
      </c>
      <c r="T5823">
        <v>-3.2588599999999898E-2</v>
      </c>
      <c r="U5823">
        <v>-1.234955</v>
      </c>
      <c r="V5823">
        <v>-6.9510929999999999E-2</v>
      </c>
      <c r="W5823">
        <v>3.747757E-3</v>
      </c>
      <c r="X5823">
        <v>0.99757419999999997</v>
      </c>
      <c r="Y5823">
        <v>-0.52489770000000002</v>
      </c>
      <c r="Z5823">
        <v>9.2989160000000008E-3</v>
      </c>
      <c r="AA5823">
        <v>0.85111460000000005</v>
      </c>
      <c r="AB5823">
        <v>21</v>
      </c>
      <c r="AC5823">
        <v>66.340299999999999</v>
      </c>
      <c r="AD5823">
        <v>-0.68393110000000001</v>
      </c>
      <c r="AE5823">
        <v>-25.843737000000001</v>
      </c>
      <c r="AF5823">
        <v>-37.410313555991898</v>
      </c>
      <c r="AG5823">
        <v>-0.68393110000000001</v>
      </c>
      <c r="AH5823">
        <v>60.5678726045236</v>
      </c>
      <c r="AI5823">
        <v>90.550431620222398</v>
      </c>
      <c r="AJ5823">
        <v>121.70193993188801</v>
      </c>
      <c r="AK5823">
        <v>71.193163393299102</v>
      </c>
      <c r="AL5823">
        <v>89.785268849274303</v>
      </c>
      <c r="AM5823">
        <v>93.985924985950106</v>
      </c>
      <c r="AN5823">
        <v>1.00000004978881</v>
      </c>
    </row>
    <row r="5824" spans="1:40" x14ac:dyDescent="0.25">
      <c r="A5824" t="str">
        <f>"20190312160804535"</f>
        <v>20190312160804535</v>
      </c>
      <c r="B5824" t="str">
        <f>"1552378084531281"</f>
        <v>1552378084531281</v>
      </c>
      <c r="C5824" t="s">
        <v>40</v>
      </c>
      <c r="D5824">
        <v>5.4994300000000003</v>
      </c>
      <c r="E5824">
        <v>0.31705339999999999</v>
      </c>
      <c r="F5824" t="s">
        <v>97</v>
      </c>
      <c r="G5824">
        <v>-369.70839999999998</v>
      </c>
      <c r="H5824">
        <v>7.9985639999999997E-2</v>
      </c>
      <c r="I5824">
        <v>4.9062260000000002</v>
      </c>
      <c r="J5824">
        <v>-416.66079999999999</v>
      </c>
      <c r="K5824">
        <v>1.1164989999999999</v>
      </c>
      <c r="L5824">
        <v>24.691890000000001</v>
      </c>
      <c r="M5824">
        <v>0.60672890000000002</v>
      </c>
      <c r="N5824">
        <v>0</v>
      </c>
      <c r="O5824">
        <v>-0.79477189999999998</v>
      </c>
      <c r="P5824">
        <v>0.65997989999999995</v>
      </c>
      <c r="Q5824">
        <v>-9.7696999999999992E-3</v>
      </c>
      <c r="R5824">
        <v>-0.75121959999999999</v>
      </c>
      <c r="S5824">
        <v>3.0766909999999998</v>
      </c>
      <c r="T5824">
        <v>-6.7821149999999997E-2</v>
      </c>
      <c r="U5824">
        <v>-1.2999270000000001</v>
      </c>
      <c r="V5824">
        <v>-6.8824469999999999E-2</v>
      </c>
      <c r="W5824">
        <v>3.8526599999999999E-3</v>
      </c>
      <c r="X5824">
        <v>0.99762139999999999</v>
      </c>
      <c r="Y5824">
        <v>-0.49581750000000002</v>
      </c>
      <c r="Z5824">
        <v>1.940689E-2</v>
      </c>
      <c r="AA5824">
        <v>0.86820989999999998</v>
      </c>
      <c r="AB5824">
        <v>21</v>
      </c>
      <c r="AC5824">
        <v>46.952399999999997</v>
      </c>
      <c r="AD5824">
        <v>-1.0365133599999901</v>
      </c>
      <c r="AE5824">
        <v>-19.785664000000001</v>
      </c>
      <c r="AF5824">
        <v>-25.304197068217999</v>
      </c>
      <c r="AG5824">
        <v>-1.0365133599999901</v>
      </c>
      <c r="AH5824">
        <v>44.198988559300098</v>
      </c>
      <c r="AI5824">
        <v>91.165909680941397</v>
      </c>
      <c r="AJ5824">
        <v>119.791406877009</v>
      </c>
      <c r="AK5824">
        <v>50.940429315797999</v>
      </c>
      <c r="AL5824">
        <v>89.779258307985003</v>
      </c>
      <c r="AM5824">
        <v>93.946500583813702</v>
      </c>
      <c r="AN5824">
        <v>1.0000000541989</v>
      </c>
    </row>
    <row r="5825" spans="1:40" x14ac:dyDescent="0.25">
      <c r="A5825" t="str">
        <f>"20190312160804545"</f>
        <v>20190312160804545</v>
      </c>
      <c r="B5825" t="str">
        <f>"1552378084541042"</f>
        <v>1552378084541042</v>
      </c>
      <c r="C5825" t="s">
        <v>40</v>
      </c>
      <c r="D5825">
        <v>5.6146349999999998</v>
      </c>
      <c r="E5825">
        <v>0.31705339999999999</v>
      </c>
      <c r="F5825" t="s">
        <v>45</v>
      </c>
      <c r="G5825">
        <v>-362.6524</v>
      </c>
      <c r="H5825">
        <v>-0.05</v>
      </c>
      <c r="I5825">
        <v>2.0406040000000001</v>
      </c>
      <c r="J5825">
        <v>-416.59370000000001</v>
      </c>
      <c r="K5825">
        <v>1.116484</v>
      </c>
      <c r="L5825">
        <v>24.61487</v>
      </c>
      <c r="M5825">
        <v>0.61126829999999999</v>
      </c>
      <c r="N5825">
        <v>0</v>
      </c>
      <c r="O5825">
        <v>-0.79128580000000004</v>
      </c>
      <c r="P5825">
        <v>0.66339139999999996</v>
      </c>
      <c r="Q5825">
        <v>-9.8759079999999992E-3</v>
      </c>
      <c r="R5825">
        <v>-0.74820730000000002</v>
      </c>
      <c r="S5825">
        <v>3.076111</v>
      </c>
      <c r="T5825">
        <v>-6.6439269999999995E-2</v>
      </c>
      <c r="U5825">
        <v>-1.2901309999999999</v>
      </c>
      <c r="V5825">
        <v>-6.7652790000000004E-2</v>
      </c>
      <c r="W5825">
        <v>3.7673070000000001E-3</v>
      </c>
      <c r="X5825">
        <v>0.99770179999999997</v>
      </c>
      <c r="Y5825">
        <v>-0.4931431</v>
      </c>
      <c r="Z5825">
        <v>1.8970810000000001E-2</v>
      </c>
      <c r="AA5825">
        <v>0.86974130000000005</v>
      </c>
      <c r="AB5825">
        <v>21</v>
      </c>
      <c r="AC5825">
        <v>53.941299999999998</v>
      </c>
      <c r="AD5825">
        <v>-1.1664840000000001</v>
      </c>
      <c r="AE5825">
        <v>-22.574266000000001</v>
      </c>
      <c r="AF5825">
        <v>-28.875707202281301</v>
      </c>
      <c r="AG5825">
        <v>-1.1664840000000001</v>
      </c>
      <c r="AH5825">
        <v>50.820617060721197</v>
      </c>
      <c r="AI5825">
        <v>91.143274240542695</v>
      </c>
      <c r="AJ5825">
        <v>119.60475466511799</v>
      </c>
      <c r="AK5825">
        <v>58.462828102877602</v>
      </c>
      <c r="AL5825">
        <v>89.784148695414302</v>
      </c>
      <c r="AM5825">
        <v>93.879209910736094</v>
      </c>
      <c r="AN5825">
        <v>0.99999998716002803</v>
      </c>
    </row>
    <row r="5826" spans="1:40" x14ac:dyDescent="0.25">
      <c r="A5826" t="str">
        <f>"20190312160804556"</f>
        <v>20190312160804556</v>
      </c>
      <c r="B5826" t="str">
        <f>"1552378084551777"</f>
        <v>1552378084551777</v>
      </c>
      <c r="C5826" t="s">
        <v>40</v>
      </c>
      <c r="D5826">
        <v>5.5036250000000004</v>
      </c>
      <c r="E5826">
        <v>0.3172914</v>
      </c>
      <c r="F5826" t="s">
        <v>97</v>
      </c>
      <c r="G5826">
        <v>-368.75599999999997</v>
      </c>
      <c r="H5826">
        <v>7.9985890000000004E-2</v>
      </c>
      <c r="I5826">
        <v>4.8090519999999897</v>
      </c>
      <c r="J5826">
        <v>-416.53539999999998</v>
      </c>
      <c r="K5826">
        <v>1.116471</v>
      </c>
      <c r="L5826">
        <v>24.54813</v>
      </c>
      <c r="M5826">
        <v>0.61519099999999904</v>
      </c>
      <c r="N5826">
        <v>0</v>
      </c>
      <c r="O5826">
        <v>-0.78823999999999905</v>
      </c>
      <c r="P5826">
        <v>0.66637069999999998</v>
      </c>
      <c r="Q5826">
        <v>-9.8364990000000003E-3</v>
      </c>
      <c r="R5826">
        <v>-0.74555609999999894</v>
      </c>
      <c r="S5826">
        <v>3.0821230000000002</v>
      </c>
      <c r="T5826">
        <v>-6.6780210000000007E-2</v>
      </c>
      <c r="U5826">
        <v>-1.276062</v>
      </c>
      <c r="V5826">
        <v>-6.6677E-2</v>
      </c>
      <c r="W5826">
        <v>3.8235729999999998E-3</v>
      </c>
      <c r="X5826">
        <v>0.99776730000000002</v>
      </c>
      <c r="Y5826">
        <v>-0.49280970000000002</v>
      </c>
      <c r="Z5826">
        <v>1.9024570000000001E-2</v>
      </c>
      <c r="AA5826">
        <v>0.86992909999999901</v>
      </c>
      <c r="AB5826">
        <v>21</v>
      </c>
      <c r="AC5826">
        <v>47.779400000000003</v>
      </c>
      <c r="AD5826">
        <v>-1.0364851100000001</v>
      </c>
      <c r="AE5826">
        <v>-19.739077999999999</v>
      </c>
      <c r="AF5826">
        <v>-25.510854765923199</v>
      </c>
      <c r="AG5826">
        <v>-1.0364851100000001</v>
      </c>
      <c r="AH5826">
        <v>44.939417506853403</v>
      </c>
      <c r="AI5826">
        <v>91.149060705467406</v>
      </c>
      <c r="AJ5826">
        <v>119.582369693806</v>
      </c>
      <c r="AK5826">
        <v>51.685870971925802</v>
      </c>
      <c r="AL5826">
        <v>89.780924873591403</v>
      </c>
      <c r="AM5826">
        <v>93.823175042791902</v>
      </c>
      <c r="AN5826">
        <v>1.0000000134943801</v>
      </c>
    </row>
    <row r="5827" spans="1:40" x14ac:dyDescent="0.25">
      <c r="A5827" t="str">
        <f>"20190312160804566"</f>
        <v>20190312160804566</v>
      </c>
      <c r="B5827" t="str">
        <f>"1552378084561550"</f>
        <v>1552378084561550</v>
      </c>
      <c r="C5827" t="s">
        <v>40</v>
      </c>
      <c r="D5827">
        <v>5.5495910000000004</v>
      </c>
      <c r="E5827">
        <v>0.31778729999999999</v>
      </c>
      <c r="F5827" t="s">
        <v>45</v>
      </c>
      <c r="G5827">
        <v>-360.30680000000001</v>
      </c>
      <c r="H5827">
        <v>-0.05</v>
      </c>
      <c r="I5827">
        <v>1.496048</v>
      </c>
      <c r="J5827">
        <v>-416.46690000000001</v>
      </c>
      <c r="K5827">
        <v>1.116458</v>
      </c>
      <c r="L5827">
        <v>24.471039999999999</v>
      </c>
      <c r="M5827">
        <v>0.61973420000000001</v>
      </c>
      <c r="N5827">
        <v>0</v>
      </c>
      <c r="O5827">
        <v>-0.78467330000000002</v>
      </c>
      <c r="P5827">
        <v>0.6698366</v>
      </c>
      <c r="Q5827">
        <v>-1.010044E-2</v>
      </c>
      <c r="R5827">
        <v>-0.742440199999999</v>
      </c>
      <c r="S5827">
        <v>3.085693</v>
      </c>
      <c r="T5827">
        <v>-6.4013239999999999E-2</v>
      </c>
      <c r="U5827">
        <v>-1.265045</v>
      </c>
      <c r="V5827">
        <v>-6.5559430000000002E-2</v>
      </c>
      <c r="W5827">
        <v>3.5789569999999998E-3</v>
      </c>
      <c r="X5827">
        <v>0.99784229999999996</v>
      </c>
      <c r="Y5827">
        <v>-0.4908111</v>
      </c>
      <c r="Z5827">
        <v>1.8181329999999999E-2</v>
      </c>
      <c r="AA5827">
        <v>0.87107630000000003</v>
      </c>
      <c r="AB5827">
        <v>21</v>
      </c>
      <c r="AC5827">
        <v>56.1601</v>
      </c>
      <c r="AD5827">
        <v>-1.166458</v>
      </c>
      <c r="AE5827">
        <v>-22.974992</v>
      </c>
      <c r="AF5827">
        <v>-29.821164140567099</v>
      </c>
      <c r="AG5827">
        <v>-1.166458</v>
      </c>
      <c r="AH5827">
        <v>52.818420251905003</v>
      </c>
      <c r="AI5827">
        <v>91.101712202427507</v>
      </c>
      <c r="AJ5827">
        <v>119.448977379399</v>
      </c>
      <c r="AK5827">
        <v>60.666695747100498</v>
      </c>
      <c r="AL5827">
        <v>89.794940441682101</v>
      </c>
      <c r="AM5827">
        <v>93.758998550154701</v>
      </c>
      <c r="AN5827">
        <v>1.0000000517322101</v>
      </c>
    </row>
    <row r="5828" spans="1:40" x14ac:dyDescent="0.25">
      <c r="A5828" t="str">
        <f>"20190312160804578"</f>
        <v>20190312160804578</v>
      </c>
      <c r="B5828" t="str">
        <f>"1552378084571296"</f>
        <v>1552378084571296</v>
      </c>
      <c r="C5828" t="s">
        <v>40</v>
      </c>
      <c r="D5828">
        <v>5.5666900000000004</v>
      </c>
      <c r="E5828">
        <v>0.31857469999999999</v>
      </c>
      <c r="F5828" t="s">
        <v>45</v>
      </c>
      <c r="G5828">
        <v>-359.66590000000002</v>
      </c>
      <c r="H5828">
        <v>-0.05</v>
      </c>
      <c r="I5828">
        <v>1.421432</v>
      </c>
      <c r="J5828">
        <v>-416.39640000000003</v>
      </c>
      <c r="K5828">
        <v>1.1164449999999999</v>
      </c>
      <c r="L5828">
        <v>24.39236</v>
      </c>
      <c r="M5828">
        <v>0.62436440000000004</v>
      </c>
      <c r="N5828">
        <v>0</v>
      </c>
      <c r="O5828">
        <v>-0.78099410000000002</v>
      </c>
      <c r="P5828">
        <v>0.67371949999999903</v>
      </c>
      <c r="Q5828">
        <v>-1.029972E-2</v>
      </c>
      <c r="R5828">
        <v>-0.73891549999999995</v>
      </c>
      <c r="S5828">
        <v>3.088562</v>
      </c>
      <c r="T5828">
        <v>-6.3426380000000004E-2</v>
      </c>
      <c r="U5828">
        <v>-1.2533259999999999</v>
      </c>
      <c r="V5828">
        <v>-6.4887139999999996E-2</v>
      </c>
      <c r="W5828">
        <v>3.3906079999999998E-3</v>
      </c>
      <c r="X5828">
        <v>0.99788679999999996</v>
      </c>
      <c r="Y5828">
        <v>-0.48877880000000001</v>
      </c>
      <c r="Z5828">
        <v>1.7962570000000001E-2</v>
      </c>
      <c r="AA5828">
        <v>0.87222279999999996</v>
      </c>
      <c r="AB5828">
        <v>21</v>
      </c>
      <c r="AC5828">
        <v>56.730499999999999</v>
      </c>
      <c r="AD5828">
        <v>-1.166445</v>
      </c>
      <c r="AE5828">
        <v>-22.970928000000001</v>
      </c>
      <c r="AF5828">
        <v>-29.956331927625101</v>
      </c>
      <c r="AG5828">
        <v>-1.166445</v>
      </c>
      <c r="AH5828">
        <v>53.347086469912298</v>
      </c>
      <c r="AI5828">
        <v>91.092213022981497</v>
      </c>
      <c r="AJ5828">
        <v>119.315797021823</v>
      </c>
      <c r="AK5828">
        <v>61.193578513798201</v>
      </c>
      <c r="AL5828">
        <v>89.805732089947</v>
      </c>
      <c r="AM5828">
        <v>93.720394657474401</v>
      </c>
      <c r="AN5828">
        <v>0.99999995138711295</v>
      </c>
    </row>
    <row r="5829" spans="1:40" x14ac:dyDescent="0.25">
      <c r="A5829" t="str">
        <f>"20190312160804588"</f>
        <v>20190312160804588</v>
      </c>
      <c r="B5829" t="str">
        <f>"1552378084581057"</f>
        <v>1552378084581057</v>
      </c>
      <c r="C5829" t="s">
        <v>40</v>
      </c>
      <c r="D5829">
        <v>5.6762509999999997</v>
      </c>
      <c r="E5829">
        <v>0.31919259999999999</v>
      </c>
      <c r="F5829" t="s">
        <v>97</v>
      </c>
      <c r="G5829">
        <v>-368.75119999999998</v>
      </c>
      <c r="H5829">
        <v>7.9985879999999995E-2</v>
      </c>
      <c r="I5829">
        <v>5.2561669999999996</v>
      </c>
      <c r="J5829">
        <v>-416.32929999999999</v>
      </c>
      <c r="K5829">
        <v>1.116431</v>
      </c>
      <c r="L5829">
        <v>24.31842</v>
      </c>
      <c r="M5829">
        <v>0.6287199</v>
      </c>
      <c r="N5829">
        <v>0</v>
      </c>
      <c r="O5829">
        <v>-0.77749199999999996</v>
      </c>
      <c r="P5829">
        <v>0.67750739999999998</v>
      </c>
      <c r="Q5829">
        <v>-1.044261E-2</v>
      </c>
      <c r="R5829">
        <v>-0.73544200000000004</v>
      </c>
      <c r="S5829">
        <v>3.0905149999999999</v>
      </c>
      <c r="T5829">
        <v>-6.7230109999999996E-2</v>
      </c>
      <c r="U5829">
        <v>-1.2412719999999999</v>
      </c>
      <c r="V5829">
        <v>-6.4436069999999998E-2</v>
      </c>
      <c r="W5829">
        <v>3.2556640000000001E-3</v>
      </c>
      <c r="X5829">
        <v>0.99791649999999998</v>
      </c>
      <c r="Y5829">
        <v>-0.48699720000000002</v>
      </c>
      <c r="Z5829">
        <v>1.8993380000000001E-2</v>
      </c>
      <c r="AA5829">
        <v>0.873196999999999</v>
      </c>
      <c r="AB5829">
        <v>21</v>
      </c>
      <c r="AC5829">
        <v>47.578099999999999</v>
      </c>
      <c r="AD5829">
        <v>-1.03644512</v>
      </c>
      <c r="AE5829">
        <v>-19.062252999999998</v>
      </c>
      <c r="AF5829">
        <v>-24.999271581408401</v>
      </c>
      <c r="AG5829">
        <v>-1.03644512</v>
      </c>
      <c r="AH5829">
        <v>44.720625996528703</v>
      </c>
      <c r="AI5829">
        <v>91.158920103913204</v>
      </c>
      <c r="AJ5829">
        <v>119.205621490157</v>
      </c>
      <c r="AK5829">
        <v>51.244240531099599</v>
      </c>
      <c r="AL5829">
        <v>89.813463858857006</v>
      </c>
      <c r="AM5829">
        <v>93.694494158195596</v>
      </c>
      <c r="AN5829">
        <v>0.99999997371868699</v>
      </c>
    </row>
    <row r="5830" spans="1:40" x14ac:dyDescent="0.25">
      <c r="A5830" t="str">
        <f>"20190312160804601"</f>
        <v>20190312160804601</v>
      </c>
      <c r="B5830" t="str">
        <f>"1552378084591793"</f>
        <v>1552378084591793</v>
      </c>
      <c r="C5830" t="s">
        <v>40</v>
      </c>
      <c r="D5830">
        <v>5.568136</v>
      </c>
      <c r="E5830">
        <v>0.31981920000000003</v>
      </c>
      <c r="F5830" t="s">
        <v>98</v>
      </c>
      <c r="G5830">
        <v>-371.78829999999999</v>
      </c>
      <c r="H5830">
        <v>7.9986070000000006E-2</v>
      </c>
      <c r="I5830">
        <v>6.6287599999999998</v>
      </c>
      <c r="J5830">
        <v>-416.25729999999999</v>
      </c>
      <c r="K5830">
        <v>1.116417</v>
      </c>
      <c r="L5830">
        <v>24.24005</v>
      </c>
      <c r="M5830">
        <v>0.6333415</v>
      </c>
      <c r="N5830">
        <v>0</v>
      </c>
      <c r="O5830">
        <v>-0.77373219999999898</v>
      </c>
      <c r="P5830">
        <v>0.68181179999999997</v>
      </c>
      <c r="Q5830">
        <v>-1.0279E-2</v>
      </c>
      <c r="R5830">
        <v>-0.731456</v>
      </c>
      <c r="S5830">
        <v>3.0932919999999999</v>
      </c>
      <c r="T5830">
        <v>-7.1979280000000007E-2</v>
      </c>
      <c r="U5830">
        <v>-1.2285159999999999</v>
      </c>
      <c r="V5830">
        <v>-6.4347059999999998E-2</v>
      </c>
      <c r="W5830">
        <v>3.4206480000000001E-3</v>
      </c>
      <c r="X5830">
        <v>0.99792170000000002</v>
      </c>
      <c r="Y5830">
        <v>-0.48514000000000002</v>
      </c>
      <c r="Z5830">
        <v>2.0276969999999998E-2</v>
      </c>
      <c r="AA5830">
        <v>0.87420140000000002</v>
      </c>
      <c r="AB5830">
        <v>21</v>
      </c>
      <c r="AC5830">
        <v>44.469000000000001</v>
      </c>
      <c r="AD5830">
        <v>-1.0364309300000001</v>
      </c>
      <c r="AE5830">
        <v>-17.61129</v>
      </c>
      <c r="AF5830">
        <v>-23.244745260580601</v>
      </c>
      <c r="AG5830">
        <v>-1.0364309300000001</v>
      </c>
      <c r="AH5830">
        <v>41.775404825469401</v>
      </c>
      <c r="AI5830">
        <v>91.241949991781595</v>
      </c>
      <c r="AJ5830">
        <v>119.092515885502</v>
      </c>
      <c r="AK5830">
        <v>47.818164118186303</v>
      </c>
      <c r="AL5830">
        <v>89.804010920693997</v>
      </c>
      <c r="AM5830">
        <v>93.689385631347207</v>
      </c>
      <c r="AN5830">
        <v>0.99999998214713604</v>
      </c>
    </row>
    <row r="5831" spans="1:40" x14ac:dyDescent="0.25">
      <c r="A5831" t="str">
        <f>"20190312160804614"</f>
        <v>20190312160804614</v>
      </c>
      <c r="B5831" t="str">
        <f>"1552378084601553"</f>
        <v>1552378084601553</v>
      </c>
      <c r="C5831" t="s">
        <v>40</v>
      </c>
      <c r="D5831">
        <v>5.5810009999999997</v>
      </c>
      <c r="E5831">
        <v>0.31981920000000003</v>
      </c>
      <c r="F5831" t="s">
        <v>98</v>
      </c>
      <c r="G5831">
        <v>-372.935</v>
      </c>
      <c r="H5831">
        <v>7.9985760000000003E-2</v>
      </c>
      <c r="I5831">
        <v>7.2569479999999897</v>
      </c>
      <c r="J5831">
        <v>-416.17770000000002</v>
      </c>
      <c r="K5831">
        <v>1.1164000000000001</v>
      </c>
      <c r="L5831">
        <v>24.154209999999999</v>
      </c>
      <c r="M5831">
        <v>0.63839659999999998</v>
      </c>
      <c r="N5831">
        <v>0</v>
      </c>
      <c r="O5831">
        <v>-0.76956650000000004</v>
      </c>
      <c r="P5831">
        <v>0.68664159999999996</v>
      </c>
      <c r="Q5831">
        <v>-1.0452049999999999E-2</v>
      </c>
      <c r="R5831">
        <v>-0.72692119999999905</v>
      </c>
      <c r="S5831">
        <v>3.096619</v>
      </c>
      <c r="T5831">
        <v>-7.4082609999999993E-2</v>
      </c>
      <c r="U5831">
        <v>-1.2139279999999999</v>
      </c>
      <c r="V5831">
        <v>-6.4418470000000005E-2</v>
      </c>
      <c r="W5831">
        <v>3.2461270000000001E-3</v>
      </c>
      <c r="X5831">
        <v>0.99791770000000002</v>
      </c>
      <c r="Y5831">
        <v>-0.48328369999999998</v>
      </c>
      <c r="Z5831">
        <v>2.0803760000000001E-2</v>
      </c>
      <c r="AA5831">
        <v>0.87521659999999901</v>
      </c>
      <c r="AB5831">
        <v>21</v>
      </c>
      <c r="AC5831">
        <v>43.242699999999999</v>
      </c>
      <c r="AD5831">
        <v>-1.03641424</v>
      </c>
      <c r="AE5831">
        <v>-16.897261999999898</v>
      </c>
      <c r="AF5831">
        <v>-22.482217534327798</v>
      </c>
      <c r="AG5831">
        <v>-1.03641424</v>
      </c>
      <c r="AH5831">
        <v>40.593740367209399</v>
      </c>
      <c r="AI5831">
        <v>91.279473651715605</v>
      </c>
      <c r="AJ5831">
        <v>118.979200645159</v>
      </c>
      <c r="AK5831">
        <v>46.415256292927197</v>
      </c>
      <c r="AL5831">
        <v>89.814010297666897</v>
      </c>
      <c r="AM5831">
        <v>93.6934834124894</v>
      </c>
      <c r="AN5831">
        <v>1.0000000062954599</v>
      </c>
    </row>
    <row r="5832" spans="1:40" x14ac:dyDescent="0.25">
      <c r="A5832" t="str">
        <f>"20190312160804626"</f>
        <v>20190312160804626</v>
      </c>
      <c r="B5832" t="str">
        <f>"1552378084621073"</f>
        <v>1552378084621073</v>
      </c>
      <c r="C5832" t="s">
        <v>40</v>
      </c>
      <c r="D5832">
        <v>5.5376570000000003</v>
      </c>
      <c r="E5832">
        <v>0.32720470000000001</v>
      </c>
      <c r="F5832" t="s">
        <v>98</v>
      </c>
      <c r="G5832">
        <v>-373.34039999999999</v>
      </c>
      <c r="H5832">
        <v>7.9985630000000002E-2</v>
      </c>
      <c r="I5832">
        <v>7.6894289999999996</v>
      </c>
      <c r="J5832">
        <v>-416.10550000000001</v>
      </c>
      <c r="K5832">
        <v>1.1163860000000001</v>
      </c>
      <c r="L5832">
        <v>24.077760000000001</v>
      </c>
      <c r="M5832">
        <v>0.64291599999999904</v>
      </c>
      <c r="N5832">
        <v>0</v>
      </c>
      <c r="O5832">
        <v>-0.765795</v>
      </c>
      <c r="P5832">
        <v>0.69114690000000001</v>
      </c>
      <c r="Q5832">
        <v>-1.0449190000000001E-2</v>
      </c>
      <c r="R5832">
        <v>-0.72263920000000004</v>
      </c>
      <c r="S5832">
        <v>3.1046749999999999</v>
      </c>
      <c r="T5832">
        <v>-7.5115080000000001E-2</v>
      </c>
      <c r="U5832">
        <v>-1.193298</v>
      </c>
      <c r="V5832">
        <v>-6.4746319999999996E-2</v>
      </c>
      <c r="W5832">
        <v>3.2427889999999998E-3</v>
      </c>
      <c r="X5832">
        <v>0.99789649999999996</v>
      </c>
      <c r="Y5832">
        <v>-0.48395149999999998</v>
      </c>
      <c r="Z5832">
        <v>2.1040369999999999E-2</v>
      </c>
      <c r="AA5832">
        <v>0.87484189999999995</v>
      </c>
      <c r="AB5832">
        <v>21</v>
      </c>
      <c r="AC5832">
        <v>42.765099999999997</v>
      </c>
      <c r="AD5832">
        <v>-1.03640037</v>
      </c>
      <c r="AE5832">
        <v>-16.388331000000001</v>
      </c>
      <c r="AF5832">
        <v>-22.204019420959298</v>
      </c>
      <c r="AG5832">
        <v>-1.03640037</v>
      </c>
      <c r="AH5832">
        <v>40.028316104684997</v>
      </c>
      <c r="AI5832">
        <v>91.297043342329303</v>
      </c>
      <c r="AJ5832">
        <v>119.01747405962</v>
      </c>
      <c r="AK5832">
        <v>45.786009810310603</v>
      </c>
      <c r="AL5832">
        <v>89.814201553262194</v>
      </c>
      <c r="AM5832">
        <v>93.712307164339705</v>
      </c>
      <c r="AN5832">
        <v>1.0000000131731399</v>
      </c>
    </row>
    <row r="5833" spans="1:40" x14ac:dyDescent="0.25">
      <c r="A5833" t="str">
        <f>"20190312160804640"</f>
        <v>20190312160804640</v>
      </c>
      <c r="B5833" t="str">
        <f>"1552378084631415"</f>
        <v>1552378084631415</v>
      </c>
      <c r="C5833" t="s">
        <v>40</v>
      </c>
      <c r="D5833">
        <v>5.592581</v>
      </c>
      <c r="E5833">
        <v>0.32754030000000001</v>
      </c>
      <c r="F5833" t="s">
        <v>98</v>
      </c>
      <c r="G5833">
        <v>-377.73219999999998</v>
      </c>
      <c r="H5833">
        <v>7.998595E-2</v>
      </c>
      <c r="I5833">
        <v>8.8939509999999995</v>
      </c>
      <c r="J5833">
        <v>-416.01900000000001</v>
      </c>
      <c r="K5833">
        <v>1.1163730000000001</v>
      </c>
      <c r="L5833">
        <v>23.987030000000001</v>
      </c>
      <c r="M5833">
        <v>0.64827250000000003</v>
      </c>
      <c r="N5833">
        <v>0</v>
      </c>
      <c r="O5833">
        <v>-0.76126590000000005</v>
      </c>
      <c r="P5833">
        <v>0.69637309999999997</v>
      </c>
      <c r="Q5833">
        <v>-1.107051E-2</v>
      </c>
      <c r="R5833">
        <v>-0.71759469999999903</v>
      </c>
      <c r="S5833">
        <v>3.0695190000000001</v>
      </c>
      <c r="T5833">
        <v>-8.2902790000000004E-2</v>
      </c>
      <c r="U5833">
        <v>-1.214569</v>
      </c>
      <c r="V5833">
        <v>-6.4984360000000005E-2</v>
      </c>
      <c r="W5833">
        <v>2.616705E-3</v>
      </c>
      <c r="X5833">
        <v>0.99788279999999996</v>
      </c>
      <c r="Y5833">
        <v>-0.46908369999999999</v>
      </c>
      <c r="Z5833">
        <v>2.3171319999999999E-2</v>
      </c>
      <c r="AA5833">
        <v>0.88284969999999996</v>
      </c>
      <c r="AB5833">
        <v>21</v>
      </c>
      <c r="AC5833">
        <v>38.286799999999999</v>
      </c>
      <c r="AD5833">
        <v>-1.0363870500000001</v>
      </c>
      <c r="AE5833">
        <v>-15.0930789999999</v>
      </c>
      <c r="AF5833">
        <v>-19.351835729661701</v>
      </c>
      <c r="AG5833">
        <v>-1.0363870500000001</v>
      </c>
      <c r="AH5833">
        <v>36.291051064771104</v>
      </c>
      <c r="AI5833">
        <v>91.443485264006398</v>
      </c>
      <c r="AJ5833">
        <v>118.068318078261</v>
      </c>
      <c r="AK5833">
        <v>41.141317815683102</v>
      </c>
      <c r="AL5833">
        <v>89.850073668432501</v>
      </c>
      <c r="AM5833">
        <v>93.725968104732303</v>
      </c>
      <c r="AN5833">
        <v>0.99999994836275197</v>
      </c>
    </row>
    <row r="5834" spans="1:40" x14ac:dyDescent="0.25">
      <c r="A5834" t="str">
        <f>"20190312160804651"</f>
        <v>20190312160804651</v>
      </c>
      <c r="B5834" t="str">
        <f>"1552378084641175"</f>
        <v>1552378084641175</v>
      </c>
      <c r="C5834" t="s">
        <v>40</v>
      </c>
      <c r="D5834">
        <v>5.6252300000000002</v>
      </c>
      <c r="E5834">
        <v>0.32824829999999999</v>
      </c>
      <c r="F5834" t="s">
        <v>98</v>
      </c>
      <c r="G5834">
        <v>-377.7636</v>
      </c>
      <c r="H5834">
        <v>7.9985929999999997E-2</v>
      </c>
      <c r="I5834">
        <v>9.1375589999999995</v>
      </c>
      <c r="J5834">
        <v>-415.9359</v>
      </c>
      <c r="K5834">
        <v>1.116358</v>
      </c>
      <c r="L5834">
        <v>23.900939999999999</v>
      </c>
      <c r="M5834">
        <v>0.6533561</v>
      </c>
      <c r="N5834">
        <v>0</v>
      </c>
      <c r="O5834">
        <v>-0.75690760000000001</v>
      </c>
      <c r="P5834">
        <v>0.70126549999999999</v>
      </c>
      <c r="Q5834">
        <v>-1.139945E-2</v>
      </c>
      <c r="R5834">
        <v>-0.71280909999999997</v>
      </c>
      <c r="S5834">
        <v>3.0762330000000002</v>
      </c>
      <c r="T5834">
        <v>-8.3339099999999999E-2</v>
      </c>
      <c r="U5834">
        <v>-1.1940919999999999</v>
      </c>
      <c r="V5834">
        <v>-6.5125719999999998E-2</v>
      </c>
      <c r="W5834">
        <v>2.2848270000000001E-3</v>
      </c>
      <c r="X5834">
        <v>0.99787440000000005</v>
      </c>
      <c r="Y5834">
        <v>-0.46892279999999997</v>
      </c>
      <c r="Z5834">
        <v>2.322219E-2</v>
      </c>
      <c r="AA5834">
        <v>0.88293390000000005</v>
      </c>
      <c r="AB5834">
        <v>21</v>
      </c>
      <c r="AC5834">
        <v>38.1723</v>
      </c>
      <c r="AD5834">
        <v>-1.0363720700000001</v>
      </c>
      <c r="AE5834">
        <v>-14.763381000000001</v>
      </c>
      <c r="AF5834">
        <v>-19.236909875979698</v>
      </c>
      <c r="AG5834">
        <v>-1.0363720700000001</v>
      </c>
      <c r="AH5834">
        <v>36.095389379377004</v>
      </c>
      <c r="AI5834">
        <v>91.451462345876806</v>
      </c>
      <c r="AJ5834">
        <v>118.055226590891</v>
      </c>
      <c r="AK5834">
        <v>40.914666112445403</v>
      </c>
      <c r="AL5834">
        <v>89.869088935404704</v>
      </c>
      <c r="AM5834">
        <v>93.734081614003202</v>
      </c>
      <c r="AN5834">
        <v>0.99999994900764699</v>
      </c>
    </row>
    <row r="5835" spans="1:40" x14ac:dyDescent="0.25">
      <c r="A5835" t="str">
        <f>"20190312160804668"</f>
        <v>20190312160804668</v>
      </c>
      <c r="B5835" t="str">
        <f>"1552378084661671"</f>
        <v>1552378084661671</v>
      </c>
      <c r="C5835" t="s">
        <v>40</v>
      </c>
      <c r="D5835">
        <v>5.6389259999999997</v>
      </c>
      <c r="E5835">
        <v>0.32888719999999999</v>
      </c>
      <c r="F5835" t="s">
        <v>98</v>
      </c>
      <c r="G5835">
        <v>-378.47640000000001</v>
      </c>
      <c r="H5835">
        <v>7.7667879999999995E-2</v>
      </c>
      <c r="I5835">
        <v>9.5886429999999994</v>
      </c>
      <c r="J5835">
        <v>-415.83909999999997</v>
      </c>
      <c r="K5835">
        <v>1.116347</v>
      </c>
      <c r="L5835">
        <v>23.802399999999999</v>
      </c>
      <c r="M5835">
        <v>0.65919309999999998</v>
      </c>
      <c r="N5835">
        <v>0</v>
      </c>
      <c r="O5835">
        <v>-0.75182950000000004</v>
      </c>
      <c r="P5835">
        <v>0.7066789</v>
      </c>
      <c r="Q5835">
        <v>-1.20769E-2</v>
      </c>
      <c r="R5835">
        <v>-0.70743149999999999</v>
      </c>
      <c r="S5835">
        <v>3.0803219999999998</v>
      </c>
      <c r="T5835">
        <v>-8.5412260000000004E-2</v>
      </c>
      <c r="U5835">
        <v>-1.1769099999999999</v>
      </c>
      <c r="V5835">
        <v>-6.5008270000000007E-2</v>
      </c>
      <c r="W5835">
        <v>1.6081960000000001E-3</v>
      </c>
      <c r="X5835">
        <v>0.99788339999999998</v>
      </c>
      <c r="Y5835">
        <v>-0.46675810000000001</v>
      </c>
      <c r="Z5835">
        <v>2.3700579999999999E-2</v>
      </c>
      <c r="AA5835">
        <v>0.88406739999999995</v>
      </c>
      <c r="AB5835">
        <v>21</v>
      </c>
      <c r="AC5835">
        <v>37.362699999999897</v>
      </c>
      <c r="AD5835">
        <v>-1.0386791200000001</v>
      </c>
      <c r="AE5835">
        <v>-14.213756999999999</v>
      </c>
      <c r="AF5835">
        <v>-18.710168004032099</v>
      </c>
      <c r="AG5835">
        <v>-1.0386791200000001</v>
      </c>
      <c r="AH5835">
        <v>35.295556761478203</v>
      </c>
      <c r="AI5835">
        <v>91.489397460193501</v>
      </c>
      <c r="AJ5835">
        <v>117.928054209405</v>
      </c>
      <c r="AK5835">
        <v>39.961551123000298</v>
      </c>
      <c r="AL5835">
        <v>89.907857114154893</v>
      </c>
      <c r="AM5835">
        <v>93.727332918929307</v>
      </c>
      <c r="AN5835">
        <v>0.99999997072916302</v>
      </c>
    </row>
    <row r="5836" spans="1:40" x14ac:dyDescent="0.25">
      <c r="A5836" t="str">
        <f>"20190312160804682"</f>
        <v>20190312160804682</v>
      </c>
      <c r="B5836" t="str">
        <f>"1552378084671432"</f>
        <v>1552378084671432</v>
      </c>
      <c r="C5836" t="s">
        <v>40</v>
      </c>
      <c r="D5836">
        <v>5.6400370000000004</v>
      </c>
      <c r="E5836">
        <v>0.33471600000000001</v>
      </c>
      <c r="F5836" t="s">
        <v>98</v>
      </c>
      <c r="G5836">
        <v>-378.00130000000001</v>
      </c>
      <c r="H5836">
        <v>3.7793340000000002E-2</v>
      </c>
      <c r="I5836">
        <v>9.6163249999999998</v>
      </c>
      <c r="J5836">
        <v>-415.74959999999999</v>
      </c>
      <c r="K5836">
        <v>1.116333</v>
      </c>
      <c r="L5836">
        <v>23.712520000000001</v>
      </c>
      <c r="M5836">
        <v>0.66451539999999998</v>
      </c>
      <c r="N5836">
        <v>0</v>
      </c>
      <c r="O5836">
        <v>-0.74712959999999995</v>
      </c>
      <c r="P5836">
        <v>0.71150800000000003</v>
      </c>
      <c r="Q5836">
        <v>-1.1561999999999999E-2</v>
      </c>
      <c r="R5836">
        <v>-0.70258299999999996</v>
      </c>
      <c r="S5836">
        <v>3.0856319999999999</v>
      </c>
      <c r="T5836">
        <v>-8.7954999999999894E-2</v>
      </c>
      <c r="U5836">
        <v>-1.15686</v>
      </c>
      <c r="V5836">
        <v>-6.4759369999999997E-2</v>
      </c>
      <c r="W5836">
        <v>2.1265170000000001E-3</v>
      </c>
      <c r="X5836">
        <v>0.99789859999999997</v>
      </c>
      <c r="Y5836">
        <v>-0.46599249999999998</v>
      </c>
      <c r="Z5836">
        <v>2.4323250000000001E-2</v>
      </c>
      <c r="AA5836">
        <v>0.88445429999999903</v>
      </c>
      <c r="AB5836">
        <v>21</v>
      </c>
      <c r="AC5836">
        <v>37.748299999999901</v>
      </c>
      <c r="AD5836">
        <v>-1.0785396599999999</v>
      </c>
      <c r="AE5836">
        <v>-14.096195</v>
      </c>
      <c r="AF5836">
        <v>-18.824287694700299</v>
      </c>
      <c r="AG5836">
        <v>-1.0785396599999999</v>
      </c>
      <c r="AH5836">
        <v>35.594368394235197</v>
      </c>
      <c r="AI5836">
        <v>91.534339637483399</v>
      </c>
      <c r="AJ5836">
        <v>117.872383816371</v>
      </c>
      <c r="AK5836">
        <v>40.279971653361102</v>
      </c>
      <c r="AL5836">
        <v>89.878159453766699</v>
      </c>
      <c r="AM5836">
        <v>93.713045516677298</v>
      </c>
      <c r="AN5836">
        <v>0.99999995697965305</v>
      </c>
    </row>
    <row r="5837" spans="1:40" x14ac:dyDescent="0.25">
      <c r="A5837" t="str">
        <f>"20190312160804693"</f>
        <v>20190312160804693</v>
      </c>
      <c r="B5837" t="str">
        <f>"1552378084681190"</f>
        <v>1552378084681190</v>
      </c>
      <c r="C5837" t="s">
        <v>40</v>
      </c>
      <c r="D5837">
        <v>5.629791</v>
      </c>
      <c r="E5837">
        <v>0.33471600000000001</v>
      </c>
      <c r="F5837" t="s">
        <v>99</v>
      </c>
      <c r="G5837">
        <v>-384.2731</v>
      </c>
      <c r="H5837" s="1">
        <v>-4.3068199999999997E-6</v>
      </c>
      <c r="I5837">
        <v>11.69692</v>
      </c>
      <c r="J5837">
        <v>-415.67250000000001</v>
      </c>
      <c r="K5837">
        <v>1.116323</v>
      </c>
      <c r="L5837">
        <v>23.6358</v>
      </c>
      <c r="M5837">
        <v>0.66905609999999904</v>
      </c>
      <c r="N5837">
        <v>0</v>
      </c>
      <c r="O5837">
        <v>-0.74306629999999996</v>
      </c>
      <c r="P5837">
        <v>0.71556540000000002</v>
      </c>
      <c r="Q5837">
        <v>-1.169038E-2</v>
      </c>
      <c r="R5837">
        <v>-0.69844839999999997</v>
      </c>
      <c r="S5837">
        <v>3.0608520000000001</v>
      </c>
      <c r="T5837">
        <v>-0.10855529999999999</v>
      </c>
      <c r="U5837">
        <v>-1.1684270000000001</v>
      </c>
      <c r="V5837">
        <v>-6.4457689999999998E-2</v>
      </c>
      <c r="W5837">
        <v>2.0020630000000001E-3</v>
      </c>
      <c r="X5837">
        <v>0.99791839999999998</v>
      </c>
      <c r="Y5837">
        <v>-0.45511040000000003</v>
      </c>
      <c r="Z5837">
        <v>2.9949750000000001E-2</v>
      </c>
      <c r="AA5837">
        <v>0.88993120000000003</v>
      </c>
      <c r="AB5837">
        <v>21</v>
      </c>
      <c r="AC5837">
        <v>31.3994</v>
      </c>
      <c r="AD5837">
        <v>-1.1163273068199999</v>
      </c>
      <c r="AE5837">
        <v>-11.938879999999999</v>
      </c>
      <c r="AF5837">
        <v>-15.328788076177799</v>
      </c>
      <c r="AG5837">
        <v>-1.1163273068199999</v>
      </c>
      <c r="AH5837">
        <v>29.849609400055801</v>
      </c>
      <c r="AI5837">
        <v>91.905418811298802</v>
      </c>
      <c r="AJ5837">
        <v>117.18203805213599</v>
      </c>
      <c r="AK5837">
        <v>33.5740541471569</v>
      </c>
      <c r="AL5837">
        <v>89.885290159427996</v>
      </c>
      <c r="AM5837">
        <v>93.695723306456301</v>
      </c>
      <c r="AN5837">
        <v>0.999999967557475</v>
      </c>
    </row>
    <row r="5838" spans="1:40" x14ac:dyDescent="0.25">
      <c r="A5838" t="str">
        <f>"20190312160804706"</f>
        <v>20190312160804706</v>
      </c>
      <c r="B5838" t="str">
        <f>"1552378084701687"</f>
        <v>1552378084701687</v>
      </c>
      <c r="C5838" t="s">
        <v>40</v>
      </c>
      <c r="D5838">
        <v>5.6735230000000003</v>
      </c>
      <c r="E5838">
        <v>0.3398448</v>
      </c>
      <c r="F5838" t="s">
        <v>99</v>
      </c>
      <c r="G5838">
        <v>-384.1497</v>
      </c>
      <c r="H5838" s="1">
        <v>-4.3238019999999996E-6</v>
      </c>
      <c r="I5838">
        <v>11.81118</v>
      </c>
      <c r="J5838">
        <v>-415.59179999999998</v>
      </c>
      <c r="K5838">
        <v>1.1163099999999999</v>
      </c>
      <c r="L5838">
        <v>23.557130000000001</v>
      </c>
      <c r="M5838">
        <v>0.673732</v>
      </c>
      <c r="N5838">
        <v>0</v>
      </c>
      <c r="O5838">
        <v>-0.73882939999999997</v>
      </c>
      <c r="P5838">
        <v>0.71973409999999904</v>
      </c>
      <c r="Q5838">
        <v>-1.136319E-2</v>
      </c>
      <c r="R5838">
        <v>-0.69415709999999997</v>
      </c>
      <c r="S5838">
        <v>3.067596</v>
      </c>
      <c r="T5838">
        <v>-0.1086338</v>
      </c>
      <c r="U5838">
        <v>-1.1506959999999999</v>
      </c>
      <c r="V5838">
        <v>-6.4135979999999995E-2</v>
      </c>
      <c r="W5838">
        <v>2.3334639999999999E-3</v>
      </c>
      <c r="X5838">
        <v>0.99793849999999995</v>
      </c>
      <c r="Y5838">
        <v>-0.45464599999999999</v>
      </c>
      <c r="Z5838">
        <v>2.9861829999999999E-2</v>
      </c>
      <c r="AA5838">
        <v>0.8901715</v>
      </c>
      <c r="AB5838">
        <v>21</v>
      </c>
      <c r="AC5838">
        <v>31.4420999999999</v>
      </c>
      <c r="AD5838">
        <v>-1.1163143238019999</v>
      </c>
      <c r="AE5838">
        <v>-11.745949999999899</v>
      </c>
      <c r="AF5838">
        <v>-15.301456648558601</v>
      </c>
      <c r="AG5838">
        <v>-1.1163143238019999</v>
      </c>
      <c r="AH5838">
        <v>29.832033657187502</v>
      </c>
      <c r="AI5838">
        <v>91.906993363869205</v>
      </c>
      <c r="AJ5838">
        <v>117.154209910668</v>
      </c>
      <c r="AK5838">
        <v>33.545953039983999</v>
      </c>
      <c r="AL5838">
        <v>89.866302247761595</v>
      </c>
      <c r="AM5838">
        <v>93.677254731077696</v>
      </c>
      <c r="AN5838">
        <v>1.0000000593835201</v>
      </c>
    </row>
    <row r="5839" spans="1:40" x14ac:dyDescent="0.25">
      <c r="A5839" t="str">
        <f>"20190312160804719"</f>
        <v>20190312160804719</v>
      </c>
      <c r="B5839" t="str">
        <f>"1552378084711446"</f>
        <v>1552378084711446</v>
      </c>
      <c r="C5839" t="s">
        <v>40</v>
      </c>
      <c r="D5839">
        <v>5.5587720000000003</v>
      </c>
      <c r="E5839">
        <v>0.33553850000000002</v>
      </c>
      <c r="F5839" t="s">
        <v>44</v>
      </c>
      <c r="G5839">
        <v>-414.66489999999999</v>
      </c>
      <c r="H5839">
        <v>1.0724020000000001</v>
      </c>
      <c r="I5839">
        <v>23.203800000000001</v>
      </c>
      <c r="J5839">
        <v>-415.50479999999999</v>
      </c>
      <c r="K5839">
        <v>1.1162920000000001</v>
      </c>
      <c r="L5839">
        <v>23.473050000000001</v>
      </c>
      <c r="M5839">
        <v>0.67872390000000005</v>
      </c>
      <c r="N5839">
        <v>0</v>
      </c>
      <c r="O5839">
        <v>-0.73424599999999995</v>
      </c>
      <c r="P5839">
        <v>0.723916</v>
      </c>
      <c r="Q5839">
        <v>-1.1452189999999999E-2</v>
      </c>
      <c r="R5839">
        <v>-0.6897932</v>
      </c>
      <c r="S5839">
        <v>3.0462039999999999</v>
      </c>
      <c r="T5839">
        <v>-0.1442976</v>
      </c>
      <c r="U5839">
        <v>-1.1610720000000001</v>
      </c>
      <c r="V5839">
        <v>-6.340266E-2</v>
      </c>
      <c r="W5839">
        <v>2.255263E-3</v>
      </c>
      <c r="X5839">
        <v>0.99798549999999997</v>
      </c>
      <c r="Y5839">
        <v>-0.443463</v>
      </c>
      <c r="Z5839">
        <v>3.9504669999999999E-2</v>
      </c>
      <c r="AA5839">
        <v>0.89542169999999899</v>
      </c>
      <c r="AB5839">
        <v>21</v>
      </c>
      <c r="AC5839">
        <v>0.83989999999999998</v>
      </c>
      <c r="AD5839">
        <v>-4.3889999999999901E-2</v>
      </c>
      <c r="AE5839">
        <v>-0.26924999999999899</v>
      </c>
      <c r="AF5839">
        <v>-0.43292181007587299</v>
      </c>
      <c r="AG5839">
        <v>-4.3889999999999901E-2</v>
      </c>
      <c r="AH5839">
        <v>0.765942476767564</v>
      </c>
      <c r="AI5839">
        <v>92.855833315505294</v>
      </c>
      <c r="AJ5839">
        <v>119.47576436250201</v>
      </c>
      <c r="AK5839">
        <v>0.88091742147388596</v>
      </c>
      <c r="AL5839">
        <v>89.870782841565401</v>
      </c>
      <c r="AM5839">
        <v>93.635152272327701</v>
      </c>
      <c r="AN5839">
        <v>1.00000002085826</v>
      </c>
    </row>
    <row r="5840" spans="1:40" x14ac:dyDescent="0.25">
      <c r="A5840" t="str">
        <f>"20190312160804733"</f>
        <v>20190312160804733</v>
      </c>
      <c r="B5840" t="str">
        <f>"1552378084721207"</f>
        <v>1552378084721207</v>
      </c>
      <c r="C5840" t="s">
        <v>40</v>
      </c>
      <c r="D5840">
        <v>5.778314</v>
      </c>
      <c r="E5840">
        <v>0.3373679</v>
      </c>
      <c r="F5840" t="s">
        <v>99</v>
      </c>
      <c r="G5840">
        <v>-385.3304</v>
      </c>
      <c r="H5840" s="1">
        <v>-3.6854490000000002E-6</v>
      </c>
      <c r="I5840">
        <v>12.506180000000001</v>
      </c>
      <c r="J5840">
        <v>-415.41090000000003</v>
      </c>
      <c r="K5840">
        <v>1.116274</v>
      </c>
      <c r="L5840">
        <v>23.383330000000001</v>
      </c>
      <c r="M5840">
        <v>0.6840503</v>
      </c>
      <c r="N5840">
        <v>0</v>
      </c>
      <c r="O5840">
        <v>-0.72928649999999995</v>
      </c>
      <c r="P5840">
        <v>0.7278829</v>
      </c>
      <c r="Q5840">
        <v>-1.190486E-2</v>
      </c>
      <c r="R5840">
        <v>-0.68559809999999999</v>
      </c>
      <c r="S5840">
        <v>3.0767820000000001</v>
      </c>
      <c r="T5840">
        <v>-0.113825</v>
      </c>
      <c r="U5840">
        <v>-1.1182559999999999</v>
      </c>
      <c r="V5840">
        <v>-6.1893660000000003E-2</v>
      </c>
      <c r="W5840">
        <v>1.8261110000000001E-3</v>
      </c>
      <c r="X5840">
        <v>0.99808110000000005</v>
      </c>
      <c r="Y5840">
        <v>-0.4512138</v>
      </c>
      <c r="Z5840">
        <v>3.1019020000000001E-2</v>
      </c>
      <c r="AA5840">
        <v>0.89187659999999902</v>
      </c>
      <c r="AB5840">
        <v>21</v>
      </c>
      <c r="AC5840">
        <v>30.080500000000001</v>
      </c>
      <c r="AD5840">
        <v>-1.116277685449</v>
      </c>
      <c r="AE5840">
        <v>-10.877149999999901</v>
      </c>
      <c r="AF5840">
        <v>-14.4807177387074</v>
      </c>
      <c r="AG5840">
        <v>-1.116277685449</v>
      </c>
      <c r="AH5840">
        <v>28.477536405831</v>
      </c>
      <c r="AI5840">
        <v>92.001139736820406</v>
      </c>
      <c r="AJ5840">
        <v>116.953161258083</v>
      </c>
      <c r="AK5840">
        <v>31.9672854938384</v>
      </c>
      <c r="AL5840">
        <v>89.895371490824601</v>
      </c>
      <c r="AM5840">
        <v>93.548519432637093</v>
      </c>
      <c r="AN5840">
        <v>1.0000000210033899</v>
      </c>
    </row>
    <row r="5841" spans="1:40" x14ac:dyDescent="0.25">
      <c r="A5841" t="str">
        <f>"20190312160804745"</f>
        <v>20190312160804745</v>
      </c>
      <c r="B5841" t="str">
        <f>"1552378084741336"</f>
        <v>1552378084741336</v>
      </c>
      <c r="C5841" t="s">
        <v>40</v>
      </c>
      <c r="D5841">
        <v>5.6130500000000003</v>
      </c>
      <c r="E5841">
        <v>0.33478190000000002</v>
      </c>
      <c r="F5841" t="s">
        <v>99</v>
      </c>
      <c r="G5841">
        <v>-389.52339999999998</v>
      </c>
      <c r="H5841" s="1">
        <v>-1.6707379999999999E-6</v>
      </c>
      <c r="I5841">
        <v>14.026630000000001</v>
      </c>
      <c r="J5841">
        <v>-415.3381</v>
      </c>
      <c r="K5841">
        <v>1.116266</v>
      </c>
      <c r="L5841">
        <v>23.315159999999999</v>
      </c>
      <c r="M5841">
        <v>0.68811709999999904</v>
      </c>
      <c r="N5841">
        <v>0</v>
      </c>
      <c r="O5841">
        <v>-0.7254505</v>
      </c>
      <c r="P5841">
        <v>0.731097</v>
      </c>
      <c r="Q5841">
        <v>-1.200816E-2</v>
      </c>
      <c r="R5841">
        <v>-0.682168</v>
      </c>
      <c r="S5841">
        <v>3.0731510000000002</v>
      </c>
      <c r="T5841">
        <v>-0.13251479999999999</v>
      </c>
      <c r="U5841">
        <v>-1.1107479999999901</v>
      </c>
      <c r="V5841">
        <v>-6.1003670000000003E-2</v>
      </c>
      <c r="W5841">
        <v>1.736465E-3</v>
      </c>
      <c r="X5841">
        <v>0.99813600000000002</v>
      </c>
      <c r="Y5841">
        <v>-0.44760030000000001</v>
      </c>
      <c r="Z5841">
        <v>3.5997429999999997E-2</v>
      </c>
      <c r="AA5841">
        <v>0.89350889999999905</v>
      </c>
      <c r="AB5841">
        <v>21</v>
      </c>
      <c r="AC5841">
        <v>25.814699999999998</v>
      </c>
      <c r="AD5841">
        <v>-1.1162676707379999</v>
      </c>
      <c r="AE5841">
        <v>-9.2885299999999997</v>
      </c>
      <c r="AF5841">
        <v>-12.316635634315</v>
      </c>
      <c r="AG5841">
        <v>-1.1162676707379999</v>
      </c>
      <c r="AH5841">
        <v>24.464056903255798</v>
      </c>
      <c r="AI5841">
        <v>92.333808312339102</v>
      </c>
      <c r="AJ5841">
        <v>116.72335445021</v>
      </c>
      <c r="AK5841">
        <v>27.412326552610502</v>
      </c>
      <c r="AL5841">
        <v>89.900507831121601</v>
      </c>
      <c r="AM5841">
        <v>93.497429753284806</v>
      </c>
      <c r="AN5841">
        <v>0.99999996878008202</v>
      </c>
    </row>
    <row r="5842" spans="1:40" x14ac:dyDescent="0.25">
      <c r="A5842" t="str">
        <f>"20190312160804756"</f>
        <v>20190312160804756</v>
      </c>
      <c r="B5842" t="str">
        <f>"1552378084751096"</f>
        <v>1552378084751096</v>
      </c>
      <c r="C5842" t="s">
        <v>40</v>
      </c>
      <c r="D5842">
        <v>5.6041119999999998</v>
      </c>
      <c r="E5842">
        <v>0.3342117</v>
      </c>
      <c r="F5842" t="s">
        <v>99</v>
      </c>
      <c r="G5842">
        <v>-383.16969999999998</v>
      </c>
      <c r="H5842" s="1">
        <v>-4.632634E-6</v>
      </c>
      <c r="I5842">
        <v>12.064769999999999</v>
      </c>
      <c r="J5842">
        <v>-415.26330000000002</v>
      </c>
      <c r="K5842">
        <v>1.116255</v>
      </c>
      <c r="L5842">
        <v>23.245419999999999</v>
      </c>
      <c r="M5842">
        <v>0.69226350000000003</v>
      </c>
      <c r="N5842">
        <v>0</v>
      </c>
      <c r="O5842">
        <v>-0.72149490000000005</v>
      </c>
      <c r="P5842">
        <v>0.73456889999999997</v>
      </c>
      <c r="Q5842">
        <v>-1.257105E-2</v>
      </c>
      <c r="R5842">
        <v>-0.67841759999999995</v>
      </c>
      <c r="S5842">
        <v>3.0924680000000002</v>
      </c>
      <c r="T5842">
        <v>-0.1073114</v>
      </c>
      <c r="U5842">
        <v>-1.0815429999999999</v>
      </c>
      <c r="V5842">
        <v>-6.0375930000000001E-2</v>
      </c>
      <c r="W5842">
        <v>1.1823809999999999E-3</v>
      </c>
      <c r="X5842">
        <v>0.99817500000000003</v>
      </c>
      <c r="Y5842">
        <v>-0.45203349999999998</v>
      </c>
      <c r="Z5842">
        <v>2.9043530000000001E-2</v>
      </c>
      <c r="AA5842">
        <v>0.89152799999999999</v>
      </c>
      <c r="AB5842">
        <v>21</v>
      </c>
      <c r="AC5842">
        <v>32.093600000000002</v>
      </c>
      <c r="AD5842">
        <v>-1.116259632634</v>
      </c>
      <c r="AE5842">
        <v>-11.18065</v>
      </c>
      <c r="AF5842">
        <v>-15.4004664761901</v>
      </c>
      <c r="AG5842">
        <v>-1.116259632634</v>
      </c>
      <c r="AH5842">
        <v>30.254647303983901</v>
      </c>
      <c r="AI5842">
        <v>91.883248134359803</v>
      </c>
      <c r="AJ5842">
        <v>116.977373931009</v>
      </c>
      <c r="AK5842">
        <v>33.967103007765701</v>
      </c>
      <c r="AL5842">
        <v>89.9322545425144</v>
      </c>
      <c r="AM5842">
        <v>93.461393544653504</v>
      </c>
      <c r="AN5842">
        <v>0.99999999078659696</v>
      </c>
    </row>
    <row r="5843" spans="1:40" x14ac:dyDescent="0.25">
      <c r="A5843" t="str">
        <f>"20190312160804767"</f>
        <v>20190312160804767</v>
      </c>
      <c r="B5843" t="str">
        <f>"1552378084761831"</f>
        <v>1552378084761831</v>
      </c>
      <c r="C5843" t="s">
        <v>40</v>
      </c>
      <c r="D5843">
        <v>5.631983</v>
      </c>
      <c r="E5843">
        <v>0.33384560000000002</v>
      </c>
      <c r="F5843" t="s">
        <v>99</v>
      </c>
      <c r="G5843">
        <v>-380.68650000000002</v>
      </c>
      <c r="H5843" s="1">
        <v>-5.8605839999999998E-6</v>
      </c>
      <c r="I5843">
        <v>11.39916</v>
      </c>
      <c r="J5843">
        <v>-415.18680000000001</v>
      </c>
      <c r="K5843">
        <v>1.116242</v>
      </c>
      <c r="L5843">
        <v>23.175229999999999</v>
      </c>
      <c r="M5843">
        <v>0.69645230000000002</v>
      </c>
      <c r="N5843">
        <v>0</v>
      </c>
      <c r="O5843">
        <v>-0.71745230000000004</v>
      </c>
      <c r="P5843">
        <v>0.73804590000000003</v>
      </c>
      <c r="Q5843">
        <v>-1.2805469999999999E-2</v>
      </c>
      <c r="R5843">
        <v>-0.67462919999999904</v>
      </c>
      <c r="S5843">
        <v>3.1010439999999999</v>
      </c>
      <c r="T5843">
        <v>-0.1001126</v>
      </c>
      <c r="U5843">
        <v>-1.0624389999999999</v>
      </c>
      <c r="V5843">
        <v>-5.9693870000000003E-2</v>
      </c>
      <c r="W5843">
        <v>9.5779090000000001E-4</v>
      </c>
      <c r="X5843">
        <v>0.99821629999999995</v>
      </c>
      <c r="Y5843">
        <v>-0.45258589999999999</v>
      </c>
      <c r="Z5843">
        <v>2.699522E-2</v>
      </c>
      <c r="AA5843">
        <v>0.89131209999999905</v>
      </c>
      <c r="AB5843">
        <v>21</v>
      </c>
      <c r="AC5843">
        <v>34.500299999999903</v>
      </c>
      <c r="AD5843">
        <v>-1.1162478605840001</v>
      </c>
      <c r="AE5843">
        <v>-11.776070000000001</v>
      </c>
      <c r="AF5843">
        <v>-16.537134486927499</v>
      </c>
      <c r="AG5843">
        <v>-1.1162478605840001</v>
      </c>
      <c r="AH5843">
        <v>32.449671639193397</v>
      </c>
      <c r="AI5843">
        <v>91.755499012742206</v>
      </c>
      <c r="AJ5843">
        <v>117.004486801727</v>
      </c>
      <c r="AK5843">
        <v>36.437673029660601</v>
      </c>
      <c r="AL5843">
        <v>89.945122616949305</v>
      </c>
      <c r="AM5843">
        <v>93.422242788619101</v>
      </c>
      <c r="AN5843">
        <v>1.0000000285323301</v>
      </c>
    </row>
    <row r="5844" spans="1:40" x14ac:dyDescent="0.25">
      <c r="A5844" t="str">
        <f>"20190312160804779"</f>
        <v>20190312160804779</v>
      </c>
      <c r="B5844" t="str">
        <f>"1552378084771592"</f>
        <v>1552378084771592</v>
      </c>
      <c r="C5844" t="s">
        <v>40</v>
      </c>
      <c r="D5844">
        <v>5.6454360000000001</v>
      </c>
      <c r="E5844">
        <v>0.3338334</v>
      </c>
      <c r="F5844" t="s">
        <v>98</v>
      </c>
      <c r="G5844">
        <v>-379.12520000000001</v>
      </c>
      <c r="H5844" s="1">
        <v>-2.5974700000000001E-6</v>
      </c>
      <c r="I5844">
        <v>11.05744</v>
      </c>
      <c r="J5844">
        <v>-415.10640000000001</v>
      </c>
      <c r="K5844">
        <v>1.1162319999999999</v>
      </c>
      <c r="L5844">
        <v>23.102260000000001</v>
      </c>
      <c r="M5844">
        <v>0.70080290000000001</v>
      </c>
      <c r="N5844">
        <v>0</v>
      </c>
      <c r="O5844">
        <v>-0.71320349999999999</v>
      </c>
      <c r="P5844">
        <v>0.74163939999999995</v>
      </c>
      <c r="Q5844">
        <v>-1.3010010000000001E-2</v>
      </c>
      <c r="R5844">
        <v>-0.67067299999999996</v>
      </c>
      <c r="S5844">
        <v>3.1083370000000001</v>
      </c>
      <c r="T5844">
        <v>-9.6214889999999997E-2</v>
      </c>
      <c r="U5844">
        <v>-1.044495</v>
      </c>
      <c r="V5844">
        <v>-5.8955599999999997E-2</v>
      </c>
      <c r="W5844">
        <v>7.637182E-4</v>
      </c>
      <c r="X5844">
        <v>0.99826029999999999</v>
      </c>
      <c r="Y5844">
        <v>-0.4524571</v>
      </c>
      <c r="Z5844">
        <v>2.5840140000000001E-2</v>
      </c>
      <c r="AA5844">
        <v>0.89141170000000003</v>
      </c>
      <c r="AB5844">
        <v>21</v>
      </c>
      <c r="AC5844">
        <v>35.981200000000001</v>
      </c>
      <c r="AD5844">
        <v>-1.1162345974700001</v>
      </c>
      <c r="AE5844">
        <v>-12.04482</v>
      </c>
      <c r="AF5844">
        <v>-17.2078415162025</v>
      </c>
      <c r="AG5844">
        <v>-1.1162345974700001</v>
      </c>
      <c r="AH5844">
        <v>33.780555123703401</v>
      </c>
      <c r="AI5844">
        <v>91.686508979568302</v>
      </c>
      <c r="AJ5844">
        <v>116.99432943216399</v>
      </c>
      <c r="AK5844">
        <v>37.927321205021897</v>
      </c>
      <c r="AL5844">
        <v>89.956242165549298</v>
      </c>
      <c r="AM5844">
        <v>93.379867959422299</v>
      </c>
      <c r="AN5844">
        <v>0.99999998629646902</v>
      </c>
    </row>
    <row r="5845" spans="1:40" x14ac:dyDescent="0.25">
      <c r="A5845" t="str">
        <f>"20190312160804789"</f>
        <v>20190312160804789</v>
      </c>
      <c r="B5845" t="str">
        <f>"1552378084781353"</f>
        <v>1552378084781353</v>
      </c>
      <c r="C5845" t="s">
        <v>40</v>
      </c>
      <c r="D5845">
        <v>5.6053050000000004</v>
      </c>
      <c r="E5845">
        <v>0.33379969999999998</v>
      </c>
      <c r="F5845" t="s">
        <v>98</v>
      </c>
      <c r="G5845">
        <v>-377.8451</v>
      </c>
      <c r="H5845" s="1">
        <v>-3.156986E-6</v>
      </c>
      <c r="I5845">
        <v>10.80208</v>
      </c>
      <c r="J5845">
        <v>-415.03769999999997</v>
      </c>
      <c r="K5845">
        <v>1.1162209999999999</v>
      </c>
      <c r="L5845">
        <v>23.04053</v>
      </c>
      <c r="M5845">
        <v>0.70448889999999997</v>
      </c>
      <c r="N5845">
        <v>0</v>
      </c>
      <c r="O5845">
        <v>-0.70956260000000004</v>
      </c>
      <c r="P5845">
        <v>0.74480279999999999</v>
      </c>
      <c r="Q5845">
        <v>-1.3041250000000001E-2</v>
      </c>
      <c r="R5845">
        <v>-0.66715729999999995</v>
      </c>
      <c r="S5845">
        <v>3.1139220000000001</v>
      </c>
      <c r="T5845">
        <v>-9.3283409999999997E-2</v>
      </c>
      <c r="U5845">
        <v>-1.0279240000000001</v>
      </c>
      <c r="V5845">
        <v>-5.8503880000000001E-2</v>
      </c>
      <c r="W5845">
        <v>7.3892289999999904E-4</v>
      </c>
      <c r="X5845">
        <v>0.99828689999999998</v>
      </c>
      <c r="Y5845">
        <v>-0.45261709999999999</v>
      </c>
      <c r="Z5845">
        <v>2.4976229999999999E-2</v>
      </c>
      <c r="AA5845">
        <v>0.89135509999999996</v>
      </c>
      <c r="AB5845">
        <v>21</v>
      </c>
      <c r="AC5845">
        <v>37.192599999999899</v>
      </c>
      <c r="AD5845">
        <v>-1.1162241569860001</v>
      </c>
      <c r="AE5845">
        <v>-12.23845</v>
      </c>
      <c r="AF5845">
        <v>-17.756117068455101</v>
      </c>
      <c r="AG5845">
        <v>-1.1162241569860001</v>
      </c>
      <c r="AH5845">
        <v>34.861161507183802</v>
      </c>
      <c r="AI5845">
        <v>91.634286489353201</v>
      </c>
      <c r="AJ5845">
        <v>116.991476534413</v>
      </c>
      <c r="AK5845">
        <v>39.138551727769403</v>
      </c>
      <c r="AL5845">
        <v>89.957662832267701</v>
      </c>
      <c r="AM5845">
        <v>93.353941467800993</v>
      </c>
      <c r="AN5845">
        <v>0.99999999234685799</v>
      </c>
    </row>
    <row r="5846" spans="1:40" x14ac:dyDescent="0.25">
      <c r="A5846" t="str">
        <f>"20190312160804800"</f>
        <v>20190312160804800</v>
      </c>
      <c r="B5846" t="str">
        <f>"1552378084791112"</f>
        <v>1552378084791112</v>
      </c>
      <c r="C5846" t="s">
        <v>40</v>
      </c>
      <c r="D5846">
        <v>5.6555839999999904</v>
      </c>
      <c r="E5846">
        <v>0.3340901</v>
      </c>
      <c r="F5846" t="s">
        <v>98</v>
      </c>
      <c r="G5846">
        <v>-375.71170000000001</v>
      </c>
      <c r="H5846" s="1">
        <v>-4.1183099999999999E-6</v>
      </c>
      <c r="I5846">
        <v>10.268039999999999</v>
      </c>
      <c r="J5846">
        <v>-414.96249999999998</v>
      </c>
      <c r="K5846">
        <v>1.1162110000000001</v>
      </c>
      <c r="L5846">
        <v>22.973790000000001</v>
      </c>
      <c r="M5846">
        <v>0.70847890000000002</v>
      </c>
      <c r="N5846">
        <v>0</v>
      </c>
      <c r="O5846">
        <v>-0.70557899999999996</v>
      </c>
      <c r="P5846">
        <v>0.74814219999999998</v>
      </c>
      <c r="Q5846">
        <v>-1.3542759999999999E-2</v>
      </c>
      <c r="R5846">
        <v>-0.66340049999999995</v>
      </c>
      <c r="S5846">
        <v>3.1189879999999999</v>
      </c>
      <c r="T5846">
        <v>-8.8529109999999994E-2</v>
      </c>
      <c r="U5846">
        <v>-1.0129999999999999</v>
      </c>
      <c r="V5846">
        <v>-5.7885039999999999E-2</v>
      </c>
      <c r="W5846">
        <v>2.4634990000000002E-4</v>
      </c>
      <c r="X5846">
        <v>0.99832319999999997</v>
      </c>
      <c r="Y5846">
        <v>-0.45191379999999998</v>
      </c>
      <c r="Z5846">
        <v>2.3612950000000001E-2</v>
      </c>
      <c r="AA5846">
        <v>0.89174900000000001</v>
      </c>
      <c r="AB5846">
        <v>21</v>
      </c>
      <c r="AC5846">
        <v>39.250799999999899</v>
      </c>
      <c r="AD5846">
        <v>-1.11621511831</v>
      </c>
      <c r="AE5846">
        <v>-12.70575</v>
      </c>
      <c r="AF5846">
        <v>-18.681127972731801</v>
      </c>
      <c r="AG5846">
        <v>-1.11621511831</v>
      </c>
      <c r="AH5846">
        <v>36.750342888956403</v>
      </c>
      <c r="AI5846">
        <v>91.5509386756476</v>
      </c>
      <c r="AJ5846">
        <v>116.945381300626</v>
      </c>
      <c r="AK5846">
        <v>41.240976964419701</v>
      </c>
      <c r="AL5846">
        <v>89.985885189952299</v>
      </c>
      <c r="AM5846">
        <v>93.318423596129506</v>
      </c>
      <c r="AN5846">
        <v>0.99999997510115701</v>
      </c>
    </row>
    <row r="5847" spans="1:40" x14ac:dyDescent="0.25">
      <c r="A5847" t="str">
        <f>"20190312160804810"</f>
        <v>20190312160804810</v>
      </c>
      <c r="B5847" t="str">
        <f>"1552378084801848"</f>
        <v>1552378084801848</v>
      </c>
      <c r="C5847" t="s">
        <v>40</v>
      </c>
      <c r="D5847">
        <v>5.6827899999999998</v>
      </c>
      <c r="E5847">
        <v>0.33458019999999999</v>
      </c>
      <c r="F5847" t="s">
        <v>98</v>
      </c>
      <c r="G5847">
        <v>-375.29239999999999</v>
      </c>
      <c r="H5847" s="1">
        <v>-4.2758800000000003E-6</v>
      </c>
      <c r="I5847">
        <v>10.28097</v>
      </c>
      <c r="J5847">
        <v>-414.8913</v>
      </c>
      <c r="K5847">
        <v>1.1162019999999999</v>
      </c>
      <c r="L5847">
        <v>22.911100000000001</v>
      </c>
      <c r="M5847">
        <v>0.7122231</v>
      </c>
      <c r="N5847">
        <v>0</v>
      </c>
      <c r="O5847">
        <v>-0.70179930000000001</v>
      </c>
      <c r="P5847">
        <v>0.75128159999999999</v>
      </c>
      <c r="Q5847">
        <v>-1.3686449999999999E-2</v>
      </c>
      <c r="R5847">
        <v>-0.65983999999999998</v>
      </c>
      <c r="S5847">
        <v>3.1224370000000001</v>
      </c>
      <c r="T5847">
        <v>-8.7857480000000002E-2</v>
      </c>
      <c r="U5847">
        <v>-0.999054</v>
      </c>
      <c r="V5847">
        <v>-5.7309989999999998E-2</v>
      </c>
      <c r="W5847">
        <v>1.104514E-4</v>
      </c>
      <c r="X5847">
        <v>0.99835640000000003</v>
      </c>
      <c r="Y5847">
        <v>-0.45107190000000003</v>
      </c>
      <c r="Z5847">
        <v>2.335421E-2</v>
      </c>
      <c r="AA5847">
        <v>0.89218199999999903</v>
      </c>
      <c r="AB5847">
        <v>21</v>
      </c>
      <c r="AC5847">
        <v>39.5989</v>
      </c>
      <c r="AD5847">
        <v>-1.11620627588</v>
      </c>
      <c r="AE5847">
        <v>-12.630129999999999</v>
      </c>
      <c r="AF5847">
        <v>-18.783493734843798</v>
      </c>
      <c r="AG5847">
        <v>-1.11620627588</v>
      </c>
      <c r="AH5847">
        <v>37.0443556869769</v>
      </c>
      <c r="AI5847">
        <v>91.539412257944704</v>
      </c>
      <c r="AJ5847">
        <v>116.887475730956</v>
      </c>
      <c r="AK5847">
        <v>41.5493663200835</v>
      </c>
      <c r="AL5847">
        <v>89.993671600763093</v>
      </c>
      <c r="AM5847">
        <v>93.285420790451099</v>
      </c>
      <c r="AN5847">
        <v>0.99999997428713505</v>
      </c>
    </row>
    <row r="5848" spans="1:40" x14ac:dyDescent="0.25">
      <c r="A5848" t="str">
        <f>"20190312160804823"</f>
        <v>20190312160804823</v>
      </c>
      <c r="B5848" t="str">
        <f>"1552378084811609"</f>
        <v>1552378084811609</v>
      </c>
      <c r="C5848" t="s">
        <v>40</v>
      </c>
      <c r="D5848">
        <v>5.7113449999999997</v>
      </c>
      <c r="E5848">
        <v>0.3349645</v>
      </c>
      <c r="F5848" t="s">
        <v>98</v>
      </c>
      <c r="G5848">
        <v>-375.14060000000001</v>
      </c>
      <c r="H5848" s="1">
        <v>-4.3151289999999997E-6</v>
      </c>
      <c r="I5848">
        <v>10.35261</v>
      </c>
      <c r="J5848">
        <v>-414.81380000000001</v>
      </c>
      <c r="K5848">
        <v>1.116193</v>
      </c>
      <c r="L5848">
        <v>22.84402</v>
      </c>
      <c r="M5848">
        <v>0.71624339999999997</v>
      </c>
      <c r="N5848">
        <v>0</v>
      </c>
      <c r="O5848">
        <v>-0.69769579999999998</v>
      </c>
      <c r="P5848">
        <v>0.75479940000000001</v>
      </c>
      <c r="Q5848">
        <v>-1.386008E-2</v>
      </c>
      <c r="R5848">
        <v>-0.65580950000000005</v>
      </c>
      <c r="S5848">
        <v>3.1245729999999998</v>
      </c>
      <c r="T5848">
        <v>-8.7738629999999998E-2</v>
      </c>
      <c r="U5848">
        <v>-0.98715209999999998</v>
      </c>
      <c r="V5848">
        <v>-5.6912949999999997E-2</v>
      </c>
      <c r="W5848" s="1">
        <v>-5.8429050000000003E-5</v>
      </c>
      <c r="X5848">
        <v>0.99837920000000002</v>
      </c>
      <c r="Y5848">
        <v>-0.4492099</v>
      </c>
      <c r="Z5848">
        <v>2.3228490000000001E-2</v>
      </c>
      <c r="AA5848">
        <v>0.89312420000000003</v>
      </c>
      <c r="AB5848">
        <v>21</v>
      </c>
      <c r="AC5848">
        <v>39.673200000000001</v>
      </c>
      <c r="AD5848">
        <v>-1.1161973151289999</v>
      </c>
      <c r="AE5848">
        <v>-12.49141</v>
      </c>
      <c r="AF5848">
        <v>-18.7214754928853</v>
      </c>
      <c r="AG5848">
        <v>-1.1161973151289999</v>
      </c>
      <c r="AH5848">
        <v>37.108157778339098</v>
      </c>
      <c r="AI5848">
        <v>91.538328446894397</v>
      </c>
      <c r="AJ5848">
        <v>116.771448968596</v>
      </c>
      <c r="AK5848">
        <v>41.578298603708099</v>
      </c>
      <c r="AL5848">
        <v>90.003347737776494</v>
      </c>
      <c r="AM5848">
        <v>93.262634597332394</v>
      </c>
      <c r="AN5848">
        <v>1.0000000571421399</v>
      </c>
    </row>
    <row r="5849" spans="1:40" x14ac:dyDescent="0.25">
      <c r="A5849" t="str">
        <f>"20190312160804835"</f>
        <v>20190312160804835</v>
      </c>
      <c r="B5849" t="str">
        <f>"1552378084831128"</f>
        <v>1552378084831128</v>
      </c>
      <c r="C5849" t="s">
        <v>40</v>
      </c>
      <c r="D5849">
        <v>5.7121029999999999</v>
      </c>
      <c r="E5849">
        <v>0.33623439999999999</v>
      </c>
      <c r="F5849" t="s">
        <v>98</v>
      </c>
      <c r="G5849">
        <v>-374.59370000000001</v>
      </c>
      <c r="H5849" s="1">
        <v>-4.5298479999999999E-6</v>
      </c>
      <c r="I5849">
        <v>10.33503</v>
      </c>
      <c r="J5849">
        <v>-414.73669999999998</v>
      </c>
      <c r="K5849">
        <v>1.1161840000000001</v>
      </c>
      <c r="L5849">
        <v>22.7775</v>
      </c>
      <c r="M5849">
        <v>0.72021899999999905</v>
      </c>
      <c r="N5849">
        <v>0</v>
      </c>
      <c r="O5849">
        <v>-0.69359139999999997</v>
      </c>
      <c r="P5849">
        <v>0.75811470000000003</v>
      </c>
      <c r="Q5849">
        <v>-1.3898570000000001E-2</v>
      </c>
      <c r="R5849">
        <v>-0.65197360000000004</v>
      </c>
      <c r="S5849">
        <v>3.127777</v>
      </c>
      <c r="T5849">
        <v>-8.6802599999999994E-2</v>
      </c>
      <c r="U5849">
        <v>-0.97277829999999998</v>
      </c>
      <c r="V5849">
        <v>-5.6269769999999997E-2</v>
      </c>
      <c r="W5849" s="1">
        <v>-8.7941559999999894E-5</v>
      </c>
      <c r="X5849">
        <v>0.99841559999999996</v>
      </c>
      <c r="Y5849">
        <v>-0.4481135</v>
      </c>
      <c r="Z5849">
        <v>2.289339E-2</v>
      </c>
      <c r="AA5849">
        <v>0.89368349999999996</v>
      </c>
      <c r="AB5849">
        <v>21</v>
      </c>
      <c r="AC5849">
        <v>40.142999999999901</v>
      </c>
      <c r="AD5849">
        <v>-1.1161885298479901</v>
      </c>
      <c r="AE5849">
        <v>-12.44247</v>
      </c>
      <c r="AF5849">
        <v>-18.8702611618452</v>
      </c>
      <c r="AG5849">
        <v>-1.1161885298479901</v>
      </c>
      <c r="AH5849">
        <v>37.519323456713003</v>
      </c>
      <c r="AI5849">
        <v>91.522421711226002</v>
      </c>
      <c r="AJ5849">
        <v>116.700008960443</v>
      </c>
      <c r="AK5849">
        <v>42.012287081279702</v>
      </c>
      <c r="AL5849">
        <v>90.005038680225496</v>
      </c>
      <c r="AM5849">
        <v>93.225724130484807</v>
      </c>
      <c r="AN5849">
        <v>1.0000000025364599</v>
      </c>
    </row>
    <row r="5850" spans="1:40" x14ac:dyDescent="0.25">
      <c r="A5850" t="str">
        <f>"20190312160804848"</f>
        <v>20190312160804848</v>
      </c>
      <c r="B5850" t="str">
        <f>"1552378084841865"</f>
        <v>1552378084841865</v>
      </c>
      <c r="C5850" t="s">
        <v>40</v>
      </c>
      <c r="D5850">
        <v>5.7141279999999997</v>
      </c>
      <c r="E5850">
        <v>0.336978</v>
      </c>
      <c r="F5850" t="s">
        <v>98</v>
      </c>
      <c r="G5850">
        <v>-375.87970000000001</v>
      </c>
      <c r="H5850" s="1">
        <v>-3.9149239999999901E-6</v>
      </c>
      <c r="I5850">
        <v>10.790039999999999</v>
      </c>
      <c r="J5850">
        <v>-414.637</v>
      </c>
      <c r="K5850">
        <v>1.11617099999999</v>
      </c>
      <c r="L5850">
        <v>22.693359999999998</v>
      </c>
      <c r="M5850">
        <v>0.72527379999999997</v>
      </c>
      <c r="N5850">
        <v>0</v>
      </c>
      <c r="O5850">
        <v>-0.68830400000000003</v>
      </c>
      <c r="P5850">
        <v>0.76261449999999997</v>
      </c>
      <c r="Q5850">
        <v>-1.358725E-2</v>
      </c>
      <c r="R5850">
        <v>-0.64671069999999997</v>
      </c>
      <c r="S5850">
        <v>3.1261290000000002</v>
      </c>
      <c r="T5850">
        <v>-8.9799760000000006E-2</v>
      </c>
      <c r="U5850">
        <v>-0.96441650000000001</v>
      </c>
      <c r="V5850">
        <v>-5.5884629999999998E-2</v>
      </c>
      <c r="W5850">
        <v>2.2823019999999999E-4</v>
      </c>
      <c r="X5850">
        <v>0.99843720000000002</v>
      </c>
      <c r="Y5850">
        <v>-0.44359389999999999</v>
      </c>
      <c r="Z5850">
        <v>2.3547490000000001E-2</v>
      </c>
      <c r="AA5850">
        <v>0.89591849999999995</v>
      </c>
      <c r="AB5850">
        <v>21</v>
      </c>
      <c r="AC5850">
        <v>38.757299999999901</v>
      </c>
      <c r="AD5850">
        <v>-1.1161749149239999</v>
      </c>
      <c r="AE5850">
        <v>-11.903320000000001</v>
      </c>
      <c r="AF5850">
        <v>-18.031916814554801</v>
      </c>
      <c r="AG5850">
        <v>-1.1161749149239999</v>
      </c>
      <c r="AH5850">
        <v>36.279173684622997</v>
      </c>
      <c r="AI5850">
        <v>91.578146411193998</v>
      </c>
      <c r="AJ5850">
        <v>116.428854939948</v>
      </c>
      <c r="AK5850">
        <v>40.528685072264203</v>
      </c>
      <c r="AL5850">
        <v>89.986923372579497</v>
      </c>
      <c r="AM5850">
        <v>93.203622556610199</v>
      </c>
      <c r="AN5850">
        <v>0.99999999315154997</v>
      </c>
    </row>
    <row r="5851" spans="1:40" x14ac:dyDescent="0.25">
      <c r="A5851" t="str">
        <f>"20190312160804861"</f>
        <v>20190312160804861</v>
      </c>
      <c r="B5851" t="str">
        <f>"1552378084851623"</f>
        <v>1552378084851623</v>
      </c>
      <c r="C5851" t="s">
        <v>40</v>
      </c>
      <c r="D5851">
        <v>5.7390470000000002</v>
      </c>
      <c r="E5851">
        <v>0.33762969999999998</v>
      </c>
      <c r="F5851" t="s">
        <v>98</v>
      </c>
      <c r="G5851">
        <v>-376.97949999999997</v>
      </c>
      <c r="H5851" s="1">
        <v>-3.3579660000000002E-6</v>
      </c>
      <c r="I5851">
        <v>11.295920000000001</v>
      </c>
      <c r="J5851">
        <v>-414.55399999999997</v>
      </c>
      <c r="K5851">
        <v>1.1161620000000001</v>
      </c>
      <c r="L5851">
        <v>22.624020000000002</v>
      </c>
      <c r="M5851">
        <v>0.72943719999999901</v>
      </c>
      <c r="N5851">
        <v>0</v>
      </c>
      <c r="O5851">
        <v>-0.68389029999999995</v>
      </c>
      <c r="P5851">
        <v>0.76624759999999903</v>
      </c>
      <c r="Q5851">
        <v>-1.3476470000000001E-2</v>
      </c>
      <c r="R5851">
        <v>-0.64240450000000004</v>
      </c>
      <c r="S5851">
        <v>3.129089</v>
      </c>
      <c r="T5851">
        <v>-9.2746729999999999E-2</v>
      </c>
      <c r="U5851">
        <v>-0.947052</v>
      </c>
      <c r="V5851">
        <v>-5.5453280000000001E-2</v>
      </c>
      <c r="W5851">
        <v>3.4410160000000002E-4</v>
      </c>
      <c r="X5851">
        <v>0.99846120000000005</v>
      </c>
      <c r="Y5851">
        <v>-0.44291900000000001</v>
      </c>
      <c r="Z5851">
        <v>2.4230789999999999E-2</v>
      </c>
      <c r="AA5851">
        <v>0.89623419999999898</v>
      </c>
      <c r="AB5851">
        <v>21</v>
      </c>
      <c r="AC5851">
        <v>37.5745</v>
      </c>
      <c r="AD5851">
        <v>-1.116165357966</v>
      </c>
      <c r="AE5851">
        <v>-11.328099999999999</v>
      </c>
      <c r="AF5851">
        <v>-17.421484655264798</v>
      </c>
      <c r="AG5851">
        <v>-1.116165357966</v>
      </c>
      <c r="AH5851">
        <v>35.130786242236603</v>
      </c>
      <c r="AI5851">
        <v>91.630425292504597</v>
      </c>
      <c r="AJ5851">
        <v>116.376980222772</v>
      </c>
      <c r="AK5851">
        <v>39.229148533936701</v>
      </c>
      <c r="AL5851">
        <v>89.980284429739697</v>
      </c>
      <c r="AM5851">
        <v>93.178869795472593</v>
      </c>
      <c r="AN5851">
        <v>0.99999997628705395</v>
      </c>
    </row>
    <row r="5852" spans="1:40" x14ac:dyDescent="0.25">
      <c r="A5852" t="str">
        <f>"20190312160804880"</f>
        <v>20190312160804880</v>
      </c>
      <c r="B5852" t="str">
        <f>"1552378084871145"</f>
        <v>1552378084871145</v>
      </c>
      <c r="C5852" t="s">
        <v>40</v>
      </c>
      <c r="D5852">
        <v>5.917014</v>
      </c>
      <c r="E5852">
        <v>0.33892080000000002</v>
      </c>
      <c r="F5852" t="s">
        <v>98</v>
      </c>
      <c r="G5852">
        <v>-377.1617</v>
      </c>
      <c r="H5852" s="1">
        <v>-3.240273E-6</v>
      </c>
      <c r="I5852">
        <v>11.475289999999999</v>
      </c>
      <c r="J5852">
        <v>-414.41789999999997</v>
      </c>
      <c r="K5852">
        <v>1.11615</v>
      </c>
      <c r="L5852">
        <v>22.512149999999998</v>
      </c>
      <c r="M5852">
        <v>0.73615929999999996</v>
      </c>
      <c r="N5852">
        <v>0</v>
      </c>
      <c r="O5852">
        <v>-0.67664919999999995</v>
      </c>
      <c r="P5852">
        <v>0.77206739999999996</v>
      </c>
      <c r="Q5852">
        <v>-1.281E-2</v>
      </c>
      <c r="R5852">
        <v>-0.63541169999999902</v>
      </c>
      <c r="S5852">
        <v>3.1309200000000001</v>
      </c>
      <c r="T5852">
        <v>-9.3458410000000006E-2</v>
      </c>
      <c r="U5852">
        <v>-0.93350219999999995</v>
      </c>
      <c r="V5852">
        <v>-5.468195E-2</v>
      </c>
      <c r="W5852">
        <v>1.020733E-3</v>
      </c>
      <c r="X5852">
        <v>0.99850329999999998</v>
      </c>
      <c r="Y5852">
        <v>-0.43775419999999998</v>
      </c>
      <c r="Z5852">
        <v>2.4206660000000001E-2</v>
      </c>
      <c r="AA5852">
        <v>0.89876880000000003</v>
      </c>
      <c r="AB5852">
        <v>20</v>
      </c>
      <c r="AC5852">
        <v>37.2561999999999</v>
      </c>
      <c r="AD5852">
        <v>-1.1161532402729999</v>
      </c>
      <c r="AE5852">
        <v>-11.036860000000001</v>
      </c>
      <c r="AF5852">
        <v>-17.072243953782799</v>
      </c>
      <c r="AG5852">
        <v>-1.1161532402729999</v>
      </c>
      <c r="AH5852">
        <v>34.869566785149303</v>
      </c>
      <c r="AI5852">
        <v>91.6467211382123</v>
      </c>
      <c r="AJ5852">
        <v>116.08650798763099</v>
      </c>
      <c r="AK5852">
        <v>38.840623057016401</v>
      </c>
      <c r="AL5852">
        <v>89.941516296866197</v>
      </c>
      <c r="AM5852">
        <v>93.134610054578403</v>
      </c>
      <c r="AN5852">
        <v>0.999999998831274</v>
      </c>
    </row>
    <row r="5853" spans="1:40" x14ac:dyDescent="0.25">
      <c r="A5853" t="str">
        <f>"20190312160804891"</f>
        <v>20190312160804891</v>
      </c>
      <c r="B5853" t="str">
        <f>"1552378084881880"</f>
        <v>1552378084881880</v>
      </c>
      <c r="C5853" t="s">
        <v>40</v>
      </c>
      <c r="D5853">
        <v>5.7534239999999999</v>
      </c>
      <c r="E5853">
        <v>0.33954240000000002</v>
      </c>
      <c r="F5853" t="s">
        <v>98</v>
      </c>
      <c r="G5853">
        <v>-378.30220000000003</v>
      </c>
      <c r="H5853" s="1">
        <v>-2.6659440000000001E-6</v>
      </c>
      <c r="I5853">
        <v>11.9878</v>
      </c>
      <c r="J5853">
        <v>-414.3374</v>
      </c>
      <c r="K5853">
        <v>1.116142</v>
      </c>
      <c r="L5853">
        <v>22.446840000000002</v>
      </c>
      <c r="M5853">
        <v>0.74008469999999904</v>
      </c>
      <c r="N5853">
        <v>0</v>
      </c>
      <c r="O5853">
        <v>-0.6723536</v>
      </c>
      <c r="P5853">
        <v>0.77550989999999997</v>
      </c>
      <c r="Q5853">
        <v>-1.259425E-2</v>
      </c>
      <c r="R5853">
        <v>-0.6312101</v>
      </c>
      <c r="S5853">
        <v>3.1327509999999998</v>
      </c>
      <c r="T5853">
        <v>-9.681737E-2</v>
      </c>
      <c r="U5853">
        <v>-0.91290280000000001</v>
      </c>
      <c r="V5853">
        <v>-5.4298649999999997E-2</v>
      </c>
      <c r="W5853">
        <v>1.240555E-3</v>
      </c>
      <c r="X5853">
        <v>0.99852399999999997</v>
      </c>
      <c r="Y5853">
        <v>-0.4380753</v>
      </c>
      <c r="Z5853">
        <v>2.5011019999999998E-2</v>
      </c>
      <c r="AA5853">
        <v>0.89859029999999995</v>
      </c>
      <c r="AB5853">
        <v>20</v>
      </c>
      <c r="AC5853">
        <v>36.035199999999897</v>
      </c>
      <c r="AD5853">
        <v>-1.116144665944</v>
      </c>
      <c r="AE5853">
        <v>-10.4590399999999</v>
      </c>
      <c r="AF5853">
        <v>-16.475018324797301</v>
      </c>
      <c r="AG5853">
        <v>-1.116144665944</v>
      </c>
      <c r="AH5853">
        <v>33.675104649375101</v>
      </c>
      <c r="AI5853">
        <v>91.705331700378295</v>
      </c>
      <c r="AJ5853">
        <v>116.069468863686</v>
      </c>
      <c r="AK5853">
        <v>37.505795297048302</v>
      </c>
      <c r="AL5853">
        <v>89.928921418180593</v>
      </c>
      <c r="AM5853">
        <v>93.112616569719293</v>
      </c>
      <c r="AN5853">
        <v>1.00000003047226</v>
      </c>
    </row>
    <row r="5854" spans="1:40" x14ac:dyDescent="0.25">
      <c r="A5854" t="str">
        <f>"20190312160804902"</f>
        <v>20190312160804902</v>
      </c>
      <c r="B5854" t="str">
        <f>"1552378084891643"</f>
        <v>1552378084891643</v>
      </c>
      <c r="C5854" t="s">
        <v>40</v>
      </c>
      <c r="D5854">
        <v>5.7311880000000004</v>
      </c>
      <c r="E5854">
        <v>0.33954240000000002</v>
      </c>
      <c r="F5854" t="s">
        <v>98</v>
      </c>
      <c r="G5854">
        <v>-377.892</v>
      </c>
      <c r="H5854" s="1">
        <v>-2.8237670000000001E-6</v>
      </c>
      <c r="I5854">
        <v>11.98672</v>
      </c>
      <c r="J5854">
        <v>-414.26670000000001</v>
      </c>
      <c r="K5854">
        <v>1.116133</v>
      </c>
      <c r="L5854">
        <v>22.390409999999999</v>
      </c>
      <c r="M5854">
        <v>0.7434887</v>
      </c>
      <c r="N5854">
        <v>0</v>
      </c>
      <c r="O5854">
        <v>-0.66858759999999995</v>
      </c>
      <c r="P5854">
        <v>0.77843450000000003</v>
      </c>
      <c r="Q5854">
        <v>-1.239525E-2</v>
      </c>
      <c r="R5854">
        <v>-0.62760340000000003</v>
      </c>
      <c r="S5854">
        <v>3.1346129999999999</v>
      </c>
      <c r="T5854">
        <v>-9.5997810000000003E-2</v>
      </c>
      <c r="U5854">
        <v>-0.89965819999999996</v>
      </c>
      <c r="V5854">
        <v>-5.3869159999999999E-2</v>
      </c>
      <c r="W5854">
        <v>1.44511799999999E-3</v>
      </c>
      <c r="X5854">
        <v>0.99854699999999996</v>
      </c>
      <c r="Y5854">
        <v>-0.43716739999999998</v>
      </c>
      <c r="Z5854">
        <v>2.4714460000000001E-2</v>
      </c>
      <c r="AA5854">
        <v>0.89904050000000002</v>
      </c>
      <c r="AB5854">
        <v>20</v>
      </c>
      <c r="AC5854">
        <v>36.374699999999997</v>
      </c>
      <c r="AD5854">
        <v>-1.116135823767</v>
      </c>
      <c r="AE5854">
        <v>-10.403689999999999</v>
      </c>
      <c r="AF5854">
        <v>-16.5720087985902</v>
      </c>
      <c r="AG5854">
        <v>-1.116135823767</v>
      </c>
      <c r="AH5854">
        <v>33.974046280141401</v>
      </c>
      <c r="AI5854">
        <v>91.691287994914404</v>
      </c>
      <c r="AJ5854">
        <v>116.00239672095201</v>
      </c>
      <c r="AK5854">
        <v>37.816835608533403</v>
      </c>
      <c r="AL5854">
        <v>89.917200812441706</v>
      </c>
      <c r="AM5854">
        <v>93.087973328167394</v>
      </c>
      <c r="AN5854">
        <v>1.0000000429870599</v>
      </c>
    </row>
    <row r="5855" spans="1:40" x14ac:dyDescent="0.25">
      <c r="A5855" t="str">
        <f>"20190312160804912"</f>
        <v>20190312160804912</v>
      </c>
      <c r="B5855" t="str">
        <f>"1552378084901400"</f>
        <v>1552378084901400</v>
      </c>
      <c r="C5855" t="s">
        <v>40</v>
      </c>
      <c r="D5855">
        <v>5.7761069999999997</v>
      </c>
      <c r="E5855">
        <v>0.34096349999999997</v>
      </c>
      <c r="F5855" t="s">
        <v>98</v>
      </c>
      <c r="G5855">
        <v>-377.0677</v>
      </c>
      <c r="H5855" s="1">
        <v>-3.1627170000000001E-6</v>
      </c>
      <c r="I5855">
        <v>11.90241</v>
      </c>
      <c r="J5855">
        <v>-414.19319999999999</v>
      </c>
      <c r="K5855">
        <v>1.1161239999999999</v>
      </c>
      <c r="L5855">
        <v>22.332000000000001</v>
      </c>
      <c r="M5855">
        <v>0.74700200000000005</v>
      </c>
      <c r="N5855">
        <v>0</v>
      </c>
      <c r="O5855">
        <v>-0.66465969999999996</v>
      </c>
      <c r="P5855">
        <v>0.78130059999999901</v>
      </c>
      <c r="Q5855">
        <v>-1.2241729999999999E-2</v>
      </c>
      <c r="R5855">
        <v>-0.62403489999999995</v>
      </c>
      <c r="S5855">
        <v>3.138855</v>
      </c>
      <c r="T5855">
        <v>-9.4179750000000007E-2</v>
      </c>
      <c r="U5855">
        <v>-0.88497919999999997</v>
      </c>
      <c r="V5855">
        <v>-5.3180150000000002E-2</v>
      </c>
      <c r="W5855">
        <v>1.6086729999999999E-3</v>
      </c>
      <c r="X5855">
        <v>0.99858360000000002</v>
      </c>
      <c r="Y5855">
        <v>-0.43665730000000003</v>
      </c>
      <c r="Z5855">
        <v>2.4149690000000001E-2</v>
      </c>
      <c r="AA5855">
        <v>0.89930370000000004</v>
      </c>
      <c r="AB5855">
        <v>20</v>
      </c>
      <c r="AC5855">
        <v>37.125499999999903</v>
      </c>
      <c r="AD5855">
        <v>-1.116127162717</v>
      </c>
      <c r="AE5855">
        <v>-10.4295899999999</v>
      </c>
      <c r="AF5855">
        <v>-16.872584385358099</v>
      </c>
      <c r="AG5855">
        <v>-1.116127162717</v>
      </c>
      <c r="AH5855">
        <v>34.639668611295598</v>
      </c>
      <c r="AI5855">
        <v>91.659248774352903</v>
      </c>
      <c r="AJ5855">
        <v>115.970180823276</v>
      </c>
      <c r="AK5855">
        <v>38.546549588578799</v>
      </c>
      <c r="AL5855">
        <v>89.907829783152295</v>
      </c>
      <c r="AM5855">
        <v>93.0484402633287</v>
      </c>
      <c r="AN5855">
        <v>0.99999996118590095</v>
      </c>
    </row>
    <row r="5856" spans="1:40" x14ac:dyDescent="0.25">
      <c r="A5856" t="str">
        <f>"20190312160804923"</f>
        <v>20190312160804923</v>
      </c>
      <c r="B5856" t="str">
        <f>"1552378084911160"</f>
        <v>1552378084911160</v>
      </c>
      <c r="C5856" t="s">
        <v>40</v>
      </c>
      <c r="D5856">
        <v>5.8656030000000001</v>
      </c>
      <c r="E5856">
        <v>0.34174100000000002</v>
      </c>
      <c r="F5856" t="s">
        <v>98</v>
      </c>
      <c r="G5856">
        <v>-378.0258</v>
      </c>
      <c r="H5856" s="1">
        <v>-2.7186140000000001E-6</v>
      </c>
      <c r="I5856">
        <v>12.188739999999999</v>
      </c>
      <c r="J5856">
        <v>-414.11799999999999</v>
      </c>
      <c r="K5856">
        <v>1.116117</v>
      </c>
      <c r="L5856">
        <v>22.273350000000001</v>
      </c>
      <c r="M5856">
        <v>0.75054869999999996</v>
      </c>
      <c r="N5856">
        <v>0</v>
      </c>
      <c r="O5856">
        <v>-0.66065249999999998</v>
      </c>
      <c r="P5856">
        <v>0.78433109999999995</v>
      </c>
      <c r="Q5856">
        <v>-1.21066E-2</v>
      </c>
      <c r="R5856">
        <v>-0.62022449999999996</v>
      </c>
      <c r="S5856">
        <v>3.135834</v>
      </c>
      <c r="T5856">
        <v>-9.6772070000000002E-2</v>
      </c>
      <c r="U5856">
        <v>-0.8794556</v>
      </c>
      <c r="V5856">
        <v>-5.269969E-2</v>
      </c>
      <c r="W5856">
        <v>1.7498170000000001E-3</v>
      </c>
      <c r="X5856">
        <v>0.99860890000000002</v>
      </c>
      <c r="Y5856">
        <v>-0.43306060000000002</v>
      </c>
      <c r="Z5856">
        <v>2.4705919999999999E-2</v>
      </c>
      <c r="AA5856">
        <v>0.9010262</v>
      </c>
      <c r="AB5856">
        <v>20</v>
      </c>
      <c r="AC5856">
        <v>36.092199999999998</v>
      </c>
      <c r="AD5856">
        <v>-1.1161197186139999</v>
      </c>
      <c r="AE5856">
        <v>-10.08461</v>
      </c>
      <c r="AF5856">
        <v>-16.262734664276</v>
      </c>
      <c r="AG5856">
        <v>-1.1161197186139999</v>
      </c>
      <c r="AH5856">
        <v>33.725088370723903</v>
      </c>
      <c r="AI5856">
        <v>91.707468852480801</v>
      </c>
      <c r="AJ5856">
        <v>115.744049939547</v>
      </c>
      <c r="AK5856">
        <v>37.458027812473802</v>
      </c>
      <c r="AL5856">
        <v>89.899742822541697</v>
      </c>
      <c r="AM5856">
        <v>93.020873755921997</v>
      </c>
      <c r="AN5856">
        <v>1.0000000271724101</v>
      </c>
    </row>
    <row r="5857" spans="1:40" x14ac:dyDescent="0.25">
      <c r="A5857" t="str">
        <f>"20190312160804947"</f>
        <v>20190312160804947</v>
      </c>
      <c r="B5857" t="str">
        <f>"1552378084941416"</f>
        <v>1552378084941416</v>
      </c>
      <c r="C5857" t="s">
        <v>40</v>
      </c>
      <c r="D5857">
        <v>5.888998</v>
      </c>
      <c r="E5857">
        <v>0.34193379999999901</v>
      </c>
      <c r="F5857" t="s">
        <v>98</v>
      </c>
      <c r="G5857">
        <v>-379.02699999999999</v>
      </c>
      <c r="H5857" s="1">
        <v>-2.2375000000000002E-6</v>
      </c>
      <c r="I5857">
        <v>12.55198</v>
      </c>
      <c r="J5857">
        <v>-413.95400000000001</v>
      </c>
      <c r="K5857">
        <v>1.1160909999999999</v>
      </c>
      <c r="L5857">
        <v>22.14725</v>
      </c>
      <c r="M5857">
        <v>0.75816430000000001</v>
      </c>
      <c r="N5857">
        <v>0</v>
      </c>
      <c r="O5857">
        <v>-0.65189889999999995</v>
      </c>
      <c r="P5857">
        <v>0.79075680000000004</v>
      </c>
      <c r="Q5857">
        <v>-1.1777620000000001E-2</v>
      </c>
      <c r="R5857">
        <v>-0.61201779999999995</v>
      </c>
      <c r="S5857">
        <v>3.1363219999999998</v>
      </c>
      <c r="T5857">
        <v>-9.9755289999999996E-2</v>
      </c>
      <c r="U5857">
        <v>-0.86886600000000003</v>
      </c>
      <c r="V5857">
        <v>-5.1526330000000002E-2</v>
      </c>
      <c r="W5857">
        <v>2.0945690000000001E-3</v>
      </c>
      <c r="X5857">
        <v>0.99866940000000004</v>
      </c>
      <c r="Y5857">
        <v>-0.42542580000000002</v>
      </c>
      <c r="Z5857">
        <v>2.516738E-2</v>
      </c>
      <c r="AA5857">
        <v>0.90464330000000004</v>
      </c>
      <c r="AB5857">
        <v>20</v>
      </c>
      <c r="AC5857">
        <v>34.927</v>
      </c>
      <c r="AD5857">
        <v>-1.1160932374999999</v>
      </c>
      <c r="AE5857">
        <v>-9.5952699999999993</v>
      </c>
      <c r="AF5857">
        <v>-15.4810467089016</v>
      </c>
      <c r="AG5857">
        <v>-1.1160932374999999</v>
      </c>
      <c r="AH5857">
        <v>32.708010388836897</v>
      </c>
      <c r="AI5857">
        <v>91.766593220971998</v>
      </c>
      <c r="AJ5857">
        <v>115.328688104707</v>
      </c>
      <c r="AK5857">
        <v>36.203900548342197</v>
      </c>
      <c r="AL5857">
        <v>89.879989943872701</v>
      </c>
      <c r="AM5857">
        <v>92.953555756753701</v>
      </c>
      <c r="AN5857">
        <v>0.99999996019946102</v>
      </c>
    </row>
    <row r="5858" spans="1:40" x14ac:dyDescent="0.25">
      <c r="A5858" t="str">
        <f>"20190312160804958"</f>
        <v>20190312160804958</v>
      </c>
      <c r="B5858" t="str">
        <f>"1552378084951176"</f>
        <v>1552378084951176</v>
      </c>
      <c r="C5858" t="s">
        <v>40</v>
      </c>
      <c r="D5858">
        <v>5.9003160000000001</v>
      </c>
      <c r="E5858">
        <v>0.34188629999999998</v>
      </c>
      <c r="F5858" t="s">
        <v>98</v>
      </c>
      <c r="G5858">
        <v>-378.07119999999998</v>
      </c>
      <c r="H5858" s="1">
        <v>-2.5942200000000002E-6</v>
      </c>
      <c r="I5858">
        <v>12.59083</v>
      </c>
      <c r="J5858">
        <v>-413.87700000000001</v>
      </c>
      <c r="K5858">
        <v>1.11608</v>
      </c>
      <c r="L5858">
        <v>22.088899999999999</v>
      </c>
      <c r="M5858">
        <v>0.76168990000000003</v>
      </c>
      <c r="N5858">
        <v>0</v>
      </c>
      <c r="O5858">
        <v>-0.64777629999999997</v>
      </c>
      <c r="P5858">
        <v>0.79383780000000004</v>
      </c>
      <c r="Q5858">
        <v>-1.1353769999999999E-2</v>
      </c>
      <c r="R5858">
        <v>-0.60802409999999996</v>
      </c>
      <c r="S5858">
        <v>3.1443180000000002</v>
      </c>
      <c r="T5858">
        <v>-9.7800250000000005E-2</v>
      </c>
      <c r="U5858">
        <v>-0.83740230000000004</v>
      </c>
      <c r="V5858">
        <v>-5.1152450000000002E-2</v>
      </c>
      <c r="W5858">
        <v>2.5227679999999999E-3</v>
      </c>
      <c r="X5858">
        <v>0.99868769999999996</v>
      </c>
      <c r="Y5858">
        <v>-0.42955320000000002</v>
      </c>
      <c r="Z5858">
        <v>2.4633169999999999E-2</v>
      </c>
      <c r="AA5858">
        <v>0.9027056</v>
      </c>
      <c r="AB5858">
        <v>20</v>
      </c>
      <c r="AC5858">
        <v>35.805799999999898</v>
      </c>
      <c r="AD5858">
        <v>-1.1160825942199999</v>
      </c>
      <c r="AE5858">
        <v>-9.4980699999999896</v>
      </c>
      <c r="AF5858">
        <v>-15.946800202746999</v>
      </c>
      <c r="AG5858">
        <v>-1.1160825942199999</v>
      </c>
      <c r="AH5858">
        <v>33.398807133402499</v>
      </c>
      <c r="AI5858">
        <v>91.727276420113398</v>
      </c>
      <c r="AJ5858">
        <v>115.522896460588</v>
      </c>
      <c r="AK5858">
        <v>37.0273735903274</v>
      </c>
      <c r="AL5858">
        <v>89.855455891896895</v>
      </c>
      <c r="AM5858">
        <v>92.932108372458302</v>
      </c>
      <c r="AN5858">
        <v>1.00000002981533</v>
      </c>
    </row>
    <row r="5859" spans="1:40" x14ac:dyDescent="0.25">
      <c r="A5859" t="str">
        <f>"20190312160804968"</f>
        <v>20190312160804968</v>
      </c>
      <c r="B5859" t="str">
        <f>"1552378084961913"</f>
        <v>1552378084961913</v>
      </c>
      <c r="C5859" t="s">
        <v>40</v>
      </c>
      <c r="D5859">
        <v>5.8269719999999996</v>
      </c>
      <c r="E5859">
        <v>0.34176800000000002</v>
      </c>
      <c r="F5859" t="s">
        <v>98</v>
      </c>
      <c r="G5859">
        <v>-378.15710000000001</v>
      </c>
      <c r="H5859" s="1">
        <v>-2.512298E-6</v>
      </c>
      <c r="I5859">
        <v>12.77467</v>
      </c>
      <c r="J5859">
        <v>-413.79410000000001</v>
      </c>
      <c r="K5859">
        <v>1.11607099999999</v>
      </c>
      <c r="L5859">
        <v>22.02704</v>
      </c>
      <c r="M5859">
        <v>0.76543519999999998</v>
      </c>
      <c r="N5859">
        <v>0</v>
      </c>
      <c r="O5859">
        <v>-0.64334630000000004</v>
      </c>
      <c r="P5859">
        <v>0.79691460000000003</v>
      </c>
      <c r="Q5859">
        <v>-1.1099680000000001E-2</v>
      </c>
      <c r="R5859">
        <v>-0.60399009999999997</v>
      </c>
      <c r="S5859">
        <v>3.1488040000000002</v>
      </c>
      <c r="T5859">
        <v>-9.8385810000000004E-2</v>
      </c>
      <c r="U5859">
        <v>-0.82107540000000001</v>
      </c>
      <c r="V5859">
        <v>-5.0429509999999997E-2</v>
      </c>
      <c r="W5859">
        <v>2.7869349999999999E-3</v>
      </c>
      <c r="X5859">
        <v>0.99872369999999999</v>
      </c>
      <c r="Y5859">
        <v>-0.42900830000000001</v>
      </c>
      <c r="Z5859">
        <v>2.4663560000000001E-2</v>
      </c>
      <c r="AA5859">
        <v>0.90296379999999998</v>
      </c>
      <c r="AB5859">
        <v>20</v>
      </c>
      <c r="AC5859">
        <v>35.637</v>
      </c>
      <c r="AD5859">
        <v>-1.1160735122979999</v>
      </c>
      <c r="AE5859">
        <v>-9.2523700000000009</v>
      </c>
      <c r="AF5859">
        <v>-15.8319944670189</v>
      </c>
      <c r="AG5859">
        <v>-1.1160735122979999</v>
      </c>
      <c r="AH5859">
        <v>33.203347122310802</v>
      </c>
      <c r="AI5859">
        <v>91.737860767189801</v>
      </c>
      <c r="AJ5859">
        <v>115.492703962384</v>
      </c>
      <c r="AK5859">
        <v>36.801629434214398</v>
      </c>
      <c r="AL5859">
        <v>89.840320174541603</v>
      </c>
      <c r="AM5859">
        <v>92.890635512591601</v>
      </c>
      <c r="AN5859">
        <v>0.99999996571361105</v>
      </c>
    </row>
    <row r="5860" spans="1:40" x14ac:dyDescent="0.25">
      <c r="A5860" t="str">
        <f>"20190312160804979"</f>
        <v>20190312160804979</v>
      </c>
      <c r="B5860" t="str">
        <f>"1552378084971672"</f>
        <v>1552378084971672</v>
      </c>
      <c r="C5860" t="s">
        <v>40</v>
      </c>
      <c r="D5860">
        <v>6.0286540000000004</v>
      </c>
      <c r="E5860">
        <v>0.34176800000000002</v>
      </c>
      <c r="F5860" t="s">
        <v>98</v>
      </c>
      <c r="G5860">
        <v>-377.85239999999999</v>
      </c>
      <c r="H5860" s="1">
        <v>-2.606601E-6</v>
      </c>
      <c r="I5860">
        <v>12.860060000000001</v>
      </c>
      <c r="J5860">
        <v>-413.71640000000002</v>
      </c>
      <c r="K5860">
        <v>1.1160639999999999</v>
      </c>
      <c r="L5860">
        <v>21.9697</v>
      </c>
      <c r="M5860">
        <v>0.76890879999999995</v>
      </c>
      <c r="N5860">
        <v>0</v>
      </c>
      <c r="O5860">
        <v>-0.63919059999999905</v>
      </c>
      <c r="P5860">
        <v>0.79988930000000003</v>
      </c>
      <c r="Q5860">
        <v>-1.090353E-2</v>
      </c>
      <c r="R5860">
        <v>-0.60004869999999899</v>
      </c>
      <c r="S5860">
        <v>3.1535639999999998</v>
      </c>
      <c r="T5860">
        <v>-9.7925540000000005E-2</v>
      </c>
      <c r="U5860">
        <v>-0.80432130000000002</v>
      </c>
      <c r="V5860">
        <v>-4.9954199999999997E-2</v>
      </c>
      <c r="W5860">
        <v>2.9886359999999998E-3</v>
      </c>
      <c r="X5860">
        <v>0.9987471</v>
      </c>
      <c r="Y5860">
        <v>-0.42895299999999997</v>
      </c>
      <c r="Z5860">
        <v>2.444286E-2</v>
      </c>
      <c r="AA5860">
        <v>0.90299600000000002</v>
      </c>
      <c r="AB5860">
        <v>20</v>
      </c>
      <c r="AC5860">
        <v>35.863999999999997</v>
      </c>
      <c r="AD5860">
        <v>-1.1160666066010001</v>
      </c>
      <c r="AE5860">
        <v>-9.1096400000000006</v>
      </c>
      <c r="AF5860">
        <v>-15.9066873306001</v>
      </c>
      <c r="AG5860">
        <v>-1.1160666066010001</v>
      </c>
      <c r="AH5860">
        <v>33.372166862596501</v>
      </c>
      <c r="AI5860">
        <v>91.729180848676194</v>
      </c>
      <c r="AJ5860">
        <v>115.48458506741299</v>
      </c>
      <c r="AK5860">
        <v>36.986076131550199</v>
      </c>
      <c r="AL5860">
        <v>89.8287635263856</v>
      </c>
      <c r="AM5860">
        <v>92.863369173586094</v>
      </c>
      <c r="AN5860">
        <v>1.00000006190059</v>
      </c>
    </row>
    <row r="5861" spans="1:40" x14ac:dyDescent="0.25">
      <c r="A5861" t="str">
        <f>"20190312160804991"</f>
        <v>20190312160804991</v>
      </c>
      <c r="B5861" t="str">
        <f>"1552378084981433"</f>
        <v>1552378084981433</v>
      </c>
      <c r="C5861" t="s">
        <v>40</v>
      </c>
      <c r="D5861">
        <v>5.8384039999999997</v>
      </c>
      <c r="E5861">
        <v>0.34176250000000002</v>
      </c>
      <c r="F5861" t="s">
        <v>98</v>
      </c>
      <c r="G5861">
        <v>-377.37900000000002</v>
      </c>
      <c r="H5861" s="1">
        <v>-2.7796780000000001E-6</v>
      </c>
      <c r="I5861">
        <v>12.892810000000001</v>
      </c>
      <c r="J5861">
        <v>-413.63290000000001</v>
      </c>
      <c r="K5861">
        <v>1.1160509999999999</v>
      </c>
      <c r="L5861">
        <v>21.908660000000001</v>
      </c>
      <c r="M5861">
        <v>0.77259919999999904</v>
      </c>
      <c r="N5861">
        <v>0</v>
      </c>
      <c r="O5861">
        <v>-0.63472489999999904</v>
      </c>
      <c r="P5861">
        <v>0.80303310000000006</v>
      </c>
      <c r="Q5861">
        <v>-1.090791E-2</v>
      </c>
      <c r="R5861">
        <v>-0.59583439999999999</v>
      </c>
      <c r="S5861">
        <v>3.1575009999999999</v>
      </c>
      <c r="T5861">
        <v>-9.6979499999999996E-2</v>
      </c>
      <c r="U5861">
        <v>-0.78872679999999995</v>
      </c>
      <c r="V5861">
        <v>-4.9419369999999997E-2</v>
      </c>
      <c r="W5861">
        <v>2.990543E-3</v>
      </c>
      <c r="X5861">
        <v>0.99877360000000004</v>
      </c>
      <c r="Y5861">
        <v>-0.42819259999999898</v>
      </c>
      <c r="Z5861">
        <v>2.4088419999999999E-2</v>
      </c>
      <c r="AA5861">
        <v>0.90336640000000001</v>
      </c>
      <c r="AB5861">
        <v>20</v>
      </c>
      <c r="AC5861">
        <v>36.253899999999902</v>
      </c>
      <c r="AD5861">
        <v>-1.1160537796779999</v>
      </c>
      <c r="AE5861">
        <v>-9.0158500000000004</v>
      </c>
      <c r="AF5861">
        <v>-16.0330287536156</v>
      </c>
      <c r="AG5861">
        <v>-1.1160537796779999</v>
      </c>
      <c r="AH5861">
        <v>33.705859792329903</v>
      </c>
      <c r="AI5861">
        <v>91.712696958576799</v>
      </c>
      <c r="AJ5861">
        <v>115.439256437138</v>
      </c>
      <c r="AK5861">
        <v>37.341512708962398</v>
      </c>
      <c r="AL5861">
        <v>89.828654245523893</v>
      </c>
      <c r="AM5861">
        <v>92.832687942715694</v>
      </c>
      <c r="AN5861">
        <v>0.99999996076779496</v>
      </c>
    </row>
    <row r="5862" spans="1:40" x14ac:dyDescent="0.25">
      <c r="A5862" t="str">
        <f>"20190312160805001"</f>
        <v>20190312160805001</v>
      </c>
      <c r="B5862" t="str">
        <f>"1552378084991193"</f>
        <v>1552378084991193</v>
      </c>
      <c r="C5862" t="s">
        <v>40</v>
      </c>
      <c r="D5862">
        <v>5.5272750000000004</v>
      </c>
      <c r="E5862">
        <v>0.34177010000000002</v>
      </c>
      <c r="F5862" t="s">
        <v>98</v>
      </c>
      <c r="G5862">
        <v>-377.47890000000001</v>
      </c>
      <c r="H5862" s="1">
        <v>-2.6913840000000002E-6</v>
      </c>
      <c r="I5862">
        <v>13.080489999999999</v>
      </c>
      <c r="J5862">
        <v>-413.55840000000001</v>
      </c>
      <c r="K5862">
        <v>1.1160369999999999</v>
      </c>
      <c r="L5862">
        <v>21.855070000000001</v>
      </c>
      <c r="M5862">
        <v>0.7758507</v>
      </c>
      <c r="N5862">
        <v>0</v>
      </c>
      <c r="O5862">
        <v>-0.63074669999999999</v>
      </c>
      <c r="P5862">
        <v>0.80579109999999998</v>
      </c>
      <c r="Q5862">
        <v>-1.104023E-2</v>
      </c>
      <c r="R5862">
        <v>-0.59209699999999998</v>
      </c>
      <c r="S5862">
        <v>3.1617130000000002</v>
      </c>
      <c r="T5862">
        <v>-9.7600220000000001E-2</v>
      </c>
      <c r="U5862">
        <v>-0.77203369999999905</v>
      </c>
      <c r="V5862">
        <v>-4.8924570000000001E-2</v>
      </c>
      <c r="W5862">
        <v>2.8646589999999999E-3</v>
      </c>
      <c r="X5862">
        <v>0.99879839999999998</v>
      </c>
      <c r="Y5862">
        <v>-0.4283245</v>
      </c>
      <c r="Z5862">
        <v>2.4146339999999999E-2</v>
      </c>
      <c r="AA5862">
        <v>0.9033023</v>
      </c>
      <c r="AB5862">
        <v>20</v>
      </c>
      <c r="AC5862">
        <v>36.079500000000003</v>
      </c>
      <c r="AD5862">
        <v>-1.1160396913840001</v>
      </c>
      <c r="AE5862">
        <v>-8.7745800000000003</v>
      </c>
      <c r="AF5862">
        <v>-15.9365735331198</v>
      </c>
      <c r="AG5862">
        <v>-1.1160396913840001</v>
      </c>
      <c r="AH5862">
        <v>33.500171356177503</v>
      </c>
      <c r="AI5862">
        <v>91.723157093183403</v>
      </c>
      <c r="AJ5862">
        <v>115.441188931461</v>
      </c>
      <c r="AK5862">
        <v>37.114436563991298</v>
      </c>
      <c r="AL5862">
        <v>89.835866910293106</v>
      </c>
      <c r="AM5862">
        <v>92.804302292891705</v>
      </c>
      <c r="AN5862">
        <v>1.0000000318317099</v>
      </c>
    </row>
    <row r="5863" spans="1:40" x14ac:dyDescent="0.25">
      <c r="A5863" t="str">
        <f>"20190312160805012"</f>
        <v>20190312160805012</v>
      </c>
      <c r="B5863" t="str">
        <f>"1552378085001928"</f>
        <v>1552378085001928</v>
      </c>
      <c r="C5863" t="s">
        <v>40</v>
      </c>
      <c r="D5863">
        <v>5.4971940000000004</v>
      </c>
      <c r="E5863">
        <v>0.34164949999999999</v>
      </c>
      <c r="F5863" t="s">
        <v>98</v>
      </c>
      <c r="G5863">
        <v>-379.2244</v>
      </c>
      <c r="H5863" s="1">
        <v>-1.8717790000000001E-6</v>
      </c>
      <c r="I5863">
        <v>13.64157</v>
      </c>
      <c r="J5863">
        <v>-413.47919999999999</v>
      </c>
      <c r="K5863">
        <v>1.1160190000000001</v>
      </c>
      <c r="L5863">
        <v>21.79843</v>
      </c>
      <c r="M5863">
        <v>0.77927639999999998</v>
      </c>
      <c r="N5863">
        <v>0</v>
      </c>
      <c r="O5863">
        <v>-0.62650939999999999</v>
      </c>
      <c r="P5863">
        <v>0.80868609999999996</v>
      </c>
      <c r="Q5863">
        <v>-1.1503950000000001E-2</v>
      </c>
      <c r="R5863">
        <v>-0.58812819999999899</v>
      </c>
      <c r="S5863">
        <v>3.1652529999999999</v>
      </c>
      <c r="T5863">
        <v>-0.1028876</v>
      </c>
      <c r="U5863">
        <v>-0.75720209999999999</v>
      </c>
      <c r="V5863">
        <v>-4.8381189999999998E-2</v>
      </c>
      <c r="W5863">
        <v>2.4073739999999999E-3</v>
      </c>
      <c r="X5863">
        <v>0.99882599999999999</v>
      </c>
      <c r="Y5863">
        <v>-0.42758770000000001</v>
      </c>
      <c r="Z5863">
        <v>2.5333959999999999E-2</v>
      </c>
      <c r="AA5863">
        <v>0.90361880000000006</v>
      </c>
      <c r="AB5863">
        <v>20</v>
      </c>
      <c r="AC5863">
        <v>34.254799999999904</v>
      </c>
      <c r="AD5863">
        <v>-1.1160208717789999</v>
      </c>
      <c r="AE5863">
        <v>-8.1568599999999893</v>
      </c>
      <c r="AF5863">
        <v>-15.090965294914399</v>
      </c>
      <c r="AG5863">
        <v>-1.1160208717789999</v>
      </c>
      <c r="AH5863">
        <v>31.775795783707299</v>
      </c>
      <c r="AI5863">
        <v>91.817136301975395</v>
      </c>
      <c r="AJ5863">
        <v>115.40398455261401</v>
      </c>
      <c r="AK5863">
        <v>35.194941878151099</v>
      </c>
      <c r="AL5863">
        <v>89.862067490878701</v>
      </c>
      <c r="AM5863">
        <v>92.773128734420894</v>
      </c>
      <c r="AN5863">
        <v>0.99999995663569496</v>
      </c>
    </row>
    <row r="5864" spans="1:40" x14ac:dyDescent="0.25">
      <c r="A5864" t="str">
        <f>"20190312160805023"</f>
        <v>20190312160805023</v>
      </c>
      <c r="B5864" t="str">
        <f>"1552378085011688"</f>
        <v>1552378085011688</v>
      </c>
      <c r="C5864" t="s">
        <v>40</v>
      </c>
      <c r="D5864">
        <v>5.5627069999999996</v>
      </c>
      <c r="E5864">
        <v>0.34143299999999999</v>
      </c>
      <c r="F5864" t="s">
        <v>98</v>
      </c>
      <c r="G5864">
        <v>-379.07459999999998</v>
      </c>
      <c r="H5864" s="1">
        <v>-1.898781E-6</v>
      </c>
      <c r="I5864">
        <v>13.756220000000001</v>
      </c>
      <c r="J5864">
        <v>-413.40280000000001</v>
      </c>
      <c r="K5864">
        <v>1.115999</v>
      </c>
      <c r="L5864">
        <v>21.744720000000001</v>
      </c>
      <c r="M5864">
        <v>0.78253200000000001</v>
      </c>
      <c r="N5864">
        <v>0</v>
      </c>
      <c r="O5864">
        <v>-0.62243809999999999</v>
      </c>
      <c r="P5864">
        <v>0.8114808</v>
      </c>
      <c r="Q5864">
        <v>-1.162437E-2</v>
      </c>
      <c r="R5864">
        <v>-0.58426350000000005</v>
      </c>
      <c r="S5864">
        <v>3.1694640000000001</v>
      </c>
      <c r="T5864">
        <v>-0.1028116</v>
      </c>
      <c r="U5864">
        <v>-0.74087519999999996</v>
      </c>
      <c r="V5864">
        <v>-4.793588E-2</v>
      </c>
      <c r="W5864">
        <v>2.2919799999999999E-3</v>
      </c>
      <c r="X5864">
        <v>0.99884779999999995</v>
      </c>
      <c r="Y5864">
        <v>-0.4275583</v>
      </c>
      <c r="Z5864">
        <v>2.5206719999999998E-2</v>
      </c>
      <c r="AA5864">
        <v>0.90363629999999995</v>
      </c>
      <c r="AB5864">
        <v>20</v>
      </c>
      <c r="AC5864">
        <v>34.328200000000002</v>
      </c>
      <c r="AD5864">
        <v>-1.116000898781</v>
      </c>
      <c r="AE5864">
        <v>-7.9885000000000002</v>
      </c>
      <c r="AF5864">
        <v>-15.102402492227901</v>
      </c>
      <c r="AG5864">
        <v>-1.116000898781</v>
      </c>
      <c r="AH5864">
        <v>31.806787192168098</v>
      </c>
      <c r="AI5864">
        <v>91.815406986062996</v>
      </c>
      <c r="AJ5864">
        <v>115.3991614296</v>
      </c>
      <c r="AK5864">
        <v>35.227826082958998</v>
      </c>
      <c r="AL5864">
        <v>89.868679106221904</v>
      </c>
      <c r="AM5864">
        <v>92.7475837316059</v>
      </c>
      <c r="AN5864">
        <v>1.00000001466426</v>
      </c>
    </row>
    <row r="5865" spans="1:40" x14ac:dyDescent="0.25">
      <c r="A5865" t="str">
        <f>"20190312160805036"</f>
        <v>20190312160805036</v>
      </c>
      <c r="B5865" t="str">
        <f>"1552378085031208"</f>
        <v>1552378085031208</v>
      </c>
      <c r="C5865" t="s">
        <v>40</v>
      </c>
      <c r="D5865">
        <v>5.7810319999999997</v>
      </c>
      <c r="E5865">
        <v>0.3411768</v>
      </c>
      <c r="F5865" t="s">
        <v>98</v>
      </c>
      <c r="G5865">
        <v>-378.52609999999999</v>
      </c>
      <c r="H5865" s="1">
        <v>-2.1014610000000001E-6</v>
      </c>
      <c r="I5865">
        <v>13.78617</v>
      </c>
      <c r="J5865">
        <v>-413.31259999999997</v>
      </c>
      <c r="K5865">
        <v>1.115977</v>
      </c>
      <c r="L5865">
        <v>21.681699999999999</v>
      </c>
      <c r="M5865">
        <v>0.78633649999999999</v>
      </c>
      <c r="N5865">
        <v>0</v>
      </c>
      <c r="O5865">
        <v>-0.61762510000000004</v>
      </c>
      <c r="P5865">
        <v>0.814971</v>
      </c>
      <c r="Q5865">
        <v>-1.192589E-2</v>
      </c>
      <c r="R5865">
        <v>-0.57937910000000004</v>
      </c>
      <c r="S5865">
        <v>3.1739809999999999</v>
      </c>
      <c r="T5865">
        <v>-0.1015626</v>
      </c>
      <c r="U5865">
        <v>-0.72427369999999902</v>
      </c>
      <c r="V5865">
        <v>-4.7799220000000003E-2</v>
      </c>
      <c r="W5865">
        <v>1.9901430000000002E-3</v>
      </c>
      <c r="X5865">
        <v>0.99885500000000005</v>
      </c>
      <c r="Y5865">
        <v>-0.42679859999999997</v>
      </c>
      <c r="Z5865">
        <v>2.476134E-2</v>
      </c>
      <c r="AA5865">
        <v>0.90400760000000002</v>
      </c>
      <c r="AB5865">
        <v>20</v>
      </c>
      <c r="AC5865">
        <v>34.786499999999897</v>
      </c>
      <c r="AD5865">
        <v>-1.1159791014610001</v>
      </c>
      <c r="AE5865">
        <v>-7.8955299999999902</v>
      </c>
      <c r="AF5865">
        <v>-15.2631691337122</v>
      </c>
      <c r="AG5865">
        <v>-1.1159791014610001</v>
      </c>
      <c r="AH5865">
        <v>32.202305470404397</v>
      </c>
      <c r="AI5865">
        <v>91.793671864355403</v>
      </c>
      <c r="AJ5865">
        <v>115.35990041871</v>
      </c>
      <c r="AK5865">
        <v>35.653866816496098</v>
      </c>
      <c r="AL5865">
        <v>89.885973132318696</v>
      </c>
      <c r="AM5865">
        <v>92.739742901295102</v>
      </c>
      <c r="AN5865">
        <v>1.0000000185633799</v>
      </c>
    </row>
    <row r="5866" spans="1:40" x14ac:dyDescent="0.25">
      <c r="A5866" t="str">
        <f>"20190312160805047"</f>
        <v>20190312160805047</v>
      </c>
      <c r="B5866" t="str">
        <f>"1552378085041944"</f>
        <v>1552378085041944</v>
      </c>
      <c r="C5866" t="s">
        <v>40</v>
      </c>
      <c r="D5866">
        <v>5.7936529999999999</v>
      </c>
      <c r="E5866">
        <v>0.34106969999999998</v>
      </c>
      <c r="F5866" t="s">
        <v>98</v>
      </c>
      <c r="G5866">
        <v>-378.05840000000001</v>
      </c>
      <c r="H5866" s="1">
        <v>-2.2562539999999999E-6</v>
      </c>
      <c r="I5866">
        <v>13.879490000000001</v>
      </c>
      <c r="J5866">
        <v>-413.22800000000001</v>
      </c>
      <c r="K5866">
        <v>1.115955</v>
      </c>
      <c r="L5866">
        <v>21.623570000000001</v>
      </c>
      <c r="M5866">
        <v>0.78984860000000001</v>
      </c>
      <c r="N5866">
        <v>0</v>
      </c>
      <c r="O5866">
        <v>-0.61312759999999999</v>
      </c>
      <c r="P5866">
        <v>0.81825040000000004</v>
      </c>
      <c r="Q5866">
        <v>-1.215839E-2</v>
      </c>
      <c r="R5866">
        <v>-0.57473399999999997</v>
      </c>
      <c r="S5866">
        <v>3.1794129999999998</v>
      </c>
      <c r="T5866">
        <v>-0.10064480000000001</v>
      </c>
      <c r="U5866">
        <v>-0.70364380000000004</v>
      </c>
      <c r="V5866">
        <v>-4.7775430000000001E-2</v>
      </c>
      <c r="W5866">
        <v>1.755539E-3</v>
      </c>
      <c r="X5866">
        <v>0.99885650000000004</v>
      </c>
      <c r="Y5866">
        <v>-0.42756739999999999</v>
      </c>
      <c r="Z5866">
        <v>2.4428129999999999E-2</v>
      </c>
      <c r="AA5866">
        <v>0.90365340000000005</v>
      </c>
      <c r="AB5866">
        <v>20</v>
      </c>
      <c r="AC5866">
        <v>35.169600000000003</v>
      </c>
      <c r="AD5866">
        <v>-1.1159572562540001</v>
      </c>
      <c r="AE5866">
        <v>-7.7440800000000003</v>
      </c>
      <c r="AF5866">
        <v>-15.4336321042233</v>
      </c>
      <c r="AG5866">
        <v>-1.1159572562540001</v>
      </c>
      <c r="AH5866">
        <v>32.499036926979102</v>
      </c>
      <c r="AI5866">
        <v>91.776639582232306</v>
      </c>
      <c r="AJ5866">
        <v>115.40281217035501</v>
      </c>
      <c r="AK5866">
        <v>35.994857434187097</v>
      </c>
      <c r="AL5866">
        <v>89.899414966889793</v>
      </c>
      <c r="AM5866">
        <v>92.738377282506804</v>
      </c>
      <c r="AN5866">
        <v>0.99999994061055597</v>
      </c>
    </row>
    <row r="5867" spans="1:40" x14ac:dyDescent="0.25">
      <c r="A5867" t="str">
        <f>"20190312160805070"</f>
        <v>20190312160805070</v>
      </c>
      <c r="B5867" t="str">
        <f>"1552378085061464"</f>
        <v>1552378085061464</v>
      </c>
      <c r="C5867" t="s">
        <v>40</v>
      </c>
      <c r="D5867">
        <v>5.8259919999999896</v>
      </c>
      <c r="E5867">
        <v>0.34102139999999997</v>
      </c>
      <c r="F5867" t="s">
        <v>98</v>
      </c>
      <c r="G5867">
        <v>-378.07279999999997</v>
      </c>
      <c r="H5867" s="1">
        <v>-2.201935E-6</v>
      </c>
      <c r="I5867">
        <v>14.062810000000001</v>
      </c>
      <c r="J5867">
        <v>-413.06240000000003</v>
      </c>
      <c r="K5867">
        <v>1.1158969999999999</v>
      </c>
      <c r="L5867">
        <v>21.511510000000001</v>
      </c>
      <c r="M5867">
        <v>0.79659349999999995</v>
      </c>
      <c r="N5867">
        <v>0</v>
      </c>
      <c r="O5867">
        <v>-0.60433870000000001</v>
      </c>
      <c r="P5867">
        <v>0.82429769999999902</v>
      </c>
      <c r="Q5867">
        <v>-1.221511E-2</v>
      </c>
      <c r="R5867">
        <v>-0.56602519999999901</v>
      </c>
      <c r="S5867">
        <v>3.1838989999999998</v>
      </c>
      <c r="T5867">
        <v>-0.1010687</v>
      </c>
      <c r="U5867">
        <v>-0.68475339999999996</v>
      </c>
      <c r="V5867">
        <v>-4.7297699999999998E-2</v>
      </c>
      <c r="W5867">
        <v>1.700226E-3</v>
      </c>
      <c r="X5867">
        <v>0.99887939999999997</v>
      </c>
      <c r="Y5867">
        <v>-0.42293570000000003</v>
      </c>
      <c r="Z5867">
        <v>2.4236210000000001E-2</v>
      </c>
      <c r="AA5867">
        <v>0.90583550000000002</v>
      </c>
      <c r="AB5867">
        <v>20</v>
      </c>
      <c r="AC5867">
        <v>34.989600000000003</v>
      </c>
      <c r="AD5867">
        <v>-1.11589920193499</v>
      </c>
      <c r="AE5867">
        <v>-7.4486999999999997</v>
      </c>
      <c r="AF5867">
        <v>-15.1988189551733</v>
      </c>
      <c r="AG5867">
        <v>-1.11589920193499</v>
      </c>
      <c r="AH5867">
        <v>32.346009187604302</v>
      </c>
      <c r="AI5867">
        <v>91.788403207178504</v>
      </c>
      <c r="AJ5867">
        <v>115.168003272242</v>
      </c>
      <c r="AK5867">
        <v>35.756309080015498</v>
      </c>
      <c r="AL5867">
        <v>89.902584179969494</v>
      </c>
      <c r="AM5867">
        <v>92.710973900425103</v>
      </c>
      <c r="AN5867">
        <v>1.00000000946905</v>
      </c>
    </row>
    <row r="5868" spans="1:40" x14ac:dyDescent="0.25">
      <c r="A5868" t="str">
        <f>"20190312160805082"</f>
        <v>20190312160805082</v>
      </c>
      <c r="B5868" t="str">
        <f>"1552378085071225"</f>
        <v>1552378085071225</v>
      </c>
      <c r="C5868" t="s">
        <v>40</v>
      </c>
      <c r="D5868">
        <v>5.8203559999999896</v>
      </c>
      <c r="E5868">
        <v>0.34104570000000001</v>
      </c>
      <c r="F5868" t="s">
        <v>98</v>
      </c>
      <c r="G5868">
        <v>-377.67020000000002</v>
      </c>
      <c r="H5868" s="1">
        <v>-2.2945159999999998E-6</v>
      </c>
      <c r="I5868">
        <v>14.29599</v>
      </c>
      <c r="J5868">
        <v>-412.97</v>
      </c>
      <c r="K5868">
        <v>1.1158539999999999</v>
      </c>
      <c r="L5868">
        <v>21.450199999999999</v>
      </c>
      <c r="M5868">
        <v>0.80026960000000003</v>
      </c>
      <c r="N5868">
        <v>0</v>
      </c>
      <c r="O5868">
        <v>-0.59946269999999902</v>
      </c>
      <c r="P5868">
        <v>0.82770540000000004</v>
      </c>
      <c r="Q5868">
        <v>-1.230437E-2</v>
      </c>
      <c r="R5868">
        <v>-0.56102819999999998</v>
      </c>
      <c r="S5868">
        <v>3.1912229999999999</v>
      </c>
      <c r="T5868">
        <v>-0.1006176</v>
      </c>
      <c r="U5868">
        <v>-0.65060419999999997</v>
      </c>
      <c r="V5868">
        <v>-4.7238170000000003E-2</v>
      </c>
      <c r="W5868">
        <v>1.6086729999999999E-3</v>
      </c>
      <c r="X5868">
        <v>0.99888239999999995</v>
      </c>
      <c r="Y5868">
        <v>-0.42711640000000001</v>
      </c>
      <c r="Z5868">
        <v>2.406142E-2</v>
      </c>
      <c r="AA5868">
        <v>0.90387649999999997</v>
      </c>
      <c r="AB5868">
        <v>20</v>
      </c>
      <c r="AC5868">
        <v>35.299799999999998</v>
      </c>
      <c r="AD5868">
        <v>-1.115856294516</v>
      </c>
      <c r="AE5868">
        <v>-7.1542099999999902</v>
      </c>
      <c r="AF5868">
        <v>-15.4224583063555</v>
      </c>
      <c r="AG5868">
        <v>-1.115856294516</v>
      </c>
      <c r="AH5868">
        <v>32.510301302028097</v>
      </c>
      <c r="AI5868">
        <v>91.776213261819706</v>
      </c>
      <c r="AJ5868">
        <v>115.379046018559</v>
      </c>
      <c r="AK5868">
        <v>36.000236752415098</v>
      </c>
      <c r="AL5868">
        <v>89.907829790488705</v>
      </c>
      <c r="AM5868">
        <v>92.707558765771793</v>
      </c>
      <c r="AN5868">
        <v>1.00000004078176</v>
      </c>
    </row>
    <row r="5869" spans="1:40" x14ac:dyDescent="0.25">
      <c r="A5869" t="str">
        <f>"20190312160805095"</f>
        <v>20190312160805095</v>
      </c>
      <c r="B5869" t="str">
        <f>"1552378085091721"</f>
        <v>1552378085091721</v>
      </c>
      <c r="C5869" t="s">
        <v>40</v>
      </c>
      <c r="D5869">
        <v>5.8897059999999897</v>
      </c>
      <c r="E5869">
        <v>0.34143839999999998</v>
      </c>
      <c r="F5869" t="s">
        <v>98</v>
      </c>
      <c r="G5869">
        <v>-377.44029999999998</v>
      </c>
      <c r="H5869" s="1">
        <v>-2.3475369999999999E-6</v>
      </c>
      <c r="I5869">
        <v>14.428419999999999</v>
      </c>
      <c r="J5869">
        <v>-412.87380000000002</v>
      </c>
      <c r="K5869">
        <v>1.115812</v>
      </c>
      <c r="L5869">
        <v>21.38693</v>
      </c>
      <c r="M5869">
        <v>0.80404629999999999</v>
      </c>
      <c r="N5869">
        <v>0</v>
      </c>
      <c r="O5869">
        <v>-0.59438749999999996</v>
      </c>
      <c r="P5869">
        <v>0.83099719999999999</v>
      </c>
      <c r="Q5869">
        <v>-1.255307E-2</v>
      </c>
      <c r="R5869">
        <v>-0.55613519999999905</v>
      </c>
      <c r="S5869">
        <v>3.1950379999999998</v>
      </c>
      <c r="T5869">
        <v>-0.1003443</v>
      </c>
      <c r="U5869">
        <v>-0.63143919999999998</v>
      </c>
      <c r="V5869">
        <v>-4.680571E-2</v>
      </c>
      <c r="W5869">
        <v>1.362149E-3</v>
      </c>
      <c r="X5869">
        <v>0.99890310000000004</v>
      </c>
      <c r="Y5869">
        <v>-0.42682439999999999</v>
      </c>
      <c r="Z5869">
        <v>2.386191E-2</v>
      </c>
      <c r="AA5869">
        <v>0.90401969999999998</v>
      </c>
      <c r="AB5869">
        <v>20</v>
      </c>
      <c r="AC5869">
        <v>35.433500000000002</v>
      </c>
      <c r="AD5869">
        <v>-1.1158143475369999</v>
      </c>
      <c r="AE5869">
        <v>-6.9585099999999898</v>
      </c>
      <c r="AF5869">
        <v>-15.453158058183</v>
      </c>
      <c r="AG5869">
        <v>-1.1158143475369999</v>
      </c>
      <c r="AH5869">
        <v>32.5985761686172</v>
      </c>
      <c r="AI5869">
        <v>91.771574900692897</v>
      </c>
      <c r="AJ5869">
        <v>115.363008276268</v>
      </c>
      <c r="AK5869">
        <v>36.093106043266701</v>
      </c>
      <c r="AL5869">
        <v>89.921954588389795</v>
      </c>
      <c r="AM5869">
        <v>92.682752245002305</v>
      </c>
      <c r="AN5869">
        <v>1.0000000165640499</v>
      </c>
    </row>
    <row r="5870" spans="1:40" x14ac:dyDescent="0.25">
      <c r="A5870" t="str">
        <f>"20190312160805107"</f>
        <v>20190312160805107</v>
      </c>
      <c r="B5870" t="str">
        <f>"1552378085101481"</f>
        <v>1552378085101481</v>
      </c>
      <c r="C5870" t="s">
        <v>40</v>
      </c>
      <c r="D5870">
        <v>5.4925420000000003</v>
      </c>
      <c r="E5870">
        <v>0.34143010000000001</v>
      </c>
      <c r="F5870" t="s">
        <v>98</v>
      </c>
      <c r="G5870">
        <v>-378.65359999999998</v>
      </c>
      <c r="H5870" s="1">
        <v>-1.782058E-6</v>
      </c>
      <c r="I5870">
        <v>14.80265</v>
      </c>
      <c r="J5870">
        <v>-412.78629999999998</v>
      </c>
      <c r="K5870">
        <v>1.115767</v>
      </c>
      <c r="L5870">
        <v>21.330439999999999</v>
      </c>
      <c r="M5870">
        <v>0.80741200000000002</v>
      </c>
      <c r="N5870">
        <v>0</v>
      </c>
      <c r="O5870">
        <v>-0.58980749999999904</v>
      </c>
      <c r="P5870">
        <v>0.83405439999999997</v>
      </c>
      <c r="Q5870">
        <v>-1.2748000000000001E-2</v>
      </c>
      <c r="R5870">
        <v>-0.55153469999999905</v>
      </c>
      <c r="S5870">
        <v>3.1968990000000002</v>
      </c>
      <c r="T5870">
        <v>-0.10424070000000001</v>
      </c>
      <c r="U5870">
        <v>-0.61511229999999995</v>
      </c>
      <c r="V5870">
        <v>-4.6642339999999997E-2</v>
      </c>
      <c r="W5870">
        <v>1.165215E-3</v>
      </c>
      <c r="X5870">
        <v>0.99891099999999999</v>
      </c>
      <c r="Y5870">
        <v>-0.4261993</v>
      </c>
      <c r="Z5870">
        <v>2.4665989999999999E-2</v>
      </c>
      <c r="AA5870">
        <v>0.90429289999999996</v>
      </c>
      <c r="AB5870">
        <v>20</v>
      </c>
      <c r="AC5870">
        <v>34.1327</v>
      </c>
      <c r="AD5870">
        <v>-1.115768782058</v>
      </c>
      <c r="AE5870">
        <v>-6.5277900000000004</v>
      </c>
      <c r="AF5870">
        <v>-14.8473834504611</v>
      </c>
      <c r="AG5870">
        <v>-1.115768782058</v>
      </c>
      <c r="AH5870">
        <v>31.3802871425303</v>
      </c>
      <c r="AI5870">
        <v>91.840872493543998</v>
      </c>
      <c r="AJ5870">
        <v>115.320874431795</v>
      </c>
      <c r="AK5870">
        <v>34.7334443504772</v>
      </c>
      <c r="AL5870">
        <v>89.933238084887293</v>
      </c>
      <c r="AM5870">
        <v>92.673380900257499</v>
      </c>
      <c r="AN5870">
        <v>1.00000002576383</v>
      </c>
    </row>
    <row r="5871" spans="1:40" x14ac:dyDescent="0.25">
      <c r="A5871" t="str">
        <f>"20190312160805118"</f>
        <v>20190312160805118</v>
      </c>
      <c r="B5871" t="str">
        <f>"1552378085111241"</f>
        <v>1552378085111241</v>
      </c>
      <c r="C5871" t="s">
        <v>40</v>
      </c>
      <c r="D5871">
        <v>5.9217360000000001</v>
      </c>
      <c r="E5871">
        <v>0.34148519999999999</v>
      </c>
      <c r="F5871" t="s">
        <v>98</v>
      </c>
      <c r="G5871">
        <v>-378.35340000000002</v>
      </c>
      <c r="H5871" s="1">
        <v>-1.8704529999999999E-6</v>
      </c>
      <c r="I5871">
        <v>14.90368</v>
      </c>
      <c r="J5871">
        <v>-412.71159999999998</v>
      </c>
      <c r="K5871">
        <v>1.115734</v>
      </c>
      <c r="L5871">
        <v>21.282530000000001</v>
      </c>
      <c r="M5871">
        <v>0.81024830000000003</v>
      </c>
      <c r="N5871">
        <v>0</v>
      </c>
      <c r="O5871">
        <v>-0.58590529999999996</v>
      </c>
      <c r="P5871">
        <v>0.83648940000000005</v>
      </c>
      <c r="Q5871">
        <v>-1.30639E-2</v>
      </c>
      <c r="R5871">
        <v>-0.54782790000000003</v>
      </c>
      <c r="S5871">
        <v>3.2002869999999999</v>
      </c>
      <c r="T5871">
        <v>-0.1037024</v>
      </c>
      <c r="U5871">
        <v>-0.59732059999999998</v>
      </c>
      <c r="V5871">
        <v>-4.624843E-2</v>
      </c>
      <c r="W5871">
        <v>8.5193309999999996E-4</v>
      </c>
      <c r="X5871">
        <v>0.99892959999999997</v>
      </c>
      <c r="Y5871">
        <v>-0.42687259999999999</v>
      </c>
      <c r="Z5871">
        <v>2.4444649999999998E-2</v>
      </c>
      <c r="AA5871">
        <v>0.90398129999999999</v>
      </c>
      <c r="AB5871">
        <v>20</v>
      </c>
      <c r="AC5871">
        <v>34.358199999999897</v>
      </c>
      <c r="AD5871">
        <v>-1.115735870453</v>
      </c>
      <c r="AE5871">
        <v>-6.3788499999999901</v>
      </c>
      <c r="AF5871">
        <v>-14.948551827730901</v>
      </c>
      <c r="AG5871">
        <v>-1.115735870453</v>
      </c>
      <c r="AH5871">
        <v>31.5472740761235</v>
      </c>
      <c r="AI5871">
        <v>91.830583941659896</v>
      </c>
      <c r="AJ5871">
        <v>115.353749804728</v>
      </c>
      <c r="AK5871">
        <v>34.927561751617098</v>
      </c>
      <c r="AL5871">
        <v>89.951187822765107</v>
      </c>
      <c r="AM5871">
        <v>92.650786367325395</v>
      </c>
      <c r="AN5871">
        <v>0.99999999441181497</v>
      </c>
    </row>
    <row r="5872" spans="1:40" x14ac:dyDescent="0.25">
      <c r="A5872" t="str">
        <f>"20190312160805129"</f>
        <v>20190312160805129</v>
      </c>
      <c r="B5872" t="str">
        <f>"1552378085121977"</f>
        <v>1552378085121977</v>
      </c>
      <c r="C5872" t="s">
        <v>40</v>
      </c>
      <c r="D5872">
        <v>5.8638029999999999</v>
      </c>
      <c r="E5872">
        <v>0.34155609999999997</v>
      </c>
      <c r="F5872" t="s">
        <v>98</v>
      </c>
      <c r="G5872">
        <v>-378.34390000000002</v>
      </c>
      <c r="H5872" s="1">
        <v>-1.84287E-6</v>
      </c>
      <c r="I5872">
        <v>15.020989999999999</v>
      </c>
      <c r="J5872">
        <v>-412.61989999999997</v>
      </c>
      <c r="K5872">
        <v>1.1156889999999999</v>
      </c>
      <c r="L5872">
        <v>21.224489999999999</v>
      </c>
      <c r="M5872">
        <v>0.81367679999999998</v>
      </c>
      <c r="N5872">
        <v>0</v>
      </c>
      <c r="O5872">
        <v>-0.5811347</v>
      </c>
      <c r="P5872">
        <v>0.83949660000000004</v>
      </c>
      <c r="Q5872">
        <v>-1.349906E-2</v>
      </c>
      <c r="R5872">
        <v>-0.54319729999999999</v>
      </c>
      <c r="S5872">
        <v>3.2026370000000002</v>
      </c>
      <c r="T5872">
        <v>-0.1039726</v>
      </c>
      <c r="U5872">
        <v>-0.58349609999999996</v>
      </c>
      <c r="V5872">
        <v>-4.5888819999999997E-2</v>
      </c>
      <c r="W5872">
        <v>4.170577E-4</v>
      </c>
      <c r="X5872">
        <v>0.99894649999999996</v>
      </c>
      <c r="Y5872">
        <v>-0.42545349999999998</v>
      </c>
      <c r="Z5872">
        <v>2.4360590000000001E-2</v>
      </c>
      <c r="AA5872">
        <v>0.90465240000000002</v>
      </c>
      <c r="AB5872">
        <v>20</v>
      </c>
      <c r="AC5872">
        <v>34.275999999999897</v>
      </c>
      <c r="AD5872">
        <v>-1.1156908428700001</v>
      </c>
      <c r="AE5872">
        <v>-6.2035</v>
      </c>
      <c r="AF5872">
        <v>-14.8576668263009</v>
      </c>
      <c r="AG5872">
        <v>-1.1156908428700001</v>
      </c>
      <c r="AH5872">
        <v>31.465721323983001</v>
      </c>
      <c r="AI5872">
        <v>91.836428522256398</v>
      </c>
      <c r="AJ5872">
        <v>115.276015919762</v>
      </c>
      <c r="AK5872">
        <v>34.815034798442902</v>
      </c>
      <c r="AL5872">
        <v>89.976104354091504</v>
      </c>
      <c r="AM5872">
        <v>92.630159495284701</v>
      </c>
      <c r="AN5872">
        <v>1.00000003380018</v>
      </c>
    </row>
    <row r="5873" spans="1:40" x14ac:dyDescent="0.25">
      <c r="A5873" t="str">
        <f>"20190312160805140"</f>
        <v>20190312160805140</v>
      </c>
      <c r="B5873" t="str">
        <f>"1552378085131736"</f>
        <v>1552378085131736</v>
      </c>
      <c r="C5873" t="s">
        <v>40</v>
      </c>
      <c r="D5873">
        <v>5.8657539999999999</v>
      </c>
      <c r="E5873">
        <v>0.34167710000000001</v>
      </c>
      <c r="F5873" t="s">
        <v>98</v>
      </c>
      <c r="G5873">
        <v>-378.33139999999997</v>
      </c>
      <c r="H5873" s="1">
        <v>-1.8086440000000001E-6</v>
      </c>
      <c r="I5873">
        <v>15.16769</v>
      </c>
      <c r="J5873">
        <v>-412.53739999999999</v>
      </c>
      <c r="K5873">
        <v>1.1156440000000001</v>
      </c>
      <c r="L5873">
        <v>21.172910000000002</v>
      </c>
      <c r="M5873">
        <v>0.81670569999999998</v>
      </c>
      <c r="N5873">
        <v>0</v>
      </c>
      <c r="O5873">
        <v>-0.57687060000000001</v>
      </c>
      <c r="P5873">
        <v>0.84211150000000001</v>
      </c>
      <c r="Q5873">
        <v>-1.3326859999999999E-2</v>
      </c>
      <c r="R5873">
        <v>-0.53913900000000003</v>
      </c>
      <c r="S5873">
        <v>3.2054749999999999</v>
      </c>
      <c r="T5873">
        <v>-0.104301</v>
      </c>
      <c r="U5873">
        <v>-0.56622309999999998</v>
      </c>
      <c r="V5873">
        <v>-4.5489160000000001E-2</v>
      </c>
      <c r="W5873">
        <v>5.9014949999999897E-4</v>
      </c>
      <c r="X5873">
        <v>0.99896470000000004</v>
      </c>
      <c r="Y5873">
        <v>-0.42558319999999999</v>
      </c>
      <c r="Z5873">
        <v>2.4326489999999999E-2</v>
      </c>
      <c r="AA5873">
        <v>0.90459230000000002</v>
      </c>
      <c r="AB5873">
        <v>20</v>
      </c>
      <c r="AC5873">
        <v>34.206000000000003</v>
      </c>
      <c r="AD5873">
        <v>-1.115645808644</v>
      </c>
      <c r="AE5873">
        <v>-6.0052199999999996</v>
      </c>
      <c r="AF5873">
        <v>-14.8142234217975</v>
      </c>
      <c r="AG5873">
        <v>-1.115645808644</v>
      </c>
      <c r="AH5873">
        <v>31.371426562599702</v>
      </c>
      <c r="AI5873">
        <v>91.841845784557805</v>
      </c>
      <c r="AJ5873">
        <v>115.277630627082</v>
      </c>
      <c r="AK5873">
        <v>34.711270298476101</v>
      </c>
      <c r="AL5873">
        <v>89.966186923822207</v>
      </c>
      <c r="AM5873">
        <v>92.607236931011798</v>
      </c>
      <c r="AN5873">
        <v>1.0000000419000099</v>
      </c>
    </row>
    <row r="5874" spans="1:40" x14ac:dyDescent="0.25">
      <c r="A5874" t="str">
        <f>"20190312160805151"</f>
        <v>20190312160805151</v>
      </c>
      <c r="B5874" t="str">
        <f>"1552378085141497"</f>
        <v>1552378085141497</v>
      </c>
      <c r="C5874" t="s">
        <v>40</v>
      </c>
      <c r="D5874">
        <v>5.8716239999999997</v>
      </c>
      <c r="E5874">
        <v>0.34199099999999999</v>
      </c>
      <c r="F5874" t="s">
        <v>98</v>
      </c>
      <c r="G5874">
        <v>-377.90600000000001</v>
      </c>
      <c r="H5874" s="1">
        <v>-1.9588639999999999E-6</v>
      </c>
      <c r="I5874">
        <v>15.21715</v>
      </c>
      <c r="J5874">
        <v>-412.45569999999998</v>
      </c>
      <c r="K5874">
        <v>1.1156060000000001</v>
      </c>
      <c r="L5874">
        <v>21.122160000000001</v>
      </c>
      <c r="M5874">
        <v>0.81967000000000001</v>
      </c>
      <c r="N5874">
        <v>0</v>
      </c>
      <c r="O5874">
        <v>-0.57265120000000003</v>
      </c>
      <c r="P5874">
        <v>0.84461219999999904</v>
      </c>
      <c r="Q5874">
        <v>-1.357892E-2</v>
      </c>
      <c r="R5874">
        <v>-0.53520639999999997</v>
      </c>
      <c r="S5874">
        <v>3.2076419999999999</v>
      </c>
      <c r="T5874">
        <v>-0.1033336</v>
      </c>
      <c r="U5874">
        <v>-0.55163569999999995</v>
      </c>
      <c r="V5874">
        <v>-4.4989479999999998E-2</v>
      </c>
      <c r="W5874">
        <v>3.4076370000000003E-4</v>
      </c>
      <c r="X5874">
        <v>0.99898739999999997</v>
      </c>
      <c r="Y5874">
        <v>-0.42502499999999999</v>
      </c>
      <c r="Z5874">
        <v>2.3982409999999999E-2</v>
      </c>
      <c r="AA5874">
        <v>0.9048638</v>
      </c>
      <c r="AB5874">
        <v>20</v>
      </c>
      <c r="AC5874">
        <v>34.549699999999902</v>
      </c>
      <c r="AD5874">
        <v>-1.11560795886399</v>
      </c>
      <c r="AE5874">
        <v>-5.9050099999999999</v>
      </c>
      <c r="AF5874">
        <v>-14.9312236825692</v>
      </c>
      <c r="AG5874">
        <v>-1.11560795886399</v>
      </c>
      <c r="AH5874">
        <v>31.6721342453307</v>
      </c>
      <c r="AI5874">
        <v>91.824864021535603</v>
      </c>
      <c r="AJ5874">
        <v>115.240639799313</v>
      </c>
      <c r="AK5874">
        <v>35.032986019336803</v>
      </c>
      <c r="AL5874">
        <v>89.980475677749993</v>
      </c>
      <c r="AM5874">
        <v>92.578577845512399</v>
      </c>
      <c r="AN5874">
        <v>0.99999999739466405</v>
      </c>
    </row>
    <row r="5875" spans="1:40" x14ac:dyDescent="0.25">
      <c r="A5875" t="str">
        <f>"20190312160805162"</f>
        <v>20190312160805162</v>
      </c>
      <c r="B5875" t="str">
        <f>"1552378085151256"</f>
        <v>1552378085151256</v>
      </c>
      <c r="C5875" t="s">
        <v>40</v>
      </c>
      <c r="D5875">
        <v>5.8733979999999999</v>
      </c>
      <c r="E5875">
        <v>0.34231119999999998</v>
      </c>
      <c r="F5875" t="s">
        <v>98</v>
      </c>
      <c r="G5875">
        <v>-378.39920000000001</v>
      </c>
      <c r="H5875" s="1">
        <v>-1.719961E-6</v>
      </c>
      <c r="I5875">
        <v>15.40316</v>
      </c>
      <c r="J5875">
        <v>-412.37400000000002</v>
      </c>
      <c r="K5875">
        <v>1.1155619999999999</v>
      </c>
      <c r="L5875">
        <v>21.072299999999998</v>
      </c>
      <c r="M5875">
        <v>0.82257159999999996</v>
      </c>
      <c r="N5875">
        <v>0</v>
      </c>
      <c r="O5875">
        <v>-0.56847539999999996</v>
      </c>
      <c r="P5875">
        <v>0.84708269999999997</v>
      </c>
      <c r="Q5875">
        <v>-1.3523719999999999E-2</v>
      </c>
      <c r="R5875">
        <v>-0.53128909999999996</v>
      </c>
      <c r="S5875">
        <v>3.2088320000000001</v>
      </c>
      <c r="T5875">
        <v>-0.1051135</v>
      </c>
      <c r="U5875">
        <v>-0.53884889999999996</v>
      </c>
      <c r="V5875">
        <v>-4.4536939999999997E-2</v>
      </c>
      <c r="W5875">
        <v>3.9703060000000003E-4</v>
      </c>
      <c r="X5875">
        <v>0.9990076</v>
      </c>
      <c r="Y5875">
        <v>-0.42396889999999998</v>
      </c>
      <c r="Z5875">
        <v>2.4272330000000002E-2</v>
      </c>
      <c r="AA5875">
        <v>0.90535140000000003</v>
      </c>
      <c r="AB5875">
        <v>20</v>
      </c>
      <c r="AC5875">
        <v>33.974800000000002</v>
      </c>
      <c r="AD5875">
        <v>-1.115563719961</v>
      </c>
      <c r="AE5875">
        <v>-5.6691399999999899</v>
      </c>
      <c r="AF5875">
        <v>-14.6367623461742</v>
      </c>
      <c r="AG5875">
        <v>-1.115563719961</v>
      </c>
      <c r="AH5875">
        <v>31.140107855359499</v>
      </c>
      <c r="AI5875">
        <v>91.856948511968497</v>
      </c>
      <c r="AJ5875">
        <v>115.174898400879</v>
      </c>
      <c r="AK5875">
        <v>34.426524826579602</v>
      </c>
      <c r="AL5875">
        <v>89.977251820337102</v>
      </c>
      <c r="AM5875">
        <v>92.552623393050894</v>
      </c>
      <c r="AN5875">
        <v>0.99999994075780796</v>
      </c>
    </row>
    <row r="5876" spans="1:40" x14ac:dyDescent="0.25">
      <c r="A5876" t="str">
        <f>"20190312160805172"</f>
        <v>20190312160805172</v>
      </c>
      <c r="B5876" t="str">
        <f>"1552378085161993"</f>
        <v>1552378085161993</v>
      </c>
      <c r="C5876" t="s">
        <v>40</v>
      </c>
      <c r="D5876">
        <v>5.8399510000000001</v>
      </c>
      <c r="E5876">
        <v>0.34262500000000001</v>
      </c>
      <c r="F5876" t="s">
        <v>98</v>
      </c>
      <c r="G5876">
        <v>-378.65159999999997</v>
      </c>
      <c r="H5876" s="1">
        <v>-1.5850380000000001E-6</v>
      </c>
      <c r="I5876">
        <v>15.54599</v>
      </c>
      <c r="J5876">
        <v>-412.29379999999998</v>
      </c>
      <c r="K5876">
        <v>1.115516</v>
      </c>
      <c r="L5876">
        <v>21.023499999999999</v>
      </c>
      <c r="M5876">
        <v>0.82539110000000004</v>
      </c>
      <c r="N5876">
        <v>0</v>
      </c>
      <c r="O5876">
        <v>-0.5643743</v>
      </c>
      <c r="P5876">
        <v>0.84961279999999995</v>
      </c>
      <c r="Q5876">
        <v>-1.366592E-2</v>
      </c>
      <c r="R5876">
        <v>-0.52723009999999904</v>
      </c>
      <c r="S5876">
        <v>3.2099299999999999</v>
      </c>
      <c r="T5876">
        <v>-0.1061869</v>
      </c>
      <c r="U5876">
        <v>-0.52603149999999999</v>
      </c>
      <c r="V5876">
        <v>-4.4341159999999998E-2</v>
      </c>
      <c r="W5876">
        <v>2.5207209999999997E-4</v>
      </c>
      <c r="X5876">
        <v>0.99901640000000003</v>
      </c>
      <c r="Y5876">
        <v>-0.42302269999999997</v>
      </c>
      <c r="Z5876">
        <v>2.4399549999999999E-2</v>
      </c>
      <c r="AA5876">
        <v>0.90579050000000005</v>
      </c>
      <c r="AB5876">
        <v>20</v>
      </c>
      <c r="AC5876">
        <v>33.642200000000003</v>
      </c>
      <c r="AD5876">
        <v>-1.1155175850379999</v>
      </c>
      <c r="AE5876">
        <v>-5.4775099999999899</v>
      </c>
      <c r="AF5876">
        <v>-14.4517537992536</v>
      </c>
      <c r="AG5876">
        <v>-1.1155175850379999</v>
      </c>
      <c r="AH5876">
        <v>30.829576425593601</v>
      </c>
      <c r="AI5876">
        <v>91.876475201711401</v>
      </c>
      <c r="AJ5876">
        <v>115.115428887929</v>
      </c>
      <c r="AK5876">
        <v>34.066997958996801</v>
      </c>
      <c r="AL5876">
        <v>89.985557332163594</v>
      </c>
      <c r="AM5876">
        <v>92.541394699650894</v>
      </c>
      <c r="AN5876">
        <v>0.99999998473972396</v>
      </c>
    </row>
    <row r="5877" spans="1:40" x14ac:dyDescent="0.25">
      <c r="A5877" t="str">
        <f>"20190312160805184"</f>
        <v>20190312160805184</v>
      </c>
      <c r="B5877" t="str">
        <f>"1552378085181512"</f>
        <v>1552378085181512</v>
      </c>
      <c r="C5877" t="s">
        <v>40</v>
      </c>
      <c r="D5877">
        <v>5.8923120000000004</v>
      </c>
      <c r="E5877">
        <v>0.34348040000000002</v>
      </c>
      <c r="F5877" t="s">
        <v>98</v>
      </c>
      <c r="G5877">
        <v>-378.85359999999997</v>
      </c>
      <c r="H5877" s="1">
        <v>-1.470616E-6</v>
      </c>
      <c r="I5877">
        <v>15.68446</v>
      </c>
      <c r="J5877">
        <v>-412.21379999999999</v>
      </c>
      <c r="K5877">
        <v>1.1154729999999999</v>
      </c>
      <c r="L5877">
        <v>20.975770000000001</v>
      </c>
      <c r="M5877">
        <v>0.82813799999999904</v>
      </c>
      <c r="N5877">
        <v>0</v>
      </c>
      <c r="O5877">
        <v>-0.5603359</v>
      </c>
      <c r="P5877">
        <v>0.85199760000000002</v>
      </c>
      <c r="Q5877">
        <v>-1.396728E-2</v>
      </c>
      <c r="R5877">
        <v>-0.52335980000000004</v>
      </c>
      <c r="S5877">
        <v>3.211182</v>
      </c>
      <c r="T5877">
        <v>-0.10712049999999999</v>
      </c>
      <c r="U5877">
        <v>-0.51269529999999996</v>
      </c>
      <c r="V5877">
        <v>-4.3998639999999999E-2</v>
      </c>
      <c r="W5877" s="1">
        <v>-5.065149E-5</v>
      </c>
      <c r="X5877">
        <v>0.99903160000000002</v>
      </c>
      <c r="Y5877">
        <v>-0.42231289999999999</v>
      </c>
      <c r="Z5877">
        <v>2.449662E-2</v>
      </c>
      <c r="AA5877">
        <v>0.90611900000000001</v>
      </c>
      <c r="AB5877">
        <v>20</v>
      </c>
      <c r="AC5877">
        <v>33.360199999999999</v>
      </c>
      <c r="AD5877">
        <v>-1.115474470616</v>
      </c>
      <c r="AE5877">
        <v>-5.2913099999999904</v>
      </c>
      <c r="AF5877">
        <v>-14.296901393019599</v>
      </c>
      <c r="AG5877">
        <v>-1.115474470616</v>
      </c>
      <c r="AH5877">
        <v>30.561659227112902</v>
      </c>
      <c r="AI5877">
        <v>91.893535896989704</v>
      </c>
      <c r="AJ5877">
        <v>115.07043483650401</v>
      </c>
      <c r="AK5877">
        <v>33.758860873117499</v>
      </c>
      <c r="AL5877">
        <v>90.002902116574205</v>
      </c>
      <c r="AM5877">
        <v>92.521750434690404</v>
      </c>
      <c r="AN5877">
        <v>1.00000001034299</v>
      </c>
    </row>
    <row r="5878" spans="1:40" x14ac:dyDescent="0.25">
      <c r="A5878" t="str">
        <f>"20190312160805195"</f>
        <v>20190312160805195</v>
      </c>
      <c r="B5878" t="str">
        <f>"1552378085191273"</f>
        <v>1552378085191273</v>
      </c>
      <c r="C5878" t="s">
        <v>40</v>
      </c>
      <c r="D5878">
        <v>5.9124270000000001</v>
      </c>
      <c r="E5878">
        <v>0.34390809999999999</v>
      </c>
      <c r="F5878" t="s">
        <v>99</v>
      </c>
      <c r="G5878">
        <v>-380.14659999999998</v>
      </c>
      <c r="H5878" s="1">
        <v>-5.3098170000000002E-6</v>
      </c>
      <c r="I5878">
        <v>15.942830000000001</v>
      </c>
      <c r="J5878">
        <v>-412.13339999999999</v>
      </c>
      <c r="K5878">
        <v>1.1154280000000001</v>
      </c>
      <c r="L5878">
        <v>20.92783</v>
      </c>
      <c r="M5878">
        <v>0.83087659999999997</v>
      </c>
      <c r="N5878">
        <v>0</v>
      </c>
      <c r="O5878">
        <v>-0.55626769999999903</v>
      </c>
      <c r="P5878">
        <v>0.85447260000000003</v>
      </c>
      <c r="Q5878">
        <v>-1.401763E-2</v>
      </c>
      <c r="R5878">
        <v>-0.51930750000000003</v>
      </c>
      <c r="S5878">
        <v>3.2098390000000001</v>
      </c>
      <c r="T5878">
        <v>-0.1116563</v>
      </c>
      <c r="U5878">
        <v>-0.50378420000000002</v>
      </c>
      <c r="V5878">
        <v>-4.3842390000000002E-2</v>
      </c>
      <c r="W5878">
        <v>-1.0465480000000001E-4</v>
      </c>
      <c r="X5878">
        <v>0.99903850000000005</v>
      </c>
      <c r="Y5878">
        <v>-0.42022150000000003</v>
      </c>
      <c r="Z5878">
        <v>2.5401139999999999E-2</v>
      </c>
      <c r="AA5878">
        <v>0.90706600000000004</v>
      </c>
      <c r="AB5878">
        <v>20</v>
      </c>
      <c r="AC5878">
        <v>31.986799999999999</v>
      </c>
      <c r="AD5878">
        <v>-1.115433309817</v>
      </c>
      <c r="AE5878">
        <v>-4.9850000000000003</v>
      </c>
      <c r="AF5878">
        <v>-13.6365503208524</v>
      </c>
      <c r="AG5878">
        <v>-1.115433309817</v>
      </c>
      <c r="AH5878">
        <v>29.318358343451798</v>
      </c>
      <c r="AI5878">
        <v>91.975729773220493</v>
      </c>
      <c r="AJ5878">
        <v>114.94407328973401</v>
      </c>
      <c r="AK5878">
        <v>32.353760709952098</v>
      </c>
      <c r="AL5878">
        <v>90.005996278085107</v>
      </c>
      <c r="AM5878">
        <v>92.512789244649596</v>
      </c>
      <c r="AN5878">
        <v>1.0000000452978901</v>
      </c>
    </row>
    <row r="5879" spans="1:40" x14ac:dyDescent="0.25">
      <c r="A5879" t="str">
        <f>"20190312160805205"</f>
        <v>20190312160805205</v>
      </c>
      <c r="B5879" t="str">
        <f>"1552378085202008"</f>
        <v>1552378085202008</v>
      </c>
      <c r="C5879" t="s">
        <v>40</v>
      </c>
      <c r="D5879">
        <v>5.8996130000000004</v>
      </c>
      <c r="E5879">
        <v>0.3443213</v>
      </c>
      <c r="F5879" t="s">
        <v>99</v>
      </c>
      <c r="G5879">
        <v>-380.59859999999998</v>
      </c>
      <c r="H5879" s="1">
        <v>-5.0681919999999998E-6</v>
      </c>
      <c r="I5879">
        <v>16.100449999999999</v>
      </c>
      <c r="J5879">
        <v>-412.04860000000002</v>
      </c>
      <c r="K5879">
        <v>1.1153789999999999</v>
      </c>
      <c r="L5879">
        <v>20.878270000000001</v>
      </c>
      <c r="M5879">
        <v>0.83369689999999996</v>
      </c>
      <c r="N5879">
        <v>0</v>
      </c>
      <c r="O5879">
        <v>-0.55203179999999996</v>
      </c>
      <c r="P5879">
        <v>0.8571261</v>
      </c>
      <c r="Q5879">
        <v>-1.4050089999999999E-2</v>
      </c>
      <c r="R5879">
        <v>-0.51491520000000002</v>
      </c>
      <c r="S5879">
        <v>3.2104189999999999</v>
      </c>
      <c r="T5879">
        <v>-0.11355750000000001</v>
      </c>
      <c r="U5879">
        <v>-0.49145509999999898</v>
      </c>
      <c r="V5879">
        <v>-4.3884310000000003E-2</v>
      </c>
      <c r="W5879">
        <v>-1.447229E-4</v>
      </c>
      <c r="X5879">
        <v>0.99903660000000005</v>
      </c>
      <c r="Y5879">
        <v>-0.41901450000000001</v>
      </c>
      <c r="Z5879">
        <v>2.569718E-2</v>
      </c>
      <c r="AA5879">
        <v>0.90761579999999997</v>
      </c>
      <c r="AB5879">
        <v>20</v>
      </c>
      <c r="AC5879">
        <v>31.45</v>
      </c>
      <c r="AD5879">
        <v>-1.115384068192</v>
      </c>
      <c r="AE5879">
        <v>-4.7778200000000002</v>
      </c>
      <c r="AF5879">
        <v>-13.3631249731712</v>
      </c>
      <c r="AG5879">
        <v>-1.115384068192</v>
      </c>
      <c r="AH5879">
        <v>28.824874199744301</v>
      </c>
      <c r="AI5879">
        <v>92.010606588132305</v>
      </c>
      <c r="AJ5879">
        <v>114.87229717303801</v>
      </c>
      <c r="AK5879">
        <v>31.791359884397199</v>
      </c>
      <c r="AL5879">
        <v>90.0082920114735</v>
      </c>
      <c r="AM5879">
        <v>92.515193547080003</v>
      </c>
      <c r="AN5879">
        <v>0.99999999087422597</v>
      </c>
    </row>
    <row r="5880" spans="1:40" x14ac:dyDescent="0.25">
      <c r="A5880" t="str">
        <f>"20190312160805215"</f>
        <v>20190312160805215</v>
      </c>
      <c r="B5880" t="str">
        <f>"1552378085211768"</f>
        <v>1552378085211768</v>
      </c>
      <c r="C5880" t="s">
        <v>40</v>
      </c>
      <c r="D5880">
        <v>5.9401630000000001</v>
      </c>
      <c r="E5880">
        <v>0.34472709999999901</v>
      </c>
      <c r="F5880" t="s">
        <v>99</v>
      </c>
      <c r="G5880">
        <v>-380.93349999999998</v>
      </c>
      <c r="H5880" s="1">
        <v>-4.8836089999999997E-6</v>
      </c>
      <c r="I5880">
        <v>16.248719999999999</v>
      </c>
      <c r="J5880">
        <v>-411.9742</v>
      </c>
      <c r="K5880">
        <v>1.115329</v>
      </c>
      <c r="L5880">
        <v>20.834869999999999</v>
      </c>
      <c r="M5880">
        <v>0.83614789999999894</v>
      </c>
      <c r="N5880">
        <v>0</v>
      </c>
      <c r="O5880">
        <v>-0.54831269999999999</v>
      </c>
      <c r="P5880">
        <v>0.85939310000000002</v>
      </c>
      <c r="Q5880">
        <v>-1.408387E-2</v>
      </c>
      <c r="R5880">
        <v>-0.51112159999999995</v>
      </c>
      <c r="S5880">
        <v>3.211182</v>
      </c>
      <c r="T5880">
        <v>-0.11511109999999999</v>
      </c>
      <c r="U5880">
        <v>-0.47778320000000002</v>
      </c>
      <c r="V5880">
        <v>-4.384859E-2</v>
      </c>
      <c r="W5880">
        <v>-1.8390179999999999E-4</v>
      </c>
      <c r="X5880">
        <v>0.99903819999999999</v>
      </c>
      <c r="Y5880">
        <v>-0.41876760000000002</v>
      </c>
      <c r="Z5880">
        <v>2.594188E-2</v>
      </c>
      <c r="AA5880">
        <v>0.90772280000000005</v>
      </c>
      <c r="AB5880">
        <v>20</v>
      </c>
      <c r="AC5880">
        <v>31.040700000000001</v>
      </c>
      <c r="AD5880">
        <v>-1.1153338836090001</v>
      </c>
      <c r="AE5880">
        <v>-4.5861499999999999</v>
      </c>
      <c r="AF5880">
        <v>-13.170054061902</v>
      </c>
      <c r="AG5880">
        <v>-1.1153338836090001</v>
      </c>
      <c r="AH5880">
        <v>28.4363195972829</v>
      </c>
      <c r="AI5880">
        <v>92.038318379726405</v>
      </c>
      <c r="AJ5880">
        <v>114.850836224858</v>
      </c>
      <c r="AK5880">
        <v>31.357910738825801</v>
      </c>
      <c r="AL5880">
        <v>90.010536796740098</v>
      </c>
      <c r="AM5880">
        <v>92.513144890502005</v>
      </c>
      <c r="AN5880">
        <v>1.0000000288620401</v>
      </c>
    </row>
    <row r="5881" spans="1:40" x14ac:dyDescent="0.25">
      <c r="A5881" t="str">
        <f>"20190312160805226"</f>
        <v>20190312160805226</v>
      </c>
      <c r="B5881" t="str">
        <f>"1552378085221532"</f>
        <v>1552378085221532</v>
      </c>
      <c r="C5881" t="s">
        <v>40</v>
      </c>
      <c r="D5881">
        <v>5.9143249999999998</v>
      </c>
      <c r="E5881">
        <v>0.34472709999999901</v>
      </c>
      <c r="F5881" t="s">
        <v>99</v>
      </c>
      <c r="G5881">
        <v>-381.2919</v>
      </c>
      <c r="H5881" s="1">
        <v>-4.6909339999999999E-6</v>
      </c>
      <c r="I5881">
        <v>16.379670000000001</v>
      </c>
      <c r="J5881">
        <v>-411.8956</v>
      </c>
      <c r="K5881">
        <v>1.1152869999999999</v>
      </c>
      <c r="L5881">
        <v>20.78979</v>
      </c>
      <c r="M5881">
        <v>0.83868619999999905</v>
      </c>
      <c r="N5881">
        <v>0</v>
      </c>
      <c r="O5881">
        <v>-0.54442270000000004</v>
      </c>
      <c r="P5881">
        <v>0.86183880000000002</v>
      </c>
      <c r="Q5881">
        <v>-1.4220129999999999E-2</v>
      </c>
      <c r="R5881">
        <v>-0.50698319999999997</v>
      </c>
      <c r="S5881">
        <v>3.2116090000000002</v>
      </c>
      <c r="T5881">
        <v>-0.1167454</v>
      </c>
      <c r="U5881">
        <v>-0.46633910000000001</v>
      </c>
      <c r="V5881">
        <v>-4.4009119999999999E-2</v>
      </c>
      <c r="W5881">
        <v>-3.2934130000000002E-4</v>
      </c>
      <c r="X5881">
        <v>0.99903109999999995</v>
      </c>
      <c r="Y5881">
        <v>-0.41771970000000003</v>
      </c>
      <c r="Z5881">
        <v>2.6181909999999999E-2</v>
      </c>
      <c r="AA5881">
        <v>0.90819870000000003</v>
      </c>
      <c r="AB5881">
        <v>20</v>
      </c>
      <c r="AC5881">
        <v>30.6037</v>
      </c>
      <c r="AD5881">
        <v>-1.115291690934</v>
      </c>
      <c r="AE5881">
        <v>-4.4101199999999903</v>
      </c>
      <c r="AF5881">
        <v>-12.947154243209299</v>
      </c>
      <c r="AG5881">
        <v>-1.115291690934</v>
      </c>
      <c r="AH5881">
        <v>28.034334390501598</v>
      </c>
      <c r="AI5881">
        <v>92.068473747462605</v>
      </c>
      <c r="AJ5881">
        <v>114.789006605274</v>
      </c>
      <c r="AK5881">
        <v>30.899782900075198</v>
      </c>
      <c r="AL5881">
        <v>90.018869866379902</v>
      </c>
      <c r="AM5881">
        <v>92.522351573454799</v>
      </c>
      <c r="AN5881">
        <v>1.0000000249380301</v>
      </c>
    </row>
    <row r="5882" spans="1:40" x14ac:dyDescent="0.25">
      <c r="A5882" t="str">
        <f>"20190312160805238"</f>
        <v>20190312160805238</v>
      </c>
      <c r="B5882" t="str">
        <f>"1552378085231288"</f>
        <v>1552378085231288</v>
      </c>
      <c r="C5882" t="s">
        <v>40</v>
      </c>
      <c r="D5882">
        <v>5.9366159999999999</v>
      </c>
      <c r="E5882">
        <v>0.36585679999999998</v>
      </c>
      <c r="F5882" t="s">
        <v>99</v>
      </c>
      <c r="G5882">
        <v>-381.31459999999998</v>
      </c>
      <c r="H5882" s="1">
        <v>-4.6588799999999999E-6</v>
      </c>
      <c r="I5882">
        <v>16.499829999999999</v>
      </c>
      <c r="J5882">
        <v>-411.81209999999999</v>
      </c>
      <c r="K5882">
        <v>1.1152439999999999</v>
      </c>
      <c r="L5882">
        <v>20.74213</v>
      </c>
      <c r="M5882">
        <v>0.84135190000000004</v>
      </c>
      <c r="N5882">
        <v>0</v>
      </c>
      <c r="O5882">
        <v>-0.54029419999999995</v>
      </c>
      <c r="P5882">
        <v>0.86437280000000005</v>
      </c>
      <c r="Q5882">
        <v>-1.426589E-2</v>
      </c>
      <c r="R5882">
        <v>-0.50264949999999997</v>
      </c>
      <c r="S5882">
        <v>3.2137760000000002</v>
      </c>
      <c r="T5882">
        <v>-0.1172068</v>
      </c>
      <c r="U5882">
        <v>-0.45083620000000002</v>
      </c>
      <c r="V5882">
        <v>-4.4113920000000001E-2</v>
      </c>
      <c r="W5882">
        <v>-3.8366790000000001E-4</v>
      </c>
      <c r="X5882">
        <v>0.99902639999999998</v>
      </c>
      <c r="Y5882">
        <v>-0.41763339999999999</v>
      </c>
      <c r="Z5882">
        <v>2.6156209999999999E-2</v>
      </c>
      <c r="AA5882">
        <v>0.90823909999999997</v>
      </c>
      <c r="AB5882">
        <v>20</v>
      </c>
      <c r="AC5882">
        <v>30.497499999999999</v>
      </c>
      <c r="AD5882">
        <v>-1.1152486588799999</v>
      </c>
      <c r="AE5882">
        <v>-4.2423000000000002</v>
      </c>
      <c r="AF5882">
        <v>-12.8927916494676</v>
      </c>
      <c r="AG5882">
        <v>-1.1152486588799999</v>
      </c>
      <c r="AH5882">
        <v>27.9175189867372</v>
      </c>
      <c r="AI5882">
        <v>92.077052933093</v>
      </c>
      <c r="AJ5882">
        <v>114.788307157641</v>
      </c>
      <c r="AK5882">
        <v>30.7710208225621</v>
      </c>
      <c r="AL5882">
        <v>90.021982552679901</v>
      </c>
      <c r="AM5882">
        <v>92.528362205346895</v>
      </c>
      <c r="AN5882">
        <v>0.99999996651789103</v>
      </c>
    </row>
    <row r="5883" spans="1:40" x14ac:dyDescent="0.25">
      <c r="A5883" t="str">
        <f>"20190312160805248"</f>
        <v>20190312160805248</v>
      </c>
      <c r="B5883" t="str">
        <f>"1552378085242024"</f>
        <v>1552378085242024</v>
      </c>
      <c r="C5883" t="s">
        <v>40</v>
      </c>
      <c r="D5883">
        <v>5.9398330000000001</v>
      </c>
      <c r="E5883">
        <v>0.36674420000000002</v>
      </c>
      <c r="F5883" t="s">
        <v>47</v>
      </c>
      <c r="G5883">
        <v>-392.85969999999998</v>
      </c>
      <c r="H5883" s="1">
        <v>-3.777032E-6</v>
      </c>
      <c r="I5883">
        <v>17.241379999999999</v>
      </c>
      <c r="J5883">
        <v>-411.71850000000001</v>
      </c>
      <c r="K5883">
        <v>1.1151930000000001</v>
      </c>
      <c r="L5883">
        <v>20.689509999999999</v>
      </c>
      <c r="M5883">
        <v>0.84427989999999997</v>
      </c>
      <c r="N5883">
        <v>0</v>
      </c>
      <c r="O5883">
        <v>-0.5357073</v>
      </c>
      <c r="P5883">
        <v>0.86715759999999897</v>
      </c>
      <c r="Q5883">
        <v>-1.4120870000000001E-2</v>
      </c>
      <c r="R5883">
        <v>-0.4978339</v>
      </c>
      <c r="S5883">
        <v>3.131348</v>
      </c>
      <c r="T5883">
        <v>-0.18426300000000001</v>
      </c>
      <c r="U5883">
        <v>-0.57839969999999996</v>
      </c>
      <c r="V5883">
        <v>-4.4236829999999998E-2</v>
      </c>
      <c r="W5883">
        <v>-2.4842279999999999E-4</v>
      </c>
      <c r="X5883">
        <v>0.9990211</v>
      </c>
      <c r="Y5883">
        <v>-0.37207230000000002</v>
      </c>
      <c r="Z5883">
        <v>4.0393199999999997E-2</v>
      </c>
      <c r="AA5883">
        <v>0.92732440000000005</v>
      </c>
      <c r="AB5883">
        <v>20</v>
      </c>
      <c r="AC5883">
        <v>18.858799999999999</v>
      </c>
      <c r="AD5883">
        <v>-1.1151967770319999</v>
      </c>
      <c r="AE5883">
        <v>-3.4481299999999999</v>
      </c>
      <c r="AF5883">
        <v>-7.1681072888405204</v>
      </c>
      <c r="AG5883">
        <v>-1.1151967770319999</v>
      </c>
      <c r="AH5883">
        <v>17.711222883338301</v>
      </c>
      <c r="AI5883">
        <v>93.3403664803552</v>
      </c>
      <c r="AJ5883">
        <v>112.034222755052</v>
      </c>
      <c r="AK5883">
        <v>19.1393009793753</v>
      </c>
      <c r="AL5883">
        <v>90.014233577287897</v>
      </c>
      <c r="AM5883">
        <v>92.535410969844307</v>
      </c>
      <c r="AN5883">
        <v>1.0000000585437701</v>
      </c>
    </row>
    <row r="5884" spans="1:40" x14ac:dyDescent="0.25">
      <c r="A5884" t="str">
        <f>"20190312160805262"</f>
        <v>20190312160805262</v>
      </c>
      <c r="B5884" t="str">
        <f>"1552378085251784"</f>
        <v>1552378085251784</v>
      </c>
      <c r="C5884" t="s">
        <v>40</v>
      </c>
      <c r="D5884">
        <v>5.9037739999999896</v>
      </c>
      <c r="E5884">
        <v>0.36843229999999999</v>
      </c>
      <c r="F5884" t="s">
        <v>47</v>
      </c>
      <c r="G5884">
        <v>-392.9991</v>
      </c>
      <c r="H5884" s="1">
        <v>-3.7007040000000001E-6</v>
      </c>
      <c r="I5884">
        <v>17.300090000000001</v>
      </c>
      <c r="J5884">
        <v>-411.62299999999999</v>
      </c>
      <c r="K5884">
        <v>1.115146</v>
      </c>
      <c r="L5884">
        <v>20.636379999999999</v>
      </c>
      <c r="M5884">
        <v>0.84721809999999997</v>
      </c>
      <c r="N5884">
        <v>0</v>
      </c>
      <c r="O5884">
        <v>-0.53104879999999999</v>
      </c>
      <c r="P5884">
        <v>0.86979439999999997</v>
      </c>
      <c r="Q5884">
        <v>-1.4182180000000001E-2</v>
      </c>
      <c r="R5884">
        <v>-0.4932108</v>
      </c>
      <c r="S5884">
        <v>3.1310730000000002</v>
      </c>
      <c r="T5884">
        <v>-0.18653140000000001</v>
      </c>
      <c r="U5884">
        <v>-0.56692500000000001</v>
      </c>
      <c r="V5884">
        <v>-4.4050569999999997E-2</v>
      </c>
      <c r="W5884">
        <v>-3.156511E-4</v>
      </c>
      <c r="X5884">
        <v>0.99902930000000001</v>
      </c>
      <c r="Y5884">
        <v>-0.37020769999999997</v>
      </c>
      <c r="Z5884">
        <v>4.0628280000000003E-2</v>
      </c>
      <c r="AA5884">
        <v>0.92806010000000005</v>
      </c>
      <c r="AB5884">
        <v>20</v>
      </c>
      <c r="AC5884">
        <v>18.623899999999999</v>
      </c>
      <c r="AD5884">
        <v>-1.1151497007040001</v>
      </c>
      <c r="AE5884">
        <v>-3.3362899999999902</v>
      </c>
      <c r="AF5884">
        <v>-7.0399161627884599</v>
      </c>
      <c r="AG5884">
        <v>-1.1151497007040001</v>
      </c>
      <c r="AH5884">
        <v>17.491307692906702</v>
      </c>
      <c r="AI5884">
        <v>93.384749673778202</v>
      </c>
      <c r="AJ5884">
        <v>111.923840338616</v>
      </c>
      <c r="AK5884">
        <v>18.887822088372399</v>
      </c>
      <c r="AL5884">
        <v>90.018085475273395</v>
      </c>
      <c r="AM5884">
        <v>92.524728721307795</v>
      </c>
      <c r="AN5884">
        <v>1.00000004730571</v>
      </c>
    </row>
    <row r="5885" spans="1:40" x14ac:dyDescent="0.25">
      <c r="A5885" t="str">
        <f>"20190312160805277"</f>
        <v>20190312160805277</v>
      </c>
      <c r="B5885" t="str">
        <f>"1552378085271305"</f>
        <v>1552378085271305</v>
      </c>
      <c r="C5885" t="s">
        <v>40</v>
      </c>
      <c r="D5885">
        <v>5.9659469999999999</v>
      </c>
      <c r="E5885">
        <v>0.3678033</v>
      </c>
      <c r="F5885" t="s">
        <v>47</v>
      </c>
      <c r="G5885">
        <v>-394.34829999999999</v>
      </c>
      <c r="H5885" s="1">
        <v>-3.021308E-6</v>
      </c>
      <c r="I5885">
        <v>17.534700000000001</v>
      </c>
      <c r="J5885">
        <v>-411.51080000000002</v>
      </c>
      <c r="K5885">
        <v>1.115092</v>
      </c>
      <c r="L5885">
        <v>20.574680000000001</v>
      </c>
      <c r="M5885">
        <v>0.85060579999999997</v>
      </c>
      <c r="N5885">
        <v>0</v>
      </c>
      <c r="O5885">
        <v>-0.52560620000000002</v>
      </c>
      <c r="P5885">
        <v>0.87288049999999995</v>
      </c>
      <c r="Q5885">
        <v>-1.417329E-2</v>
      </c>
      <c r="R5885">
        <v>-0.48772860000000001</v>
      </c>
      <c r="S5885">
        <v>3.12738</v>
      </c>
      <c r="T5885">
        <v>-0.20188490000000001</v>
      </c>
      <c r="U5885">
        <v>-0.56152340000000001</v>
      </c>
      <c r="V5885">
        <v>-4.3930520000000001E-2</v>
      </c>
      <c r="W5885">
        <v>-3.1499209999999998E-4</v>
      </c>
      <c r="X5885">
        <v>0.99903450000000005</v>
      </c>
      <c r="Y5885">
        <v>-0.36537740000000002</v>
      </c>
      <c r="Z5885">
        <v>4.3579239999999998E-2</v>
      </c>
      <c r="AA5885">
        <v>0.92983879999999997</v>
      </c>
      <c r="AB5885">
        <v>20</v>
      </c>
      <c r="AC5885">
        <v>17.162500000000001</v>
      </c>
      <c r="AD5885">
        <v>-1.115095021308</v>
      </c>
      <c r="AE5885">
        <v>-3.0399799999999901</v>
      </c>
      <c r="AF5885">
        <v>-6.4093271420921303</v>
      </c>
      <c r="AG5885">
        <v>-1.115095021308</v>
      </c>
      <c r="AH5885">
        <v>16.1320092313046</v>
      </c>
      <c r="AI5885">
        <v>93.675558542820895</v>
      </c>
      <c r="AJ5885">
        <v>111.668169596124</v>
      </c>
      <c r="AK5885">
        <v>17.394385104389301</v>
      </c>
      <c r="AL5885">
        <v>90.0180477189123</v>
      </c>
      <c r="AM5885">
        <v>92.517843914814705</v>
      </c>
      <c r="AN5885">
        <v>0.99999996099887101</v>
      </c>
    </row>
    <row r="5886" spans="1:40" x14ac:dyDescent="0.25">
      <c r="A5886" t="str">
        <f>"20190312160805292"</f>
        <v>20190312160805292</v>
      </c>
      <c r="B5886" t="str">
        <f>"1552378085282040"</f>
        <v>1552378085282040</v>
      </c>
      <c r="C5886" t="s">
        <v>40</v>
      </c>
      <c r="D5886">
        <v>5.9424640000000002</v>
      </c>
      <c r="E5886">
        <v>0.36756290000000003</v>
      </c>
      <c r="F5886" t="s">
        <v>47</v>
      </c>
      <c r="G5886">
        <v>-392.33690000000001</v>
      </c>
      <c r="H5886" s="1">
        <v>-4.0167689999999996E-6</v>
      </c>
      <c r="I5886">
        <v>17.282920000000001</v>
      </c>
      <c r="J5886">
        <v>-411.3827</v>
      </c>
      <c r="K5886">
        <v>1.115035</v>
      </c>
      <c r="L5886">
        <v>20.50534</v>
      </c>
      <c r="M5886">
        <v>0.85438139999999996</v>
      </c>
      <c r="N5886">
        <v>0</v>
      </c>
      <c r="O5886">
        <v>-0.51944659999999998</v>
      </c>
      <c r="P5886">
        <v>0.87620659999999895</v>
      </c>
      <c r="Q5886">
        <v>-1.396297E-2</v>
      </c>
      <c r="R5886">
        <v>-0.48173339999999998</v>
      </c>
      <c r="S5886">
        <v>3.133362</v>
      </c>
      <c r="T5886">
        <v>-0.182227</v>
      </c>
      <c r="U5886">
        <v>-0.53793329999999995</v>
      </c>
      <c r="V5886">
        <v>-4.3565140000000002E-2</v>
      </c>
      <c r="W5886">
        <v>-1.111644E-4</v>
      </c>
      <c r="X5886">
        <v>0.99905060000000001</v>
      </c>
      <c r="Y5886">
        <v>-0.36607450000000002</v>
      </c>
      <c r="Z5886">
        <v>3.9028899999999998E-2</v>
      </c>
      <c r="AA5886">
        <v>0.9297668</v>
      </c>
      <c r="AB5886">
        <v>20</v>
      </c>
      <c r="AC5886">
        <v>19.0457999999999</v>
      </c>
      <c r="AD5886">
        <v>-1.1150390167690001</v>
      </c>
      <c r="AE5886">
        <v>-3.2224200000000001</v>
      </c>
      <c r="AF5886">
        <v>-7.1171264847410498</v>
      </c>
      <c r="AG5886">
        <v>-1.1150390167690001</v>
      </c>
      <c r="AH5886">
        <v>17.888508841740499</v>
      </c>
      <c r="AI5886">
        <v>93.314701997762995</v>
      </c>
      <c r="AJ5886">
        <v>111.695642762368</v>
      </c>
      <c r="AK5886">
        <v>19.284593591511001</v>
      </c>
      <c r="AL5886">
        <v>90.006369250853297</v>
      </c>
      <c r="AM5886">
        <v>92.496888869057003</v>
      </c>
      <c r="AN5886">
        <v>1.0000000175705499</v>
      </c>
    </row>
    <row r="5887" spans="1:40" x14ac:dyDescent="0.25">
      <c r="A5887" t="str">
        <f>"20190312160805304"</f>
        <v>20190312160805304</v>
      </c>
      <c r="B5887" t="str">
        <f>"1552378085291801"</f>
        <v>1552378085291801</v>
      </c>
      <c r="C5887" t="s">
        <v>40</v>
      </c>
      <c r="D5887">
        <v>4.9242220000000003</v>
      </c>
      <c r="E5887">
        <v>0.36756290000000003</v>
      </c>
      <c r="F5887" t="s">
        <v>47</v>
      </c>
      <c r="G5887">
        <v>-391.16480000000001</v>
      </c>
      <c r="H5887" s="1">
        <v>-4.5879039999999998E-6</v>
      </c>
      <c r="I5887">
        <v>17.18666</v>
      </c>
      <c r="J5887">
        <v>-411.30250000000001</v>
      </c>
      <c r="K5887">
        <v>1.114997</v>
      </c>
      <c r="L5887">
        <v>20.462679999999999</v>
      </c>
      <c r="M5887">
        <v>0.85669269999999997</v>
      </c>
      <c r="N5887">
        <v>0</v>
      </c>
      <c r="O5887">
        <v>-0.51562629999999998</v>
      </c>
      <c r="P5887">
        <v>0.87821769999999999</v>
      </c>
      <c r="Q5887">
        <v>-1.387145E-2</v>
      </c>
      <c r="R5887">
        <v>-0.47805979999999998</v>
      </c>
      <c r="S5887">
        <v>3.1379090000000001</v>
      </c>
      <c r="T5887">
        <v>-0.1730595</v>
      </c>
      <c r="U5887">
        <v>-0.51507570000000003</v>
      </c>
      <c r="V5887">
        <v>-4.3289309999999998E-2</v>
      </c>
      <c r="W5887" s="1">
        <v>-2.3488800000000001E-5</v>
      </c>
      <c r="X5887">
        <v>0.99906260000000002</v>
      </c>
      <c r="Y5887">
        <v>-0.36886600000000003</v>
      </c>
      <c r="Z5887">
        <v>3.6949219999999998E-2</v>
      </c>
      <c r="AA5887">
        <v>0.92874789999999996</v>
      </c>
      <c r="AB5887">
        <v>20</v>
      </c>
      <c r="AC5887">
        <v>20.137699999999899</v>
      </c>
      <c r="AD5887">
        <v>-1.1150015879040001</v>
      </c>
      <c r="AE5887">
        <v>-3.2760199999999902</v>
      </c>
      <c r="AF5887">
        <v>-7.5552052841702801</v>
      </c>
      <c r="AG5887">
        <v>-1.1150015879040001</v>
      </c>
      <c r="AH5887">
        <v>18.886576701549</v>
      </c>
      <c r="AI5887">
        <v>93.137450876821106</v>
      </c>
      <c r="AJ5887">
        <v>111.80291219624399</v>
      </c>
      <c r="AK5887">
        <v>20.372214777251799</v>
      </c>
      <c r="AL5887">
        <v>90.001345809076597</v>
      </c>
      <c r="AM5887">
        <v>92.481070025547794</v>
      </c>
      <c r="AN5887">
        <v>1.00000002181537</v>
      </c>
    </row>
    <row r="5888" spans="1:40" x14ac:dyDescent="0.25">
      <c r="A5888" t="str">
        <f>"20190312160805315"</f>
        <v>20190312160805315</v>
      </c>
      <c r="B5888" t="str">
        <f>"1552378085311321"</f>
        <v>1552378085311321</v>
      </c>
      <c r="C5888" t="s">
        <v>40</v>
      </c>
      <c r="D5888">
        <v>5.9066599999999996</v>
      </c>
      <c r="E5888">
        <v>0.37717139999999999</v>
      </c>
      <c r="F5888" t="s">
        <v>47</v>
      </c>
      <c r="G5888">
        <v>-391.03339999999997</v>
      </c>
      <c r="H5888" s="1">
        <v>-4.6436120000000002E-6</v>
      </c>
      <c r="I5888">
        <v>17.22298</v>
      </c>
      <c r="J5888">
        <v>-411.21359999999999</v>
      </c>
      <c r="K5888">
        <v>1.114951</v>
      </c>
      <c r="L5888">
        <v>20.415559999999999</v>
      </c>
      <c r="M5888">
        <v>0.8592244</v>
      </c>
      <c r="N5888">
        <v>0</v>
      </c>
      <c r="O5888">
        <v>-0.51139670000000004</v>
      </c>
      <c r="P5888">
        <v>0.88045450000000003</v>
      </c>
      <c r="Q5888">
        <v>-1.382911E-2</v>
      </c>
      <c r="R5888">
        <v>-0.47392899999999999</v>
      </c>
      <c r="S5888">
        <v>3.1400760000000001</v>
      </c>
      <c r="T5888">
        <v>-0.17273520000000001</v>
      </c>
      <c r="U5888">
        <v>-0.50189209999999995</v>
      </c>
      <c r="V5888">
        <v>-4.3058260000000001E-2</v>
      </c>
      <c r="W5888" s="1">
        <v>1.384909E-5</v>
      </c>
      <c r="X5888">
        <v>0.99907259999999998</v>
      </c>
      <c r="Y5888">
        <v>-0.36819829999999998</v>
      </c>
      <c r="Z5888">
        <v>3.6659150000000001E-2</v>
      </c>
      <c r="AA5888">
        <v>0.92902430000000003</v>
      </c>
      <c r="AB5888">
        <v>20</v>
      </c>
      <c r="AC5888">
        <v>20.180199999999999</v>
      </c>
      <c r="AD5888">
        <v>-1.1149556436120001</v>
      </c>
      <c r="AE5888">
        <v>-3.1925799999999902</v>
      </c>
      <c r="AF5888">
        <v>-7.5552291387692003</v>
      </c>
      <c r="AG5888">
        <v>-1.1149556436120001</v>
      </c>
      <c r="AH5888">
        <v>18.917620406096201</v>
      </c>
      <c r="AI5888">
        <v>93.132889720273496</v>
      </c>
      <c r="AJ5888">
        <v>111.77054398972101</v>
      </c>
      <c r="AK5888">
        <v>20.401004270762598</v>
      </c>
      <c r="AL5888">
        <v>89.999206505622197</v>
      </c>
      <c r="AM5888">
        <v>92.467819442879303</v>
      </c>
      <c r="AN5888">
        <v>1.0000000370083899</v>
      </c>
    </row>
    <row r="5889" spans="1:40" x14ac:dyDescent="0.25">
      <c r="A5889" t="str">
        <f>"20190312160805326"</f>
        <v>20190312160805326</v>
      </c>
      <c r="B5889" t="str">
        <f>"1552378085322057"</f>
        <v>1552378085322057</v>
      </c>
      <c r="C5889" t="s">
        <v>40</v>
      </c>
      <c r="D5889">
        <v>5.7574300000000003</v>
      </c>
      <c r="E5889">
        <v>0.37673279999999998</v>
      </c>
      <c r="F5889" t="s">
        <v>47</v>
      </c>
      <c r="G5889">
        <v>-391.7328</v>
      </c>
      <c r="H5889" s="1">
        <v>-4.3635130000000004E-6</v>
      </c>
      <c r="I5889">
        <v>16.93797</v>
      </c>
      <c r="J5889">
        <v>-411.1232</v>
      </c>
      <c r="K5889">
        <v>1.114905</v>
      </c>
      <c r="L5889">
        <v>20.368500000000001</v>
      </c>
      <c r="M5889">
        <v>0.86174309999999998</v>
      </c>
      <c r="N5889">
        <v>0</v>
      </c>
      <c r="O5889">
        <v>-0.50714129999999902</v>
      </c>
      <c r="P5889">
        <v>0.88256039999999902</v>
      </c>
      <c r="Q5889">
        <v>-1.406574E-2</v>
      </c>
      <c r="R5889">
        <v>-0.46998889999999999</v>
      </c>
      <c r="S5889">
        <v>3.1060490000000001</v>
      </c>
      <c r="T5889">
        <v>-0.1777705</v>
      </c>
      <c r="U5889">
        <v>-0.55447389999999996</v>
      </c>
      <c r="V5889">
        <v>-4.2578049999999999E-2</v>
      </c>
      <c r="W5889">
        <v>-2.25322E-4</v>
      </c>
      <c r="X5889">
        <v>0.99909309999999996</v>
      </c>
      <c r="Y5889">
        <v>-0.3465801</v>
      </c>
      <c r="Z5889">
        <v>3.7228169999999998E-2</v>
      </c>
      <c r="AA5889">
        <v>0.93728129999999998</v>
      </c>
      <c r="AB5889">
        <v>20</v>
      </c>
      <c r="AC5889">
        <v>19.3904</v>
      </c>
      <c r="AD5889">
        <v>-1.1149093635130001</v>
      </c>
      <c r="AE5889">
        <v>-3.4305300000000001</v>
      </c>
      <c r="AF5889">
        <v>-6.8561687238039397</v>
      </c>
      <c r="AG5889">
        <v>-1.1149093635130001</v>
      </c>
      <c r="AH5889">
        <v>18.3922526138278</v>
      </c>
      <c r="AI5889">
        <v>93.250921133681601</v>
      </c>
      <c r="AJ5889">
        <v>110.44418865682501</v>
      </c>
      <c r="AK5889">
        <v>19.660239791746399</v>
      </c>
      <c r="AL5889">
        <v>90.012909999975705</v>
      </c>
      <c r="AM5889">
        <v>92.440280377184607</v>
      </c>
      <c r="AN5889">
        <v>0.99999998178970795</v>
      </c>
    </row>
    <row r="5890" spans="1:40" x14ac:dyDescent="0.25">
      <c r="A5890" t="str">
        <f>"20190312160805338"</f>
        <v>20190312160805338</v>
      </c>
      <c r="B5890" t="str">
        <f>"1552378085331816"</f>
        <v>1552378085331816</v>
      </c>
      <c r="C5890" t="s">
        <v>40</v>
      </c>
      <c r="D5890">
        <v>5.7055420000000003</v>
      </c>
      <c r="E5890">
        <v>0.37678020000000001</v>
      </c>
      <c r="F5890" t="s">
        <v>47</v>
      </c>
      <c r="G5890">
        <v>-391.67660000000001</v>
      </c>
      <c r="H5890" s="1">
        <v>-4.3776859999999996E-6</v>
      </c>
      <c r="I5890">
        <v>17.00787</v>
      </c>
      <c r="J5890">
        <v>-411.03710000000001</v>
      </c>
      <c r="K5890">
        <v>1.114862</v>
      </c>
      <c r="L5890">
        <v>20.32394</v>
      </c>
      <c r="M5890">
        <v>0.86410830000000005</v>
      </c>
      <c r="N5890">
        <v>0</v>
      </c>
      <c r="O5890">
        <v>-0.50310109999999997</v>
      </c>
      <c r="P5890">
        <v>0.88454489999999997</v>
      </c>
      <c r="Q5890">
        <v>-1.402516E-2</v>
      </c>
      <c r="R5890">
        <v>-0.4662443</v>
      </c>
      <c r="S5890">
        <v>3.1101380000000001</v>
      </c>
      <c r="T5890">
        <v>-0.17831040000000001</v>
      </c>
      <c r="U5890">
        <v>-0.53747559999999905</v>
      </c>
      <c r="V5890">
        <v>-4.213546E-2</v>
      </c>
      <c r="W5890">
        <v>-1.8716690000000001E-4</v>
      </c>
      <c r="X5890">
        <v>0.99911190000000005</v>
      </c>
      <c r="Y5890">
        <v>-0.34737010000000001</v>
      </c>
      <c r="Z5890">
        <v>3.7145350000000001E-2</v>
      </c>
      <c r="AA5890">
        <v>0.93699209999999999</v>
      </c>
      <c r="AB5890">
        <v>20</v>
      </c>
      <c r="AC5890">
        <v>19.360499999999998</v>
      </c>
      <c r="AD5890">
        <v>-1.1148663776859999</v>
      </c>
      <c r="AE5890">
        <v>-3.3160699999999999</v>
      </c>
      <c r="AF5890">
        <v>-6.8534755884408396</v>
      </c>
      <c r="AG5890">
        <v>-1.1148663776859999</v>
      </c>
      <c r="AH5890">
        <v>18.340699538589199</v>
      </c>
      <c r="AI5890">
        <v>93.258953944675298</v>
      </c>
      <c r="AJ5890">
        <v>110.489499218207</v>
      </c>
      <c r="AK5890">
        <v>19.611076315344199</v>
      </c>
      <c r="AL5890">
        <v>90.010723873385899</v>
      </c>
      <c r="AM5890">
        <v>92.414898970270798</v>
      </c>
      <c r="AN5890">
        <v>1.0000000103712301</v>
      </c>
    </row>
    <row r="5891" spans="1:40" x14ac:dyDescent="0.25">
      <c r="A5891" t="str">
        <f>"20190312160805349"</f>
        <v>20190312160805349</v>
      </c>
      <c r="B5891" t="str">
        <f>"1552378085341577"</f>
        <v>1552378085341577</v>
      </c>
      <c r="C5891" t="s">
        <v>40</v>
      </c>
      <c r="D5891">
        <v>5.034014</v>
      </c>
      <c r="E5891">
        <v>0.37612679999999998</v>
      </c>
      <c r="F5891" t="s">
        <v>47</v>
      </c>
      <c r="G5891">
        <v>-391.56540000000001</v>
      </c>
      <c r="H5891" s="1">
        <v>-4.4242870000000004E-6</v>
      </c>
      <c r="I5891">
        <v>17.041589999999999</v>
      </c>
      <c r="J5891">
        <v>-410.94290000000001</v>
      </c>
      <c r="K5891">
        <v>1.1148149999999999</v>
      </c>
      <c r="L5891">
        <v>20.275849999999998</v>
      </c>
      <c r="M5891">
        <v>0.86664909999999995</v>
      </c>
      <c r="N5891">
        <v>0</v>
      </c>
      <c r="O5891">
        <v>-0.4987123</v>
      </c>
      <c r="P5891">
        <v>0.88657269999999899</v>
      </c>
      <c r="Q5891">
        <v>-1.4342499999999999E-2</v>
      </c>
      <c r="R5891">
        <v>-0.46236729999999998</v>
      </c>
      <c r="S5891">
        <v>3.1122130000000001</v>
      </c>
      <c r="T5891">
        <v>-0.17819209999999999</v>
      </c>
      <c r="U5891">
        <v>-0.52462769999999903</v>
      </c>
      <c r="V5891">
        <v>-4.1435590000000001E-2</v>
      </c>
      <c r="W5891">
        <v>-5.0461280000000004E-4</v>
      </c>
      <c r="X5891">
        <v>0.99914099999999995</v>
      </c>
      <c r="Y5891">
        <v>-0.34648839999999997</v>
      </c>
      <c r="Z5891">
        <v>3.6876590000000001E-2</v>
      </c>
      <c r="AA5891">
        <v>0.93732919999999997</v>
      </c>
      <c r="AB5891">
        <v>20</v>
      </c>
      <c r="AC5891">
        <v>19.377500000000001</v>
      </c>
      <c r="AD5891">
        <v>-1.114819424287</v>
      </c>
      <c r="AE5891">
        <v>-3.2342599999999901</v>
      </c>
      <c r="AF5891">
        <v>-6.8395092599923402</v>
      </c>
      <c r="AG5891">
        <v>-1.114819424287</v>
      </c>
      <c r="AH5891">
        <v>18.349260676630902</v>
      </c>
      <c r="AI5891">
        <v>93.258295999790505</v>
      </c>
      <c r="AJ5891">
        <v>110.44245282329</v>
      </c>
      <c r="AK5891">
        <v>19.6142059906905</v>
      </c>
      <c r="AL5891">
        <v>90.028912186391693</v>
      </c>
      <c r="AM5891">
        <v>92.374764722087505</v>
      </c>
      <c r="AN5891">
        <v>0.99999995031686095</v>
      </c>
    </row>
    <row r="5892" spans="1:40" x14ac:dyDescent="0.25">
      <c r="A5892" t="str">
        <f>"20190312160805360"</f>
        <v>20190312160805360</v>
      </c>
      <c r="B5892" t="str">
        <f>"1552378085351337"</f>
        <v>1552378085351337</v>
      </c>
      <c r="C5892" t="s">
        <v>40</v>
      </c>
      <c r="D5892">
        <v>9.4695750000000007</v>
      </c>
      <c r="E5892">
        <v>0.37639590000000001</v>
      </c>
      <c r="F5892" t="s">
        <v>47</v>
      </c>
      <c r="G5892">
        <v>-391.04689999999999</v>
      </c>
      <c r="H5892" s="1">
        <v>-4.6692080000000003E-6</v>
      </c>
      <c r="I5892">
        <v>17.042449999999999</v>
      </c>
      <c r="J5892">
        <v>-410.86500000000001</v>
      </c>
      <c r="K5892">
        <v>1.114776</v>
      </c>
      <c r="L5892">
        <v>20.23648</v>
      </c>
      <c r="M5892">
        <v>0.8687165</v>
      </c>
      <c r="N5892">
        <v>0</v>
      </c>
      <c r="O5892">
        <v>-0.49510209999999999</v>
      </c>
      <c r="P5892">
        <v>0.88825149999999997</v>
      </c>
      <c r="Q5892">
        <v>-1.4264840000000001E-2</v>
      </c>
      <c r="R5892">
        <v>-0.45913599999999999</v>
      </c>
      <c r="S5892">
        <v>3.1168209999999998</v>
      </c>
      <c r="T5892">
        <v>-0.1746432</v>
      </c>
      <c r="U5892">
        <v>-0.50653079999999995</v>
      </c>
      <c r="V5892">
        <v>-4.091819E-2</v>
      </c>
      <c r="W5892">
        <v>-4.278819E-4</v>
      </c>
      <c r="X5892">
        <v>0.99916240000000001</v>
      </c>
      <c r="Y5892">
        <v>-0.34816429999999998</v>
      </c>
      <c r="Z5892">
        <v>3.5990499999999898E-2</v>
      </c>
      <c r="AA5892">
        <v>0.93674239999999998</v>
      </c>
      <c r="AB5892">
        <v>20</v>
      </c>
      <c r="AC5892">
        <v>19.818100000000001</v>
      </c>
      <c r="AD5892">
        <v>-1.114780669208</v>
      </c>
      <c r="AE5892">
        <v>-3.1940300000000001</v>
      </c>
      <c r="AF5892">
        <v>-7.0163611013838896</v>
      </c>
      <c r="AG5892">
        <v>-1.114780669208</v>
      </c>
      <c r="AH5892">
        <v>18.741813441027599</v>
      </c>
      <c r="AI5892">
        <v>93.188382216614002</v>
      </c>
      <c r="AJ5892">
        <v>110.524361465567</v>
      </c>
      <c r="AK5892">
        <v>20.043144217006802</v>
      </c>
      <c r="AL5892">
        <v>90.024515827957302</v>
      </c>
      <c r="AM5892">
        <v>92.345094535728094</v>
      </c>
      <c r="AN5892">
        <v>0.99999999146477803</v>
      </c>
    </row>
    <row r="5893" spans="1:40" x14ac:dyDescent="0.25">
      <c r="A5893" t="str">
        <f>"20190312160805370"</f>
        <v>20190312160805370</v>
      </c>
      <c r="B5893" t="str">
        <f>"1552378085362074"</f>
        <v>1552378085362074</v>
      </c>
      <c r="C5893" t="s">
        <v>40</v>
      </c>
      <c r="D5893">
        <v>5.7982519999999997</v>
      </c>
      <c r="E5893">
        <v>0.3766311</v>
      </c>
      <c r="F5893" t="s">
        <v>47</v>
      </c>
      <c r="G5893">
        <v>-390.86799999999999</v>
      </c>
      <c r="H5893" s="1">
        <v>-4.7528219999999998E-6</v>
      </c>
      <c r="I5893">
        <v>17.04786</v>
      </c>
      <c r="J5893">
        <v>-410.779</v>
      </c>
      <c r="K5893">
        <v>1.1147320000000001</v>
      </c>
      <c r="L5893">
        <v>20.193390000000001</v>
      </c>
      <c r="M5893">
        <v>0.87096450000000003</v>
      </c>
      <c r="N5893">
        <v>0</v>
      </c>
      <c r="O5893">
        <v>-0.4911373</v>
      </c>
      <c r="P5893">
        <v>0.89016909999999905</v>
      </c>
      <c r="Q5893">
        <v>-1.3850960000000001E-2</v>
      </c>
      <c r="R5893">
        <v>-0.45541989999999999</v>
      </c>
      <c r="S5893">
        <v>3.1176759999999999</v>
      </c>
      <c r="T5893">
        <v>-0.17380290000000001</v>
      </c>
      <c r="U5893">
        <v>-0.4971313</v>
      </c>
      <c r="V5893">
        <v>-4.0547039999999999E-2</v>
      </c>
      <c r="W5893" s="1">
        <v>-1.7431479999999999E-5</v>
      </c>
      <c r="X5893">
        <v>0.9991776</v>
      </c>
      <c r="Y5893">
        <v>-0.34670430000000002</v>
      </c>
      <c r="Z5893">
        <v>3.5590660000000003E-2</v>
      </c>
      <c r="AA5893">
        <v>0.93729899999999999</v>
      </c>
      <c r="AB5893">
        <v>20</v>
      </c>
      <c r="AC5893">
        <v>19.910999999999898</v>
      </c>
      <c r="AD5893">
        <v>-1.114736752822</v>
      </c>
      <c r="AE5893">
        <v>-3.1455299999999999</v>
      </c>
      <c r="AF5893">
        <v>-7.0186476647867302</v>
      </c>
      <c r="AG5893">
        <v>-1.114736752822</v>
      </c>
      <c r="AH5893">
        <v>18.831010141081201</v>
      </c>
      <c r="AI5893">
        <v>93.174901183649595</v>
      </c>
      <c r="AJ5893">
        <v>110.441306638073</v>
      </c>
      <c r="AK5893">
        <v>20.1273693264672</v>
      </c>
      <c r="AL5893">
        <v>90.000998750265097</v>
      </c>
      <c r="AM5893">
        <v>92.3238113802485</v>
      </c>
      <c r="AN5893">
        <v>0.99999996954918802</v>
      </c>
    </row>
    <row r="5894" spans="1:40" x14ac:dyDescent="0.25">
      <c r="A5894" t="str">
        <f>"20190312160805382"</f>
        <v>20190312160805382</v>
      </c>
      <c r="B5894" t="str">
        <f>"1552378085371832"</f>
        <v>1552378085371832</v>
      </c>
      <c r="C5894" t="s">
        <v>40</v>
      </c>
      <c r="D5894">
        <v>5.7520210000000001</v>
      </c>
      <c r="E5894">
        <v>0.37711539999999999</v>
      </c>
      <c r="F5894" t="s">
        <v>47</v>
      </c>
      <c r="G5894">
        <v>-390.43770000000001</v>
      </c>
      <c r="H5894" s="1">
        <v>-4.9602770000000002E-6</v>
      </c>
      <c r="I5894">
        <v>17.024999999999999</v>
      </c>
      <c r="J5894">
        <v>-410.69529999999997</v>
      </c>
      <c r="K5894">
        <v>1.114695</v>
      </c>
      <c r="L5894">
        <v>20.152010000000001</v>
      </c>
      <c r="M5894">
        <v>0.87311130000000003</v>
      </c>
      <c r="N5894">
        <v>0</v>
      </c>
      <c r="O5894">
        <v>-0.48731089999999999</v>
      </c>
      <c r="P5894">
        <v>0.89191569999999998</v>
      </c>
      <c r="Q5894">
        <v>-1.394544E-2</v>
      </c>
      <c r="R5894">
        <v>-0.45198680000000002</v>
      </c>
      <c r="S5894">
        <v>3.1189269999999998</v>
      </c>
      <c r="T5894">
        <v>-0.17092249999999901</v>
      </c>
      <c r="U5894">
        <v>-0.4858093</v>
      </c>
      <c r="V5894">
        <v>-4.0011039999999998E-2</v>
      </c>
      <c r="W5894">
        <v>-1.132625E-4</v>
      </c>
      <c r="X5894">
        <v>0.99919919999999995</v>
      </c>
      <c r="Y5894">
        <v>-0.34601310000000002</v>
      </c>
      <c r="Z5894">
        <v>3.480345E-2</v>
      </c>
      <c r="AA5894">
        <v>0.93758390000000003</v>
      </c>
      <c r="AB5894">
        <v>20</v>
      </c>
      <c r="AC5894">
        <v>20.257599999999901</v>
      </c>
      <c r="AD5894">
        <v>-1.114699960277</v>
      </c>
      <c r="AE5894">
        <v>-3.1270099999999998</v>
      </c>
      <c r="AF5894">
        <v>-7.1211923662765599</v>
      </c>
      <c r="AG5894">
        <v>-1.114699960277</v>
      </c>
      <c r="AH5894">
        <v>19.156279324309399</v>
      </c>
      <c r="AI5894">
        <v>93.121990430118004</v>
      </c>
      <c r="AJ5894">
        <v>110.392211387564</v>
      </c>
      <c r="AK5894">
        <v>20.467461353815199</v>
      </c>
      <c r="AL5894">
        <v>90.006489463443998</v>
      </c>
      <c r="AM5894">
        <v>92.293075914638294</v>
      </c>
      <c r="AN5894">
        <v>0.99999996871545704</v>
      </c>
    </row>
    <row r="5895" spans="1:40" x14ac:dyDescent="0.25">
      <c r="A5895" t="str">
        <f>"20190312160805392"</f>
        <v>20190312160805392</v>
      </c>
      <c r="B5895" t="str">
        <f>"1552378085381592"</f>
        <v>1552378085381592</v>
      </c>
      <c r="C5895" t="s">
        <v>40</v>
      </c>
      <c r="D5895">
        <v>6.0205729999999997</v>
      </c>
      <c r="E5895">
        <v>0.37675579999999997</v>
      </c>
      <c r="F5895" t="s">
        <v>47</v>
      </c>
      <c r="G5895">
        <v>-390.32580000000002</v>
      </c>
      <c r="H5895" s="1">
        <v>-5.0114010000000002E-6</v>
      </c>
      <c r="I5895">
        <v>17.035129999999999</v>
      </c>
      <c r="J5895">
        <v>-410.61090000000002</v>
      </c>
      <c r="K5895">
        <v>1.1146529999999999</v>
      </c>
      <c r="L5895">
        <v>20.110569999999999</v>
      </c>
      <c r="M5895">
        <v>0.87524709999999994</v>
      </c>
      <c r="N5895">
        <v>0</v>
      </c>
      <c r="O5895">
        <v>-0.48346529999999999</v>
      </c>
      <c r="P5895">
        <v>0.89364779999999999</v>
      </c>
      <c r="Q5895">
        <v>-1.389308E-2</v>
      </c>
      <c r="R5895">
        <v>-0.44855469999999997</v>
      </c>
      <c r="S5895">
        <v>3.1190190000000002</v>
      </c>
      <c r="T5895">
        <v>-0.17068539999999999</v>
      </c>
      <c r="U5895">
        <v>-0.47726439999999998</v>
      </c>
      <c r="V5895">
        <v>-3.9457390000000002E-2</v>
      </c>
      <c r="W5895" s="1">
        <v>-6.1905509999999898E-5</v>
      </c>
      <c r="X5895">
        <v>0.99922129999999998</v>
      </c>
      <c r="Y5895">
        <v>-0.34440880000000001</v>
      </c>
      <c r="Z5895">
        <v>3.4539640000000003E-2</v>
      </c>
      <c r="AA5895">
        <v>0.93818420000000002</v>
      </c>
      <c r="AB5895">
        <v>20</v>
      </c>
      <c r="AC5895">
        <v>20.2851</v>
      </c>
      <c r="AD5895">
        <v>-1.1146580114010001</v>
      </c>
      <c r="AE5895">
        <v>-3.07544</v>
      </c>
      <c r="AF5895">
        <v>-7.0951550964797603</v>
      </c>
      <c r="AG5895">
        <v>-1.1146580114010001</v>
      </c>
      <c r="AH5895">
        <v>19.186673006577799</v>
      </c>
      <c r="AI5895">
        <v>93.118911337779707</v>
      </c>
      <c r="AJ5895">
        <v>110.294192576051</v>
      </c>
      <c r="AK5895">
        <v>20.4868765161218</v>
      </c>
      <c r="AL5895">
        <v>90.003546924283896</v>
      </c>
      <c r="AM5895">
        <v>92.261328844325703</v>
      </c>
      <c r="AN5895">
        <v>1.00000004791579</v>
      </c>
    </row>
    <row r="5896" spans="1:40" x14ac:dyDescent="0.25">
      <c r="A5896" t="str">
        <f>"20190312160805405"</f>
        <v>20190312160805405</v>
      </c>
      <c r="B5896" t="str">
        <f>"1552378085402089"</f>
        <v>1552378085402089</v>
      </c>
      <c r="C5896" t="s">
        <v>40</v>
      </c>
      <c r="D5896">
        <v>5.8978099999999998</v>
      </c>
      <c r="E5896">
        <v>0.34064559999999999</v>
      </c>
      <c r="F5896" t="s">
        <v>47</v>
      </c>
      <c r="G5896">
        <v>-390.37209999999999</v>
      </c>
      <c r="H5896" s="1">
        <v>-4.9757539999999999E-6</v>
      </c>
      <c r="I5896">
        <v>17.112570000000002</v>
      </c>
      <c r="J5896">
        <v>-410.5204</v>
      </c>
      <c r="K5896">
        <v>1.114606</v>
      </c>
      <c r="L5896">
        <v>20.066800000000001</v>
      </c>
      <c r="M5896">
        <v>0.87748559999999998</v>
      </c>
      <c r="N5896">
        <v>0</v>
      </c>
      <c r="O5896">
        <v>-0.47939029999999999</v>
      </c>
      <c r="P5896">
        <v>0.89551440000000004</v>
      </c>
      <c r="Q5896">
        <v>-1.400556E-2</v>
      </c>
      <c r="R5896">
        <v>-0.44481229999999999</v>
      </c>
      <c r="S5896">
        <v>3.1221920000000001</v>
      </c>
      <c r="T5896">
        <v>-0.17195569999999999</v>
      </c>
      <c r="U5896">
        <v>-0.46249390000000001</v>
      </c>
      <c r="V5896">
        <v>-3.8989019999999999E-2</v>
      </c>
      <c r="W5896">
        <v>-1.7745740000000001E-4</v>
      </c>
      <c r="X5896">
        <v>0.99923960000000001</v>
      </c>
      <c r="Y5896">
        <v>-0.3445165</v>
      </c>
      <c r="Z5896">
        <v>3.4588679999999997E-2</v>
      </c>
      <c r="AA5896">
        <v>0.93814280000000005</v>
      </c>
      <c r="AB5896">
        <v>20</v>
      </c>
      <c r="AC5896">
        <v>20.148299999999999</v>
      </c>
      <c r="AD5896">
        <v>-1.1146109757539999</v>
      </c>
      <c r="AE5896">
        <v>-2.9542299999999901</v>
      </c>
      <c r="AF5896">
        <v>-7.0462160805910496</v>
      </c>
      <c r="AG5896">
        <v>-1.1146109757539999</v>
      </c>
      <c r="AH5896">
        <v>19.0409745836442</v>
      </c>
      <c r="AI5896">
        <v>93.142331988393096</v>
      </c>
      <c r="AJ5896">
        <v>110.30726725241701</v>
      </c>
      <c r="AK5896">
        <v>20.3334756442827</v>
      </c>
      <c r="AL5896">
        <v>90.010167560353693</v>
      </c>
      <c r="AM5896">
        <v>92.234472744601803</v>
      </c>
      <c r="AN5896">
        <v>0.99999997668992402</v>
      </c>
    </row>
    <row r="5897" spans="1:40" x14ac:dyDescent="0.25">
      <c r="A5897" t="str">
        <f>"20190312160805415"</f>
        <v>20190312160805415</v>
      </c>
      <c r="B5897" t="str">
        <f>"1552378085411848"</f>
        <v>1552378085411848</v>
      </c>
      <c r="C5897" t="s">
        <v>40</v>
      </c>
      <c r="D5897">
        <v>5.8626769999999997</v>
      </c>
      <c r="E5897">
        <v>0.33521010000000001</v>
      </c>
      <c r="F5897" t="s">
        <v>47</v>
      </c>
      <c r="G5897">
        <v>-349.32479999999998</v>
      </c>
      <c r="H5897" s="1">
        <v>-1.07308E-6</v>
      </c>
      <c r="I5897">
        <v>16.394439999999999</v>
      </c>
      <c r="J5897">
        <v>-410.43549999999999</v>
      </c>
      <c r="K5897">
        <v>1.114565</v>
      </c>
      <c r="L5897">
        <v>20.025880000000001</v>
      </c>
      <c r="M5897">
        <v>0.87956199999999995</v>
      </c>
      <c r="N5897">
        <v>0</v>
      </c>
      <c r="O5897">
        <v>-0.4755703</v>
      </c>
      <c r="P5897">
        <v>0.89715579999999995</v>
      </c>
      <c r="Q5897">
        <v>-1.4159929999999999E-2</v>
      </c>
      <c r="R5897">
        <v>-0.44148720000000002</v>
      </c>
      <c r="S5897">
        <v>3.2521969999999998</v>
      </c>
      <c r="T5897">
        <v>-5.923498E-2</v>
      </c>
      <c r="U5897">
        <v>-0.1951599</v>
      </c>
      <c r="V5897">
        <v>-3.8348159999999999E-2</v>
      </c>
      <c r="W5897">
        <v>-3.3213920000000003E-4</v>
      </c>
      <c r="X5897">
        <v>0.99926440000000005</v>
      </c>
      <c r="Y5897">
        <v>-0.42193049999999999</v>
      </c>
      <c r="Z5897">
        <v>1.218549E-2</v>
      </c>
      <c r="AA5897">
        <v>0.90654630000000003</v>
      </c>
      <c r="AB5897">
        <v>20</v>
      </c>
      <c r="AC5897">
        <v>61.110700000000001</v>
      </c>
      <c r="AD5897">
        <v>-1.11456607308</v>
      </c>
      <c r="AE5897">
        <v>-3.6314399999999898</v>
      </c>
      <c r="AF5897">
        <v>-25.862418162701701</v>
      </c>
      <c r="AG5897">
        <v>-1.11456607308</v>
      </c>
      <c r="AH5897">
        <v>55.464917357298198</v>
      </c>
      <c r="AI5897">
        <v>91.043377996938901</v>
      </c>
      <c r="AJ5897">
        <v>114.998899000794</v>
      </c>
      <c r="AK5897">
        <v>61.208365344988799</v>
      </c>
      <c r="AL5897">
        <v>90.019030174408599</v>
      </c>
      <c r="AM5897">
        <v>92.197726685891595</v>
      </c>
      <c r="AN5897">
        <v>1.0000000163995899</v>
      </c>
    </row>
    <row r="5898" spans="1:40" x14ac:dyDescent="0.25">
      <c r="A5898" t="str">
        <f>"20190312160805427"</f>
        <v>20190312160805427</v>
      </c>
      <c r="B5898" t="str">
        <f>"1552378085421609"</f>
        <v>1552378085421609</v>
      </c>
      <c r="C5898" t="s">
        <v>40</v>
      </c>
      <c r="D5898">
        <v>6.1173580000000003</v>
      </c>
      <c r="E5898">
        <v>0.33671030000000002</v>
      </c>
      <c r="F5898" t="s">
        <v>45</v>
      </c>
      <c r="G5898">
        <v>-302.07260000000002</v>
      </c>
      <c r="H5898">
        <v>-0.05</v>
      </c>
      <c r="I5898">
        <v>15.225110000000001</v>
      </c>
      <c r="J5898">
        <v>-410.3417</v>
      </c>
      <c r="K5898">
        <v>1.1145160000000001</v>
      </c>
      <c r="L5898">
        <v>19.981480000000001</v>
      </c>
      <c r="M5898">
        <v>0.88179989999999997</v>
      </c>
      <c r="N5898">
        <v>0</v>
      </c>
      <c r="O5898">
        <v>-0.4714082</v>
      </c>
      <c r="P5898">
        <v>0.89898820000000002</v>
      </c>
      <c r="Q5898">
        <v>-1.394364E-2</v>
      </c>
      <c r="R5898">
        <v>-0.437751</v>
      </c>
      <c r="S5898">
        <v>3.2720030000000002</v>
      </c>
      <c r="T5898">
        <v>-3.5163880000000002E-2</v>
      </c>
      <c r="U5898">
        <v>-0.14495849999999999</v>
      </c>
      <c r="V5898">
        <v>-3.7786849999999997E-2</v>
      </c>
      <c r="W5898">
        <v>-1.1840739999999999E-4</v>
      </c>
      <c r="X5898">
        <v>0.9992858</v>
      </c>
      <c r="Y5898">
        <v>-0.43191230000000003</v>
      </c>
      <c r="Z5898">
        <v>7.211706E-3</v>
      </c>
      <c r="AA5898">
        <v>0.90188679999999999</v>
      </c>
      <c r="AB5898">
        <v>20</v>
      </c>
      <c r="AC5898">
        <v>108.269099999999</v>
      </c>
      <c r="AD5898">
        <v>-1.1645159999999899</v>
      </c>
      <c r="AE5898">
        <v>-4.7563699999999898</v>
      </c>
      <c r="AF5898">
        <v>-46.844127388600903</v>
      </c>
      <c r="AG5898">
        <v>-1.1645159999999899</v>
      </c>
      <c r="AH5898">
        <v>97.712522607011195</v>
      </c>
      <c r="AI5898">
        <v>90.615712987059197</v>
      </c>
      <c r="AJ5898">
        <v>115.613413967222</v>
      </c>
      <c r="AK5898">
        <v>108.367271085597</v>
      </c>
      <c r="AL5898">
        <v>90.006784244400194</v>
      </c>
      <c r="AM5898">
        <v>92.165542625836295</v>
      </c>
      <c r="AN5898">
        <v>0.99999998506743704</v>
      </c>
    </row>
    <row r="5899" spans="1:40" x14ac:dyDescent="0.25">
      <c r="A5899" t="str">
        <f>"20190312160805439"</f>
        <v>20190312160805439</v>
      </c>
      <c r="B5899" t="str">
        <f>"1552378085431369"</f>
        <v>1552378085431369</v>
      </c>
      <c r="C5899" t="s">
        <v>40</v>
      </c>
      <c r="D5899">
        <v>5.9106180000000004</v>
      </c>
      <c r="E5899">
        <v>0.33488630000000003</v>
      </c>
      <c r="F5899" t="s">
        <v>47</v>
      </c>
      <c r="G5899">
        <v>-353.67970000000003</v>
      </c>
      <c r="H5899" s="1">
        <v>-3.0629029999999998E-6</v>
      </c>
      <c r="I5899">
        <v>17.534779999999898</v>
      </c>
      <c r="J5899">
        <v>-410.25130000000001</v>
      </c>
      <c r="K5899">
        <v>1.1144700000000001</v>
      </c>
      <c r="L5899">
        <v>19.938960000000002</v>
      </c>
      <c r="M5899">
        <v>0.8839226</v>
      </c>
      <c r="N5899">
        <v>0</v>
      </c>
      <c r="O5899">
        <v>-0.46741630000000001</v>
      </c>
      <c r="P5899">
        <v>0.90079120000000001</v>
      </c>
      <c r="Q5899">
        <v>-1.4013319999999999E-2</v>
      </c>
      <c r="R5899">
        <v>-0.43402669999999999</v>
      </c>
      <c r="S5899">
        <v>3.267395</v>
      </c>
      <c r="T5899">
        <v>-6.4268350000000002E-2</v>
      </c>
      <c r="U5899">
        <v>-0.14108280000000001</v>
      </c>
      <c r="V5899">
        <v>-3.7402310000000001E-2</v>
      </c>
      <c r="W5899">
        <v>-1.9239379999999999E-4</v>
      </c>
      <c r="X5899">
        <v>0.99930019999999997</v>
      </c>
      <c r="Y5899">
        <v>-0.42872670000000002</v>
      </c>
      <c r="Z5899">
        <v>1.3097859999999999E-2</v>
      </c>
      <c r="AA5899">
        <v>0.90333929999999996</v>
      </c>
      <c r="AB5899">
        <v>20</v>
      </c>
      <c r="AC5899">
        <v>56.571599999999897</v>
      </c>
      <c r="AD5899">
        <v>-1.114473062903</v>
      </c>
      <c r="AE5899">
        <v>-2.4041800000000002</v>
      </c>
      <c r="AF5899">
        <v>-24.310427723938101</v>
      </c>
      <c r="AG5899">
        <v>-1.114473062903</v>
      </c>
      <c r="AH5899">
        <v>51.114053392953501</v>
      </c>
      <c r="AI5899">
        <v>91.1280127582001</v>
      </c>
      <c r="AJ5899">
        <v>115.436294317988</v>
      </c>
      <c r="AK5899">
        <v>56.6117072749662</v>
      </c>
      <c r="AL5899">
        <v>90.011023353586694</v>
      </c>
      <c r="AM5899">
        <v>92.143494663033806</v>
      </c>
      <c r="AN5899">
        <v>0.99999992976437202</v>
      </c>
    </row>
    <row r="5900" spans="1:40" x14ac:dyDescent="0.25">
      <c r="A5900" t="str">
        <f>"20190312160805448"</f>
        <v>20190312160805448</v>
      </c>
      <c r="B5900" t="str">
        <f>"1552378085441129"</f>
        <v>1552378085441129</v>
      </c>
      <c r="C5900" t="s">
        <v>40</v>
      </c>
      <c r="D5900">
        <v>8.0802449999999997</v>
      </c>
      <c r="E5900">
        <v>0.33488630000000003</v>
      </c>
      <c r="F5900" t="s">
        <v>47</v>
      </c>
      <c r="G5900">
        <v>-340.85210000000001</v>
      </c>
      <c r="H5900" s="1">
        <v>-4.2812709999999998E-6</v>
      </c>
      <c r="I5900">
        <v>17.504839999999898</v>
      </c>
      <c r="J5900">
        <v>-410.16759999999999</v>
      </c>
      <c r="K5900">
        <v>1.1144270000000001</v>
      </c>
      <c r="L5900">
        <v>19.90005</v>
      </c>
      <c r="M5900">
        <v>0.88585480000000005</v>
      </c>
      <c r="N5900">
        <v>0</v>
      </c>
      <c r="O5900">
        <v>-0.4637443</v>
      </c>
      <c r="P5900">
        <v>0.90235350000000003</v>
      </c>
      <c r="Q5900">
        <v>-1.4130500000000001E-2</v>
      </c>
      <c r="R5900">
        <v>-0.43076500000000001</v>
      </c>
      <c r="S5900">
        <v>3.2742610000000001</v>
      </c>
      <c r="T5900">
        <v>-5.2580950000000001E-2</v>
      </c>
      <c r="U5900">
        <v>-0.1148376</v>
      </c>
      <c r="V5900">
        <v>-3.6868619999999998E-2</v>
      </c>
      <c r="W5900">
        <v>-3.1166620000000001E-4</v>
      </c>
      <c r="X5900">
        <v>0.99932010000000004</v>
      </c>
      <c r="Y5900">
        <v>-0.43234149999999999</v>
      </c>
      <c r="Z5900">
        <v>1.0675209999999999E-2</v>
      </c>
      <c r="AA5900">
        <v>0.90164679999999997</v>
      </c>
      <c r="AB5900">
        <v>20</v>
      </c>
      <c r="AC5900">
        <v>69.315499999999901</v>
      </c>
      <c r="AD5900">
        <v>-1.114431281271</v>
      </c>
      <c r="AE5900">
        <v>-2.3952100000000001</v>
      </c>
      <c r="AF5900">
        <v>-30.0181498151657</v>
      </c>
      <c r="AG5900">
        <v>-1.114431281271</v>
      </c>
      <c r="AH5900">
        <v>62.504426245926702</v>
      </c>
      <c r="AI5900">
        <v>90.920791190678102</v>
      </c>
      <c r="AJ5900">
        <v>115.652943671538</v>
      </c>
      <c r="AK5900">
        <v>69.347924091056299</v>
      </c>
      <c r="AL5900">
        <v>90.017857157679003</v>
      </c>
      <c r="AM5900">
        <v>92.112895226666495</v>
      </c>
      <c r="AN5900">
        <v>1.0000000272702601</v>
      </c>
    </row>
    <row r="5901" spans="1:40" x14ac:dyDescent="0.25">
      <c r="A5901" t="str">
        <f>"20190312160805461"</f>
        <v>20190312160805461</v>
      </c>
      <c r="B5901" t="str">
        <f>"1552378085451864"</f>
        <v>1552378085451864</v>
      </c>
      <c r="C5901" t="s">
        <v>40</v>
      </c>
      <c r="D5901">
        <v>6.12242</v>
      </c>
      <c r="E5901">
        <v>0.31574459999999999</v>
      </c>
      <c r="F5901" t="s">
        <v>47</v>
      </c>
      <c r="G5901">
        <v>-341.0025</v>
      </c>
      <c r="H5901" s="1">
        <v>-4.1777599999999998E-6</v>
      </c>
      <c r="I5901">
        <v>17.724529999999898</v>
      </c>
      <c r="J5901">
        <v>-410.07339999999999</v>
      </c>
      <c r="K5901">
        <v>1.1143780000000001</v>
      </c>
      <c r="L5901">
        <v>19.856750000000002</v>
      </c>
      <c r="M5901">
        <v>0.88798820000000001</v>
      </c>
      <c r="N5901">
        <v>0</v>
      </c>
      <c r="O5901">
        <v>-0.45964650000000001</v>
      </c>
      <c r="P5901">
        <v>0.90404079999999998</v>
      </c>
      <c r="Q5901">
        <v>-1.418985E-2</v>
      </c>
      <c r="R5901">
        <v>-0.42721110000000001</v>
      </c>
      <c r="S5901">
        <v>3.2746580000000001</v>
      </c>
      <c r="T5901">
        <v>-5.2763339999999999E-2</v>
      </c>
      <c r="U5901">
        <v>-0.1029968</v>
      </c>
      <c r="V5901">
        <v>-3.6182909999999999E-2</v>
      </c>
      <c r="W5901">
        <v>-3.7257659999999999E-4</v>
      </c>
      <c r="X5901">
        <v>0.99934509999999999</v>
      </c>
      <c r="Y5901">
        <v>-0.43143559999999997</v>
      </c>
      <c r="Z5901">
        <v>1.064649E-2</v>
      </c>
      <c r="AA5901">
        <v>0.90208100000000002</v>
      </c>
      <c r="AB5901">
        <v>20</v>
      </c>
      <c r="AC5901">
        <v>69.070899999999995</v>
      </c>
      <c r="AD5901">
        <v>-1.11438217776</v>
      </c>
      <c r="AE5901">
        <v>-2.1322199999999998</v>
      </c>
      <c r="AF5901">
        <v>-29.850065157262701</v>
      </c>
      <c r="AG5901">
        <v>-1.11438217776</v>
      </c>
      <c r="AH5901">
        <v>62.3043054072334</v>
      </c>
      <c r="AI5901">
        <v>90.924123693251204</v>
      </c>
      <c r="AJ5901">
        <v>115.599135177737</v>
      </c>
      <c r="AK5901">
        <v>69.094824044994596</v>
      </c>
      <c r="AL5901">
        <v>90.021347067532105</v>
      </c>
      <c r="AM5901">
        <v>92.073580832168901</v>
      </c>
      <c r="AN5901">
        <v>0.99999998534169998</v>
      </c>
    </row>
    <row r="5902" spans="1:40" x14ac:dyDescent="0.25">
      <c r="A5902" t="str">
        <f>"20190312160805476"</f>
        <v>20190312160805476</v>
      </c>
      <c r="B5902" t="str">
        <f>"1552378085471385"</f>
        <v>1552378085471385</v>
      </c>
      <c r="C5902" t="s">
        <v>40</v>
      </c>
      <c r="D5902">
        <v>6.1170999999999998</v>
      </c>
      <c r="E5902">
        <v>0.31456139999999999</v>
      </c>
      <c r="F5902" t="s">
        <v>41</v>
      </c>
      <c r="G5902">
        <v>0</v>
      </c>
      <c r="H5902">
        <v>0</v>
      </c>
      <c r="I5902">
        <v>0</v>
      </c>
      <c r="J5902">
        <v>-409.97269999999997</v>
      </c>
      <c r="K5902">
        <v>1.1143270000000001</v>
      </c>
      <c r="L5902">
        <v>19.810759999999998</v>
      </c>
      <c r="M5902">
        <v>0.89023240000000003</v>
      </c>
      <c r="N5902">
        <v>0</v>
      </c>
      <c r="O5902">
        <v>-0.45528489999999999</v>
      </c>
      <c r="P5902">
        <v>0.90591540000000004</v>
      </c>
      <c r="Q5902">
        <v>-1.4303339999999999E-2</v>
      </c>
      <c r="R5902">
        <v>-0.42321710000000001</v>
      </c>
      <c r="S5902">
        <v>3.3397519999999998</v>
      </c>
      <c r="T5902">
        <v>0.52439429999999998</v>
      </c>
      <c r="U5902">
        <v>2.758789E-2</v>
      </c>
      <c r="V5902">
        <v>-3.5688270000000001E-2</v>
      </c>
      <c r="W5902">
        <v>-4.9045199999999897E-4</v>
      </c>
      <c r="X5902">
        <v>0.9993628</v>
      </c>
      <c r="Y5902">
        <v>-0.45187040000000001</v>
      </c>
      <c r="Z5902">
        <v>-0.10427640000000001</v>
      </c>
      <c r="AA5902">
        <v>0.88596819999999898</v>
      </c>
      <c r="AB5902">
        <v>20</v>
      </c>
      <c r="AC5902">
        <v>3.3397519999999998</v>
      </c>
      <c r="AD5902">
        <v>0.52439429999999998</v>
      </c>
      <c r="AE5902">
        <v>2.758789E-2</v>
      </c>
      <c r="AF5902">
        <v>-1.50807672141905</v>
      </c>
      <c r="AG5902">
        <v>0.52439429999999998</v>
      </c>
      <c r="AH5902">
        <v>2.8896572903248101</v>
      </c>
      <c r="AI5902">
        <v>80.860497776906598</v>
      </c>
      <c r="AJ5902">
        <v>117.559504139135</v>
      </c>
      <c r="AK5902">
        <v>3.3014245463263001</v>
      </c>
      <c r="AL5902">
        <v>90.028100832196799</v>
      </c>
      <c r="AM5902">
        <v>92.045221905421897</v>
      </c>
      <c r="AN5902">
        <v>0.99999994959129701</v>
      </c>
    </row>
    <row r="5903" spans="1:40" x14ac:dyDescent="0.25">
      <c r="A5903" t="str">
        <f>"20190312160805488"</f>
        <v>20190312160805488</v>
      </c>
      <c r="B5903" t="str">
        <f>"1552378085481145"</f>
        <v>1552378085481145</v>
      </c>
      <c r="C5903" t="s">
        <v>40</v>
      </c>
      <c r="D5903">
        <v>6.1338739999999996</v>
      </c>
      <c r="E5903">
        <v>0.3139999</v>
      </c>
      <c r="F5903" t="s">
        <v>41</v>
      </c>
      <c r="G5903">
        <v>0</v>
      </c>
      <c r="H5903">
        <v>0</v>
      </c>
      <c r="I5903">
        <v>0</v>
      </c>
      <c r="J5903">
        <v>-409.85879999999997</v>
      </c>
      <c r="K5903">
        <v>1.114269</v>
      </c>
      <c r="L5903">
        <v>19.75977</v>
      </c>
      <c r="M5903">
        <v>0.89270159999999998</v>
      </c>
      <c r="N5903">
        <v>0</v>
      </c>
      <c r="O5903">
        <v>-0.45042529999999997</v>
      </c>
      <c r="P5903">
        <v>0.90794580000000003</v>
      </c>
      <c r="Q5903">
        <v>-1.445601E-2</v>
      </c>
      <c r="R5903">
        <v>-0.4188384</v>
      </c>
      <c r="S5903">
        <v>3.3435670000000002</v>
      </c>
      <c r="T5903">
        <v>0.52000570000000002</v>
      </c>
      <c r="U5903">
        <v>5.0903320000000002E-2</v>
      </c>
      <c r="V5903">
        <v>-3.5062570000000001E-2</v>
      </c>
      <c r="W5903">
        <v>-6.4756470000000002E-4</v>
      </c>
      <c r="X5903">
        <v>0.99938490000000002</v>
      </c>
      <c r="Y5903">
        <v>-0.45343460000000002</v>
      </c>
      <c r="Z5903">
        <v>-0.1027599</v>
      </c>
      <c r="AA5903">
        <v>0.88534590000000002</v>
      </c>
      <c r="AB5903">
        <v>20</v>
      </c>
      <c r="AC5903">
        <v>3.3435670000000002</v>
      </c>
      <c r="AD5903">
        <v>0.52000570000000002</v>
      </c>
      <c r="AE5903">
        <v>5.0903320000000002E-2</v>
      </c>
      <c r="AF5903">
        <v>-1.5149887791077099</v>
      </c>
      <c r="AG5903">
        <v>0.52000570000000002</v>
      </c>
      <c r="AH5903">
        <v>2.8922364463093202</v>
      </c>
      <c r="AI5903">
        <v>80.950694334418401</v>
      </c>
      <c r="AJ5903">
        <v>117.64609635700501</v>
      </c>
      <c r="AK5903">
        <v>3.3061501161040399</v>
      </c>
      <c r="AL5903">
        <v>90.037102727207895</v>
      </c>
      <c r="AM5903">
        <v>92.0093495736633</v>
      </c>
      <c r="AN5903">
        <v>0.99999999075152701</v>
      </c>
    </row>
    <row r="5904" spans="1:40" x14ac:dyDescent="0.25">
      <c r="A5904" t="str">
        <f>"20190312160805506"</f>
        <v>20190312160805506</v>
      </c>
      <c r="B5904" t="str">
        <f>"1552378085501641"</f>
        <v>1552378085501641</v>
      </c>
      <c r="C5904" t="s">
        <v>40</v>
      </c>
      <c r="D5904">
        <v>6.5343269999999896</v>
      </c>
      <c r="E5904">
        <v>0.31251849999999998</v>
      </c>
      <c r="F5904" t="s">
        <v>88</v>
      </c>
      <c r="G5904">
        <v>-169.09460000000001</v>
      </c>
      <c r="H5904">
        <v>38.380119999999998</v>
      </c>
      <c r="I5904">
        <v>24.87096</v>
      </c>
      <c r="J5904">
        <v>-409.72730000000001</v>
      </c>
      <c r="K5904">
        <v>1.1142019999999999</v>
      </c>
      <c r="L5904">
        <v>19.70157</v>
      </c>
      <c r="M5904">
        <v>0.89548479999999997</v>
      </c>
      <c r="N5904">
        <v>0</v>
      </c>
      <c r="O5904">
        <v>-0.4448665</v>
      </c>
      <c r="P5904">
        <v>0.91013540000000004</v>
      </c>
      <c r="Q5904">
        <v>-1.464945E-2</v>
      </c>
      <c r="R5904">
        <v>-0.41405249999999999</v>
      </c>
      <c r="S5904">
        <v>3.345154</v>
      </c>
      <c r="T5904">
        <v>0.51776809999999995</v>
      </c>
      <c r="U5904">
        <v>7.1014399999999894E-2</v>
      </c>
      <c r="V5904">
        <v>-3.4108039999999999E-2</v>
      </c>
      <c r="W5904">
        <v>-8.4360429999999996E-4</v>
      </c>
      <c r="X5904">
        <v>0.99941780000000002</v>
      </c>
      <c r="Y5904">
        <v>-0.45339479999999999</v>
      </c>
      <c r="Z5904">
        <v>-0.10151019999999999</v>
      </c>
      <c r="AA5904">
        <v>0.88551049999999998</v>
      </c>
      <c r="AB5904">
        <v>20</v>
      </c>
      <c r="AC5904">
        <v>240.6327</v>
      </c>
      <c r="AD5904">
        <v>37.265917999999999</v>
      </c>
      <c r="AE5904">
        <v>5.1693899999999999</v>
      </c>
      <c r="AF5904">
        <v>-109.07494666068</v>
      </c>
      <c r="AG5904">
        <v>37.265917999999999</v>
      </c>
      <c r="AH5904">
        <v>208.21324100874801</v>
      </c>
      <c r="AI5904">
        <v>80.991173913716594</v>
      </c>
      <c r="AJ5904">
        <v>117.648322067959</v>
      </c>
      <c r="AK5904">
        <v>237.989172788974</v>
      </c>
      <c r="AL5904">
        <v>90.048334971484195</v>
      </c>
      <c r="AM5904">
        <v>91.954626539834294</v>
      </c>
      <c r="AN5904">
        <v>1.00000000450884</v>
      </c>
    </row>
    <row r="5905" spans="1:40" x14ac:dyDescent="0.25">
      <c r="A5905" t="str">
        <f>"20190312160805517"</f>
        <v>20190312160805517</v>
      </c>
      <c r="B5905" t="str">
        <f>"1552378085511401"</f>
        <v>1552378085511401</v>
      </c>
      <c r="C5905" t="s">
        <v>40</v>
      </c>
      <c r="D5905">
        <v>5.9628639999999997</v>
      </c>
      <c r="E5905">
        <v>0.33552749999999998</v>
      </c>
      <c r="F5905" t="s">
        <v>88</v>
      </c>
      <c r="G5905">
        <v>-169.09450000000001</v>
      </c>
      <c r="H5905">
        <v>37.972279999999998</v>
      </c>
      <c r="I5905">
        <v>26.852709999999998</v>
      </c>
      <c r="J5905">
        <v>-409.63780000000003</v>
      </c>
      <c r="K5905">
        <v>1.1141650000000001</v>
      </c>
      <c r="L5905">
        <v>19.66235</v>
      </c>
      <c r="M5905">
        <v>0.89734239999999998</v>
      </c>
      <c r="N5905">
        <v>0</v>
      </c>
      <c r="O5905">
        <v>-0.44110759999999999</v>
      </c>
      <c r="P5905">
        <v>0.91169140000000004</v>
      </c>
      <c r="Q5905">
        <v>-1.500072E-2</v>
      </c>
      <c r="R5905">
        <v>-0.41060160000000001</v>
      </c>
      <c r="S5905">
        <v>3.3497620000000001</v>
      </c>
      <c r="T5905">
        <v>0.51308790000000004</v>
      </c>
      <c r="U5905">
        <v>9.9548339999999999E-2</v>
      </c>
      <c r="V5905">
        <v>-3.369627E-2</v>
      </c>
      <c r="W5905">
        <v>-1.199325E-3</v>
      </c>
      <c r="X5905">
        <v>0.99943139999999997</v>
      </c>
      <c r="Y5905">
        <v>-0.45738990000000002</v>
      </c>
      <c r="Z5905">
        <v>-0.1002685</v>
      </c>
      <c r="AA5905">
        <v>0.88359529999999997</v>
      </c>
      <c r="AB5905">
        <v>20</v>
      </c>
      <c r="AC5905">
        <v>240.54329999999999</v>
      </c>
      <c r="AD5905">
        <v>36.858114999999998</v>
      </c>
      <c r="AE5905">
        <v>7.1903599999999903</v>
      </c>
      <c r="AF5905">
        <v>-109.98886583359401</v>
      </c>
      <c r="AG5905">
        <v>36.858114999999998</v>
      </c>
      <c r="AH5905">
        <v>207.82417639048401</v>
      </c>
      <c r="AI5905">
        <v>81.091208141028801</v>
      </c>
      <c r="AJ5905">
        <v>117.88958328378899</v>
      </c>
      <c r="AK5905">
        <v>238.0062174421</v>
      </c>
      <c r="AL5905">
        <v>90.068716277227594</v>
      </c>
      <c r="AM5905">
        <v>91.931020988674305</v>
      </c>
      <c r="AN5905">
        <v>1.00000000014916</v>
      </c>
    </row>
    <row r="5906" spans="1:40" x14ac:dyDescent="0.25">
      <c r="A5906" t="str">
        <f>"20190312160805527"</f>
        <v>20190312160805527</v>
      </c>
      <c r="B5906" t="str">
        <f>"1552378085521161"</f>
        <v>1552378085521161</v>
      </c>
      <c r="C5906" t="s">
        <v>40</v>
      </c>
      <c r="D5906">
        <v>5.9579409999999999</v>
      </c>
      <c r="E5906">
        <v>0.33778659999999999</v>
      </c>
      <c r="F5906" t="s">
        <v>98</v>
      </c>
      <c r="G5906">
        <v>-374.70710000000003</v>
      </c>
      <c r="H5906" s="1">
        <v>-2.5368489999999999E-6</v>
      </c>
      <c r="I5906">
        <v>19.309719999999999</v>
      </c>
      <c r="J5906">
        <v>-409.5455</v>
      </c>
      <c r="K5906">
        <v>1.1141190000000001</v>
      </c>
      <c r="L5906">
        <v>19.622499999999999</v>
      </c>
      <c r="M5906">
        <v>0.89921620000000002</v>
      </c>
      <c r="N5906">
        <v>0</v>
      </c>
      <c r="O5906">
        <v>-0.437276</v>
      </c>
      <c r="P5906">
        <v>0.91317979999999999</v>
      </c>
      <c r="Q5906">
        <v>-1.5159280000000001E-2</v>
      </c>
      <c r="R5906">
        <v>-0.40727550000000001</v>
      </c>
      <c r="S5906">
        <v>3.2740170000000002</v>
      </c>
      <c r="T5906">
        <v>-0.1044298</v>
      </c>
      <c r="U5906">
        <v>-3.3050540000000003E-2</v>
      </c>
      <c r="V5906">
        <v>-3.3074350000000002E-2</v>
      </c>
      <c r="W5906">
        <v>-1.3604629999999999E-3</v>
      </c>
      <c r="X5906">
        <v>0.99945200000000001</v>
      </c>
      <c r="Y5906">
        <v>-0.42779210000000001</v>
      </c>
      <c r="Z5906">
        <v>2.0388320000000001E-2</v>
      </c>
      <c r="AA5906">
        <v>0.90364719999999998</v>
      </c>
      <c r="AB5906">
        <v>20</v>
      </c>
      <c r="AC5906">
        <v>34.838399999999901</v>
      </c>
      <c r="AD5906">
        <v>-1.1141215368490001</v>
      </c>
      <c r="AE5906">
        <v>-0.31277999999999601</v>
      </c>
      <c r="AF5906">
        <v>-14.9389574390396</v>
      </c>
      <c r="AG5906">
        <v>-1.1141215368490001</v>
      </c>
      <c r="AH5906">
        <v>31.435024507188899</v>
      </c>
      <c r="AI5906">
        <v>91.833475507113505</v>
      </c>
      <c r="AJ5906">
        <v>115.41860416202999</v>
      </c>
      <c r="AK5906">
        <v>34.822040174749603</v>
      </c>
      <c r="AL5906">
        <v>90.077948809642805</v>
      </c>
      <c r="AM5906">
        <v>91.895368027358202</v>
      </c>
      <c r="AN5906">
        <v>1.00000003189574</v>
      </c>
    </row>
    <row r="5907" spans="1:40" x14ac:dyDescent="0.25">
      <c r="A5907" t="str">
        <f>"20190312160805539"</f>
        <v>20190312160805539</v>
      </c>
      <c r="B5907" t="str">
        <f>"1552378085531896"</f>
        <v>1552378085531896</v>
      </c>
      <c r="C5907" t="s">
        <v>40</v>
      </c>
      <c r="D5907">
        <v>5.9536199999999999</v>
      </c>
      <c r="E5907">
        <v>0.33906979999999998</v>
      </c>
      <c r="F5907" t="s">
        <v>97</v>
      </c>
      <c r="G5907">
        <v>-368.41059999999999</v>
      </c>
      <c r="H5907" s="1">
        <v>-8.3588749999999999E-7</v>
      </c>
      <c r="I5907">
        <v>19.142140000000001</v>
      </c>
      <c r="J5907">
        <v>-409.45670000000001</v>
      </c>
      <c r="K5907">
        <v>1.1140760000000001</v>
      </c>
      <c r="L5907">
        <v>19.584530000000001</v>
      </c>
      <c r="M5907">
        <v>0.90098659999999997</v>
      </c>
      <c r="N5907">
        <v>0</v>
      </c>
      <c r="O5907">
        <v>-0.43361680000000002</v>
      </c>
      <c r="P5907">
        <v>0.91459520000000005</v>
      </c>
      <c r="Q5907">
        <v>-1.525893E-2</v>
      </c>
      <c r="R5907">
        <v>-0.40408300000000003</v>
      </c>
      <c r="S5907">
        <v>3.2666629999999999</v>
      </c>
      <c r="T5907">
        <v>-8.8476059999999995E-2</v>
      </c>
      <c r="U5907">
        <v>-3.8146970000000002E-2</v>
      </c>
      <c r="V5907">
        <v>-3.2500540000000001E-2</v>
      </c>
      <c r="W5907">
        <v>-1.4628250000000001E-3</v>
      </c>
      <c r="X5907">
        <v>0.99947070000000005</v>
      </c>
      <c r="Y5907">
        <v>-0.4228034</v>
      </c>
      <c r="Z5907">
        <v>1.7154429999999998E-2</v>
      </c>
      <c r="AA5907">
        <v>0.90605899999999995</v>
      </c>
      <c r="AB5907">
        <v>20</v>
      </c>
      <c r="AC5907">
        <v>41.046100000000003</v>
      </c>
      <c r="AD5907">
        <v>-1.1140768358874999</v>
      </c>
      <c r="AE5907">
        <v>-0.44238999999999901</v>
      </c>
      <c r="AF5907">
        <v>-17.388619388141201</v>
      </c>
      <c r="AG5907">
        <v>-1.1140768358874999</v>
      </c>
      <c r="AH5907">
        <v>37.150159563200397</v>
      </c>
      <c r="AI5907">
        <v>91.555799701552203</v>
      </c>
      <c r="AJ5907">
        <v>115.082560415221</v>
      </c>
      <c r="AK5907">
        <v>41.033396240052497</v>
      </c>
      <c r="AL5907">
        <v>90.083813724152705</v>
      </c>
      <c r="AM5907">
        <v>91.8624736511007</v>
      </c>
      <c r="AN5907">
        <v>1.0000000525578701</v>
      </c>
    </row>
    <row r="5908" spans="1:40" x14ac:dyDescent="0.25">
      <c r="A5908" t="str">
        <f>"20190312160805550"</f>
        <v>20190312160805550</v>
      </c>
      <c r="B5908" t="str">
        <f>"1552378085541656"</f>
        <v>1552378085541656</v>
      </c>
      <c r="C5908" t="s">
        <v>40</v>
      </c>
      <c r="D5908">
        <v>5.9767769999999896</v>
      </c>
      <c r="E5908">
        <v>0.34018480000000001</v>
      </c>
      <c r="F5908" t="s">
        <v>97</v>
      </c>
      <c r="G5908">
        <v>-366.07709999999997</v>
      </c>
      <c r="H5908" s="1">
        <v>-1.9460020000000001E-6</v>
      </c>
      <c r="I5908">
        <v>19.10211</v>
      </c>
      <c r="J5908">
        <v>-409.36790000000002</v>
      </c>
      <c r="K5908">
        <v>1.1140399999999999</v>
      </c>
      <c r="L5908">
        <v>19.54684</v>
      </c>
      <c r="M5908">
        <v>0.90272779999999997</v>
      </c>
      <c r="N5908">
        <v>0</v>
      </c>
      <c r="O5908">
        <v>-0.4299809</v>
      </c>
      <c r="P5908">
        <v>0.91602740000000005</v>
      </c>
      <c r="Q5908">
        <v>-1.5451869999999999E-2</v>
      </c>
      <c r="R5908">
        <v>-0.40081860000000002</v>
      </c>
      <c r="S5908">
        <v>3.262756</v>
      </c>
      <c r="T5908">
        <v>-8.3794469999999996E-2</v>
      </c>
      <c r="U5908">
        <v>-3.6285400000000002E-2</v>
      </c>
      <c r="V5908">
        <v>-3.2032520000000002E-2</v>
      </c>
      <c r="W5908">
        <v>-1.6596060000000001E-3</v>
      </c>
      <c r="X5908">
        <v>0.99948539999999997</v>
      </c>
      <c r="Y5908">
        <v>-0.41968480000000002</v>
      </c>
      <c r="Z5908">
        <v>1.6141309999999999E-2</v>
      </c>
      <c r="AA5908">
        <v>0.90752639999999996</v>
      </c>
      <c r="AB5908">
        <v>20</v>
      </c>
      <c r="AC5908">
        <v>43.290799999999997</v>
      </c>
      <c r="AD5908">
        <v>-1.1140419460019999</v>
      </c>
      <c r="AE5908">
        <v>-0.44472999999999901</v>
      </c>
      <c r="AF5908">
        <v>-18.202505889664</v>
      </c>
      <c r="AG5908">
        <v>-1.1140419460019999</v>
      </c>
      <c r="AH5908">
        <v>39.248951744941998</v>
      </c>
      <c r="AI5908">
        <v>91.475017490633206</v>
      </c>
      <c r="AJ5908">
        <v>114.88047917387</v>
      </c>
      <c r="AK5908">
        <v>43.278776821873002</v>
      </c>
      <c r="AL5908">
        <v>90.095088467790603</v>
      </c>
      <c r="AM5908">
        <v>91.835644833796593</v>
      </c>
      <c r="AN5908">
        <v>0.99999995072139103</v>
      </c>
    </row>
    <row r="5909" spans="1:40" x14ac:dyDescent="0.25">
      <c r="A5909" t="str">
        <f>"20190312160805561"</f>
        <v>20190312160805561</v>
      </c>
      <c r="B5909" t="str">
        <f>"1552378085551417"</f>
        <v>1552378085551417</v>
      </c>
      <c r="C5909" t="s">
        <v>40</v>
      </c>
      <c r="D5909">
        <v>5.9981470000000003</v>
      </c>
      <c r="E5909">
        <v>0.3414315</v>
      </c>
      <c r="F5909" t="s">
        <v>97</v>
      </c>
      <c r="G5909">
        <v>-366.79969999999997</v>
      </c>
      <c r="H5909" s="1">
        <v>-1.6015240000000001E-6</v>
      </c>
      <c r="I5909">
        <v>19.118760000000002</v>
      </c>
      <c r="J5909">
        <v>-409.2869</v>
      </c>
      <c r="K5909">
        <v>1.1140019999999999</v>
      </c>
      <c r="L5909">
        <v>19.51294</v>
      </c>
      <c r="M5909">
        <v>0.90428260000000005</v>
      </c>
      <c r="N5909">
        <v>0</v>
      </c>
      <c r="O5909">
        <v>-0.4267012</v>
      </c>
      <c r="P5909">
        <v>0.91737069999999998</v>
      </c>
      <c r="Q5909">
        <v>-1.564401E-2</v>
      </c>
      <c r="R5909">
        <v>-0.39772619999999997</v>
      </c>
      <c r="S5909">
        <v>3.2592469999999998</v>
      </c>
      <c r="T5909">
        <v>-8.5296869999999997E-2</v>
      </c>
      <c r="U5909">
        <v>-3.277588E-2</v>
      </c>
      <c r="V5909">
        <v>-3.1772759999999997E-2</v>
      </c>
      <c r="W5909">
        <v>-1.8571550000000001E-3</v>
      </c>
      <c r="X5909">
        <v>0.99949339999999998</v>
      </c>
      <c r="Y5909">
        <v>-0.41734660000000001</v>
      </c>
      <c r="Z5909">
        <v>1.6339699999999999E-2</v>
      </c>
      <c r="AA5909">
        <v>0.90860039999999997</v>
      </c>
      <c r="AB5909">
        <v>20</v>
      </c>
      <c r="AC5909">
        <v>42.487200000000001</v>
      </c>
      <c r="AD5909">
        <v>-1.114003601524</v>
      </c>
      <c r="AE5909">
        <v>-0.39417999999999798</v>
      </c>
      <c r="AF5909">
        <v>-17.762448166180899</v>
      </c>
      <c r="AG5909">
        <v>-1.114003601524</v>
      </c>
      <c r="AH5909">
        <v>38.565963306026902</v>
      </c>
      <c r="AI5909">
        <v>91.502904012158794</v>
      </c>
      <c r="AJ5909">
        <v>114.729529402487</v>
      </c>
      <c r="AK5909">
        <v>42.474452257825298</v>
      </c>
      <c r="AL5909">
        <v>90.106407203826507</v>
      </c>
      <c r="AM5909">
        <v>91.820754611372607</v>
      </c>
      <c r="AN5909">
        <v>1.0000000069731301</v>
      </c>
    </row>
    <row r="5910" spans="1:40" x14ac:dyDescent="0.25">
      <c r="A5910" t="str">
        <f>"20190312160805571"</f>
        <v>20190312160805571</v>
      </c>
      <c r="B5910" t="str">
        <f>"1552378085562154"</f>
        <v>1552378085562154</v>
      </c>
      <c r="C5910" t="s">
        <v>40</v>
      </c>
      <c r="D5910">
        <v>5.961748</v>
      </c>
      <c r="E5910">
        <v>0.3423137</v>
      </c>
      <c r="F5910" t="s">
        <v>98</v>
      </c>
      <c r="G5910">
        <v>-370.36020000000002</v>
      </c>
      <c r="H5910" s="1">
        <v>-4.620606E-6</v>
      </c>
      <c r="I5910">
        <v>19.146550000000001</v>
      </c>
      <c r="J5910">
        <v>-409.2013</v>
      </c>
      <c r="K5910">
        <v>1.113961</v>
      </c>
      <c r="L5910">
        <v>19.47729</v>
      </c>
      <c r="M5910">
        <v>0.90590340000000003</v>
      </c>
      <c r="N5910">
        <v>0</v>
      </c>
      <c r="O5910">
        <v>-0.42325010000000002</v>
      </c>
      <c r="P5910">
        <v>0.91862319999999997</v>
      </c>
      <c r="Q5910">
        <v>-1.5792480000000001E-2</v>
      </c>
      <c r="R5910">
        <v>-0.39481929999999998</v>
      </c>
      <c r="S5910">
        <v>3.255341</v>
      </c>
      <c r="T5910">
        <v>-9.3161579999999994E-2</v>
      </c>
      <c r="U5910">
        <v>-3.0639650000000001E-2</v>
      </c>
      <c r="V5910">
        <v>-3.1124099999999998E-2</v>
      </c>
      <c r="W5910">
        <v>-2.0073489999999999E-3</v>
      </c>
      <c r="X5910">
        <v>0.99951350000000005</v>
      </c>
      <c r="Y5910">
        <v>-0.41441240000000001</v>
      </c>
      <c r="Z5910">
        <v>1.7734819999999998E-2</v>
      </c>
      <c r="AA5910">
        <v>0.90991639999999996</v>
      </c>
      <c r="AB5910">
        <v>20</v>
      </c>
      <c r="AC5910">
        <v>38.841099999999898</v>
      </c>
      <c r="AD5910">
        <v>-1.113965620606</v>
      </c>
      <c r="AE5910">
        <v>-0.33073999999999798</v>
      </c>
      <c r="AF5910">
        <v>-16.128216894757401</v>
      </c>
      <c r="AG5910">
        <v>-1.113965620606</v>
      </c>
      <c r="AH5910">
        <v>35.300740469731203</v>
      </c>
      <c r="AI5910">
        <v>91.644087733159296</v>
      </c>
      <c r="AJ5910">
        <v>114.554732386022</v>
      </c>
      <c r="AK5910">
        <v>38.8265705068005</v>
      </c>
      <c r="AL5910">
        <v>90.115012704345006</v>
      </c>
      <c r="AM5910">
        <v>91.783571226280998</v>
      </c>
      <c r="AN5910">
        <v>0.99999998786653299</v>
      </c>
    </row>
    <row r="5911" spans="1:40" x14ac:dyDescent="0.25">
      <c r="A5911" t="str">
        <f>"20190312160805584"</f>
        <v>20190312160805584</v>
      </c>
      <c r="B5911" t="str">
        <f>"1552378085581673"</f>
        <v>1552378085581673</v>
      </c>
      <c r="C5911" t="s">
        <v>40</v>
      </c>
      <c r="D5911">
        <v>6.090401</v>
      </c>
      <c r="E5911">
        <v>0.34380500000000003</v>
      </c>
      <c r="F5911" t="s">
        <v>98</v>
      </c>
      <c r="G5911">
        <v>-370.4221</v>
      </c>
      <c r="H5911" s="1">
        <v>-4.5893320000000003E-6</v>
      </c>
      <c r="I5911">
        <v>19.15784</v>
      </c>
      <c r="J5911">
        <v>-409.10860000000002</v>
      </c>
      <c r="K5911">
        <v>1.1139129999999999</v>
      </c>
      <c r="L5911">
        <v>19.439240000000002</v>
      </c>
      <c r="M5911">
        <v>0.90761780000000003</v>
      </c>
      <c r="N5911">
        <v>0</v>
      </c>
      <c r="O5911">
        <v>-0.41956100000000002</v>
      </c>
      <c r="P5911">
        <v>0.92002899999999999</v>
      </c>
      <c r="Q5911">
        <v>-1.5961369999999999E-2</v>
      </c>
      <c r="R5911">
        <v>-0.3915247</v>
      </c>
      <c r="S5911">
        <v>3.2525940000000002</v>
      </c>
      <c r="T5911">
        <v>-9.3433500000000003E-2</v>
      </c>
      <c r="U5911">
        <v>-2.6794430000000001E-2</v>
      </c>
      <c r="V5911">
        <v>-3.0636509999999999E-2</v>
      </c>
      <c r="W5911">
        <v>-2.1805029999999999E-3</v>
      </c>
      <c r="X5911">
        <v>0.99952819999999998</v>
      </c>
      <c r="Y5911">
        <v>-0.4117768</v>
      </c>
      <c r="Z5911">
        <v>1.7666999999999999E-2</v>
      </c>
      <c r="AA5911">
        <v>0.91111339999999996</v>
      </c>
      <c r="AB5911">
        <v>20</v>
      </c>
      <c r="AC5911">
        <v>38.686500000000002</v>
      </c>
      <c r="AD5911">
        <v>-1.1139175893319999</v>
      </c>
      <c r="AE5911">
        <v>-0.28139999999999699</v>
      </c>
      <c r="AF5911">
        <v>-15.964294100816399</v>
      </c>
      <c r="AG5911">
        <v>-1.1139175893319999</v>
      </c>
      <c r="AH5911">
        <v>35.204932038608099</v>
      </c>
      <c r="AI5911">
        <v>91.650610051207096</v>
      </c>
      <c r="AJ5911">
        <v>114.392749615947</v>
      </c>
      <c r="AK5911">
        <v>38.671523610742298</v>
      </c>
      <c r="AL5911">
        <v>90.124933719807999</v>
      </c>
      <c r="AM5911">
        <v>91.755621629634504</v>
      </c>
      <c r="AN5911">
        <v>0.99999998646677601</v>
      </c>
    </row>
    <row r="5912" spans="1:40" x14ac:dyDescent="0.25">
      <c r="A5912" t="str">
        <f>"20190312160805596"</f>
        <v>20190312160805596</v>
      </c>
      <c r="B5912" t="str">
        <f>"1552378085591433"</f>
        <v>1552378085591433</v>
      </c>
      <c r="C5912" t="s">
        <v>40</v>
      </c>
      <c r="D5912">
        <v>5.9906139999999999</v>
      </c>
      <c r="E5912">
        <v>0.34488249999999998</v>
      </c>
      <c r="F5912" t="s">
        <v>98</v>
      </c>
      <c r="G5912">
        <v>-372.37520000000001</v>
      </c>
      <c r="H5912" s="1">
        <v>-3.668144E-6</v>
      </c>
      <c r="I5912">
        <v>19.14622</v>
      </c>
      <c r="J5912">
        <v>-409.01190000000003</v>
      </c>
      <c r="K5912">
        <v>1.113866</v>
      </c>
      <c r="L5912">
        <v>19.39978</v>
      </c>
      <c r="M5912">
        <v>0.90937809999999997</v>
      </c>
      <c r="N5912">
        <v>0</v>
      </c>
      <c r="O5912">
        <v>-0.4157324</v>
      </c>
      <c r="P5912">
        <v>0.92145569999999999</v>
      </c>
      <c r="Q5912">
        <v>-1.578589E-2</v>
      </c>
      <c r="R5912">
        <v>-0.38816260000000002</v>
      </c>
      <c r="S5912">
        <v>3.2480470000000001</v>
      </c>
      <c r="T5912">
        <v>-9.8495009999999994E-2</v>
      </c>
      <c r="U5912">
        <v>-2.5909419999999999E-2</v>
      </c>
      <c r="V5912">
        <v>-3.007746E-2</v>
      </c>
      <c r="W5912">
        <v>-2.0087120000000002E-3</v>
      </c>
      <c r="X5912">
        <v>0.99954560000000003</v>
      </c>
      <c r="Y5912">
        <v>-0.40813650000000001</v>
      </c>
      <c r="Z5912">
        <v>1.8487610000000002E-2</v>
      </c>
      <c r="AA5912">
        <v>0.91273369999999998</v>
      </c>
      <c r="AB5912">
        <v>20</v>
      </c>
      <c r="AC5912">
        <v>36.636699999999998</v>
      </c>
      <c r="AD5912">
        <v>-1.1138696681439999</v>
      </c>
      <c r="AE5912">
        <v>-0.25356000000000001</v>
      </c>
      <c r="AF5912">
        <v>-14.988113310962399</v>
      </c>
      <c r="AG5912">
        <v>-1.1138696681439999</v>
      </c>
      <c r="AH5912">
        <v>33.3944690600405</v>
      </c>
      <c r="AI5912">
        <v>91.743000435238301</v>
      </c>
      <c r="AJ5912">
        <v>114.171507787347</v>
      </c>
      <c r="AK5912">
        <v>36.620688279466599</v>
      </c>
      <c r="AL5912">
        <v>90.115090791787395</v>
      </c>
      <c r="AM5912">
        <v>91.723574852036904</v>
      </c>
      <c r="AN5912">
        <v>1.0000000475016499</v>
      </c>
    </row>
    <row r="5913" spans="1:40" x14ac:dyDescent="0.25">
      <c r="A5913" t="str">
        <f>"20190312160805609"</f>
        <v>20190312160805609</v>
      </c>
      <c r="B5913" t="str">
        <f>"1552378085601194"</f>
        <v>1552378085601194</v>
      </c>
      <c r="C5913" t="s">
        <v>40</v>
      </c>
      <c r="D5913">
        <v>5.9323709999999998</v>
      </c>
      <c r="E5913">
        <v>0.34594780000000003</v>
      </c>
      <c r="F5913" t="s">
        <v>98</v>
      </c>
      <c r="G5913">
        <v>-375.27120000000002</v>
      </c>
      <c r="H5913" s="1">
        <v>-2.294055E-6</v>
      </c>
      <c r="I5913">
        <v>19.17511</v>
      </c>
      <c r="J5913">
        <v>-408.9101</v>
      </c>
      <c r="K5913">
        <v>1.1138140000000001</v>
      </c>
      <c r="L5913">
        <v>19.358830000000001</v>
      </c>
      <c r="M5913">
        <v>0.91118560000000004</v>
      </c>
      <c r="N5913">
        <v>0</v>
      </c>
      <c r="O5913">
        <v>-0.41175600000000001</v>
      </c>
      <c r="P5913">
        <v>0.9229579</v>
      </c>
      <c r="Q5913">
        <v>-1.5827979999999998E-2</v>
      </c>
      <c r="R5913">
        <v>-0.3845749</v>
      </c>
      <c r="S5913">
        <v>3.244812</v>
      </c>
      <c r="T5913">
        <v>-0.107119699999999</v>
      </c>
      <c r="U5913">
        <v>-2.1606449999999999E-2</v>
      </c>
      <c r="V5913">
        <v>-2.9598920000000001E-2</v>
      </c>
      <c r="W5913">
        <v>-2.0559329999999998E-3</v>
      </c>
      <c r="X5913">
        <v>0.9995598</v>
      </c>
      <c r="Y5913">
        <v>-0.40528550000000002</v>
      </c>
      <c r="Z5913">
        <v>1.9958320000000002E-2</v>
      </c>
      <c r="AA5913">
        <v>0.91397229999999996</v>
      </c>
      <c r="AB5913">
        <v>19</v>
      </c>
      <c r="AC5913">
        <v>33.6388999999999</v>
      </c>
      <c r="AD5913">
        <v>-1.1138162940549901</v>
      </c>
      <c r="AE5913">
        <v>-0.183719999999997</v>
      </c>
      <c r="AF5913">
        <v>-13.66998294877</v>
      </c>
      <c r="AG5913">
        <v>-1.1138162940549901</v>
      </c>
      <c r="AH5913">
        <v>30.6963159544575</v>
      </c>
      <c r="AI5913">
        <v>91.898474706526699</v>
      </c>
      <c r="AJ5913">
        <v>114.004832807943</v>
      </c>
      <c r="AK5913">
        <v>33.621017737903898</v>
      </c>
      <c r="AL5913">
        <v>90.117796359972999</v>
      </c>
      <c r="AM5913">
        <v>91.696144406114399</v>
      </c>
      <c r="AN5913">
        <v>1.0000000583508499</v>
      </c>
    </row>
    <row r="5914" spans="1:40" x14ac:dyDescent="0.25">
      <c r="A5914" t="str">
        <f>"20190312160805620"</f>
        <v>20190312160805620</v>
      </c>
      <c r="B5914" t="str">
        <f>"1552378085611929"</f>
        <v>1552378085611929</v>
      </c>
      <c r="C5914" t="s">
        <v>40</v>
      </c>
      <c r="D5914">
        <v>6.0007029999999997</v>
      </c>
      <c r="E5914">
        <v>0.34650730000000002</v>
      </c>
      <c r="F5914" t="s">
        <v>98</v>
      </c>
      <c r="G5914">
        <v>-377.00729999999999</v>
      </c>
      <c r="H5914" s="1">
        <v>-1.469789E-6</v>
      </c>
      <c r="I5914">
        <v>19.195440000000001</v>
      </c>
      <c r="J5914">
        <v>-408.81420000000003</v>
      </c>
      <c r="K5914">
        <v>1.1137619999999999</v>
      </c>
      <c r="L5914">
        <v>19.320679999999999</v>
      </c>
      <c r="M5914">
        <v>0.91285400000000005</v>
      </c>
      <c r="N5914">
        <v>0</v>
      </c>
      <c r="O5914">
        <v>-0.40804459999999998</v>
      </c>
      <c r="P5914">
        <v>0.92424649999999997</v>
      </c>
      <c r="Q5914">
        <v>-1.5799259999999999E-2</v>
      </c>
      <c r="R5914">
        <v>-0.38146940000000001</v>
      </c>
      <c r="S5914">
        <v>3.2415470000000002</v>
      </c>
      <c r="T5914">
        <v>-0.11317149999999999</v>
      </c>
      <c r="U5914">
        <v>-1.6601560000000001E-2</v>
      </c>
      <c r="V5914">
        <v>-2.889303E-2</v>
      </c>
      <c r="W5914">
        <v>-2.0295259999999998E-3</v>
      </c>
      <c r="X5914">
        <v>0.99958040000000004</v>
      </c>
      <c r="Y5914">
        <v>-0.40292139999999999</v>
      </c>
      <c r="Z5914">
        <v>2.094642E-2</v>
      </c>
      <c r="AA5914">
        <v>0.9149948</v>
      </c>
      <c r="AB5914">
        <v>19</v>
      </c>
      <c r="AC5914">
        <v>31.806899999999999</v>
      </c>
      <c r="AD5914">
        <v>-1.113763469789</v>
      </c>
      <c r="AE5914">
        <v>-0.12524000000000099</v>
      </c>
      <c r="AF5914">
        <v>-12.8498208757957</v>
      </c>
      <c r="AG5914">
        <v>-1.113763469789</v>
      </c>
      <c r="AH5914">
        <v>29.053404163282799</v>
      </c>
      <c r="AI5914">
        <v>92.007914544975407</v>
      </c>
      <c r="AJ5914">
        <v>113.858982211648</v>
      </c>
      <c r="AK5914">
        <v>31.787712391452999</v>
      </c>
      <c r="AL5914">
        <v>90.116283359725102</v>
      </c>
      <c r="AM5914">
        <v>91.655682584766794</v>
      </c>
      <c r="AN5914">
        <v>0.99999995111126105</v>
      </c>
    </row>
    <row r="5915" spans="1:40" x14ac:dyDescent="0.25">
      <c r="A5915" t="str">
        <f>"20190312160805651"</f>
        <v>20190312160805651</v>
      </c>
      <c r="B5915" t="str">
        <f>"1552378085641208"</f>
        <v>1552378085641208</v>
      </c>
      <c r="C5915" t="s">
        <v>40</v>
      </c>
      <c r="D5915">
        <v>6.0232489999999999</v>
      </c>
      <c r="E5915">
        <v>0.3478755</v>
      </c>
      <c r="F5915" t="s">
        <v>98</v>
      </c>
      <c r="G5915">
        <v>-376.72930000000002</v>
      </c>
      <c r="H5915" s="1">
        <v>-1.5964150000000001E-6</v>
      </c>
      <c r="I5915">
        <v>19.222460000000002</v>
      </c>
      <c r="J5915">
        <v>-408.56970000000001</v>
      </c>
      <c r="K5915">
        <v>1.1136469999999901</v>
      </c>
      <c r="L5915">
        <v>19.22504</v>
      </c>
      <c r="M5915">
        <v>0.9169619</v>
      </c>
      <c r="N5915">
        <v>0</v>
      </c>
      <c r="O5915">
        <v>-0.39872859999999899</v>
      </c>
      <c r="P5915">
        <v>0.9274017</v>
      </c>
      <c r="Q5915">
        <v>-1.5547450000000001E-2</v>
      </c>
      <c r="R5915">
        <v>-0.37374400000000002</v>
      </c>
      <c r="S5915">
        <v>3.239868</v>
      </c>
      <c r="T5915">
        <v>-0.1124656</v>
      </c>
      <c r="U5915">
        <v>-9.9182130000000004E-3</v>
      </c>
      <c r="V5915">
        <v>-2.706033E-2</v>
      </c>
      <c r="W5915">
        <v>-1.7835940000000001E-3</v>
      </c>
      <c r="X5915">
        <v>0.99963219999999997</v>
      </c>
      <c r="Y5915">
        <v>-0.39549069999999997</v>
      </c>
      <c r="Z5915">
        <v>2.0398920000000001E-2</v>
      </c>
      <c r="AA5915">
        <v>0.91824340000000004</v>
      </c>
      <c r="AB5915">
        <v>19</v>
      </c>
      <c r="AC5915">
        <v>31.840399999999899</v>
      </c>
      <c r="AD5915">
        <v>-1.11364859641499</v>
      </c>
      <c r="AE5915">
        <v>-2.5799999999982499E-3</v>
      </c>
      <c r="AF5915">
        <v>-12.6790483714635</v>
      </c>
      <c r="AG5915">
        <v>-1.11364859641499</v>
      </c>
      <c r="AH5915">
        <v>29.164652045414901</v>
      </c>
      <c r="AI5915">
        <v>92.005606889697603</v>
      </c>
      <c r="AJ5915">
        <v>113.496524929548</v>
      </c>
      <c r="AK5915">
        <v>31.820990080956499</v>
      </c>
      <c r="AL5915">
        <v>90.102192463874403</v>
      </c>
      <c r="AM5915">
        <v>91.5506344693367</v>
      </c>
      <c r="AN5915">
        <v>0.999999988972052</v>
      </c>
    </row>
    <row r="5916" spans="1:40" x14ac:dyDescent="0.25">
      <c r="A5916" t="str">
        <f>"20190312160805666"</f>
        <v>20190312160805666</v>
      </c>
      <c r="B5916" t="str">
        <f>"1552378085661706"</f>
        <v>1552378085661706</v>
      </c>
      <c r="C5916" t="s">
        <v>40</v>
      </c>
      <c r="D5916">
        <v>6.0683930000000004</v>
      </c>
      <c r="E5916">
        <v>0.3491783</v>
      </c>
      <c r="F5916" t="s">
        <v>98</v>
      </c>
      <c r="G5916">
        <v>-377.07440000000003</v>
      </c>
      <c r="H5916" s="1">
        <v>-1.4206549999999901E-6</v>
      </c>
      <c r="I5916">
        <v>19.29365</v>
      </c>
      <c r="J5916">
        <v>-408.45229999999998</v>
      </c>
      <c r="K5916">
        <v>1.1135919999999999</v>
      </c>
      <c r="L5916">
        <v>19.18008</v>
      </c>
      <c r="M5916">
        <v>0.91885510000000004</v>
      </c>
      <c r="N5916">
        <v>0</v>
      </c>
      <c r="O5916">
        <v>-0.3943469</v>
      </c>
      <c r="P5916">
        <v>0.92900229999999995</v>
      </c>
      <c r="Q5916">
        <v>-1.526917E-2</v>
      </c>
      <c r="R5916">
        <v>-0.36975910000000001</v>
      </c>
      <c r="S5916">
        <v>3.235779</v>
      </c>
      <c r="T5916">
        <v>-0.11441460000000001</v>
      </c>
      <c r="U5916">
        <v>7.0495610000000002E-3</v>
      </c>
      <c r="V5916">
        <v>-2.6584150000000001E-2</v>
      </c>
      <c r="W5916">
        <v>-1.5120310000000001E-3</v>
      </c>
      <c r="X5916">
        <v>0.99964540000000002</v>
      </c>
      <c r="Y5916">
        <v>-0.395903</v>
      </c>
      <c r="Z5916">
        <v>2.064498E-2</v>
      </c>
      <c r="AA5916">
        <v>0.91806019999999999</v>
      </c>
      <c r="AB5916">
        <v>19</v>
      </c>
      <c r="AC5916">
        <v>31.377899999999901</v>
      </c>
      <c r="AD5916">
        <v>-1.113593420655</v>
      </c>
      <c r="AE5916">
        <v>0.11356999999999901</v>
      </c>
      <c r="AF5916">
        <v>-12.463655892278799</v>
      </c>
      <c r="AG5916">
        <v>-1.113593420655</v>
      </c>
      <c r="AH5916">
        <v>28.753561267846202</v>
      </c>
      <c r="AI5916">
        <v>92.035103633673302</v>
      </c>
      <c r="AJ5916">
        <v>113.435032838014</v>
      </c>
      <c r="AK5916">
        <v>31.358413449845401</v>
      </c>
      <c r="AL5916">
        <v>90.086633030878602</v>
      </c>
      <c r="AM5916">
        <v>91.5233408570151</v>
      </c>
      <c r="AN5916">
        <v>0.99999996450506301</v>
      </c>
    </row>
    <row r="5917" spans="1:40" x14ac:dyDescent="0.25">
      <c r="A5917" t="str">
        <f>"20190312160805680"</f>
        <v>20190312160805680</v>
      </c>
      <c r="B5917" t="str">
        <f>"1552378085671465"</f>
        <v>1552378085671465</v>
      </c>
      <c r="C5917" t="s">
        <v>40</v>
      </c>
      <c r="D5917">
        <v>6.2826969999999998</v>
      </c>
      <c r="E5917">
        <v>0.35000439999999999</v>
      </c>
      <c r="F5917" t="s">
        <v>98</v>
      </c>
      <c r="G5917">
        <v>-378.75130000000001</v>
      </c>
      <c r="H5917" s="1">
        <v>-6.291398E-7</v>
      </c>
      <c r="I5917">
        <v>19.286940000000001</v>
      </c>
      <c r="J5917">
        <v>-408.33730000000003</v>
      </c>
      <c r="K5917">
        <v>1.1135409999999999</v>
      </c>
      <c r="L5917">
        <v>19.136569999999999</v>
      </c>
      <c r="M5917">
        <v>0.92066499999999996</v>
      </c>
      <c r="N5917">
        <v>0</v>
      </c>
      <c r="O5917">
        <v>-0.39010329999999999</v>
      </c>
      <c r="P5917">
        <v>0.93042049999999998</v>
      </c>
      <c r="Q5917">
        <v>-1.5121600000000001E-2</v>
      </c>
      <c r="R5917">
        <v>-0.36618260000000002</v>
      </c>
      <c r="S5917">
        <v>3.231903</v>
      </c>
      <c r="T5917">
        <v>-0.12117550000000001</v>
      </c>
      <c r="U5917">
        <v>1.1627200000000001E-2</v>
      </c>
      <c r="V5917">
        <v>-2.5820050000000001E-2</v>
      </c>
      <c r="W5917">
        <v>-1.3681829999999901E-3</v>
      </c>
      <c r="X5917">
        <v>0.99966569999999999</v>
      </c>
      <c r="Y5917">
        <v>-0.39291229999999999</v>
      </c>
      <c r="Z5917">
        <v>2.1686649999999998E-2</v>
      </c>
      <c r="AA5917">
        <v>0.91932020000000003</v>
      </c>
      <c r="AB5917">
        <v>19</v>
      </c>
      <c r="AC5917">
        <v>29.585999999999999</v>
      </c>
      <c r="AD5917">
        <v>-1.1135416291397999</v>
      </c>
      <c r="AE5917">
        <v>0.15036999999999501</v>
      </c>
      <c r="AF5917">
        <v>-11.6646543168922</v>
      </c>
      <c r="AG5917">
        <v>-1.1135416291397999</v>
      </c>
      <c r="AH5917">
        <v>27.144339306315398</v>
      </c>
      <c r="AI5917">
        <v>92.158472243590793</v>
      </c>
      <c r="AJ5917">
        <v>113.254500498333</v>
      </c>
      <c r="AK5917">
        <v>29.565508479794499</v>
      </c>
      <c r="AL5917">
        <v>90.078391133659196</v>
      </c>
      <c r="AM5917">
        <v>91.479545660444401</v>
      </c>
      <c r="AN5917">
        <v>1.0000000293316</v>
      </c>
    </row>
    <row r="5918" spans="1:40" x14ac:dyDescent="0.25">
      <c r="A5918" t="str">
        <f>"20190312160805697"</f>
        <v>20190312160805697</v>
      </c>
      <c r="B5918" t="str">
        <f>"1552378085691961"</f>
        <v>1552378085691961</v>
      </c>
      <c r="C5918" t="s">
        <v>40</v>
      </c>
      <c r="D5918">
        <v>6.1249039999999999</v>
      </c>
      <c r="E5918">
        <v>0.39971620000000002</v>
      </c>
      <c r="F5918" t="s">
        <v>98</v>
      </c>
      <c r="G5918">
        <v>-377.55</v>
      </c>
      <c r="H5918" s="1">
        <v>-1.193613E-6</v>
      </c>
      <c r="I5918">
        <v>19.306180000000001</v>
      </c>
      <c r="J5918">
        <v>-408.20460000000003</v>
      </c>
      <c r="K5918">
        <v>1.1134869999999999</v>
      </c>
      <c r="L5918">
        <v>19.086980000000001</v>
      </c>
      <c r="M5918">
        <v>0.92270269999999999</v>
      </c>
      <c r="N5918">
        <v>0</v>
      </c>
      <c r="O5918">
        <v>-0.38525920000000002</v>
      </c>
      <c r="P5918">
        <v>0.93195030000000001</v>
      </c>
      <c r="Q5918">
        <v>-1.4596720000000001E-2</v>
      </c>
      <c r="R5918">
        <v>-0.36229230000000001</v>
      </c>
      <c r="S5918">
        <v>3.229492</v>
      </c>
      <c r="T5918">
        <v>-0.11680699999999999</v>
      </c>
      <c r="U5918">
        <v>1.7791749999999999E-2</v>
      </c>
      <c r="V5918">
        <v>-2.474991E-2</v>
      </c>
      <c r="W5918">
        <v>-8.4593859999999995E-4</v>
      </c>
      <c r="X5918">
        <v>0.99969330000000001</v>
      </c>
      <c r="Y5918">
        <v>-0.38987759999999999</v>
      </c>
      <c r="Z5918">
        <v>2.0703340000000001E-2</v>
      </c>
      <c r="AA5918">
        <v>0.92063390000000001</v>
      </c>
      <c r="AB5918">
        <v>19</v>
      </c>
      <c r="AC5918">
        <v>30.654599999999999</v>
      </c>
      <c r="AD5918">
        <v>-1.1134881936130001</v>
      </c>
      <c r="AE5918">
        <v>0.21919999999999701</v>
      </c>
      <c r="AF5918">
        <v>-11.997566020334601</v>
      </c>
      <c r="AG5918">
        <v>-1.1134881936130001</v>
      </c>
      <c r="AH5918">
        <v>28.1662234997961</v>
      </c>
      <c r="AI5918">
        <v>92.082968533178104</v>
      </c>
      <c r="AJ5918">
        <v>113.07186063812</v>
      </c>
      <c r="AK5918">
        <v>30.6352344957578</v>
      </c>
      <c r="AL5918">
        <v>90.048468718070197</v>
      </c>
      <c r="AM5918">
        <v>91.418210731251904</v>
      </c>
      <c r="AN5918">
        <v>0.99999998386100597</v>
      </c>
    </row>
    <row r="5919" spans="1:40" x14ac:dyDescent="0.25">
      <c r="A5919" t="str">
        <f>"20190312160805718"</f>
        <v>20190312160805718</v>
      </c>
      <c r="B5919" t="str">
        <f>"1552378085711481"</f>
        <v>1552378085711481</v>
      </c>
      <c r="C5919" t="s">
        <v>40</v>
      </c>
      <c r="D5919">
        <v>6.1509769999999904</v>
      </c>
      <c r="E5919">
        <v>0.40424939999999998</v>
      </c>
      <c r="F5919" t="s">
        <v>99</v>
      </c>
      <c r="G5919">
        <v>-382.17180000000002</v>
      </c>
      <c r="H5919" s="1">
        <v>-4.3002379999999997E-6</v>
      </c>
      <c r="I5919">
        <v>16.237349999999999</v>
      </c>
      <c r="J5919">
        <v>-408.0369</v>
      </c>
      <c r="K5919">
        <v>1.1134189999999999</v>
      </c>
      <c r="L5919">
        <v>19.02542</v>
      </c>
      <c r="M5919">
        <v>0.92519410000000002</v>
      </c>
      <c r="N5919">
        <v>0</v>
      </c>
      <c r="O5919">
        <v>-0.37923780000000001</v>
      </c>
      <c r="P5919">
        <v>0.93385459999999998</v>
      </c>
      <c r="Q5919">
        <v>-1.3927989999999999E-2</v>
      </c>
      <c r="R5919">
        <v>-0.35738199999999998</v>
      </c>
      <c r="S5919">
        <v>3.085693</v>
      </c>
      <c r="T5919">
        <v>-0.131983399999999</v>
      </c>
      <c r="U5919">
        <v>-0.33776859999999997</v>
      </c>
      <c r="V5919">
        <v>-2.3507159999999999E-2</v>
      </c>
      <c r="W5919">
        <v>-1.818597E-4</v>
      </c>
      <c r="X5919">
        <v>0.99972369999999999</v>
      </c>
      <c r="Y5919">
        <v>-0.2757674</v>
      </c>
      <c r="Z5919">
        <v>2.1647969999999999E-2</v>
      </c>
      <c r="AA5919">
        <v>0.96098059999999996</v>
      </c>
      <c r="AB5919">
        <v>19</v>
      </c>
      <c r="AC5919">
        <v>25.865099999999899</v>
      </c>
      <c r="AD5919">
        <v>-1.1134233002380001</v>
      </c>
      <c r="AE5919">
        <v>-2.7880699999999998</v>
      </c>
      <c r="AF5919">
        <v>-7.2170011113201697</v>
      </c>
      <c r="AG5919">
        <v>-1.1134233002380001</v>
      </c>
      <c r="AH5919">
        <v>24.944317999643001</v>
      </c>
      <c r="AI5919">
        <v>92.455212558218193</v>
      </c>
      <c r="AJ5919">
        <v>106.136449121601</v>
      </c>
      <c r="AK5919">
        <v>25.991225768586201</v>
      </c>
      <c r="AL5919">
        <v>90.010419792830803</v>
      </c>
      <c r="AM5919">
        <v>91.346985087703501</v>
      </c>
      <c r="AN5919">
        <v>1.0000000479929501</v>
      </c>
    </row>
    <row r="5920" spans="1:40" x14ac:dyDescent="0.25">
      <c r="A5920" t="str">
        <f>"20190312160805731"</f>
        <v>20190312160805731</v>
      </c>
      <c r="B5920" t="str">
        <f>"1552378085721240"</f>
        <v>1552378085721240</v>
      </c>
      <c r="C5920" t="s">
        <v>40</v>
      </c>
      <c r="D5920">
        <v>6.0928100000000001</v>
      </c>
      <c r="E5920">
        <v>0.40503620000000001</v>
      </c>
      <c r="F5920" t="s">
        <v>99</v>
      </c>
      <c r="G5920">
        <v>-382.96570000000003</v>
      </c>
      <c r="H5920" s="1">
        <v>-3.9440260000000001E-6</v>
      </c>
      <c r="I5920">
        <v>16.130029999999898</v>
      </c>
      <c r="J5920">
        <v>-407.92599999999999</v>
      </c>
      <c r="K5920">
        <v>1.113378</v>
      </c>
      <c r="L5920">
        <v>18.98526</v>
      </c>
      <c r="M5920">
        <v>0.92680059999999997</v>
      </c>
      <c r="N5920">
        <v>0</v>
      </c>
      <c r="O5920">
        <v>-0.37529499999999999</v>
      </c>
      <c r="P5920">
        <v>0.93513869999999999</v>
      </c>
      <c r="Q5920">
        <v>-1.380963E-2</v>
      </c>
      <c r="R5920">
        <v>-0.35401270000000001</v>
      </c>
      <c r="S5920">
        <v>3.0745849999999999</v>
      </c>
      <c r="T5920">
        <v>-0.13654330000000001</v>
      </c>
      <c r="U5920">
        <v>-0.355072</v>
      </c>
      <c r="V5920">
        <v>-2.2856459999999999E-2</v>
      </c>
      <c r="W5920" s="1">
        <v>-6.7744110000000001E-5</v>
      </c>
      <c r="X5920">
        <v>0.99973880000000004</v>
      </c>
      <c r="Y5920">
        <v>-0.26591379999999998</v>
      </c>
      <c r="Z5920">
        <v>2.208384E-2</v>
      </c>
      <c r="AA5920">
        <v>0.96374380000000004</v>
      </c>
      <c r="AB5920">
        <v>19</v>
      </c>
      <c r="AC5920">
        <v>24.960299999999901</v>
      </c>
      <c r="AD5920">
        <v>-1.113381944026</v>
      </c>
      <c r="AE5920">
        <v>-2.8552300000000002</v>
      </c>
      <c r="AF5920">
        <v>-6.7087240396882502</v>
      </c>
      <c r="AG5920">
        <v>-1.113381944026</v>
      </c>
      <c r="AH5920">
        <v>24.159676783320801</v>
      </c>
      <c r="AI5920">
        <v>92.542499831163099</v>
      </c>
      <c r="AJ5920">
        <v>105.51905301358801</v>
      </c>
      <c r="AK5920">
        <v>25.0985374049665</v>
      </c>
      <c r="AL5920">
        <v>90.003881451417001</v>
      </c>
      <c r="AM5920">
        <v>91.309692687632804</v>
      </c>
      <c r="AN5920">
        <v>1.0000000452892099</v>
      </c>
    </row>
    <row r="5921" spans="1:40" x14ac:dyDescent="0.25">
      <c r="A5921" t="str">
        <f>"20190312160805741"</f>
        <v>20190312160805741</v>
      </c>
      <c r="B5921" t="str">
        <f>"1552378085731977"</f>
        <v>1552378085731977</v>
      </c>
      <c r="C5921" t="s">
        <v>40</v>
      </c>
      <c r="D5921">
        <v>6.0814919999999999</v>
      </c>
      <c r="E5921">
        <v>0.40661360000000002</v>
      </c>
      <c r="F5921" t="s">
        <v>99</v>
      </c>
      <c r="G5921">
        <v>-382.02179999999998</v>
      </c>
      <c r="H5921" s="1">
        <v>-4.4069769999999999E-6</v>
      </c>
      <c r="I5921">
        <v>16.03546</v>
      </c>
      <c r="J5921">
        <v>-407.84460000000001</v>
      </c>
      <c r="K5921">
        <v>1.113351</v>
      </c>
      <c r="L5921">
        <v>18.95618</v>
      </c>
      <c r="M5921">
        <v>0.92795550000000004</v>
      </c>
      <c r="N5921">
        <v>0</v>
      </c>
      <c r="O5921">
        <v>-0.3724307</v>
      </c>
      <c r="P5921">
        <v>0.93608060000000004</v>
      </c>
      <c r="Q5921">
        <v>-1.354094E-2</v>
      </c>
      <c r="R5921">
        <v>-0.35152480000000003</v>
      </c>
      <c r="S5921">
        <v>3.073639</v>
      </c>
      <c r="T5921">
        <v>-0.13210740000000001</v>
      </c>
      <c r="U5921">
        <v>-0.35000609999999999</v>
      </c>
      <c r="V5921">
        <v>-2.2430269999999999E-2</v>
      </c>
      <c r="W5921">
        <v>1.9771259999999999E-4</v>
      </c>
      <c r="X5921">
        <v>0.99974839999999998</v>
      </c>
      <c r="Y5921">
        <v>-0.26451200000000002</v>
      </c>
      <c r="Z5921">
        <v>2.1232640000000001E-2</v>
      </c>
      <c r="AA5921">
        <v>0.96414860000000002</v>
      </c>
      <c r="AB5921">
        <v>19</v>
      </c>
      <c r="AC5921">
        <v>25.822800000000001</v>
      </c>
      <c r="AD5921">
        <v>-1.113355406977</v>
      </c>
      <c r="AE5921">
        <v>-2.9207200000000002</v>
      </c>
      <c r="AF5921">
        <v>-6.8949200193806401</v>
      </c>
      <c r="AG5921">
        <v>-1.113355406977</v>
      </c>
      <c r="AH5921">
        <v>25.0067065266865</v>
      </c>
      <c r="AI5921">
        <v>92.457665047625397</v>
      </c>
      <c r="AJ5921">
        <v>105.41474769548201</v>
      </c>
      <c r="AK5921">
        <v>25.963721875873802</v>
      </c>
      <c r="AL5921">
        <v>89.988671902499505</v>
      </c>
      <c r="AM5921">
        <v>91.285267605690294</v>
      </c>
      <c r="AN5921">
        <v>1.0000000097025501</v>
      </c>
    </row>
    <row r="5922" spans="1:40" x14ac:dyDescent="0.25">
      <c r="A5922" t="str">
        <f>"20190312160805752"</f>
        <v>20190312160805752</v>
      </c>
      <c r="B5922" t="str">
        <f>"1552378085741738"</f>
        <v>1552378085741738</v>
      </c>
      <c r="C5922" t="s">
        <v>40</v>
      </c>
      <c r="D5922">
        <v>6.1024229999999999</v>
      </c>
      <c r="E5922">
        <v>0.408053</v>
      </c>
      <c r="F5922" t="s">
        <v>99</v>
      </c>
      <c r="G5922">
        <v>-384.44299999999998</v>
      </c>
      <c r="H5922" s="1">
        <v>-3.221753E-6</v>
      </c>
      <c r="I5922">
        <v>16.264810000000001</v>
      </c>
      <c r="J5922">
        <v>-407.76089999999999</v>
      </c>
      <c r="K5922">
        <v>1.1133230000000001</v>
      </c>
      <c r="L5922">
        <v>18.926390000000001</v>
      </c>
      <c r="M5922">
        <v>0.92913069999999998</v>
      </c>
      <c r="N5922">
        <v>0</v>
      </c>
      <c r="O5922">
        <v>-0.36948979999999998</v>
      </c>
      <c r="P5922">
        <v>0.93702470000000004</v>
      </c>
      <c r="Q5922">
        <v>-1.3274319999999999E-2</v>
      </c>
      <c r="R5922">
        <v>-0.34901169999999998</v>
      </c>
      <c r="S5922">
        <v>3.0701290000000001</v>
      </c>
      <c r="T5922">
        <v>-0.14606450000000001</v>
      </c>
      <c r="U5922">
        <v>-0.35308840000000002</v>
      </c>
      <c r="V5922">
        <v>-2.1950689999999998E-2</v>
      </c>
      <c r="W5922">
        <v>4.6140359999999997E-4</v>
      </c>
      <c r="X5922">
        <v>0.99975899999999995</v>
      </c>
      <c r="Y5922">
        <v>-0.26025749999999997</v>
      </c>
      <c r="Z5922">
        <v>2.326723E-2</v>
      </c>
      <c r="AA5922">
        <v>0.96525890000000003</v>
      </c>
      <c r="AB5922">
        <v>19</v>
      </c>
      <c r="AC5922">
        <v>23.317899999999899</v>
      </c>
      <c r="AD5922">
        <v>-1.113326221753</v>
      </c>
      <c r="AE5922">
        <v>-2.6615799999999901</v>
      </c>
      <c r="AF5922">
        <v>-6.12957120693848</v>
      </c>
      <c r="AG5922">
        <v>-1.113326221753</v>
      </c>
      <c r="AH5922">
        <v>22.600136670375999</v>
      </c>
      <c r="AI5922">
        <v>92.722037191027098</v>
      </c>
      <c r="AJ5922">
        <v>105.174617009828</v>
      </c>
      <c r="AK5922">
        <v>23.443065413393501</v>
      </c>
      <c r="AL5922">
        <v>89.973563521501404</v>
      </c>
      <c r="AM5922">
        <v>91.257782983675298</v>
      </c>
      <c r="AN5922">
        <v>1.00000005188287</v>
      </c>
    </row>
    <row r="5923" spans="1:40" x14ac:dyDescent="0.25">
      <c r="A5923" t="str">
        <f>"20190312160805764"</f>
        <v>20190312160805764</v>
      </c>
      <c r="B5923" t="str">
        <f>"1552378085751497"</f>
        <v>1552378085751497</v>
      </c>
      <c r="C5923" t="s">
        <v>40</v>
      </c>
      <c r="D5923">
        <v>6.079135</v>
      </c>
      <c r="E5923">
        <v>0.4090299</v>
      </c>
      <c r="F5923" t="s">
        <v>99</v>
      </c>
      <c r="G5923">
        <v>-386.31310000000002</v>
      </c>
      <c r="H5923" s="1">
        <v>-2.306083E-6</v>
      </c>
      <c r="I5923">
        <v>16.443429999999999</v>
      </c>
      <c r="J5923">
        <v>-407.6705</v>
      </c>
      <c r="K5923">
        <v>1.1132959999999901</v>
      </c>
      <c r="L5923">
        <v>18.894680000000001</v>
      </c>
      <c r="M5923">
        <v>0.93037159999999997</v>
      </c>
      <c r="N5923">
        <v>0</v>
      </c>
      <c r="O5923">
        <v>-0.3663536</v>
      </c>
      <c r="P5923">
        <v>0.93800969999999995</v>
      </c>
      <c r="Q5923">
        <v>-1.320874E-2</v>
      </c>
      <c r="R5923">
        <v>-0.34635700000000003</v>
      </c>
      <c r="S5923">
        <v>3.0671080000000002</v>
      </c>
      <c r="T5923">
        <v>-0.1592093</v>
      </c>
      <c r="U5923">
        <v>-0.355072</v>
      </c>
      <c r="V5923">
        <v>-2.1409609999999999E-2</v>
      </c>
      <c r="W5923">
        <v>5.2339239999999896E-4</v>
      </c>
      <c r="X5923">
        <v>0.99977059999999995</v>
      </c>
      <c r="Y5923">
        <v>-0.25615460000000001</v>
      </c>
      <c r="Z5923">
        <v>2.5124380000000002E-2</v>
      </c>
      <c r="AA5923">
        <v>0.96630919999999998</v>
      </c>
      <c r="AB5923">
        <v>19</v>
      </c>
      <c r="AC5923">
        <v>21.357399999999899</v>
      </c>
      <c r="AD5923">
        <v>-1.11329830608299</v>
      </c>
      <c r="AE5923">
        <v>-2.4512499999999902</v>
      </c>
      <c r="AF5923">
        <v>-5.5294944980992398</v>
      </c>
      <c r="AG5923">
        <v>-1.11329830608299</v>
      </c>
      <c r="AH5923">
        <v>20.714799594825202</v>
      </c>
      <c r="AI5923">
        <v>92.972469018627507</v>
      </c>
      <c r="AJ5923">
        <v>104.945742689074</v>
      </c>
      <c r="AK5923">
        <v>21.468993101135599</v>
      </c>
      <c r="AL5923">
        <v>89.970011821551694</v>
      </c>
      <c r="AM5923">
        <v>91.226774256537198</v>
      </c>
      <c r="AN5923">
        <v>0.99999994898215605</v>
      </c>
    </row>
    <row r="5924" spans="1:40" x14ac:dyDescent="0.25">
      <c r="A5924" t="str">
        <f>"20190312160805774"</f>
        <v>20190312160805774</v>
      </c>
      <c r="B5924" t="str">
        <f>"1552378085761257"</f>
        <v>1552378085761257</v>
      </c>
      <c r="C5924" t="s">
        <v>40</v>
      </c>
      <c r="D5924">
        <v>6.0973430000000004</v>
      </c>
      <c r="E5924">
        <v>0.41029379999999999</v>
      </c>
      <c r="F5924" t="s">
        <v>99</v>
      </c>
      <c r="G5924">
        <v>-387.14879999999999</v>
      </c>
      <c r="H5924" s="1">
        <v>-1.9167689999999998E-6</v>
      </c>
      <c r="I5924">
        <v>16.52908</v>
      </c>
      <c r="J5924">
        <v>-407.58460000000002</v>
      </c>
      <c r="K5924">
        <v>1.1132679999999999</v>
      </c>
      <c r="L5924">
        <v>18.86469</v>
      </c>
      <c r="M5924">
        <v>0.9315369</v>
      </c>
      <c r="N5924">
        <v>0</v>
      </c>
      <c r="O5924">
        <v>-0.36338140000000002</v>
      </c>
      <c r="P5924">
        <v>0.93893369999999998</v>
      </c>
      <c r="Q5924">
        <v>-1.324739E-2</v>
      </c>
      <c r="R5924">
        <v>-0.34384389999999998</v>
      </c>
      <c r="S5924">
        <v>3.0654300000000001</v>
      </c>
      <c r="T5924">
        <v>-0.16629920000000001</v>
      </c>
      <c r="U5924">
        <v>-0.35336299999999998</v>
      </c>
      <c r="V5924">
        <v>-2.0894739999999998E-2</v>
      </c>
      <c r="W5924">
        <v>4.8238440000000001E-4</v>
      </c>
      <c r="X5924">
        <v>0.99978149999999999</v>
      </c>
      <c r="Y5924">
        <v>-0.2534729</v>
      </c>
      <c r="Z5924">
        <v>2.6034760000000001E-2</v>
      </c>
      <c r="AA5924">
        <v>0.96699210000000002</v>
      </c>
      <c r="AB5924">
        <v>19</v>
      </c>
      <c r="AC5924">
        <v>20.4358</v>
      </c>
      <c r="AD5924">
        <v>-1.1132699167689999</v>
      </c>
      <c r="AE5924">
        <v>-2.3356099999999902</v>
      </c>
      <c r="AF5924">
        <v>-5.2354525056462897</v>
      </c>
      <c r="AG5924">
        <v>-1.1132699167689999</v>
      </c>
      <c r="AH5924">
        <v>19.829249669944499</v>
      </c>
      <c r="AI5924">
        <v>93.107118018278896</v>
      </c>
      <c r="AJ5924">
        <v>104.790110839406</v>
      </c>
      <c r="AK5924">
        <v>20.538950200033501</v>
      </c>
      <c r="AL5924">
        <v>89.972361406916804</v>
      </c>
      <c r="AM5924">
        <v>91.197267762802895</v>
      </c>
      <c r="AN5924">
        <v>0.99999993529831099</v>
      </c>
    </row>
    <row r="5925" spans="1:40" x14ac:dyDescent="0.25">
      <c r="A5925" t="str">
        <f>"20190312160805785"</f>
        <v>20190312160805785</v>
      </c>
      <c r="B5925" t="str">
        <f>"1552378085771992"</f>
        <v>1552378085771992</v>
      </c>
      <c r="C5925" t="s">
        <v>40</v>
      </c>
      <c r="D5925">
        <v>6.114179</v>
      </c>
      <c r="E5925">
        <v>0.41126629999999997</v>
      </c>
      <c r="F5925" t="s">
        <v>99</v>
      </c>
      <c r="G5925">
        <v>-388.3245</v>
      </c>
      <c r="H5925" s="1">
        <v>-1.436325E-6</v>
      </c>
      <c r="I5925">
        <v>16.637920000000001</v>
      </c>
      <c r="J5925">
        <v>-407.4948</v>
      </c>
      <c r="K5925">
        <v>1.1132409999999999</v>
      </c>
      <c r="L5925">
        <v>18.833860000000001</v>
      </c>
      <c r="M5925">
        <v>0.93272500000000003</v>
      </c>
      <c r="N5925">
        <v>0</v>
      </c>
      <c r="O5925">
        <v>-0.3603208</v>
      </c>
      <c r="P5925">
        <v>0.93979749999999995</v>
      </c>
      <c r="Q5925">
        <v>-1.3147519999999999E-2</v>
      </c>
      <c r="R5925">
        <v>-0.34147949999999999</v>
      </c>
      <c r="S5925">
        <v>3.0629580000000001</v>
      </c>
      <c r="T5925">
        <v>-0.1770447</v>
      </c>
      <c r="U5925">
        <v>-0.354126</v>
      </c>
      <c r="V5925">
        <v>-2.0129569999999999E-2</v>
      </c>
      <c r="W5925">
        <v>5.8156660000000004E-4</v>
      </c>
      <c r="X5925">
        <v>0.99979720000000005</v>
      </c>
      <c r="Y5925">
        <v>-0.24986240000000001</v>
      </c>
      <c r="Z5925">
        <v>2.7467200000000001E-2</v>
      </c>
      <c r="AA5925">
        <v>0.96789170000000002</v>
      </c>
      <c r="AB5925">
        <v>19</v>
      </c>
      <c r="AC5925">
        <v>19.170300000000001</v>
      </c>
      <c r="AD5925">
        <v>-1.113242436325</v>
      </c>
      <c r="AE5925">
        <v>-2.1959399999999998</v>
      </c>
      <c r="AF5925">
        <v>-4.8435963292212998</v>
      </c>
      <c r="AG5925">
        <v>-1.113242436325</v>
      </c>
      <c r="AH5925">
        <v>18.611712239360401</v>
      </c>
      <c r="AI5925">
        <v>93.312924411195695</v>
      </c>
      <c r="AJ5925">
        <v>104.587338883825</v>
      </c>
      <c r="AK5925">
        <v>19.263840909933801</v>
      </c>
      <c r="AL5925">
        <v>89.966678686084904</v>
      </c>
      <c r="AM5925">
        <v>91.153417514624195</v>
      </c>
      <c r="AN5925">
        <v>0.99999998946796698</v>
      </c>
    </row>
    <row r="5926" spans="1:40" x14ac:dyDescent="0.25">
      <c r="A5926" t="str">
        <f>"20190312160805798"</f>
        <v>20190312160805798</v>
      </c>
      <c r="B5926" t="str">
        <f>"1552378085791525"</f>
        <v>1552378085791525</v>
      </c>
      <c r="C5926" t="s">
        <v>40</v>
      </c>
      <c r="D5926">
        <v>6.0834020000000004</v>
      </c>
      <c r="E5926">
        <v>0.41267799999999999</v>
      </c>
      <c r="F5926" t="s">
        <v>99</v>
      </c>
      <c r="G5926">
        <v>-389.00009999999997</v>
      </c>
      <c r="H5926" s="1">
        <v>-1.1606979999999999E-6</v>
      </c>
      <c r="I5926">
        <v>16.698789999999999</v>
      </c>
      <c r="J5926">
        <v>-407.40320000000003</v>
      </c>
      <c r="K5926">
        <v>1.1132120000000001</v>
      </c>
      <c r="L5926">
        <v>18.802489999999999</v>
      </c>
      <c r="M5926">
        <v>0.93392379999999997</v>
      </c>
      <c r="N5926">
        <v>0</v>
      </c>
      <c r="O5926">
        <v>-0.35720229999999997</v>
      </c>
      <c r="P5926">
        <v>0.9408453</v>
      </c>
      <c r="Q5926">
        <v>-1.327177E-2</v>
      </c>
      <c r="R5926">
        <v>-0.33857659999999901</v>
      </c>
      <c r="S5926">
        <v>3.0612180000000002</v>
      </c>
      <c r="T5926">
        <v>-0.1842617</v>
      </c>
      <c r="U5926">
        <v>-0.35339359999999997</v>
      </c>
      <c r="V5926">
        <v>-1.987357E-2</v>
      </c>
      <c r="W5926">
        <v>4.5186679999999999E-4</v>
      </c>
      <c r="X5926">
        <v>0.99980239999999998</v>
      </c>
      <c r="Y5926">
        <v>-0.24672060000000001</v>
      </c>
      <c r="Z5926">
        <v>2.833244E-2</v>
      </c>
      <c r="AA5926">
        <v>0.96867239999999999</v>
      </c>
      <c r="AB5926">
        <v>19</v>
      </c>
      <c r="AC5926">
        <v>18.403099999999998</v>
      </c>
      <c r="AD5926">
        <v>-1.113213160698</v>
      </c>
      <c r="AE5926">
        <v>-2.1036999999999999</v>
      </c>
      <c r="AF5926">
        <v>-4.5927899121393301</v>
      </c>
      <c r="AG5926">
        <v>-1.113213160698</v>
      </c>
      <c r="AH5926">
        <v>17.8757042030687</v>
      </c>
      <c r="AI5926">
        <v>93.4516822032069</v>
      </c>
      <c r="AJ5926">
        <v>104.409288720541</v>
      </c>
      <c r="AK5926">
        <v>18.489828649119701</v>
      </c>
      <c r="AL5926">
        <v>89.974109938602894</v>
      </c>
      <c r="AM5926">
        <v>91.1387467680387</v>
      </c>
      <c r="AN5926">
        <v>1.0000000010069501</v>
      </c>
    </row>
    <row r="5927" spans="1:40" x14ac:dyDescent="0.25">
      <c r="A5927" t="str">
        <f>"20190312160805810"</f>
        <v>20190312160805810</v>
      </c>
      <c r="B5927" t="str">
        <f>"1552378085801272"</f>
        <v>1552378085801272</v>
      </c>
      <c r="C5927" t="s">
        <v>40</v>
      </c>
      <c r="D5927">
        <v>6.106884</v>
      </c>
      <c r="E5927">
        <v>0.41335870000000002</v>
      </c>
      <c r="F5927" t="s">
        <v>99</v>
      </c>
      <c r="G5927">
        <v>-389.72230000000002</v>
      </c>
      <c r="H5927" s="1">
        <v>-8.6831149999999895E-7</v>
      </c>
      <c r="I5927">
        <v>16.755289999999999</v>
      </c>
      <c r="J5927">
        <v>-407.29590000000002</v>
      </c>
      <c r="K5927">
        <v>1.1131759999999999</v>
      </c>
      <c r="L5927">
        <v>18.766300000000001</v>
      </c>
      <c r="M5927">
        <v>0.93529770000000001</v>
      </c>
      <c r="N5927">
        <v>0</v>
      </c>
      <c r="O5927">
        <v>-0.35359000000000002</v>
      </c>
      <c r="P5927">
        <v>0.94189920000000005</v>
      </c>
      <c r="Q5927">
        <v>-1.324966E-2</v>
      </c>
      <c r="R5927">
        <v>-0.33563459999999901</v>
      </c>
      <c r="S5927">
        <v>3.0584410000000002</v>
      </c>
      <c r="T5927">
        <v>-0.19256409999999999</v>
      </c>
      <c r="U5927">
        <v>-0.354126</v>
      </c>
      <c r="V5927">
        <v>-1.9134129999999999E-2</v>
      </c>
      <c r="W5927">
        <v>4.7141719999999998E-4</v>
      </c>
      <c r="X5927">
        <v>0.99981679999999995</v>
      </c>
      <c r="Y5927">
        <v>-0.24256059999999999</v>
      </c>
      <c r="Z5927">
        <v>2.9289900000000001E-2</v>
      </c>
      <c r="AA5927">
        <v>0.96969399999999994</v>
      </c>
      <c r="AB5927">
        <v>19</v>
      </c>
      <c r="AC5927">
        <v>17.573599999999999</v>
      </c>
      <c r="AD5927">
        <v>-1.1131768683115</v>
      </c>
      <c r="AE5927">
        <v>-2.0110100000000002</v>
      </c>
      <c r="AF5927">
        <v>-4.3162780412895598</v>
      </c>
      <c r="AG5927">
        <v>-1.1131768683115</v>
      </c>
      <c r="AH5927">
        <v>17.081617093851399</v>
      </c>
      <c r="AI5927">
        <v>93.615269874271803</v>
      </c>
      <c r="AJ5927">
        <v>104.18097189994501</v>
      </c>
      <c r="AK5927">
        <v>17.6536415906413</v>
      </c>
      <c r="AL5927">
        <v>89.972989782654295</v>
      </c>
      <c r="AM5927">
        <v>91.096371938166001</v>
      </c>
      <c r="AN5927">
        <v>0.99999998536363599</v>
      </c>
    </row>
    <row r="5928" spans="1:40" x14ac:dyDescent="0.25">
      <c r="A5928" t="str">
        <f>"20190312160805820"</f>
        <v>20190312160805820</v>
      </c>
      <c r="B5928" t="str">
        <f>"1552378085812009"</f>
        <v>1552378085812009</v>
      </c>
      <c r="C5928" t="s">
        <v>40</v>
      </c>
      <c r="D5928">
        <v>6.1036020000000004</v>
      </c>
      <c r="E5928">
        <v>0.41393380000000002</v>
      </c>
      <c r="F5928" t="s">
        <v>99</v>
      </c>
      <c r="G5928">
        <v>-389.97230000000002</v>
      </c>
      <c r="H5928" s="1">
        <v>-7.6409049999999997E-7</v>
      </c>
      <c r="I5928">
        <v>16.786279999999898</v>
      </c>
      <c r="J5928">
        <v>-407.21260000000001</v>
      </c>
      <c r="K5928">
        <v>1.113148</v>
      </c>
      <c r="L5928">
        <v>18.738430000000001</v>
      </c>
      <c r="M5928">
        <v>0.93634589999999995</v>
      </c>
      <c r="N5928">
        <v>0</v>
      </c>
      <c r="O5928">
        <v>-0.35080509999999998</v>
      </c>
      <c r="P5928">
        <v>0.9427546</v>
      </c>
      <c r="Q5928">
        <v>-1.3295360000000001E-2</v>
      </c>
      <c r="R5928">
        <v>-0.33322269999999998</v>
      </c>
      <c r="S5928">
        <v>3.0577390000000002</v>
      </c>
      <c r="T5928">
        <v>-0.19648350000000001</v>
      </c>
      <c r="U5928">
        <v>-0.3494873</v>
      </c>
      <c r="V5928">
        <v>-1.871745E-2</v>
      </c>
      <c r="W5928">
        <v>4.223028E-4</v>
      </c>
      <c r="X5928">
        <v>0.99982470000000001</v>
      </c>
      <c r="Y5928">
        <v>-0.2410612</v>
      </c>
      <c r="Z5928">
        <v>2.9680499999999999E-2</v>
      </c>
      <c r="AA5928">
        <v>0.97005600000000003</v>
      </c>
      <c r="AB5928">
        <v>19</v>
      </c>
      <c r="AC5928">
        <v>17.240299999999898</v>
      </c>
      <c r="AD5928">
        <v>-1.1131487640905</v>
      </c>
      <c r="AE5928">
        <v>-1.9521500000000001</v>
      </c>
      <c r="AF5928">
        <v>-4.2032022742054904</v>
      </c>
      <c r="AG5928">
        <v>-1.1131487640905</v>
      </c>
      <c r="AH5928">
        <v>16.7603383372759</v>
      </c>
      <c r="AI5928">
        <v>93.685944574041798</v>
      </c>
      <c r="AJ5928">
        <v>104.078441113767</v>
      </c>
      <c r="AK5928">
        <v>17.315165338767098</v>
      </c>
      <c r="AL5928">
        <v>89.975803830583601</v>
      </c>
      <c r="AM5928">
        <v>91.0724936392713</v>
      </c>
      <c r="AN5928">
        <v>0.99999997600212298</v>
      </c>
    </row>
    <row r="5929" spans="1:40" x14ac:dyDescent="0.25">
      <c r="A5929" t="str">
        <f>"20190312160805831"</f>
        <v>20190312160805831</v>
      </c>
      <c r="B5929" t="str">
        <f>"1552378085821770"</f>
        <v>1552378085821770</v>
      </c>
      <c r="C5929" t="s">
        <v>40</v>
      </c>
      <c r="D5929">
        <v>6.0766640000000001</v>
      </c>
      <c r="E5929">
        <v>0.41441220000000001</v>
      </c>
      <c r="F5929" t="s">
        <v>47</v>
      </c>
      <c r="G5929">
        <v>-390.10070000000002</v>
      </c>
      <c r="H5929" s="1">
        <v>-5.1590330000000003E-6</v>
      </c>
      <c r="I5929">
        <v>16.802720000000001</v>
      </c>
      <c r="J5929">
        <v>-407.12509999999997</v>
      </c>
      <c r="K5929">
        <v>1.11312099999999</v>
      </c>
      <c r="L5929">
        <v>18.709440000000001</v>
      </c>
      <c r="M5929">
        <v>0.93743030000000005</v>
      </c>
      <c r="N5929">
        <v>0</v>
      </c>
      <c r="O5929">
        <v>-0.34789750000000003</v>
      </c>
      <c r="P5929">
        <v>0.94361989999999996</v>
      </c>
      <c r="Q5929">
        <v>-1.308846E-2</v>
      </c>
      <c r="R5929">
        <v>-0.33077260000000003</v>
      </c>
      <c r="S5929">
        <v>3.0571290000000002</v>
      </c>
      <c r="T5929">
        <v>-0.19887089999999999</v>
      </c>
      <c r="U5929">
        <v>-0.3458252</v>
      </c>
      <c r="V5929">
        <v>-1.8213989999999999E-2</v>
      </c>
      <c r="W5929">
        <v>6.2686600000000001E-4</v>
      </c>
      <c r="X5929">
        <v>0.99983390000000005</v>
      </c>
      <c r="Y5929">
        <v>-0.2391549</v>
      </c>
      <c r="Z5929">
        <v>2.981081E-2</v>
      </c>
      <c r="AA5929">
        <v>0.97052369999999999</v>
      </c>
      <c r="AB5929">
        <v>19</v>
      </c>
      <c r="AC5929">
        <v>17.024399999999901</v>
      </c>
      <c r="AD5929">
        <v>-1.1131261590329899</v>
      </c>
      <c r="AE5929">
        <v>-1.90672</v>
      </c>
      <c r="AF5929">
        <v>-4.1183375092505097</v>
      </c>
      <c r="AG5929">
        <v>-1.1131261590329899</v>
      </c>
      <c r="AH5929">
        <v>16.5542314644226</v>
      </c>
      <c r="AI5929">
        <v>93.733385390127495</v>
      </c>
      <c r="AJ5929">
        <v>103.97035671115999</v>
      </c>
      <c r="AK5929">
        <v>17.095096755025999</v>
      </c>
      <c r="AL5929">
        <v>89.9640832209883</v>
      </c>
      <c r="AM5929">
        <v>91.043642685894795</v>
      </c>
      <c r="AN5929">
        <v>0.99999998499095599</v>
      </c>
    </row>
    <row r="5930" spans="1:40" x14ac:dyDescent="0.25">
      <c r="A5930" t="str">
        <f>"20190312160805853"</f>
        <v>20190312160805853</v>
      </c>
      <c r="B5930" t="str">
        <f>"1552378085841293"</f>
        <v>1552378085841293</v>
      </c>
      <c r="C5930" t="s">
        <v>40</v>
      </c>
      <c r="D5930">
        <v>6.0943639999999997</v>
      </c>
      <c r="E5930">
        <v>0.4154388</v>
      </c>
      <c r="F5930" t="s">
        <v>47</v>
      </c>
      <c r="G5930">
        <v>-390.10289999999998</v>
      </c>
      <c r="H5930" s="1">
        <v>-5.1570119999999901E-6</v>
      </c>
      <c r="I5930">
        <v>16.80828</v>
      </c>
      <c r="J5930">
        <v>-406.95830000000001</v>
      </c>
      <c r="K5930">
        <v>1.1130719999999901</v>
      </c>
      <c r="L5930">
        <v>18.654910000000001</v>
      </c>
      <c r="M5930">
        <v>0.93944950000000005</v>
      </c>
      <c r="N5930">
        <v>0</v>
      </c>
      <c r="O5930">
        <v>-0.34240789999999999</v>
      </c>
      <c r="P5930">
        <v>0.94511219999999996</v>
      </c>
      <c r="Q5930">
        <v>-1.249552E-2</v>
      </c>
      <c r="R5930">
        <v>-0.32650780000000001</v>
      </c>
      <c r="S5930">
        <v>3.0567630000000001</v>
      </c>
      <c r="T5930">
        <v>-0.19988909999999999</v>
      </c>
      <c r="U5930">
        <v>-0.34140009999999998</v>
      </c>
      <c r="V5930">
        <v>-1.6888099999999899E-2</v>
      </c>
      <c r="W5930">
        <v>1.217667E-3</v>
      </c>
      <c r="X5930">
        <v>0.99985670000000004</v>
      </c>
      <c r="Y5930">
        <v>-0.23485500000000001</v>
      </c>
      <c r="Z5930">
        <v>2.9494050000000001E-2</v>
      </c>
      <c r="AA5930">
        <v>0.97158279999999997</v>
      </c>
      <c r="AB5930">
        <v>19</v>
      </c>
      <c r="AC5930">
        <v>16.855399999999999</v>
      </c>
      <c r="AD5930">
        <v>-1.1130771570119999</v>
      </c>
      <c r="AE5930">
        <v>-1.84663</v>
      </c>
      <c r="AF5930">
        <v>-4.0196716492517899</v>
      </c>
      <c r="AG5930">
        <v>-1.1130771570119999</v>
      </c>
      <c r="AH5930">
        <v>16.398013130153299</v>
      </c>
      <c r="AI5930">
        <v>93.771875811670498</v>
      </c>
      <c r="AJ5930">
        <v>103.77341512224601</v>
      </c>
      <c r="AK5930">
        <v>16.920151758833001</v>
      </c>
      <c r="AL5930">
        <v>89.930232806684799</v>
      </c>
      <c r="AM5930">
        <v>90.967663518890703</v>
      </c>
      <c r="AN5930">
        <v>1.0000000555847099</v>
      </c>
    </row>
    <row r="5931" spans="1:40" x14ac:dyDescent="0.25">
      <c r="A5931" t="str">
        <f>"20190312160805864"</f>
        <v>20190312160805864</v>
      </c>
      <c r="B5931" t="str">
        <f>"1552378085852025"</f>
        <v>1552378085852025</v>
      </c>
      <c r="C5931" t="s">
        <v>40</v>
      </c>
      <c r="D5931">
        <v>6.1082919999999996</v>
      </c>
      <c r="E5931">
        <v>0.41589359999999997</v>
      </c>
      <c r="F5931" t="s">
        <v>47</v>
      </c>
      <c r="G5931">
        <v>-390.12819999999999</v>
      </c>
      <c r="H5931" s="1">
        <v>-5.1447640000000001E-6</v>
      </c>
      <c r="I5931">
        <v>16.809929999999898</v>
      </c>
      <c r="J5931">
        <v>-406.86189999999999</v>
      </c>
      <c r="K5931">
        <v>1.1130420000000001</v>
      </c>
      <c r="L5931">
        <v>18.62396</v>
      </c>
      <c r="M5931">
        <v>0.94058310000000001</v>
      </c>
      <c r="N5931">
        <v>0</v>
      </c>
      <c r="O5931">
        <v>-0.33928190000000003</v>
      </c>
      <c r="P5931">
        <v>0.94592710000000002</v>
      </c>
      <c r="Q5931">
        <v>-1.206816E-2</v>
      </c>
      <c r="R5931">
        <v>-0.32415500000000003</v>
      </c>
      <c r="S5931">
        <v>3.0558169999999998</v>
      </c>
      <c r="T5931">
        <v>-0.2021</v>
      </c>
      <c r="U5931">
        <v>-0.3349915</v>
      </c>
      <c r="V5931">
        <v>-1.6055650000000001E-2</v>
      </c>
      <c r="W5931">
        <v>1.64491299999999E-3</v>
      </c>
      <c r="X5931">
        <v>0.99986980000000003</v>
      </c>
      <c r="Y5931">
        <v>-0.23358419999999999</v>
      </c>
      <c r="Z5931">
        <v>2.9598139999999998E-2</v>
      </c>
      <c r="AA5931">
        <v>0.97188600000000003</v>
      </c>
      <c r="AB5931">
        <v>19</v>
      </c>
      <c r="AC5931">
        <v>16.733699999999999</v>
      </c>
      <c r="AD5931">
        <v>-1.113047144764</v>
      </c>
      <c r="AE5931">
        <v>-1.81403</v>
      </c>
      <c r="AF5931">
        <v>-3.9542836462171702</v>
      </c>
      <c r="AG5931">
        <v>-1.113047144764</v>
      </c>
      <c r="AH5931">
        <v>16.285253195451698</v>
      </c>
      <c r="AI5931">
        <v>93.799835790683005</v>
      </c>
      <c r="AJ5931">
        <v>103.64807217799699</v>
      </c>
      <c r="AK5931">
        <v>16.795377481354102</v>
      </c>
      <c r="AL5931">
        <v>89.905753389955393</v>
      </c>
      <c r="AM5931">
        <v>90.919961706057293</v>
      </c>
      <c r="AN5931">
        <v>1.00000005329386</v>
      </c>
    </row>
    <row r="5932" spans="1:40" x14ac:dyDescent="0.25">
      <c r="A5932" t="str">
        <f>"20190312160805886"</f>
        <v>20190312160805886</v>
      </c>
      <c r="B5932" t="str">
        <f>"1552378085881305"</f>
        <v>1552378085881305</v>
      </c>
      <c r="C5932" t="s">
        <v>40</v>
      </c>
      <c r="D5932">
        <v>6.053636</v>
      </c>
      <c r="E5932">
        <v>0.4165161</v>
      </c>
      <c r="F5932" t="s">
        <v>47</v>
      </c>
      <c r="G5932">
        <v>-390.1302</v>
      </c>
      <c r="H5932" s="1">
        <v>-5.1432460000000002E-6</v>
      </c>
      <c r="I5932">
        <v>16.813009999999998</v>
      </c>
      <c r="J5932">
        <v>-406.69</v>
      </c>
      <c r="K5932">
        <v>1.1129869999999999</v>
      </c>
      <c r="L5932">
        <v>18.569369999999999</v>
      </c>
      <c r="M5932">
        <v>0.94255820000000001</v>
      </c>
      <c r="N5932">
        <v>0</v>
      </c>
      <c r="O5932">
        <v>-0.33375569999999999</v>
      </c>
      <c r="P5932">
        <v>0.94728540000000006</v>
      </c>
      <c r="Q5932">
        <v>-1.1889719999999999E-2</v>
      </c>
      <c r="R5932">
        <v>-0.32017069999999997</v>
      </c>
      <c r="S5932">
        <v>3.0555729999999999</v>
      </c>
      <c r="T5932">
        <v>-0.20326669999999999</v>
      </c>
      <c r="U5932">
        <v>-0.33071899999999999</v>
      </c>
      <c r="V5932">
        <v>-1.439788E-2</v>
      </c>
      <c r="W5932">
        <v>1.8237259999999999E-3</v>
      </c>
      <c r="X5932">
        <v>0.99989470000000003</v>
      </c>
      <c r="Y5932">
        <v>-0.22921710000000001</v>
      </c>
      <c r="Z5932">
        <v>2.928412E-2</v>
      </c>
      <c r="AA5932">
        <v>0.97293470000000004</v>
      </c>
      <c r="AB5932">
        <v>19</v>
      </c>
      <c r="AC5932">
        <v>16.5597999999999</v>
      </c>
      <c r="AD5932">
        <v>-1.1129921432459999</v>
      </c>
      <c r="AE5932">
        <v>-1.7563599999999999</v>
      </c>
      <c r="AF5932">
        <v>-3.8546077015220401</v>
      </c>
      <c r="AG5932">
        <v>-1.1129921432459999</v>
      </c>
      <c r="AH5932">
        <v>16.124291460961501</v>
      </c>
      <c r="AI5932">
        <v>93.840741373035797</v>
      </c>
      <c r="AJ5932">
        <v>103.44457778356301</v>
      </c>
      <c r="AK5932">
        <v>16.615941958299999</v>
      </c>
      <c r="AL5932">
        <v>89.895508141170296</v>
      </c>
      <c r="AM5932">
        <v>90.824967619201402</v>
      </c>
      <c r="AN5932">
        <v>1.00000001800655</v>
      </c>
    </row>
    <row r="5933" spans="1:40" x14ac:dyDescent="0.25">
      <c r="A5933" t="str">
        <f>"20190312160805899"</f>
        <v>20190312160805899</v>
      </c>
      <c r="B5933" t="str">
        <f>"1552378085892040"</f>
        <v>1552378085892040</v>
      </c>
      <c r="C5933" t="s">
        <v>40</v>
      </c>
      <c r="D5933">
        <v>6.0861960000000002</v>
      </c>
      <c r="E5933">
        <v>0.41657359999999999</v>
      </c>
      <c r="F5933" t="s">
        <v>99</v>
      </c>
      <c r="G5933">
        <v>-389.91160000000002</v>
      </c>
      <c r="H5933" s="1">
        <v>-7.8404580000000005E-7</v>
      </c>
      <c r="I5933">
        <v>16.798870000000001</v>
      </c>
      <c r="J5933">
        <v>-406.57810000000001</v>
      </c>
      <c r="K5933">
        <v>1.1129519999999999</v>
      </c>
      <c r="L5933">
        <v>18.53436</v>
      </c>
      <c r="M5933">
        <v>0.94381020000000004</v>
      </c>
      <c r="N5933">
        <v>0</v>
      </c>
      <c r="O5933">
        <v>-0.33019979999999999</v>
      </c>
      <c r="P5933">
        <v>0.94823769999999996</v>
      </c>
      <c r="Q5933">
        <v>-1.148542E-2</v>
      </c>
      <c r="R5933">
        <v>-0.3173549</v>
      </c>
      <c r="S5933">
        <v>3.05545</v>
      </c>
      <c r="T5933">
        <v>-0.20268149999999999</v>
      </c>
      <c r="U5933">
        <v>-0.32241819999999999</v>
      </c>
      <c r="V5933">
        <v>-1.3603540000000001E-2</v>
      </c>
      <c r="W5933">
        <v>2.2256989999999998E-3</v>
      </c>
      <c r="X5933">
        <v>0.99990500000000004</v>
      </c>
      <c r="Y5933">
        <v>-0.22817270000000001</v>
      </c>
      <c r="Z5933">
        <v>2.8950989999999999E-2</v>
      </c>
      <c r="AA5933">
        <v>0.97319009999999995</v>
      </c>
      <c r="AB5933">
        <v>19</v>
      </c>
      <c r="AC5933">
        <v>16.6664999999999</v>
      </c>
      <c r="AD5933">
        <v>-1.1129527840458</v>
      </c>
      <c r="AE5933">
        <v>-1.73548999999999</v>
      </c>
      <c r="AF5933">
        <v>-3.8486915369433499</v>
      </c>
      <c r="AG5933">
        <v>-1.1129527840458</v>
      </c>
      <c r="AH5933">
        <v>16.233012365103601</v>
      </c>
      <c r="AI5933">
        <v>93.816644441163803</v>
      </c>
      <c r="AJ5933">
        <v>103.33800160367601</v>
      </c>
      <c r="AK5933">
        <v>16.720101102913901</v>
      </c>
      <c r="AL5933">
        <v>89.872476736762593</v>
      </c>
      <c r="AM5933">
        <v>90.779451393327705</v>
      </c>
      <c r="AN5933">
        <v>1.0000000095307799</v>
      </c>
    </row>
    <row r="5934" spans="1:40" x14ac:dyDescent="0.25">
      <c r="A5934" t="str">
        <f>"20190312160805920"</f>
        <v>20190312160805920</v>
      </c>
      <c r="B5934" t="str">
        <f>"1552378085911565"</f>
        <v>1552378085911565</v>
      </c>
      <c r="C5934" t="s">
        <v>40</v>
      </c>
      <c r="D5934">
        <v>6.052244</v>
      </c>
      <c r="E5934">
        <v>0.41709540000000001</v>
      </c>
      <c r="F5934" t="s">
        <v>99</v>
      </c>
      <c r="G5934">
        <v>-389.56020000000001</v>
      </c>
      <c r="H5934" s="1">
        <v>-9.2217210000000005E-7</v>
      </c>
      <c r="I5934">
        <v>16.786850000000001</v>
      </c>
      <c r="J5934">
        <v>-406.41640000000001</v>
      </c>
      <c r="K5934">
        <v>1.1129039999999999</v>
      </c>
      <c r="L5934">
        <v>18.484529999999999</v>
      </c>
      <c r="M5934">
        <v>0.94557239999999998</v>
      </c>
      <c r="N5934">
        <v>0</v>
      </c>
      <c r="O5934">
        <v>-0.32511909999999999</v>
      </c>
      <c r="P5934">
        <v>0.94945500000000005</v>
      </c>
      <c r="Q5934">
        <v>-1.1284809999999999E-2</v>
      </c>
      <c r="R5934">
        <v>-0.3137006</v>
      </c>
      <c r="S5934">
        <v>3.056305</v>
      </c>
      <c r="T5934">
        <v>-0.19987930000000001</v>
      </c>
      <c r="U5934">
        <v>-0.31384279999999998</v>
      </c>
      <c r="V5934">
        <v>-1.2078739999999999E-2</v>
      </c>
      <c r="W5934">
        <v>2.4259699999999999E-3</v>
      </c>
      <c r="X5934">
        <v>0.99992409999999998</v>
      </c>
      <c r="Y5934">
        <v>-0.22571430000000001</v>
      </c>
      <c r="Z5934">
        <v>2.8156460000000001E-2</v>
      </c>
      <c r="AA5934">
        <v>0.97378659999999995</v>
      </c>
      <c r="AB5934">
        <v>19</v>
      </c>
      <c r="AC5934">
        <v>16.856200000000001</v>
      </c>
      <c r="AD5934">
        <v>-1.1129049221720999</v>
      </c>
      <c r="AE5934">
        <v>-1.6976799999999901</v>
      </c>
      <c r="AF5934">
        <v>-3.85871059139747</v>
      </c>
      <c r="AG5934">
        <v>-1.1129049221720999</v>
      </c>
      <c r="AH5934">
        <v>16.421412126793498</v>
      </c>
      <c r="AI5934">
        <v>93.774597306562896</v>
      </c>
      <c r="AJ5934">
        <v>103.223488950277</v>
      </c>
      <c r="AK5934">
        <v>16.9053536204351</v>
      </c>
      <c r="AL5934">
        <v>89.861002020532993</v>
      </c>
      <c r="AM5934">
        <v>90.692079694228994</v>
      </c>
      <c r="AN5934">
        <v>0.99999999352561897</v>
      </c>
    </row>
    <row r="5935" spans="1:40" x14ac:dyDescent="0.25">
      <c r="A5935" t="str">
        <f>"20190312160805932"</f>
        <v>20190312160805932</v>
      </c>
      <c r="B5935" t="str">
        <f>"1552378085921321"</f>
        <v>1552378085921321</v>
      </c>
      <c r="C5935" t="s">
        <v>40</v>
      </c>
      <c r="D5935">
        <v>6.0477189999999998</v>
      </c>
      <c r="E5935">
        <v>0.4172747</v>
      </c>
      <c r="F5935" t="s">
        <v>99</v>
      </c>
      <c r="G5935">
        <v>-389.43169999999998</v>
      </c>
      <c r="H5935" s="1">
        <v>-9.7218259999999997E-7</v>
      </c>
      <c r="I5935">
        <v>16.784320000000001</v>
      </c>
      <c r="J5935">
        <v>-406.31490000000002</v>
      </c>
      <c r="K5935">
        <v>1.112879</v>
      </c>
      <c r="L5935">
        <v>18.453669999999999</v>
      </c>
      <c r="M5935">
        <v>0.94665279999999996</v>
      </c>
      <c r="N5935">
        <v>0</v>
      </c>
      <c r="O5935">
        <v>-0.32195990000000002</v>
      </c>
      <c r="P5935">
        <v>0.95014330000000002</v>
      </c>
      <c r="Q5935">
        <v>-1.103664E-2</v>
      </c>
      <c r="R5935">
        <v>-0.3116179</v>
      </c>
      <c r="S5935">
        <v>3.056244</v>
      </c>
      <c r="T5935">
        <v>-0.20025780000000001</v>
      </c>
      <c r="U5935">
        <v>-0.30593870000000001</v>
      </c>
      <c r="V5935">
        <v>-1.0934879999999999E-2</v>
      </c>
      <c r="W5935">
        <v>2.6758329999999999E-3</v>
      </c>
      <c r="X5935">
        <v>0.99993659999999995</v>
      </c>
      <c r="Y5935">
        <v>-0.22495560000000001</v>
      </c>
      <c r="Z5935">
        <v>2.7995510000000001E-2</v>
      </c>
      <c r="AA5935">
        <v>0.97396680000000002</v>
      </c>
      <c r="AB5935">
        <v>19</v>
      </c>
      <c r="AC5935">
        <v>16.883199999999999</v>
      </c>
      <c r="AD5935">
        <v>-1.1128799721825999</v>
      </c>
      <c r="AE5935">
        <v>-1.6693499999999999</v>
      </c>
      <c r="AF5935">
        <v>-3.8392654278477898</v>
      </c>
      <c r="AG5935">
        <v>-1.1128799721825999</v>
      </c>
      <c r="AH5935">
        <v>16.450778255445901</v>
      </c>
      <c r="AI5935">
        <v>93.769130473455107</v>
      </c>
      <c r="AJ5935">
        <v>103.136501210381</v>
      </c>
      <c r="AK5935">
        <v>16.929458528488301</v>
      </c>
      <c r="AL5935">
        <v>89.8466858745319</v>
      </c>
      <c r="AM5935">
        <v>90.626537223135401</v>
      </c>
      <c r="AN5935">
        <v>0.99999996785120804</v>
      </c>
    </row>
    <row r="5936" spans="1:40" x14ac:dyDescent="0.25">
      <c r="A5936" t="str">
        <f>"20190312160805944"</f>
        <v>20190312160805944</v>
      </c>
      <c r="B5936" t="str">
        <f>"1552378085941817"</f>
        <v>1552378085941817</v>
      </c>
      <c r="C5936" t="s">
        <v>40</v>
      </c>
      <c r="D5936">
        <v>6.0342409999999997</v>
      </c>
      <c r="E5936">
        <v>0.41759269999999998</v>
      </c>
      <c r="F5936" t="s">
        <v>99</v>
      </c>
      <c r="G5936">
        <v>-389.25740000000002</v>
      </c>
      <c r="H5936" s="1">
        <v>-1.0412610000000001E-6</v>
      </c>
      <c r="I5936">
        <v>16.776289999999999</v>
      </c>
      <c r="J5936">
        <v>-406.21600000000001</v>
      </c>
      <c r="K5936">
        <v>1.112854</v>
      </c>
      <c r="L5936">
        <v>18.424009999999999</v>
      </c>
      <c r="M5936">
        <v>0.94768430000000003</v>
      </c>
      <c r="N5936">
        <v>0</v>
      </c>
      <c r="O5936">
        <v>-0.31891170000000002</v>
      </c>
      <c r="P5936">
        <v>0.9509282</v>
      </c>
      <c r="Q5936">
        <v>-1.0825609999999999E-2</v>
      </c>
      <c r="R5936">
        <v>-0.30922280000000002</v>
      </c>
      <c r="S5936">
        <v>3.0564879999999999</v>
      </c>
      <c r="T5936">
        <v>-0.19941429999999999</v>
      </c>
      <c r="U5936">
        <v>-0.30056759999999999</v>
      </c>
      <c r="V5936">
        <v>-1.023873E-2</v>
      </c>
      <c r="W5936">
        <v>2.8851630000000001E-3</v>
      </c>
      <c r="X5936">
        <v>0.99994340000000004</v>
      </c>
      <c r="Y5936">
        <v>-0.22354109999999999</v>
      </c>
      <c r="Z5936">
        <v>2.764519E-2</v>
      </c>
      <c r="AA5936">
        <v>0.97430240000000001</v>
      </c>
      <c r="AB5936">
        <v>19</v>
      </c>
      <c r="AC5936">
        <v>16.958599999999901</v>
      </c>
      <c r="AD5936">
        <v>-1.1128550412610001</v>
      </c>
      <c r="AE5936">
        <v>-1.6477199999999901</v>
      </c>
      <c r="AF5936">
        <v>-3.8308006488056798</v>
      </c>
      <c r="AG5936">
        <v>-1.1128550412610001</v>
      </c>
      <c r="AH5936">
        <v>16.527943872985201</v>
      </c>
      <c r="AI5936">
        <v>93.752822014258896</v>
      </c>
      <c r="AJ5936">
        <v>103.04943730318099</v>
      </c>
      <c r="AK5936">
        <v>17.0025412401293</v>
      </c>
      <c r="AL5936">
        <v>89.834692104158407</v>
      </c>
      <c r="AM5936">
        <v>90.586648720531201</v>
      </c>
      <c r="AN5936">
        <v>0.99999997948055397</v>
      </c>
    </row>
    <row r="5937" spans="1:40" x14ac:dyDescent="0.25">
      <c r="A5937" t="str">
        <f>"20190312160805958"</f>
        <v>20190312160805958</v>
      </c>
      <c r="B5937" t="str">
        <f>"1552378085951577"</f>
        <v>1552378085951577</v>
      </c>
      <c r="C5937" t="s">
        <v>40</v>
      </c>
      <c r="D5937">
        <v>6.1045660000000002</v>
      </c>
      <c r="E5937">
        <v>0.41732560000000002</v>
      </c>
      <c r="F5937" t="s">
        <v>99</v>
      </c>
      <c r="G5937">
        <v>-389.0376</v>
      </c>
      <c r="H5937" s="1">
        <v>-1.128775E-6</v>
      </c>
      <c r="I5937">
        <v>16.764600000000002</v>
      </c>
      <c r="J5937">
        <v>-406.10759999999999</v>
      </c>
      <c r="K5937">
        <v>1.1128309999999999</v>
      </c>
      <c r="L5937">
        <v>18.391780000000001</v>
      </c>
      <c r="M5937">
        <v>0.9487951</v>
      </c>
      <c r="N5937">
        <v>0</v>
      </c>
      <c r="O5937">
        <v>-0.31559209999999999</v>
      </c>
      <c r="P5937">
        <v>0.95185889999999995</v>
      </c>
      <c r="Q5937">
        <v>-1.054865E-2</v>
      </c>
      <c r="R5937">
        <v>-0.30635519999999999</v>
      </c>
      <c r="S5937">
        <v>3.0565190000000002</v>
      </c>
      <c r="T5937">
        <v>-0.19800870000000001</v>
      </c>
      <c r="U5937">
        <v>-0.29525759999999901</v>
      </c>
      <c r="V5937">
        <v>-9.7542810000000001E-3</v>
      </c>
      <c r="W5937">
        <v>3.1583900000000001E-3</v>
      </c>
      <c r="X5937">
        <v>0.99994740000000004</v>
      </c>
      <c r="Y5937">
        <v>-0.221832</v>
      </c>
      <c r="Z5937">
        <v>2.719508E-2</v>
      </c>
      <c r="AA5937">
        <v>0.97470559999999995</v>
      </c>
      <c r="AB5937">
        <v>19</v>
      </c>
      <c r="AC5937">
        <v>17.069999999999901</v>
      </c>
      <c r="AD5937">
        <v>-1.11283212877499</v>
      </c>
      <c r="AE5937">
        <v>-1.6271799999999901</v>
      </c>
      <c r="AF5937">
        <v>-3.8275402229179099</v>
      </c>
      <c r="AG5937">
        <v>-1.11283212877499</v>
      </c>
      <c r="AH5937">
        <v>16.640953096757698</v>
      </c>
      <c r="AI5937">
        <v>93.728774379568506</v>
      </c>
      <c r="AJ5937">
        <v>102.953160226325</v>
      </c>
      <c r="AK5937">
        <v>17.111685465592799</v>
      </c>
      <c r="AL5937">
        <v>89.819037275220097</v>
      </c>
      <c r="AM5937">
        <v>90.558890805250599</v>
      </c>
      <c r="AN5937">
        <v>0.99999996209598896</v>
      </c>
    </row>
    <row r="5938" spans="1:40" x14ac:dyDescent="0.25">
      <c r="A5938" t="str">
        <f>"20190312160805975"</f>
        <v>20190312160805975</v>
      </c>
      <c r="B5938" t="str">
        <f>"1552378085971098"</f>
        <v>1552378085971098</v>
      </c>
      <c r="C5938" t="s">
        <v>40</v>
      </c>
      <c r="D5938">
        <v>6.153797</v>
      </c>
      <c r="E5938">
        <v>0.41691529999999999</v>
      </c>
      <c r="F5938" t="s">
        <v>99</v>
      </c>
      <c r="G5938">
        <v>-388.7593</v>
      </c>
      <c r="H5938" s="1">
        <v>-1.2314880000000001E-6</v>
      </c>
      <c r="I5938">
        <v>16.78021</v>
      </c>
      <c r="J5938">
        <v>-405.97489999999999</v>
      </c>
      <c r="K5938">
        <v>1.1127959999999999</v>
      </c>
      <c r="L5938">
        <v>18.35284</v>
      </c>
      <c r="M5938">
        <v>0.950125</v>
      </c>
      <c r="N5938">
        <v>0</v>
      </c>
      <c r="O5938">
        <v>-0.31156499999999998</v>
      </c>
      <c r="P5938">
        <v>0.9526502</v>
      </c>
      <c r="Q5938">
        <v>-1.0537380000000001E-2</v>
      </c>
      <c r="R5938">
        <v>-0.30388660000000001</v>
      </c>
      <c r="S5938">
        <v>3.0581670000000001</v>
      </c>
      <c r="T5938">
        <v>-0.19617039999999999</v>
      </c>
      <c r="U5938">
        <v>-0.28408810000000001</v>
      </c>
      <c r="V5938">
        <v>-8.1054490000000007E-3</v>
      </c>
      <c r="W5938">
        <v>3.1731709999999998E-3</v>
      </c>
      <c r="X5938">
        <v>0.99996209999999996</v>
      </c>
      <c r="Y5938">
        <v>-0.2213051</v>
      </c>
      <c r="Z5938">
        <v>2.667404E-2</v>
      </c>
      <c r="AA5938">
        <v>0.97483969999999998</v>
      </c>
      <c r="AB5938">
        <v>19</v>
      </c>
      <c r="AC5938">
        <v>17.215599999999899</v>
      </c>
      <c r="AD5938">
        <v>-1.1127972314879999</v>
      </c>
      <c r="AE5938">
        <v>-1.57263</v>
      </c>
      <c r="AF5938">
        <v>-3.8539810956602198</v>
      </c>
      <c r="AG5938">
        <v>-1.1127972314879999</v>
      </c>
      <c r="AH5938">
        <v>16.7790211734617</v>
      </c>
      <c r="AI5938">
        <v>93.698316661208494</v>
      </c>
      <c r="AJ5938">
        <v>102.93591911420199</v>
      </c>
      <c r="AK5938">
        <v>17.251870608823499</v>
      </c>
      <c r="AL5938">
        <v>89.818190386078101</v>
      </c>
      <c r="AM5938">
        <v>90.464415449461001</v>
      </c>
      <c r="AN5938">
        <v>0.99999998437704796</v>
      </c>
    </row>
    <row r="5939" spans="1:40" x14ac:dyDescent="0.25">
      <c r="A5939" t="str">
        <f>"20190312160805986"</f>
        <v>20190312160805986</v>
      </c>
      <c r="B5939" t="str">
        <f>"1552378085981833"</f>
        <v>1552378085981833</v>
      </c>
      <c r="C5939" t="s">
        <v>40</v>
      </c>
      <c r="D5939">
        <v>6.1399410000000003</v>
      </c>
      <c r="E5939">
        <v>0.3976208</v>
      </c>
      <c r="F5939" t="s">
        <v>99</v>
      </c>
      <c r="G5939">
        <v>-388.51580000000001</v>
      </c>
      <c r="H5939" s="1">
        <v>-1.320963E-6</v>
      </c>
      <c r="I5939">
        <v>16.795459999999999</v>
      </c>
      <c r="J5939">
        <v>-405.87689999999998</v>
      </c>
      <c r="K5939">
        <v>1.1127689999999999</v>
      </c>
      <c r="L5939">
        <v>18.324549999999999</v>
      </c>
      <c r="M5939">
        <v>0.95108210000000004</v>
      </c>
      <c r="N5939">
        <v>0</v>
      </c>
      <c r="O5939">
        <v>-0.30863109999999999</v>
      </c>
      <c r="P5939">
        <v>0.95345139999999995</v>
      </c>
      <c r="Q5939">
        <v>-1.0442470000000001E-2</v>
      </c>
      <c r="R5939">
        <v>-0.3013652</v>
      </c>
      <c r="S5939">
        <v>3.0599059999999998</v>
      </c>
      <c r="T5939">
        <v>-0.1950305</v>
      </c>
      <c r="U5939">
        <v>-0.2729492</v>
      </c>
      <c r="V5939">
        <v>-7.6648669999999997E-3</v>
      </c>
      <c r="W5939">
        <v>3.2647240000000001E-3</v>
      </c>
      <c r="X5939">
        <v>0.99996529999999995</v>
      </c>
      <c r="Y5939">
        <v>-0.22188369999999999</v>
      </c>
      <c r="Z5939">
        <v>2.635202E-2</v>
      </c>
      <c r="AA5939">
        <v>0.97471699999999994</v>
      </c>
      <c r="AB5939">
        <v>19</v>
      </c>
      <c r="AC5939">
        <v>17.361099999999901</v>
      </c>
      <c r="AD5939">
        <v>-1.112770320963</v>
      </c>
      <c r="AE5939">
        <v>-1.5290899999999901</v>
      </c>
      <c r="AF5939">
        <v>-3.88840400517044</v>
      </c>
      <c r="AG5939">
        <v>-1.112770320963</v>
      </c>
      <c r="AH5939">
        <v>16.916405350818799</v>
      </c>
      <c r="AI5939">
        <v>93.668139869589993</v>
      </c>
      <c r="AJ5939">
        <v>102.94514289657199</v>
      </c>
      <c r="AK5939">
        <v>17.393180085535001</v>
      </c>
      <c r="AL5939">
        <v>89.812944762155993</v>
      </c>
      <c r="AM5939">
        <v>90.439171168242297</v>
      </c>
      <c r="AN5939">
        <v>1.0000000049065001</v>
      </c>
    </row>
    <row r="5940" spans="1:40" x14ac:dyDescent="0.25">
      <c r="A5940" t="str">
        <f>"20190312160806000"</f>
        <v>20190312160806000</v>
      </c>
      <c r="B5940" t="str">
        <f>"1552378085991594"</f>
        <v>1552378085991594</v>
      </c>
      <c r="C5940" t="s">
        <v>40</v>
      </c>
      <c r="D5940">
        <v>6.0189219999999999</v>
      </c>
      <c r="E5940">
        <v>0.39906989999999998</v>
      </c>
      <c r="F5940" t="s">
        <v>98</v>
      </c>
      <c r="G5940">
        <v>-374.1687</v>
      </c>
      <c r="H5940" s="1">
        <v>-3.186336E-6</v>
      </c>
      <c r="I5940">
        <v>17.08304</v>
      </c>
      <c r="J5940">
        <v>-405.76609999999999</v>
      </c>
      <c r="K5940">
        <v>1.1127400000000001</v>
      </c>
      <c r="L5940">
        <v>18.292819999999999</v>
      </c>
      <c r="M5940">
        <v>0.95214779999999999</v>
      </c>
      <c r="N5940">
        <v>0</v>
      </c>
      <c r="O5940">
        <v>-0.30532880000000001</v>
      </c>
      <c r="P5940">
        <v>0.95426639999999996</v>
      </c>
      <c r="Q5940">
        <v>-1.046473E-2</v>
      </c>
      <c r="R5940">
        <v>-0.298774599999999</v>
      </c>
      <c r="S5940">
        <v>3.1067809999999998</v>
      </c>
      <c r="T5940">
        <v>-0.10902969999999999</v>
      </c>
      <c r="U5940">
        <v>-0.1216431</v>
      </c>
      <c r="V5940">
        <v>-6.9105349999999998E-3</v>
      </c>
      <c r="W5940">
        <v>3.239928E-3</v>
      </c>
      <c r="X5940">
        <v>0.9999709</v>
      </c>
      <c r="Y5940">
        <v>-0.26752199999999998</v>
      </c>
      <c r="Z5940">
        <v>1.525286E-2</v>
      </c>
      <c r="AA5940">
        <v>0.96343100000000004</v>
      </c>
      <c r="AB5940">
        <v>19</v>
      </c>
      <c r="AC5940">
        <v>31.5974</v>
      </c>
      <c r="AD5940">
        <v>-1.112743186336</v>
      </c>
      <c r="AE5940">
        <v>-1.2097800000000001</v>
      </c>
      <c r="AF5940">
        <v>-8.4860005310987301</v>
      </c>
      <c r="AG5940">
        <v>-1.112743186336</v>
      </c>
      <c r="AH5940">
        <v>30.4199810496204</v>
      </c>
      <c r="AI5940">
        <v>92.017929575877105</v>
      </c>
      <c r="AJ5940">
        <v>105.58705045014899</v>
      </c>
      <c r="AK5940">
        <v>31.601038740392799</v>
      </c>
      <c r="AL5940">
        <v>89.814365479864406</v>
      </c>
      <c r="AM5940">
        <v>90.395949708786105</v>
      </c>
      <c r="AN5940">
        <v>1.0000000267371201</v>
      </c>
    </row>
    <row r="5941" spans="1:40" x14ac:dyDescent="0.25">
      <c r="A5941" t="str">
        <f>"20190312160806011"</f>
        <v>20190312160806011</v>
      </c>
      <c r="B5941" t="str">
        <f>"1552378086001353"</f>
        <v>1552378086001353</v>
      </c>
      <c r="C5941" t="s">
        <v>40</v>
      </c>
      <c r="D5941">
        <v>6.0799310000000002</v>
      </c>
      <c r="E5941">
        <v>0.39889089999999999</v>
      </c>
      <c r="F5941" t="s">
        <v>98</v>
      </c>
      <c r="G5941">
        <v>-377.71370000000002</v>
      </c>
      <c r="H5941" s="1">
        <v>-1.511568E-6</v>
      </c>
      <c r="I5941">
        <v>17.175719999999998</v>
      </c>
      <c r="J5941">
        <v>-405.67340000000002</v>
      </c>
      <c r="K5941">
        <v>1.112717</v>
      </c>
      <c r="L5941">
        <v>18.266539999999999</v>
      </c>
      <c r="M5941">
        <v>0.95302339999999997</v>
      </c>
      <c r="N5941">
        <v>0</v>
      </c>
      <c r="O5941">
        <v>-0.3025852</v>
      </c>
      <c r="P5941">
        <v>0.95494990000000002</v>
      </c>
      <c r="Q5941">
        <v>-1.030882E-2</v>
      </c>
      <c r="R5941">
        <v>-0.296589099999999</v>
      </c>
      <c r="S5941">
        <v>3.103729</v>
      </c>
      <c r="T5941">
        <v>-0.1231145</v>
      </c>
      <c r="U5941">
        <v>-0.1235962</v>
      </c>
      <c r="V5941">
        <v>-6.3211780000000002E-3</v>
      </c>
      <c r="W5941">
        <v>3.3939460000000001E-3</v>
      </c>
      <c r="X5941">
        <v>0.99997429999999998</v>
      </c>
      <c r="Y5941">
        <v>-0.26401160000000001</v>
      </c>
      <c r="Z5941">
        <v>1.7064289999999999E-2</v>
      </c>
      <c r="AA5941">
        <v>0.96436849999999996</v>
      </c>
      <c r="AB5941">
        <v>19</v>
      </c>
      <c r="AC5941">
        <v>27.959700000000002</v>
      </c>
      <c r="AD5941">
        <v>-1.1127185115680001</v>
      </c>
      <c r="AE5941">
        <v>-1.0908199999999899</v>
      </c>
      <c r="AF5941">
        <v>-7.4095966522237102</v>
      </c>
      <c r="AG5941">
        <v>-1.1127185115680001</v>
      </c>
      <c r="AH5941">
        <v>26.936261183046799</v>
      </c>
      <c r="AI5941">
        <v>92.280877324562994</v>
      </c>
      <c r="AJ5941">
        <v>105.380453086046</v>
      </c>
      <c r="AK5941">
        <v>27.958941889062</v>
      </c>
      <c r="AL5941">
        <v>89.805540852447805</v>
      </c>
      <c r="AM5941">
        <v>90.362181305009898</v>
      </c>
      <c r="AN5941">
        <v>1.00000003841062</v>
      </c>
    </row>
    <row r="5942" spans="1:40" x14ac:dyDescent="0.25">
      <c r="A5942" t="str">
        <f>"20190312160806022"</f>
        <v>20190312160806022</v>
      </c>
      <c r="B5942" t="str">
        <f>"1552378086011113"</f>
        <v>1552378086011113</v>
      </c>
      <c r="C5942" t="s">
        <v>40</v>
      </c>
      <c r="D5942">
        <v>6.0965699999999998</v>
      </c>
      <c r="E5942">
        <v>0.39876729999999999</v>
      </c>
      <c r="F5942" t="s">
        <v>98</v>
      </c>
      <c r="G5942">
        <v>-374.77050000000003</v>
      </c>
      <c r="H5942" s="1">
        <v>-2.8959859999999999E-6</v>
      </c>
      <c r="I5942">
        <v>17.116119999999999</v>
      </c>
      <c r="J5942">
        <v>-405.5847</v>
      </c>
      <c r="K5942">
        <v>1.112695</v>
      </c>
      <c r="L5942">
        <v>18.24173</v>
      </c>
      <c r="M5942">
        <v>0.95384409999999997</v>
      </c>
      <c r="N5942">
        <v>0</v>
      </c>
      <c r="O5942">
        <v>-0.29998829999999999</v>
      </c>
      <c r="P5942">
        <v>0.95557289999999995</v>
      </c>
      <c r="Q5942">
        <v>-1.0556629999999999E-2</v>
      </c>
      <c r="R5942">
        <v>-0.29456650000000001</v>
      </c>
      <c r="S5942">
        <v>3.1044619999999998</v>
      </c>
      <c r="T5942">
        <v>-0.1117823</v>
      </c>
      <c r="U5942">
        <v>-0.1155701</v>
      </c>
      <c r="V5942">
        <v>-5.711799E-3</v>
      </c>
      <c r="W5942">
        <v>3.1445610000000001E-3</v>
      </c>
      <c r="X5942">
        <v>0.9999787</v>
      </c>
      <c r="Y5942">
        <v>-0.26396190000000003</v>
      </c>
      <c r="Z5942">
        <v>1.540221E-2</v>
      </c>
      <c r="AA5942">
        <v>0.96441010000000005</v>
      </c>
      <c r="AB5942">
        <v>19</v>
      </c>
      <c r="AC5942">
        <v>30.8141999999999</v>
      </c>
      <c r="AD5942">
        <v>-1.1126978959860001</v>
      </c>
      <c r="AE5942">
        <v>-1.12560999999999</v>
      </c>
      <c r="AF5942">
        <v>-8.1603866218720107</v>
      </c>
      <c r="AG5942">
        <v>-1.1126978959860001</v>
      </c>
      <c r="AH5942">
        <v>29.693747570776299</v>
      </c>
      <c r="AI5942">
        <v>92.069358387701996</v>
      </c>
      <c r="AJ5942">
        <v>105.366574607865</v>
      </c>
      <c r="AK5942">
        <v>30.814747300978201</v>
      </c>
      <c r="AL5942">
        <v>89.8198296215445</v>
      </c>
      <c r="AM5942">
        <v>90.327265387862198</v>
      </c>
      <c r="AN5942">
        <v>0.99999995668269304</v>
      </c>
    </row>
    <row r="5943" spans="1:40" x14ac:dyDescent="0.25">
      <c r="A5943" t="str">
        <f>"20190312160806035"</f>
        <v>20190312160806035</v>
      </c>
      <c r="B5943" t="str">
        <f>"1552378086031609"</f>
        <v>1552378086031609</v>
      </c>
      <c r="C5943" t="s">
        <v>40</v>
      </c>
      <c r="D5943">
        <v>6.0817629999999996</v>
      </c>
      <c r="E5943">
        <v>0.39909050000000001</v>
      </c>
      <c r="F5943" t="s">
        <v>98</v>
      </c>
      <c r="G5943">
        <v>-372.35570000000001</v>
      </c>
      <c r="H5943" s="1">
        <v>-4.043619E-6</v>
      </c>
      <c r="I5943">
        <v>17.08164</v>
      </c>
      <c r="J5943">
        <v>-405.48939999999999</v>
      </c>
      <c r="K5943">
        <v>1.11267</v>
      </c>
      <c r="L5943">
        <v>18.21518</v>
      </c>
      <c r="M5943">
        <v>0.95471479999999997</v>
      </c>
      <c r="N5943">
        <v>0</v>
      </c>
      <c r="O5943">
        <v>-0.29720590000000002</v>
      </c>
      <c r="P5943">
        <v>0.95636109999999996</v>
      </c>
      <c r="Q5943">
        <v>-1.043522E-2</v>
      </c>
      <c r="R5943">
        <v>-0.29200199999999998</v>
      </c>
      <c r="S5943">
        <v>3.1049500000000001</v>
      </c>
      <c r="T5943">
        <v>-0.10397149999999999</v>
      </c>
      <c r="U5943">
        <v>-0.10839840000000001</v>
      </c>
      <c r="V5943">
        <v>-5.4800589999999998E-3</v>
      </c>
      <c r="W5943">
        <v>3.2613859999999998E-3</v>
      </c>
      <c r="X5943">
        <v>0.99997970000000003</v>
      </c>
      <c r="Y5943">
        <v>-0.26343040000000001</v>
      </c>
      <c r="Z5943">
        <v>1.4227399999999999E-2</v>
      </c>
      <c r="AA5943">
        <v>0.96457349999999997</v>
      </c>
      <c r="AB5943">
        <v>19</v>
      </c>
      <c r="AC5943">
        <v>33.133699999999898</v>
      </c>
      <c r="AD5943">
        <v>-1.1126740436189999</v>
      </c>
      <c r="AE5943">
        <v>-1.13354</v>
      </c>
      <c r="AF5943">
        <v>-8.7562861260732205</v>
      </c>
      <c r="AG5943">
        <v>-1.1126740436189999</v>
      </c>
      <c r="AH5943">
        <v>31.937165373955601</v>
      </c>
      <c r="AI5943">
        <v>91.924386108518405</v>
      </c>
      <c r="AJ5943">
        <v>105.33215254047199</v>
      </c>
      <c r="AK5943">
        <v>33.134470304690097</v>
      </c>
      <c r="AL5943">
        <v>89.813136021931001</v>
      </c>
      <c r="AM5943">
        <v>90.3139874829657</v>
      </c>
      <c r="AN5943">
        <v>1.0000000340486801</v>
      </c>
    </row>
    <row r="5944" spans="1:40" x14ac:dyDescent="0.25">
      <c r="A5944" t="str">
        <f>"20190312160806052"</f>
        <v>20190312160806052</v>
      </c>
      <c r="B5944" t="str">
        <f>"1552378086041369"</f>
        <v>1552378086041369</v>
      </c>
      <c r="C5944" t="s">
        <v>40</v>
      </c>
      <c r="D5944">
        <v>6.0116209999999999</v>
      </c>
      <c r="E5944">
        <v>0.39938059999999997</v>
      </c>
      <c r="F5944" t="s">
        <v>98</v>
      </c>
      <c r="G5944">
        <v>-370.15649999999999</v>
      </c>
      <c r="H5944" s="1">
        <v>-5.0896149999999997E-6</v>
      </c>
      <c r="I5944">
        <v>17.045349999999999</v>
      </c>
      <c r="J5944">
        <v>-405.34629999999999</v>
      </c>
      <c r="K5944">
        <v>1.1126240000000001</v>
      </c>
      <c r="L5944">
        <v>18.175989999999999</v>
      </c>
      <c r="M5944">
        <v>0.95598720000000004</v>
      </c>
      <c r="N5944">
        <v>0</v>
      </c>
      <c r="O5944">
        <v>-0.2930874</v>
      </c>
      <c r="P5944">
        <v>0.9573488</v>
      </c>
      <c r="Q5944">
        <v>-1.021247E-2</v>
      </c>
      <c r="R5944">
        <v>-0.28875469999999998</v>
      </c>
      <c r="S5944">
        <v>3.1044309999999999</v>
      </c>
      <c r="T5944">
        <v>-9.7762109999999999E-2</v>
      </c>
      <c r="U5944">
        <v>-0.10278320000000001</v>
      </c>
      <c r="V5944">
        <v>-4.5645449999999997E-3</v>
      </c>
      <c r="W5944">
        <v>3.4812060000000001E-3</v>
      </c>
      <c r="X5944">
        <v>0.99998350000000003</v>
      </c>
      <c r="Y5944">
        <v>-0.26104699999999997</v>
      </c>
      <c r="Z5944">
        <v>1.3219150000000001E-2</v>
      </c>
      <c r="AA5944">
        <v>0.96523559999999997</v>
      </c>
      <c r="AB5944">
        <v>19</v>
      </c>
      <c r="AC5944">
        <v>35.189799999999899</v>
      </c>
      <c r="AD5944">
        <v>-1.112629089615</v>
      </c>
      <c r="AE5944">
        <v>-1.1306399999999901</v>
      </c>
      <c r="AF5944">
        <v>-9.2244666418545194</v>
      </c>
      <c r="AG5944">
        <v>-1.112629089615</v>
      </c>
      <c r="AH5944">
        <v>33.941676490339802</v>
      </c>
      <c r="AI5944">
        <v>91.811844383777299</v>
      </c>
      <c r="AJ5944">
        <v>105.20427147643299</v>
      </c>
      <c r="AK5944">
        <v>35.190426699496399</v>
      </c>
      <c r="AL5944">
        <v>89.800541181142407</v>
      </c>
      <c r="AM5944">
        <v>90.261531662806505</v>
      </c>
      <c r="AN5944">
        <v>0.99999997706926003</v>
      </c>
    </row>
    <row r="5945" spans="1:40" x14ac:dyDescent="0.25">
      <c r="A5945" t="str">
        <f>"20190312160806066"</f>
        <v>20190312160806066</v>
      </c>
      <c r="B5945" t="str">
        <f>"1552378086061525"</f>
        <v>1552378086061525</v>
      </c>
      <c r="C5945" t="s">
        <v>40</v>
      </c>
      <c r="D5945">
        <v>6.0964830000000001</v>
      </c>
      <c r="E5945">
        <v>0.3999124</v>
      </c>
      <c r="F5945" t="s">
        <v>98</v>
      </c>
      <c r="G5945">
        <v>-370.48099999999999</v>
      </c>
      <c r="H5945" s="1">
        <v>-4.9236760000000002E-6</v>
      </c>
      <c r="I5945">
        <v>17.116139999999898</v>
      </c>
      <c r="J5945">
        <v>-405.24259999999998</v>
      </c>
      <c r="K5945">
        <v>1.1125929999999999</v>
      </c>
      <c r="L5945">
        <v>18.148009999999999</v>
      </c>
      <c r="M5945">
        <v>0.95688430000000002</v>
      </c>
      <c r="N5945">
        <v>0</v>
      </c>
      <c r="O5945">
        <v>-0.29014529999999999</v>
      </c>
      <c r="P5945">
        <v>0.95805300000000004</v>
      </c>
      <c r="Q5945">
        <v>-1.0155930000000001E-2</v>
      </c>
      <c r="R5945">
        <v>-0.2864119</v>
      </c>
      <c r="S5945">
        <v>3.1041259999999999</v>
      </c>
      <c r="T5945">
        <v>-9.9059579999999994E-2</v>
      </c>
      <c r="U5945">
        <v>-9.4360349999999996E-2</v>
      </c>
      <c r="V5945">
        <v>-3.9351280000000004E-3</v>
      </c>
      <c r="W5945">
        <v>3.535566E-3</v>
      </c>
      <c r="X5945">
        <v>0.99998600000000004</v>
      </c>
      <c r="Y5945">
        <v>-0.26068540000000001</v>
      </c>
      <c r="Z5945">
        <v>1.330113E-2</v>
      </c>
      <c r="AA5945">
        <v>0.96533219999999997</v>
      </c>
      <c r="AB5945">
        <v>19</v>
      </c>
      <c r="AC5945">
        <v>34.761599999999902</v>
      </c>
      <c r="AD5945">
        <v>-1.112597923676</v>
      </c>
      <c r="AE5945">
        <v>-1.0318700000000001</v>
      </c>
      <c r="AF5945">
        <v>-9.0900868380756794</v>
      </c>
      <c r="AG5945">
        <v>-1.112597923676</v>
      </c>
      <c r="AH5945">
        <v>33.5310596167729</v>
      </c>
      <c r="AI5945">
        <v>91.834280451373004</v>
      </c>
      <c r="AJ5945">
        <v>105.168009872441</v>
      </c>
      <c r="AK5945">
        <v>34.759164430220501</v>
      </c>
      <c r="AL5945">
        <v>89.797426566519903</v>
      </c>
      <c r="AM5945">
        <v>90.225468218977994</v>
      </c>
      <c r="AN5945">
        <v>0.99999999282765795</v>
      </c>
    </row>
    <row r="5946" spans="1:40" x14ac:dyDescent="0.25">
      <c r="A5946" t="str">
        <f>"20190312160806080"</f>
        <v>20190312160806080</v>
      </c>
      <c r="B5946" t="str">
        <f>"1552378086071277"</f>
        <v>1552378086071277</v>
      </c>
      <c r="C5946" t="s">
        <v>40</v>
      </c>
      <c r="D5946">
        <v>6.0766179999999999</v>
      </c>
      <c r="E5946">
        <v>0.40009869999999997</v>
      </c>
      <c r="F5946" t="s">
        <v>97</v>
      </c>
      <c r="G5946">
        <v>-369.86630000000002</v>
      </c>
      <c r="H5946" s="1">
        <v>-7.1810539999999995E-7</v>
      </c>
      <c r="I5946">
        <v>17.11196</v>
      </c>
      <c r="J5946">
        <v>-405.12549999999999</v>
      </c>
      <c r="K5946">
        <v>1.1125560000000001</v>
      </c>
      <c r="L5946">
        <v>18.116700000000002</v>
      </c>
      <c r="M5946">
        <v>0.95787860000000002</v>
      </c>
      <c r="N5946">
        <v>0</v>
      </c>
      <c r="O5946">
        <v>-0.28684660000000001</v>
      </c>
      <c r="P5946">
        <v>0.95885529999999997</v>
      </c>
      <c r="Q5946">
        <v>-1.0057760000000001E-2</v>
      </c>
      <c r="R5946">
        <v>-0.28371800000000003</v>
      </c>
      <c r="S5946">
        <v>3.10318</v>
      </c>
      <c r="T5946">
        <v>-9.7595810000000005E-2</v>
      </c>
      <c r="U5946">
        <v>-9.088135E-2</v>
      </c>
      <c r="V5946">
        <v>-3.3009409999999999E-3</v>
      </c>
      <c r="W5946">
        <v>3.6304559999999998E-3</v>
      </c>
      <c r="X5946">
        <v>0.99998799999999999</v>
      </c>
      <c r="Y5946">
        <v>-0.25844129999999998</v>
      </c>
      <c r="Z5946">
        <v>1.297397E-2</v>
      </c>
      <c r="AA5946">
        <v>0.96593980000000002</v>
      </c>
      <c r="AB5946">
        <v>19</v>
      </c>
      <c r="AC5946">
        <v>35.2591999999999</v>
      </c>
      <c r="AD5946">
        <v>-1.1125567181053999</v>
      </c>
      <c r="AE5946">
        <v>-1.00474</v>
      </c>
      <c r="AF5946">
        <v>-9.1433252904992699</v>
      </c>
      <c r="AG5946">
        <v>-1.1125567181053999</v>
      </c>
      <c r="AH5946">
        <v>34.0315796588457</v>
      </c>
      <c r="AI5946">
        <v>91.8083549376599</v>
      </c>
      <c r="AJ5946">
        <v>105.038621205284</v>
      </c>
      <c r="AK5946">
        <v>35.256015003049399</v>
      </c>
      <c r="AL5946">
        <v>89.791989744517096</v>
      </c>
      <c r="AM5946">
        <v>90.189131570355102</v>
      </c>
      <c r="AN5946">
        <v>1.00000003828312</v>
      </c>
    </row>
    <row r="5947" spans="1:40" x14ac:dyDescent="0.25">
      <c r="A5947" t="str">
        <f>"20190312160806092"</f>
        <v>20190312160806092</v>
      </c>
      <c r="B5947" t="str">
        <f>"1552378086082013"</f>
        <v>1552378086082013</v>
      </c>
      <c r="C5947" t="s">
        <v>40</v>
      </c>
      <c r="D5947">
        <v>5.986332</v>
      </c>
      <c r="E5947">
        <v>0.40074660000000001</v>
      </c>
      <c r="F5947" t="s">
        <v>97</v>
      </c>
      <c r="G5947">
        <v>-369.48649999999998</v>
      </c>
      <c r="H5947" s="1">
        <v>-8.5197539999999997E-7</v>
      </c>
      <c r="I5947">
        <v>17.157039999999999</v>
      </c>
      <c r="J5947">
        <v>-405.02030000000002</v>
      </c>
      <c r="K5947">
        <v>1.1125149999999999</v>
      </c>
      <c r="L5947">
        <v>18.088809999999999</v>
      </c>
      <c r="M5947">
        <v>0.95875359999999998</v>
      </c>
      <c r="N5947">
        <v>0</v>
      </c>
      <c r="O5947">
        <v>-0.2839082</v>
      </c>
      <c r="P5947">
        <v>0.95949229999999996</v>
      </c>
      <c r="Q5947">
        <v>-1.02097E-2</v>
      </c>
      <c r="R5947">
        <v>-0.28155069999999999</v>
      </c>
      <c r="S5947">
        <v>3.1030579999999999</v>
      </c>
      <c r="T5947">
        <v>-9.6869230000000001E-2</v>
      </c>
      <c r="U5947">
        <v>-8.3557129999999993E-2</v>
      </c>
      <c r="V5947">
        <v>-2.4922360000000001E-3</v>
      </c>
      <c r="W5947">
        <v>3.4764380000000001E-3</v>
      </c>
      <c r="X5947">
        <v>0.99999090000000002</v>
      </c>
      <c r="Y5947">
        <v>-0.25776189999999999</v>
      </c>
      <c r="Z5947">
        <v>1.278E-2</v>
      </c>
      <c r="AA5947">
        <v>0.96612390000000004</v>
      </c>
      <c r="AB5947">
        <v>19</v>
      </c>
      <c r="AC5947">
        <v>35.533799999999999</v>
      </c>
      <c r="AD5947">
        <v>-1.1125158519753999</v>
      </c>
      <c r="AE5947">
        <v>-0.93177000000000298</v>
      </c>
      <c r="AF5947">
        <v>-9.1868632080555503</v>
      </c>
      <c r="AG5947">
        <v>-1.1125158519753999</v>
      </c>
      <c r="AH5947">
        <v>34.302316708328803</v>
      </c>
      <c r="AI5947">
        <v>91.794407656701495</v>
      </c>
      <c r="AJ5947">
        <v>104.99311954906</v>
      </c>
      <c r="AK5947">
        <v>35.5286515179357</v>
      </c>
      <c r="AL5947">
        <v>89.800814383301002</v>
      </c>
      <c r="AM5947">
        <v>90.142795608142393</v>
      </c>
      <c r="AN5947">
        <v>1.0000000484721201</v>
      </c>
    </row>
    <row r="5948" spans="1:40" x14ac:dyDescent="0.25">
      <c r="A5948" t="str">
        <f>"20190312160806114"</f>
        <v>20190312160806114</v>
      </c>
      <c r="B5948" t="str">
        <f>"1552378086101533"</f>
        <v>1552378086101533</v>
      </c>
      <c r="C5948" t="s">
        <v>40</v>
      </c>
      <c r="D5948">
        <v>6.0640140000000002</v>
      </c>
      <c r="E5948">
        <v>0.40112890000000001</v>
      </c>
      <c r="F5948" t="s">
        <v>98</v>
      </c>
      <c r="G5948">
        <v>-371.06470000000002</v>
      </c>
      <c r="H5948" s="1">
        <v>-4.63308E-6</v>
      </c>
      <c r="I5948">
        <v>17.198799999999999</v>
      </c>
      <c r="J5948">
        <v>-404.85329999999999</v>
      </c>
      <c r="K5948">
        <v>1.112463</v>
      </c>
      <c r="L5948">
        <v>18.04532</v>
      </c>
      <c r="M5948">
        <v>0.96010240000000002</v>
      </c>
      <c r="N5948">
        <v>0</v>
      </c>
      <c r="O5948">
        <v>-0.27931400000000001</v>
      </c>
      <c r="P5948">
        <v>0.96037600000000001</v>
      </c>
      <c r="Q5948">
        <v>-1.035489E-2</v>
      </c>
      <c r="R5948">
        <v>-0.27851609999999899</v>
      </c>
      <c r="S5948">
        <v>3.1017459999999999</v>
      </c>
      <c r="T5948">
        <v>-0.1016256</v>
      </c>
      <c r="U5948">
        <v>-8.1298830000000002E-2</v>
      </c>
      <c r="V5948">
        <v>-8.6289560000000001E-4</v>
      </c>
      <c r="W5948">
        <v>3.3310029999999999E-3</v>
      </c>
      <c r="X5948">
        <v>0.9999941</v>
      </c>
      <c r="Y5948">
        <v>-0.25380330000000001</v>
      </c>
      <c r="Z5948">
        <v>1.320299E-2</v>
      </c>
      <c r="AA5948">
        <v>0.96716570000000002</v>
      </c>
      <c r="AB5948">
        <v>19</v>
      </c>
      <c r="AC5948">
        <v>33.788599999999903</v>
      </c>
      <c r="AD5948">
        <v>-1.1124676330800001</v>
      </c>
      <c r="AE5948">
        <v>-0.84652000000000105</v>
      </c>
      <c r="AF5948">
        <v>-8.6163556023437309</v>
      </c>
      <c r="AG5948">
        <v>-1.1124676330800001</v>
      </c>
      <c r="AH5948">
        <v>32.644652702696398</v>
      </c>
      <c r="AI5948">
        <v>91.887194665797097</v>
      </c>
      <c r="AJ5948">
        <v>104.78567049768</v>
      </c>
      <c r="AK5948">
        <v>33.7809490420318</v>
      </c>
      <c r="AL5948">
        <v>89.809147237453004</v>
      </c>
      <c r="AM5948">
        <v>90.049440555468607</v>
      </c>
      <c r="AN5948">
        <v>1.0000000201023</v>
      </c>
    </row>
    <row r="5949" spans="1:40" x14ac:dyDescent="0.25">
      <c r="A5949" t="str">
        <f>"20190312160806131"</f>
        <v>20190312160806131</v>
      </c>
      <c r="B5949" t="str">
        <f>"1552378086121053"</f>
        <v>1552378086121053</v>
      </c>
      <c r="C5949" t="s">
        <v>40</v>
      </c>
      <c r="D5949">
        <v>6.0679150000000002</v>
      </c>
      <c r="E5949">
        <v>0.4015958</v>
      </c>
      <c r="F5949" t="s">
        <v>98</v>
      </c>
      <c r="G5949">
        <v>-371.28469999999999</v>
      </c>
      <c r="H5949" s="1">
        <v>-4.521483E-6</v>
      </c>
      <c r="I5949">
        <v>17.241589999999999</v>
      </c>
      <c r="J5949">
        <v>-404.70589999999999</v>
      </c>
      <c r="K5949">
        <v>1.1124130000000001</v>
      </c>
      <c r="L5949">
        <v>18.007570000000001</v>
      </c>
      <c r="M5949">
        <v>0.96125510000000003</v>
      </c>
      <c r="N5949">
        <v>0</v>
      </c>
      <c r="O5949">
        <v>-0.27532050000000002</v>
      </c>
      <c r="P5949">
        <v>0.96102750000000003</v>
      </c>
      <c r="Q5949">
        <v>-1.0649230000000001E-2</v>
      </c>
      <c r="R5949">
        <v>-0.27624789999999999</v>
      </c>
      <c r="S5949">
        <v>3.101105</v>
      </c>
      <c r="T5949">
        <v>-0.102770899999999</v>
      </c>
      <c r="U5949">
        <v>-7.4249270000000006E-2</v>
      </c>
      <c r="V5949">
        <v>9.3576789999999998E-4</v>
      </c>
      <c r="W5949">
        <v>3.0382270000000001E-3</v>
      </c>
      <c r="X5949">
        <v>0.99999490000000002</v>
      </c>
      <c r="Y5949">
        <v>-0.25197079999999999</v>
      </c>
      <c r="Z5949">
        <v>1.3197220000000001E-2</v>
      </c>
      <c r="AA5949">
        <v>0.96764490000000003</v>
      </c>
      <c r="AB5949">
        <v>19</v>
      </c>
      <c r="AC5949">
        <v>33.421199999999999</v>
      </c>
      <c r="AD5949">
        <v>-1.1124175214830001</v>
      </c>
      <c r="AE5949">
        <v>-0.76598000000000199</v>
      </c>
      <c r="AF5949">
        <v>-8.4566679740756108</v>
      </c>
      <c r="AG5949">
        <v>-1.1124175214830001</v>
      </c>
      <c r="AH5949">
        <v>32.304446455176702</v>
      </c>
      <c r="AI5949">
        <v>91.907982695323497</v>
      </c>
      <c r="AJ5949">
        <v>104.669720027918</v>
      </c>
      <c r="AK5949">
        <v>33.411524460000898</v>
      </c>
      <c r="AL5949">
        <v>89.8259221397457</v>
      </c>
      <c r="AM5949">
        <v>89.946384190935404</v>
      </c>
      <c r="AN5949">
        <v>0.999999953255437</v>
      </c>
    </row>
    <row r="5950" spans="1:40" x14ac:dyDescent="0.25">
      <c r="A5950" t="str">
        <f>"20190312160806143"</f>
        <v>20190312160806143</v>
      </c>
      <c r="B5950" t="str">
        <f>"1552378086131791"</f>
        <v>1552378086131791</v>
      </c>
      <c r="C5950" t="s">
        <v>40</v>
      </c>
      <c r="D5950">
        <v>6.0915229999999996</v>
      </c>
      <c r="E5950">
        <v>0.40184360000000002</v>
      </c>
      <c r="F5950" t="s">
        <v>98</v>
      </c>
      <c r="G5950">
        <v>-371.40199999999999</v>
      </c>
      <c r="H5950" s="1">
        <v>-4.4644339999999996E-6</v>
      </c>
      <c r="I5950">
        <v>17.250599999999999</v>
      </c>
      <c r="J5950">
        <v>-404.61750000000001</v>
      </c>
      <c r="K5950">
        <v>1.11239</v>
      </c>
      <c r="L5950">
        <v>17.985229999999898</v>
      </c>
      <c r="M5950">
        <v>0.96193090000000003</v>
      </c>
      <c r="N5950">
        <v>0</v>
      </c>
      <c r="O5950">
        <v>-0.27295079999999999</v>
      </c>
      <c r="P5950">
        <v>0.96144149999999995</v>
      </c>
      <c r="Q5950">
        <v>-1.0576169999999999E-2</v>
      </c>
      <c r="R5950">
        <v>-0.27480660000000001</v>
      </c>
      <c r="S5950">
        <v>3.10025</v>
      </c>
      <c r="T5950">
        <v>-0.1035546</v>
      </c>
      <c r="U5950">
        <v>-7.0465089999999994E-2</v>
      </c>
      <c r="V5950">
        <v>1.900278E-3</v>
      </c>
      <c r="W5950">
        <v>3.11166E-3</v>
      </c>
      <c r="X5950">
        <v>0.99999329999999997</v>
      </c>
      <c r="Y5950">
        <v>-0.25075740000000002</v>
      </c>
      <c r="Z5950">
        <v>1.3205150000000001E-2</v>
      </c>
      <c r="AA5950">
        <v>0.96795989999999998</v>
      </c>
      <c r="AB5950">
        <v>19</v>
      </c>
      <c r="AC5950">
        <v>33.215499999999999</v>
      </c>
      <c r="AD5950">
        <v>-1.112394464434</v>
      </c>
      <c r="AE5950">
        <v>-0.73462999999999901</v>
      </c>
      <c r="AF5950">
        <v>-8.3509531011849294</v>
      </c>
      <c r="AG5950">
        <v>-1.112394464434</v>
      </c>
      <c r="AH5950">
        <v>32.118530730859398</v>
      </c>
      <c r="AI5950">
        <v>91.919811022150299</v>
      </c>
      <c r="AJ5950">
        <v>104.574441959173</v>
      </c>
      <c r="AK5950">
        <v>33.205057678791199</v>
      </c>
      <c r="AL5950">
        <v>89.821714717522696</v>
      </c>
      <c r="AM5950">
        <v>89.891121492268596</v>
      </c>
      <c r="AN5950">
        <v>0.99999994676465997</v>
      </c>
    </row>
    <row r="5951" spans="1:40" x14ac:dyDescent="0.25">
      <c r="A5951" t="str">
        <f>"20190312160806155"</f>
        <v>20190312160806155</v>
      </c>
      <c r="B5951" t="str">
        <f>"1552378086151309"</f>
        <v>1552378086151309</v>
      </c>
      <c r="C5951" t="s">
        <v>40</v>
      </c>
      <c r="D5951">
        <v>6.3119259999999997</v>
      </c>
      <c r="E5951">
        <v>0.40192359999999999</v>
      </c>
      <c r="F5951" t="s">
        <v>98</v>
      </c>
      <c r="G5951">
        <v>-371.17079999999999</v>
      </c>
      <c r="H5951" s="1">
        <v>-4.5730930000000003E-6</v>
      </c>
      <c r="I5951">
        <v>17.25422</v>
      </c>
      <c r="J5951">
        <v>-404.52210000000002</v>
      </c>
      <c r="K5951">
        <v>1.1123700000000001</v>
      </c>
      <c r="L5951">
        <v>17.961269999999999</v>
      </c>
      <c r="M5951">
        <v>0.96264950000000005</v>
      </c>
      <c r="N5951">
        <v>0</v>
      </c>
      <c r="O5951">
        <v>-0.27040619999999999</v>
      </c>
      <c r="P5951">
        <v>0.96194789999999997</v>
      </c>
      <c r="Q5951">
        <v>-1.0603359999999999E-2</v>
      </c>
      <c r="R5951">
        <v>-0.27302710000000002</v>
      </c>
      <c r="S5951">
        <v>3.0998230000000002</v>
      </c>
      <c r="T5951">
        <v>-0.1030962</v>
      </c>
      <c r="U5951">
        <v>-6.7749019999999993E-2</v>
      </c>
      <c r="V5951">
        <v>2.6949130000000002E-3</v>
      </c>
      <c r="W5951">
        <v>3.0835260000000001E-3</v>
      </c>
      <c r="X5951">
        <v>0.99999159999999998</v>
      </c>
      <c r="Y5951">
        <v>-0.24904660000000001</v>
      </c>
      <c r="Z5951">
        <v>1.303851E-2</v>
      </c>
      <c r="AA5951">
        <v>0.96840380000000004</v>
      </c>
      <c r="AB5951">
        <v>19</v>
      </c>
      <c r="AC5951">
        <v>33.351300000000002</v>
      </c>
      <c r="AD5951">
        <v>-1.1123745730929999</v>
      </c>
      <c r="AE5951">
        <v>-0.70705000000000195</v>
      </c>
      <c r="AF5951">
        <v>-8.3292726169788107</v>
      </c>
      <c r="AG5951">
        <v>-1.1123745730929999</v>
      </c>
      <c r="AH5951">
        <v>32.263938325008503</v>
      </c>
      <c r="AI5951">
        <v>91.911986124457997</v>
      </c>
      <c r="AJ5951">
        <v>104.47544701774</v>
      </c>
      <c r="AK5951">
        <v>33.340304074179798</v>
      </c>
      <c r="AL5951">
        <v>89.823326691625098</v>
      </c>
      <c r="AM5951">
        <v>89.845591935718801</v>
      </c>
      <c r="AN5951">
        <v>0.99999998537961499</v>
      </c>
    </row>
    <row r="5952" spans="1:40" x14ac:dyDescent="0.25">
      <c r="A5952" t="str">
        <f>"20190312160806165"</f>
        <v>20190312160806165</v>
      </c>
      <c r="B5952" t="str">
        <f>"1552378086161070"</f>
        <v>1552378086161070</v>
      </c>
      <c r="C5952" t="s">
        <v>40</v>
      </c>
      <c r="D5952">
        <v>6.0800609999999997</v>
      </c>
      <c r="E5952">
        <v>0.4020492</v>
      </c>
      <c r="F5952" t="s">
        <v>98</v>
      </c>
      <c r="G5952">
        <v>-370.28280000000001</v>
      </c>
      <c r="H5952" s="1">
        <v>-4.9903840000000001E-6</v>
      </c>
      <c r="I5952">
        <v>17.268219999999999</v>
      </c>
      <c r="J5952">
        <v>-404.42849999999999</v>
      </c>
      <c r="K5952">
        <v>1.112349</v>
      </c>
      <c r="L5952">
        <v>17.938110000000002</v>
      </c>
      <c r="M5952">
        <v>0.96333959999999996</v>
      </c>
      <c r="N5952">
        <v>0</v>
      </c>
      <c r="O5952">
        <v>-0.26793689999999998</v>
      </c>
      <c r="P5952">
        <v>0.96244909999999995</v>
      </c>
      <c r="Q5952">
        <v>-1.039554E-2</v>
      </c>
      <c r="R5952">
        <v>-0.27126359999999999</v>
      </c>
      <c r="S5952">
        <v>3.0997919999999999</v>
      </c>
      <c r="T5952">
        <v>-0.1007067</v>
      </c>
      <c r="U5952">
        <v>-6.2744140000000004E-2</v>
      </c>
      <c r="V5952">
        <v>3.4242600000000002E-3</v>
      </c>
      <c r="W5952">
        <v>3.289995E-3</v>
      </c>
      <c r="X5952">
        <v>0.99998869999999895</v>
      </c>
      <c r="Y5952">
        <v>-0.24814069999999999</v>
      </c>
      <c r="Z5952">
        <v>1.2644809999999999E-2</v>
      </c>
      <c r="AA5952">
        <v>0.96864150000000004</v>
      </c>
      <c r="AB5952">
        <v>19</v>
      </c>
      <c r="AC5952">
        <v>34.145699999999898</v>
      </c>
      <c r="AD5952">
        <v>-1.1123539903839901</v>
      </c>
      <c r="AE5952">
        <v>-0.66989000000000198</v>
      </c>
      <c r="AF5952">
        <v>-8.4953429370377993</v>
      </c>
      <c r="AG5952">
        <v>-1.1123539903839901</v>
      </c>
      <c r="AH5952">
        <v>33.041428524301502</v>
      </c>
      <c r="AI5952">
        <v>91.867466031582794</v>
      </c>
      <c r="AJ5952">
        <v>104.41910692184899</v>
      </c>
      <c r="AK5952">
        <v>34.134208383150302</v>
      </c>
      <c r="AL5952">
        <v>89.811496827081896</v>
      </c>
      <c r="AM5952">
        <v>89.803802903863598</v>
      </c>
      <c r="AN5952">
        <v>0.99999997487566805</v>
      </c>
    </row>
    <row r="5953" spans="1:40" x14ac:dyDescent="0.25">
      <c r="A5953" t="str">
        <f>"20190312160806178"</f>
        <v>20190312160806178</v>
      </c>
      <c r="B5953" t="str">
        <f>"1552378086171806"</f>
        <v>1552378086171806</v>
      </c>
      <c r="C5953" t="s">
        <v>40</v>
      </c>
      <c r="D5953">
        <v>6.1043810000000001</v>
      </c>
      <c r="E5953">
        <v>0.40214</v>
      </c>
      <c r="F5953" t="s">
        <v>97</v>
      </c>
      <c r="G5953">
        <v>-369.04</v>
      </c>
      <c r="H5953" s="1">
        <v>-9.9222890000000002E-7</v>
      </c>
      <c r="I5953">
        <v>17.274360000000001</v>
      </c>
      <c r="J5953">
        <v>-404.32769999999999</v>
      </c>
      <c r="K5953">
        <v>1.112328</v>
      </c>
      <c r="L5953">
        <v>17.913360000000001</v>
      </c>
      <c r="M5953">
        <v>0.96407290000000001</v>
      </c>
      <c r="N5953">
        <v>0</v>
      </c>
      <c r="O5953">
        <v>-0.26528669999999999</v>
      </c>
      <c r="P5953">
        <v>0.96297750000000004</v>
      </c>
      <c r="Q5953">
        <v>-1.04475E-2</v>
      </c>
      <c r="R5953">
        <v>-0.26938010000000001</v>
      </c>
      <c r="S5953">
        <v>3.0995789999999999</v>
      </c>
      <c r="T5953">
        <v>-9.7427490000000005E-2</v>
      </c>
      <c r="U5953">
        <v>-5.8135989999999999E-2</v>
      </c>
      <c r="V5953">
        <v>4.2183899999999998E-3</v>
      </c>
      <c r="W5953">
        <v>3.2370670000000002E-3</v>
      </c>
      <c r="X5953">
        <v>0.99998589999999998</v>
      </c>
      <c r="Y5953">
        <v>-0.24693390000000001</v>
      </c>
      <c r="Z5953">
        <v>1.213494E-2</v>
      </c>
      <c r="AA5953">
        <v>0.96895640000000005</v>
      </c>
      <c r="AB5953">
        <v>19</v>
      </c>
      <c r="AC5953">
        <v>35.287699999999901</v>
      </c>
      <c r="AD5953">
        <v>-1.1123289922288999</v>
      </c>
      <c r="AE5953">
        <v>-0.63899999999999901</v>
      </c>
      <c r="AF5953">
        <v>-8.7374512726650302</v>
      </c>
      <c r="AG5953">
        <v>-1.1123289922288999</v>
      </c>
      <c r="AH5953">
        <v>34.158690958957202</v>
      </c>
      <c r="AI5953">
        <v>91.8069598120492</v>
      </c>
      <c r="AJ5953">
        <v>104.348043445467</v>
      </c>
      <c r="AK5953">
        <v>35.276004571928198</v>
      </c>
      <c r="AL5953">
        <v>89.814529405812607</v>
      </c>
      <c r="AM5953">
        <v>89.758302082389093</v>
      </c>
      <c r="AN5953">
        <v>1.0000000368078801</v>
      </c>
    </row>
    <row r="5954" spans="1:40" x14ac:dyDescent="0.25">
      <c r="A5954" t="str">
        <f>"20190312160806190"</f>
        <v>20190312160806190</v>
      </c>
      <c r="B5954" t="str">
        <f>"1552378086181565"</f>
        <v>1552378086181565</v>
      </c>
      <c r="C5954" t="s">
        <v>40</v>
      </c>
      <c r="D5954">
        <v>6.0344870000000004</v>
      </c>
      <c r="E5954">
        <v>0.40227659999999998</v>
      </c>
      <c r="F5954" t="s">
        <v>97</v>
      </c>
      <c r="G5954">
        <v>-367.94060000000002</v>
      </c>
      <c r="H5954" s="1">
        <v>-1.4095959999999999E-6</v>
      </c>
      <c r="I5954">
        <v>17.292479999999902</v>
      </c>
      <c r="J5954">
        <v>-404.23239999999998</v>
      </c>
      <c r="K5954">
        <v>1.112312</v>
      </c>
      <c r="L5954">
        <v>17.890229999999999</v>
      </c>
      <c r="M5954">
        <v>0.964754</v>
      </c>
      <c r="N5954">
        <v>0</v>
      </c>
      <c r="O5954">
        <v>-0.262799</v>
      </c>
      <c r="P5954">
        <v>0.96356600000000003</v>
      </c>
      <c r="Q5954">
        <v>-1.0577349999999999E-2</v>
      </c>
      <c r="R5954">
        <v>-0.26726119999999998</v>
      </c>
      <c r="S5954">
        <v>3.0994869999999999</v>
      </c>
      <c r="T5954">
        <v>-9.474921E-2</v>
      </c>
      <c r="U5954">
        <v>-5.2886959999999997E-2</v>
      </c>
      <c r="V5954">
        <v>4.599817E-3</v>
      </c>
      <c r="W5954">
        <v>3.1035540000000001E-3</v>
      </c>
      <c r="X5954">
        <v>0.9999846</v>
      </c>
      <c r="Y5954">
        <v>-0.24608920000000001</v>
      </c>
      <c r="Z5954">
        <v>1.171575E-2</v>
      </c>
      <c r="AA5954">
        <v>0.96917640000000005</v>
      </c>
      <c r="AB5954">
        <v>19</v>
      </c>
      <c r="AC5954">
        <v>36.291799999999903</v>
      </c>
      <c r="AD5954">
        <v>-1.1123134095959999</v>
      </c>
      <c r="AE5954">
        <v>-0.597750000000001</v>
      </c>
      <c r="AF5954">
        <v>-8.9531942342134592</v>
      </c>
      <c r="AG5954">
        <v>-1.1123134095959999</v>
      </c>
      <c r="AH5954">
        <v>35.140025105940701</v>
      </c>
      <c r="AI5954">
        <v>91.756927768269193</v>
      </c>
      <c r="AJ5954">
        <v>104.29405051125801</v>
      </c>
      <c r="AK5954">
        <v>36.279722884317401</v>
      </c>
      <c r="AL5954">
        <v>89.822179168009399</v>
      </c>
      <c r="AM5954">
        <v>89.736447699454502</v>
      </c>
      <c r="AN5954">
        <v>0.99999999530051198</v>
      </c>
    </row>
    <row r="5955" spans="1:40" x14ac:dyDescent="0.25">
      <c r="A5955" t="str">
        <f>"20190312160806201"</f>
        <v>20190312160806201</v>
      </c>
      <c r="B5955" t="str">
        <f>"1552378086191325"</f>
        <v>1552378086191325</v>
      </c>
      <c r="C5955" t="s">
        <v>40</v>
      </c>
      <c r="D5955">
        <v>6.1138409999999999</v>
      </c>
      <c r="E5955">
        <v>0.40228849999999999</v>
      </c>
      <c r="F5955" t="s">
        <v>97</v>
      </c>
      <c r="G5955">
        <v>-366.93090000000001</v>
      </c>
      <c r="H5955" s="1">
        <v>-1.8581329999999999E-6</v>
      </c>
      <c r="I5955">
        <v>17.322410000000001</v>
      </c>
      <c r="J5955">
        <v>-404.14789999999999</v>
      </c>
      <c r="K5955">
        <v>1.1122989999999999</v>
      </c>
      <c r="L5955">
        <v>17.869959999999999</v>
      </c>
      <c r="M5955">
        <v>0.96534920000000002</v>
      </c>
      <c r="N5955">
        <v>0</v>
      </c>
      <c r="O5955">
        <v>-0.26060450000000002</v>
      </c>
      <c r="P5955">
        <v>0.96404080000000003</v>
      </c>
      <c r="Q5955">
        <v>-1.068584E-2</v>
      </c>
      <c r="R5955">
        <v>-0.26553969999999999</v>
      </c>
      <c r="S5955">
        <v>3.0993650000000001</v>
      </c>
      <c r="T5955">
        <v>-9.2421530000000002E-2</v>
      </c>
      <c r="U5955">
        <v>-4.7180180000000002E-2</v>
      </c>
      <c r="V5955">
        <v>5.0883639999999997E-3</v>
      </c>
      <c r="W5955">
        <v>2.9938809999999999E-3</v>
      </c>
      <c r="X5955">
        <v>0.99998260000000005</v>
      </c>
      <c r="Y5955">
        <v>-0.24568110000000001</v>
      </c>
      <c r="Z5955">
        <v>1.135949E-2</v>
      </c>
      <c r="AA5955">
        <v>0.96928409999999998</v>
      </c>
      <c r="AB5955">
        <v>19</v>
      </c>
      <c r="AC5955">
        <v>37.216999999999899</v>
      </c>
      <c r="AD5955">
        <v>-1.1123008581329901</v>
      </c>
      <c r="AE5955">
        <v>-0.54754999999999698</v>
      </c>
      <c r="AF5955">
        <v>-9.16301179842098</v>
      </c>
      <c r="AG5955">
        <v>-1.1123008581329901</v>
      </c>
      <c r="AH5955">
        <v>36.0412680002133</v>
      </c>
      <c r="AI5955">
        <v>91.713226371564105</v>
      </c>
      <c r="AJ5955">
        <v>104.26447879203</v>
      </c>
      <c r="AK5955">
        <v>37.204448624864803</v>
      </c>
      <c r="AL5955">
        <v>89.828463002801598</v>
      </c>
      <c r="AM5955">
        <v>89.708455661496998</v>
      </c>
      <c r="AN5955">
        <v>1.0000000275371901</v>
      </c>
    </row>
    <row r="5956" spans="1:40" x14ac:dyDescent="0.25">
      <c r="A5956" t="str">
        <f>"20190312160806221"</f>
        <v>20190312160806221</v>
      </c>
      <c r="B5956" t="str">
        <f>"1552378086211820"</f>
        <v>1552378086211820</v>
      </c>
      <c r="C5956" t="s">
        <v>40</v>
      </c>
      <c r="D5956">
        <v>6.1225500000000004</v>
      </c>
      <c r="E5956">
        <v>0.40299829999999998</v>
      </c>
      <c r="F5956" t="s">
        <v>97</v>
      </c>
      <c r="G5956">
        <v>-365.76870000000002</v>
      </c>
      <c r="H5956" s="1">
        <v>-2.402214E-6</v>
      </c>
      <c r="I5956">
        <v>17.352250000000002</v>
      </c>
      <c r="J5956">
        <v>-403.98509999999999</v>
      </c>
      <c r="K5956">
        <v>1.112277</v>
      </c>
      <c r="L5956">
        <v>17.831389999999999</v>
      </c>
      <c r="M5956">
        <v>0.96647499999999997</v>
      </c>
      <c r="N5956">
        <v>0</v>
      </c>
      <c r="O5956">
        <v>-0.25639820000000002</v>
      </c>
      <c r="P5956">
        <v>0.96493139999999999</v>
      </c>
      <c r="Q5956">
        <v>-1.038334E-2</v>
      </c>
      <c r="R5956">
        <v>-0.26229629999999998</v>
      </c>
      <c r="S5956">
        <v>3.0993650000000001</v>
      </c>
      <c r="T5956">
        <v>-8.9825390000000005E-2</v>
      </c>
      <c r="U5956">
        <v>-4.1809079999999998E-2</v>
      </c>
      <c r="V5956">
        <v>6.0778869999999997E-3</v>
      </c>
      <c r="W5956">
        <v>3.2938109999999998E-3</v>
      </c>
      <c r="X5956">
        <v>0.99997610000000003</v>
      </c>
      <c r="Y5956">
        <v>-0.2431537</v>
      </c>
      <c r="Z5956">
        <v>1.088594E-2</v>
      </c>
      <c r="AA5956">
        <v>0.96992670000000003</v>
      </c>
      <c r="AB5956">
        <v>19</v>
      </c>
      <c r="AC5956">
        <v>38.216399999999901</v>
      </c>
      <c r="AD5956">
        <v>-1.1122794022139999</v>
      </c>
      <c r="AE5956">
        <v>-0.47913999999999701</v>
      </c>
      <c r="AF5956">
        <v>-9.3285070207617196</v>
      </c>
      <c r="AG5956">
        <v>-1.1122794022139999</v>
      </c>
      <c r="AH5956">
        <v>37.030130567523003</v>
      </c>
      <c r="AI5956">
        <v>91.668389786807893</v>
      </c>
      <c r="AJ5956">
        <v>104.139553802064</v>
      </c>
      <c r="AK5956">
        <v>38.203256125005701</v>
      </c>
      <c r="AL5956">
        <v>89.811278189039598</v>
      </c>
      <c r="AM5956">
        <v>89.651758691729299</v>
      </c>
      <c r="AN5956">
        <v>0.99999999523624905</v>
      </c>
    </row>
    <row r="5957" spans="1:40" x14ac:dyDescent="0.25">
      <c r="A5957" t="str">
        <f>"20190312160806235"</f>
        <v>20190312160806235</v>
      </c>
      <c r="B5957" t="str">
        <f>"1552378086231342"</f>
        <v>1552378086231342</v>
      </c>
      <c r="C5957" t="s">
        <v>40</v>
      </c>
      <c r="D5957">
        <v>6.0015850000000004</v>
      </c>
      <c r="E5957">
        <v>0.40348709999999999</v>
      </c>
      <c r="F5957" t="s">
        <v>97</v>
      </c>
      <c r="G5957">
        <v>-365.87709999999998</v>
      </c>
      <c r="H5957" s="1">
        <v>-2.345952E-6</v>
      </c>
      <c r="I5957">
        <v>17.380559999999999</v>
      </c>
      <c r="J5957">
        <v>-403.87180000000001</v>
      </c>
      <c r="K5957">
        <v>1.1122650000000001</v>
      </c>
      <c r="L5957">
        <v>17.804870000000001</v>
      </c>
      <c r="M5957">
        <v>0.96724319999999997</v>
      </c>
      <c r="N5957">
        <v>0</v>
      </c>
      <c r="O5957">
        <v>-0.25348559999999998</v>
      </c>
      <c r="P5957">
        <v>0.96563739999999998</v>
      </c>
      <c r="Q5957">
        <v>-1.029008E-2</v>
      </c>
      <c r="R5957">
        <v>-0.25968910000000001</v>
      </c>
      <c r="S5957">
        <v>3.0980530000000002</v>
      </c>
      <c r="T5957">
        <v>-9.0424539999999998E-2</v>
      </c>
      <c r="U5957">
        <v>-3.6651610000000001E-2</v>
      </c>
      <c r="V5957">
        <v>6.3887850000000001E-3</v>
      </c>
      <c r="W5957">
        <v>3.3839320000000001E-3</v>
      </c>
      <c r="X5957">
        <v>0.99997389999999997</v>
      </c>
      <c r="Y5957">
        <v>-0.2418392</v>
      </c>
      <c r="Z5957">
        <v>1.086175E-2</v>
      </c>
      <c r="AA5957">
        <v>0.9702556</v>
      </c>
      <c r="AB5957">
        <v>19</v>
      </c>
      <c r="AC5957">
        <v>37.994700000000002</v>
      </c>
      <c r="AD5957">
        <v>-1.1122673459520001</v>
      </c>
      <c r="AE5957">
        <v>-0.42431000000000202</v>
      </c>
      <c r="AF5957">
        <v>-9.2136593935586895</v>
      </c>
      <c r="AG5957">
        <v>-1.1122673459520001</v>
      </c>
      <c r="AH5957">
        <v>36.829534981357099</v>
      </c>
      <c r="AI5957">
        <v>91.678145008023293</v>
      </c>
      <c r="AJ5957">
        <v>104.045431841283</v>
      </c>
      <c r="AK5957">
        <v>37.980828124362802</v>
      </c>
      <c r="AL5957">
        <v>89.806114614825802</v>
      </c>
      <c r="AM5957">
        <v>89.633945009694202</v>
      </c>
      <c r="AN5957">
        <v>1.0000000341253801</v>
      </c>
    </row>
    <row r="5958" spans="1:40" x14ac:dyDescent="0.25">
      <c r="A5958" t="str">
        <f>"20190312160806249"</f>
        <v>20190312160806249</v>
      </c>
      <c r="B5958" t="str">
        <f>"1552378086241101"</f>
        <v>1552378086241101</v>
      </c>
      <c r="C5958" t="s">
        <v>40</v>
      </c>
      <c r="D5958">
        <v>6.1115690000000003</v>
      </c>
      <c r="E5958">
        <v>0.40369909999999998</v>
      </c>
      <c r="F5958" t="s">
        <v>97</v>
      </c>
      <c r="G5958">
        <v>-366.38990000000001</v>
      </c>
      <c r="H5958" s="1">
        <v>-2.0969479999999998E-6</v>
      </c>
      <c r="I5958">
        <v>17.417819999999999</v>
      </c>
      <c r="J5958">
        <v>-403.75259999999997</v>
      </c>
      <c r="K5958">
        <v>1.112252</v>
      </c>
      <c r="L5958">
        <v>17.777470000000001</v>
      </c>
      <c r="M5958">
        <v>0.96803629999999996</v>
      </c>
      <c r="N5958">
        <v>0</v>
      </c>
      <c r="O5958">
        <v>-0.25043939999999998</v>
      </c>
      <c r="P5958">
        <v>0.9663117</v>
      </c>
      <c r="Q5958">
        <v>-1.051757E-2</v>
      </c>
      <c r="R5958">
        <v>-0.25715939999999998</v>
      </c>
      <c r="S5958">
        <v>3.0971679999999999</v>
      </c>
      <c r="T5958">
        <v>-9.1907619999999995E-2</v>
      </c>
      <c r="U5958">
        <v>-3.1982419999999998E-2</v>
      </c>
      <c r="V5958">
        <v>6.9200279999999999E-3</v>
      </c>
      <c r="W5958">
        <v>3.1540980000000001E-3</v>
      </c>
      <c r="X5958">
        <v>0.9999711</v>
      </c>
      <c r="Y5958">
        <v>-0.2402386</v>
      </c>
      <c r="Z5958">
        <v>1.0931629999999999E-2</v>
      </c>
      <c r="AA5958">
        <v>0.97065230000000002</v>
      </c>
      <c r="AB5958">
        <v>19</v>
      </c>
      <c r="AC5958">
        <v>37.362699999999897</v>
      </c>
      <c r="AD5958">
        <v>-1.1122540969479999</v>
      </c>
      <c r="AE5958">
        <v>-0.35964999999999803</v>
      </c>
      <c r="AF5958">
        <v>-9.0017984412912195</v>
      </c>
      <c r="AG5958">
        <v>-1.1122540969479999</v>
      </c>
      <c r="AH5958">
        <v>36.229785959529401</v>
      </c>
      <c r="AI5958">
        <v>91.706571478270703</v>
      </c>
      <c r="AJ5958">
        <v>103.95338544867199</v>
      </c>
      <c r="AK5958">
        <v>37.347916608923803</v>
      </c>
      <c r="AL5958">
        <v>89.819283200038996</v>
      </c>
      <c r="AM5958">
        <v>89.603506471860499</v>
      </c>
      <c r="AN5958">
        <v>1.0000000179784601</v>
      </c>
    </row>
    <row r="5959" spans="1:40" x14ac:dyDescent="0.25">
      <c r="A5959" t="str">
        <f>"20190312160806266"</f>
        <v>20190312160806266</v>
      </c>
      <c r="B5959" t="str">
        <f>"1552378086261597"</f>
        <v>1552378086261597</v>
      </c>
      <c r="C5959" t="s">
        <v>40</v>
      </c>
      <c r="D5959">
        <v>6.1024900000000004</v>
      </c>
      <c r="E5959">
        <v>0.40426329999999999</v>
      </c>
      <c r="F5959" t="s">
        <v>97</v>
      </c>
      <c r="G5959">
        <v>-366.86750000000001</v>
      </c>
      <c r="H5959" s="1">
        <v>-1.861035E-6</v>
      </c>
      <c r="I5959">
        <v>17.47505</v>
      </c>
      <c r="J5959">
        <v>-403.62860000000001</v>
      </c>
      <c r="K5959">
        <v>1.112236</v>
      </c>
      <c r="L5959">
        <v>17.749359999999999</v>
      </c>
      <c r="M5959">
        <v>0.96884789999999998</v>
      </c>
      <c r="N5959">
        <v>0</v>
      </c>
      <c r="O5959">
        <v>-0.24728159999999999</v>
      </c>
      <c r="P5959">
        <v>0.96687350000000005</v>
      </c>
      <c r="Q5959">
        <v>-1.089189E-2</v>
      </c>
      <c r="R5959">
        <v>-0.25502350000000001</v>
      </c>
      <c r="S5959">
        <v>3.0968019999999998</v>
      </c>
      <c r="T5959">
        <v>-9.3382599999999996E-2</v>
      </c>
      <c r="U5959">
        <v>-2.5390630000000001E-2</v>
      </c>
      <c r="V5959">
        <v>7.974175E-3</v>
      </c>
      <c r="W5959">
        <v>2.7807359999999998E-3</v>
      </c>
      <c r="X5959">
        <v>0.99996439999999998</v>
      </c>
      <c r="Y5959">
        <v>-0.23913300000000001</v>
      </c>
      <c r="Z5959">
        <v>1.0999409999999999E-2</v>
      </c>
      <c r="AA5959">
        <v>0.97092449999999997</v>
      </c>
      <c r="AB5959">
        <v>19</v>
      </c>
      <c r="AC5959">
        <v>36.761099999999999</v>
      </c>
      <c r="AD5959">
        <v>-1.1122378610349899</v>
      </c>
      <c r="AE5959">
        <v>-0.274309999999999</v>
      </c>
      <c r="AF5959">
        <v>-8.8173267334786001</v>
      </c>
      <c r="AG5959">
        <v>-1.1122378610349899</v>
      </c>
      <c r="AH5959">
        <v>35.654420698138701</v>
      </c>
      <c r="AI5959">
        <v>91.734540207633302</v>
      </c>
      <c r="AJ5959">
        <v>103.890535115389</v>
      </c>
      <c r="AK5959">
        <v>36.745340372682598</v>
      </c>
      <c r="AL5959">
        <v>89.840675367587195</v>
      </c>
      <c r="AM5959">
        <v>89.543106846411604</v>
      </c>
      <c r="AN5959">
        <v>1.00000006061349</v>
      </c>
    </row>
    <row r="5960" spans="1:40" x14ac:dyDescent="0.25">
      <c r="A5960" t="str">
        <f>"20190312160806289"</f>
        <v>20190312160806289</v>
      </c>
      <c r="B5960" t="str">
        <f>"1552378086281117"</f>
        <v>1552378086281117</v>
      </c>
      <c r="C5960" t="s">
        <v>40</v>
      </c>
      <c r="D5960">
        <v>6.1223710000000002</v>
      </c>
      <c r="E5960">
        <v>0.40466780000000002</v>
      </c>
      <c r="F5960" t="s">
        <v>97</v>
      </c>
      <c r="G5960">
        <v>-368.68009999999998</v>
      </c>
      <c r="H5960" s="1">
        <v>-1.0720700000000001E-6</v>
      </c>
      <c r="I5960">
        <v>17.49372</v>
      </c>
      <c r="J5960">
        <v>-403.43950000000001</v>
      </c>
      <c r="K5960">
        <v>1.112217</v>
      </c>
      <c r="L5960">
        <v>17.70721</v>
      </c>
      <c r="M5960">
        <v>0.97005830000000004</v>
      </c>
      <c r="N5960">
        <v>0</v>
      </c>
      <c r="O5960">
        <v>-0.24249029999999999</v>
      </c>
      <c r="P5960">
        <v>0.96802259999999996</v>
      </c>
      <c r="Q5960">
        <v>-1.0749E-2</v>
      </c>
      <c r="R5960">
        <v>-0.25063299999999999</v>
      </c>
      <c r="S5960">
        <v>3.0957340000000002</v>
      </c>
      <c r="T5960">
        <v>-9.8521830000000005E-2</v>
      </c>
      <c r="U5960">
        <v>-2.2644040000000001E-2</v>
      </c>
      <c r="V5960">
        <v>8.3768379999999993E-3</v>
      </c>
      <c r="W5960">
        <v>2.9185420000000001E-3</v>
      </c>
      <c r="X5960">
        <v>0.99996070000000004</v>
      </c>
      <c r="Y5960">
        <v>-0.2351704</v>
      </c>
      <c r="Z5960">
        <v>1.13969E-2</v>
      </c>
      <c r="AA5960">
        <v>0.97188739999999996</v>
      </c>
      <c r="AB5960">
        <v>19</v>
      </c>
      <c r="AC5960">
        <v>34.759399999999999</v>
      </c>
      <c r="AD5960">
        <v>-1.1122180720699999</v>
      </c>
      <c r="AE5960">
        <v>-0.21349000000000001</v>
      </c>
      <c r="AF5960">
        <v>-8.2140719957150594</v>
      </c>
      <c r="AG5960">
        <v>-1.1122180720699999</v>
      </c>
      <c r="AH5960">
        <v>33.739001523079303</v>
      </c>
      <c r="AI5960">
        <v>91.834543758609598</v>
      </c>
      <c r="AJ5960">
        <v>103.68299144617799</v>
      </c>
      <c r="AK5960">
        <v>34.742311833914798</v>
      </c>
      <c r="AL5960">
        <v>89.832779631269403</v>
      </c>
      <c r="AM5960">
        <v>89.520034901147895</v>
      </c>
      <c r="AN5960">
        <v>1.0000000454233799</v>
      </c>
    </row>
    <row r="5961" spans="1:40" x14ac:dyDescent="0.25">
      <c r="A5961" t="str">
        <f>"20190312160806302"</f>
        <v>20190312160806302</v>
      </c>
      <c r="B5961" t="str">
        <f>"1552378086291853"</f>
        <v>1552378086291853</v>
      </c>
      <c r="C5961" t="s">
        <v>40</v>
      </c>
      <c r="D5961">
        <v>6.1085500000000001</v>
      </c>
      <c r="E5961">
        <v>0.40490359999999997</v>
      </c>
      <c r="F5961" t="s">
        <v>97</v>
      </c>
      <c r="G5961">
        <v>-369.03179999999998</v>
      </c>
      <c r="H5961" s="1">
        <v>-9.1450480000000004E-7</v>
      </c>
      <c r="I5961">
        <v>17.578299999999999</v>
      </c>
      <c r="J5961">
        <v>-403.33240000000001</v>
      </c>
      <c r="K5961">
        <v>1.1122080000000001</v>
      </c>
      <c r="L5961">
        <v>17.683779999999999</v>
      </c>
      <c r="M5961">
        <v>0.97072910000000001</v>
      </c>
      <c r="N5961">
        <v>0</v>
      </c>
      <c r="O5961">
        <v>-0.23979059999999999</v>
      </c>
      <c r="P5961">
        <v>0.96864099999999997</v>
      </c>
      <c r="Q5961">
        <v>-1.089004E-2</v>
      </c>
      <c r="R5961">
        <v>-0.248226</v>
      </c>
      <c r="S5961">
        <v>3.0950009999999999</v>
      </c>
      <c r="T5961">
        <v>-0.1000448</v>
      </c>
      <c r="U5961">
        <v>-1.159668E-2</v>
      </c>
      <c r="V5961">
        <v>8.6746289999999997E-3</v>
      </c>
      <c r="W5961">
        <v>2.7745370000000001E-3</v>
      </c>
      <c r="X5961">
        <v>0.99995849999999997</v>
      </c>
      <c r="Y5961">
        <v>-0.2359271</v>
      </c>
      <c r="Z5961">
        <v>1.1503680000000001E-2</v>
      </c>
      <c r="AA5961">
        <v>0.97170259999999997</v>
      </c>
      <c r="AB5961">
        <v>19</v>
      </c>
      <c r="AC5961">
        <v>34.300600000000003</v>
      </c>
      <c r="AD5961">
        <v>-1.1122089145048</v>
      </c>
      <c r="AE5961">
        <v>-0.10548</v>
      </c>
      <c r="AF5961">
        <v>-8.11479051483572</v>
      </c>
      <c r="AG5961">
        <v>-1.1122089145048</v>
      </c>
      <c r="AH5961">
        <v>33.289973569185399</v>
      </c>
      <c r="AI5961">
        <v>91.859127404704694</v>
      </c>
      <c r="AJ5961">
        <v>103.699300976004</v>
      </c>
      <c r="AK5961">
        <v>34.282782471763198</v>
      </c>
      <c r="AL5961">
        <v>89.841030531780902</v>
      </c>
      <c r="AM5961">
        <v>89.502972210051297</v>
      </c>
      <c r="AN5961">
        <v>0.99999997448305</v>
      </c>
    </row>
    <row r="5962" spans="1:40" x14ac:dyDescent="0.25">
      <c r="A5962" t="str">
        <f>"20190312160806315"</f>
        <v>20190312160806315</v>
      </c>
      <c r="B5962" t="str">
        <f>"1552378086311374"</f>
        <v>1552378086311374</v>
      </c>
      <c r="C5962" t="s">
        <v>40</v>
      </c>
      <c r="D5962">
        <v>6.0978190000000003</v>
      </c>
      <c r="E5962">
        <v>0.4054352</v>
      </c>
      <c r="F5962" t="s">
        <v>97</v>
      </c>
      <c r="G5962">
        <v>-369.54880000000003</v>
      </c>
      <c r="H5962" s="1">
        <v>-7.0422569999999896E-7</v>
      </c>
      <c r="I5962">
        <v>17.62247</v>
      </c>
      <c r="J5962">
        <v>-403.23259999999999</v>
      </c>
      <c r="K5962">
        <v>1.112196</v>
      </c>
      <c r="L5962">
        <v>17.662109999999998</v>
      </c>
      <c r="M5962">
        <v>0.97134549999999997</v>
      </c>
      <c r="N5962">
        <v>0</v>
      </c>
      <c r="O5962">
        <v>-0.2372812</v>
      </c>
      <c r="P5962">
        <v>0.96920680000000003</v>
      </c>
      <c r="Q5962">
        <v>-1.107906E-2</v>
      </c>
      <c r="R5962">
        <v>-0.245999</v>
      </c>
      <c r="S5962">
        <v>3.0945740000000002</v>
      </c>
      <c r="T5962">
        <v>-0.101878</v>
      </c>
      <c r="U5962">
        <v>-5.6152340000000002E-3</v>
      </c>
      <c r="V5962">
        <v>8.9619090000000005E-3</v>
      </c>
      <c r="W5962">
        <v>2.5833259999999999E-3</v>
      </c>
      <c r="X5962">
        <v>0.99995650000000003</v>
      </c>
      <c r="Y5962">
        <v>-0.235286</v>
      </c>
      <c r="Z5962">
        <v>1.1625170000000001E-2</v>
      </c>
      <c r="AA5962">
        <v>0.97185670000000002</v>
      </c>
      <c r="AB5962">
        <v>19</v>
      </c>
      <c r="AC5962">
        <v>33.683799999999898</v>
      </c>
      <c r="AD5962">
        <v>-1.1121967042256999</v>
      </c>
      <c r="AE5962">
        <v>-3.9640000000002097E-2</v>
      </c>
      <c r="AF5962">
        <v>-7.9461032672188496</v>
      </c>
      <c r="AG5962">
        <v>-1.1121967042256999</v>
      </c>
      <c r="AH5962">
        <v>32.695404471423501</v>
      </c>
      <c r="AI5962">
        <v>91.893206485881294</v>
      </c>
      <c r="AJ5962">
        <v>103.660001345197</v>
      </c>
      <c r="AK5962">
        <v>33.665516663080901</v>
      </c>
      <c r="AL5962">
        <v>89.851986157817606</v>
      </c>
      <c r="AM5962">
        <v>89.486511848561406</v>
      </c>
      <c r="AN5962">
        <v>0.99999999563919795</v>
      </c>
    </row>
    <row r="5963" spans="1:40" x14ac:dyDescent="0.25">
      <c r="A5963" t="str">
        <f>"20190312160806333"</f>
        <v>20190312160806333</v>
      </c>
      <c r="B5963" t="str">
        <f>"1552378086321134"</f>
        <v>1552378086321134</v>
      </c>
      <c r="C5963" t="s">
        <v>40</v>
      </c>
      <c r="D5963">
        <v>6.0772769999999996</v>
      </c>
      <c r="E5963">
        <v>0.40576109999999999</v>
      </c>
      <c r="F5963" t="s">
        <v>98</v>
      </c>
      <c r="G5963">
        <v>-370.6773</v>
      </c>
      <c r="H5963" s="1">
        <v>-4.738569E-6</v>
      </c>
      <c r="I5963">
        <v>17.636420000000001</v>
      </c>
      <c r="J5963">
        <v>-403.08100000000002</v>
      </c>
      <c r="K5963">
        <v>1.112171</v>
      </c>
      <c r="L5963">
        <v>17.629819999999999</v>
      </c>
      <c r="M5963">
        <v>0.97226270000000004</v>
      </c>
      <c r="N5963">
        <v>0</v>
      </c>
      <c r="O5963">
        <v>-0.23349529999999999</v>
      </c>
      <c r="P5963">
        <v>0.96995039999999999</v>
      </c>
      <c r="Q5963">
        <v>-1.1100230000000001E-2</v>
      </c>
      <c r="R5963">
        <v>-0.24304980000000001</v>
      </c>
      <c r="S5963">
        <v>3.0934750000000002</v>
      </c>
      <c r="T5963">
        <v>-0.1056839</v>
      </c>
      <c r="U5963">
        <v>-2.4414060000000001E-3</v>
      </c>
      <c r="V5963">
        <v>9.8164849999999998E-3</v>
      </c>
      <c r="W5963">
        <v>2.560915E-3</v>
      </c>
      <c r="X5963">
        <v>0.99994859999999997</v>
      </c>
      <c r="Y5963">
        <v>-0.23247950000000001</v>
      </c>
      <c r="Z5963">
        <v>1.188933E-2</v>
      </c>
      <c r="AA5963">
        <v>0.97252859999999997</v>
      </c>
      <c r="AB5963">
        <v>19</v>
      </c>
      <c r="AC5963">
        <v>32.403699999999901</v>
      </c>
      <c r="AD5963">
        <v>-1.1121757385690001</v>
      </c>
      <c r="AE5963">
        <v>6.5999999999988204E-3</v>
      </c>
      <c r="AF5963">
        <v>-7.5643188306424403</v>
      </c>
      <c r="AG5963">
        <v>-1.1121757385690001</v>
      </c>
      <c r="AH5963">
        <v>31.469213411318702</v>
      </c>
      <c r="AI5963">
        <v>91.968076145935697</v>
      </c>
      <c r="AJ5963">
        <v>103.5158866165</v>
      </c>
      <c r="AK5963">
        <v>32.384676113436598</v>
      </c>
      <c r="AL5963">
        <v>89.853270227544897</v>
      </c>
      <c r="AM5963">
        <v>89.437545996830906</v>
      </c>
      <c r="AN5963">
        <v>1.0000000621526699</v>
      </c>
    </row>
    <row r="5964" spans="1:40" x14ac:dyDescent="0.25">
      <c r="A5964" t="str">
        <f>"20190312160806354"</f>
        <v>20190312160806354</v>
      </c>
      <c r="B5964" t="str">
        <f>"1552378086351356"</f>
        <v>1552378086351356</v>
      </c>
      <c r="C5964" t="s">
        <v>40</v>
      </c>
      <c r="D5964">
        <v>6.1365059999999998</v>
      </c>
      <c r="E5964">
        <v>0.41875410000000002</v>
      </c>
      <c r="F5964" t="s">
        <v>98</v>
      </c>
      <c r="G5964">
        <v>-370.87439999999998</v>
      </c>
      <c r="H5964" s="1">
        <v>-4.638133E-6</v>
      </c>
      <c r="I5964">
        <v>17.677489999999999</v>
      </c>
      <c r="J5964">
        <v>-402.91770000000002</v>
      </c>
      <c r="K5964">
        <v>1.112147</v>
      </c>
      <c r="L5964">
        <v>17.59564</v>
      </c>
      <c r="M5964">
        <v>0.97322699999999995</v>
      </c>
      <c r="N5964">
        <v>0</v>
      </c>
      <c r="O5964">
        <v>-0.22944290000000001</v>
      </c>
      <c r="P5964">
        <v>0.97074380000000005</v>
      </c>
      <c r="Q5964">
        <v>-1.121345E-2</v>
      </c>
      <c r="R5964">
        <v>-0.2398555</v>
      </c>
      <c r="S5964">
        <v>3.0928650000000002</v>
      </c>
      <c r="T5964">
        <v>-0.1068045</v>
      </c>
      <c r="U5964">
        <v>4.5776369999999999E-3</v>
      </c>
      <c r="V5964">
        <v>1.069144E-2</v>
      </c>
      <c r="W5964">
        <v>2.4459970000000001E-3</v>
      </c>
      <c r="X5964">
        <v>0.99993989999999999</v>
      </c>
      <c r="Y5964">
        <v>-0.23063210000000001</v>
      </c>
      <c r="Z5964">
        <v>1.184935E-2</v>
      </c>
      <c r="AA5964">
        <v>0.97296890000000003</v>
      </c>
      <c r="AB5964">
        <v>19</v>
      </c>
      <c r="AC5964">
        <v>32.043300000000002</v>
      </c>
      <c r="AD5964">
        <v>-1.1121516381330001</v>
      </c>
      <c r="AE5964">
        <v>8.1849999999999298E-2</v>
      </c>
      <c r="AF5964">
        <v>-7.4235119198042598</v>
      </c>
      <c r="AG5964">
        <v>-1.1121516381330001</v>
      </c>
      <c r="AH5964">
        <v>31.132008372578301</v>
      </c>
      <c r="AI5964">
        <v>91.990197221216704</v>
      </c>
      <c r="AJ5964">
        <v>103.41187929438701</v>
      </c>
      <c r="AK5964">
        <v>32.024168307700997</v>
      </c>
      <c r="AL5964">
        <v>89.859854561996997</v>
      </c>
      <c r="AM5964">
        <v>89.387412136247704</v>
      </c>
      <c r="AN5964">
        <v>1.0000000467012999</v>
      </c>
    </row>
    <row r="5965" spans="1:40" x14ac:dyDescent="0.25">
      <c r="A5965" t="str">
        <f>"20190312160806365"</f>
        <v>20190312160806365</v>
      </c>
      <c r="B5965" t="str">
        <f>"1552378086361116"</f>
        <v>1552378086361116</v>
      </c>
      <c r="C5965" t="s">
        <v>40</v>
      </c>
      <c r="D5965">
        <v>6.1013349999999997</v>
      </c>
      <c r="E5965">
        <v>0.41830509999999899</v>
      </c>
      <c r="F5965" t="s">
        <v>99</v>
      </c>
      <c r="G5965">
        <v>-385.78379999999999</v>
      </c>
      <c r="H5965" s="1">
        <v>-2.432284E-6</v>
      </c>
      <c r="I5965">
        <v>17.142469999999999</v>
      </c>
      <c r="J5965">
        <v>-402.82799999999997</v>
      </c>
      <c r="K5965">
        <v>1.1121319999999999</v>
      </c>
      <c r="L5965">
        <v>17.577269999999999</v>
      </c>
      <c r="M5965">
        <v>0.9737441</v>
      </c>
      <c r="N5965">
        <v>0</v>
      </c>
      <c r="O5965">
        <v>-0.22723930000000001</v>
      </c>
      <c r="P5965">
        <v>0.97121619999999997</v>
      </c>
      <c r="Q5965">
        <v>-1.1123910000000001E-2</v>
      </c>
      <c r="R5965">
        <v>-0.23794009999999999</v>
      </c>
      <c r="S5965">
        <v>3.0680540000000001</v>
      </c>
      <c r="T5965">
        <v>-0.19914570000000001</v>
      </c>
      <c r="U5965">
        <v>-8.1146239999999994E-2</v>
      </c>
      <c r="V5965">
        <v>1.098174E-2</v>
      </c>
      <c r="W5965">
        <v>2.5337350000000001E-3</v>
      </c>
      <c r="X5965">
        <v>0.99993650000000001</v>
      </c>
      <c r="Y5965">
        <v>-0.2005412</v>
      </c>
      <c r="Z5965">
        <v>2.112501E-2</v>
      </c>
      <c r="AA5965">
        <v>0.97945749999999998</v>
      </c>
      <c r="AB5965">
        <v>19</v>
      </c>
      <c r="AC5965">
        <v>17.0442</v>
      </c>
      <c r="AD5965">
        <v>-1.1121344322840001</v>
      </c>
      <c r="AE5965">
        <v>-0.43480000000000202</v>
      </c>
      <c r="AF5965">
        <v>-3.4354297629723498</v>
      </c>
      <c r="AG5965">
        <v>-1.1121344322840001</v>
      </c>
      <c r="AH5965">
        <v>16.6262936185081</v>
      </c>
      <c r="AI5965">
        <v>93.747881928229603</v>
      </c>
      <c r="AJ5965">
        <v>101.674520470883</v>
      </c>
      <c r="AK5965">
        <v>17.013896089392102</v>
      </c>
      <c r="AL5965">
        <v>89.854827524395304</v>
      </c>
      <c r="AM5965">
        <v>89.370777985919005</v>
      </c>
      <c r="AN5965">
        <v>1.0000000112293601</v>
      </c>
    </row>
    <row r="5966" spans="1:40" x14ac:dyDescent="0.25">
      <c r="A5966" t="str">
        <f>"20190312160806388"</f>
        <v>20190312160806388</v>
      </c>
      <c r="B5966" t="str">
        <f>"1552378086381612"</f>
        <v>1552378086381612</v>
      </c>
      <c r="C5966" t="s">
        <v>40</v>
      </c>
      <c r="D5966">
        <v>6.0957369999999997</v>
      </c>
      <c r="E5966">
        <v>0.41895179999999999</v>
      </c>
      <c r="F5966" t="s">
        <v>99</v>
      </c>
      <c r="G5966">
        <v>-384.67230000000001</v>
      </c>
      <c r="H5966" s="1">
        <v>-2.9563270000000001E-6</v>
      </c>
      <c r="I5966">
        <v>17.150129999999901</v>
      </c>
      <c r="J5966">
        <v>-402.63929999999999</v>
      </c>
      <c r="K5966">
        <v>1.112098</v>
      </c>
      <c r="L5966">
        <v>17.539059999999999</v>
      </c>
      <c r="M5966">
        <v>0.97480739999999999</v>
      </c>
      <c r="N5966">
        <v>0</v>
      </c>
      <c r="O5966">
        <v>-0.222634</v>
      </c>
      <c r="P5966">
        <v>0.9721417</v>
      </c>
      <c r="Q5966">
        <v>-1.0955370000000001E-2</v>
      </c>
      <c r="R5966">
        <v>-0.23413800000000001</v>
      </c>
      <c r="S5966">
        <v>3.069061</v>
      </c>
      <c r="T5966">
        <v>-0.1879971</v>
      </c>
      <c r="U5966">
        <v>-7.2204589999999999E-2</v>
      </c>
      <c r="V5966">
        <v>1.1794509999999999E-2</v>
      </c>
      <c r="W5966">
        <v>2.6987199999999999E-3</v>
      </c>
      <c r="X5966">
        <v>0.9999268</v>
      </c>
      <c r="Y5966">
        <v>-0.1988799</v>
      </c>
      <c r="Z5966">
        <v>1.9613329999999998E-2</v>
      </c>
      <c r="AA5966">
        <v>0.97982760000000002</v>
      </c>
      <c r="AB5966">
        <v>19</v>
      </c>
      <c r="AC5966">
        <v>17.966999999999899</v>
      </c>
      <c r="AD5966">
        <v>-1.1121009563269999</v>
      </c>
      <c r="AE5966">
        <v>-0.388930000000002</v>
      </c>
      <c r="AF5966">
        <v>-3.6074530781354999</v>
      </c>
      <c r="AG5966">
        <v>-1.1121009563269999</v>
      </c>
      <c r="AH5966">
        <v>17.535428050231701</v>
      </c>
      <c r="AI5966">
        <v>93.554608576404405</v>
      </c>
      <c r="AJ5966">
        <v>101.624913029902</v>
      </c>
      <c r="AK5966">
        <v>17.9371603982589</v>
      </c>
      <c r="AL5966">
        <v>89.845374546136199</v>
      </c>
      <c r="AM5966">
        <v>89.324206225264504</v>
      </c>
      <c r="AN5966">
        <v>0.99999999945700901</v>
      </c>
    </row>
    <row r="5967" spans="1:40" x14ac:dyDescent="0.25">
      <c r="A5967" t="str">
        <f>"20190312160806400"</f>
        <v>20190312160806400</v>
      </c>
      <c r="B5967" t="str">
        <f>"1552378086391666"</f>
        <v>1552378086391666</v>
      </c>
      <c r="C5967" t="s">
        <v>40</v>
      </c>
      <c r="D5967">
        <v>6.1178819999999998</v>
      </c>
      <c r="E5967">
        <v>0.41921019999999998</v>
      </c>
      <c r="F5967" t="s">
        <v>99</v>
      </c>
      <c r="G5967">
        <v>-383.86169999999998</v>
      </c>
      <c r="H5967" s="1">
        <v>-3.341804E-6</v>
      </c>
      <c r="I5967">
        <v>17.137309999999999</v>
      </c>
      <c r="J5967">
        <v>-402.54770000000002</v>
      </c>
      <c r="K5967">
        <v>1.11208</v>
      </c>
      <c r="L5967">
        <v>17.52084</v>
      </c>
      <c r="M5967">
        <v>0.97531100000000004</v>
      </c>
      <c r="N5967">
        <v>0</v>
      </c>
      <c r="O5967">
        <v>-0.22041749999999999</v>
      </c>
      <c r="P5967">
        <v>0.97260199999999997</v>
      </c>
      <c r="Q5967">
        <v>-1.11162E-2</v>
      </c>
      <c r="R5967">
        <v>-0.23221049999999999</v>
      </c>
      <c r="S5967">
        <v>3.0681150000000001</v>
      </c>
      <c r="T5967">
        <v>-0.18170810000000001</v>
      </c>
      <c r="U5967">
        <v>-6.5643309999999996E-2</v>
      </c>
      <c r="V5967">
        <v>1.208702E-2</v>
      </c>
      <c r="W5967">
        <v>2.5351660000000002E-3</v>
      </c>
      <c r="X5967">
        <v>0.99992369999999997</v>
      </c>
      <c r="Y5967">
        <v>-0.19879459999999999</v>
      </c>
      <c r="Z5967">
        <v>1.8834440000000001E-2</v>
      </c>
      <c r="AA5967">
        <v>0.97986019999999896</v>
      </c>
      <c r="AB5967">
        <v>19</v>
      </c>
      <c r="AC5967">
        <v>18.686</v>
      </c>
      <c r="AD5967">
        <v>-1.1120833418039999</v>
      </c>
      <c r="AE5967">
        <v>-0.38352999999999998</v>
      </c>
      <c r="AF5967">
        <v>-3.7317937703767501</v>
      </c>
      <c r="AG5967">
        <v>-1.1120833418039999</v>
      </c>
      <c r="AH5967">
        <v>18.246287891404801</v>
      </c>
      <c r="AI5967">
        <v>93.417210051289302</v>
      </c>
      <c r="AJ5967">
        <v>101.55892071582799</v>
      </c>
      <c r="AK5967">
        <v>18.657171166062799</v>
      </c>
      <c r="AL5967">
        <v>89.854745527080397</v>
      </c>
      <c r="AM5967">
        <v>89.307445652957895</v>
      </c>
      <c r="AN5967">
        <v>0.99999996447040795</v>
      </c>
    </row>
    <row r="5968" spans="1:40" x14ac:dyDescent="0.25">
      <c r="A5968" t="str">
        <f>"20190312160806412"</f>
        <v>20190312160806412</v>
      </c>
      <c r="B5968" t="str">
        <f>"1552378086401426"</f>
        <v>1552378086401426</v>
      </c>
      <c r="C5968" t="s">
        <v>40</v>
      </c>
      <c r="D5968">
        <v>6.0722829999999997</v>
      </c>
      <c r="E5968">
        <v>0.41978399999999999</v>
      </c>
      <c r="F5968" t="s">
        <v>99</v>
      </c>
      <c r="G5968">
        <v>-383.68380000000002</v>
      </c>
      <c r="H5968" s="1">
        <v>-3.4250249999999999E-6</v>
      </c>
      <c r="I5968">
        <v>17.142160000000001</v>
      </c>
      <c r="J5968">
        <v>-402.44779999999997</v>
      </c>
      <c r="K5968">
        <v>1.1120620000000001</v>
      </c>
      <c r="L5968">
        <v>17.50113</v>
      </c>
      <c r="M5968">
        <v>0.97585109999999997</v>
      </c>
      <c r="N5968">
        <v>0</v>
      </c>
      <c r="O5968">
        <v>-0.2180144</v>
      </c>
      <c r="P5968">
        <v>0.97306289999999995</v>
      </c>
      <c r="Q5968">
        <v>-1.1269029999999999E-2</v>
      </c>
      <c r="R5968">
        <v>-0.230265</v>
      </c>
      <c r="S5968">
        <v>3.0677490000000001</v>
      </c>
      <c r="T5968">
        <v>-0.18085319999999999</v>
      </c>
      <c r="U5968">
        <v>-6.1584470000000002E-2</v>
      </c>
      <c r="V5968">
        <v>1.255131E-2</v>
      </c>
      <c r="W5968">
        <v>2.380194E-3</v>
      </c>
      <c r="X5968">
        <v>0.99991839999999999</v>
      </c>
      <c r="Y5968">
        <v>-0.19768659999999999</v>
      </c>
      <c r="Z5968">
        <v>1.8577590000000001E-2</v>
      </c>
      <c r="AA5968">
        <v>0.98008919999999999</v>
      </c>
      <c r="AB5968">
        <v>18</v>
      </c>
      <c r="AC5968">
        <v>18.7639999999999</v>
      </c>
      <c r="AD5968">
        <v>-1.1120654250249999</v>
      </c>
      <c r="AE5968">
        <v>-0.35896999999999901</v>
      </c>
      <c r="AF5968">
        <v>-3.7277769361717898</v>
      </c>
      <c r="AG5968">
        <v>-1.1120654250249999</v>
      </c>
      <c r="AH5968">
        <v>18.326478698607801</v>
      </c>
      <c r="AI5968">
        <v>93.402978535811201</v>
      </c>
      <c r="AJ5968">
        <v>101.49763641961199</v>
      </c>
      <c r="AK5968">
        <v>18.734802691406099</v>
      </c>
      <c r="AL5968">
        <v>89.8636248011113</v>
      </c>
      <c r="AM5968">
        <v>89.280841992118596</v>
      </c>
      <c r="AN5968">
        <v>1.00000000368237</v>
      </c>
    </row>
    <row r="5969" spans="1:40" x14ac:dyDescent="0.25">
      <c r="A5969" t="str">
        <f>"20190312160806423"</f>
        <v>20190312160806423</v>
      </c>
      <c r="B5969" t="str">
        <f>"1552378086411186"</f>
        <v>1552378086411186</v>
      </c>
      <c r="C5969" t="s">
        <v>40</v>
      </c>
      <c r="D5969">
        <v>6.1100300000000001</v>
      </c>
      <c r="E5969">
        <v>0.42004200000000003</v>
      </c>
      <c r="F5969" t="s">
        <v>99</v>
      </c>
      <c r="G5969">
        <v>-384.11169999999998</v>
      </c>
      <c r="H5969" s="1">
        <v>-3.2222880000000001E-6</v>
      </c>
      <c r="I5969">
        <v>17.144779999999901</v>
      </c>
      <c r="J5969">
        <v>-402.35820000000001</v>
      </c>
      <c r="K5969">
        <v>1.1120509999999999</v>
      </c>
      <c r="L5969">
        <v>17.48376</v>
      </c>
      <c r="M5969">
        <v>0.97632549999999996</v>
      </c>
      <c r="N5969">
        <v>0</v>
      </c>
      <c r="O5969">
        <v>-0.21588019999999999</v>
      </c>
      <c r="P5969">
        <v>0.97345130000000002</v>
      </c>
      <c r="Q5969">
        <v>-1.1092390000000001E-2</v>
      </c>
      <c r="R5969">
        <v>-0.22862579999999999</v>
      </c>
      <c r="S5969">
        <v>3.0668329999999999</v>
      </c>
      <c r="T5969">
        <v>-0.1860001</v>
      </c>
      <c r="U5969">
        <v>-5.960083E-2</v>
      </c>
      <c r="V5969">
        <v>1.305247E-2</v>
      </c>
      <c r="W5969">
        <v>2.5556699999999999E-3</v>
      </c>
      <c r="X5969">
        <v>0.99991149999999995</v>
      </c>
      <c r="Y5969">
        <v>-0.196136</v>
      </c>
      <c r="Z5969">
        <v>1.8937590000000001E-2</v>
      </c>
      <c r="AA5969">
        <v>0.98039379999999998</v>
      </c>
      <c r="AB5969">
        <v>18</v>
      </c>
      <c r="AC5969">
        <v>18.246500000000001</v>
      </c>
      <c r="AD5969">
        <v>-1.1120542222879899</v>
      </c>
      <c r="AE5969">
        <v>-0.338980000000002</v>
      </c>
      <c r="AF5969">
        <v>-3.5950865980436002</v>
      </c>
      <c r="AG5969">
        <v>-1.1120542222879899</v>
      </c>
      <c r="AH5969">
        <v>17.823170333762398</v>
      </c>
      <c r="AI5969">
        <v>93.499959752428595</v>
      </c>
      <c r="AJ5969">
        <v>101.404031400336</v>
      </c>
      <c r="AK5969">
        <v>18.216111357450799</v>
      </c>
      <c r="AL5969">
        <v>89.853570728908693</v>
      </c>
      <c r="AM5969">
        <v>89.252124842732201</v>
      </c>
      <c r="AN5969">
        <v>0.99999995312724799</v>
      </c>
    </row>
    <row r="5970" spans="1:40" x14ac:dyDescent="0.25">
      <c r="A5970" t="str">
        <f>"20190312160806435"</f>
        <v>20190312160806435</v>
      </c>
      <c r="B5970" t="str">
        <f>"1552378086431682"</f>
        <v>1552378086431682</v>
      </c>
      <c r="C5970" t="s">
        <v>40</v>
      </c>
      <c r="D5970">
        <v>6.0876729999999997</v>
      </c>
      <c r="E5970">
        <v>0.42045709999999997</v>
      </c>
      <c r="F5970" t="s">
        <v>99</v>
      </c>
      <c r="G5970">
        <v>-383.95030000000003</v>
      </c>
      <c r="H5970" s="1">
        <v>-3.2985919999999998E-6</v>
      </c>
      <c r="I5970">
        <v>17.144659999999998</v>
      </c>
      <c r="J5970">
        <v>-402.26420000000002</v>
      </c>
      <c r="K5970">
        <v>1.112034</v>
      </c>
      <c r="L5970">
        <v>17.465610000000002</v>
      </c>
      <c r="M5970">
        <v>0.97681709999999999</v>
      </c>
      <c r="N5970">
        <v>0</v>
      </c>
      <c r="O5970">
        <v>-0.2136448</v>
      </c>
      <c r="P5970">
        <v>0.97381510000000004</v>
      </c>
      <c r="Q5970">
        <v>-1.0849019999999999E-2</v>
      </c>
      <c r="R5970">
        <v>-0.22708320000000001</v>
      </c>
      <c r="S5970">
        <v>3.0664370000000001</v>
      </c>
      <c r="T5970">
        <v>-0.18524869999999999</v>
      </c>
      <c r="U5970">
        <v>-5.6488040000000003E-2</v>
      </c>
      <c r="V5970">
        <v>1.375529E-2</v>
      </c>
      <c r="W5970">
        <v>2.7983790000000001E-3</v>
      </c>
      <c r="X5970">
        <v>0.9999015</v>
      </c>
      <c r="Y5970">
        <v>-0.19489600000000001</v>
      </c>
      <c r="Z5970">
        <v>1.869442E-2</v>
      </c>
      <c r="AA5970">
        <v>0.98064569999999995</v>
      </c>
      <c r="AB5970">
        <v>18</v>
      </c>
      <c r="AC5970">
        <v>18.313899999999901</v>
      </c>
      <c r="AD5970">
        <v>-1.112037298592</v>
      </c>
      <c r="AE5970">
        <v>-0.32094999999999901</v>
      </c>
      <c r="AF5970">
        <v>-3.5862730301166299</v>
      </c>
      <c r="AG5970">
        <v>-1.112037298592</v>
      </c>
      <c r="AH5970">
        <v>17.893600568873399</v>
      </c>
      <c r="AI5970">
        <v>93.4870295212896</v>
      </c>
      <c r="AJ5970">
        <v>101.33318504364</v>
      </c>
      <c r="AK5970">
        <v>18.283296270595901</v>
      </c>
      <c r="AL5970">
        <v>89.839664488457501</v>
      </c>
      <c r="AM5970">
        <v>89.211852014801906</v>
      </c>
      <c r="AN5970">
        <v>1.0000000243151299</v>
      </c>
    </row>
    <row r="5971" spans="1:40" x14ac:dyDescent="0.25">
      <c r="A5971" t="str">
        <f>"20190312160806447"</f>
        <v>20190312160806447</v>
      </c>
      <c r="B5971" t="str">
        <f>"1552378086441442"</f>
        <v>1552378086441442</v>
      </c>
      <c r="C5971" t="s">
        <v>40</v>
      </c>
      <c r="D5971">
        <v>6.0923489999999996</v>
      </c>
      <c r="E5971">
        <v>0.42070200000000002</v>
      </c>
      <c r="F5971" t="s">
        <v>99</v>
      </c>
      <c r="G5971">
        <v>-383.38299999999998</v>
      </c>
      <c r="H5971" s="1">
        <v>-3.5699989999999999E-6</v>
      </c>
      <c r="I5971">
        <v>17.126560000000001</v>
      </c>
      <c r="J5971">
        <v>-402.16430000000003</v>
      </c>
      <c r="K5971">
        <v>1.112015</v>
      </c>
      <c r="L5971">
        <v>17.44669</v>
      </c>
      <c r="M5971">
        <v>0.97732810000000003</v>
      </c>
      <c r="N5971">
        <v>0</v>
      </c>
      <c r="O5971">
        <v>-0.21129539999999999</v>
      </c>
      <c r="P5971">
        <v>0.9742461</v>
      </c>
      <c r="Q5971">
        <v>-1.0778650000000001E-2</v>
      </c>
      <c r="R5971">
        <v>-0.2252306</v>
      </c>
      <c r="S5971">
        <v>3.0658569999999998</v>
      </c>
      <c r="T5971">
        <v>-0.18056810000000001</v>
      </c>
      <c r="U5971">
        <v>-5.5053709999999999E-2</v>
      </c>
      <c r="V5971">
        <v>1.4257250000000001E-2</v>
      </c>
      <c r="W5971">
        <v>2.8670430000000001E-3</v>
      </c>
      <c r="X5971">
        <v>0.99989430000000001</v>
      </c>
      <c r="Y5971">
        <v>-0.1930365</v>
      </c>
      <c r="Z5971">
        <v>1.8036179999999999E-2</v>
      </c>
      <c r="AA5971">
        <v>0.98102579999999995</v>
      </c>
      <c r="AB5971">
        <v>18</v>
      </c>
      <c r="AC5971">
        <v>18.781299999999899</v>
      </c>
      <c r="AD5971">
        <v>-1.112018569999</v>
      </c>
      <c r="AE5971">
        <v>-0.32012999999999803</v>
      </c>
      <c r="AF5971">
        <v>-3.6430988335186099</v>
      </c>
      <c r="AG5971">
        <v>-1.112018569999</v>
      </c>
      <c r="AH5971">
        <v>18.3604824054724</v>
      </c>
      <c r="AI5971">
        <v>93.399814354016399</v>
      </c>
      <c r="AJ5971">
        <v>101.222896345816</v>
      </c>
      <c r="AK5971">
        <v>18.751428440853999</v>
      </c>
      <c r="AL5971">
        <v>89.835730319606199</v>
      </c>
      <c r="AM5971">
        <v>89.183088753827704</v>
      </c>
      <c r="AN5971">
        <v>1.0000000501427999</v>
      </c>
    </row>
    <row r="5972" spans="1:40" x14ac:dyDescent="0.25">
      <c r="A5972" t="str">
        <f>"20190312160806459"</f>
        <v>20190312160806459</v>
      </c>
      <c r="B5972" t="str">
        <f>"1552378086451202"</f>
        <v>1552378086451202</v>
      </c>
      <c r="C5972" t="s">
        <v>40</v>
      </c>
      <c r="D5972">
        <v>6.0959209999999997</v>
      </c>
      <c r="E5972">
        <v>0.42091109999999998</v>
      </c>
      <c r="F5972" t="s">
        <v>99</v>
      </c>
      <c r="G5972">
        <v>-383.15219999999999</v>
      </c>
      <c r="H5972" s="1">
        <v>-3.6785539999999998E-6</v>
      </c>
      <c r="I5972">
        <v>17.129479999999901</v>
      </c>
      <c r="J5972">
        <v>-402.07679999999999</v>
      </c>
      <c r="K5972">
        <v>1.111996</v>
      </c>
      <c r="L5972">
        <v>17.430209999999999</v>
      </c>
      <c r="M5972">
        <v>0.97776870000000005</v>
      </c>
      <c r="N5972">
        <v>0</v>
      </c>
      <c r="O5972">
        <v>-0.20924699999999999</v>
      </c>
      <c r="P5972">
        <v>0.97470179999999995</v>
      </c>
      <c r="Q5972">
        <v>-1.0593429999999999E-2</v>
      </c>
      <c r="R5972">
        <v>-0.22325880000000001</v>
      </c>
      <c r="S5972">
        <v>3.0655519999999998</v>
      </c>
      <c r="T5972">
        <v>-0.17930470000000001</v>
      </c>
      <c r="U5972">
        <v>-5.1147459999999999E-2</v>
      </c>
      <c r="V5972">
        <v>1.432814E-2</v>
      </c>
      <c r="W5972">
        <v>3.0487180000000002E-3</v>
      </c>
      <c r="X5972">
        <v>0.99989269999999997</v>
      </c>
      <c r="Y5972">
        <v>-0.19224279999999999</v>
      </c>
      <c r="Z5972">
        <v>1.777186E-2</v>
      </c>
      <c r="AA5972">
        <v>0.98118640000000001</v>
      </c>
      <c r="AB5972">
        <v>18</v>
      </c>
      <c r="AC5972">
        <v>18.924600000000002</v>
      </c>
      <c r="AD5972">
        <v>-1.1119996785540001</v>
      </c>
      <c r="AE5972">
        <v>-0.300730000000001</v>
      </c>
      <c r="AF5972">
        <v>-3.6535973105953898</v>
      </c>
      <c r="AG5972">
        <v>-1.1119996785540001</v>
      </c>
      <c r="AH5972">
        <v>18.5046429323369</v>
      </c>
      <c r="AI5972">
        <v>93.373959590013797</v>
      </c>
      <c r="AJ5972">
        <v>101.16894854985</v>
      </c>
      <c r="AK5972">
        <v>18.894632217811999</v>
      </c>
      <c r="AL5972">
        <v>89.825321055232493</v>
      </c>
      <c r="AM5972">
        <v>89.179026142957497</v>
      </c>
      <c r="AN5972">
        <v>1.0000000008952901</v>
      </c>
    </row>
    <row r="5973" spans="1:40" x14ac:dyDescent="0.25">
      <c r="A5973" t="str">
        <f>"20190312160806471"</f>
        <v>20190312160806471</v>
      </c>
      <c r="B5973" t="str">
        <f>"1552378086461938"</f>
        <v>1552378086461938</v>
      </c>
      <c r="C5973" t="s">
        <v>40</v>
      </c>
      <c r="D5973">
        <v>6.0907439999999999</v>
      </c>
      <c r="E5973">
        <v>0.42111080000000001</v>
      </c>
      <c r="F5973" t="s">
        <v>99</v>
      </c>
      <c r="G5973">
        <v>-383.07319999999999</v>
      </c>
      <c r="H5973" s="1">
        <v>-3.71374E-6</v>
      </c>
      <c r="I5973">
        <v>17.141870000000001</v>
      </c>
      <c r="J5973">
        <v>-401.96940000000001</v>
      </c>
      <c r="K5973">
        <v>1.111977</v>
      </c>
      <c r="L5973">
        <v>17.410250000000001</v>
      </c>
      <c r="M5973">
        <v>0.97829999999999995</v>
      </c>
      <c r="N5973">
        <v>0</v>
      </c>
      <c r="O5973">
        <v>-0.20674909999999999</v>
      </c>
      <c r="P5973">
        <v>0.97519630000000002</v>
      </c>
      <c r="Q5973">
        <v>-1.0329110000000001E-2</v>
      </c>
      <c r="R5973">
        <v>-0.2211014</v>
      </c>
      <c r="S5973">
        <v>3.065277</v>
      </c>
      <c r="T5973">
        <v>-0.17936469999999999</v>
      </c>
      <c r="U5973">
        <v>-4.6508790000000001E-2</v>
      </c>
      <c r="V5973">
        <v>1.466755E-2</v>
      </c>
      <c r="W5973">
        <v>3.3105000000000001E-3</v>
      </c>
      <c r="X5973">
        <v>0.99988690000000002</v>
      </c>
      <c r="Y5973">
        <v>-0.1912249</v>
      </c>
      <c r="Z5973">
        <v>1.760685E-2</v>
      </c>
      <c r="AA5973">
        <v>0.98138829999999999</v>
      </c>
      <c r="AB5973">
        <v>18</v>
      </c>
      <c r="AC5973">
        <v>18.8962</v>
      </c>
      <c r="AD5973">
        <v>-1.11198071374</v>
      </c>
      <c r="AE5973">
        <v>-0.26838000000000001</v>
      </c>
      <c r="AF5973">
        <v>-3.63197655977114</v>
      </c>
      <c r="AG5973">
        <v>-1.11198071374</v>
      </c>
      <c r="AH5973">
        <v>18.479364991778201</v>
      </c>
      <c r="AI5973">
        <v>93.379081928848095</v>
      </c>
      <c r="AJ5973">
        <v>101.119313477859</v>
      </c>
      <c r="AK5973">
        <v>18.865701294619701</v>
      </c>
      <c r="AL5973">
        <v>89.810321966851902</v>
      </c>
      <c r="AM5973">
        <v>89.159576509400793</v>
      </c>
      <c r="AN5973">
        <v>0.99999995461242996</v>
      </c>
    </row>
    <row r="5974" spans="1:40" x14ac:dyDescent="0.25">
      <c r="A5974" t="str">
        <f>"20190312160806490"</f>
        <v>20190312160806490</v>
      </c>
      <c r="B5974" t="str">
        <f>"1552378086481459"</f>
        <v>1552378086481459</v>
      </c>
      <c r="C5974" t="s">
        <v>40</v>
      </c>
      <c r="D5974">
        <v>6.0611189999999997</v>
      </c>
      <c r="E5974">
        <v>0.42102580000000001</v>
      </c>
      <c r="F5974" t="s">
        <v>99</v>
      </c>
      <c r="G5974">
        <v>-382.93380000000002</v>
      </c>
      <c r="H5974" s="1">
        <v>-3.777467E-6</v>
      </c>
      <c r="I5974">
        <v>17.154</v>
      </c>
      <c r="J5974">
        <v>-401.83</v>
      </c>
      <c r="K5974">
        <v>1.111953</v>
      </c>
      <c r="L5974">
        <v>17.38477</v>
      </c>
      <c r="M5974">
        <v>0.9789736</v>
      </c>
      <c r="N5974">
        <v>0</v>
      </c>
      <c r="O5974">
        <v>-0.2035363</v>
      </c>
      <c r="P5974">
        <v>0.97577860000000005</v>
      </c>
      <c r="Q5974">
        <v>-1.0037859999999999E-2</v>
      </c>
      <c r="R5974">
        <v>-0.21853040000000001</v>
      </c>
      <c r="S5974">
        <v>3.0650330000000001</v>
      </c>
      <c r="T5974">
        <v>-0.17904629999999999</v>
      </c>
      <c r="U5974">
        <v>-4.1259770000000001E-2</v>
      </c>
      <c r="V5974">
        <v>1.5312849999999999E-2</v>
      </c>
      <c r="W5974">
        <v>3.5985079999999998E-3</v>
      </c>
      <c r="X5974">
        <v>0.99987630000000005</v>
      </c>
      <c r="Y5974">
        <v>-0.189692</v>
      </c>
      <c r="Z5974">
        <v>1.7348740000000001E-2</v>
      </c>
      <c r="AA5974">
        <v>0.98169030000000002</v>
      </c>
      <c r="AB5974">
        <v>18</v>
      </c>
      <c r="AC5974">
        <v>18.896199999999901</v>
      </c>
      <c r="AD5974">
        <v>-1.1119567774670001</v>
      </c>
      <c r="AE5974">
        <v>-0.230769999999999</v>
      </c>
      <c r="AF5974">
        <v>-3.6079855339230802</v>
      </c>
      <c r="AG5974">
        <v>-1.1119567774670001</v>
      </c>
      <c r="AH5974">
        <v>18.483559116734899</v>
      </c>
      <c r="AI5974">
        <v>93.3790980773868</v>
      </c>
      <c r="AJ5974">
        <v>101.045232427361</v>
      </c>
      <c r="AK5974">
        <v>18.8652051435914</v>
      </c>
      <c r="AL5974">
        <v>89.793820239016895</v>
      </c>
      <c r="AM5974">
        <v>89.122598370994993</v>
      </c>
      <c r="AN5974">
        <v>1.00000002396831</v>
      </c>
    </row>
    <row r="5975" spans="1:40" x14ac:dyDescent="0.25">
      <c r="A5975" t="str">
        <f>"20190312160806503"</f>
        <v>20190312160806503</v>
      </c>
      <c r="B5975" t="str">
        <f>"1552378086491218"</f>
        <v>1552378086491218</v>
      </c>
      <c r="C5975" t="s">
        <v>40</v>
      </c>
      <c r="D5975">
        <v>6.0614039999999996</v>
      </c>
      <c r="E5975">
        <v>0.42083720000000002</v>
      </c>
      <c r="F5975" t="s">
        <v>99</v>
      </c>
      <c r="G5975">
        <v>-382.52159999999998</v>
      </c>
      <c r="H5975" s="1">
        <v>-3.9678490000000002E-6</v>
      </c>
      <c r="I5975">
        <v>17.179079999999999</v>
      </c>
      <c r="J5975">
        <v>-401.72230000000002</v>
      </c>
      <c r="K5975">
        <v>1.111937</v>
      </c>
      <c r="L5975">
        <v>17.365389999999898</v>
      </c>
      <c r="M5975">
        <v>0.97948219999999997</v>
      </c>
      <c r="N5975">
        <v>0</v>
      </c>
      <c r="O5975">
        <v>-0.20107430000000001</v>
      </c>
      <c r="P5975">
        <v>0.97625010000000001</v>
      </c>
      <c r="Q5975">
        <v>-1.000434E-2</v>
      </c>
      <c r="R5975">
        <v>-0.21641640000000001</v>
      </c>
      <c r="S5975">
        <v>3.0653380000000001</v>
      </c>
      <c r="T5975">
        <v>-0.17653099999999999</v>
      </c>
      <c r="U5975">
        <v>-3.2653809999999998E-2</v>
      </c>
      <c r="V5975">
        <v>1.5660940000000002E-2</v>
      </c>
      <c r="W5975">
        <v>3.6295020000000002E-3</v>
      </c>
      <c r="X5975">
        <v>0.99987079999999995</v>
      </c>
      <c r="Y5975">
        <v>-0.1900028</v>
      </c>
      <c r="Z5975">
        <v>1.6974449999999999E-2</v>
      </c>
      <c r="AA5975">
        <v>0.98163679999999998</v>
      </c>
      <c r="AB5975">
        <v>18</v>
      </c>
      <c r="AC5975">
        <v>19.200700000000001</v>
      </c>
      <c r="AD5975">
        <v>-1.111940967849</v>
      </c>
      <c r="AE5975">
        <v>-0.186309999999998</v>
      </c>
      <c r="AF5975">
        <v>-3.6663232282892202</v>
      </c>
      <c r="AG5975">
        <v>-1.111940967849</v>
      </c>
      <c r="AH5975">
        <v>18.782950346622201</v>
      </c>
      <c r="AI5975">
        <v>93.325314980484194</v>
      </c>
      <c r="AJ5975">
        <v>101.044928622429</v>
      </c>
      <c r="AK5975">
        <v>19.1697042870763</v>
      </c>
      <c r="AL5975">
        <v>89.792044402808401</v>
      </c>
      <c r="AM5975">
        <v>89.102651664793299</v>
      </c>
      <c r="AN5975">
        <v>1.00000002750954</v>
      </c>
    </row>
    <row r="5976" spans="1:40" x14ac:dyDescent="0.25">
      <c r="A5976" t="str">
        <f>"20190312160806518"</f>
        <v>20190312160806518</v>
      </c>
      <c r="B5976" t="str">
        <f>"1552378086511713"</f>
        <v>1552378086511713</v>
      </c>
      <c r="C5976" t="s">
        <v>40</v>
      </c>
      <c r="D5976">
        <v>6.0545210000000003</v>
      </c>
      <c r="E5976">
        <v>0.42060140000000001</v>
      </c>
      <c r="F5976" t="s">
        <v>99</v>
      </c>
      <c r="G5976">
        <v>-382.1497</v>
      </c>
      <c r="H5976" s="1">
        <v>-4.1385089999999999E-6</v>
      </c>
      <c r="I5976">
        <v>17.20796</v>
      </c>
      <c r="J5976">
        <v>-401.6001</v>
      </c>
      <c r="K5976">
        <v>1.111918</v>
      </c>
      <c r="L5976">
        <v>17.343689999999999</v>
      </c>
      <c r="M5976">
        <v>0.98004789999999997</v>
      </c>
      <c r="N5976">
        <v>0</v>
      </c>
      <c r="O5976">
        <v>-0.1982989</v>
      </c>
      <c r="P5976">
        <v>0.97675440000000002</v>
      </c>
      <c r="Q5976">
        <v>-9.9883920000000005E-3</v>
      </c>
      <c r="R5976">
        <v>-0.21412880000000001</v>
      </c>
      <c r="S5976">
        <v>3.0657649999999999</v>
      </c>
      <c r="T5976">
        <v>-0.1741704</v>
      </c>
      <c r="U5976">
        <v>-2.4658200000000002E-2</v>
      </c>
      <c r="V5976">
        <v>1.6151099999999901E-2</v>
      </c>
      <c r="W5976">
        <v>3.6428530000000001E-3</v>
      </c>
      <c r="X5976">
        <v>0.9998629</v>
      </c>
      <c r="Y5976">
        <v>-0.18980530000000001</v>
      </c>
      <c r="Z5976">
        <v>1.658579E-2</v>
      </c>
      <c r="AA5976">
        <v>0.98168160000000004</v>
      </c>
      <c r="AB5976">
        <v>18</v>
      </c>
      <c r="AC5976">
        <v>19.450399999999998</v>
      </c>
      <c r="AD5976">
        <v>-1.1119221385089999</v>
      </c>
      <c r="AE5976">
        <v>-0.13572999999999799</v>
      </c>
      <c r="AF5976">
        <v>-3.71218195344249</v>
      </c>
      <c r="AG5976">
        <v>-1.1119221385089999</v>
      </c>
      <c r="AH5976">
        <v>19.0288074958038</v>
      </c>
      <c r="AI5976">
        <v>93.282459095130505</v>
      </c>
      <c r="AJ5976">
        <v>101.03874705891</v>
      </c>
      <c r="AK5976">
        <v>19.4193764166085</v>
      </c>
      <c r="AL5976">
        <v>89.791279430568494</v>
      </c>
      <c r="AM5976">
        <v>89.074563732789599</v>
      </c>
      <c r="AN5976">
        <v>0.99999997360279902</v>
      </c>
    </row>
    <row r="5977" spans="1:40" x14ac:dyDescent="0.25">
      <c r="A5977" t="str">
        <f>"20190312160806533"</f>
        <v>20190312160806533</v>
      </c>
      <c r="B5977" t="str">
        <f>"1552378086521474"</f>
        <v>1552378086521474</v>
      </c>
      <c r="C5977" t="s">
        <v>40</v>
      </c>
      <c r="D5977">
        <v>6.0423830000000001</v>
      </c>
      <c r="E5977">
        <v>0.42055399999999998</v>
      </c>
      <c r="F5977" t="s">
        <v>99</v>
      </c>
      <c r="G5977">
        <v>-381.51679999999999</v>
      </c>
      <c r="H5977" s="1">
        <v>-4.4320570000000002E-6</v>
      </c>
      <c r="I5977">
        <v>17.239940000000001</v>
      </c>
      <c r="J5977">
        <v>-401.48140000000001</v>
      </c>
      <c r="K5977">
        <v>1.1119059999999901</v>
      </c>
      <c r="L5977">
        <v>17.322939999999999</v>
      </c>
      <c r="M5977">
        <v>0.98058599999999996</v>
      </c>
      <c r="N5977">
        <v>0</v>
      </c>
      <c r="O5977">
        <v>-0.19562189999999999</v>
      </c>
      <c r="P5977">
        <v>0.97723380000000004</v>
      </c>
      <c r="Q5977">
        <v>-9.6936750000000006E-3</v>
      </c>
      <c r="R5977">
        <v>-0.2119443</v>
      </c>
      <c r="S5977">
        <v>3.0661619999999998</v>
      </c>
      <c r="T5977">
        <v>-0.169759299999999</v>
      </c>
      <c r="U5977">
        <v>-1.5838620000000001E-2</v>
      </c>
      <c r="V5977">
        <v>1.6644119999999998E-2</v>
      </c>
      <c r="W5977">
        <v>3.9351519999999999E-3</v>
      </c>
      <c r="X5977">
        <v>0.99985369999999996</v>
      </c>
      <c r="Y5977">
        <v>-0.18998409999999999</v>
      </c>
      <c r="Z5977">
        <v>1.602433E-2</v>
      </c>
      <c r="AA5977">
        <v>0.98165639999999998</v>
      </c>
      <c r="AB5977">
        <v>18</v>
      </c>
      <c r="AC5977">
        <v>19.964600000000001</v>
      </c>
      <c r="AD5977">
        <v>-1.1119104320569999</v>
      </c>
      <c r="AE5977">
        <v>-8.2999999999998395E-2</v>
      </c>
      <c r="AF5977">
        <v>-3.81264863092535</v>
      </c>
      <c r="AG5977">
        <v>-1.1119104320569999</v>
      </c>
      <c r="AH5977">
        <v>19.534447014675699</v>
      </c>
      <c r="AI5977">
        <v>93.197583270433299</v>
      </c>
      <c r="AJ5977">
        <v>101.043904692564</v>
      </c>
      <c r="AK5977">
        <v>19.934072703815101</v>
      </c>
      <c r="AL5977">
        <v>89.774531809252693</v>
      </c>
      <c r="AM5977">
        <v>89.046310717734897</v>
      </c>
      <c r="AN5977">
        <v>0.99999996677776304</v>
      </c>
    </row>
    <row r="5978" spans="1:40" x14ac:dyDescent="0.25">
      <c r="A5978" t="str">
        <f>"20190312160806545"</f>
        <v>20190312160806545</v>
      </c>
      <c r="B5978" t="str">
        <f>"1552378086541542"</f>
        <v>1552378086541542</v>
      </c>
      <c r="C5978" t="s">
        <v>40</v>
      </c>
      <c r="D5978">
        <v>6.0413139999999999</v>
      </c>
      <c r="E5978">
        <v>0.42044819999999999</v>
      </c>
      <c r="F5978" t="s">
        <v>99</v>
      </c>
      <c r="G5978">
        <v>-381.00940000000003</v>
      </c>
      <c r="H5978" s="1">
        <v>-4.6674520000000001E-6</v>
      </c>
      <c r="I5978">
        <v>17.264869999999998</v>
      </c>
      <c r="J5978">
        <v>-401.38729999999998</v>
      </c>
      <c r="K5978">
        <v>1.1118920000000001</v>
      </c>
      <c r="L5978">
        <v>17.306729999999899</v>
      </c>
      <c r="M5978">
        <v>0.98100449999999995</v>
      </c>
      <c r="N5978">
        <v>0</v>
      </c>
      <c r="O5978">
        <v>-0.19351160000000001</v>
      </c>
      <c r="P5978">
        <v>0.97771260000000004</v>
      </c>
      <c r="Q5978">
        <v>-9.4988069999999997E-3</v>
      </c>
      <c r="R5978">
        <v>-0.2097329</v>
      </c>
      <c r="S5978">
        <v>3.0663149999999999</v>
      </c>
      <c r="T5978">
        <v>-0.16654289999999999</v>
      </c>
      <c r="U5978">
        <v>-8.6975100000000003E-3</v>
      </c>
      <c r="V5978">
        <v>1.653226E-2</v>
      </c>
      <c r="W5978">
        <v>4.1258850000000001E-3</v>
      </c>
      <c r="X5978">
        <v>0.99985480000000004</v>
      </c>
      <c r="Y5978">
        <v>-0.19018309999999999</v>
      </c>
      <c r="Z5978">
        <v>1.561362E-2</v>
      </c>
      <c r="AA5978">
        <v>0.98162450000000001</v>
      </c>
      <c r="AB5978">
        <v>18</v>
      </c>
      <c r="AC5978">
        <v>20.377899999999901</v>
      </c>
      <c r="AD5978">
        <v>-1.1118966674519899</v>
      </c>
      <c r="AE5978">
        <v>-4.1859999999996199E-2</v>
      </c>
      <c r="AF5978">
        <v>-3.89106864287454</v>
      </c>
      <c r="AG5978">
        <v>-1.1118966674519899</v>
      </c>
      <c r="AH5978">
        <v>19.941376975650002</v>
      </c>
      <c r="AI5978">
        <v>93.132454537249203</v>
      </c>
      <c r="AJ5978">
        <v>101.041129105187</v>
      </c>
      <c r="AK5978">
        <v>20.347856031229401</v>
      </c>
      <c r="AL5978">
        <v>89.763603527275507</v>
      </c>
      <c r="AM5978">
        <v>89.052720039514497</v>
      </c>
      <c r="AN5978">
        <v>0.99999997981539002</v>
      </c>
    </row>
    <row r="5979" spans="1:40" x14ac:dyDescent="0.25">
      <c r="A5979" t="str">
        <f>"20190312160806557"</f>
        <v>20190312160806557</v>
      </c>
      <c r="B5979" t="str">
        <f>"1552378086551302"</f>
        <v>1552378086551302</v>
      </c>
      <c r="C5979" t="s">
        <v>40</v>
      </c>
      <c r="D5979">
        <v>6.0427220000000004</v>
      </c>
      <c r="E5979">
        <v>0.42048190000000002</v>
      </c>
      <c r="F5979" t="s">
        <v>99</v>
      </c>
      <c r="G5979">
        <v>-380.51839999999999</v>
      </c>
      <c r="H5979" s="1">
        <v>-4.893416E-6</v>
      </c>
      <c r="I5979">
        <v>17.29946</v>
      </c>
      <c r="J5979">
        <v>-401.29539999999997</v>
      </c>
      <c r="K5979">
        <v>1.11188</v>
      </c>
      <c r="L5979">
        <v>17.291049999999998</v>
      </c>
      <c r="M5979">
        <v>0.98140720000000004</v>
      </c>
      <c r="N5979">
        <v>0</v>
      </c>
      <c r="O5979">
        <v>-0.1914595</v>
      </c>
      <c r="P5979">
        <v>0.9780896</v>
      </c>
      <c r="Q5979">
        <v>-9.4121299999999995E-3</v>
      </c>
      <c r="R5979">
        <v>-0.20797199999999999</v>
      </c>
      <c r="S5979">
        <v>3.066589</v>
      </c>
      <c r="T5979">
        <v>-0.16338859999999999</v>
      </c>
      <c r="U5979">
        <v>-1.0681149999999999E-3</v>
      </c>
      <c r="V5979">
        <v>1.6822529999999999E-2</v>
      </c>
      <c r="W5979">
        <v>4.2102850000000002E-3</v>
      </c>
      <c r="X5979">
        <v>0.99984960000000001</v>
      </c>
      <c r="Y5979">
        <v>-0.19059580000000001</v>
      </c>
      <c r="Z5979">
        <v>1.5220890000000001E-2</v>
      </c>
      <c r="AA5979">
        <v>0.98155060000000005</v>
      </c>
      <c r="AB5979">
        <v>18</v>
      </c>
      <c r="AC5979">
        <v>20.776999999999902</v>
      </c>
      <c r="AD5979">
        <v>-1.1118848934159999</v>
      </c>
      <c r="AE5979">
        <v>8.4100000000013504E-3</v>
      </c>
      <c r="AF5979">
        <v>-3.9751883497381901</v>
      </c>
      <c r="AG5979">
        <v>-1.1118848934159999</v>
      </c>
      <c r="AH5979">
        <v>20.332724426028999</v>
      </c>
      <c r="AI5979">
        <v>93.0720276983064</v>
      </c>
      <c r="AJ5979">
        <v>101.06218681749399</v>
      </c>
      <c r="AK5979">
        <v>20.747484016548501</v>
      </c>
      <c r="AL5979">
        <v>89.7587677198119</v>
      </c>
      <c r="AM5979">
        <v>89.036085992837798</v>
      </c>
      <c r="AN5979">
        <v>0.99999997331777002</v>
      </c>
    </row>
    <row r="5980" spans="1:40" x14ac:dyDescent="0.25">
      <c r="A5980" t="str">
        <f>"20190312160806568"</f>
        <v>20190312160806568</v>
      </c>
      <c r="B5980" t="str">
        <f>"1552378086562038"</f>
        <v>1552378086562038</v>
      </c>
      <c r="C5980" t="s">
        <v>40</v>
      </c>
      <c r="D5980">
        <v>6.0325290000000003</v>
      </c>
      <c r="E5980">
        <v>0.4205102</v>
      </c>
      <c r="F5980" t="s">
        <v>99</v>
      </c>
      <c r="G5980">
        <v>-380.286</v>
      </c>
      <c r="H5980" s="1">
        <v>-4.9997770000000004E-6</v>
      </c>
      <c r="I5980">
        <v>17.319269999999999</v>
      </c>
      <c r="J5980">
        <v>-401.19470000000001</v>
      </c>
      <c r="K5980">
        <v>1.111866</v>
      </c>
      <c r="L5980">
        <v>17.27411</v>
      </c>
      <c r="M5980">
        <v>0.98184119999999997</v>
      </c>
      <c r="N5980">
        <v>0</v>
      </c>
      <c r="O5980">
        <v>-0.1892211</v>
      </c>
      <c r="P5980">
        <v>0.97860190000000002</v>
      </c>
      <c r="Q5980">
        <v>-9.4059499999999997E-3</v>
      </c>
      <c r="R5980">
        <v>-0.20554800000000001</v>
      </c>
      <c r="S5980">
        <v>3.0665589999999998</v>
      </c>
      <c r="T5980">
        <v>-0.16229180000000001</v>
      </c>
      <c r="U5980">
        <v>4.1198729999999996E-3</v>
      </c>
      <c r="V5980">
        <v>1.6625419999999998E-2</v>
      </c>
      <c r="W5980">
        <v>4.212192E-3</v>
      </c>
      <c r="X5980">
        <v>0.99985290000000004</v>
      </c>
      <c r="Y5980">
        <v>-0.190029</v>
      </c>
      <c r="Z5980">
        <v>1.498768E-2</v>
      </c>
      <c r="AA5980">
        <v>0.98166410000000004</v>
      </c>
      <c r="AB5980">
        <v>18</v>
      </c>
      <c r="AC5980">
        <v>20.9087</v>
      </c>
      <c r="AD5980">
        <v>-1.111870999777</v>
      </c>
      <c r="AE5980">
        <v>4.5159999999999201E-2</v>
      </c>
      <c r="AF5980">
        <v>-3.9897913074464699</v>
      </c>
      <c r="AG5980">
        <v>-1.111870999777</v>
      </c>
      <c r="AH5980">
        <v>20.464488133230201</v>
      </c>
      <c r="AI5980">
        <v>93.052559833213905</v>
      </c>
      <c r="AJ5980">
        <v>101.032094707051</v>
      </c>
      <c r="AK5980">
        <v>20.879414894872902</v>
      </c>
      <c r="AL5980">
        <v>89.758658458461994</v>
      </c>
      <c r="AM5980">
        <v>89.047381246989204</v>
      </c>
      <c r="AN5980">
        <v>0.99999998439501503</v>
      </c>
    </row>
    <row r="5981" spans="1:40" x14ac:dyDescent="0.25">
      <c r="A5981" t="str">
        <f>"20190312160806581"</f>
        <v>20190312160806581</v>
      </c>
      <c r="B5981" t="str">
        <f>"1552378086571797"</f>
        <v>1552378086571797</v>
      </c>
      <c r="C5981" t="s">
        <v>40</v>
      </c>
      <c r="D5981">
        <v>6.0532409999999999</v>
      </c>
      <c r="E5981">
        <v>0.4205237</v>
      </c>
      <c r="F5981" t="s">
        <v>99</v>
      </c>
      <c r="G5981">
        <v>-380.09140000000002</v>
      </c>
      <c r="H5981" s="1">
        <v>-5.0857880000000002E-6</v>
      </c>
      <c r="I5981">
        <v>17.352869999999999</v>
      </c>
      <c r="J5981">
        <v>-401.10180000000003</v>
      </c>
      <c r="K5981">
        <v>1.111856</v>
      </c>
      <c r="L5981">
        <v>17.25873</v>
      </c>
      <c r="M5981">
        <v>0.98223530000000003</v>
      </c>
      <c r="N5981">
        <v>0</v>
      </c>
      <c r="O5981">
        <v>-0.1871649</v>
      </c>
      <c r="P5981">
        <v>0.97904279999999999</v>
      </c>
      <c r="Q5981">
        <v>-9.5198490000000004E-3</v>
      </c>
      <c r="R5981">
        <v>-0.2034321</v>
      </c>
      <c r="S5981">
        <v>3.0664060000000002</v>
      </c>
      <c r="T5981">
        <v>-0.16156019999999999</v>
      </c>
      <c r="U5981">
        <v>1.1444090000000001E-2</v>
      </c>
      <c r="V5981">
        <v>1.6558349999999999E-2</v>
      </c>
      <c r="W5981">
        <v>4.0944140000000002E-3</v>
      </c>
      <c r="X5981">
        <v>0.99985449999999998</v>
      </c>
      <c r="Y5981">
        <v>-0.19032540000000001</v>
      </c>
      <c r="Z5981">
        <v>1.4822470000000001E-2</v>
      </c>
      <c r="AA5981">
        <v>0.98160919999999896</v>
      </c>
      <c r="AB5981">
        <v>18</v>
      </c>
      <c r="AC5981">
        <v>21.010400000000001</v>
      </c>
      <c r="AD5981">
        <v>-1.111861085788</v>
      </c>
      <c r="AE5981">
        <v>9.4140000000002999E-2</v>
      </c>
      <c r="AF5981">
        <v>-4.0140046929438897</v>
      </c>
      <c r="AG5981">
        <v>-1.111861085788</v>
      </c>
      <c r="AH5981">
        <v>20.563837530398899</v>
      </c>
      <c r="AI5981">
        <v>93.037678529488701</v>
      </c>
      <c r="AJ5981">
        <v>101.04509661442199</v>
      </c>
      <c r="AK5981">
        <v>20.981417557584301</v>
      </c>
      <c r="AL5981">
        <v>89.7654066985735</v>
      </c>
      <c r="AM5981">
        <v>89.051225100198295</v>
      </c>
      <c r="AN5981">
        <v>0.99999998217548702</v>
      </c>
    </row>
    <row r="5982" spans="1:40" x14ac:dyDescent="0.25">
      <c r="A5982" t="str">
        <f>"20190312160806594"</f>
        <v>20190312160806594</v>
      </c>
      <c r="B5982" t="str">
        <f>"1552378086581558"</f>
        <v>1552378086581558</v>
      </c>
      <c r="C5982" t="s">
        <v>40</v>
      </c>
      <c r="D5982">
        <v>6.052816</v>
      </c>
      <c r="E5982">
        <v>0.42059609999999897</v>
      </c>
      <c r="F5982" t="s">
        <v>45</v>
      </c>
      <c r="G5982">
        <v>-379.02760000000001</v>
      </c>
      <c r="H5982">
        <v>-0.05</v>
      </c>
      <c r="I5982">
        <v>17.387910000000002</v>
      </c>
      <c r="J5982">
        <v>-400.9966</v>
      </c>
      <c r="K5982">
        <v>1.1118429999999999</v>
      </c>
      <c r="L5982">
        <v>17.241420000000002</v>
      </c>
      <c r="M5982">
        <v>0.98267499999999997</v>
      </c>
      <c r="N5982">
        <v>0</v>
      </c>
      <c r="O5982">
        <v>-0.1848427</v>
      </c>
      <c r="P5982">
        <v>0.97951840000000001</v>
      </c>
      <c r="Q5982">
        <v>-9.4104070000000008E-3</v>
      </c>
      <c r="R5982">
        <v>-0.20113490000000001</v>
      </c>
      <c r="S5982">
        <v>3.066376</v>
      </c>
      <c r="T5982">
        <v>-0.1613955</v>
      </c>
      <c r="U5982">
        <v>1.794434E-2</v>
      </c>
      <c r="V5982">
        <v>1.6575679999999999E-2</v>
      </c>
      <c r="W5982">
        <v>4.2002709999999898E-3</v>
      </c>
      <c r="X5982">
        <v>0.99985380000000001</v>
      </c>
      <c r="Y5982">
        <v>-0.1900906</v>
      </c>
      <c r="Z5982">
        <v>1.468122E-2</v>
      </c>
      <c r="AA5982">
        <v>0.9816568</v>
      </c>
      <c r="AB5982">
        <v>18</v>
      </c>
      <c r="AC5982">
        <v>21.968999999999902</v>
      </c>
      <c r="AD5982">
        <v>-1.161843</v>
      </c>
      <c r="AE5982">
        <v>0.14649000000000001</v>
      </c>
      <c r="AF5982">
        <v>-4.1934181899295302</v>
      </c>
      <c r="AG5982">
        <v>-1.161843</v>
      </c>
      <c r="AH5982">
        <v>21.503143715816499</v>
      </c>
      <c r="AI5982">
        <v>93.035682949510502</v>
      </c>
      <c r="AJ5982">
        <v>101.034992337142</v>
      </c>
      <c r="AK5982">
        <v>21.939002368734599</v>
      </c>
      <c r="AL5982">
        <v>89.759341493281696</v>
      </c>
      <c r="AM5982">
        <v>89.050231627604703</v>
      </c>
      <c r="AN5982">
        <v>1.00000000840918</v>
      </c>
    </row>
    <row r="5983" spans="1:40" x14ac:dyDescent="0.25">
      <c r="A5983" t="str">
        <f>"20190312160806613"</f>
        <v>20190312160806613</v>
      </c>
      <c r="B5983" t="str">
        <f>"1552378086601077"</f>
        <v>1552378086601077</v>
      </c>
      <c r="C5983" t="s">
        <v>40</v>
      </c>
      <c r="D5983">
        <v>6.0198809999999998</v>
      </c>
      <c r="E5983">
        <v>0.42087069999999999</v>
      </c>
      <c r="F5983" t="s">
        <v>98</v>
      </c>
      <c r="G5983">
        <v>-379.70839999999998</v>
      </c>
      <c r="H5983" s="1">
        <v>-6.8270180000000001E-7</v>
      </c>
      <c r="I5983">
        <v>17.41198</v>
      </c>
      <c r="J5983">
        <v>-400.8467</v>
      </c>
      <c r="K5983">
        <v>1.1118300000000001</v>
      </c>
      <c r="L5983">
        <v>17.21725</v>
      </c>
      <c r="M5983">
        <v>0.9832881</v>
      </c>
      <c r="N5983">
        <v>0</v>
      </c>
      <c r="O5983">
        <v>-0.18155270000000001</v>
      </c>
      <c r="P5983">
        <v>0.98015419999999998</v>
      </c>
      <c r="Q5983">
        <v>-9.8781770000000001E-3</v>
      </c>
      <c r="R5983">
        <v>-0.19799050000000001</v>
      </c>
      <c r="S5983">
        <v>3.0662539999999998</v>
      </c>
      <c r="T5983">
        <v>-0.1601447</v>
      </c>
      <c r="U5983">
        <v>2.4566649999999999E-2</v>
      </c>
      <c r="V5983">
        <v>1.671653E-2</v>
      </c>
      <c r="W5983">
        <v>3.728683E-3</v>
      </c>
      <c r="X5983">
        <v>0.99985329999999994</v>
      </c>
      <c r="Y5983">
        <v>-0.18893889999999999</v>
      </c>
      <c r="Z5983">
        <v>1.436893E-2</v>
      </c>
      <c r="AA5983">
        <v>0.98188370000000003</v>
      </c>
      <c r="AB5983">
        <v>18</v>
      </c>
      <c r="AC5983">
        <v>21.138300000000001</v>
      </c>
      <c r="AD5983">
        <v>-1.1118306827018001</v>
      </c>
      <c r="AE5983">
        <v>0.19472999999999899</v>
      </c>
      <c r="AF5983">
        <v>-4.0184438642268896</v>
      </c>
      <c r="AG5983">
        <v>-1.1118306827018001</v>
      </c>
      <c r="AH5983">
        <v>20.6943383993266</v>
      </c>
      <c r="AI5983">
        <v>93.019050223981097</v>
      </c>
      <c r="AJ5983">
        <v>100.988986548721</v>
      </c>
      <c r="AK5983">
        <v>21.110180016825598</v>
      </c>
      <c r="AL5983">
        <v>89.786361702389598</v>
      </c>
      <c r="AM5983">
        <v>89.042162094681899</v>
      </c>
      <c r="AN5983">
        <v>0.99999998348652197</v>
      </c>
    </row>
    <row r="5984" spans="1:40" x14ac:dyDescent="0.25">
      <c r="A5984" t="str">
        <f>"20190312160806627"</f>
        <v>20190312160806627</v>
      </c>
      <c r="B5984" t="str">
        <f>"1552378086621574"</f>
        <v>1552378086621574</v>
      </c>
      <c r="C5984" t="s">
        <v>40</v>
      </c>
      <c r="D5984">
        <v>6.0639269999999996</v>
      </c>
      <c r="E5984">
        <v>0.42095680000000002</v>
      </c>
      <c r="F5984" t="s">
        <v>98</v>
      </c>
      <c r="G5984">
        <v>-379.62979999999999</v>
      </c>
      <c r="H5984" s="1">
        <v>-7.0518979999999999E-7</v>
      </c>
      <c r="I5984">
        <v>17.440929999999899</v>
      </c>
      <c r="J5984">
        <v>-400.74200000000002</v>
      </c>
      <c r="K5984">
        <v>1.111823</v>
      </c>
      <c r="L5984">
        <v>17.20074</v>
      </c>
      <c r="M5984">
        <v>0.98370800000000003</v>
      </c>
      <c r="N5984">
        <v>0</v>
      </c>
      <c r="O5984">
        <v>-0.179263899999999</v>
      </c>
      <c r="P5984">
        <v>0.98056359999999998</v>
      </c>
      <c r="Q5984">
        <v>-9.903617E-3</v>
      </c>
      <c r="R5984">
        <v>-0.19595109999999999</v>
      </c>
      <c r="S5984">
        <v>3.0656430000000001</v>
      </c>
      <c r="T5984">
        <v>-0.16064919999999999</v>
      </c>
      <c r="U5984">
        <v>3.2318119999999999E-2</v>
      </c>
      <c r="V5984">
        <v>1.6963760000000001E-2</v>
      </c>
      <c r="W5984">
        <v>3.7005499999999999E-3</v>
      </c>
      <c r="X5984">
        <v>0.99984930000000005</v>
      </c>
      <c r="Y5984">
        <v>-0.18913730000000001</v>
      </c>
      <c r="Z5984">
        <v>1.430415E-2</v>
      </c>
      <c r="AA5984">
        <v>0.98184649999999996</v>
      </c>
      <c r="AB5984">
        <v>18</v>
      </c>
      <c r="AC5984">
        <v>21.112199999999898</v>
      </c>
      <c r="AD5984">
        <v>-1.1118237051897999</v>
      </c>
      <c r="AE5984">
        <v>0.24018999999999799</v>
      </c>
      <c r="AF5984">
        <v>-4.01017995171763</v>
      </c>
      <c r="AG5984">
        <v>-1.1118237051897999</v>
      </c>
      <c r="AH5984">
        <v>20.6697624214112</v>
      </c>
      <c r="AI5984">
        <v>93.022709567742496</v>
      </c>
      <c r="AJ5984">
        <v>100.979659012395</v>
      </c>
      <c r="AK5984">
        <v>21.084515022977499</v>
      </c>
      <c r="AL5984">
        <v>89.787973628313793</v>
      </c>
      <c r="AM5984">
        <v>89.027994910749996</v>
      </c>
      <c r="AN5984">
        <v>1.0000000429670599</v>
      </c>
    </row>
    <row r="5985" spans="1:40" x14ac:dyDescent="0.25">
      <c r="A5985" t="str">
        <f>"20190312160806640"</f>
        <v>20190312160806640</v>
      </c>
      <c r="B5985" t="str">
        <f>"1552378086631333"</f>
        <v>1552378086631333</v>
      </c>
      <c r="C5985" t="s">
        <v>40</v>
      </c>
      <c r="D5985">
        <v>6.0684979999999999</v>
      </c>
      <c r="E5985">
        <v>0.42107329999999998</v>
      </c>
      <c r="F5985" t="s">
        <v>97</v>
      </c>
      <c r="G5985">
        <v>-361.23719999999997</v>
      </c>
      <c r="H5985" s="1">
        <v>-4.4931479999999999E-6</v>
      </c>
      <c r="I5985">
        <v>17.640439999999899</v>
      </c>
      <c r="J5985">
        <v>-400.62689999999998</v>
      </c>
      <c r="K5985">
        <v>1.1118140000000001</v>
      </c>
      <c r="L5985">
        <v>17.1828</v>
      </c>
      <c r="M5985">
        <v>0.98416250000000005</v>
      </c>
      <c r="N5985">
        <v>0</v>
      </c>
      <c r="O5985">
        <v>-0.17675289999999999</v>
      </c>
      <c r="P5985">
        <v>0.98104170000000002</v>
      </c>
      <c r="Q5985">
        <v>-9.9303780000000001E-3</v>
      </c>
      <c r="R5985">
        <v>-0.19354350000000001</v>
      </c>
      <c r="S5985">
        <v>3.0654300000000001</v>
      </c>
      <c r="T5985">
        <v>-8.6273909999999995E-2</v>
      </c>
      <c r="U5985">
        <v>3.411865E-2</v>
      </c>
      <c r="V5985">
        <v>1.7061090000000001E-2</v>
      </c>
      <c r="W5985">
        <v>3.669556E-3</v>
      </c>
      <c r="X5985">
        <v>0.99984770000000001</v>
      </c>
      <c r="Y5985">
        <v>-0.1875685</v>
      </c>
      <c r="Z5985">
        <v>7.5942309999999999E-3</v>
      </c>
      <c r="AA5985">
        <v>0.98222220000000005</v>
      </c>
      <c r="AB5985">
        <v>18</v>
      </c>
      <c r="AC5985">
        <v>39.389699999999998</v>
      </c>
      <c r="AD5985">
        <v>-1.111818493148</v>
      </c>
      <c r="AE5985">
        <v>0.45763999999999699</v>
      </c>
      <c r="AF5985">
        <v>-7.4074118537321203</v>
      </c>
      <c r="AG5985">
        <v>-1.111818493148</v>
      </c>
      <c r="AH5985">
        <v>38.6577135948693</v>
      </c>
      <c r="AI5985">
        <v>91.617986534342506</v>
      </c>
      <c r="AJ5985">
        <v>100.84726932174399</v>
      </c>
      <c r="AK5985">
        <v>39.3767026440186</v>
      </c>
      <c r="AL5985">
        <v>89.789749453458697</v>
      </c>
      <c r="AM5985">
        <v>89.022417522206396</v>
      </c>
      <c r="AN5985">
        <v>0.999999984814257</v>
      </c>
    </row>
    <row r="5986" spans="1:40" x14ac:dyDescent="0.25">
      <c r="A5986" t="str">
        <f>"20190312160806657"</f>
        <v>20190312160806657</v>
      </c>
      <c r="B5986" t="str">
        <f>"1552378086651488"</f>
        <v>1552378086651488</v>
      </c>
      <c r="C5986" t="s">
        <v>40</v>
      </c>
      <c r="D5986">
        <v>6.0976589999999904</v>
      </c>
      <c r="E5986">
        <v>0.43152109999999999</v>
      </c>
      <c r="F5986" t="s">
        <v>47</v>
      </c>
      <c r="G5986">
        <v>-359.46710000000002</v>
      </c>
      <c r="H5986" s="1">
        <v>-6.6999930000000005E-7</v>
      </c>
      <c r="I5986">
        <v>17.727339999999899</v>
      </c>
      <c r="J5986">
        <v>-400.49619999999999</v>
      </c>
      <c r="K5986">
        <v>1.1118110000000001</v>
      </c>
      <c r="L5986">
        <v>17.162749999999999</v>
      </c>
      <c r="M5986">
        <v>0.98467000000000005</v>
      </c>
      <c r="N5986">
        <v>0</v>
      </c>
      <c r="O5986">
        <v>-0.173902799999999</v>
      </c>
      <c r="P5986">
        <v>0.98152879999999998</v>
      </c>
      <c r="Q5986">
        <v>-9.7521659999999996E-3</v>
      </c>
      <c r="R5986">
        <v>-0.19106509999999999</v>
      </c>
      <c r="S5986">
        <v>3.0650940000000002</v>
      </c>
      <c r="T5986">
        <v>-8.2794789999999993E-2</v>
      </c>
      <c r="U5986">
        <v>4.0557860000000001E-2</v>
      </c>
      <c r="V5986">
        <v>1.7429759999999999E-2</v>
      </c>
      <c r="W5986">
        <v>3.839308E-3</v>
      </c>
      <c r="X5986">
        <v>0.99984070000000003</v>
      </c>
      <c r="Y5986">
        <v>-0.18680169999999999</v>
      </c>
      <c r="Z5986">
        <v>7.2025600000000002E-3</v>
      </c>
      <c r="AA5986">
        <v>0.9823712</v>
      </c>
      <c r="AB5986">
        <v>18</v>
      </c>
      <c r="AC5986">
        <v>41.0290999999999</v>
      </c>
      <c r="AD5986">
        <v>-1.1118116699992999</v>
      </c>
      <c r="AE5986">
        <v>0.56458999999999904</v>
      </c>
      <c r="AF5986">
        <v>-7.6860704121243302</v>
      </c>
      <c r="AG5986">
        <v>-1.1118116699992999</v>
      </c>
      <c r="AH5986">
        <v>40.276054918920003</v>
      </c>
      <c r="AI5986">
        <v>91.553220379324003</v>
      </c>
      <c r="AJ5986">
        <v>100.804120614333</v>
      </c>
      <c r="AK5986">
        <v>41.017952208777302</v>
      </c>
      <c r="AL5986">
        <v>89.780023310768996</v>
      </c>
      <c r="AM5986">
        <v>89.001290362388303</v>
      </c>
      <c r="AN5986">
        <v>0.99999998109803301</v>
      </c>
    </row>
    <row r="5987" spans="1:40" x14ac:dyDescent="0.25">
      <c r="A5987" t="str">
        <f>"20190312160806670"</f>
        <v>20190312160806670</v>
      </c>
      <c r="B5987" t="str">
        <f>"1552378086661248"</f>
        <v>1552378086661248</v>
      </c>
      <c r="C5987" t="s">
        <v>40</v>
      </c>
      <c r="D5987">
        <v>6.0811400000000004</v>
      </c>
      <c r="E5987">
        <v>0.43112719999999999</v>
      </c>
      <c r="F5987" t="s">
        <v>99</v>
      </c>
      <c r="G5987">
        <v>-383.34809999999999</v>
      </c>
      <c r="H5987" s="1">
        <v>-3.6075970000000001E-6</v>
      </c>
      <c r="I5987">
        <v>17.0076</v>
      </c>
      <c r="J5987">
        <v>-400.39030000000002</v>
      </c>
      <c r="K5987">
        <v>1.1118049999999999</v>
      </c>
      <c r="L5987">
        <v>17.146820000000002</v>
      </c>
      <c r="M5987">
        <v>0.98507460000000002</v>
      </c>
      <c r="N5987">
        <v>0</v>
      </c>
      <c r="O5987">
        <v>-0.1715979</v>
      </c>
      <c r="P5987">
        <v>0.9819715</v>
      </c>
      <c r="Q5987">
        <v>-9.5048660000000007E-3</v>
      </c>
      <c r="R5987">
        <v>-0.1887906</v>
      </c>
      <c r="S5987">
        <v>3.0491329999999999</v>
      </c>
      <c r="T5987">
        <v>-0.1976937</v>
      </c>
      <c r="U5987">
        <v>-2.758789E-2</v>
      </c>
      <c r="V5987">
        <v>1.7451640000000001E-2</v>
      </c>
      <c r="W5987">
        <v>4.0758180000000001E-3</v>
      </c>
      <c r="X5987">
        <v>0.99983940000000004</v>
      </c>
      <c r="Y5987">
        <v>-0.161995899999999</v>
      </c>
      <c r="Z5987">
        <v>1.6317089999999999E-2</v>
      </c>
      <c r="AA5987">
        <v>0.98665650000000005</v>
      </c>
      <c r="AB5987">
        <v>18</v>
      </c>
      <c r="AC5987">
        <v>17.042200000000001</v>
      </c>
      <c r="AD5987">
        <v>-1.111808607597</v>
      </c>
      <c r="AE5987">
        <v>-0.13922000000000101</v>
      </c>
      <c r="AF5987">
        <v>-2.77570478526986</v>
      </c>
      <c r="AG5987">
        <v>-1.111808607597</v>
      </c>
      <c r="AH5987">
        <v>16.742009500655101</v>
      </c>
      <c r="AI5987">
        <v>93.748320066784203</v>
      </c>
      <c r="AJ5987">
        <v>99.413600164317302</v>
      </c>
      <c r="AK5987">
        <v>17.006926164210999</v>
      </c>
      <c r="AL5987">
        <v>89.766472183707293</v>
      </c>
      <c r="AM5987">
        <v>89.000035612493903</v>
      </c>
      <c r="AN5987">
        <v>0.99999999891170899</v>
      </c>
    </row>
    <row r="5988" spans="1:40" x14ac:dyDescent="0.25">
      <c r="A5988" t="str">
        <f>"20190312160806684"</f>
        <v>20190312160806684</v>
      </c>
      <c r="B5988" t="str">
        <f>"1552378086681744"</f>
        <v>1552378086681744</v>
      </c>
      <c r="C5988" t="s">
        <v>40</v>
      </c>
      <c r="D5988">
        <v>5.9945769999999996</v>
      </c>
      <c r="E5988">
        <v>0.42910369999999998</v>
      </c>
      <c r="F5988" t="s">
        <v>99</v>
      </c>
      <c r="G5988">
        <v>-382.82600000000002</v>
      </c>
      <c r="H5988" s="1">
        <v>-3.8477609999999998E-6</v>
      </c>
      <c r="I5988">
        <v>17.044879999999999</v>
      </c>
      <c r="J5988">
        <v>-400.28</v>
      </c>
      <c r="K5988">
        <v>1.1117980000000001</v>
      </c>
      <c r="L5988">
        <v>17.130520000000001</v>
      </c>
      <c r="M5988">
        <v>0.98549019999999998</v>
      </c>
      <c r="N5988">
        <v>0</v>
      </c>
      <c r="O5988">
        <v>-0.16919619999999999</v>
      </c>
      <c r="P5988">
        <v>0.98243530000000001</v>
      </c>
      <c r="Q5988">
        <v>-9.2652120000000001E-3</v>
      </c>
      <c r="R5988">
        <v>-0.1863746</v>
      </c>
      <c r="S5988">
        <v>3.0497740000000002</v>
      </c>
      <c r="T5988">
        <v>-0.19304869999999999</v>
      </c>
      <c r="U5988">
        <v>-1.7700199999999999E-2</v>
      </c>
      <c r="V5988">
        <v>1.7428099999999998E-2</v>
      </c>
      <c r="W5988">
        <v>4.303744E-3</v>
      </c>
      <c r="X5988">
        <v>0.99983880000000003</v>
      </c>
      <c r="Y5988">
        <v>-0.1628269</v>
      </c>
      <c r="Z5988">
        <v>1.5808199999999901E-2</v>
      </c>
      <c r="AA5988">
        <v>0.98652799999999996</v>
      </c>
      <c r="AB5988">
        <v>18</v>
      </c>
      <c r="AC5988">
        <v>17.454000000000001</v>
      </c>
      <c r="AD5988">
        <v>-1.1118018477609899</v>
      </c>
      <c r="AE5988">
        <v>-8.5640000000001396E-2</v>
      </c>
      <c r="AF5988">
        <v>-2.8574199018527402</v>
      </c>
      <c r="AG5988">
        <v>-1.1118018477609899</v>
      </c>
      <c r="AH5988">
        <v>17.147226024992001</v>
      </c>
      <c r="AI5988">
        <v>93.659462367829704</v>
      </c>
      <c r="AJ5988">
        <v>99.460855625713606</v>
      </c>
      <c r="AK5988">
        <v>17.419193787209299</v>
      </c>
      <c r="AL5988">
        <v>89.753412857519393</v>
      </c>
      <c r="AM5988">
        <v>89.00138356235</v>
      </c>
      <c r="AN5988">
        <v>0.999999943433732</v>
      </c>
    </row>
    <row r="5989" spans="1:40" x14ac:dyDescent="0.25">
      <c r="A5989" t="str">
        <f>"20190312160806702"</f>
        <v>20190312160806702</v>
      </c>
      <c r="B5989" t="str">
        <f>"1552378086691504"</f>
        <v>1552378086691504</v>
      </c>
      <c r="C5989" t="s">
        <v>40</v>
      </c>
      <c r="D5989">
        <v>5.7334490000000002</v>
      </c>
      <c r="E5989">
        <v>0.42910369999999998</v>
      </c>
      <c r="F5989" t="s">
        <v>99</v>
      </c>
      <c r="G5989">
        <v>-381.30329999999998</v>
      </c>
      <c r="H5989" s="1">
        <v>-4.5469240000000003E-6</v>
      </c>
      <c r="I5989">
        <v>17.161069999999999</v>
      </c>
      <c r="J5989">
        <v>-400.13589999999999</v>
      </c>
      <c r="K5989">
        <v>1.1117999999999999</v>
      </c>
      <c r="L5989">
        <v>17.109559999999998</v>
      </c>
      <c r="M5989">
        <v>0.98602380000000001</v>
      </c>
      <c r="N5989">
        <v>0</v>
      </c>
      <c r="O5989">
        <v>-0.16605819999999999</v>
      </c>
      <c r="P5989">
        <v>0.98302590000000001</v>
      </c>
      <c r="Q5989">
        <v>-9.324957E-3</v>
      </c>
      <c r="R5989">
        <v>-0.18322939999999999</v>
      </c>
      <c r="S5989">
        <v>3.0528559999999998</v>
      </c>
      <c r="T5989">
        <v>-0.17886089999999999</v>
      </c>
      <c r="U5989">
        <v>4.9133299999999996E-3</v>
      </c>
      <c r="V5989">
        <v>1.741142E-2</v>
      </c>
      <c r="W5989">
        <v>4.2279270000000002E-3</v>
      </c>
      <c r="X5989">
        <v>0.99983949999999999</v>
      </c>
      <c r="Y5989">
        <v>-0.16709079999999901</v>
      </c>
      <c r="Z5989">
        <v>1.457844E-2</v>
      </c>
      <c r="AA5989">
        <v>0.98583370000000003</v>
      </c>
      <c r="AB5989">
        <v>18</v>
      </c>
      <c r="AC5989">
        <v>18.832599999999999</v>
      </c>
      <c r="AD5989">
        <v>-1.1118045469240001</v>
      </c>
      <c r="AE5989">
        <v>5.1510000000000299E-2</v>
      </c>
      <c r="AF5989">
        <v>-3.1673476000180201</v>
      </c>
      <c r="AG5989">
        <v>-1.1118045469240001</v>
      </c>
      <c r="AH5989">
        <v>18.498054793554299</v>
      </c>
      <c r="AI5989">
        <v>93.390336999645697</v>
      </c>
      <c r="AJ5989">
        <v>99.716302041005903</v>
      </c>
      <c r="AK5989">
        <v>18.800165725738701</v>
      </c>
      <c r="AL5989">
        <v>89.757756912216195</v>
      </c>
      <c r="AM5989">
        <v>89.002339818312805</v>
      </c>
      <c r="AN5989">
        <v>1.00000002933669</v>
      </c>
    </row>
    <row r="5990" spans="1:40" x14ac:dyDescent="0.25">
      <c r="A5990" t="str">
        <f>"20190312160806769"</f>
        <v>20190312160806769</v>
      </c>
      <c r="B5990" t="str">
        <f>"1552378086761776"</f>
        <v>1552378086761776</v>
      </c>
      <c r="C5990" t="s">
        <v>40</v>
      </c>
      <c r="D5990">
        <v>5.9380040000000003</v>
      </c>
      <c r="E5990">
        <v>0.4056631</v>
      </c>
      <c r="F5990" t="s">
        <v>99</v>
      </c>
      <c r="G5990">
        <v>-381.18540000000002</v>
      </c>
      <c r="H5990" s="1">
        <v>-4.5956940000000002E-6</v>
      </c>
      <c r="I5990">
        <v>17.200489999999999</v>
      </c>
      <c r="J5990">
        <v>-399.59859999999998</v>
      </c>
      <c r="K5990">
        <v>1.111799</v>
      </c>
      <c r="L5990">
        <v>17.035710000000002</v>
      </c>
      <c r="M5990">
        <v>0.98793169999999997</v>
      </c>
      <c r="N5990">
        <v>0</v>
      </c>
      <c r="O5990">
        <v>-0.1543117</v>
      </c>
      <c r="P5990">
        <v>0.98528919999999998</v>
      </c>
      <c r="Q5990">
        <v>-8.5552930000000003E-3</v>
      </c>
      <c r="R5990">
        <v>-0.1706819</v>
      </c>
      <c r="S5990">
        <v>3.0527950000000001</v>
      </c>
      <c r="T5990">
        <v>-0.17910429999999999</v>
      </c>
      <c r="U5990">
        <v>1.464844E-2</v>
      </c>
      <c r="V5990">
        <v>1.6559379999999999E-2</v>
      </c>
      <c r="W5990">
        <v>4.896447E-3</v>
      </c>
      <c r="X5990">
        <v>0.99985089999999999</v>
      </c>
      <c r="Y5990">
        <v>-0.15852810000000001</v>
      </c>
      <c r="Z5990">
        <v>1.366616E-2</v>
      </c>
      <c r="AA5990">
        <v>0.98725989999999997</v>
      </c>
      <c r="AB5990">
        <v>18</v>
      </c>
      <c r="AC5990">
        <v>18.4131999999999</v>
      </c>
      <c r="AD5990">
        <v>-1.111803595694</v>
      </c>
      <c r="AE5990">
        <v>0.16477999999999601</v>
      </c>
      <c r="AF5990">
        <v>-2.9935192530923298</v>
      </c>
      <c r="AG5990">
        <v>-1.111803595694</v>
      </c>
      <c r="AH5990">
        <v>18.101192451067</v>
      </c>
      <c r="AI5990">
        <v>93.467796878180593</v>
      </c>
      <c r="AJ5990">
        <v>99.390406756795002</v>
      </c>
      <c r="AK5990">
        <v>18.380708172010099</v>
      </c>
      <c r="AL5990">
        <v>89.719453132726798</v>
      </c>
      <c r="AM5990">
        <v>89.051162677454897</v>
      </c>
      <c r="AN5990">
        <v>1.000000005245</v>
      </c>
    </row>
    <row r="5991" spans="1:40" x14ac:dyDescent="0.25">
      <c r="A5991" t="str">
        <f>"20190312160806781"</f>
        <v>20190312160806781</v>
      </c>
      <c r="B5991" t="str">
        <f>"1552378086771536"</f>
        <v>1552378086771536</v>
      </c>
      <c r="C5991" t="s">
        <v>40</v>
      </c>
      <c r="D5991">
        <v>5.9976430000000001</v>
      </c>
      <c r="E5991">
        <v>0.4091341</v>
      </c>
      <c r="F5991" t="s">
        <v>47</v>
      </c>
      <c r="G5991">
        <v>-346.98039999999997</v>
      </c>
      <c r="H5991" s="1">
        <v>-1.644927E-6</v>
      </c>
      <c r="I5991">
        <v>20.99635</v>
      </c>
      <c r="J5991">
        <v>-399.50959999999998</v>
      </c>
      <c r="K5991">
        <v>1.111801</v>
      </c>
      <c r="L5991">
        <v>17.024139999999999</v>
      </c>
      <c r="M5991">
        <v>0.98823530000000004</v>
      </c>
      <c r="N5991">
        <v>0</v>
      </c>
      <c r="O5991">
        <v>-0.1523581</v>
      </c>
      <c r="P5991">
        <v>0.98563690000000004</v>
      </c>
      <c r="Q5991">
        <v>-8.364359E-3</v>
      </c>
      <c r="R5991">
        <v>-0.1686714</v>
      </c>
      <c r="S5991">
        <v>3.084473</v>
      </c>
      <c r="T5991">
        <v>-6.5173629999999996E-2</v>
      </c>
      <c r="U5991">
        <v>0.23217769999999999</v>
      </c>
      <c r="V5991">
        <v>1.6495579999999999E-2</v>
      </c>
      <c r="W5991">
        <v>5.0633379999999997E-3</v>
      </c>
      <c r="X5991">
        <v>0.99985109999999999</v>
      </c>
      <c r="Y5991">
        <v>-0.22604199999999999</v>
      </c>
      <c r="Z5991">
        <v>5.5942680000000003E-3</v>
      </c>
      <c r="AA5991">
        <v>0.97410149999999995</v>
      </c>
      <c r="AB5991">
        <v>18</v>
      </c>
      <c r="AC5991">
        <v>52.529200000000003</v>
      </c>
      <c r="AD5991">
        <v>-1.111802644927</v>
      </c>
      <c r="AE5991">
        <v>3.97221</v>
      </c>
      <c r="AF5991">
        <v>-11.924477557099699</v>
      </c>
      <c r="AG5991">
        <v>-1.111802644927</v>
      </c>
      <c r="AH5991">
        <v>51.2877332359189</v>
      </c>
      <c r="AI5991">
        <v>91.209595773009895</v>
      </c>
      <c r="AJ5991">
        <v>103.088817132443</v>
      </c>
      <c r="AK5991">
        <v>52.667455326888799</v>
      </c>
      <c r="AL5991">
        <v>89.709890857473596</v>
      </c>
      <c r="AM5991">
        <v>89.054817883635394</v>
      </c>
      <c r="AN5991">
        <v>0.99999998186122396</v>
      </c>
    </row>
    <row r="5992" spans="1:40" x14ac:dyDescent="0.25">
      <c r="A5992" t="str">
        <f>"20190312160806804"</f>
        <v>20190312160806804</v>
      </c>
      <c r="B5992" t="str">
        <f>"1552378086801792"</f>
        <v>1552378086801792</v>
      </c>
      <c r="C5992" t="s">
        <v>40</v>
      </c>
      <c r="D5992">
        <v>5.9885260000000002</v>
      </c>
      <c r="E5992">
        <v>0.4120123</v>
      </c>
      <c r="F5992" t="s">
        <v>47</v>
      </c>
      <c r="G5992">
        <v>-353.4375</v>
      </c>
      <c r="H5992" s="1">
        <v>-2.9504179999999998E-6</v>
      </c>
      <c r="I5992">
        <v>20.190570000000001</v>
      </c>
      <c r="J5992">
        <v>-399.327</v>
      </c>
      <c r="K5992">
        <v>1.1117939999999999</v>
      </c>
      <c r="L5992">
        <v>17.000889999999998</v>
      </c>
      <c r="M5992">
        <v>0.98884669999999997</v>
      </c>
      <c r="N5992">
        <v>0</v>
      </c>
      <c r="O5992">
        <v>-0.14834159999999999</v>
      </c>
      <c r="P5992">
        <v>0.98627310000000001</v>
      </c>
      <c r="Q5992">
        <v>-8.1060079999999996E-3</v>
      </c>
      <c r="R5992">
        <v>-0.16492409999999999</v>
      </c>
      <c r="S5992">
        <v>3.0793149999999998</v>
      </c>
      <c r="T5992">
        <v>-7.4309470000000002E-2</v>
      </c>
      <c r="U5992">
        <v>0.21163940000000001</v>
      </c>
      <c r="V5992">
        <v>1.675658E-2</v>
      </c>
      <c r="W5992">
        <v>5.2683749999999996E-3</v>
      </c>
      <c r="X5992">
        <v>0.99984569999999995</v>
      </c>
      <c r="Y5992">
        <v>-0.21570890000000001</v>
      </c>
      <c r="Z5992">
        <v>6.1692279999999997E-3</v>
      </c>
      <c r="AA5992">
        <v>0.97643820000000003</v>
      </c>
      <c r="AB5992">
        <v>18</v>
      </c>
      <c r="AC5992">
        <v>45.889499999999998</v>
      </c>
      <c r="AD5992">
        <v>-1.1117969504180001</v>
      </c>
      <c r="AE5992">
        <v>3.1896800000000001</v>
      </c>
      <c r="AF5992">
        <v>-9.9564917919455702</v>
      </c>
      <c r="AG5992">
        <v>-1.1117969504180001</v>
      </c>
      <c r="AH5992">
        <v>44.882274001762802</v>
      </c>
      <c r="AI5992">
        <v>91.385342567821894</v>
      </c>
      <c r="AJ5992">
        <v>102.507703423721</v>
      </c>
      <c r="AK5992">
        <v>45.986806160368999</v>
      </c>
      <c r="AL5992">
        <v>89.698142945566104</v>
      </c>
      <c r="AM5992">
        <v>89.039860408141493</v>
      </c>
      <c r="AN5992">
        <v>0.99999998127846301</v>
      </c>
    </row>
    <row r="5993" spans="1:40" x14ac:dyDescent="0.25">
      <c r="A5993" t="str">
        <f>"20190312160806817"</f>
        <v>20190312160806817</v>
      </c>
      <c r="B5993" t="str">
        <f>"1552378086811552"</f>
        <v>1552378086811552</v>
      </c>
      <c r="C5993" t="s">
        <v>40</v>
      </c>
      <c r="D5993">
        <v>5.9099560000000002</v>
      </c>
      <c r="E5993">
        <v>0.41354010000000002</v>
      </c>
      <c r="F5993" t="s">
        <v>47</v>
      </c>
      <c r="G5993">
        <v>-357.40609999999998</v>
      </c>
      <c r="H5993" s="1">
        <v>-1.1285530000000001E-6</v>
      </c>
      <c r="I5993">
        <v>19.741959999999999</v>
      </c>
      <c r="J5993">
        <v>-399.22980000000001</v>
      </c>
      <c r="K5993">
        <v>1.1117900000000001</v>
      </c>
      <c r="L5993">
        <v>16.988800000000001</v>
      </c>
      <c r="M5993">
        <v>0.98916579999999998</v>
      </c>
      <c r="N5993">
        <v>0</v>
      </c>
      <c r="O5993">
        <v>-0.1462021</v>
      </c>
      <c r="P5993">
        <v>0.98662240000000001</v>
      </c>
      <c r="Q5993">
        <v>-8.0828689999999995E-3</v>
      </c>
      <c r="R5993">
        <v>-0.16282189999999999</v>
      </c>
      <c r="S5993">
        <v>3.0746769999999999</v>
      </c>
      <c r="T5993">
        <v>-8.1544399999999906E-2</v>
      </c>
      <c r="U5993">
        <v>0.2010498</v>
      </c>
      <c r="V5993">
        <v>1.6788979999999998E-2</v>
      </c>
      <c r="W5993">
        <v>5.2588380000000001E-3</v>
      </c>
      <c r="X5993">
        <v>0.99984519999999999</v>
      </c>
      <c r="Y5993">
        <v>-0.21032690000000001</v>
      </c>
      <c r="Z5993">
        <v>6.6527720000000004E-3</v>
      </c>
      <c r="AA5993">
        <v>0.97760849999999999</v>
      </c>
      <c r="AB5993">
        <v>18</v>
      </c>
      <c r="AC5993">
        <v>41.823700000000002</v>
      </c>
      <c r="AD5993">
        <v>-1.111791128553</v>
      </c>
      <c r="AE5993">
        <v>2.7531599999999901</v>
      </c>
      <c r="AF5993">
        <v>-8.8326075928301009</v>
      </c>
      <c r="AG5993">
        <v>-1.111791128553</v>
      </c>
      <c r="AH5993">
        <v>40.942853618398601</v>
      </c>
      <c r="AI5993">
        <v>91.520505336348705</v>
      </c>
      <c r="AJ5993">
        <v>102.173859837759</v>
      </c>
      <c r="AK5993">
        <v>41.899502369599404</v>
      </c>
      <c r="AL5993">
        <v>89.698689380981406</v>
      </c>
      <c r="AM5993">
        <v>89.038003779763301</v>
      </c>
      <c r="AN5993">
        <v>0.99999997459479495</v>
      </c>
    </row>
    <row r="5994" spans="1:40" x14ac:dyDescent="0.25">
      <c r="A5994" t="str">
        <f>"20190312160806828"</f>
        <v>20190312160806828</v>
      </c>
      <c r="B5994" t="str">
        <f>"1552378086821312"</f>
        <v>1552378086821312</v>
      </c>
      <c r="C5994" t="s">
        <v>40</v>
      </c>
      <c r="D5994">
        <v>6.0783269999999998</v>
      </c>
      <c r="E5994">
        <v>0.41579870000000002</v>
      </c>
      <c r="F5994" t="s">
        <v>97</v>
      </c>
      <c r="G5994">
        <v>-361.25689999999997</v>
      </c>
      <c r="H5994" s="1">
        <v>-4.169774E-6</v>
      </c>
      <c r="I5994">
        <v>19.411149999999999</v>
      </c>
      <c r="J5994">
        <v>-399.13290000000001</v>
      </c>
      <c r="K5994">
        <v>1.111785</v>
      </c>
      <c r="L5994">
        <v>16.97702</v>
      </c>
      <c r="M5994">
        <v>0.98947960000000001</v>
      </c>
      <c r="N5994">
        <v>0</v>
      </c>
      <c r="O5994">
        <v>-0.14406620000000001</v>
      </c>
      <c r="P5994">
        <v>0.98694959999999998</v>
      </c>
      <c r="Q5994">
        <v>-8.2159399999999997E-3</v>
      </c>
      <c r="R5994">
        <v>-0.1608194</v>
      </c>
      <c r="S5994">
        <v>3.0722659999999999</v>
      </c>
      <c r="T5994">
        <v>-8.9951519999999993E-2</v>
      </c>
      <c r="U5994">
        <v>0.19598389999999999</v>
      </c>
      <c r="V5994">
        <v>1.6919710000000001E-2</v>
      </c>
      <c r="W5994">
        <v>5.0919479999999998E-3</v>
      </c>
      <c r="X5994">
        <v>0.99984390000000001</v>
      </c>
      <c r="Y5994">
        <v>-0.2066346</v>
      </c>
      <c r="Z5994">
        <v>7.2282980000000002E-3</v>
      </c>
      <c r="AA5994">
        <v>0.97839149999999997</v>
      </c>
      <c r="AB5994">
        <v>18</v>
      </c>
      <c r="AC5994">
        <v>37.875999999999998</v>
      </c>
      <c r="AD5994">
        <v>-1.1117891697740001</v>
      </c>
      <c r="AE5994">
        <v>2.4341300000000001</v>
      </c>
      <c r="AF5994">
        <v>-7.85911812932566</v>
      </c>
      <c r="AG5994">
        <v>-1.1117891697740001</v>
      </c>
      <c r="AH5994">
        <v>37.098270243768098</v>
      </c>
      <c r="AI5994">
        <v>91.679322417939801</v>
      </c>
      <c r="AJ5994">
        <v>101.96103906956399</v>
      </c>
      <c r="AK5994">
        <v>37.9378896093123</v>
      </c>
      <c r="AL5994">
        <v>89.708251613565807</v>
      </c>
      <c r="AM5994">
        <v>89.030513210695304</v>
      </c>
      <c r="AN5994">
        <v>1.0000000144440599</v>
      </c>
    </row>
    <row r="5995" spans="1:40" x14ac:dyDescent="0.25">
      <c r="A5995" t="str">
        <f>"20190312160806846"</f>
        <v>20190312160806846</v>
      </c>
      <c r="B5995" t="str">
        <f>"1552378086841136"</f>
        <v>1552378086841136</v>
      </c>
      <c r="C5995" t="s">
        <v>40</v>
      </c>
      <c r="D5995">
        <v>6.0029339999999998</v>
      </c>
      <c r="E5995">
        <v>0.41879379999999999</v>
      </c>
      <c r="F5995" t="s">
        <v>97</v>
      </c>
      <c r="G5995">
        <v>-366.23250000000002</v>
      </c>
      <c r="H5995" s="1">
        <v>-1.8976390000000001E-6</v>
      </c>
      <c r="I5995">
        <v>18.96096</v>
      </c>
      <c r="J5995">
        <v>-398.99489999999997</v>
      </c>
      <c r="K5995">
        <v>1.111782</v>
      </c>
      <c r="L5995">
        <v>16.960599999999999</v>
      </c>
      <c r="M5995">
        <v>0.98991790000000002</v>
      </c>
      <c r="N5995">
        <v>0</v>
      </c>
      <c r="O5995">
        <v>-0.1410276</v>
      </c>
      <c r="P5995">
        <v>0.98745300000000003</v>
      </c>
      <c r="Q5995">
        <v>-8.2677210000000004E-3</v>
      </c>
      <c r="R5995">
        <v>-0.15769639999999999</v>
      </c>
      <c r="S5995">
        <v>3.0689090000000001</v>
      </c>
      <c r="T5995">
        <v>-0.10370600000000001</v>
      </c>
      <c r="U5995">
        <v>0.18505859999999999</v>
      </c>
      <c r="V5995">
        <v>1.6826959999999998E-2</v>
      </c>
      <c r="W5995">
        <v>4.9918130000000003E-3</v>
      </c>
      <c r="X5995">
        <v>0.99984600000000001</v>
      </c>
      <c r="Y5995">
        <v>-0.2001802</v>
      </c>
      <c r="Z5995">
        <v>8.1317730000000001E-3</v>
      </c>
      <c r="AA5995">
        <v>0.97972539999999997</v>
      </c>
      <c r="AB5995">
        <v>18</v>
      </c>
      <c r="AC5995">
        <v>32.7623999999999</v>
      </c>
      <c r="AD5995">
        <v>-1.111783897639</v>
      </c>
      <c r="AE5995">
        <v>2.0003600000000001</v>
      </c>
      <c r="AF5995">
        <v>-6.59360359336263</v>
      </c>
      <c r="AG5995">
        <v>-1.111783897639</v>
      </c>
      <c r="AH5995">
        <v>32.1159276145871</v>
      </c>
      <c r="AI5995">
        <v>91.9421863388784</v>
      </c>
      <c r="AJ5995">
        <v>101.60196939138901</v>
      </c>
      <c r="AK5995">
        <v>32.804641109557302</v>
      </c>
      <c r="AL5995">
        <v>89.7139890078154</v>
      </c>
      <c r="AM5995">
        <v>89.035828735332402</v>
      </c>
      <c r="AN5995">
        <v>1.00000004424793</v>
      </c>
    </row>
    <row r="5996" spans="1:40" x14ac:dyDescent="0.25">
      <c r="A5996" t="str">
        <f>"20190312160806857"</f>
        <v>20190312160806857</v>
      </c>
      <c r="B5996" t="str">
        <f>"1552378086851872"</f>
        <v>1552378086851872</v>
      </c>
      <c r="C5996" t="s">
        <v>40</v>
      </c>
      <c r="D5996">
        <v>6.0559050000000001</v>
      </c>
      <c r="E5996">
        <v>0.4194486</v>
      </c>
      <c r="F5996" t="s">
        <v>97</v>
      </c>
      <c r="G5996">
        <v>-369.88260000000002</v>
      </c>
      <c r="H5996" s="1">
        <v>-3.1800740000000002E-7</v>
      </c>
      <c r="I5996">
        <v>18.592169999999999</v>
      </c>
      <c r="J5996">
        <v>-398.90460000000002</v>
      </c>
      <c r="K5996">
        <v>1.111777</v>
      </c>
      <c r="L5996">
        <v>16.950039999999898</v>
      </c>
      <c r="M5996">
        <v>0.99019990000000002</v>
      </c>
      <c r="N5996">
        <v>0</v>
      </c>
      <c r="O5996">
        <v>-0.13903740000000001</v>
      </c>
      <c r="P5996">
        <v>0.98779430000000001</v>
      </c>
      <c r="Q5996">
        <v>-8.0859769999999994E-3</v>
      </c>
      <c r="R5996">
        <v>-0.15555539999999901</v>
      </c>
      <c r="S5996">
        <v>3.0646059999999999</v>
      </c>
      <c r="T5996">
        <v>-0.1170356</v>
      </c>
      <c r="U5996">
        <v>0.17175289999999999</v>
      </c>
      <c r="V5996">
        <v>1.6668329999999999E-2</v>
      </c>
      <c r="W5996">
        <v>5.1420140000000003E-3</v>
      </c>
      <c r="X5996">
        <v>0.99984779999999995</v>
      </c>
      <c r="Y5996">
        <v>-0.19400220000000001</v>
      </c>
      <c r="Z5996">
        <v>8.9965189999999997E-3</v>
      </c>
      <c r="AA5996">
        <v>0.98095980000000005</v>
      </c>
      <c r="AB5996">
        <v>18</v>
      </c>
      <c r="AC5996">
        <v>29.021999999999899</v>
      </c>
      <c r="AD5996">
        <v>-1.1117773180074</v>
      </c>
      <c r="AE5996">
        <v>1.6421300000000001</v>
      </c>
      <c r="AF5996">
        <v>-5.6533995178518701</v>
      </c>
      <c r="AG5996">
        <v>-1.1117773180074</v>
      </c>
      <c r="AH5996">
        <v>28.470080172562898</v>
      </c>
      <c r="AI5996">
        <v>92.193519951713796</v>
      </c>
      <c r="AJ5996">
        <v>101.231314441351</v>
      </c>
      <c r="AK5996">
        <v>29.047244963084601</v>
      </c>
      <c r="AL5996">
        <v>89.705382986081602</v>
      </c>
      <c r="AM5996">
        <v>89.044918134075999</v>
      </c>
      <c r="AN5996">
        <v>0.99999994834890105</v>
      </c>
    </row>
    <row r="5997" spans="1:40" x14ac:dyDescent="0.25">
      <c r="A5997" t="str">
        <f>"20190312160806868"</f>
        <v>20190312160806868</v>
      </c>
      <c r="B5997" t="str">
        <f>"1552378086861631"</f>
        <v>1552378086861631</v>
      </c>
      <c r="C5997" t="s">
        <v>40</v>
      </c>
      <c r="D5997">
        <v>5.9706409999999996</v>
      </c>
      <c r="E5997">
        <v>0.4202456</v>
      </c>
      <c r="F5997" t="s">
        <v>97</v>
      </c>
      <c r="G5997">
        <v>-368.99180000000001</v>
      </c>
      <c r="H5997" s="1">
        <v>-6.5015190000000004E-7</v>
      </c>
      <c r="I5997">
        <v>18.640229999999999</v>
      </c>
      <c r="J5997">
        <v>-398.81229999999999</v>
      </c>
      <c r="K5997">
        <v>1.1117709999999901</v>
      </c>
      <c r="L5997">
        <v>16.93948</v>
      </c>
      <c r="M5997">
        <v>0.99048389999999997</v>
      </c>
      <c r="N5997">
        <v>0</v>
      </c>
      <c r="O5997">
        <v>-0.13700209999999999</v>
      </c>
      <c r="P5997">
        <v>0.98811070000000001</v>
      </c>
      <c r="Q5997">
        <v>-7.9705139999999997E-3</v>
      </c>
      <c r="R5997">
        <v>-0.15353800000000001</v>
      </c>
      <c r="S5997">
        <v>3.0634160000000001</v>
      </c>
      <c r="T5997">
        <v>-0.1138589</v>
      </c>
      <c r="U5997">
        <v>0.17309569999999999</v>
      </c>
      <c r="V5997">
        <v>1.6681109999999999E-2</v>
      </c>
      <c r="W5997">
        <v>5.2264140000000004E-3</v>
      </c>
      <c r="X5997">
        <v>0.99984720000000005</v>
      </c>
      <c r="Y5997">
        <v>-0.19245110000000001</v>
      </c>
      <c r="Z5997">
        <v>8.6518669999999902E-3</v>
      </c>
      <c r="AA5997">
        <v>0.98126840000000004</v>
      </c>
      <c r="AB5997">
        <v>18</v>
      </c>
      <c r="AC5997">
        <v>29.8204999999999</v>
      </c>
      <c r="AD5997">
        <v>-1.1117716501518999</v>
      </c>
      <c r="AE5997">
        <v>1.70074999999999</v>
      </c>
      <c r="AF5997">
        <v>-5.7625493741853697</v>
      </c>
      <c r="AG5997">
        <v>-1.1117716501518999</v>
      </c>
      <c r="AH5997">
        <v>29.265694098129501</v>
      </c>
      <c r="AI5997">
        <v>92.134609334165901</v>
      </c>
      <c r="AJ5997">
        <v>101.139298548629</v>
      </c>
      <c r="AK5997">
        <v>29.848347735466</v>
      </c>
      <c r="AL5997">
        <v>89.700547172249998</v>
      </c>
      <c r="AM5997">
        <v>89.044185412713304</v>
      </c>
      <c r="AN5997">
        <v>0.99999999909098503</v>
      </c>
    </row>
    <row r="5998" spans="1:40" x14ac:dyDescent="0.25">
      <c r="A5998" t="str">
        <f>"20190312160806884"</f>
        <v>20190312160806884</v>
      </c>
      <c r="B5998" t="str">
        <f>"1552378086871391"</f>
        <v>1552378086871391</v>
      </c>
      <c r="C5998" t="s">
        <v>40</v>
      </c>
      <c r="D5998">
        <v>6.046278</v>
      </c>
      <c r="E5998">
        <v>0.42068299999999997</v>
      </c>
      <c r="F5998" t="s">
        <v>98</v>
      </c>
      <c r="G5998">
        <v>-370.56819999999999</v>
      </c>
      <c r="H5998" s="1">
        <v>-4.6301090000000004E-6</v>
      </c>
      <c r="I5998">
        <v>18.538640000000001</v>
      </c>
      <c r="J5998">
        <v>-398.69920000000002</v>
      </c>
      <c r="K5998">
        <v>1.1117649999999999</v>
      </c>
      <c r="L5998">
        <v>16.926819999999999</v>
      </c>
      <c r="M5998">
        <v>0.99082590000000004</v>
      </c>
      <c r="N5998">
        <v>0</v>
      </c>
      <c r="O5998">
        <v>-0.13451080000000001</v>
      </c>
      <c r="P5998">
        <v>0.98856169999999999</v>
      </c>
      <c r="Q5998">
        <v>-7.5660069999999996E-3</v>
      </c>
      <c r="R5998">
        <v>-0.1506286</v>
      </c>
      <c r="S5998">
        <v>3.0620419999999999</v>
      </c>
      <c r="T5998">
        <v>-0.12053179999999999</v>
      </c>
      <c r="U5998">
        <v>0.17337040000000001</v>
      </c>
      <c r="V5998">
        <v>1.625012E-2</v>
      </c>
      <c r="W5998">
        <v>5.5911889999999999E-3</v>
      </c>
      <c r="X5998">
        <v>0.99985230000000003</v>
      </c>
      <c r="Y5998">
        <v>-0.1900715</v>
      </c>
      <c r="Z5998">
        <v>9.0183880000000004E-3</v>
      </c>
      <c r="AA5998">
        <v>0.98172890000000002</v>
      </c>
      <c r="AB5998">
        <v>18</v>
      </c>
      <c r="AC5998">
        <v>28.131</v>
      </c>
      <c r="AD5998">
        <v>-1.1117696301090001</v>
      </c>
      <c r="AE5998">
        <v>1.61181999999999</v>
      </c>
      <c r="AF5998">
        <v>-5.3730513018527901</v>
      </c>
      <c r="AG5998">
        <v>-1.1117696301090001</v>
      </c>
      <c r="AH5998">
        <v>27.6154873547842</v>
      </c>
      <c r="AI5998">
        <v>92.263029536903801</v>
      </c>
      <c r="AJ5998">
        <v>101.010284353015</v>
      </c>
      <c r="AK5998">
        <v>28.155298859096199</v>
      </c>
      <c r="AL5998">
        <v>89.679646790639197</v>
      </c>
      <c r="AM5998">
        <v>89.068881146566099</v>
      </c>
      <c r="AN5998">
        <v>0.99999997480486802</v>
      </c>
    </row>
    <row r="5999" spans="1:40" x14ac:dyDescent="0.25">
      <c r="A5999" t="str">
        <f>"20190312160806904"</f>
        <v>20190312160806904</v>
      </c>
      <c r="B5999" t="str">
        <f>"1552378086891887"</f>
        <v>1552378086891887</v>
      </c>
      <c r="C5999" t="s">
        <v>40</v>
      </c>
      <c r="D5999">
        <v>6.0624719999999996</v>
      </c>
      <c r="E5999">
        <v>0.42209600000000003</v>
      </c>
      <c r="F5999" t="s">
        <v>97</v>
      </c>
      <c r="G5999">
        <v>-369.42380000000003</v>
      </c>
      <c r="H5999" s="1">
        <v>-4.8254659999999999E-7</v>
      </c>
      <c r="I5999">
        <v>18.63597</v>
      </c>
      <c r="J5999">
        <v>-398.5376</v>
      </c>
      <c r="K5999">
        <v>1.1117589999999999</v>
      </c>
      <c r="L5999">
        <v>16.909179999999999</v>
      </c>
      <c r="M5999">
        <v>0.99130300000000005</v>
      </c>
      <c r="N5999">
        <v>0</v>
      </c>
      <c r="O5999">
        <v>-0.1309526</v>
      </c>
      <c r="P5999">
        <v>0.98909959999999997</v>
      </c>
      <c r="Q5999">
        <v>-7.6801219999999898E-3</v>
      </c>
      <c r="R5999">
        <v>-0.14704819999999999</v>
      </c>
      <c r="S5999">
        <v>3.0610659999999998</v>
      </c>
      <c r="T5999">
        <v>-0.1162475</v>
      </c>
      <c r="U5999">
        <v>0.17871090000000001</v>
      </c>
      <c r="V5999">
        <v>1.6220700000000001E-2</v>
      </c>
      <c r="W5999">
        <v>5.4209599999999998E-3</v>
      </c>
      <c r="X5999">
        <v>0.99985369999999996</v>
      </c>
      <c r="Y5999">
        <v>-0.1882925</v>
      </c>
      <c r="Z5999">
        <v>8.5324770000000001E-3</v>
      </c>
      <c r="AA5999">
        <v>0.9820759</v>
      </c>
      <c r="AB5999">
        <v>18</v>
      </c>
      <c r="AC5999">
        <v>29.113799999999902</v>
      </c>
      <c r="AD5999">
        <v>-1.1117594825466</v>
      </c>
      <c r="AE5999">
        <v>1.72679</v>
      </c>
      <c r="AF5999">
        <v>-5.5167524738009899</v>
      </c>
      <c r="AG5999">
        <v>-1.1117594825466</v>
      </c>
      <c r="AH5999">
        <v>28.5953484984468</v>
      </c>
      <c r="AI5999">
        <v>92.186209638334901</v>
      </c>
      <c r="AJ5999">
        <v>100.919620970632</v>
      </c>
      <c r="AK5999">
        <v>29.143859091613901</v>
      </c>
      <c r="AL5999">
        <v>89.689400337292895</v>
      </c>
      <c r="AM5999">
        <v>89.070567894178595</v>
      </c>
      <c r="AN5999">
        <v>0.99999995965974997</v>
      </c>
    </row>
    <row r="6000" spans="1:40" x14ac:dyDescent="0.25">
      <c r="A6000" t="str">
        <f>"20190312160806919"</f>
        <v>20190312160806919</v>
      </c>
      <c r="B6000" t="str">
        <f>"1552378086911407"</f>
        <v>1552378086911407</v>
      </c>
      <c r="C6000" t="s">
        <v>40</v>
      </c>
      <c r="D6000">
        <v>6.1050909999999998</v>
      </c>
      <c r="E6000">
        <v>0.4235739</v>
      </c>
      <c r="F6000" t="s">
        <v>98</v>
      </c>
      <c r="G6000">
        <v>-371.50830000000002</v>
      </c>
      <c r="H6000" s="1">
        <v>-4.1939069999999998E-6</v>
      </c>
      <c r="I6000">
        <v>18.49248</v>
      </c>
      <c r="J6000">
        <v>-398.4246</v>
      </c>
      <c r="K6000">
        <v>1.111753</v>
      </c>
      <c r="L6000">
        <v>16.89716</v>
      </c>
      <c r="M6000">
        <v>0.99162939999999999</v>
      </c>
      <c r="N6000">
        <v>0</v>
      </c>
      <c r="O6000">
        <v>-0.12846350000000001</v>
      </c>
      <c r="P6000">
        <v>0.98945919999999998</v>
      </c>
      <c r="Q6000">
        <v>-7.6003599999999996E-3</v>
      </c>
      <c r="R6000">
        <v>-0.1446132</v>
      </c>
      <c r="S6000">
        <v>3.0586850000000001</v>
      </c>
      <c r="T6000">
        <v>-0.12580910000000001</v>
      </c>
      <c r="U6000">
        <v>0.17916869999999999</v>
      </c>
      <c r="V6000">
        <v>1.626971E-2</v>
      </c>
      <c r="W6000">
        <v>5.4610140000000001E-3</v>
      </c>
      <c r="X6000">
        <v>0.99985270000000004</v>
      </c>
      <c r="Y6000">
        <v>-0.1859816</v>
      </c>
      <c r="Z6000">
        <v>9.0915939999999997E-3</v>
      </c>
      <c r="AA6000">
        <v>0.98251120000000003</v>
      </c>
      <c r="AB6000">
        <v>18</v>
      </c>
      <c r="AC6000">
        <v>26.9162999999999</v>
      </c>
      <c r="AD6000">
        <v>-1.1117571939069999</v>
      </c>
      <c r="AE6000">
        <v>1.5953200000000001</v>
      </c>
      <c r="AF6000">
        <v>-5.0315983130752802</v>
      </c>
      <c r="AG6000">
        <v>-1.1117571939069999</v>
      </c>
      <c r="AH6000">
        <v>26.4433271640425</v>
      </c>
      <c r="AI6000">
        <v>92.365084600262804</v>
      </c>
      <c r="AJ6000">
        <v>100.773370727543</v>
      </c>
      <c r="AK6000">
        <v>26.940722654504501</v>
      </c>
      <c r="AL6000">
        <v>89.687105382538107</v>
      </c>
      <c r="AM6000">
        <v>89.067759226129496</v>
      </c>
      <c r="AN6000">
        <v>0.99999997391733997</v>
      </c>
    </row>
    <row r="6001" spans="1:40" x14ac:dyDescent="0.25">
      <c r="A6001" t="str">
        <f>"20190312160806936"</f>
        <v>20190312160806936</v>
      </c>
      <c r="B6001" t="str">
        <f>"1552378086931903"</f>
        <v>1552378086931903</v>
      </c>
      <c r="C6001" t="s">
        <v>40</v>
      </c>
      <c r="D6001">
        <v>6.0937010000000003</v>
      </c>
      <c r="E6001">
        <v>0.42471550000000002</v>
      </c>
      <c r="F6001" t="s">
        <v>98</v>
      </c>
      <c r="G6001">
        <v>-372.08159999999998</v>
      </c>
      <c r="H6001" s="1">
        <v>-3.9379970000000004E-6</v>
      </c>
      <c r="I6001">
        <v>18.407360000000001</v>
      </c>
      <c r="J6001">
        <v>-398.28190000000001</v>
      </c>
      <c r="K6001">
        <v>1.111747</v>
      </c>
      <c r="L6001">
        <v>16.88242</v>
      </c>
      <c r="M6001">
        <v>0.99203189999999997</v>
      </c>
      <c r="N6001">
        <v>0</v>
      </c>
      <c r="O6001">
        <v>-0.1253213</v>
      </c>
      <c r="P6001">
        <v>0.98992539999999996</v>
      </c>
      <c r="Q6001">
        <v>-7.2024280000000003E-3</v>
      </c>
      <c r="R6001">
        <v>-0.14140739999999999</v>
      </c>
      <c r="S6001">
        <v>3.05661</v>
      </c>
      <c r="T6001">
        <v>-0.12899849999999999</v>
      </c>
      <c r="U6001">
        <v>0.1752319</v>
      </c>
      <c r="V6001">
        <v>1.6196530000000001E-2</v>
      </c>
      <c r="W6001">
        <v>5.80767E-3</v>
      </c>
      <c r="X6001">
        <v>0.99985190000000002</v>
      </c>
      <c r="Y6001">
        <v>-0.18163750000000001</v>
      </c>
      <c r="Z6001">
        <v>9.1049900000000003E-3</v>
      </c>
      <c r="AA6001">
        <v>0.98332339999999996</v>
      </c>
      <c r="AB6001">
        <v>18</v>
      </c>
      <c r="AC6001">
        <v>26.200299999999999</v>
      </c>
      <c r="AD6001">
        <v>-1.1117509379970001</v>
      </c>
      <c r="AE6001">
        <v>1.52494</v>
      </c>
      <c r="AF6001">
        <v>-4.7880540222278398</v>
      </c>
      <c r="AG6001">
        <v>-1.1117509379970001</v>
      </c>
      <c r="AH6001">
        <v>25.756365395710102</v>
      </c>
      <c r="AI6001">
        <v>92.430007575867506</v>
      </c>
      <c r="AJ6001">
        <v>100.53095309010099</v>
      </c>
      <c r="AK6001">
        <v>26.2212091610063</v>
      </c>
      <c r="AL6001">
        <v>89.667243129375905</v>
      </c>
      <c r="AM6001">
        <v>89.071950901472405</v>
      </c>
      <c r="AN6001">
        <v>0.99999993927423803</v>
      </c>
    </row>
    <row r="6002" spans="1:40" x14ac:dyDescent="0.25">
      <c r="A6002" t="str">
        <f>"20190312160806958"</f>
        <v>20190312160806958</v>
      </c>
      <c r="B6002" t="str">
        <f>"1552378086951930"</f>
        <v>1552378086951930</v>
      </c>
      <c r="C6002" t="s">
        <v>40</v>
      </c>
      <c r="D6002">
        <v>6.0752519999999999</v>
      </c>
      <c r="E6002">
        <v>0.42566189999999998</v>
      </c>
      <c r="F6002" t="s">
        <v>98</v>
      </c>
      <c r="G6002">
        <v>-372.29759999999999</v>
      </c>
      <c r="H6002" s="1">
        <v>-3.8406430000000003E-6</v>
      </c>
      <c r="I6002">
        <v>18.380510000000001</v>
      </c>
      <c r="J6002">
        <v>-398.10169999999999</v>
      </c>
      <c r="K6002">
        <v>1.1117379999999999</v>
      </c>
      <c r="L6002">
        <v>16.8645</v>
      </c>
      <c r="M6002">
        <v>0.99252549999999995</v>
      </c>
      <c r="N6002">
        <v>0</v>
      </c>
      <c r="O6002">
        <v>-0.1213563</v>
      </c>
      <c r="P6002">
        <v>0.99051710000000004</v>
      </c>
      <c r="Q6002">
        <v>-7.1401240000000003E-3</v>
      </c>
      <c r="R6002">
        <v>-0.13720470000000001</v>
      </c>
      <c r="S6002">
        <v>3.0547179999999998</v>
      </c>
      <c r="T6002">
        <v>-0.1306978</v>
      </c>
      <c r="U6002">
        <v>0.17611689999999999</v>
      </c>
      <c r="V6002">
        <v>1.594837E-2</v>
      </c>
      <c r="W6002">
        <v>5.8048090000000002E-3</v>
      </c>
      <c r="X6002">
        <v>0.99985599999999997</v>
      </c>
      <c r="Y6002">
        <v>-0.17802509999999999</v>
      </c>
      <c r="Z6002">
        <v>8.9845280000000003E-3</v>
      </c>
      <c r="AA6002">
        <v>0.98398490000000005</v>
      </c>
      <c r="AB6002">
        <v>18</v>
      </c>
      <c r="AC6002">
        <v>25.804099999999998</v>
      </c>
      <c r="AD6002">
        <v>-1.111741840643</v>
      </c>
      <c r="AE6002">
        <v>1.5160100000000001</v>
      </c>
      <c r="AF6002">
        <v>-4.6279919828280001</v>
      </c>
      <c r="AG6002">
        <v>-1.111741840643</v>
      </c>
      <c r="AH6002">
        <v>25.3824044498446</v>
      </c>
      <c r="AI6002">
        <v>92.467309931113405</v>
      </c>
      <c r="AJ6002">
        <v>100.333270246881</v>
      </c>
      <c r="AK6002">
        <v>25.824808525308601</v>
      </c>
      <c r="AL6002">
        <v>89.667407086721497</v>
      </c>
      <c r="AM6002">
        <v>89.086171601071001</v>
      </c>
      <c r="AN6002">
        <v>1.00000003352459</v>
      </c>
    </row>
    <row r="6003" spans="1:40" x14ac:dyDescent="0.25">
      <c r="A6003" t="str">
        <f>"20190312160806970"</f>
        <v>20190312160806970</v>
      </c>
      <c r="B6003" t="str">
        <f>"1552378086961690"</f>
        <v>1552378086961690</v>
      </c>
      <c r="C6003" t="s">
        <v>40</v>
      </c>
      <c r="D6003">
        <v>6.0644549999999997</v>
      </c>
      <c r="E6003">
        <v>0.4260795</v>
      </c>
      <c r="F6003" t="s">
        <v>98</v>
      </c>
      <c r="G6003">
        <v>-372.31560000000002</v>
      </c>
      <c r="H6003" s="1">
        <v>-3.8291959999999996E-6</v>
      </c>
      <c r="I6003">
        <v>18.397169999999999</v>
      </c>
      <c r="J6003">
        <v>-398.01080000000002</v>
      </c>
      <c r="K6003">
        <v>1.111734</v>
      </c>
      <c r="L6003">
        <v>16.855709999999998</v>
      </c>
      <c r="M6003">
        <v>0.9927684</v>
      </c>
      <c r="N6003">
        <v>0</v>
      </c>
      <c r="O6003">
        <v>-0.1193574</v>
      </c>
      <c r="P6003">
        <v>0.99078560000000004</v>
      </c>
      <c r="Q6003">
        <v>-6.919092E-3</v>
      </c>
      <c r="R6003">
        <v>-0.13526379999999999</v>
      </c>
      <c r="S6003">
        <v>3.0528870000000001</v>
      </c>
      <c r="T6003">
        <v>-0.1316223</v>
      </c>
      <c r="U6003">
        <v>0.18145749999999999</v>
      </c>
      <c r="V6003">
        <v>1.6001970000000001E-2</v>
      </c>
      <c r="W6003">
        <v>5.9941090000000001E-3</v>
      </c>
      <c r="X6003">
        <v>0.99985400000000002</v>
      </c>
      <c r="Y6003">
        <v>-0.1777908</v>
      </c>
      <c r="Z6003">
        <v>8.9623120000000001E-3</v>
      </c>
      <c r="AA6003">
        <v>0.98402750000000005</v>
      </c>
      <c r="AB6003">
        <v>18</v>
      </c>
      <c r="AC6003">
        <v>25.6952</v>
      </c>
      <c r="AD6003">
        <v>-1.1117378291960001</v>
      </c>
      <c r="AE6003">
        <v>1.5414600000000001</v>
      </c>
      <c r="AF6003">
        <v>-4.5890439205996101</v>
      </c>
      <c r="AG6003">
        <v>-1.1117378291960001</v>
      </c>
      <c r="AH6003">
        <v>25.280329406272099</v>
      </c>
      <c r="AI6003">
        <v>92.477601460910705</v>
      </c>
      <c r="AJ6003">
        <v>100.288655574201</v>
      </c>
      <c r="AK6003">
        <v>25.717510377089098</v>
      </c>
      <c r="AL6003">
        <v>89.656560798099903</v>
      </c>
      <c r="AM6003">
        <v>89.083099055131598</v>
      </c>
      <c r="AN6003">
        <v>1.00000000685129</v>
      </c>
    </row>
    <row r="6004" spans="1:40" x14ac:dyDescent="0.25">
      <c r="A6004" t="str">
        <f>"20190312160806983"</f>
        <v>20190312160806983</v>
      </c>
      <c r="B6004" t="str">
        <f>"1552378086971450"</f>
        <v>1552378086971450</v>
      </c>
      <c r="C6004" t="s">
        <v>40</v>
      </c>
      <c r="D6004">
        <v>6.0740959999999999</v>
      </c>
      <c r="E6004">
        <v>0.42653210000000003</v>
      </c>
      <c r="F6004" t="s">
        <v>98</v>
      </c>
      <c r="G6004">
        <v>-372.1644</v>
      </c>
      <c r="H6004" s="1">
        <v>-3.897488E-6</v>
      </c>
      <c r="I6004">
        <v>18.415120000000002</v>
      </c>
      <c r="J6004">
        <v>-397.91539999999998</v>
      </c>
      <c r="K6004">
        <v>1.111723</v>
      </c>
      <c r="L6004">
        <v>16.84674</v>
      </c>
      <c r="M6004">
        <v>0.99301890000000004</v>
      </c>
      <c r="N6004">
        <v>0</v>
      </c>
      <c r="O6004">
        <v>-0.1172578</v>
      </c>
      <c r="P6004">
        <v>0.99106479999999997</v>
      </c>
      <c r="Q6004">
        <v>-7.1472080000000004E-3</v>
      </c>
      <c r="R6004">
        <v>-0.13319010000000001</v>
      </c>
      <c r="S6004">
        <v>3.0520939999999999</v>
      </c>
      <c r="T6004">
        <v>-0.13128029999999999</v>
      </c>
      <c r="U6004">
        <v>0.1841431</v>
      </c>
      <c r="V6004">
        <v>1.6025299999999999E-2</v>
      </c>
      <c r="W6004">
        <v>5.7332839999999999E-3</v>
      </c>
      <c r="X6004">
        <v>0.99985520000000006</v>
      </c>
      <c r="Y6004">
        <v>-0.1765921</v>
      </c>
      <c r="Z6004">
        <v>8.8255739999999992E-3</v>
      </c>
      <c r="AA6004">
        <v>0.98424460000000003</v>
      </c>
      <c r="AB6004">
        <v>18</v>
      </c>
      <c r="AC6004">
        <v>25.750999999999902</v>
      </c>
      <c r="AD6004">
        <v>-1.1117268974879999</v>
      </c>
      <c r="AE6004">
        <v>1.5683800000000001</v>
      </c>
      <c r="AF6004">
        <v>-4.5688280302332602</v>
      </c>
      <c r="AG6004">
        <v>-1.1117268974879999</v>
      </c>
      <c r="AH6004">
        <v>25.342348392997799</v>
      </c>
      <c r="AI6004">
        <v>92.472058498394105</v>
      </c>
      <c r="AJ6004">
        <v>100.219751995355</v>
      </c>
      <c r="AK6004">
        <v>25.774886000456402</v>
      </c>
      <c r="AL6004">
        <v>89.6715052411123</v>
      </c>
      <c r="AM6004">
        <v>89.081763594106903</v>
      </c>
      <c r="AN6004">
        <v>1.0000000508762701</v>
      </c>
    </row>
    <row r="6005" spans="1:40" x14ac:dyDescent="0.25">
      <c r="A6005" t="str">
        <f>"20190312160807013"</f>
        <v>20190312160807013</v>
      </c>
      <c r="B6005" t="str">
        <f>"1552378087001706"</f>
        <v>1552378087001706</v>
      </c>
      <c r="C6005" t="s">
        <v>40</v>
      </c>
      <c r="D6005">
        <v>6.0910190000000002</v>
      </c>
      <c r="E6005">
        <v>0.42742069999999999</v>
      </c>
      <c r="F6005" t="s">
        <v>98</v>
      </c>
      <c r="G6005">
        <v>-372.30329999999998</v>
      </c>
      <c r="H6005" s="1">
        <v>-3.8314780000000003E-6</v>
      </c>
      <c r="I6005">
        <v>18.41705</v>
      </c>
      <c r="J6005">
        <v>-397.67039999999997</v>
      </c>
      <c r="K6005">
        <v>1.111718</v>
      </c>
      <c r="L6005">
        <v>16.82443</v>
      </c>
      <c r="M6005">
        <v>0.99364169999999996</v>
      </c>
      <c r="N6005">
        <v>0</v>
      </c>
      <c r="O6005">
        <v>-0.1118668</v>
      </c>
      <c r="P6005">
        <v>0.99173960000000005</v>
      </c>
      <c r="Q6005">
        <v>-6.3966869999999999E-3</v>
      </c>
      <c r="R6005">
        <v>-0.1281081</v>
      </c>
      <c r="S6005">
        <v>3.0512079999999999</v>
      </c>
      <c r="T6005">
        <v>-0.1324418</v>
      </c>
      <c r="U6005">
        <v>0.18707280000000001</v>
      </c>
      <c r="V6005">
        <v>1.6322940000000001E-2</v>
      </c>
      <c r="W6005">
        <v>6.399414E-3</v>
      </c>
      <c r="X6005">
        <v>0.99984629999999997</v>
      </c>
      <c r="Y6005">
        <v>-0.17221149999999999</v>
      </c>
      <c r="Z6005">
        <v>8.5780849999999992E-3</v>
      </c>
      <c r="AA6005">
        <v>0.98502270000000003</v>
      </c>
      <c r="AB6005">
        <v>18</v>
      </c>
      <c r="AC6005">
        <v>25.367099999999901</v>
      </c>
      <c r="AD6005">
        <v>-1.111721831478</v>
      </c>
      <c r="AE6005">
        <v>1.5926199999999999</v>
      </c>
      <c r="AF6005">
        <v>-4.4121470436607799</v>
      </c>
      <c r="AG6005">
        <v>-1.111721831478</v>
      </c>
      <c r="AH6005">
        <v>24.9818811110609</v>
      </c>
      <c r="AI6005">
        <v>92.509261840424998</v>
      </c>
      <c r="AJ6005">
        <v>100.01594186832899</v>
      </c>
      <c r="AK6005">
        <v>25.392860232999499</v>
      </c>
      <c r="AL6005">
        <v>89.633338086450806</v>
      </c>
      <c r="AM6005">
        <v>89.064703746855898</v>
      </c>
      <c r="AN6005">
        <v>1.0000000072467301</v>
      </c>
    </row>
    <row r="6006" spans="1:40" x14ac:dyDescent="0.25">
      <c r="A6006" t="str">
        <f>"20190312160807035"</f>
        <v>20190312160807035</v>
      </c>
      <c r="B6006" t="str">
        <f>"1552378087031962"</f>
        <v>1552378087031962</v>
      </c>
      <c r="C6006" t="s">
        <v>40</v>
      </c>
      <c r="D6006">
        <v>6.1068800000000003</v>
      </c>
      <c r="E6006">
        <v>0.4284058</v>
      </c>
      <c r="F6006" t="s">
        <v>98</v>
      </c>
      <c r="G6006">
        <v>-371.73009999999999</v>
      </c>
      <c r="H6006" s="1">
        <v>-4.0895329999999998E-6</v>
      </c>
      <c r="I6006">
        <v>18.48976</v>
      </c>
      <c r="J6006">
        <v>-397.49130000000002</v>
      </c>
      <c r="K6006">
        <v>1.1117049999999999</v>
      </c>
      <c r="L6006">
        <v>16.809049999999999</v>
      </c>
      <c r="M6006">
        <v>0.99407820000000002</v>
      </c>
      <c r="N6006">
        <v>0</v>
      </c>
      <c r="O6006">
        <v>-0.10792789999999999</v>
      </c>
      <c r="P6006">
        <v>0.99226950000000003</v>
      </c>
      <c r="Q6006">
        <v>-5.7928060000000002E-3</v>
      </c>
      <c r="R6006">
        <v>-0.1239676</v>
      </c>
      <c r="S6006">
        <v>3.0494379999999999</v>
      </c>
      <c r="T6006">
        <v>-0.13068969999999999</v>
      </c>
      <c r="U6006">
        <v>0.19577030000000001</v>
      </c>
      <c r="V6006">
        <v>1.610967E-2</v>
      </c>
      <c r="W6006">
        <v>6.9396569999999897E-3</v>
      </c>
      <c r="X6006">
        <v>0.99984620000000002</v>
      </c>
      <c r="Y6006">
        <v>-0.1711521</v>
      </c>
      <c r="Z6006">
        <v>8.2782819999999997E-3</v>
      </c>
      <c r="AA6006">
        <v>0.98520980000000002</v>
      </c>
      <c r="AB6006">
        <v>18</v>
      </c>
      <c r="AC6006">
        <v>25.761199999999999</v>
      </c>
      <c r="AD6006">
        <v>-1.111709089533</v>
      </c>
      <c r="AE6006">
        <v>1.6807099999999999</v>
      </c>
      <c r="AF6006">
        <v>-4.4432261868784</v>
      </c>
      <c r="AG6006">
        <v>-1.111709089533</v>
      </c>
      <c r="AH6006">
        <v>25.382218520282301</v>
      </c>
      <c r="AI6006">
        <v>92.470362882601904</v>
      </c>
      <c r="AJ6006">
        <v>99.929175907444701</v>
      </c>
      <c r="AK6006">
        <v>25.792153323421399</v>
      </c>
      <c r="AL6006">
        <v>89.602383771800504</v>
      </c>
      <c r="AM6006">
        <v>89.076921789848498</v>
      </c>
      <c r="AN6006">
        <v>1.00000005198061</v>
      </c>
    </row>
    <row r="6007" spans="1:40" x14ac:dyDescent="0.25">
      <c r="A6007" t="str">
        <f>"20190312160807047"</f>
        <v>20190312160807047</v>
      </c>
      <c r="B6007" t="str">
        <f>"1552378087041721"</f>
        <v>1552378087041721</v>
      </c>
      <c r="C6007" t="s">
        <v>40</v>
      </c>
      <c r="D6007">
        <v>6.1152569999999997</v>
      </c>
      <c r="E6007">
        <v>0.42887599999999998</v>
      </c>
      <c r="F6007" t="s">
        <v>98</v>
      </c>
      <c r="G6007">
        <v>-371.7278</v>
      </c>
      <c r="H6007" s="1">
        <v>-4.0877699999999997E-6</v>
      </c>
      <c r="I6007">
        <v>18.505800000000001</v>
      </c>
      <c r="J6007">
        <v>-397.39769999999999</v>
      </c>
      <c r="K6007">
        <v>1.1116900000000001</v>
      </c>
      <c r="L6007">
        <v>16.80133</v>
      </c>
      <c r="M6007">
        <v>0.99429920000000005</v>
      </c>
      <c r="N6007">
        <v>0</v>
      </c>
      <c r="O6007">
        <v>-0.1058752</v>
      </c>
      <c r="P6007">
        <v>0.99253060000000004</v>
      </c>
      <c r="Q6007">
        <v>-6.5525430000000001E-3</v>
      </c>
      <c r="R6007">
        <v>-0.1218196</v>
      </c>
      <c r="S6007">
        <v>3.0476380000000001</v>
      </c>
      <c r="T6007">
        <v>-0.1315076</v>
      </c>
      <c r="U6007">
        <v>0.20071410000000001</v>
      </c>
      <c r="V6007">
        <v>1.6014090000000002E-2</v>
      </c>
      <c r="W6007">
        <v>6.1466949999999998E-3</v>
      </c>
      <c r="X6007">
        <v>0.99985290000000004</v>
      </c>
      <c r="Y6007">
        <v>-0.17074539999999999</v>
      </c>
      <c r="Z6007">
        <v>8.2376359999999996E-3</v>
      </c>
      <c r="AA6007">
        <v>0.98528079999999996</v>
      </c>
      <c r="AB6007">
        <v>18</v>
      </c>
      <c r="AC6007">
        <v>25.669899999999899</v>
      </c>
      <c r="AD6007">
        <v>-1.1116940877699999</v>
      </c>
      <c r="AE6007">
        <v>1.7044699999999999</v>
      </c>
      <c r="AF6007">
        <v>-4.4046861674577302</v>
      </c>
      <c r="AG6007">
        <v>-1.1116940877699999</v>
      </c>
      <c r="AH6007">
        <v>25.297883354495301</v>
      </c>
      <c r="AI6007">
        <v>92.478948841906302</v>
      </c>
      <c r="AJ6007">
        <v>99.876917663965799</v>
      </c>
      <c r="AK6007">
        <v>25.702529568045001</v>
      </c>
      <c r="AL6007">
        <v>89.647818110451396</v>
      </c>
      <c r="AM6007">
        <v>89.082403697535895</v>
      </c>
      <c r="AN6007">
        <v>1.0000000272881799</v>
      </c>
    </row>
    <row r="6008" spans="1:40" x14ac:dyDescent="0.25">
      <c r="A6008" t="str">
        <f>"20190312160807060"</f>
        <v>20190312160807060</v>
      </c>
      <c r="B6008" t="str">
        <f>"1552378087051482"</f>
        <v>1552378087051482</v>
      </c>
      <c r="C6008" t="s">
        <v>40</v>
      </c>
      <c r="D6008">
        <v>6.0873869999999997</v>
      </c>
      <c r="E6008">
        <v>0.42936780000000002</v>
      </c>
      <c r="F6008" t="s">
        <v>98</v>
      </c>
      <c r="G6008">
        <v>-372.26260000000002</v>
      </c>
      <c r="H6008" s="1">
        <v>-3.8393510000000002E-6</v>
      </c>
      <c r="I6008">
        <v>18.48114</v>
      </c>
      <c r="J6008">
        <v>-397.30369999999999</v>
      </c>
      <c r="K6008">
        <v>1.111677</v>
      </c>
      <c r="L6008">
        <v>16.79373</v>
      </c>
      <c r="M6008">
        <v>0.99451659999999997</v>
      </c>
      <c r="N6008">
        <v>0</v>
      </c>
      <c r="O6008">
        <v>-0.1038173</v>
      </c>
      <c r="P6008">
        <v>0.99277400000000005</v>
      </c>
      <c r="Q6008">
        <v>-7.5796040000000002E-3</v>
      </c>
      <c r="R6008">
        <v>-0.11976009999999999</v>
      </c>
      <c r="S6008">
        <v>3.0466609999999998</v>
      </c>
      <c r="T6008">
        <v>-0.13475000000000001</v>
      </c>
      <c r="U6008">
        <v>0.2036133</v>
      </c>
      <c r="V6008">
        <v>1.6014529999999999E-2</v>
      </c>
      <c r="W6008">
        <v>5.0867029999999997E-3</v>
      </c>
      <c r="X6008">
        <v>0.99985880000000005</v>
      </c>
      <c r="Y6008">
        <v>-0.16965060000000001</v>
      </c>
      <c r="Z6008">
        <v>8.3281980000000002E-3</v>
      </c>
      <c r="AA6008">
        <v>0.98546909999999999</v>
      </c>
      <c r="AB6008">
        <v>18</v>
      </c>
      <c r="AC6008">
        <v>25.041099999999901</v>
      </c>
      <c r="AD6008">
        <v>-1.111680839351</v>
      </c>
      <c r="AE6008">
        <v>1.6874100000000001</v>
      </c>
      <c r="AF6008">
        <v>-4.2698190054432104</v>
      </c>
      <c r="AG6008">
        <v>-1.111680839351</v>
      </c>
      <c r="AH6008">
        <v>24.682144836309298</v>
      </c>
      <c r="AI6008">
        <v>92.541159282897596</v>
      </c>
      <c r="AJ6008">
        <v>99.814588538689705</v>
      </c>
      <c r="AK6008">
        <v>25.073401491388701</v>
      </c>
      <c r="AL6008">
        <v>89.708552123728097</v>
      </c>
      <c r="AM6008">
        <v>89.082383903956199</v>
      </c>
      <c r="AN6008">
        <v>0.99999997982798505</v>
      </c>
    </row>
    <row r="6009" spans="1:40" x14ac:dyDescent="0.25">
      <c r="A6009" t="str">
        <f>"20190312160807071"</f>
        <v>20190312160807071</v>
      </c>
      <c r="B6009" t="str">
        <f>"1552378087061241"</f>
        <v>1552378087061241</v>
      </c>
      <c r="C6009" t="s">
        <v>40</v>
      </c>
      <c r="D6009">
        <v>6.0802440000000004</v>
      </c>
      <c r="E6009">
        <v>0.42981829999999999</v>
      </c>
      <c r="F6009" t="s">
        <v>98</v>
      </c>
      <c r="G6009">
        <v>-373.1585</v>
      </c>
      <c r="H6009" s="1">
        <v>-3.4253719999999999E-6</v>
      </c>
      <c r="I6009">
        <v>18.42755</v>
      </c>
      <c r="J6009">
        <v>-397.21190000000001</v>
      </c>
      <c r="K6009">
        <v>1.1116649999999999</v>
      </c>
      <c r="L6009">
        <v>16.786470000000001</v>
      </c>
      <c r="M6009">
        <v>0.99472470000000002</v>
      </c>
      <c r="N6009">
        <v>0</v>
      </c>
      <c r="O6009">
        <v>-0.1018088</v>
      </c>
      <c r="P6009">
        <v>0.993008</v>
      </c>
      <c r="Q6009">
        <v>-8.1558789999999996E-3</v>
      </c>
      <c r="R6009">
        <v>-0.1177662</v>
      </c>
      <c r="S6009">
        <v>3.0456240000000001</v>
      </c>
      <c r="T6009">
        <v>-0.14022470000000001</v>
      </c>
      <c r="U6009">
        <v>0.2060852</v>
      </c>
      <c r="V6009">
        <v>1.6029100000000001E-2</v>
      </c>
      <c r="W6009">
        <v>4.4777879999999999E-3</v>
      </c>
      <c r="X6009">
        <v>0.99986149999999996</v>
      </c>
      <c r="Y6009">
        <v>-0.16846</v>
      </c>
      <c r="Z6009">
        <v>8.5494830000000001E-3</v>
      </c>
      <c r="AA6009">
        <v>0.98567139999999998</v>
      </c>
      <c r="AB6009">
        <v>18</v>
      </c>
      <c r="AC6009">
        <v>24.0534</v>
      </c>
      <c r="AD6009">
        <v>-1.1116684253719999</v>
      </c>
      <c r="AE6009">
        <v>1.6410799999999901</v>
      </c>
      <c r="AF6009">
        <v>-4.07293312373017</v>
      </c>
      <c r="AG6009">
        <v>-1.1116684253719999</v>
      </c>
      <c r="AH6009">
        <v>23.710897442450701</v>
      </c>
      <c r="AI6009">
        <v>92.645614395291503</v>
      </c>
      <c r="AJ6009">
        <v>99.746844921093796</v>
      </c>
      <c r="AK6009">
        <v>24.083837909368999</v>
      </c>
      <c r="AL6009">
        <v>89.743440788913105</v>
      </c>
      <c r="AM6009">
        <v>89.0815516806217</v>
      </c>
      <c r="AN6009">
        <v>1.0000000009072101</v>
      </c>
    </row>
    <row r="6010" spans="1:40" x14ac:dyDescent="0.25">
      <c r="A6010" t="str">
        <f>"20190312160807094"</f>
        <v>20190312160807094</v>
      </c>
      <c r="B6010" t="str">
        <f>"1552378087081738"</f>
        <v>1552378087081738</v>
      </c>
      <c r="C6010" t="s">
        <v>40</v>
      </c>
      <c r="D6010">
        <v>6.1438600000000001</v>
      </c>
      <c r="E6010">
        <v>0.4307704</v>
      </c>
      <c r="F6010" t="s">
        <v>98</v>
      </c>
      <c r="G6010">
        <v>-373.6361</v>
      </c>
      <c r="H6010" s="1">
        <v>-3.2040350000000001E-6</v>
      </c>
      <c r="I6010">
        <v>18.402550000000002</v>
      </c>
      <c r="J6010">
        <v>-397.03379999999999</v>
      </c>
      <c r="K6010">
        <v>1.111645</v>
      </c>
      <c r="L6010">
        <v>16.77289</v>
      </c>
      <c r="M6010">
        <v>0.99511400000000005</v>
      </c>
      <c r="N6010">
        <v>0</v>
      </c>
      <c r="O6010">
        <v>-9.7938460000000005E-2</v>
      </c>
      <c r="P6010">
        <v>0.99345700000000003</v>
      </c>
      <c r="Q6010">
        <v>-8.3835390000000006E-3</v>
      </c>
      <c r="R6010">
        <v>-0.1138984</v>
      </c>
      <c r="S6010">
        <v>3.044708</v>
      </c>
      <c r="T6010">
        <v>-0.1435671</v>
      </c>
      <c r="U6010">
        <v>0.2087097</v>
      </c>
      <c r="V6010">
        <v>1.6026889999999998E-2</v>
      </c>
      <c r="W6010">
        <v>4.1869209999999997E-3</v>
      </c>
      <c r="X6010">
        <v>0.99986280000000005</v>
      </c>
      <c r="Y6010">
        <v>-0.165484299999999</v>
      </c>
      <c r="Z6010">
        <v>8.5036069999999998E-3</v>
      </c>
      <c r="AA6010">
        <v>0.98617580000000005</v>
      </c>
      <c r="AB6010">
        <v>18</v>
      </c>
      <c r="AC6010">
        <v>23.397699999999901</v>
      </c>
      <c r="AD6010">
        <v>-1.111648204035</v>
      </c>
      <c r="AE6010">
        <v>1.6296600000000001</v>
      </c>
      <c r="AF6010">
        <v>-3.9047661588418401</v>
      </c>
      <c r="AG6010">
        <v>-1.111648204035</v>
      </c>
      <c r="AH6010">
        <v>23.073745642053101</v>
      </c>
      <c r="AI6010">
        <v>92.719656917693399</v>
      </c>
      <c r="AJ6010">
        <v>99.605152096106806</v>
      </c>
      <c r="AK6010">
        <v>23.428203056123099</v>
      </c>
      <c r="AL6010">
        <v>89.760106397879895</v>
      </c>
      <c r="AM6010">
        <v>89.081679483077494</v>
      </c>
      <c r="AN6010">
        <v>1.00000000516718</v>
      </c>
    </row>
    <row r="6011" spans="1:40" x14ac:dyDescent="0.25">
      <c r="A6011" t="str">
        <f>"20190312160807108"</f>
        <v>20190312160807108</v>
      </c>
      <c r="B6011" t="str">
        <f>"1552378087101257"</f>
        <v>1552378087101257</v>
      </c>
      <c r="C6011" t="s">
        <v>40</v>
      </c>
      <c r="D6011">
        <v>6.1140049999999997</v>
      </c>
      <c r="E6011">
        <v>0.43141069999999998</v>
      </c>
      <c r="F6011" t="s">
        <v>98</v>
      </c>
      <c r="G6011">
        <v>-373.85500000000002</v>
      </c>
      <c r="H6011" s="1">
        <v>-3.1017049999999998E-6</v>
      </c>
      <c r="I6011">
        <v>18.396159999999998</v>
      </c>
      <c r="J6011">
        <v>-396.92200000000003</v>
      </c>
      <c r="K6011">
        <v>1.1116250000000001</v>
      </c>
      <c r="L6011">
        <v>16.764769999999999</v>
      </c>
      <c r="M6011">
        <v>0.99534840000000002</v>
      </c>
      <c r="N6011">
        <v>0</v>
      </c>
      <c r="O6011">
        <v>-9.5531249999999998E-2</v>
      </c>
      <c r="P6011">
        <v>0.99372780000000005</v>
      </c>
      <c r="Q6011">
        <v>-7.8715780000000006E-3</v>
      </c>
      <c r="R6011">
        <v>-0.11154849999999999</v>
      </c>
      <c r="S6011">
        <v>3.0429379999999999</v>
      </c>
      <c r="T6011">
        <v>-0.14593789999999901</v>
      </c>
      <c r="U6011">
        <v>0.21310419999999999</v>
      </c>
      <c r="V6011">
        <v>1.6078160000000001E-2</v>
      </c>
      <c r="W6011">
        <v>4.662322E-3</v>
      </c>
      <c r="X6011">
        <v>0.99985990000000002</v>
      </c>
      <c r="Y6011">
        <v>-0.16454920000000001</v>
      </c>
      <c r="Z6011">
        <v>8.5111179999999998E-3</v>
      </c>
      <c r="AA6011">
        <v>0.98633219999999999</v>
      </c>
      <c r="AB6011">
        <v>18</v>
      </c>
      <c r="AC6011">
        <v>23.066999999999901</v>
      </c>
      <c r="AD6011">
        <v>-1.111628101705</v>
      </c>
      <c r="AE6011">
        <v>1.6313899999999899</v>
      </c>
      <c r="AF6011">
        <v>-3.8188932336747801</v>
      </c>
      <c r="AG6011">
        <v>-1.111628101705</v>
      </c>
      <c r="AH6011">
        <v>22.753045577332799</v>
      </c>
      <c r="AI6011">
        <v>92.758508238384593</v>
      </c>
      <c r="AJ6011">
        <v>99.527773875424103</v>
      </c>
      <c r="AK6011">
        <v>23.098068006023599</v>
      </c>
      <c r="AL6011">
        <v>89.7328676674382</v>
      </c>
      <c r="AM6011">
        <v>89.0787396108895</v>
      </c>
      <c r="AN6011">
        <v>1.00000003205171</v>
      </c>
    </row>
    <row r="6012" spans="1:40" x14ac:dyDescent="0.25">
      <c r="A6012" t="str">
        <f>"20190312160807125"</f>
        <v>20190312160807125</v>
      </c>
      <c r="B6012" t="str">
        <f>"1552378087111994"</f>
        <v>1552378087111994</v>
      </c>
      <c r="C6012" t="s">
        <v>40</v>
      </c>
      <c r="D6012">
        <v>6.1486140000000002</v>
      </c>
      <c r="E6012">
        <v>0.43141069999999998</v>
      </c>
      <c r="F6012" t="s">
        <v>98</v>
      </c>
      <c r="G6012">
        <v>-373.47640000000001</v>
      </c>
      <c r="H6012" s="1">
        <v>-3.2758859999999999E-6</v>
      </c>
      <c r="I6012">
        <v>18.423020000000001</v>
      </c>
      <c r="J6012">
        <v>-396.78160000000003</v>
      </c>
      <c r="K6012">
        <v>1.1116010000000001</v>
      </c>
      <c r="L6012">
        <v>16.754850000000001</v>
      </c>
      <c r="M6012">
        <v>0.99563179999999996</v>
      </c>
      <c r="N6012">
        <v>0</v>
      </c>
      <c r="O6012">
        <v>-9.2537720000000004E-2</v>
      </c>
      <c r="P6012">
        <v>0.99408529999999995</v>
      </c>
      <c r="Q6012">
        <v>-7.8069639999999996E-3</v>
      </c>
      <c r="R6012">
        <v>-0.1083219</v>
      </c>
      <c r="S6012">
        <v>3.0419309999999999</v>
      </c>
      <c r="T6012">
        <v>-0.14422769999999999</v>
      </c>
      <c r="U6012">
        <v>0.2151489</v>
      </c>
      <c r="V6012">
        <v>1.5839200000000001E-2</v>
      </c>
      <c r="W6012">
        <v>4.6785339999999998E-3</v>
      </c>
      <c r="X6012">
        <v>0.99986359999999996</v>
      </c>
      <c r="Y6012">
        <v>-0.1622779</v>
      </c>
      <c r="Z6012">
        <v>8.2189069999999993E-3</v>
      </c>
      <c r="AA6012">
        <v>0.9867108</v>
      </c>
      <c r="AB6012">
        <v>18</v>
      </c>
      <c r="AC6012">
        <v>23.305199999999999</v>
      </c>
      <c r="AD6012">
        <v>-1.1116042758859901</v>
      </c>
      <c r="AE6012">
        <v>1.6681699999999999</v>
      </c>
      <c r="AF6012">
        <v>-3.8091653809614998</v>
      </c>
      <c r="AG6012">
        <v>-1.1116042758859901</v>
      </c>
      <c r="AH6012">
        <v>22.998748543817602</v>
      </c>
      <c r="AI6012">
        <v>92.730004373899106</v>
      </c>
      <c r="AJ6012">
        <v>99.404236680409198</v>
      </c>
      <c r="AK6012">
        <v>23.338548359901001</v>
      </c>
      <c r="AL6012">
        <v>89.731938767897901</v>
      </c>
      <c r="AM6012">
        <v>89.092432799142301</v>
      </c>
      <c r="AN6012">
        <v>0.99999999377099402</v>
      </c>
    </row>
    <row r="6013" spans="1:40" x14ac:dyDescent="0.25">
      <c r="A6013" t="str">
        <f>"20190312160807138"</f>
        <v>20190312160807138</v>
      </c>
      <c r="B6013" t="str">
        <f>"1552378087131514"</f>
        <v>1552378087131514</v>
      </c>
      <c r="C6013" t="s">
        <v>40</v>
      </c>
      <c r="D6013">
        <v>6.2226920000000003</v>
      </c>
      <c r="E6013">
        <v>0.45407370000000002</v>
      </c>
      <c r="F6013" t="s">
        <v>98</v>
      </c>
      <c r="G6013">
        <v>-373.39139999999998</v>
      </c>
      <c r="H6013" s="1">
        <v>-3.305065E-6</v>
      </c>
      <c r="I6013">
        <v>18.484919999999999</v>
      </c>
      <c r="J6013">
        <v>-396.68110000000001</v>
      </c>
      <c r="K6013">
        <v>1.111572</v>
      </c>
      <c r="L6013">
        <v>16.747989999999898</v>
      </c>
      <c r="M6013">
        <v>0.99582720000000002</v>
      </c>
      <c r="N6013">
        <v>0</v>
      </c>
      <c r="O6013">
        <v>-9.0415229999999999E-2</v>
      </c>
      <c r="P6013">
        <v>0.99430390000000002</v>
      </c>
      <c r="Q6013">
        <v>-7.7882369999999999E-3</v>
      </c>
      <c r="R6013">
        <v>-0.1062985</v>
      </c>
      <c r="S6013">
        <v>3.0411990000000002</v>
      </c>
      <c r="T6013">
        <v>-0.14453160000000001</v>
      </c>
      <c r="U6013">
        <v>0.22494510000000001</v>
      </c>
      <c r="V6013">
        <v>1.5935640000000001E-2</v>
      </c>
      <c r="W6013">
        <v>4.6642300000000001E-3</v>
      </c>
      <c r="X6013">
        <v>0.99986209999999998</v>
      </c>
      <c r="Y6013">
        <v>-0.163353</v>
      </c>
      <c r="Z6013">
        <v>8.1623479999999998E-3</v>
      </c>
      <c r="AA6013">
        <v>0.98653389999999996</v>
      </c>
      <c r="AB6013">
        <v>18</v>
      </c>
      <c r="AC6013">
        <v>23.2897</v>
      </c>
      <c r="AD6013">
        <v>-1.1115753050649999</v>
      </c>
      <c r="AE6013">
        <v>1.7369300000000001</v>
      </c>
      <c r="AF6013">
        <v>-3.82704996647354</v>
      </c>
      <c r="AG6013">
        <v>-1.1115753050649999</v>
      </c>
      <c r="AH6013">
        <v>22.985167242549299</v>
      </c>
      <c r="AI6013">
        <v>92.731157867418801</v>
      </c>
      <c r="AJ6013">
        <v>99.4530783390029</v>
      </c>
      <c r="AK6013">
        <v>23.328090883582298</v>
      </c>
      <c r="AL6013">
        <v>89.732758326473999</v>
      </c>
      <c r="AM6013">
        <v>89.086906465716993</v>
      </c>
      <c r="AN6013">
        <v>0.99999995934005503</v>
      </c>
    </row>
    <row r="6014" spans="1:40" x14ac:dyDescent="0.25">
      <c r="A6014" t="str">
        <f>"20190312160807150"</f>
        <v>20190312160807150</v>
      </c>
      <c r="B6014" t="str">
        <f>"1552378087141273"</f>
        <v>1552378087141273</v>
      </c>
      <c r="C6014" t="s">
        <v>40</v>
      </c>
      <c r="D6014">
        <v>6.1403559999999997</v>
      </c>
      <c r="E6014">
        <v>0.45609339999999998</v>
      </c>
      <c r="F6014" t="s">
        <v>98</v>
      </c>
      <c r="G6014">
        <v>-371.61279999999999</v>
      </c>
      <c r="H6014" s="1">
        <v>-4.3792980000000001E-6</v>
      </c>
      <c r="I6014">
        <v>17.168779999999899</v>
      </c>
      <c r="J6014">
        <v>-396.58620000000002</v>
      </c>
      <c r="K6014">
        <v>1.1115469999999901</v>
      </c>
      <c r="L6014">
        <v>16.741700000000002</v>
      </c>
      <c r="M6014">
        <v>0.99600569999999999</v>
      </c>
      <c r="N6014">
        <v>0</v>
      </c>
      <c r="O6014">
        <v>-8.8432469999999999E-2</v>
      </c>
      <c r="P6014">
        <v>0.99448440000000005</v>
      </c>
      <c r="Q6014">
        <v>-8.1604179999999991E-3</v>
      </c>
      <c r="R6014">
        <v>-0.10456849999999999</v>
      </c>
      <c r="S6014">
        <v>3.021576</v>
      </c>
      <c r="T6014">
        <v>-0.13398289999999999</v>
      </c>
      <c r="U6014">
        <v>5.0720210000000002E-2</v>
      </c>
      <c r="V6014">
        <v>1.6189249999999999E-2</v>
      </c>
      <c r="W6014">
        <v>4.2613059999999899E-3</v>
      </c>
      <c r="X6014">
        <v>0.99985990000000002</v>
      </c>
      <c r="Y6014">
        <v>-0.1049547</v>
      </c>
      <c r="Z6014">
        <v>6.2419019999999997E-3</v>
      </c>
      <c r="AA6014">
        <v>0.99445740000000005</v>
      </c>
      <c r="AB6014">
        <v>18</v>
      </c>
      <c r="AC6014">
        <v>24.973400000000002</v>
      </c>
      <c r="AD6014">
        <v>-1.1115513792980001</v>
      </c>
      <c r="AE6014">
        <v>0.42707999999999602</v>
      </c>
      <c r="AF6014">
        <v>-2.6288277915358802</v>
      </c>
      <c r="AG6014">
        <v>-1.1115513792980001</v>
      </c>
      <c r="AH6014">
        <v>24.788678828957</v>
      </c>
      <c r="AI6014">
        <v>92.553187327467498</v>
      </c>
      <c r="AJ6014">
        <v>96.053564460880295</v>
      </c>
      <c r="AK6014">
        <v>24.952452386720498</v>
      </c>
      <c r="AL6014">
        <v>89.755844420623106</v>
      </c>
      <c r="AM6014">
        <v>89.072375387939005</v>
      </c>
      <c r="AN6014">
        <v>1.00000003508619</v>
      </c>
    </row>
    <row r="6015" spans="1:40" x14ac:dyDescent="0.25">
      <c r="A6015" t="str">
        <f>"20190312160807162"</f>
        <v>20190312160807162</v>
      </c>
      <c r="B6015" t="str">
        <f>"1552378087152010"</f>
        <v>1552378087152010</v>
      </c>
      <c r="C6015" t="s">
        <v>40</v>
      </c>
      <c r="D6015">
        <v>6.1380350000000004</v>
      </c>
      <c r="E6015">
        <v>0.45769650000000001</v>
      </c>
      <c r="F6015" t="s">
        <v>98</v>
      </c>
      <c r="G6015">
        <v>-375.56479999999999</v>
      </c>
      <c r="H6015" s="1">
        <v>-2.5361780000000002E-6</v>
      </c>
      <c r="I6015">
        <v>17.02786</v>
      </c>
      <c r="J6015">
        <v>-396.48860000000002</v>
      </c>
      <c r="K6015">
        <v>1.1115189999999999</v>
      </c>
      <c r="L6015">
        <v>16.735379999999999</v>
      </c>
      <c r="M6015">
        <v>0.99618280000000003</v>
      </c>
      <c r="N6015">
        <v>0</v>
      </c>
      <c r="O6015">
        <v>-8.6416590000000001E-2</v>
      </c>
      <c r="P6015">
        <v>0.99467309999999998</v>
      </c>
      <c r="Q6015">
        <v>-8.1993139999999992E-3</v>
      </c>
      <c r="R6015">
        <v>-0.1027537</v>
      </c>
      <c r="S6015">
        <v>3.0196529999999999</v>
      </c>
      <c r="T6015">
        <v>-0.15967039999999999</v>
      </c>
      <c r="U6015">
        <v>4.110718E-2</v>
      </c>
      <c r="V6015">
        <v>1.638881E-2</v>
      </c>
      <c r="W6015">
        <v>4.1912119999999997E-3</v>
      </c>
      <c r="X6015">
        <v>0.99985690000000005</v>
      </c>
      <c r="Y6015">
        <v>-9.9716340000000001E-2</v>
      </c>
      <c r="Z6015">
        <v>7.1971800000000001E-3</v>
      </c>
      <c r="AA6015">
        <v>0.99498989999999998</v>
      </c>
      <c r="AB6015">
        <v>18</v>
      </c>
      <c r="AC6015">
        <v>20.9238</v>
      </c>
      <c r="AD6015">
        <v>-1.111521536178</v>
      </c>
      <c r="AE6015">
        <v>0.29248000000000102</v>
      </c>
      <c r="AF6015">
        <v>-2.09377911729104</v>
      </c>
      <c r="AG6015">
        <v>-1.111521536178</v>
      </c>
      <c r="AH6015">
        <v>20.7616593272366</v>
      </c>
      <c r="AI6015">
        <v>93.049094525638793</v>
      </c>
      <c r="AJ6015">
        <v>95.758714786930099</v>
      </c>
      <c r="AK6015">
        <v>20.8965520873091</v>
      </c>
      <c r="AL6015">
        <v>89.759860535871297</v>
      </c>
      <c r="AM6015">
        <v>89.060940057294502</v>
      </c>
      <c r="AN6015">
        <v>0.99999998991442696</v>
      </c>
    </row>
    <row r="6016" spans="1:40" x14ac:dyDescent="0.25">
      <c r="A6016" t="str">
        <f>"20190312160807182"</f>
        <v>20190312160807182</v>
      </c>
      <c r="B6016" t="str">
        <f>"1552378087171547"</f>
        <v>1552378087171547</v>
      </c>
      <c r="C6016" t="s">
        <v>40</v>
      </c>
      <c r="D6016">
        <v>6.175764</v>
      </c>
      <c r="E6016">
        <v>0.45915250000000002</v>
      </c>
      <c r="F6016" t="s">
        <v>98</v>
      </c>
      <c r="G6016">
        <v>-377.36470000000003</v>
      </c>
      <c r="H6016" s="1">
        <v>-1.7042910000000001E-6</v>
      </c>
      <c r="I6016">
        <v>16.95504</v>
      </c>
      <c r="J6016">
        <v>-396.33300000000003</v>
      </c>
      <c r="K6016">
        <v>1.111475</v>
      </c>
      <c r="L6016">
        <v>16.725709999999999</v>
      </c>
      <c r="M6016">
        <v>0.99645329999999999</v>
      </c>
      <c r="N6016">
        <v>0</v>
      </c>
      <c r="O6016">
        <v>-8.3247840000000004E-2</v>
      </c>
      <c r="P6016">
        <v>0.99492780000000003</v>
      </c>
      <c r="Q6016">
        <v>-8.088965E-3</v>
      </c>
      <c r="R6016">
        <v>-0.10026690000000001</v>
      </c>
      <c r="S6016">
        <v>3.0182190000000002</v>
      </c>
      <c r="T6016">
        <v>-0.1754259</v>
      </c>
      <c r="U6016">
        <v>3.4667969999999999E-2</v>
      </c>
      <c r="V6016">
        <v>1.7069540000000001E-2</v>
      </c>
      <c r="W6016">
        <v>4.2541530000000001E-3</v>
      </c>
      <c r="X6016">
        <v>0.99984530000000005</v>
      </c>
      <c r="Y6016">
        <v>-9.4394619999999999E-2</v>
      </c>
      <c r="Z6016">
        <v>7.5718690000000002E-3</v>
      </c>
      <c r="AA6016">
        <v>0.995506</v>
      </c>
      <c r="AB6016">
        <v>18</v>
      </c>
      <c r="AC6016">
        <v>18.968299999999999</v>
      </c>
      <c r="AD6016">
        <v>-1.1114767042910001</v>
      </c>
      <c r="AE6016">
        <v>0.22933000000000001</v>
      </c>
      <c r="AF6016">
        <v>-1.8015380073473599</v>
      </c>
      <c r="AG6016">
        <v>-1.1114767042910001</v>
      </c>
      <c r="AH6016">
        <v>18.818750288079698</v>
      </c>
      <c r="AI6016">
        <v>93.364740654212696</v>
      </c>
      <c r="AJ6016">
        <v>95.468318908787495</v>
      </c>
      <c r="AK6016">
        <v>18.937430714360399</v>
      </c>
      <c r="AL6016">
        <v>89.756254263566106</v>
      </c>
      <c r="AM6016">
        <v>89.021931092875207</v>
      </c>
      <c r="AN6016">
        <v>1.00000004547282</v>
      </c>
    </row>
    <row r="6017" spans="1:40" x14ac:dyDescent="0.25">
      <c r="A6017" t="str">
        <f>"20190312160807194"</f>
        <v>20190312160807194</v>
      </c>
      <c r="B6017" t="str">
        <f>"1552378087181290"</f>
        <v>1552378087181290</v>
      </c>
      <c r="C6017" t="s">
        <v>40</v>
      </c>
      <c r="D6017">
        <v>6.1380109999999997</v>
      </c>
      <c r="E6017">
        <v>0.46009430000000001</v>
      </c>
      <c r="F6017" t="s">
        <v>98</v>
      </c>
      <c r="G6017">
        <v>-378.35239999999999</v>
      </c>
      <c r="H6017" s="1">
        <v>-1.336682E-6</v>
      </c>
      <c r="I6017">
        <v>16.91123</v>
      </c>
      <c r="J6017">
        <v>-396.23540000000003</v>
      </c>
      <c r="K6017">
        <v>1.1114459999999999</v>
      </c>
      <c r="L6017">
        <v>16.71979</v>
      </c>
      <c r="M6017">
        <v>0.99661580000000005</v>
      </c>
      <c r="N6017">
        <v>0</v>
      </c>
      <c r="O6017">
        <v>-8.1282880000000002E-2</v>
      </c>
      <c r="P6017">
        <v>0.99509320000000001</v>
      </c>
      <c r="Q6017">
        <v>-7.6598730000000002E-3</v>
      </c>
      <c r="R6017">
        <v>-9.8643330000000001E-2</v>
      </c>
      <c r="S6017">
        <v>3.0169069999999998</v>
      </c>
      <c r="T6017">
        <v>-0.1864904</v>
      </c>
      <c r="U6017">
        <v>3.1127930000000002E-2</v>
      </c>
      <c r="V6017">
        <v>1.7408010000000002E-2</v>
      </c>
      <c r="W6017">
        <v>4.6532630000000004E-3</v>
      </c>
      <c r="X6017">
        <v>0.99983759999999999</v>
      </c>
      <c r="Y6017">
        <v>-9.1238710000000001E-2</v>
      </c>
      <c r="Z6017">
        <v>7.8335260000000004E-3</v>
      </c>
      <c r="AA6017">
        <v>0.99579819999999997</v>
      </c>
      <c r="AB6017">
        <v>18</v>
      </c>
      <c r="AC6017">
        <v>17.882999999999999</v>
      </c>
      <c r="AD6017">
        <v>-1.1114473366819999</v>
      </c>
      <c r="AE6017">
        <v>0.19144</v>
      </c>
      <c r="AF6017">
        <v>-1.6381701243567599</v>
      </c>
      <c r="AG6017">
        <v>-1.1114473366819999</v>
      </c>
      <c r="AH6017">
        <v>17.7397391951204</v>
      </c>
      <c r="AI6017">
        <v>93.569915241716004</v>
      </c>
      <c r="AJ6017">
        <v>95.275995955330998</v>
      </c>
      <c r="AK6017">
        <v>17.8498533117066</v>
      </c>
      <c r="AL6017">
        <v>89.733386696047504</v>
      </c>
      <c r="AM6017">
        <v>89.002533273946796</v>
      </c>
      <c r="AN6017">
        <v>0.99999995902123195</v>
      </c>
    </row>
    <row r="6018" spans="1:40" x14ac:dyDescent="0.25">
      <c r="A6018" t="str">
        <f>"20190312160807205"</f>
        <v>20190312160807205</v>
      </c>
      <c r="B6018" t="str">
        <f>"1552378087201786"</f>
        <v>1552378087201786</v>
      </c>
      <c r="C6018" t="s">
        <v>40</v>
      </c>
      <c r="D6018">
        <v>6.8187550000000003</v>
      </c>
      <c r="E6018">
        <v>0.46063340000000003</v>
      </c>
      <c r="F6018" t="s">
        <v>98</v>
      </c>
      <c r="G6018">
        <v>-378.95710000000003</v>
      </c>
      <c r="H6018" s="1">
        <v>-1.111491E-6</v>
      </c>
      <c r="I6018">
        <v>16.884820000000001</v>
      </c>
      <c r="J6018">
        <v>-396.14159999999998</v>
      </c>
      <c r="K6018">
        <v>1.111421</v>
      </c>
      <c r="L6018">
        <v>16.714359999999999</v>
      </c>
      <c r="M6018">
        <v>0.99676560000000003</v>
      </c>
      <c r="N6018">
        <v>0</v>
      </c>
      <c r="O6018">
        <v>-7.9432199999999994E-2</v>
      </c>
      <c r="P6018">
        <v>0.99528459999999996</v>
      </c>
      <c r="Q6018">
        <v>-7.6412859999999997E-3</v>
      </c>
      <c r="R6018">
        <v>-9.6700179999999997E-2</v>
      </c>
      <c r="S6018">
        <v>3.0161440000000002</v>
      </c>
      <c r="T6018">
        <v>-0.19401669999999999</v>
      </c>
      <c r="U6018">
        <v>2.8808589999999999E-2</v>
      </c>
      <c r="V6018">
        <v>1.731239E-2</v>
      </c>
      <c r="W6018">
        <v>4.6389580000000003E-3</v>
      </c>
      <c r="X6018">
        <v>0.99983940000000004</v>
      </c>
      <c r="Y6018">
        <v>-8.8608259999999994E-2</v>
      </c>
      <c r="Z6018">
        <v>7.9478980000000001E-3</v>
      </c>
      <c r="AA6018">
        <v>0.99603489999999995</v>
      </c>
      <c r="AB6018">
        <v>18</v>
      </c>
      <c r="AC6018">
        <v>17.1844999999999</v>
      </c>
      <c r="AD6018">
        <v>-1.1114221114909999</v>
      </c>
      <c r="AE6018">
        <v>0.170460000000002</v>
      </c>
      <c r="AF6018">
        <v>-1.52863197907999</v>
      </c>
      <c r="AG6018">
        <v>-1.1114221114909999</v>
      </c>
      <c r="AH6018">
        <v>17.045359384292102</v>
      </c>
      <c r="AI6018">
        <v>93.715751162097206</v>
      </c>
      <c r="AJ6018">
        <v>95.124590543555598</v>
      </c>
      <c r="AK6018">
        <v>17.149817823436202</v>
      </c>
      <c r="AL6018">
        <v>89.734206340526796</v>
      </c>
      <c r="AM6018">
        <v>89.008012920327204</v>
      </c>
      <c r="AN6018">
        <v>1.00000003228559</v>
      </c>
    </row>
    <row r="6019" spans="1:40" x14ac:dyDescent="0.25">
      <c r="A6019" t="str">
        <f>"20190312160807227"</f>
        <v>20190312160807227</v>
      </c>
      <c r="B6019" t="str">
        <f>"1552378087211545"</f>
        <v>1552378087211545</v>
      </c>
      <c r="C6019" t="s">
        <v>40</v>
      </c>
      <c r="D6019">
        <v>6.3298969999999999</v>
      </c>
      <c r="E6019">
        <v>0.46112839999999999</v>
      </c>
      <c r="F6019" t="s">
        <v>98</v>
      </c>
      <c r="G6019">
        <v>-378.2131</v>
      </c>
      <c r="H6019" s="1">
        <v>-1.395177E-6</v>
      </c>
      <c r="I6019">
        <v>16.892329999999902</v>
      </c>
      <c r="J6019">
        <v>-395.98309999999998</v>
      </c>
      <c r="K6019">
        <v>1.111375</v>
      </c>
      <c r="L6019">
        <v>16.705469999999998</v>
      </c>
      <c r="M6019">
        <v>0.99700739999999999</v>
      </c>
      <c r="N6019">
        <v>0</v>
      </c>
      <c r="O6019">
        <v>-7.6343640000000004E-2</v>
      </c>
      <c r="P6019">
        <v>0.99562810000000002</v>
      </c>
      <c r="Q6019">
        <v>-6.6813310000000004E-3</v>
      </c>
      <c r="R6019">
        <v>-9.3168639999999997E-2</v>
      </c>
      <c r="S6019">
        <v>3.0156860000000001</v>
      </c>
      <c r="T6019">
        <v>-0.1869488</v>
      </c>
      <c r="U6019">
        <v>2.9937740000000001E-2</v>
      </c>
      <c r="V6019">
        <v>1.6859579999999999E-2</v>
      </c>
      <c r="W6019">
        <v>5.5406450000000003E-3</v>
      </c>
      <c r="X6019">
        <v>0.99984249999999997</v>
      </c>
      <c r="Y6019">
        <v>-8.5932060000000005E-2</v>
      </c>
      <c r="Z6019">
        <v>7.3863239999999997E-3</v>
      </c>
      <c r="AA6019">
        <v>0.99627359999999998</v>
      </c>
      <c r="AB6019">
        <v>18</v>
      </c>
      <c r="AC6019">
        <v>17.7699999999999</v>
      </c>
      <c r="AD6019">
        <v>-1.1113763951769999</v>
      </c>
      <c r="AE6019">
        <v>0.186859999999995</v>
      </c>
      <c r="AF6019">
        <v>-1.53702990711051</v>
      </c>
      <c r="AG6019">
        <v>-1.1113763951769999</v>
      </c>
      <c r="AH6019">
        <v>17.634893195718998</v>
      </c>
      <c r="AI6019">
        <v>93.592509836469006</v>
      </c>
      <c r="AJ6019">
        <v>94.981223178014602</v>
      </c>
      <c r="AK6019">
        <v>17.736602731400499</v>
      </c>
      <c r="AL6019">
        <v>89.682542796527102</v>
      </c>
      <c r="AM6019">
        <v>89.033956608423097</v>
      </c>
      <c r="AN6019">
        <v>0.99999998449552097</v>
      </c>
    </row>
    <row r="6020" spans="1:40" x14ac:dyDescent="0.25">
      <c r="A6020" t="str">
        <f>"20190312160807238"</f>
        <v>20190312160807238</v>
      </c>
      <c r="B6020" t="str">
        <f>"1552378087232042"</f>
        <v>1552378087232042</v>
      </c>
      <c r="C6020" t="s">
        <v>40</v>
      </c>
      <c r="D6020">
        <v>6.1832269999999996</v>
      </c>
      <c r="E6020">
        <v>0.4624317</v>
      </c>
      <c r="F6020" t="s">
        <v>98</v>
      </c>
      <c r="G6020">
        <v>-377.30599999999998</v>
      </c>
      <c r="H6020" s="1">
        <v>-1.7334099999999899E-6</v>
      </c>
      <c r="I6020">
        <v>16.930409999999998</v>
      </c>
      <c r="J6020">
        <v>-395.88139999999999</v>
      </c>
      <c r="K6020">
        <v>1.1113470000000001</v>
      </c>
      <c r="L6020">
        <v>16.69998</v>
      </c>
      <c r="M6020">
        <v>0.99715540000000003</v>
      </c>
      <c r="N6020">
        <v>0</v>
      </c>
      <c r="O6020">
        <v>-7.4393409999999993E-2</v>
      </c>
      <c r="P6020">
        <v>0.99581399999999998</v>
      </c>
      <c r="Q6020">
        <v>-6.4297729999999997E-3</v>
      </c>
      <c r="R6020">
        <v>-9.1179609999999994E-2</v>
      </c>
      <c r="S6020">
        <v>3.0153810000000001</v>
      </c>
      <c r="T6020">
        <v>-0.17942939999999999</v>
      </c>
      <c r="U6020">
        <v>3.6315920000000002E-2</v>
      </c>
      <c r="V6020">
        <v>1.6817220000000001E-2</v>
      </c>
      <c r="W6020">
        <v>5.756649E-3</v>
      </c>
      <c r="X6020">
        <v>0.99984200000000001</v>
      </c>
      <c r="Y6020">
        <v>-8.6119029999999999E-2</v>
      </c>
      <c r="Z6020">
        <v>6.9803240000000004E-3</v>
      </c>
      <c r="AA6020">
        <v>0.99626040000000005</v>
      </c>
      <c r="AB6020">
        <v>18</v>
      </c>
      <c r="AC6020">
        <v>18.575399999999998</v>
      </c>
      <c r="AD6020">
        <v>-1.1113487334099901</v>
      </c>
      <c r="AE6020">
        <v>0.230430000000001</v>
      </c>
      <c r="AF6020">
        <v>-1.60603218438366</v>
      </c>
      <c r="AG6020">
        <v>-1.1113487334099901</v>
      </c>
      <c r="AH6020">
        <v>18.440776823457099</v>
      </c>
      <c r="AI6020">
        <v>93.435832181357796</v>
      </c>
      <c r="AJ6020">
        <v>94.977407865077396</v>
      </c>
      <c r="AK6020">
        <v>18.543912349800401</v>
      </c>
      <c r="AL6020">
        <v>89.670166483592098</v>
      </c>
      <c r="AM6020">
        <v>89.036382869894297</v>
      </c>
      <c r="AN6020">
        <v>0.99999999143011797</v>
      </c>
    </row>
    <row r="6021" spans="1:40" x14ac:dyDescent="0.25">
      <c r="A6021" t="str">
        <f>"20190312160807251"</f>
        <v>20190312160807251</v>
      </c>
      <c r="B6021" t="str">
        <f>"1552378087241802"</f>
        <v>1552378087241802</v>
      </c>
      <c r="C6021" t="s">
        <v>40</v>
      </c>
      <c r="D6021">
        <v>6.1606699999999996</v>
      </c>
      <c r="E6021">
        <v>0.46284449999999999</v>
      </c>
      <c r="F6021" t="s">
        <v>98</v>
      </c>
      <c r="G6021">
        <v>-377.08539999999999</v>
      </c>
      <c r="H6021" s="1">
        <v>-1.840202E-6</v>
      </c>
      <c r="I6021">
        <v>16.89902</v>
      </c>
      <c r="J6021">
        <v>-395.78070000000002</v>
      </c>
      <c r="K6021">
        <v>1.111327</v>
      </c>
      <c r="L6021">
        <v>16.694669999999999</v>
      </c>
      <c r="M6021">
        <v>0.99729630000000002</v>
      </c>
      <c r="N6021">
        <v>0</v>
      </c>
      <c r="O6021">
        <v>-7.2486209999999995E-2</v>
      </c>
      <c r="P6021">
        <v>0.99600509999999998</v>
      </c>
      <c r="Q6021">
        <v>-5.8394989999999997E-3</v>
      </c>
      <c r="R6021">
        <v>-8.9107770000000003E-2</v>
      </c>
      <c r="S6021">
        <v>3.0143430000000002</v>
      </c>
      <c r="T6021">
        <v>-0.1782291</v>
      </c>
      <c r="U6021">
        <v>3.1921390000000001E-2</v>
      </c>
      <c r="V6021">
        <v>1.6647459999999999E-2</v>
      </c>
      <c r="W6021">
        <v>6.3126299999999996E-3</v>
      </c>
      <c r="X6021">
        <v>0.99984150000000005</v>
      </c>
      <c r="Y6021">
        <v>-8.2777790000000004E-2</v>
      </c>
      <c r="Z6021">
        <v>6.7249329999999998E-3</v>
      </c>
      <c r="AA6021">
        <v>0.99654529999999997</v>
      </c>
      <c r="AB6021">
        <v>18</v>
      </c>
      <c r="AC6021">
        <v>18.6953</v>
      </c>
      <c r="AD6021">
        <v>-1.1113288402019901</v>
      </c>
      <c r="AE6021">
        <v>0.20434999999999801</v>
      </c>
      <c r="AF6021">
        <v>-1.5535735428268</v>
      </c>
      <c r="AG6021">
        <v>-1.1113288402019901</v>
      </c>
      <c r="AH6021">
        <v>18.565703227673399</v>
      </c>
      <c r="AI6021">
        <v>93.413691495356005</v>
      </c>
      <c r="AJ6021">
        <v>94.783352877001803</v>
      </c>
      <c r="AK6021">
        <v>18.663707533126399</v>
      </c>
      <c r="AL6021">
        <v>89.638310543399101</v>
      </c>
      <c r="AM6021">
        <v>89.046107737825494</v>
      </c>
      <c r="AN6021">
        <v>1.0000000061720999</v>
      </c>
    </row>
    <row r="6022" spans="1:40" x14ac:dyDescent="0.25">
      <c r="A6022" t="str">
        <f>"20190312160807265"</f>
        <v>20190312160807265</v>
      </c>
      <c r="B6022" t="str">
        <f>"1552378087251562"</f>
        <v>1552378087251562</v>
      </c>
      <c r="C6022" t="s">
        <v>40</v>
      </c>
      <c r="D6022">
        <v>6.171805</v>
      </c>
      <c r="E6022">
        <v>0.4634161</v>
      </c>
      <c r="F6022" t="s">
        <v>98</v>
      </c>
      <c r="G6022">
        <v>-376.37740000000002</v>
      </c>
      <c r="H6022" s="1">
        <v>-2.1713970000000002E-6</v>
      </c>
      <c r="I6022">
        <v>16.91863</v>
      </c>
      <c r="J6022">
        <v>-395.67689999999999</v>
      </c>
      <c r="K6022">
        <v>1.111305</v>
      </c>
      <c r="L6022">
        <v>16.689450000000001</v>
      </c>
      <c r="M6022">
        <v>0.99743519999999997</v>
      </c>
      <c r="N6022">
        <v>0</v>
      </c>
      <c r="O6022">
        <v>-7.0552210000000004E-2</v>
      </c>
      <c r="P6022">
        <v>0.99617610000000001</v>
      </c>
      <c r="Q6022">
        <v>-5.4095180000000003E-3</v>
      </c>
      <c r="R6022">
        <v>-8.7201299999999995E-2</v>
      </c>
      <c r="S6022">
        <v>3.0140989999999999</v>
      </c>
      <c r="T6022">
        <v>-0.1726338</v>
      </c>
      <c r="U6022">
        <v>3.4790040000000001E-2</v>
      </c>
      <c r="V6022">
        <v>1.667122E-2</v>
      </c>
      <c r="W6022">
        <v>6.7112580000000003E-3</v>
      </c>
      <c r="X6022">
        <v>0.99983849999999996</v>
      </c>
      <c r="Y6022">
        <v>-8.1815949999999998E-2</v>
      </c>
      <c r="Z6022">
        <v>6.3766730000000002E-3</v>
      </c>
      <c r="AA6022">
        <v>0.99662700000000004</v>
      </c>
      <c r="AB6022">
        <v>18</v>
      </c>
      <c r="AC6022">
        <v>19.299499999999899</v>
      </c>
      <c r="AD6022">
        <v>-1.111307171397</v>
      </c>
      <c r="AE6022">
        <v>0.229179999999999</v>
      </c>
      <c r="AF6022">
        <v>-1.58507529926015</v>
      </c>
      <c r="AG6022">
        <v>-1.111307171397</v>
      </c>
      <c r="AH6022">
        <v>19.171671332637999</v>
      </c>
      <c r="AI6022">
        <v>93.306245220380305</v>
      </c>
      <c r="AJ6022">
        <v>94.726350364948303</v>
      </c>
      <c r="AK6022">
        <v>19.2691579738248</v>
      </c>
      <c r="AL6022">
        <v>89.615470354095294</v>
      </c>
      <c r="AM6022">
        <v>89.044743686498904</v>
      </c>
      <c r="AN6022">
        <v>0.99999999832123998</v>
      </c>
    </row>
    <row r="6023" spans="1:40" x14ac:dyDescent="0.25">
      <c r="A6023" t="str">
        <f>"20190312160807282"</f>
        <v>20190312160807282</v>
      </c>
      <c r="B6023" t="str">
        <f>"1552378087272058"</f>
        <v>1552378087272058</v>
      </c>
      <c r="C6023" t="s">
        <v>40</v>
      </c>
      <c r="D6023">
        <v>6.1608010000000002</v>
      </c>
      <c r="E6023">
        <v>0.4643235</v>
      </c>
      <c r="F6023" t="s">
        <v>98</v>
      </c>
      <c r="G6023">
        <v>-376.65679999999998</v>
      </c>
      <c r="H6023" s="1">
        <v>-2.0394739999999998E-6</v>
      </c>
      <c r="I6023">
        <v>16.917870000000001</v>
      </c>
      <c r="J6023">
        <v>-395.5342</v>
      </c>
      <c r="K6023">
        <v>1.1112770000000001</v>
      </c>
      <c r="L6023">
        <v>16.682500000000001</v>
      </c>
      <c r="M6023">
        <v>0.99761770000000005</v>
      </c>
      <c r="N6023">
        <v>0</v>
      </c>
      <c r="O6023">
        <v>-6.7928520000000006E-2</v>
      </c>
      <c r="P6023">
        <v>0.99646020000000002</v>
      </c>
      <c r="Q6023">
        <v>-4.3974460000000002E-3</v>
      </c>
      <c r="R6023">
        <v>-8.395213E-2</v>
      </c>
      <c r="S6023">
        <v>3.013763</v>
      </c>
      <c r="T6023">
        <v>-0.17608859999999901</v>
      </c>
      <c r="U6023">
        <v>3.619385E-2</v>
      </c>
      <c r="V6023">
        <v>1.603692E-2</v>
      </c>
      <c r="W6023">
        <v>7.6815969999999897E-3</v>
      </c>
      <c r="X6023">
        <v>0.99984189999999995</v>
      </c>
      <c r="Y6023">
        <v>-7.9657850000000002E-2</v>
      </c>
      <c r="Z6023">
        <v>6.2888719999999896E-3</v>
      </c>
      <c r="AA6023">
        <v>0.99680239999999998</v>
      </c>
      <c r="AB6023">
        <v>18</v>
      </c>
      <c r="AC6023">
        <v>18.877400000000002</v>
      </c>
      <c r="AD6023">
        <v>-1.111279039474</v>
      </c>
      <c r="AE6023">
        <v>0.235369999999999</v>
      </c>
      <c r="AF6023">
        <v>-1.5119939003784599</v>
      </c>
      <c r="AG6023">
        <v>-1.111279039474</v>
      </c>
      <c r="AH6023">
        <v>18.752823785663701</v>
      </c>
      <c r="AI6023">
        <v>93.380396946324495</v>
      </c>
      <c r="AJ6023">
        <v>94.609645761634994</v>
      </c>
      <c r="AK6023">
        <v>18.846470932100502</v>
      </c>
      <c r="AL6023">
        <v>89.559872586720999</v>
      </c>
      <c r="AM6023">
        <v>89.081085670628596</v>
      </c>
      <c r="AN6023">
        <v>1.0000000073655799</v>
      </c>
    </row>
    <row r="6024" spans="1:40" x14ac:dyDescent="0.25">
      <c r="A6024" t="str">
        <f>"20190312160807298"</f>
        <v>20190312160807298</v>
      </c>
      <c r="B6024" t="str">
        <f>"1552378087291578"</f>
        <v>1552378087291578</v>
      </c>
      <c r="C6024" t="s">
        <v>40</v>
      </c>
      <c r="D6024">
        <v>6.1964430000000004</v>
      </c>
      <c r="E6024">
        <v>0.4653291</v>
      </c>
      <c r="F6024" t="s">
        <v>98</v>
      </c>
      <c r="G6024">
        <v>-376.22910000000002</v>
      </c>
      <c r="H6024" s="1">
        <v>-2.239304E-6</v>
      </c>
      <c r="I6024">
        <v>16.9312</v>
      </c>
      <c r="J6024">
        <v>-395.41500000000002</v>
      </c>
      <c r="K6024">
        <v>1.1112519999999999</v>
      </c>
      <c r="L6024">
        <v>16.676909999999999</v>
      </c>
      <c r="M6024">
        <v>0.99776299999999996</v>
      </c>
      <c r="N6024">
        <v>0</v>
      </c>
      <c r="O6024">
        <v>-6.5766359999999996E-2</v>
      </c>
      <c r="P6024">
        <v>0.99665360000000003</v>
      </c>
      <c r="Q6024">
        <v>-3.8834870000000001E-3</v>
      </c>
      <c r="R6024">
        <v>-8.1649589999999994E-2</v>
      </c>
      <c r="S6024">
        <v>3.0131839999999999</v>
      </c>
      <c r="T6024">
        <v>-0.17345039999999901</v>
      </c>
      <c r="U6024">
        <v>3.8818360000000003E-2</v>
      </c>
      <c r="V6024">
        <v>1.589233E-2</v>
      </c>
      <c r="W6024">
        <v>8.1646180000000002E-3</v>
      </c>
      <c r="X6024">
        <v>0.99984039999999996</v>
      </c>
      <c r="Y6024">
        <v>-7.8380989999999998E-2</v>
      </c>
      <c r="Z6024">
        <v>6.0350909999999898E-3</v>
      </c>
      <c r="AA6024">
        <v>0.99690520000000005</v>
      </c>
      <c r="AB6024">
        <v>18</v>
      </c>
      <c r="AC6024">
        <v>19.1859</v>
      </c>
      <c r="AD6024">
        <v>-1.1112542393039999</v>
      </c>
      <c r="AE6024">
        <v>0.25429000000000102</v>
      </c>
      <c r="AF6024">
        <v>-1.510550266678</v>
      </c>
      <c r="AG6024">
        <v>-1.1112542393039999</v>
      </c>
      <c r="AH6024">
        <v>19.063689540128301</v>
      </c>
      <c r="AI6024">
        <v>93.3256909736794</v>
      </c>
      <c r="AJ6024">
        <v>94.530482047661906</v>
      </c>
      <c r="AK6024">
        <v>19.155701683178599</v>
      </c>
      <c r="AL6024">
        <v>89.532196662099395</v>
      </c>
      <c r="AM6024">
        <v>89.089367899508801</v>
      </c>
      <c r="AN6024">
        <v>1.00000002630603</v>
      </c>
    </row>
    <row r="6025" spans="1:40" x14ac:dyDescent="0.25">
      <c r="A6025" t="str">
        <f>"20190312160807317"</f>
        <v>20190312160807317</v>
      </c>
      <c r="B6025" t="str">
        <f>"1552378087312074"</f>
        <v>1552378087312074</v>
      </c>
      <c r="C6025" t="s">
        <v>40</v>
      </c>
      <c r="D6025">
        <v>6.1816979999999999</v>
      </c>
      <c r="E6025">
        <v>0.46620610000000001</v>
      </c>
      <c r="F6025" t="s">
        <v>98</v>
      </c>
      <c r="G6025">
        <v>-377.20780000000002</v>
      </c>
      <c r="H6025" s="1">
        <v>-1.78077E-6</v>
      </c>
      <c r="I6025">
        <v>16.90802</v>
      </c>
      <c r="J6025">
        <v>-395.25369999999998</v>
      </c>
      <c r="K6025">
        <v>1.1112249999999999</v>
      </c>
      <c r="L6025">
        <v>16.66977</v>
      </c>
      <c r="M6025">
        <v>0.99794919999999998</v>
      </c>
      <c r="N6025">
        <v>0</v>
      </c>
      <c r="O6025">
        <v>-6.2886129999999998E-2</v>
      </c>
      <c r="P6025">
        <v>0.9969363</v>
      </c>
      <c r="Q6025">
        <v>-3.0563180000000001E-3</v>
      </c>
      <c r="R6025">
        <v>-7.8162229999999999E-2</v>
      </c>
      <c r="S6025">
        <v>3.0125120000000001</v>
      </c>
      <c r="T6025">
        <v>-0.18386459999999999</v>
      </c>
      <c r="U6025">
        <v>3.823853E-2</v>
      </c>
      <c r="V6025">
        <v>1.527763E-2</v>
      </c>
      <c r="W6025">
        <v>8.9508929999999997E-3</v>
      </c>
      <c r="X6025">
        <v>0.99984320000000004</v>
      </c>
      <c r="Y6025">
        <v>-7.5295609999999999E-2</v>
      </c>
      <c r="Z6025">
        <v>6.1287579999999998E-3</v>
      </c>
      <c r="AA6025">
        <v>0.99714239999999998</v>
      </c>
      <c r="AB6025">
        <v>18</v>
      </c>
      <c r="AC6025">
        <v>18.0458999999999</v>
      </c>
      <c r="AD6025">
        <v>-1.11122678076999</v>
      </c>
      <c r="AE6025">
        <v>0.23824999999999999</v>
      </c>
      <c r="AF6025">
        <v>-1.36751171377931</v>
      </c>
      <c r="AG6025">
        <v>-1.11122678076999</v>
      </c>
      <c r="AH6025">
        <v>17.9272280424053</v>
      </c>
      <c r="AI6025">
        <v>93.536716302162205</v>
      </c>
      <c r="AJ6025">
        <v>94.362147020296007</v>
      </c>
      <c r="AK6025">
        <v>18.0136175858717</v>
      </c>
      <c r="AL6025">
        <v>89.487144746808497</v>
      </c>
      <c r="AM6025">
        <v>89.124587130605804</v>
      </c>
      <c r="AN6025">
        <v>0.99999997452507605</v>
      </c>
    </row>
    <row r="6026" spans="1:40" x14ac:dyDescent="0.25">
      <c r="A6026" t="str">
        <f>"20190312160807331"</f>
        <v>20190312160807331</v>
      </c>
      <c r="B6026" t="str">
        <f>"1552378087321834"</f>
        <v>1552378087321834</v>
      </c>
      <c r="C6026" t="s">
        <v>40</v>
      </c>
      <c r="D6026">
        <v>6.1843570000000003</v>
      </c>
      <c r="E6026">
        <v>0.46649119999999999</v>
      </c>
      <c r="F6026" t="s">
        <v>98</v>
      </c>
      <c r="G6026">
        <v>-376.25709999999998</v>
      </c>
      <c r="H6026" s="1">
        <v>-2.2259909999999999E-6</v>
      </c>
      <c r="I6026">
        <v>16.931539999999998</v>
      </c>
      <c r="J6026">
        <v>-395.14240000000001</v>
      </c>
      <c r="K6026">
        <v>1.1112089999999999</v>
      </c>
      <c r="L6026">
        <v>16.665040000000001</v>
      </c>
      <c r="M6026">
        <v>0.99807140000000005</v>
      </c>
      <c r="N6026">
        <v>0</v>
      </c>
      <c r="O6026">
        <v>-6.0921700000000002E-2</v>
      </c>
      <c r="P6026">
        <v>0.99709639999999999</v>
      </c>
      <c r="Q6026">
        <v>-2.6367719999999999E-3</v>
      </c>
      <c r="R6026">
        <v>-7.610654E-2</v>
      </c>
      <c r="S6026">
        <v>3.0119319999999998</v>
      </c>
      <c r="T6026">
        <v>-0.17618629999999999</v>
      </c>
      <c r="U6026">
        <v>4.1503909999999998E-2</v>
      </c>
      <c r="V6026">
        <v>1.5183240000000001E-2</v>
      </c>
      <c r="W6026">
        <v>9.3447440000000003E-3</v>
      </c>
      <c r="X6026">
        <v>0.99984099999999998</v>
      </c>
      <c r="Y6026">
        <v>-7.4441859999999999E-2</v>
      </c>
      <c r="Z6026">
        <v>5.7347580000000004E-3</v>
      </c>
      <c r="AA6026">
        <v>0.99720889999999995</v>
      </c>
      <c r="AB6026">
        <v>18</v>
      </c>
      <c r="AC6026">
        <v>18.885300000000001</v>
      </c>
      <c r="AD6026">
        <v>-1.1112112259909901</v>
      </c>
      <c r="AE6026">
        <v>0.26649999999999702</v>
      </c>
      <c r="AF6026">
        <v>-1.4117245866810599</v>
      </c>
      <c r="AG6026">
        <v>-1.1112112259909901</v>
      </c>
      <c r="AH6026">
        <v>18.769011557678699</v>
      </c>
      <c r="AI6026">
        <v>93.378695173518807</v>
      </c>
      <c r="AJ6026">
        <v>94.301443442588806</v>
      </c>
      <c r="AK6026">
        <v>18.854801816770301</v>
      </c>
      <c r="AL6026">
        <v>89.464577783374594</v>
      </c>
      <c r="AM6026">
        <v>89.129992958532796</v>
      </c>
      <c r="AN6026">
        <v>0.99999994014915905</v>
      </c>
    </row>
    <row r="6027" spans="1:40" x14ac:dyDescent="0.25">
      <c r="A6027" t="str">
        <f>"20190312160807350"</f>
        <v>20190312160807350</v>
      </c>
      <c r="B6027" t="str">
        <f>"1552378087341354"</f>
        <v>1552378087341354</v>
      </c>
      <c r="C6027" t="s">
        <v>40</v>
      </c>
      <c r="D6027">
        <v>6.1777360000000003</v>
      </c>
      <c r="E6027">
        <v>0.46690930000000003</v>
      </c>
      <c r="F6027" t="s">
        <v>98</v>
      </c>
      <c r="G6027">
        <v>-375.66359999999997</v>
      </c>
      <c r="H6027" s="1">
        <v>-2.501857E-6</v>
      </c>
      <c r="I6027">
        <v>16.957940000000001</v>
      </c>
      <c r="J6027">
        <v>-394.99430000000001</v>
      </c>
      <c r="K6027">
        <v>1.1111899999999999</v>
      </c>
      <c r="L6027">
        <v>16.659089999999999</v>
      </c>
      <c r="M6027">
        <v>0.99822619999999895</v>
      </c>
      <c r="N6027">
        <v>0</v>
      </c>
      <c r="O6027">
        <v>-5.8337029999999998E-2</v>
      </c>
      <c r="P6027">
        <v>0.99726729999999997</v>
      </c>
      <c r="Q6027">
        <v>-1.5729419999999999E-3</v>
      </c>
      <c r="R6027">
        <v>-7.386558E-2</v>
      </c>
      <c r="S6027">
        <v>3.011749</v>
      </c>
      <c r="T6027">
        <v>-0.1718122</v>
      </c>
      <c r="U6027">
        <v>4.5288090000000003E-2</v>
      </c>
      <c r="V6027">
        <v>1.5521989999999999E-2</v>
      </c>
      <c r="W6027">
        <v>1.037943E-2</v>
      </c>
      <c r="X6027">
        <v>0.99982570000000004</v>
      </c>
      <c r="Y6027">
        <v>-7.3130719999999996E-2</v>
      </c>
      <c r="Z6027">
        <v>5.4084040000000003E-3</v>
      </c>
      <c r="AA6027">
        <v>0.99730770000000002</v>
      </c>
      <c r="AB6027">
        <v>18</v>
      </c>
      <c r="AC6027">
        <v>19.3307</v>
      </c>
      <c r="AD6027">
        <v>-1.1111925018569999</v>
      </c>
      <c r="AE6027">
        <v>0.298850000000001</v>
      </c>
      <c r="AF6027">
        <v>-1.42142052434633</v>
      </c>
      <c r="AG6027">
        <v>-1.1111925018569999</v>
      </c>
      <c r="AH6027">
        <v>19.216855190222901</v>
      </c>
      <c r="AI6027">
        <v>93.300381133318197</v>
      </c>
      <c r="AJ6027">
        <v>94.230315269599998</v>
      </c>
      <c r="AK6027">
        <v>19.301365456495901</v>
      </c>
      <c r="AL6027">
        <v>89.405291816967804</v>
      </c>
      <c r="AM6027">
        <v>89.110571894513896</v>
      </c>
      <c r="AN6027">
        <v>1.0000000475605799</v>
      </c>
    </row>
    <row r="6028" spans="1:40" x14ac:dyDescent="0.25">
      <c r="A6028" t="str">
        <f>"20190312160807363"</f>
        <v>20190312160807363</v>
      </c>
      <c r="B6028" t="str">
        <f>"1552378087352090"</f>
        <v>1552378087352090</v>
      </c>
      <c r="C6028" t="s">
        <v>40</v>
      </c>
      <c r="D6028">
        <v>6.1930779999999999</v>
      </c>
      <c r="E6028">
        <v>0.46671590000000002</v>
      </c>
      <c r="F6028" t="s">
        <v>98</v>
      </c>
      <c r="G6028">
        <v>-374.48820000000001</v>
      </c>
      <c r="H6028" s="1">
        <v>-3.051879E-6</v>
      </c>
      <c r="I6028">
        <v>16.98969</v>
      </c>
      <c r="J6028">
        <v>-394.88909999999998</v>
      </c>
      <c r="K6028">
        <v>1.111181</v>
      </c>
      <c r="L6028">
        <v>16.655089999999898</v>
      </c>
      <c r="M6028">
        <v>0.99833079999999996</v>
      </c>
      <c r="N6028">
        <v>0</v>
      </c>
      <c r="O6028">
        <v>-5.6519890000000003E-2</v>
      </c>
      <c r="P6028">
        <v>0.99739999999999995</v>
      </c>
      <c r="Q6028">
        <v>-1.2720660000000001E-3</v>
      </c>
      <c r="R6028">
        <v>-7.2052539999999998E-2</v>
      </c>
      <c r="S6028">
        <v>3.0115970000000001</v>
      </c>
      <c r="T6028">
        <v>-0.16319330000000001</v>
      </c>
      <c r="U6028">
        <v>4.8553470000000001E-2</v>
      </c>
      <c r="V6028">
        <v>1.5523820000000001E-2</v>
      </c>
      <c r="W6028">
        <v>1.0660269999999999E-2</v>
      </c>
      <c r="X6028">
        <v>0.99982269999999895</v>
      </c>
      <c r="Y6028">
        <v>-7.2421730000000004E-2</v>
      </c>
      <c r="Z6028">
        <v>5.0202529999999997E-3</v>
      </c>
      <c r="AA6028">
        <v>0.99736150000000001</v>
      </c>
      <c r="AB6028">
        <v>18</v>
      </c>
      <c r="AC6028">
        <v>20.400899999999901</v>
      </c>
      <c r="AD6028">
        <v>-1.1111840518789999</v>
      </c>
      <c r="AE6028">
        <v>0.33460000000000101</v>
      </c>
      <c r="AF6028">
        <v>-1.4828051949660599</v>
      </c>
      <c r="AG6028">
        <v>-1.1111840518789999</v>
      </c>
      <c r="AH6028">
        <v>20.289195393172701</v>
      </c>
      <c r="AI6028">
        <v>93.126480443878094</v>
      </c>
      <c r="AJ6028">
        <v>94.179944093232393</v>
      </c>
      <c r="AK6028">
        <v>20.373632247238302</v>
      </c>
      <c r="AL6028">
        <v>89.389199970334602</v>
      </c>
      <c r="AM6028">
        <v>89.110464381587505</v>
      </c>
      <c r="AN6028">
        <v>1.00000003088957</v>
      </c>
    </row>
    <row r="6029" spans="1:40" x14ac:dyDescent="0.25">
      <c r="A6029" t="str">
        <f>"20190312160807383"</f>
        <v>20190312160807383</v>
      </c>
      <c r="B6029" t="str">
        <f>"1552378087371610"</f>
        <v>1552378087371610</v>
      </c>
      <c r="C6029" t="s">
        <v>40</v>
      </c>
      <c r="D6029">
        <v>6.5843100000000003</v>
      </c>
      <c r="E6029">
        <v>0.4664064</v>
      </c>
      <c r="F6029" t="s">
        <v>98</v>
      </c>
      <c r="G6029">
        <v>-374.38459999999998</v>
      </c>
      <c r="H6029" s="1">
        <v>-3.0929819999999998E-6</v>
      </c>
      <c r="I6029">
        <v>17.033860000000001</v>
      </c>
      <c r="J6029">
        <v>-394.73140000000001</v>
      </c>
      <c r="K6029">
        <v>1.11117</v>
      </c>
      <c r="L6029">
        <v>16.64941</v>
      </c>
      <c r="M6029">
        <v>0.99848020000000004</v>
      </c>
      <c r="N6029">
        <v>0</v>
      </c>
      <c r="O6029">
        <v>-5.3822549999999997E-2</v>
      </c>
      <c r="P6029">
        <v>0.99754509999999996</v>
      </c>
      <c r="Q6029">
        <v>-7.7190620000000001E-4</v>
      </c>
      <c r="R6029">
        <v>-7.0026889999999994E-2</v>
      </c>
      <c r="S6029">
        <v>3.0116269999999998</v>
      </c>
      <c r="T6029">
        <v>-0.1632072</v>
      </c>
      <c r="U6029">
        <v>5.5633540000000002E-2</v>
      </c>
      <c r="V6029">
        <v>1.619319E-2</v>
      </c>
      <c r="W6029">
        <v>1.11366E-2</v>
      </c>
      <c r="X6029">
        <v>0.99980690000000005</v>
      </c>
      <c r="Y6029">
        <v>-7.2075479999999997E-2</v>
      </c>
      <c r="Z6029">
        <v>4.8652649999999997E-3</v>
      </c>
      <c r="AA6029">
        <v>0.99738729999999998</v>
      </c>
      <c r="AB6029">
        <v>18</v>
      </c>
      <c r="AC6029">
        <v>20.346800000000002</v>
      </c>
      <c r="AD6029">
        <v>-1.1111730929820001</v>
      </c>
      <c r="AE6029">
        <v>0.38445000000000101</v>
      </c>
      <c r="AF6029">
        <v>-1.4746896275119701</v>
      </c>
      <c r="AG6029">
        <v>-1.1111730929820001</v>
      </c>
      <c r="AH6029">
        <v>20.236278088485399</v>
      </c>
      <c r="AI6029">
        <v>93.134656640870404</v>
      </c>
      <c r="AJ6029">
        <v>94.167979755120498</v>
      </c>
      <c r="AK6029">
        <v>20.3203436490275</v>
      </c>
      <c r="AL6029">
        <v>89.361906657310797</v>
      </c>
      <c r="AM6029">
        <v>89.072100493160306</v>
      </c>
      <c r="AN6029">
        <v>1.00000004027477</v>
      </c>
    </row>
    <row r="6030" spans="1:40" x14ac:dyDescent="0.25">
      <c r="A6030" t="str">
        <f>"20190312160807396"</f>
        <v>20190312160807396</v>
      </c>
      <c r="B6030" t="str">
        <f>"1552378087392106"</f>
        <v>1552378087392106</v>
      </c>
      <c r="C6030" t="s">
        <v>40</v>
      </c>
      <c r="D6030">
        <v>6.2000169999999999</v>
      </c>
      <c r="E6030">
        <v>0.46513890000000002</v>
      </c>
      <c r="F6030" t="s">
        <v>98</v>
      </c>
      <c r="G6030">
        <v>-373.77850000000001</v>
      </c>
      <c r="H6030" s="1">
        <v>-3.3685609999999998E-6</v>
      </c>
      <c r="I6030">
        <v>17.095489999999899</v>
      </c>
      <c r="J6030">
        <v>-394.62479999999999</v>
      </c>
      <c r="K6030">
        <v>1.1111610000000001</v>
      </c>
      <c r="L6030">
        <v>16.64575</v>
      </c>
      <c r="M6030">
        <v>0.99857629999999997</v>
      </c>
      <c r="N6030">
        <v>0</v>
      </c>
      <c r="O6030">
        <v>-5.2014459999999998E-2</v>
      </c>
      <c r="P6030">
        <v>0.99765250000000005</v>
      </c>
      <c r="Q6030">
        <v>-4.536249E-4</v>
      </c>
      <c r="R6030">
        <v>-6.8482500000000002E-2</v>
      </c>
      <c r="S6030">
        <v>3.0117189999999998</v>
      </c>
      <c r="T6030">
        <v>-0.15971759999999999</v>
      </c>
      <c r="U6030">
        <v>6.4117430000000003E-2</v>
      </c>
      <c r="V6030">
        <v>1.6454989999999999E-2</v>
      </c>
      <c r="W6030">
        <v>1.143985E-2</v>
      </c>
      <c r="X6030">
        <v>0.99979910000000005</v>
      </c>
      <c r="Y6030">
        <v>-7.3086269999999995E-2</v>
      </c>
      <c r="Z6030">
        <v>4.692201E-3</v>
      </c>
      <c r="AA6030">
        <v>0.99731460000000005</v>
      </c>
      <c r="AB6030">
        <v>18</v>
      </c>
      <c r="AC6030">
        <v>20.8462999999999</v>
      </c>
      <c r="AD6030">
        <v>-1.111164368561</v>
      </c>
      <c r="AE6030">
        <v>0.44973999999999797</v>
      </c>
      <c r="AF6030">
        <v>-1.52917335761571</v>
      </c>
      <c r="AG6030">
        <v>-1.111164368561</v>
      </c>
      <c r="AH6030">
        <v>20.7357957503976</v>
      </c>
      <c r="AI6030">
        <v>93.059071002056896</v>
      </c>
      <c r="AJ6030">
        <v>94.217675932415304</v>
      </c>
      <c r="AK6030">
        <v>20.821774247498901</v>
      </c>
      <c r="AL6030">
        <v>89.3445305390687</v>
      </c>
      <c r="AM6030">
        <v>89.057094204744203</v>
      </c>
      <c r="AN6030">
        <v>0.99999993861236403</v>
      </c>
    </row>
    <row r="6031" spans="1:40" x14ac:dyDescent="0.25">
      <c r="A6031" t="str">
        <f>"20190312160807409"</f>
        <v>20190312160807409</v>
      </c>
      <c r="B6031" t="str">
        <f>"1552378087401866"</f>
        <v>1552378087401866</v>
      </c>
      <c r="C6031" t="s">
        <v>40</v>
      </c>
      <c r="D6031">
        <v>6.2178760000000004</v>
      </c>
      <c r="E6031">
        <v>0.46493830000000003</v>
      </c>
      <c r="F6031" t="s">
        <v>98</v>
      </c>
      <c r="G6031">
        <v>-371.88749999999999</v>
      </c>
      <c r="H6031" s="1">
        <v>-4.2373369999999996E-6</v>
      </c>
      <c r="I6031">
        <v>17.23704</v>
      </c>
      <c r="J6031">
        <v>-394.52080000000001</v>
      </c>
      <c r="K6031">
        <v>1.111154</v>
      </c>
      <c r="L6031">
        <v>16.64236</v>
      </c>
      <c r="M6031">
        <v>0.99866600000000005</v>
      </c>
      <c r="N6031">
        <v>0</v>
      </c>
      <c r="O6031">
        <v>-5.0263349999999998E-2</v>
      </c>
      <c r="P6031">
        <v>0.99772919999999998</v>
      </c>
      <c r="Q6031" s="1">
        <v>-9.8599120000000004E-5</v>
      </c>
      <c r="R6031">
        <v>-6.7357509999999995E-2</v>
      </c>
      <c r="S6031">
        <v>3.0123899999999999</v>
      </c>
      <c r="T6031">
        <v>-0.14721489999999901</v>
      </c>
      <c r="U6031">
        <v>7.8338619999999998E-2</v>
      </c>
      <c r="V6031">
        <v>1.70797E-2</v>
      </c>
      <c r="W6031">
        <v>1.17822E-2</v>
      </c>
      <c r="X6031">
        <v>0.99978469999999997</v>
      </c>
      <c r="Y6031">
        <v>-7.6063019999999995E-2</v>
      </c>
      <c r="Z6031">
        <v>4.3114470000000004E-3</v>
      </c>
      <c r="AA6031">
        <v>0.99709369999999997</v>
      </c>
      <c r="AB6031">
        <v>18</v>
      </c>
      <c r="AC6031">
        <v>22.633299999999998</v>
      </c>
      <c r="AD6031">
        <v>-1.1111582373369999</v>
      </c>
      <c r="AE6031">
        <v>0.59467999999999999</v>
      </c>
      <c r="AF6031">
        <v>-1.7274725252849901</v>
      </c>
      <c r="AG6031">
        <v>-1.1111582373369999</v>
      </c>
      <c r="AH6031">
        <v>22.5205528211957</v>
      </c>
      <c r="AI6031">
        <v>92.816408079562095</v>
      </c>
      <c r="AJ6031">
        <v>94.386368544194298</v>
      </c>
      <c r="AK6031">
        <v>22.614025146494399</v>
      </c>
      <c r="AL6031">
        <v>89.324914040915999</v>
      </c>
      <c r="AM6031">
        <v>89.021289739948998</v>
      </c>
      <c r="AN6031">
        <v>0.99999999137150997</v>
      </c>
    </row>
    <row r="6032" spans="1:40" x14ac:dyDescent="0.25">
      <c r="A6032" t="str">
        <f>"20190312160807428"</f>
        <v>20190312160807428</v>
      </c>
      <c r="B6032" t="str">
        <f>"1552378087421385"</f>
        <v>1552378087421385</v>
      </c>
      <c r="C6032" t="s">
        <v>40</v>
      </c>
      <c r="D6032">
        <v>6.1987439999999996</v>
      </c>
      <c r="E6032">
        <v>0.46457910000000002</v>
      </c>
      <c r="F6032" t="s">
        <v>98</v>
      </c>
      <c r="G6032">
        <v>-371.37310000000002</v>
      </c>
      <c r="H6032" s="1">
        <v>-4.4724599999999997E-6</v>
      </c>
      <c r="I6032">
        <v>17.282299999999999</v>
      </c>
      <c r="J6032">
        <v>-394.37939999999998</v>
      </c>
      <c r="K6032">
        <v>1.111148</v>
      </c>
      <c r="L6032">
        <v>16.638059999999999</v>
      </c>
      <c r="M6032">
        <v>0.99878250000000002</v>
      </c>
      <c r="N6032">
        <v>0</v>
      </c>
      <c r="O6032">
        <v>-4.7898679999999999E-2</v>
      </c>
      <c r="P6032">
        <v>0.99784110000000004</v>
      </c>
      <c r="Q6032">
        <v>2.5901569999999999E-4</v>
      </c>
      <c r="R6032">
        <v>-6.5677650000000004E-2</v>
      </c>
      <c r="S6032">
        <v>3.0124819999999999</v>
      </c>
      <c r="T6032">
        <v>-0.14460870000000001</v>
      </c>
      <c r="U6032">
        <v>8.3282469999999997E-2</v>
      </c>
      <c r="V6032">
        <v>1.7763000000000001E-2</v>
      </c>
      <c r="W6032">
        <v>1.212359E-2</v>
      </c>
      <c r="X6032">
        <v>0.99976869999999995</v>
      </c>
      <c r="Y6032">
        <v>-7.5345410000000002E-2</v>
      </c>
      <c r="Z6032">
        <v>4.1044330000000002E-3</v>
      </c>
      <c r="AA6032">
        <v>0.99714910000000001</v>
      </c>
      <c r="AB6032">
        <v>18</v>
      </c>
      <c r="AC6032">
        <v>23.0062999999999</v>
      </c>
      <c r="AD6032">
        <v>-1.1111524724599999</v>
      </c>
      <c r="AE6032">
        <v>0.64423999999999904</v>
      </c>
      <c r="AF6032">
        <v>-1.7414894223286701</v>
      </c>
      <c r="AG6032">
        <v>-1.1111524724599999</v>
      </c>
      <c r="AH6032">
        <v>22.895663049437299</v>
      </c>
      <c r="AI6032">
        <v>92.770459079342601</v>
      </c>
      <c r="AJ6032">
        <v>94.349655030530897</v>
      </c>
      <c r="AK6032">
        <v>22.988667462436901</v>
      </c>
      <c r="AL6032">
        <v>89.305352428823397</v>
      </c>
      <c r="AM6032">
        <v>88.982126704712897</v>
      </c>
      <c r="AN6032">
        <v>0.99999997955158804</v>
      </c>
    </row>
    <row r="6033" spans="1:40" x14ac:dyDescent="0.25">
      <c r="A6033" t="str">
        <f>"20190312160807440"</f>
        <v>20190312160807440</v>
      </c>
      <c r="B6033" t="str">
        <f>"1552378087432122"</f>
        <v>1552378087432122</v>
      </c>
      <c r="C6033" t="s">
        <v>40</v>
      </c>
      <c r="D6033">
        <v>7.0033699999999897</v>
      </c>
      <c r="E6033">
        <v>0.46440540000000002</v>
      </c>
      <c r="F6033" t="s">
        <v>98</v>
      </c>
      <c r="G6033">
        <v>-370.6497</v>
      </c>
      <c r="H6033" s="1">
        <v>-4.8015370000000001E-6</v>
      </c>
      <c r="I6033">
        <v>17.355149999999998</v>
      </c>
      <c r="J6033">
        <v>-394.27300000000002</v>
      </c>
      <c r="K6033">
        <v>1.1111439999999999</v>
      </c>
      <c r="L6033">
        <v>16.63504</v>
      </c>
      <c r="M6033">
        <v>0.99886580000000003</v>
      </c>
      <c r="N6033">
        <v>0</v>
      </c>
      <c r="O6033">
        <v>-4.613051E-2</v>
      </c>
      <c r="P6033">
        <v>0.99793969999999999</v>
      </c>
      <c r="Q6033">
        <v>3.395192E-4</v>
      </c>
      <c r="R6033">
        <v>-6.4157539999999999E-2</v>
      </c>
      <c r="S6033">
        <v>3.0124819999999999</v>
      </c>
      <c r="T6033">
        <v>-0.14106070000000001</v>
      </c>
      <c r="U6033">
        <v>9.1033939999999994E-2</v>
      </c>
      <c r="V6033">
        <v>1.8009919999999999E-2</v>
      </c>
      <c r="W6033">
        <v>1.2192730000000001E-2</v>
      </c>
      <c r="X6033">
        <v>0.99976350000000003</v>
      </c>
      <c r="Y6033">
        <v>-7.6151739999999996E-2</v>
      </c>
      <c r="Z6033">
        <v>3.9398929999999999E-3</v>
      </c>
      <c r="AA6033">
        <v>0.99708839999999999</v>
      </c>
      <c r="AB6033">
        <v>18</v>
      </c>
      <c r="AC6033">
        <v>23.6233</v>
      </c>
      <c r="AD6033">
        <v>-1.1111488015369999</v>
      </c>
      <c r="AE6033">
        <v>0.72010999999999803</v>
      </c>
      <c r="AF6033">
        <v>-1.80518387310234</v>
      </c>
      <c r="AG6033">
        <v>-1.1111488015369999</v>
      </c>
      <c r="AH6033">
        <v>23.512954559615601</v>
      </c>
      <c r="AI6033">
        <v>92.697679800109697</v>
      </c>
      <c r="AJ6033">
        <v>94.390214749857506</v>
      </c>
      <c r="AK6033">
        <v>23.608311515172201</v>
      </c>
      <c r="AL6033">
        <v>89.3013907464927</v>
      </c>
      <c r="AM6033">
        <v>88.967975119059403</v>
      </c>
      <c r="AN6033">
        <v>1.0000000379077501</v>
      </c>
    </row>
    <row r="6034" spans="1:40" x14ac:dyDescent="0.25">
      <c r="A6034" t="str">
        <f>"20190312160807453"</f>
        <v>20190312160807453</v>
      </c>
      <c r="B6034" t="str">
        <f>"1552378087441882"</f>
        <v>1552378087441882</v>
      </c>
      <c r="C6034" t="s">
        <v>40</v>
      </c>
      <c r="D6034">
        <v>6.2001869999999997</v>
      </c>
      <c r="E6034">
        <v>0.46434880000000001</v>
      </c>
      <c r="F6034" t="s">
        <v>98</v>
      </c>
      <c r="G6034">
        <v>-370.10700000000003</v>
      </c>
      <c r="H6034" s="1">
        <v>-5.0479410000000001E-6</v>
      </c>
      <c r="I6034">
        <v>17.41208</v>
      </c>
      <c r="J6034">
        <v>-394.16980000000001</v>
      </c>
      <c r="K6034">
        <v>1.111135</v>
      </c>
      <c r="L6034">
        <v>16.63223</v>
      </c>
      <c r="M6034">
        <v>0.99894329999999998</v>
      </c>
      <c r="N6034">
        <v>0</v>
      </c>
      <c r="O6034">
        <v>-4.4422660000000003E-2</v>
      </c>
      <c r="P6034">
        <v>0.99804839999999995</v>
      </c>
      <c r="Q6034">
        <v>6.0717949999999996E-4</v>
      </c>
      <c r="R6034">
        <v>-6.2444340000000001E-2</v>
      </c>
      <c r="S6034">
        <v>3.012451</v>
      </c>
      <c r="T6034">
        <v>-0.13851240000000001</v>
      </c>
      <c r="U6034">
        <v>9.6862790000000004E-2</v>
      </c>
      <c r="V6034">
        <v>1.8002170000000001E-2</v>
      </c>
      <c r="W6034">
        <v>1.244877E-2</v>
      </c>
      <c r="X6034">
        <v>0.99976039999999999</v>
      </c>
      <c r="Y6034">
        <v>-7.6381069999999995E-2</v>
      </c>
      <c r="Z6034">
        <v>3.795568E-3</v>
      </c>
      <c r="AA6034">
        <v>0.99707140000000005</v>
      </c>
      <c r="AB6034">
        <v>18</v>
      </c>
      <c r="AC6034">
        <v>24.062799999999999</v>
      </c>
      <c r="AD6034">
        <v>-1.1111400479410001</v>
      </c>
      <c r="AE6034">
        <v>0.77984999999999904</v>
      </c>
      <c r="AF6034">
        <v>-1.84415973108167</v>
      </c>
      <c r="AG6034">
        <v>-1.1111400479410001</v>
      </c>
      <c r="AH6034">
        <v>23.953375283379799</v>
      </c>
      <c r="AI6034">
        <v>92.648085559158204</v>
      </c>
      <c r="AJ6034">
        <v>94.402491908442599</v>
      </c>
      <c r="AK6034">
        <v>24.0499427189819</v>
      </c>
      <c r="AL6034">
        <v>89.286719561970997</v>
      </c>
      <c r="AM6034">
        <v>88.968415924393696</v>
      </c>
      <c r="AN6034">
        <v>0.99999995370368899</v>
      </c>
    </row>
    <row r="6035" spans="1:40" x14ac:dyDescent="0.25">
      <c r="A6035" t="str">
        <f>"20190312160807474"</f>
        <v>20190312160807474</v>
      </c>
      <c r="B6035" t="str">
        <f>"1552378087461401"</f>
        <v>1552378087461401</v>
      </c>
      <c r="C6035" t="s">
        <v>40</v>
      </c>
      <c r="D6035">
        <v>6.1848390000000002</v>
      </c>
      <c r="E6035">
        <v>0.4640224</v>
      </c>
      <c r="F6035" t="s">
        <v>97</v>
      </c>
      <c r="G6035">
        <v>-369.83730000000003</v>
      </c>
      <c r="H6035" s="1">
        <v>-6.3684849999999995E-7</v>
      </c>
      <c r="I6035">
        <v>17.45926</v>
      </c>
      <c r="J6035">
        <v>-394.00889999999998</v>
      </c>
      <c r="K6035">
        <v>1.111127</v>
      </c>
      <c r="L6035">
        <v>16.6282</v>
      </c>
      <c r="M6035">
        <v>0.99905770000000005</v>
      </c>
      <c r="N6035">
        <v>0</v>
      </c>
      <c r="O6035">
        <v>-4.1777729999999999E-2</v>
      </c>
      <c r="P6035">
        <v>0.99820039999999999</v>
      </c>
      <c r="Q6035">
        <v>7.3184070000000001E-4</v>
      </c>
      <c r="R6035">
        <v>-5.9963269999999999E-2</v>
      </c>
      <c r="S6035">
        <v>3.0123600000000001</v>
      </c>
      <c r="T6035">
        <v>-0.13755819999999999</v>
      </c>
      <c r="U6035">
        <v>0.10238650000000001</v>
      </c>
      <c r="V6035">
        <v>1.816398E-2</v>
      </c>
      <c r="W6035">
        <v>1.255796E-2</v>
      </c>
      <c r="X6035">
        <v>0.99975619999999998</v>
      </c>
      <c r="Y6035">
        <v>-7.5573849999999998E-2</v>
      </c>
      <c r="Z6035">
        <v>3.6304039999999998E-3</v>
      </c>
      <c r="AA6035">
        <v>0.99713359999999995</v>
      </c>
      <c r="AB6035">
        <v>18</v>
      </c>
      <c r="AC6035">
        <v>24.171599999999899</v>
      </c>
      <c r="AD6035">
        <v>-1.1111276368484999</v>
      </c>
      <c r="AE6035">
        <v>0.83106000000000002</v>
      </c>
      <c r="AF6035">
        <v>-1.8363629476130201</v>
      </c>
      <c r="AG6035">
        <v>-1.1111276368484999</v>
      </c>
      <c r="AH6035">
        <v>24.064980042625599</v>
      </c>
      <c r="AI6035">
        <v>92.635929244747402</v>
      </c>
      <c r="AJ6035">
        <v>94.363699173073101</v>
      </c>
      <c r="AK6035">
        <v>24.160506988734799</v>
      </c>
      <c r="AL6035">
        <v>89.280463012835099</v>
      </c>
      <c r="AM6035">
        <v>88.959141333560197</v>
      </c>
      <c r="AN6035">
        <v>1.00000004598361</v>
      </c>
    </row>
    <row r="6036" spans="1:40" x14ac:dyDescent="0.25">
      <c r="A6036" t="str">
        <f>"20190312160807488"</f>
        <v>20190312160807488</v>
      </c>
      <c r="B6036" t="str">
        <f>"1552378087481898"</f>
        <v>1552378087481898</v>
      </c>
      <c r="C6036" t="s">
        <v>40</v>
      </c>
      <c r="D6036">
        <v>6.3114819999999998</v>
      </c>
      <c r="E6036">
        <v>0.4636709</v>
      </c>
      <c r="F6036" t="s">
        <v>97</v>
      </c>
      <c r="G6036">
        <v>-369.29919999999998</v>
      </c>
      <c r="H6036" s="1">
        <v>-8.1955650000000002E-7</v>
      </c>
      <c r="I6036">
        <v>17.549209999999999</v>
      </c>
      <c r="J6036">
        <v>-393.8922</v>
      </c>
      <c r="K6036">
        <v>1.11112099999999</v>
      </c>
      <c r="L6036">
        <v>16.625610000000002</v>
      </c>
      <c r="M6036">
        <v>0.99913560000000001</v>
      </c>
      <c r="N6036">
        <v>0</v>
      </c>
      <c r="O6036">
        <v>-3.9875699999999903E-2</v>
      </c>
      <c r="P6036">
        <v>0.99832160000000003</v>
      </c>
      <c r="Q6036">
        <v>7.6512990000000001E-4</v>
      </c>
      <c r="R6036">
        <v>-5.790998E-2</v>
      </c>
      <c r="S6036">
        <v>3.0122070000000001</v>
      </c>
      <c r="T6036">
        <v>-0.13545070000000001</v>
      </c>
      <c r="U6036">
        <v>0.1122742</v>
      </c>
      <c r="V6036">
        <v>1.801115E-2</v>
      </c>
      <c r="W6036">
        <v>1.2580839999999999E-2</v>
      </c>
      <c r="X6036">
        <v>0.9997587</v>
      </c>
      <c r="Y6036">
        <v>-7.6950420000000005E-2</v>
      </c>
      <c r="Z6036">
        <v>3.5203259999999998E-3</v>
      </c>
      <c r="AA6036">
        <v>0.99702869999999999</v>
      </c>
      <c r="AB6036">
        <v>18</v>
      </c>
      <c r="AC6036">
        <v>24.593</v>
      </c>
      <c r="AD6036">
        <v>-1.11112181955649</v>
      </c>
      <c r="AE6036">
        <v>0.92359999999999998</v>
      </c>
      <c r="AF6036">
        <v>-1.8997236789448899</v>
      </c>
      <c r="AG6036">
        <v>-1.11112181955649</v>
      </c>
      <c r="AH6036">
        <v>24.486691932466201</v>
      </c>
      <c r="AI6036">
        <v>92.590329914707496</v>
      </c>
      <c r="AJ6036">
        <v>94.436228251085197</v>
      </c>
      <c r="AK6036">
        <v>24.5853945168619</v>
      </c>
      <c r="AL6036">
        <v>89.2791519982258</v>
      </c>
      <c r="AM6036">
        <v>88.9678996972672</v>
      </c>
      <c r="AN6036">
        <v>1.0000000686425501</v>
      </c>
    </row>
    <row r="6037" spans="1:40" x14ac:dyDescent="0.25">
      <c r="A6037" t="str">
        <f>"20190312160807507"</f>
        <v>20190312160807507</v>
      </c>
      <c r="B6037" t="str">
        <f>"1552378087491658"</f>
        <v>1552378087491658</v>
      </c>
      <c r="C6037" t="s">
        <v>40</v>
      </c>
      <c r="D6037">
        <v>6.2184720000000002</v>
      </c>
      <c r="E6037">
        <v>0.46351249999999999</v>
      </c>
      <c r="F6037" t="s">
        <v>97</v>
      </c>
      <c r="G6037">
        <v>-368.3861</v>
      </c>
      <c r="H6037" s="1">
        <v>-1.143264E-6</v>
      </c>
      <c r="I6037">
        <v>17.650479999999899</v>
      </c>
      <c r="J6037">
        <v>-393.74430000000001</v>
      </c>
      <c r="K6037">
        <v>1.1111120000000001</v>
      </c>
      <c r="L6037">
        <v>16.622499999999999</v>
      </c>
      <c r="M6037">
        <v>0.99922840000000002</v>
      </c>
      <c r="N6037">
        <v>0</v>
      </c>
      <c r="O6037">
        <v>-3.7478129999999998E-2</v>
      </c>
      <c r="P6037">
        <v>0.99846760000000001</v>
      </c>
      <c r="Q6037">
        <v>-2.2323239999999999E-4</v>
      </c>
      <c r="R6037">
        <v>-5.533975E-2</v>
      </c>
      <c r="S6037">
        <v>3.0121769999999999</v>
      </c>
      <c r="T6037">
        <v>-0.13121910000000001</v>
      </c>
      <c r="U6037">
        <v>0.12103269999999999</v>
      </c>
      <c r="V6037">
        <v>1.7839689999999998E-2</v>
      </c>
      <c r="W6037">
        <v>1.1580989999999999E-2</v>
      </c>
      <c r="X6037">
        <v>0.99977380000000005</v>
      </c>
      <c r="Y6037">
        <v>-7.7462169999999997E-2</v>
      </c>
      <c r="Z6037">
        <v>3.3171170000000001E-3</v>
      </c>
      <c r="AA6037">
        <v>0.99698980000000004</v>
      </c>
      <c r="AB6037">
        <v>18</v>
      </c>
      <c r="AC6037">
        <v>25.3582</v>
      </c>
      <c r="AD6037">
        <v>-1.111113143264</v>
      </c>
      <c r="AE6037">
        <v>1.0279799999999899</v>
      </c>
      <c r="AF6037">
        <v>-1.9739176707616599</v>
      </c>
      <c r="AG6037">
        <v>-1.111113143264</v>
      </c>
      <c r="AH6037">
        <v>25.25344798902</v>
      </c>
      <c r="AI6037">
        <v>92.511650834351897</v>
      </c>
      <c r="AJ6037">
        <v>94.469396185298294</v>
      </c>
      <c r="AK6037">
        <v>25.3548330446528</v>
      </c>
      <c r="AL6037">
        <v>89.336443325529999</v>
      </c>
      <c r="AM6037">
        <v>88.977738281382699</v>
      </c>
      <c r="AN6037">
        <v>1.0000000125175501</v>
      </c>
    </row>
    <row r="6038" spans="1:40" x14ac:dyDescent="0.25">
      <c r="A6038" t="str">
        <f>"20190312160807521"</f>
        <v>20190312160807521</v>
      </c>
      <c r="B6038" t="str">
        <f>"1552378087512154"</f>
        <v>1552378087512154</v>
      </c>
      <c r="C6038" t="s">
        <v>40</v>
      </c>
      <c r="D6038">
        <v>6.1328769999999997</v>
      </c>
      <c r="E6038">
        <v>0.46333819999999998</v>
      </c>
      <c r="F6038" t="s">
        <v>97</v>
      </c>
      <c r="G6038">
        <v>-368.23680000000002</v>
      </c>
      <c r="H6038" s="1">
        <v>-1.181223E-6</v>
      </c>
      <c r="I6038">
        <v>17.723279999999999</v>
      </c>
      <c r="J6038">
        <v>-393.63040000000001</v>
      </c>
      <c r="K6038">
        <v>1.1110990000000001</v>
      </c>
      <c r="L6038">
        <v>16.62039</v>
      </c>
      <c r="M6038">
        <v>0.99929570000000001</v>
      </c>
      <c r="N6038">
        <v>0</v>
      </c>
      <c r="O6038">
        <v>-3.5643580000000001E-2</v>
      </c>
      <c r="P6038">
        <v>0.99855799999999995</v>
      </c>
      <c r="Q6038">
        <v>-4.6904390000000002E-4</v>
      </c>
      <c r="R6038">
        <v>-5.3685829999999997E-2</v>
      </c>
      <c r="S6038">
        <v>3.0117799999999999</v>
      </c>
      <c r="T6038">
        <v>-0.131193899999999</v>
      </c>
      <c r="U6038">
        <v>0.12997439999999999</v>
      </c>
      <c r="V6038">
        <v>1.802001E-2</v>
      </c>
      <c r="W6038">
        <v>1.132733E-2</v>
      </c>
      <c r="X6038">
        <v>0.99977340000000003</v>
      </c>
      <c r="Y6038">
        <v>-7.8592540000000002E-2</v>
      </c>
      <c r="Z6038">
        <v>3.2614940000000002E-3</v>
      </c>
      <c r="AA6038">
        <v>0.9969015</v>
      </c>
      <c r="AB6038">
        <v>18</v>
      </c>
      <c r="AC6038">
        <v>25.3935999999999</v>
      </c>
      <c r="AD6038">
        <v>-1.1111001812229999</v>
      </c>
      <c r="AE6038">
        <v>1.1028899999999899</v>
      </c>
      <c r="AF6038">
        <v>-2.0035416180680001</v>
      </c>
      <c r="AG6038">
        <v>-1.1111001812229999</v>
      </c>
      <c r="AH6038">
        <v>25.289821675420001</v>
      </c>
      <c r="AI6038">
        <v>92.507806347201395</v>
      </c>
      <c r="AJ6038">
        <v>94.529696502739398</v>
      </c>
      <c r="AK6038">
        <v>25.393381086468001</v>
      </c>
      <c r="AL6038">
        <v>89.350977879402194</v>
      </c>
      <c r="AM6038">
        <v>88.967407278452797</v>
      </c>
      <c r="AN6038">
        <v>0.99999994025644201</v>
      </c>
    </row>
    <row r="6039" spans="1:40" x14ac:dyDescent="0.25">
      <c r="A6039" t="str">
        <f>"20190312160807542"</f>
        <v>20190312160807542</v>
      </c>
      <c r="B6039" t="str">
        <f>"1552378087531674"</f>
        <v>1552378087531674</v>
      </c>
      <c r="C6039" t="s">
        <v>40</v>
      </c>
      <c r="D6039">
        <v>6.1849210000000001</v>
      </c>
      <c r="E6039">
        <v>0.46341969999999999</v>
      </c>
      <c r="F6039" t="s">
        <v>97</v>
      </c>
      <c r="G6039">
        <v>-367.81990000000002</v>
      </c>
      <c r="H6039" s="1">
        <v>-1.3552510000000001E-6</v>
      </c>
      <c r="I6039">
        <v>17.7882</v>
      </c>
      <c r="J6039">
        <v>-393.46879999999999</v>
      </c>
      <c r="K6039">
        <v>1.1110869999999999</v>
      </c>
      <c r="L6039">
        <v>16.617709999999999</v>
      </c>
      <c r="M6039">
        <v>0.99938459999999996</v>
      </c>
      <c r="N6039">
        <v>0</v>
      </c>
      <c r="O6039">
        <v>-3.3060550000000001E-2</v>
      </c>
      <c r="P6039">
        <v>0.99870619999999999</v>
      </c>
      <c r="Q6039">
        <v>-5.7980049999999995E-4</v>
      </c>
      <c r="R6039">
        <v>-5.0850060000000002E-2</v>
      </c>
      <c r="S6039">
        <v>3.0115970000000001</v>
      </c>
      <c r="T6039">
        <v>-0.1296446</v>
      </c>
      <c r="U6039">
        <v>0.13626099999999999</v>
      </c>
      <c r="V6039">
        <v>1.776583E-2</v>
      </c>
      <c r="W6039">
        <v>1.120526E-2</v>
      </c>
      <c r="X6039">
        <v>0.99977939999999998</v>
      </c>
      <c r="Y6039">
        <v>-7.8100729999999993E-2</v>
      </c>
      <c r="Z6039">
        <v>3.1014129999999999E-3</v>
      </c>
      <c r="AA6039">
        <v>0.99694070000000001</v>
      </c>
      <c r="AB6039">
        <v>18</v>
      </c>
      <c r="AC6039">
        <v>25.648899999999902</v>
      </c>
      <c r="AD6039">
        <v>-1.111088355251</v>
      </c>
      <c r="AE6039">
        <v>1.17049</v>
      </c>
      <c r="AF6039">
        <v>-2.0141033685794598</v>
      </c>
      <c r="AG6039">
        <v>-1.111088355251</v>
      </c>
      <c r="AH6039">
        <v>25.548334371891901</v>
      </c>
      <c r="AI6039">
        <v>92.482512040093894</v>
      </c>
      <c r="AJ6039">
        <v>94.507590999049398</v>
      </c>
      <c r="AK6039">
        <v>25.6516767266877</v>
      </c>
      <c r="AL6039">
        <v>89.3579724679349</v>
      </c>
      <c r="AM6039">
        <v>88.981975464422106</v>
      </c>
      <c r="AN6039">
        <v>1.0000000156158</v>
      </c>
    </row>
    <row r="6040" spans="1:40" x14ac:dyDescent="0.25">
      <c r="A6040" t="str">
        <f>"20190312160807575"</f>
        <v>20190312160807575</v>
      </c>
      <c r="B6040" t="str">
        <f>"1552378087571691"</f>
        <v>1552378087571691</v>
      </c>
      <c r="C6040" t="s">
        <v>40</v>
      </c>
      <c r="D6040">
        <v>6.1807349999999897</v>
      </c>
      <c r="E6040">
        <v>0.46355499999999999</v>
      </c>
      <c r="F6040" t="s">
        <v>97</v>
      </c>
      <c r="G6040">
        <v>-368.26909999999998</v>
      </c>
      <c r="H6040" s="1">
        <v>-1.141708E-6</v>
      </c>
      <c r="I6040">
        <v>17.825209999999998</v>
      </c>
      <c r="J6040">
        <v>-393.19510000000002</v>
      </c>
      <c r="K6040">
        <v>1.1110709999999999</v>
      </c>
      <c r="L6040">
        <v>16.61401</v>
      </c>
      <c r="M6040">
        <v>0.99951880000000004</v>
      </c>
      <c r="N6040">
        <v>0</v>
      </c>
      <c r="O6040">
        <v>-2.8723080000000002E-2</v>
      </c>
      <c r="P6040">
        <v>0.99893889999999996</v>
      </c>
      <c r="Q6040">
        <v>-7.4232740000000001E-4</v>
      </c>
      <c r="R6040">
        <v>-4.604917E-2</v>
      </c>
      <c r="S6040">
        <v>3.0111690000000002</v>
      </c>
      <c r="T6040">
        <v>-0.132766</v>
      </c>
      <c r="U6040">
        <v>0.1442871</v>
      </c>
      <c r="V6040">
        <v>1.7300070000000001E-2</v>
      </c>
      <c r="W6040">
        <v>1.1025510000000001E-2</v>
      </c>
      <c r="X6040">
        <v>0.9997895</v>
      </c>
      <c r="Y6040">
        <v>-7.6432819999999999E-2</v>
      </c>
      <c r="Z6040">
        <v>2.948492E-3</v>
      </c>
      <c r="AA6040">
        <v>0.99707040000000002</v>
      </c>
      <c r="AB6040">
        <v>18</v>
      </c>
      <c r="AC6040">
        <v>24.925999999999998</v>
      </c>
      <c r="AD6040">
        <v>-1.1110721417079901</v>
      </c>
      <c r="AE6040">
        <v>1.2112000000000001</v>
      </c>
      <c r="AF6040">
        <v>-1.9228891757859801</v>
      </c>
      <c r="AG6040">
        <v>-1.1110721417079901</v>
      </c>
      <c r="AH6040">
        <v>24.831700259760598</v>
      </c>
      <c r="AI6040">
        <v>92.554302667598407</v>
      </c>
      <c r="AJ6040">
        <v>94.427969282642493</v>
      </c>
      <c r="AK6040">
        <v>24.930810694340199</v>
      </c>
      <c r="AL6040">
        <v>89.368271978544797</v>
      </c>
      <c r="AM6040">
        <v>89.008669240781202</v>
      </c>
      <c r="AN6040">
        <v>0.99999994930150604</v>
      </c>
    </row>
    <row r="6041" spans="1:40" x14ac:dyDescent="0.25">
      <c r="A6041" t="str">
        <f>"20190312160807606"</f>
        <v>20190312160807606</v>
      </c>
      <c r="B6041" t="str">
        <f>"1552378087601946"</f>
        <v>1552378087601946</v>
      </c>
      <c r="C6041" t="s">
        <v>40</v>
      </c>
      <c r="D6041">
        <v>6.1458409999999999</v>
      </c>
      <c r="E6041">
        <v>0.46327279999999998</v>
      </c>
      <c r="F6041" t="s">
        <v>97</v>
      </c>
      <c r="G6041">
        <v>-368.86700000000002</v>
      </c>
      <c r="H6041" s="1">
        <v>-8.9515380000000004E-7</v>
      </c>
      <c r="I6041">
        <v>17.888829999999999</v>
      </c>
      <c r="J6041">
        <v>-392.94529999999997</v>
      </c>
      <c r="K6041">
        <v>1.1110519999999999</v>
      </c>
      <c r="L6041">
        <v>16.611660000000001</v>
      </c>
      <c r="M6041">
        <v>0.9996235</v>
      </c>
      <c r="N6041">
        <v>0</v>
      </c>
      <c r="O6041">
        <v>-2.4819379999999999E-2</v>
      </c>
      <c r="P6041">
        <v>0.99911870000000003</v>
      </c>
      <c r="Q6041">
        <v>-1.479417E-3</v>
      </c>
      <c r="R6041">
        <v>-4.1947470000000001E-2</v>
      </c>
      <c r="S6041">
        <v>3.010345</v>
      </c>
      <c r="T6041">
        <v>-0.13748369999999999</v>
      </c>
      <c r="U6041">
        <v>0.15774540000000001</v>
      </c>
      <c r="V6041">
        <v>1.710267E-2</v>
      </c>
      <c r="W6041">
        <v>1.026643E-2</v>
      </c>
      <c r="X6041">
        <v>0.99980100000000005</v>
      </c>
      <c r="Y6041">
        <v>-7.6994370000000006E-2</v>
      </c>
      <c r="Z6041">
        <v>2.888383E-3</v>
      </c>
      <c r="AA6041">
        <v>0.99702729999999995</v>
      </c>
      <c r="AB6041">
        <v>18</v>
      </c>
      <c r="AC6041">
        <v>24.078299999999999</v>
      </c>
      <c r="AD6041">
        <v>-1.1110528951537999</v>
      </c>
      <c r="AE6041">
        <v>1.2771699999999899</v>
      </c>
      <c r="AF6041">
        <v>-1.87045448042096</v>
      </c>
      <c r="AG6041">
        <v>-1.1110528951537999</v>
      </c>
      <c r="AH6041">
        <v>23.988248328397098</v>
      </c>
      <c r="AI6041">
        <v>92.643834112815696</v>
      </c>
      <c r="AJ6041">
        <v>94.458547450516093</v>
      </c>
      <c r="AK6041">
        <v>24.086699573914299</v>
      </c>
      <c r="AL6041">
        <v>89.411766539266296</v>
      </c>
      <c r="AM6041">
        <v>89.019989731546403</v>
      </c>
      <c r="AN6041">
        <v>0.99999997025353604</v>
      </c>
    </row>
    <row r="6042" spans="1:40" x14ac:dyDescent="0.25">
      <c r="A6042" t="str">
        <f>"20190312160807630"</f>
        <v>20190312160807630</v>
      </c>
      <c r="B6042" t="str">
        <f>"1552378087621466"</f>
        <v>1552378087621466</v>
      </c>
      <c r="C6042" t="s">
        <v>40</v>
      </c>
      <c r="D6042">
        <v>6.119084</v>
      </c>
      <c r="E6042">
        <v>0.4167748</v>
      </c>
      <c r="F6042" t="s">
        <v>97</v>
      </c>
      <c r="G6042">
        <v>-368.66030000000001</v>
      </c>
      <c r="H6042" s="1">
        <v>-9.4442079999999997E-7</v>
      </c>
      <c r="I6042">
        <v>18.00196</v>
      </c>
      <c r="J6042">
        <v>-392.75420000000003</v>
      </c>
      <c r="K6042">
        <v>1.1110310000000001</v>
      </c>
      <c r="L6042">
        <v>16.610469999999999</v>
      </c>
      <c r="M6042">
        <v>0.99969280000000005</v>
      </c>
      <c r="N6042">
        <v>0</v>
      </c>
      <c r="O6042">
        <v>-2.1864410000000001E-2</v>
      </c>
      <c r="P6042">
        <v>0.99922089999999997</v>
      </c>
      <c r="Q6042">
        <v>-2.2754799999999999E-3</v>
      </c>
      <c r="R6042">
        <v>-3.94001E-2</v>
      </c>
      <c r="S6042">
        <v>3.009674</v>
      </c>
      <c r="T6042">
        <v>-0.13769479999999901</v>
      </c>
      <c r="U6042">
        <v>0.17230219999999999</v>
      </c>
      <c r="V6042">
        <v>1.7511949999999998E-2</v>
      </c>
      <c r="W6042">
        <v>9.4525040000000005E-3</v>
      </c>
      <c r="X6042">
        <v>0.99980199999999997</v>
      </c>
      <c r="Y6042">
        <v>-7.8867320000000005E-2</v>
      </c>
      <c r="Z6042">
        <v>2.800842E-3</v>
      </c>
      <c r="AA6042">
        <v>0.99688120000000002</v>
      </c>
      <c r="AB6042">
        <v>18</v>
      </c>
      <c r="AC6042">
        <v>24.093900000000001</v>
      </c>
      <c r="AD6042">
        <v>-1.1110319444208001</v>
      </c>
      <c r="AE6042">
        <v>1.3914899999999999</v>
      </c>
      <c r="AF6042">
        <v>-1.9139359057732399</v>
      </c>
      <c r="AG6042">
        <v>-1.1110319444208001</v>
      </c>
      <c r="AH6042">
        <v>24.006835548317898</v>
      </c>
      <c r="AI6042">
        <v>92.641378382141994</v>
      </c>
      <c r="AJ6042">
        <v>94.558243295531895</v>
      </c>
      <c r="AK6042">
        <v>24.108622849032901</v>
      </c>
      <c r="AL6042">
        <v>89.458403365055702</v>
      </c>
      <c r="AM6042">
        <v>88.996543077581094</v>
      </c>
      <c r="AN6042">
        <v>1.00000002871433</v>
      </c>
    </row>
    <row r="6043" spans="1:40" x14ac:dyDescent="0.25">
      <c r="A6043" t="str">
        <f>"20190312160807644"</f>
        <v>20190312160807644</v>
      </c>
      <c r="B6043" t="str">
        <f>"1552378087632203"</f>
        <v>1552378087632203</v>
      </c>
      <c r="C6043" t="s">
        <v>40</v>
      </c>
      <c r="D6043">
        <v>6.1691279999999997</v>
      </c>
      <c r="E6043">
        <v>0.41742269999999998</v>
      </c>
      <c r="F6043" t="s">
        <v>97</v>
      </c>
      <c r="G6043">
        <v>-360.5385</v>
      </c>
      <c r="H6043" s="1">
        <v>-5.0259009999999998E-6</v>
      </c>
      <c r="I6043">
        <v>22.464269999999999</v>
      </c>
      <c r="J6043">
        <v>-392.64530000000002</v>
      </c>
      <c r="K6043">
        <v>1.11102099999999</v>
      </c>
      <c r="L6043">
        <v>16.610050000000001</v>
      </c>
      <c r="M6043">
        <v>0.99972799999999995</v>
      </c>
      <c r="N6043">
        <v>0</v>
      </c>
      <c r="O6043">
        <v>-2.0194239999999999E-2</v>
      </c>
      <c r="P6043">
        <v>0.99927619999999895</v>
      </c>
      <c r="Q6043">
        <v>-2.3565679999999999E-3</v>
      </c>
      <c r="R6043">
        <v>-3.796865E-2</v>
      </c>
      <c r="S6043">
        <v>3.0237729999999998</v>
      </c>
      <c r="T6043">
        <v>-0.104282</v>
      </c>
      <c r="U6043">
        <v>0.54943850000000005</v>
      </c>
      <c r="V6043">
        <v>1.775024E-2</v>
      </c>
      <c r="W6043">
        <v>9.3600019999999992E-3</v>
      </c>
      <c r="X6043">
        <v>0.99979870000000004</v>
      </c>
      <c r="Y6043">
        <v>-0.19848660000000001</v>
      </c>
      <c r="Z6043">
        <v>4.0847799999999997E-3</v>
      </c>
      <c r="AA6043">
        <v>0.9800951</v>
      </c>
      <c r="AB6043">
        <v>18</v>
      </c>
      <c r="AC6043">
        <v>32.1068</v>
      </c>
      <c r="AD6043">
        <v>-1.1110260259010001</v>
      </c>
      <c r="AE6043">
        <v>5.8542199999999998</v>
      </c>
      <c r="AF6043">
        <v>-6.4939166966268598</v>
      </c>
      <c r="AG6043">
        <v>-1.1110260259010001</v>
      </c>
      <c r="AH6043">
        <v>31.945000724893202</v>
      </c>
      <c r="AI6043">
        <v>91.9520136253972</v>
      </c>
      <c r="AJ6043">
        <v>101.490755921833</v>
      </c>
      <c r="AK6043">
        <v>32.617302221465003</v>
      </c>
      <c r="AL6043">
        <v>89.463703590677</v>
      </c>
      <c r="AM6043">
        <v>88.982888251401207</v>
      </c>
      <c r="AN6043">
        <v>1.00000006058959</v>
      </c>
    </row>
    <row r="6044" spans="1:40" x14ac:dyDescent="0.25">
      <c r="A6044" t="str">
        <f>"20190312160807664"</f>
        <v>20190312160807664</v>
      </c>
      <c r="B6044" t="str">
        <f>"1552378087651722"</f>
        <v>1552378087651722</v>
      </c>
      <c r="C6044" t="s">
        <v>40</v>
      </c>
      <c r="D6044">
        <v>6.0548769999999896</v>
      </c>
      <c r="E6044">
        <v>0.41834130000000003</v>
      </c>
      <c r="F6044" t="s">
        <v>97</v>
      </c>
      <c r="G6044">
        <v>-362.88380000000001</v>
      </c>
      <c r="H6044" s="1">
        <v>-4.0025850000000002E-6</v>
      </c>
      <c r="I6044">
        <v>22.015139999999999</v>
      </c>
      <c r="J6044">
        <v>-392.4871</v>
      </c>
      <c r="K6044">
        <v>1.1110059999999999</v>
      </c>
      <c r="L6044">
        <v>16.60971</v>
      </c>
      <c r="M6044">
        <v>0.99977419999999995</v>
      </c>
      <c r="N6044">
        <v>0</v>
      </c>
      <c r="O6044">
        <v>-1.7781890000000002E-2</v>
      </c>
      <c r="P6044">
        <v>0.9993358</v>
      </c>
      <c r="Q6044">
        <v>-2.3621079999999999E-3</v>
      </c>
      <c r="R6044">
        <v>-3.6363600000000003E-2</v>
      </c>
      <c r="S6044">
        <v>3.0227970000000002</v>
      </c>
      <c r="T6044">
        <v>-0.112843899999999</v>
      </c>
      <c r="U6044">
        <v>0.54898069999999999</v>
      </c>
      <c r="V6044">
        <v>1.8557480000000001E-2</v>
      </c>
      <c r="W6044">
        <v>9.3375929999999999E-3</v>
      </c>
      <c r="X6044">
        <v>0.99978420000000001</v>
      </c>
      <c r="Y6044">
        <v>-0.19601489999999999</v>
      </c>
      <c r="Z6044">
        <v>4.2862849999999999E-3</v>
      </c>
      <c r="AA6044">
        <v>0.98059149999999995</v>
      </c>
      <c r="AB6044">
        <v>18</v>
      </c>
      <c r="AC6044">
        <v>29.603299999999901</v>
      </c>
      <c r="AD6044">
        <v>-1.111010002585</v>
      </c>
      <c r="AE6044">
        <v>5.4054299999999902</v>
      </c>
      <c r="AF6044">
        <v>-5.9229402160605602</v>
      </c>
      <c r="AG6044">
        <v>-1.111010002585</v>
      </c>
      <c r="AH6044">
        <v>29.462334859602599</v>
      </c>
      <c r="AI6044">
        <v>92.117251443120907</v>
      </c>
      <c r="AJ6044">
        <v>101.366903534619</v>
      </c>
      <c r="AK6044">
        <v>30.072325141369198</v>
      </c>
      <c r="AL6044">
        <v>89.464987560038907</v>
      </c>
      <c r="AM6044">
        <v>88.936627325027501</v>
      </c>
      <c r="AN6044">
        <v>1.0000000086383101</v>
      </c>
    </row>
    <row r="6045" spans="1:40" x14ac:dyDescent="0.25">
      <c r="A6045" t="str">
        <f>"20190312160807677"</f>
        <v>20190312160807677</v>
      </c>
      <c r="B6045" t="str">
        <f>"1552378087672219"</f>
        <v>1552378087672219</v>
      </c>
      <c r="C6045" t="s">
        <v>40</v>
      </c>
      <c r="D6045">
        <v>6.0185589999999998</v>
      </c>
      <c r="E6045">
        <v>0.41877720000000002</v>
      </c>
      <c r="F6045" t="s">
        <v>97</v>
      </c>
      <c r="G6045">
        <v>-364.42970000000003</v>
      </c>
      <c r="H6045" s="1">
        <v>-3.1844700000000002E-6</v>
      </c>
      <c r="I6045">
        <v>21.686900000000001</v>
      </c>
      <c r="J6045">
        <v>-392.38499999999999</v>
      </c>
      <c r="K6045">
        <v>1.1109960000000001</v>
      </c>
      <c r="L6045">
        <v>16.609679999999901</v>
      </c>
      <c r="M6045">
        <v>0.99980060000000004</v>
      </c>
      <c r="N6045">
        <v>0</v>
      </c>
      <c r="O6045">
        <v>-1.6234849999999999E-2</v>
      </c>
      <c r="P6045">
        <v>0.99937580000000004</v>
      </c>
      <c r="Q6045">
        <v>-2.135273E-3</v>
      </c>
      <c r="R6045">
        <v>-3.5265930000000001E-2</v>
      </c>
      <c r="S6045">
        <v>3.0216059999999998</v>
      </c>
      <c r="T6045">
        <v>-0.11964909999999999</v>
      </c>
      <c r="U6045">
        <v>0.54678340000000003</v>
      </c>
      <c r="V6045">
        <v>1.900582E-2</v>
      </c>
      <c r="W6045">
        <v>9.5526350000000003E-3</v>
      </c>
      <c r="X6045">
        <v>0.99977369999999999</v>
      </c>
      <c r="Y6045">
        <v>-0.19385930000000001</v>
      </c>
      <c r="Z6045">
        <v>4.4435289999999999E-3</v>
      </c>
      <c r="AA6045">
        <v>0.98101930000000004</v>
      </c>
      <c r="AB6045">
        <v>18</v>
      </c>
      <c r="AC6045">
        <v>27.955299999999902</v>
      </c>
      <c r="AD6045">
        <v>-1.11099918446999</v>
      </c>
      <c r="AE6045">
        <v>5.0772199999999996</v>
      </c>
      <c r="AF6045">
        <v>-5.5219884758302697</v>
      </c>
      <c r="AG6045">
        <v>-1.11099918446999</v>
      </c>
      <c r="AH6045">
        <v>27.826635013664401</v>
      </c>
      <c r="AI6045">
        <v>92.242677079632699</v>
      </c>
      <c r="AJ6045">
        <v>101.22410377756501</v>
      </c>
      <c r="AK6045">
        <v>28.390989628732299</v>
      </c>
      <c r="AL6045">
        <v>89.452665986299607</v>
      </c>
      <c r="AM6045">
        <v>88.910931420190195</v>
      </c>
      <c r="AN6045">
        <v>0.99999996262050195</v>
      </c>
    </row>
    <row r="6046" spans="1:40" x14ac:dyDescent="0.25">
      <c r="A6046" t="str">
        <f>"20190312160807695"</f>
        <v>20190312160807695</v>
      </c>
      <c r="B6046" t="str">
        <f>"1552378087691738"</f>
        <v>1552378087691738</v>
      </c>
      <c r="C6046" t="s">
        <v>40</v>
      </c>
      <c r="D6046">
        <v>5.9846729999999999</v>
      </c>
      <c r="E6046">
        <v>0.41895450000000001</v>
      </c>
      <c r="F6046" t="s">
        <v>97</v>
      </c>
      <c r="G6046">
        <v>-367.7593</v>
      </c>
      <c r="H6046" s="1">
        <v>-1.446981E-6</v>
      </c>
      <c r="I6046">
        <v>21.072120000000002</v>
      </c>
      <c r="J6046">
        <v>-392.2321</v>
      </c>
      <c r="K6046">
        <v>1.110989</v>
      </c>
      <c r="L6046">
        <v>16.60989</v>
      </c>
      <c r="M6046">
        <v>0.99983560000000005</v>
      </c>
      <c r="N6046">
        <v>0</v>
      </c>
      <c r="O6046">
        <v>-1.3931209999999999E-2</v>
      </c>
      <c r="P6046">
        <v>0.99945189999999995</v>
      </c>
      <c r="Q6046">
        <v>-2.0556860000000001E-3</v>
      </c>
      <c r="R6046">
        <v>-3.3047300000000002E-2</v>
      </c>
      <c r="S6046">
        <v>3.0209350000000001</v>
      </c>
      <c r="T6046">
        <v>-0.13629040000000001</v>
      </c>
      <c r="U6046">
        <v>0.54742429999999997</v>
      </c>
      <c r="V6046">
        <v>1.9089809999999999E-2</v>
      </c>
      <c r="W6046">
        <v>9.6127150000000008E-3</v>
      </c>
      <c r="X6046">
        <v>0.99977150000000004</v>
      </c>
      <c r="Y6046">
        <v>-0.1917952</v>
      </c>
      <c r="Z6046">
        <v>4.9127219999999996E-3</v>
      </c>
      <c r="AA6046">
        <v>0.98142269999999998</v>
      </c>
      <c r="AB6046">
        <v>18</v>
      </c>
      <c r="AC6046">
        <v>24.472799999999999</v>
      </c>
      <c r="AD6046">
        <v>-1.1109904469809999</v>
      </c>
      <c r="AE6046">
        <v>4.4622299999999999</v>
      </c>
      <c r="AF6046">
        <v>-4.7931952161694502</v>
      </c>
      <c r="AG6046">
        <v>-1.1109904469809999</v>
      </c>
      <c r="AH6046">
        <v>24.359669180674</v>
      </c>
      <c r="AI6046">
        <v>92.562260008730405</v>
      </c>
      <c r="AJ6046">
        <v>101.131746158232</v>
      </c>
      <c r="AK6046">
        <v>24.851609661055601</v>
      </c>
      <c r="AL6046">
        <v>89.449223484486097</v>
      </c>
      <c r="AM6046">
        <v>88.906117398443399</v>
      </c>
      <c r="AN6046">
        <v>0.99999993867387604</v>
      </c>
    </row>
    <row r="6047" spans="1:40" x14ac:dyDescent="0.25">
      <c r="A6047" t="str">
        <f>"20190312160807720"</f>
        <v>20190312160807720</v>
      </c>
      <c r="B6047" t="str">
        <f>"1552378087712234"</f>
        <v>1552378087712234</v>
      </c>
      <c r="C6047" t="s">
        <v>40</v>
      </c>
      <c r="D6047">
        <v>5.9813679999999998</v>
      </c>
      <c r="E6047">
        <v>0.4194888</v>
      </c>
      <c r="F6047" t="s">
        <v>97</v>
      </c>
      <c r="G6047">
        <v>-368.89109999999999</v>
      </c>
      <c r="H6047" s="1">
        <v>-8.6208549999999999E-7</v>
      </c>
      <c r="I6047">
        <v>20.884530000000002</v>
      </c>
      <c r="J6047">
        <v>-392.03699999999998</v>
      </c>
      <c r="K6047">
        <v>1.1109739999999999</v>
      </c>
      <c r="L6047">
        <v>16.610720000000001</v>
      </c>
      <c r="M6047">
        <v>0.99987210000000004</v>
      </c>
      <c r="N6047">
        <v>0</v>
      </c>
      <c r="O6047">
        <v>-1.101915E-2</v>
      </c>
      <c r="P6047">
        <v>0.99954710000000002</v>
      </c>
      <c r="Q6047">
        <v>-1.664329E-3</v>
      </c>
      <c r="R6047">
        <v>-3.004399E-2</v>
      </c>
      <c r="S6047">
        <v>3.0196230000000002</v>
      </c>
      <c r="T6047">
        <v>-0.14372860000000001</v>
      </c>
      <c r="U6047">
        <v>0.55300899999999997</v>
      </c>
      <c r="V6047">
        <v>1.899675E-2</v>
      </c>
      <c r="W6047">
        <v>9.9812909999999998E-3</v>
      </c>
      <c r="X6047">
        <v>0.99976969999999998</v>
      </c>
      <c r="Y6047">
        <v>-0.1907499</v>
      </c>
      <c r="Z6047">
        <v>5.0197899999999997E-3</v>
      </c>
      <c r="AA6047">
        <v>0.98162579999999999</v>
      </c>
      <c r="AB6047">
        <v>18</v>
      </c>
      <c r="AC6047">
        <v>23.145899999999902</v>
      </c>
      <c r="AD6047">
        <v>-1.1109748620855</v>
      </c>
      <c r="AE6047">
        <v>4.2738099999999903</v>
      </c>
      <c r="AF6047">
        <v>-4.5185487924203702</v>
      </c>
      <c r="AG6047">
        <v>-1.1109748620855</v>
      </c>
      <c r="AH6047">
        <v>23.046052815032802</v>
      </c>
      <c r="AI6047">
        <v>92.708417182998602</v>
      </c>
      <c r="AJ6047">
        <v>101.093040469789</v>
      </c>
      <c r="AK6047">
        <v>23.511105858443798</v>
      </c>
      <c r="AL6047">
        <v>89.428104642720299</v>
      </c>
      <c r="AM6047">
        <v>88.911446668701103</v>
      </c>
      <c r="AN6047">
        <v>0.99999997785933903</v>
      </c>
    </row>
    <row r="6048" spans="1:40" x14ac:dyDescent="0.25">
      <c r="A6048" t="str">
        <f>"20190312160807742"</f>
        <v>20190312160807742</v>
      </c>
      <c r="B6048" t="str">
        <f>"1552378087731756"</f>
        <v>1552378087731756</v>
      </c>
      <c r="C6048" t="s">
        <v>40</v>
      </c>
      <c r="D6048">
        <v>5.9893179999999999</v>
      </c>
      <c r="E6048">
        <v>0.41999920000000002</v>
      </c>
      <c r="F6048" t="s">
        <v>97</v>
      </c>
      <c r="G6048">
        <v>-369.43849999999998</v>
      </c>
      <c r="H6048" s="1">
        <v>-5.7777269999999997E-7</v>
      </c>
      <c r="I6048">
        <v>20.788519999999998</v>
      </c>
      <c r="J6048">
        <v>-391.85899999999998</v>
      </c>
      <c r="K6048">
        <v>1.1109629999999999</v>
      </c>
      <c r="L6048">
        <v>16.611910000000002</v>
      </c>
      <c r="M6048">
        <v>0.99989799999999995</v>
      </c>
      <c r="N6048">
        <v>0</v>
      </c>
      <c r="O6048">
        <v>-8.385066E-3</v>
      </c>
      <c r="P6048">
        <v>0.99962689999999998</v>
      </c>
      <c r="Q6048">
        <v>-1.907263E-3</v>
      </c>
      <c r="R6048">
        <v>-2.7247520000000001E-2</v>
      </c>
      <c r="S6048">
        <v>3.0179140000000002</v>
      </c>
      <c r="T6048">
        <v>-0.14836450000000001</v>
      </c>
      <c r="U6048">
        <v>0.55792240000000004</v>
      </c>
      <c r="V6048">
        <v>1.8834500000000001E-2</v>
      </c>
      <c r="W6048">
        <v>9.7176129999999999E-3</v>
      </c>
      <c r="X6048">
        <v>0.99977539999999998</v>
      </c>
      <c r="Y6048">
        <v>-0.18979779999999999</v>
      </c>
      <c r="Z6048">
        <v>5.032056E-3</v>
      </c>
      <c r="AA6048">
        <v>0.98181030000000002</v>
      </c>
      <c r="AB6048">
        <v>18</v>
      </c>
      <c r="AC6048">
        <v>22.420500000000001</v>
      </c>
      <c r="AD6048">
        <v>-1.1109635777726901</v>
      </c>
      <c r="AE6048">
        <v>4.1766100000000002</v>
      </c>
      <c r="AF6048">
        <v>-4.3541408102874799</v>
      </c>
      <c r="AG6048">
        <v>-1.1109635777726901</v>
      </c>
      <c r="AH6048">
        <v>22.331695586294899</v>
      </c>
      <c r="AI6048">
        <v>92.795464747275403</v>
      </c>
      <c r="AJ6048">
        <v>101.032874709856</v>
      </c>
      <c r="AK6048">
        <v>22.7793197884812</v>
      </c>
      <c r="AL6048">
        <v>89.443213030640507</v>
      </c>
      <c r="AM6048">
        <v>88.920747874711907</v>
      </c>
      <c r="AN6048">
        <v>1.00000001041891</v>
      </c>
    </row>
    <row r="6049" spans="1:40" x14ac:dyDescent="0.25">
      <c r="A6049" t="str">
        <f>"20190312160807762"</f>
        <v>20190312160807762</v>
      </c>
      <c r="B6049" t="str">
        <f>"1552378087752254"</f>
        <v>1552378087752254</v>
      </c>
      <c r="C6049" t="s">
        <v>40</v>
      </c>
      <c r="D6049">
        <v>5.9762930000000001</v>
      </c>
      <c r="E6049">
        <v>0.42041220000000001</v>
      </c>
      <c r="F6049" t="s">
        <v>97</v>
      </c>
      <c r="G6049">
        <v>-369.77910000000003</v>
      </c>
      <c r="H6049" s="1">
        <v>-4.0090110000000002E-7</v>
      </c>
      <c r="I6049">
        <v>20.728850000000001</v>
      </c>
      <c r="J6049">
        <v>-391.69330000000002</v>
      </c>
      <c r="K6049">
        <v>1.1109519999999999</v>
      </c>
      <c r="L6049">
        <v>16.613399999999999</v>
      </c>
      <c r="M6049">
        <v>0.99991560000000002</v>
      </c>
      <c r="N6049">
        <v>0</v>
      </c>
      <c r="O6049">
        <v>-5.9506319999999904E-3</v>
      </c>
      <c r="P6049">
        <v>0.9996834</v>
      </c>
      <c r="Q6049">
        <v>-1.949526E-3</v>
      </c>
      <c r="R6049">
        <v>-2.5082110000000001E-2</v>
      </c>
      <c r="S6049">
        <v>3.0161440000000002</v>
      </c>
      <c r="T6049">
        <v>-0.15175839999999999</v>
      </c>
      <c r="U6049">
        <v>0.56237789999999999</v>
      </c>
      <c r="V6049">
        <v>1.9103269999999999E-2</v>
      </c>
      <c r="W6049">
        <v>9.6537210000000005E-3</v>
      </c>
      <c r="X6049">
        <v>0.99977090000000002</v>
      </c>
      <c r="Y6049">
        <v>-0.18890560000000001</v>
      </c>
      <c r="Z6049">
        <v>5.0056500000000004E-3</v>
      </c>
      <c r="AA6049">
        <v>0.98198249999999998</v>
      </c>
      <c r="AB6049">
        <v>18</v>
      </c>
      <c r="AC6049">
        <v>21.914199999999902</v>
      </c>
      <c r="AD6049">
        <v>-1.1109524009011</v>
      </c>
      <c r="AE6049">
        <v>4.1154500000000001</v>
      </c>
      <c r="AF6049">
        <v>-4.2352751522971701</v>
      </c>
      <c r="AG6049">
        <v>-1.1109524009011</v>
      </c>
      <c r="AH6049">
        <v>21.835115426483998</v>
      </c>
      <c r="AI6049">
        <v>92.859446957300705</v>
      </c>
      <c r="AJ6049">
        <v>100.97713735438499</v>
      </c>
      <c r="AK6049">
        <v>22.269800999124701</v>
      </c>
      <c r="AL6049">
        <v>89.446873933457596</v>
      </c>
      <c r="AM6049">
        <v>88.905345645538702</v>
      </c>
      <c r="AN6049">
        <v>0.99999999087032398</v>
      </c>
    </row>
    <row r="6050" spans="1:40" x14ac:dyDescent="0.25">
      <c r="A6050" t="str">
        <f>"20190312160807774"</f>
        <v>20190312160807774</v>
      </c>
      <c r="B6050" t="str">
        <f>"1552378087771772"</f>
        <v>1552378087771772</v>
      </c>
      <c r="C6050" t="s">
        <v>40</v>
      </c>
      <c r="D6050">
        <v>5.978955</v>
      </c>
      <c r="E6050">
        <v>0.42084959999999999</v>
      </c>
      <c r="F6050" t="s">
        <v>98</v>
      </c>
      <c r="G6050">
        <v>-370.05900000000003</v>
      </c>
      <c r="H6050" s="1">
        <v>-4.8764310000000002E-6</v>
      </c>
      <c r="I6050">
        <v>20.67502</v>
      </c>
      <c r="J6050">
        <v>-391.596</v>
      </c>
      <c r="K6050">
        <v>1.1109469999999999</v>
      </c>
      <c r="L6050">
        <v>16.614409999999999</v>
      </c>
      <c r="M6050">
        <v>0.99992329999999996</v>
      </c>
      <c r="N6050">
        <v>0</v>
      </c>
      <c r="O6050">
        <v>-4.5312379999999999E-3</v>
      </c>
      <c r="P6050">
        <v>0.99971010000000005</v>
      </c>
      <c r="Q6050">
        <v>-1.8679440000000001E-3</v>
      </c>
      <c r="R6050">
        <v>-2.4010670000000001E-2</v>
      </c>
      <c r="S6050">
        <v>3.0148619999999999</v>
      </c>
      <c r="T6050">
        <v>-0.15481829999999999</v>
      </c>
      <c r="U6050">
        <v>0.56600950000000005</v>
      </c>
      <c r="V6050">
        <v>1.94509E-2</v>
      </c>
      <c r="W6050">
        <v>9.7219049999999994E-3</v>
      </c>
      <c r="X6050">
        <v>0.99976350000000003</v>
      </c>
      <c r="Y6050">
        <v>-0.188722</v>
      </c>
      <c r="Z6050">
        <v>5.0311180000000002E-3</v>
      </c>
      <c r="AA6050">
        <v>0.98201760000000005</v>
      </c>
      <c r="AB6050">
        <v>18</v>
      </c>
      <c r="AC6050">
        <v>21.5369999999999</v>
      </c>
      <c r="AD6050">
        <v>-1.11095187643099</v>
      </c>
      <c r="AE6050">
        <v>4.0606099999999996</v>
      </c>
      <c r="AF6050">
        <v>-4.1475070124019497</v>
      </c>
      <c r="AG6050">
        <v>-1.11095187643099</v>
      </c>
      <c r="AH6050">
        <v>21.463228123660699</v>
      </c>
      <c r="AI6050">
        <v>92.909300806019402</v>
      </c>
      <c r="AJ6050">
        <v>100.936908954044</v>
      </c>
      <c r="AK6050">
        <v>21.8884944657683</v>
      </c>
      <c r="AL6050">
        <v>89.442967074357298</v>
      </c>
      <c r="AM6050">
        <v>88.885422505912103</v>
      </c>
      <c r="AN6050">
        <v>0.99999995443994305</v>
      </c>
    </row>
    <row r="6051" spans="1:40" x14ac:dyDescent="0.25">
      <c r="A6051" t="str">
        <f>"20190312160807797"</f>
        <v>20190312160807797</v>
      </c>
      <c r="B6051" t="str">
        <f>"1552378087791291"</f>
        <v>1552378087791291</v>
      </c>
      <c r="C6051" t="s">
        <v>40</v>
      </c>
      <c r="D6051">
        <v>5.9868169999999896</v>
      </c>
      <c r="E6051">
        <v>0.42127569999999998</v>
      </c>
      <c r="F6051" t="s">
        <v>98</v>
      </c>
      <c r="G6051">
        <v>-370.31189999999998</v>
      </c>
      <c r="H6051" s="1">
        <v>-4.7678299999999999E-6</v>
      </c>
      <c r="I6051">
        <v>20.61036</v>
      </c>
      <c r="J6051">
        <v>-391.41849999999999</v>
      </c>
      <c r="K6051">
        <v>1.1109370000000001</v>
      </c>
      <c r="L6051">
        <v>16.61673</v>
      </c>
      <c r="M6051">
        <v>0.99993200000000004</v>
      </c>
      <c r="N6051">
        <v>0</v>
      </c>
      <c r="O6051">
        <v>-1.9629539999999998E-3</v>
      </c>
      <c r="P6051">
        <v>0.99975849999999999</v>
      </c>
      <c r="Q6051">
        <v>-1.572719E-3</v>
      </c>
      <c r="R6051">
        <v>-2.1927260000000001E-2</v>
      </c>
      <c r="S6051">
        <v>3.01416</v>
      </c>
      <c r="T6051">
        <v>-0.15732789999999999</v>
      </c>
      <c r="U6051">
        <v>0.56588749999999999</v>
      </c>
      <c r="V6051">
        <v>1.99347E-2</v>
      </c>
      <c r="W6051">
        <v>9.9927360000000003E-3</v>
      </c>
      <c r="X6051">
        <v>0.99975130000000001</v>
      </c>
      <c r="Y6051">
        <v>-0.1862008</v>
      </c>
      <c r="Z6051">
        <v>4.9157339999999997E-3</v>
      </c>
      <c r="AA6051">
        <v>0.98249940000000002</v>
      </c>
      <c r="AB6051">
        <v>18</v>
      </c>
      <c r="AC6051">
        <v>21.1066</v>
      </c>
      <c r="AD6051">
        <v>-1.11094176783</v>
      </c>
      <c r="AE6051">
        <v>3.99363</v>
      </c>
      <c r="AF6051">
        <v>-4.0242926883286696</v>
      </c>
      <c r="AG6051">
        <v>-1.11094176783</v>
      </c>
      <c r="AH6051">
        <v>21.042438005723199</v>
      </c>
      <c r="AI6051">
        <v>92.9684424950145</v>
      </c>
      <c r="AJ6051">
        <v>100.82688226939</v>
      </c>
      <c r="AK6051">
        <v>21.4525830723843</v>
      </c>
      <c r="AL6051">
        <v>89.427448846397596</v>
      </c>
      <c r="AM6051">
        <v>88.857693068650306</v>
      </c>
      <c r="AN6051">
        <v>0.99999995444427103</v>
      </c>
    </row>
    <row r="6052" spans="1:40" x14ac:dyDescent="0.25">
      <c r="A6052" t="str">
        <f>"20190312160807808"</f>
        <v>20190312160807808</v>
      </c>
      <c r="B6052" t="str">
        <f>"1552378087802027"</f>
        <v>1552378087802027</v>
      </c>
      <c r="C6052" t="s">
        <v>40</v>
      </c>
      <c r="D6052">
        <v>6.0368789999999999</v>
      </c>
      <c r="E6052">
        <v>0.42127569999999998</v>
      </c>
      <c r="F6052" t="s">
        <v>98</v>
      </c>
      <c r="G6052">
        <v>-370.47140000000002</v>
      </c>
      <c r="H6052" s="1">
        <v>-4.6995789999999999E-6</v>
      </c>
      <c r="I6052">
        <v>20.57094</v>
      </c>
      <c r="J6052">
        <v>-391.3186</v>
      </c>
      <c r="K6052">
        <v>1.1109279999999999</v>
      </c>
      <c r="L6052">
        <v>16.618189999999998</v>
      </c>
      <c r="M6052">
        <v>0.99993390000000004</v>
      </c>
      <c r="N6052">
        <v>0</v>
      </c>
      <c r="O6052">
        <v>-5.2952809999999996E-4</v>
      </c>
      <c r="P6052">
        <v>0.99978610000000001</v>
      </c>
      <c r="Q6052">
        <v>-1.5860519999999999E-3</v>
      </c>
      <c r="R6052">
        <v>-2.0623019999999999E-2</v>
      </c>
      <c r="S6052">
        <v>3.0129389999999998</v>
      </c>
      <c r="T6052">
        <v>-0.15979299999999999</v>
      </c>
      <c r="U6052">
        <v>0.56875609999999999</v>
      </c>
      <c r="V6052">
        <v>2.0064220000000001E-2</v>
      </c>
      <c r="W6052">
        <v>9.9669879999999995E-3</v>
      </c>
      <c r="X6052">
        <v>0.999749</v>
      </c>
      <c r="Y6052">
        <v>-0.1857626</v>
      </c>
      <c r="Z6052">
        <v>4.9073770000000001E-3</v>
      </c>
      <c r="AA6052">
        <v>0.98258239999999997</v>
      </c>
      <c r="AB6052">
        <v>18</v>
      </c>
      <c r="AC6052">
        <v>20.847199999999901</v>
      </c>
      <c r="AD6052">
        <v>-1.1109326995790001</v>
      </c>
      <c r="AE6052">
        <v>3.95275</v>
      </c>
      <c r="AF6052">
        <v>-3.9529535068572001</v>
      </c>
      <c r="AG6052">
        <v>-1.1109326995790001</v>
      </c>
      <c r="AH6052">
        <v>20.788119405603499</v>
      </c>
      <c r="AI6052">
        <v>93.005270061488602</v>
      </c>
      <c r="AJ6052">
        <v>100.766508101401</v>
      </c>
      <c r="AK6052">
        <v>21.1897598219517</v>
      </c>
      <c r="AL6052">
        <v>89.428924191051905</v>
      </c>
      <c r="AM6052">
        <v>88.850270598170297</v>
      </c>
      <c r="AN6052">
        <v>0.99999998838750004</v>
      </c>
    </row>
    <row r="6053" spans="1:40" x14ac:dyDescent="0.25">
      <c r="A6053" t="str">
        <f>"20190312160807820"</f>
        <v>20190312160807820</v>
      </c>
      <c r="B6053" t="str">
        <f>"1552378087811786"</f>
        <v>1552378087811786</v>
      </c>
      <c r="C6053" t="s">
        <v>40</v>
      </c>
      <c r="D6053">
        <v>5.9939749999999998</v>
      </c>
      <c r="E6053">
        <v>0.42800280000000002</v>
      </c>
      <c r="F6053" t="s">
        <v>98</v>
      </c>
      <c r="G6053">
        <v>-370.42469999999997</v>
      </c>
      <c r="H6053" s="1">
        <v>-4.7210009999999996E-6</v>
      </c>
      <c r="I6053">
        <v>20.590420000000002</v>
      </c>
      <c r="J6053">
        <v>-391.22370000000001</v>
      </c>
      <c r="K6053">
        <v>1.110911</v>
      </c>
      <c r="L6053">
        <v>16.619720000000001</v>
      </c>
      <c r="M6053">
        <v>0.99993370000000004</v>
      </c>
      <c r="N6053">
        <v>0</v>
      </c>
      <c r="O6053">
        <v>8.2491589999999896E-4</v>
      </c>
      <c r="P6053">
        <v>0.9998089</v>
      </c>
      <c r="Q6053">
        <v>-1.8918369999999999E-3</v>
      </c>
      <c r="R6053">
        <v>-1.9455630000000002E-2</v>
      </c>
      <c r="S6053">
        <v>3.0122070000000001</v>
      </c>
      <c r="T6053">
        <v>-0.1601592</v>
      </c>
      <c r="U6053">
        <v>0.57266240000000002</v>
      </c>
      <c r="V6053">
        <v>2.0251999999999999E-2</v>
      </c>
      <c r="W6053">
        <v>9.6508589999999995E-3</v>
      </c>
      <c r="X6053">
        <v>0.99974830000000003</v>
      </c>
      <c r="Y6053">
        <v>-0.18570600000000001</v>
      </c>
      <c r="Z6053">
        <v>4.8463739999999996E-3</v>
      </c>
      <c r="AA6053">
        <v>0.98259339999999995</v>
      </c>
      <c r="AB6053">
        <v>18</v>
      </c>
      <c r="AC6053">
        <v>20.798999999999999</v>
      </c>
      <c r="AD6053">
        <v>-1.1109157210009999</v>
      </c>
      <c r="AE6053">
        <v>3.9706999999999999</v>
      </c>
      <c r="AF6053">
        <v>-3.9426877599644499</v>
      </c>
      <c r="AG6053">
        <v>-1.1109157210009999</v>
      </c>
      <c r="AH6053">
        <v>20.745167121617001</v>
      </c>
      <c r="AI6053">
        <v>93.011490786178896</v>
      </c>
      <c r="AJ6053">
        <v>100.760915292818</v>
      </c>
      <c r="AK6053">
        <v>21.145705933251801</v>
      </c>
      <c r="AL6053">
        <v>89.447037911719804</v>
      </c>
      <c r="AM6053">
        <v>88.839512456644002</v>
      </c>
      <c r="AN6053">
        <v>0.99999997296816301</v>
      </c>
    </row>
    <row r="6054" spans="1:40" x14ac:dyDescent="0.25">
      <c r="A6054" t="str">
        <f>"20190312160807832"</f>
        <v>20190312160807832</v>
      </c>
      <c r="B6054" t="str">
        <f>"1552378087821546"</f>
        <v>1552378087821546</v>
      </c>
      <c r="C6054" t="s">
        <v>40</v>
      </c>
      <c r="D6054">
        <v>5.9713699999999896</v>
      </c>
      <c r="E6054">
        <v>0.42757240000000002</v>
      </c>
      <c r="F6054" t="s">
        <v>98</v>
      </c>
      <c r="G6054">
        <v>-374.93979999999999</v>
      </c>
      <c r="H6054" s="1">
        <v>-2.4010150000000002E-6</v>
      </c>
      <c r="I6054">
        <v>19.455210000000001</v>
      </c>
      <c r="J6054">
        <v>-391.12790000000001</v>
      </c>
      <c r="K6054">
        <v>1.1109009999999999</v>
      </c>
      <c r="L6054">
        <v>16.621369999999999</v>
      </c>
      <c r="M6054">
        <v>0.99993189999999998</v>
      </c>
      <c r="N6054">
        <v>0</v>
      </c>
      <c r="O6054">
        <v>2.1854909999999999E-3</v>
      </c>
      <c r="P6054">
        <v>0.99982749999999998</v>
      </c>
      <c r="Q6054">
        <v>-2.1959039999999998E-3</v>
      </c>
      <c r="R6054">
        <v>-1.8451720000000001E-2</v>
      </c>
      <c r="S6054">
        <v>3.0104060000000001</v>
      </c>
      <c r="T6054">
        <v>-0.20537559999999999</v>
      </c>
      <c r="U6054">
        <v>0.52420040000000001</v>
      </c>
      <c r="V6054">
        <v>2.0609590000000001E-2</v>
      </c>
      <c r="W6054">
        <v>9.3371159999999995E-3</v>
      </c>
      <c r="X6054">
        <v>0.99974399999999997</v>
      </c>
      <c r="Y6054">
        <v>-0.1690181</v>
      </c>
      <c r="Z6054">
        <v>5.5679989999999997E-3</v>
      </c>
      <c r="AA6054">
        <v>0.98559719999999995</v>
      </c>
      <c r="AB6054">
        <v>18</v>
      </c>
      <c r="AC6054">
        <v>16.188099999999999</v>
      </c>
      <c r="AD6054">
        <v>-1.1109034010149901</v>
      </c>
      <c r="AE6054">
        <v>2.8338399999999901</v>
      </c>
      <c r="AF6054">
        <v>-2.78572309393906</v>
      </c>
      <c r="AG6054">
        <v>-1.1109034010149901</v>
      </c>
      <c r="AH6054">
        <v>16.120594885855098</v>
      </c>
      <c r="AI6054">
        <v>93.884742315226205</v>
      </c>
      <c r="AJ6054">
        <v>99.804185790037806</v>
      </c>
      <c r="AK6054">
        <v>16.397193021866599</v>
      </c>
      <c r="AL6054">
        <v>89.465014887356503</v>
      </c>
      <c r="AM6054">
        <v>88.819022377895706</v>
      </c>
      <c r="AN6054">
        <v>1.0000000012355801</v>
      </c>
    </row>
    <row r="6055" spans="1:40" x14ac:dyDescent="0.25">
      <c r="A6055" t="str">
        <f>"20190312160807843"</f>
        <v>20190312160807843</v>
      </c>
      <c r="B6055" t="str">
        <f>"1552378087842043"</f>
        <v>1552378087842043</v>
      </c>
      <c r="C6055" t="s">
        <v>40</v>
      </c>
      <c r="D6055">
        <v>6.0062790000000001</v>
      </c>
      <c r="E6055">
        <v>0.42746689999999998</v>
      </c>
      <c r="F6055" t="s">
        <v>98</v>
      </c>
      <c r="G6055">
        <v>-374.32650000000001</v>
      </c>
      <c r="H6055" s="1">
        <v>-2.6685540000000002E-6</v>
      </c>
      <c r="I6055">
        <v>19.581389999999999</v>
      </c>
      <c r="J6055">
        <v>-391.0385</v>
      </c>
      <c r="K6055">
        <v>1.110889</v>
      </c>
      <c r="L6055">
        <v>16.623049999999999</v>
      </c>
      <c r="M6055">
        <v>0.99992840000000005</v>
      </c>
      <c r="N6055">
        <v>0</v>
      </c>
      <c r="O6055">
        <v>3.4421019999999998E-3</v>
      </c>
      <c r="P6055">
        <v>0.99984680000000004</v>
      </c>
      <c r="Q6055">
        <v>-2.3580160000000001E-3</v>
      </c>
      <c r="R6055">
        <v>-1.735857E-2</v>
      </c>
      <c r="S6055">
        <v>3.0098880000000001</v>
      </c>
      <c r="T6055">
        <v>-0.199013</v>
      </c>
      <c r="U6055">
        <v>0.53027340000000001</v>
      </c>
      <c r="V6055">
        <v>2.0773349999999999E-2</v>
      </c>
      <c r="W6055">
        <v>9.1659389999999997E-3</v>
      </c>
      <c r="X6055">
        <v>0.99974220000000003</v>
      </c>
      <c r="Y6055">
        <v>-0.16976179999999999</v>
      </c>
      <c r="Z6055">
        <v>5.3378719999999996E-3</v>
      </c>
      <c r="AA6055">
        <v>0.98547070000000003</v>
      </c>
      <c r="AB6055">
        <v>18</v>
      </c>
      <c r="AC6055">
        <v>16.7119999999999</v>
      </c>
      <c r="AD6055">
        <v>-1.110891668554</v>
      </c>
      <c r="AE6055">
        <v>2.9583400000000002</v>
      </c>
      <c r="AF6055">
        <v>-2.88841924168235</v>
      </c>
      <c r="AG6055">
        <v>-1.110891668554</v>
      </c>
      <c r="AH6055">
        <v>16.650746675970801</v>
      </c>
      <c r="AI6055">
        <v>93.760955625948995</v>
      </c>
      <c r="AJ6055">
        <v>99.841213301972402</v>
      </c>
      <c r="AK6055">
        <v>16.9358912042543</v>
      </c>
      <c r="AL6055">
        <v>89.474823029514695</v>
      </c>
      <c r="AM6055">
        <v>88.809639094351198</v>
      </c>
      <c r="AN6055">
        <v>1.0000000064843999</v>
      </c>
    </row>
    <row r="6056" spans="1:40" x14ac:dyDescent="0.25">
      <c r="A6056" t="str">
        <f>"20190312160807863"</f>
        <v>20190312160807863</v>
      </c>
      <c r="B6056" t="str">
        <f>"1552378087851802"</f>
        <v>1552378087851802</v>
      </c>
      <c r="C6056" t="s">
        <v>40</v>
      </c>
      <c r="D6056">
        <v>5.9969839999999897</v>
      </c>
      <c r="E6056">
        <v>0.42746689999999998</v>
      </c>
      <c r="F6056" t="s">
        <v>98</v>
      </c>
      <c r="G6056">
        <v>-373.41609999999997</v>
      </c>
      <c r="H6056" s="1">
        <v>-3.1284629999999998E-6</v>
      </c>
      <c r="I6056">
        <v>19.75067</v>
      </c>
      <c r="J6056">
        <v>-390.88260000000002</v>
      </c>
      <c r="K6056">
        <v>1.1108720000000001</v>
      </c>
      <c r="L6056">
        <v>16.62613</v>
      </c>
      <c r="M6056">
        <v>0.99991870000000005</v>
      </c>
      <c r="N6056">
        <v>0</v>
      </c>
      <c r="O6056">
        <v>5.6089E-3</v>
      </c>
      <c r="P6056">
        <v>0.99987749999999997</v>
      </c>
      <c r="Q6056">
        <v>-2.4678870000000002E-3</v>
      </c>
      <c r="R6056">
        <v>-1.545962E-2</v>
      </c>
      <c r="S6056">
        <v>3.009277</v>
      </c>
      <c r="T6056">
        <v>-0.18970139999999999</v>
      </c>
      <c r="U6056">
        <v>0.53408809999999995</v>
      </c>
      <c r="V6056">
        <v>2.1042040000000001E-2</v>
      </c>
      <c r="W6056">
        <v>9.0400580000000001E-3</v>
      </c>
      <c r="X6056">
        <v>0.99973769999999995</v>
      </c>
      <c r="Y6056">
        <v>-0.1689097</v>
      </c>
      <c r="Z6056">
        <v>4.9270679999999997E-3</v>
      </c>
      <c r="AA6056">
        <v>0.98561920000000003</v>
      </c>
      <c r="AB6056">
        <v>18</v>
      </c>
      <c r="AC6056">
        <v>17.4665</v>
      </c>
      <c r="AD6056">
        <v>-1.1108751284630001</v>
      </c>
      <c r="AE6056">
        <v>3.1245400000000001</v>
      </c>
      <c r="AF6056">
        <v>-3.01470023280796</v>
      </c>
      <c r="AG6056">
        <v>-1.1108751284630001</v>
      </c>
      <c r="AH6056">
        <v>17.4154903224129</v>
      </c>
      <c r="AI6056">
        <v>93.5964166718245</v>
      </c>
      <c r="AJ6056">
        <v>99.820836278139893</v>
      </c>
      <c r="AK6056">
        <v>17.709369390658399</v>
      </c>
      <c r="AL6056">
        <v>89.482035764336601</v>
      </c>
      <c r="AM6056">
        <v>88.794241627752697</v>
      </c>
      <c r="AN6056">
        <v>0.99999997944864705</v>
      </c>
    </row>
    <row r="6057" spans="1:40" x14ac:dyDescent="0.25">
      <c r="A6057" t="str">
        <f>"20190312160807875"</f>
        <v>20190312160807875</v>
      </c>
      <c r="B6057" t="str">
        <f>"1552378087871322"</f>
        <v>1552378087871322</v>
      </c>
      <c r="C6057" t="s">
        <v>40</v>
      </c>
      <c r="D6057">
        <v>6.0722750000000003</v>
      </c>
      <c r="E6057">
        <v>0.42109229999999997</v>
      </c>
      <c r="F6057" t="s">
        <v>98</v>
      </c>
      <c r="G6057">
        <v>-373.2792</v>
      </c>
      <c r="H6057" s="1">
        <v>-3.20243E-6</v>
      </c>
      <c r="I6057">
        <v>19.78537</v>
      </c>
      <c r="J6057">
        <v>-390.7876</v>
      </c>
      <c r="K6057">
        <v>1.1108579999999999</v>
      </c>
      <c r="L6057">
        <v>16.628170000000001</v>
      </c>
      <c r="M6057">
        <v>0.99991070000000004</v>
      </c>
      <c r="N6057">
        <v>0</v>
      </c>
      <c r="O6057">
        <v>6.9170899999999999E-3</v>
      </c>
      <c r="P6057">
        <v>0.99989839999999997</v>
      </c>
      <c r="Q6057">
        <v>-2.3179429999999998E-3</v>
      </c>
      <c r="R6057">
        <v>-1.4063880000000001E-2</v>
      </c>
      <c r="S6057">
        <v>3.00827</v>
      </c>
      <c r="T6057">
        <v>-0.18983849999999999</v>
      </c>
      <c r="U6057">
        <v>0.53988649999999905</v>
      </c>
      <c r="V6057">
        <v>2.0954449999999999E-2</v>
      </c>
      <c r="W6057">
        <v>9.1797660000000007E-3</v>
      </c>
      <c r="X6057">
        <v>0.99973829999999997</v>
      </c>
      <c r="Y6057">
        <v>-0.169519</v>
      </c>
      <c r="Z6057">
        <v>4.8686689999999999E-3</v>
      </c>
      <c r="AA6057">
        <v>0.98551489999999997</v>
      </c>
      <c r="AB6057">
        <v>18</v>
      </c>
      <c r="AC6057">
        <v>17.508399999999899</v>
      </c>
      <c r="AD6057">
        <v>-1.11086120242999</v>
      </c>
      <c r="AE6057">
        <v>3.1572</v>
      </c>
      <c r="AF6057">
        <v>-3.0242185805873998</v>
      </c>
      <c r="AG6057">
        <v>-1.11086120242999</v>
      </c>
      <c r="AH6057">
        <v>17.461741549535901</v>
      </c>
      <c r="AI6057">
        <v>93.586818755964998</v>
      </c>
      <c r="AJ6057">
        <v>99.8256532336476</v>
      </c>
      <c r="AK6057">
        <v>17.756472864198599</v>
      </c>
      <c r="AL6057">
        <v>89.474030770757693</v>
      </c>
      <c r="AM6057">
        <v>88.799259988636095</v>
      </c>
      <c r="AN6057">
        <v>1.00000001278275</v>
      </c>
    </row>
    <row r="6058" spans="1:40" x14ac:dyDescent="0.25">
      <c r="A6058" t="str">
        <f>"20190312160807887"</f>
        <v>20190312160807887</v>
      </c>
      <c r="B6058" t="str">
        <f>"1552378087882059"</f>
        <v>1552378087882059</v>
      </c>
      <c r="C6058" t="s">
        <v>40</v>
      </c>
      <c r="D6058">
        <v>6.0607810000000004</v>
      </c>
      <c r="E6058">
        <v>0.4186917</v>
      </c>
      <c r="F6058" t="s">
        <v>98</v>
      </c>
      <c r="G6058">
        <v>-373.47460000000001</v>
      </c>
      <c r="H6058" s="1">
        <v>-3.1811610000000001E-6</v>
      </c>
      <c r="I6058">
        <v>20.05265</v>
      </c>
      <c r="J6058">
        <v>-390.68549999999999</v>
      </c>
      <c r="K6058">
        <v>1.110846</v>
      </c>
      <c r="L6058">
        <v>16.630520000000001</v>
      </c>
      <c r="M6058">
        <v>0.99990020000000002</v>
      </c>
      <c r="N6058">
        <v>0</v>
      </c>
      <c r="O6058">
        <v>8.2992810000000004E-3</v>
      </c>
      <c r="P6058">
        <v>0.99992259999999999</v>
      </c>
      <c r="Q6058">
        <v>-2.019173E-3</v>
      </c>
      <c r="R6058">
        <v>-1.229975E-2</v>
      </c>
      <c r="S6058">
        <v>3.00827</v>
      </c>
      <c r="T6058">
        <v>-0.19302150000000001</v>
      </c>
      <c r="U6058">
        <v>0.59503169999999905</v>
      </c>
      <c r="V6058">
        <v>2.0571720000000002E-2</v>
      </c>
      <c r="W6058">
        <v>9.4672860000000001E-3</v>
      </c>
      <c r="X6058">
        <v>0.99974359999999995</v>
      </c>
      <c r="Y6058">
        <v>-0.18553990000000001</v>
      </c>
      <c r="Z6058">
        <v>5.3626619999999998E-3</v>
      </c>
      <c r="AA6058">
        <v>0.98262210000000005</v>
      </c>
      <c r="AB6058">
        <v>18</v>
      </c>
      <c r="AC6058">
        <v>17.210899999999899</v>
      </c>
      <c r="AD6058">
        <v>-1.110849181161</v>
      </c>
      <c r="AE6058">
        <v>3.4221299999999899</v>
      </c>
      <c r="AF6058">
        <v>-3.2660761901415101</v>
      </c>
      <c r="AG6058">
        <v>-1.110849181161</v>
      </c>
      <c r="AH6058">
        <v>17.169903419926399</v>
      </c>
      <c r="AI6058">
        <v>93.636701557623198</v>
      </c>
      <c r="AJ6058">
        <v>100.770187748787</v>
      </c>
      <c r="AK6058">
        <v>17.513047222933402</v>
      </c>
      <c r="AL6058">
        <v>89.457556390049106</v>
      </c>
      <c r="AM6058">
        <v>88.821191332909393</v>
      </c>
      <c r="AN6058">
        <v>1.00000004545446</v>
      </c>
    </row>
    <row r="6059" spans="1:40" x14ac:dyDescent="0.25">
      <c r="A6059" t="str">
        <f>"20190312160807909"</f>
        <v>20190312160807909</v>
      </c>
      <c r="B6059" t="str">
        <f>"1552378087901578"</f>
        <v>1552378087901578</v>
      </c>
      <c r="C6059" t="s">
        <v>40</v>
      </c>
      <c r="D6059">
        <v>6.0573069999999998</v>
      </c>
      <c r="E6059">
        <v>0.41541939999999999</v>
      </c>
      <c r="F6059" t="s">
        <v>98</v>
      </c>
      <c r="G6059">
        <v>-373.09690000000001</v>
      </c>
      <c r="H6059" s="1">
        <v>-3.4128819999999999E-6</v>
      </c>
      <c r="I6059">
        <v>20.25254</v>
      </c>
      <c r="J6059">
        <v>-390.51780000000002</v>
      </c>
      <c r="K6059">
        <v>1.1108209999999901</v>
      </c>
      <c r="L6059">
        <v>16.634609999999999</v>
      </c>
      <c r="M6059">
        <v>0.99987939999999997</v>
      </c>
      <c r="N6059">
        <v>0</v>
      </c>
      <c r="O6059">
        <v>1.054103E-2</v>
      </c>
      <c r="P6059">
        <v>0.99995650000000003</v>
      </c>
      <c r="Q6059">
        <v>-1.5686229999999999E-3</v>
      </c>
      <c r="R6059">
        <v>-9.2127159999999993E-3</v>
      </c>
      <c r="S6059">
        <v>3.0074459999999998</v>
      </c>
      <c r="T6059">
        <v>-0.18994279999999999</v>
      </c>
      <c r="U6059">
        <v>0.61932369999999903</v>
      </c>
      <c r="V6059">
        <v>1.9726319999999999E-2</v>
      </c>
      <c r="W6059">
        <v>9.8997579999999998E-3</v>
      </c>
      <c r="X6059">
        <v>0.99975639999999999</v>
      </c>
      <c r="Y6059">
        <v>-0.19101670000000001</v>
      </c>
      <c r="Z6059">
        <v>5.3056279999999997E-3</v>
      </c>
      <c r="AA6059">
        <v>0.98157240000000001</v>
      </c>
      <c r="AB6059">
        <v>18</v>
      </c>
      <c r="AC6059">
        <v>17.4209</v>
      </c>
      <c r="AD6059">
        <v>-1.11082441288199</v>
      </c>
      <c r="AE6059">
        <v>3.6179299999999901</v>
      </c>
      <c r="AF6059">
        <v>-3.4207496520093801</v>
      </c>
      <c r="AG6059">
        <v>-1.11082441288199</v>
      </c>
      <c r="AH6059">
        <v>17.390288620677101</v>
      </c>
      <c r="AI6059">
        <v>93.586328142140701</v>
      </c>
      <c r="AJ6059">
        <v>101.128267098775</v>
      </c>
      <c r="AK6059">
        <v>17.758310656378001</v>
      </c>
      <c r="AL6059">
        <v>89.432776380798998</v>
      </c>
      <c r="AM6059">
        <v>88.869636401201603</v>
      </c>
      <c r="AN6059">
        <v>0.99999999612507995</v>
      </c>
    </row>
    <row r="6060" spans="1:40" x14ac:dyDescent="0.25">
      <c r="A6060" t="str">
        <f>"20190312160807923"</f>
        <v>20190312160807923</v>
      </c>
      <c r="B6060" t="str">
        <f>"1552378087911338"</f>
        <v>1552378087911338</v>
      </c>
      <c r="C6060" t="s">
        <v>40</v>
      </c>
      <c r="D6060">
        <v>6.0618040000000004</v>
      </c>
      <c r="E6060">
        <v>0.41448790000000002</v>
      </c>
      <c r="F6060" t="s">
        <v>98</v>
      </c>
      <c r="G6060">
        <v>-372.2962</v>
      </c>
      <c r="H6060" s="1">
        <v>-3.8840910000000002E-6</v>
      </c>
      <c r="I6060">
        <v>20.60097</v>
      </c>
      <c r="J6060">
        <v>-390.40230000000003</v>
      </c>
      <c r="K6060">
        <v>1.1107990000000001</v>
      </c>
      <c r="L6060">
        <v>16.63757</v>
      </c>
      <c r="M6060">
        <v>0.99986240000000004</v>
      </c>
      <c r="N6060">
        <v>0</v>
      </c>
      <c r="O6060">
        <v>1.20567E-2</v>
      </c>
      <c r="P6060">
        <v>0.99997170000000002</v>
      </c>
      <c r="Q6060">
        <v>-1.6031379999999901E-3</v>
      </c>
      <c r="R6060">
        <v>-7.3510829999999996E-3</v>
      </c>
      <c r="S6060">
        <v>3.0058590000000001</v>
      </c>
      <c r="T6060">
        <v>-0.1832435</v>
      </c>
      <c r="U6060">
        <v>0.65429689999999996</v>
      </c>
      <c r="V6060">
        <v>1.938119E-2</v>
      </c>
      <c r="W6060">
        <v>9.8525520000000005E-3</v>
      </c>
      <c r="X6060">
        <v>0.99976359999999997</v>
      </c>
      <c r="Y6060">
        <v>-0.2005623</v>
      </c>
      <c r="Z6060">
        <v>5.3115439999999996E-3</v>
      </c>
      <c r="AA6060">
        <v>0.9796665</v>
      </c>
      <c r="AB6060">
        <v>18</v>
      </c>
      <c r="AC6060">
        <v>18.106100000000001</v>
      </c>
      <c r="AD6060">
        <v>-1.11080288409099</v>
      </c>
      <c r="AE6060">
        <v>3.9634</v>
      </c>
      <c r="AF6060">
        <v>-3.7313959231726299</v>
      </c>
      <c r="AG6060">
        <v>-1.11080288409099</v>
      </c>
      <c r="AH6060">
        <v>18.087607550167</v>
      </c>
      <c r="AI6060">
        <v>93.441957765654607</v>
      </c>
      <c r="AJ6060">
        <v>101.65635293704</v>
      </c>
      <c r="AK6060">
        <v>18.501857892428902</v>
      </c>
      <c r="AL6060">
        <v>89.435481207961999</v>
      </c>
      <c r="AM6060">
        <v>88.889416144379098</v>
      </c>
      <c r="AN6060">
        <v>0.99999997959584397</v>
      </c>
    </row>
    <row r="6061" spans="1:40" x14ac:dyDescent="0.25">
      <c r="A6061" t="str">
        <f>"20190312160807943"</f>
        <v>20190312160807943</v>
      </c>
      <c r="B6061" t="str">
        <f>"1552378087931834"</f>
        <v>1552378087931834</v>
      </c>
      <c r="C6061" t="s">
        <v>40</v>
      </c>
      <c r="D6061">
        <v>6.0285510000000002</v>
      </c>
      <c r="E6061">
        <v>0.4129524</v>
      </c>
      <c r="F6061" t="s">
        <v>98</v>
      </c>
      <c r="G6061">
        <v>-372.1508</v>
      </c>
      <c r="H6061" s="1">
        <v>-3.9765859999999901E-6</v>
      </c>
      <c r="I6061">
        <v>20.69021</v>
      </c>
      <c r="J6061">
        <v>-390.23680000000002</v>
      </c>
      <c r="K6061">
        <v>1.110768</v>
      </c>
      <c r="L6061">
        <v>16.642150000000001</v>
      </c>
      <c r="M6061">
        <v>0.99983460000000002</v>
      </c>
      <c r="N6061">
        <v>0</v>
      </c>
      <c r="O6061">
        <v>1.4186860000000001E-2</v>
      </c>
      <c r="P6061">
        <v>0.99998679999999995</v>
      </c>
      <c r="Q6061">
        <v>-1.590366E-3</v>
      </c>
      <c r="R6061">
        <v>-4.8660420000000001E-3</v>
      </c>
      <c r="S6061">
        <v>3.0047000000000001</v>
      </c>
      <c r="T6061">
        <v>-0.1828688</v>
      </c>
      <c r="U6061">
        <v>0.66717530000000003</v>
      </c>
      <c r="V6061">
        <v>1.9027430000000001E-2</v>
      </c>
      <c r="W6061">
        <v>9.8449239999999997E-3</v>
      </c>
      <c r="X6061">
        <v>0.99977050000000001</v>
      </c>
      <c r="Y6061">
        <v>-0.2025604</v>
      </c>
      <c r="Z6061">
        <v>5.2324399999999997E-3</v>
      </c>
      <c r="AA6061">
        <v>0.97925580000000001</v>
      </c>
      <c r="AB6061">
        <v>18</v>
      </c>
      <c r="AC6061">
        <v>18.085999999999999</v>
      </c>
      <c r="AD6061">
        <v>-1.110771976586</v>
      </c>
      <c r="AE6061">
        <v>4.0480600000000004</v>
      </c>
      <c r="AF6061">
        <v>-3.7774836947674499</v>
      </c>
      <c r="AG6061">
        <v>-1.110771976586</v>
      </c>
      <c r="AH6061">
        <v>18.076681279972401</v>
      </c>
      <c r="AI6061">
        <v>93.442109253933197</v>
      </c>
      <c r="AJ6061">
        <v>101.803244204786</v>
      </c>
      <c r="AK6061">
        <v>18.5005298179784</v>
      </c>
      <c r="AL6061">
        <v>89.435918298044101</v>
      </c>
      <c r="AM6061">
        <v>88.909689937096999</v>
      </c>
      <c r="AN6061">
        <v>1.00000000914561</v>
      </c>
    </row>
    <row r="6062" spans="1:40" x14ac:dyDescent="0.25">
      <c r="A6062" t="str">
        <f>"20190312160807964"</f>
        <v>20190312160807964</v>
      </c>
      <c r="B6062" t="str">
        <f>"1552378087951354"</f>
        <v>1552378087951354</v>
      </c>
      <c r="C6062" t="s">
        <v>40</v>
      </c>
      <c r="D6062">
        <v>6.0497160000000001</v>
      </c>
      <c r="E6062">
        <v>0.41201959999999999</v>
      </c>
      <c r="F6062" t="s">
        <v>98</v>
      </c>
      <c r="G6062">
        <v>-372.03629999999998</v>
      </c>
      <c r="H6062" s="1">
        <v>-4.0613179999999996E-6</v>
      </c>
      <c r="I6062">
        <v>20.805289999999999</v>
      </c>
      <c r="J6062">
        <v>-390.06990000000002</v>
      </c>
      <c r="K6062">
        <v>1.110741</v>
      </c>
      <c r="L6062">
        <v>16.647029999999901</v>
      </c>
      <c r="M6062">
        <v>0.99980290000000005</v>
      </c>
      <c r="N6062">
        <v>0</v>
      </c>
      <c r="O6062">
        <v>1.6279930000000001E-2</v>
      </c>
      <c r="P6062">
        <v>0.99999530000000003</v>
      </c>
      <c r="Q6062">
        <v>-1.597334E-3</v>
      </c>
      <c r="R6062">
        <v>-2.6810610000000002E-3</v>
      </c>
      <c r="S6062">
        <v>3.003082</v>
      </c>
      <c r="T6062">
        <v>-0.183278</v>
      </c>
      <c r="U6062">
        <v>0.68692019999999998</v>
      </c>
      <c r="V6062">
        <v>1.8936399999999999E-2</v>
      </c>
      <c r="W6062">
        <v>9.8158370000000009E-3</v>
      </c>
      <c r="X6062">
        <v>0.99977249999999995</v>
      </c>
      <c r="Y6062">
        <v>-0.20674239999999999</v>
      </c>
      <c r="Z6062">
        <v>5.2431369999999897E-3</v>
      </c>
      <c r="AA6062">
        <v>0.97838139999999996</v>
      </c>
      <c r="AB6062">
        <v>18</v>
      </c>
      <c r="AC6062">
        <v>18.0336</v>
      </c>
      <c r="AD6062">
        <v>-1.1107450613180001</v>
      </c>
      <c r="AE6062">
        <v>4.1582600000000003</v>
      </c>
      <c r="AF6062">
        <v>-3.8502348923710201</v>
      </c>
      <c r="AG6062">
        <v>-1.1107450613180001</v>
      </c>
      <c r="AH6062">
        <v>18.033948712421999</v>
      </c>
      <c r="AI6062">
        <v>93.447011621659797</v>
      </c>
      <c r="AJ6062">
        <v>102.051668466701</v>
      </c>
      <c r="AK6062">
        <v>18.4738022475055</v>
      </c>
      <c r="AL6062">
        <v>89.437584932846406</v>
      </c>
      <c r="AM6062">
        <v>88.914907059452204</v>
      </c>
      <c r="AN6062">
        <v>0.99999999482861002</v>
      </c>
    </row>
    <row r="6063" spans="1:40" x14ac:dyDescent="0.25">
      <c r="A6063" t="str">
        <f>"20190312160807987"</f>
        <v>20190312160807987</v>
      </c>
      <c r="B6063" t="str">
        <f>"1552378087981611"</f>
        <v>1552378087981611</v>
      </c>
      <c r="C6063" t="s">
        <v>40</v>
      </c>
      <c r="D6063">
        <v>6.0609400000000004</v>
      </c>
      <c r="E6063">
        <v>0.4113694</v>
      </c>
      <c r="F6063" t="s">
        <v>98</v>
      </c>
      <c r="G6063">
        <v>-371.79230000000001</v>
      </c>
      <c r="H6063" s="1">
        <v>-4.2056549999999996E-6</v>
      </c>
      <c r="I6063">
        <v>20.91431</v>
      </c>
      <c r="J6063">
        <v>-389.88130000000001</v>
      </c>
      <c r="K6063">
        <v>1.110711</v>
      </c>
      <c r="L6063">
        <v>16.652889999999999</v>
      </c>
      <c r="M6063">
        <v>0.99976310000000002</v>
      </c>
      <c r="N6063">
        <v>0</v>
      </c>
      <c r="O6063">
        <v>1.8580380000000001E-2</v>
      </c>
      <c r="P6063">
        <v>0.99999959999999999</v>
      </c>
      <c r="Q6063">
        <v>-8.5756369999999903E-4</v>
      </c>
      <c r="R6063">
        <v>2.0025760000000001E-4</v>
      </c>
      <c r="S6063">
        <v>3.0015559999999999</v>
      </c>
      <c r="T6063">
        <v>-0.18240729999999999</v>
      </c>
      <c r="U6063">
        <v>0.70077509999999998</v>
      </c>
      <c r="V6063">
        <v>1.8355360000000001E-2</v>
      </c>
      <c r="W6063">
        <v>1.0531530000000001E-2</v>
      </c>
      <c r="X6063">
        <v>0.99977609999999995</v>
      </c>
      <c r="Y6063">
        <v>-0.20888960000000001</v>
      </c>
      <c r="Z6063">
        <v>5.1448350000000004E-3</v>
      </c>
      <c r="AA6063">
        <v>0.97792570000000001</v>
      </c>
      <c r="AB6063">
        <v>18</v>
      </c>
      <c r="AC6063">
        <v>18.088999999999999</v>
      </c>
      <c r="AD6063">
        <v>-1.110715205655</v>
      </c>
      <c r="AE6063">
        <v>4.2614200000000002</v>
      </c>
      <c r="AF6063">
        <v>-3.9105932880624401</v>
      </c>
      <c r="AG6063">
        <v>-1.110715205655</v>
      </c>
      <c r="AH6063">
        <v>18.1004050439977</v>
      </c>
      <c r="AI6063">
        <v>93.432500329282405</v>
      </c>
      <c r="AJ6063">
        <v>102.191372614926</v>
      </c>
      <c r="AK6063">
        <v>18.5513096812459</v>
      </c>
      <c r="AL6063">
        <v>89.396576649129599</v>
      </c>
      <c r="AM6063">
        <v>88.948197982033093</v>
      </c>
      <c r="AN6063">
        <v>1.0000000412480301</v>
      </c>
    </row>
    <row r="6064" spans="1:40" x14ac:dyDescent="0.25">
      <c r="A6064" t="str">
        <f>"20190312160808008"</f>
        <v>20190312160808008</v>
      </c>
      <c r="B6064" t="str">
        <f>"1552378088002107"</f>
        <v>1552378088002107</v>
      </c>
      <c r="C6064" t="s">
        <v>40</v>
      </c>
      <c r="D6064">
        <v>6.1097239999999999</v>
      </c>
      <c r="E6064">
        <v>0.41129349999999998</v>
      </c>
      <c r="F6064" t="s">
        <v>98</v>
      </c>
      <c r="G6064">
        <v>-371.47739999999999</v>
      </c>
      <c r="H6064" s="1">
        <v>-4.3870929999999999E-6</v>
      </c>
      <c r="I6064">
        <v>21.03678</v>
      </c>
      <c r="J6064">
        <v>-389.7045</v>
      </c>
      <c r="K6064">
        <v>1.1106819999999999</v>
      </c>
      <c r="L6064">
        <v>16.658719999999999</v>
      </c>
      <c r="M6064">
        <v>0.99972209999999995</v>
      </c>
      <c r="N6064">
        <v>0</v>
      </c>
      <c r="O6064">
        <v>2.0676389999999999E-2</v>
      </c>
      <c r="P6064">
        <v>0.99999680000000002</v>
      </c>
      <c r="Q6064">
        <v>3.5077330000000002E-4</v>
      </c>
      <c r="R6064">
        <v>2.5423569999999999E-3</v>
      </c>
      <c r="S6064">
        <v>2.999695</v>
      </c>
      <c r="T6064">
        <v>-0.181038</v>
      </c>
      <c r="U6064">
        <v>0.71453859999999902</v>
      </c>
      <c r="V6064">
        <v>1.8107959999999999E-2</v>
      </c>
      <c r="W6064">
        <v>1.172165E-2</v>
      </c>
      <c r="X6064">
        <v>0.99976730000000003</v>
      </c>
      <c r="Y6064">
        <v>-0.21122830000000001</v>
      </c>
      <c r="Z6064">
        <v>5.0517740000000002E-3</v>
      </c>
      <c r="AA6064">
        <v>0.97742370000000001</v>
      </c>
      <c r="AB6064">
        <v>18</v>
      </c>
      <c r="AC6064">
        <v>18.2271</v>
      </c>
      <c r="AD6064">
        <v>-1.1106863870929999</v>
      </c>
      <c r="AE6064">
        <v>4.3780599999999898</v>
      </c>
      <c r="AF6064">
        <v>-3.98623486607171</v>
      </c>
      <c r="AG6064">
        <v>-1.1106863870929999</v>
      </c>
      <c r="AH6064">
        <v>18.249662977511601</v>
      </c>
      <c r="AI6064">
        <v>93.402730278337302</v>
      </c>
      <c r="AJ6064">
        <v>102.32147181613</v>
      </c>
      <c r="AK6064">
        <v>18.712933801270101</v>
      </c>
      <c r="AL6064">
        <v>89.328383528803798</v>
      </c>
      <c r="AM6064">
        <v>88.962362287772706</v>
      </c>
      <c r="AN6064">
        <v>0.999999974721686</v>
      </c>
    </row>
    <row r="6065" spans="1:40" x14ac:dyDescent="0.25">
      <c r="A6065" t="str">
        <f>"20190312160808021"</f>
        <v>20190312160808021</v>
      </c>
      <c r="B6065" t="str">
        <f>"1552378088011867"</f>
        <v>1552378088011867</v>
      </c>
      <c r="C6065" t="s">
        <v>40</v>
      </c>
      <c r="D6065">
        <v>6.1042129999999997</v>
      </c>
      <c r="E6065">
        <v>0.41123969999999999</v>
      </c>
      <c r="F6065" t="s">
        <v>98</v>
      </c>
      <c r="G6065">
        <v>-370.91059999999999</v>
      </c>
      <c r="H6065" s="1">
        <v>-4.6399929999999996E-6</v>
      </c>
      <c r="I6065">
        <v>21.185880000000001</v>
      </c>
      <c r="J6065">
        <v>-389.59980000000002</v>
      </c>
      <c r="K6065">
        <v>1.110663</v>
      </c>
      <c r="L6065">
        <v>16.662320000000001</v>
      </c>
      <c r="M6065">
        <v>0.99969649999999999</v>
      </c>
      <c r="N6065">
        <v>0</v>
      </c>
      <c r="O6065">
        <v>2.18852E-2</v>
      </c>
      <c r="P6065">
        <v>0.99999229999999995</v>
      </c>
      <c r="Q6065">
        <v>9.7278510000000002E-4</v>
      </c>
      <c r="R6065">
        <v>3.8412810000000002E-3</v>
      </c>
      <c r="S6065">
        <v>2.99823</v>
      </c>
      <c r="T6065">
        <v>-0.17719070000000001</v>
      </c>
      <c r="U6065">
        <v>0.72222900000000001</v>
      </c>
      <c r="V6065">
        <v>1.8017149999999999E-2</v>
      </c>
      <c r="W6065">
        <v>1.2332910000000001E-2</v>
      </c>
      <c r="X6065">
        <v>0.99976160000000003</v>
      </c>
      <c r="Y6065">
        <v>-0.21253839999999999</v>
      </c>
      <c r="Z6065">
        <v>4.9133570000000001E-3</v>
      </c>
      <c r="AA6065">
        <v>0.97714040000000002</v>
      </c>
      <c r="AB6065">
        <v>18</v>
      </c>
      <c r="AC6065">
        <v>18.6892</v>
      </c>
      <c r="AD6065">
        <v>-1.110667639993</v>
      </c>
      <c r="AE6065">
        <v>4.52355999999999</v>
      </c>
      <c r="AF6065">
        <v>-4.0997554764718904</v>
      </c>
      <c r="AG6065">
        <v>-1.110667639993</v>
      </c>
      <c r="AH6065">
        <v>18.721269282321401</v>
      </c>
      <c r="AI6065">
        <v>93.316762583487602</v>
      </c>
      <c r="AJ6065">
        <v>102.35216501565</v>
      </c>
      <c r="AK6065">
        <v>19.197070117978399</v>
      </c>
      <c r="AL6065">
        <v>89.293358384906099</v>
      </c>
      <c r="AM6065">
        <v>88.967558945373398</v>
      </c>
      <c r="AN6065">
        <v>0.99999998759887498</v>
      </c>
    </row>
    <row r="6066" spans="1:40" x14ac:dyDescent="0.25">
      <c r="A6066" t="str">
        <f>"20190312160808033"</f>
        <v>20190312160808033</v>
      </c>
      <c r="B6066" t="str">
        <f>"1552378088021627"</f>
        <v>1552378088021627</v>
      </c>
      <c r="C6066" t="s">
        <v>40</v>
      </c>
      <c r="D6066">
        <v>6.0783360000000002</v>
      </c>
      <c r="E6066">
        <v>0.41117229999999999</v>
      </c>
      <c r="F6066" t="s">
        <v>98</v>
      </c>
      <c r="G6066">
        <v>-370.70139999999998</v>
      </c>
      <c r="H6066" s="1">
        <v>-4.7305699999999997E-6</v>
      </c>
      <c r="I6066">
        <v>21.24343</v>
      </c>
      <c r="J6066">
        <v>-389.5034</v>
      </c>
      <c r="K6066">
        <v>1.110646</v>
      </c>
      <c r="L6066">
        <v>16.665679999999998</v>
      </c>
      <c r="M6066">
        <v>0.99967189999999995</v>
      </c>
      <c r="N6066">
        <v>0</v>
      </c>
      <c r="O6066">
        <v>2.2984950000000001E-2</v>
      </c>
      <c r="P6066">
        <v>0.99998620000000005</v>
      </c>
      <c r="Q6066">
        <v>1.426872E-3</v>
      </c>
      <c r="R6066">
        <v>5.0716199999999998E-3</v>
      </c>
      <c r="S6066">
        <v>2.9974059999999998</v>
      </c>
      <c r="T6066">
        <v>-0.1761588</v>
      </c>
      <c r="U6066">
        <v>0.72659300000000004</v>
      </c>
      <c r="V6066">
        <v>1.788652E-2</v>
      </c>
      <c r="W6066">
        <v>1.277824E-2</v>
      </c>
      <c r="X6066">
        <v>0.99975840000000005</v>
      </c>
      <c r="Y6066">
        <v>-0.2128738</v>
      </c>
      <c r="Z6066">
        <v>4.831419E-3</v>
      </c>
      <c r="AA6066">
        <v>0.97706780000000004</v>
      </c>
      <c r="AB6066">
        <v>18</v>
      </c>
      <c r="AC6066">
        <v>18.802</v>
      </c>
      <c r="AD6066">
        <v>-1.11065073057</v>
      </c>
      <c r="AE6066">
        <v>4.57775</v>
      </c>
      <c r="AF6066">
        <v>-4.13074272943176</v>
      </c>
      <c r="AG6066">
        <v>-1.11065073057</v>
      </c>
      <c r="AH6066">
        <v>18.840196666088701</v>
      </c>
      <c r="AI6066">
        <v>93.295641586179997</v>
      </c>
      <c r="AJ6066">
        <v>102.366509987146</v>
      </c>
      <c r="AK6066">
        <v>19.319668500234901</v>
      </c>
      <c r="AL6066">
        <v>89.267840877967004</v>
      </c>
      <c r="AM6066">
        <v>88.975039584845703</v>
      </c>
      <c r="AN6066">
        <v>1.0000000346928799</v>
      </c>
    </row>
    <row r="6067" spans="1:40" x14ac:dyDescent="0.25">
      <c r="A6067" t="str">
        <f>"20190312160808045"</f>
        <v>20190312160808045</v>
      </c>
      <c r="B6067" t="str">
        <f>"1552378088041147"</f>
        <v>1552378088041147</v>
      </c>
      <c r="C6067" t="s">
        <v>40</v>
      </c>
      <c r="D6067">
        <v>6.0918510000000001</v>
      </c>
      <c r="E6067">
        <v>0.41116180000000002</v>
      </c>
      <c r="F6067" t="s">
        <v>98</v>
      </c>
      <c r="G6067">
        <v>-370.48880000000003</v>
      </c>
      <c r="H6067" s="1">
        <v>-4.8227459999999996E-6</v>
      </c>
      <c r="I6067">
        <v>21.302779999999998</v>
      </c>
      <c r="J6067">
        <v>-389.41210000000001</v>
      </c>
      <c r="K6067">
        <v>1.11063</v>
      </c>
      <c r="L6067">
        <v>16.66901</v>
      </c>
      <c r="M6067">
        <v>0.99964819999999999</v>
      </c>
      <c r="N6067">
        <v>0</v>
      </c>
      <c r="O6067">
        <v>2.3995470000000001E-2</v>
      </c>
      <c r="P6067">
        <v>0.99997829999999999</v>
      </c>
      <c r="Q6067">
        <v>1.747366E-3</v>
      </c>
      <c r="R6067">
        <v>6.3554529999999996E-3</v>
      </c>
      <c r="S6067">
        <v>2.9965820000000001</v>
      </c>
      <c r="T6067">
        <v>-0.17503079999999999</v>
      </c>
      <c r="U6067">
        <v>0.73077389999999998</v>
      </c>
      <c r="V6067">
        <v>1.7613429999999999E-2</v>
      </c>
      <c r="W6067">
        <v>1.308959E-2</v>
      </c>
      <c r="X6067">
        <v>0.99975919999999896</v>
      </c>
      <c r="Y6067">
        <v>-0.2132397</v>
      </c>
      <c r="Z6067">
        <v>4.7535320000000004E-3</v>
      </c>
      <c r="AA6067">
        <v>0.97698839999999998</v>
      </c>
      <c r="AB6067">
        <v>18</v>
      </c>
      <c r="AC6067">
        <v>18.923299999999902</v>
      </c>
      <c r="AD6067">
        <v>-1.1106348227459999</v>
      </c>
      <c r="AE6067">
        <v>4.6337699999999904</v>
      </c>
      <c r="AF6067">
        <v>-4.1647983219054696</v>
      </c>
      <c r="AG6067">
        <v>-1.1106348227459999</v>
      </c>
      <c r="AH6067">
        <v>18.967406700869599</v>
      </c>
      <c r="AI6067">
        <v>93.273317695321396</v>
      </c>
      <c r="AJ6067">
        <v>102.384276356813</v>
      </c>
      <c r="AK6067">
        <v>19.451004388664298</v>
      </c>
      <c r="AL6067">
        <v>89.250000329842706</v>
      </c>
      <c r="AM6067">
        <v>88.990686146101396</v>
      </c>
      <c r="AN6067">
        <v>1.00000001413368</v>
      </c>
    </row>
    <row r="6068" spans="1:40" x14ac:dyDescent="0.25">
      <c r="A6068" t="str">
        <f>"20190312160808058"</f>
        <v>20190312160808058</v>
      </c>
      <c r="B6068" t="str">
        <f>"1552378088051882"</f>
        <v>1552378088051882</v>
      </c>
      <c r="C6068" t="s">
        <v>40</v>
      </c>
      <c r="D6068">
        <v>6.073569</v>
      </c>
      <c r="E6068">
        <v>0.41120469999999998</v>
      </c>
      <c r="F6068" t="s">
        <v>98</v>
      </c>
      <c r="G6068">
        <v>-370.50259999999997</v>
      </c>
      <c r="H6068" s="1">
        <v>-4.8180850000000003E-6</v>
      </c>
      <c r="I6068">
        <v>21.306480000000001</v>
      </c>
      <c r="J6068">
        <v>-389.30369999999999</v>
      </c>
      <c r="K6068">
        <v>1.1106069999999999</v>
      </c>
      <c r="L6068">
        <v>16.672999999999998</v>
      </c>
      <c r="M6068">
        <v>0.99961909999999998</v>
      </c>
      <c r="N6068">
        <v>0</v>
      </c>
      <c r="O6068">
        <v>2.5180589999999999E-2</v>
      </c>
      <c r="P6068">
        <v>0.9999692</v>
      </c>
      <c r="Q6068">
        <v>2.0894279999999999E-3</v>
      </c>
      <c r="R6068">
        <v>7.57098699999999E-3</v>
      </c>
      <c r="S6068">
        <v>2.9956969999999998</v>
      </c>
      <c r="T6068">
        <v>-0.17594960000000001</v>
      </c>
      <c r="U6068">
        <v>0.73468020000000001</v>
      </c>
      <c r="V6068">
        <v>1.758326E-2</v>
      </c>
      <c r="W6068">
        <v>1.342144E-2</v>
      </c>
      <c r="X6068">
        <v>0.99975530000000001</v>
      </c>
      <c r="Y6068">
        <v>-0.21334839999999999</v>
      </c>
      <c r="Z6068">
        <v>4.7138129999999999E-3</v>
      </c>
      <c r="AA6068">
        <v>0.97696479999999997</v>
      </c>
      <c r="AB6068">
        <v>18</v>
      </c>
      <c r="AC6068">
        <v>18.801100000000002</v>
      </c>
      <c r="AD6068">
        <v>-1.110611818085</v>
      </c>
      <c r="AE6068">
        <v>4.6334799999999996</v>
      </c>
      <c r="AF6068">
        <v>-4.1449222529084802</v>
      </c>
      <c r="AG6068">
        <v>-1.110611818085</v>
      </c>
      <c r="AH6068">
        <v>18.849809553689099</v>
      </c>
      <c r="AI6068">
        <v>93.293408575924502</v>
      </c>
      <c r="AJ6068">
        <v>102.401515918109</v>
      </c>
      <c r="AK6068">
        <v>19.332075918107599</v>
      </c>
      <c r="AL6068">
        <v>89.230985030986602</v>
      </c>
      <c r="AM6068">
        <v>88.992410710809594</v>
      </c>
      <c r="AN6068">
        <v>0.99999998298099502</v>
      </c>
    </row>
    <row r="6069" spans="1:40" x14ac:dyDescent="0.25">
      <c r="A6069" t="str">
        <f>"20190312160808076"</f>
        <v>20190312160808076</v>
      </c>
      <c r="B6069" t="str">
        <f>"1552378088071415"</f>
        <v>1552378088071415</v>
      </c>
      <c r="C6069" t="s">
        <v>40</v>
      </c>
      <c r="D6069">
        <v>6.0788149999999996</v>
      </c>
      <c r="E6069">
        <v>0.41123100000000001</v>
      </c>
      <c r="F6069" t="s">
        <v>98</v>
      </c>
      <c r="G6069">
        <v>-370.42450000000002</v>
      </c>
      <c r="H6069" s="1">
        <v>-4.8514319999999999E-6</v>
      </c>
      <c r="I6069">
        <v>21.32546</v>
      </c>
      <c r="J6069">
        <v>-389.16460000000001</v>
      </c>
      <c r="K6069">
        <v>1.110576</v>
      </c>
      <c r="L6069">
        <v>16.678279999999901</v>
      </c>
      <c r="M6069">
        <v>0.99958100000000005</v>
      </c>
      <c r="N6069">
        <v>0</v>
      </c>
      <c r="O6069">
        <v>2.6661069999999999E-2</v>
      </c>
      <c r="P6069">
        <v>0.99995599999999996</v>
      </c>
      <c r="Q6069">
        <v>2.3654570000000001E-3</v>
      </c>
      <c r="R6069">
        <v>9.1043140000000005E-3</v>
      </c>
      <c r="S6069">
        <v>2.9948730000000001</v>
      </c>
      <c r="T6069">
        <v>-0.17618049999999999</v>
      </c>
      <c r="U6069">
        <v>0.7380371</v>
      </c>
      <c r="V6069">
        <v>1.753128E-2</v>
      </c>
      <c r="W6069">
        <v>1.36851E-2</v>
      </c>
      <c r="X6069">
        <v>0.99975259999999999</v>
      </c>
      <c r="Y6069">
        <v>-0.21299860000000001</v>
      </c>
      <c r="Z6069">
        <v>4.6249129999999996E-3</v>
      </c>
      <c r="AA6069">
        <v>0.97704150000000001</v>
      </c>
      <c r="AB6069">
        <v>18</v>
      </c>
      <c r="AC6069">
        <v>18.740099999999899</v>
      </c>
      <c r="AD6069">
        <v>-1.1105808514319999</v>
      </c>
      <c r="AE6069">
        <v>4.6471799999999996</v>
      </c>
      <c r="AF6069">
        <v>-4.1321934036671397</v>
      </c>
      <c r="AG6069">
        <v>-1.1105808514319999</v>
      </c>
      <c r="AH6069">
        <v>18.795159388192101</v>
      </c>
      <c r="AI6069">
        <v>93.302897840110006</v>
      </c>
      <c r="AJ6069">
        <v>102.39944635339999</v>
      </c>
      <c r="AK6069">
        <v>19.276058429575901</v>
      </c>
      <c r="AL6069">
        <v>89.215877007597001</v>
      </c>
      <c r="AM6069">
        <v>88.99538604336</v>
      </c>
      <c r="AN6069">
        <v>0.99999994447360196</v>
      </c>
    </row>
    <row r="6070" spans="1:40" x14ac:dyDescent="0.25">
      <c r="A6070" t="str">
        <f>"20190312160808098"</f>
        <v>20190312160808098</v>
      </c>
      <c r="B6070" t="str">
        <f>"1552378088091898"</f>
        <v>1552378088091898</v>
      </c>
      <c r="C6070" t="s">
        <v>40</v>
      </c>
      <c r="D6070">
        <v>6.09023</v>
      </c>
      <c r="E6070">
        <v>0.41148970000000001</v>
      </c>
      <c r="F6070" t="s">
        <v>98</v>
      </c>
      <c r="G6070">
        <v>-370.33710000000002</v>
      </c>
      <c r="H6070" s="1">
        <v>-4.8888240000000003E-6</v>
      </c>
      <c r="I6070">
        <v>21.346920000000001</v>
      </c>
      <c r="J6070">
        <v>-388.97699999999998</v>
      </c>
      <c r="K6070">
        <v>1.11053</v>
      </c>
      <c r="L6070">
        <v>16.685639999999999</v>
      </c>
      <c r="M6070">
        <v>0.99952779999999997</v>
      </c>
      <c r="N6070">
        <v>0</v>
      </c>
      <c r="O6070">
        <v>2.858399E-2</v>
      </c>
      <c r="P6070">
        <v>0.99993350000000003</v>
      </c>
      <c r="Q6070">
        <v>2.5976879999999999E-3</v>
      </c>
      <c r="R6070">
        <v>1.1235999999999999E-2</v>
      </c>
      <c r="S6070">
        <v>2.993805</v>
      </c>
      <c r="T6070">
        <v>-0.176596</v>
      </c>
      <c r="U6070">
        <v>0.74237059999999999</v>
      </c>
      <c r="V6070">
        <v>1.7324369999999999E-2</v>
      </c>
      <c r="W6070">
        <v>1.390252E-2</v>
      </c>
      <c r="X6070">
        <v>0.99975320000000001</v>
      </c>
      <c r="Y6070">
        <v>-0.21253520000000001</v>
      </c>
      <c r="Z6070">
        <v>4.5117409999999997E-3</v>
      </c>
      <c r="AA6070">
        <v>0.97714299999999998</v>
      </c>
      <c r="AB6070">
        <v>18</v>
      </c>
      <c r="AC6070">
        <v>18.639899999999901</v>
      </c>
      <c r="AD6070">
        <v>-1.1105348888240001</v>
      </c>
      <c r="AE6070">
        <v>4.6612799999999996</v>
      </c>
      <c r="AF6070">
        <v>-4.1127990274015698</v>
      </c>
      <c r="AG6070">
        <v>-1.1105348888240001</v>
      </c>
      <c r="AH6070">
        <v>18.703048338142299</v>
      </c>
      <c r="AI6070">
        <v>93.3189592047882</v>
      </c>
      <c r="AJ6070">
        <v>102.40194953901801</v>
      </c>
      <c r="AK6070">
        <v>19.1820859324</v>
      </c>
      <c r="AL6070">
        <v>89.2034185675667</v>
      </c>
      <c r="AM6070">
        <v>89.007241040101803</v>
      </c>
      <c r="AN6070">
        <v>0.99999993738424098</v>
      </c>
    </row>
    <row r="6071" spans="1:40" x14ac:dyDescent="0.25">
      <c r="A6071" t="str">
        <f>"20190312160808110"</f>
        <v>20190312160808110</v>
      </c>
      <c r="B6071" t="str">
        <f>"1552378088101658"</f>
        <v>1552378088101658</v>
      </c>
      <c r="C6071" t="s">
        <v>40</v>
      </c>
      <c r="D6071">
        <v>6.0662190000000002</v>
      </c>
      <c r="E6071">
        <v>0.41151979999999999</v>
      </c>
      <c r="F6071" t="s">
        <v>98</v>
      </c>
      <c r="G6071">
        <v>-370.40910000000002</v>
      </c>
      <c r="H6071" s="1">
        <v>-4.8563399999999998E-6</v>
      </c>
      <c r="I6071">
        <v>21.319710000000001</v>
      </c>
      <c r="J6071">
        <v>-388.87520000000001</v>
      </c>
      <c r="K6071">
        <v>1.1105100000000001</v>
      </c>
      <c r="L6071">
        <v>16.68976</v>
      </c>
      <c r="M6071">
        <v>0.99949829999999995</v>
      </c>
      <c r="N6071">
        <v>0</v>
      </c>
      <c r="O6071">
        <v>2.9602219999999999E-2</v>
      </c>
      <c r="P6071">
        <v>0.99992020000000004</v>
      </c>
      <c r="Q6071">
        <v>2.9004009999999999E-3</v>
      </c>
      <c r="R6071">
        <v>1.2302789999999999E-2</v>
      </c>
      <c r="S6071">
        <v>2.9922789999999999</v>
      </c>
      <c r="T6071">
        <v>-0.17896619999999999</v>
      </c>
      <c r="U6071">
        <v>0.74679569999999995</v>
      </c>
      <c r="V6071">
        <v>1.7276260000000002E-2</v>
      </c>
      <c r="W6071">
        <v>1.4197649999999999E-2</v>
      </c>
      <c r="X6071">
        <v>0.99975000000000003</v>
      </c>
      <c r="Y6071">
        <v>-0.21300959999999999</v>
      </c>
      <c r="Z6071">
        <v>4.5278109999999996E-3</v>
      </c>
      <c r="AA6071">
        <v>0.97703960000000001</v>
      </c>
      <c r="AB6071">
        <v>18</v>
      </c>
      <c r="AC6071">
        <v>18.466099999999901</v>
      </c>
      <c r="AD6071">
        <v>-1.11051485634</v>
      </c>
      <c r="AE6071">
        <v>4.62995</v>
      </c>
      <c r="AF6071">
        <v>-4.0674083995478796</v>
      </c>
      <c r="AG6071">
        <v>-1.11051485634</v>
      </c>
      <c r="AH6071">
        <v>18.532013402274501</v>
      </c>
      <c r="AI6071">
        <v>93.349754744421801</v>
      </c>
      <c r="AJ6071">
        <v>102.37900325992101</v>
      </c>
      <c r="AK6071">
        <v>19.0055932576951</v>
      </c>
      <c r="AL6071">
        <v>89.186507287383904</v>
      </c>
      <c r="AM6071">
        <v>89.009994226968999</v>
      </c>
      <c r="AN6071">
        <v>1.0000000524625501</v>
      </c>
    </row>
    <row r="6072" spans="1:40" x14ac:dyDescent="0.25">
      <c r="A6072" t="str">
        <f>"20190312160808125"</f>
        <v>20190312160808125</v>
      </c>
      <c r="B6072" t="str">
        <f>"1552378088121180"</f>
        <v>1552378088121180</v>
      </c>
      <c r="C6072" t="s">
        <v>40</v>
      </c>
      <c r="D6072">
        <v>6.1721409999999999</v>
      </c>
      <c r="E6072">
        <v>0.41182029999999997</v>
      </c>
      <c r="F6072" t="s">
        <v>98</v>
      </c>
      <c r="G6072">
        <v>-370.25110000000001</v>
      </c>
      <c r="H6072" s="1">
        <v>-4.9236970000000001E-6</v>
      </c>
      <c r="I6072">
        <v>21.357410000000002</v>
      </c>
      <c r="J6072">
        <v>-388.76679999999999</v>
      </c>
      <c r="K6072">
        <v>1.110484</v>
      </c>
      <c r="L6072">
        <v>16.694210000000002</v>
      </c>
      <c r="M6072">
        <v>0.99946650000000004</v>
      </c>
      <c r="N6072">
        <v>0</v>
      </c>
      <c r="O6072">
        <v>3.0660090000000001E-2</v>
      </c>
      <c r="P6072">
        <v>0.99990120000000005</v>
      </c>
      <c r="Q6072">
        <v>3.4184979999999998E-3</v>
      </c>
      <c r="R6072">
        <v>1.364135E-2</v>
      </c>
      <c r="S6072">
        <v>2.9915470000000002</v>
      </c>
      <c r="T6072">
        <v>-0.17837979999999901</v>
      </c>
      <c r="U6072">
        <v>0.74975590000000003</v>
      </c>
      <c r="V6072">
        <v>1.6995690000000001E-2</v>
      </c>
      <c r="W6072">
        <v>1.4708290000000001E-2</v>
      </c>
      <c r="X6072">
        <v>0.99974739999999995</v>
      </c>
      <c r="Y6072">
        <v>-0.21294550000000001</v>
      </c>
      <c r="Z6072">
        <v>4.449733E-3</v>
      </c>
      <c r="AA6072">
        <v>0.97705390000000003</v>
      </c>
      <c r="AB6072">
        <v>18</v>
      </c>
      <c r="AC6072">
        <v>18.515699999999899</v>
      </c>
      <c r="AD6072">
        <v>-1.1104889236969999</v>
      </c>
      <c r="AE6072">
        <v>4.6631999999999998</v>
      </c>
      <c r="AF6072">
        <v>-4.0794795195918301</v>
      </c>
      <c r="AG6072">
        <v>-1.1104889236969999</v>
      </c>
      <c r="AH6072">
        <v>18.587106119186402</v>
      </c>
      <c r="AI6072">
        <v>93.339771443599403</v>
      </c>
      <c r="AJ6072">
        <v>102.37894257262001</v>
      </c>
      <c r="AK6072">
        <v>19.0618953067716</v>
      </c>
      <c r="AL6072">
        <v>89.157246692803994</v>
      </c>
      <c r="AM6072">
        <v>89.0260664686392</v>
      </c>
      <c r="AN6072">
        <v>1.0000000255400201</v>
      </c>
    </row>
    <row r="6073" spans="1:40" x14ac:dyDescent="0.25">
      <c r="A6073" t="str">
        <f>"20190312160808144"</f>
        <v>20190312160808144</v>
      </c>
      <c r="B6073" t="str">
        <f>"1552378088131914"</f>
        <v>1552378088131914</v>
      </c>
      <c r="C6073" t="s">
        <v>40</v>
      </c>
      <c r="D6073">
        <v>6.3043630000000004</v>
      </c>
      <c r="E6073">
        <v>0.41182029999999997</v>
      </c>
      <c r="F6073" t="s">
        <v>98</v>
      </c>
      <c r="G6073">
        <v>-370.07929999999999</v>
      </c>
      <c r="H6073" s="1">
        <v>-4.9953159999999999E-6</v>
      </c>
      <c r="I6073">
        <v>21.389209999999999</v>
      </c>
      <c r="J6073">
        <v>-388.61130000000003</v>
      </c>
      <c r="K6073">
        <v>1.1104540000000001</v>
      </c>
      <c r="L6073">
        <v>16.700779999999899</v>
      </c>
      <c r="M6073">
        <v>0.99942030000000004</v>
      </c>
      <c r="N6073">
        <v>0</v>
      </c>
      <c r="O6073">
        <v>3.2135089999999998E-2</v>
      </c>
      <c r="P6073">
        <v>0.99987969999999904</v>
      </c>
      <c r="Q6073">
        <v>3.8685019999999998E-3</v>
      </c>
      <c r="R6073">
        <v>1.503149E-2</v>
      </c>
      <c r="S6073">
        <v>2.9906920000000001</v>
      </c>
      <c r="T6073">
        <v>-0.1777195</v>
      </c>
      <c r="U6073">
        <v>0.75137330000000002</v>
      </c>
      <c r="V6073">
        <v>1.7081349999999999E-2</v>
      </c>
      <c r="W6073">
        <v>1.5146929999999999E-2</v>
      </c>
      <c r="X6073">
        <v>0.9997393</v>
      </c>
      <c r="Y6073">
        <v>-0.2120725</v>
      </c>
      <c r="Z6073">
        <v>4.3226699999999998E-3</v>
      </c>
      <c r="AA6073">
        <v>0.97724440000000001</v>
      </c>
      <c r="AB6073">
        <v>18</v>
      </c>
      <c r="AC6073">
        <v>18.532</v>
      </c>
      <c r="AD6073">
        <v>-1.110458995316</v>
      </c>
      <c r="AE6073">
        <v>4.6884300000000003</v>
      </c>
      <c r="AF6073">
        <v>-4.07668613564132</v>
      </c>
      <c r="AG6073">
        <v>-1.110458995316</v>
      </c>
      <c r="AH6073">
        <v>18.610298746193099</v>
      </c>
      <c r="AI6073">
        <v>93.335824001693894</v>
      </c>
      <c r="AJ6073">
        <v>102.35578438616599</v>
      </c>
      <c r="AK6073">
        <v>19.083912294164499</v>
      </c>
      <c r="AL6073">
        <v>89.132111593302497</v>
      </c>
      <c r="AM6073">
        <v>89.021150768467905</v>
      </c>
      <c r="AN6073">
        <v>0.99999993498536599</v>
      </c>
    </row>
    <row r="6074" spans="1:40" x14ac:dyDescent="0.25">
      <c r="A6074" t="str">
        <f>"20190312160808158"</f>
        <v>20190312160808158</v>
      </c>
      <c r="B6074" t="str">
        <f>"1552378088151192"</f>
        <v>1552378088151192</v>
      </c>
      <c r="C6074" t="s">
        <v>40</v>
      </c>
      <c r="D6074">
        <v>5.9998849999999999</v>
      </c>
      <c r="E6074">
        <v>0.4678447</v>
      </c>
      <c r="F6074" t="s">
        <v>97</v>
      </c>
      <c r="G6074">
        <v>-369.8066</v>
      </c>
      <c r="H6074" s="1">
        <v>-5.8047879999999996E-7</v>
      </c>
      <c r="I6074">
        <v>21.452670000000001</v>
      </c>
      <c r="J6074">
        <v>-388.4973</v>
      </c>
      <c r="K6074">
        <v>1.1104339999999999</v>
      </c>
      <c r="L6074">
        <v>16.705660000000002</v>
      </c>
      <c r="M6074">
        <v>0.9993862</v>
      </c>
      <c r="N6074">
        <v>0</v>
      </c>
      <c r="O6074">
        <v>3.3180899999999999E-2</v>
      </c>
      <c r="P6074">
        <v>0.99986319999999995</v>
      </c>
      <c r="Q6074">
        <v>4.0680780000000001E-3</v>
      </c>
      <c r="R6074">
        <v>1.6037849999999999E-2</v>
      </c>
      <c r="S6074">
        <v>2.989716</v>
      </c>
      <c r="T6074">
        <v>-0.1765487</v>
      </c>
      <c r="U6074">
        <v>0.75549319999999998</v>
      </c>
      <c r="V6074">
        <v>1.7121819999999999E-2</v>
      </c>
      <c r="W6074">
        <v>1.5336219999999999E-2</v>
      </c>
      <c r="X6074">
        <v>0.99973579999999995</v>
      </c>
      <c r="Y6074">
        <v>-0.21239669999999999</v>
      </c>
      <c r="Z6074">
        <v>4.2437070000000002E-3</v>
      </c>
      <c r="AA6074">
        <v>0.97717430000000005</v>
      </c>
      <c r="AB6074">
        <v>18</v>
      </c>
      <c r="AC6074">
        <v>18.6907</v>
      </c>
      <c r="AD6074">
        <v>-1.1104345804787901</v>
      </c>
      <c r="AE6074">
        <v>4.7470100000000004</v>
      </c>
      <c r="AF6074">
        <v>-4.1105526466884799</v>
      </c>
      <c r="AG6074">
        <v>-1.1104345804787901</v>
      </c>
      <c r="AH6074">
        <v>18.7756706728008</v>
      </c>
      <c r="AI6074">
        <v>93.306522372967905</v>
      </c>
      <c r="AJ6074">
        <v>102.34891481354001</v>
      </c>
      <c r="AK6074">
        <v>19.252415880408101</v>
      </c>
      <c r="AL6074">
        <v>89.121264883152406</v>
      </c>
      <c r="AM6074">
        <v>89.018828647775607</v>
      </c>
      <c r="AN6074">
        <v>1.0000000130828199</v>
      </c>
    </row>
    <row r="6075" spans="1:40" x14ac:dyDescent="0.25">
      <c r="A6075" t="str">
        <f>"20190312160808176"</f>
        <v>20190312160808176</v>
      </c>
      <c r="B6075" t="str">
        <f>"1552378088171702"</f>
        <v>1552378088171702</v>
      </c>
      <c r="C6075" t="s">
        <v>40</v>
      </c>
      <c r="D6075">
        <v>6.0306319999999998</v>
      </c>
      <c r="E6075">
        <v>0.47642820000000002</v>
      </c>
      <c r="F6075" t="s">
        <v>47</v>
      </c>
      <c r="G6075">
        <v>-342.48790000000002</v>
      </c>
      <c r="H6075" s="1">
        <v>-3.6880889999999998E-6</v>
      </c>
      <c r="I6075">
        <v>21.431940000000001</v>
      </c>
      <c r="J6075">
        <v>-388.34449999999998</v>
      </c>
      <c r="K6075">
        <v>1.1104000000000001</v>
      </c>
      <c r="L6075">
        <v>16.712399999999999</v>
      </c>
      <c r="M6075">
        <v>0.99934069999999997</v>
      </c>
      <c r="N6075">
        <v>0</v>
      </c>
      <c r="O6075">
        <v>3.4529410000000003E-2</v>
      </c>
      <c r="P6075">
        <v>0.99983580000000005</v>
      </c>
      <c r="Q6075">
        <v>4.2795519999999998E-3</v>
      </c>
      <c r="R6075">
        <v>1.761014E-2</v>
      </c>
      <c r="S6075">
        <v>2.9957280000000002</v>
      </c>
      <c r="T6075">
        <v>-7.2301859999999996E-2</v>
      </c>
      <c r="U6075">
        <v>0.30773929999999999</v>
      </c>
      <c r="V6075">
        <v>1.6899689999999998E-2</v>
      </c>
      <c r="W6075">
        <v>1.5529309999999999E-2</v>
      </c>
      <c r="X6075">
        <v>0.99973659999999998</v>
      </c>
      <c r="Y6075">
        <v>-6.7766960000000001E-2</v>
      </c>
      <c r="Z6075" s="1">
        <v>-1.510751E-5</v>
      </c>
      <c r="AA6075">
        <v>0.99770119999999896</v>
      </c>
      <c r="AB6075">
        <v>18</v>
      </c>
      <c r="AC6075">
        <v>45.856599999999901</v>
      </c>
      <c r="AD6075">
        <v>-1.110403688089</v>
      </c>
      <c r="AE6075">
        <v>4.7195400000000003</v>
      </c>
      <c r="AF6075">
        <v>-3.1314074234396498</v>
      </c>
      <c r="AG6075">
        <v>-1.110403688089</v>
      </c>
      <c r="AH6075">
        <v>45.965555155297501</v>
      </c>
      <c r="AI6075">
        <v>91.380643312414605</v>
      </c>
      <c r="AJ6075">
        <v>93.897258287862101</v>
      </c>
      <c r="AK6075">
        <v>46.085474604660298</v>
      </c>
      <c r="AL6075">
        <v>89.110200324492098</v>
      </c>
      <c r="AM6075">
        <v>89.031556212785901</v>
      </c>
      <c r="AN6075">
        <v>1.00000001418536</v>
      </c>
    </row>
    <row r="6076" spans="1:40" x14ac:dyDescent="0.25">
      <c r="A6076" t="str">
        <f>"20190312160808189"</f>
        <v>20190312160808189</v>
      </c>
      <c r="B6076" t="str">
        <f>"1552378088181449"</f>
        <v>1552378088181449</v>
      </c>
      <c r="C6076" t="s">
        <v>40</v>
      </c>
      <c r="D6076">
        <v>5.9610099999999999</v>
      </c>
      <c r="E6076">
        <v>0.47966039999999999</v>
      </c>
      <c r="F6076" t="s">
        <v>45</v>
      </c>
      <c r="G6076">
        <v>-303.89789999999999</v>
      </c>
      <c r="H6076">
        <v>-0.05</v>
      </c>
      <c r="I6076">
        <v>23.555109999999999</v>
      </c>
      <c r="J6076">
        <v>-388.23390000000001</v>
      </c>
      <c r="K6076">
        <v>1.110376</v>
      </c>
      <c r="L6076">
        <v>16.71735</v>
      </c>
      <c r="M6076">
        <v>0.99930819999999998</v>
      </c>
      <c r="N6076">
        <v>0</v>
      </c>
      <c r="O6076">
        <v>3.5464530000000001E-2</v>
      </c>
      <c r="P6076">
        <v>0.99981920000000002</v>
      </c>
      <c r="Q6076">
        <v>4.2725710000000002E-3</v>
      </c>
      <c r="R6076">
        <v>1.8541309999999998E-2</v>
      </c>
      <c r="S6076">
        <v>2.9963989999999998</v>
      </c>
      <c r="T6076">
        <v>-4.1174170000000003E-2</v>
      </c>
      <c r="U6076">
        <v>0.24279790000000001</v>
      </c>
      <c r="V6076">
        <v>1.6904969999999998E-2</v>
      </c>
      <c r="W6076">
        <v>1.5506900000000001E-2</v>
      </c>
      <c r="X6076">
        <v>0.99973679999999998</v>
      </c>
      <c r="Y6076">
        <v>-4.5362550000000001E-2</v>
      </c>
      <c r="Z6076">
        <v>-1.751415E-4</v>
      </c>
      <c r="AA6076">
        <v>0.99897060000000004</v>
      </c>
      <c r="AB6076">
        <v>18</v>
      </c>
      <c r="AC6076">
        <v>84.335999999999999</v>
      </c>
      <c r="AD6076">
        <v>-1.1603760000000001</v>
      </c>
      <c r="AE6076">
        <v>6.8377599999999896</v>
      </c>
      <c r="AF6076">
        <v>-3.8416114328400899</v>
      </c>
      <c r="AG6076">
        <v>-1.1603760000000001</v>
      </c>
      <c r="AH6076">
        <v>84.509559778807997</v>
      </c>
      <c r="AI6076">
        <v>90.785850702021605</v>
      </c>
      <c r="AJ6076">
        <v>92.602743395542007</v>
      </c>
      <c r="AK6076">
        <v>84.604787954761903</v>
      </c>
      <c r="AL6076">
        <v>89.111484425477798</v>
      </c>
      <c r="AM6076">
        <v>89.031253891598794</v>
      </c>
      <c r="AN6076">
        <v>0.99999995561627397</v>
      </c>
    </row>
    <row r="6077" spans="1:40" x14ac:dyDescent="0.25">
      <c r="A6077" t="str">
        <f>"20190312160808201"</f>
        <v>20190312160808201</v>
      </c>
      <c r="B6077" t="str">
        <f>"1552378088191208"</f>
        <v>1552378088191208</v>
      </c>
      <c r="C6077" t="s">
        <v>40</v>
      </c>
      <c r="D6077">
        <v>5.9789510000000003</v>
      </c>
      <c r="E6077">
        <v>0.48193079999999999</v>
      </c>
      <c r="F6077" t="s">
        <v>100</v>
      </c>
      <c r="G6077">
        <v>-279.68</v>
      </c>
      <c r="H6077">
        <v>-3.4792660000000003E-2</v>
      </c>
      <c r="I6077">
        <v>24.665929999999999</v>
      </c>
      <c r="J6077">
        <v>-388.13830000000002</v>
      </c>
      <c r="K6077">
        <v>1.1103529999999999</v>
      </c>
      <c r="L6077">
        <v>16.721679999999999</v>
      </c>
      <c r="M6077">
        <v>0.99927999999999995</v>
      </c>
      <c r="N6077">
        <v>0</v>
      </c>
      <c r="O6077">
        <v>3.6251619999999998E-2</v>
      </c>
      <c r="P6077">
        <v>0.99980279999999999</v>
      </c>
      <c r="Q6077">
        <v>4.3819660000000002E-3</v>
      </c>
      <c r="R6077">
        <v>1.9372739999999999E-2</v>
      </c>
      <c r="S6077">
        <v>2.9966430000000002</v>
      </c>
      <c r="T6077">
        <v>-3.1612399999999999E-2</v>
      </c>
      <c r="U6077">
        <v>0.21942139999999999</v>
      </c>
      <c r="V6077">
        <v>1.686172E-2</v>
      </c>
      <c r="W6077">
        <v>1.560226E-2</v>
      </c>
      <c r="X6077">
        <v>0.99973610000000002</v>
      </c>
      <c r="Y6077">
        <v>-3.6821760000000002E-2</v>
      </c>
      <c r="Z6077">
        <v>-1.877847E-4</v>
      </c>
      <c r="AA6077">
        <v>0.99932180000000004</v>
      </c>
      <c r="AB6077">
        <v>18</v>
      </c>
      <c r="AC6077">
        <v>108.45829999999999</v>
      </c>
      <c r="AD6077">
        <v>-1.1451456600000001</v>
      </c>
      <c r="AE6077">
        <v>7.9442500000000003</v>
      </c>
      <c r="AF6077">
        <v>-4.00654784647549</v>
      </c>
      <c r="AG6077">
        <v>-1.1451456600000001</v>
      </c>
      <c r="AH6077">
        <v>108.662961676488</v>
      </c>
      <c r="AI6077">
        <v>90.603379792002798</v>
      </c>
      <c r="AJ6077">
        <v>92.111614992631502</v>
      </c>
      <c r="AK6077">
        <v>108.742829761481</v>
      </c>
      <c r="AL6077">
        <v>89.106020086239695</v>
      </c>
      <c r="AM6077">
        <v>89.033731203301002</v>
      </c>
      <c r="AN6077">
        <v>1.0000000088808301</v>
      </c>
    </row>
    <row r="6078" spans="1:40" x14ac:dyDescent="0.25">
      <c r="A6078" t="str">
        <f>"20190312160808213"</f>
        <v>20190312160808213</v>
      </c>
      <c r="B6078" t="str">
        <f>"1552378088201943"</f>
        <v>1552378088201943</v>
      </c>
      <c r="C6078" t="s">
        <v>40</v>
      </c>
      <c r="D6078">
        <v>6.0290460000000001</v>
      </c>
      <c r="E6078">
        <v>0.48358509999999999</v>
      </c>
      <c r="F6078" t="s">
        <v>100</v>
      </c>
      <c r="G6078">
        <v>-279.68</v>
      </c>
      <c r="H6078">
        <v>0.28110859999999999</v>
      </c>
      <c r="I6078">
        <v>24.087499999999999</v>
      </c>
      <c r="J6078">
        <v>-388.04039999999998</v>
      </c>
      <c r="K6078">
        <v>1.1103259999999999</v>
      </c>
      <c r="L6078">
        <v>16.72617</v>
      </c>
      <c r="M6078">
        <v>0.99925120000000001</v>
      </c>
      <c r="N6078">
        <v>0</v>
      </c>
      <c r="O6078">
        <v>3.7043769999999997E-2</v>
      </c>
      <c r="P6078">
        <v>0.99978920000000004</v>
      </c>
      <c r="Q6078">
        <v>4.5029570000000001E-3</v>
      </c>
      <c r="R6078">
        <v>2.0041989999999999E-2</v>
      </c>
      <c r="S6078">
        <v>2.9967649999999999</v>
      </c>
      <c r="T6078">
        <v>-2.291238E-2</v>
      </c>
      <c r="U6078">
        <v>0.2035217</v>
      </c>
      <c r="V6078">
        <v>1.6985799999999999E-2</v>
      </c>
      <c r="W6078">
        <v>1.5708110000000001E-2</v>
      </c>
      <c r="X6078">
        <v>0.99973230000000002</v>
      </c>
      <c r="Y6078">
        <v>-3.0750449999999999E-2</v>
      </c>
      <c r="Z6078">
        <v>-1.6535860000000001E-4</v>
      </c>
      <c r="AA6078">
        <v>0.9995271</v>
      </c>
      <c r="AB6078">
        <v>18</v>
      </c>
      <c r="AC6078">
        <v>108.360399999999</v>
      </c>
      <c r="AD6078">
        <v>-0.82921739999999899</v>
      </c>
      <c r="AE6078">
        <v>7.3613299999999899</v>
      </c>
      <c r="AF6078">
        <v>-3.3417538511358802</v>
      </c>
      <c r="AG6078">
        <v>-0.82921739999999899</v>
      </c>
      <c r="AH6078">
        <v>108.55239779003701</v>
      </c>
      <c r="AI6078">
        <v>90.437459131416205</v>
      </c>
      <c r="AJ6078">
        <v>91.763276955235597</v>
      </c>
      <c r="AK6078">
        <v>108.60698866216801</v>
      </c>
      <c r="AL6078">
        <v>89.099954546907895</v>
      </c>
      <c r="AM6078">
        <v>89.026618404462795</v>
      </c>
      <c r="AN6078">
        <v>0.99999996689235005</v>
      </c>
    </row>
    <row r="6079" spans="1:40" x14ac:dyDescent="0.25">
      <c r="A6079" t="str">
        <f>"20190312160808232"</f>
        <v>20190312160808232</v>
      </c>
      <c r="B6079" t="str">
        <f>"1552378088221463"</f>
        <v>1552378088221463</v>
      </c>
      <c r="C6079" t="s">
        <v>40</v>
      </c>
      <c r="D6079">
        <v>6.1838069999999998</v>
      </c>
      <c r="E6079">
        <v>0.48599619999999999</v>
      </c>
      <c r="F6079" t="s">
        <v>100</v>
      </c>
      <c r="G6079">
        <v>-279.68</v>
      </c>
      <c r="H6079">
        <v>0.56489679999999998</v>
      </c>
      <c r="I6079">
        <v>23.670210000000001</v>
      </c>
      <c r="J6079">
        <v>-387.88659999999999</v>
      </c>
      <c r="K6079">
        <v>1.1102810000000001</v>
      </c>
      <c r="L6079">
        <v>16.733309999999999</v>
      </c>
      <c r="M6079">
        <v>0.99920710000000001</v>
      </c>
      <c r="N6079">
        <v>0</v>
      </c>
      <c r="O6079">
        <v>3.8219719999999999E-2</v>
      </c>
      <c r="P6079">
        <v>0.99977680000000002</v>
      </c>
      <c r="Q6079">
        <v>4.0988200000000004E-3</v>
      </c>
      <c r="R6079">
        <v>2.0725339999999998E-2</v>
      </c>
      <c r="S6079">
        <v>2.9968569999999999</v>
      </c>
      <c r="T6079">
        <v>-1.5084510000000001E-2</v>
      </c>
      <c r="U6079">
        <v>0.1920471</v>
      </c>
      <c r="V6079">
        <v>1.7481449999999999E-2</v>
      </c>
      <c r="W6079">
        <v>1.527805E-2</v>
      </c>
      <c r="X6079">
        <v>0.99973049999999997</v>
      </c>
      <c r="Y6079">
        <v>-2.5761240000000001E-2</v>
      </c>
      <c r="Z6079">
        <v>-1.2732950000000001E-4</v>
      </c>
      <c r="AA6079">
        <v>0.99966809999999995</v>
      </c>
      <c r="AB6079">
        <v>18</v>
      </c>
      <c r="AC6079">
        <v>108.206599999999</v>
      </c>
      <c r="AD6079">
        <v>-0.54538419999999899</v>
      </c>
      <c r="AE6079">
        <v>6.9368999999999996</v>
      </c>
      <c r="AF6079">
        <v>-2.7958769901718199</v>
      </c>
      <c r="AG6079">
        <v>-0.54538419999999899</v>
      </c>
      <c r="AH6079">
        <v>108.389930675084</v>
      </c>
      <c r="AI6079">
        <v>90.288196133394493</v>
      </c>
      <c r="AJ6079">
        <v>91.477595162095298</v>
      </c>
      <c r="AK6079">
        <v>108.42735560650399</v>
      </c>
      <c r="AL6079">
        <v>89.124598198187499</v>
      </c>
      <c r="AM6079">
        <v>88.998218782859396</v>
      </c>
      <c r="AN6079">
        <v>1.00000004626807</v>
      </c>
    </row>
    <row r="6080" spans="1:40" x14ac:dyDescent="0.25">
      <c r="A6080" t="str">
        <f>"20190312160808244"</f>
        <v>20190312160808244</v>
      </c>
      <c r="B6080" t="str">
        <f>"1552378088241960"</f>
        <v>1552378088241960</v>
      </c>
      <c r="C6080" t="s">
        <v>40</v>
      </c>
      <c r="D6080">
        <v>6.1820969999999997</v>
      </c>
      <c r="E6080">
        <v>0.48779689999999998</v>
      </c>
      <c r="F6080" t="s">
        <v>100</v>
      </c>
      <c r="G6080">
        <v>-279.68</v>
      </c>
      <c r="H6080">
        <v>0.80523089999999997</v>
      </c>
      <c r="I6080">
        <v>23.038969999999999</v>
      </c>
      <c r="J6080">
        <v>-387.78460000000001</v>
      </c>
      <c r="K6080">
        <v>1.1102459999999901</v>
      </c>
      <c r="L6080">
        <v>16.73807</v>
      </c>
      <c r="M6080">
        <v>0.99917920000000005</v>
      </c>
      <c r="N6080">
        <v>0</v>
      </c>
      <c r="O6080">
        <v>3.8951899999999998E-2</v>
      </c>
      <c r="P6080">
        <v>0.99977079999999996</v>
      </c>
      <c r="Q6080">
        <v>4.1423199999999997E-3</v>
      </c>
      <c r="R6080">
        <v>2.1009969999999999E-2</v>
      </c>
      <c r="S6080">
        <v>2.9970699999999999</v>
      </c>
      <c r="T6080">
        <v>-8.4490780000000005E-3</v>
      </c>
      <c r="U6080">
        <v>0.1746521</v>
      </c>
      <c r="V6080">
        <v>1.7930399999999999E-2</v>
      </c>
      <c r="W6080">
        <v>1.530284E-2</v>
      </c>
      <c r="X6080">
        <v>0.99972209999999995</v>
      </c>
      <c r="Y6080">
        <v>-1.924317E-2</v>
      </c>
      <c r="Z6080" s="1">
        <v>-8.2570099999999997E-5</v>
      </c>
      <c r="AA6080">
        <v>0.9998148</v>
      </c>
      <c r="AB6080">
        <v>18</v>
      </c>
      <c r="AC6080">
        <v>108.1046</v>
      </c>
      <c r="AD6080">
        <v>-0.30501509999999898</v>
      </c>
      <c r="AE6080">
        <v>6.3009000000000004</v>
      </c>
      <c r="AF6080">
        <v>-2.0849610454627601</v>
      </c>
      <c r="AG6080">
        <v>-0.30501509999999898</v>
      </c>
      <c r="AH6080">
        <v>108.267136071851</v>
      </c>
      <c r="AI6080">
        <v>90.161385926603799</v>
      </c>
      <c r="AJ6080">
        <v>91.103240638342498</v>
      </c>
      <c r="AK6080">
        <v>108.28763941453801</v>
      </c>
      <c r="AL6080">
        <v>89.123177608800901</v>
      </c>
      <c r="AM6080">
        <v>88.972488345432495</v>
      </c>
      <c r="AN6080">
        <v>0.99999997669231699</v>
      </c>
    </row>
    <row r="6081" spans="1:40" x14ac:dyDescent="0.25">
      <c r="A6081" t="str">
        <f>"20190312160808257"</f>
        <v>20190312160808257</v>
      </c>
      <c r="B6081" t="str">
        <f>"1552378088251328"</f>
        <v>1552378088251328</v>
      </c>
      <c r="C6081" t="s">
        <v>40</v>
      </c>
      <c r="D6081">
        <v>6.0588419999999896</v>
      </c>
      <c r="E6081">
        <v>0.48860009999999998</v>
      </c>
      <c r="F6081" t="s">
        <v>100</v>
      </c>
      <c r="G6081">
        <v>-279.68</v>
      </c>
      <c r="H6081">
        <v>1.0881780000000001</v>
      </c>
      <c r="I6081">
        <v>22.53866</v>
      </c>
      <c r="J6081">
        <v>-387.68369999999999</v>
      </c>
      <c r="K6081">
        <v>1.1102069999999999</v>
      </c>
      <c r="L6081">
        <v>16.74286</v>
      </c>
      <c r="M6081">
        <v>0.99915160000000003</v>
      </c>
      <c r="N6081">
        <v>0</v>
      </c>
      <c r="O6081">
        <v>3.9654149999999999E-2</v>
      </c>
      <c r="P6081">
        <v>0.99976220000000005</v>
      </c>
      <c r="Q6081">
        <v>4.0447089999999996E-3</v>
      </c>
      <c r="R6081">
        <v>2.1433830000000001E-2</v>
      </c>
      <c r="S6081">
        <v>2.9973139999999998</v>
      </c>
      <c r="T6081">
        <v>-6.1178209999999998E-4</v>
      </c>
      <c r="U6081">
        <v>0.16082759999999999</v>
      </c>
      <c r="V6081">
        <v>1.8210730000000001E-2</v>
      </c>
      <c r="W6081">
        <v>1.518603E-2</v>
      </c>
      <c r="X6081">
        <v>0.99971880000000002</v>
      </c>
      <c r="Y6081">
        <v>-1.393839E-2</v>
      </c>
      <c r="Z6081" s="1">
        <v>-6.6632930000000002E-6</v>
      </c>
      <c r="AA6081">
        <v>0.99990279999999998</v>
      </c>
      <c r="AB6081">
        <v>18</v>
      </c>
      <c r="AC6081">
        <v>108.003699999999</v>
      </c>
      <c r="AD6081">
        <v>-2.2028999999999799E-2</v>
      </c>
      <c r="AE6081">
        <v>5.7957999999999998</v>
      </c>
      <c r="AF6081">
        <v>-1.5081810904098301</v>
      </c>
      <c r="AG6081">
        <v>-2.2028999999999799E-2</v>
      </c>
      <c r="AH6081">
        <v>108.148578033069</v>
      </c>
      <c r="AI6081">
        <v>90.011669557008602</v>
      </c>
      <c r="AJ6081">
        <v>90.798963904492297</v>
      </c>
      <c r="AK6081">
        <v>108.159095900683</v>
      </c>
      <c r="AL6081">
        <v>89.129871094537606</v>
      </c>
      <c r="AM6081">
        <v>88.956423958417801</v>
      </c>
      <c r="AN6081">
        <v>0.99999996263386604</v>
      </c>
    </row>
    <row r="6082" spans="1:40" x14ac:dyDescent="0.25">
      <c r="A6082" t="str">
        <f>"20190312160808277"</f>
        <v>20190312160808277</v>
      </c>
      <c r="B6082" t="str">
        <f>"1552378088271824"</f>
        <v>1552378088271824</v>
      </c>
      <c r="C6082" t="s">
        <v>40</v>
      </c>
      <c r="D6082">
        <v>6.1178780000000001</v>
      </c>
      <c r="E6082">
        <v>0.4899733</v>
      </c>
      <c r="F6082" t="s">
        <v>100</v>
      </c>
      <c r="G6082">
        <v>-279.68</v>
      </c>
      <c r="H6082">
        <v>1.163524</v>
      </c>
      <c r="I6082">
        <v>22.349879999999999</v>
      </c>
      <c r="J6082">
        <v>-387.51420000000002</v>
      </c>
      <c r="K6082">
        <v>1.1101460000000001</v>
      </c>
      <c r="L6082">
        <v>16.75095</v>
      </c>
      <c r="M6082">
        <v>0.999108</v>
      </c>
      <c r="N6082">
        <v>0</v>
      </c>
      <c r="O6082">
        <v>4.0747360000000003E-2</v>
      </c>
      <c r="P6082">
        <v>0.99973979999999996</v>
      </c>
      <c r="Q6082">
        <v>4.6861740000000004E-3</v>
      </c>
      <c r="R6082">
        <v>2.2330900000000001E-2</v>
      </c>
      <c r="S6082">
        <v>2.9973749999999999</v>
      </c>
      <c r="T6082">
        <v>1.479745E-3</v>
      </c>
      <c r="U6082">
        <v>0.1556091</v>
      </c>
      <c r="V6082">
        <v>1.8408649999999999E-2</v>
      </c>
      <c r="W6082">
        <v>1.5791059999999999E-2</v>
      </c>
      <c r="X6082">
        <v>0.99970590000000004</v>
      </c>
      <c r="Y6082">
        <v>-1.1107199999999999E-2</v>
      </c>
      <c r="Z6082" s="1">
        <v>1.7354519999999999E-5</v>
      </c>
      <c r="AA6082">
        <v>0.99993829999999995</v>
      </c>
      <c r="AB6082">
        <v>18</v>
      </c>
      <c r="AC6082">
        <v>107.8342</v>
      </c>
      <c r="AD6082">
        <v>5.3378000000000099E-2</v>
      </c>
      <c r="AE6082">
        <v>5.5989299999999904</v>
      </c>
      <c r="AF6082">
        <v>-1.20005021303573</v>
      </c>
      <c r="AG6082">
        <v>5.3378000000000099E-2</v>
      </c>
      <c r="AH6082">
        <v>107.97275993439899</v>
      </c>
      <c r="AI6082">
        <v>89.971676698901007</v>
      </c>
      <c r="AJ6082">
        <v>90.636780808954896</v>
      </c>
      <c r="AK6082">
        <v>107.97944182841501</v>
      </c>
      <c r="AL6082">
        <v>89.095201357644697</v>
      </c>
      <c r="AM6082">
        <v>88.945070982340098</v>
      </c>
      <c r="AN6082">
        <v>1.00000006123277</v>
      </c>
    </row>
    <row r="6083" spans="1:40" x14ac:dyDescent="0.25">
      <c r="A6083" t="str">
        <f>"20190312160808289"</f>
        <v>20190312160808289</v>
      </c>
      <c r="B6083" t="str">
        <f>"1552378088281584"</f>
        <v>1552378088281584</v>
      </c>
      <c r="C6083" t="s">
        <v>40</v>
      </c>
      <c r="D6083">
        <v>6.068543</v>
      </c>
      <c r="E6083">
        <v>0.49051479999999997</v>
      </c>
      <c r="F6083" t="s">
        <v>101</v>
      </c>
      <c r="G6083">
        <v>-273.40989999999999</v>
      </c>
      <c r="H6083">
        <v>1.400466</v>
      </c>
      <c r="I6083">
        <v>22.353870000000001</v>
      </c>
      <c r="J6083">
        <v>-387.41219999999998</v>
      </c>
      <c r="K6083">
        <v>1.110106</v>
      </c>
      <c r="L6083">
        <v>16.75583</v>
      </c>
      <c r="M6083">
        <v>0.99908300000000005</v>
      </c>
      <c r="N6083">
        <v>0</v>
      </c>
      <c r="O6083">
        <v>4.1361809999999999E-2</v>
      </c>
      <c r="P6083">
        <v>0.99972709999999998</v>
      </c>
      <c r="Q6083">
        <v>4.7697659999999999E-3</v>
      </c>
      <c r="R6083">
        <v>2.2873270000000001E-2</v>
      </c>
      <c r="S6083">
        <v>2.9974669999999999</v>
      </c>
      <c r="T6083">
        <v>7.6266529999999997E-3</v>
      </c>
      <c r="U6083">
        <v>0.14718629999999999</v>
      </c>
      <c r="V6083">
        <v>1.848234E-2</v>
      </c>
      <c r="W6083">
        <v>1.5851609999999999E-2</v>
      </c>
      <c r="X6083">
        <v>0.99970349999999997</v>
      </c>
      <c r="Y6083">
        <v>-7.6880309999999997E-3</v>
      </c>
      <c r="Z6083" s="1">
        <v>9.5358629999999994E-5</v>
      </c>
      <c r="AA6083">
        <v>0.99997040000000004</v>
      </c>
      <c r="AB6083">
        <v>18</v>
      </c>
      <c r="AC6083">
        <v>114.00230000000001</v>
      </c>
      <c r="AD6083">
        <v>0.29035999999999901</v>
      </c>
      <c r="AE6083">
        <v>5.5980400000000001</v>
      </c>
      <c r="AF6083">
        <v>-0.87761314001037405</v>
      </c>
      <c r="AG6083">
        <v>0.29035999999999901</v>
      </c>
      <c r="AH6083">
        <v>114.13554939669601</v>
      </c>
      <c r="AI6083">
        <v>89.854244580616495</v>
      </c>
      <c r="AJ6083">
        <v>90.440551066514203</v>
      </c>
      <c r="AK6083">
        <v>114.13929275161399</v>
      </c>
      <c r="AL6083">
        <v>89.091731589582807</v>
      </c>
      <c r="AM6083">
        <v>88.940846509419501</v>
      </c>
      <c r="AN6083">
        <v>0.99999997917185801</v>
      </c>
    </row>
    <row r="6084" spans="1:40" x14ac:dyDescent="0.25">
      <c r="A6084" t="str">
        <f>"20190312160808302"</f>
        <v>20190312160808302</v>
      </c>
      <c r="B6084" t="str">
        <f>"1552378088291343"</f>
        <v>1552378088291343</v>
      </c>
      <c r="C6084" t="s">
        <v>40</v>
      </c>
      <c r="D6084">
        <v>6.0849690000000001</v>
      </c>
      <c r="E6084">
        <v>0.49084090000000002</v>
      </c>
      <c r="F6084" t="s">
        <v>101</v>
      </c>
      <c r="G6084">
        <v>-273.40989999999999</v>
      </c>
      <c r="H6084">
        <v>1.4730749999999999</v>
      </c>
      <c r="I6084">
        <v>22.24934</v>
      </c>
      <c r="J6084">
        <v>-387.31560000000002</v>
      </c>
      <c r="K6084">
        <v>1.1100760000000001</v>
      </c>
      <c r="L6084">
        <v>16.7605</v>
      </c>
      <c r="M6084">
        <v>0.99906019999999895</v>
      </c>
      <c r="N6084">
        <v>0</v>
      </c>
      <c r="O6084">
        <v>4.1914260000000002E-2</v>
      </c>
      <c r="P6084">
        <v>0.99971710000000003</v>
      </c>
      <c r="Q6084">
        <v>4.6608459999999997E-3</v>
      </c>
      <c r="R6084">
        <v>2.3325800000000001E-2</v>
      </c>
      <c r="S6084">
        <v>2.9974370000000001</v>
      </c>
      <c r="T6084">
        <v>9.5435380000000007E-3</v>
      </c>
      <c r="U6084">
        <v>0.1444397</v>
      </c>
      <c r="V6084">
        <v>1.8584059999999999E-2</v>
      </c>
      <c r="W6084">
        <v>1.5721450000000001E-2</v>
      </c>
      <c r="X6084">
        <v>0.99970369999999997</v>
      </c>
      <c r="Y6084">
        <v>-6.2215409999999997E-3</v>
      </c>
      <c r="Z6084">
        <v>1.2341969999999999E-4</v>
      </c>
      <c r="AA6084">
        <v>0.9999806</v>
      </c>
      <c r="AB6084">
        <v>18</v>
      </c>
      <c r="AC6084">
        <v>113.9057</v>
      </c>
      <c r="AD6084">
        <v>0.36299899999999902</v>
      </c>
      <c r="AE6084">
        <v>5.4888399999999997</v>
      </c>
      <c r="AF6084">
        <v>-0.70944452101393896</v>
      </c>
      <c r="AG6084">
        <v>0.36299899999999902</v>
      </c>
      <c r="AH6084">
        <v>114.034507991943</v>
      </c>
      <c r="AI6084">
        <v>89.817618032441501</v>
      </c>
      <c r="AJ6084">
        <v>90.356450456575402</v>
      </c>
      <c r="AK6084">
        <v>114.037292552773</v>
      </c>
      <c r="AL6084">
        <v>89.099190165205698</v>
      </c>
      <c r="AM6084">
        <v>88.9350188701261</v>
      </c>
      <c r="AN6084">
        <v>1.00000000953493</v>
      </c>
    </row>
    <row r="6085" spans="1:40" x14ac:dyDescent="0.25">
      <c r="A6085" t="str">
        <f>"20190312160808323"</f>
        <v>20190312160808323</v>
      </c>
      <c r="B6085" t="str">
        <f>"1552378088311839"</f>
        <v>1552378088311839</v>
      </c>
      <c r="C6085" t="s">
        <v>40</v>
      </c>
      <c r="D6085">
        <v>6.4630929999999998</v>
      </c>
      <c r="E6085">
        <v>0.49163129999999999</v>
      </c>
      <c r="F6085" t="s">
        <v>101</v>
      </c>
      <c r="G6085">
        <v>-273.40989999999999</v>
      </c>
      <c r="H6085">
        <v>1.4987269999999999</v>
      </c>
      <c r="I6085">
        <v>22.20065</v>
      </c>
      <c r="J6085">
        <v>-387.14339999999999</v>
      </c>
      <c r="K6085">
        <v>1.110017</v>
      </c>
      <c r="L6085">
        <v>16.76886</v>
      </c>
      <c r="M6085">
        <v>0.99902159999999995</v>
      </c>
      <c r="N6085">
        <v>0</v>
      </c>
      <c r="O6085">
        <v>4.2833700000000002E-2</v>
      </c>
      <c r="P6085">
        <v>0.99970979999999998</v>
      </c>
      <c r="Q6085">
        <v>5.0852579999999996E-3</v>
      </c>
      <c r="R6085">
        <v>2.355318E-2</v>
      </c>
      <c r="S6085">
        <v>2.9974370000000001</v>
      </c>
      <c r="T6085">
        <v>1.0227440000000001E-2</v>
      </c>
      <c r="U6085">
        <v>0.14315799999999901</v>
      </c>
      <c r="V6085">
        <v>1.9278030000000002E-2</v>
      </c>
      <c r="W6085">
        <v>1.610955E-2</v>
      </c>
      <c r="X6085">
        <v>0.99968440000000003</v>
      </c>
      <c r="Y6085">
        <v>-4.8746620000000001E-3</v>
      </c>
      <c r="Z6085">
        <v>1.37694E-4</v>
      </c>
      <c r="AA6085">
        <v>0.99998810000000005</v>
      </c>
      <c r="AB6085">
        <v>18</v>
      </c>
      <c r="AC6085">
        <v>113.73350000000001</v>
      </c>
      <c r="AD6085">
        <v>0.38871</v>
      </c>
      <c r="AE6085">
        <v>5.4317900000000003</v>
      </c>
      <c r="AF6085">
        <v>-0.55487605487420499</v>
      </c>
      <c r="AG6085">
        <v>0.38871</v>
      </c>
      <c r="AH6085">
        <v>113.860455346763</v>
      </c>
      <c r="AI6085">
        <v>89.804400119346596</v>
      </c>
      <c r="AJ6085">
        <v>90.279217260522501</v>
      </c>
      <c r="AK6085">
        <v>113.862470879006</v>
      </c>
      <c r="AL6085">
        <v>89.076950875155404</v>
      </c>
      <c r="AM6085">
        <v>88.895238469324198</v>
      </c>
      <c r="AN6085">
        <v>1.0000000298226199</v>
      </c>
    </row>
    <row r="6086" spans="1:40" x14ac:dyDescent="0.25">
      <c r="A6086" t="str">
        <f>"20190312160808336"</f>
        <v>20190312160808336</v>
      </c>
      <c r="B6086" t="str">
        <f>"1552378088331360"</f>
        <v>1552378088331360</v>
      </c>
      <c r="C6086" t="s">
        <v>40</v>
      </c>
      <c r="D6086">
        <v>6.1357140000000001</v>
      </c>
      <c r="E6086">
        <v>0.49224180000000001</v>
      </c>
      <c r="F6086" t="s">
        <v>101</v>
      </c>
      <c r="G6086">
        <v>-273.40989999999999</v>
      </c>
      <c r="H6086">
        <v>1.6038490000000001</v>
      </c>
      <c r="I6086">
        <v>21.9863</v>
      </c>
      <c r="J6086">
        <v>-387.03269999999998</v>
      </c>
      <c r="K6086">
        <v>1.1099859999999999</v>
      </c>
      <c r="L6086">
        <v>16.774260000000002</v>
      </c>
      <c r="M6086">
        <v>0.99899830000000001</v>
      </c>
      <c r="N6086">
        <v>0</v>
      </c>
      <c r="O6086">
        <v>4.3381320000000001E-2</v>
      </c>
      <c r="P6086">
        <v>0.99970789999999998</v>
      </c>
      <c r="Q6086">
        <v>4.9821429999999996E-3</v>
      </c>
      <c r="R6086">
        <v>2.3656799999999999E-2</v>
      </c>
      <c r="S6086">
        <v>2.9975890000000001</v>
      </c>
      <c r="T6086">
        <v>1.301563E-2</v>
      </c>
      <c r="U6086">
        <v>0.1375122</v>
      </c>
      <c r="V6086">
        <v>1.9723919999999999E-2</v>
      </c>
      <c r="W6086">
        <v>1.598225E-2</v>
      </c>
      <c r="X6086">
        <v>0.9996777</v>
      </c>
      <c r="Y6086">
        <v>-2.4449580000000001E-3</v>
      </c>
      <c r="Z6086">
        <v>1.8287819999999999E-4</v>
      </c>
      <c r="AA6086">
        <v>0.99999700000000002</v>
      </c>
      <c r="AB6086">
        <v>18</v>
      </c>
      <c r="AC6086">
        <v>113.622799999999</v>
      </c>
      <c r="AD6086">
        <v>0.493863</v>
      </c>
      <c r="AE6086">
        <v>5.2120399999999902</v>
      </c>
      <c r="AF6086">
        <v>-0.27772354543569999</v>
      </c>
      <c r="AG6086">
        <v>0.493863</v>
      </c>
      <c r="AH6086">
        <v>113.73979568692</v>
      </c>
      <c r="AI6086">
        <v>89.751221608834001</v>
      </c>
      <c r="AJ6086">
        <v>90.139901388999704</v>
      </c>
      <c r="AK6086">
        <v>113.741206930175</v>
      </c>
      <c r="AL6086">
        <v>89.084245525410097</v>
      </c>
      <c r="AM6086">
        <v>88.869684936668094</v>
      </c>
      <c r="AN6086">
        <v>0.99999998460625905</v>
      </c>
    </row>
    <row r="6087" spans="1:40" x14ac:dyDescent="0.25">
      <c r="A6087" t="str">
        <f>"20190312160808356"</f>
        <v>20190312160808356</v>
      </c>
      <c r="B6087" t="str">
        <f>"1552378088351836"</f>
        <v>1552378088351836</v>
      </c>
      <c r="C6087" t="s">
        <v>40</v>
      </c>
      <c r="D6087">
        <v>6.0880519999999896</v>
      </c>
      <c r="E6087">
        <v>0.49244729999999998</v>
      </c>
      <c r="F6087" t="s">
        <v>101</v>
      </c>
      <c r="G6087">
        <v>-273.40989999999999</v>
      </c>
      <c r="H6087">
        <v>1.7081770000000001</v>
      </c>
      <c r="I6087">
        <v>21.809480000000001</v>
      </c>
      <c r="J6087">
        <v>-386.86919999999998</v>
      </c>
      <c r="K6087">
        <v>1.1099460000000001</v>
      </c>
      <c r="L6087">
        <v>16.782319999999999</v>
      </c>
      <c r="M6087">
        <v>0.99896660000000004</v>
      </c>
      <c r="N6087">
        <v>0</v>
      </c>
      <c r="O6087">
        <v>4.4112430000000001E-2</v>
      </c>
      <c r="P6087">
        <v>0.99970760000000003</v>
      </c>
      <c r="Q6087">
        <v>5.4475569999999996E-3</v>
      </c>
      <c r="R6087">
        <v>2.3562570000000001E-2</v>
      </c>
      <c r="S6087">
        <v>2.997681</v>
      </c>
      <c r="T6087">
        <v>1.5782000000000001E-2</v>
      </c>
      <c r="U6087">
        <v>0.13284299999999999</v>
      </c>
      <c r="V6087">
        <v>2.0550809999999999E-2</v>
      </c>
      <c r="W6087">
        <v>1.6409920000000001E-2</v>
      </c>
      <c r="X6087">
        <v>0.99965409999999999</v>
      </c>
      <c r="Y6087">
        <v>-1.575077E-4</v>
      </c>
      <c r="Z6087">
        <v>2.3161110000000001E-4</v>
      </c>
      <c r="AA6087">
        <v>0.99999990000000005</v>
      </c>
      <c r="AB6087">
        <v>18</v>
      </c>
      <c r="AC6087">
        <v>113.459299999999</v>
      </c>
      <c r="AD6087">
        <v>0.59823099999999996</v>
      </c>
      <c r="AE6087">
        <v>5.0271599999999896</v>
      </c>
      <c r="AF6087">
        <v>-1.70000506470868E-2</v>
      </c>
      <c r="AG6087">
        <v>0.59823099999999996</v>
      </c>
      <c r="AH6087">
        <v>113.56746485804599</v>
      </c>
      <c r="AI6087">
        <v>89.698190022044798</v>
      </c>
      <c r="AJ6087">
        <v>90.008576674204406</v>
      </c>
      <c r="AK6087">
        <v>113.569041748245</v>
      </c>
      <c r="AL6087">
        <v>89.059738611063494</v>
      </c>
      <c r="AM6087">
        <v>88.822283785303995</v>
      </c>
      <c r="AN6087">
        <v>0.99999997045643496</v>
      </c>
    </row>
    <row r="6088" spans="1:40" x14ac:dyDescent="0.25">
      <c r="A6088" t="str">
        <f>"20190312160808378"</f>
        <v>20190312160808378</v>
      </c>
      <c r="B6088" t="str">
        <f>"1552378088371356"</f>
        <v>1552378088371356</v>
      </c>
      <c r="C6088" t="s">
        <v>40</v>
      </c>
      <c r="D6088">
        <v>6.1424820000000002</v>
      </c>
      <c r="E6088">
        <v>0.4928961</v>
      </c>
      <c r="F6088" t="s">
        <v>101</v>
      </c>
      <c r="G6088">
        <v>-273.40989999999999</v>
      </c>
      <c r="H6088">
        <v>1.8272219999999999</v>
      </c>
      <c r="I6088">
        <v>21.734059999999999</v>
      </c>
      <c r="J6088">
        <v>-386.68759999999997</v>
      </c>
      <c r="K6088">
        <v>1.1098950000000001</v>
      </c>
      <c r="L6088">
        <v>16.791229999999999</v>
      </c>
      <c r="M6088">
        <v>0.99893500000000002</v>
      </c>
      <c r="N6088">
        <v>0</v>
      </c>
      <c r="O6088">
        <v>4.4833369999999997E-2</v>
      </c>
      <c r="P6088">
        <v>0.99969730000000001</v>
      </c>
      <c r="Q6088">
        <v>6.2226290000000004E-3</v>
      </c>
      <c r="R6088">
        <v>2.380664E-2</v>
      </c>
      <c r="S6088">
        <v>2.997681</v>
      </c>
      <c r="T6088">
        <v>1.8951059999999999E-2</v>
      </c>
      <c r="U6088">
        <v>0.1308289</v>
      </c>
      <c r="V6088">
        <v>2.1029409999999998E-2</v>
      </c>
      <c r="W6088">
        <v>1.7139370000000001E-2</v>
      </c>
      <c r="X6088">
        <v>0.99963190000000002</v>
      </c>
      <c r="Y6088">
        <v>1.2344649999999999E-3</v>
      </c>
      <c r="Z6088">
        <v>2.8707119999999998E-4</v>
      </c>
      <c r="AA6088">
        <v>0.99999919999999998</v>
      </c>
      <c r="AB6088">
        <v>18</v>
      </c>
      <c r="AC6088">
        <v>113.277699999999</v>
      </c>
      <c r="AD6088">
        <v>0.71732700000000005</v>
      </c>
      <c r="AE6088">
        <v>4.9428299999999998</v>
      </c>
      <c r="AF6088">
        <v>0.14105788698316299</v>
      </c>
      <c r="AG6088">
        <v>0.71732700000000005</v>
      </c>
      <c r="AH6088">
        <v>113.38086229210801</v>
      </c>
      <c r="AI6088">
        <v>89.637511757825905</v>
      </c>
      <c r="AJ6088">
        <v>89.928717975344298</v>
      </c>
      <c r="AK6088">
        <v>113.383219170451</v>
      </c>
      <c r="AL6088">
        <v>89.017938315494106</v>
      </c>
      <c r="AM6088">
        <v>88.794837640963095</v>
      </c>
      <c r="AN6088">
        <v>0.99999996479327602</v>
      </c>
    </row>
    <row r="6089" spans="1:40" x14ac:dyDescent="0.25">
      <c r="A6089" t="str">
        <f>"20190312160808390"</f>
        <v>20190312160808390</v>
      </c>
      <c r="B6089" t="str">
        <f>"1552378088382093"</f>
        <v>1552378088382093</v>
      </c>
      <c r="C6089" t="s">
        <v>40</v>
      </c>
      <c r="D6089">
        <v>6.0857519999999896</v>
      </c>
      <c r="E6089">
        <v>0.49312909999999999</v>
      </c>
      <c r="F6089" t="s">
        <v>101</v>
      </c>
      <c r="G6089">
        <v>-273.40989999999999</v>
      </c>
      <c r="H6089">
        <v>1.972877</v>
      </c>
      <c r="I6089">
        <v>21.6266</v>
      </c>
      <c r="J6089">
        <v>-386.5754</v>
      </c>
      <c r="K6089">
        <v>1.1098669999999999</v>
      </c>
      <c r="L6089">
        <v>16.796779999999998</v>
      </c>
      <c r="M6089">
        <v>0.9989169</v>
      </c>
      <c r="N6089">
        <v>0</v>
      </c>
      <c r="O6089">
        <v>4.5241589999999998E-2</v>
      </c>
      <c r="P6089">
        <v>0.9996872</v>
      </c>
      <c r="Q6089">
        <v>6.4677429999999998E-3</v>
      </c>
      <c r="R6089">
        <v>2.4158789999999999E-2</v>
      </c>
      <c r="S6089">
        <v>2.9977109999999998</v>
      </c>
      <c r="T6089">
        <v>2.283752E-2</v>
      </c>
      <c r="U6089">
        <v>0.1279602</v>
      </c>
      <c r="V6089">
        <v>2.1086770000000001E-2</v>
      </c>
      <c r="W6089">
        <v>1.7355349999999999E-2</v>
      </c>
      <c r="X6089">
        <v>0.99962700000000004</v>
      </c>
      <c r="Y6089">
        <v>2.5982620000000001E-3</v>
      </c>
      <c r="Z6089">
        <v>3.542447E-4</v>
      </c>
      <c r="AA6089">
        <v>0.99999649999999995</v>
      </c>
      <c r="AB6089">
        <v>19</v>
      </c>
      <c r="AC6089">
        <v>113.16549999999999</v>
      </c>
      <c r="AD6089">
        <v>0.86301000000000005</v>
      </c>
      <c r="AE6089">
        <v>4.8298199999999998</v>
      </c>
      <c r="AF6089">
        <v>0.29519864599429102</v>
      </c>
      <c r="AG6089">
        <v>0.86301000000000005</v>
      </c>
      <c r="AH6089">
        <v>113.261559968152</v>
      </c>
      <c r="AI6089">
        <v>89.563437887924906</v>
      </c>
      <c r="AJ6089">
        <v>89.850667797264407</v>
      </c>
      <c r="AK6089">
        <v>113.26523250724399</v>
      </c>
      <c r="AL6089">
        <v>89.005561766200501</v>
      </c>
      <c r="AM6089">
        <v>88.791545481332193</v>
      </c>
      <c r="AN6089">
        <v>0.99999999958582697</v>
      </c>
    </row>
    <row r="6090" spans="1:40" x14ac:dyDescent="0.25">
      <c r="A6090" t="str">
        <f>"20190312160808404"</f>
        <v>20190312160808404</v>
      </c>
      <c r="B6090" t="str">
        <f>"1552378088391853"</f>
        <v>1552378088391853</v>
      </c>
      <c r="C6090" t="s">
        <v>40</v>
      </c>
      <c r="D6090">
        <v>6.0823169999999998</v>
      </c>
      <c r="E6090">
        <v>0.49339759999999999</v>
      </c>
      <c r="F6090" t="s">
        <v>101</v>
      </c>
      <c r="G6090">
        <v>-273.40989999999999</v>
      </c>
      <c r="H6090">
        <v>2.0383200000000001</v>
      </c>
      <c r="I6090">
        <v>21.59515</v>
      </c>
      <c r="J6090">
        <v>-386.47160000000002</v>
      </c>
      <c r="K6090">
        <v>1.109842</v>
      </c>
      <c r="L6090">
        <v>16.801939999999998</v>
      </c>
      <c r="M6090">
        <v>0.99890140000000005</v>
      </c>
      <c r="N6090">
        <v>0</v>
      </c>
      <c r="O6090">
        <v>4.5589009999999999E-2</v>
      </c>
      <c r="P6090">
        <v>0.99968679999999999</v>
      </c>
      <c r="Q6090">
        <v>6.6889879999999999E-3</v>
      </c>
      <c r="R6090">
        <v>2.4118690000000002E-2</v>
      </c>
      <c r="S6090">
        <v>2.997681</v>
      </c>
      <c r="T6090">
        <v>2.4594189999999998E-2</v>
      </c>
      <c r="U6090">
        <v>0.12710569999999999</v>
      </c>
      <c r="V6090">
        <v>2.147516E-2</v>
      </c>
      <c r="W6090">
        <v>1.7549869999999999E-2</v>
      </c>
      <c r="X6090">
        <v>0.99961529999999998</v>
      </c>
      <c r="Y6090">
        <v>3.2298800000000001E-3</v>
      </c>
      <c r="Z6090">
        <v>3.8693449999999997E-4</v>
      </c>
      <c r="AA6090">
        <v>0.99999470000000001</v>
      </c>
      <c r="AB6090">
        <v>19</v>
      </c>
      <c r="AC6090">
        <v>113.0617</v>
      </c>
      <c r="AD6090">
        <v>0.92847800000000003</v>
      </c>
      <c r="AE6090">
        <v>4.7932100000000002</v>
      </c>
      <c r="AF6090">
        <v>0.36642367970293999</v>
      </c>
      <c r="AG6090">
        <v>0.92847800000000003</v>
      </c>
      <c r="AH6090">
        <v>113.15504687804101</v>
      </c>
      <c r="AI6090">
        <v>89.529880465042893</v>
      </c>
      <c r="AJ6090">
        <v>89.814462920074007</v>
      </c>
      <c r="AK6090">
        <v>113.159449325636</v>
      </c>
      <c r="AL6090">
        <v>88.994414857812103</v>
      </c>
      <c r="AM6090">
        <v>88.769279754621394</v>
      </c>
      <c r="AN6090">
        <v>0.99999996421406501</v>
      </c>
    </row>
    <row r="6091" spans="1:40" x14ac:dyDescent="0.25">
      <c r="A6091" t="str">
        <f>"20190312160808422"</f>
        <v>20190312160808422</v>
      </c>
      <c r="B6091" t="str">
        <f>"1552378088411374"</f>
        <v>1552378088411374</v>
      </c>
      <c r="C6091" t="s">
        <v>40</v>
      </c>
      <c r="D6091">
        <v>6.0377919999999996</v>
      </c>
      <c r="E6091">
        <v>0.49375530000000001</v>
      </c>
      <c r="F6091" t="s">
        <v>101</v>
      </c>
      <c r="G6091">
        <v>-273.40989999999999</v>
      </c>
      <c r="H6091">
        <v>2.0633300000000001</v>
      </c>
      <c r="I6091">
        <v>21.510590000000001</v>
      </c>
      <c r="J6091">
        <v>-386.3236</v>
      </c>
      <c r="K6091">
        <v>1.1098059999999901</v>
      </c>
      <c r="L6091">
        <v>16.809270000000001</v>
      </c>
      <c r="M6091">
        <v>0.99888080000000001</v>
      </c>
      <c r="N6091">
        <v>0</v>
      </c>
      <c r="O6091">
        <v>4.6046570000000002E-2</v>
      </c>
      <c r="P6091">
        <v>0.99969039999999998</v>
      </c>
      <c r="Q6091">
        <v>6.5445729999999997E-3</v>
      </c>
      <c r="R6091">
        <v>2.400542E-2</v>
      </c>
      <c r="S6091">
        <v>2.9977719999999999</v>
      </c>
      <c r="T6091">
        <v>2.5281310000000001E-2</v>
      </c>
      <c r="U6091">
        <v>0.1248474</v>
      </c>
      <c r="V6091">
        <v>2.204797E-2</v>
      </c>
      <c r="W6091">
        <v>1.7366320000000001E-2</v>
      </c>
      <c r="X6091">
        <v>0.99960610000000005</v>
      </c>
      <c r="Y6091">
        <v>4.4410710000000004E-3</v>
      </c>
      <c r="Z6091">
        <v>4.066974E-4</v>
      </c>
      <c r="AA6091">
        <v>0.99999000000000005</v>
      </c>
      <c r="AB6091">
        <v>19</v>
      </c>
      <c r="AC6091">
        <v>112.91370000000001</v>
      </c>
      <c r="AD6091">
        <v>0.95352400000000004</v>
      </c>
      <c r="AE6091">
        <v>4.7013199999999902</v>
      </c>
      <c r="AF6091">
        <v>0.50322389046854599</v>
      </c>
      <c r="AG6091">
        <v>0.95352400000000004</v>
      </c>
      <c r="AH6091">
        <v>113.002365467594</v>
      </c>
      <c r="AI6091">
        <v>89.516549389218198</v>
      </c>
      <c r="AJ6091">
        <v>89.744851230657005</v>
      </c>
      <c r="AK6091">
        <v>113.007508792886</v>
      </c>
      <c r="AL6091">
        <v>89.004933165636103</v>
      </c>
      <c r="AM6091">
        <v>88.736451456961902</v>
      </c>
      <c r="AN6091">
        <v>1.00000002860433</v>
      </c>
    </row>
    <row r="6092" spans="1:40" x14ac:dyDescent="0.25">
      <c r="A6092" t="str">
        <f>"20190312160808435"</f>
        <v>20190312160808435</v>
      </c>
      <c r="B6092" t="str">
        <f>"1552378088431869"</f>
        <v>1552378088431869</v>
      </c>
      <c r="C6092" t="s">
        <v>40</v>
      </c>
      <c r="D6092">
        <v>6.0366960000000001</v>
      </c>
      <c r="E6092">
        <v>0.49420059999999899</v>
      </c>
      <c r="F6092" t="s">
        <v>101</v>
      </c>
      <c r="G6092">
        <v>-273.40989999999999</v>
      </c>
      <c r="H6092">
        <v>2.108457</v>
      </c>
      <c r="I6092">
        <v>21.389810000000001</v>
      </c>
      <c r="J6092">
        <v>-386.21660000000003</v>
      </c>
      <c r="K6092">
        <v>1.109782</v>
      </c>
      <c r="L6092">
        <v>16.814540000000001</v>
      </c>
      <c r="M6092">
        <v>0.99886699999999995</v>
      </c>
      <c r="N6092">
        <v>0</v>
      </c>
      <c r="O6092">
        <v>4.6350410000000002E-2</v>
      </c>
      <c r="P6092">
        <v>0.999695</v>
      </c>
      <c r="Q6092">
        <v>6.4430719999999898E-3</v>
      </c>
      <c r="R6092">
        <v>2.3840139999999999E-2</v>
      </c>
      <c r="S6092">
        <v>2.997833</v>
      </c>
      <c r="T6092">
        <v>2.6514050000000001E-2</v>
      </c>
      <c r="U6092">
        <v>0.1216125</v>
      </c>
      <c r="V6092">
        <v>2.251821E-2</v>
      </c>
      <c r="W6092">
        <v>1.723616E-2</v>
      </c>
      <c r="X6092">
        <v>0.99959779999999998</v>
      </c>
      <c r="Y6092">
        <v>5.8230670000000003E-3</v>
      </c>
      <c r="Z6092">
        <v>4.353224E-4</v>
      </c>
      <c r="AA6092">
        <v>0.99998299999999996</v>
      </c>
      <c r="AB6092">
        <v>19</v>
      </c>
      <c r="AC6092">
        <v>112.80670000000001</v>
      </c>
      <c r="AD6092">
        <v>0.99867499999999998</v>
      </c>
      <c r="AE6092">
        <v>4.5752699999999997</v>
      </c>
      <c r="AF6092">
        <v>0.65853736486875403</v>
      </c>
      <c r="AG6092">
        <v>0.99867499999999998</v>
      </c>
      <c r="AH6092">
        <v>112.888690840066</v>
      </c>
      <c r="AI6092">
        <v>89.493152094711206</v>
      </c>
      <c r="AJ6092">
        <v>89.665768259082597</v>
      </c>
      <c r="AK6092">
        <v>112.89502886664501</v>
      </c>
      <c r="AL6092">
        <v>89.012391831133399</v>
      </c>
      <c r="AM6092">
        <v>88.709500748645695</v>
      </c>
      <c r="AN6092">
        <v>0.99999995837899303</v>
      </c>
    </row>
    <row r="6093" spans="1:40" x14ac:dyDescent="0.25">
      <c r="A6093" t="str">
        <f>"20190312160808447"</f>
        <v>20190312160808447</v>
      </c>
      <c r="B6093" t="str">
        <f>"1552378088441630"</f>
        <v>1552378088441630</v>
      </c>
      <c r="C6093" t="s">
        <v>40</v>
      </c>
      <c r="D6093">
        <v>5.9332409999999998</v>
      </c>
      <c r="E6093">
        <v>0.4944076</v>
      </c>
      <c r="F6093" t="s">
        <v>101</v>
      </c>
      <c r="G6093">
        <v>-273.40989999999999</v>
      </c>
      <c r="H6093">
        <v>2.149</v>
      </c>
      <c r="I6093">
        <v>21.236650000000001</v>
      </c>
      <c r="J6093">
        <v>-386.11329999999998</v>
      </c>
      <c r="K6093">
        <v>1.1097589999999999</v>
      </c>
      <c r="L6093">
        <v>16.819669999999999</v>
      </c>
      <c r="M6093">
        <v>0.99885559999999995</v>
      </c>
      <c r="N6093">
        <v>0</v>
      </c>
      <c r="O6093">
        <v>4.6604909999999999E-2</v>
      </c>
      <c r="P6093">
        <v>0.99969870000000005</v>
      </c>
      <c r="Q6093">
        <v>6.1597980000000002E-3</v>
      </c>
      <c r="R6093">
        <v>2.3766209999999999E-2</v>
      </c>
      <c r="S6093">
        <v>2.997986</v>
      </c>
      <c r="T6093">
        <v>2.7618650000000002E-2</v>
      </c>
      <c r="U6093">
        <v>0.11752319999999999</v>
      </c>
      <c r="V6093">
        <v>2.2847969999999999E-2</v>
      </c>
      <c r="W6093">
        <v>1.6924829999999998E-2</v>
      </c>
      <c r="X6093">
        <v>0.99959569999999998</v>
      </c>
      <c r="Y6093">
        <v>7.4414779999999996E-3</v>
      </c>
      <c r="Z6093">
        <v>4.6324240000000002E-4</v>
      </c>
      <c r="AA6093">
        <v>0.99997219999999998</v>
      </c>
      <c r="AB6093">
        <v>19</v>
      </c>
      <c r="AC6093">
        <v>112.7034</v>
      </c>
      <c r="AD6093">
        <v>1.0392410000000001</v>
      </c>
      <c r="AE6093">
        <v>4.4169799999999899</v>
      </c>
      <c r="AF6093">
        <v>0.84058378039298298</v>
      </c>
      <c r="AG6093">
        <v>1.0392410000000001</v>
      </c>
      <c r="AH6093">
        <v>112.77721283183401</v>
      </c>
      <c r="AI6093">
        <v>89.472049515966305</v>
      </c>
      <c r="AJ6093">
        <v>89.572954412564201</v>
      </c>
      <c r="AK6093">
        <v>112.785133493137</v>
      </c>
      <c r="AL6093">
        <v>89.030232390845498</v>
      </c>
      <c r="AM6093">
        <v>88.690606268567507</v>
      </c>
      <c r="AN6093">
        <v>1.00000002153106</v>
      </c>
    </row>
    <row r="6094" spans="1:40" x14ac:dyDescent="0.25">
      <c r="A6094" t="str">
        <f>"20190312160808467"</f>
        <v>20190312160808467</v>
      </c>
      <c r="B6094" t="str">
        <f>"1552378088461149"</f>
        <v>1552378088461149</v>
      </c>
      <c r="C6094" t="s">
        <v>40</v>
      </c>
      <c r="D6094">
        <v>5.984407</v>
      </c>
      <c r="E6094">
        <v>0.49479050000000002</v>
      </c>
      <c r="F6094" t="s">
        <v>101</v>
      </c>
      <c r="G6094">
        <v>-273.40989999999999</v>
      </c>
      <c r="H6094">
        <v>2.1359620000000001</v>
      </c>
      <c r="I6094">
        <v>21.166599999999999</v>
      </c>
      <c r="J6094">
        <v>-385.95569999999998</v>
      </c>
      <c r="K6094">
        <v>1.1097239999999999</v>
      </c>
      <c r="L6094">
        <v>16.82751</v>
      </c>
      <c r="M6094">
        <v>0.99883940000000004</v>
      </c>
      <c r="N6094">
        <v>0</v>
      </c>
      <c r="O6094">
        <v>4.6957760000000001E-2</v>
      </c>
      <c r="P6094">
        <v>0.99970329999999996</v>
      </c>
      <c r="Q6094">
        <v>6.4819739999999997E-3</v>
      </c>
      <c r="R6094">
        <v>2.3472759999999999E-2</v>
      </c>
      <c r="S6094">
        <v>2.997986</v>
      </c>
      <c r="T6094">
        <v>2.7297740000000001E-2</v>
      </c>
      <c r="U6094">
        <v>0.1156311</v>
      </c>
      <c r="V6094">
        <v>2.34959E-2</v>
      </c>
      <c r="W6094">
        <v>1.7202789999999999E-2</v>
      </c>
      <c r="X6094">
        <v>0.99957589999999996</v>
      </c>
      <c r="Y6094">
        <v>8.4248550000000002E-3</v>
      </c>
      <c r="Z6094">
        <v>4.6555000000000001E-4</v>
      </c>
      <c r="AA6094">
        <v>0.99996439999999998</v>
      </c>
      <c r="AB6094">
        <v>19</v>
      </c>
      <c r="AC6094">
        <v>112.5458</v>
      </c>
      <c r="AD6094">
        <v>1.02623799999999</v>
      </c>
      <c r="AE6094">
        <v>4.3390899999999899</v>
      </c>
      <c r="AF6094">
        <v>0.95082026791902696</v>
      </c>
      <c r="AG6094">
        <v>1.02623799999999</v>
      </c>
      <c r="AH6094">
        <v>112.61604980596201</v>
      </c>
      <c r="AI6094">
        <v>89.477912932339095</v>
      </c>
      <c r="AJ6094">
        <v>89.516261722070098</v>
      </c>
      <c r="AK6094">
        <v>112.624739278337</v>
      </c>
      <c r="AL6094">
        <v>89.014304102697494</v>
      </c>
      <c r="AM6094">
        <v>88.653460884441003</v>
      </c>
      <c r="AN6094">
        <v>0.99999998658070099</v>
      </c>
    </row>
    <row r="6095" spans="1:40" x14ac:dyDescent="0.25">
      <c r="A6095" t="str">
        <f>"20190312160808478"</f>
        <v>20190312160808478</v>
      </c>
      <c r="B6095" t="str">
        <f>"1552378088471885"</f>
        <v>1552378088471885</v>
      </c>
      <c r="C6095" t="s">
        <v>40</v>
      </c>
      <c r="D6095">
        <v>5.985563</v>
      </c>
      <c r="E6095">
        <v>0.49499579999999999</v>
      </c>
      <c r="F6095" t="s">
        <v>101</v>
      </c>
      <c r="G6095">
        <v>-273.40989999999999</v>
      </c>
      <c r="H6095">
        <v>2.2292779999999999</v>
      </c>
      <c r="I6095">
        <v>21.01925</v>
      </c>
      <c r="J6095">
        <v>-385.85789999999997</v>
      </c>
      <c r="K6095">
        <v>1.109702</v>
      </c>
      <c r="L6095">
        <v>16.832339999999999</v>
      </c>
      <c r="M6095">
        <v>0.99883049999999995</v>
      </c>
      <c r="N6095">
        <v>0</v>
      </c>
      <c r="O6095">
        <v>4.7152390000000002E-2</v>
      </c>
      <c r="P6095">
        <v>0.99970789999999998</v>
      </c>
      <c r="Q6095">
        <v>6.2645299999999999E-3</v>
      </c>
      <c r="R6095">
        <v>2.334512E-2</v>
      </c>
      <c r="S6095">
        <v>2.9981080000000002</v>
      </c>
      <c r="T6095">
        <v>2.98239E-2</v>
      </c>
      <c r="U6095">
        <v>0.11166379999999999</v>
      </c>
      <c r="V6095">
        <v>2.381904E-2</v>
      </c>
      <c r="W6095">
        <v>1.6957730000000001E-2</v>
      </c>
      <c r="X6095">
        <v>0.99957249999999997</v>
      </c>
      <c r="Y6095">
        <v>9.9420359999999996E-3</v>
      </c>
      <c r="Z6095">
        <v>5.1810249999999995E-4</v>
      </c>
      <c r="AA6095">
        <v>0.99995049999999996</v>
      </c>
      <c r="AB6095">
        <v>19</v>
      </c>
      <c r="AC6095">
        <v>112.447999999999</v>
      </c>
      <c r="AD6095">
        <v>1.1195759999999999</v>
      </c>
      <c r="AE6095">
        <v>4.1869100000000001</v>
      </c>
      <c r="AF6095">
        <v>1.12013167234928</v>
      </c>
      <c r="AG6095">
        <v>1.1195759999999999</v>
      </c>
      <c r="AH6095">
        <v>112.50920715986901</v>
      </c>
      <c r="AI6095">
        <v>89.429898356828204</v>
      </c>
      <c r="AJ6095">
        <v>89.429587154696094</v>
      </c>
      <c r="AK6095">
        <v>112.520353008358</v>
      </c>
      <c r="AL6095">
        <v>89.028347113937002</v>
      </c>
      <c r="AM6095">
        <v>88.6349441991905</v>
      </c>
      <c r="AN6095">
        <v>1.0000000470147601</v>
      </c>
    </row>
    <row r="6096" spans="1:40" x14ac:dyDescent="0.25">
      <c r="A6096" t="str">
        <f>"20190312160808490"</f>
        <v>20190312160808490</v>
      </c>
      <c r="B6096" t="str">
        <f>"1552378088481645"</f>
        <v>1552378088481645</v>
      </c>
      <c r="C6096" t="s">
        <v>40</v>
      </c>
      <c r="D6096">
        <v>6.0369010000000003</v>
      </c>
      <c r="E6096">
        <v>0.49515740000000003</v>
      </c>
      <c r="F6096" t="s">
        <v>101</v>
      </c>
      <c r="G6096">
        <v>-273.40989999999999</v>
      </c>
      <c r="H6096">
        <v>2.215687</v>
      </c>
      <c r="I6096">
        <v>20.94256</v>
      </c>
      <c r="J6096">
        <v>-385.75549999999998</v>
      </c>
      <c r="K6096">
        <v>1.109677</v>
      </c>
      <c r="L6096">
        <v>16.837429999999902</v>
      </c>
      <c r="M6096">
        <v>0.9988224</v>
      </c>
      <c r="N6096">
        <v>0</v>
      </c>
      <c r="O6096">
        <v>4.7331999999999999E-2</v>
      </c>
      <c r="P6096">
        <v>0.9997123</v>
      </c>
      <c r="Q6096">
        <v>6.0536879999999998E-3</v>
      </c>
      <c r="R6096">
        <v>2.3212779999999999E-2</v>
      </c>
      <c r="S6096">
        <v>2.998138</v>
      </c>
      <c r="T6096">
        <v>2.948833E-2</v>
      </c>
      <c r="U6096">
        <v>0.10958859999999999</v>
      </c>
      <c r="V6096">
        <v>2.413216E-2</v>
      </c>
      <c r="W6096">
        <v>1.6716959999999999E-2</v>
      </c>
      <c r="X6096">
        <v>0.99956900000000004</v>
      </c>
      <c r="Y6096">
        <v>1.0813400000000001E-2</v>
      </c>
      <c r="Z6096">
        <v>5.1832349999999996E-4</v>
      </c>
      <c r="AA6096">
        <v>0.99994139999999998</v>
      </c>
      <c r="AB6096">
        <v>19</v>
      </c>
      <c r="AC6096">
        <v>112.3456</v>
      </c>
      <c r="AD6096">
        <v>1.1060099999999999</v>
      </c>
      <c r="AE6096">
        <v>4.1051299999999999</v>
      </c>
      <c r="AF6096">
        <v>1.2171974104110801</v>
      </c>
      <c r="AG6096">
        <v>1.1060099999999999</v>
      </c>
      <c r="AH6096">
        <v>112.403105833643</v>
      </c>
      <c r="AI6096">
        <v>89.436279408819104</v>
      </c>
      <c r="AJ6096">
        <v>89.379576319416898</v>
      </c>
      <c r="AK6096">
        <v>112.41513700879</v>
      </c>
      <c r="AL6096">
        <v>89.042144130715499</v>
      </c>
      <c r="AM6096">
        <v>88.617001551347798</v>
      </c>
      <c r="AN6096">
        <v>1.0000000018294499</v>
      </c>
    </row>
    <row r="6097" spans="1:40" x14ac:dyDescent="0.25">
      <c r="A6097" t="str">
        <f>"20190312160808502"</f>
        <v>20190312160808502</v>
      </c>
      <c r="B6097" t="str">
        <f>"1552378088491404"</f>
        <v>1552378088491404</v>
      </c>
      <c r="C6097" t="s">
        <v>40</v>
      </c>
      <c r="D6097">
        <v>5.8776769999999896</v>
      </c>
      <c r="E6097">
        <v>0.49528299999999997</v>
      </c>
      <c r="F6097" t="s">
        <v>101</v>
      </c>
      <c r="G6097">
        <v>-273.40989999999999</v>
      </c>
      <c r="H6097">
        <v>2.1935899999999999</v>
      </c>
      <c r="I6097">
        <v>20.88212</v>
      </c>
      <c r="J6097">
        <v>-385.65879999999999</v>
      </c>
      <c r="K6097">
        <v>1.1096539999999999</v>
      </c>
      <c r="L6097">
        <v>16.842189999999999</v>
      </c>
      <c r="M6097">
        <v>0.99881569999999997</v>
      </c>
      <c r="N6097">
        <v>0</v>
      </c>
      <c r="O6097">
        <v>4.7478470000000002E-2</v>
      </c>
      <c r="P6097">
        <v>0.9997163</v>
      </c>
      <c r="Q6097">
        <v>6.1153750000000002E-3</v>
      </c>
      <c r="R6097">
        <v>2.3015979999999998E-2</v>
      </c>
      <c r="S6097">
        <v>2.9981689999999999</v>
      </c>
      <c r="T6097">
        <v>2.8926489999999999E-2</v>
      </c>
      <c r="U6097">
        <v>0.1079407</v>
      </c>
      <c r="V6097">
        <v>2.4476350000000001E-2</v>
      </c>
      <c r="W6097">
        <v>1.6750330000000001E-2</v>
      </c>
      <c r="X6097">
        <v>0.99956009999999995</v>
      </c>
      <c r="Y6097">
        <v>1.150937E-2</v>
      </c>
      <c r="Z6097">
        <v>5.1321699999999995E-4</v>
      </c>
      <c r="AA6097">
        <v>0.99993370000000004</v>
      </c>
      <c r="AB6097">
        <v>19</v>
      </c>
      <c r="AC6097">
        <v>112.24890000000001</v>
      </c>
      <c r="AD6097">
        <v>1.08393599999999</v>
      </c>
      <c r="AE6097">
        <v>4.03993</v>
      </c>
      <c r="AF6097">
        <v>1.29421311957639</v>
      </c>
      <c r="AG6097">
        <v>1.08393599999999</v>
      </c>
      <c r="AH6097">
        <v>112.303660188457</v>
      </c>
      <c r="AI6097">
        <v>89.447044679345495</v>
      </c>
      <c r="AJ6097">
        <v>89.339739533144595</v>
      </c>
      <c r="AK6097">
        <v>112.316347859853</v>
      </c>
      <c r="AL6097">
        <v>89.040231929264195</v>
      </c>
      <c r="AM6097">
        <v>88.597271586356399</v>
      </c>
      <c r="AN6097">
        <v>1.0000000293882201</v>
      </c>
    </row>
    <row r="6098" spans="1:40" x14ac:dyDescent="0.25">
      <c r="A6098" t="str">
        <f>"20190312160808515"</f>
        <v>20190312160808515</v>
      </c>
      <c r="B6098" t="str">
        <f>"1552378088511901"</f>
        <v>1552378088511901</v>
      </c>
      <c r="C6098" t="s">
        <v>40</v>
      </c>
      <c r="D6098">
        <v>5.9557460000000004</v>
      </c>
      <c r="E6098">
        <v>0.4957143</v>
      </c>
      <c r="F6098" t="s">
        <v>101</v>
      </c>
      <c r="G6098">
        <v>-273.40989999999999</v>
      </c>
      <c r="H6098">
        <v>2.2267000000000001</v>
      </c>
      <c r="I6098">
        <v>20.821619999999999</v>
      </c>
      <c r="J6098">
        <v>-385.54840000000002</v>
      </c>
      <c r="K6098">
        <v>1.109629</v>
      </c>
      <c r="L6098">
        <v>16.847629999999999</v>
      </c>
      <c r="M6098">
        <v>0.9988089</v>
      </c>
      <c r="N6098">
        <v>0</v>
      </c>
      <c r="O6098">
        <v>4.7629419999999999E-2</v>
      </c>
      <c r="P6098">
        <v>0.99972399999999995</v>
      </c>
      <c r="Q6098">
        <v>6.0628399999999999E-3</v>
      </c>
      <c r="R6098">
        <v>2.269506E-2</v>
      </c>
      <c r="S6098">
        <v>2.99823</v>
      </c>
      <c r="T6098">
        <v>2.9837010000000001E-2</v>
      </c>
      <c r="U6098">
        <v>0.1062927</v>
      </c>
      <c r="V6098">
        <v>2.4949209999999999E-2</v>
      </c>
      <c r="W6098">
        <v>1.6665940000000001E-2</v>
      </c>
      <c r="X6098">
        <v>0.99954980000000004</v>
      </c>
      <c r="Y6098">
        <v>1.2209879999999999E-2</v>
      </c>
      <c r="Z6098">
        <v>5.3435080000000001E-4</v>
      </c>
      <c r="AA6098">
        <v>0.99992530000000002</v>
      </c>
      <c r="AB6098">
        <v>19</v>
      </c>
      <c r="AC6098">
        <v>112.13849999999999</v>
      </c>
      <c r="AD6098">
        <v>1.1170709999999999</v>
      </c>
      <c r="AE6098">
        <v>3.9739900000000001</v>
      </c>
      <c r="AF6098">
        <v>1.3717761606002501</v>
      </c>
      <c r="AG6098">
        <v>1.1170709999999999</v>
      </c>
      <c r="AH6098">
        <v>112.189387575928</v>
      </c>
      <c r="AI6098">
        <v>89.429566765691504</v>
      </c>
      <c r="AJ6098">
        <v>89.299460764136299</v>
      </c>
      <c r="AK6098">
        <v>112.203334630106</v>
      </c>
      <c r="AL6098">
        <v>89.045067776155193</v>
      </c>
      <c r="AM6098">
        <v>88.570168611466599</v>
      </c>
      <c r="AN6098">
        <v>1.0000000096578701</v>
      </c>
    </row>
    <row r="6099" spans="1:40" x14ac:dyDescent="0.25">
      <c r="A6099" t="str">
        <f>"20190312160808535"</f>
        <v>20190312160808535</v>
      </c>
      <c r="B6099" t="str">
        <f>"1552378088521661"</f>
        <v>1552378088521661</v>
      </c>
      <c r="C6099" t="s">
        <v>40</v>
      </c>
      <c r="D6099">
        <v>5.7759510000000001</v>
      </c>
      <c r="E6099">
        <v>0.49582779999999999</v>
      </c>
      <c r="F6099" t="s">
        <v>101</v>
      </c>
      <c r="G6099">
        <v>-273.40989999999999</v>
      </c>
      <c r="H6099">
        <v>2.2541500000000001</v>
      </c>
      <c r="I6099">
        <v>20.65748</v>
      </c>
      <c r="J6099">
        <v>-385.387</v>
      </c>
      <c r="K6099">
        <v>1.1095930000000001</v>
      </c>
      <c r="L6099">
        <v>16.855560000000001</v>
      </c>
      <c r="M6099">
        <v>0.99880150000000001</v>
      </c>
      <c r="N6099">
        <v>0</v>
      </c>
      <c r="O6099">
        <v>4.7793469999999998E-2</v>
      </c>
      <c r="P6099">
        <v>0.99973020000000001</v>
      </c>
      <c r="Q6099">
        <v>6.1113770000000003E-3</v>
      </c>
      <c r="R6099">
        <v>2.241017E-2</v>
      </c>
      <c r="S6099">
        <v>2.9983520000000001</v>
      </c>
      <c r="T6099">
        <v>3.0602219999999999E-2</v>
      </c>
      <c r="U6099">
        <v>0.10186770000000001</v>
      </c>
      <c r="V6099">
        <v>2.539928E-2</v>
      </c>
      <c r="W6099">
        <v>1.6670230000000001E-2</v>
      </c>
      <c r="X6099">
        <v>0.99953840000000005</v>
      </c>
      <c r="Y6099">
        <v>1.3849210000000001E-2</v>
      </c>
      <c r="Z6099">
        <v>5.5808490000000001E-4</v>
      </c>
      <c r="AA6099">
        <v>0.99990389999999996</v>
      </c>
      <c r="AB6099">
        <v>19</v>
      </c>
      <c r="AC6099">
        <v>111.977099999999</v>
      </c>
      <c r="AD6099">
        <v>1.144557</v>
      </c>
      <c r="AE6099">
        <v>3.8019199999999902</v>
      </c>
      <c r="AF6099">
        <v>1.5543351143263899</v>
      </c>
      <c r="AG6099">
        <v>1.144557</v>
      </c>
      <c r="AH6099">
        <v>112.019149930091</v>
      </c>
      <c r="AI6099">
        <v>89.414656402861397</v>
      </c>
      <c r="AJ6099">
        <v>89.205036574008503</v>
      </c>
      <c r="AK6099">
        <v>112.03577963951599</v>
      </c>
      <c r="AL6099">
        <v>89.044821949679999</v>
      </c>
      <c r="AM6099">
        <v>88.544369645421</v>
      </c>
      <c r="AN6099">
        <v>1.00000001653366</v>
      </c>
    </row>
    <row r="6100" spans="1:40" x14ac:dyDescent="0.25">
      <c r="A6100" t="str">
        <f>"20190312160808558"</f>
        <v>20190312160808558</v>
      </c>
      <c r="B6100" t="str">
        <f>"1552378088551917"</f>
        <v>1552378088551917</v>
      </c>
      <c r="C6100" t="s">
        <v>40</v>
      </c>
      <c r="D6100">
        <v>5.8766720000000001</v>
      </c>
      <c r="E6100">
        <v>0.49627900000000003</v>
      </c>
      <c r="F6100" t="s">
        <v>101</v>
      </c>
      <c r="G6100">
        <v>-273.40989999999999</v>
      </c>
      <c r="H6100">
        <v>2.280856</v>
      </c>
      <c r="I6100">
        <v>20.59375</v>
      </c>
      <c r="J6100">
        <v>-385.18790000000001</v>
      </c>
      <c r="K6100">
        <v>1.1095440000000001</v>
      </c>
      <c r="L6100">
        <v>16.865300000000001</v>
      </c>
      <c r="M6100">
        <v>0.99879609999999996</v>
      </c>
      <c r="N6100">
        <v>0</v>
      </c>
      <c r="O6100">
        <v>4.7916979999999998E-2</v>
      </c>
      <c r="P6100">
        <v>0.99972780000000006</v>
      </c>
      <c r="Q6100">
        <v>6.4539749999999998E-3</v>
      </c>
      <c r="R6100">
        <v>2.2422810000000001E-2</v>
      </c>
      <c r="S6100">
        <v>2.9984130000000002</v>
      </c>
      <c r="T6100">
        <v>3.1363009999999997E-2</v>
      </c>
      <c r="U6100">
        <v>0.1000977</v>
      </c>
      <c r="V6100">
        <v>2.5511659999999999E-2</v>
      </c>
      <c r="W6100">
        <v>1.695868E-2</v>
      </c>
      <c r="X6100">
        <v>0.99953069999999999</v>
      </c>
      <c r="Y6100">
        <v>1.45628999999999E-2</v>
      </c>
      <c r="Z6100">
        <v>5.769754E-4</v>
      </c>
      <c r="AA6100">
        <v>0.99989380000000005</v>
      </c>
      <c r="AB6100">
        <v>19</v>
      </c>
      <c r="AC6100">
        <v>111.77800000000001</v>
      </c>
      <c r="AD6100">
        <v>1.1713119999999999</v>
      </c>
      <c r="AE6100">
        <v>3.7284499999999898</v>
      </c>
      <c r="AF6100">
        <v>1.6320138920484699</v>
      </c>
      <c r="AG6100">
        <v>1.1713119999999999</v>
      </c>
      <c r="AH6100">
        <v>111.815990188553</v>
      </c>
      <c r="AI6100">
        <v>89.399892332427896</v>
      </c>
      <c r="AJ6100">
        <v>89.163796977002093</v>
      </c>
      <c r="AK6100">
        <v>111.834033741932</v>
      </c>
      <c r="AL6100">
        <v>89.028292659492294</v>
      </c>
      <c r="AM6100">
        <v>88.5379206891959</v>
      </c>
      <c r="AN6100">
        <v>1.00000003093289</v>
      </c>
    </row>
    <row r="6101" spans="1:40" x14ac:dyDescent="0.25">
      <c r="A6101" t="str">
        <f>"20190312160808579"</f>
        <v>20190312160808579</v>
      </c>
      <c r="B6101" t="str">
        <f>"1552378088571438"</f>
        <v>1552378088571438</v>
      </c>
      <c r="C6101" t="s">
        <v>40</v>
      </c>
      <c r="D6101">
        <v>5.7783740000000003</v>
      </c>
      <c r="E6101">
        <v>0.49656470000000003</v>
      </c>
      <c r="F6101" t="s">
        <v>101</v>
      </c>
      <c r="G6101">
        <v>-273.40989999999999</v>
      </c>
      <c r="H6101">
        <v>2.3821639999999999</v>
      </c>
      <c r="I6101">
        <v>20.461459999999999</v>
      </c>
      <c r="J6101">
        <v>-385.01459999999997</v>
      </c>
      <c r="K6101">
        <v>1.109507</v>
      </c>
      <c r="L6101">
        <v>16.87369</v>
      </c>
      <c r="M6101">
        <v>0.99879410000000002</v>
      </c>
      <c r="N6101">
        <v>0</v>
      </c>
      <c r="O6101">
        <v>4.7968200000000003E-2</v>
      </c>
      <c r="P6101">
        <v>0.99972269999999996</v>
      </c>
      <c r="Q6101">
        <v>6.4287950000000002E-3</v>
      </c>
      <c r="R6101">
        <v>2.2659530000000001E-2</v>
      </c>
      <c r="S6101">
        <v>2.9984130000000002</v>
      </c>
      <c r="T6101">
        <v>3.4137729999999998E-2</v>
      </c>
      <c r="U6101">
        <v>9.6466060000000006E-2</v>
      </c>
      <c r="V6101">
        <v>2.5327229999999999E-2</v>
      </c>
      <c r="W6101">
        <v>1.6885259999999999E-2</v>
      </c>
      <c r="X6101">
        <v>0.9995366</v>
      </c>
      <c r="Y6101">
        <v>1.5823179999999999E-2</v>
      </c>
      <c r="Z6101">
        <v>6.3578840000000001E-4</v>
      </c>
      <c r="AA6101">
        <v>0.99987459999999995</v>
      </c>
      <c r="AB6101">
        <v>19</v>
      </c>
      <c r="AC6101">
        <v>111.604699999999</v>
      </c>
      <c r="AD6101">
        <v>1.2726569999999999</v>
      </c>
      <c r="AE6101">
        <v>3.5877699999999901</v>
      </c>
      <c r="AF6101">
        <v>1.76989997897984</v>
      </c>
      <c r="AG6101">
        <v>1.2726569999999999</v>
      </c>
      <c r="AH6101">
        <v>111.633820722568</v>
      </c>
      <c r="AI6101">
        <v>89.346922338781994</v>
      </c>
      <c r="AJ6101">
        <v>89.091679360524495</v>
      </c>
      <c r="AK6101">
        <v>111.65510346998801</v>
      </c>
      <c r="AL6101">
        <v>89.032499885726196</v>
      </c>
      <c r="AM6101">
        <v>88.548494442380104</v>
      </c>
      <c r="AN6101">
        <v>0.99999999766214998</v>
      </c>
    </row>
    <row r="6102" spans="1:40" x14ac:dyDescent="0.25">
      <c r="A6102" t="str">
        <f>"20190312160808591"</f>
        <v>20190312160808591</v>
      </c>
      <c r="B6102" t="str">
        <f>"1552378088581197"</f>
        <v>1552378088581197</v>
      </c>
      <c r="C6102" t="s">
        <v>40</v>
      </c>
      <c r="D6102">
        <v>5.8234380000000003</v>
      </c>
      <c r="E6102">
        <v>0.49668790000000002</v>
      </c>
      <c r="F6102" t="s">
        <v>101</v>
      </c>
      <c r="G6102">
        <v>-273.40989999999999</v>
      </c>
      <c r="H6102">
        <v>2.4167860000000001</v>
      </c>
      <c r="I6102">
        <v>20.406310000000001</v>
      </c>
      <c r="J6102">
        <v>-384.9051</v>
      </c>
      <c r="K6102">
        <v>1.1094850000000001</v>
      </c>
      <c r="L6102">
        <v>16.878969999999999</v>
      </c>
      <c r="M6102">
        <v>0.99879399999999996</v>
      </c>
      <c r="N6102">
        <v>0</v>
      </c>
      <c r="O6102">
        <v>4.7977409999999998E-2</v>
      </c>
      <c r="P6102">
        <v>0.99971940000000004</v>
      </c>
      <c r="Q6102">
        <v>6.4919519999999996E-3</v>
      </c>
      <c r="R6102">
        <v>2.2785690000000001E-2</v>
      </c>
      <c r="S6102">
        <v>2.9984440000000001</v>
      </c>
      <c r="T6102">
        <v>3.5122279999999999E-2</v>
      </c>
      <c r="U6102">
        <v>9.4909670000000002E-2</v>
      </c>
      <c r="V6102">
        <v>2.5210949999999999E-2</v>
      </c>
      <c r="W6102">
        <v>1.69172E-2</v>
      </c>
      <c r="X6102">
        <v>0.99953899999999996</v>
      </c>
      <c r="Y6102">
        <v>1.6350899999999901E-2</v>
      </c>
      <c r="Z6102">
        <v>6.5732170000000001E-4</v>
      </c>
      <c r="AA6102">
        <v>0.99986609999999998</v>
      </c>
      <c r="AB6102">
        <v>19</v>
      </c>
      <c r="AC6102">
        <v>111.4952</v>
      </c>
      <c r="AD6102">
        <v>1.307301</v>
      </c>
      <c r="AE6102">
        <v>3.5273399999999899</v>
      </c>
      <c r="AF6102">
        <v>1.82601337921443</v>
      </c>
      <c r="AG6102">
        <v>1.307301</v>
      </c>
      <c r="AH6102">
        <v>111.520715823945</v>
      </c>
      <c r="AI6102">
        <v>89.328471295355797</v>
      </c>
      <c r="AJ6102">
        <v>89.061936511992698</v>
      </c>
      <c r="AK6102">
        <v>111.543325298517</v>
      </c>
      <c r="AL6102">
        <v>89.030669597506304</v>
      </c>
      <c r="AM6102">
        <v>88.555159094845095</v>
      </c>
      <c r="AN6102">
        <v>0.99999999808837103</v>
      </c>
    </row>
    <row r="6103" spans="1:40" x14ac:dyDescent="0.25">
      <c r="A6103" t="str">
        <f>"20190312160808613"</f>
        <v>20190312160808613</v>
      </c>
      <c r="B6103" t="str">
        <f>"1552378088601693"</f>
        <v>1552378088601693</v>
      </c>
      <c r="C6103" t="s">
        <v>40</v>
      </c>
      <c r="D6103">
        <v>5.9299330000000001</v>
      </c>
      <c r="E6103">
        <v>0.4969924</v>
      </c>
      <c r="F6103" t="s">
        <v>101</v>
      </c>
      <c r="G6103">
        <v>-273.40989999999999</v>
      </c>
      <c r="H6103">
        <v>2.443235</v>
      </c>
      <c r="I6103">
        <v>20.38429</v>
      </c>
      <c r="J6103">
        <v>-384.72800000000001</v>
      </c>
      <c r="K6103">
        <v>1.1094630000000001</v>
      </c>
      <c r="L6103">
        <v>16.88748</v>
      </c>
      <c r="M6103">
        <v>0.99879549999999995</v>
      </c>
      <c r="N6103">
        <v>0</v>
      </c>
      <c r="O6103">
        <v>4.7955409999999997E-2</v>
      </c>
      <c r="P6103">
        <v>0.99973239999999997</v>
      </c>
      <c r="Q6103">
        <v>5.5973809999999898E-3</v>
      </c>
      <c r="R6103">
        <v>2.2448329999999999E-2</v>
      </c>
      <c r="S6103">
        <v>2.9984440000000001</v>
      </c>
      <c r="T6103">
        <v>3.586864E-2</v>
      </c>
      <c r="U6103">
        <v>9.42688E-2</v>
      </c>
      <c r="V6103">
        <v>2.5526960000000001E-2</v>
      </c>
      <c r="W6103">
        <v>1.5968429999999999E-2</v>
      </c>
      <c r="X6103">
        <v>0.99954659999999995</v>
      </c>
      <c r="Y6103">
        <v>1.6542149999999999E-2</v>
      </c>
      <c r="Z6103">
        <v>6.7217250000000002E-4</v>
      </c>
      <c r="AA6103">
        <v>0.99986299999999995</v>
      </c>
      <c r="AB6103">
        <v>19</v>
      </c>
      <c r="AC6103">
        <v>111.3181</v>
      </c>
      <c r="AD6103">
        <v>1.333772</v>
      </c>
      <c r="AE6103">
        <v>3.49681</v>
      </c>
      <c r="AF6103">
        <v>1.84554186721213</v>
      </c>
      <c r="AG6103">
        <v>1.333772</v>
      </c>
      <c r="AH6103">
        <v>111.3417438015</v>
      </c>
      <c r="AI6103">
        <v>89.313776177189595</v>
      </c>
      <c r="AJ6103">
        <v>89.050382418654905</v>
      </c>
      <c r="AK6103">
        <v>111.365025413235</v>
      </c>
      <c r="AL6103">
        <v>89.085037478314504</v>
      </c>
      <c r="AM6103">
        <v>88.537067484932393</v>
      </c>
      <c r="AN6103">
        <v>1.00000001100753</v>
      </c>
    </row>
    <row r="6104" spans="1:40" x14ac:dyDescent="0.25">
      <c r="A6104" t="str">
        <f>"20190312160808635"</f>
        <v>20190312160808635</v>
      </c>
      <c r="B6104" t="str">
        <f>"1552378088631951"</f>
        <v>1552378088631951</v>
      </c>
      <c r="C6104" t="s">
        <v>40</v>
      </c>
      <c r="D6104">
        <v>5.9855130000000001</v>
      </c>
      <c r="E6104">
        <v>0.4973746</v>
      </c>
      <c r="F6104" t="s">
        <v>102</v>
      </c>
      <c r="G6104">
        <v>-276.90109999999999</v>
      </c>
      <c r="H6104">
        <v>2.32572</v>
      </c>
      <c r="I6104">
        <v>20.153289999999998</v>
      </c>
      <c r="J6104">
        <v>-384.5444</v>
      </c>
      <c r="K6104">
        <v>1.109434</v>
      </c>
      <c r="L6104">
        <v>16.896239999999999</v>
      </c>
      <c r="M6104">
        <v>0.99880000000000002</v>
      </c>
      <c r="N6104">
        <v>0</v>
      </c>
      <c r="O6104">
        <v>4.7876849999999999E-2</v>
      </c>
      <c r="P6104">
        <v>0.99974989999999997</v>
      </c>
      <c r="Q6104">
        <v>5.7149979999999998E-3</v>
      </c>
      <c r="R6104">
        <v>2.1626659999999999E-2</v>
      </c>
      <c r="S6104">
        <v>2.998596</v>
      </c>
      <c r="T6104">
        <v>3.3823249999999999E-2</v>
      </c>
      <c r="U6104">
        <v>9.0820310000000001E-2</v>
      </c>
      <c r="V6104">
        <v>2.6270640000000001E-2</v>
      </c>
      <c r="W6104">
        <v>1.602802E-2</v>
      </c>
      <c r="X6104">
        <v>0.99952640000000004</v>
      </c>
      <c r="Y6104">
        <v>1.7614290000000001E-2</v>
      </c>
      <c r="Z6104">
        <v>6.3898749999999999E-4</v>
      </c>
      <c r="AA6104">
        <v>0.99984470000000003</v>
      </c>
      <c r="AB6104">
        <v>19</v>
      </c>
      <c r="AC6104">
        <v>107.6433</v>
      </c>
      <c r="AD6104">
        <v>1.216286</v>
      </c>
      <c r="AE6104">
        <v>3.25705</v>
      </c>
      <c r="AF6104">
        <v>1.9003392709341</v>
      </c>
      <c r="AG6104">
        <v>1.216286</v>
      </c>
      <c r="AH6104">
        <v>107.66205916191301</v>
      </c>
      <c r="AI6104">
        <v>89.352843159707902</v>
      </c>
      <c r="AJ6104">
        <v>88.988779192464307</v>
      </c>
      <c r="AK6104">
        <v>107.685698326016</v>
      </c>
      <c r="AL6104">
        <v>89.081622807070303</v>
      </c>
      <c r="AM6104">
        <v>88.494436621488603</v>
      </c>
      <c r="AN6104">
        <v>1.00000003412404</v>
      </c>
    </row>
    <row r="6105" spans="1:40" x14ac:dyDescent="0.25">
      <c r="A6105" t="str">
        <f>"20190312160808649"</f>
        <v>20190312160808649</v>
      </c>
      <c r="B6105" t="str">
        <f>"1552378088641710"</f>
        <v>1552378088641710</v>
      </c>
      <c r="C6105" t="s">
        <v>40</v>
      </c>
      <c r="D6105">
        <v>5.9865430000000002</v>
      </c>
      <c r="E6105">
        <v>0.4974981</v>
      </c>
      <c r="F6105" t="s">
        <v>102</v>
      </c>
      <c r="G6105">
        <v>-276.7715</v>
      </c>
      <c r="H6105">
        <v>2.3925679999999998</v>
      </c>
      <c r="I6105">
        <v>19.959669999999999</v>
      </c>
      <c r="J6105">
        <v>-384.423</v>
      </c>
      <c r="K6105">
        <v>1.1094139999999999</v>
      </c>
      <c r="L6105">
        <v>16.901949999999999</v>
      </c>
      <c r="M6105">
        <v>0.99880469999999999</v>
      </c>
      <c r="N6105">
        <v>0</v>
      </c>
      <c r="O6105">
        <v>4.7785830000000001E-2</v>
      </c>
      <c r="P6105">
        <v>0.9997547</v>
      </c>
      <c r="Q6105">
        <v>5.8835199999999997E-3</v>
      </c>
      <c r="R6105">
        <v>2.135693E-2</v>
      </c>
      <c r="S6105">
        <v>2.9986269999999999</v>
      </c>
      <c r="T6105">
        <v>3.570139E-2</v>
      </c>
      <c r="U6105">
        <v>8.5235599999999995E-2</v>
      </c>
      <c r="V6105">
        <v>2.6449879999999999E-2</v>
      </c>
      <c r="W6105">
        <v>1.6157230000000002E-2</v>
      </c>
      <c r="X6105">
        <v>0.99951959999999995</v>
      </c>
      <c r="Y6105">
        <v>1.938337E-2</v>
      </c>
      <c r="Z6105">
        <v>6.839309E-4</v>
      </c>
      <c r="AA6105">
        <v>0.99981189999999998</v>
      </c>
      <c r="AB6105">
        <v>19</v>
      </c>
      <c r="AC6105">
        <v>107.6515</v>
      </c>
      <c r="AD6105">
        <v>1.2831539999999999</v>
      </c>
      <c r="AE6105">
        <v>3.0577200000000002</v>
      </c>
      <c r="AF6105">
        <v>2.08996493705353</v>
      </c>
      <c r="AG6105">
        <v>1.2831539999999999</v>
      </c>
      <c r="AH6105">
        <v>107.659346473535</v>
      </c>
      <c r="AI6105">
        <v>89.317272648022794</v>
      </c>
      <c r="AJ6105">
        <v>88.887870535879202</v>
      </c>
      <c r="AK6105">
        <v>107.687275574854</v>
      </c>
      <c r="AL6105">
        <v>89.074218667686594</v>
      </c>
      <c r="AM6105">
        <v>88.4841588933878</v>
      </c>
      <c r="AN6105">
        <v>1.00000004150872</v>
      </c>
    </row>
    <row r="6106" spans="1:40" x14ac:dyDescent="0.25">
      <c r="A6106" t="str">
        <f>"20190312160808669"</f>
        <v>20190312160808669</v>
      </c>
      <c r="B6106" t="str">
        <f>"1552378088661230"</f>
        <v>1552378088661230</v>
      </c>
      <c r="C6106" t="s">
        <v>40</v>
      </c>
      <c r="D6106">
        <v>5.9866000000000001</v>
      </c>
      <c r="E6106">
        <v>0.49762020000000001</v>
      </c>
      <c r="F6106" t="s">
        <v>102</v>
      </c>
      <c r="G6106">
        <v>-276.7328</v>
      </c>
      <c r="H6106">
        <v>2.4231159999999998</v>
      </c>
      <c r="I6106">
        <v>19.899349999999998</v>
      </c>
      <c r="J6106">
        <v>-384.26119999999997</v>
      </c>
      <c r="K6106">
        <v>1.1093850000000001</v>
      </c>
      <c r="L6106">
        <v>16.909579999999998</v>
      </c>
      <c r="M6106">
        <v>0.99881240000000004</v>
      </c>
      <c r="N6106">
        <v>0</v>
      </c>
      <c r="O6106">
        <v>4.7634469999999998E-2</v>
      </c>
      <c r="P6106">
        <v>0.99976410000000004</v>
      </c>
      <c r="Q6106">
        <v>6.4357009999999899E-3</v>
      </c>
      <c r="R6106">
        <v>2.0751680000000002E-2</v>
      </c>
      <c r="S6106">
        <v>2.9987180000000002</v>
      </c>
      <c r="T6106">
        <v>3.6581040000000002E-2</v>
      </c>
      <c r="U6106">
        <v>8.3465579999999998E-2</v>
      </c>
      <c r="V6106">
        <v>2.6904480000000001E-2</v>
      </c>
      <c r="W6106">
        <v>1.6658320000000001E-2</v>
      </c>
      <c r="X6106">
        <v>0.99949920000000003</v>
      </c>
      <c r="Y6106">
        <v>1.982213E-2</v>
      </c>
      <c r="Z6106">
        <v>7.0159889999999998E-4</v>
      </c>
      <c r="AA6106">
        <v>0.99980329999999995</v>
      </c>
      <c r="AB6106">
        <v>19</v>
      </c>
      <c r="AC6106">
        <v>107.528399999999</v>
      </c>
      <c r="AD6106">
        <v>1.31373099999999</v>
      </c>
      <c r="AE6106">
        <v>2.98977</v>
      </c>
      <c r="AF6106">
        <v>2.1356323296428199</v>
      </c>
      <c r="AG6106">
        <v>1.31373099999999</v>
      </c>
      <c r="AH6106">
        <v>107.53270944040101</v>
      </c>
      <c r="AI6106">
        <v>89.300188198817594</v>
      </c>
      <c r="AJ6106">
        <v>88.862237958924396</v>
      </c>
      <c r="AK6106">
        <v>107.56193757171501</v>
      </c>
      <c r="AL6106">
        <v>89.0455044220909</v>
      </c>
      <c r="AM6106">
        <v>88.458086808886904</v>
      </c>
      <c r="AN6106">
        <v>1.0000000007349601</v>
      </c>
    </row>
    <row r="6107" spans="1:40" x14ac:dyDescent="0.25">
      <c r="A6107" t="str">
        <f>"20190312160808681"</f>
        <v>20190312160808681</v>
      </c>
      <c r="B6107" t="str">
        <f>"1552378088671966"</f>
        <v>1552378088671966</v>
      </c>
      <c r="C6107" t="s">
        <v>40</v>
      </c>
      <c r="D6107">
        <v>5.9357410000000002</v>
      </c>
      <c r="E6107">
        <v>0.49769799999999997</v>
      </c>
      <c r="F6107" t="s">
        <v>102</v>
      </c>
      <c r="G6107">
        <v>-276.67599999999999</v>
      </c>
      <c r="H6107">
        <v>2.4960640000000001</v>
      </c>
      <c r="I6107">
        <v>19.804359999999999</v>
      </c>
      <c r="J6107">
        <v>-384.14929999999998</v>
      </c>
      <c r="K6107">
        <v>1.109362</v>
      </c>
      <c r="L6107">
        <v>16.914760000000001</v>
      </c>
      <c r="M6107">
        <v>0.99881880000000001</v>
      </c>
      <c r="N6107">
        <v>0</v>
      </c>
      <c r="O6107">
        <v>4.7506760000000002E-2</v>
      </c>
      <c r="P6107">
        <v>0.99976830000000005</v>
      </c>
      <c r="Q6107">
        <v>6.4581090000000001E-3</v>
      </c>
      <c r="R6107">
        <v>2.0545230000000001E-2</v>
      </c>
      <c r="S6107">
        <v>2.9988100000000002</v>
      </c>
      <c r="T6107">
        <v>3.8652060000000002E-2</v>
      </c>
      <c r="U6107">
        <v>8.0688480000000007E-2</v>
      </c>
      <c r="V6107">
        <v>2.6983790000000001E-2</v>
      </c>
      <c r="W6107">
        <v>1.6647350000000002E-2</v>
      </c>
      <c r="X6107">
        <v>0.99949719999999997</v>
      </c>
      <c r="Y6107">
        <v>2.061967E-2</v>
      </c>
      <c r="Z6107">
        <v>7.4480149999999997E-4</v>
      </c>
      <c r="AA6107">
        <v>0.99978710000000004</v>
      </c>
      <c r="AB6107">
        <v>19</v>
      </c>
      <c r="AC6107">
        <v>107.47329999999999</v>
      </c>
      <c r="AD6107">
        <v>1.3867020000000001</v>
      </c>
      <c r="AE6107">
        <v>2.88959999999999</v>
      </c>
      <c r="AF6107">
        <v>2.2192678146309399</v>
      </c>
      <c r="AG6107">
        <v>1.3867020000000001</v>
      </c>
      <c r="AH6107">
        <v>107.47134467399999</v>
      </c>
      <c r="AI6107">
        <v>89.260911530981701</v>
      </c>
      <c r="AJ6107">
        <v>88.817018519908103</v>
      </c>
      <c r="AK6107">
        <v>107.50320003659201</v>
      </c>
      <c r="AL6107">
        <v>89.046133001282797</v>
      </c>
      <c r="AM6107">
        <v>88.453540612347993</v>
      </c>
      <c r="AN6107">
        <v>0.99999995599631197</v>
      </c>
    </row>
    <row r="6108" spans="1:40" x14ac:dyDescent="0.25">
      <c r="A6108" t="str">
        <f>"20190312160808693"</f>
        <v>20190312160808693</v>
      </c>
      <c r="B6108" t="str">
        <f>"1552378088681725"</f>
        <v>1552378088681725</v>
      </c>
      <c r="C6108" t="s">
        <v>40</v>
      </c>
      <c r="D6108">
        <v>6.0388070000000003</v>
      </c>
      <c r="E6108">
        <v>0.49784790000000001</v>
      </c>
      <c r="F6108" t="s">
        <v>102</v>
      </c>
      <c r="G6108">
        <v>-276.64780000000002</v>
      </c>
      <c r="H6108">
        <v>2.5142250000000002</v>
      </c>
      <c r="I6108">
        <v>19.761310000000002</v>
      </c>
      <c r="J6108">
        <v>-384.04410000000001</v>
      </c>
      <c r="K6108">
        <v>1.109343</v>
      </c>
      <c r="L6108">
        <v>16.919650000000001</v>
      </c>
      <c r="M6108">
        <v>0.99882550000000003</v>
      </c>
      <c r="N6108">
        <v>0</v>
      </c>
      <c r="O6108">
        <v>4.7374619999999999E-2</v>
      </c>
      <c r="P6108">
        <v>0.99978160000000005</v>
      </c>
      <c r="Q6108">
        <v>6.3924250000000002E-3</v>
      </c>
      <c r="R6108">
        <v>1.9912900000000001E-2</v>
      </c>
      <c r="S6108">
        <v>2.99884</v>
      </c>
      <c r="T6108">
        <v>3.918982E-2</v>
      </c>
      <c r="U6108">
        <v>7.9406740000000003E-2</v>
      </c>
      <c r="V6108">
        <v>2.7484310000000001E-2</v>
      </c>
      <c r="W6108">
        <v>1.655009E-2</v>
      </c>
      <c r="X6108">
        <v>0.99948519999999996</v>
      </c>
      <c r="Y6108">
        <v>2.0914510000000001E-2</v>
      </c>
      <c r="Z6108">
        <v>7.5536220000000005E-4</v>
      </c>
      <c r="AA6108">
        <v>0.99978100000000003</v>
      </c>
      <c r="AB6108">
        <v>19</v>
      </c>
      <c r="AC6108">
        <v>107.3963</v>
      </c>
      <c r="AD6108">
        <v>1.404882</v>
      </c>
      <c r="AE6108">
        <v>2.8416600000000001</v>
      </c>
      <c r="AF6108">
        <v>2.2492679651001599</v>
      </c>
      <c r="AG6108">
        <v>1.404882</v>
      </c>
      <c r="AH6108">
        <v>107.391967596627</v>
      </c>
      <c r="AI6108">
        <v>89.250674202858505</v>
      </c>
      <c r="AJ6108">
        <v>88.800145626557494</v>
      </c>
      <c r="AK6108">
        <v>107.424706674432</v>
      </c>
      <c r="AL6108">
        <v>89.051706378595796</v>
      </c>
      <c r="AM6108">
        <v>88.424850887582295</v>
      </c>
      <c r="AN6108">
        <v>0.99999997889711101</v>
      </c>
    </row>
    <row r="6109" spans="1:40" x14ac:dyDescent="0.25">
      <c r="A6109" t="str">
        <f>"20190312160808711"</f>
        <v>20190312160808711</v>
      </c>
      <c r="B6109" t="str">
        <f>"1552378088701249"</f>
        <v>1552378088701249</v>
      </c>
      <c r="C6109" t="s">
        <v>40</v>
      </c>
      <c r="D6109">
        <v>5.9753999999999996</v>
      </c>
      <c r="E6109">
        <v>0.49796790000000002</v>
      </c>
      <c r="F6109" t="s">
        <v>102</v>
      </c>
      <c r="G6109">
        <v>-276.56950000000001</v>
      </c>
      <c r="H6109">
        <v>2.5139629999999999</v>
      </c>
      <c r="I6109">
        <v>19.653839999999999</v>
      </c>
      <c r="J6109">
        <v>-383.89010000000002</v>
      </c>
      <c r="K6109">
        <v>1.1093150000000001</v>
      </c>
      <c r="L6109">
        <v>16.9267</v>
      </c>
      <c r="M6109">
        <v>0.99883679999999997</v>
      </c>
      <c r="N6109">
        <v>0</v>
      </c>
      <c r="O6109">
        <v>4.714281E-2</v>
      </c>
      <c r="P6109">
        <v>0.99980049999999998</v>
      </c>
      <c r="Q6109">
        <v>6.9333769999999897E-3</v>
      </c>
      <c r="R6109">
        <v>1.8742379999999999E-2</v>
      </c>
      <c r="S6109">
        <v>2.9989319999999999</v>
      </c>
      <c r="T6109">
        <v>3.9194109999999997E-2</v>
      </c>
      <c r="U6109">
        <v>7.6293949999999999E-2</v>
      </c>
      <c r="V6109">
        <v>2.8423730000000001E-2</v>
      </c>
      <c r="W6109">
        <v>1.704497E-2</v>
      </c>
      <c r="X6109">
        <v>0.99945059999999997</v>
      </c>
      <c r="Y6109">
        <v>2.172025E-2</v>
      </c>
      <c r="Z6109">
        <v>7.5767399999999996E-4</v>
      </c>
      <c r="AA6109">
        <v>0.99976379999999998</v>
      </c>
      <c r="AB6109">
        <v>19</v>
      </c>
      <c r="AC6109">
        <v>107.3206</v>
      </c>
      <c r="AD6109">
        <v>1.4046479999999999</v>
      </c>
      <c r="AE6109">
        <v>2.7271399999999901</v>
      </c>
      <c r="AF6109">
        <v>2.3351469205029902</v>
      </c>
      <c r="AG6109">
        <v>1.4046479999999999</v>
      </c>
      <c r="AH6109">
        <v>107.311464936771</v>
      </c>
      <c r="AI6109">
        <v>89.250250084018504</v>
      </c>
      <c r="AJ6109">
        <v>88.753414174205702</v>
      </c>
      <c r="AK6109">
        <v>107.346059331584</v>
      </c>
      <c r="AL6109">
        <v>89.023347833209698</v>
      </c>
      <c r="AM6109">
        <v>88.370984096725493</v>
      </c>
      <c r="AN6109">
        <v>0.99999997063488599</v>
      </c>
    </row>
    <row r="6110" spans="1:40" x14ac:dyDescent="0.25">
      <c r="A6110" t="str">
        <f>"20190312160808726"</f>
        <v>20190312160808726</v>
      </c>
      <c r="B6110" t="str">
        <f>"1552378088721741"</f>
        <v>1552378088721741</v>
      </c>
      <c r="C6110" t="s">
        <v>40</v>
      </c>
      <c r="D6110">
        <v>5.8916649999999997</v>
      </c>
      <c r="E6110">
        <v>0.49767729999999999</v>
      </c>
      <c r="F6110" t="s">
        <v>102</v>
      </c>
      <c r="G6110">
        <v>-276.46839999999997</v>
      </c>
      <c r="H6110">
        <v>2.5783779999999998</v>
      </c>
      <c r="I6110">
        <v>19.499919999999999</v>
      </c>
      <c r="J6110">
        <v>-383.77280000000002</v>
      </c>
      <c r="K6110">
        <v>1.1092949999999999</v>
      </c>
      <c r="L6110">
        <v>16.932040000000001</v>
      </c>
      <c r="M6110">
        <v>0.99884680000000003</v>
      </c>
      <c r="N6110">
        <v>0</v>
      </c>
      <c r="O6110">
        <v>4.6940709999999997E-2</v>
      </c>
      <c r="P6110">
        <v>0.99980840000000004</v>
      </c>
      <c r="Q6110">
        <v>7.1771539999999998E-3</v>
      </c>
      <c r="R6110">
        <v>1.822623E-2</v>
      </c>
      <c r="S6110">
        <v>2.9989620000000001</v>
      </c>
      <c r="T6110">
        <v>4.1012880000000002E-2</v>
      </c>
      <c r="U6110">
        <v>7.1838379999999993E-2</v>
      </c>
      <c r="V6110">
        <v>2.873821E-2</v>
      </c>
      <c r="W6110">
        <v>1.72538E-2</v>
      </c>
      <c r="X6110">
        <v>0.99943800000000005</v>
      </c>
      <c r="Y6110">
        <v>2.300197E-2</v>
      </c>
      <c r="Z6110">
        <v>7.9884420000000001E-4</v>
      </c>
      <c r="AA6110">
        <v>0.99973509999999999</v>
      </c>
      <c r="AB6110">
        <v>19</v>
      </c>
      <c r="AC6110">
        <v>107.3044</v>
      </c>
      <c r="AD6110">
        <v>1.4690829999999899</v>
      </c>
      <c r="AE6110">
        <v>2.5678800000000002</v>
      </c>
      <c r="AF6110">
        <v>2.4716886159570901</v>
      </c>
      <c r="AG6110">
        <v>1.4690829999999899</v>
      </c>
      <c r="AH6110">
        <v>107.286550067143</v>
      </c>
      <c r="AI6110">
        <v>89.215701586822703</v>
      </c>
      <c r="AJ6110">
        <v>88.680242034198898</v>
      </c>
      <c r="AK6110">
        <v>107.325072908359</v>
      </c>
      <c r="AL6110">
        <v>89.011380972056401</v>
      </c>
      <c r="AM6110">
        <v>88.352949793535103</v>
      </c>
      <c r="AN6110">
        <v>0.99999994708621998</v>
      </c>
    </row>
    <row r="6111" spans="1:40" x14ac:dyDescent="0.25">
      <c r="A6111" t="str">
        <f>"20190312160808747"</f>
        <v>20190312160808747</v>
      </c>
      <c r="B6111" t="str">
        <f>"1552378088741261"</f>
        <v>1552378088741261</v>
      </c>
      <c r="C6111" t="s">
        <v>40</v>
      </c>
      <c r="D6111">
        <v>6.0234870000000003</v>
      </c>
      <c r="E6111">
        <v>0.49738139999999997</v>
      </c>
      <c r="F6111" t="s">
        <v>102</v>
      </c>
      <c r="G6111">
        <v>-276.49029999999999</v>
      </c>
      <c r="H6111">
        <v>2.5821589999999999</v>
      </c>
      <c r="I6111">
        <v>19.529199999999999</v>
      </c>
      <c r="J6111">
        <v>-383.59870000000001</v>
      </c>
      <c r="K6111">
        <v>1.109267</v>
      </c>
      <c r="L6111">
        <v>16.939820000000001</v>
      </c>
      <c r="M6111">
        <v>0.99886260000000004</v>
      </c>
      <c r="N6111">
        <v>0</v>
      </c>
      <c r="O6111">
        <v>4.6610859999999997E-2</v>
      </c>
      <c r="P6111">
        <v>0.9998186</v>
      </c>
      <c r="Q6111">
        <v>7.6963149999999996E-3</v>
      </c>
      <c r="R6111">
        <v>1.7424760000000001E-2</v>
      </c>
      <c r="S6111">
        <v>2.9989620000000001</v>
      </c>
      <c r="T6111">
        <v>4.1172269999999997E-2</v>
      </c>
      <c r="U6111">
        <v>7.2601319999999997E-2</v>
      </c>
      <c r="V6111">
        <v>2.921048E-2</v>
      </c>
      <c r="W6111">
        <v>1.7720550000000002E-2</v>
      </c>
      <c r="X6111">
        <v>0.99941619999999998</v>
      </c>
      <c r="Y6111">
        <v>2.2417650000000001E-2</v>
      </c>
      <c r="Z6111">
        <v>7.9341160000000004E-4</v>
      </c>
      <c r="AA6111">
        <v>0.99974830000000003</v>
      </c>
      <c r="AB6111">
        <v>19</v>
      </c>
      <c r="AC6111">
        <v>107.1084</v>
      </c>
      <c r="AD6111">
        <v>1.4728920000000001</v>
      </c>
      <c r="AE6111">
        <v>2.58937999999999</v>
      </c>
      <c r="AF6111">
        <v>2.40564658445264</v>
      </c>
      <c r="AG6111">
        <v>1.4728920000000001</v>
      </c>
      <c r="AH6111">
        <v>107.092434428651</v>
      </c>
      <c r="AI6111">
        <v>89.212232911623204</v>
      </c>
      <c r="AJ6111">
        <v>88.713165682276596</v>
      </c>
      <c r="AK6111">
        <v>107.129576019826</v>
      </c>
      <c r="AL6111">
        <v>88.9846341346245</v>
      </c>
      <c r="AM6111">
        <v>88.325861740209703</v>
      </c>
      <c r="AN6111">
        <v>1.00000000542828</v>
      </c>
    </row>
    <row r="6112" spans="1:40" x14ac:dyDescent="0.25">
      <c r="A6112" t="str">
        <f>"20190312160808759"</f>
        <v>20190312160808759</v>
      </c>
      <c r="B6112" t="str">
        <f>"1552378088751997"</f>
        <v>1552378088751997</v>
      </c>
      <c r="C6112" t="s">
        <v>40</v>
      </c>
      <c r="D6112">
        <v>6.0200469999999999</v>
      </c>
      <c r="E6112">
        <v>0.49724560000000001</v>
      </c>
      <c r="F6112" t="s">
        <v>102</v>
      </c>
      <c r="G6112">
        <v>-276.50490000000002</v>
      </c>
      <c r="H6112">
        <v>2.6158229999999998</v>
      </c>
      <c r="I6112">
        <v>19.532430000000002</v>
      </c>
      <c r="J6112">
        <v>-383.48349999999999</v>
      </c>
      <c r="K6112">
        <v>1.1092500000000001</v>
      </c>
      <c r="L6112">
        <v>16.944949999999999</v>
      </c>
      <c r="M6112">
        <v>0.99887409999999999</v>
      </c>
      <c r="N6112">
        <v>0</v>
      </c>
      <c r="O6112">
        <v>4.6373490000000003E-2</v>
      </c>
      <c r="P6112">
        <v>0.99982519999999997</v>
      </c>
      <c r="Q6112">
        <v>7.9687219999999993E-3</v>
      </c>
      <c r="R6112">
        <v>1.6925249999999999E-2</v>
      </c>
      <c r="S6112">
        <v>2.9989620000000001</v>
      </c>
      <c r="T6112">
        <v>4.2187929999999998E-2</v>
      </c>
      <c r="U6112">
        <v>7.2601319999999997E-2</v>
      </c>
      <c r="V6112">
        <v>2.9472990000000001E-2</v>
      </c>
      <c r="W6112">
        <v>1.7957979999999998E-2</v>
      </c>
      <c r="X6112">
        <v>0.99940430000000002</v>
      </c>
      <c r="Y6112">
        <v>2.2179770000000001E-2</v>
      </c>
      <c r="Z6112">
        <v>8.0797399999999896E-4</v>
      </c>
      <c r="AA6112">
        <v>0.99975369999999997</v>
      </c>
      <c r="AB6112">
        <v>19</v>
      </c>
      <c r="AC6112">
        <v>106.97859999999901</v>
      </c>
      <c r="AD6112">
        <v>1.5065729999999899</v>
      </c>
      <c r="AE6112">
        <v>2.5874799999999998</v>
      </c>
      <c r="AF6112">
        <v>2.37605218305153</v>
      </c>
      <c r="AG6112">
        <v>1.5065729999999899</v>
      </c>
      <c r="AH6112">
        <v>106.962292943162</v>
      </c>
      <c r="AI6112">
        <v>89.193236431706893</v>
      </c>
      <c r="AJ6112">
        <v>88.727445232331803</v>
      </c>
      <c r="AK6112">
        <v>106.99928737070999</v>
      </c>
      <c r="AL6112">
        <v>88.971028279002397</v>
      </c>
      <c r="AM6112">
        <v>88.310805098456797</v>
      </c>
      <c r="AN6112">
        <v>1.00000005052185</v>
      </c>
    </row>
    <row r="6113" spans="1:40" x14ac:dyDescent="0.25">
      <c r="A6113" t="str">
        <f>"20190312160808773"</f>
        <v>20190312160808773</v>
      </c>
      <c r="B6113" t="str">
        <f>"1552378088761757"</f>
        <v>1552378088761757</v>
      </c>
      <c r="C6113" t="s">
        <v>40</v>
      </c>
      <c r="D6113">
        <v>5.9157849999999996</v>
      </c>
      <c r="E6113">
        <v>0.49709910000000002</v>
      </c>
      <c r="F6113" t="s">
        <v>102</v>
      </c>
      <c r="G6113">
        <v>-276.49299999999999</v>
      </c>
      <c r="H6113">
        <v>2.6329790000000002</v>
      </c>
      <c r="I6113">
        <v>19.52093</v>
      </c>
      <c r="J6113">
        <v>-383.36810000000003</v>
      </c>
      <c r="K6113">
        <v>1.1092360000000001</v>
      </c>
      <c r="L6113">
        <v>16.950039999999898</v>
      </c>
      <c r="M6113">
        <v>0.99888600000000005</v>
      </c>
      <c r="N6113">
        <v>0</v>
      </c>
      <c r="O6113">
        <v>4.6123339999999999E-2</v>
      </c>
      <c r="P6113">
        <v>0.99983250000000001</v>
      </c>
      <c r="Q6113">
        <v>8.0692590000000005E-3</v>
      </c>
      <c r="R6113">
        <v>1.643907E-2</v>
      </c>
      <c r="S6113">
        <v>2.9989319999999999</v>
      </c>
      <c r="T6113">
        <v>4.2709829999999997E-2</v>
      </c>
      <c r="U6113">
        <v>7.2204589999999999E-2</v>
      </c>
      <c r="V6113">
        <v>2.970915E-2</v>
      </c>
      <c r="W6113">
        <v>1.8023770000000001E-2</v>
      </c>
      <c r="X6113">
        <v>0.99939610000000001</v>
      </c>
      <c r="Y6113">
        <v>2.20612E-2</v>
      </c>
      <c r="Z6113">
        <v>8.1357580000000003E-4</v>
      </c>
      <c r="AA6113">
        <v>0.99975630000000004</v>
      </c>
      <c r="AB6113">
        <v>19</v>
      </c>
      <c r="AC6113">
        <v>106.8751</v>
      </c>
      <c r="AD6113">
        <v>1.5237430000000001</v>
      </c>
      <c r="AE6113">
        <v>2.5708899999999999</v>
      </c>
      <c r="AF6113">
        <v>2.3610482635097201</v>
      </c>
      <c r="AG6113">
        <v>1.5237430000000001</v>
      </c>
      <c r="AH6113">
        <v>106.85822268632501</v>
      </c>
      <c r="AI6113">
        <v>89.1832464958147</v>
      </c>
      <c r="AJ6113">
        <v>88.734247213597499</v>
      </c>
      <c r="AK6113">
        <v>106.895164050171</v>
      </c>
      <c r="AL6113">
        <v>88.967258155673406</v>
      </c>
      <c r="AM6113">
        <v>88.297263958438293</v>
      </c>
      <c r="AN6113">
        <v>1.00000002728697</v>
      </c>
    </row>
    <row r="6114" spans="1:40" x14ac:dyDescent="0.25">
      <c r="A6114" t="str">
        <f>"20190312160808791"</f>
        <v>20190312160808791</v>
      </c>
      <c r="B6114" t="str">
        <f>"1552378088781278"</f>
        <v>1552378088781278</v>
      </c>
      <c r="C6114" t="s">
        <v>40</v>
      </c>
      <c r="D6114">
        <v>5.9642939999999998</v>
      </c>
      <c r="E6114">
        <v>0.49685950000000001</v>
      </c>
      <c r="F6114" t="s">
        <v>102</v>
      </c>
      <c r="G6114">
        <v>-276.48779999999999</v>
      </c>
      <c r="H6114">
        <v>2.6340759999999999</v>
      </c>
      <c r="I6114">
        <v>19.513549999999999</v>
      </c>
      <c r="J6114">
        <v>-383.21289999999999</v>
      </c>
      <c r="K6114">
        <v>1.109219</v>
      </c>
      <c r="L6114">
        <v>16.95682</v>
      </c>
      <c r="M6114">
        <v>0.99890270000000003</v>
      </c>
      <c r="N6114">
        <v>0</v>
      </c>
      <c r="O6114">
        <v>4.5768610000000001E-2</v>
      </c>
      <c r="P6114">
        <v>0.99984030000000002</v>
      </c>
      <c r="Q6114">
        <v>8.2624699999999992E-3</v>
      </c>
      <c r="R6114">
        <v>1.5857179999999998E-2</v>
      </c>
      <c r="S6114">
        <v>2.9989620000000001</v>
      </c>
      <c r="T6114">
        <v>4.2785530000000002E-2</v>
      </c>
      <c r="U6114">
        <v>7.1929930000000003E-2</v>
      </c>
      <c r="V6114">
        <v>2.993614E-2</v>
      </c>
      <c r="W6114">
        <v>1.8174429999999998E-2</v>
      </c>
      <c r="X6114">
        <v>0.99938649999999996</v>
      </c>
      <c r="Y6114">
        <v>2.1797939999999998E-2</v>
      </c>
      <c r="Z6114">
        <v>8.0807800000000005E-4</v>
      </c>
      <c r="AA6114">
        <v>0.99976209999999999</v>
      </c>
      <c r="AB6114">
        <v>19</v>
      </c>
      <c r="AC6114">
        <v>106.7251</v>
      </c>
      <c r="AD6114">
        <v>1.5248569999999999</v>
      </c>
      <c r="AE6114">
        <v>2.5567299999999902</v>
      </c>
      <c r="AF6114">
        <v>2.33037448147059</v>
      </c>
      <c r="AG6114">
        <v>1.5248569999999999</v>
      </c>
      <c r="AH6114">
        <v>106.708501245761</v>
      </c>
      <c r="AI6114">
        <v>89.181498185710495</v>
      </c>
      <c r="AJ6114">
        <v>88.748933773931796</v>
      </c>
      <c r="AK6114">
        <v>106.744836278908</v>
      </c>
      <c r="AL6114">
        <v>88.958624457592094</v>
      </c>
      <c r="AM6114">
        <v>88.284245637045998</v>
      </c>
      <c r="AN6114">
        <v>0.99999992938308402</v>
      </c>
    </row>
    <row r="6115" spans="1:40" x14ac:dyDescent="0.25">
      <c r="A6115" t="str">
        <f>"20190312160808803"</f>
        <v>20190312160808803</v>
      </c>
      <c r="B6115" t="str">
        <f>"1552378088792014"</f>
        <v>1552378088792014</v>
      </c>
      <c r="C6115" t="s">
        <v>40</v>
      </c>
      <c r="D6115">
        <v>6.0679780000000001</v>
      </c>
      <c r="E6115">
        <v>0.49675350000000001</v>
      </c>
      <c r="F6115" t="s">
        <v>102</v>
      </c>
      <c r="G6115">
        <v>-276.49290000000002</v>
      </c>
      <c r="H6115">
        <v>2.6236920000000001</v>
      </c>
      <c r="I6115">
        <v>19.52298</v>
      </c>
      <c r="J6115">
        <v>-383.11020000000002</v>
      </c>
      <c r="K6115">
        <v>1.1092120000000001</v>
      </c>
      <c r="L6115">
        <v>16.961269999999999</v>
      </c>
      <c r="M6115">
        <v>0.99891399999999997</v>
      </c>
      <c r="N6115">
        <v>0</v>
      </c>
      <c r="O6115">
        <v>4.5527360000000003E-2</v>
      </c>
      <c r="P6115">
        <v>0.99984419999999996</v>
      </c>
      <c r="Q6115">
        <v>8.3873009999999998E-3</v>
      </c>
      <c r="R6115">
        <v>1.554471E-2</v>
      </c>
      <c r="S6115">
        <v>2.998993</v>
      </c>
      <c r="T6115">
        <v>4.2559029999999998E-2</v>
      </c>
      <c r="U6115">
        <v>7.2113040000000003E-2</v>
      </c>
      <c r="V6115">
        <v>3.0007260000000001E-2</v>
      </c>
      <c r="W6115">
        <v>1.8272170000000001E-2</v>
      </c>
      <c r="X6115">
        <v>0.99938269999999996</v>
      </c>
      <c r="Y6115">
        <v>2.149583E-2</v>
      </c>
      <c r="Z6115">
        <v>7.9822869999999905E-4</v>
      </c>
      <c r="AA6115">
        <v>0.99976860000000001</v>
      </c>
      <c r="AB6115">
        <v>19</v>
      </c>
      <c r="AC6115">
        <v>106.6173</v>
      </c>
      <c r="AD6115">
        <v>1.5144799999999901</v>
      </c>
      <c r="AE6115">
        <v>2.5617099999999899</v>
      </c>
      <c r="AF6115">
        <v>2.29472601946568</v>
      </c>
      <c r="AG6115">
        <v>1.5144799999999901</v>
      </c>
      <c r="AH6115">
        <v>106.601873050206</v>
      </c>
      <c r="AI6115">
        <v>89.186248991883005</v>
      </c>
      <c r="AJ6115">
        <v>88.766833920699895</v>
      </c>
      <c r="AK6115">
        <v>106.637323461286</v>
      </c>
      <c r="AL6115">
        <v>88.9530235581</v>
      </c>
      <c r="AM6115">
        <v>88.280165388204097</v>
      </c>
      <c r="AN6115">
        <v>1.0000000444542501</v>
      </c>
    </row>
    <row r="6116" spans="1:40" x14ac:dyDescent="0.25">
      <c r="A6116" t="str">
        <f>"20190312160808816"</f>
        <v>20190312160808816</v>
      </c>
      <c r="B6116" t="str">
        <f>"1552378088811534"</f>
        <v>1552378088811534</v>
      </c>
      <c r="C6116" t="s">
        <v>40</v>
      </c>
      <c r="D6116">
        <v>6.0187939999999998</v>
      </c>
      <c r="E6116">
        <v>0.496529</v>
      </c>
      <c r="F6116" t="s">
        <v>102</v>
      </c>
      <c r="G6116">
        <v>-276.49090000000001</v>
      </c>
      <c r="H6116">
        <v>2.6219600000000001</v>
      </c>
      <c r="I6116">
        <v>19.520700000000001</v>
      </c>
      <c r="J6116">
        <v>-383.00209999999998</v>
      </c>
      <c r="K6116">
        <v>1.1092109999999999</v>
      </c>
      <c r="L6116">
        <v>16.965879999999999</v>
      </c>
      <c r="M6116">
        <v>0.99892590000000003</v>
      </c>
      <c r="N6116">
        <v>0</v>
      </c>
      <c r="O6116">
        <v>4.527105E-2</v>
      </c>
      <c r="P6116">
        <v>0.99984700000000004</v>
      </c>
      <c r="Q6116">
        <v>8.5694150000000004E-3</v>
      </c>
      <c r="R6116">
        <v>1.5255680000000001E-2</v>
      </c>
      <c r="S6116">
        <v>2.9989620000000001</v>
      </c>
      <c r="T6116">
        <v>4.2550329999999997E-2</v>
      </c>
      <c r="U6116">
        <v>7.1990970000000001E-2</v>
      </c>
      <c r="V6116">
        <v>3.0039710000000001E-2</v>
      </c>
      <c r="W6116">
        <v>1.8425199999999999E-2</v>
      </c>
      <c r="X6116">
        <v>0.99937889999999996</v>
      </c>
      <c r="Y6116">
        <v>2.1279760000000002E-2</v>
      </c>
      <c r="Z6116">
        <v>7.9290899999999995E-4</v>
      </c>
      <c r="AA6116">
        <v>0.99977329999999998</v>
      </c>
      <c r="AB6116">
        <v>19</v>
      </c>
      <c r="AC6116">
        <v>106.51119999999899</v>
      </c>
      <c r="AD6116">
        <v>1.5127489999999999</v>
      </c>
      <c r="AE6116">
        <v>2.5548199999999999</v>
      </c>
      <c r="AF6116">
        <v>2.26945121820189</v>
      </c>
      <c r="AG6116">
        <v>1.5127489999999999</v>
      </c>
      <c r="AH6116">
        <v>106.496182966498</v>
      </c>
      <c r="AI6116">
        <v>89.186368635722005</v>
      </c>
      <c r="AJ6116">
        <v>88.779202266718102</v>
      </c>
      <c r="AK6116">
        <v>106.531102523172</v>
      </c>
      <c r="AL6116">
        <v>88.944254092643604</v>
      </c>
      <c r="AM6116">
        <v>88.278300126713305</v>
      </c>
      <c r="AN6116">
        <v>1.00000002896856</v>
      </c>
    </row>
    <row r="6117" spans="1:40" x14ac:dyDescent="0.25">
      <c r="A6117" t="str">
        <f>"20190312160808828"</f>
        <v>20190312160808828</v>
      </c>
      <c r="B6117" t="str">
        <f>"1552378088821294"</f>
        <v>1552378088821294</v>
      </c>
      <c r="C6117" t="s">
        <v>40</v>
      </c>
      <c r="D6117">
        <v>6.0674869999999999</v>
      </c>
      <c r="E6117">
        <v>0.49641229999999997</v>
      </c>
      <c r="F6117" t="s">
        <v>102</v>
      </c>
      <c r="G6117">
        <v>-276.51639999999998</v>
      </c>
      <c r="H6117">
        <v>2.6176750000000002</v>
      </c>
      <c r="I6117">
        <v>19.556740000000001</v>
      </c>
      <c r="J6117">
        <v>-382.8963</v>
      </c>
      <c r="K6117">
        <v>1.1092089999999999</v>
      </c>
      <c r="L6117">
        <v>16.97043</v>
      </c>
      <c r="M6117">
        <v>0.99893759999999998</v>
      </c>
      <c r="N6117">
        <v>0</v>
      </c>
      <c r="O6117">
        <v>4.5017210000000002E-2</v>
      </c>
      <c r="P6117">
        <v>0.99984680000000004</v>
      </c>
      <c r="Q6117">
        <v>8.5980520000000001E-3</v>
      </c>
      <c r="R6117">
        <v>1.5254119999999999E-2</v>
      </c>
      <c r="S6117">
        <v>2.998993</v>
      </c>
      <c r="T6117">
        <v>4.2483449999999999E-2</v>
      </c>
      <c r="U6117">
        <v>7.2967530000000003E-2</v>
      </c>
      <c r="V6117">
        <v>2.9787149999999998E-2</v>
      </c>
      <c r="W6117">
        <v>1.8426629999999999E-2</v>
      </c>
      <c r="X6117">
        <v>0.99938640000000001</v>
      </c>
      <c r="Y6117">
        <v>2.0700670000000001E-2</v>
      </c>
      <c r="Z6117">
        <v>7.8395799999999996E-4</v>
      </c>
      <c r="AA6117">
        <v>0.99978540000000005</v>
      </c>
      <c r="AB6117">
        <v>19</v>
      </c>
      <c r="AC6117">
        <v>106.37990000000001</v>
      </c>
      <c r="AD6117">
        <v>1.5084660000000001</v>
      </c>
      <c r="AE6117">
        <v>2.5863099999999899</v>
      </c>
      <c r="AF6117">
        <v>2.2050279886439399</v>
      </c>
      <c r="AG6117">
        <v>1.5084660000000001</v>
      </c>
      <c r="AH6117">
        <v>106.36710209022</v>
      </c>
      <c r="AI6117">
        <v>89.187677594073094</v>
      </c>
      <c r="AJ6117">
        <v>88.812408144016999</v>
      </c>
      <c r="AK6117">
        <v>106.40064861256801</v>
      </c>
      <c r="AL6117">
        <v>88.9441721106937</v>
      </c>
      <c r="AM6117">
        <v>88.292779585478399</v>
      </c>
      <c r="AN6117">
        <v>0.99999999575161902</v>
      </c>
    </row>
    <row r="6118" spans="1:40" x14ac:dyDescent="0.25">
      <c r="A6118" t="str">
        <f>"20190312160808846"</f>
        <v>20190312160808846</v>
      </c>
      <c r="B6118" t="str">
        <f>"1552378088841790"</f>
        <v>1552378088841790</v>
      </c>
      <c r="C6118" t="s">
        <v>40</v>
      </c>
      <c r="D6118">
        <v>6.0813769999999998</v>
      </c>
      <c r="E6118">
        <v>0.4963127</v>
      </c>
      <c r="F6118" t="s">
        <v>102</v>
      </c>
      <c r="G6118">
        <v>-276.53960000000001</v>
      </c>
      <c r="H6118">
        <v>2.6082550000000002</v>
      </c>
      <c r="I6118">
        <v>19.590679999999999</v>
      </c>
      <c r="J6118">
        <v>-382.74270000000001</v>
      </c>
      <c r="K6118">
        <v>1.1092109999999999</v>
      </c>
      <c r="L6118">
        <v>16.976900000000001</v>
      </c>
      <c r="M6118">
        <v>0.99895460000000003</v>
      </c>
      <c r="N6118">
        <v>0</v>
      </c>
      <c r="O6118">
        <v>4.4650099999999998E-2</v>
      </c>
      <c r="P6118">
        <v>0.9998435</v>
      </c>
      <c r="Q6118">
        <v>8.5231209999999998E-3</v>
      </c>
      <c r="R6118">
        <v>1.5516230000000001E-2</v>
      </c>
      <c r="S6118">
        <v>2.9989319999999999</v>
      </c>
      <c r="T6118">
        <v>4.2268630000000001E-2</v>
      </c>
      <c r="U6118">
        <v>7.388306E-2</v>
      </c>
      <c r="V6118">
        <v>2.9157410000000002E-2</v>
      </c>
      <c r="W6118">
        <v>1.8313159999999998E-2</v>
      </c>
      <c r="X6118">
        <v>0.99940709999999999</v>
      </c>
      <c r="Y6118">
        <v>2.002787E-2</v>
      </c>
      <c r="Z6118">
        <v>7.7009729999999996E-4</v>
      </c>
      <c r="AA6118">
        <v>0.99979910000000005</v>
      </c>
      <c r="AB6118">
        <v>19</v>
      </c>
      <c r="AC6118">
        <v>106.20310000000001</v>
      </c>
      <c r="AD6118">
        <v>1.4990439999999901</v>
      </c>
      <c r="AE6118">
        <v>2.61377999999999</v>
      </c>
      <c r="AF6118">
        <v>2.1306096296278301</v>
      </c>
      <c r="AG6118">
        <v>1.4990439999999901</v>
      </c>
      <c r="AH6118">
        <v>106.19273927249</v>
      </c>
      <c r="AI6118">
        <v>89.191414476870705</v>
      </c>
      <c r="AJ6118">
        <v>88.850594080149904</v>
      </c>
      <c r="AK6118">
        <v>106.224688771033</v>
      </c>
      <c r="AL6118">
        <v>88.950674605397793</v>
      </c>
      <c r="AM6118">
        <v>88.328886403936707</v>
      </c>
      <c r="AN6118">
        <v>1.00000003895875</v>
      </c>
    </row>
    <row r="6119" spans="1:40" x14ac:dyDescent="0.25">
      <c r="A6119" t="str">
        <f>"20190312160808858"</f>
        <v>20190312160808858</v>
      </c>
      <c r="B6119" t="str">
        <f>"1552378088851550"</f>
        <v>1552378088851550</v>
      </c>
      <c r="C6119" t="s">
        <v>40</v>
      </c>
      <c r="D6119">
        <v>6.1114389999999998</v>
      </c>
      <c r="E6119">
        <v>0.49632090000000001</v>
      </c>
      <c r="F6119" t="s">
        <v>102</v>
      </c>
      <c r="G6119">
        <v>-276.57819999999998</v>
      </c>
      <c r="H6119">
        <v>2.5824549999999999</v>
      </c>
      <c r="I6119">
        <v>19.649719999999999</v>
      </c>
      <c r="J6119">
        <v>-382.63459999999998</v>
      </c>
      <c r="K6119">
        <v>1.1092109999999999</v>
      </c>
      <c r="L6119">
        <v>16.981479999999902</v>
      </c>
      <c r="M6119">
        <v>0.99896620000000003</v>
      </c>
      <c r="N6119">
        <v>0</v>
      </c>
      <c r="O6119">
        <v>4.4393710000000003E-2</v>
      </c>
      <c r="P6119">
        <v>0.99983829999999996</v>
      </c>
      <c r="Q6119">
        <v>8.7267249999999994E-3</v>
      </c>
      <c r="R6119">
        <v>1.5729730000000001E-2</v>
      </c>
      <c r="S6119">
        <v>2.9988709999999998</v>
      </c>
      <c r="T6119">
        <v>4.1615369999999999E-2</v>
      </c>
      <c r="U6119">
        <v>7.5500490000000003E-2</v>
      </c>
      <c r="V6119">
        <v>2.868739E-2</v>
      </c>
      <c r="W6119">
        <v>1.8491469999999999E-2</v>
      </c>
      <c r="X6119">
        <v>0.99941740000000001</v>
      </c>
      <c r="Y6119">
        <v>1.923215E-2</v>
      </c>
      <c r="Z6119">
        <v>7.4913140000000002E-4</v>
      </c>
      <c r="AA6119">
        <v>0.99981469999999995</v>
      </c>
      <c r="AB6119">
        <v>19</v>
      </c>
      <c r="AC6119">
        <v>106.0564</v>
      </c>
      <c r="AD6119">
        <v>1.47324399999999</v>
      </c>
      <c r="AE6119">
        <v>2.6682399999999999</v>
      </c>
      <c r="AF6119">
        <v>2.0424594038309101</v>
      </c>
      <c r="AG6119">
        <v>1.47324399999999</v>
      </c>
      <c r="AH6119">
        <v>106.04983830638101</v>
      </c>
      <c r="AI6119">
        <v>89.204245969315593</v>
      </c>
      <c r="AJ6119">
        <v>88.896652369775296</v>
      </c>
      <c r="AK6119">
        <v>106.079735544115</v>
      </c>
      <c r="AL6119">
        <v>88.940456445061102</v>
      </c>
      <c r="AM6119">
        <v>88.3558269293693</v>
      </c>
      <c r="AN6119">
        <v>1.0000000201152599</v>
      </c>
    </row>
    <row r="6120" spans="1:40" x14ac:dyDescent="0.25">
      <c r="A6120" t="str">
        <f>"20190312160808869"</f>
        <v>20190312160808869</v>
      </c>
      <c r="B6120" t="str">
        <f>"1552378088861309"</f>
        <v>1552378088861309</v>
      </c>
      <c r="C6120" t="s">
        <v>40</v>
      </c>
      <c r="D6120">
        <v>6.0621140000000002</v>
      </c>
      <c r="E6120">
        <v>0.49632090000000001</v>
      </c>
      <c r="F6120" t="s">
        <v>102</v>
      </c>
      <c r="G6120">
        <v>-276.59379999999999</v>
      </c>
      <c r="H6120">
        <v>2.5807099999999998</v>
      </c>
      <c r="I6120">
        <v>19.67164</v>
      </c>
      <c r="J6120">
        <v>-382.5376</v>
      </c>
      <c r="K6120">
        <v>1.10921</v>
      </c>
      <c r="L6120">
        <v>16.985529999999901</v>
      </c>
      <c r="M6120">
        <v>0.99897650000000004</v>
      </c>
      <c r="N6120">
        <v>0</v>
      </c>
      <c r="O6120">
        <v>4.4165669999999997E-2</v>
      </c>
      <c r="P6120">
        <v>0.99983330000000004</v>
      </c>
      <c r="Q6120">
        <v>8.6996119999999903E-3</v>
      </c>
      <c r="R6120">
        <v>1.606233E-2</v>
      </c>
      <c r="S6120">
        <v>2.9989319999999999</v>
      </c>
      <c r="T6120">
        <v>4.1615369999999999E-2</v>
      </c>
      <c r="U6120">
        <v>7.6080320000000007E-2</v>
      </c>
      <c r="V6120">
        <v>2.8126149999999999E-2</v>
      </c>
      <c r="W6120">
        <v>1.8442839999999999E-2</v>
      </c>
      <c r="X6120">
        <v>0.99943419999999905</v>
      </c>
      <c r="Y6120">
        <v>1.8811290000000001E-2</v>
      </c>
      <c r="Z6120">
        <v>7.430332E-4</v>
      </c>
      <c r="AA6120">
        <v>0.99982280000000001</v>
      </c>
      <c r="AB6120">
        <v>19</v>
      </c>
      <c r="AC6120">
        <v>105.9438</v>
      </c>
      <c r="AD6120">
        <v>1.47149999999999</v>
      </c>
      <c r="AE6120">
        <v>2.6861100000000002</v>
      </c>
      <c r="AF6120">
        <v>1.99542858778861</v>
      </c>
      <c r="AG6120">
        <v>1.47149999999999</v>
      </c>
      <c r="AH6120">
        <v>105.938627693914</v>
      </c>
      <c r="AI6120">
        <v>89.2043471709583</v>
      </c>
      <c r="AJ6120">
        <v>88.920921282434705</v>
      </c>
      <c r="AK6120">
        <v>105.967636027084</v>
      </c>
      <c r="AL6120">
        <v>88.943243160392797</v>
      </c>
      <c r="AM6120">
        <v>88.388003467173604</v>
      </c>
      <c r="AN6120">
        <v>0.99999996939536295</v>
      </c>
    </row>
    <row r="6121" spans="1:40" x14ac:dyDescent="0.25">
      <c r="A6121" t="str">
        <f>"20190312160809012"</f>
        <v>20190312160809012</v>
      </c>
      <c r="B6121" t="str">
        <f>"1552378089001853"</f>
        <v>1552378089001853</v>
      </c>
      <c r="C6121" t="s">
        <v>40</v>
      </c>
      <c r="D6121">
        <v>7.6141059999999996</v>
      </c>
      <c r="E6121">
        <v>0.49632090000000001</v>
      </c>
      <c r="F6121" t="s">
        <v>102</v>
      </c>
      <c r="G6121">
        <v>-276.61959999999999</v>
      </c>
      <c r="H6121">
        <v>2.5757189999999999</v>
      </c>
      <c r="I6121">
        <v>19.708189999999998</v>
      </c>
      <c r="J6121">
        <v>-381.28550000000001</v>
      </c>
      <c r="K6121">
        <v>1.1091139999999999</v>
      </c>
      <c r="L6121">
        <v>17.03604</v>
      </c>
      <c r="M6121">
        <v>0.99907729999999995</v>
      </c>
      <c r="N6121">
        <v>0</v>
      </c>
      <c r="O6121">
        <v>4.1935559999999997E-2</v>
      </c>
      <c r="P6121">
        <v>0.99986399999999998</v>
      </c>
      <c r="Q6121">
        <v>7.9316109999999999E-3</v>
      </c>
      <c r="R6121">
        <v>1.4453540000000001E-2</v>
      </c>
      <c r="S6121">
        <v>2.998901</v>
      </c>
      <c r="T6121">
        <v>4.1522150000000001E-2</v>
      </c>
      <c r="U6121">
        <v>7.7087399999999903E-2</v>
      </c>
      <c r="V6121">
        <v>2.7502410000000001E-2</v>
      </c>
      <c r="W6121">
        <v>1.7181330000000002E-2</v>
      </c>
      <c r="X6121">
        <v>0.99947399999999997</v>
      </c>
      <c r="Y6121">
        <v>1.6243830000000001E-2</v>
      </c>
      <c r="Z6121">
        <v>6.9275659999999998E-4</v>
      </c>
      <c r="AA6121">
        <v>0.99986779999999997</v>
      </c>
      <c r="AB6121">
        <v>20</v>
      </c>
      <c r="AC6121">
        <v>104.66589999999999</v>
      </c>
      <c r="AD6121">
        <v>1.4666049999999999</v>
      </c>
      <c r="AE6121">
        <v>2.67214999999999</v>
      </c>
      <c r="AF6121">
        <v>1.71927528238577</v>
      </c>
      <c r="AG6121">
        <v>1.4666049999999999</v>
      </c>
      <c r="AH6121">
        <v>104.66534529771</v>
      </c>
      <c r="AI6121">
        <v>89.197313636317801</v>
      </c>
      <c r="AJ6121">
        <v>89.058920995342604</v>
      </c>
      <c r="AK6121">
        <v>104.68973848477999</v>
      </c>
      <c r="AL6121">
        <v>89.015533794871899</v>
      </c>
      <c r="AM6121">
        <v>88.423796430671501</v>
      </c>
      <c r="AN6121">
        <v>0.99999992866618503</v>
      </c>
    </row>
    <row r="6122" spans="1:40" x14ac:dyDescent="0.25">
      <c r="A6122" t="str">
        <f>"20190312160809024"</f>
        <v>20190312160809024</v>
      </c>
      <c r="B6122" t="str">
        <f>"1552378089021373"</f>
        <v>1552378089021373</v>
      </c>
      <c r="C6122" t="s">
        <v>40</v>
      </c>
      <c r="D6122">
        <v>6.4465510000000004</v>
      </c>
      <c r="E6122">
        <v>0.4134524</v>
      </c>
      <c r="F6122" t="s">
        <v>102</v>
      </c>
      <c r="G6122">
        <v>-276.65280000000001</v>
      </c>
      <c r="H6122">
        <v>2.475247</v>
      </c>
      <c r="I6122">
        <v>19.558319999999998</v>
      </c>
      <c r="J6122">
        <v>-381.1875</v>
      </c>
      <c r="K6122">
        <v>1.109154</v>
      </c>
      <c r="L6122">
        <v>17.03979</v>
      </c>
      <c r="M6122">
        <v>0.99908169999999996</v>
      </c>
      <c r="N6122">
        <v>0</v>
      </c>
      <c r="O6122">
        <v>4.1822959999999999E-2</v>
      </c>
      <c r="P6122">
        <v>0.99986120000000001</v>
      </c>
      <c r="Q6122">
        <v>7.9500100000000004E-3</v>
      </c>
      <c r="R6122">
        <v>1.464703E-2</v>
      </c>
      <c r="S6122">
        <v>2.9990839999999999</v>
      </c>
      <c r="T6122">
        <v>3.915751E-2</v>
      </c>
      <c r="U6122">
        <v>7.2296139999999995E-2</v>
      </c>
      <c r="V6122">
        <v>2.7194139999999999E-2</v>
      </c>
      <c r="W6122">
        <v>1.7243789999999998E-2</v>
      </c>
      <c r="X6122">
        <v>0.99948139999999996</v>
      </c>
      <c r="Y6122">
        <v>1.7729580000000002E-2</v>
      </c>
      <c r="Z6122">
        <v>6.6151519999999996E-4</v>
      </c>
      <c r="AA6122">
        <v>0.99984260000000003</v>
      </c>
      <c r="AB6122">
        <v>20</v>
      </c>
      <c r="AC6122">
        <v>104.5347</v>
      </c>
      <c r="AD6122">
        <v>1.36609299999999</v>
      </c>
      <c r="AE6122">
        <v>2.5185300000000002</v>
      </c>
      <c r="AF6122">
        <v>1.8554969984412799</v>
      </c>
      <c r="AG6122">
        <v>1.36609299999999</v>
      </c>
      <c r="AH6122">
        <v>104.530723538766</v>
      </c>
      <c r="AI6122">
        <v>89.251372430513996</v>
      </c>
      <c r="AJ6122">
        <v>88.983064696111995</v>
      </c>
      <c r="AK6122">
        <v>104.556115281383</v>
      </c>
      <c r="AL6122">
        <v>89.011954610073502</v>
      </c>
      <c r="AM6122">
        <v>88.441466608107007</v>
      </c>
      <c r="AN6122">
        <v>0.99999996924493095</v>
      </c>
    </row>
    <row r="6123" spans="1:40" x14ac:dyDescent="0.25">
      <c r="A6123" t="str">
        <f>"20190312160809036"</f>
        <v>20190312160809036</v>
      </c>
      <c r="B6123" t="str">
        <f>"1552378089032109"</f>
        <v>1552378089032109</v>
      </c>
      <c r="C6123" t="s">
        <v>40</v>
      </c>
      <c r="D6123">
        <v>6.1554289999999998</v>
      </c>
      <c r="E6123">
        <v>0.41857030000000001</v>
      </c>
      <c r="F6123" t="s">
        <v>97</v>
      </c>
      <c r="G6123">
        <v>-369.12290000000002</v>
      </c>
      <c r="H6123" s="1">
        <v>-5.2594679999999995E-7</v>
      </c>
      <c r="I6123">
        <v>20.03304</v>
      </c>
      <c r="J6123">
        <v>-381.08240000000001</v>
      </c>
      <c r="K6123">
        <v>1.109218</v>
      </c>
      <c r="L6123">
        <v>17.043849999999999</v>
      </c>
      <c r="M6123">
        <v>0.99908949999999996</v>
      </c>
      <c r="N6123">
        <v>0</v>
      </c>
      <c r="O6123">
        <v>4.1617769999999998E-2</v>
      </c>
      <c r="P6123">
        <v>0.99985950000000001</v>
      </c>
      <c r="Q6123">
        <v>8.0338030000000008E-3</v>
      </c>
      <c r="R6123">
        <v>1.472E-2</v>
      </c>
      <c r="S6123">
        <v>2.99173</v>
      </c>
      <c r="T6123">
        <v>-0.27504190000000001</v>
      </c>
      <c r="U6123">
        <v>0.74224849999999998</v>
      </c>
      <c r="V6123">
        <v>2.691296E-2</v>
      </c>
      <c r="W6123">
        <v>1.7411610000000001E-2</v>
      </c>
      <c r="X6123">
        <v>0.99948610000000004</v>
      </c>
      <c r="Y6123">
        <v>-0.1995701</v>
      </c>
      <c r="Z6123">
        <v>5.2625190000000002E-3</v>
      </c>
      <c r="AA6123">
        <v>0.9798694</v>
      </c>
      <c r="AB6123">
        <v>20</v>
      </c>
      <c r="AC6123">
        <v>11.959499999999901</v>
      </c>
      <c r="AD6123">
        <v>-1.1092185259467999</v>
      </c>
      <c r="AE6123">
        <v>2.9891899999999998</v>
      </c>
      <c r="AF6123">
        <v>-2.4688614550375498</v>
      </c>
      <c r="AG6123">
        <v>-1.1092185259467999</v>
      </c>
      <c r="AH6123">
        <v>11.976579390638801</v>
      </c>
      <c r="AI6123">
        <v>95.183024490608403</v>
      </c>
      <c r="AJ6123">
        <v>101.647838125108</v>
      </c>
      <c r="AK6123">
        <v>12.2786031991733</v>
      </c>
      <c r="AL6123">
        <v>89.002337786812802</v>
      </c>
      <c r="AM6123">
        <v>88.457580843263202</v>
      </c>
      <c r="AN6123">
        <v>0.999999967835981</v>
      </c>
    </row>
    <row r="6124" spans="1:40" x14ac:dyDescent="0.25">
      <c r="A6124" t="str">
        <f>"20190312160809048"</f>
        <v>20190312160809048</v>
      </c>
      <c r="B6124" t="str">
        <f>"1552378089041870"</f>
        <v>1552378089041870</v>
      </c>
      <c r="C6124" t="s">
        <v>40</v>
      </c>
      <c r="D6124">
        <v>6.0269879999999896</v>
      </c>
      <c r="E6124">
        <v>0.41988629999999999</v>
      </c>
      <c r="F6124" t="s">
        <v>97</v>
      </c>
      <c r="G6124">
        <v>-365.99630000000002</v>
      </c>
      <c r="H6124" s="1">
        <v>-2.147952E-6</v>
      </c>
      <c r="I6124">
        <v>20.57452</v>
      </c>
      <c r="J6124">
        <v>-380.97210000000001</v>
      </c>
      <c r="K6124">
        <v>1.109345</v>
      </c>
      <c r="L6124">
        <v>17.048069999999999</v>
      </c>
      <c r="M6124">
        <v>0.99910940000000004</v>
      </c>
      <c r="N6124">
        <v>0</v>
      </c>
      <c r="O6124">
        <v>4.1099179999999999E-2</v>
      </c>
      <c r="P6124">
        <v>0.99986730000000001</v>
      </c>
      <c r="Q6124">
        <v>7.74229699999999E-3</v>
      </c>
      <c r="R6124">
        <v>1.434204E-2</v>
      </c>
      <c r="S6124">
        <v>2.9918520000000002</v>
      </c>
      <c r="T6124">
        <v>-0.2199789</v>
      </c>
      <c r="U6124">
        <v>0.70019529999999996</v>
      </c>
      <c r="V6124">
        <v>2.6767289999999999E-2</v>
      </c>
      <c r="W6124">
        <v>1.730052E-2</v>
      </c>
      <c r="X6124">
        <v>0.99949200000000005</v>
      </c>
      <c r="Y6124">
        <v>-0.18729109999999999</v>
      </c>
      <c r="Z6124">
        <v>3.8111E-3</v>
      </c>
      <c r="AA6124">
        <v>0.98229710000000003</v>
      </c>
      <c r="AB6124">
        <v>20</v>
      </c>
      <c r="AC6124">
        <v>14.9757999999999</v>
      </c>
      <c r="AD6124">
        <v>-1.1093471479520001</v>
      </c>
      <c r="AE6124">
        <v>3.5264499999999899</v>
      </c>
      <c r="AF6124">
        <v>-2.8929087888155198</v>
      </c>
      <c r="AG6124">
        <v>-1.1093471479520001</v>
      </c>
      <c r="AH6124">
        <v>15.0299459068167</v>
      </c>
      <c r="AI6124">
        <v>94.1454787067197</v>
      </c>
      <c r="AJ6124">
        <v>100.894844258988</v>
      </c>
      <c r="AK6124">
        <v>15.3459716641506</v>
      </c>
      <c r="AL6124">
        <v>89.0087037926465</v>
      </c>
      <c r="AM6124">
        <v>88.465934444587106</v>
      </c>
      <c r="AN6124">
        <v>1.0000000269350999</v>
      </c>
    </row>
    <row r="6125" spans="1:40" x14ac:dyDescent="0.25">
      <c r="A6125" t="str">
        <f>"20190312160809060"</f>
        <v>20190312160809060</v>
      </c>
      <c r="B6125" t="str">
        <f>"1552378089051631"</f>
        <v>1552378089051631</v>
      </c>
      <c r="C6125" t="s">
        <v>40</v>
      </c>
      <c r="D6125">
        <v>6.0570360000000001</v>
      </c>
      <c r="E6125">
        <v>0.42165540000000001</v>
      </c>
      <c r="F6125" t="s">
        <v>97</v>
      </c>
      <c r="G6125">
        <v>-363.77429999999998</v>
      </c>
      <c r="H6125" s="1">
        <v>-3.3118810000000001E-6</v>
      </c>
      <c r="I6125">
        <v>21.001300000000001</v>
      </c>
      <c r="J6125">
        <v>-380.86759999999998</v>
      </c>
      <c r="K6125">
        <v>1.109416</v>
      </c>
      <c r="L6125">
        <v>17.052150000000001</v>
      </c>
      <c r="M6125">
        <v>0.99913050000000003</v>
      </c>
      <c r="N6125">
        <v>0</v>
      </c>
      <c r="O6125">
        <v>4.0554409999999999E-2</v>
      </c>
      <c r="P6125">
        <v>0.99987000000000004</v>
      </c>
      <c r="Q6125">
        <v>7.56645699999999E-3</v>
      </c>
      <c r="R6125">
        <v>1.422996E-2</v>
      </c>
      <c r="S6125">
        <v>2.992035</v>
      </c>
      <c r="T6125">
        <v>-0.1930017</v>
      </c>
      <c r="U6125">
        <v>0.68777469999999996</v>
      </c>
      <c r="V6125">
        <v>2.6331170000000001E-2</v>
      </c>
      <c r="W6125">
        <v>1.723711E-2</v>
      </c>
      <c r="X6125">
        <v>0.99950459999999997</v>
      </c>
      <c r="Y6125">
        <v>-0.18403359999999999</v>
      </c>
      <c r="Z6125">
        <v>3.276957E-3</v>
      </c>
      <c r="AA6125">
        <v>0.98291450000000002</v>
      </c>
      <c r="AB6125">
        <v>20</v>
      </c>
      <c r="AC6125">
        <v>17.093299999999999</v>
      </c>
      <c r="AD6125">
        <v>-1.1094193118809901</v>
      </c>
      <c r="AE6125">
        <v>3.9491499999999999</v>
      </c>
      <c r="AF6125">
        <v>-3.2397040142872999</v>
      </c>
      <c r="AG6125">
        <v>-1.1094193118809901</v>
      </c>
      <c r="AH6125">
        <v>17.170733063544098</v>
      </c>
      <c r="AI6125">
        <v>93.632881613808493</v>
      </c>
      <c r="AJ6125">
        <v>100.68472892879601</v>
      </c>
      <c r="AK6125">
        <v>17.508871101508799</v>
      </c>
      <c r="AL6125">
        <v>89.012337380761807</v>
      </c>
      <c r="AM6125">
        <v>88.490936367496602</v>
      </c>
      <c r="AN6125">
        <v>0.99999994694793903</v>
      </c>
    </row>
    <row r="6126" spans="1:40" x14ac:dyDescent="0.25">
      <c r="A6126" t="str">
        <f>"20190312160809073"</f>
        <v>20190312160809073</v>
      </c>
      <c r="B6126" t="str">
        <f>"1552378089061389"</f>
        <v>1552378089061389</v>
      </c>
      <c r="C6126" t="s">
        <v>40</v>
      </c>
      <c r="D6126">
        <v>6.0669389999999996</v>
      </c>
      <c r="E6126">
        <v>0.42294490000000001</v>
      </c>
      <c r="F6126" t="s">
        <v>97</v>
      </c>
      <c r="G6126">
        <v>-362.59269999999998</v>
      </c>
      <c r="H6126" s="1">
        <v>-3.9134889999999998E-6</v>
      </c>
      <c r="I6126">
        <v>21.163160000000001</v>
      </c>
      <c r="J6126">
        <v>-380.75909999999999</v>
      </c>
      <c r="K6126">
        <v>1.1094539999999999</v>
      </c>
      <c r="L6126">
        <v>17.056370000000001</v>
      </c>
      <c r="M6126">
        <v>0.9991546</v>
      </c>
      <c r="N6126">
        <v>0</v>
      </c>
      <c r="O6126">
        <v>3.9943380000000001E-2</v>
      </c>
      <c r="P6126">
        <v>0.99988100000000002</v>
      </c>
      <c r="Q6126">
        <v>7.1873429999999997E-3</v>
      </c>
      <c r="R6126">
        <v>1.366329E-2</v>
      </c>
      <c r="S6126">
        <v>2.9921570000000002</v>
      </c>
      <c r="T6126">
        <v>-0.18164540000000001</v>
      </c>
      <c r="U6126">
        <v>0.67309569999999996</v>
      </c>
      <c r="V6126">
        <v>2.6283819999999999E-2</v>
      </c>
      <c r="W6126">
        <v>1.6926739999999999E-2</v>
      </c>
      <c r="X6126">
        <v>0.99951120000000004</v>
      </c>
      <c r="Y6126">
        <v>-0.1800773</v>
      </c>
      <c r="Z6126">
        <v>3.00396E-3</v>
      </c>
      <c r="AA6126">
        <v>0.98364790000000002</v>
      </c>
      <c r="AB6126">
        <v>20</v>
      </c>
      <c r="AC6126">
        <v>18.166399999999999</v>
      </c>
      <c r="AD6126">
        <v>-1.1094579134889999</v>
      </c>
      <c r="AE6126">
        <v>4.1067900000000002</v>
      </c>
      <c r="AF6126">
        <v>-3.3659067744202402</v>
      </c>
      <c r="AG6126">
        <v>-1.1094579134889999</v>
      </c>
      <c r="AH6126">
        <v>18.251184413651199</v>
      </c>
      <c r="AI6126">
        <v>93.421080125701295</v>
      </c>
      <c r="AJ6126">
        <v>100.449153849345</v>
      </c>
      <c r="AK6126">
        <v>18.592093958911601</v>
      </c>
      <c r="AL6126">
        <v>89.030122915779103</v>
      </c>
      <c r="AM6126">
        <v>88.493658730432202</v>
      </c>
      <c r="AN6126">
        <v>0.99999999632312997</v>
      </c>
    </row>
    <row r="6127" spans="1:40" x14ac:dyDescent="0.25">
      <c r="A6127" t="str">
        <f>"20190312160809084"</f>
        <v>20190312160809084</v>
      </c>
      <c r="B6127" t="str">
        <f>"1552378089081886"</f>
        <v>1552378089081886</v>
      </c>
      <c r="C6127" t="s">
        <v>40</v>
      </c>
      <c r="D6127">
        <v>6.1920699999999904</v>
      </c>
      <c r="E6127">
        <v>0.4246202</v>
      </c>
      <c r="F6127" t="s">
        <v>97</v>
      </c>
      <c r="G6127">
        <v>-361.85309999999998</v>
      </c>
      <c r="H6127" s="1">
        <v>-4.2814479999999998E-6</v>
      </c>
      <c r="I6127">
        <v>21.23218</v>
      </c>
      <c r="J6127">
        <v>-380.6542</v>
      </c>
      <c r="K6127">
        <v>1.1093839999999999</v>
      </c>
      <c r="L6127">
        <v>17.060389999999899</v>
      </c>
      <c r="M6127">
        <v>0.99917199999999995</v>
      </c>
      <c r="N6127">
        <v>0</v>
      </c>
      <c r="O6127">
        <v>3.9518619999999997E-2</v>
      </c>
      <c r="P6127">
        <v>0.99988589999999999</v>
      </c>
      <c r="Q6127">
        <v>7.0404369999999897E-3</v>
      </c>
      <c r="R6127">
        <v>1.3372210000000001E-2</v>
      </c>
      <c r="S6127">
        <v>2.9925839999999999</v>
      </c>
      <c r="T6127">
        <v>-0.17561360000000001</v>
      </c>
      <c r="U6127">
        <v>0.66098020000000002</v>
      </c>
      <c r="V6127">
        <v>2.6150639999999999E-2</v>
      </c>
      <c r="W6127">
        <v>1.672268E-2</v>
      </c>
      <c r="X6127">
        <v>0.99951820000000002</v>
      </c>
      <c r="Y6127">
        <v>-0.17669119999999999</v>
      </c>
      <c r="Z6127">
        <v>2.8316449999999998E-3</v>
      </c>
      <c r="AA6127">
        <v>0.98426230000000003</v>
      </c>
      <c r="AB6127">
        <v>20</v>
      </c>
      <c r="AC6127">
        <v>18.801100000000002</v>
      </c>
      <c r="AD6127">
        <v>-1.1093882814479901</v>
      </c>
      <c r="AE6127">
        <v>4.1717899999999997</v>
      </c>
      <c r="AF6127">
        <v>-3.4141729734554702</v>
      </c>
      <c r="AG6127">
        <v>-1.1093882814479901</v>
      </c>
      <c r="AH6127">
        <v>18.888603163622399</v>
      </c>
      <c r="AI6127">
        <v>93.307823672287398</v>
      </c>
      <c r="AJ6127">
        <v>100.24576174014599</v>
      </c>
      <c r="AK6127">
        <v>19.226717060499201</v>
      </c>
      <c r="AL6127">
        <v>89.041816416510301</v>
      </c>
      <c r="AM6127">
        <v>88.501298356314607</v>
      </c>
      <c r="AN6127">
        <v>1.0000000680650101</v>
      </c>
    </row>
    <row r="6128" spans="1:40" x14ac:dyDescent="0.25">
      <c r="A6128" t="str">
        <f>"20190312160809102"</f>
        <v>20190312160809102</v>
      </c>
      <c r="B6128" t="str">
        <f>"1552378089091645"</f>
        <v>1552378089091645</v>
      </c>
      <c r="C6128" t="s">
        <v>40</v>
      </c>
      <c r="D6128">
        <v>6.1609249999999998</v>
      </c>
      <c r="E6128">
        <v>0.42627090000000001</v>
      </c>
      <c r="F6128" t="s">
        <v>97</v>
      </c>
      <c r="G6128">
        <v>-362.43400000000003</v>
      </c>
      <c r="H6128" s="1">
        <v>-3.9446700000000001E-6</v>
      </c>
      <c r="I6128">
        <v>20.998419999999999</v>
      </c>
      <c r="J6128">
        <v>-380.49869999999999</v>
      </c>
      <c r="K6128">
        <v>1.109245</v>
      </c>
      <c r="L6128">
        <v>17.06625</v>
      </c>
      <c r="M6128">
        <v>0.99919060000000004</v>
      </c>
      <c r="N6128">
        <v>0</v>
      </c>
      <c r="O6128">
        <v>3.9076069999999997E-2</v>
      </c>
      <c r="P6128">
        <v>0.99988829999999995</v>
      </c>
      <c r="Q6128">
        <v>6.7744909999999997E-3</v>
      </c>
      <c r="R6128">
        <v>1.333938E-2</v>
      </c>
      <c r="S6128">
        <v>2.99295</v>
      </c>
      <c r="T6128">
        <v>-0.18223400000000001</v>
      </c>
      <c r="U6128">
        <v>0.64688109999999999</v>
      </c>
      <c r="V6128">
        <v>2.574338E-2</v>
      </c>
      <c r="W6128">
        <v>1.6336969999999999E-2</v>
      </c>
      <c r="X6128">
        <v>0.99953510000000001</v>
      </c>
      <c r="Y6128">
        <v>-0.1726637</v>
      </c>
      <c r="Z6128">
        <v>2.8447049999999999E-3</v>
      </c>
      <c r="AA6128">
        <v>0.98497670000000004</v>
      </c>
      <c r="AB6128">
        <v>20</v>
      </c>
      <c r="AC6128">
        <v>18.064699999999899</v>
      </c>
      <c r="AD6128">
        <v>-1.10924894467</v>
      </c>
      <c r="AE6128">
        <v>3.93216999999999</v>
      </c>
      <c r="AF6128">
        <v>-3.21167506381608</v>
      </c>
      <c r="AG6128">
        <v>-1.10924894467</v>
      </c>
      <c r="AH6128">
        <v>18.139262628303999</v>
      </c>
      <c r="AI6128">
        <v>93.445919450921906</v>
      </c>
      <c r="AJ6128">
        <v>100.04053511305401</v>
      </c>
      <c r="AK6128">
        <v>18.454759240786</v>
      </c>
      <c r="AL6128">
        <v>89.063918942416095</v>
      </c>
      <c r="AM6128">
        <v>88.524653095513401</v>
      </c>
      <c r="AN6128">
        <v>1.0000000171673</v>
      </c>
    </row>
    <row r="6129" spans="1:40" x14ac:dyDescent="0.25">
      <c r="A6129" t="str">
        <f>"20190312160809115"</f>
        <v>20190312160809115</v>
      </c>
      <c r="B6129" t="str">
        <f>"1552378089111165"</f>
        <v>1552378089111165</v>
      </c>
      <c r="C6129" t="s">
        <v>40</v>
      </c>
      <c r="D6129">
        <v>6.1817359999999999</v>
      </c>
      <c r="E6129">
        <v>0.4293208</v>
      </c>
      <c r="F6129" t="s">
        <v>97</v>
      </c>
      <c r="G6129">
        <v>-361.91199999999998</v>
      </c>
      <c r="H6129" s="1">
        <v>-4.1917939999999997E-6</v>
      </c>
      <c r="I6129">
        <v>20.99973</v>
      </c>
      <c r="J6129">
        <v>-380.39139999999998</v>
      </c>
      <c r="K6129">
        <v>1.1091260000000001</v>
      </c>
      <c r="L6129">
        <v>17.070219999999999</v>
      </c>
      <c r="M6129">
        <v>0.99919829999999998</v>
      </c>
      <c r="N6129">
        <v>0</v>
      </c>
      <c r="O6129">
        <v>3.8900079999999997E-2</v>
      </c>
      <c r="P6129">
        <v>0.99989189999999994</v>
      </c>
      <c r="Q6129">
        <v>6.5189599999999999E-3</v>
      </c>
      <c r="R6129">
        <v>1.319627E-2</v>
      </c>
      <c r="S6129">
        <v>2.9931030000000001</v>
      </c>
      <c r="T6129">
        <v>-0.178626799999999</v>
      </c>
      <c r="U6129">
        <v>0.63342290000000001</v>
      </c>
      <c r="V6129">
        <v>2.57129E-2</v>
      </c>
      <c r="W6129">
        <v>1.598511E-2</v>
      </c>
      <c r="X6129">
        <v>0.99954160000000003</v>
      </c>
      <c r="Y6129">
        <v>-0.1686059</v>
      </c>
      <c r="Z6129">
        <v>2.6802969999999999E-3</v>
      </c>
      <c r="AA6129">
        <v>0.98567990000000005</v>
      </c>
      <c r="AB6129">
        <v>20</v>
      </c>
      <c r="AC6129">
        <v>18.479399999999998</v>
      </c>
      <c r="AD6129">
        <v>-1.109130191794</v>
      </c>
      <c r="AE6129">
        <v>3.9295099999999898</v>
      </c>
      <c r="AF6129">
        <v>-3.1966358627114002</v>
      </c>
      <c r="AG6129">
        <v>-1.109130191794</v>
      </c>
      <c r="AH6129">
        <v>18.5543287152048</v>
      </c>
      <c r="AI6129">
        <v>93.371372079466695</v>
      </c>
      <c r="AJ6129">
        <v>99.775250621017094</v>
      </c>
      <c r="AK6129">
        <v>18.860322497056998</v>
      </c>
      <c r="AL6129">
        <v>89.084081692533701</v>
      </c>
      <c r="AM6129">
        <v>88.526408704875394</v>
      </c>
      <c r="AN6129">
        <v>1.0000000435493399</v>
      </c>
    </row>
    <row r="6130" spans="1:40" x14ac:dyDescent="0.25">
      <c r="A6130" t="str">
        <f>"20190312160809125"</f>
        <v>20190312160809125</v>
      </c>
      <c r="B6130" t="str">
        <f>"1552378089121902"</f>
        <v>1552378089121902</v>
      </c>
      <c r="C6130" t="s">
        <v>40</v>
      </c>
      <c r="D6130">
        <v>6.1862750000000002</v>
      </c>
      <c r="E6130">
        <v>0.43025380000000002</v>
      </c>
      <c r="F6130" t="s">
        <v>97</v>
      </c>
      <c r="G6130">
        <v>-362.55239999999998</v>
      </c>
      <c r="H6130" s="1">
        <v>-3.8088139999999998E-6</v>
      </c>
      <c r="I6130">
        <v>20.698219999999999</v>
      </c>
      <c r="J6130">
        <v>-380.286</v>
      </c>
      <c r="K6130">
        <v>1.1090420000000001</v>
      </c>
      <c r="L6130">
        <v>17.074069999999999</v>
      </c>
      <c r="M6130">
        <v>0.9992008</v>
      </c>
      <c r="N6130">
        <v>0</v>
      </c>
      <c r="O6130">
        <v>3.8845919999999999E-2</v>
      </c>
      <c r="P6130">
        <v>0.99988909999999998</v>
      </c>
      <c r="Q6130">
        <v>6.7603029999999996E-3</v>
      </c>
      <c r="R6130">
        <v>1.327386E-2</v>
      </c>
      <c r="S6130">
        <v>2.9934690000000002</v>
      </c>
      <c r="T6130">
        <v>-0.18611720000000001</v>
      </c>
      <c r="U6130">
        <v>0.60879519999999998</v>
      </c>
      <c r="V6130">
        <v>2.5583669999999999E-2</v>
      </c>
      <c r="W6130">
        <v>1.617677E-2</v>
      </c>
      <c r="X6130">
        <v>0.99954180000000004</v>
      </c>
      <c r="Y6130">
        <v>-0.1608501</v>
      </c>
      <c r="Z6130">
        <v>2.5592449999999999E-3</v>
      </c>
      <c r="AA6130">
        <v>0.98697559999999995</v>
      </c>
      <c r="AB6130">
        <v>20</v>
      </c>
      <c r="AC6130">
        <v>17.733599999999999</v>
      </c>
      <c r="AD6130">
        <v>-1.1090458088140001</v>
      </c>
      <c r="AE6130">
        <v>3.6241500000000002</v>
      </c>
      <c r="AF6130">
        <v>-2.9215372305102001</v>
      </c>
      <c r="AG6130">
        <v>-1.1090458088140001</v>
      </c>
      <c r="AH6130">
        <v>17.7941976926741</v>
      </c>
      <c r="AI6130">
        <v>93.519418863552801</v>
      </c>
      <c r="AJ6130">
        <v>99.323910925248697</v>
      </c>
      <c r="AK6130">
        <v>18.066511393218001</v>
      </c>
      <c r="AL6130">
        <v>89.073098933583495</v>
      </c>
      <c r="AM6130">
        <v>88.533811853077495</v>
      </c>
      <c r="AN6130">
        <v>1.00000001100277</v>
      </c>
    </row>
    <row r="6131" spans="1:40" x14ac:dyDescent="0.25">
      <c r="A6131" t="str">
        <f>"20190312160809139"</f>
        <v>20190312160809139</v>
      </c>
      <c r="B6131" t="str">
        <f>"1552378089131663"</f>
        <v>1552378089131663</v>
      </c>
      <c r="C6131" t="s">
        <v>40</v>
      </c>
      <c r="D6131">
        <v>6.2664650000000002</v>
      </c>
      <c r="E6131">
        <v>0.43106420000000001</v>
      </c>
      <c r="F6131" t="s">
        <v>97</v>
      </c>
      <c r="G6131">
        <v>-362.34739999999999</v>
      </c>
      <c r="H6131" s="1">
        <v>-3.9005719999999996E-6</v>
      </c>
      <c r="I6131">
        <v>20.67869</v>
      </c>
      <c r="J6131">
        <v>-380.17140000000001</v>
      </c>
      <c r="K6131">
        <v>1.1089739999999999</v>
      </c>
      <c r="L6131">
        <v>17.07816</v>
      </c>
      <c r="M6131">
        <v>0.99920370000000003</v>
      </c>
      <c r="N6131">
        <v>0</v>
      </c>
      <c r="O6131">
        <v>3.877858E-2</v>
      </c>
      <c r="P6131">
        <v>0.99988699999999997</v>
      </c>
      <c r="Q6131">
        <v>6.7888669999999996E-3</v>
      </c>
      <c r="R6131">
        <v>1.3409890000000001E-2</v>
      </c>
      <c r="S6131">
        <v>2.9935610000000001</v>
      </c>
      <c r="T6131">
        <v>-0.1850752</v>
      </c>
      <c r="U6131">
        <v>0.60153199999999996</v>
      </c>
      <c r="V6131">
        <v>2.5382249999999999E-2</v>
      </c>
      <c r="W6131">
        <v>1.6163899999999998E-2</v>
      </c>
      <c r="X6131">
        <v>0.99954710000000002</v>
      </c>
      <c r="Y6131">
        <v>-0.15861600000000001</v>
      </c>
      <c r="Z6131">
        <v>2.48124E-3</v>
      </c>
      <c r="AA6131">
        <v>0.98733720000000003</v>
      </c>
      <c r="AB6131">
        <v>20</v>
      </c>
      <c r="AC6131">
        <v>17.824000000000002</v>
      </c>
      <c r="AD6131">
        <v>-1.108977900572</v>
      </c>
      <c r="AE6131">
        <v>3.6005299999999898</v>
      </c>
      <c r="AF6131">
        <v>-2.8958310779530398</v>
      </c>
      <c r="AG6131">
        <v>-1.108977900572</v>
      </c>
      <c r="AH6131">
        <v>17.8837061435522</v>
      </c>
      <c r="AI6131">
        <v>93.502887704869494</v>
      </c>
      <c r="AJ6131">
        <v>99.197823166693198</v>
      </c>
      <c r="AK6131">
        <v>18.1505541250101</v>
      </c>
      <c r="AL6131">
        <v>89.073836386573305</v>
      </c>
      <c r="AM6131">
        <v>88.545357869428898</v>
      </c>
      <c r="AN6131">
        <v>0.99999996769833999</v>
      </c>
    </row>
    <row r="6132" spans="1:40" x14ac:dyDescent="0.25">
      <c r="A6132" t="str">
        <f>"20190312160809160"</f>
        <v>20190312160809160</v>
      </c>
      <c r="B6132" t="str">
        <f>"1552378089151182"</f>
        <v>1552378089151182</v>
      </c>
      <c r="C6132" t="s">
        <v>40</v>
      </c>
      <c r="D6132">
        <v>6.3022790000000004</v>
      </c>
      <c r="E6132">
        <v>0.4323457</v>
      </c>
      <c r="F6132" t="s">
        <v>97</v>
      </c>
      <c r="G6132">
        <v>-361.67500000000001</v>
      </c>
      <c r="H6132" s="1">
        <v>-4.2389740000000001E-6</v>
      </c>
      <c r="I6132">
        <v>20.756019999999999</v>
      </c>
      <c r="J6132">
        <v>-379.97980000000001</v>
      </c>
      <c r="K6132">
        <v>1.1089279999999999</v>
      </c>
      <c r="L6132">
        <v>17.084989999999902</v>
      </c>
      <c r="M6132">
        <v>0.99921130000000002</v>
      </c>
      <c r="N6132">
        <v>0</v>
      </c>
      <c r="O6132">
        <v>3.8594240000000002E-2</v>
      </c>
      <c r="P6132">
        <v>0.99988480000000002</v>
      </c>
      <c r="Q6132">
        <v>6.7722640000000001E-3</v>
      </c>
      <c r="R6132">
        <v>1.359347E-2</v>
      </c>
      <c r="S6132">
        <v>2.9935610000000001</v>
      </c>
      <c r="T6132">
        <v>-0.17948259999999999</v>
      </c>
      <c r="U6132">
        <v>0.59524540000000004</v>
      </c>
      <c r="V6132">
        <v>2.5015430000000002E-2</v>
      </c>
      <c r="W6132">
        <v>1.6107170000000001E-2</v>
      </c>
      <c r="X6132">
        <v>0.99955729999999998</v>
      </c>
      <c r="Y6132">
        <v>-0.15681989999999901</v>
      </c>
      <c r="Z6132">
        <v>2.3644930000000001E-3</v>
      </c>
      <c r="AA6132">
        <v>0.98762439999999996</v>
      </c>
      <c r="AB6132">
        <v>20</v>
      </c>
      <c r="AC6132">
        <v>18.3048</v>
      </c>
      <c r="AD6132">
        <v>-1.108932238974</v>
      </c>
      <c r="AE6132">
        <v>3.67103</v>
      </c>
      <c r="AF6132">
        <v>-2.9513909110824899</v>
      </c>
      <c r="AG6132">
        <v>-1.108932238974</v>
      </c>
      <c r="AH6132">
        <v>18.368041535749299</v>
      </c>
      <c r="AI6132">
        <v>93.411269137598197</v>
      </c>
      <c r="AJ6132">
        <v>99.128304069639995</v>
      </c>
      <c r="AK6132">
        <v>18.636667858811698</v>
      </c>
      <c r="AL6132">
        <v>89.077087233266298</v>
      </c>
      <c r="AM6132">
        <v>88.566385898219906</v>
      </c>
      <c r="AN6132">
        <v>1.0000000043233901</v>
      </c>
    </row>
    <row r="6133" spans="1:40" x14ac:dyDescent="0.25">
      <c r="A6133" t="str">
        <f>"20190312160809181"</f>
        <v>20190312160809181</v>
      </c>
      <c r="B6133" t="str">
        <f>"1552378089171682"</f>
        <v>1552378089171682</v>
      </c>
      <c r="C6133" t="s">
        <v>40</v>
      </c>
      <c r="D6133">
        <v>6.2701659999999997</v>
      </c>
      <c r="E6133">
        <v>0.43306440000000002</v>
      </c>
      <c r="F6133" t="s">
        <v>97</v>
      </c>
      <c r="G6133">
        <v>-361.32459999999998</v>
      </c>
      <c r="H6133" s="1">
        <v>-4.398704E-6</v>
      </c>
      <c r="I6133">
        <v>20.733910000000002</v>
      </c>
      <c r="J6133">
        <v>-379.78859999999997</v>
      </c>
      <c r="K6133">
        <v>1.1089450000000001</v>
      </c>
      <c r="L6133">
        <v>17.09177</v>
      </c>
      <c r="M6133">
        <v>0.99922560000000005</v>
      </c>
      <c r="N6133">
        <v>0</v>
      </c>
      <c r="O6133">
        <v>3.8240730000000001E-2</v>
      </c>
      <c r="P6133">
        <v>0.99988429999999995</v>
      </c>
      <c r="Q6133">
        <v>6.6623300000000002E-3</v>
      </c>
      <c r="R6133">
        <v>1.3677160000000001E-2</v>
      </c>
      <c r="S6133">
        <v>2.9935909999999999</v>
      </c>
      <c r="T6133">
        <v>-0.1779501</v>
      </c>
      <c r="U6133">
        <v>0.58554079999999997</v>
      </c>
      <c r="V6133">
        <v>2.4577290000000002E-2</v>
      </c>
      <c r="W6133">
        <v>1.5933619999999999E-2</v>
      </c>
      <c r="X6133">
        <v>0.99957099999999999</v>
      </c>
      <c r="Y6133">
        <v>-0.15409229999999999</v>
      </c>
      <c r="Z6133">
        <v>2.285521E-3</v>
      </c>
      <c r="AA6133">
        <v>0.98805379999999998</v>
      </c>
      <c r="AB6133">
        <v>20</v>
      </c>
      <c r="AC6133">
        <v>18.463999999999999</v>
      </c>
      <c r="AD6133">
        <v>-1.108949398704</v>
      </c>
      <c r="AE6133">
        <v>3.6421399999999999</v>
      </c>
      <c r="AF6133">
        <v>-2.9232188529303702</v>
      </c>
      <c r="AG6133">
        <v>-1.108949398704</v>
      </c>
      <c r="AH6133">
        <v>18.5254550396083</v>
      </c>
      <c r="AI6133">
        <v>93.383915701787203</v>
      </c>
      <c r="AJ6133">
        <v>98.967034961226801</v>
      </c>
      <c r="AK6133">
        <v>18.787428287436299</v>
      </c>
      <c r="AL6133">
        <v>89.087032237169694</v>
      </c>
      <c r="AM6133">
        <v>88.591504439906203</v>
      </c>
      <c r="AN6133">
        <v>1.00000005373552</v>
      </c>
    </row>
    <row r="6134" spans="1:40" x14ac:dyDescent="0.25">
      <c r="A6134" t="str">
        <f>"20190312160809193"</f>
        <v>20190312160809193</v>
      </c>
      <c r="B6134" t="str">
        <f>"1552378089181438"</f>
        <v>1552378089181438</v>
      </c>
      <c r="C6134" t="s">
        <v>40</v>
      </c>
      <c r="D6134">
        <v>6.257155</v>
      </c>
      <c r="E6134">
        <v>0.43329200000000001</v>
      </c>
      <c r="F6134" t="s">
        <v>97</v>
      </c>
      <c r="G6134">
        <v>-360.5292</v>
      </c>
      <c r="H6134" s="1">
        <v>-4.7383629999999999E-6</v>
      </c>
      <c r="I6134">
        <v>20.823170000000001</v>
      </c>
      <c r="J6134">
        <v>-379.68270000000001</v>
      </c>
      <c r="K6134">
        <v>1.108962</v>
      </c>
      <c r="L6134">
        <v>17.09552</v>
      </c>
      <c r="M6134">
        <v>0.99923530000000005</v>
      </c>
      <c r="N6134">
        <v>0</v>
      </c>
      <c r="O6134">
        <v>3.7994409999999999E-2</v>
      </c>
      <c r="P6134">
        <v>0.99988259999999995</v>
      </c>
      <c r="Q6134">
        <v>6.6441670000000003E-3</v>
      </c>
      <c r="R6134">
        <v>1.380138E-2</v>
      </c>
      <c r="S6134">
        <v>2.9935610000000001</v>
      </c>
      <c r="T6134">
        <v>-0.1723684</v>
      </c>
      <c r="U6134">
        <v>0.57998660000000002</v>
      </c>
      <c r="V6134">
        <v>2.4205730000000002E-2</v>
      </c>
      <c r="W6134">
        <v>1.5867349999999999E-2</v>
      </c>
      <c r="X6134">
        <v>0.99958100000000005</v>
      </c>
      <c r="Y6134">
        <v>-0.15258529999999901</v>
      </c>
      <c r="Z6134">
        <v>2.1853979999999999E-3</v>
      </c>
      <c r="AA6134">
        <v>0.9882879</v>
      </c>
      <c r="AB6134">
        <v>20</v>
      </c>
      <c r="AC6134">
        <v>19.153500000000001</v>
      </c>
      <c r="AD6134">
        <v>-1.108966738363</v>
      </c>
      <c r="AE6134">
        <v>3.7276500000000001</v>
      </c>
      <c r="AF6134">
        <v>-2.9875516546960799</v>
      </c>
      <c r="AG6134">
        <v>-1.108966738363</v>
      </c>
      <c r="AH6134">
        <v>19.219227948573302</v>
      </c>
      <c r="AI6134">
        <v>93.263252146364295</v>
      </c>
      <c r="AJ6134">
        <v>98.835684369775393</v>
      </c>
      <c r="AK6134">
        <v>19.481632248235599</v>
      </c>
      <c r="AL6134">
        <v>89.090829598448707</v>
      </c>
      <c r="AM6134">
        <v>88.612803594355299</v>
      </c>
      <c r="AN6134">
        <v>0.99999993286092503</v>
      </c>
    </row>
    <row r="6135" spans="1:40" x14ac:dyDescent="0.25">
      <c r="A6135" t="str">
        <f>"20190312160809203"</f>
        <v>20190312160809203</v>
      </c>
      <c r="B6135" t="str">
        <f>"1552378089201934"</f>
        <v>1552378089201934</v>
      </c>
      <c r="C6135" t="s">
        <v>40</v>
      </c>
      <c r="D6135">
        <v>6.2299309999999997</v>
      </c>
      <c r="E6135">
        <v>0.43351030000000002</v>
      </c>
      <c r="F6135" t="s">
        <v>47</v>
      </c>
      <c r="G6135">
        <v>-359.70639999999997</v>
      </c>
      <c r="H6135" s="1">
        <v>-4.647247E-7</v>
      </c>
      <c r="I6135">
        <v>20.955850000000002</v>
      </c>
      <c r="J6135">
        <v>-379.58780000000002</v>
      </c>
      <c r="K6135">
        <v>1.108975</v>
      </c>
      <c r="L6135">
        <v>17.09891</v>
      </c>
      <c r="M6135">
        <v>0.99924500000000005</v>
      </c>
      <c r="N6135">
        <v>0</v>
      </c>
      <c r="O6135">
        <v>3.7752899999999999E-2</v>
      </c>
      <c r="P6135">
        <v>0.99988100000000002</v>
      </c>
      <c r="Q6135">
        <v>6.6577199999999998E-3</v>
      </c>
      <c r="R6135">
        <v>1.3921670000000001E-2</v>
      </c>
      <c r="S6135">
        <v>2.9935</v>
      </c>
      <c r="T6135">
        <v>-0.16618050000000001</v>
      </c>
      <c r="U6135">
        <v>0.57849119999999998</v>
      </c>
      <c r="V6135">
        <v>2.3843130000000001E-2</v>
      </c>
      <c r="W6135">
        <v>1.5833969999999999E-2</v>
      </c>
      <c r="X6135">
        <v>0.99959030000000004</v>
      </c>
      <c r="Y6135">
        <v>-0.1523649</v>
      </c>
      <c r="Z6135">
        <v>2.1143870000000001E-3</v>
      </c>
      <c r="AA6135">
        <v>0.98832200000000003</v>
      </c>
      <c r="AB6135">
        <v>20</v>
      </c>
      <c r="AC6135">
        <v>19.881399999999999</v>
      </c>
      <c r="AD6135">
        <v>-1.1089754647247001</v>
      </c>
      <c r="AE6135">
        <v>3.8569399999999998</v>
      </c>
      <c r="AF6135">
        <v>-3.0942998022838499</v>
      </c>
      <c r="AG6135">
        <v>-1.1089754647247001</v>
      </c>
      <c r="AH6135">
        <v>19.953012969666599</v>
      </c>
      <c r="AI6135">
        <v>93.143688264602801</v>
      </c>
      <c r="AJ6135">
        <v>98.815171342815404</v>
      </c>
      <c r="AK6135">
        <v>20.2219495700949</v>
      </c>
      <c r="AL6135">
        <v>89.092742422621498</v>
      </c>
      <c r="AM6135">
        <v>88.633588461288696</v>
      </c>
      <c r="AN6135">
        <v>0.99999998865412298</v>
      </c>
    </row>
    <row r="6136" spans="1:40" x14ac:dyDescent="0.25">
      <c r="A6136" t="str">
        <f>"20190312160809226"</f>
        <v>20190312160809226</v>
      </c>
      <c r="B6136" t="str">
        <f>"1552378089221453"</f>
        <v>1552378089221453</v>
      </c>
      <c r="C6136" t="s">
        <v>40</v>
      </c>
      <c r="D6136">
        <v>6.2688139999999999</v>
      </c>
      <c r="E6136">
        <v>0.4331931</v>
      </c>
      <c r="F6136" t="s">
        <v>47</v>
      </c>
      <c r="G6136">
        <v>-358.3476</v>
      </c>
      <c r="H6136" s="1">
        <v>-1.1102950000000001E-6</v>
      </c>
      <c r="I6136">
        <v>21.191310000000001</v>
      </c>
      <c r="J6136">
        <v>-379.39519999999999</v>
      </c>
      <c r="K6136">
        <v>1.108997</v>
      </c>
      <c r="L6136">
        <v>17.105740000000001</v>
      </c>
      <c r="M6136">
        <v>0.99926360000000003</v>
      </c>
      <c r="N6136">
        <v>0</v>
      </c>
      <c r="O6136">
        <v>3.72754E-2</v>
      </c>
      <c r="P6136">
        <v>0.99988350000000004</v>
      </c>
      <c r="Q6136">
        <v>6.6879289999999996E-3</v>
      </c>
      <c r="R6136">
        <v>1.371258E-2</v>
      </c>
      <c r="S6136">
        <v>2.9933779999999999</v>
      </c>
      <c r="T6136">
        <v>-0.1562876</v>
      </c>
      <c r="U6136">
        <v>0.57675169999999998</v>
      </c>
      <c r="V6136">
        <v>2.3573819999999999E-2</v>
      </c>
      <c r="W6136">
        <v>1.5775810000000001E-2</v>
      </c>
      <c r="X6136">
        <v>0.99959759999999998</v>
      </c>
      <c r="Y6136">
        <v>-0.15231</v>
      </c>
      <c r="Z6136">
        <v>2.0120839999999999E-3</v>
      </c>
      <c r="AA6136">
        <v>0.98833070000000001</v>
      </c>
      <c r="AB6136">
        <v>20</v>
      </c>
      <c r="AC6136">
        <v>21.0475999999999</v>
      </c>
      <c r="AD6136">
        <v>-1.108998110295</v>
      </c>
      <c r="AE6136">
        <v>4.0855699999999997</v>
      </c>
      <c r="AF6136">
        <v>-3.2893398323650298</v>
      </c>
      <c r="AG6136">
        <v>-1.108998110295</v>
      </c>
      <c r="AH6136">
        <v>21.128740475527199</v>
      </c>
      <c r="AI6136">
        <v>92.968867196758495</v>
      </c>
      <c r="AJ6136">
        <v>98.848822487113907</v>
      </c>
      <c r="AK6136">
        <v>21.4119898053311</v>
      </c>
      <c r="AL6136">
        <v>89.096075155048396</v>
      </c>
      <c r="AM6136">
        <v>88.649026295419503</v>
      </c>
      <c r="AN6136">
        <v>0.99999998154815395</v>
      </c>
    </row>
    <row r="6137" spans="1:40" x14ac:dyDescent="0.25">
      <c r="A6137" t="str">
        <f>"20190312160809238"</f>
        <v>20190312160809238</v>
      </c>
      <c r="B6137" t="str">
        <f>"1552378089232191"</f>
        <v>1552378089232191</v>
      </c>
      <c r="C6137" t="s">
        <v>40</v>
      </c>
      <c r="D6137">
        <v>6.3143979999999997</v>
      </c>
      <c r="E6137">
        <v>0.43299080000000001</v>
      </c>
      <c r="F6137" t="s">
        <v>47</v>
      </c>
      <c r="G6137">
        <v>-355.69439999999997</v>
      </c>
      <c r="H6137" s="1">
        <v>-2.3794360000000002E-6</v>
      </c>
      <c r="I6137">
        <v>21.683389999999999</v>
      </c>
      <c r="J6137">
        <v>-379.27870000000001</v>
      </c>
      <c r="K6137">
        <v>1.1090040000000001</v>
      </c>
      <c r="L6137">
        <v>17.109860000000001</v>
      </c>
      <c r="M6137">
        <v>0.99927410000000005</v>
      </c>
      <c r="N6137">
        <v>0</v>
      </c>
      <c r="O6137">
        <v>3.7003800000000003E-2</v>
      </c>
      <c r="P6137">
        <v>0.99988719999999998</v>
      </c>
      <c r="Q6137">
        <v>6.6334119999999896E-3</v>
      </c>
      <c r="R6137">
        <v>1.347128E-2</v>
      </c>
      <c r="S6137">
        <v>2.993347</v>
      </c>
      <c r="T6137">
        <v>-0.14006360000000001</v>
      </c>
      <c r="U6137">
        <v>0.57815550000000004</v>
      </c>
      <c r="V6137">
        <v>2.354357E-2</v>
      </c>
      <c r="W6137">
        <v>1.5674730000000001E-2</v>
      </c>
      <c r="X6137">
        <v>0.99959989999999999</v>
      </c>
      <c r="Y6137">
        <v>-0.153056</v>
      </c>
      <c r="Z6137">
        <v>1.833232E-3</v>
      </c>
      <c r="AA6137">
        <v>0.98821579999999998</v>
      </c>
      <c r="AB6137">
        <v>20</v>
      </c>
      <c r="AC6137">
        <v>23.584299999999999</v>
      </c>
      <c r="AD6137">
        <v>-1.1090063794359999</v>
      </c>
      <c r="AE6137">
        <v>4.5735299999999901</v>
      </c>
      <c r="AF6137">
        <v>-3.6897898918007801</v>
      </c>
      <c r="AG6137">
        <v>-1.1090063794359999</v>
      </c>
      <c r="AH6137">
        <v>23.686913770177</v>
      </c>
      <c r="AI6137">
        <v>92.648697932398903</v>
      </c>
      <c r="AJ6137">
        <v>98.853997998635506</v>
      </c>
      <c r="AK6137">
        <v>23.998215111775899</v>
      </c>
      <c r="AL6137">
        <v>89.101867325981701</v>
      </c>
      <c r="AM6137">
        <v>88.650762331244295</v>
      </c>
      <c r="AN6137">
        <v>0.99999997846446298</v>
      </c>
    </row>
    <row r="6138" spans="1:40" x14ac:dyDescent="0.25">
      <c r="A6138" t="str">
        <f>"20190312160809249"</f>
        <v>20190312160809249</v>
      </c>
      <c r="B6138" t="str">
        <f>"1552378089241952"</f>
        <v>1552378089241952</v>
      </c>
      <c r="C6138" t="s">
        <v>40</v>
      </c>
      <c r="D6138">
        <v>6.299099</v>
      </c>
      <c r="E6138">
        <v>0.43286029999999998</v>
      </c>
      <c r="F6138" t="s">
        <v>47</v>
      </c>
      <c r="G6138">
        <v>-354.18119999999999</v>
      </c>
      <c r="H6138" s="1">
        <v>-3.1029899999999999E-6</v>
      </c>
      <c r="I6138">
        <v>21.96312</v>
      </c>
      <c r="J6138">
        <v>-379.17059999999998</v>
      </c>
      <c r="K6138">
        <v>1.108995</v>
      </c>
      <c r="L6138">
        <v>17.113679999999999</v>
      </c>
      <c r="M6138">
        <v>0.99928329999999999</v>
      </c>
      <c r="N6138">
        <v>0</v>
      </c>
      <c r="O6138">
        <v>3.6768420000000003E-2</v>
      </c>
      <c r="P6138">
        <v>0.99988630000000001</v>
      </c>
      <c r="Q6138">
        <v>6.7677269999999899E-3</v>
      </c>
      <c r="R6138">
        <v>1.348106E-2</v>
      </c>
      <c r="S6138">
        <v>2.9933779999999999</v>
      </c>
      <c r="T6138">
        <v>-0.13227130000000001</v>
      </c>
      <c r="U6138">
        <v>0.57885739999999997</v>
      </c>
      <c r="V6138">
        <v>2.3298449999999998E-2</v>
      </c>
      <c r="W6138">
        <v>1.5771520000000001E-2</v>
      </c>
      <c r="X6138">
        <v>0.99960420000000005</v>
      </c>
      <c r="Y6138">
        <v>-0.15352279999999999</v>
      </c>
      <c r="Z6138">
        <v>1.7517800000000001E-3</v>
      </c>
      <c r="AA6138">
        <v>0.98814360000000001</v>
      </c>
      <c r="AB6138">
        <v>20</v>
      </c>
      <c r="AC6138">
        <v>24.9893999999999</v>
      </c>
      <c r="AD6138">
        <v>-1.10899810299</v>
      </c>
      <c r="AE6138">
        <v>4.8494400000000004</v>
      </c>
      <c r="AF6138">
        <v>-3.9198627688129002</v>
      </c>
      <c r="AG6138">
        <v>-1.10899810299</v>
      </c>
      <c r="AH6138">
        <v>25.103168887302999</v>
      </c>
      <c r="AI6138">
        <v>92.499298662474203</v>
      </c>
      <c r="AJ6138">
        <v>98.875072602147796</v>
      </c>
      <c r="AK6138">
        <v>25.4315608860962</v>
      </c>
      <c r="AL6138">
        <v>89.096321053296407</v>
      </c>
      <c r="AM6138">
        <v>88.664810326615395</v>
      </c>
      <c r="AN6138">
        <v>1.00000005763657</v>
      </c>
    </row>
    <row r="6139" spans="1:40" x14ac:dyDescent="0.25">
      <c r="A6139" t="str">
        <f>"20190312160809261"</f>
        <v>20190312160809261</v>
      </c>
      <c r="B6139" t="str">
        <f>"1552378089251710"</f>
        <v>1552378089251710</v>
      </c>
      <c r="C6139" t="s">
        <v>40</v>
      </c>
      <c r="D6139">
        <v>6.254397</v>
      </c>
      <c r="E6139">
        <v>0.43286419999999998</v>
      </c>
      <c r="F6139" t="s">
        <v>47</v>
      </c>
      <c r="G6139">
        <v>-352.74200000000002</v>
      </c>
      <c r="H6139" s="1">
        <v>-3.7921960000000002E-6</v>
      </c>
      <c r="I6139">
        <v>22.232959999999999</v>
      </c>
      <c r="J6139">
        <v>-379.06790000000001</v>
      </c>
      <c r="K6139">
        <v>1.1089880000000001</v>
      </c>
      <c r="L6139">
        <v>17.117249999999999</v>
      </c>
      <c r="M6139">
        <v>0.99929140000000005</v>
      </c>
      <c r="N6139">
        <v>0</v>
      </c>
      <c r="O6139">
        <v>3.6552630000000003E-2</v>
      </c>
      <c r="P6139">
        <v>0.99989130000000004</v>
      </c>
      <c r="Q6139">
        <v>6.8821739999999996E-3</v>
      </c>
      <c r="R6139">
        <v>1.304438E-2</v>
      </c>
      <c r="S6139">
        <v>2.9933779999999999</v>
      </c>
      <c r="T6139">
        <v>-0.12560839999999901</v>
      </c>
      <c r="U6139">
        <v>0.57983399999999996</v>
      </c>
      <c r="V6139">
        <v>2.351984E-2</v>
      </c>
      <c r="W6139">
        <v>1.585257E-2</v>
      </c>
      <c r="X6139">
        <v>0.99959770000000003</v>
      </c>
      <c r="Y6139">
        <v>-0.154057</v>
      </c>
      <c r="Z6139">
        <v>1.683616E-3</v>
      </c>
      <c r="AA6139">
        <v>0.98806050000000001</v>
      </c>
      <c r="AB6139">
        <v>20</v>
      </c>
      <c r="AC6139">
        <v>26.325900000000001</v>
      </c>
      <c r="AD6139">
        <v>-1.108991792196</v>
      </c>
      <c r="AE6139">
        <v>5.11571</v>
      </c>
      <c r="AF6139">
        <v>-4.14288709662915</v>
      </c>
      <c r="AG6139">
        <v>-1.108991792196</v>
      </c>
      <c r="AH6139">
        <v>26.450076660045401</v>
      </c>
      <c r="AI6139">
        <v>92.371989841290699</v>
      </c>
      <c r="AJ6139">
        <v>98.901935932990696</v>
      </c>
      <c r="AK6139">
        <v>26.7955207378556</v>
      </c>
      <c r="AL6139">
        <v>89.091676619758402</v>
      </c>
      <c r="AM6139">
        <v>88.652118785496697</v>
      </c>
      <c r="AN6139">
        <v>1.00000002434726</v>
      </c>
    </row>
    <row r="6140" spans="1:40" x14ac:dyDescent="0.25">
      <c r="A6140" t="str">
        <f>"20190312160809273"</f>
        <v>20190312160809273</v>
      </c>
      <c r="B6140" t="str">
        <f>"1552378089261470"</f>
        <v>1552378089261470</v>
      </c>
      <c r="C6140" t="s">
        <v>40</v>
      </c>
      <c r="D6140">
        <v>6.2645109999999997</v>
      </c>
      <c r="E6140">
        <v>0.43286920000000001</v>
      </c>
      <c r="F6140" t="s">
        <v>47</v>
      </c>
      <c r="G6140">
        <v>-351.99040000000002</v>
      </c>
      <c r="H6140" s="1">
        <v>-4.0833439999999999E-6</v>
      </c>
      <c r="I6140">
        <v>22.348559999999999</v>
      </c>
      <c r="J6140">
        <v>-378.96370000000002</v>
      </c>
      <c r="K6140">
        <v>1.1089800000000001</v>
      </c>
      <c r="L6140">
        <v>17.120850000000001</v>
      </c>
      <c r="M6140">
        <v>0.99929959999999995</v>
      </c>
      <c r="N6140">
        <v>0</v>
      </c>
      <c r="O6140">
        <v>3.6337649999999999E-2</v>
      </c>
      <c r="P6140">
        <v>0.99989039999999996</v>
      </c>
      <c r="Q6140">
        <v>7.1314719999999998E-3</v>
      </c>
      <c r="R6140">
        <v>1.2979600000000001E-2</v>
      </c>
      <c r="S6140">
        <v>2.9936219999999998</v>
      </c>
      <c r="T6140">
        <v>-0.12260739999999901</v>
      </c>
      <c r="U6140">
        <v>0.57836909999999997</v>
      </c>
      <c r="V6140">
        <v>2.3370220000000001E-2</v>
      </c>
      <c r="W6140">
        <v>1.606902E-2</v>
      </c>
      <c r="X6140">
        <v>0.99959770000000003</v>
      </c>
      <c r="Y6140">
        <v>-0.15379329999999999</v>
      </c>
      <c r="Z6140">
        <v>1.646717E-3</v>
      </c>
      <c r="AA6140">
        <v>0.98810169999999997</v>
      </c>
      <c r="AB6140">
        <v>20</v>
      </c>
      <c r="AC6140">
        <v>26.973299999999899</v>
      </c>
      <c r="AD6140">
        <v>-1.1089840833439999</v>
      </c>
      <c r="AE6140">
        <v>5.2277099999999903</v>
      </c>
      <c r="AF6140">
        <v>-4.2371686023795903</v>
      </c>
      <c r="AG6140">
        <v>-1.1089840833439999</v>
      </c>
      <c r="AH6140">
        <v>27.101302061931701</v>
      </c>
      <c r="AI6140">
        <v>92.315139906301496</v>
      </c>
      <c r="AJ6140">
        <v>98.886004503633401</v>
      </c>
      <c r="AK6140">
        <v>27.452941862652299</v>
      </c>
      <c r="AL6140">
        <v>89.079273319690998</v>
      </c>
      <c r="AM6140">
        <v>88.660690114963401</v>
      </c>
      <c r="AN6140">
        <v>0.99999997121594897</v>
      </c>
    </row>
    <row r="6141" spans="1:40" x14ac:dyDescent="0.25">
      <c r="A6141" t="str">
        <f>"20190312160809284"</f>
        <v>20190312160809284</v>
      </c>
      <c r="B6141" t="str">
        <f>"1552378089281966"</f>
        <v>1552378089281966</v>
      </c>
      <c r="C6141" t="s">
        <v>40</v>
      </c>
      <c r="D6141">
        <v>6.3679439999999996</v>
      </c>
      <c r="E6141">
        <v>0.43313570000000001</v>
      </c>
      <c r="F6141" t="s">
        <v>47</v>
      </c>
      <c r="G6141">
        <v>-351.24310000000003</v>
      </c>
      <c r="H6141" s="1">
        <v>-4.3596739999999997E-6</v>
      </c>
      <c r="I6141">
        <v>22.472619999999999</v>
      </c>
      <c r="J6141">
        <v>-378.85570000000001</v>
      </c>
      <c r="K6141">
        <v>1.1089709999999999</v>
      </c>
      <c r="L6141">
        <v>17.124569999999999</v>
      </c>
      <c r="M6141">
        <v>0.99930799999999997</v>
      </c>
      <c r="N6141">
        <v>0</v>
      </c>
      <c r="O6141">
        <v>3.6113300000000001E-2</v>
      </c>
      <c r="P6141">
        <v>0.99989349999999999</v>
      </c>
      <c r="Q6141">
        <v>7.2551940000000004E-3</v>
      </c>
      <c r="R6141">
        <v>1.266748E-2</v>
      </c>
      <c r="S6141">
        <v>2.9936829999999999</v>
      </c>
      <c r="T6141">
        <v>-0.1197647</v>
      </c>
      <c r="U6141">
        <v>0.57797240000000005</v>
      </c>
      <c r="V6141">
        <v>2.3458650000000001E-2</v>
      </c>
      <c r="W6141">
        <v>1.6158659999999998E-2</v>
      </c>
      <c r="X6141">
        <v>0.99959419999999999</v>
      </c>
      <c r="Y6141">
        <v>-0.1538892</v>
      </c>
      <c r="Z6141">
        <v>1.6193259999999999E-3</v>
      </c>
      <c r="AA6141">
        <v>0.98808680000000004</v>
      </c>
      <c r="AB6141">
        <v>20</v>
      </c>
      <c r="AC6141">
        <v>27.612599999999901</v>
      </c>
      <c r="AD6141">
        <v>-1.108975359674</v>
      </c>
      <c r="AE6141">
        <v>5.3480499999999997</v>
      </c>
      <c r="AF6141">
        <v>-4.3405913771971996</v>
      </c>
      <c r="AG6141">
        <v>-1.108975359674</v>
      </c>
      <c r="AH6141">
        <v>27.744596868330898</v>
      </c>
      <c r="AI6141">
        <v>92.2614635974262</v>
      </c>
      <c r="AJ6141">
        <v>98.891742460742805</v>
      </c>
      <c r="AK6141">
        <v>28.103971520736401</v>
      </c>
      <c r="AL6141">
        <v>89.074136674123494</v>
      </c>
      <c r="AM6141">
        <v>88.655619484103795</v>
      </c>
      <c r="AN6141">
        <v>0.99999998761322795</v>
      </c>
    </row>
    <row r="6142" spans="1:40" x14ac:dyDescent="0.25">
      <c r="A6142" t="str">
        <f>"20190312160809298"</f>
        <v>20190312160809298</v>
      </c>
      <c r="B6142" t="str">
        <f>"1552378089291726"</f>
        <v>1552378089291726</v>
      </c>
      <c r="C6142" t="s">
        <v>40</v>
      </c>
      <c r="D6142">
        <v>6.3583179999999997</v>
      </c>
      <c r="E6142">
        <v>0.43328149999999999</v>
      </c>
      <c r="F6142" t="s">
        <v>47</v>
      </c>
      <c r="G6142">
        <v>-350.10809999999998</v>
      </c>
      <c r="H6142" s="1">
        <v>-4.7762330000000004E-6</v>
      </c>
      <c r="I6142">
        <v>22.643560000000001</v>
      </c>
      <c r="J6142">
        <v>-378.73360000000002</v>
      </c>
      <c r="K6142">
        <v>1.1089599999999999</v>
      </c>
      <c r="L6142">
        <v>17.128720000000001</v>
      </c>
      <c r="M6142">
        <v>0.99931749999999997</v>
      </c>
      <c r="N6142">
        <v>0</v>
      </c>
      <c r="O6142">
        <v>3.5856689999999997E-2</v>
      </c>
      <c r="P6142">
        <v>0.99989510000000004</v>
      </c>
      <c r="Q6142">
        <v>7.3580850000000003E-3</v>
      </c>
      <c r="R6142">
        <v>1.247681E-2</v>
      </c>
      <c r="S6142">
        <v>2.9938349999999998</v>
      </c>
      <c r="T6142">
        <v>-0.1154912</v>
      </c>
      <c r="U6142">
        <v>0.5747681</v>
      </c>
      <c r="V6142">
        <v>2.339335E-2</v>
      </c>
      <c r="W6142">
        <v>1.6224929999999999E-2</v>
      </c>
      <c r="X6142">
        <v>0.99959469999999995</v>
      </c>
      <c r="Y6142">
        <v>-0.15312049999999999</v>
      </c>
      <c r="Z6142">
        <v>1.556754E-3</v>
      </c>
      <c r="AA6142">
        <v>0.98820629999999998</v>
      </c>
      <c r="AB6142">
        <v>20</v>
      </c>
      <c r="AC6142">
        <v>28.625499999999999</v>
      </c>
      <c r="AD6142">
        <v>-1.1089647762329999</v>
      </c>
      <c r="AE6142">
        <v>5.5148400000000004</v>
      </c>
      <c r="AF6142">
        <v>-4.4783565376493897</v>
      </c>
      <c r="AG6142">
        <v>-1.1089647762329999</v>
      </c>
      <c r="AH6142">
        <v>28.763218807202801</v>
      </c>
      <c r="AI6142">
        <v>92.181683341164202</v>
      </c>
      <c r="AJ6142">
        <v>98.849745877221494</v>
      </c>
      <c r="AK6142">
        <v>29.1308811453457</v>
      </c>
      <c r="AL6142">
        <v>89.070339225013797</v>
      </c>
      <c r="AM6142">
        <v>88.659361033156799</v>
      </c>
      <c r="AN6142">
        <v>1.0000000307229</v>
      </c>
    </row>
    <row r="6143" spans="1:40" x14ac:dyDescent="0.25">
      <c r="A6143" t="str">
        <f>"20190312160809316"</f>
        <v>20190312160809316</v>
      </c>
      <c r="B6143" t="str">
        <f>"1552378089311246"</f>
        <v>1552378089311246</v>
      </c>
      <c r="C6143" t="s">
        <v>40</v>
      </c>
      <c r="D6143">
        <v>6.3264199999999997</v>
      </c>
      <c r="E6143">
        <v>0.43336249999999998</v>
      </c>
      <c r="F6143" t="s">
        <v>47</v>
      </c>
      <c r="G6143">
        <v>-349.48579999999998</v>
      </c>
      <c r="H6143" s="1">
        <v>-1.030534E-6</v>
      </c>
      <c r="I6143">
        <v>22.726759999999999</v>
      </c>
      <c r="J6143">
        <v>-378.57499999999999</v>
      </c>
      <c r="K6143">
        <v>1.1089500000000001</v>
      </c>
      <c r="L6143">
        <v>17.134029999999999</v>
      </c>
      <c r="M6143">
        <v>0.99933019999999995</v>
      </c>
      <c r="N6143">
        <v>0</v>
      </c>
      <c r="O6143">
        <v>3.5514440000000001E-2</v>
      </c>
      <c r="P6143">
        <v>0.99989989999999995</v>
      </c>
      <c r="Q6143">
        <v>7.7547369999999899E-3</v>
      </c>
      <c r="R6143">
        <v>1.1846010000000001E-2</v>
      </c>
      <c r="S6143">
        <v>2.9939879999999999</v>
      </c>
      <c r="T6143">
        <v>-0.1135203</v>
      </c>
      <c r="U6143">
        <v>0.57305909999999904</v>
      </c>
      <c r="V6143">
        <v>2.368286E-2</v>
      </c>
      <c r="W6143">
        <v>1.657631E-2</v>
      </c>
      <c r="X6143">
        <v>0.99958210000000003</v>
      </c>
      <c r="Y6143">
        <v>-0.1529083</v>
      </c>
      <c r="Z6143">
        <v>1.539052E-3</v>
      </c>
      <c r="AA6143">
        <v>0.98823919999999998</v>
      </c>
      <c r="AB6143">
        <v>20</v>
      </c>
      <c r="AC6143">
        <v>29.089200000000002</v>
      </c>
      <c r="AD6143">
        <v>-1.108951030534</v>
      </c>
      <c r="AE6143">
        <v>5.5927300000000004</v>
      </c>
      <c r="AF6143">
        <v>-4.5496982850603302</v>
      </c>
      <c r="AG6143">
        <v>-1.108951030534</v>
      </c>
      <c r="AH6143">
        <v>29.2285142833911</v>
      </c>
      <c r="AI6143">
        <v>92.146971106201605</v>
      </c>
      <c r="AJ6143">
        <v>98.847633869000504</v>
      </c>
      <c r="AK6143">
        <v>29.601276561790399</v>
      </c>
      <c r="AL6143">
        <v>89.050203909768896</v>
      </c>
      <c r="AM6143">
        <v>88.642758701022998</v>
      </c>
      <c r="AN6143">
        <v>1.0000000132757001</v>
      </c>
    </row>
    <row r="6144" spans="1:40" x14ac:dyDescent="0.25">
      <c r="A6144" t="str">
        <f>"20190312160809327"</f>
        <v>20190312160809327</v>
      </c>
      <c r="B6144" t="str">
        <f>"1552378089321982"</f>
        <v>1552378089321982</v>
      </c>
      <c r="C6144" t="s">
        <v>40</v>
      </c>
      <c r="D6144">
        <v>6.3888089999999904</v>
      </c>
      <c r="E6144">
        <v>0.43349840000000001</v>
      </c>
      <c r="F6144" t="s">
        <v>47</v>
      </c>
      <c r="G6144">
        <v>-348.02420000000001</v>
      </c>
      <c r="H6144" s="1">
        <v>-1.718257E-6</v>
      </c>
      <c r="I6144">
        <v>22.95487</v>
      </c>
      <c r="J6144">
        <v>-378.46539999999999</v>
      </c>
      <c r="K6144">
        <v>1.1089469999999999</v>
      </c>
      <c r="L6144">
        <v>17.137699999999999</v>
      </c>
      <c r="M6144">
        <v>0.99933899999999998</v>
      </c>
      <c r="N6144">
        <v>0</v>
      </c>
      <c r="O6144">
        <v>3.5271839999999999E-2</v>
      </c>
      <c r="P6144">
        <v>0.99990239999999997</v>
      </c>
      <c r="Q6144">
        <v>7.8763759999999992E-3</v>
      </c>
      <c r="R6144">
        <v>1.153737E-2</v>
      </c>
      <c r="S6144">
        <v>2.9943849999999999</v>
      </c>
      <c r="T6144">
        <v>-0.1086917</v>
      </c>
      <c r="U6144">
        <v>0.57052609999999904</v>
      </c>
      <c r="V6144">
        <v>2.3749320000000001E-2</v>
      </c>
      <c r="W6144">
        <v>1.6670709999999998E-2</v>
      </c>
      <c r="X6144">
        <v>0.999579</v>
      </c>
      <c r="Y6144">
        <v>-0.1523244</v>
      </c>
      <c r="Z6144">
        <v>1.471759E-3</v>
      </c>
      <c r="AA6144">
        <v>0.98832949999999997</v>
      </c>
      <c r="AB6144">
        <v>20</v>
      </c>
      <c r="AC6144">
        <v>30.441199999999899</v>
      </c>
      <c r="AD6144">
        <v>-1.1089487182569999</v>
      </c>
      <c r="AE6144">
        <v>5.81717</v>
      </c>
      <c r="AF6144">
        <v>-4.7337305420815801</v>
      </c>
      <c r="AG6144">
        <v>-1.1089487182569999</v>
      </c>
      <c r="AH6144">
        <v>30.588283710709799</v>
      </c>
      <c r="AI6144">
        <v>92.051889615304006</v>
      </c>
      <c r="AJ6144">
        <v>98.797098796362206</v>
      </c>
      <c r="AK6144">
        <v>30.972262953675799</v>
      </c>
      <c r="AL6144">
        <v>89.044794485413604</v>
      </c>
      <c r="AM6144">
        <v>88.638947155333298</v>
      </c>
      <c r="AN6144">
        <v>1.0000000600066801</v>
      </c>
    </row>
    <row r="6145" spans="1:40" x14ac:dyDescent="0.25">
      <c r="A6145" t="str">
        <f>"20190312160809340"</f>
        <v>20190312160809340</v>
      </c>
      <c r="B6145" t="str">
        <f>"1552378089331742"</f>
        <v>1552378089331742</v>
      </c>
      <c r="C6145" t="s">
        <v>40</v>
      </c>
      <c r="D6145">
        <v>6.4022620000000003</v>
      </c>
      <c r="E6145">
        <v>0.43363210000000002</v>
      </c>
      <c r="F6145" t="s">
        <v>47</v>
      </c>
      <c r="G6145">
        <v>-347.32889999999998</v>
      </c>
      <c r="H6145" s="1">
        <v>-2.0413720000000001E-6</v>
      </c>
      <c r="I6145">
        <v>23.04823</v>
      </c>
      <c r="J6145">
        <v>-378.34480000000002</v>
      </c>
      <c r="K6145">
        <v>1.1089450000000001</v>
      </c>
      <c r="L6145">
        <v>17.141660000000002</v>
      </c>
      <c r="M6145">
        <v>0.99934860000000003</v>
      </c>
      <c r="N6145">
        <v>0</v>
      </c>
      <c r="O6145">
        <v>3.5004760000000003E-2</v>
      </c>
      <c r="P6145">
        <v>0.99990760000000001</v>
      </c>
      <c r="Q6145">
        <v>8.015276E-3</v>
      </c>
      <c r="R6145">
        <v>1.099079E-2</v>
      </c>
      <c r="S6145">
        <v>2.9945369999999998</v>
      </c>
      <c r="T6145">
        <v>-0.1066526</v>
      </c>
      <c r="U6145">
        <v>0.56845089999999998</v>
      </c>
      <c r="V6145">
        <v>2.4028870000000001E-2</v>
      </c>
      <c r="W6145">
        <v>1.678085E-2</v>
      </c>
      <c r="X6145">
        <v>0.99957039999999997</v>
      </c>
      <c r="Y6145">
        <v>-0.1519211</v>
      </c>
      <c r="Z6145">
        <v>1.4464720000000001E-3</v>
      </c>
      <c r="AA6145">
        <v>0.98839160000000004</v>
      </c>
      <c r="AB6145">
        <v>20</v>
      </c>
      <c r="AC6145">
        <v>31.015899999999998</v>
      </c>
      <c r="AD6145">
        <v>-1.108947041372</v>
      </c>
      <c r="AE6145">
        <v>5.9065699999999897</v>
      </c>
      <c r="AF6145">
        <v>-4.8112686141498999</v>
      </c>
      <c r="AG6145">
        <v>-1.108947041372</v>
      </c>
      <c r="AH6145">
        <v>31.165210298114399</v>
      </c>
      <c r="AI6145">
        <v>92.014048299278798</v>
      </c>
      <c r="AJ6145">
        <v>98.776010056219505</v>
      </c>
      <c r="AK6145">
        <v>31.553896782232201</v>
      </c>
      <c r="AL6145">
        <v>89.0384829727019</v>
      </c>
      <c r="AM6145">
        <v>88.622920678028095</v>
      </c>
      <c r="AN6145">
        <v>0.99999998403817902</v>
      </c>
    </row>
    <row r="6146" spans="1:40" x14ac:dyDescent="0.25">
      <c r="A6146" t="str">
        <f>"20190312160809362"</f>
        <v>20190312160809362</v>
      </c>
      <c r="B6146" t="str">
        <f>"1552378089351262"</f>
        <v>1552378089351262</v>
      </c>
      <c r="C6146" t="s">
        <v>40</v>
      </c>
      <c r="D6146">
        <v>6.2285279999999998</v>
      </c>
      <c r="E6146">
        <v>0.43379469999999998</v>
      </c>
      <c r="F6146" t="s">
        <v>47</v>
      </c>
      <c r="G6146">
        <v>-347.7534</v>
      </c>
      <c r="H6146" s="1">
        <v>-1.82535E-6</v>
      </c>
      <c r="I6146">
        <v>22.920839999999998</v>
      </c>
      <c r="J6146">
        <v>-378.14150000000001</v>
      </c>
      <c r="K6146">
        <v>1.108946</v>
      </c>
      <c r="L6146">
        <v>17.148250000000001</v>
      </c>
      <c r="M6146">
        <v>0.99936469999999999</v>
      </c>
      <c r="N6146">
        <v>0</v>
      </c>
      <c r="O6146">
        <v>3.4552659999999999E-2</v>
      </c>
      <c r="P6146">
        <v>0.99991260000000004</v>
      </c>
      <c r="Q6146">
        <v>8.2385329999999993E-3</v>
      </c>
      <c r="R6146">
        <v>1.035166E-2</v>
      </c>
      <c r="S6146">
        <v>2.9949340000000002</v>
      </c>
      <c r="T6146">
        <v>-0.1085671</v>
      </c>
      <c r="U6146">
        <v>0.56579590000000002</v>
      </c>
      <c r="V6146">
        <v>2.4216250000000002E-2</v>
      </c>
      <c r="W6146">
        <v>1.696249E-2</v>
      </c>
      <c r="X6146">
        <v>0.99956279999999997</v>
      </c>
      <c r="Y6146">
        <v>-0.15149580000000001</v>
      </c>
      <c r="Z6146">
        <v>1.4809139999999901E-3</v>
      </c>
      <c r="AA6146">
        <v>0.98845680000000002</v>
      </c>
      <c r="AB6146">
        <v>21</v>
      </c>
      <c r="AC6146">
        <v>30.388100000000001</v>
      </c>
      <c r="AD6146">
        <v>-1.10894782535</v>
      </c>
      <c r="AE6146">
        <v>5.7725899999999903</v>
      </c>
      <c r="AF6146">
        <v>-4.7130551489594499</v>
      </c>
      <c r="AG6146">
        <v>-1.10894782535</v>
      </c>
      <c r="AH6146">
        <v>30.5301773893293</v>
      </c>
      <c r="AI6146">
        <v>92.055908516468193</v>
      </c>
      <c r="AJ6146">
        <v>98.775684840139505</v>
      </c>
      <c r="AK6146">
        <v>30.911719226539201</v>
      </c>
      <c r="AL6146">
        <v>89.028074273878403</v>
      </c>
      <c r="AM6146">
        <v>88.612175684541299</v>
      </c>
      <c r="AN6146">
        <v>0.99999997198745005</v>
      </c>
    </row>
    <row r="6147" spans="1:40" x14ac:dyDescent="0.25">
      <c r="A6147" t="str">
        <f>"20190312160809382"</f>
        <v>20190312160809382</v>
      </c>
      <c r="B6147" t="str">
        <f>"1552378089371761"</f>
        <v>1552378089371761</v>
      </c>
      <c r="C6147" t="s">
        <v>40</v>
      </c>
      <c r="D6147">
        <v>6.398784</v>
      </c>
      <c r="E6147">
        <v>0.43390919999999999</v>
      </c>
      <c r="F6147" t="s">
        <v>47</v>
      </c>
      <c r="G6147">
        <v>-347.43869999999998</v>
      </c>
      <c r="H6147" s="1">
        <v>-1.958815E-6</v>
      </c>
      <c r="I6147">
        <v>22.914929999999998</v>
      </c>
      <c r="J6147">
        <v>-377.96100000000001</v>
      </c>
      <c r="K6147">
        <v>1.108948</v>
      </c>
      <c r="L6147">
        <v>17.154050000000002</v>
      </c>
      <c r="M6147">
        <v>0.99937869999999995</v>
      </c>
      <c r="N6147">
        <v>0</v>
      </c>
      <c r="O6147">
        <v>3.415352E-2</v>
      </c>
      <c r="P6147">
        <v>0.99991989999999997</v>
      </c>
      <c r="Q6147">
        <v>7.9710660000000006E-3</v>
      </c>
      <c r="R6147">
        <v>9.8458139999999996E-3</v>
      </c>
      <c r="S6147">
        <v>2.9952999999999999</v>
      </c>
      <c r="T6147">
        <v>-0.1081864</v>
      </c>
      <c r="U6147">
        <v>0.56259159999999997</v>
      </c>
      <c r="V6147">
        <v>2.4322739999999999E-2</v>
      </c>
      <c r="W6147">
        <v>1.6662130000000001E-2</v>
      </c>
      <c r="X6147">
        <v>0.99956529999999999</v>
      </c>
      <c r="Y6147">
        <v>-0.15084790000000001</v>
      </c>
      <c r="Z6147">
        <v>1.478348E-3</v>
      </c>
      <c r="AA6147">
        <v>0.98855579999999998</v>
      </c>
      <c r="AB6147">
        <v>21</v>
      </c>
      <c r="AC6147">
        <v>30.522300000000001</v>
      </c>
      <c r="AD6147">
        <v>-1.108949958815</v>
      </c>
      <c r="AE6147">
        <v>5.7608799999999896</v>
      </c>
      <c r="AF6147">
        <v>-4.7090330515889898</v>
      </c>
      <c r="AG6147">
        <v>-1.108949958815</v>
      </c>
      <c r="AH6147">
        <v>30.6621704698297</v>
      </c>
      <c r="AI6147">
        <v>92.0473146244573</v>
      </c>
      <c r="AJ6147">
        <v>98.731149591501605</v>
      </c>
      <c r="AK6147">
        <v>31.041479671771601</v>
      </c>
      <c r="AL6147">
        <v>89.045286099524503</v>
      </c>
      <c r="AM6147">
        <v>88.606078669617403</v>
      </c>
      <c r="AN6147">
        <v>1.0000000056106599</v>
      </c>
    </row>
    <row r="6148" spans="1:40" x14ac:dyDescent="0.25">
      <c r="A6148" t="str">
        <f>"20190312160809393"</f>
        <v>20190312160809393</v>
      </c>
      <c r="B6148" t="str">
        <f>"1552378089381519"</f>
        <v>1552378089381519</v>
      </c>
      <c r="C6148" t="s">
        <v>40</v>
      </c>
      <c r="D6148">
        <v>6.3857819999999998</v>
      </c>
      <c r="E6148">
        <v>0.43390919999999999</v>
      </c>
      <c r="F6148" t="s">
        <v>47</v>
      </c>
      <c r="G6148">
        <v>-347.47460000000001</v>
      </c>
      <c r="H6148" s="1">
        <v>-1.927664E-6</v>
      </c>
      <c r="I6148">
        <v>22.855879999999999</v>
      </c>
      <c r="J6148">
        <v>-377.85320000000002</v>
      </c>
      <c r="K6148">
        <v>1.1089530000000001</v>
      </c>
      <c r="L6148">
        <v>17.15747</v>
      </c>
      <c r="M6148">
        <v>0.99938700000000003</v>
      </c>
      <c r="N6148">
        <v>0</v>
      </c>
      <c r="O6148">
        <v>3.3915639999999997E-2</v>
      </c>
      <c r="P6148">
        <v>0.99992219999999998</v>
      </c>
      <c r="Q6148">
        <v>8.2336559999999902E-3</v>
      </c>
      <c r="R6148">
        <v>9.3937350000000003E-3</v>
      </c>
      <c r="S6148">
        <v>2.9956049999999999</v>
      </c>
      <c r="T6148">
        <v>-0.1089659</v>
      </c>
      <c r="U6148">
        <v>0.5602722</v>
      </c>
      <c r="V6148">
        <v>2.4536829999999999E-2</v>
      </c>
      <c r="W6148">
        <v>1.6906239999999999E-2</v>
      </c>
      <c r="X6148">
        <v>0.99955590000000005</v>
      </c>
      <c r="Y6148">
        <v>-0.15032470000000001</v>
      </c>
      <c r="Z6148">
        <v>1.4880729999999999E-3</v>
      </c>
      <c r="AA6148">
        <v>0.9886355</v>
      </c>
      <c r="AB6148">
        <v>21</v>
      </c>
      <c r="AC6148">
        <v>30.378599999999999</v>
      </c>
      <c r="AD6148">
        <v>-1.1089549276639901</v>
      </c>
      <c r="AE6148">
        <v>5.6984099999999902</v>
      </c>
      <c r="AF6148">
        <v>-4.65878579792758</v>
      </c>
      <c r="AG6148">
        <v>-1.1089549276639901</v>
      </c>
      <c r="AH6148">
        <v>30.515112786976701</v>
      </c>
      <c r="AI6148">
        <v>92.057460539915098</v>
      </c>
      <c r="AJ6148">
        <v>98.680399989557301</v>
      </c>
      <c r="AK6148">
        <v>30.888609139041399</v>
      </c>
      <c r="AL6148">
        <v>89.031297589986593</v>
      </c>
      <c r="AM6148">
        <v>88.593800988947706</v>
      </c>
      <c r="AN6148">
        <v>0.99999993710109603</v>
      </c>
    </row>
    <row r="6149" spans="1:40" x14ac:dyDescent="0.25">
      <c r="A6149" t="str">
        <f>"20190312160809404"</f>
        <v>20190312160809404</v>
      </c>
      <c r="B6149" t="str">
        <f>"1552378089402014"</f>
        <v>1552378089402014</v>
      </c>
      <c r="C6149" t="s">
        <v>40</v>
      </c>
      <c r="D6149">
        <v>6.2962160000000003</v>
      </c>
      <c r="E6149">
        <v>0.43362410000000001</v>
      </c>
      <c r="F6149" t="s">
        <v>47</v>
      </c>
      <c r="G6149">
        <v>-347.14139999999998</v>
      </c>
      <c r="H6149" s="1">
        <v>-2.0787449999999999E-6</v>
      </c>
      <c r="I6149">
        <v>22.886469999999999</v>
      </c>
      <c r="J6149">
        <v>-377.74880000000002</v>
      </c>
      <c r="K6149">
        <v>1.108959</v>
      </c>
      <c r="L6149">
        <v>17.160740000000001</v>
      </c>
      <c r="M6149">
        <v>0.99939480000000003</v>
      </c>
      <c r="N6149">
        <v>0</v>
      </c>
      <c r="O6149">
        <v>3.3686180000000003E-2</v>
      </c>
      <c r="P6149">
        <v>0.99992539999999996</v>
      </c>
      <c r="Q6149">
        <v>8.368403E-3</v>
      </c>
      <c r="R6149">
        <v>8.9096350000000008E-3</v>
      </c>
      <c r="S6149">
        <v>2.995911</v>
      </c>
      <c r="T6149">
        <v>-0.1081778</v>
      </c>
      <c r="U6149">
        <v>0.55886840000000004</v>
      </c>
      <c r="V6149">
        <v>2.479164E-2</v>
      </c>
      <c r="W6149">
        <v>1.7025430000000001E-2</v>
      </c>
      <c r="X6149">
        <v>0.99954770000000004</v>
      </c>
      <c r="Y6149">
        <v>-0.1500869</v>
      </c>
      <c r="Z6149">
        <v>1.48117E-3</v>
      </c>
      <c r="AA6149">
        <v>0.98867169999999904</v>
      </c>
      <c r="AB6149">
        <v>21</v>
      </c>
      <c r="AC6149">
        <v>30.607399999999998</v>
      </c>
      <c r="AD6149">
        <v>-1.1089610787449999</v>
      </c>
      <c r="AE6149">
        <v>5.7257300000000004</v>
      </c>
      <c r="AF6149">
        <v>-4.6854521539228902</v>
      </c>
      <c r="AG6149">
        <v>-1.1089610787449999</v>
      </c>
      <c r="AH6149">
        <v>30.743918733815001</v>
      </c>
      <c r="AI6149">
        <v>92.042254379805996</v>
      </c>
      <c r="AJ6149">
        <v>98.665345787079502</v>
      </c>
      <c r="AK6149">
        <v>31.118672781343001</v>
      </c>
      <c r="AL6149">
        <v>89.024467630373096</v>
      </c>
      <c r="AM6149">
        <v>88.579192201578707</v>
      </c>
      <c r="AN6149">
        <v>1.00000004762793</v>
      </c>
    </row>
    <row r="6150" spans="1:40" x14ac:dyDescent="0.25">
      <c r="A6150" t="str">
        <f>"20190312160809417"</f>
        <v>20190312160809417</v>
      </c>
      <c r="B6150" t="str">
        <f>"1552378089411774"</f>
        <v>1552378089411774</v>
      </c>
      <c r="C6150" t="s">
        <v>40</v>
      </c>
      <c r="D6150">
        <v>6.2958780000000001</v>
      </c>
      <c r="E6150">
        <v>0.43345790000000001</v>
      </c>
      <c r="F6150" t="s">
        <v>47</v>
      </c>
      <c r="G6150">
        <v>-347.91300000000001</v>
      </c>
      <c r="H6150" s="1">
        <v>-1.707617E-6</v>
      </c>
      <c r="I6150">
        <v>22.735620000000001</v>
      </c>
      <c r="J6150">
        <v>-377.63650000000001</v>
      </c>
      <c r="K6150">
        <v>1.108968</v>
      </c>
      <c r="L6150">
        <v>17.164279999999899</v>
      </c>
      <c r="M6150">
        <v>0.99940329999999999</v>
      </c>
      <c r="N6150">
        <v>0</v>
      </c>
      <c r="O6150">
        <v>3.3439129999999997E-2</v>
      </c>
      <c r="P6150">
        <v>0.99992729999999996</v>
      </c>
      <c r="Q6150">
        <v>8.6301109999999993E-3</v>
      </c>
      <c r="R6150">
        <v>8.4141879999999995E-3</v>
      </c>
      <c r="S6150">
        <v>2.9961549999999999</v>
      </c>
      <c r="T6150">
        <v>-0.1113633</v>
      </c>
      <c r="U6150">
        <v>0.55984500000000004</v>
      </c>
      <c r="V6150">
        <v>2.5039829999999999E-2</v>
      </c>
      <c r="W6150">
        <v>1.7270489999999999E-2</v>
      </c>
      <c r="X6150">
        <v>0.99953729999999996</v>
      </c>
      <c r="Y6150">
        <v>-0.15062329999999999</v>
      </c>
      <c r="Z6150">
        <v>1.5435539999999999E-3</v>
      </c>
      <c r="AA6150">
        <v>0.98859010000000003</v>
      </c>
      <c r="AB6150">
        <v>21</v>
      </c>
      <c r="AC6150">
        <v>29.723500000000001</v>
      </c>
      <c r="AD6150">
        <v>-1.108969707617</v>
      </c>
      <c r="AE6150">
        <v>5.5713400000000002</v>
      </c>
      <c r="AF6150">
        <v>-4.5681158413678604</v>
      </c>
      <c r="AG6150">
        <v>-1.108969707617</v>
      </c>
      <c r="AH6150">
        <v>29.853038776557401</v>
      </c>
      <c r="AI6150">
        <v>92.102968484981005</v>
      </c>
      <c r="AJ6150">
        <v>98.699923071716299</v>
      </c>
      <c r="AK6150">
        <v>30.220877226632801</v>
      </c>
      <c r="AL6150">
        <v>89.010424653409999</v>
      </c>
      <c r="AM6150">
        <v>88.564959436815002</v>
      </c>
      <c r="AN6150">
        <v>1.0000000385012699</v>
      </c>
    </row>
    <row r="6151" spans="1:40" x14ac:dyDescent="0.25">
      <c r="A6151" t="str">
        <f>"20190312160809429"</f>
        <v>20190312160809429</v>
      </c>
      <c r="B6151" t="str">
        <f>"1552378089421534"</f>
        <v>1552378089421534</v>
      </c>
      <c r="C6151" t="s">
        <v>40</v>
      </c>
      <c r="D6151">
        <v>6.3490199999999897</v>
      </c>
      <c r="E6151">
        <v>0.4330754</v>
      </c>
      <c r="F6151" t="s">
        <v>47</v>
      </c>
      <c r="G6151">
        <v>-348.03750000000002</v>
      </c>
      <c r="H6151" s="1">
        <v>-1.642809E-6</v>
      </c>
      <c r="I6151">
        <v>22.692830000000001</v>
      </c>
      <c r="J6151">
        <v>-377.5215</v>
      </c>
      <c r="K6151">
        <v>1.108973</v>
      </c>
      <c r="L6151">
        <v>17.167819999999999</v>
      </c>
      <c r="M6151">
        <v>0.99941190000000002</v>
      </c>
      <c r="N6151">
        <v>0</v>
      </c>
      <c r="O6151">
        <v>3.3186309999999997E-2</v>
      </c>
      <c r="P6151">
        <v>0.99993279999999995</v>
      </c>
      <c r="Q6151">
        <v>8.6015769999999991E-3</v>
      </c>
      <c r="R6151">
        <v>7.7895430000000003E-3</v>
      </c>
      <c r="S6151">
        <v>2.9964599999999999</v>
      </c>
      <c r="T6151">
        <v>-0.1122667</v>
      </c>
      <c r="U6151">
        <v>0.55969239999999998</v>
      </c>
      <c r="V6151">
        <v>2.5411240000000002E-2</v>
      </c>
      <c r="W6151">
        <v>1.7226620000000002E-2</v>
      </c>
      <c r="X6151">
        <v>0.99952859999999999</v>
      </c>
      <c r="Y6151">
        <v>-0.15080499999999999</v>
      </c>
      <c r="Z6151">
        <v>1.568662E-3</v>
      </c>
      <c r="AA6151">
        <v>0.9885623</v>
      </c>
      <c r="AB6151">
        <v>21</v>
      </c>
      <c r="AC6151">
        <v>29.483999999999899</v>
      </c>
      <c r="AD6151">
        <v>-1.1089746428089999</v>
      </c>
      <c r="AE6151">
        <v>5.5250099999999902</v>
      </c>
      <c r="AF6151">
        <v>-4.5372636757987497</v>
      </c>
      <c r="AG6151">
        <v>-1.1089746428089999</v>
      </c>
      <c r="AH6151">
        <v>29.6106503415701</v>
      </c>
      <c r="AI6151">
        <v>92.120110089888399</v>
      </c>
      <c r="AJ6151">
        <v>98.711717164767506</v>
      </c>
      <c r="AK6151">
        <v>29.976777679944899</v>
      </c>
      <c r="AL6151">
        <v>89.012938510611804</v>
      </c>
      <c r="AM6151">
        <v>88.543670241574503</v>
      </c>
      <c r="AN6151">
        <v>0.99999995488645999</v>
      </c>
    </row>
    <row r="6152" spans="1:40" x14ac:dyDescent="0.25">
      <c r="A6152" t="str">
        <f>"20190312160809450"</f>
        <v>20190312160809450</v>
      </c>
      <c r="B6152" t="str">
        <f>"1552378089442043"</f>
        <v>1552378089442043</v>
      </c>
      <c r="C6152" t="s">
        <v>40</v>
      </c>
      <c r="D6152">
        <v>6.2940690000000004</v>
      </c>
      <c r="E6152">
        <v>0.4328458</v>
      </c>
      <c r="F6152" t="s">
        <v>47</v>
      </c>
      <c r="G6152">
        <v>-347.44959999999998</v>
      </c>
      <c r="H6152" s="1">
        <v>-1.9225199999999999E-6</v>
      </c>
      <c r="I6152">
        <v>22.79608</v>
      </c>
      <c r="J6152">
        <v>-377.32929999999999</v>
      </c>
      <c r="K6152">
        <v>1.108984</v>
      </c>
      <c r="L6152">
        <v>17.17371</v>
      </c>
      <c r="M6152">
        <v>0.99942600000000004</v>
      </c>
      <c r="N6152">
        <v>0</v>
      </c>
      <c r="O6152">
        <v>3.2764189999999999E-2</v>
      </c>
      <c r="P6152">
        <v>0.99994119999999997</v>
      </c>
      <c r="Q6152">
        <v>8.3560070000000004E-3</v>
      </c>
      <c r="R6152">
        <v>6.9059539999999997E-3</v>
      </c>
      <c r="S6152">
        <v>2.9967649999999999</v>
      </c>
      <c r="T6152">
        <v>-0.1105129</v>
      </c>
      <c r="U6152">
        <v>0.56088260000000001</v>
      </c>
      <c r="V6152">
        <v>2.587236E-2</v>
      </c>
      <c r="W6152">
        <v>1.695868E-2</v>
      </c>
      <c r="X6152">
        <v>0.9995214</v>
      </c>
      <c r="Y6152">
        <v>-0.15158540000000001</v>
      </c>
      <c r="Z6152">
        <v>1.5736249999999999E-3</v>
      </c>
      <c r="AA6152">
        <v>0.98844290000000001</v>
      </c>
      <c r="AB6152">
        <v>21</v>
      </c>
      <c r="AC6152">
        <v>29.8797</v>
      </c>
      <c r="AD6152">
        <v>-1.1089859225200001</v>
      </c>
      <c r="AE6152">
        <v>5.6223700000000001</v>
      </c>
      <c r="AF6152">
        <v>-4.6341653171141299</v>
      </c>
      <c r="AG6152">
        <v>-1.1089859225200001</v>
      </c>
      <c r="AH6152">
        <v>30.007952757948001</v>
      </c>
      <c r="AI6152">
        <v>92.091709371532005</v>
      </c>
      <c r="AJ6152">
        <v>98.778907180121095</v>
      </c>
      <c r="AK6152">
        <v>30.383919541196899</v>
      </c>
      <c r="AL6152">
        <v>89.028292631811198</v>
      </c>
      <c r="AM6152">
        <v>88.517244260214198</v>
      </c>
      <c r="AN6152">
        <v>1.00000000244863</v>
      </c>
    </row>
    <row r="6153" spans="1:40" x14ac:dyDescent="0.25">
      <c r="A6153" t="str">
        <f>"20190312160809462"</f>
        <v>20190312160809462</v>
      </c>
      <c r="B6153" t="str">
        <f>"1552378089451790"</f>
        <v>1552378089451790</v>
      </c>
      <c r="C6153" t="s">
        <v>40</v>
      </c>
      <c r="D6153">
        <v>6.3892300000000004</v>
      </c>
      <c r="E6153">
        <v>0.43274410000000002</v>
      </c>
      <c r="F6153" t="s">
        <v>47</v>
      </c>
      <c r="G6153">
        <v>-348.36540000000002</v>
      </c>
      <c r="H6153" s="1">
        <v>-1.4742859999999901E-6</v>
      </c>
      <c r="I6153">
        <v>22.588090000000001</v>
      </c>
      <c r="J6153">
        <v>-377.21600000000001</v>
      </c>
      <c r="K6153">
        <v>1.1089869999999999</v>
      </c>
      <c r="L6153">
        <v>17.177150000000001</v>
      </c>
      <c r="M6153">
        <v>0.99943419999999905</v>
      </c>
      <c r="N6153">
        <v>0</v>
      </c>
      <c r="O6153">
        <v>3.2516349999999999E-2</v>
      </c>
      <c r="P6153">
        <v>0.99994559999999999</v>
      </c>
      <c r="Q6153">
        <v>8.4064869999999903E-3</v>
      </c>
      <c r="R6153">
        <v>6.1937040000000004E-3</v>
      </c>
      <c r="S6153">
        <v>2.9972530000000002</v>
      </c>
      <c r="T6153">
        <v>-0.1147605</v>
      </c>
      <c r="U6153">
        <v>0.56030269999999904</v>
      </c>
      <c r="V6153">
        <v>2.6336439999999999E-2</v>
      </c>
      <c r="W6153">
        <v>1.69973E-2</v>
      </c>
      <c r="X6153">
        <v>0.99950859999999997</v>
      </c>
      <c r="Y6153">
        <v>-0.151610299999999</v>
      </c>
      <c r="Z6153">
        <v>1.643692E-3</v>
      </c>
      <c r="AA6153">
        <v>0.98843899999999996</v>
      </c>
      <c r="AB6153">
        <v>21</v>
      </c>
      <c r="AC6153">
        <v>28.850599999999901</v>
      </c>
      <c r="AD6153">
        <v>-1.1089884742859999</v>
      </c>
      <c r="AE6153">
        <v>5.4109400000000001</v>
      </c>
      <c r="AF6153">
        <v>-4.46355654088027</v>
      </c>
      <c r="AG6153">
        <v>-1.1089884742859999</v>
      </c>
      <c r="AH6153">
        <v>28.9699430526932</v>
      </c>
      <c r="AI6153">
        <v>92.166707350084096</v>
      </c>
      <c r="AJ6153">
        <v>98.758994849297395</v>
      </c>
      <c r="AK6153">
        <v>29.3327597219563</v>
      </c>
      <c r="AL6153">
        <v>89.026079526866397</v>
      </c>
      <c r="AM6153">
        <v>88.490640516273501</v>
      </c>
      <c r="AN6153">
        <v>0.999999978876561</v>
      </c>
    </row>
    <row r="6154" spans="1:40" x14ac:dyDescent="0.25">
      <c r="A6154" t="str">
        <f>"20190312160809473"</f>
        <v>20190312160809473</v>
      </c>
      <c r="B6154" t="str">
        <f>"1552378089461550"</f>
        <v>1552378089461550</v>
      </c>
      <c r="C6154" t="s">
        <v>40</v>
      </c>
      <c r="D6154">
        <v>6.2869359999999999</v>
      </c>
      <c r="E6154">
        <v>0.43268040000000002</v>
      </c>
      <c r="F6154" t="s">
        <v>47</v>
      </c>
      <c r="G6154">
        <v>-348.1422</v>
      </c>
      <c r="H6154" s="1">
        <v>-1.572707E-6</v>
      </c>
      <c r="I6154">
        <v>22.598020000000002</v>
      </c>
      <c r="J6154">
        <v>-377.10820000000001</v>
      </c>
      <c r="K6154">
        <v>1.108992</v>
      </c>
      <c r="L6154">
        <v>17.180420000000002</v>
      </c>
      <c r="M6154">
        <v>0.99944189999999999</v>
      </c>
      <c r="N6154">
        <v>0</v>
      </c>
      <c r="O6154">
        <v>3.2280549999999998E-2</v>
      </c>
      <c r="P6154">
        <v>0.99994740000000004</v>
      </c>
      <c r="Q6154">
        <v>8.4574139999999999E-3</v>
      </c>
      <c r="R6154">
        <v>5.8035990000000004E-3</v>
      </c>
      <c r="S6154">
        <v>2.997681</v>
      </c>
      <c r="T6154">
        <v>-0.114342899999999</v>
      </c>
      <c r="U6154">
        <v>0.55892940000000002</v>
      </c>
      <c r="V6154">
        <v>2.6490679999999999E-2</v>
      </c>
      <c r="W6154">
        <v>1.7036869999999999E-2</v>
      </c>
      <c r="X6154">
        <v>0.9995039</v>
      </c>
      <c r="Y6154">
        <v>-0.15138109999999999</v>
      </c>
      <c r="Z6154">
        <v>1.642117E-3</v>
      </c>
      <c r="AA6154">
        <v>0.98847410000000002</v>
      </c>
      <c r="AB6154">
        <v>21</v>
      </c>
      <c r="AC6154">
        <v>28.966000000000001</v>
      </c>
      <c r="AD6154">
        <v>-1.1089935727069999</v>
      </c>
      <c r="AE6154">
        <v>5.4176000000000002</v>
      </c>
      <c r="AF6154">
        <v>-4.4733679205374699</v>
      </c>
      <c r="AG6154">
        <v>-1.1089935727069999</v>
      </c>
      <c r="AH6154">
        <v>29.084600863134799</v>
      </c>
      <c r="AI6154">
        <v>92.158271289120407</v>
      </c>
      <c r="AJ6154">
        <v>98.743879772662297</v>
      </c>
      <c r="AK6154">
        <v>29.447493860508001</v>
      </c>
      <c r="AL6154">
        <v>89.023812053018403</v>
      </c>
      <c r="AM6154">
        <v>88.481797905120501</v>
      </c>
      <c r="AN6154">
        <v>1.00000002859073</v>
      </c>
    </row>
    <row r="6155" spans="1:40" x14ac:dyDescent="0.25">
      <c r="A6155" t="str">
        <f>"20190312160809485"</f>
        <v>20190312160809485</v>
      </c>
      <c r="B6155" t="str">
        <f>"1552378089482047"</f>
        <v>1552378089482047</v>
      </c>
      <c r="C6155" t="s">
        <v>40</v>
      </c>
      <c r="D6155">
        <v>5.3398979999999998</v>
      </c>
      <c r="E6155">
        <v>0.4322783</v>
      </c>
      <c r="F6155" t="s">
        <v>47</v>
      </c>
      <c r="G6155">
        <v>-348.46409999999997</v>
      </c>
      <c r="H6155" s="1">
        <v>-1.412643E-6</v>
      </c>
      <c r="I6155">
        <v>22.51548</v>
      </c>
      <c r="J6155">
        <v>-376.99959999999999</v>
      </c>
      <c r="K6155">
        <v>1.108994</v>
      </c>
      <c r="L6155">
        <v>17.183620000000001</v>
      </c>
      <c r="M6155">
        <v>0.9994497</v>
      </c>
      <c r="N6155">
        <v>0</v>
      </c>
      <c r="O6155">
        <v>3.2043960000000003E-2</v>
      </c>
      <c r="P6155">
        <v>0.99994890000000003</v>
      </c>
      <c r="Q6155">
        <v>8.6168949999999994E-3</v>
      </c>
      <c r="R6155">
        <v>5.3099039999999998E-3</v>
      </c>
      <c r="S6155">
        <v>2.997925</v>
      </c>
      <c r="T6155">
        <v>-0.11606809999999999</v>
      </c>
      <c r="U6155">
        <v>0.55838009999999905</v>
      </c>
      <c r="V6155">
        <v>2.6747699999999999E-2</v>
      </c>
      <c r="W6155">
        <v>1.7187049999999999E-2</v>
      </c>
      <c r="X6155">
        <v>0.99949440000000001</v>
      </c>
      <c r="Y6155">
        <v>-0.1514229</v>
      </c>
      <c r="Z6155">
        <v>1.6766319999999999E-3</v>
      </c>
      <c r="AA6155">
        <v>0.9884676</v>
      </c>
      <c r="AB6155">
        <v>21</v>
      </c>
      <c r="AC6155">
        <v>28.535499999999999</v>
      </c>
      <c r="AD6155">
        <v>-1.1089954126429999</v>
      </c>
      <c r="AE6155">
        <v>5.3318599999999901</v>
      </c>
      <c r="AF6155">
        <v>-4.4082640856618003</v>
      </c>
      <c r="AG6155">
        <v>-1.1089954126429999</v>
      </c>
      <c r="AH6155">
        <v>28.649892350581599</v>
      </c>
      <c r="AI6155">
        <v>92.190970803391096</v>
      </c>
      <c r="AJ6155">
        <v>98.747311651050794</v>
      </c>
      <c r="AK6155">
        <v>29.008257355003501</v>
      </c>
      <c r="AL6155">
        <v>89.015206030565906</v>
      </c>
      <c r="AM6155">
        <v>88.467060314293505</v>
      </c>
      <c r="AN6155">
        <v>0.99999994488717403</v>
      </c>
    </row>
    <row r="6156" spans="1:40" x14ac:dyDescent="0.25">
      <c r="A6156" t="str">
        <f>"20190312160809497"</f>
        <v>20190312160809497</v>
      </c>
      <c r="B6156" t="str">
        <f>"1552378089491807"</f>
        <v>1552378089491807</v>
      </c>
      <c r="C6156" t="s">
        <v>40</v>
      </c>
      <c r="D6156">
        <v>6.3663470000000002</v>
      </c>
      <c r="E6156">
        <v>0.4319578</v>
      </c>
      <c r="F6156" t="s">
        <v>47</v>
      </c>
      <c r="G6156">
        <v>-347.59609999999998</v>
      </c>
      <c r="H6156" s="1">
        <v>-1.8275990000000001E-6</v>
      </c>
      <c r="I6156">
        <v>22.675540000000002</v>
      </c>
      <c r="J6156">
        <v>-376.88560000000001</v>
      </c>
      <c r="K6156">
        <v>1.108995</v>
      </c>
      <c r="L6156">
        <v>17.18704</v>
      </c>
      <c r="M6156">
        <v>0.9994577</v>
      </c>
      <c r="N6156">
        <v>0</v>
      </c>
      <c r="O6156">
        <v>3.1795990000000003E-2</v>
      </c>
      <c r="P6156">
        <v>0.99994989999999995</v>
      </c>
      <c r="Q6156">
        <v>8.763781E-3</v>
      </c>
      <c r="R6156">
        <v>4.8852799999999997E-3</v>
      </c>
      <c r="S6156">
        <v>2.9981689999999999</v>
      </c>
      <c r="T6156">
        <v>-0.11308</v>
      </c>
      <c r="U6156">
        <v>0.55999759999999998</v>
      </c>
      <c r="V6156">
        <v>2.6924010000000002E-2</v>
      </c>
      <c r="W6156">
        <v>1.7324840000000001E-2</v>
      </c>
      <c r="X6156">
        <v>0.99948729999999997</v>
      </c>
      <c r="Y6156">
        <v>-0.15217259999999999</v>
      </c>
      <c r="Z6156">
        <v>1.656556E-3</v>
      </c>
      <c r="AA6156">
        <v>0.98835249999999997</v>
      </c>
      <c r="AB6156">
        <v>21</v>
      </c>
      <c r="AC6156">
        <v>29.2895</v>
      </c>
      <c r="AD6156">
        <v>-1.1089968275990001</v>
      </c>
      <c r="AE6156">
        <v>5.4884999999999904</v>
      </c>
      <c r="AF6156">
        <v>-4.5481028043831797</v>
      </c>
      <c r="AG6156">
        <v>-1.1089968275990001</v>
      </c>
      <c r="AH6156">
        <v>29.408477623695202</v>
      </c>
      <c r="AI6156">
        <v>92.134258307066702</v>
      </c>
      <c r="AJ6156">
        <v>98.791304440788196</v>
      </c>
      <c r="AK6156">
        <v>29.778745259433698</v>
      </c>
      <c r="AL6156">
        <v>89.007310081646196</v>
      </c>
      <c r="AM6156">
        <v>88.456949710225103</v>
      </c>
      <c r="AN6156">
        <v>0.999999957628396</v>
      </c>
    </row>
    <row r="6157" spans="1:40" x14ac:dyDescent="0.25">
      <c r="A6157" t="str">
        <f>"20190312160809516"</f>
        <v>20190312160809516</v>
      </c>
      <c r="B6157" t="str">
        <f>"1552378089511326"</f>
        <v>1552378089511326</v>
      </c>
      <c r="C6157" t="s">
        <v>40</v>
      </c>
      <c r="D6157">
        <v>6.4018930000000003</v>
      </c>
      <c r="E6157">
        <v>0.43139759999999999</v>
      </c>
      <c r="F6157" t="s">
        <v>47</v>
      </c>
      <c r="G6157">
        <v>-346.77890000000002</v>
      </c>
      <c r="H6157" s="1">
        <v>-2.21718E-6</v>
      </c>
      <c r="I6157">
        <v>22.82216</v>
      </c>
      <c r="J6157">
        <v>-376.7106</v>
      </c>
      <c r="K6157">
        <v>1.1089979999999999</v>
      </c>
      <c r="L6157">
        <v>17.192170000000001</v>
      </c>
      <c r="M6157">
        <v>0.99946979999999996</v>
      </c>
      <c r="N6157">
        <v>0</v>
      </c>
      <c r="O6157">
        <v>3.141613E-2</v>
      </c>
      <c r="P6157">
        <v>0.99995560000000006</v>
      </c>
      <c r="Q6157">
        <v>8.6394090000000007E-3</v>
      </c>
      <c r="R6157">
        <v>3.8294029999999999E-3</v>
      </c>
      <c r="S6157">
        <v>2.998383</v>
      </c>
      <c r="T6157">
        <v>-0.1104468</v>
      </c>
      <c r="U6157">
        <v>0.56121829999999995</v>
      </c>
      <c r="V6157">
        <v>2.7599599999999998E-2</v>
      </c>
      <c r="W6157">
        <v>1.718658E-2</v>
      </c>
      <c r="X6157">
        <v>0.99947129999999995</v>
      </c>
      <c r="Y6157">
        <v>-0.15292729999999999</v>
      </c>
      <c r="Z6157">
        <v>1.6454519999999999E-3</v>
      </c>
      <c r="AA6157">
        <v>0.98823609999999995</v>
      </c>
      <c r="AB6157">
        <v>21</v>
      </c>
      <c r="AC6157">
        <v>29.9316999999999</v>
      </c>
      <c r="AD6157">
        <v>-1.10900021718</v>
      </c>
      <c r="AE6157">
        <v>5.6299899999999896</v>
      </c>
      <c r="AF6157">
        <v>-4.6806323056495103</v>
      </c>
      <c r="AG6157">
        <v>-1.10900021718</v>
      </c>
      <c r="AH6157">
        <v>30.053955711362999</v>
      </c>
      <c r="AI6157">
        <v>92.0881235152507</v>
      </c>
      <c r="AJ6157">
        <v>98.852186913839802</v>
      </c>
      <c r="AK6157">
        <v>30.436465861906001</v>
      </c>
      <c r="AL6157">
        <v>89.015233015858897</v>
      </c>
      <c r="AM6157">
        <v>88.418224882717098</v>
      </c>
      <c r="AN6157">
        <v>0.99999999798797301</v>
      </c>
    </row>
    <row r="6158" spans="1:40" x14ac:dyDescent="0.25">
      <c r="A6158" t="str">
        <f>"20190312160809527"</f>
        <v>20190312160809527</v>
      </c>
      <c r="B6158" t="str">
        <f>"1552378089522061"</f>
        <v>1552378089522061</v>
      </c>
      <c r="C6158" t="s">
        <v>40</v>
      </c>
      <c r="D6158">
        <v>6.3246399999999996</v>
      </c>
      <c r="E6158">
        <v>0.43114809999999998</v>
      </c>
      <c r="F6158" t="s">
        <v>47</v>
      </c>
      <c r="G6158">
        <v>-345.56610000000001</v>
      </c>
      <c r="H6158" s="1">
        <v>-2.7937250000000001E-6</v>
      </c>
      <c r="I6158">
        <v>23.033580000000001</v>
      </c>
      <c r="J6158">
        <v>-376.5994</v>
      </c>
      <c r="K6158">
        <v>1.1089990000000001</v>
      </c>
      <c r="L6158">
        <v>17.19537</v>
      </c>
      <c r="M6158">
        <v>0.99947730000000001</v>
      </c>
      <c r="N6158">
        <v>0</v>
      </c>
      <c r="O6158">
        <v>3.1175410000000001E-2</v>
      </c>
      <c r="P6158">
        <v>0.99995670000000003</v>
      </c>
      <c r="Q6158">
        <v>8.614142E-3</v>
      </c>
      <c r="R6158">
        <v>3.501685E-3</v>
      </c>
      <c r="S6158">
        <v>2.9988709999999998</v>
      </c>
      <c r="T6158">
        <v>-0.106784199999999</v>
      </c>
      <c r="U6158">
        <v>0.56246949999999996</v>
      </c>
      <c r="V6158">
        <v>2.768673E-2</v>
      </c>
      <c r="W6158">
        <v>1.715415E-2</v>
      </c>
      <c r="X6158">
        <v>0.99946950000000001</v>
      </c>
      <c r="Y6158">
        <v>-0.15353929999999999</v>
      </c>
      <c r="Z6158">
        <v>1.6098849999999999E-3</v>
      </c>
      <c r="AA6158">
        <v>0.98814120000000005</v>
      </c>
      <c r="AB6158">
        <v>21</v>
      </c>
      <c r="AC6158">
        <v>31.033300000000001</v>
      </c>
      <c r="AD6158">
        <v>-1.1090017937250001</v>
      </c>
      <c r="AE6158">
        <v>5.8382100000000001</v>
      </c>
      <c r="AF6158">
        <v>-4.8618641119922401</v>
      </c>
      <c r="AG6158">
        <v>-1.1090017937250001</v>
      </c>
      <c r="AH6158">
        <v>31.161794807750901</v>
      </c>
      <c r="AI6158">
        <v>92.013867887533607</v>
      </c>
      <c r="AJ6158">
        <v>98.867796322351595</v>
      </c>
      <c r="AK6158">
        <v>31.558280423089201</v>
      </c>
      <c r="AL6158">
        <v>89.017091443729299</v>
      </c>
      <c r="AM6158">
        <v>88.413231022339502</v>
      </c>
      <c r="AN6158">
        <v>1.00000005065528</v>
      </c>
    </row>
    <row r="6159" spans="1:40" x14ac:dyDescent="0.25">
      <c r="A6159" t="str">
        <f>"20190312160809540"</f>
        <v>20190312160809540</v>
      </c>
      <c r="B6159" t="str">
        <f>"1552378089531822"</f>
        <v>1552378089531822</v>
      </c>
      <c r="C6159" t="s">
        <v>40</v>
      </c>
      <c r="D6159">
        <v>6.357056</v>
      </c>
      <c r="E6159">
        <v>0.4308438</v>
      </c>
      <c r="F6159" t="s">
        <v>47</v>
      </c>
      <c r="G6159">
        <v>-344.81139999999999</v>
      </c>
      <c r="H6159" s="1">
        <v>-3.1529820000000001E-6</v>
      </c>
      <c r="I6159">
        <v>23.16713</v>
      </c>
      <c r="J6159">
        <v>-376.48</v>
      </c>
      <c r="K6159">
        <v>1.109002</v>
      </c>
      <c r="L6159">
        <v>17.198820000000001</v>
      </c>
      <c r="M6159">
        <v>0.99948539999999997</v>
      </c>
      <c r="N6159">
        <v>0</v>
      </c>
      <c r="O6159">
        <v>3.0916389999999998E-2</v>
      </c>
      <c r="P6159">
        <v>0.9999593</v>
      </c>
      <c r="Q6159">
        <v>8.4539750000000007E-3</v>
      </c>
      <c r="R6159">
        <v>3.2077759999999999E-3</v>
      </c>
      <c r="S6159">
        <v>2.9990540000000001</v>
      </c>
      <c r="T6159">
        <v>-0.10462929999999999</v>
      </c>
      <c r="U6159">
        <v>0.56341549999999996</v>
      </c>
      <c r="V6159">
        <v>2.7721200000000001E-2</v>
      </c>
      <c r="W6159">
        <v>1.6986810000000001E-2</v>
      </c>
      <c r="X6159">
        <v>0.99947140000000001</v>
      </c>
      <c r="Y6159">
        <v>-0.154088</v>
      </c>
      <c r="Z6159">
        <v>1.595705E-3</v>
      </c>
      <c r="AA6159">
        <v>0.98805580000000004</v>
      </c>
      <c r="AB6159">
        <v>21</v>
      </c>
      <c r="AC6159">
        <v>31.668600000000001</v>
      </c>
      <c r="AD6159">
        <v>-1.109005152982</v>
      </c>
      <c r="AE6159">
        <v>5.96830999999999</v>
      </c>
      <c r="AF6159">
        <v>-4.9804439975452901</v>
      </c>
      <c r="AG6159">
        <v>-1.109005152982</v>
      </c>
      <c r="AH6159">
        <v>31.800325558723401</v>
      </c>
      <c r="AI6159">
        <v>91.973289592723603</v>
      </c>
      <c r="AJ6159">
        <v>98.901135897919701</v>
      </c>
      <c r="AK6159">
        <v>32.2070709702516</v>
      </c>
      <c r="AL6159">
        <v>89.0266807137086</v>
      </c>
      <c r="AM6159">
        <v>88.411259524265105</v>
      </c>
      <c r="AN6159">
        <v>1.0000000480306801</v>
      </c>
    </row>
    <row r="6160" spans="1:40" x14ac:dyDescent="0.25">
      <c r="A6160" t="str">
        <f>"20190312160809553"</f>
        <v>20190312160809553</v>
      </c>
      <c r="B6160" t="str">
        <f>"1552378089541582"</f>
        <v>1552378089541582</v>
      </c>
      <c r="C6160" t="s">
        <v>40</v>
      </c>
      <c r="D6160">
        <v>6.3297280000000002</v>
      </c>
      <c r="E6160">
        <v>0.43056889999999998</v>
      </c>
      <c r="F6160" t="s">
        <v>47</v>
      </c>
      <c r="G6160">
        <v>-344.2706</v>
      </c>
      <c r="H6160" s="1">
        <v>-3.4113630000000001E-6</v>
      </c>
      <c r="I6160">
        <v>23.266259999999999</v>
      </c>
      <c r="J6160">
        <v>-376.36059999999998</v>
      </c>
      <c r="K6160">
        <v>1.109</v>
      </c>
      <c r="L6160">
        <v>17.20224</v>
      </c>
      <c r="M6160">
        <v>0.99949339999999998</v>
      </c>
      <c r="N6160">
        <v>0</v>
      </c>
      <c r="O6160">
        <v>3.065785E-2</v>
      </c>
      <c r="P6160">
        <v>0.99996079999999998</v>
      </c>
      <c r="Q6160">
        <v>8.4505029999999998E-3</v>
      </c>
      <c r="R6160">
        <v>2.6758250000000002E-3</v>
      </c>
      <c r="S6160">
        <v>2.9991460000000001</v>
      </c>
      <c r="T6160">
        <v>-0.10326399999999999</v>
      </c>
      <c r="U6160">
        <v>0.56497189999999997</v>
      </c>
      <c r="V6160">
        <v>2.7994479999999999E-2</v>
      </c>
      <c r="W6160">
        <v>1.697632E-2</v>
      </c>
      <c r="X6160">
        <v>0.99946389999999996</v>
      </c>
      <c r="Y6160">
        <v>-0.15483459999999999</v>
      </c>
      <c r="Z6160">
        <v>1.59631799999999E-3</v>
      </c>
      <c r="AA6160">
        <v>0.98793909999999996</v>
      </c>
      <c r="AB6160">
        <v>21</v>
      </c>
      <c r="AC6160">
        <v>32.089999999999897</v>
      </c>
      <c r="AD6160">
        <v>-1.1090034113630001</v>
      </c>
      <c r="AE6160">
        <v>6.0640199999999904</v>
      </c>
      <c r="AF6160">
        <v>-5.0714747805335803</v>
      </c>
      <c r="AG6160">
        <v>-1.1090034113630001</v>
      </c>
      <c r="AH6160">
        <v>32.223672248974403</v>
      </c>
      <c r="AI6160">
        <v>91.947153251889802</v>
      </c>
      <c r="AJ6160">
        <v>98.944045950640401</v>
      </c>
      <c r="AK6160">
        <v>32.639160501234201</v>
      </c>
      <c r="AL6160">
        <v>89.027281773595703</v>
      </c>
      <c r="AM6160">
        <v>88.395593580747203</v>
      </c>
      <c r="AN6160">
        <v>0.99999998687721103</v>
      </c>
    </row>
    <row r="6161" spans="1:40" x14ac:dyDescent="0.25">
      <c r="A6161" t="str">
        <f>"20190312160809572"</f>
        <v>20190312160809572</v>
      </c>
      <c r="B6161" t="str">
        <f>"1552378089562078"</f>
        <v>1552378089562078</v>
      </c>
      <c r="C6161" t="s">
        <v>40</v>
      </c>
      <c r="D6161">
        <v>6.4834500000000004</v>
      </c>
      <c r="E6161">
        <v>0.43006539999999999</v>
      </c>
      <c r="F6161" t="s">
        <v>47</v>
      </c>
      <c r="G6161">
        <v>-343.66079999999999</v>
      </c>
      <c r="H6161" s="1">
        <v>-3.695583E-6</v>
      </c>
      <c r="I6161">
        <v>23.36711</v>
      </c>
      <c r="J6161">
        <v>-376.1737</v>
      </c>
      <c r="K6161">
        <v>1.1090009999999999</v>
      </c>
      <c r="L6161">
        <v>17.207519999999999</v>
      </c>
      <c r="M6161">
        <v>0.99950589999999995</v>
      </c>
      <c r="N6161">
        <v>0</v>
      </c>
      <c r="O6161">
        <v>3.025251E-2</v>
      </c>
      <c r="P6161">
        <v>0.99995900000000004</v>
      </c>
      <c r="Q6161">
        <v>8.7954680000000007E-3</v>
      </c>
      <c r="R6161">
        <v>2.2490330000000001E-3</v>
      </c>
      <c r="S6161">
        <v>2.9994510000000001</v>
      </c>
      <c r="T6161">
        <v>-0.1017253</v>
      </c>
      <c r="U6161">
        <v>0.56549069999999901</v>
      </c>
      <c r="V6161">
        <v>2.8015809999999999E-2</v>
      </c>
      <c r="W6161">
        <v>1.7311969999999999E-2</v>
      </c>
      <c r="X6161">
        <v>0.9994575</v>
      </c>
      <c r="Y6161">
        <v>-0.15538360000000001</v>
      </c>
      <c r="Z6161">
        <v>1.5951889999999999E-3</v>
      </c>
      <c r="AA6161">
        <v>0.98785290000000003</v>
      </c>
      <c r="AB6161">
        <v>21</v>
      </c>
      <c r="AC6161">
        <v>32.512900000000002</v>
      </c>
      <c r="AD6161">
        <v>-1.109004695583</v>
      </c>
      <c r="AE6161">
        <v>6.1595899999999899</v>
      </c>
      <c r="AF6161">
        <v>-5.1673341330771896</v>
      </c>
      <c r="AG6161">
        <v>-1.109004695583</v>
      </c>
      <c r="AH6161">
        <v>32.647698669239503</v>
      </c>
      <c r="AI6161">
        <v>91.921621247937793</v>
      </c>
      <c r="AJ6161">
        <v>98.993916478841896</v>
      </c>
      <c r="AK6161">
        <v>33.072699645706997</v>
      </c>
      <c r="AL6161">
        <v>89.008047573572995</v>
      </c>
      <c r="AM6161">
        <v>88.394361489307897</v>
      </c>
      <c r="AN6161">
        <v>0.99999994211074095</v>
      </c>
    </row>
    <row r="6162" spans="1:40" x14ac:dyDescent="0.25">
      <c r="A6162" t="str">
        <f>"20190312160809595"</f>
        <v>20190312160809595</v>
      </c>
      <c r="B6162" t="str">
        <f>"1552378089581598"</f>
        <v>1552378089581598</v>
      </c>
      <c r="C6162" t="s">
        <v>40</v>
      </c>
      <c r="D6162">
        <v>6.3378170000000003</v>
      </c>
      <c r="E6162">
        <v>0.42962549999999999</v>
      </c>
      <c r="F6162" t="s">
        <v>47</v>
      </c>
      <c r="G6162">
        <v>-342.12759999999997</v>
      </c>
      <c r="H6162" s="1">
        <v>-4.268288E-6</v>
      </c>
      <c r="I6162">
        <v>23.654430000000001</v>
      </c>
      <c r="J6162">
        <v>-375.96730000000002</v>
      </c>
      <c r="K6162">
        <v>1.109002</v>
      </c>
      <c r="L6162">
        <v>17.213229999999999</v>
      </c>
      <c r="M6162">
        <v>0.99951939999999995</v>
      </c>
      <c r="N6162">
        <v>0</v>
      </c>
      <c r="O6162">
        <v>2.9803900000000001E-2</v>
      </c>
      <c r="P6162">
        <v>0.99995909999999999</v>
      </c>
      <c r="Q6162">
        <v>8.8604879999999997E-3</v>
      </c>
      <c r="R6162">
        <v>1.8846399999999999E-3</v>
      </c>
      <c r="S6162">
        <v>2.999695</v>
      </c>
      <c r="T6162">
        <v>-9.7710850000000002E-2</v>
      </c>
      <c r="U6162">
        <v>0.56802369999999902</v>
      </c>
      <c r="V6162">
        <v>2.7931669999999999E-2</v>
      </c>
      <c r="W6162">
        <v>1.7368700000000001E-2</v>
      </c>
      <c r="X6162">
        <v>0.99945890000000004</v>
      </c>
      <c r="Y6162">
        <v>-0.15662209999999999</v>
      </c>
      <c r="Z6162">
        <v>1.566476E-3</v>
      </c>
      <c r="AA6162">
        <v>0.98765740000000002</v>
      </c>
      <c r="AB6162">
        <v>21</v>
      </c>
      <c r="AC6162">
        <v>33.839700000000001</v>
      </c>
      <c r="AD6162">
        <v>-1.109006268288</v>
      </c>
      <c r="AE6162">
        <v>6.4411999999999896</v>
      </c>
      <c r="AF6162">
        <v>-5.424124725864</v>
      </c>
      <c r="AG6162">
        <v>-1.109006268288</v>
      </c>
      <c r="AH6162">
        <v>33.981425127061797</v>
      </c>
      <c r="AI6162">
        <v>91.845871429668307</v>
      </c>
      <c r="AJ6162">
        <v>99.069062589476303</v>
      </c>
      <c r="AK6162">
        <v>34.429468157538203</v>
      </c>
      <c r="AL6162">
        <v>89.004796724137805</v>
      </c>
      <c r="AM6162">
        <v>88.399183438463893</v>
      </c>
      <c r="AN6162">
        <v>0.99999997135894403</v>
      </c>
    </row>
    <row r="6163" spans="1:40" x14ac:dyDescent="0.25">
      <c r="A6163" t="str">
        <f>"20190312160809607"</f>
        <v>20190312160809607</v>
      </c>
      <c r="B6163" t="str">
        <f>"1552378089602093"</f>
        <v>1552378089602093</v>
      </c>
      <c r="C6163" t="s">
        <v>40</v>
      </c>
      <c r="D6163">
        <v>6.5229419999999996</v>
      </c>
      <c r="E6163">
        <v>0.429147</v>
      </c>
      <c r="F6163" t="s">
        <v>47</v>
      </c>
      <c r="G6163">
        <v>-340.53930000000003</v>
      </c>
      <c r="H6163" s="1">
        <v>-4.8611330000000002E-6</v>
      </c>
      <c r="I6163">
        <v>23.94952</v>
      </c>
      <c r="J6163">
        <v>-375.8374</v>
      </c>
      <c r="K6163">
        <v>1.1090009999999999</v>
      </c>
      <c r="L6163">
        <v>17.216799999999999</v>
      </c>
      <c r="M6163">
        <v>0.99952790000000002</v>
      </c>
      <c r="N6163">
        <v>0</v>
      </c>
      <c r="O6163">
        <v>2.9521450000000001E-2</v>
      </c>
      <c r="P6163">
        <v>0.99995889999999998</v>
      </c>
      <c r="Q6163">
        <v>8.9441680000000006E-3</v>
      </c>
      <c r="R6163">
        <v>1.5715729999999999E-3</v>
      </c>
      <c r="S6163">
        <v>2.9998779999999998</v>
      </c>
      <c r="T6163">
        <v>-9.3905450000000001E-2</v>
      </c>
      <c r="U6163">
        <v>0.57040409999999997</v>
      </c>
      <c r="V6163">
        <v>2.7962190000000001E-2</v>
      </c>
      <c r="W6163">
        <v>1.7447839999999999E-2</v>
      </c>
      <c r="X6163">
        <v>0.99945669999999998</v>
      </c>
      <c r="Y6163">
        <v>-0.15765090000000001</v>
      </c>
      <c r="Z6163">
        <v>1.5300019999999999E-3</v>
      </c>
      <c r="AA6163">
        <v>0.98749379999999998</v>
      </c>
      <c r="AB6163">
        <v>21</v>
      </c>
      <c r="AC6163">
        <v>35.298099999999899</v>
      </c>
      <c r="AD6163">
        <v>-1.109005861133</v>
      </c>
      <c r="AE6163">
        <v>6.7327199999999996</v>
      </c>
      <c r="AF6163">
        <v>-5.6822843284206197</v>
      </c>
      <c r="AG6163">
        <v>-1.109005861133</v>
      </c>
      <c r="AH6163">
        <v>35.447718527794301</v>
      </c>
      <c r="AI6163">
        <v>91.769378388904002</v>
      </c>
      <c r="AJ6163">
        <v>99.107059535976802</v>
      </c>
      <c r="AK6163">
        <v>35.917391303027202</v>
      </c>
      <c r="AL6163">
        <v>89.000261680610095</v>
      </c>
      <c r="AM6163">
        <v>88.397431665751398</v>
      </c>
      <c r="AN6163">
        <v>1.00000000318257</v>
      </c>
    </row>
    <row r="6164" spans="1:40" x14ac:dyDescent="0.25">
      <c r="A6164" t="str">
        <f>"20190312160809621"</f>
        <v>20190312160809621</v>
      </c>
      <c r="B6164" t="str">
        <f>"1552378089611854"</f>
        <v>1552378089611854</v>
      </c>
      <c r="C6164" t="s">
        <v>40</v>
      </c>
      <c r="D6164">
        <v>6.9188509999999903</v>
      </c>
      <c r="E6164">
        <v>0.42924810000000002</v>
      </c>
      <c r="F6164" t="s">
        <v>47</v>
      </c>
      <c r="G6164">
        <v>-339.30160000000001</v>
      </c>
      <c r="H6164" s="1">
        <v>-1.5007929999999999E-6</v>
      </c>
      <c r="I6164">
        <v>24.197189999999999</v>
      </c>
      <c r="J6164">
        <v>-375.7122</v>
      </c>
      <c r="K6164">
        <v>1.1090009999999999</v>
      </c>
      <c r="L6164">
        <v>17.220179999999999</v>
      </c>
      <c r="M6164">
        <v>0.99953579999999997</v>
      </c>
      <c r="N6164">
        <v>0</v>
      </c>
      <c r="O6164">
        <v>2.9249420000000002E-2</v>
      </c>
      <c r="P6164">
        <v>0.99995900000000004</v>
      </c>
      <c r="Q6164">
        <v>9.0060290000000005E-3</v>
      </c>
      <c r="R6164">
        <v>9.7631720000000005E-4</v>
      </c>
      <c r="S6164">
        <v>3.0000309999999999</v>
      </c>
      <c r="T6164">
        <v>-9.106243E-2</v>
      </c>
      <c r="U6164">
        <v>0.57318119999999995</v>
      </c>
      <c r="V6164">
        <v>2.8285279999999999E-2</v>
      </c>
      <c r="W6164">
        <v>1.7505050000000001E-2</v>
      </c>
      <c r="X6164">
        <v>0.99944659999999996</v>
      </c>
      <c r="Y6164">
        <v>-0.1587954</v>
      </c>
      <c r="Z6164">
        <v>1.5088809999999999E-3</v>
      </c>
      <c r="AA6164">
        <v>0.98731029999999997</v>
      </c>
      <c r="AB6164">
        <v>21</v>
      </c>
      <c r="AC6164">
        <v>36.410599999999903</v>
      </c>
      <c r="AD6164">
        <v>-1.109002500793</v>
      </c>
      <c r="AE6164">
        <v>6.9770099999999999</v>
      </c>
      <c r="AF6164">
        <v>-5.90371408733564</v>
      </c>
      <c r="AG6164">
        <v>-1.109002500793</v>
      </c>
      <c r="AH6164">
        <v>36.566379989357301</v>
      </c>
      <c r="AI6164">
        <v>91.714966579737904</v>
      </c>
      <c r="AJ6164">
        <v>99.171373704158398</v>
      </c>
      <c r="AK6164">
        <v>37.056495680215598</v>
      </c>
      <c r="AL6164">
        <v>88.996983280220505</v>
      </c>
      <c r="AM6164">
        <v>88.378908190461303</v>
      </c>
      <c r="AN6164">
        <v>0.99999999504587</v>
      </c>
    </row>
    <row r="6165" spans="1:40" x14ac:dyDescent="0.25">
      <c r="A6165" t="str">
        <f>"20190312160809640"</f>
        <v>20190312160809640</v>
      </c>
      <c r="B6165" t="str">
        <f>"1552378089632351"</f>
        <v>1552378089632351</v>
      </c>
      <c r="C6165" t="s">
        <v>40</v>
      </c>
      <c r="D6165">
        <v>6.5593380000000003</v>
      </c>
      <c r="E6165">
        <v>0.48684169999999999</v>
      </c>
      <c r="F6165" t="s">
        <v>47</v>
      </c>
      <c r="G6165">
        <v>-338.59890000000001</v>
      </c>
      <c r="H6165" s="1">
        <v>-1.8238509999999999E-6</v>
      </c>
      <c r="I6165">
        <v>24.278410000000001</v>
      </c>
      <c r="J6165">
        <v>-375.53489999999999</v>
      </c>
      <c r="K6165">
        <v>1.1090009999999999</v>
      </c>
      <c r="L6165">
        <v>17.22495</v>
      </c>
      <c r="M6165">
        <v>0.99954699999999996</v>
      </c>
      <c r="N6165">
        <v>0</v>
      </c>
      <c r="O6165">
        <v>2.8863679999999999E-2</v>
      </c>
      <c r="P6165">
        <v>0.99995919999999905</v>
      </c>
      <c r="Q6165">
        <v>9.0192620000000001E-3</v>
      </c>
      <c r="R6165">
        <v>4.3087079999999997E-4</v>
      </c>
      <c r="S6165">
        <v>3.0003660000000001</v>
      </c>
      <c r="T6165">
        <v>-8.9655520000000002E-2</v>
      </c>
      <c r="U6165">
        <v>0.57061770000000001</v>
      </c>
      <c r="V6165">
        <v>2.8444770000000001E-2</v>
      </c>
      <c r="W6165">
        <v>1.751316E-2</v>
      </c>
      <c r="X6165">
        <v>0.99944189999999999</v>
      </c>
      <c r="Y6165">
        <v>-0.15834389999999901</v>
      </c>
      <c r="Z6165">
        <v>1.4902489999999999E-3</v>
      </c>
      <c r="AA6165">
        <v>0.98738289999999995</v>
      </c>
      <c r="AB6165">
        <v>21</v>
      </c>
      <c r="AC6165">
        <v>36.9359999999999</v>
      </c>
      <c r="AD6165">
        <v>-1.1090028238509999</v>
      </c>
      <c r="AE6165">
        <v>7.0534600000000003</v>
      </c>
      <c r="AF6165">
        <v>-5.9791728113384597</v>
      </c>
      <c r="AG6165">
        <v>-1.1090028238509999</v>
      </c>
      <c r="AH6165">
        <v>37.091944104041197</v>
      </c>
      <c r="AI6165">
        <v>91.690748820255195</v>
      </c>
      <c r="AJ6165">
        <v>99.157229947927107</v>
      </c>
      <c r="AK6165">
        <v>37.587134929234402</v>
      </c>
      <c r="AL6165">
        <v>88.996518508639497</v>
      </c>
      <c r="AM6165">
        <v>88.369764723147199</v>
      </c>
      <c r="AN6165">
        <v>0.99999996359457299</v>
      </c>
    </row>
    <row r="6166" spans="1:40" x14ac:dyDescent="0.25">
      <c r="A6166" t="str">
        <f>"20190312160809651"</f>
        <v>20190312160809651</v>
      </c>
      <c r="B6166" t="str">
        <f>"1552378089642110"</f>
        <v>1552378089642110</v>
      </c>
      <c r="C6166" t="s">
        <v>40</v>
      </c>
      <c r="D6166">
        <v>6.4603849999999996</v>
      </c>
      <c r="E6166">
        <v>0.49754540000000003</v>
      </c>
      <c r="F6166" t="s">
        <v>101</v>
      </c>
      <c r="G6166">
        <v>-274.01900000000001</v>
      </c>
      <c r="H6166">
        <v>2.662846</v>
      </c>
      <c r="I6166">
        <v>20.803540000000002</v>
      </c>
      <c r="J6166">
        <v>-375.41419999999999</v>
      </c>
      <c r="K6166">
        <v>1.109</v>
      </c>
      <c r="L6166">
        <v>17.228120000000001</v>
      </c>
      <c r="M6166">
        <v>0.99955479999999997</v>
      </c>
      <c r="N6166">
        <v>0</v>
      </c>
      <c r="O6166">
        <v>2.860101E-2</v>
      </c>
      <c r="P6166">
        <v>0.99996039999999997</v>
      </c>
      <c r="Q6166">
        <v>8.9258259999999996E-3</v>
      </c>
      <c r="R6166" s="1">
        <v>2.3522650000000001E-5</v>
      </c>
      <c r="S6166">
        <v>2.9996640000000001</v>
      </c>
      <c r="T6166">
        <v>4.5914290000000003E-2</v>
      </c>
      <c r="U6166">
        <v>0.1057434</v>
      </c>
      <c r="V6166">
        <v>2.8589340000000001E-2</v>
      </c>
      <c r="W6166">
        <v>1.7416850000000001E-2</v>
      </c>
      <c r="X6166">
        <v>0.99943950000000004</v>
      </c>
      <c r="Y6166">
        <v>-6.6337319999999998E-3</v>
      </c>
      <c r="Z6166">
        <v>3.8678429999999998E-4</v>
      </c>
      <c r="AA6166">
        <v>0.99997789999999998</v>
      </c>
      <c r="AB6166">
        <v>21</v>
      </c>
      <c r="AC6166">
        <v>101.3952</v>
      </c>
      <c r="AD6166">
        <v>1.5538459999999901</v>
      </c>
      <c r="AE6166">
        <v>3.5754199999999901</v>
      </c>
      <c r="AF6166">
        <v>-0.67368939876512701</v>
      </c>
      <c r="AG6166">
        <v>1.5538459999999901</v>
      </c>
      <c r="AH6166">
        <v>101.432190045558</v>
      </c>
      <c r="AI6166">
        <v>89.122370409529097</v>
      </c>
      <c r="AJ6166">
        <v>90.380539862811204</v>
      </c>
      <c r="AK6166">
        <v>101.446328037223</v>
      </c>
      <c r="AL6166">
        <v>89.002037549068802</v>
      </c>
      <c r="AM6166">
        <v>88.361479656281205</v>
      </c>
      <c r="AN6166">
        <v>1.0000000055928999</v>
      </c>
    </row>
    <row r="6167" spans="1:40" x14ac:dyDescent="0.25">
      <c r="A6167" t="str">
        <f>"20190312160809665"</f>
        <v>20190312160809665</v>
      </c>
      <c r="B6167" t="str">
        <f>"1552378089661630"</f>
        <v>1552378089661630</v>
      </c>
      <c r="C6167" t="s">
        <v>40</v>
      </c>
      <c r="D6167">
        <v>6.7255209999999996</v>
      </c>
      <c r="E6167">
        <v>0.51095590000000002</v>
      </c>
      <c r="F6167" t="s">
        <v>102</v>
      </c>
      <c r="G6167">
        <v>-276.04570000000001</v>
      </c>
      <c r="H6167">
        <v>3.6152319999999998</v>
      </c>
      <c r="I6167">
        <v>17.834720000000001</v>
      </c>
      <c r="J6167">
        <v>-375.29219999999998</v>
      </c>
      <c r="K6167">
        <v>1.108997</v>
      </c>
      <c r="L6167">
        <v>17.23132</v>
      </c>
      <c r="M6167">
        <v>0.99956230000000001</v>
      </c>
      <c r="N6167">
        <v>0</v>
      </c>
      <c r="O6167">
        <v>2.8335659999999999E-2</v>
      </c>
      <c r="P6167">
        <v>0.99995579999999995</v>
      </c>
      <c r="Q6167">
        <v>9.4072730000000007E-3</v>
      </c>
      <c r="R6167" s="1">
        <v>6.7015530000000004E-5</v>
      </c>
      <c r="S6167">
        <v>2.9994809999999998</v>
      </c>
      <c r="T6167">
        <v>7.5651880000000005E-2</v>
      </c>
      <c r="U6167">
        <v>1.8310549999999998E-2</v>
      </c>
      <c r="V6167">
        <v>2.8280759999999999E-2</v>
      </c>
      <c r="W6167">
        <v>1.7895999999999999E-2</v>
      </c>
      <c r="X6167">
        <v>0.99943979999999999</v>
      </c>
      <c r="Y6167">
        <v>2.2218069999999999E-2</v>
      </c>
      <c r="Z6167">
        <v>9.9463159999999993E-4</v>
      </c>
      <c r="AA6167">
        <v>0.99975259999999999</v>
      </c>
      <c r="AB6167">
        <v>21</v>
      </c>
      <c r="AC6167">
        <v>99.246499999999898</v>
      </c>
      <c r="AD6167">
        <v>2.5062350000000002</v>
      </c>
      <c r="AE6167">
        <v>0.60340000000000005</v>
      </c>
      <c r="AF6167">
        <v>2.20775122914681</v>
      </c>
      <c r="AG6167">
        <v>2.5062350000000002</v>
      </c>
      <c r="AH6167">
        <v>99.160512636926398</v>
      </c>
      <c r="AI6167">
        <v>88.55254309963</v>
      </c>
      <c r="AJ6167">
        <v>88.724553462362096</v>
      </c>
      <c r="AK6167">
        <v>99.216745793152697</v>
      </c>
      <c r="AL6167">
        <v>88.974579980982995</v>
      </c>
      <c r="AM6167">
        <v>88.379156081481497</v>
      </c>
      <c r="AN6167">
        <v>0.99999999101310799</v>
      </c>
    </row>
    <row r="6168" spans="1:40" x14ac:dyDescent="0.25">
      <c r="A6168" t="str">
        <f>"20190312160809683"</f>
        <v>20190312160809683</v>
      </c>
      <c r="B6168" t="str">
        <f>"1552378089671390"</f>
        <v>1552378089671390</v>
      </c>
      <c r="C6168" t="s">
        <v>40</v>
      </c>
      <c r="D6168">
        <v>6.6305319999999996</v>
      </c>
      <c r="E6168">
        <v>0.51380649999999894</v>
      </c>
      <c r="F6168" t="s">
        <v>101</v>
      </c>
      <c r="G6168">
        <v>-273.40989999999999</v>
      </c>
      <c r="H6168">
        <v>7.647583</v>
      </c>
      <c r="I6168">
        <v>14.118270000000001</v>
      </c>
      <c r="J6168">
        <v>-375.11750000000001</v>
      </c>
      <c r="K6168">
        <v>1.1089960000000001</v>
      </c>
      <c r="L6168">
        <v>17.235869999999998</v>
      </c>
      <c r="M6168">
        <v>0.99957309999999999</v>
      </c>
      <c r="N6168">
        <v>0</v>
      </c>
      <c r="O6168">
        <v>2.7955560000000001E-2</v>
      </c>
      <c r="P6168">
        <v>0.99995509999999999</v>
      </c>
      <c r="Q6168">
        <v>9.4899010000000002E-3</v>
      </c>
      <c r="R6168" s="1">
        <v>-8.6046290000000002E-5</v>
      </c>
      <c r="S6168">
        <v>2.998291</v>
      </c>
      <c r="T6168">
        <v>0.19242390000000001</v>
      </c>
      <c r="U6168">
        <v>-9.1613769999999997E-2</v>
      </c>
      <c r="V6168">
        <v>2.8053740000000001E-2</v>
      </c>
      <c r="W6168">
        <v>1.7975620000000001E-2</v>
      </c>
      <c r="X6168">
        <v>0.99944480000000002</v>
      </c>
      <c r="Y6168">
        <v>5.8295369999999999E-2</v>
      </c>
      <c r="Z6168">
        <v>3.6602280000000002E-3</v>
      </c>
      <c r="AA6168">
        <v>0.99829270000000003</v>
      </c>
      <c r="AB6168">
        <v>21</v>
      </c>
      <c r="AC6168">
        <v>101.7076</v>
      </c>
      <c r="AD6168">
        <v>6.5385869999999997</v>
      </c>
      <c r="AE6168">
        <v>-3.1175999999999999</v>
      </c>
      <c r="AF6168">
        <v>5.9352696834894703</v>
      </c>
      <c r="AG6168">
        <v>6.5385869999999997</v>
      </c>
      <c r="AH6168">
        <v>101.162979165736</v>
      </c>
      <c r="AI6168">
        <v>86.308208735092506</v>
      </c>
      <c r="AJ6168">
        <v>86.642284393073496</v>
      </c>
      <c r="AK6168">
        <v>101.547668116306</v>
      </c>
      <c r="AL6168">
        <v>88.970017388690593</v>
      </c>
      <c r="AM6168">
        <v>88.392168370437204</v>
      </c>
      <c r="AN6168">
        <v>1.0000000217447</v>
      </c>
    </row>
    <row r="6169" spans="1:40" x14ac:dyDescent="0.25">
      <c r="A6169" t="str">
        <f>"20190312160809694"</f>
        <v>20190312160809694</v>
      </c>
      <c r="B6169" t="str">
        <f>"1552378089691886"</f>
        <v>1552378089691886</v>
      </c>
      <c r="C6169" t="s">
        <v>40</v>
      </c>
      <c r="D6169">
        <v>6.3845479999999997</v>
      </c>
      <c r="E6169">
        <v>0.51967280000000005</v>
      </c>
      <c r="F6169" t="s">
        <v>101</v>
      </c>
      <c r="G6169">
        <v>-274.49669999999998</v>
      </c>
      <c r="H6169">
        <v>8.7063199999999998</v>
      </c>
      <c r="I6169">
        <v>13.35702</v>
      </c>
      <c r="J6169">
        <v>-375.00959999999998</v>
      </c>
      <c r="K6169">
        <v>1.1089960000000001</v>
      </c>
      <c r="L6169">
        <v>17.23865</v>
      </c>
      <c r="M6169">
        <v>0.99957949999999995</v>
      </c>
      <c r="N6169">
        <v>0</v>
      </c>
      <c r="O6169">
        <v>2.7721019999999999E-2</v>
      </c>
      <c r="P6169">
        <v>0.99995670000000003</v>
      </c>
      <c r="Q6169">
        <v>9.2975060000000005E-3</v>
      </c>
      <c r="R6169">
        <v>-2.6963550000000001E-4</v>
      </c>
      <c r="S6169">
        <v>2.997986</v>
      </c>
      <c r="T6169">
        <v>0.2263616</v>
      </c>
      <c r="U6169">
        <v>-0.1155701</v>
      </c>
      <c r="V6169">
        <v>2.800271E-2</v>
      </c>
      <c r="W6169">
        <v>1.77810999999999E-2</v>
      </c>
      <c r="X6169">
        <v>0.9994497</v>
      </c>
      <c r="Y6169">
        <v>6.5941009999999994E-2</v>
      </c>
      <c r="Z6169">
        <v>4.5744369999999998E-3</v>
      </c>
      <c r="AA6169">
        <v>0.99781299999999995</v>
      </c>
      <c r="AB6169">
        <v>21</v>
      </c>
      <c r="AC6169">
        <v>100.5129</v>
      </c>
      <c r="AD6169">
        <v>7.5973240000000004</v>
      </c>
      <c r="AE6169">
        <v>-3.8816299999999999</v>
      </c>
      <c r="AF6169">
        <v>6.6287443189556203</v>
      </c>
      <c r="AG6169">
        <v>7.5973240000000004</v>
      </c>
      <c r="AH6169">
        <v>99.797352427449297</v>
      </c>
      <c r="AI6169">
        <v>85.656146849977503</v>
      </c>
      <c r="AJ6169">
        <v>86.199879115636506</v>
      </c>
      <c r="AK6169">
        <v>100.30538936037</v>
      </c>
      <c r="AL6169">
        <v>88.981164334232105</v>
      </c>
      <c r="AM6169">
        <v>88.395099363621497</v>
      </c>
      <c r="AN6169">
        <v>1.0000000110573199</v>
      </c>
    </row>
    <row r="6170" spans="1:40" x14ac:dyDescent="0.25">
      <c r="A6170" t="str">
        <f>"20190312160809706"</f>
        <v>20190312160809706</v>
      </c>
      <c r="B6170" t="str">
        <f>"1552378089701646"</f>
        <v>1552378089701646</v>
      </c>
      <c r="C6170" t="s">
        <v>40</v>
      </c>
      <c r="D6170">
        <v>6.4375900000000001</v>
      </c>
      <c r="E6170">
        <v>0.52141009999999999</v>
      </c>
      <c r="F6170" t="s">
        <v>103</v>
      </c>
      <c r="G6170">
        <v>-255.7764</v>
      </c>
      <c r="H6170">
        <v>9.3658520000000003</v>
      </c>
      <c r="I6170">
        <v>10.77722</v>
      </c>
      <c r="J6170">
        <v>-374.89839999999998</v>
      </c>
      <c r="K6170">
        <v>1.108994</v>
      </c>
      <c r="L6170">
        <v>17.24146</v>
      </c>
      <c r="M6170">
        <v>0.99958630000000004</v>
      </c>
      <c r="N6170">
        <v>0</v>
      </c>
      <c r="O6170">
        <v>2.7479150000000001E-2</v>
      </c>
      <c r="P6170">
        <v>0.99995999999999996</v>
      </c>
      <c r="Q6170">
        <v>8.9427999999999903E-3</v>
      </c>
      <c r="R6170">
        <v>-4.535807E-4</v>
      </c>
      <c r="S6170">
        <v>2.9981689999999999</v>
      </c>
      <c r="T6170">
        <v>0.2076221</v>
      </c>
      <c r="U6170">
        <v>-0.1624756</v>
      </c>
      <c r="V6170">
        <v>2.794452E-2</v>
      </c>
      <c r="W6170">
        <v>1.742496E-2</v>
      </c>
      <c r="X6170">
        <v>0.99945759999999995</v>
      </c>
      <c r="Y6170">
        <v>8.1271880000000005E-2</v>
      </c>
      <c r="Z6170">
        <v>4.7081019999999996E-3</v>
      </c>
      <c r="AA6170">
        <v>0.99668089999999998</v>
      </c>
      <c r="AB6170">
        <v>22</v>
      </c>
      <c r="AC6170">
        <v>119.122</v>
      </c>
      <c r="AD6170">
        <v>8.2568579999999994</v>
      </c>
      <c r="AE6170">
        <v>-6.4642400000000002</v>
      </c>
      <c r="AF6170">
        <v>9.6888748830483191</v>
      </c>
      <c r="AG6170">
        <v>8.2568579999999994</v>
      </c>
      <c r="AH6170">
        <v>118.33251927193</v>
      </c>
      <c r="AI6170">
        <v>86.021826206479204</v>
      </c>
      <c r="AJ6170">
        <v>85.319156037921701</v>
      </c>
      <c r="AK6170">
        <v>119.01527262403501</v>
      </c>
      <c r="AL6170">
        <v>89.001572813987096</v>
      </c>
      <c r="AM6170">
        <v>88.398445282188305</v>
      </c>
      <c r="AN6170">
        <v>1.0000000098133901</v>
      </c>
    </row>
    <row r="6171" spans="1:40" x14ac:dyDescent="0.25">
      <c r="A6171" t="str">
        <f>"20190312160809718"</f>
        <v>20190312160809718</v>
      </c>
      <c r="B6171" t="str">
        <f>"1552378089711407"</f>
        <v>1552378089711407</v>
      </c>
      <c r="C6171" t="s">
        <v>40</v>
      </c>
      <c r="D6171">
        <v>5.6115969999999997</v>
      </c>
      <c r="E6171">
        <v>0.52317269999999905</v>
      </c>
      <c r="F6171" t="s">
        <v>103</v>
      </c>
      <c r="G6171">
        <v>-255.7764</v>
      </c>
      <c r="H6171">
        <v>8.8253120000000003</v>
      </c>
      <c r="I6171">
        <v>10.22123</v>
      </c>
      <c r="J6171">
        <v>-374.78109999999998</v>
      </c>
      <c r="K6171">
        <v>1.108995</v>
      </c>
      <c r="L6171">
        <v>17.244420000000002</v>
      </c>
      <c r="M6171">
        <v>0.99959310000000001</v>
      </c>
      <c r="N6171">
        <v>0</v>
      </c>
      <c r="O6171">
        <v>2.722428E-2</v>
      </c>
      <c r="P6171">
        <v>0.9999614</v>
      </c>
      <c r="Q6171">
        <v>8.7539309999999995E-3</v>
      </c>
      <c r="R6171">
        <v>-8.1769089999999905E-4</v>
      </c>
      <c r="S6171">
        <v>2.9982600000000001</v>
      </c>
      <c r="T6171">
        <v>0.194217</v>
      </c>
      <c r="U6171">
        <v>-0.17669679999999999</v>
      </c>
      <c r="V6171">
        <v>2.8053560000000002E-2</v>
      </c>
      <c r="W6171">
        <v>1.723425E-2</v>
      </c>
      <c r="X6171">
        <v>0.99945779999999995</v>
      </c>
      <c r="Y6171">
        <v>8.5751309999999997E-2</v>
      </c>
      <c r="Z6171">
        <v>4.5324129999999999E-3</v>
      </c>
      <c r="AA6171">
        <v>0.99630620000000003</v>
      </c>
      <c r="AB6171">
        <v>22</v>
      </c>
      <c r="AC6171">
        <v>119.0047</v>
      </c>
      <c r="AD6171">
        <v>7.7163170000000001</v>
      </c>
      <c r="AE6171">
        <v>-7.0231899999999996</v>
      </c>
      <c r="AF6171">
        <v>10.2177123003652</v>
      </c>
      <c r="AG6171">
        <v>7.7163170000000001</v>
      </c>
      <c r="AH6171">
        <v>118.27384876714299</v>
      </c>
      <c r="AI6171">
        <v>86.281062716159198</v>
      </c>
      <c r="AJ6171">
        <v>85.062459959597703</v>
      </c>
      <c r="AK6171">
        <v>118.964896061361</v>
      </c>
      <c r="AL6171">
        <v>89.012501281753998</v>
      </c>
      <c r="AM6171">
        <v>88.392199583322196</v>
      </c>
      <c r="AN6171">
        <v>0.99999995779128703</v>
      </c>
    </row>
    <row r="6172" spans="1:40" x14ac:dyDescent="0.25">
      <c r="A6172" t="str">
        <f>"20190312160809729"</f>
        <v>20190312160809729</v>
      </c>
      <c r="B6172" t="str">
        <f>"1552378089722143"</f>
        <v>1552378089722143</v>
      </c>
      <c r="C6172" t="s">
        <v>40</v>
      </c>
      <c r="D6172">
        <v>6.7701539999999998</v>
      </c>
      <c r="E6172">
        <v>0.52473749999999997</v>
      </c>
      <c r="F6172" t="s">
        <v>55</v>
      </c>
      <c r="G6172">
        <v>-241.6901</v>
      </c>
      <c r="H6172">
        <v>9.6001259999999995</v>
      </c>
      <c r="I6172">
        <v>8.7264210000000002</v>
      </c>
      <c r="J6172">
        <v>-374.66640000000001</v>
      </c>
      <c r="K6172">
        <v>1.108994</v>
      </c>
      <c r="L6172">
        <v>17.247250000000001</v>
      </c>
      <c r="M6172">
        <v>0.99959989999999999</v>
      </c>
      <c r="N6172">
        <v>0</v>
      </c>
      <c r="O6172">
        <v>2.6975019999999999E-2</v>
      </c>
      <c r="P6172">
        <v>0.99996220000000002</v>
      </c>
      <c r="Q6172">
        <v>8.6336880000000005E-3</v>
      </c>
      <c r="R6172">
        <v>-1.1698570000000001E-3</v>
      </c>
      <c r="S6172">
        <v>2.998291</v>
      </c>
      <c r="T6172">
        <v>0.19128919999999999</v>
      </c>
      <c r="U6172">
        <v>-0.1918945</v>
      </c>
      <c r="V6172">
        <v>2.8156270000000001E-2</v>
      </c>
      <c r="W6172">
        <v>1.7112680000000002E-2</v>
      </c>
      <c r="X6172">
        <v>0.99945709999999999</v>
      </c>
      <c r="Y6172">
        <v>9.0530280000000005E-2</v>
      </c>
      <c r="Z6172">
        <v>4.599784E-3</v>
      </c>
      <c r="AA6172">
        <v>0.99588310000000002</v>
      </c>
      <c r="AB6172">
        <v>22</v>
      </c>
      <c r="AC6172">
        <v>132.97630000000001</v>
      </c>
      <c r="AD6172">
        <v>8.4911320000000003</v>
      </c>
      <c r="AE6172">
        <v>-8.5208289999999902</v>
      </c>
      <c r="AF6172">
        <v>12.0559404918315</v>
      </c>
      <c r="AG6172">
        <v>8.4911320000000003</v>
      </c>
      <c r="AH6172">
        <v>132.161379140478</v>
      </c>
      <c r="AI6172">
        <v>86.339060098727401</v>
      </c>
      <c r="AJ6172">
        <v>84.787826653450907</v>
      </c>
      <c r="AK6172">
        <v>132.98148427543299</v>
      </c>
      <c r="AL6172">
        <v>89.019467854682105</v>
      </c>
      <c r="AM6172">
        <v>88.386315063974607</v>
      </c>
      <c r="AN6172">
        <v>1.0000000570487499</v>
      </c>
    </row>
    <row r="6173" spans="1:40" x14ac:dyDescent="0.25">
      <c r="A6173" t="str">
        <f>"20190312160809741"</f>
        <v>20190312160809741</v>
      </c>
      <c r="B6173" t="str">
        <f>"1552378089731902"</f>
        <v>1552378089731902</v>
      </c>
      <c r="C6173" t="s">
        <v>40</v>
      </c>
      <c r="D6173">
        <v>6.7716390000000004</v>
      </c>
      <c r="E6173">
        <v>0.52596209999999999</v>
      </c>
      <c r="F6173" t="s">
        <v>55</v>
      </c>
      <c r="G6173">
        <v>-241.6901</v>
      </c>
      <c r="H6173">
        <v>9.4732769999999995</v>
      </c>
      <c r="I6173">
        <v>8.1355740000000001</v>
      </c>
      <c r="J6173">
        <v>-374.55259999999998</v>
      </c>
      <c r="K6173">
        <v>1.108994</v>
      </c>
      <c r="L6173">
        <v>17.250060000000001</v>
      </c>
      <c r="M6173">
        <v>0.99960660000000001</v>
      </c>
      <c r="N6173">
        <v>0</v>
      </c>
      <c r="O6173">
        <v>2.6727540000000001E-2</v>
      </c>
      <c r="P6173">
        <v>0.99996130000000005</v>
      </c>
      <c r="Q6173">
        <v>8.6453880000000004E-3</v>
      </c>
      <c r="R6173">
        <v>-1.7205930000000001E-3</v>
      </c>
      <c r="S6173">
        <v>2.9982600000000001</v>
      </c>
      <c r="T6173">
        <v>0.18859210000000001</v>
      </c>
      <c r="U6173">
        <v>-0.2054443</v>
      </c>
      <c r="V6173">
        <v>2.8459470000000001E-2</v>
      </c>
      <c r="W6173">
        <v>1.7122689999999999E-2</v>
      </c>
      <c r="X6173">
        <v>0.99944829999999996</v>
      </c>
      <c r="Y6173">
        <v>9.4763360000000005E-2</v>
      </c>
      <c r="Z6173">
        <v>4.6517620000000003E-3</v>
      </c>
      <c r="AA6173">
        <v>0.99548890000000001</v>
      </c>
      <c r="AB6173">
        <v>22</v>
      </c>
      <c r="AC6173">
        <v>132.86249999999899</v>
      </c>
      <c r="AD6173">
        <v>8.3642830000000004</v>
      </c>
      <c r="AE6173">
        <v>-9.1144859999999994</v>
      </c>
      <c r="AF6173">
        <v>12.6126925570253</v>
      </c>
      <c r="AG6173">
        <v>8.3642830000000004</v>
      </c>
      <c r="AH6173">
        <v>132.05051640095201</v>
      </c>
      <c r="AI6173">
        <v>86.392015803354695</v>
      </c>
      <c r="AJ6173">
        <v>84.543993896080195</v>
      </c>
      <c r="AK6173">
        <v>132.914935674665</v>
      </c>
      <c r="AL6173">
        <v>89.018894199795994</v>
      </c>
      <c r="AM6173">
        <v>88.368933126291495</v>
      </c>
      <c r="AN6173">
        <v>1.0000000161592</v>
      </c>
    </row>
    <row r="6174" spans="1:40" x14ac:dyDescent="0.25">
      <c r="A6174" t="str">
        <f>"20190312160809764"</f>
        <v>20190312160809764</v>
      </c>
      <c r="B6174" t="str">
        <f>"1552378089751422"</f>
        <v>1552378089751422</v>
      </c>
      <c r="C6174" t="s">
        <v>40</v>
      </c>
      <c r="D6174">
        <v>6.8807080000000003</v>
      </c>
      <c r="E6174">
        <v>0.52700780000000003</v>
      </c>
      <c r="F6174" t="s">
        <v>55</v>
      </c>
      <c r="G6174">
        <v>-241.6901</v>
      </c>
      <c r="H6174">
        <v>9.4574160000000003</v>
      </c>
      <c r="I6174">
        <v>7.6427899999999998</v>
      </c>
      <c r="J6174">
        <v>-374.34300000000002</v>
      </c>
      <c r="K6174">
        <v>1.1089850000000001</v>
      </c>
      <c r="L6174">
        <v>17.255129999999902</v>
      </c>
      <c r="M6174">
        <v>0.99961860000000002</v>
      </c>
      <c r="N6174">
        <v>0</v>
      </c>
      <c r="O6174">
        <v>2.6272449999999999E-2</v>
      </c>
      <c r="P6174">
        <v>0.9999595</v>
      </c>
      <c r="Q6174">
        <v>8.6475530000000005E-3</v>
      </c>
      <c r="R6174">
        <v>-2.516384E-3</v>
      </c>
      <c r="S6174">
        <v>2.9981689999999999</v>
      </c>
      <c r="T6174">
        <v>0.18839</v>
      </c>
      <c r="U6174">
        <v>-0.21679689999999999</v>
      </c>
      <c r="V6174">
        <v>2.87999E-2</v>
      </c>
      <c r="W6174">
        <v>1.712317E-2</v>
      </c>
      <c r="X6174">
        <v>0.99943850000000001</v>
      </c>
      <c r="Y6174">
        <v>9.8057510000000001E-2</v>
      </c>
      <c r="Z6174">
        <v>4.721055E-3</v>
      </c>
      <c r="AA6174">
        <v>0.99516959999999999</v>
      </c>
      <c r="AB6174">
        <v>22</v>
      </c>
      <c r="AC6174">
        <v>132.65289999999999</v>
      </c>
      <c r="AD6174">
        <v>8.3484309999999997</v>
      </c>
      <c r="AE6174">
        <v>-9.6123399999999908</v>
      </c>
      <c r="AF6174">
        <v>13.0428750534666</v>
      </c>
      <c r="AG6174">
        <v>8.3484309999999997</v>
      </c>
      <c r="AH6174">
        <v>131.8351215834</v>
      </c>
      <c r="AI6174">
        <v>86.394151992033898</v>
      </c>
      <c r="AJ6174">
        <v>84.349929209792705</v>
      </c>
      <c r="AK6174">
        <v>132.741523920482</v>
      </c>
      <c r="AL6174">
        <v>89.018866654616403</v>
      </c>
      <c r="AM6174">
        <v>88.349416982581999</v>
      </c>
      <c r="AN6174">
        <v>0.99999997623655401</v>
      </c>
    </row>
    <row r="6175" spans="1:40" x14ac:dyDescent="0.25">
      <c r="A6175" t="str">
        <f>"20190312160809796"</f>
        <v>20190312160809796</v>
      </c>
      <c r="B6175" t="str">
        <f>"1552378089791438"</f>
        <v>1552378089791438</v>
      </c>
      <c r="C6175" t="s">
        <v>40</v>
      </c>
      <c r="D6175">
        <v>6.6056800000000004</v>
      </c>
      <c r="E6175">
        <v>0.52889319999999995</v>
      </c>
      <c r="F6175" t="s">
        <v>55</v>
      </c>
      <c r="G6175">
        <v>-241.6901</v>
      </c>
      <c r="H6175">
        <v>8.8714779999999998</v>
      </c>
      <c r="I6175">
        <v>7.2089270000000001</v>
      </c>
      <c r="J6175">
        <v>-374.03269999999998</v>
      </c>
      <c r="K6175">
        <v>1.1089789999999999</v>
      </c>
      <c r="L6175">
        <v>17.26248</v>
      </c>
      <c r="M6175">
        <v>0.99963619999999997</v>
      </c>
      <c r="N6175">
        <v>0</v>
      </c>
      <c r="O6175">
        <v>2.5598909999999999E-2</v>
      </c>
      <c r="P6175">
        <v>0.99996269999999998</v>
      </c>
      <c r="Q6175">
        <v>7.9445200000000001E-3</v>
      </c>
      <c r="R6175">
        <v>-3.3750220000000001E-3</v>
      </c>
      <c r="S6175">
        <v>2.9980470000000001</v>
      </c>
      <c r="T6175">
        <v>0.1754376</v>
      </c>
      <c r="U6175">
        <v>-0.2270508</v>
      </c>
      <c r="V6175">
        <v>2.8984490000000002E-2</v>
      </c>
      <c r="W6175">
        <v>1.6418019999999998E-2</v>
      </c>
      <c r="X6175">
        <v>0.99944500000000003</v>
      </c>
      <c r="Y6175">
        <v>0.1008035</v>
      </c>
      <c r="Z6175">
        <v>4.4375090000000001E-3</v>
      </c>
      <c r="AA6175">
        <v>0.99489649999999996</v>
      </c>
      <c r="AB6175">
        <v>22</v>
      </c>
      <c r="AC6175">
        <v>132.34259999999901</v>
      </c>
      <c r="AD6175">
        <v>7.762499</v>
      </c>
      <c r="AE6175">
        <v>-10.0535529999999</v>
      </c>
      <c r="AF6175">
        <v>13.392396416481301</v>
      </c>
      <c r="AG6175">
        <v>7.762499</v>
      </c>
      <c r="AH6175">
        <v>131.59173292360501</v>
      </c>
      <c r="AI6175">
        <v>86.641385260268507</v>
      </c>
      <c r="AJ6175">
        <v>84.188883359750704</v>
      </c>
      <c r="AK6175">
        <v>132.499044699721</v>
      </c>
      <c r="AL6175">
        <v>89.059274461715006</v>
      </c>
      <c r="AM6175">
        <v>88.338854446347398</v>
      </c>
      <c r="AN6175">
        <v>0.99999998003313995</v>
      </c>
    </row>
    <row r="6176" spans="1:40" x14ac:dyDescent="0.25">
      <c r="A6176" t="str">
        <f>"20190312160809817"</f>
        <v>20190312160809817</v>
      </c>
      <c r="B6176" t="str">
        <f>"1552378089811934"</f>
        <v>1552378089811934</v>
      </c>
      <c r="C6176" t="s">
        <v>40</v>
      </c>
      <c r="D6176">
        <v>6.7940379999999996</v>
      </c>
      <c r="E6176">
        <v>0.52988959999999996</v>
      </c>
      <c r="F6176" t="s">
        <v>55</v>
      </c>
      <c r="G6176">
        <v>-241.07</v>
      </c>
      <c r="H6176">
        <v>8.5004010000000001</v>
      </c>
      <c r="I6176">
        <v>6.4223819999999998</v>
      </c>
      <c r="J6176">
        <v>-373.80970000000002</v>
      </c>
      <c r="K6176">
        <v>1.1089690000000001</v>
      </c>
      <c r="L6176">
        <v>17.26764</v>
      </c>
      <c r="M6176">
        <v>0.99964850000000005</v>
      </c>
      <c r="N6176">
        <v>0</v>
      </c>
      <c r="O6176">
        <v>2.511474E-2</v>
      </c>
      <c r="P6176">
        <v>0.99996479999999999</v>
      </c>
      <c r="Q6176">
        <v>7.49382E-3</v>
      </c>
      <c r="R6176">
        <v>-3.7982160000000001E-3</v>
      </c>
      <c r="S6176">
        <v>2.9979550000000001</v>
      </c>
      <c r="T6176">
        <v>0.16665669999999999</v>
      </c>
      <c r="U6176">
        <v>-0.2444153</v>
      </c>
      <c r="V6176">
        <v>2.8923170000000002E-2</v>
      </c>
      <c r="W6176">
        <v>1.5966520000000001E-2</v>
      </c>
      <c r="X6176">
        <v>0.99945410000000001</v>
      </c>
      <c r="Y6176">
        <v>0.1060634</v>
      </c>
      <c r="Z6176">
        <v>4.3339429999999998E-3</v>
      </c>
      <c r="AA6176">
        <v>0.99434990000000001</v>
      </c>
      <c r="AB6176">
        <v>22</v>
      </c>
      <c r="AC6176">
        <v>132.7397</v>
      </c>
      <c r="AD6176">
        <v>7.391432</v>
      </c>
      <c r="AE6176">
        <v>-10.845257999999999</v>
      </c>
      <c r="AF6176">
        <v>14.1321516103125</v>
      </c>
      <c r="AG6176">
        <v>7.391432</v>
      </c>
      <c r="AH6176">
        <v>132.01880963688299</v>
      </c>
      <c r="AI6176">
        <v>86.813651801026495</v>
      </c>
      <c r="AJ6176">
        <v>83.889954644269693</v>
      </c>
      <c r="AK6176">
        <v>132.97863390066499</v>
      </c>
      <c r="AL6176">
        <v>89.085146906855499</v>
      </c>
      <c r="AM6176">
        <v>88.342381911049003</v>
      </c>
      <c r="AN6176">
        <v>0.99999998876528395</v>
      </c>
    </row>
    <row r="6177" spans="1:40" x14ac:dyDescent="0.25">
      <c r="A6177" t="str">
        <f>"20190312160809830"</f>
        <v>20190312160809830</v>
      </c>
      <c r="B6177" t="str">
        <f>"1552378089821695"</f>
        <v>1552378089821695</v>
      </c>
      <c r="C6177" t="s">
        <v>40</v>
      </c>
      <c r="D6177">
        <v>6.6350020000000001</v>
      </c>
      <c r="E6177">
        <v>0.5306149</v>
      </c>
      <c r="F6177" t="s">
        <v>55</v>
      </c>
      <c r="G6177">
        <v>-241.07</v>
      </c>
      <c r="H6177">
        <v>8.4080910000000006</v>
      </c>
      <c r="I6177">
        <v>6.0359699999999998</v>
      </c>
      <c r="J6177">
        <v>-373.6857</v>
      </c>
      <c r="K6177">
        <v>1.108965</v>
      </c>
      <c r="L6177">
        <v>17.270479999999999</v>
      </c>
      <c r="M6177">
        <v>0.99965530000000002</v>
      </c>
      <c r="N6177">
        <v>0</v>
      </c>
      <c r="O6177">
        <v>2.4845579999999999E-2</v>
      </c>
      <c r="P6177">
        <v>0.9999633</v>
      </c>
      <c r="Q6177">
        <v>7.6663190000000004E-3</v>
      </c>
      <c r="R6177">
        <v>-3.8451520000000001E-3</v>
      </c>
      <c r="S6177">
        <v>2.9978639999999999</v>
      </c>
      <c r="T6177">
        <v>0.1648471</v>
      </c>
      <c r="U6177">
        <v>-0.2536621</v>
      </c>
      <c r="V6177">
        <v>2.8701239999999999E-2</v>
      </c>
      <c r="W6177">
        <v>1.6135770000000001E-2</v>
      </c>
      <c r="X6177">
        <v>0.99945779999999995</v>
      </c>
      <c r="Y6177">
        <v>0.1088443</v>
      </c>
      <c r="Z6177">
        <v>4.3480519999999998E-3</v>
      </c>
      <c r="AA6177">
        <v>0.99404930000000002</v>
      </c>
      <c r="AB6177">
        <v>22</v>
      </c>
      <c r="AC6177">
        <v>132.6157</v>
      </c>
      <c r="AD6177">
        <v>7.2991260000000002</v>
      </c>
      <c r="AE6177">
        <v>-11.23451</v>
      </c>
      <c r="AF6177">
        <v>14.4825140081714</v>
      </c>
      <c r="AG6177">
        <v>7.2991260000000002</v>
      </c>
      <c r="AH6177">
        <v>131.89889774672201</v>
      </c>
      <c r="AI6177">
        <v>86.851435677022295</v>
      </c>
      <c r="AJ6177">
        <v>83.734017460636295</v>
      </c>
      <c r="AK6177">
        <v>132.89221075428301</v>
      </c>
      <c r="AL6177">
        <v>89.075448365423796</v>
      </c>
      <c r="AM6177">
        <v>88.355100030380598</v>
      </c>
      <c r="AN6177">
        <v>1.00000000911593</v>
      </c>
    </row>
    <row r="6178" spans="1:40" x14ac:dyDescent="0.25">
      <c r="A6178" t="str">
        <f>"20190312160809843"</f>
        <v>20190312160809843</v>
      </c>
      <c r="B6178" t="str">
        <f>"1552378089831455"</f>
        <v>1552378089831455</v>
      </c>
      <c r="C6178" t="s">
        <v>40</v>
      </c>
      <c r="D6178">
        <v>6.7005919999999897</v>
      </c>
      <c r="E6178">
        <v>0.5306149</v>
      </c>
      <c r="F6178" t="s">
        <v>55</v>
      </c>
      <c r="G6178">
        <v>-241.07</v>
      </c>
      <c r="H6178">
        <v>8.1933819999999997</v>
      </c>
      <c r="I6178">
        <v>5.7956089999999998</v>
      </c>
      <c r="J6178">
        <v>-373.56880000000001</v>
      </c>
      <c r="K6178">
        <v>1.1089610000000001</v>
      </c>
      <c r="L6178">
        <v>17.273099999999999</v>
      </c>
      <c r="M6178">
        <v>0.99966160000000004</v>
      </c>
      <c r="N6178">
        <v>0</v>
      </c>
      <c r="O6178">
        <v>2.459186E-2</v>
      </c>
      <c r="P6178">
        <v>0.99996300000000005</v>
      </c>
      <c r="Q6178">
        <v>7.6222759999999999E-3</v>
      </c>
      <c r="R6178">
        <v>-4.003787E-3</v>
      </c>
      <c r="S6178">
        <v>2.9978940000000001</v>
      </c>
      <c r="T6178">
        <v>0.16014929999999999</v>
      </c>
      <c r="U6178">
        <v>-0.2593994</v>
      </c>
      <c r="V6178">
        <v>2.8606050000000001E-2</v>
      </c>
      <c r="W6178">
        <v>1.6088089999999999E-2</v>
      </c>
      <c r="X6178">
        <v>0.9994613</v>
      </c>
      <c r="Y6178">
        <v>0.1104889</v>
      </c>
      <c r="Z6178">
        <v>4.2542309999999998E-3</v>
      </c>
      <c r="AA6178">
        <v>0.99386819999999998</v>
      </c>
      <c r="AB6178">
        <v>22</v>
      </c>
      <c r="AC6178">
        <v>132.49879999999999</v>
      </c>
      <c r="AD6178">
        <v>7.0844209999999999</v>
      </c>
      <c r="AE6178">
        <v>-11.477491000000001</v>
      </c>
      <c r="AF6178">
        <v>14.6908432977909</v>
      </c>
      <c r="AG6178">
        <v>7.0844209999999999</v>
      </c>
      <c r="AH6178">
        <v>131.80247155561099</v>
      </c>
      <c r="AI6178">
        <v>86.942195469609899</v>
      </c>
      <c r="AJ6178">
        <v>83.640002894453403</v>
      </c>
      <c r="AK6178">
        <v>132.807761090507</v>
      </c>
      <c r="AL6178">
        <v>89.078180584990903</v>
      </c>
      <c r="AM6178">
        <v>88.360558230907998</v>
      </c>
      <c r="AN6178">
        <v>1.00000001146707</v>
      </c>
    </row>
    <row r="6179" spans="1:40" x14ac:dyDescent="0.25">
      <c r="A6179" t="str">
        <f>"20190312160809854"</f>
        <v>20190312160809854</v>
      </c>
      <c r="B6179" t="str">
        <f>"1552378089842190"</f>
        <v>1552378089842190</v>
      </c>
      <c r="C6179" t="s">
        <v>40</v>
      </c>
      <c r="D6179">
        <v>6.5893059999999997</v>
      </c>
      <c r="E6179">
        <v>0.54868329999999998</v>
      </c>
      <c r="F6179" t="s">
        <v>55</v>
      </c>
      <c r="G6179">
        <v>-241.07</v>
      </c>
      <c r="H6179">
        <v>8.1808879999999995</v>
      </c>
      <c r="I6179">
        <v>5.7851920000000003</v>
      </c>
      <c r="J6179">
        <v>-373.45299999999997</v>
      </c>
      <c r="K6179">
        <v>1.108962</v>
      </c>
      <c r="L6179">
        <v>17.275670000000002</v>
      </c>
      <c r="M6179">
        <v>0.9996678</v>
      </c>
      <c r="N6179">
        <v>0</v>
      </c>
      <c r="O6179">
        <v>2.4340279999999999E-2</v>
      </c>
      <c r="P6179">
        <v>0.99996359999999995</v>
      </c>
      <c r="Q6179">
        <v>7.5378119999999996E-3</v>
      </c>
      <c r="R6179">
        <v>-4.0159380000000001E-3</v>
      </c>
      <c r="S6179">
        <v>2.997833</v>
      </c>
      <c r="T6179">
        <v>0.1600047</v>
      </c>
      <c r="U6179">
        <v>-0.25991819999999999</v>
      </c>
      <c r="V6179">
        <v>2.8366590000000001E-2</v>
      </c>
      <c r="W6179">
        <v>1.5998459999999999E-2</v>
      </c>
      <c r="X6179">
        <v>0.99946959999999996</v>
      </c>
      <c r="Y6179">
        <v>0.1104121</v>
      </c>
      <c r="Z6179">
        <v>4.2350089999999996E-3</v>
      </c>
      <c r="AA6179">
        <v>0.99387689999999995</v>
      </c>
      <c r="AB6179">
        <v>22</v>
      </c>
      <c r="AC6179">
        <v>132.38300000000001</v>
      </c>
      <c r="AD6179">
        <v>7.0719260000000004</v>
      </c>
      <c r="AE6179">
        <v>-11.490478</v>
      </c>
      <c r="AF6179">
        <v>14.667883519893399</v>
      </c>
      <c r="AG6179">
        <v>7.0719260000000004</v>
      </c>
      <c r="AH6179">
        <v>131.69108569984201</v>
      </c>
      <c r="AI6179">
        <v>86.9449746453774</v>
      </c>
      <c r="AJ6179">
        <v>83.644534348978894</v>
      </c>
      <c r="AK6179">
        <v>132.69401266487401</v>
      </c>
      <c r="AL6179">
        <v>89.083316699924694</v>
      </c>
      <c r="AM6179">
        <v>88.374288024241906</v>
      </c>
      <c r="AN6179">
        <v>1.0000000477373701</v>
      </c>
    </row>
    <row r="6180" spans="1:40" x14ac:dyDescent="0.25">
      <c r="A6180" t="str">
        <f>"20190312160809866"</f>
        <v>20190312160809866</v>
      </c>
      <c r="B6180" t="str">
        <f>"1552378089861710"</f>
        <v>1552378089861710</v>
      </c>
      <c r="C6180" t="s">
        <v>40</v>
      </c>
      <c r="D6180">
        <v>6.6185460000000003</v>
      </c>
      <c r="E6180">
        <v>0.54890099999999997</v>
      </c>
      <c r="F6180" t="s">
        <v>104</v>
      </c>
      <c r="G6180">
        <v>-279.33690000000001</v>
      </c>
      <c r="H6180">
        <v>2.2181440000000001</v>
      </c>
      <c r="I6180">
        <v>4.6966549999999998</v>
      </c>
      <c r="J6180">
        <v>-373.33300000000003</v>
      </c>
      <c r="K6180">
        <v>1.1089599999999999</v>
      </c>
      <c r="L6180">
        <v>17.278320000000001</v>
      </c>
      <c r="M6180">
        <v>0.99967410000000001</v>
      </c>
      <c r="N6180">
        <v>0</v>
      </c>
      <c r="O6180">
        <v>2.4080190000000001E-2</v>
      </c>
      <c r="P6180">
        <v>0.99996339999999995</v>
      </c>
      <c r="Q6180">
        <v>7.4696659999999998E-3</v>
      </c>
      <c r="R6180">
        <v>-4.199899E-3</v>
      </c>
      <c r="S6180">
        <v>2.99823</v>
      </c>
      <c r="T6180">
        <v>3.5334940000000002E-2</v>
      </c>
      <c r="U6180">
        <v>-0.40072629999999998</v>
      </c>
      <c r="V6180">
        <v>2.8290429999999998E-2</v>
      </c>
      <c r="W6180">
        <v>1.5924560000000001E-2</v>
      </c>
      <c r="X6180">
        <v>0.9994729</v>
      </c>
      <c r="Y6180">
        <v>0.1562944</v>
      </c>
      <c r="Z6180">
        <v>1.1995059999999999E-3</v>
      </c>
      <c r="AA6180">
        <v>0.98770979999999997</v>
      </c>
      <c r="AB6180">
        <v>22</v>
      </c>
      <c r="AC6180">
        <v>93.996099999999998</v>
      </c>
      <c r="AD6180">
        <v>1.10918399999999</v>
      </c>
      <c r="AE6180">
        <v>-12.581664999999999</v>
      </c>
      <c r="AF6180">
        <v>14.839511692544299</v>
      </c>
      <c r="AG6180">
        <v>1.10918399999999</v>
      </c>
      <c r="AH6180">
        <v>93.653050823896706</v>
      </c>
      <c r="AI6180">
        <v>89.329807003018502</v>
      </c>
      <c r="AJ6180">
        <v>80.996224787548499</v>
      </c>
      <c r="AK6180">
        <v>94.8279248167037</v>
      </c>
      <c r="AL6180">
        <v>89.087551361894597</v>
      </c>
      <c r="AM6180">
        <v>88.378655832323204</v>
      </c>
      <c r="AN6180">
        <v>1.00000000893759</v>
      </c>
    </row>
    <row r="6181" spans="1:40" x14ac:dyDescent="0.25">
      <c r="A6181" t="str">
        <f>"20190312160809885"</f>
        <v>20190312160809885</v>
      </c>
      <c r="B6181" t="str">
        <f>"1552378089882206"</f>
        <v>1552378089882206</v>
      </c>
      <c r="C6181" t="s">
        <v>40</v>
      </c>
      <c r="D6181">
        <v>6.571116</v>
      </c>
      <c r="E6181">
        <v>0.54846110000000003</v>
      </c>
      <c r="F6181" t="s">
        <v>104</v>
      </c>
      <c r="G6181">
        <v>-279.33690000000001</v>
      </c>
      <c r="H6181">
        <v>1.619885</v>
      </c>
      <c r="I6181">
        <v>4.6583209999999999</v>
      </c>
      <c r="J6181">
        <v>-373.1558</v>
      </c>
      <c r="K6181">
        <v>1.1089560000000001</v>
      </c>
      <c r="L6181">
        <v>17.282170000000001</v>
      </c>
      <c r="M6181">
        <v>0.9996834</v>
      </c>
      <c r="N6181">
        <v>0</v>
      </c>
      <c r="O6181">
        <v>2.369595E-2</v>
      </c>
      <c r="P6181">
        <v>0.99996019999999997</v>
      </c>
      <c r="Q6181">
        <v>7.7264159999999998E-3</v>
      </c>
      <c r="R6181">
        <v>-4.4644890000000003E-3</v>
      </c>
      <c r="S6181">
        <v>2.9983219999999999</v>
      </c>
      <c r="T6181">
        <v>1.6297699999999998E-2</v>
      </c>
      <c r="U6181">
        <v>-0.40255740000000001</v>
      </c>
      <c r="V6181">
        <v>2.8170919999999999E-2</v>
      </c>
      <c r="W6181">
        <v>1.617391E-2</v>
      </c>
      <c r="X6181">
        <v>0.99947229999999998</v>
      </c>
      <c r="Y6181">
        <v>0.15651300000000001</v>
      </c>
      <c r="Z6181">
        <v>5.5174089999999998E-4</v>
      </c>
      <c r="AA6181">
        <v>0.98767570000000005</v>
      </c>
      <c r="AB6181">
        <v>22</v>
      </c>
      <c r="AC6181">
        <v>93.818899999999999</v>
      </c>
      <c r="AD6181">
        <v>0.51092899999999997</v>
      </c>
      <c r="AE6181">
        <v>-12.623849</v>
      </c>
      <c r="AF6181">
        <v>14.8430792866745</v>
      </c>
      <c r="AG6181">
        <v>0.51092899999999997</v>
      </c>
      <c r="AH6181">
        <v>93.490686616372301</v>
      </c>
      <c r="AI6181">
        <v>89.690753381786607</v>
      </c>
      <c r="AJ6181">
        <v>80.978712193426404</v>
      </c>
      <c r="AK6181">
        <v>94.663015666913296</v>
      </c>
      <c r="AL6181">
        <v>89.073262845309202</v>
      </c>
      <c r="AM6181">
        <v>88.385500431929302</v>
      </c>
      <c r="AN6181">
        <v>1.00000003728281</v>
      </c>
    </row>
    <row r="6182" spans="1:40" x14ac:dyDescent="0.25">
      <c r="A6182" t="str">
        <f>"20190312160809895"</f>
        <v>20190312160809895</v>
      </c>
      <c r="B6182" t="str">
        <f>"1552378089882206"</f>
        <v>1552378089882206</v>
      </c>
      <c r="C6182" t="s">
        <v>40</v>
      </c>
      <c r="D6182">
        <v>6.571116</v>
      </c>
      <c r="E6182">
        <v>0.54846110000000003</v>
      </c>
      <c r="F6182" t="s">
        <v>104</v>
      </c>
      <c r="G6182">
        <v>-279.33690000000001</v>
      </c>
      <c r="H6182">
        <v>1.926625</v>
      </c>
      <c r="I6182">
        <v>4.7615850000000002</v>
      </c>
      <c r="J6182">
        <v>-373.04469999999998</v>
      </c>
      <c r="K6182">
        <v>1.1089560000000001</v>
      </c>
      <c r="L6182">
        <v>17.284520000000001</v>
      </c>
      <c r="M6182">
        <v>0.99968900000000005</v>
      </c>
      <c r="N6182">
        <v>0</v>
      </c>
      <c r="O6182">
        <v>2.34551E-2</v>
      </c>
      <c r="P6182">
        <v>0.99995990000000001</v>
      </c>
      <c r="Q6182">
        <v>7.6449880000000001E-3</v>
      </c>
      <c r="R6182">
        <v>-4.685608E-3</v>
      </c>
      <c r="S6182">
        <v>2.998138</v>
      </c>
      <c r="T6182">
        <v>2.6129960000000001E-2</v>
      </c>
      <c r="U6182">
        <v>-0.40011600000000003</v>
      </c>
      <c r="V6182">
        <v>2.8151059999999999E-2</v>
      </c>
      <c r="W6182">
        <v>1.6088089999999999E-2</v>
      </c>
      <c r="X6182">
        <v>0.99947419999999998</v>
      </c>
      <c r="Y6182">
        <v>0.15548879999999901</v>
      </c>
      <c r="Z6182">
        <v>8.7815720000000003E-4</v>
      </c>
      <c r="AA6182">
        <v>0.98783730000000003</v>
      </c>
      <c r="AB6182">
        <v>22</v>
      </c>
      <c r="AC6182">
        <v>93.707799999999907</v>
      </c>
      <c r="AD6182">
        <v>0.81766899999999998</v>
      </c>
      <c r="AE6182">
        <v>-12.522935</v>
      </c>
      <c r="AF6182">
        <v>14.7163934491916</v>
      </c>
      <c r="AG6182">
        <v>0.81766899999999998</v>
      </c>
      <c r="AH6182">
        <v>93.381295935190295</v>
      </c>
      <c r="AI6182">
        <v>89.504433163082197</v>
      </c>
      <c r="AJ6182">
        <v>81.044149165554003</v>
      </c>
      <c r="AK6182">
        <v>94.537332569099704</v>
      </c>
      <c r="AL6182">
        <v>89.078180567636295</v>
      </c>
      <c r="AM6182">
        <v>88.386641089163305</v>
      </c>
      <c r="AN6182">
        <v>0.99999999264230499</v>
      </c>
    </row>
    <row r="6183" spans="1:40" x14ac:dyDescent="0.25">
      <c r="A6183" t="str">
        <f>"20190312160809906"</f>
        <v>20190312160809906</v>
      </c>
      <c r="B6183" t="str">
        <f>"1552378089901726"</f>
        <v>1552378089901726</v>
      </c>
      <c r="C6183" t="s">
        <v>40</v>
      </c>
      <c r="D6183">
        <v>6.5056200000000004</v>
      </c>
      <c r="E6183">
        <v>0.55061230000000005</v>
      </c>
      <c r="F6183" t="s">
        <v>104</v>
      </c>
      <c r="G6183">
        <v>-279.33690000000001</v>
      </c>
      <c r="H6183">
        <v>1.916296</v>
      </c>
      <c r="I6183">
        <v>4.7591799999999997</v>
      </c>
      <c r="J6183">
        <v>-372.93110000000001</v>
      </c>
      <c r="K6183">
        <v>1.108954</v>
      </c>
      <c r="L6183">
        <v>17.286929999999899</v>
      </c>
      <c r="M6183">
        <v>0.99969490000000005</v>
      </c>
      <c r="N6183">
        <v>0</v>
      </c>
      <c r="O6183">
        <v>2.3208530000000002E-2</v>
      </c>
      <c r="P6183">
        <v>0.99995730000000005</v>
      </c>
      <c r="Q6183">
        <v>7.8172290000000002E-3</v>
      </c>
      <c r="R6183">
        <v>-4.9450129999999998E-3</v>
      </c>
      <c r="S6183">
        <v>2.9980159999999998</v>
      </c>
      <c r="T6183">
        <v>2.582943E-2</v>
      </c>
      <c r="U6183">
        <v>-0.40072629999999998</v>
      </c>
      <c r="V6183">
        <v>2.8164060000000001E-2</v>
      </c>
      <c r="W6183">
        <v>1.625687E-2</v>
      </c>
      <c r="X6183">
        <v>0.99947109999999995</v>
      </c>
      <c r="Y6183">
        <v>0.15544810000000001</v>
      </c>
      <c r="Z6183">
        <v>8.6579069999999998E-4</v>
      </c>
      <c r="AA6183">
        <v>0.98784369999999999</v>
      </c>
      <c r="AB6183">
        <v>22</v>
      </c>
      <c r="AC6183">
        <v>93.594200000000001</v>
      </c>
      <c r="AD6183">
        <v>0.807342</v>
      </c>
      <c r="AE6183">
        <v>-12.5277499999999</v>
      </c>
      <c r="AF6183">
        <v>14.695562568027301</v>
      </c>
      <c r="AG6183">
        <v>0.807342</v>
      </c>
      <c r="AH6183">
        <v>93.271409205735594</v>
      </c>
      <c r="AI6183">
        <v>89.510112486916697</v>
      </c>
      <c r="AJ6183">
        <v>81.046255075798499</v>
      </c>
      <c r="AK6183">
        <v>94.425458090069995</v>
      </c>
      <c r="AL6183">
        <v>89.068508918460196</v>
      </c>
      <c r="AM6183">
        <v>88.385891439476097</v>
      </c>
      <c r="AN6183">
        <v>0.99999998991654504</v>
      </c>
    </row>
    <row r="6184" spans="1:40" x14ac:dyDescent="0.25">
      <c r="A6184" t="str">
        <f>"20190312160809919"</f>
        <v>20190312160809919</v>
      </c>
      <c r="B6184" t="str">
        <f>"1552378089911487"</f>
        <v>1552378089911487</v>
      </c>
      <c r="C6184" t="s">
        <v>40</v>
      </c>
      <c r="D6184">
        <v>6.3942889999999997</v>
      </c>
      <c r="E6184">
        <v>0.5498343</v>
      </c>
      <c r="F6184" t="s">
        <v>104</v>
      </c>
      <c r="G6184">
        <v>-279.33690000000001</v>
      </c>
      <c r="H6184">
        <v>2.3461699999999999</v>
      </c>
      <c r="I6184">
        <v>4.2038149999999996</v>
      </c>
      <c r="J6184">
        <v>-372.81400000000002</v>
      </c>
      <c r="K6184">
        <v>1.1089530000000001</v>
      </c>
      <c r="L6184">
        <v>17.289370000000002</v>
      </c>
      <c r="M6184">
        <v>0.99970079999999995</v>
      </c>
      <c r="N6184">
        <v>0</v>
      </c>
      <c r="O6184">
        <v>2.2954929999999998E-2</v>
      </c>
      <c r="P6184">
        <v>0.99995420000000002</v>
      </c>
      <c r="Q6184">
        <v>7.8582349999999999E-3</v>
      </c>
      <c r="R6184">
        <v>-5.4867910000000004E-3</v>
      </c>
      <c r="S6184">
        <v>2.9977109999999998</v>
      </c>
      <c r="T6184">
        <v>3.9626599999999998E-2</v>
      </c>
      <c r="U6184">
        <v>-0.41903689999999999</v>
      </c>
      <c r="V6184">
        <v>2.845203E-2</v>
      </c>
      <c r="W6184">
        <v>1.6293579999999998E-2</v>
      </c>
      <c r="X6184">
        <v>0.99946239999999997</v>
      </c>
      <c r="Y6184">
        <v>0.16112199999999999</v>
      </c>
      <c r="Z6184">
        <v>1.361805E-3</v>
      </c>
      <c r="AA6184">
        <v>0.98693350000000002</v>
      </c>
      <c r="AB6184">
        <v>22</v>
      </c>
      <c r="AC6184">
        <v>93.477099999999993</v>
      </c>
      <c r="AD6184">
        <v>1.23721699999999</v>
      </c>
      <c r="AE6184">
        <v>-13.085554999999999</v>
      </c>
      <c r="AF6184">
        <v>15.225327705417399</v>
      </c>
      <c r="AG6184">
        <v>1.23721699999999</v>
      </c>
      <c r="AH6184">
        <v>93.136076508085296</v>
      </c>
      <c r="AI6184">
        <v>89.248898050569494</v>
      </c>
      <c r="AJ6184">
        <v>80.715751343758001</v>
      </c>
      <c r="AK6184">
        <v>94.380453786588404</v>
      </c>
      <c r="AL6184">
        <v>89.066405362140799</v>
      </c>
      <c r="AM6184">
        <v>88.369382288717304</v>
      </c>
      <c r="AN6184">
        <v>1.00000004388704</v>
      </c>
    </row>
    <row r="6185" spans="1:40" x14ac:dyDescent="0.25">
      <c r="A6185" t="str">
        <f>"20190312160809930"</f>
        <v>20190312160809930</v>
      </c>
      <c r="B6185" t="str">
        <f>"1552378089922222"</f>
        <v>1552378089922222</v>
      </c>
      <c r="C6185" t="s">
        <v>40</v>
      </c>
      <c r="D6185">
        <v>6.4398019999999896</v>
      </c>
      <c r="E6185">
        <v>0.54927389999999998</v>
      </c>
      <c r="F6185" t="s">
        <v>104</v>
      </c>
      <c r="G6185">
        <v>-279.33690000000001</v>
      </c>
      <c r="H6185">
        <v>2.4844179999999998</v>
      </c>
      <c r="I6185">
        <v>4.3625429999999996</v>
      </c>
      <c r="J6185">
        <v>-372.69600000000003</v>
      </c>
      <c r="K6185">
        <v>1.1089560000000001</v>
      </c>
      <c r="L6185">
        <v>17.291810000000002</v>
      </c>
      <c r="M6185">
        <v>0.99970669999999995</v>
      </c>
      <c r="N6185">
        <v>0</v>
      </c>
      <c r="O6185">
        <v>2.2700020000000001E-2</v>
      </c>
      <c r="P6185">
        <v>0.99995250000000002</v>
      </c>
      <c r="Q6185">
        <v>7.8996409999999902E-3</v>
      </c>
      <c r="R6185">
        <v>-5.7300780000000004E-3</v>
      </c>
      <c r="S6185">
        <v>2.9974980000000002</v>
      </c>
      <c r="T6185">
        <v>4.4106600000000003E-2</v>
      </c>
      <c r="U6185">
        <v>-0.41452030000000001</v>
      </c>
      <c r="V6185">
        <v>2.844025E-2</v>
      </c>
      <c r="W6185">
        <v>1.6330770000000001E-2</v>
      </c>
      <c r="X6185">
        <v>0.99946210000000002</v>
      </c>
      <c r="Y6185">
        <v>0.15941729999999901</v>
      </c>
      <c r="Z6185">
        <v>1.499794E-3</v>
      </c>
      <c r="AA6185">
        <v>0.98721020000000004</v>
      </c>
      <c r="AB6185">
        <v>22</v>
      </c>
      <c r="AC6185">
        <v>93.359099999999899</v>
      </c>
      <c r="AD6185">
        <v>1.375462</v>
      </c>
      <c r="AE6185">
        <v>-12.929266999999999</v>
      </c>
      <c r="AF6185">
        <v>15.0420604606844</v>
      </c>
      <c r="AG6185">
        <v>1.375462</v>
      </c>
      <c r="AH6185">
        <v>93.021725054347797</v>
      </c>
      <c r="AI6185">
        <v>89.1637215566778</v>
      </c>
      <c r="AJ6185">
        <v>80.814508172292705</v>
      </c>
      <c r="AK6185">
        <v>94.240101924302905</v>
      </c>
      <c r="AL6185">
        <v>89.064274222175598</v>
      </c>
      <c r="AM6185">
        <v>88.370056560470701</v>
      </c>
      <c r="AN6185">
        <v>1.0000000156026301</v>
      </c>
    </row>
    <row r="6186" spans="1:40" x14ac:dyDescent="0.25">
      <c r="A6186" t="str">
        <f>"20190312160809942"</f>
        <v>20190312160809942</v>
      </c>
      <c r="B6186" t="str">
        <f>"1552378089931982"</f>
        <v>1552378089931982</v>
      </c>
      <c r="C6186" t="s">
        <v>40</v>
      </c>
      <c r="D6186">
        <v>6.5131809999999897</v>
      </c>
      <c r="E6186">
        <v>0.54997489999999905</v>
      </c>
      <c r="F6186" t="s">
        <v>104</v>
      </c>
      <c r="G6186">
        <v>-279.33690000000001</v>
      </c>
      <c r="H6186">
        <v>3.0310510000000002</v>
      </c>
      <c r="I6186">
        <v>4.4830360000000002</v>
      </c>
      <c r="J6186">
        <v>-372.5795</v>
      </c>
      <c r="K6186">
        <v>1.1089560000000001</v>
      </c>
      <c r="L6186">
        <v>17.294160000000002</v>
      </c>
      <c r="M6186">
        <v>0.9997123</v>
      </c>
      <c r="N6186">
        <v>0</v>
      </c>
      <c r="O6186">
        <v>2.2448860000000001E-2</v>
      </c>
      <c r="P6186">
        <v>0.99994689999999997</v>
      </c>
      <c r="Q6186">
        <v>8.2952789999999992E-3</v>
      </c>
      <c r="R6186">
        <v>-6.1285659999999898E-3</v>
      </c>
      <c r="S6186">
        <v>2.9972840000000001</v>
      </c>
      <c r="T6186">
        <v>6.1708689999999997E-2</v>
      </c>
      <c r="U6186">
        <v>-0.41122439999999999</v>
      </c>
      <c r="V6186">
        <v>2.8587810000000002E-2</v>
      </c>
      <c r="W6186">
        <v>1.672268E-2</v>
      </c>
      <c r="X6186">
        <v>0.99945139999999999</v>
      </c>
      <c r="Y6186">
        <v>0.15809519999999999</v>
      </c>
      <c r="Z6186">
        <v>2.079834E-3</v>
      </c>
      <c r="AA6186">
        <v>0.98742169999999896</v>
      </c>
      <c r="AB6186">
        <v>22</v>
      </c>
      <c r="AC6186">
        <v>93.242599999999896</v>
      </c>
      <c r="AD6186">
        <v>1.9220950000000001</v>
      </c>
      <c r="AE6186">
        <v>-12.811124</v>
      </c>
      <c r="AF6186">
        <v>14.8949479470797</v>
      </c>
      <c r="AG6186">
        <v>1.9220950000000001</v>
      </c>
      <c r="AH6186">
        <v>92.892753215928195</v>
      </c>
      <c r="AI6186">
        <v>88.829577173477404</v>
      </c>
      <c r="AJ6186">
        <v>80.8904147395167</v>
      </c>
      <c r="AK6186">
        <v>94.098977271650398</v>
      </c>
      <c r="AL6186">
        <v>89.041816356972205</v>
      </c>
      <c r="AM6186">
        <v>88.361586793695395</v>
      </c>
      <c r="AN6186">
        <v>1.00000000593446</v>
      </c>
    </row>
    <row r="6187" spans="1:40" x14ac:dyDescent="0.25">
      <c r="A6187" t="str">
        <f>"20190312160809956"</f>
        <v>20190312160809956</v>
      </c>
      <c r="B6187" t="str">
        <f>"1552378089951502"</f>
        <v>1552378089951502</v>
      </c>
      <c r="C6187" t="s">
        <v>40</v>
      </c>
      <c r="D6187">
        <v>6.2329040000000004</v>
      </c>
      <c r="E6187">
        <v>0.4999769</v>
      </c>
      <c r="F6187" t="s">
        <v>104</v>
      </c>
      <c r="G6187">
        <v>-279.33690000000001</v>
      </c>
      <c r="H6187">
        <v>3.0051570000000001</v>
      </c>
      <c r="I6187">
        <v>4.2896799999999997</v>
      </c>
      <c r="J6187">
        <v>-372.44229999999999</v>
      </c>
      <c r="K6187">
        <v>1.1089519999999999</v>
      </c>
      <c r="L6187">
        <v>17.29691</v>
      </c>
      <c r="M6187">
        <v>0.99971889999999997</v>
      </c>
      <c r="N6187">
        <v>0</v>
      </c>
      <c r="O6187">
        <v>2.215348E-2</v>
      </c>
      <c r="P6187">
        <v>0.99994209999999994</v>
      </c>
      <c r="Q6187">
        <v>8.4902099999999998E-3</v>
      </c>
      <c r="R6187">
        <v>-6.6346390000000003E-3</v>
      </c>
      <c r="S6187">
        <v>2.9970699999999999</v>
      </c>
      <c r="T6187">
        <v>6.0949089999999997E-2</v>
      </c>
      <c r="U6187">
        <v>-0.41799930000000002</v>
      </c>
      <c r="V6187">
        <v>2.8798270000000001E-2</v>
      </c>
      <c r="W6187">
        <v>1.6913870000000001E-2</v>
      </c>
      <c r="X6187">
        <v>0.99944219999999895</v>
      </c>
      <c r="Y6187">
        <v>0.16000329999999999</v>
      </c>
      <c r="Z6187">
        <v>2.0673950000000001E-3</v>
      </c>
      <c r="AA6187">
        <v>0.9871143</v>
      </c>
      <c r="AB6187">
        <v>22</v>
      </c>
      <c r="AC6187">
        <v>93.105399999999904</v>
      </c>
      <c r="AD6187">
        <v>1.8962049999999999</v>
      </c>
      <c r="AE6187">
        <v>-13.00723</v>
      </c>
      <c r="AF6187">
        <v>15.060592468439401</v>
      </c>
      <c r="AG6187">
        <v>1.8962049999999999</v>
      </c>
      <c r="AH6187">
        <v>92.756645558519594</v>
      </c>
      <c r="AI6187">
        <v>88.844011622411998</v>
      </c>
      <c r="AJ6187">
        <v>80.777553731446105</v>
      </c>
      <c r="AK6187">
        <v>93.990490658211201</v>
      </c>
      <c r="AL6187">
        <v>89.030860484847295</v>
      </c>
      <c r="AM6187">
        <v>88.349516456487606</v>
      </c>
      <c r="AN6187">
        <v>1.0000000652470999</v>
      </c>
    </row>
    <row r="6188" spans="1:40" x14ac:dyDescent="0.25">
      <c r="A6188" t="str">
        <f>"20190312160809975"</f>
        <v>20190312160809975</v>
      </c>
      <c r="B6188" t="str">
        <f>"1552378089971915"</f>
        <v>1552378089971915</v>
      </c>
      <c r="C6188" t="s">
        <v>40</v>
      </c>
      <c r="D6188">
        <v>6.8771369999999896</v>
      </c>
      <c r="E6188">
        <v>0.49382330000000002</v>
      </c>
      <c r="F6188" t="s">
        <v>105</v>
      </c>
      <c r="G6188">
        <v>-276.98599999999999</v>
      </c>
      <c r="H6188">
        <v>3.0533190000000001</v>
      </c>
      <c r="I6188">
        <v>16.640309999999999</v>
      </c>
      <c r="J6188">
        <v>-372.25130000000001</v>
      </c>
      <c r="K6188">
        <v>1.108954</v>
      </c>
      <c r="L6188">
        <v>17.300719999999998</v>
      </c>
      <c r="M6188">
        <v>0.99972799999999995</v>
      </c>
      <c r="N6188">
        <v>0</v>
      </c>
      <c r="O6188">
        <v>2.174355E-2</v>
      </c>
      <c r="P6188">
        <v>0.99993100000000001</v>
      </c>
      <c r="Q6188">
        <v>9.0379459999999998E-3</v>
      </c>
      <c r="R6188">
        <v>-7.5150209999999898E-3</v>
      </c>
      <c r="S6188">
        <v>2.9994809999999998</v>
      </c>
      <c r="T6188">
        <v>6.1096909999999997E-2</v>
      </c>
      <c r="U6188">
        <v>-2.062988E-2</v>
      </c>
      <c r="V6188">
        <v>2.9268840000000001E-2</v>
      </c>
      <c r="W6188">
        <v>1.7455950000000001E-2</v>
      </c>
      <c r="X6188">
        <v>0.99941919999999995</v>
      </c>
      <c r="Y6188">
        <v>2.8609389999999998E-2</v>
      </c>
      <c r="Z6188">
        <v>7.341855E-4</v>
      </c>
      <c r="AA6188">
        <v>0.99959039999999999</v>
      </c>
      <c r="AB6188">
        <v>22</v>
      </c>
      <c r="AC6188">
        <v>95.265299999999996</v>
      </c>
      <c r="AD6188">
        <v>1.9443649999999999</v>
      </c>
      <c r="AE6188">
        <v>-0.66041000000000205</v>
      </c>
      <c r="AF6188">
        <v>2.73059593254612</v>
      </c>
      <c r="AG6188">
        <v>1.9443649999999999</v>
      </c>
      <c r="AH6188">
        <v>95.188765001614001</v>
      </c>
      <c r="AI6188">
        <v>88.830296529002794</v>
      </c>
      <c r="AJ6188">
        <v>88.356857247424799</v>
      </c>
      <c r="AK6188">
        <v>95.247770010287198</v>
      </c>
      <c r="AL6188">
        <v>88.999796994152405</v>
      </c>
      <c r="AM6188">
        <v>88.322523899124704</v>
      </c>
      <c r="AN6188">
        <v>1.00000005625699</v>
      </c>
    </row>
    <row r="6189" spans="1:40" x14ac:dyDescent="0.25">
      <c r="A6189" t="str">
        <f>"20190312160809998"</f>
        <v>20190312160809998</v>
      </c>
      <c r="B6189" t="str">
        <f>"1552378089991436"</f>
        <v>1552378089991436</v>
      </c>
      <c r="C6189" t="s">
        <v>40</v>
      </c>
      <c r="D6189">
        <v>6.3236350000000003</v>
      </c>
      <c r="E6189">
        <v>0.49276360000000002</v>
      </c>
      <c r="F6189" t="s">
        <v>102</v>
      </c>
      <c r="G6189">
        <v>-276.10449999999997</v>
      </c>
      <c r="H6189">
        <v>2.576632</v>
      </c>
      <c r="I6189">
        <v>18.14087</v>
      </c>
      <c r="J6189">
        <v>-372.02179999999998</v>
      </c>
      <c r="K6189">
        <v>1.1089580000000001</v>
      </c>
      <c r="L6189">
        <v>17.305109999999999</v>
      </c>
      <c r="M6189">
        <v>0.99973860000000003</v>
      </c>
      <c r="N6189">
        <v>0</v>
      </c>
      <c r="O6189">
        <v>2.1254760000000001E-2</v>
      </c>
      <c r="P6189">
        <v>0.99992449999999999</v>
      </c>
      <c r="Q6189">
        <v>9.2964950000000001E-3</v>
      </c>
      <c r="R6189">
        <v>-8.0475169999999902E-3</v>
      </c>
      <c r="S6189">
        <v>3</v>
      </c>
      <c r="T6189">
        <v>4.5795080000000002E-2</v>
      </c>
      <c r="U6189">
        <v>2.62145999999999E-2</v>
      </c>
      <c r="V6189">
        <v>2.9312520000000002E-2</v>
      </c>
      <c r="W6189">
        <v>1.7709579999999999E-2</v>
      </c>
      <c r="X6189">
        <v>0.99941340000000001</v>
      </c>
      <c r="Y6189">
        <v>1.2514880000000001E-2</v>
      </c>
      <c r="Z6189">
        <v>4.1992769999999997E-4</v>
      </c>
      <c r="AA6189">
        <v>0.99992159999999997</v>
      </c>
      <c r="AB6189">
        <v>22</v>
      </c>
      <c r="AC6189">
        <v>95.917299999999997</v>
      </c>
      <c r="AD6189">
        <v>1.4676739999999999</v>
      </c>
      <c r="AE6189">
        <v>0.83575999999999995</v>
      </c>
      <c r="AF6189">
        <v>1.20291873010909</v>
      </c>
      <c r="AG6189">
        <v>1.4676739999999999</v>
      </c>
      <c r="AH6189">
        <v>95.890944823234605</v>
      </c>
      <c r="AI6189">
        <v>89.123187845095202</v>
      </c>
      <c r="AJ6189">
        <v>89.281281966594705</v>
      </c>
      <c r="AK6189">
        <v>95.909719942945003</v>
      </c>
      <c r="AL6189">
        <v>88.985262761016102</v>
      </c>
      <c r="AM6189">
        <v>88.320012170128507</v>
      </c>
      <c r="AN6189">
        <v>0.99999999857604305</v>
      </c>
    </row>
    <row r="6190" spans="1:40" x14ac:dyDescent="0.25">
      <c r="A6190" t="str">
        <f>"20190312160810019"</f>
        <v>20190312160810019</v>
      </c>
      <c r="B6190" t="str">
        <f>"1552378090011931"</f>
        <v>1552378090011931</v>
      </c>
      <c r="C6190" t="s">
        <v>40</v>
      </c>
      <c r="D6190">
        <v>6.0693010000000003</v>
      </c>
      <c r="E6190">
        <v>0.49230600000000002</v>
      </c>
      <c r="F6190" t="s">
        <v>102</v>
      </c>
      <c r="G6190">
        <v>-276.24459999999999</v>
      </c>
      <c r="H6190">
        <v>2.3263560000000001</v>
      </c>
      <c r="I6190">
        <v>18.368030000000001</v>
      </c>
      <c r="J6190">
        <v>-371.80110000000002</v>
      </c>
      <c r="K6190">
        <v>1.1089549999999999</v>
      </c>
      <c r="L6190">
        <v>17.3093</v>
      </c>
      <c r="M6190">
        <v>0.99974850000000004</v>
      </c>
      <c r="N6190">
        <v>0</v>
      </c>
      <c r="O6190">
        <v>2.078876E-2</v>
      </c>
      <c r="P6190">
        <v>0.99991589999999997</v>
      </c>
      <c r="Q6190">
        <v>9.6189450000000003E-3</v>
      </c>
      <c r="R6190">
        <v>-8.7154539999999992E-3</v>
      </c>
      <c r="S6190">
        <v>3.0001220000000002</v>
      </c>
      <c r="T6190">
        <v>3.8133739999999999E-2</v>
      </c>
      <c r="U6190">
        <v>3.329468E-2</v>
      </c>
      <c r="V6190">
        <v>2.951442E-2</v>
      </c>
      <c r="W6190">
        <v>1.8028059999999999E-2</v>
      </c>
      <c r="X6190">
        <v>0.99940169999999995</v>
      </c>
      <c r="Y6190">
        <v>9.6910590000000001E-3</v>
      </c>
      <c r="Z6190">
        <v>3.2579480000000002E-4</v>
      </c>
      <c r="AA6190">
        <v>0.99995299999999998</v>
      </c>
      <c r="AB6190">
        <v>22</v>
      </c>
      <c r="AC6190">
        <v>95.5565</v>
      </c>
      <c r="AD6190">
        <v>1.217401</v>
      </c>
      <c r="AE6190">
        <v>1.05872999999999</v>
      </c>
      <c r="AF6190">
        <v>0.92791966049760399</v>
      </c>
      <c r="AG6190">
        <v>1.217401</v>
      </c>
      <c r="AH6190">
        <v>95.5423526902958</v>
      </c>
      <c r="AI6190">
        <v>89.270010902911295</v>
      </c>
      <c r="AJ6190">
        <v>89.443553489741007</v>
      </c>
      <c r="AK6190">
        <v>95.554614005227506</v>
      </c>
      <c r="AL6190">
        <v>88.967012221447902</v>
      </c>
      <c r="AM6190">
        <v>88.308427588046101</v>
      </c>
      <c r="AN6190">
        <v>0.99999993494909201</v>
      </c>
    </row>
    <row r="6191" spans="1:40" x14ac:dyDescent="0.25">
      <c r="A6191" t="str">
        <f>"20190312160810031"</f>
        <v>20190312160810031</v>
      </c>
      <c r="B6191" t="str">
        <f>"1552378090021692"</f>
        <v>1552378090021692</v>
      </c>
      <c r="C6191" t="s">
        <v>40</v>
      </c>
      <c r="D6191">
        <v>6.0020680000000004</v>
      </c>
      <c r="E6191">
        <v>0.49249530000000002</v>
      </c>
      <c r="F6191" t="s">
        <v>102</v>
      </c>
      <c r="G6191">
        <v>-276.25170000000003</v>
      </c>
      <c r="H6191">
        <v>2.0009350000000001</v>
      </c>
      <c r="I6191">
        <v>18.431819999999998</v>
      </c>
      <c r="J6191">
        <v>-371.68029999999999</v>
      </c>
      <c r="K6191">
        <v>1.1089560000000001</v>
      </c>
      <c r="L6191">
        <v>17.311520000000002</v>
      </c>
      <c r="M6191">
        <v>0.99975349999999996</v>
      </c>
      <c r="N6191">
        <v>0</v>
      </c>
      <c r="O6191">
        <v>2.0536180000000001E-2</v>
      </c>
      <c r="P6191">
        <v>0.99991110000000005</v>
      </c>
      <c r="Q6191">
        <v>9.8252530000000008E-3</v>
      </c>
      <c r="R6191">
        <v>-9.0232939999999994E-3</v>
      </c>
      <c r="S6191">
        <v>3.0002749999999998</v>
      </c>
      <c r="T6191">
        <v>2.800834E-2</v>
      </c>
      <c r="U6191">
        <v>3.5247800000000003E-2</v>
      </c>
      <c r="V6191">
        <v>2.9569649999999999E-2</v>
      </c>
      <c r="W6191">
        <v>1.823259E-2</v>
      </c>
      <c r="X6191">
        <v>0.99939639999999996</v>
      </c>
      <c r="Y6191">
        <v>8.7893150000000007E-3</v>
      </c>
      <c r="Z6191">
        <v>2.327137E-4</v>
      </c>
      <c r="AA6191">
        <v>0.99996130000000005</v>
      </c>
      <c r="AB6191">
        <v>22</v>
      </c>
      <c r="AC6191">
        <v>95.428599999999904</v>
      </c>
      <c r="AD6191">
        <v>0.89197899999999897</v>
      </c>
      <c r="AE6191">
        <v>1.1203000000000001</v>
      </c>
      <c r="AF6191">
        <v>0.83967160778115202</v>
      </c>
      <c r="AG6191">
        <v>0.89197899999999897</v>
      </c>
      <c r="AH6191">
        <v>95.423145394877594</v>
      </c>
      <c r="AI6191">
        <v>89.464457337530902</v>
      </c>
      <c r="AJ6191">
        <v>89.495841418292301</v>
      </c>
      <c r="AK6191">
        <v>95.431008335851203</v>
      </c>
      <c r="AL6191">
        <v>88.955291633299694</v>
      </c>
      <c r="AM6191">
        <v>88.305255029698799</v>
      </c>
      <c r="AN6191">
        <v>0.99999997793609496</v>
      </c>
    </row>
    <row r="6192" spans="1:40" x14ac:dyDescent="0.25">
      <c r="A6192" t="str">
        <f>"20190312160810043"</f>
        <v>20190312160810043</v>
      </c>
      <c r="B6192" t="str">
        <f>"1552378090031453"</f>
        <v>1552378090031453</v>
      </c>
      <c r="C6192" t="s">
        <v>40</v>
      </c>
      <c r="D6192">
        <v>6.0131399999999999</v>
      </c>
      <c r="E6192">
        <v>0.49289460000000002</v>
      </c>
      <c r="F6192" t="s">
        <v>102</v>
      </c>
      <c r="G6192">
        <v>-276.25240000000002</v>
      </c>
      <c r="H6192">
        <v>2.2229899999999998</v>
      </c>
      <c r="I6192">
        <v>18.35014</v>
      </c>
      <c r="J6192">
        <v>-371.5659</v>
      </c>
      <c r="K6192">
        <v>1.108959</v>
      </c>
      <c r="L6192">
        <v>17.31363</v>
      </c>
      <c r="M6192">
        <v>0.99975840000000005</v>
      </c>
      <c r="N6192">
        <v>0</v>
      </c>
      <c r="O6192">
        <v>2.0301139999999999E-2</v>
      </c>
      <c r="P6192">
        <v>0.99990270000000003</v>
      </c>
      <c r="Q6192">
        <v>1.02802E-2</v>
      </c>
      <c r="R6192">
        <v>-9.442298E-3</v>
      </c>
      <c r="S6192">
        <v>3.0002140000000002</v>
      </c>
      <c r="T6192">
        <v>3.5024880000000001E-2</v>
      </c>
      <c r="U6192">
        <v>3.2653809999999998E-2</v>
      </c>
      <c r="V6192">
        <v>2.9753720000000001E-2</v>
      </c>
      <c r="W6192">
        <v>1.8686459999999998E-2</v>
      </c>
      <c r="X6192">
        <v>0.99938260000000001</v>
      </c>
      <c r="Y6192">
        <v>9.4176889999999999E-3</v>
      </c>
      <c r="Z6192">
        <v>2.9194079999999997E-4</v>
      </c>
      <c r="AA6192">
        <v>0.99995560000000006</v>
      </c>
      <c r="AB6192">
        <v>22</v>
      </c>
      <c r="AC6192">
        <v>95.313499999999905</v>
      </c>
      <c r="AD6192">
        <v>1.114031</v>
      </c>
      <c r="AE6192">
        <v>1.0365099999999901</v>
      </c>
      <c r="AF6192">
        <v>0.89862228943605904</v>
      </c>
      <c r="AG6192">
        <v>1.114031</v>
      </c>
      <c r="AH6192">
        <v>95.301880839518702</v>
      </c>
      <c r="AI6192">
        <v>89.330301459308401</v>
      </c>
      <c r="AJ6192">
        <v>89.4597615673988</v>
      </c>
      <c r="AK6192">
        <v>95.312628117358301</v>
      </c>
      <c r="AL6192">
        <v>88.929282415063497</v>
      </c>
      <c r="AM6192">
        <v>88.294687979863895</v>
      </c>
      <c r="AN6192">
        <v>1.00000002441196</v>
      </c>
    </row>
    <row r="6193" spans="1:40" x14ac:dyDescent="0.25">
      <c r="A6193" t="str">
        <f>"20190312160810055"</f>
        <v>20190312160810055</v>
      </c>
      <c r="B6193" t="str">
        <f>"1552378090051948"</f>
        <v>1552378090051948</v>
      </c>
      <c r="C6193" t="s">
        <v>40</v>
      </c>
      <c r="D6193">
        <v>6.0061359999999997</v>
      </c>
      <c r="E6193">
        <v>0.4936429</v>
      </c>
      <c r="F6193" t="s">
        <v>102</v>
      </c>
      <c r="G6193">
        <v>-276.26690000000002</v>
      </c>
      <c r="H6193">
        <v>2.351407</v>
      </c>
      <c r="I6193">
        <v>18.2074</v>
      </c>
      <c r="J6193">
        <v>-371.44549999999998</v>
      </c>
      <c r="K6193">
        <v>1.1089610000000001</v>
      </c>
      <c r="L6193">
        <v>17.315799999999999</v>
      </c>
      <c r="M6193">
        <v>0.99976339999999997</v>
      </c>
      <c r="N6193">
        <v>0</v>
      </c>
      <c r="O6193">
        <v>2.0056029999999999E-2</v>
      </c>
      <c r="P6193">
        <v>0.99989939999999999</v>
      </c>
      <c r="Q6193">
        <v>1.0466420000000001E-2</v>
      </c>
      <c r="R6193">
        <v>-9.6016239999999996E-3</v>
      </c>
      <c r="S6193">
        <v>3.0001220000000002</v>
      </c>
      <c r="T6193">
        <v>3.9113759999999997E-2</v>
      </c>
      <c r="U6193">
        <v>2.8137209999999999E-2</v>
      </c>
      <c r="V6193">
        <v>2.966777E-2</v>
      </c>
      <c r="W6193">
        <v>1.8870970000000001E-2</v>
      </c>
      <c r="X6193">
        <v>0.99938170000000004</v>
      </c>
      <c r="Y6193">
        <v>1.067686E-2</v>
      </c>
      <c r="Z6193">
        <v>3.3104599999999999E-4</v>
      </c>
      <c r="AA6193">
        <v>0.99994300000000003</v>
      </c>
      <c r="AB6193">
        <v>23</v>
      </c>
      <c r="AC6193">
        <v>95.178599999999904</v>
      </c>
      <c r="AD6193">
        <v>1.2424459999999999</v>
      </c>
      <c r="AE6193">
        <v>0.89159999999999995</v>
      </c>
      <c r="AF6193">
        <v>1.0173785333930201</v>
      </c>
      <c r="AG6193">
        <v>1.2424459999999999</v>
      </c>
      <c r="AH6193">
        <v>95.161122493395595</v>
      </c>
      <c r="AI6193">
        <v>89.252018068220906</v>
      </c>
      <c r="AJ6193">
        <v>89.387467551341501</v>
      </c>
      <c r="AK6193">
        <v>95.174670818165495</v>
      </c>
      <c r="AL6193">
        <v>88.918708919279794</v>
      </c>
      <c r="AM6193">
        <v>88.299609712746104</v>
      </c>
      <c r="AN6193">
        <v>1.0000000361901999</v>
      </c>
    </row>
    <row r="6194" spans="1:40" x14ac:dyDescent="0.25">
      <c r="A6194" t="str">
        <f>"20190312160810067"</f>
        <v>20190312160810067</v>
      </c>
      <c r="B6194" t="str">
        <f>"1552378090062295"</f>
        <v>1552378090062295</v>
      </c>
      <c r="C6194" t="s">
        <v>40</v>
      </c>
      <c r="D6194">
        <v>5.7644419999999998</v>
      </c>
      <c r="E6194">
        <v>0.49395499999999998</v>
      </c>
      <c r="F6194" t="s">
        <v>102</v>
      </c>
      <c r="G6194">
        <v>-276.10640000000001</v>
      </c>
      <c r="H6194">
        <v>2.5923280000000002</v>
      </c>
      <c r="I6194">
        <v>17.998539999999998</v>
      </c>
      <c r="J6194">
        <v>-371.32339999999999</v>
      </c>
      <c r="K6194">
        <v>1.108968</v>
      </c>
      <c r="L6194">
        <v>17.317959999999999</v>
      </c>
      <c r="M6194">
        <v>0.99976810000000005</v>
      </c>
      <c r="N6194">
        <v>0</v>
      </c>
      <c r="O6194">
        <v>1.9815590000000001E-2</v>
      </c>
      <c r="P6194">
        <v>0.99989209999999995</v>
      </c>
      <c r="Q6194">
        <v>1.096711E-2</v>
      </c>
      <c r="R6194">
        <v>-9.7713769999999995E-3</v>
      </c>
      <c r="S6194">
        <v>3.0000610000000001</v>
      </c>
      <c r="T6194">
        <v>4.6677589999999998E-2</v>
      </c>
      <c r="U6194">
        <v>2.1484380000000001E-2</v>
      </c>
      <c r="V6194">
        <v>2.959724E-2</v>
      </c>
      <c r="W6194">
        <v>1.9371079999999999E-2</v>
      </c>
      <c r="X6194">
        <v>0.99937419999999999</v>
      </c>
      <c r="Y6194">
        <v>1.2652129999999999E-2</v>
      </c>
      <c r="Z6194">
        <v>4.0669540000000002E-4</v>
      </c>
      <c r="AA6194">
        <v>0.99991989999999997</v>
      </c>
      <c r="AB6194">
        <v>23</v>
      </c>
      <c r="AC6194">
        <v>95.216999999999899</v>
      </c>
      <c r="AD6194">
        <v>1.48335999999999</v>
      </c>
      <c r="AE6194">
        <v>0.68057999999999896</v>
      </c>
      <c r="AF6194">
        <v>1.2061090370988701</v>
      </c>
      <c r="AG6194">
        <v>1.48335999999999</v>
      </c>
      <c r="AH6194">
        <v>95.188688754530205</v>
      </c>
      <c r="AI6194">
        <v>89.107282914537507</v>
      </c>
      <c r="AJ6194">
        <v>89.274060179643101</v>
      </c>
      <c r="AK6194">
        <v>95.207885822056795</v>
      </c>
      <c r="AL6194">
        <v>88.890049462909602</v>
      </c>
      <c r="AM6194">
        <v>88.303637009185195</v>
      </c>
      <c r="AN6194">
        <v>1.00000001349081</v>
      </c>
    </row>
    <row r="6195" spans="1:40" x14ac:dyDescent="0.25">
      <c r="A6195" t="str">
        <f>"20190312160810086"</f>
        <v>20190312160810086</v>
      </c>
      <c r="B6195" t="str">
        <f>"1552378090081816"</f>
        <v>1552378090081816</v>
      </c>
      <c r="C6195" t="s">
        <v>40</v>
      </c>
      <c r="D6195">
        <v>6.0114089999999996</v>
      </c>
      <c r="E6195">
        <v>0.49437140000000002</v>
      </c>
      <c r="F6195" t="s">
        <v>102</v>
      </c>
      <c r="G6195">
        <v>-276.101</v>
      </c>
      <c r="H6195">
        <v>2.7098279999999999</v>
      </c>
      <c r="I6195">
        <v>17.90305</v>
      </c>
      <c r="J6195">
        <v>-371.13240000000002</v>
      </c>
      <c r="K6195">
        <v>1.108984</v>
      </c>
      <c r="L6195">
        <v>17.321349999999999</v>
      </c>
      <c r="M6195">
        <v>0.99977539999999998</v>
      </c>
      <c r="N6195">
        <v>0</v>
      </c>
      <c r="O6195">
        <v>1.944914E-2</v>
      </c>
      <c r="P6195">
        <v>0.99988030000000006</v>
      </c>
      <c r="Q6195">
        <v>1.1739019999999999E-2</v>
      </c>
      <c r="R6195">
        <v>-1.0089249999999999E-2</v>
      </c>
      <c r="S6195">
        <v>2.9999389999999999</v>
      </c>
      <c r="T6195">
        <v>5.0434470000000002E-2</v>
      </c>
      <c r="U6195">
        <v>1.843262E-2</v>
      </c>
      <c r="V6195">
        <v>2.954853E-2</v>
      </c>
      <c r="W6195">
        <v>2.0142449999999999E-2</v>
      </c>
      <c r="X6195">
        <v>0.99936040000000004</v>
      </c>
      <c r="Y6195">
        <v>1.3301779999999999E-2</v>
      </c>
      <c r="Z6195">
        <v>4.3874540000000002E-4</v>
      </c>
      <c r="AA6195">
        <v>0.99991140000000001</v>
      </c>
      <c r="AB6195">
        <v>23</v>
      </c>
      <c r="AC6195">
        <v>95.031400000000005</v>
      </c>
      <c r="AD6195">
        <v>1.6008439999999999</v>
      </c>
      <c r="AE6195">
        <v>0.58170000000000099</v>
      </c>
      <c r="AF6195">
        <v>1.26639519845542</v>
      </c>
      <c r="AG6195">
        <v>1.6008439999999999</v>
      </c>
      <c r="AH6195">
        <v>94.997780930712494</v>
      </c>
      <c r="AI6195">
        <v>89.034664000712894</v>
      </c>
      <c r="AJ6195">
        <v>89.236247398012296</v>
      </c>
      <c r="AK6195">
        <v>95.019707640418801</v>
      </c>
      <c r="AL6195">
        <v>88.8458445981328</v>
      </c>
      <c r="AM6195">
        <v>88.306403818360593</v>
      </c>
      <c r="AN6195">
        <v>1.0000000215026601</v>
      </c>
    </row>
    <row r="6196" spans="1:40" x14ac:dyDescent="0.25">
      <c r="A6196" t="str">
        <f>"20190312160810100"</f>
        <v>20190312160810100</v>
      </c>
      <c r="B6196" t="str">
        <f>"1552378090091576"</f>
        <v>1552378090091576</v>
      </c>
      <c r="C6196" t="s">
        <v>40</v>
      </c>
      <c r="D6196">
        <v>5.9917910000000001</v>
      </c>
      <c r="E6196">
        <v>0.49456719999999998</v>
      </c>
      <c r="F6196" t="s">
        <v>101</v>
      </c>
      <c r="G6196">
        <v>-274.15660000000003</v>
      </c>
      <c r="H6196">
        <v>2.891308</v>
      </c>
      <c r="I6196">
        <v>17.776139999999899</v>
      </c>
      <c r="J6196">
        <v>-370.99459999999999</v>
      </c>
      <c r="K6196">
        <v>1.1089910000000001</v>
      </c>
      <c r="L6196">
        <v>17.323729999999902</v>
      </c>
      <c r="M6196">
        <v>0.99978040000000001</v>
      </c>
      <c r="N6196">
        <v>0</v>
      </c>
      <c r="O6196">
        <v>1.9193169999999999E-2</v>
      </c>
      <c r="P6196">
        <v>0.99987280000000001</v>
      </c>
      <c r="Q6196">
        <v>1.195586E-2</v>
      </c>
      <c r="R6196">
        <v>-1.055993E-2</v>
      </c>
      <c r="S6196">
        <v>2.9998779999999998</v>
      </c>
      <c r="T6196">
        <v>5.5135009999999998E-2</v>
      </c>
      <c r="U6196">
        <v>1.4068600000000001E-2</v>
      </c>
      <c r="V6196">
        <v>2.9762899999999998E-2</v>
      </c>
      <c r="W6196">
        <v>2.035841E-2</v>
      </c>
      <c r="X6196">
        <v>0.99934970000000001</v>
      </c>
      <c r="Y6196">
        <v>1.4499140000000001E-2</v>
      </c>
      <c r="Z6196">
        <v>4.85942E-4</v>
      </c>
      <c r="AA6196">
        <v>0.99989470000000003</v>
      </c>
      <c r="AB6196">
        <v>23</v>
      </c>
      <c r="AC6196">
        <v>96.837999999999894</v>
      </c>
      <c r="AD6196">
        <v>1.7823169999999999</v>
      </c>
      <c r="AE6196">
        <v>0.45240999999999998</v>
      </c>
      <c r="AF6196">
        <v>1.40589107961548</v>
      </c>
      <c r="AG6196">
        <v>1.7823169999999999</v>
      </c>
      <c r="AH6196">
        <v>96.796055229758096</v>
      </c>
      <c r="AI6196">
        <v>88.945236589009994</v>
      </c>
      <c r="AJ6196">
        <v>89.167879707390895</v>
      </c>
      <c r="AK6196">
        <v>96.822670339433401</v>
      </c>
      <c r="AL6196">
        <v>88.833468507695997</v>
      </c>
      <c r="AM6196">
        <v>88.294106020498106</v>
      </c>
      <c r="AN6196">
        <v>1.0000000589821101</v>
      </c>
    </row>
    <row r="6197" spans="1:40" x14ac:dyDescent="0.25">
      <c r="A6197" t="str">
        <f>"20190312160810111"</f>
        <v>20190312160810111</v>
      </c>
      <c r="B6197" t="str">
        <f>"1552378090102312"</f>
        <v>1552378090102312</v>
      </c>
      <c r="C6197" t="s">
        <v>40</v>
      </c>
      <c r="D6197">
        <v>6.2476830000000003</v>
      </c>
      <c r="E6197">
        <v>0.49483199999999999</v>
      </c>
      <c r="F6197" t="s">
        <v>101</v>
      </c>
      <c r="G6197">
        <v>-274.15660000000003</v>
      </c>
      <c r="H6197">
        <v>2.9730490000000001</v>
      </c>
      <c r="I6197">
        <v>17.680350000000001</v>
      </c>
      <c r="J6197">
        <v>-370.87049999999999</v>
      </c>
      <c r="K6197">
        <v>1.1089990000000001</v>
      </c>
      <c r="L6197">
        <v>17.325869999999998</v>
      </c>
      <c r="M6197">
        <v>0.99978460000000002</v>
      </c>
      <c r="N6197">
        <v>0</v>
      </c>
      <c r="O6197">
        <v>1.896784E-2</v>
      </c>
      <c r="P6197">
        <v>0.99986850000000005</v>
      </c>
      <c r="Q6197">
        <v>1.201934E-2</v>
      </c>
      <c r="R6197">
        <v>-1.089915E-2</v>
      </c>
      <c r="S6197">
        <v>2.9998170000000002</v>
      </c>
      <c r="T6197">
        <v>5.7744259999999999E-2</v>
      </c>
      <c r="U6197">
        <v>1.1047360000000001E-2</v>
      </c>
      <c r="V6197">
        <v>2.9876159999999999E-2</v>
      </c>
      <c r="W6197">
        <v>2.0422300000000001E-2</v>
      </c>
      <c r="X6197">
        <v>0.99934489999999998</v>
      </c>
      <c r="Y6197">
        <v>1.528005E-2</v>
      </c>
      <c r="Z6197">
        <v>5.1212589999999998E-4</v>
      </c>
      <c r="AA6197">
        <v>0.99988310000000002</v>
      </c>
      <c r="AB6197">
        <v>23</v>
      </c>
      <c r="AC6197">
        <v>96.713899999999896</v>
      </c>
      <c r="AD6197">
        <v>1.86405</v>
      </c>
      <c r="AE6197">
        <v>0.35447999999999802</v>
      </c>
      <c r="AF6197">
        <v>1.4795530424173899</v>
      </c>
      <c r="AG6197">
        <v>1.86405</v>
      </c>
      <c r="AH6197">
        <v>96.667313698285994</v>
      </c>
      <c r="AI6197">
        <v>88.895423324583803</v>
      </c>
      <c r="AJ6197">
        <v>89.1231211155674</v>
      </c>
      <c r="AK6197">
        <v>96.6966043729078</v>
      </c>
      <c r="AL6197">
        <v>88.829806982678406</v>
      </c>
      <c r="AM6197">
        <v>88.287610034303498</v>
      </c>
      <c r="AN6197">
        <v>0.99999994221482102</v>
      </c>
    </row>
    <row r="6198" spans="1:40" x14ac:dyDescent="0.25">
      <c r="A6198" t="str">
        <f>"20190312160810131"</f>
        <v>20190312160810131</v>
      </c>
      <c r="B6198" t="str">
        <f>"1552378090121390"</f>
        <v>1552378090121390</v>
      </c>
      <c r="C6198" t="s">
        <v>40</v>
      </c>
      <c r="D6198">
        <v>5.9399810000000004</v>
      </c>
      <c r="E6198">
        <v>0.49535790000000002</v>
      </c>
      <c r="F6198" t="s">
        <v>105</v>
      </c>
      <c r="G6198">
        <v>-276.42140000000001</v>
      </c>
      <c r="H6198">
        <v>2.9948899999999998</v>
      </c>
      <c r="I6198">
        <v>17.57274</v>
      </c>
      <c r="J6198">
        <v>-370.67450000000002</v>
      </c>
      <c r="K6198">
        <v>1.1090100000000001</v>
      </c>
      <c r="L6198">
        <v>17.329190000000001</v>
      </c>
      <c r="M6198">
        <v>0.99979110000000004</v>
      </c>
      <c r="N6198">
        <v>0</v>
      </c>
      <c r="O6198">
        <v>1.8625300000000001E-2</v>
      </c>
      <c r="P6198">
        <v>0.99986399999999998</v>
      </c>
      <c r="Q6198">
        <v>1.202568E-2</v>
      </c>
      <c r="R6198">
        <v>-1.129178E-2</v>
      </c>
      <c r="S6198">
        <v>2.9997560000000001</v>
      </c>
      <c r="T6198">
        <v>5.9896949999999997E-2</v>
      </c>
      <c r="U6198">
        <v>7.8430180000000002E-3</v>
      </c>
      <c r="V6198">
        <v>2.9925799999999999E-2</v>
      </c>
      <c r="W6198">
        <v>2.0428970000000001E-2</v>
      </c>
      <c r="X6198">
        <v>0.99934330000000005</v>
      </c>
      <c r="Y6198">
        <v>1.6004910000000001E-2</v>
      </c>
      <c r="Z6198">
        <v>5.3162449999999905E-4</v>
      </c>
      <c r="AA6198">
        <v>0.99987179999999998</v>
      </c>
      <c r="AB6198">
        <v>23</v>
      </c>
      <c r="AC6198">
        <v>94.253100000000003</v>
      </c>
      <c r="AD6198">
        <v>1.88588</v>
      </c>
      <c r="AE6198">
        <v>0.24354999999999899</v>
      </c>
      <c r="AF6198">
        <v>1.51144161226058</v>
      </c>
      <c r="AG6198">
        <v>1.88588</v>
      </c>
      <c r="AH6198">
        <v>94.203571604083805</v>
      </c>
      <c r="AI6198">
        <v>88.853285155351401</v>
      </c>
      <c r="AJ6198">
        <v>89.080801352356403</v>
      </c>
      <c r="AK6198">
        <v>94.234568509053105</v>
      </c>
      <c r="AL6198">
        <v>88.829424765317995</v>
      </c>
      <c r="AM6198">
        <v>88.284763808441895</v>
      </c>
      <c r="AN6198">
        <v>0.99999996378789402</v>
      </c>
    </row>
    <row r="6199" spans="1:40" x14ac:dyDescent="0.25">
      <c r="A6199" t="str">
        <f>"20190312160810142"</f>
        <v>20190312160810142</v>
      </c>
      <c r="B6199" t="str">
        <f>"1552378090132123"</f>
        <v>1552378090132123</v>
      </c>
      <c r="C6199" t="s">
        <v>40</v>
      </c>
      <c r="D6199">
        <v>6.0005600000000001</v>
      </c>
      <c r="E6199">
        <v>0.49551650000000003</v>
      </c>
      <c r="F6199" t="s">
        <v>105</v>
      </c>
      <c r="G6199">
        <v>-276.42020000000002</v>
      </c>
      <c r="H6199">
        <v>3.021585</v>
      </c>
      <c r="I6199">
        <v>17.4068</v>
      </c>
      <c r="J6199">
        <v>-370.55770000000001</v>
      </c>
      <c r="K6199">
        <v>1.109013</v>
      </c>
      <c r="L6199">
        <v>17.331150000000001</v>
      </c>
      <c r="M6199">
        <v>0.99979490000000004</v>
      </c>
      <c r="N6199">
        <v>0</v>
      </c>
      <c r="O6199">
        <v>1.8426939999999999E-2</v>
      </c>
      <c r="P6199">
        <v>0.99986059999999999</v>
      </c>
      <c r="Q6199">
        <v>1.208337E-2</v>
      </c>
      <c r="R6199">
        <v>-1.153352E-2</v>
      </c>
      <c r="S6199">
        <v>2.999695</v>
      </c>
      <c r="T6199">
        <v>6.0868739999999998E-2</v>
      </c>
      <c r="U6199">
        <v>2.4719239999999999E-3</v>
      </c>
      <c r="V6199">
        <v>2.9968999999999999E-2</v>
      </c>
      <c r="W6199">
        <v>2.0484749999999999E-2</v>
      </c>
      <c r="X6199">
        <v>0.99934089999999998</v>
      </c>
      <c r="Y6199">
        <v>1.7596250000000001E-2</v>
      </c>
      <c r="Z6199">
        <v>5.5238110000000004E-4</v>
      </c>
      <c r="AA6199">
        <v>0.99984499999999998</v>
      </c>
      <c r="AB6199">
        <v>23</v>
      </c>
      <c r="AC6199">
        <v>94.137500000000003</v>
      </c>
      <c r="AD6199">
        <v>1.9125719999999999</v>
      </c>
      <c r="AE6199">
        <v>7.5649999999999495E-2</v>
      </c>
      <c r="AF6199">
        <v>1.65840560879149</v>
      </c>
      <c r="AG6199">
        <v>1.9125719999999999</v>
      </c>
      <c r="AH6199">
        <v>94.084074018294601</v>
      </c>
      <c r="AI6199">
        <v>88.835613774836801</v>
      </c>
      <c r="AJ6199">
        <v>88.990160620907204</v>
      </c>
      <c r="AK6199">
        <v>94.118123784414607</v>
      </c>
      <c r="AL6199">
        <v>88.826228180403106</v>
      </c>
      <c r="AM6199">
        <v>88.282285103735106</v>
      </c>
      <c r="AN6199">
        <v>1.0000000001781799</v>
      </c>
    </row>
    <row r="6200" spans="1:40" x14ac:dyDescent="0.25">
      <c r="A6200" t="str">
        <f>"20190312160810155"</f>
        <v>20190312160810155</v>
      </c>
      <c r="B6200" t="str">
        <f>"1552378090141883"</f>
        <v>1552378090141883</v>
      </c>
      <c r="C6200" t="s">
        <v>40</v>
      </c>
      <c r="D6200">
        <v>6.0003399999999996</v>
      </c>
      <c r="E6200">
        <v>0.49571720000000002</v>
      </c>
      <c r="F6200" t="s">
        <v>105</v>
      </c>
      <c r="G6200">
        <v>-276.41930000000002</v>
      </c>
      <c r="H6200">
        <v>3.0279060000000002</v>
      </c>
      <c r="I6200">
        <v>17.34545</v>
      </c>
      <c r="J6200">
        <v>-370.42840000000001</v>
      </c>
      <c r="K6200">
        <v>1.1090139999999999</v>
      </c>
      <c r="L6200">
        <v>17.333310000000001</v>
      </c>
      <c r="M6200">
        <v>0.99979879999999999</v>
      </c>
      <c r="N6200">
        <v>0</v>
      </c>
      <c r="O6200">
        <v>1.8210230000000001E-2</v>
      </c>
      <c r="P6200">
        <v>0.99985900000000005</v>
      </c>
      <c r="Q6200">
        <v>1.171965E-2</v>
      </c>
      <c r="R6200">
        <v>-1.2041680000000001E-2</v>
      </c>
      <c r="S6200">
        <v>2.999695</v>
      </c>
      <c r="T6200">
        <v>6.1144950000000003E-2</v>
      </c>
      <c r="U6200">
        <v>4.577637E-4</v>
      </c>
      <c r="V6200">
        <v>3.0259810000000002E-2</v>
      </c>
      <c r="W6200">
        <v>2.0117659999999999E-2</v>
      </c>
      <c r="X6200">
        <v>0.99933959999999999</v>
      </c>
      <c r="Y6200">
        <v>1.8050770000000001E-2</v>
      </c>
      <c r="Z6200">
        <v>5.5510330000000004E-4</v>
      </c>
      <c r="AA6200">
        <v>0.99983690000000003</v>
      </c>
      <c r="AB6200">
        <v>23</v>
      </c>
      <c r="AC6200">
        <v>94.009100000000004</v>
      </c>
      <c r="AD6200">
        <v>1.918892</v>
      </c>
      <c r="AE6200">
        <v>1.21399999999987E-2</v>
      </c>
      <c r="AF6200">
        <v>1.6991419753913799</v>
      </c>
      <c r="AG6200">
        <v>1.918892</v>
      </c>
      <c r="AH6200">
        <v>93.954586123073994</v>
      </c>
      <c r="AI6200">
        <v>88.8301671334291</v>
      </c>
      <c r="AJ6200">
        <v>88.963935059636199</v>
      </c>
      <c r="AK6200">
        <v>93.9895392238856</v>
      </c>
      <c r="AL6200">
        <v>88.847265230742806</v>
      </c>
      <c r="AM6200">
        <v>88.265624800866206</v>
      </c>
      <c r="AN6200">
        <v>1.0000000062366301</v>
      </c>
    </row>
    <row r="6201" spans="1:40" x14ac:dyDescent="0.25">
      <c r="A6201" t="str">
        <f>"20190312160810169"</f>
        <v>20190312160810169</v>
      </c>
      <c r="B6201" t="str">
        <f>"1552378090161403"</f>
        <v>1552378090161403</v>
      </c>
      <c r="C6201" t="s">
        <v>40</v>
      </c>
      <c r="D6201">
        <v>6.0536390000000004</v>
      </c>
      <c r="E6201">
        <v>0.495894</v>
      </c>
      <c r="F6201" t="s">
        <v>105</v>
      </c>
      <c r="G6201">
        <v>-276.41340000000002</v>
      </c>
      <c r="H6201">
        <v>3.005598</v>
      </c>
      <c r="I6201">
        <v>17.249079999999999</v>
      </c>
      <c r="J6201">
        <v>-370.28089999999997</v>
      </c>
      <c r="K6201">
        <v>1.1090120000000001</v>
      </c>
      <c r="L6201">
        <v>17.335719999999998</v>
      </c>
      <c r="M6201">
        <v>0.9998032</v>
      </c>
      <c r="N6201">
        <v>0</v>
      </c>
      <c r="O6201">
        <v>1.7968359999999999E-2</v>
      </c>
      <c r="P6201">
        <v>0.99985270000000004</v>
      </c>
      <c r="Q6201">
        <v>1.1617860000000001E-2</v>
      </c>
      <c r="R6201">
        <v>-1.2657369999999999E-2</v>
      </c>
      <c r="S6201">
        <v>2.9996339999999999</v>
      </c>
      <c r="T6201">
        <v>6.051219E-2</v>
      </c>
      <c r="U6201">
        <v>-2.6855469999999999E-3</v>
      </c>
      <c r="V6201">
        <v>3.0633299999999999E-2</v>
      </c>
      <c r="W6201">
        <v>2.000992E-2</v>
      </c>
      <c r="X6201">
        <v>0.99933039999999995</v>
      </c>
      <c r="Y6201">
        <v>1.8856649999999999E-2</v>
      </c>
      <c r="Z6201">
        <v>5.5262119999999995E-4</v>
      </c>
      <c r="AA6201">
        <v>0.99982199999999999</v>
      </c>
      <c r="AB6201">
        <v>23</v>
      </c>
      <c r="AC6201">
        <v>93.867499999999893</v>
      </c>
      <c r="AD6201">
        <v>1.8965860000000001</v>
      </c>
      <c r="AE6201">
        <v>-8.6640000000002701E-2</v>
      </c>
      <c r="AF6201">
        <v>1.7726070224360699</v>
      </c>
      <c r="AG6201">
        <v>1.8965860000000001</v>
      </c>
      <c r="AH6201">
        <v>93.812489856774306</v>
      </c>
      <c r="AI6201">
        <v>88.842028529129905</v>
      </c>
      <c r="AJ6201">
        <v>88.9175128291091</v>
      </c>
      <c r="AK6201">
        <v>93.848401303585206</v>
      </c>
      <c r="AL6201">
        <v>88.853439539131003</v>
      </c>
      <c r="AM6201">
        <v>88.244214963149901</v>
      </c>
      <c r="AN6201">
        <v>1.0000000221657199</v>
      </c>
    </row>
    <row r="6202" spans="1:40" x14ac:dyDescent="0.25">
      <c r="A6202" t="str">
        <f>"20190312160810187"</f>
        <v>20190312160810187</v>
      </c>
      <c r="B6202" t="str">
        <f>"1552378090181898"</f>
        <v>1552378090181898</v>
      </c>
      <c r="C6202" t="s">
        <v>40</v>
      </c>
      <c r="D6202">
        <v>6.0361079999999996</v>
      </c>
      <c r="E6202">
        <v>0.49605719999999998</v>
      </c>
      <c r="F6202" t="s">
        <v>105</v>
      </c>
      <c r="G6202">
        <v>-276.41160000000002</v>
      </c>
      <c r="H6202">
        <v>3.013706</v>
      </c>
      <c r="I6202">
        <v>17.149439999999998</v>
      </c>
      <c r="J6202">
        <v>-370.10509999999999</v>
      </c>
      <c r="K6202">
        <v>1.1090059999999999</v>
      </c>
      <c r="L6202">
        <v>17.338560000000001</v>
      </c>
      <c r="M6202">
        <v>0.99980840000000004</v>
      </c>
      <c r="N6202">
        <v>0</v>
      </c>
      <c r="O6202">
        <v>1.768424E-2</v>
      </c>
      <c r="P6202">
        <v>0.99984969999999995</v>
      </c>
      <c r="Q6202">
        <v>1.107669E-2</v>
      </c>
      <c r="R6202">
        <v>-1.335095E-2</v>
      </c>
      <c r="S6202">
        <v>2.999695</v>
      </c>
      <c r="T6202">
        <v>6.0866480000000001E-2</v>
      </c>
      <c r="U6202">
        <v>-5.9509280000000003E-3</v>
      </c>
      <c r="V6202">
        <v>3.104227E-2</v>
      </c>
      <c r="W6202">
        <v>1.9458320000000001E-2</v>
      </c>
      <c r="X6202">
        <v>0.99932869999999996</v>
      </c>
      <c r="Y6202">
        <v>1.9660670000000002E-2</v>
      </c>
      <c r="Z6202">
        <v>5.5823730000000005E-4</v>
      </c>
      <c r="AA6202">
        <v>0.99980659999999999</v>
      </c>
      <c r="AB6202">
        <v>23</v>
      </c>
      <c r="AC6202">
        <v>93.693499999999901</v>
      </c>
      <c r="AD6202">
        <v>1.9047000000000001</v>
      </c>
      <c r="AE6202">
        <v>-0.18912000000000201</v>
      </c>
      <c r="AF6202">
        <v>1.84528451736018</v>
      </c>
      <c r="AG6202">
        <v>1.9047000000000001</v>
      </c>
      <c r="AH6202">
        <v>93.636805610225096</v>
      </c>
      <c r="AI6202">
        <v>88.834912763742295</v>
      </c>
      <c r="AJ6202">
        <v>88.871028003765701</v>
      </c>
      <c r="AK6202">
        <v>93.674352530066102</v>
      </c>
      <c r="AL6202">
        <v>88.885050077233302</v>
      </c>
      <c r="AM6202">
        <v>88.220786289960898</v>
      </c>
      <c r="AN6202">
        <v>1.0000000496938299</v>
      </c>
    </row>
    <row r="6203" spans="1:40" x14ac:dyDescent="0.25">
      <c r="A6203" t="str">
        <f>"20190312160810209"</f>
        <v>20190312160810209</v>
      </c>
      <c r="B6203" t="str">
        <f>"1552378090201422"</f>
        <v>1552378090201422</v>
      </c>
      <c r="C6203" t="s">
        <v>40</v>
      </c>
      <c r="D6203">
        <v>6.0036310000000004</v>
      </c>
      <c r="E6203">
        <v>0.49620009999999998</v>
      </c>
      <c r="F6203" t="s">
        <v>105</v>
      </c>
      <c r="G6203">
        <v>-276.40410000000003</v>
      </c>
      <c r="H6203">
        <v>2.9816479999999999</v>
      </c>
      <c r="I6203">
        <v>17.046789999999898</v>
      </c>
      <c r="J6203">
        <v>-369.87119999999999</v>
      </c>
      <c r="K6203">
        <v>1.109</v>
      </c>
      <c r="L6203">
        <v>17.34225</v>
      </c>
      <c r="M6203">
        <v>0.99981489999999995</v>
      </c>
      <c r="N6203">
        <v>0</v>
      </c>
      <c r="O6203">
        <v>1.731036E-2</v>
      </c>
      <c r="P6203">
        <v>0.99983270000000002</v>
      </c>
      <c r="Q6203">
        <v>1.092419E-2</v>
      </c>
      <c r="R6203">
        <v>-1.466869E-2</v>
      </c>
      <c r="S6203">
        <v>2.999603</v>
      </c>
      <c r="T6203">
        <v>5.9947970000000003E-2</v>
      </c>
      <c r="U6203">
        <v>-9.3383790000000008E-3</v>
      </c>
      <c r="V6203">
        <v>3.1985699999999999E-2</v>
      </c>
      <c r="W6203">
        <v>1.928765E-2</v>
      </c>
      <c r="X6203">
        <v>0.99930220000000003</v>
      </c>
      <c r="Y6203">
        <v>2.041608E-2</v>
      </c>
      <c r="Z6203">
        <v>5.4990870000000002E-4</v>
      </c>
      <c r="AA6203">
        <v>0.9997914</v>
      </c>
      <c r="AB6203">
        <v>23</v>
      </c>
      <c r="AC6203">
        <v>93.467099999999903</v>
      </c>
      <c r="AD6203">
        <v>1.8726480000000001</v>
      </c>
      <c r="AE6203">
        <v>-0.295460000000002</v>
      </c>
      <c r="AF6203">
        <v>1.91265416278807</v>
      </c>
      <c r="AG6203">
        <v>1.8726480000000001</v>
      </c>
      <c r="AH6203">
        <v>93.410483527174094</v>
      </c>
      <c r="AI6203">
        <v>88.851756502313904</v>
      </c>
      <c r="AJ6203">
        <v>88.826987123690799</v>
      </c>
      <c r="AK6203">
        <v>93.448828185584006</v>
      </c>
      <c r="AL6203">
        <v>88.894830519982904</v>
      </c>
      <c r="AM6203">
        <v>88.166700581679706</v>
      </c>
      <c r="AN6203">
        <v>0.99999999268592599</v>
      </c>
    </row>
    <row r="6204" spans="1:40" x14ac:dyDescent="0.25">
      <c r="A6204" t="str">
        <f>"20190312160810221"</f>
        <v>20190312160810221</v>
      </c>
      <c r="B6204" t="str">
        <f>"1552378090212155"</f>
        <v>1552378090212155</v>
      </c>
      <c r="C6204" t="s">
        <v>40</v>
      </c>
      <c r="D6204">
        <v>6.0018019999999996</v>
      </c>
      <c r="E6204">
        <v>0.49620189999999997</v>
      </c>
      <c r="F6204" t="s">
        <v>105</v>
      </c>
      <c r="G6204">
        <v>-276.44240000000002</v>
      </c>
      <c r="H6204">
        <v>2.9446110000000001</v>
      </c>
      <c r="I6204">
        <v>16.892589999999998</v>
      </c>
      <c r="J6204">
        <v>-369.74599999999998</v>
      </c>
      <c r="K6204">
        <v>1.1089929999999999</v>
      </c>
      <c r="L6204">
        <v>17.344179999999898</v>
      </c>
      <c r="M6204">
        <v>0.9998186</v>
      </c>
      <c r="N6204">
        <v>0</v>
      </c>
      <c r="O6204">
        <v>1.711054E-2</v>
      </c>
      <c r="P6204">
        <v>0.99982629999999995</v>
      </c>
      <c r="Q6204">
        <v>1.0973399999999999E-2</v>
      </c>
      <c r="R6204">
        <v>-1.5071950000000001E-2</v>
      </c>
      <c r="S6204">
        <v>2.9996339999999999</v>
      </c>
      <c r="T6204">
        <v>5.8934210000000001E-2</v>
      </c>
      <c r="U6204">
        <v>-1.4434809999999999E-2</v>
      </c>
      <c r="V6204">
        <v>3.2189219999999998E-2</v>
      </c>
      <c r="W6204">
        <v>1.9327219999999999E-2</v>
      </c>
      <c r="X6204">
        <v>0.99929489999999999</v>
      </c>
      <c r="Y6204">
        <v>2.191485E-2</v>
      </c>
      <c r="Z6204">
        <v>5.5140159999999996E-4</v>
      </c>
      <c r="AA6204">
        <v>0.99975970000000003</v>
      </c>
      <c r="AB6204">
        <v>23</v>
      </c>
      <c r="AC6204">
        <v>93.303599999999904</v>
      </c>
      <c r="AD6204">
        <v>1.835618</v>
      </c>
      <c r="AE6204">
        <v>-0.45158999999999899</v>
      </c>
      <c r="AF6204">
        <v>2.04726236542886</v>
      </c>
      <c r="AG6204">
        <v>1.835618</v>
      </c>
      <c r="AH6204">
        <v>93.246122422305803</v>
      </c>
      <c r="AI6204">
        <v>88.872508059553098</v>
      </c>
      <c r="AJ6204">
        <v>88.742246350705699</v>
      </c>
      <c r="AK6204">
        <v>93.286655655728495</v>
      </c>
      <c r="AL6204">
        <v>88.892562902781506</v>
      </c>
      <c r="AM6204">
        <v>88.155030152522997</v>
      </c>
      <c r="AN6204">
        <v>0.99999999224157299</v>
      </c>
    </row>
    <row r="6205" spans="1:40" x14ac:dyDescent="0.25">
      <c r="A6205" t="str">
        <f>"20190312160810233"</f>
        <v>20190312160810233</v>
      </c>
      <c r="B6205" t="str">
        <f>"1552378090221915"</f>
        <v>1552378090221915</v>
      </c>
      <c r="C6205" t="s">
        <v>40</v>
      </c>
      <c r="D6205">
        <v>6.0518489999999998</v>
      </c>
      <c r="E6205">
        <v>0.49626360000000003</v>
      </c>
      <c r="F6205" t="s">
        <v>105</v>
      </c>
      <c r="G6205">
        <v>-276.41919999999999</v>
      </c>
      <c r="H6205">
        <v>2.9461369999999998</v>
      </c>
      <c r="I6205">
        <v>16.857979999999898</v>
      </c>
      <c r="J6205">
        <v>-369.62079999999997</v>
      </c>
      <c r="K6205">
        <v>1.108989</v>
      </c>
      <c r="L6205">
        <v>17.346129999999999</v>
      </c>
      <c r="M6205">
        <v>0.99982210000000005</v>
      </c>
      <c r="N6205">
        <v>0</v>
      </c>
      <c r="O6205">
        <v>1.6910479999999999E-2</v>
      </c>
      <c r="P6205">
        <v>0.99981580000000003</v>
      </c>
      <c r="Q6205">
        <v>1.107793E-2</v>
      </c>
      <c r="R6205">
        <v>-1.5685319999999999E-2</v>
      </c>
      <c r="S6205">
        <v>2.9996339999999999</v>
      </c>
      <c r="T6205">
        <v>5.904794E-2</v>
      </c>
      <c r="U6205">
        <v>-1.5625E-2</v>
      </c>
      <c r="V6205">
        <v>3.2602440000000003E-2</v>
      </c>
      <c r="W6205">
        <v>1.9421609999999999E-2</v>
      </c>
      <c r="X6205">
        <v>0.99927969999999999</v>
      </c>
      <c r="Y6205">
        <v>2.211144E-2</v>
      </c>
      <c r="Z6205">
        <v>5.5046239999999996E-4</v>
      </c>
      <c r="AA6205">
        <v>0.99975539999999996</v>
      </c>
      <c r="AB6205">
        <v>23</v>
      </c>
      <c r="AC6205">
        <v>93.2015999999999</v>
      </c>
      <c r="AD6205">
        <v>1.837148</v>
      </c>
      <c r="AE6205">
        <v>-0.48815000000000103</v>
      </c>
      <c r="AF6205">
        <v>2.0634172886312401</v>
      </c>
      <c r="AG6205">
        <v>1.837148</v>
      </c>
      <c r="AH6205">
        <v>93.143827216484695</v>
      </c>
      <c r="AI6205">
        <v>88.870334469614207</v>
      </c>
      <c r="AJ6205">
        <v>88.730932888098096</v>
      </c>
      <c r="AK6205">
        <v>93.184791421214697</v>
      </c>
      <c r="AL6205">
        <v>88.887153767948604</v>
      </c>
      <c r="AM6205">
        <v>88.131334155641298</v>
      </c>
      <c r="AN6205">
        <v>1.00000001843051</v>
      </c>
    </row>
    <row r="6206" spans="1:40" x14ac:dyDescent="0.25">
      <c r="A6206" t="str">
        <f>"20190312160810246"</f>
        <v>20190312160810246</v>
      </c>
      <c r="B6206" t="str">
        <f>"1552378090231676"</f>
        <v>1552378090231676</v>
      </c>
      <c r="C6206" t="s">
        <v>40</v>
      </c>
      <c r="D6206">
        <v>6.0491270000000004</v>
      </c>
      <c r="E6206">
        <v>0.49627890000000002</v>
      </c>
      <c r="F6206" t="s">
        <v>105</v>
      </c>
      <c r="G6206">
        <v>-277.21039999999999</v>
      </c>
      <c r="H6206">
        <v>2.934879</v>
      </c>
      <c r="I6206">
        <v>16.792310000000001</v>
      </c>
      <c r="J6206">
        <v>-369.50209999999998</v>
      </c>
      <c r="K6206">
        <v>1.108986</v>
      </c>
      <c r="L6206">
        <v>17.347899999999999</v>
      </c>
      <c r="M6206">
        <v>0.99982539999999998</v>
      </c>
      <c r="N6206">
        <v>0</v>
      </c>
      <c r="O6206">
        <v>1.6719939999999999E-2</v>
      </c>
      <c r="P6206">
        <v>0.99980919999999895</v>
      </c>
      <c r="Q6206">
        <v>1.085757E-2</v>
      </c>
      <c r="R6206">
        <v>-1.6248800000000001E-2</v>
      </c>
      <c r="S6206">
        <v>2.9996339999999999</v>
      </c>
      <c r="T6206">
        <v>5.926824E-2</v>
      </c>
      <c r="U6206">
        <v>-1.7974850000000001E-2</v>
      </c>
      <c r="V6206">
        <v>3.2975070000000002E-2</v>
      </c>
      <c r="W6206">
        <v>1.9192770000000001E-2</v>
      </c>
      <c r="X6206">
        <v>0.99927189999999999</v>
      </c>
      <c r="Y6206">
        <v>2.2703939999999999E-2</v>
      </c>
      <c r="Z6206">
        <v>5.546037E-4</v>
      </c>
      <c r="AA6206">
        <v>0.99974209999999997</v>
      </c>
      <c r="AB6206">
        <v>23</v>
      </c>
      <c r="AC6206">
        <v>92.291700000000006</v>
      </c>
      <c r="AD6206">
        <v>1.825893</v>
      </c>
      <c r="AE6206">
        <v>-0.55558999999999803</v>
      </c>
      <c r="AF6206">
        <v>2.09785664959852</v>
      </c>
      <c r="AG6206">
        <v>1.825893</v>
      </c>
      <c r="AH6206">
        <v>92.233408852899899</v>
      </c>
      <c r="AI6206">
        <v>88.866188931996604</v>
      </c>
      <c r="AJ6206">
        <v>88.697027332982003</v>
      </c>
      <c r="AK6206">
        <v>92.275330378145497</v>
      </c>
      <c r="AL6206">
        <v>88.900267784397002</v>
      </c>
      <c r="AM6206">
        <v>88.109976876384394</v>
      </c>
      <c r="AN6206">
        <v>1.0000000238956901</v>
      </c>
    </row>
    <row r="6207" spans="1:40" x14ac:dyDescent="0.25">
      <c r="A6207" t="str">
        <f>"20190312160810258"</f>
        <v>20190312160810258</v>
      </c>
      <c r="B6207" t="str">
        <f>"1552378090252173"</f>
        <v>1552378090252173</v>
      </c>
      <c r="C6207" t="s">
        <v>40</v>
      </c>
      <c r="D6207">
        <v>6.052441</v>
      </c>
      <c r="E6207">
        <v>0.49649840000000001</v>
      </c>
      <c r="F6207" t="s">
        <v>105</v>
      </c>
      <c r="G6207">
        <v>-277.10829999999999</v>
      </c>
      <c r="H6207">
        <v>2.9014509999999998</v>
      </c>
      <c r="I6207">
        <v>16.738720000000001</v>
      </c>
      <c r="J6207">
        <v>-369.36020000000002</v>
      </c>
      <c r="K6207">
        <v>1.108978</v>
      </c>
      <c r="L6207">
        <v>17.350069999999999</v>
      </c>
      <c r="M6207">
        <v>0.99982919999999997</v>
      </c>
      <c r="N6207">
        <v>0</v>
      </c>
      <c r="O6207">
        <v>1.6491390000000002E-2</v>
      </c>
      <c r="P6207">
        <v>0.9998068</v>
      </c>
      <c r="Q6207">
        <v>1.0716939999999999E-2</v>
      </c>
      <c r="R6207">
        <v>-1.64797E-2</v>
      </c>
      <c r="S6207">
        <v>2.9996339999999999</v>
      </c>
      <c r="T6207">
        <v>5.8193679999999998E-2</v>
      </c>
      <c r="U6207">
        <v>-1.977539E-2</v>
      </c>
      <c r="V6207">
        <v>3.2977670000000001E-2</v>
      </c>
      <c r="W6207">
        <v>1.9041639999999999E-2</v>
      </c>
      <c r="X6207">
        <v>0.99927469999999996</v>
      </c>
      <c r="Y6207">
        <v>2.3075729999999999E-2</v>
      </c>
      <c r="Z6207">
        <v>5.4372260000000005E-4</v>
      </c>
      <c r="AA6207">
        <v>0.9997336</v>
      </c>
      <c r="AB6207">
        <v>23</v>
      </c>
      <c r="AC6207">
        <v>92.251900000000006</v>
      </c>
      <c r="AD6207">
        <v>1.79247299999999</v>
      </c>
      <c r="AE6207">
        <v>-0.61135000000000095</v>
      </c>
      <c r="AF6207">
        <v>2.1318770483760199</v>
      </c>
      <c r="AG6207">
        <v>1.79247299999999</v>
      </c>
      <c r="AH6207">
        <v>92.194466324032305</v>
      </c>
      <c r="AI6207">
        <v>88.886475855763706</v>
      </c>
      <c r="AJ6207">
        <v>88.675345731945498</v>
      </c>
      <c r="AK6207">
        <v>92.236530073383904</v>
      </c>
      <c r="AL6207">
        <v>88.908928472122795</v>
      </c>
      <c r="AM6207">
        <v>88.109833253468295</v>
      </c>
      <c r="AN6207">
        <v>1.0000000184163</v>
      </c>
    </row>
    <row r="6208" spans="1:40" x14ac:dyDescent="0.25">
      <c r="A6208" t="str">
        <f>"20190312160810276"</f>
        <v>20190312160810276</v>
      </c>
      <c r="B6208" t="str">
        <f>"1552378090271420"</f>
        <v>1552378090271420</v>
      </c>
      <c r="C6208" t="s">
        <v>40</v>
      </c>
      <c r="D6208">
        <v>6.1334059999999999</v>
      </c>
      <c r="E6208">
        <v>0.50635680000000005</v>
      </c>
      <c r="F6208" t="s">
        <v>105</v>
      </c>
      <c r="G6208">
        <v>-276.88319999999999</v>
      </c>
      <c r="H6208">
        <v>2.8660969999999999</v>
      </c>
      <c r="I6208">
        <v>16.66601</v>
      </c>
      <c r="J6208">
        <v>-369.19009999999997</v>
      </c>
      <c r="K6208">
        <v>1.1089739999999999</v>
      </c>
      <c r="L6208">
        <v>17.35257</v>
      </c>
      <c r="M6208">
        <v>0.99983379999999999</v>
      </c>
      <c r="N6208">
        <v>0</v>
      </c>
      <c r="O6208">
        <v>1.621541E-2</v>
      </c>
      <c r="P6208">
        <v>0.99980550000000001</v>
      </c>
      <c r="Q6208">
        <v>1.040043E-2</v>
      </c>
      <c r="R6208">
        <v>-1.6768979999999999E-2</v>
      </c>
      <c r="S6208">
        <v>2.9996339999999999</v>
      </c>
      <c r="T6208">
        <v>5.6994799999999998E-2</v>
      </c>
      <c r="U6208">
        <v>-2.2186279999999999E-2</v>
      </c>
      <c r="V6208">
        <v>3.2990709999999999E-2</v>
      </c>
      <c r="W6208">
        <v>1.871078E-2</v>
      </c>
      <c r="X6208">
        <v>0.99928050000000002</v>
      </c>
      <c r="Y6208">
        <v>2.3603499999999999E-2</v>
      </c>
      <c r="Z6208">
        <v>5.3229229999999996E-4</v>
      </c>
      <c r="AA6208">
        <v>0.99972119999999998</v>
      </c>
      <c r="AB6208">
        <v>23</v>
      </c>
      <c r="AC6208">
        <v>92.306899999999899</v>
      </c>
      <c r="AD6208">
        <v>1.757123</v>
      </c>
      <c r="AE6208">
        <v>-0.68655999999999995</v>
      </c>
      <c r="AF6208">
        <v>2.1825251130012999</v>
      </c>
      <c r="AG6208">
        <v>1.757123</v>
      </c>
      <c r="AH6208">
        <v>92.250203947743898</v>
      </c>
      <c r="AI6208">
        <v>88.909103706115204</v>
      </c>
      <c r="AJ6208">
        <v>88.644705935140806</v>
      </c>
      <c r="AK6208">
        <v>92.292746332018694</v>
      </c>
      <c r="AL6208">
        <v>88.927888710783606</v>
      </c>
      <c r="AM6208">
        <v>88.109097355177198</v>
      </c>
      <c r="AN6208">
        <v>0.99999999895738101</v>
      </c>
    </row>
    <row r="6209" spans="1:40" x14ac:dyDescent="0.25">
      <c r="A6209" t="str">
        <f>"20190312160810288"</f>
        <v>20190312160810288</v>
      </c>
      <c r="B6209" t="str">
        <f>"1552378090282156"</f>
        <v>1552378090282156</v>
      </c>
      <c r="C6209" t="s">
        <v>40</v>
      </c>
      <c r="D6209">
        <v>6.1349479999999996</v>
      </c>
      <c r="E6209">
        <v>0.50685590000000003</v>
      </c>
      <c r="F6209" t="s">
        <v>101</v>
      </c>
      <c r="G6209">
        <v>-273.40989999999999</v>
      </c>
      <c r="H6209">
        <v>2.1221359999999998</v>
      </c>
      <c r="I6209">
        <v>14.12506</v>
      </c>
      <c r="J6209">
        <v>-369.05529999999999</v>
      </c>
      <c r="K6209">
        <v>1.108975</v>
      </c>
      <c r="L6209">
        <v>17.354489999999998</v>
      </c>
      <c r="M6209">
        <v>0.99983750000000005</v>
      </c>
      <c r="N6209">
        <v>0</v>
      </c>
      <c r="O6209">
        <v>1.599474E-2</v>
      </c>
      <c r="P6209">
        <v>0.99980309999999994</v>
      </c>
      <c r="Q6209">
        <v>1.057484E-2</v>
      </c>
      <c r="R6209">
        <v>-1.67964E-2</v>
      </c>
      <c r="S6209">
        <v>2.998596</v>
      </c>
      <c r="T6209">
        <v>3.1719209999999998E-2</v>
      </c>
      <c r="U6209">
        <v>-0.1010437</v>
      </c>
      <c r="V6209">
        <v>3.2797779999999999E-2</v>
      </c>
      <c r="W6209">
        <v>1.8872400000000001E-2</v>
      </c>
      <c r="X6209">
        <v>0.99928380000000006</v>
      </c>
      <c r="Y6209">
        <v>4.965613E-2</v>
      </c>
      <c r="Z6209">
        <v>4.3170170000000001E-4</v>
      </c>
      <c r="AA6209">
        <v>0.9987663</v>
      </c>
      <c r="AB6209">
        <v>23</v>
      </c>
      <c r="AC6209">
        <v>95.645399999999995</v>
      </c>
      <c r="AD6209">
        <v>1.013161</v>
      </c>
      <c r="AE6209">
        <v>-3.22942999999999</v>
      </c>
      <c r="AF6209">
        <v>4.7583597210112902</v>
      </c>
      <c r="AG6209">
        <v>1.013161</v>
      </c>
      <c r="AH6209">
        <v>95.570796411499501</v>
      </c>
      <c r="AI6209">
        <v>89.393372580574393</v>
      </c>
      <c r="AJ6209">
        <v>87.149662929956506</v>
      </c>
      <c r="AK6209">
        <v>95.694543257046504</v>
      </c>
      <c r="AL6209">
        <v>88.918626918956093</v>
      </c>
      <c r="AM6209">
        <v>88.120153618787896</v>
      </c>
      <c r="AN6209">
        <v>0.99999998739856399</v>
      </c>
    </row>
    <row r="6210" spans="1:40" x14ac:dyDescent="0.25">
      <c r="A6210" t="str">
        <f>"20190312160810299"</f>
        <v>20190312160810299</v>
      </c>
      <c r="B6210" t="str">
        <f>"1552378090291917"</f>
        <v>1552378090291917</v>
      </c>
      <c r="C6210" t="s">
        <v>40</v>
      </c>
      <c r="D6210">
        <v>6.1324920000000001</v>
      </c>
      <c r="E6210">
        <v>0.50641239999999998</v>
      </c>
      <c r="F6210" t="s">
        <v>101</v>
      </c>
      <c r="G6210">
        <v>-274.49669999999998</v>
      </c>
      <c r="H6210">
        <v>2.315143</v>
      </c>
      <c r="I6210">
        <v>14.035209999999999</v>
      </c>
      <c r="J6210">
        <v>-368.93180000000001</v>
      </c>
      <c r="K6210">
        <v>1.1089709999999999</v>
      </c>
      <c r="L6210">
        <v>17.356259999999999</v>
      </c>
      <c r="M6210">
        <v>0.99984090000000003</v>
      </c>
      <c r="N6210">
        <v>0</v>
      </c>
      <c r="O6210">
        <v>1.5791889999999999E-2</v>
      </c>
      <c r="P6210">
        <v>0.99980789999999997</v>
      </c>
      <c r="Q6210">
        <v>1.04735E-2</v>
      </c>
      <c r="R6210">
        <v>-1.657896E-2</v>
      </c>
      <c r="S6210">
        <v>2.9984739999999999</v>
      </c>
      <c r="T6210">
        <v>3.8247940000000001E-2</v>
      </c>
      <c r="U6210">
        <v>-0.1052551</v>
      </c>
      <c r="V6210">
        <v>3.2377629999999998E-2</v>
      </c>
      <c r="W6210">
        <v>1.875893E-2</v>
      </c>
      <c r="X6210">
        <v>0.99929959999999995</v>
      </c>
      <c r="Y6210">
        <v>5.0854209999999997E-2</v>
      </c>
      <c r="Z6210">
        <v>5.2561269999999998E-4</v>
      </c>
      <c r="AA6210">
        <v>0.99870590000000004</v>
      </c>
      <c r="AB6210">
        <v>23</v>
      </c>
      <c r="AC6210">
        <v>94.435100000000006</v>
      </c>
      <c r="AD6210">
        <v>1.206172</v>
      </c>
      <c r="AE6210">
        <v>-3.3210499999999898</v>
      </c>
      <c r="AF6210">
        <v>4.81121193030061</v>
      </c>
      <c r="AG6210">
        <v>1.206172</v>
      </c>
      <c r="AH6210">
        <v>94.355501874939407</v>
      </c>
      <c r="AI6210">
        <v>89.268562535925795</v>
      </c>
      <c r="AJ6210">
        <v>87.081001142983695</v>
      </c>
      <c r="AK6210">
        <v>94.485783825946697</v>
      </c>
      <c r="AL6210">
        <v>88.925129381509507</v>
      </c>
      <c r="AM6210">
        <v>88.144247422770306</v>
      </c>
      <c r="AN6210">
        <v>0.99999994946965898</v>
      </c>
    </row>
    <row r="6211" spans="1:40" x14ac:dyDescent="0.25">
      <c r="A6211" t="str">
        <f>"20190312160810321"</f>
        <v>20190312160810321</v>
      </c>
      <c r="B6211" t="str">
        <f>"1552378090311439"</f>
        <v>1552378090311439</v>
      </c>
      <c r="C6211" t="s">
        <v>40</v>
      </c>
      <c r="D6211">
        <v>6.1305480000000001</v>
      </c>
      <c r="E6211">
        <v>0.50610880000000003</v>
      </c>
      <c r="F6211" t="s">
        <v>101</v>
      </c>
      <c r="G6211">
        <v>-273.40989999999999</v>
      </c>
      <c r="H6211">
        <v>2.2067540000000001</v>
      </c>
      <c r="I6211">
        <v>14.13931</v>
      </c>
      <c r="J6211">
        <v>-368.714</v>
      </c>
      <c r="K6211">
        <v>1.108967</v>
      </c>
      <c r="L6211">
        <v>17.359310000000001</v>
      </c>
      <c r="M6211">
        <v>0.99984660000000003</v>
      </c>
      <c r="N6211">
        <v>0</v>
      </c>
      <c r="O6211">
        <v>1.543285E-2</v>
      </c>
      <c r="P6211">
        <v>0.99981319999999996</v>
      </c>
      <c r="Q6211">
        <v>1.0549070000000001E-2</v>
      </c>
      <c r="R6211">
        <v>-1.61993E-2</v>
      </c>
      <c r="S6211">
        <v>2.9985050000000002</v>
      </c>
      <c r="T6211">
        <v>3.4460310000000001E-2</v>
      </c>
      <c r="U6211">
        <v>-0.10098269999999999</v>
      </c>
      <c r="V6211">
        <v>3.1639519999999997E-2</v>
      </c>
      <c r="W6211">
        <v>1.8813280000000002E-2</v>
      </c>
      <c r="X6211">
        <v>0.9993223</v>
      </c>
      <c r="Y6211">
        <v>4.9074960000000001E-2</v>
      </c>
      <c r="Z6211">
        <v>4.5922600000000002E-4</v>
      </c>
      <c r="AA6211">
        <v>0.99879499999999999</v>
      </c>
      <c r="AB6211">
        <v>23</v>
      </c>
      <c r="AC6211">
        <v>95.304100000000005</v>
      </c>
      <c r="AD6211">
        <v>1.0977870000000001</v>
      </c>
      <c r="AE6211">
        <v>-3.22</v>
      </c>
      <c r="AF6211">
        <v>4.6898592745984997</v>
      </c>
      <c r="AG6211">
        <v>1.0977870000000001</v>
      </c>
      <c r="AH6211">
        <v>95.230432652954306</v>
      </c>
      <c r="AI6211">
        <v>89.340340599216802</v>
      </c>
      <c r="AJ6211">
        <v>87.180604809965999</v>
      </c>
      <c r="AK6211">
        <v>95.352164210267304</v>
      </c>
      <c r="AL6211">
        <v>88.922014891838899</v>
      </c>
      <c r="AM6211">
        <v>88.186565440631796</v>
      </c>
      <c r="AN6211">
        <v>1.0000000290037301</v>
      </c>
    </row>
    <row r="6212" spans="1:40" x14ac:dyDescent="0.25">
      <c r="A6212" t="str">
        <f>"20190312160810332"</f>
        <v>20190312160810332</v>
      </c>
      <c r="B6212" t="str">
        <f>"1552378090322172"</f>
        <v>1552378090322172</v>
      </c>
      <c r="C6212" t="s">
        <v>40</v>
      </c>
      <c r="D6212">
        <v>6.0826449999999896</v>
      </c>
      <c r="E6212">
        <v>0.50589319999999904</v>
      </c>
      <c r="F6212" t="s">
        <v>101</v>
      </c>
      <c r="G6212">
        <v>-273.40989999999999</v>
      </c>
      <c r="H6212">
        <v>2.171872</v>
      </c>
      <c r="I6212">
        <v>14.26431</v>
      </c>
      <c r="J6212">
        <v>-368.58620000000002</v>
      </c>
      <c r="K6212">
        <v>1.1089629999999999</v>
      </c>
      <c r="L6212">
        <v>17.361049999999999</v>
      </c>
      <c r="M6212">
        <v>0.99985000000000002</v>
      </c>
      <c r="N6212">
        <v>0</v>
      </c>
      <c r="O6212">
        <v>1.522166E-2</v>
      </c>
      <c r="P6212">
        <v>0.99981679999999995</v>
      </c>
      <c r="Q6212">
        <v>1.062417E-2</v>
      </c>
      <c r="R6212">
        <v>-1.5925829999999998E-2</v>
      </c>
      <c r="S6212">
        <v>2.9986570000000001</v>
      </c>
      <c r="T6212">
        <v>3.344345E-2</v>
      </c>
      <c r="U6212">
        <v>-9.7381590000000004E-2</v>
      </c>
      <c r="V6212">
        <v>3.1154970000000001E-2</v>
      </c>
      <c r="W6212">
        <v>1.8874780000000001E-2</v>
      </c>
      <c r="X6212">
        <v>0.99933640000000001</v>
      </c>
      <c r="Y6212">
        <v>4.7664440000000002E-2</v>
      </c>
      <c r="Z6212">
        <v>4.3544349999999999E-4</v>
      </c>
      <c r="AA6212">
        <v>0.99886330000000001</v>
      </c>
      <c r="AB6212">
        <v>23</v>
      </c>
      <c r="AC6212">
        <v>95.176299999999998</v>
      </c>
      <c r="AD6212">
        <v>1.0629090000000001</v>
      </c>
      <c r="AE6212">
        <v>-3.0967399999999898</v>
      </c>
      <c r="AF6212">
        <v>4.5446057374479096</v>
      </c>
      <c r="AG6212">
        <v>1.0629090000000001</v>
      </c>
      <c r="AH6212">
        <v>95.106284283018397</v>
      </c>
      <c r="AI6212">
        <v>89.3604180435091</v>
      </c>
      <c r="AJ6212">
        <v>87.264231107589694</v>
      </c>
      <c r="AK6212">
        <v>95.220735803570804</v>
      </c>
      <c r="AL6212">
        <v>88.918490614555793</v>
      </c>
      <c r="AM6212">
        <v>88.2143447193246</v>
      </c>
      <c r="AN6212">
        <v>1.00000006492035</v>
      </c>
    </row>
    <row r="6213" spans="1:40" x14ac:dyDescent="0.25">
      <c r="A6213" t="str">
        <f>"20190312160810344"</f>
        <v>20190312160810344</v>
      </c>
      <c r="B6213" t="str">
        <f>"1552378090331932"</f>
        <v>1552378090331932</v>
      </c>
      <c r="C6213" t="s">
        <v>40</v>
      </c>
      <c r="D6213">
        <v>6.1364130000000001</v>
      </c>
      <c r="E6213">
        <v>0.50586089999999995</v>
      </c>
      <c r="F6213" t="s">
        <v>101</v>
      </c>
      <c r="G6213">
        <v>-273.40989999999999</v>
      </c>
      <c r="H6213">
        <v>2.1359669999999999</v>
      </c>
      <c r="I6213">
        <v>14.351559999999999</v>
      </c>
      <c r="J6213">
        <v>-368.46789999999999</v>
      </c>
      <c r="K6213">
        <v>1.108959</v>
      </c>
      <c r="L6213">
        <v>17.362639999999999</v>
      </c>
      <c r="M6213">
        <v>0.99985299999999999</v>
      </c>
      <c r="N6213">
        <v>0</v>
      </c>
      <c r="O6213">
        <v>1.502561E-2</v>
      </c>
      <c r="P6213">
        <v>0.99982369999999998</v>
      </c>
      <c r="Q6213">
        <v>1.032633E-2</v>
      </c>
      <c r="R6213">
        <v>-1.5687630000000001E-2</v>
      </c>
      <c r="S6213">
        <v>2.9986570000000001</v>
      </c>
      <c r="T6213">
        <v>3.2357219999999999E-2</v>
      </c>
      <c r="U6213">
        <v>-9.4818120000000006E-2</v>
      </c>
      <c r="V6213">
        <v>3.0720819999999999E-2</v>
      </c>
      <c r="W6213">
        <v>1.8564420000000002E-2</v>
      </c>
      <c r="X6213">
        <v>0.99935560000000001</v>
      </c>
      <c r="Y6213">
        <v>4.6615869999999997E-2</v>
      </c>
      <c r="Z6213">
        <v>4.1353599999999999E-4</v>
      </c>
      <c r="AA6213">
        <v>0.99891280000000005</v>
      </c>
      <c r="AB6213">
        <v>23</v>
      </c>
      <c r="AC6213">
        <v>95.058000000000007</v>
      </c>
      <c r="AD6213">
        <v>1.0270079999999999</v>
      </c>
      <c r="AE6213">
        <v>-3.01107999999999</v>
      </c>
      <c r="AF6213">
        <v>4.4385756221495303</v>
      </c>
      <c r="AG6213">
        <v>1.0270079999999999</v>
      </c>
      <c r="AH6213">
        <v>94.990946364756695</v>
      </c>
      <c r="AI6213">
        <v>89.381237807736895</v>
      </c>
      <c r="AJ6213">
        <v>87.324726003285505</v>
      </c>
      <c r="AK6213">
        <v>95.100134543846394</v>
      </c>
      <c r="AL6213">
        <v>88.936275990580995</v>
      </c>
      <c r="AM6213">
        <v>88.239246173451605</v>
      </c>
      <c r="AN6213">
        <v>1.00000001086138</v>
      </c>
    </row>
    <row r="6214" spans="1:40" x14ac:dyDescent="0.25">
      <c r="A6214" t="str">
        <f>"20190312160810366"</f>
        <v>20190312160810366</v>
      </c>
      <c r="B6214" t="str">
        <f>"1552378090362188"</f>
        <v>1552378090362188</v>
      </c>
      <c r="C6214" t="s">
        <v>40</v>
      </c>
      <c r="D6214">
        <v>6.1343220000000001</v>
      </c>
      <c r="E6214">
        <v>0.50590709999999905</v>
      </c>
      <c r="F6214" t="s">
        <v>101</v>
      </c>
      <c r="G6214">
        <v>-273.40989999999999</v>
      </c>
      <c r="H6214">
        <v>2.0735510000000001</v>
      </c>
      <c r="I6214">
        <v>14.38987</v>
      </c>
      <c r="J6214">
        <v>-368.2491</v>
      </c>
      <c r="K6214">
        <v>1.1089519999999999</v>
      </c>
      <c r="L6214">
        <v>17.365539999999999</v>
      </c>
      <c r="M6214">
        <v>0.99985869999999999</v>
      </c>
      <c r="N6214">
        <v>0</v>
      </c>
      <c r="O6214">
        <v>1.466307E-2</v>
      </c>
      <c r="P6214">
        <v>0.99982939999999998</v>
      </c>
      <c r="Q6214">
        <v>1.0322390000000001E-2</v>
      </c>
      <c r="R6214">
        <v>-1.5331340000000001E-2</v>
      </c>
      <c r="S6214">
        <v>2.9987490000000001</v>
      </c>
      <c r="T6214">
        <v>3.0429600000000001E-2</v>
      </c>
      <c r="U6214">
        <v>-9.3780520000000006E-2</v>
      </c>
      <c r="V6214">
        <v>3.00022E-2</v>
      </c>
      <c r="W6214">
        <v>1.8536279999999999E-2</v>
      </c>
      <c r="X6214">
        <v>0.99937799999999999</v>
      </c>
      <c r="Y6214">
        <v>4.5907860000000002E-2</v>
      </c>
      <c r="Z6214">
        <v>3.8162249999999998E-4</v>
      </c>
      <c r="AA6214">
        <v>0.99894559999999999</v>
      </c>
      <c r="AB6214">
        <v>23</v>
      </c>
      <c r="AC6214">
        <v>94.839200000000005</v>
      </c>
      <c r="AD6214">
        <v>0.96459899999999899</v>
      </c>
      <c r="AE6214">
        <v>-2.9756699999999898</v>
      </c>
      <c r="AF6214">
        <v>4.3655797227235702</v>
      </c>
      <c r="AG6214">
        <v>0.96459899999999899</v>
      </c>
      <c r="AH6214">
        <v>94.775574745000796</v>
      </c>
      <c r="AI6214">
        <v>89.417497479192704</v>
      </c>
      <c r="AJ6214">
        <v>87.362689531096706</v>
      </c>
      <c r="AK6214">
        <v>94.880969144457495</v>
      </c>
      <c r="AL6214">
        <v>88.937888619527797</v>
      </c>
      <c r="AM6214">
        <v>88.280447140633299</v>
      </c>
      <c r="AN6214">
        <v>1.00000005628253</v>
      </c>
    </row>
    <row r="6215" spans="1:40" x14ac:dyDescent="0.25">
      <c r="A6215" t="str">
        <f>"20190312160810379"</f>
        <v>20190312160810379</v>
      </c>
      <c r="B6215" t="str">
        <f>"1552378090371949"</f>
        <v>1552378090371949</v>
      </c>
      <c r="C6215" t="s">
        <v>40</v>
      </c>
      <c r="D6215">
        <v>6.1404589999999999</v>
      </c>
      <c r="E6215">
        <v>0.50579909999999995</v>
      </c>
      <c r="F6215" t="s">
        <v>101</v>
      </c>
      <c r="G6215">
        <v>-273.40989999999999</v>
      </c>
      <c r="H6215">
        <v>2.04528</v>
      </c>
      <c r="I6215">
        <v>14.421810000000001</v>
      </c>
      <c r="J6215">
        <v>-368.10239999999999</v>
      </c>
      <c r="K6215">
        <v>1.1089469999999999</v>
      </c>
      <c r="L6215">
        <v>17.367460000000001</v>
      </c>
      <c r="M6215">
        <v>0.99986240000000004</v>
      </c>
      <c r="N6215">
        <v>0</v>
      </c>
      <c r="O6215">
        <v>1.441982E-2</v>
      </c>
      <c r="P6215">
        <v>0.99983219999999995</v>
      </c>
      <c r="Q6215">
        <v>1.027484E-2</v>
      </c>
      <c r="R6215">
        <v>-1.517571E-2</v>
      </c>
      <c r="S6215">
        <v>2.9987490000000001</v>
      </c>
      <c r="T6215">
        <v>2.96061E-2</v>
      </c>
      <c r="U6215">
        <v>-9.3078610000000006E-2</v>
      </c>
      <c r="V6215">
        <v>2.960368E-2</v>
      </c>
      <c r="W6215">
        <v>1.8472880000000001E-2</v>
      </c>
      <c r="X6215">
        <v>0.99939100000000003</v>
      </c>
      <c r="Y6215">
        <v>4.5431439999999997E-2</v>
      </c>
      <c r="Z6215">
        <v>3.6654450000000001E-4</v>
      </c>
      <c r="AA6215">
        <v>0.99896739999999995</v>
      </c>
      <c r="AB6215">
        <v>23</v>
      </c>
      <c r="AC6215">
        <v>94.692499999999995</v>
      </c>
      <c r="AD6215">
        <v>0.93633299999999997</v>
      </c>
      <c r="AE6215">
        <v>-2.9456500000000001</v>
      </c>
      <c r="AF6215">
        <v>4.3104173927375804</v>
      </c>
      <c r="AG6215">
        <v>0.93633299999999997</v>
      </c>
      <c r="AH6215">
        <v>94.630933261707597</v>
      </c>
      <c r="AI6215">
        <v>89.433688175390401</v>
      </c>
      <c r="AJ6215">
        <v>87.391993016594199</v>
      </c>
      <c r="AK6215">
        <v>94.733679056438305</v>
      </c>
      <c r="AL6215">
        <v>88.9415217321596</v>
      </c>
      <c r="AM6215">
        <v>88.303296622727203</v>
      </c>
      <c r="AN6215">
        <v>0.99999999802301798</v>
      </c>
    </row>
    <row r="6216" spans="1:40" x14ac:dyDescent="0.25">
      <c r="A6216" t="str">
        <f>"20190312160810401"</f>
        <v>20190312160810401</v>
      </c>
      <c r="B6216" t="str">
        <f>"1552378090391468"</f>
        <v>1552378090391468</v>
      </c>
      <c r="C6216" t="s">
        <v>40</v>
      </c>
      <c r="D6216">
        <v>6.2403360000000001</v>
      </c>
      <c r="E6216">
        <v>0.50580199999999997</v>
      </c>
      <c r="F6216" t="s">
        <v>101</v>
      </c>
      <c r="G6216">
        <v>-273.40989999999999</v>
      </c>
      <c r="H6216">
        <v>2.049191</v>
      </c>
      <c r="I6216">
        <v>14.469779999999901</v>
      </c>
      <c r="J6216">
        <v>-367.87049999999999</v>
      </c>
      <c r="K6216">
        <v>1.108938</v>
      </c>
      <c r="L6216">
        <v>17.370360000000002</v>
      </c>
      <c r="M6216">
        <v>0.99986790000000003</v>
      </c>
      <c r="N6216">
        <v>0</v>
      </c>
      <c r="O6216">
        <v>1.4036119999999999E-2</v>
      </c>
      <c r="P6216">
        <v>0.99983909999999998</v>
      </c>
      <c r="Q6216">
        <v>1.010311E-2</v>
      </c>
      <c r="R6216">
        <v>-1.4826779999999999E-2</v>
      </c>
      <c r="S6216">
        <v>2.9988100000000002</v>
      </c>
      <c r="T6216">
        <v>2.9776569999999999E-2</v>
      </c>
      <c r="U6216">
        <v>-9.1766360000000005E-2</v>
      </c>
      <c r="V6216">
        <v>2.8871250000000001E-2</v>
      </c>
      <c r="W6216">
        <v>1.8277890000000001E-2</v>
      </c>
      <c r="X6216">
        <v>0.99941599999999997</v>
      </c>
      <c r="Y6216">
        <v>4.4610730000000001E-2</v>
      </c>
      <c r="Z6216">
        <v>3.6076689999999998E-4</v>
      </c>
      <c r="AA6216">
        <v>0.99900440000000001</v>
      </c>
      <c r="AB6216">
        <v>24</v>
      </c>
      <c r="AC6216">
        <v>94.460599999999999</v>
      </c>
      <c r="AD6216">
        <v>0.94025300000000001</v>
      </c>
      <c r="AE6216">
        <v>-2.9005800000000002</v>
      </c>
      <c r="AF6216">
        <v>4.22578079136151</v>
      </c>
      <c r="AG6216">
        <v>0.94025300000000001</v>
      </c>
      <c r="AH6216">
        <v>94.401235185210595</v>
      </c>
      <c r="AI6216">
        <v>89.429913623349705</v>
      </c>
      <c r="AJ6216">
        <v>87.436920428109005</v>
      </c>
      <c r="AK6216">
        <v>94.500447107376701</v>
      </c>
      <c r="AL6216">
        <v>88.952695709971906</v>
      </c>
      <c r="AM6216">
        <v>88.345292802941998</v>
      </c>
      <c r="AN6216">
        <v>0.99999998569770698</v>
      </c>
    </row>
    <row r="6217" spans="1:40" x14ac:dyDescent="0.25">
      <c r="A6217" t="str">
        <f>"20190312160810420"</f>
        <v>20190312160810420</v>
      </c>
      <c r="B6217" t="str">
        <f>"1552378090411964"</f>
        <v>1552378090411964</v>
      </c>
      <c r="C6217" t="s">
        <v>40</v>
      </c>
      <c r="D6217">
        <v>6.191389</v>
      </c>
      <c r="E6217">
        <v>0.50575919999999996</v>
      </c>
      <c r="F6217" t="s">
        <v>101</v>
      </c>
      <c r="G6217">
        <v>-273.40989999999999</v>
      </c>
      <c r="H6217">
        <v>2.0084569999999999</v>
      </c>
      <c r="I6217">
        <v>14.51247</v>
      </c>
      <c r="J6217">
        <v>-367.65660000000003</v>
      </c>
      <c r="K6217">
        <v>1.108927</v>
      </c>
      <c r="L6217">
        <v>17.372989999999898</v>
      </c>
      <c r="M6217">
        <v>0.99987309999999996</v>
      </c>
      <c r="N6217">
        <v>0</v>
      </c>
      <c r="O6217">
        <v>1.368192E-2</v>
      </c>
      <c r="P6217">
        <v>0.99984810000000002</v>
      </c>
      <c r="Q6217">
        <v>9.3669159999999994E-3</v>
      </c>
      <c r="R6217">
        <v>-1.4705950000000001E-2</v>
      </c>
      <c r="S6217">
        <v>2.9988100000000002</v>
      </c>
      <c r="T6217">
        <v>2.855682E-2</v>
      </c>
      <c r="U6217">
        <v>-9.0728760000000006E-2</v>
      </c>
      <c r="V6217">
        <v>2.839612E-2</v>
      </c>
      <c r="W6217">
        <v>1.7517930000000001E-2</v>
      </c>
      <c r="X6217">
        <v>0.99944319999999998</v>
      </c>
      <c r="Y6217">
        <v>4.3911779999999997E-2</v>
      </c>
      <c r="Z6217">
        <v>3.3929160000000002E-4</v>
      </c>
      <c r="AA6217">
        <v>0.99903540000000002</v>
      </c>
      <c r="AB6217">
        <v>24</v>
      </c>
      <c r="AC6217">
        <v>94.246700000000004</v>
      </c>
      <c r="AD6217">
        <v>0.89952999999999905</v>
      </c>
      <c r="AE6217">
        <v>-2.86051999999999</v>
      </c>
      <c r="AF6217">
        <v>4.14939333146941</v>
      </c>
      <c r="AG6217">
        <v>0.89952999999999905</v>
      </c>
      <c r="AH6217">
        <v>94.190166593976301</v>
      </c>
      <c r="AI6217">
        <v>89.453363618126502</v>
      </c>
      <c r="AJ6217">
        <v>87.477559312126402</v>
      </c>
      <c r="AK6217">
        <v>94.285810715298794</v>
      </c>
      <c r="AL6217">
        <v>88.996245165998502</v>
      </c>
      <c r="AM6217">
        <v>88.372553581654998</v>
      </c>
      <c r="AN6217">
        <v>0.99999996376438804</v>
      </c>
    </row>
    <row r="6218" spans="1:40" x14ac:dyDescent="0.25">
      <c r="A6218" t="str">
        <f>"20190312160810432"</f>
        <v>20190312160810432</v>
      </c>
      <c r="B6218" t="str">
        <f>"1552378090421724"</f>
        <v>1552378090421724</v>
      </c>
      <c r="C6218" t="s">
        <v>40</v>
      </c>
      <c r="D6218">
        <v>6.6681990000000004</v>
      </c>
      <c r="E6218">
        <v>0.50574859999999999</v>
      </c>
      <c r="F6218" t="s">
        <v>101</v>
      </c>
      <c r="G6218">
        <v>-273.40989999999999</v>
      </c>
      <c r="H6218">
        <v>1.939608</v>
      </c>
      <c r="I6218">
        <v>14.54374</v>
      </c>
      <c r="J6218">
        <v>-367.53070000000002</v>
      </c>
      <c r="K6218">
        <v>1.1089230000000001</v>
      </c>
      <c r="L6218">
        <v>17.374510000000001</v>
      </c>
      <c r="M6218">
        <v>0.99987599999999999</v>
      </c>
      <c r="N6218">
        <v>0</v>
      </c>
      <c r="O6218">
        <v>1.347402E-2</v>
      </c>
      <c r="P6218">
        <v>0.99985089999999999</v>
      </c>
      <c r="Q6218">
        <v>8.9952550000000006E-3</v>
      </c>
      <c r="R6218">
        <v>-1.4741570000000001E-2</v>
      </c>
      <c r="S6218">
        <v>2.9989319999999999</v>
      </c>
      <c r="T6218">
        <v>2.643239E-2</v>
      </c>
      <c r="U6218">
        <v>-9.002686E-2</v>
      </c>
      <c r="V6218">
        <v>2.82238E-2</v>
      </c>
      <c r="W6218">
        <v>1.7131750000000001E-2</v>
      </c>
      <c r="X6218">
        <v>0.99945479999999998</v>
      </c>
      <c r="Y6218">
        <v>4.3469599999999997E-2</v>
      </c>
      <c r="Z6218">
        <v>3.102596E-4</v>
      </c>
      <c r="AA6218">
        <v>0.99905469999999996</v>
      </c>
      <c r="AB6218">
        <v>24</v>
      </c>
      <c r="AC6218">
        <v>94.120800000000003</v>
      </c>
      <c r="AD6218">
        <v>0.83068500000000001</v>
      </c>
      <c r="AE6218">
        <v>-2.8307699999999998</v>
      </c>
      <c r="AF6218">
        <v>4.0984217270337799</v>
      </c>
      <c r="AG6218">
        <v>0.83068500000000001</v>
      </c>
      <c r="AH6218">
        <v>94.066791572413194</v>
      </c>
      <c r="AI6218">
        <v>89.494525110418905</v>
      </c>
      <c r="AJ6218">
        <v>87.505242323595198</v>
      </c>
      <c r="AK6218">
        <v>94.159696128171902</v>
      </c>
      <c r="AL6218">
        <v>89.018374996728696</v>
      </c>
      <c r="AM6218">
        <v>88.382443135161296</v>
      </c>
      <c r="AN6218">
        <v>0.99999998849377103</v>
      </c>
    </row>
    <row r="6219" spans="1:40" x14ac:dyDescent="0.25">
      <c r="A6219" t="str">
        <f>"20190312160810443"</f>
        <v>20190312160810443</v>
      </c>
      <c r="B6219" t="str">
        <f>"1552378090431484"</f>
        <v>1552378090431484</v>
      </c>
      <c r="C6219" t="s">
        <v>40</v>
      </c>
      <c r="D6219">
        <v>6.1860429999999997</v>
      </c>
      <c r="E6219">
        <v>0.50594209999999995</v>
      </c>
      <c r="F6219" t="s">
        <v>101</v>
      </c>
      <c r="G6219">
        <v>-273.40989999999999</v>
      </c>
      <c r="H6219">
        <v>1.8858969999999999</v>
      </c>
      <c r="I6219">
        <v>14.549010000000001</v>
      </c>
      <c r="J6219">
        <v>-367.41899999999998</v>
      </c>
      <c r="K6219">
        <v>1.1089199999999999</v>
      </c>
      <c r="L6219">
        <v>17.375789999999999</v>
      </c>
      <c r="M6219">
        <v>0.99987859999999995</v>
      </c>
      <c r="N6219">
        <v>0</v>
      </c>
      <c r="O6219">
        <v>1.3289240000000001E-2</v>
      </c>
      <c r="P6219">
        <v>0.99984879999999998</v>
      </c>
      <c r="Q6219">
        <v>8.7712789999999999E-3</v>
      </c>
      <c r="R6219">
        <v>-1.5015870000000001E-2</v>
      </c>
      <c r="S6219">
        <v>2.998901</v>
      </c>
      <c r="T6219">
        <v>2.4756190000000001E-2</v>
      </c>
      <c r="U6219">
        <v>-9.002686E-2</v>
      </c>
      <c r="V6219">
        <v>2.8313069999999999E-2</v>
      </c>
      <c r="W6219">
        <v>1.6894799999999901E-2</v>
      </c>
      <c r="X6219">
        <v>0.99945629999999996</v>
      </c>
      <c r="Y6219">
        <v>4.3285549999999999E-2</v>
      </c>
      <c r="Z6219">
        <v>2.883036E-4</v>
      </c>
      <c r="AA6219">
        <v>0.99906269999999997</v>
      </c>
      <c r="AB6219">
        <v>24</v>
      </c>
      <c r="AC6219">
        <v>94.009100000000004</v>
      </c>
      <c r="AD6219">
        <v>0.77697700000000003</v>
      </c>
      <c r="AE6219">
        <v>-2.8267799999999901</v>
      </c>
      <c r="AF6219">
        <v>4.0756030489215798</v>
      </c>
      <c r="AG6219">
        <v>0.77697700000000003</v>
      </c>
      <c r="AH6219">
        <v>93.956818618121702</v>
      </c>
      <c r="AI6219">
        <v>89.5266477875969</v>
      </c>
      <c r="AJ6219">
        <v>87.516214770063399</v>
      </c>
      <c r="AK6219">
        <v>94.048381157303893</v>
      </c>
      <c r="AL6219">
        <v>89.031953188814697</v>
      </c>
      <c r="AM6219">
        <v>88.377332075522901</v>
      </c>
      <c r="AN6219">
        <v>0.99999997990477696</v>
      </c>
    </row>
    <row r="6220" spans="1:40" x14ac:dyDescent="0.25">
      <c r="A6220" t="str">
        <f>"20190312160810454"</f>
        <v>20190312160810454</v>
      </c>
      <c r="B6220" t="str">
        <f>"1552378090442221"</f>
        <v>1552378090442221</v>
      </c>
      <c r="C6220" t="s">
        <v>40</v>
      </c>
      <c r="D6220">
        <v>6.1874609999999999</v>
      </c>
      <c r="E6220">
        <v>0.50583929999999999</v>
      </c>
      <c r="F6220" t="s">
        <v>101</v>
      </c>
      <c r="G6220">
        <v>-273.40989999999999</v>
      </c>
      <c r="H6220">
        <v>1.855898</v>
      </c>
      <c r="I6220">
        <v>14.479950000000001</v>
      </c>
      <c r="J6220">
        <v>-367.30040000000002</v>
      </c>
      <c r="K6220">
        <v>1.108916</v>
      </c>
      <c r="L6220">
        <v>17.37717</v>
      </c>
      <c r="M6220">
        <v>0.99988129999999997</v>
      </c>
      <c r="N6220">
        <v>0</v>
      </c>
      <c r="O6220">
        <v>1.3093489999999999E-2</v>
      </c>
      <c r="P6220">
        <v>0.99984280000000003</v>
      </c>
      <c r="Q6220">
        <v>8.6582310000000006E-3</v>
      </c>
      <c r="R6220">
        <v>-1.547398E-2</v>
      </c>
      <c r="S6220">
        <v>2.9988709999999998</v>
      </c>
      <c r="T6220">
        <v>2.3828510000000001E-2</v>
      </c>
      <c r="U6220">
        <v>-9.2376710000000001E-2</v>
      </c>
      <c r="V6220">
        <v>2.8575360000000001E-2</v>
      </c>
      <c r="W6220">
        <v>1.6767500000000001E-2</v>
      </c>
      <c r="X6220">
        <v>0.99945099999999998</v>
      </c>
      <c r="Y6220">
        <v>4.3872510000000003E-2</v>
      </c>
      <c r="Z6220">
        <v>2.7827640000000002E-4</v>
      </c>
      <c r="AA6220">
        <v>0.99903710000000001</v>
      </c>
      <c r="AB6220">
        <v>24</v>
      </c>
      <c r="AC6220">
        <v>93.890500000000003</v>
      </c>
      <c r="AD6220">
        <v>0.74698199999999904</v>
      </c>
      <c r="AE6220">
        <v>-2.8972199999999901</v>
      </c>
      <c r="AF6220">
        <v>4.1261055666830897</v>
      </c>
      <c r="AG6220">
        <v>0.74698199999999904</v>
      </c>
      <c r="AH6220">
        <v>93.8385809166939</v>
      </c>
      <c r="AI6220">
        <v>89.544359039111896</v>
      </c>
      <c r="AJ6220">
        <v>87.4823121471278</v>
      </c>
      <c r="AK6220">
        <v>93.932220232009001</v>
      </c>
      <c r="AL6220">
        <v>89.039247995136805</v>
      </c>
      <c r="AM6220">
        <v>88.362299279406997</v>
      </c>
      <c r="AN6220">
        <v>1.00000000082818</v>
      </c>
    </row>
    <row r="6221" spans="1:40" x14ac:dyDescent="0.25">
      <c r="A6221" t="str">
        <f>"20190312160810465"</f>
        <v>20190312160810465</v>
      </c>
      <c r="B6221" t="str">
        <f>"1552378090451980"</f>
        <v>1552378090451980</v>
      </c>
      <c r="C6221" t="s">
        <v>40</v>
      </c>
      <c r="D6221">
        <v>6.1878380000000002</v>
      </c>
      <c r="E6221">
        <v>0.50574129999999995</v>
      </c>
      <c r="F6221" t="s">
        <v>101</v>
      </c>
      <c r="G6221">
        <v>-273.40989999999999</v>
      </c>
      <c r="H6221">
        <v>1.804845</v>
      </c>
      <c r="I6221">
        <v>14.46871</v>
      </c>
      <c r="J6221">
        <v>-367.18</v>
      </c>
      <c r="K6221">
        <v>1.108914</v>
      </c>
      <c r="L6221">
        <v>17.378540000000001</v>
      </c>
      <c r="M6221">
        <v>0.99988410000000005</v>
      </c>
      <c r="N6221">
        <v>0</v>
      </c>
      <c r="O6221">
        <v>1.289476E-2</v>
      </c>
      <c r="P6221">
        <v>0.99983639999999996</v>
      </c>
      <c r="Q6221">
        <v>8.5021880000000008E-3</v>
      </c>
      <c r="R6221">
        <v>-1.5971099999999998E-2</v>
      </c>
      <c r="S6221">
        <v>2.99884</v>
      </c>
      <c r="T6221">
        <v>2.2227879999999998E-2</v>
      </c>
      <c r="U6221">
        <v>-9.2895510000000001E-2</v>
      </c>
      <c r="V6221">
        <v>2.8873650000000001E-2</v>
      </c>
      <c r="W6221">
        <v>1.6599200000000001E-2</v>
      </c>
      <c r="X6221">
        <v>0.99944529999999998</v>
      </c>
      <c r="Y6221">
        <v>4.3847169999999998E-2</v>
      </c>
      <c r="Z6221">
        <v>2.580196E-4</v>
      </c>
      <c r="AA6221">
        <v>0.99903819999999999</v>
      </c>
      <c r="AB6221">
        <v>24</v>
      </c>
      <c r="AC6221">
        <v>93.770099999999999</v>
      </c>
      <c r="AD6221">
        <v>0.69593099999999997</v>
      </c>
      <c r="AE6221">
        <v>-2.9098299999999999</v>
      </c>
      <c r="AF6221">
        <v>4.1185439652714804</v>
      </c>
      <c r="AG6221">
        <v>0.69593099999999997</v>
      </c>
      <c r="AH6221">
        <v>93.719623346871401</v>
      </c>
      <c r="AI6221">
        <v>89.574958472169897</v>
      </c>
      <c r="AJ6221">
        <v>87.483734467509905</v>
      </c>
      <c r="AK6221">
        <v>93.812656526878499</v>
      </c>
      <c r="AL6221">
        <v>89.048892277551701</v>
      </c>
      <c r="AM6221">
        <v>88.345203814339598</v>
      </c>
      <c r="AN6221">
        <v>1.0000000643985201</v>
      </c>
    </row>
    <row r="6222" spans="1:40" x14ac:dyDescent="0.25">
      <c r="A6222" t="str">
        <f>"20190312160810476"</f>
        <v>20190312160810476</v>
      </c>
      <c r="B6222" t="str">
        <f>"1552378090461741"</f>
        <v>1552378090461741</v>
      </c>
      <c r="C6222" t="s">
        <v>40</v>
      </c>
      <c r="D6222">
        <v>6.2379350000000002</v>
      </c>
      <c r="E6222">
        <v>0.50575230000000004</v>
      </c>
      <c r="F6222" t="s">
        <v>101</v>
      </c>
      <c r="G6222">
        <v>-273.40989999999999</v>
      </c>
      <c r="H6222">
        <v>1.7709760000000001</v>
      </c>
      <c r="I6222">
        <v>14.451829999999999</v>
      </c>
      <c r="J6222">
        <v>-367.06880000000001</v>
      </c>
      <c r="K6222">
        <v>1.1089119999999999</v>
      </c>
      <c r="L6222">
        <v>17.37979</v>
      </c>
      <c r="M6222">
        <v>0.99988650000000001</v>
      </c>
      <c r="N6222">
        <v>0</v>
      </c>
      <c r="O6222">
        <v>1.271157E-2</v>
      </c>
      <c r="P6222">
        <v>0.99982369999999998</v>
      </c>
      <c r="Q6222">
        <v>8.4156639999999998E-3</v>
      </c>
      <c r="R6222">
        <v>-1.6793929999999999E-2</v>
      </c>
      <c r="S6222">
        <v>2.9988100000000002</v>
      </c>
      <c r="T6222">
        <v>2.117312E-2</v>
      </c>
      <c r="U6222">
        <v>-9.3597410000000006E-2</v>
      </c>
      <c r="V6222">
        <v>2.9513000000000001E-2</v>
      </c>
      <c r="W6222">
        <v>1.6501459999999999E-2</v>
      </c>
      <c r="X6222">
        <v>0.99942819999999999</v>
      </c>
      <c r="Y6222">
        <v>4.389821E-2</v>
      </c>
      <c r="Z6222">
        <v>2.4466499999999998E-4</v>
      </c>
      <c r="AA6222">
        <v>0.99903600000000004</v>
      </c>
      <c r="AB6222">
        <v>24</v>
      </c>
      <c r="AC6222">
        <v>93.658900000000003</v>
      </c>
      <c r="AD6222">
        <v>0.66206399999999899</v>
      </c>
      <c r="AE6222">
        <v>-2.9279600000000001</v>
      </c>
      <c r="AF6222">
        <v>4.1181084400704497</v>
      </c>
      <c r="AG6222">
        <v>0.66206399999999899</v>
      </c>
      <c r="AH6222">
        <v>93.609439107428798</v>
      </c>
      <c r="AI6222">
        <v>89.595167016566606</v>
      </c>
      <c r="AJ6222">
        <v>87.481042535253295</v>
      </c>
      <c r="AK6222">
        <v>93.702317131817495</v>
      </c>
      <c r="AL6222">
        <v>89.054493092917696</v>
      </c>
      <c r="AM6222">
        <v>88.3085537499297</v>
      </c>
      <c r="AN6222">
        <v>1.0000000211531801</v>
      </c>
    </row>
    <row r="6223" spans="1:40" x14ac:dyDescent="0.25">
      <c r="A6223" t="str">
        <f>"20190312160810488"</f>
        <v>20190312160810488</v>
      </c>
      <c r="B6223" t="str">
        <f>"1552378090482238"</f>
        <v>1552378090482238</v>
      </c>
      <c r="C6223" t="s">
        <v>40</v>
      </c>
      <c r="D6223">
        <v>6.2420119999999999</v>
      </c>
      <c r="E6223">
        <v>0.50558879999999995</v>
      </c>
      <c r="F6223" t="s">
        <v>101</v>
      </c>
      <c r="G6223">
        <v>-273.40989999999999</v>
      </c>
      <c r="H6223">
        <v>1.7509439999999901</v>
      </c>
      <c r="I6223">
        <v>14.377409999999999</v>
      </c>
      <c r="J6223">
        <v>-366.9402</v>
      </c>
      <c r="K6223">
        <v>1.108908</v>
      </c>
      <c r="L6223">
        <v>17.3812</v>
      </c>
      <c r="M6223">
        <v>0.99988909999999998</v>
      </c>
      <c r="N6223">
        <v>0</v>
      </c>
      <c r="O6223">
        <v>1.249949E-2</v>
      </c>
      <c r="P6223">
        <v>0.99981370000000003</v>
      </c>
      <c r="Q6223">
        <v>8.3899360000000006E-3</v>
      </c>
      <c r="R6223">
        <v>-1.7395710000000002E-2</v>
      </c>
      <c r="S6223">
        <v>2.9987789999999999</v>
      </c>
      <c r="T6223">
        <v>2.0556689999999999E-2</v>
      </c>
      <c r="U6223">
        <v>-9.6130370000000007E-2</v>
      </c>
      <c r="V6223">
        <v>2.9902499999999999E-2</v>
      </c>
      <c r="W6223">
        <v>1.646427E-2</v>
      </c>
      <c r="X6223">
        <v>0.99941720000000001</v>
      </c>
      <c r="Y6223">
        <v>4.4529680000000002E-2</v>
      </c>
      <c r="Z6223">
        <v>2.3825159999999999E-4</v>
      </c>
      <c r="AA6223">
        <v>0.99900809999999995</v>
      </c>
      <c r="AB6223">
        <v>24</v>
      </c>
      <c r="AC6223">
        <v>93.530299999999997</v>
      </c>
      <c r="AD6223">
        <v>0.64203599999999905</v>
      </c>
      <c r="AE6223">
        <v>-3.0037899999999902</v>
      </c>
      <c r="AF6223">
        <v>4.1724782832388003</v>
      </c>
      <c r="AG6223">
        <v>0.64203599999999905</v>
      </c>
      <c r="AH6223">
        <v>93.4810453257072</v>
      </c>
      <c r="AI6223">
        <v>89.606885141360706</v>
      </c>
      <c r="AJ6223">
        <v>87.444328675598499</v>
      </c>
      <c r="AK6223">
        <v>93.576319763262404</v>
      </c>
      <c r="AL6223">
        <v>89.056624178956099</v>
      </c>
      <c r="AM6223">
        <v>88.286225137062303</v>
      </c>
      <c r="AN6223">
        <v>0.99999998567436099</v>
      </c>
    </row>
    <row r="6224" spans="1:40" x14ac:dyDescent="0.25">
      <c r="A6224" t="str">
        <f>"20190312160810510"</f>
        <v>20190312160810510</v>
      </c>
      <c r="B6224" t="str">
        <f>"1552378090501756"</f>
        <v>1552378090501756</v>
      </c>
      <c r="C6224" t="s">
        <v>40</v>
      </c>
      <c r="D6224">
        <v>6.2336359999999997</v>
      </c>
      <c r="E6224">
        <v>0.5054263</v>
      </c>
      <c r="F6224" t="s">
        <v>101</v>
      </c>
      <c r="G6224">
        <v>-273.40989999999999</v>
      </c>
      <c r="H6224">
        <v>1.7374860000000001</v>
      </c>
      <c r="I6224">
        <v>14.367649999999999</v>
      </c>
      <c r="J6224">
        <v>-366.69479999999999</v>
      </c>
      <c r="K6224">
        <v>1.1089100000000001</v>
      </c>
      <c r="L6224">
        <v>17.383790000000001</v>
      </c>
      <c r="M6224">
        <v>0.99989419999999996</v>
      </c>
      <c r="N6224">
        <v>0</v>
      </c>
      <c r="O6224">
        <v>1.209532E-2</v>
      </c>
      <c r="P6224">
        <v>0.99977479999999996</v>
      </c>
      <c r="Q6224">
        <v>8.9023499999999998E-3</v>
      </c>
      <c r="R6224">
        <v>-1.926725E-2</v>
      </c>
      <c r="S6224">
        <v>2.9987180000000002</v>
      </c>
      <c r="T6224">
        <v>2.015316E-2</v>
      </c>
      <c r="U6224">
        <v>-9.661865E-2</v>
      </c>
      <c r="V6224">
        <v>3.1369849999999998E-2</v>
      </c>
      <c r="W6224">
        <v>1.695487E-2</v>
      </c>
      <c r="X6224">
        <v>0.99936400000000003</v>
      </c>
      <c r="Y6224">
        <v>4.4289090000000003E-2</v>
      </c>
      <c r="Z6224">
        <v>2.3005510000000001E-4</v>
      </c>
      <c r="AA6224">
        <v>0.99901870000000004</v>
      </c>
      <c r="AB6224">
        <v>24</v>
      </c>
      <c r="AC6224">
        <v>93.284899999999993</v>
      </c>
      <c r="AD6224">
        <v>0.62857600000000002</v>
      </c>
      <c r="AE6224">
        <v>-3.01614</v>
      </c>
      <c r="AF6224">
        <v>4.1440789443494896</v>
      </c>
      <c r="AG6224">
        <v>0.62857600000000002</v>
      </c>
      <c r="AH6224">
        <v>93.237364379286504</v>
      </c>
      <c r="AI6224">
        <v>89.614117287925495</v>
      </c>
      <c r="AJ6224">
        <v>87.455075361728305</v>
      </c>
      <c r="AK6224">
        <v>93.331530655404094</v>
      </c>
      <c r="AL6224">
        <v>89.028510928401104</v>
      </c>
      <c r="AM6224">
        <v>88.202086494473505</v>
      </c>
      <c r="AN6224">
        <v>0.99999996980086903</v>
      </c>
    </row>
    <row r="6225" spans="1:40" x14ac:dyDescent="0.25">
      <c r="A6225" t="str">
        <f>"20190312160810522"</f>
        <v>20190312160810522</v>
      </c>
      <c r="B6225" t="str">
        <f>"1552378090511517"</f>
        <v>1552378090511517</v>
      </c>
      <c r="C6225" t="s">
        <v>40</v>
      </c>
      <c r="D6225">
        <v>6.2862410000000004</v>
      </c>
      <c r="E6225">
        <v>0.50534869999999998</v>
      </c>
      <c r="F6225" t="s">
        <v>101</v>
      </c>
      <c r="G6225">
        <v>-273.40989999999999</v>
      </c>
      <c r="H6225">
        <v>1.793115</v>
      </c>
      <c r="I6225">
        <v>14.24315</v>
      </c>
      <c r="J6225">
        <v>-366.57690000000002</v>
      </c>
      <c r="K6225">
        <v>1.1089089999999999</v>
      </c>
      <c r="L6225">
        <v>17.385010000000001</v>
      </c>
      <c r="M6225">
        <v>0.99989669999999997</v>
      </c>
      <c r="N6225">
        <v>0</v>
      </c>
      <c r="O6225">
        <v>1.19011E-2</v>
      </c>
      <c r="P6225">
        <v>0.99974960000000002</v>
      </c>
      <c r="Q6225">
        <v>9.2188310000000002E-3</v>
      </c>
      <c r="R6225">
        <v>-2.0395150000000001E-2</v>
      </c>
      <c r="S6225">
        <v>2.998535</v>
      </c>
      <c r="T6225">
        <v>2.1993039999999998E-2</v>
      </c>
      <c r="U6225">
        <v>-0.1009521</v>
      </c>
      <c r="V6225">
        <v>3.2303579999999998E-2</v>
      </c>
      <c r="W6225">
        <v>1.7262380000000001E-2</v>
      </c>
      <c r="X6225">
        <v>0.99932900000000002</v>
      </c>
      <c r="Y6225">
        <v>4.5538919999999997E-2</v>
      </c>
      <c r="Z6225">
        <v>2.542248E-4</v>
      </c>
      <c r="AA6225">
        <v>0.99896249999999998</v>
      </c>
      <c r="AB6225">
        <v>24</v>
      </c>
      <c r="AC6225">
        <v>93.167000000000002</v>
      </c>
      <c r="AD6225">
        <v>0.68420599999999998</v>
      </c>
      <c r="AE6225">
        <v>-3.1418599999999999</v>
      </c>
      <c r="AF6225">
        <v>4.2502343074503601</v>
      </c>
      <c r="AG6225">
        <v>0.68420599999999998</v>
      </c>
      <c r="AH6225">
        <v>93.117992254678597</v>
      </c>
      <c r="AI6225">
        <v>89.579451402752795</v>
      </c>
      <c r="AJ6225">
        <v>87.3866319324665</v>
      </c>
      <c r="AK6225">
        <v>93.217450678835107</v>
      </c>
      <c r="AL6225">
        <v>89.010889334210901</v>
      </c>
      <c r="AM6225">
        <v>88.148543139776507</v>
      </c>
      <c r="AN6225">
        <v>0.99999998064254003</v>
      </c>
    </row>
    <row r="6226" spans="1:40" x14ac:dyDescent="0.25">
      <c r="A6226" t="str">
        <f>"20190312160810532"</f>
        <v>20190312160810532</v>
      </c>
      <c r="B6226" t="str">
        <f>"1552378090522253"</f>
        <v>1552378090522253</v>
      </c>
      <c r="C6226" t="s">
        <v>40</v>
      </c>
      <c r="D6226">
        <v>6.2867170000000003</v>
      </c>
      <c r="E6226">
        <v>0.50536219999999998</v>
      </c>
      <c r="F6226" t="s">
        <v>101</v>
      </c>
      <c r="G6226">
        <v>-273.40989999999999</v>
      </c>
      <c r="H6226">
        <v>1.8359179999999999</v>
      </c>
      <c r="I6226">
        <v>14.16098</v>
      </c>
      <c r="J6226">
        <v>-366.4545</v>
      </c>
      <c r="K6226">
        <v>1.1089100000000001</v>
      </c>
      <c r="L6226">
        <v>17.38626</v>
      </c>
      <c r="M6226">
        <v>0.99989919999999999</v>
      </c>
      <c r="N6226">
        <v>0</v>
      </c>
      <c r="O6226">
        <v>1.169955E-2</v>
      </c>
      <c r="P6226">
        <v>0.99972419999999995</v>
      </c>
      <c r="Q6226">
        <v>9.4137950000000008E-3</v>
      </c>
      <c r="R6226">
        <v>-2.152455E-2</v>
      </c>
      <c r="S6226">
        <v>2.9984130000000002</v>
      </c>
      <c r="T6226">
        <v>2.3397560000000001E-2</v>
      </c>
      <c r="U6226">
        <v>-0.1037598</v>
      </c>
      <c r="V6226">
        <v>3.3231190000000001E-2</v>
      </c>
      <c r="W6226">
        <v>1.744832E-2</v>
      </c>
      <c r="X6226">
        <v>0.99929539999999994</v>
      </c>
      <c r="Y6226">
        <v>4.627299E-2</v>
      </c>
      <c r="Z6226">
        <v>2.7175719999999998E-4</v>
      </c>
      <c r="AA6226">
        <v>0.99892879999999995</v>
      </c>
      <c r="AB6226">
        <v>24</v>
      </c>
      <c r="AC6226">
        <v>93.044600000000003</v>
      </c>
      <c r="AD6226">
        <v>0.72700799999999899</v>
      </c>
      <c r="AE6226">
        <v>-3.2252800000000001</v>
      </c>
      <c r="AF6226">
        <v>4.3134113896898203</v>
      </c>
      <c r="AG6226">
        <v>0.72700799999999899</v>
      </c>
      <c r="AH6226">
        <v>92.994825220751096</v>
      </c>
      <c r="AI6226">
        <v>89.552567486823506</v>
      </c>
      <c r="AJ6226">
        <v>87.344333278587001</v>
      </c>
      <c r="AK6226">
        <v>93.097645385298605</v>
      </c>
      <c r="AL6226">
        <v>89.000234197423595</v>
      </c>
      <c r="AM6226">
        <v>88.095352446079602</v>
      </c>
      <c r="AN6226">
        <v>1.0000000261603901</v>
      </c>
    </row>
    <row r="6227" spans="1:40" x14ac:dyDescent="0.25">
      <c r="A6227" t="str">
        <f>"20190312160810543"</f>
        <v>20190312160810543</v>
      </c>
      <c r="B6227" t="str">
        <f>"1552378090532012"</f>
        <v>1552378090532012</v>
      </c>
      <c r="C6227" t="s">
        <v>40</v>
      </c>
      <c r="D6227">
        <v>6.2847739999999996</v>
      </c>
      <c r="E6227">
        <v>0.50538939999999999</v>
      </c>
      <c r="F6227" t="s">
        <v>101</v>
      </c>
      <c r="G6227">
        <v>-273.40989999999999</v>
      </c>
      <c r="H6227">
        <v>1.852662</v>
      </c>
      <c r="I6227">
        <v>14.05935</v>
      </c>
      <c r="J6227">
        <v>-366.3415</v>
      </c>
      <c r="K6227">
        <v>1.108911</v>
      </c>
      <c r="L6227">
        <v>17.38739</v>
      </c>
      <c r="M6227">
        <v>0.99990129999999999</v>
      </c>
      <c r="N6227">
        <v>0</v>
      </c>
      <c r="O6227">
        <v>1.1513550000000001E-2</v>
      </c>
      <c r="P6227">
        <v>0.99969770000000002</v>
      </c>
      <c r="Q6227">
        <v>9.4878329999999993E-3</v>
      </c>
      <c r="R6227">
        <v>-2.2683559999999998E-2</v>
      </c>
      <c r="S6227">
        <v>2.9983219999999999</v>
      </c>
      <c r="T6227">
        <v>2.396715E-2</v>
      </c>
      <c r="U6227">
        <v>-0.10720830000000001</v>
      </c>
      <c r="V6227">
        <v>3.4203959999999999E-2</v>
      </c>
      <c r="W6227">
        <v>1.7514120000000001E-2</v>
      </c>
      <c r="X6227">
        <v>0.99926139999999997</v>
      </c>
      <c r="Y6227">
        <v>4.7235579999999999E-2</v>
      </c>
      <c r="Z6227">
        <v>2.8073509999999998E-4</v>
      </c>
      <c r="AA6227">
        <v>0.99888370000000004</v>
      </c>
      <c r="AB6227">
        <v>24</v>
      </c>
      <c r="AC6227">
        <v>92.931600000000003</v>
      </c>
      <c r="AD6227">
        <v>0.74375099999999905</v>
      </c>
      <c r="AE6227">
        <v>-3.3280400000000001</v>
      </c>
      <c r="AF6227">
        <v>4.39754539207782</v>
      </c>
      <c r="AG6227">
        <v>0.74375099999999905</v>
      </c>
      <c r="AH6227">
        <v>92.881179462655496</v>
      </c>
      <c r="AI6227">
        <v>89.541724129030499</v>
      </c>
      <c r="AJ6227">
        <v>87.289302555467998</v>
      </c>
      <c r="AK6227">
        <v>92.988198549060002</v>
      </c>
      <c r="AL6227">
        <v>88.996463533195495</v>
      </c>
      <c r="AM6227">
        <v>88.039574312925097</v>
      </c>
      <c r="AN6227">
        <v>1.0000000004045</v>
      </c>
    </row>
    <row r="6228" spans="1:40" x14ac:dyDescent="0.25">
      <c r="A6228" t="str">
        <f>"20190312160810555"</f>
        <v>20190312160810555</v>
      </c>
      <c r="B6228" t="str">
        <f>"1552378090551533"</f>
        <v>1552378090551533</v>
      </c>
      <c r="C6228" t="s">
        <v>40</v>
      </c>
      <c r="D6228">
        <v>6.2952059999999896</v>
      </c>
      <c r="E6228">
        <v>0.50525959999999903</v>
      </c>
      <c r="F6228" t="s">
        <v>101</v>
      </c>
      <c r="G6228">
        <v>-274.49669999999998</v>
      </c>
      <c r="H6228">
        <v>1.8603000000000001</v>
      </c>
      <c r="I6228">
        <v>13.98916</v>
      </c>
      <c r="J6228">
        <v>-366.2133</v>
      </c>
      <c r="K6228">
        <v>1.1089119999999999</v>
      </c>
      <c r="L6228">
        <v>17.388639999999999</v>
      </c>
      <c r="M6228">
        <v>0.99990369999999995</v>
      </c>
      <c r="N6228">
        <v>0</v>
      </c>
      <c r="O6228">
        <v>1.1302700000000001E-2</v>
      </c>
      <c r="P6228">
        <v>0.99967189999999995</v>
      </c>
      <c r="Q6228">
        <v>9.5741339999999998E-3</v>
      </c>
      <c r="R6228">
        <v>-2.3758370000000001E-2</v>
      </c>
      <c r="S6228">
        <v>2.9981689999999999</v>
      </c>
      <c r="T6228">
        <v>2.4528379999999999E-2</v>
      </c>
      <c r="U6228">
        <v>-0.1109314</v>
      </c>
      <c r="V6228">
        <v>3.5067790000000001E-2</v>
      </c>
      <c r="W6228">
        <v>1.7591829999999999E-2</v>
      </c>
      <c r="X6228">
        <v>0.99923010000000001</v>
      </c>
      <c r="Y6228">
        <v>4.82654E-2</v>
      </c>
      <c r="Z6228">
        <v>2.8980370000000001E-4</v>
      </c>
      <c r="AA6228">
        <v>0.99883449999999996</v>
      </c>
      <c r="AB6228">
        <v>24</v>
      </c>
      <c r="AC6228">
        <v>91.7166</v>
      </c>
      <c r="AD6228">
        <v>0.75138799999999994</v>
      </c>
      <c r="AE6228">
        <v>-3.3994799999999898</v>
      </c>
      <c r="AF6228">
        <v>4.4356443610250498</v>
      </c>
      <c r="AG6228">
        <v>0.75138799999999994</v>
      </c>
      <c r="AH6228">
        <v>91.666172520692001</v>
      </c>
      <c r="AI6228">
        <v>89.530905621727001</v>
      </c>
      <c r="AJ6228">
        <v>87.229669212926694</v>
      </c>
      <c r="AK6228">
        <v>91.776504125060896</v>
      </c>
      <c r="AL6228">
        <v>88.992010399311098</v>
      </c>
      <c r="AM6228">
        <v>87.990040448321295</v>
      </c>
      <c r="AN6228">
        <v>1.00000000756212</v>
      </c>
    </row>
    <row r="6229" spans="1:40" x14ac:dyDescent="0.25">
      <c r="A6229" t="str">
        <f>"20190312160810566"</f>
        <v>20190312160810566</v>
      </c>
      <c r="B6229" t="str">
        <f>"1552378090561292"</f>
        <v>1552378090561292</v>
      </c>
      <c r="C6229" t="s">
        <v>40</v>
      </c>
      <c r="D6229">
        <v>6.2925839999999997</v>
      </c>
      <c r="E6229">
        <v>0.50515209999999999</v>
      </c>
      <c r="F6229" t="s">
        <v>101</v>
      </c>
      <c r="G6229">
        <v>-274.49669999999998</v>
      </c>
      <c r="H6229">
        <v>1.890892</v>
      </c>
      <c r="I6229">
        <v>13.9278</v>
      </c>
      <c r="J6229">
        <v>-366.09280000000001</v>
      </c>
      <c r="K6229">
        <v>1.108914</v>
      </c>
      <c r="L6229">
        <v>17.389800000000001</v>
      </c>
      <c r="M6229">
        <v>0.99990610000000002</v>
      </c>
      <c r="N6229">
        <v>0</v>
      </c>
      <c r="O6229">
        <v>1.110442E-2</v>
      </c>
      <c r="P6229">
        <v>0.99965930000000003</v>
      </c>
      <c r="Q6229">
        <v>9.5522390000000006E-3</v>
      </c>
      <c r="R6229">
        <v>-2.4298839999999999E-2</v>
      </c>
      <c r="S6229">
        <v>2.9980470000000001</v>
      </c>
      <c r="T6229">
        <v>2.5561569999999999E-2</v>
      </c>
      <c r="U6229">
        <v>-0.1131287</v>
      </c>
      <c r="V6229">
        <v>3.5409900000000001E-2</v>
      </c>
      <c r="W6229">
        <v>1.7563700000000002E-2</v>
      </c>
      <c r="X6229">
        <v>0.99921850000000001</v>
      </c>
      <c r="Y6229">
        <v>4.8799670000000003E-2</v>
      </c>
      <c r="Z6229">
        <v>3.026053E-4</v>
      </c>
      <c r="AA6229">
        <v>0.99880860000000005</v>
      </c>
      <c r="AB6229">
        <v>24</v>
      </c>
      <c r="AC6229">
        <v>91.596100000000007</v>
      </c>
      <c r="AD6229">
        <v>0.78197799999999895</v>
      </c>
      <c r="AE6229">
        <v>-3.4620000000000002</v>
      </c>
      <c r="AF6229">
        <v>4.47861493724547</v>
      </c>
      <c r="AG6229">
        <v>0.78197799999999895</v>
      </c>
      <c r="AH6229">
        <v>91.545344730191204</v>
      </c>
      <c r="AI6229">
        <v>89.511177411114502</v>
      </c>
      <c r="AJ6229">
        <v>87.199187918002707</v>
      </c>
      <c r="AK6229">
        <v>91.658167247213399</v>
      </c>
      <c r="AL6229">
        <v>88.993622348531801</v>
      </c>
      <c r="AM6229">
        <v>87.9704247117092</v>
      </c>
      <c r="AN6229">
        <v>0.99999997765897397</v>
      </c>
    </row>
    <row r="6230" spans="1:40" x14ac:dyDescent="0.25">
      <c r="A6230" t="str">
        <f>"20190312160810579"</f>
        <v>20190312160810579</v>
      </c>
      <c r="B6230" t="str">
        <f>"1552378090572028"</f>
        <v>1552378090572028</v>
      </c>
      <c r="C6230" t="s">
        <v>40</v>
      </c>
      <c r="D6230">
        <v>6.3357830000000002</v>
      </c>
      <c r="E6230">
        <v>0.50508350000000002</v>
      </c>
      <c r="F6230" t="s">
        <v>101</v>
      </c>
      <c r="G6230">
        <v>-274.49669999999998</v>
      </c>
      <c r="H6230">
        <v>1.901143</v>
      </c>
      <c r="I6230">
        <v>13.909230000000001</v>
      </c>
      <c r="J6230">
        <v>-365.94819999999999</v>
      </c>
      <c r="K6230">
        <v>1.10891299999999</v>
      </c>
      <c r="L6230">
        <v>17.39114</v>
      </c>
      <c r="M6230">
        <v>0.99990869999999998</v>
      </c>
      <c r="N6230">
        <v>0</v>
      </c>
      <c r="O6230">
        <v>1.0866499999999999E-2</v>
      </c>
      <c r="P6230">
        <v>0.99964019999999998</v>
      </c>
      <c r="Q6230">
        <v>9.7700830000000006E-3</v>
      </c>
      <c r="R6230">
        <v>-2.4982580000000001E-2</v>
      </c>
      <c r="S6230">
        <v>2.9980159999999998</v>
      </c>
      <c r="T6230">
        <v>2.5930399999999999E-2</v>
      </c>
      <c r="U6230">
        <v>-0.1139221</v>
      </c>
      <c r="V6230">
        <v>3.5855949999999998E-2</v>
      </c>
      <c r="W6230">
        <v>1.7774419999999999E-2</v>
      </c>
      <c r="X6230">
        <v>0.9991989</v>
      </c>
      <c r="Y6230">
        <v>4.8826309999999998E-2</v>
      </c>
      <c r="Z6230">
        <v>3.0503110000000002E-4</v>
      </c>
      <c r="AA6230">
        <v>0.99880729999999995</v>
      </c>
      <c r="AB6230">
        <v>24</v>
      </c>
      <c r="AC6230">
        <v>91.451499999999996</v>
      </c>
      <c r="AD6230">
        <v>0.79222999999999999</v>
      </c>
      <c r="AE6230">
        <v>-3.4819100000000001</v>
      </c>
      <c r="AF6230">
        <v>4.47515883614623</v>
      </c>
      <c r="AG6230">
        <v>0.79222999999999999</v>
      </c>
      <c r="AH6230">
        <v>91.401413485928998</v>
      </c>
      <c r="AI6230">
        <v>89.503990237261107</v>
      </c>
      <c r="AJ6230">
        <v>87.196945776697106</v>
      </c>
      <c r="AK6230">
        <v>91.514332550739795</v>
      </c>
      <c r="AL6230">
        <v>88.981547129921495</v>
      </c>
      <c r="AM6230">
        <v>87.944840147833006</v>
      </c>
      <c r="AN6230">
        <v>1.0000000104589699</v>
      </c>
    </row>
    <row r="6231" spans="1:40" x14ac:dyDescent="0.25">
      <c r="A6231" t="str">
        <f>"20190312160810593"</f>
        <v>20190312160810593</v>
      </c>
      <c r="B6231" t="str">
        <f>"1552378090581789"</f>
        <v>1552378090581789</v>
      </c>
      <c r="C6231" t="s">
        <v>40</v>
      </c>
      <c r="D6231">
        <v>6.3341010000000004</v>
      </c>
      <c r="E6231">
        <v>0.50509510000000002</v>
      </c>
      <c r="F6231" t="s">
        <v>101</v>
      </c>
      <c r="G6231">
        <v>-274.49669999999998</v>
      </c>
      <c r="H6231">
        <v>1.9183950000000001</v>
      </c>
      <c r="I6231">
        <v>13.870340000000001</v>
      </c>
      <c r="J6231">
        <v>-365.8021</v>
      </c>
      <c r="K6231">
        <v>1.1089100000000001</v>
      </c>
      <c r="L6231">
        <v>17.39246</v>
      </c>
      <c r="M6231">
        <v>0.99991129999999995</v>
      </c>
      <c r="N6231">
        <v>0</v>
      </c>
      <c r="O6231">
        <v>1.062626E-2</v>
      </c>
      <c r="P6231">
        <v>0.99962819999999997</v>
      </c>
      <c r="Q6231">
        <v>9.6839479999999995E-3</v>
      </c>
      <c r="R6231">
        <v>-2.5492939999999999E-2</v>
      </c>
      <c r="S6231">
        <v>2.997925</v>
      </c>
      <c r="T6231">
        <v>2.6536230000000001E-2</v>
      </c>
      <c r="U6231">
        <v>-0.11541750000000001</v>
      </c>
      <c r="V6231">
        <v>3.6125730000000002E-2</v>
      </c>
      <c r="W6231">
        <v>1.7681929999999998E-2</v>
      </c>
      <c r="X6231">
        <v>0.99919080000000005</v>
      </c>
      <c r="Y6231">
        <v>4.9084849999999999E-2</v>
      </c>
      <c r="Z6231">
        <v>3.1118189999999998E-4</v>
      </c>
      <c r="AA6231">
        <v>0.99879459999999998</v>
      </c>
      <c r="AB6231">
        <v>24</v>
      </c>
      <c r="AC6231">
        <v>91.305400000000006</v>
      </c>
      <c r="AD6231">
        <v>0.80948500000000001</v>
      </c>
      <c r="AE6231">
        <v>-3.5221200000000001</v>
      </c>
      <c r="AF6231">
        <v>4.4918347910132201</v>
      </c>
      <c r="AG6231">
        <v>0.80948500000000001</v>
      </c>
      <c r="AH6231">
        <v>91.255654296054203</v>
      </c>
      <c r="AI6231">
        <v>89.492384574574402</v>
      </c>
      <c r="AJ6231">
        <v>87.182030769193204</v>
      </c>
      <c r="AK6231">
        <v>91.3697230309687</v>
      </c>
      <c r="AL6231">
        <v>88.986847225602503</v>
      </c>
      <c r="AM6231">
        <v>87.929373773486603</v>
      </c>
      <c r="AN6231">
        <v>0.99999998691059899</v>
      </c>
    </row>
    <row r="6232" spans="1:40" x14ac:dyDescent="0.25">
      <c r="A6232" t="str">
        <f>"20190312160810613"</f>
        <v>20190312160810613</v>
      </c>
      <c r="B6232" t="str">
        <f>"1552378090602285"</f>
        <v>1552378090602285</v>
      </c>
      <c r="C6232" t="s">
        <v>40</v>
      </c>
      <c r="D6232">
        <v>6.3430999999999997</v>
      </c>
      <c r="E6232">
        <v>0.50499320000000003</v>
      </c>
      <c r="F6232" t="s">
        <v>101</v>
      </c>
      <c r="G6232">
        <v>-274.49669999999998</v>
      </c>
      <c r="H6232">
        <v>1.911929</v>
      </c>
      <c r="I6232">
        <v>13.827909999999999</v>
      </c>
      <c r="J6232">
        <v>-365.59870000000001</v>
      </c>
      <c r="K6232">
        <v>1.1089059999999999</v>
      </c>
      <c r="L6232">
        <v>17.394289999999899</v>
      </c>
      <c r="M6232">
        <v>0.999915</v>
      </c>
      <c r="N6232">
        <v>0</v>
      </c>
      <c r="O6232">
        <v>1.029154E-2</v>
      </c>
      <c r="P6232">
        <v>0.99961670000000002</v>
      </c>
      <c r="Q6232">
        <v>9.7577710000000002E-3</v>
      </c>
      <c r="R6232">
        <v>-2.591297E-2</v>
      </c>
      <c r="S6232">
        <v>2.997833</v>
      </c>
      <c r="T6232">
        <v>2.6365639999999999E-2</v>
      </c>
      <c r="U6232">
        <v>-0.1170349</v>
      </c>
      <c r="V6232">
        <v>3.6211350000000003E-2</v>
      </c>
      <c r="W6232">
        <v>1.7748679999999999E-2</v>
      </c>
      <c r="X6232">
        <v>0.99918649999999998</v>
      </c>
      <c r="Y6232">
        <v>4.928979E-2</v>
      </c>
      <c r="Z6232">
        <v>3.0714570000000001E-4</v>
      </c>
      <c r="AA6232">
        <v>0.99878449999999996</v>
      </c>
      <c r="AB6232">
        <v>24</v>
      </c>
      <c r="AC6232">
        <v>91.102000000000004</v>
      </c>
      <c r="AD6232">
        <v>0.80302299999999904</v>
      </c>
      <c r="AE6232">
        <v>-3.5663799999999899</v>
      </c>
      <c r="AF6232">
        <v>4.5034516660991804</v>
      </c>
      <c r="AG6232">
        <v>0.80302299999999904</v>
      </c>
      <c r="AH6232">
        <v>91.053406589645505</v>
      </c>
      <c r="AI6232">
        <v>89.495324012835994</v>
      </c>
      <c r="AJ6232">
        <v>87.168489442028005</v>
      </c>
      <c r="AK6232">
        <v>91.168244331163507</v>
      </c>
      <c r="AL6232">
        <v>88.983022114444495</v>
      </c>
      <c r="AM6232">
        <v>87.924461636334698</v>
      </c>
      <c r="AN6232">
        <v>0.99999996964640603</v>
      </c>
    </row>
    <row r="6233" spans="1:40" x14ac:dyDescent="0.25">
      <c r="A6233" t="str">
        <f>"20190312160810633"</f>
        <v>20190312160810633</v>
      </c>
      <c r="B6233" t="str">
        <f>"1552378090621804"</f>
        <v>1552378090621804</v>
      </c>
      <c r="C6233" t="s">
        <v>40</v>
      </c>
      <c r="D6233">
        <v>6.4474400000000003</v>
      </c>
      <c r="E6233">
        <v>0.50469140000000001</v>
      </c>
      <c r="F6233" t="s">
        <v>101</v>
      </c>
      <c r="G6233">
        <v>-274.49669999999998</v>
      </c>
      <c r="H6233">
        <v>1.91347</v>
      </c>
      <c r="I6233">
        <v>13.823740000000001</v>
      </c>
      <c r="J6233">
        <v>-365.36759999999998</v>
      </c>
      <c r="K6233">
        <v>1.1089</v>
      </c>
      <c r="L6233">
        <v>17.396239999999999</v>
      </c>
      <c r="M6233">
        <v>0.9999188</v>
      </c>
      <c r="N6233">
        <v>0</v>
      </c>
      <c r="O6233">
        <v>9.91182E-3</v>
      </c>
      <c r="P6233">
        <v>0.99962549999999994</v>
      </c>
      <c r="Q6233">
        <v>9.5776420000000008E-3</v>
      </c>
      <c r="R6233">
        <v>-2.5638629999999999E-2</v>
      </c>
      <c r="S6233">
        <v>2.9978030000000002</v>
      </c>
      <c r="T6233">
        <v>2.647507E-2</v>
      </c>
      <c r="U6233">
        <v>-0.11749270000000001</v>
      </c>
      <c r="V6233">
        <v>3.5557539999999999E-2</v>
      </c>
      <c r="W6233">
        <v>1.7562270000000001E-2</v>
      </c>
      <c r="X6233">
        <v>0.99921329999999997</v>
      </c>
      <c r="Y6233">
        <v>4.9063179999999998E-2</v>
      </c>
      <c r="Z6233">
        <v>3.0406999999999998E-4</v>
      </c>
      <c r="AA6233">
        <v>0.99879560000000001</v>
      </c>
      <c r="AB6233">
        <v>24</v>
      </c>
      <c r="AC6233">
        <v>90.870900000000006</v>
      </c>
      <c r="AD6233">
        <v>0.80457000000000001</v>
      </c>
      <c r="AE6233">
        <v>-3.5724999999999998</v>
      </c>
      <c r="AF6233">
        <v>4.4726993028677704</v>
      </c>
      <c r="AG6233">
        <v>0.80457000000000001</v>
      </c>
      <c r="AH6233">
        <v>90.823915739329706</v>
      </c>
      <c r="AI6233">
        <v>89.493068900370602</v>
      </c>
      <c r="AJ6233">
        <v>87.180699269062103</v>
      </c>
      <c r="AK6233">
        <v>90.9375392352555</v>
      </c>
      <c r="AL6233">
        <v>88.993704312030204</v>
      </c>
      <c r="AM6233">
        <v>87.961959012115003</v>
      </c>
      <c r="AN6233">
        <v>0.99999999543764695</v>
      </c>
    </row>
    <row r="6234" spans="1:40" x14ac:dyDescent="0.25">
      <c r="A6234" t="str">
        <f>"20190312160810656"</f>
        <v>20190312160810656</v>
      </c>
      <c r="B6234" t="str">
        <f>"1552378090652060"</f>
        <v>1552378090652060</v>
      </c>
      <c r="C6234" t="s">
        <v>40</v>
      </c>
      <c r="D6234">
        <v>6.3628910000000003</v>
      </c>
      <c r="E6234">
        <v>0.50457959999999902</v>
      </c>
      <c r="F6234" t="s">
        <v>101</v>
      </c>
      <c r="G6234">
        <v>-274.49669999999998</v>
      </c>
      <c r="H6234">
        <v>1.9031089999999999</v>
      </c>
      <c r="I6234">
        <v>13.932980000000001</v>
      </c>
      <c r="J6234">
        <v>-365.12299999999999</v>
      </c>
      <c r="K6234">
        <v>1.1088910000000001</v>
      </c>
      <c r="L6234">
        <v>17.398219999999998</v>
      </c>
      <c r="M6234">
        <v>0.99992259999999999</v>
      </c>
      <c r="N6234">
        <v>0</v>
      </c>
      <c r="O6234">
        <v>9.5098609999999997E-3</v>
      </c>
      <c r="P6234">
        <v>0.99962989999999996</v>
      </c>
      <c r="Q6234">
        <v>9.1246390000000004E-3</v>
      </c>
      <c r="R6234">
        <v>-2.5629450000000002E-2</v>
      </c>
      <c r="S6234">
        <v>2.9979550000000001</v>
      </c>
      <c r="T6234">
        <v>2.6202079999999999E-2</v>
      </c>
      <c r="U6234">
        <v>-0.11425780000000001</v>
      </c>
      <c r="V6234">
        <v>3.5146429999999999E-2</v>
      </c>
      <c r="W6234">
        <v>1.7104089999999999E-2</v>
      </c>
      <c r="X6234">
        <v>0.99923580000000001</v>
      </c>
      <c r="Y6234">
        <v>4.7583640000000003E-2</v>
      </c>
      <c r="Z6234">
        <v>2.9095050000000001E-4</v>
      </c>
      <c r="AA6234">
        <v>0.99886719999999896</v>
      </c>
      <c r="AB6234">
        <v>24</v>
      </c>
      <c r="AC6234">
        <v>90.626300000000001</v>
      </c>
      <c r="AD6234">
        <v>0.79421799999999898</v>
      </c>
      <c r="AE6234">
        <v>-3.4652400000000001</v>
      </c>
      <c r="AF6234">
        <v>4.3266227355894697</v>
      </c>
      <c r="AG6234">
        <v>0.79421799999999898</v>
      </c>
      <c r="AH6234">
        <v>90.582299906200802</v>
      </c>
      <c r="AI6234">
        <v>89.498220326453705</v>
      </c>
      <c r="AJ6234">
        <v>87.265371288786199</v>
      </c>
      <c r="AK6234">
        <v>90.689048417240301</v>
      </c>
      <c r="AL6234">
        <v>89.019960044193894</v>
      </c>
      <c r="AM6234">
        <v>87.9855482776847</v>
      </c>
      <c r="AN6234">
        <v>1.0000000027190501</v>
      </c>
    </row>
    <row r="6235" spans="1:40" x14ac:dyDescent="0.25">
      <c r="A6235" t="str">
        <f>"20190312160810677"</f>
        <v>20190312160810677</v>
      </c>
      <c r="B6235" t="str">
        <f>"1552378090671581"</f>
        <v>1552378090671581</v>
      </c>
      <c r="C6235" t="s">
        <v>40</v>
      </c>
      <c r="D6235">
        <v>6.3340120000000004</v>
      </c>
      <c r="E6235">
        <v>0.52160850000000003</v>
      </c>
      <c r="F6235" t="s">
        <v>101</v>
      </c>
      <c r="G6235">
        <v>-274.49669999999998</v>
      </c>
      <c r="H6235">
        <v>1.8967099999999999</v>
      </c>
      <c r="I6235">
        <v>13.97011</v>
      </c>
      <c r="J6235">
        <v>-364.88170000000002</v>
      </c>
      <c r="K6235">
        <v>1.108889</v>
      </c>
      <c r="L6235">
        <v>17.400089999999999</v>
      </c>
      <c r="M6235">
        <v>0.99992650000000005</v>
      </c>
      <c r="N6235">
        <v>0</v>
      </c>
      <c r="O6235">
        <v>9.1130210000000007E-3</v>
      </c>
      <c r="P6235">
        <v>0.99963869999999999</v>
      </c>
      <c r="Q6235">
        <v>8.5345869999999997E-3</v>
      </c>
      <c r="R6235">
        <v>-2.5492310000000001E-2</v>
      </c>
      <c r="S6235">
        <v>2.9979550000000001</v>
      </c>
      <c r="T6235">
        <v>2.6061419999999998E-2</v>
      </c>
      <c r="U6235">
        <v>-0.1134033</v>
      </c>
      <c r="V6235">
        <v>3.4612480000000001E-2</v>
      </c>
      <c r="W6235">
        <v>1.651099E-2</v>
      </c>
      <c r="X6235">
        <v>0.99926440000000005</v>
      </c>
      <c r="Y6235">
        <v>4.6902979999999997E-2</v>
      </c>
      <c r="Z6235">
        <v>2.8298389999999998E-4</v>
      </c>
      <c r="AA6235">
        <v>0.99889939999999999</v>
      </c>
      <c r="AB6235">
        <v>24</v>
      </c>
      <c r="AC6235">
        <v>90.385000000000005</v>
      </c>
      <c r="AD6235">
        <v>0.78782099999999899</v>
      </c>
      <c r="AE6235">
        <v>-3.4299799999999898</v>
      </c>
      <c r="AF6235">
        <v>4.2532216357300703</v>
      </c>
      <c r="AG6235">
        <v>0.78782099999999899</v>
      </c>
      <c r="AH6235">
        <v>90.343134276521596</v>
      </c>
      <c r="AI6235">
        <v>89.500927892542194</v>
      </c>
      <c r="AJ6235">
        <v>87.304589312000303</v>
      </c>
      <c r="AK6235">
        <v>90.446627726611794</v>
      </c>
      <c r="AL6235">
        <v>89.053946959173501</v>
      </c>
      <c r="AM6235">
        <v>88.016184231815799</v>
      </c>
      <c r="AN6235">
        <v>0.99999998883494501</v>
      </c>
    </row>
    <row r="6236" spans="1:40" x14ac:dyDescent="0.25">
      <c r="A6236" t="str">
        <f>"20190312160810689"</f>
        <v>20190312160810689</v>
      </c>
      <c r="B6236" t="str">
        <f>"1552378090681341"</f>
        <v>1552378090681341</v>
      </c>
      <c r="C6236" t="s">
        <v>40</v>
      </c>
      <c r="D6236">
        <v>6.3515329999999999</v>
      </c>
      <c r="E6236">
        <v>0.52160850000000003</v>
      </c>
      <c r="F6236" t="s">
        <v>55</v>
      </c>
      <c r="G6236">
        <v>-241.6901</v>
      </c>
      <c r="H6236">
        <v>5.1949019999999999</v>
      </c>
      <c r="I6236">
        <v>7.082827</v>
      </c>
      <c r="J6236">
        <v>-364.75150000000002</v>
      </c>
      <c r="K6236">
        <v>1.108889</v>
      </c>
      <c r="L6236">
        <v>17.401029999999999</v>
      </c>
      <c r="M6236">
        <v>0.9999285</v>
      </c>
      <c r="N6236">
        <v>0</v>
      </c>
      <c r="O6236">
        <v>8.8990409999999999E-3</v>
      </c>
      <c r="P6236">
        <v>0.99964050000000004</v>
      </c>
      <c r="Q6236">
        <v>8.4698599999999992E-3</v>
      </c>
      <c r="R6236">
        <v>-2.545033E-2</v>
      </c>
      <c r="S6236">
        <v>2.9938349999999998</v>
      </c>
      <c r="T6236">
        <v>9.9299189999999996E-2</v>
      </c>
      <c r="U6236">
        <v>-0.25073240000000002</v>
      </c>
      <c r="V6236">
        <v>3.4356690000000002E-2</v>
      </c>
      <c r="W6236">
        <v>1.6444719999999999E-2</v>
      </c>
      <c r="X6236">
        <v>0.99927429999999995</v>
      </c>
      <c r="Y6236">
        <v>9.2267130000000003E-2</v>
      </c>
      <c r="Z6236">
        <v>1.8216619999999999E-3</v>
      </c>
      <c r="AA6236">
        <v>0.99573259999999997</v>
      </c>
      <c r="AB6236">
        <v>25</v>
      </c>
      <c r="AC6236">
        <v>123.06140000000001</v>
      </c>
      <c r="AD6236">
        <v>4.0860130000000003</v>
      </c>
      <c r="AE6236">
        <v>-10.318203</v>
      </c>
      <c r="AF6236">
        <v>11.400477157721401</v>
      </c>
      <c r="AG6236">
        <v>4.0860130000000003</v>
      </c>
      <c r="AH6236">
        <v>122.83023386480301</v>
      </c>
      <c r="AI6236">
        <v>88.102875998918904</v>
      </c>
      <c r="AJ6236">
        <v>84.697289455626205</v>
      </c>
      <c r="AK6236">
        <v>123.42581874527799</v>
      </c>
      <c r="AL6236">
        <v>89.057744447231102</v>
      </c>
      <c r="AM6236">
        <v>88.030852755299904</v>
      </c>
      <c r="AN6236">
        <v>0.99999996880206099</v>
      </c>
    </row>
    <row r="6237" spans="1:40" x14ac:dyDescent="0.25">
      <c r="A6237" t="str">
        <f>"20190312160810700"</f>
        <v>20190312160810700</v>
      </c>
      <c r="B6237" t="str">
        <f>"1552378090692078"</f>
        <v>1552378090692078</v>
      </c>
      <c r="C6237" t="s">
        <v>40</v>
      </c>
      <c r="D6237">
        <v>6.1687399999999997</v>
      </c>
      <c r="E6237">
        <v>0.54356870000000002</v>
      </c>
      <c r="F6237" t="s">
        <v>55</v>
      </c>
      <c r="G6237">
        <v>-241.6901</v>
      </c>
      <c r="H6237">
        <v>5.1848799999999997</v>
      </c>
      <c r="I6237">
        <v>7.10107</v>
      </c>
      <c r="J6237">
        <v>-364.62259999999998</v>
      </c>
      <c r="K6237">
        <v>1.1088880000000001</v>
      </c>
      <c r="L6237">
        <v>17.401979999999998</v>
      </c>
      <c r="M6237">
        <v>0.9999304</v>
      </c>
      <c r="N6237">
        <v>0</v>
      </c>
      <c r="O6237">
        <v>8.6873850000000006E-3</v>
      </c>
      <c r="P6237">
        <v>0.99964869999999995</v>
      </c>
      <c r="Q6237">
        <v>8.4203500000000001E-3</v>
      </c>
      <c r="R6237">
        <v>-2.514154E-2</v>
      </c>
      <c r="S6237">
        <v>2.9938660000000001</v>
      </c>
      <c r="T6237">
        <v>9.9161509999999994E-2</v>
      </c>
      <c r="U6237">
        <v>-0.25057980000000002</v>
      </c>
      <c r="V6237">
        <v>3.3836280000000003E-2</v>
      </c>
      <c r="W6237">
        <v>1.6394180000000001E-2</v>
      </c>
      <c r="X6237">
        <v>0.99929290000000004</v>
      </c>
      <c r="Y6237">
        <v>9.2005519999999993E-2</v>
      </c>
      <c r="Z6237">
        <v>1.8078009999999999E-3</v>
      </c>
      <c r="AA6237">
        <v>0.99575689999999994</v>
      </c>
      <c r="AB6237">
        <v>25</v>
      </c>
      <c r="AC6237">
        <v>122.932499999999</v>
      </c>
      <c r="AD6237">
        <v>4.0759920000000003</v>
      </c>
      <c r="AE6237">
        <v>-10.300909999999901</v>
      </c>
      <c r="AF6237">
        <v>11.356120019025401</v>
      </c>
      <c r="AG6237">
        <v>4.0759920000000003</v>
      </c>
      <c r="AH6237">
        <v>122.704416183774</v>
      </c>
      <c r="AI6237">
        <v>88.105539925910705</v>
      </c>
      <c r="AJ6237">
        <v>84.712418853794404</v>
      </c>
      <c r="AK6237">
        <v>123.29618373523</v>
      </c>
      <c r="AL6237">
        <v>89.060640578355304</v>
      </c>
      <c r="AM6237">
        <v>88.060693075231995</v>
      </c>
      <c r="AN6237">
        <v>0.99999998148626001</v>
      </c>
    </row>
    <row r="6238" spans="1:40" x14ac:dyDescent="0.25">
      <c r="A6238" t="str">
        <f>"20190312160810722"</f>
        <v>20190312160810722</v>
      </c>
      <c r="B6238" t="str">
        <f>"1552378090711596"</f>
        <v>1552378090711596</v>
      </c>
      <c r="C6238" t="s">
        <v>40</v>
      </c>
      <c r="D6238">
        <v>6.1983519999999999</v>
      </c>
      <c r="E6238">
        <v>0.54522559999999998</v>
      </c>
      <c r="F6238" t="s">
        <v>45</v>
      </c>
      <c r="G6238">
        <v>-307.94819999999999</v>
      </c>
      <c r="H6238">
        <v>-0.05</v>
      </c>
      <c r="I6238">
        <v>9.4312900000000006</v>
      </c>
      <c r="J6238">
        <v>-364.38490000000002</v>
      </c>
      <c r="K6238">
        <v>1.1088880000000001</v>
      </c>
      <c r="L6238">
        <v>17.40363</v>
      </c>
      <c r="M6238">
        <v>0.99993370000000004</v>
      </c>
      <c r="N6238">
        <v>0</v>
      </c>
      <c r="O6238">
        <v>8.2969199999999993E-3</v>
      </c>
      <c r="P6238">
        <v>0.99966739999999998</v>
      </c>
      <c r="Q6238">
        <v>8.2553360000000003E-3</v>
      </c>
      <c r="R6238">
        <v>-2.443244E-2</v>
      </c>
      <c r="S6238">
        <v>2.9909970000000001</v>
      </c>
      <c r="T6238">
        <v>-6.1160449999999998E-2</v>
      </c>
      <c r="U6238">
        <v>-0.42065429999999998</v>
      </c>
      <c r="V6238">
        <v>3.273732E-2</v>
      </c>
      <c r="W6238">
        <v>1.6226839999999999E-2</v>
      </c>
      <c r="X6238">
        <v>0.9993322</v>
      </c>
      <c r="Y6238">
        <v>0.1474491</v>
      </c>
      <c r="Z6238">
        <v>-1.6688339999999999E-3</v>
      </c>
      <c r="AA6238">
        <v>0.98906819999999895</v>
      </c>
      <c r="AB6238">
        <v>25</v>
      </c>
      <c r="AC6238">
        <v>56.436700000000002</v>
      </c>
      <c r="AD6238">
        <v>-1.1588879999999999</v>
      </c>
      <c r="AE6238">
        <v>-7.97234</v>
      </c>
      <c r="AF6238">
        <v>8.4368434293884604</v>
      </c>
      <c r="AG6238">
        <v>-1.1588879999999999</v>
      </c>
      <c r="AH6238">
        <v>56.345315748958001</v>
      </c>
      <c r="AI6238">
        <v>91.165283593022195</v>
      </c>
      <c r="AJ6238">
        <v>81.484106542454995</v>
      </c>
      <c r="AK6238">
        <v>56.985243311741101</v>
      </c>
      <c r="AL6238">
        <v>89.070229695222494</v>
      </c>
      <c r="AM6238">
        <v>88.123707293626893</v>
      </c>
      <c r="AN6238">
        <v>0.999999944207002</v>
      </c>
    </row>
    <row r="6239" spans="1:40" x14ac:dyDescent="0.25">
      <c r="A6239" t="str">
        <f>"20190312160810735"</f>
        <v>20190312160810735</v>
      </c>
      <c r="B6239" t="str">
        <f>"1552378090732092"</f>
        <v>1552378090732092</v>
      </c>
      <c r="C6239" t="s">
        <v>40</v>
      </c>
      <c r="D6239">
        <v>6.4726920000000003</v>
      </c>
      <c r="E6239">
        <v>0.544991</v>
      </c>
      <c r="F6239" t="s">
        <v>45</v>
      </c>
      <c r="G6239">
        <v>-308.58629999999999</v>
      </c>
      <c r="H6239">
        <v>-0.05</v>
      </c>
      <c r="I6239">
        <v>9.3482210000000006</v>
      </c>
      <c r="J6239">
        <v>-364.2527</v>
      </c>
      <c r="K6239">
        <v>1.108884</v>
      </c>
      <c r="L6239">
        <v>17.404509999999998</v>
      </c>
      <c r="M6239">
        <v>0.99993540000000003</v>
      </c>
      <c r="N6239">
        <v>0</v>
      </c>
      <c r="O6239">
        <v>8.0798490000000001E-3</v>
      </c>
      <c r="P6239">
        <v>0.99966869999999997</v>
      </c>
      <c r="Q6239">
        <v>8.3778440000000006E-3</v>
      </c>
      <c r="R6239">
        <v>-2.4339860000000001E-2</v>
      </c>
      <c r="S6239">
        <v>2.9909669999999999</v>
      </c>
      <c r="T6239">
        <v>-6.2119720000000003E-2</v>
      </c>
      <c r="U6239">
        <v>-0.43179319999999999</v>
      </c>
      <c r="V6239">
        <v>3.242768E-2</v>
      </c>
      <c r="W6239">
        <v>1.6346980000000001E-2</v>
      </c>
      <c r="X6239">
        <v>0.99934040000000002</v>
      </c>
      <c r="Y6239">
        <v>0.15084339999999999</v>
      </c>
      <c r="Z6239">
        <v>-1.7251549999999999E-3</v>
      </c>
      <c r="AA6239">
        <v>0.98855610000000005</v>
      </c>
      <c r="AB6239">
        <v>25</v>
      </c>
      <c r="AC6239">
        <v>55.666400000000003</v>
      </c>
      <c r="AD6239">
        <v>-1.158884</v>
      </c>
      <c r="AE6239">
        <v>-8.0562889999999996</v>
      </c>
      <c r="AF6239">
        <v>8.5022071861930204</v>
      </c>
      <c r="AG6239">
        <v>-1.158884</v>
      </c>
      <c r="AH6239">
        <v>55.575894410574897</v>
      </c>
      <c r="AI6239">
        <v>91.180840075729805</v>
      </c>
      <c r="AJ6239">
        <v>81.302115169121706</v>
      </c>
      <c r="AK6239">
        <v>56.234425209988402</v>
      </c>
      <c r="AL6239">
        <v>89.063345325202107</v>
      </c>
      <c r="AM6239">
        <v>88.141456601599202</v>
      </c>
      <c r="AN6239">
        <v>1.00000000662873</v>
      </c>
    </row>
    <row r="6240" spans="1:40" x14ac:dyDescent="0.25">
      <c r="A6240" t="str">
        <f>"20190312160810745"</f>
        <v>20190312160810745</v>
      </c>
      <c r="B6240" t="str">
        <f>"1552378090741852"</f>
        <v>1552378090741852</v>
      </c>
      <c r="C6240" t="s">
        <v>40</v>
      </c>
      <c r="D6240">
        <v>6.1991969999999998</v>
      </c>
      <c r="E6240">
        <v>0.54473950000000004</v>
      </c>
      <c r="F6240" t="s">
        <v>47</v>
      </c>
      <c r="G6240">
        <v>-322.58589999999998</v>
      </c>
      <c r="H6240" s="1">
        <v>-5.0106059999999997E-6</v>
      </c>
      <c r="I6240">
        <v>11.42587</v>
      </c>
      <c r="J6240">
        <v>-364.12200000000001</v>
      </c>
      <c r="K6240">
        <v>1.1088800000000001</v>
      </c>
      <c r="L6240">
        <v>17.405329999999999</v>
      </c>
      <c r="M6240">
        <v>0.99993719999999997</v>
      </c>
      <c r="N6240">
        <v>0</v>
      </c>
      <c r="O6240">
        <v>7.8651109999999993E-3</v>
      </c>
      <c r="P6240">
        <v>0.9996642</v>
      </c>
      <c r="Q6240">
        <v>8.3880020000000003E-3</v>
      </c>
      <c r="R6240">
        <v>-2.4525470000000001E-2</v>
      </c>
      <c r="S6240">
        <v>2.9912109999999998</v>
      </c>
      <c r="T6240">
        <v>-7.9605819999999994E-2</v>
      </c>
      <c r="U6240">
        <v>-0.4291992</v>
      </c>
      <c r="V6240">
        <v>3.2398660000000003E-2</v>
      </c>
      <c r="W6240">
        <v>1.6351750000000002E-2</v>
      </c>
      <c r="X6240">
        <v>0.99934120000000004</v>
      </c>
      <c r="Y6240">
        <v>0.14975859999999999</v>
      </c>
      <c r="Z6240">
        <v>-2.1905309999999999E-3</v>
      </c>
      <c r="AA6240">
        <v>0.98872020000000005</v>
      </c>
      <c r="AB6240">
        <v>25</v>
      </c>
      <c r="AC6240">
        <v>41.536099999999898</v>
      </c>
      <c r="AD6240">
        <v>-1.108885010606</v>
      </c>
      <c r="AE6240">
        <v>-5.9794600000000004</v>
      </c>
      <c r="AF6240">
        <v>6.3015713931108301</v>
      </c>
      <c r="AG6240">
        <v>-1.108885010606</v>
      </c>
      <c r="AH6240">
        <v>41.458835783491999</v>
      </c>
      <c r="AI6240">
        <v>91.514716044332701</v>
      </c>
      <c r="AJ6240">
        <v>81.357429276695797</v>
      </c>
      <c r="AK6240">
        <v>41.949666178788299</v>
      </c>
      <c r="AL6240">
        <v>89.063071928609403</v>
      </c>
      <c r="AM6240">
        <v>88.143120159518702</v>
      </c>
      <c r="AN6240">
        <v>0.99999994345764698</v>
      </c>
    </row>
    <row r="6241" spans="1:40" x14ac:dyDescent="0.25">
      <c r="A6241" t="str">
        <f>"20190312160810757"</f>
        <v>20190312160810757</v>
      </c>
      <c r="B6241" t="str">
        <f>"1552378090751613"</f>
        <v>1552378090751613</v>
      </c>
      <c r="C6241" t="s">
        <v>40</v>
      </c>
      <c r="D6241">
        <v>6.2397289999999996</v>
      </c>
      <c r="E6241">
        <v>0.5445932</v>
      </c>
      <c r="F6241" t="s">
        <v>47</v>
      </c>
      <c r="G6241">
        <v>-329.60520000000002</v>
      </c>
      <c r="H6241" s="1">
        <v>-2.0359580000000002E-6</v>
      </c>
      <c r="I6241">
        <v>12.475009999999999</v>
      </c>
      <c r="J6241">
        <v>-363.99599999999998</v>
      </c>
      <c r="K6241">
        <v>1.1088750000000001</v>
      </c>
      <c r="L6241">
        <v>17.406099999999999</v>
      </c>
      <c r="M6241">
        <v>0.99993880000000002</v>
      </c>
      <c r="N6241">
        <v>0</v>
      </c>
      <c r="O6241">
        <v>7.6584189999999996E-3</v>
      </c>
      <c r="P6241">
        <v>0.99966140000000003</v>
      </c>
      <c r="Q6241">
        <v>8.4355750000000007E-3</v>
      </c>
      <c r="R6241">
        <v>-2.4616800000000001E-2</v>
      </c>
      <c r="S6241">
        <v>2.991333</v>
      </c>
      <c r="T6241">
        <v>-9.609914E-2</v>
      </c>
      <c r="U6241">
        <v>-0.42727660000000001</v>
      </c>
      <c r="V6241">
        <v>3.2283520000000003E-2</v>
      </c>
      <c r="W6241">
        <v>1.639467E-2</v>
      </c>
      <c r="X6241">
        <v>0.99934429999999996</v>
      </c>
      <c r="Y6241">
        <v>0.14890139999999999</v>
      </c>
      <c r="Z6241">
        <v>-2.6238780000000001E-3</v>
      </c>
      <c r="AA6241">
        <v>0.98884859999999997</v>
      </c>
      <c r="AB6241">
        <v>25</v>
      </c>
      <c r="AC6241">
        <v>34.390799999999899</v>
      </c>
      <c r="AD6241">
        <v>-1.108877035958</v>
      </c>
      <c r="AE6241">
        <v>-4.9310899999999904</v>
      </c>
      <c r="AF6241">
        <v>5.1890468766889901</v>
      </c>
      <c r="AG6241">
        <v>-1.108877035958</v>
      </c>
      <c r="AH6241">
        <v>34.317067209586099</v>
      </c>
      <c r="AI6241">
        <v>91.829949790390998</v>
      </c>
      <c r="AJ6241">
        <v>81.401504273730396</v>
      </c>
      <c r="AK6241">
        <v>34.724874623770802</v>
      </c>
      <c r="AL6241">
        <v>89.060612536212304</v>
      </c>
      <c r="AM6241">
        <v>88.149720373649401</v>
      </c>
      <c r="AN6241">
        <v>1.0000000204052399</v>
      </c>
    </row>
    <row r="6242" spans="1:40" x14ac:dyDescent="0.25">
      <c r="A6242" t="str">
        <f>"20190312160810769"</f>
        <v>20190312160810769</v>
      </c>
      <c r="B6242" t="str">
        <f>"1552378090761373"</f>
        <v>1552378090761373</v>
      </c>
      <c r="C6242" t="s">
        <v>40</v>
      </c>
      <c r="D6242">
        <v>6.4164490000000001</v>
      </c>
      <c r="E6242">
        <v>0.54258459999999997</v>
      </c>
      <c r="F6242" t="s">
        <v>47</v>
      </c>
      <c r="G6242">
        <v>-332.39640000000003</v>
      </c>
      <c r="H6242" s="1">
        <v>-4.4346650000000002E-6</v>
      </c>
      <c r="I6242">
        <v>12.905099999999999</v>
      </c>
      <c r="J6242">
        <v>-363.86930000000001</v>
      </c>
      <c r="K6242">
        <v>1.108873</v>
      </c>
      <c r="L6242">
        <v>17.406860000000002</v>
      </c>
      <c r="M6242">
        <v>0.9999403</v>
      </c>
      <c r="N6242">
        <v>0</v>
      </c>
      <c r="O6242">
        <v>7.4505350000000003E-3</v>
      </c>
      <c r="P6242">
        <v>0.99966109999999997</v>
      </c>
      <c r="Q6242">
        <v>8.3267549999999999E-3</v>
      </c>
      <c r="R6242">
        <v>-2.4664990000000001E-2</v>
      </c>
      <c r="S6242">
        <v>2.991425</v>
      </c>
      <c r="T6242">
        <v>-0.1049737</v>
      </c>
      <c r="U6242">
        <v>-0.42608639999999998</v>
      </c>
      <c r="V6242">
        <v>3.2123800000000001E-2</v>
      </c>
      <c r="W6242">
        <v>1.628071E-2</v>
      </c>
      <c r="X6242">
        <v>0.99935130000000005</v>
      </c>
      <c r="Y6242">
        <v>0.14829120000000001</v>
      </c>
      <c r="Z6242">
        <v>-2.8481330000000001E-3</v>
      </c>
      <c r="AA6242">
        <v>0.98893960000000003</v>
      </c>
      <c r="AB6242">
        <v>25</v>
      </c>
      <c r="AC6242">
        <v>31.4728999999999</v>
      </c>
      <c r="AD6242">
        <v>-1.1088774346649899</v>
      </c>
      <c r="AE6242">
        <v>-4.50176</v>
      </c>
      <c r="AF6242">
        <v>4.7303781602025303</v>
      </c>
      <c r="AG6242">
        <v>-1.1088774346649899</v>
      </c>
      <c r="AH6242">
        <v>31.400287605103699</v>
      </c>
      <c r="AI6242">
        <v>91.999968305563996</v>
      </c>
      <c r="AJ6242">
        <v>81.432949236428797</v>
      </c>
      <c r="AK6242">
        <v>31.773953930646702</v>
      </c>
      <c r="AL6242">
        <v>89.067142825399998</v>
      </c>
      <c r="AM6242">
        <v>88.158881047978397</v>
      </c>
      <c r="AN6242">
        <v>1.0000000104281099</v>
      </c>
    </row>
    <row r="6243" spans="1:40" x14ac:dyDescent="0.25">
      <c r="A6243" t="str">
        <f>"20190312160810781"</f>
        <v>20190312160810781</v>
      </c>
      <c r="B6243" t="str">
        <f>"1552378090772109"</f>
        <v>1552378090772109</v>
      </c>
      <c r="C6243" t="s">
        <v>40</v>
      </c>
      <c r="D6243">
        <v>6.2674529999999997</v>
      </c>
      <c r="E6243">
        <v>0.54084639999999995</v>
      </c>
      <c r="F6243" t="s">
        <v>47</v>
      </c>
      <c r="G6243">
        <v>-323.02800000000002</v>
      </c>
      <c r="H6243" s="1">
        <v>-4.7419189999999998E-6</v>
      </c>
      <c r="I6243">
        <v>11.79772</v>
      </c>
      <c r="J6243">
        <v>-363.7346</v>
      </c>
      <c r="K6243">
        <v>1.108865</v>
      </c>
      <c r="L6243">
        <v>17.407620000000001</v>
      </c>
      <c r="M6243">
        <v>0.9999422</v>
      </c>
      <c r="N6243">
        <v>0</v>
      </c>
      <c r="O6243">
        <v>7.2292980000000003E-3</v>
      </c>
      <c r="P6243">
        <v>0.9996604</v>
      </c>
      <c r="Q6243">
        <v>8.2919420000000001E-3</v>
      </c>
      <c r="R6243">
        <v>-2.470661E-2</v>
      </c>
      <c r="S6243">
        <v>2.9915470000000002</v>
      </c>
      <c r="T6243">
        <v>-8.1223009999999998E-2</v>
      </c>
      <c r="U6243">
        <v>-0.41085820000000001</v>
      </c>
      <c r="V6243">
        <v>3.1944550000000002E-2</v>
      </c>
      <c r="W6243">
        <v>1.624161E-2</v>
      </c>
      <c r="X6243">
        <v>0.99935770000000002</v>
      </c>
      <c r="Y6243">
        <v>0.14316679999999901</v>
      </c>
      <c r="Z6243">
        <v>-2.1294769999999998E-3</v>
      </c>
      <c r="AA6243">
        <v>0.98969629999999997</v>
      </c>
      <c r="AB6243">
        <v>25</v>
      </c>
      <c r="AC6243">
        <v>40.706599999999902</v>
      </c>
      <c r="AD6243">
        <v>-1.1088697419189999</v>
      </c>
      <c r="AE6243">
        <v>-5.6098999999999997</v>
      </c>
      <c r="AF6243">
        <v>5.8997465636349302</v>
      </c>
      <c r="AG6243">
        <v>-1.1088697419189999</v>
      </c>
      <c r="AH6243">
        <v>40.635387920718998</v>
      </c>
      <c r="AI6243">
        <v>91.546904352026502</v>
      </c>
      <c r="AJ6243">
        <v>81.739096587419695</v>
      </c>
      <c r="AK6243">
        <v>41.076408717011503</v>
      </c>
      <c r="AL6243">
        <v>89.069383403294793</v>
      </c>
      <c r="AM6243">
        <v>88.169159151156293</v>
      </c>
      <c r="AN6243">
        <v>1.0000000283596899</v>
      </c>
    </row>
    <row r="6244" spans="1:40" x14ac:dyDescent="0.25">
      <c r="A6244" t="str">
        <f>"20190312160810803"</f>
        <v>20190312160810803</v>
      </c>
      <c r="B6244" t="str">
        <f>"1552378090791630"</f>
        <v>1552378090791630</v>
      </c>
      <c r="C6244" t="s">
        <v>40</v>
      </c>
      <c r="D6244">
        <v>6.4117689999999996</v>
      </c>
      <c r="E6244">
        <v>0.53814169999999995</v>
      </c>
      <c r="F6244" t="s">
        <v>45</v>
      </c>
      <c r="G6244">
        <v>-308.4461</v>
      </c>
      <c r="H6244">
        <v>-0.05</v>
      </c>
      <c r="I6244">
        <v>10.058350000000001</v>
      </c>
      <c r="J6244">
        <v>-363.49439999999998</v>
      </c>
      <c r="K6244">
        <v>1.108859</v>
      </c>
      <c r="L6244">
        <v>17.408909999999999</v>
      </c>
      <c r="M6244">
        <v>0.99994490000000003</v>
      </c>
      <c r="N6244">
        <v>0</v>
      </c>
      <c r="O6244">
        <v>6.8353950000000002E-3</v>
      </c>
      <c r="P6244">
        <v>0.9996543</v>
      </c>
      <c r="Q6244">
        <v>8.1499910000000005E-3</v>
      </c>
      <c r="R6244">
        <v>-2.5003270000000001E-2</v>
      </c>
      <c r="S6244">
        <v>2.9916990000000001</v>
      </c>
      <c r="T6244">
        <v>-6.2706949999999997E-2</v>
      </c>
      <c r="U6244">
        <v>-0.39767459999999999</v>
      </c>
      <c r="V6244">
        <v>3.1847069999999998E-2</v>
      </c>
      <c r="W6244">
        <v>1.6092390000000002E-2</v>
      </c>
      <c r="X6244">
        <v>0.99936320000000001</v>
      </c>
      <c r="Y6244">
        <v>0.13850850000000001</v>
      </c>
      <c r="Z6244">
        <v>-1.5877269999999999E-3</v>
      </c>
      <c r="AA6244">
        <v>0.99036000000000002</v>
      </c>
      <c r="AB6244">
        <v>25</v>
      </c>
      <c r="AC6244">
        <v>55.048299999999898</v>
      </c>
      <c r="AD6244">
        <v>-1.1588590000000001</v>
      </c>
      <c r="AE6244">
        <v>-7.3505599999999998</v>
      </c>
      <c r="AF6244">
        <v>7.72331427955426</v>
      </c>
      <c r="AG6244">
        <v>-1.1588590000000001</v>
      </c>
      <c r="AH6244">
        <v>54.9728326227332</v>
      </c>
      <c r="AI6244">
        <v>91.195907694488895</v>
      </c>
      <c r="AJ6244">
        <v>82.002671197188107</v>
      </c>
      <c r="AK6244">
        <v>55.524813049750001</v>
      </c>
      <c r="AL6244">
        <v>89.0779341736188</v>
      </c>
      <c r="AM6244">
        <v>88.174752284708802</v>
      </c>
      <c r="AN6244">
        <v>1.0000000031988601</v>
      </c>
    </row>
    <row r="6245" spans="1:40" x14ac:dyDescent="0.25">
      <c r="A6245" t="str">
        <f>"20190312160810823"</f>
        <v>20190312160810823</v>
      </c>
      <c r="B6245" t="str">
        <f>"1552378090812125"</f>
        <v>1552378090812125</v>
      </c>
      <c r="C6245" t="s">
        <v>40</v>
      </c>
      <c r="D6245">
        <v>6.2855239999999997</v>
      </c>
      <c r="E6245">
        <v>0.53612479999999996</v>
      </c>
      <c r="F6245" t="s">
        <v>45</v>
      </c>
      <c r="G6245">
        <v>-263.1943</v>
      </c>
      <c r="H6245">
        <v>-0.05</v>
      </c>
      <c r="I6245">
        <v>4.7453000000000003</v>
      </c>
      <c r="J6245">
        <v>-363.25720000000001</v>
      </c>
      <c r="K6245">
        <v>1.1088519999999999</v>
      </c>
      <c r="L6245">
        <v>17.410129999999999</v>
      </c>
      <c r="M6245">
        <v>0.99994760000000005</v>
      </c>
      <c r="N6245">
        <v>0</v>
      </c>
      <c r="O6245">
        <v>6.4462529999999999E-3</v>
      </c>
      <c r="P6245">
        <v>0.99964209999999998</v>
      </c>
      <c r="Q6245">
        <v>8.0442910000000003E-3</v>
      </c>
      <c r="R6245">
        <v>-2.5519590000000002E-2</v>
      </c>
      <c r="S6245">
        <v>2.9918819999999999</v>
      </c>
      <c r="T6245">
        <v>-3.456795E-2</v>
      </c>
      <c r="U6245">
        <v>-0.37774659999999999</v>
      </c>
      <c r="V6245">
        <v>3.1974429999999998E-2</v>
      </c>
      <c r="W6245">
        <v>1.597987E-2</v>
      </c>
      <c r="X6245">
        <v>0.9993609</v>
      </c>
      <c r="Y6245">
        <v>0.13164670000000001</v>
      </c>
      <c r="Z6245">
        <v>-8.3167759999999995E-4</v>
      </c>
      <c r="AA6245">
        <v>0.99129639999999997</v>
      </c>
      <c r="AB6245">
        <v>25</v>
      </c>
      <c r="AC6245">
        <v>100.0629</v>
      </c>
      <c r="AD6245">
        <v>-1.158852</v>
      </c>
      <c r="AE6245">
        <v>-12.664829999999901</v>
      </c>
      <c r="AF6245">
        <v>13.307861235281401</v>
      </c>
      <c r="AG6245">
        <v>-1.158852</v>
      </c>
      <c r="AH6245">
        <v>99.965981016127401</v>
      </c>
      <c r="AI6245">
        <v>90.658361892268999</v>
      </c>
      <c r="AJ6245">
        <v>82.417147014044403</v>
      </c>
      <c r="AK6245">
        <v>100.854546100471</v>
      </c>
      <c r="AL6245">
        <v>89.084381888312294</v>
      </c>
      <c r="AM6245">
        <v>88.167453667091607</v>
      </c>
      <c r="AN6245">
        <v>0.99999996443392503</v>
      </c>
    </row>
    <row r="6246" spans="1:40" x14ac:dyDescent="0.25">
      <c r="A6246" t="str">
        <f>"20190312160810836"</f>
        <v>20190312160810836</v>
      </c>
      <c r="B6246" t="str">
        <f>"1552378090831645"</f>
        <v>1552378090831645</v>
      </c>
      <c r="C6246" t="s">
        <v>40</v>
      </c>
      <c r="D6246">
        <v>5.8731070000000001</v>
      </c>
      <c r="E6246">
        <v>0.53474319999999997</v>
      </c>
      <c r="F6246" t="s">
        <v>104</v>
      </c>
      <c r="G6246">
        <v>-257.87169999999998</v>
      </c>
      <c r="H6246">
        <v>0.58170299999999997</v>
      </c>
      <c r="I6246">
        <v>4.6001399999999997</v>
      </c>
      <c r="J6246">
        <v>-363.1139</v>
      </c>
      <c r="K6246">
        <v>1.1088480000000001</v>
      </c>
      <c r="L6246">
        <v>17.410799999999998</v>
      </c>
      <c r="M6246">
        <v>0.99994910000000004</v>
      </c>
      <c r="N6246">
        <v>0</v>
      </c>
      <c r="O6246">
        <v>6.2115390000000003E-3</v>
      </c>
      <c r="P6246">
        <v>0.99963179999999996</v>
      </c>
      <c r="Q6246">
        <v>7.9155159999999992E-3</v>
      </c>
      <c r="R6246">
        <v>-2.5962160000000001E-2</v>
      </c>
      <c r="S6246">
        <v>2.9919129999999998</v>
      </c>
      <c r="T6246">
        <v>-1.4965890000000001E-2</v>
      </c>
      <c r="U6246">
        <v>-0.363678</v>
      </c>
      <c r="V6246">
        <v>3.2182280000000001E-2</v>
      </c>
      <c r="W6246">
        <v>1.5847799999999999E-2</v>
      </c>
      <c r="X6246">
        <v>0.99935640000000003</v>
      </c>
      <c r="Y6246">
        <v>0.12682789999999999</v>
      </c>
      <c r="Z6246">
        <v>-3.469991E-4</v>
      </c>
      <c r="AA6246">
        <v>0.99192469999999999</v>
      </c>
      <c r="AB6246">
        <v>25</v>
      </c>
      <c r="AC6246">
        <v>105.2422</v>
      </c>
      <c r="AD6246">
        <v>-0.52714499999999997</v>
      </c>
      <c r="AE6246">
        <v>-12.81066</v>
      </c>
      <c r="AF6246">
        <v>13.4638166771974</v>
      </c>
      <c r="AG6246">
        <v>-0.52714499999999997</v>
      </c>
      <c r="AH6246">
        <v>105.157993361729</v>
      </c>
      <c r="AI6246">
        <v>90.284889258925105</v>
      </c>
      <c r="AJ6246">
        <v>82.703877313267597</v>
      </c>
      <c r="AK6246">
        <v>106.01771460106799</v>
      </c>
      <c r="AL6246">
        <v>89.091949962874594</v>
      </c>
      <c r="AM6246">
        <v>88.155541089286501</v>
      </c>
      <c r="AN6246">
        <v>1.00000003306589</v>
      </c>
    </row>
    <row r="6247" spans="1:40" x14ac:dyDescent="0.25">
      <c r="A6247" t="str">
        <f>"20190312160810849"</f>
        <v>20190312160810849</v>
      </c>
      <c r="B6247" t="str">
        <f>"1552378090841405"</f>
        <v>1552378090841405</v>
      </c>
      <c r="C6247" t="s">
        <v>40</v>
      </c>
      <c r="D6247">
        <v>6.4300369999999996</v>
      </c>
      <c r="E6247">
        <v>0.53427369999999996</v>
      </c>
      <c r="F6247" t="s">
        <v>104</v>
      </c>
      <c r="G6247">
        <v>-254.9469</v>
      </c>
      <c r="H6247">
        <v>1.0834410000000001</v>
      </c>
      <c r="I6247">
        <v>4.6003069999999999</v>
      </c>
      <c r="J6247">
        <v>-362.96319999999997</v>
      </c>
      <c r="K6247">
        <v>1.1088439999999999</v>
      </c>
      <c r="L6247">
        <v>17.411470000000001</v>
      </c>
      <c r="M6247">
        <v>0.99995060000000002</v>
      </c>
      <c r="N6247">
        <v>0</v>
      </c>
      <c r="O6247">
        <v>5.9644850000000003E-3</v>
      </c>
      <c r="P6247">
        <v>0.99962470000000003</v>
      </c>
      <c r="Q6247">
        <v>7.9343720000000003E-3</v>
      </c>
      <c r="R6247">
        <v>-2.6221040000000001E-2</v>
      </c>
      <c r="S6247">
        <v>2.9919129999999998</v>
      </c>
      <c r="T6247">
        <v>-7.02858E-4</v>
      </c>
      <c r="U6247">
        <v>-0.35433959999999998</v>
      </c>
      <c r="V6247">
        <v>3.2194299999999898E-2</v>
      </c>
      <c r="W6247">
        <v>1.5863530000000001E-2</v>
      </c>
      <c r="X6247">
        <v>0.99935569999999896</v>
      </c>
      <c r="Y6247">
        <v>0.12353169999999999</v>
      </c>
      <c r="Z6247" s="1">
        <v>-1.585592E-5</v>
      </c>
      <c r="AA6247">
        <v>0.99234060000000002</v>
      </c>
      <c r="AB6247">
        <v>25</v>
      </c>
      <c r="AC6247">
        <v>108.01629999999901</v>
      </c>
      <c r="AD6247">
        <v>-2.5402999999999998E-2</v>
      </c>
      <c r="AE6247">
        <v>-12.811163000000001</v>
      </c>
      <c r="AF6247">
        <v>13.4552163385972</v>
      </c>
      <c r="AG6247">
        <v>-2.5402999999999998E-2</v>
      </c>
      <c r="AH6247">
        <v>107.93795822489599</v>
      </c>
      <c r="AI6247">
        <v>90.0133808916829</v>
      </c>
      <c r="AJ6247">
        <v>82.894337563977601</v>
      </c>
      <c r="AK6247">
        <v>108.773371363538</v>
      </c>
      <c r="AL6247">
        <v>89.091048529497996</v>
      </c>
      <c r="AM6247">
        <v>88.154851373130697</v>
      </c>
      <c r="AN6247">
        <v>0.999999969829519</v>
      </c>
    </row>
    <row r="6248" spans="1:40" x14ac:dyDescent="0.25">
      <c r="A6248" t="str">
        <f>"20190312160810868"</f>
        <v>20190312160810868</v>
      </c>
      <c r="B6248" t="str">
        <f>"1552378090861901"</f>
        <v>1552378090861901</v>
      </c>
      <c r="C6248" t="s">
        <v>40</v>
      </c>
      <c r="D6248">
        <v>6.3872530000000003</v>
      </c>
      <c r="E6248">
        <v>0.53315049999999997</v>
      </c>
      <c r="F6248" t="s">
        <v>104</v>
      </c>
      <c r="G6248">
        <v>-253.92939999999999</v>
      </c>
      <c r="H6248">
        <v>1.304573</v>
      </c>
      <c r="I6248">
        <v>4.6003800000000004</v>
      </c>
      <c r="J6248">
        <v>-362.76029999999997</v>
      </c>
      <c r="K6248">
        <v>1.108833</v>
      </c>
      <c r="L6248">
        <v>17.412320000000001</v>
      </c>
      <c r="M6248">
        <v>0.99995259999999997</v>
      </c>
      <c r="N6248">
        <v>0</v>
      </c>
      <c r="O6248">
        <v>5.6321369999999997E-3</v>
      </c>
      <c r="P6248">
        <v>0.99961290000000003</v>
      </c>
      <c r="Q6248">
        <v>7.9419520000000004E-3</v>
      </c>
      <c r="R6248">
        <v>-2.6669680000000001E-2</v>
      </c>
      <c r="S6248">
        <v>2.9918520000000002</v>
      </c>
      <c r="T6248">
        <v>5.3708549999999999E-3</v>
      </c>
      <c r="U6248">
        <v>-0.35153200000000001</v>
      </c>
      <c r="V6248">
        <v>3.2310760000000001E-2</v>
      </c>
      <c r="W6248">
        <v>1.5866870000000002E-2</v>
      </c>
      <c r="X6248">
        <v>0.99935189999999996</v>
      </c>
      <c r="Y6248">
        <v>0.12228550000000001</v>
      </c>
      <c r="Z6248">
        <v>1.194618E-4</v>
      </c>
      <c r="AA6248">
        <v>0.99249489999999996</v>
      </c>
      <c r="AB6248">
        <v>25</v>
      </c>
      <c r="AC6248">
        <v>108.8309</v>
      </c>
      <c r="AD6248">
        <v>0.19574</v>
      </c>
      <c r="AE6248">
        <v>-12.81194</v>
      </c>
      <c r="AF6248">
        <v>13.424663819813601</v>
      </c>
      <c r="AG6248">
        <v>0.19574</v>
      </c>
      <c r="AH6248">
        <v>108.75666588660199</v>
      </c>
      <c r="AI6248">
        <v>89.897656047844507</v>
      </c>
      <c r="AJ6248">
        <v>82.963141208498897</v>
      </c>
      <c r="AK6248">
        <v>109.58226265045199</v>
      </c>
      <c r="AL6248">
        <v>89.090857148024199</v>
      </c>
      <c r="AM6248">
        <v>88.148174315390307</v>
      </c>
      <c r="AN6248">
        <v>0.99999998140449198</v>
      </c>
    </row>
    <row r="6249" spans="1:40" x14ac:dyDescent="0.25">
      <c r="A6249" t="str">
        <f>"20190312160810880"</f>
        <v>20190312160810880</v>
      </c>
      <c r="B6249" t="str">
        <f>"1552378090871661"</f>
        <v>1552378090871661</v>
      </c>
      <c r="C6249" t="s">
        <v>40</v>
      </c>
      <c r="D6249">
        <v>6.2670859999999999</v>
      </c>
      <c r="E6249">
        <v>0.5325453</v>
      </c>
      <c r="F6249" t="s">
        <v>104</v>
      </c>
      <c r="G6249">
        <v>-252.1508</v>
      </c>
      <c r="H6249">
        <v>1.67872799999999</v>
      </c>
      <c r="I6249">
        <v>4.6891309999999997</v>
      </c>
      <c r="J6249">
        <v>-362.62470000000002</v>
      </c>
      <c r="K6249">
        <v>1.10883</v>
      </c>
      <c r="L6249">
        <v>17.412839999999999</v>
      </c>
      <c r="M6249">
        <v>0.99995389999999995</v>
      </c>
      <c r="N6249">
        <v>0</v>
      </c>
      <c r="O6249">
        <v>5.4102319999999897E-3</v>
      </c>
      <c r="P6249">
        <v>0.99960079999999996</v>
      </c>
      <c r="Q6249">
        <v>8.0420159999999904E-3</v>
      </c>
      <c r="R6249">
        <v>-2.7085749999999999E-2</v>
      </c>
      <c r="S6249">
        <v>2.9918520000000002</v>
      </c>
      <c r="T6249">
        <v>1.541495E-2</v>
      </c>
      <c r="U6249">
        <v>-0.34414670000000003</v>
      </c>
      <c r="V6249">
        <v>3.2505149999999997E-2</v>
      </c>
      <c r="W6249">
        <v>1.5965090000000001E-2</v>
      </c>
      <c r="X6249">
        <v>0.99934409999999896</v>
      </c>
      <c r="Y6249">
        <v>0.11964610000000001</v>
      </c>
      <c r="Z6249">
        <v>3.3499849999999999E-4</v>
      </c>
      <c r="AA6249">
        <v>0.99281660000000005</v>
      </c>
      <c r="AB6249">
        <v>25</v>
      </c>
      <c r="AC6249">
        <v>110.4739</v>
      </c>
      <c r="AD6249">
        <v>0.56989799999999902</v>
      </c>
      <c r="AE6249">
        <v>-12.723708999999999</v>
      </c>
      <c r="AF6249">
        <v>13.3208811545176</v>
      </c>
      <c r="AG6249">
        <v>0.56989799999999902</v>
      </c>
      <c r="AH6249">
        <v>110.400543183998</v>
      </c>
      <c r="AI6249">
        <v>89.706366124705994</v>
      </c>
      <c r="AJ6249">
        <v>83.119975848598202</v>
      </c>
      <c r="AK6249">
        <v>111.202745441761</v>
      </c>
      <c r="AL6249">
        <v>89.085228905865407</v>
      </c>
      <c r="AM6249">
        <v>88.1370265435758</v>
      </c>
      <c r="AN6249">
        <v>1.0000000495400101</v>
      </c>
    </row>
    <row r="6250" spans="1:40" x14ac:dyDescent="0.25">
      <c r="A6250" t="str">
        <f>"20190312160810891"</f>
        <v>20190312160810891</v>
      </c>
      <c r="B6250" t="str">
        <f>"1552378090881420"</f>
        <v>1552378090881420</v>
      </c>
      <c r="C6250" t="s">
        <v>40</v>
      </c>
      <c r="D6250">
        <v>6.3599069999999998</v>
      </c>
      <c r="E6250">
        <v>0.53210679999999999</v>
      </c>
      <c r="F6250" t="s">
        <v>104</v>
      </c>
      <c r="G6250">
        <v>-252.1508</v>
      </c>
      <c r="H6250">
        <v>1.80447</v>
      </c>
      <c r="I6250">
        <v>4.8347069999999999</v>
      </c>
      <c r="J6250">
        <v>-362.49549999999999</v>
      </c>
      <c r="K6250">
        <v>1.1088290000000001</v>
      </c>
      <c r="L6250">
        <v>17.413329999999998</v>
      </c>
      <c r="M6250">
        <v>0.99995489999999998</v>
      </c>
      <c r="N6250">
        <v>0</v>
      </c>
      <c r="O6250">
        <v>5.1983990000000002E-3</v>
      </c>
      <c r="P6250">
        <v>0.99959050000000005</v>
      </c>
      <c r="Q6250">
        <v>7.794245E-3</v>
      </c>
      <c r="R6250">
        <v>-2.7541969999999999E-2</v>
      </c>
      <c r="S6250">
        <v>2.9918209999999998</v>
      </c>
      <c r="T6250">
        <v>1.8839120000000001E-2</v>
      </c>
      <c r="U6250">
        <v>-0.34063719999999997</v>
      </c>
      <c r="V6250">
        <v>3.2748920000000001E-2</v>
      </c>
      <c r="W6250">
        <v>1.5715260000000002E-2</v>
      </c>
      <c r="X6250">
        <v>0.99934009999999995</v>
      </c>
      <c r="Y6250">
        <v>0.1182865</v>
      </c>
      <c r="Z6250">
        <v>4.0384619999999998E-4</v>
      </c>
      <c r="AA6250">
        <v>0.99297939999999996</v>
      </c>
      <c r="AB6250">
        <v>25</v>
      </c>
      <c r="AC6250">
        <v>110.3447</v>
      </c>
      <c r="AD6250">
        <v>0.69564099999999995</v>
      </c>
      <c r="AE6250">
        <v>-12.578623</v>
      </c>
      <c r="AF6250">
        <v>13.1515709418484</v>
      </c>
      <c r="AG6250">
        <v>0.69564099999999995</v>
      </c>
      <c r="AH6250">
        <v>110.27349174022</v>
      </c>
      <c r="AI6250">
        <v>89.641107720163802</v>
      </c>
      <c r="AJ6250">
        <v>83.198845725339396</v>
      </c>
      <c r="AK6250">
        <v>111.057150671264</v>
      </c>
      <c r="AL6250">
        <v>89.099544904818899</v>
      </c>
      <c r="AM6250">
        <v>88.123057758809097</v>
      </c>
      <c r="AN6250">
        <v>1.00000004831302</v>
      </c>
    </row>
    <row r="6251" spans="1:40" x14ac:dyDescent="0.25">
      <c r="A6251" t="str">
        <f>"20190312160810902"</f>
        <v>20190312160810902</v>
      </c>
      <c r="B6251" t="str">
        <f>"1552378090892157"</f>
        <v>1552378090892157</v>
      </c>
      <c r="C6251" t="s">
        <v>40</v>
      </c>
      <c r="D6251">
        <v>6.3800439999999998</v>
      </c>
      <c r="E6251">
        <v>0.53168549999999903</v>
      </c>
      <c r="F6251" t="s">
        <v>104</v>
      </c>
      <c r="G6251">
        <v>-252.1508</v>
      </c>
      <c r="H6251">
        <v>1.8938349999999999</v>
      </c>
      <c r="I6251">
        <v>4.9250720000000001</v>
      </c>
      <c r="J6251">
        <v>-362.36439999999999</v>
      </c>
      <c r="K6251">
        <v>1.108827</v>
      </c>
      <c r="L6251">
        <v>17.413789999999999</v>
      </c>
      <c r="M6251">
        <v>0.99995610000000001</v>
      </c>
      <c r="N6251">
        <v>0</v>
      </c>
      <c r="O6251">
        <v>4.9838219999999997E-3</v>
      </c>
      <c r="P6251">
        <v>0.99957410000000002</v>
      </c>
      <c r="Q6251">
        <v>8.0424309999999992E-3</v>
      </c>
      <c r="R6251">
        <v>-2.8054889999999999E-2</v>
      </c>
      <c r="S6251">
        <v>2.9917600000000002</v>
      </c>
      <c r="T6251">
        <v>2.1283750000000001E-2</v>
      </c>
      <c r="U6251">
        <v>-0.33859250000000002</v>
      </c>
      <c r="V6251">
        <v>3.3047849999999997E-2</v>
      </c>
      <c r="W6251">
        <v>1.596175E-2</v>
      </c>
      <c r="X6251">
        <v>0.9993263</v>
      </c>
      <c r="Y6251">
        <v>0.117405</v>
      </c>
      <c r="Z6251">
        <v>4.5162849999999999E-4</v>
      </c>
      <c r="AA6251">
        <v>0.99308399999999997</v>
      </c>
      <c r="AB6251">
        <v>25</v>
      </c>
      <c r="AC6251">
        <v>110.2136</v>
      </c>
      <c r="AD6251">
        <v>0.78500799999999904</v>
      </c>
      <c r="AE6251">
        <v>-12.488718</v>
      </c>
      <c r="AF6251">
        <v>13.037212132681301</v>
      </c>
      <c r="AG6251">
        <v>0.78500799999999904</v>
      </c>
      <c r="AH6251">
        <v>110.144470671585</v>
      </c>
      <c r="AI6251">
        <v>89.594486232549798</v>
      </c>
      <c r="AJ6251">
        <v>83.249612714533697</v>
      </c>
      <c r="AK6251">
        <v>110.91613749710299</v>
      </c>
      <c r="AL6251">
        <v>89.0854202490506</v>
      </c>
      <c r="AM6251">
        <v>88.105911438800305</v>
      </c>
      <c r="AN6251">
        <v>0.99999999586218702</v>
      </c>
    </row>
    <row r="6252" spans="1:40" x14ac:dyDescent="0.25">
      <c r="A6252" t="str">
        <f>"20190312160810915"</f>
        <v>20190312160810915</v>
      </c>
      <c r="B6252" t="str">
        <f>"1552378090901916"</f>
        <v>1552378090901916</v>
      </c>
      <c r="C6252" t="s">
        <v>40</v>
      </c>
      <c r="D6252">
        <v>6.133756</v>
      </c>
      <c r="E6252">
        <v>0.53168549999999903</v>
      </c>
      <c r="F6252" t="s">
        <v>104</v>
      </c>
      <c r="G6252">
        <v>-252.1508</v>
      </c>
      <c r="H6252">
        <v>2.0420319999999998</v>
      </c>
      <c r="I6252">
        <v>5.0028100000000002</v>
      </c>
      <c r="J6252">
        <v>-362.22809999999998</v>
      </c>
      <c r="K6252">
        <v>1.1088309999999999</v>
      </c>
      <c r="L6252">
        <v>17.414249999999999</v>
      </c>
      <c r="M6252">
        <v>0.99995710000000004</v>
      </c>
      <c r="N6252">
        <v>0</v>
      </c>
      <c r="O6252">
        <v>4.7606619999999997E-3</v>
      </c>
      <c r="P6252">
        <v>0.99955910000000003</v>
      </c>
      <c r="Q6252">
        <v>7.7925889999999999E-3</v>
      </c>
      <c r="R6252">
        <v>-2.8650289999999998E-2</v>
      </c>
      <c r="S6252">
        <v>2.991638</v>
      </c>
      <c r="T6252">
        <v>2.53309E-2</v>
      </c>
      <c r="U6252">
        <v>-0.3368835</v>
      </c>
      <c r="V6252">
        <v>3.3420099999999897E-2</v>
      </c>
      <c r="W6252">
        <v>1.5710490000000001E-2</v>
      </c>
      <c r="X6252">
        <v>0.99931789999999998</v>
      </c>
      <c r="Y6252">
        <v>0.11662649999999999</v>
      </c>
      <c r="Z6252">
        <v>5.3237360000000004E-4</v>
      </c>
      <c r="AA6252">
        <v>0.99317569999999999</v>
      </c>
      <c r="AB6252">
        <v>25</v>
      </c>
      <c r="AC6252">
        <v>110.077299999999</v>
      </c>
      <c r="AD6252">
        <v>0.93320099999999995</v>
      </c>
      <c r="AE6252">
        <v>-12.411440000000001</v>
      </c>
      <c r="AF6252">
        <v>12.934438763202399</v>
      </c>
      <c r="AG6252">
        <v>0.93320099999999995</v>
      </c>
      <c r="AH6252">
        <v>110.00915675173199</v>
      </c>
      <c r="AI6252">
        <v>89.517299879218797</v>
      </c>
      <c r="AJ6252">
        <v>83.294177910206798</v>
      </c>
      <c r="AK6252">
        <v>110.770867738104</v>
      </c>
      <c r="AL6252">
        <v>89.099818190451003</v>
      </c>
      <c r="AM6252">
        <v>88.084576196811696</v>
      </c>
      <c r="AN6252">
        <v>0.99999999392022998</v>
      </c>
    </row>
    <row r="6253" spans="1:40" x14ac:dyDescent="0.25">
      <c r="A6253" t="str">
        <f>"20190312160810927"</f>
        <v>20190312160810927</v>
      </c>
      <c r="B6253" t="str">
        <f>"1552378090921437"</f>
        <v>1552378090921437</v>
      </c>
      <c r="C6253" t="s">
        <v>40</v>
      </c>
      <c r="D6253">
        <v>6.1481859999999999</v>
      </c>
      <c r="E6253">
        <v>0.53104549999999995</v>
      </c>
      <c r="F6253" t="s">
        <v>104</v>
      </c>
      <c r="G6253">
        <v>-252.1508</v>
      </c>
      <c r="H6253">
        <v>2.0119660000000001</v>
      </c>
      <c r="I6253">
        <v>4.9514690000000003</v>
      </c>
      <c r="J6253">
        <v>-362.08659999999998</v>
      </c>
      <c r="K6253">
        <v>1.1088290000000001</v>
      </c>
      <c r="L6253">
        <v>17.414670000000001</v>
      </c>
      <c r="M6253">
        <v>0.99995829999999997</v>
      </c>
      <c r="N6253">
        <v>0</v>
      </c>
      <c r="O6253">
        <v>4.5286780000000004E-3</v>
      </c>
      <c r="P6253">
        <v>0.99954089999999995</v>
      </c>
      <c r="Q6253">
        <v>7.9173100000000003E-3</v>
      </c>
      <c r="R6253">
        <v>-2.9247260000000001E-2</v>
      </c>
      <c r="S6253">
        <v>2.991425</v>
      </c>
      <c r="T6253">
        <v>2.4543289999999999E-2</v>
      </c>
      <c r="U6253">
        <v>-0.33868409999999999</v>
      </c>
      <c r="V6253">
        <v>3.378511E-2</v>
      </c>
      <c r="W6253">
        <v>1.5833969999999999E-2</v>
      </c>
      <c r="X6253">
        <v>0.99930370000000002</v>
      </c>
      <c r="Y6253">
        <v>0.1169945</v>
      </c>
      <c r="Z6253">
        <v>5.1544739999999996E-4</v>
      </c>
      <c r="AA6253">
        <v>0.99313240000000003</v>
      </c>
      <c r="AB6253">
        <v>25</v>
      </c>
      <c r="AC6253">
        <v>109.93579999999901</v>
      </c>
      <c r="AD6253">
        <v>0.90313699999999997</v>
      </c>
      <c r="AE6253">
        <v>-12.463201</v>
      </c>
      <c r="AF6253">
        <v>12.9600891259602</v>
      </c>
      <c r="AG6253">
        <v>0.90313699999999997</v>
      </c>
      <c r="AH6253">
        <v>109.870908073083</v>
      </c>
      <c r="AI6253">
        <v>89.532282783403105</v>
      </c>
      <c r="AJ6253">
        <v>83.272624059592999</v>
      </c>
      <c r="AK6253">
        <v>110.636323182748</v>
      </c>
      <c r="AL6253">
        <v>89.092742447931101</v>
      </c>
      <c r="AM6253">
        <v>88.063644531501396</v>
      </c>
      <c r="AN6253">
        <v>1.00000001654868</v>
      </c>
    </row>
    <row r="6254" spans="1:40" x14ac:dyDescent="0.25">
      <c r="A6254" t="str">
        <f>"20190312160810945"</f>
        <v>20190312160810945</v>
      </c>
      <c r="B6254" t="str">
        <f>"1552378090941933"</f>
        <v>1552378090941933</v>
      </c>
      <c r="C6254" t="s">
        <v>40</v>
      </c>
      <c r="D6254">
        <v>5.7088809999999999</v>
      </c>
      <c r="E6254">
        <v>0.53091359999999999</v>
      </c>
      <c r="F6254" t="s">
        <v>104</v>
      </c>
      <c r="G6254">
        <v>-251.78479999999999</v>
      </c>
      <c r="H6254">
        <v>2.0763259999999999</v>
      </c>
      <c r="I6254">
        <v>5.0477600000000002</v>
      </c>
      <c r="J6254">
        <v>-361.8732</v>
      </c>
      <c r="K6254">
        <v>1.108827</v>
      </c>
      <c r="L6254">
        <v>17.41525</v>
      </c>
      <c r="M6254">
        <v>0.99995979999999995</v>
      </c>
      <c r="N6254">
        <v>0</v>
      </c>
      <c r="O6254">
        <v>4.1796280000000003E-3</v>
      </c>
      <c r="P6254">
        <v>0.99951509999999999</v>
      </c>
      <c r="Q6254">
        <v>8.1009199999999993E-3</v>
      </c>
      <c r="R6254">
        <v>-3.0070050000000001E-2</v>
      </c>
      <c r="S6254">
        <v>2.9913639999999999</v>
      </c>
      <c r="T6254">
        <v>2.6238319999999999E-2</v>
      </c>
      <c r="U6254">
        <v>-0.33538820000000003</v>
      </c>
      <c r="V6254">
        <v>3.4259249999999998E-2</v>
      </c>
      <c r="W6254">
        <v>1.6016099999999998E-2</v>
      </c>
      <c r="X6254">
        <v>0.99928459999999997</v>
      </c>
      <c r="Y6254">
        <v>0.1155689</v>
      </c>
      <c r="Z6254">
        <v>5.4180470000000003E-4</v>
      </c>
      <c r="AA6254">
        <v>0.9932993</v>
      </c>
      <c r="AB6254">
        <v>25</v>
      </c>
      <c r="AC6254">
        <v>110.08839999999999</v>
      </c>
      <c r="AD6254">
        <v>0.967499</v>
      </c>
      <c r="AE6254">
        <v>-12.36749</v>
      </c>
      <c r="AF6254">
        <v>12.826546684660601</v>
      </c>
      <c r="AG6254">
        <v>0.967499</v>
      </c>
      <c r="AH6254">
        <v>110.027353095226</v>
      </c>
      <c r="AI6254">
        <v>89.499585023353802</v>
      </c>
      <c r="AJ6254">
        <v>83.350701109863394</v>
      </c>
      <c r="AK6254">
        <v>110.776688808207</v>
      </c>
      <c r="AL6254">
        <v>89.082305793978406</v>
      </c>
      <c r="AM6254">
        <v>88.0364533560263</v>
      </c>
      <c r="AN6254">
        <v>0.99999996173346495</v>
      </c>
    </row>
    <row r="6255" spans="1:40" x14ac:dyDescent="0.25">
      <c r="A6255" t="str">
        <f>"20190312160810959"</f>
        <v>20190312160810959</v>
      </c>
      <c r="B6255" t="str">
        <f>"1552378090951693"</f>
        <v>1552378090951693</v>
      </c>
      <c r="C6255" t="s">
        <v>40</v>
      </c>
      <c r="D6255">
        <v>6.3578650000000003</v>
      </c>
      <c r="E6255">
        <v>0.53069690000000003</v>
      </c>
      <c r="F6255" t="s">
        <v>104</v>
      </c>
      <c r="G6255">
        <v>-252.0462</v>
      </c>
      <c r="H6255">
        <v>2.1250930000000001</v>
      </c>
      <c r="I6255">
        <v>5.0477829999999999</v>
      </c>
      <c r="J6255">
        <v>-361.72550000000001</v>
      </c>
      <c r="K6255">
        <v>1.1088260000000001</v>
      </c>
      <c r="L6255">
        <v>17.415620000000001</v>
      </c>
      <c r="M6255">
        <v>0.99996070000000004</v>
      </c>
      <c r="N6255">
        <v>0</v>
      </c>
      <c r="O6255">
        <v>3.9380439999999999E-3</v>
      </c>
      <c r="P6255">
        <v>0.99950269999999997</v>
      </c>
      <c r="Q6255">
        <v>8.2964219999999995E-3</v>
      </c>
      <c r="R6255">
        <v>-3.0422230000000001E-2</v>
      </c>
      <c r="S6255">
        <v>2.9910890000000001</v>
      </c>
      <c r="T6255">
        <v>2.767754E-2</v>
      </c>
      <c r="U6255">
        <v>-0.33682250000000002</v>
      </c>
      <c r="V6255">
        <v>3.4369990000000003E-2</v>
      </c>
      <c r="W6255">
        <v>1.621158E-2</v>
      </c>
      <c r="X6255">
        <v>0.99927770000000005</v>
      </c>
      <c r="Y6255">
        <v>0.11580890000000001</v>
      </c>
      <c r="Z6255">
        <v>5.7043739999999995E-4</v>
      </c>
      <c r="AA6255">
        <v>0.99327140000000003</v>
      </c>
      <c r="AB6255">
        <v>25</v>
      </c>
      <c r="AC6255">
        <v>109.6793</v>
      </c>
      <c r="AD6255">
        <v>1.016267</v>
      </c>
      <c r="AE6255">
        <v>-12.367837</v>
      </c>
      <c r="AF6255">
        <v>12.7985915990938</v>
      </c>
      <c r="AG6255">
        <v>1.016267</v>
      </c>
      <c r="AH6255">
        <v>109.62044954770499</v>
      </c>
      <c r="AI6255">
        <v>89.472422130194502</v>
      </c>
      <c r="AJ6255">
        <v>83.340656086733901</v>
      </c>
      <c r="AK6255">
        <v>110.369740892043</v>
      </c>
      <c r="AL6255">
        <v>89.0711042111691</v>
      </c>
      <c r="AM6255">
        <v>88.030097766009902</v>
      </c>
      <c r="AN6255">
        <v>1.0000000166279901</v>
      </c>
    </row>
    <row r="6256" spans="1:40" x14ac:dyDescent="0.25">
      <c r="A6256" t="str">
        <f>"20190312160810971"</f>
        <v>20190312160810971</v>
      </c>
      <c r="B6256" t="str">
        <f>"1552378090961455"</f>
        <v>1552378090961455</v>
      </c>
      <c r="C6256" t="s">
        <v>40</v>
      </c>
      <c r="D6256">
        <v>5.7387709999999998</v>
      </c>
      <c r="E6256">
        <v>0.53007389999999999</v>
      </c>
      <c r="F6256" t="s">
        <v>104</v>
      </c>
      <c r="G6256">
        <v>-251.70070000000001</v>
      </c>
      <c r="H6256">
        <v>2.2581989999999998</v>
      </c>
      <c r="I6256">
        <v>5.0478189999999996</v>
      </c>
      <c r="J6256">
        <v>-361.58569999999997</v>
      </c>
      <c r="K6256">
        <v>1.1088260000000001</v>
      </c>
      <c r="L6256">
        <v>17.415949999999999</v>
      </c>
      <c r="M6256">
        <v>0.99996169999999995</v>
      </c>
      <c r="N6256">
        <v>0</v>
      </c>
      <c r="O6256">
        <v>3.7093349999999998E-3</v>
      </c>
      <c r="P6256">
        <v>0.99948890000000001</v>
      </c>
      <c r="Q6256">
        <v>8.3529299999999997E-3</v>
      </c>
      <c r="R6256">
        <v>-3.0858340000000001E-2</v>
      </c>
      <c r="S6256">
        <v>2.9909669999999999</v>
      </c>
      <c r="T6256">
        <v>3.124511E-2</v>
      </c>
      <c r="U6256">
        <v>-0.33621220000000002</v>
      </c>
      <c r="V6256">
        <v>3.4577690000000001E-2</v>
      </c>
      <c r="W6256">
        <v>1.6267839999999999E-2</v>
      </c>
      <c r="X6256">
        <v>0.99926959999999998</v>
      </c>
      <c r="Y6256">
        <v>0.11538470000000001</v>
      </c>
      <c r="Z6256">
        <v>6.3940459999999998E-4</v>
      </c>
      <c r="AA6256">
        <v>0.99332069999999995</v>
      </c>
      <c r="AB6256">
        <v>25</v>
      </c>
      <c r="AC6256">
        <v>109.884999999999</v>
      </c>
      <c r="AD6256">
        <v>1.149373</v>
      </c>
      <c r="AE6256">
        <v>-12.368130999999901</v>
      </c>
      <c r="AF6256">
        <v>12.774278879034</v>
      </c>
      <c r="AG6256">
        <v>1.149373</v>
      </c>
      <c r="AH6256">
        <v>109.826499534859</v>
      </c>
      <c r="AI6256">
        <v>89.404416308812898</v>
      </c>
      <c r="AJ6256">
        <v>83.3655522178246</v>
      </c>
      <c r="AK6256">
        <v>110.572886637064</v>
      </c>
      <c r="AL6256">
        <v>89.067880306643403</v>
      </c>
      <c r="AM6256">
        <v>88.018186936085499</v>
      </c>
      <c r="AN6256">
        <v>0.99999999637407999</v>
      </c>
    </row>
    <row r="6257" spans="1:40" x14ac:dyDescent="0.25">
      <c r="A6257" t="str">
        <f>"20190312160810983"</f>
        <v>20190312160810983</v>
      </c>
      <c r="B6257" t="str">
        <f>"1552378090972189"</f>
        <v>1552378090972189</v>
      </c>
      <c r="C6257" t="s">
        <v>40</v>
      </c>
      <c r="D6257">
        <v>6.3030369999999998</v>
      </c>
      <c r="E6257">
        <v>0.52980109999999903</v>
      </c>
      <c r="F6257" t="s">
        <v>55</v>
      </c>
      <c r="G6257">
        <v>-241.47579999999999</v>
      </c>
      <c r="H6257">
        <v>2.3971460000000002</v>
      </c>
      <c r="I6257">
        <v>4.0604630000000004</v>
      </c>
      <c r="J6257">
        <v>-361.44369999999998</v>
      </c>
      <c r="K6257">
        <v>1.108824</v>
      </c>
      <c r="L6257">
        <v>17.416229999999999</v>
      </c>
      <c r="M6257">
        <v>0.99996240000000003</v>
      </c>
      <c r="N6257">
        <v>0</v>
      </c>
      <c r="O6257">
        <v>3.477108E-3</v>
      </c>
      <c r="P6257">
        <v>0.99948079999999995</v>
      </c>
      <c r="Q6257">
        <v>8.6317449999999997E-3</v>
      </c>
      <c r="R6257">
        <v>-3.1046219999999999E-2</v>
      </c>
      <c r="S6257">
        <v>2.9909970000000001</v>
      </c>
      <c r="T6257">
        <v>3.208184E-2</v>
      </c>
      <c r="U6257">
        <v>-0.332580599999999</v>
      </c>
      <c r="V6257">
        <v>3.453341E-2</v>
      </c>
      <c r="W6257">
        <v>1.654723E-2</v>
      </c>
      <c r="X6257">
        <v>0.9992666</v>
      </c>
      <c r="Y6257">
        <v>0.1139614</v>
      </c>
      <c r="Z6257">
        <v>6.4647089999999999E-4</v>
      </c>
      <c r="AA6257">
        <v>0.99348499999999995</v>
      </c>
      <c r="AB6257">
        <v>25</v>
      </c>
      <c r="AC6257">
        <v>119.9679</v>
      </c>
      <c r="AD6257">
        <v>1.28832199999999</v>
      </c>
      <c r="AE6257">
        <v>-13.355767</v>
      </c>
      <c r="AF6257">
        <v>13.771272052969399</v>
      </c>
      <c r="AG6257">
        <v>1.28832199999999</v>
      </c>
      <c r="AH6257">
        <v>119.907074972988</v>
      </c>
      <c r="AI6257">
        <v>89.388438388102301</v>
      </c>
      <c r="AJ6257">
        <v>83.4483121119424</v>
      </c>
      <c r="AK6257">
        <v>120.70217204388</v>
      </c>
      <c r="AL6257">
        <v>89.051870336811305</v>
      </c>
      <c r="AM6257">
        <v>88.020716877673706</v>
      </c>
      <c r="AN6257">
        <v>1.00000005255122</v>
      </c>
    </row>
    <row r="6258" spans="1:40" x14ac:dyDescent="0.25">
      <c r="A6258" t="str">
        <f>"20190312160811003"</f>
        <v>20190312160811003</v>
      </c>
      <c r="B6258" t="str">
        <f>"1552378090991708"</f>
        <v>1552378090991708</v>
      </c>
      <c r="C6258" t="s">
        <v>40</v>
      </c>
      <c r="D6258">
        <v>6.4170740000000004</v>
      </c>
      <c r="E6258">
        <v>0.52931680000000003</v>
      </c>
      <c r="F6258" t="s">
        <v>55</v>
      </c>
      <c r="G6258">
        <v>-241.47579999999999</v>
      </c>
      <c r="H6258">
        <v>2.5044940000000002</v>
      </c>
      <c r="I6258">
        <v>4.1401839999999996</v>
      </c>
      <c r="J6258">
        <v>-361.22160000000002</v>
      </c>
      <c r="K6258">
        <v>1.108824</v>
      </c>
      <c r="L6258">
        <v>17.416599999999999</v>
      </c>
      <c r="M6258">
        <v>0.99996359999999995</v>
      </c>
      <c r="N6258">
        <v>0</v>
      </c>
      <c r="O6258">
        <v>3.1139230000000002E-3</v>
      </c>
      <c r="P6258">
        <v>0.9994615</v>
      </c>
      <c r="Q6258">
        <v>8.6345640000000008E-3</v>
      </c>
      <c r="R6258">
        <v>-3.166281E-2</v>
      </c>
      <c r="S6258">
        <v>2.9909970000000001</v>
      </c>
      <c r="T6258">
        <v>3.4796000000000001E-2</v>
      </c>
      <c r="U6258">
        <v>-0.3309937</v>
      </c>
      <c r="V6258">
        <v>3.4787070000000003E-2</v>
      </c>
      <c r="W6258">
        <v>1.655104E-2</v>
      </c>
      <c r="X6258">
        <v>0.99925770000000003</v>
      </c>
      <c r="Y6258">
        <v>0.1130787</v>
      </c>
      <c r="Z6258">
        <v>6.9184869999999905E-4</v>
      </c>
      <c r="AA6258">
        <v>0.99358579999999996</v>
      </c>
      <c r="AB6258">
        <v>26</v>
      </c>
      <c r="AC6258">
        <v>119.7458</v>
      </c>
      <c r="AD6258">
        <v>1.39566999999999</v>
      </c>
      <c r="AE6258">
        <v>-13.276415999999999</v>
      </c>
      <c r="AF6258">
        <v>13.6474111692972</v>
      </c>
      <c r="AG6258">
        <v>1.39566999999999</v>
      </c>
      <c r="AH6258">
        <v>119.68781476149</v>
      </c>
      <c r="AI6258">
        <v>89.336209677309895</v>
      </c>
      <c r="AJ6258">
        <v>83.494940095500496</v>
      </c>
      <c r="AK6258">
        <v>120.471460225041</v>
      </c>
      <c r="AL6258">
        <v>89.051651973522794</v>
      </c>
      <c r="AM6258">
        <v>88.006172296945905</v>
      </c>
      <c r="AN6258">
        <v>1.00000001408677</v>
      </c>
    </row>
    <row r="6259" spans="1:40" x14ac:dyDescent="0.25">
      <c r="A6259" t="str">
        <f>"20190312160811024"</f>
        <v>20190312160811024</v>
      </c>
      <c r="B6259" t="str">
        <f>"1552378091021964"</f>
        <v>1552378091021964</v>
      </c>
      <c r="C6259" t="s">
        <v>40</v>
      </c>
      <c r="D6259">
        <v>6.654712</v>
      </c>
      <c r="E6259">
        <v>0.52765899999999999</v>
      </c>
      <c r="F6259" t="s">
        <v>55</v>
      </c>
      <c r="G6259">
        <v>-241.47579999999999</v>
      </c>
      <c r="H6259">
        <v>2.49431</v>
      </c>
      <c r="I6259">
        <v>4.2467160000000002</v>
      </c>
      <c r="J6259">
        <v>-360.97030000000001</v>
      </c>
      <c r="K6259">
        <v>1.1088199999999999</v>
      </c>
      <c r="L6259">
        <v>17.416929999999901</v>
      </c>
      <c r="M6259">
        <v>0.99996479999999999</v>
      </c>
      <c r="N6259">
        <v>0</v>
      </c>
      <c r="O6259">
        <v>2.7029910000000001E-3</v>
      </c>
      <c r="P6259">
        <v>0.99944710000000003</v>
      </c>
      <c r="Q6259">
        <v>8.5976830000000001E-3</v>
      </c>
      <c r="R6259">
        <v>-3.212023E-2</v>
      </c>
      <c r="S6259">
        <v>2.990936</v>
      </c>
      <c r="T6259">
        <v>3.4605259999999999E-2</v>
      </c>
      <c r="U6259">
        <v>-0.32894899999999999</v>
      </c>
      <c r="V6259">
        <v>3.4833940000000001E-2</v>
      </c>
      <c r="W6259">
        <v>1.651528E-2</v>
      </c>
      <c r="X6259">
        <v>0.9992567</v>
      </c>
      <c r="Y6259">
        <v>0.11200160000000001</v>
      </c>
      <c r="Z6259">
        <v>6.7714380000000001E-4</v>
      </c>
      <c r="AA6259">
        <v>0.99370780000000003</v>
      </c>
      <c r="AB6259">
        <v>26</v>
      </c>
      <c r="AC6259">
        <v>119.4945</v>
      </c>
      <c r="AD6259">
        <v>1.3854900000000001</v>
      </c>
      <c r="AE6259">
        <v>-13.1702139999999</v>
      </c>
      <c r="AF6259">
        <v>13.491376693106901</v>
      </c>
      <c r="AG6259">
        <v>1.3854900000000001</v>
      </c>
      <c r="AH6259">
        <v>119.442598856723</v>
      </c>
      <c r="AI6259">
        <v>89.339618895210904</v>
      </c>
      <c r="AJ6259">
        <v>83.555594937555099</v>
      </c>
      <c r="AK6259">
        <v>120.21011292426</v>
      </c>
      <c r="AL6259">
        <v>89.053701189537605</v>
      </c>
      <c r="AM6259">
        <v>88.003486109947104</v>
      </c>
      <c r="AN6259">
        <v>1.00000005517214</v>
      </c>
    </row>
    <row r="6260" spans="1:40" x14ac:dyDescent="0.25">
      <c r="A6260" t="str">
        <f>"20190312160811046"</f>
        <v>20190312160811046</v>
      </c>
      <c r="B6260" t="str">
        <f>"1552378091041485"</f>
        <v>1552378091041485</v>
      </c>
      <c r="C6260" t="s">
        <v>40</v>
      </c>
      <c r="D6260">
        <v>6.3989070000000003</v>
      </c>
      <c r="E6260">
        <v>0.52658119999999997</v>
      </c>
      <c r="F6260" t="s">
        <v>55</v>
      </c>
      <c r="G6260">
        <v>-241.47579999999999</v>
      </c>
      <c r="H6260">
        <v>2.4303400000000002</v>
      </c>
      <c r="I6260">
        <v>4.7477019999999897</v>
      </c>
      <c r="J6260">
        <v>-360.72320000000002</v>
      </c>
      <c r="K6260">
        <v>1.1088169999999999</v>
      </c>
      <c r="L6260">
        <v>17.41714</v>
      </c>
      <c r="M6260">
        <v>0.99996569999999996</v>
      </c>
      <c r="N6260">
        <v>0</v>
      </c>
      <c r="O6260">
        <v>2.2993309999999999E-3</v>
      </c>
      <c r="P6260">
        <v>0.99942889999999995</v>
      </c>
      <c r="Q6260">
        <v>8.9778889999999993E-3</v>
      </c>
      <c r="R6260">
        <v>-3.2577259999999997E-2</v>
      </c>
      <c r="S6260">
        <v>2.9912109999999998</v>
      </c>
      <c r="T6260">
        <v>3.3080100000000001E-2</v>
      </c>
      <c r="U6260">
        <v>-0.3171387</v>
      </c>
      <c r="V6260">
        <v>3.4887899999999999E-2</v>
      </c>
      <c r="W6260">
        <v>1.689765E-2</v>
      </c>
      <c r="X6260">
        <v>0.99924840000000004</v>
      </c>
      <c r="Y6260">
        <v>0.10771219999999999</v>
      </c>
      <c r="Z6260">
        <v>6.1927599999999998E-4</v>
      </c>
      <c r="AA6260">
        <v>0.99418189999999995</v>
      </c>
      <c r="AB6260">
        <v>26</v>
      </c>
      <c r="AC6260">
        <v>119.2474</v>
      </c>
      <c r="AD6260">
        <v>1.321523</v>
      </c>
      <c r="AE6260">
        <v>-12.669438</v>
      </c>
      <c r="AF6260">
        <v>12.9420306957797</v>
      </c>
      <c r="AG6260">
        <v>1.321523</v>
      </c>
      <c r="AH6260">
        <v>119.203476029695</v>
      </c>
      <c r="AI6260">
        <v>89.368539529700001</v>
      </c>
      <c r="AJ6260">
        <v>83.803615543314294</v>
      </c>
      <c r="AK6260">
        <v>119.911264187865</v>
      </c>
      <c r="AL6260">
        <v>89.0317899215392</v>
      </c>
      <c r="AM6260">
        <v>88.000379295297805</v>
      </c>
      <c r="AN6260">
        <v>1.0000000305222401</v>
      </c>
    </row>
    <row r="6261" spans="1:40" x14ac:dyDescent="0.25">
      <c r="A6261" t="str">
        <f>"20190312160811058"</f>
        <v>20190312160811058</v>
      </c>
      <c r="B6261" t="str">
        <f>"1552378091052222"</f>
        <v>1552378091052222</v>
      </c>
      <c r="C6261" t="s">
        <v>40</v>
      </c>
      <c r="D6261">
        <v>6.293812</v>
      </c>
      <c r="E6261">
        <v>0.52606509999999995</v>
      </c>
      <c r="F6261" t="s">
        <v>55</v>
      </c>
      <c r="G6261">
        <v>-241.07</v>
      </c>
      <c r="H6261">
        <v>2.4224060000000001</v>
      </c>
      <c r="I6261">
        <v>5.0259239999999998</v>
      </c>
      <c r="J6261">
        <v>-360.59190000000001</v>
      </c>
      <c r="K6261">
        <v>1.108816</v>
      </c>
      <c r="L6261">
        <v>17.417269999999998</v>
      </c>
      <c r="M6261">
        <v>0.99996629999999997</v>
      </c>
      <c r="N6261">
        <v>0</v>
      </c>
      <c r="O6261">
        <v>2.085164E-3</v>
      </c>
      <c r="P6261">
        <v>0.99941709999999995</v>
      </c>
      <c r="Q6261">
        <v>9.0656850000000004E-3</v>
      </c>
      <c r="R6261">
        <v>-3.2919030000000002E-2</v>
      </c>
      <c r="S6261">
        <v>2.9913639999999999</v>
      </c>
      <c r="T6261">
        <v>3.2839889999999997E-2</v>
      </c>
      <c r="U6261">
        <v>-0.3097839</v>
      </c>
      <c r="V6261">
        <v>3.5015520000000001E-2</v>
      </c>
      <c r="W6261">
        <v>1.6986330000000001E-2</v>
      </c>
      <c r="X6261">
        <v>0.99924239999999998</v>
      </c>
      <c r="Y6261">
        <v>0.10507610000000001</v>
      </c>
      <c r="Z6261">
        <v>5.9805069999999995E-4</v>
      </c>
      <c r="AA6261">
        <v>0.99446400000000001</v>
      </c>
      <c r="AB6261">
        <v>26</v>
      </c>
      <c r="AC6261">
        <v>119.5219</v>
      </c>
      <c r="AD6261">
        <v>1.31359</v>
      </c>
      <c r="AE6261">
        <v>-12.391346</v>
      </c>
      <c r="AF6261">
        <v>12.6390392673951</v>
      </c>
      <c r="AG6261">
        <v>1.31359</v>
      </c>
      <c r="AH6261">
        <v>119.48152285120101</v>
      </c>
      <c r="AI6261">
        <v>89.373605335717798</v>
      </c>
      <c r="AJ6261">
        <v>83.961572697079902</v>
      </c>
      <c r="AK6261">
        <v>120.155337522446</v>
      </c>
      <c r="AL6261">
        <v>89.026708170953597</v>
      </c>
      <c r="AM6261">
        <v>87.993058609015094</v>
      </c>
      <c r="AN6261">
        <v>0.99999999800274897</v>
      </c>
    </row>
    <row r="6262" spans="1:40" x14ac:dyDescent="0.25">
      <c r="A6262" t="str">
        <f>"20190312160811068"</f>
        <v>20190312160811068</v>
      </c>
      <c r="B6262" t="str">
        <f>"1552378091061980"</f>
        <v>1552378091061980</v>
      </c>
      <c r="C6262" t="s">
        <v>40</v>
      </c>
      <c r="D6262">
        <v>6.3460470000000004</v>
      </c>
      <c r="E6262">
        <v>0.52563309999999996</v>
      </c>
      <c r="F6262" t="s">
        <v>55</v>
      </c>
      <c r="G6262">
        <v>-241.07</v>
      </c>
      <c r="H6262">
        <v>2.3966759999999998</v>
      </c>
      <c r="I6262">
        <v>5.1629230000000002</v>
      </c>
      <c r="J6262">
        <v>-360.45400000000001</v>
      </c>
      <c r="K6262">
        <v>1.1088129999999901</v>
      </c>
      <c r="L6262">
        <v>17.417300000000001</v>
      </c>
      <c r="M6262">
        <v>0.99996660000000004</v>
      </c>
      <c r="N6262">
        <v>0</v>
      </c>
      <c r="O6262">
        <v>1.861463E-3</v>
      </c>
      <c r="P6262">
        <v>0.99940469999999904</v>
      </c>
      <c r="Q6262">
        <v>9.2867450000000008E-3</v>
      </c>
      <c r="R6262">
        <v>-3.3230170000000003E-2</v>
      </c>
      <c r="S6262">
        <v>2.9913940000000001</v>
      </c>
      <c r="T6262">
        <v>3.2232400000000001E-2</v>
      </c>
      <c r="U6262">
        <v>-0.30670170000000002</v>
      </c>
      <c r="V6262">
        <v>3.5103280000000001E-2</v>
      </c>
      <c r="W6262">
        <v>1.720899E-2</v>
      </c>
      <c r="X6262">
        <v>0.99923550000000005</v>
      </c>
      <c r="Y6262">
        <v>0.103838899999999</v>
      </c>
      <c r="Z6262">
        <v>5.7796129999999999E-4</v>
      </c>
      <c r="AA6262">
        <v>0.99459399999999998</v>
      </c>
      <c r="AB6262">
        <v>26</v>
      </c>
      <c r="AC6262">
        <v>119.384</v>
      </c>
      <c r="AD6262">
        <v>1.287863</v>
      </c>
      <c r="AE6262">
        <v>-12.254377</v>
      </c>
      <c r="AF6262">
        <v>12.4751550867828</v>
      </c>
      <c r="AG6262">
        <v>1.287863</v>
      </c>
      <c r="AH6262">
        <v>119.34723753786101</v>
      </c>
      <c r="AI6262">
        <v>89.385101351873601</v>
      </c>
      <c r="AJ6262">
        <v>84.032644222058394</v>
      </c>
      <c r="AK6262">
        <v>120.004379892839</v>
      </c>
      <c r="AL6262">
        <v>89.013948816710794</v>
      </c>
      <c r="AM6262">
        <v>87.988018824337104</v>
      </c>
      <c r="AN6262">
        <v>0.99999998703191395</v>
      </c>
    </row>
    <row r="6263" spans="1:40" x14ac:dyDescent="0.25">
      <c r="A6263" t="str">
        <f>"20190312160811080"</f>
        <v>20190312160811080</v>
      </c>
      <c r="B6263" t="str">
        <f>"1552378091071740"</f>
        <v>1552378091071740</v>
      </c>
      <c r="C6263" t="s">
        <v>40</v>
      </c>
      <c r="D6263">
        <v>6.3477240000000004</v>
      </c>
      <c r="E6263">
        <v>0.52519179999999999</v>
      </c>
      <c r="F6263" t="s">
        <v>55</v>
      </c>
      <c r="G6263">
        <v>-241.07</v>
      </c>
      <c r="H6263">
        <v>2.3998200000000001</v>
      </c>
      <c r="I6263">
        <v>5.2780570000000004</v>
      </c>
      <c r="J6263">
        <v>-360.32389999999998</v>
      </c>
      <c r="K6263">
        <v>1.108816</v>
      </c>
      <c r="L6263">
        <v>17.417300000000001</v>
      </c>
      <c r="M6263">
        <v>0.99996700000000005</v>
      </c>
      <c r="N6263">
        <v>0</v>
      </c>
      <c r="O6263">
        <v>1.651774E-3</v>
      </c>
      <c r="P6263">
        <v>0.9993919</v>
      </c>
      <c r="Q6263">
        <v>9.0912449999999995E-3</v>
      </c>
      <c r="R6263">
        <v>-3.3661549999999998E-2</v>
      </c>
      <c r="S6263">
        <v>2.9913639999999999</v>
      </c>
      <c r="T6263">
        <v>3.2348160000000001E-2</v>
      </c>
      <c r="U6263">
        <v>-0.30416870000000001</v>
      </c>
      <c r="V6263">
        <v>3.5325099999999998E-2</v>
      </c>
      <c r="W6263">
        <v>1.7014459999999999E-2</v>
      </c>
      <c r="X6263">
        <v>0.99923099999999998</v>
      </c>
      <c r="Y6263">
        <v>0.10279779999999999</v>
      </c>
      <c r="Z6263">
        <v>5.7219129999999999E-4</v>
      </c>
      <c r="AA6263">
        <v>0.99470210000000003</v>
      </c>
      <c r="AB6263">
        <v>26</v>
      </c>
      <c r="AC6263">
        <v>119.2539</v>
      </c>
      <c r="AD6263">
        <v>1.291004</v>
      </c>
      <c r="AE6263">
        <v>-12.139242999999899</v>
      </c>
      <c r="AF6263">
        <v>12.334782409503701</v>
      </c>
      <c r="AG6263">
        <v>1.291004</v>
      </c>
      <c r="AH6263">
        <v>119.219856676489</v>
      </c>
      <c r="AI6263">
        <v>89.382875577886594</v>
      </c>
      <c r="AJ6263">
        <v>84.093053490216406</v>
      </c>
      <c r="AK6263">
        <v>119.86320442229299</v>
      </c>
      <c r="AL6263">
        <v>89.025096183289904</v>
      </c>
      <c r="AM6263">
        <v>87.975306417041693</v>
      </c>
      <c r="AN6263">
        <v>0.99999997295005005</v>
      </c>
    </row>
    <row r="6264" spans="1:40" x14ac:dyDescent="0.25">
      <c r="A6264" t="str">
        <f>"20190312160811091"</f>
        <v>20190312160811091</v>
      </c>
      <c r="B6264" t="str">
        <f>"1552378091081500"</f>
        <v>1552378091081500</v>
      </c>
      <c r="C6264" t="s">
        <v>40</v>
      </c>
      <c r="D6264">
        <v>6.3979100000000004</v>
      </c>
      <c r="E6264">
        <v>0.52484149999999996</v>
      </c>
      <c r="F6264" t="s">
        <v>55</v>
      </c>
      <c r="G6264">
        <v>-241.07</v>
      </c>
      <c r="H6264">
        <v>2.3432460000000002</v>
      </c>
      <c r="I6264">
        <v>5.380096</v>
      </c>
      <c r="J6264">
        <v>-360.19240000000002</v>
      </c>
      <c r="K6264">
        <v>1.108816</v>
      </c>
      <c r="L6264">
        <v>17.417300000000001</v>
      </c>
      <c r="M6264">
        <v>0.99996739999999995</v>
      </c>
      <c r="N6264">
        <v>0</v>
      </c>
      <c r="O6264">
        <v>1.440537E-3</v>
      </c>
      <c r="P6264">
        <v>0.99937619999999905</v>
      </c>
      <c r="Q6264">
        <v>9.2494310000000007E-3</v>
      </c>
      <c r="R6264">
        <v>-3.4092829999999998E-2</v>
      </c>
      <c r="S6264">
        <v>2.9913639999999999</v>
      </c>
      <c r="T6264">
        <v>3.096426E-2</v>
      </c>
      <c r="U6264">
        <v>-0.30194090000000001</v>
      </c>
      <c r="V6264">
        <v>3.5545100000000003E-2</v>
      </c>
      <c r="W6264">
        <v>1.7174660000000001E-2</v>
      </c>
      <c r="X6264">
        <v>0.99922049999999996</v>
      </c>
      <c r="Y6264">
        <v>0.101855</v>
      </c>
      <c r="Z6264">
        <v>5.4068539999999998E-4</v>
      </c>
      <c r="AA6264">
        <v>0.99479910000000005</v>
      </c>
      <c r="AB6264">
        <v>26</v>
      </c>
      <c r="AC6264">
        <v>119.1224</v>
      </c>
      <c r="AD6264">
        <v>1.2344299999999899</v>
      </c>
      <c r="AE6264">
        <v>-12.037203999999999</v>
      </c>
      <c r="AF6264">
        <v>12.207499491305301</v>
      </c>
      <c r="AG6264">
        <v>1.2344299999999899</v>
      </c>
      <c r="AH6264">
        <v>119.092276278081</v>
      </c>
      <c r="AI6264">
        <v>89.409227310146406</v>
      </c>
      <c r="AJ6264">
        <v>84.147363357734093</v>
      </c>
      <c r="AK6264">
        <v>119.722667571141</v>
      </c>
      <c r="AL6264">
        <v>89.015916099458707</v>
      </c>
      <c r="AM6264">
        <v>87.962686098777496</v>
      </c>
      <c r="AN6264">
        <v>1.00000001535018</v>
      </c>
    </row>
    <row r="6265" spans="1:40" x14ac:dyDescent="0.25">
      <c r="A6265" t="str">
        <f>"20190312160811102"</f>
        <v>20190312160811102</v>
      </c>
      <c r="B6265" t="str">
        <f>"1552378091092236"</f>
        <v>1552378091092236</v>
      </c>
      <c r="C6265" t="s">
        <v>40</v>
      </c>
      <c r="D6265">
        <v>6.3467789999999997</v>
      </c>
      <c r="E6265">
        <v>0.52449100000000004</v>
      </c>
      <c r="F6265" t="s">
        <v>55</v>
      </c>
      <c r="G6265">
        <v>-241.07</v>
      </c>
      <c r="H6265">
        <v>2.3231459999999999</v>
      </c>
      <c r="I6265">
        <v>5.4529290000000001</v>
      </c>
      <c r="J6265">
        <v>-360.0641</v>
      </c>
      <c r="K6265">
        <v>1.1088169999999999</v>
      </c>
      <c r="L6265">
        <v>17.417269999999998</v>
      </c>
      <c r="M6265">
        <v>0.99996770000000001</v>
      </c>
      <c r="N6265">
        <v>0</v>
      </c>
      <c r="O6265">
        <v>1.2381930000000001E-3</v>
      </c>
      <c r="P6265">
        <v>0.99935640000000003</v>
      </c>
      <c r="Q6265">
        <v>9.4627329999999992E-3</v>
      </c>
      <c r="R6265">
        <v>-3.4605669999999998E-2</v>
      </c>
      <c r="S6265">
        <v>2.9913639999999999</v>
      </c>
      <c r="T6265">
        <v>3.0493739999999998E-2</v>
      </c>
      <c r="U6265">
        <v>-0.30044559999999998</v>
      </c>
      <c r="V6265">
        <v>3.5855919999999999E-2</v>
      </c>
      <c r="W6265">
        <v>1.73892E-2</v>
      </c>
      <c r="X6265">
        <v>0.99920560000000003</v>
      </c>
      <c r="Y6265">
        <v>0.1011616</v>
      </c>
      <c r="Z6265">
        <v>5.2690029999999995E-4</v>
      </c>
      <c r="AA6265">
        <v>0.99486989999999997</v>
      </c>
      <c r="AB6265">
        <v>26</v>
      </c>
      <c r="AC6265">
        <v>118.9941</v>
      </c>
      <c r="AD6265">
        <v>1.214329</v>
      </c>
      <c r="AE6265">
        <v>-11.964340999999999</v>
      </c>
      <c r="AF6265">
        <v>12.110425566005601</v>
      </c>
      <c r="AG6265">
        <v>1.214329</v>
      </c>
      <c r="AH6265">
        <v>118.966928804471</v>
      </c>
      <c r="AI6265">
        <v>89.418192650529505</v>
      </c>
      <c r="AJ6265">
        <v>84.1875082551541</v>
      </c>
      <c r="AK6265">
        <v>119.587905540142</v>
      </c>
      <c r="AL6265">
        <v>89.003621943164603</v>
      </c>
      <c r="AM6265">
        <v>87.944855634562003</v>
      </c>
      <c r="AN6265">
        <v>0.99999993117352004</v>
      </c>
    </row>
    <row r="6266" spans="1:40" x14ac:dyDescent="0.25">
      <c r="A6266" t="str">
        <f>"20190312160811115"</f>
        <v>20190312160811115</v>
      </c>
      <c r="B6266" t="str">
        <f>"1552378091111757"</f>
        <v>1552378091111757</v>
      </c>
      <c r="C6266" t="s">
        <v>40</v>
      </c>
      <c r="D6266">
        <v>6.3435350000000001</v>
      </c>
      <c r="E6266">
        <v>0.52376489999999998</v>
      </c>
      <c r="F6266" t="s">
        <v>55</v>
      </c>
      <c r="G6266">
        <v>-241.07</v>
      </c>
      <c r="H6266">
        <v>2.3154110000000001</v>
      </c>
      <c r="I6266">
        <v>5.5176109999999996</v>
      </c>
      <c r="J6266">
        <v>-359.91789999999997</v>
      </c>
      <c r="K6266">
        <v>1.108819</v>
      </c>
      <c r="L6266">
        <v>17.41724</v>
      </c>
      <c r="M6266">
        <v>0.99996790000000002</v>
      </c>
      <c r="N6266">
        <v>0</v>
      </c>
      <c r="O6266">
        <v>1.0090940000000001E-3</v>
      </c>
      <c r="P6266">
        <v>0.99935280000000004</v>
      </c>
      <c r="Q6266">
        <v>9.4638280000000005E-3</v>
      </c>
      <c r="R6266">
        <v>-3.4709900000000002E-2</v>
      </c>
      <c r="S6266">
        <v>2.9912719999999999</v>
      </c>
      <c r="T6266">
        <v>3.0331130000000001E-2</v>
      </c>
      <c r="U6266">
        <v>-0.29913329999999999</v>
      </c>
      <c r="V6266">
        <v>3.5730949999999997E-2</v>
      </c>
      <c r="W6266">
        <v>1.7393019999999999E-2</v>
      </c>
      <c r="X6266">
        <v>0.99921009999999999</v>
      </c>
      <c r="Y6266">
        <v>0.1005046</v>
      </c>
      <c r="Z6266">
        <v>5.1847880000000001E-4</v>
      </c>
      <c r="AA6266">
        <v>0.9949365</v>
      </c>
      <c r="AB6266">
        <v>26</v>
      </c>
      <c r="AC6266">
        <v>118.847899999999</v>
      </c>
      <c r="AD6266">
        <v>1.2065920000000001</v>
      </c>
      <c r="AE6266">
        <v>-11.899628999999999</v>
      </c>
      <c r="AF6266">
        <v>12.018328982719501</v>
      </c>
      <c r="AG6266">
        <v>1.2065920000000001</v>
      </c>
      <c r="AH6266">
        <v>118.823705506715</v>
      </c>
      <c r="AI6266">
        <v>89.421164652633905</v>
      </c>
      <c r="AJ6266">
        <v>84.224505333064698</v>
      </c>
      <c r="AK6266">
        <v>119.436046008472</v>
      </c>
      <c r="AL6266">
        <v>89.0034031296329</v>
      </c>
      <c r="AM6266">
        <v>87.952021612507295</v>
      </c>
      <c r="AN6266">
        <v>1.0000000209373101</v>
      </c>
    </row>
    <row r="6267" spans="1:40" x14ac:dyDescent="0.25">
      <c r="A6267" t="str">
        <f>"20190312160811135"</f>
        <v>20190312160811135</v>
      </c>
      <c r="B6267" t="str">
        <f>"1552378091132253"</f>
        <v>1552378091132253</v>
      </c>
      <c r="C6267" t="s">
        <v>40</v>
      </c>
      <c r="D6267">
        <v>6.3142760000000004</v>
      </c>
      <c r="E6267">
        <v>0.52306509999999995</v>
      </c>
      <c r="F6267" t="s">
        <v>55</v>
      </c>
      <c r="G6267">
        <v>-241.07</v>
      </c>
      <c r="H6267">
        <v>2.2251470000000002</v>
      </c>
      <c r="I6267">
        <v>5.7525009999999996</v>
      </c>
      <c r="J6267">
        <v>-359.69139999999999</v>
      </c>
      <c r="K6267">
        <v>1.108827</v>
      </c>
      <c r="L6267">
        <v>17.417079999999999</v>
      </c>
      <c r="M6267">
        <v>0.99996810000000003</v>
      </c>
      <c r="N6267">
        <v>0</v>
      </c>
      <c r="O6267">
        <v>6.6535879999999996E-4</v>
      </c>
      <c r="P6267">
        <v>0.99934109999999998</v>
      </c>
      <c r="Q6267">
        <v>9.8181740000000007E-3</v>
      </c>
      <c r="R6267">
        <v>-3.494485E-2</v>
      </c>
      <c r="S6267">
        <v>2.9914860000000001</v>
      </c>
      <c r="T6267">
        <v>2.8098580000000001E-2</v>
      </c>
      <c r="U6267">
        <v>-0.29360960000000003</v>
      </c>
      <c r="V6267">
        <v>3.5622479999999998E-2</v>
      </c>
      <c r="W6267">
        <v>1.7751059999999999E-2</v>
      </c>
      <c r="X6267">
        <v>0.99920770000000003</v>
      </c>
      <c r="Y6267">
        <v>9.8336960000000001E-2</v>
      </c>
      <c r="Z6267">
        <v>4.6695009999999997E-4</v>
      </c>
      <c r="AA6267">
        <v>0.99515310000000001</v>
      </c>
      <c r="AB6267">
        <v>26</v>
      </c>
      <c r="AC6267">
        <v>118.62139999999999</v>
      </c>
      <c r="AD6267">
        <v>1.11632</v>
      </c>
      <c r="AE6267">
        <v>-11.6645789999999</v>
      </c>
      <c r="AF6267">
        <v>11.742474723811601</v>
      </c>
      <c r="AG6267">
        <v>1.11632</v>
      </c>
      <c r="AH6267">
        <v>118.60320912929301</v>
      </c>
      <c r="AI6267">
        <v>89.463358780164498</v>
      </c>
      <c r="AJ6267">
        <v>84.345778798263595</v>
      </c>
      <c r="AK6267">
        <v>119.188309404691</v>
      </c>
      <c r="AL6267">
        <v>88.982885805116894</v>
      </c>
      <c r="AM6267">
        <v>87.958228579595698</v>
      </c>
      <c r="AN6267">
        <v>1.0000000444758801</v>
      </c>
    </row>
    <row r="6268" spans="1:40" x14ac:dyDescent="0.25">
      <c r="A6268" t="str">
        <f>"20190312160811145"</f>
        <v>20190312160811145</v>
      </c>
      <c r="B6268" t="str">
        <f>"1552378091142015"</f>
        <v>1552378091142015</v>
      </c>
      <c r="C6268" t="s">
        <v>40</v>
      </c>
      <c r="D6268">
        <v>7.0875769999999996</v>
      </c>
      <c r="E6268">
        <v>0.52306509999999995</v>
      </c>
      <c r="F6268" t="s">
        <v>55</v>
      </c>
      <c r="G6268">
        <v>-241.07</v>
      </c>
      <c r="H6268">
        <v>2.2962310000000001</v>
      </c>
      <c r="I6268">
        <v>5.9685480000000002</v>
      </c>
      <c r="J6268">
        <v>-359.5573</v>
      </c>
      <c r="K6268">
        <v>1.1088309999999999</v>
      </c>
      <c r="L6268">
        <v>17.41696</v>
      </c>
      <c r="M6268">
        <v>0.99996819999999997</v>
      </c>
      <c r="N6268">
        <v>0</v>
      </c>
      <c r="O6268">
        <v>4.699115E-4</v>
      </c>
      <c r="P6268">
        <v>0.99933430000000001</v>
      </c>
      <c r="Q6268">
        <v>9.8551869999999996E-3</v>
      </c>
      <c r="R6268">
        <v>-3.512904E-2</v>
      </c>
      <c r="S6268">
        <v>2.9915769999999999</v>
      </c>
      <c r="T6268">
        <v>2.9945610000000001E-2</v>
      </c>
      <c r="U6268">
        <v>-0.28872680000000001</v>
      </c>
      <c r="V6268">
        <v>3.5611219999999999E-2</v>
      </c>
      <c r="W6268">
        <v>1.7790630000000002E-2</v>
      </c>
      <c r="X6268">
        <v>0.99920739999999997</v>
      </c>
      <c r="Y6268">
        <v>9.6529799999999999E-2</v>
      </c>
      <c r="Z6268">
        <v>4.866917E-4</v>
      </c>
      <c r="AA6268">
        <v>0.99533000000000005</v>
      </c>
      <c r="AB6268">
        <v>26</v>
      </c>
      <c r="AC6268">
        <v>118.4873</v>
      </c>
      <c r="AD6268">
        <v>1.1874</v>
      </c>
      <c r="AE6268">
        <v>-11.448411999999999</v>
      </c>
      <c r="AF6268">
        <v>11.502946523795501</v>
      </c>
      <c r="AG6268">
        <v>1.1874</v>
      </c>
      <c r="AH6268">
        <v>118.47011945279399</v>
      </c>
      <c r="AI6268">
        <v>89.428443905751607</v>
      </c>
      <c r="AJ6268">
        <v>84.454206845102405</v>
      </c>
      <c r="AK6268">
        <v>119.033175630362</v>
      </c>
      <c r="AL6268">
        <v>88.980618255575095</v>
      </c>
      <c r="AM6268">
        <v>87.958872810006199</v>
      </c>
      <c r="AN6268">
        <v>1.0000000468602199</v>
      </c>
    </row>
    <row r="6269" spans="1:40" x14ac:dyDescent="0.25">
      <c r="A6269" t="str">
        <f>"20190312160811157"</f>
        <v>20190312160811157</v>
      </c>
      <c r="B6269" t="str">
        <f>"1552378091151773"</f>
        <v>1552378091151773</v>
      </c>
      <c r="C6269" t="s">
        <v>40</v>
      </c>
      <c r="D6269">
        <v>5.959962</v>
      </c>
      <c r="E6269">
        <v>0.52306509999999995</v>
      </c>
      <c r="F6269" t="s">
        <v>55</v>
      </c>
      <c r="G6269">
        <v>-241.07</v>
      </c>
      <c r="H6269">
        <v>2.2978339999999999</v>
      </c>
      <c r="I6269">
        <v>5.9596109999999998</v>
      </c>
      <c r="J6269">
        <v>-359.42660000000001</v>
      </c>
      <c r="K6269">
        <v>1.108838</v>
      </c>
      <c r="L6269">
        <v>17.416840000000001</v>
      </c>
      <c r="M6269">
        <v>0.99996830000000003</v>
      </c>
      <c r="N6269">
        <v>0</v>
      </c>
      <c r="O6269">
        <v>2.8221499999999999E-4</v>
      </c>
      <c r="P6269">
        <v>0.99933240000000001</v>
      </c>
      <c r="Q6269">
        <v>9.8661519999999996E-3</v>
      </c>
      <c r="R6269">
        <v>-3.5183440000000003E-2</v>
      </c>
      <c r="S6269">
        <v>2.9915769999999999</v>
      </c>
      <c r="T6269">
        <v>3.0019879999999999E-2</v>
      </c>
      <c r="U6269">
        <v>-0.28927609999999998</v>
      </c>
      <c r="V6269">
        <v>3.5477540000000002E-2</v>
      </c>
      <c r="W6269">
        <v>1.7804460000000001E-2</v>
      </c>
      <c r="X6269">
        <v>0.99921179999999998</v>
      </c>
      <c r="Y6269">
        <v>9.6524040000000005E-2</v>
      </c>
      <c r="Z6269">
        <v>4.8598629999999999E-4</v>
      </c>
      <c r="AA6269">
        <v>0.99533050000000001</v>
      </c>
      <c r="AB6269">
        <v>26</v>
      </c>
      <c r="AC6269">
        <v>118.3566</v>
      </c>
      <c r="AD6269">
        <v>1.1889959999999999</v>
      </c>
      <c r="AE6269">
        <v>-11.457229</v>
      </c>
      <c r="AF6269">
        <v>11.4894828589486</v>
      </c>
      <c r="AG6269">
        <v>1.1889959999999999</v>
      </c>
      <c r="AH6269">
        <v>118.34152966968099</v>
      </c>
      <c r="AI6269">
        <v>89.427053419735202</v>
      </c>
      <c r="AJ6269">
        <v>84.454675995920994</v>
      </c>
      <c r="AK6269">
        <v>118.90390898710601</v>
      </c>
      <c r="AL6269">
        <v>88.9798256183349</v>
      </c>
      <c r="AM6269">
        <v>87.966537444622602</v>
      </c>
      <c r="AN6269">
        <v>0.99999993794978903</v>
      </c>
    </row>
    <row r="6270" spans="1:40" x14ac:dyDescent="0.25">
      <c r="A6270" t="str">
        <f>"20190312160811538"</f>
        <v>20190312160811538</v>
      </c>
      <c r="B6270" t="str">
        <f>"1552378091531438"</f>
        <v>1552378091531438</v>
      </c>
      <c r="C6270" t="s">
        <v>40</v>
      </c>
      <c r="D6270">
        <v>6.2768470000000001</v>
      </c>
      <c r="E6270">
        <v>0.52303789999999994</v>
      </c>
      <c r="F6270" t="s">
        <v>55</v>
      </c>
      <c r="G6270">
        <v>-241.07</v>
      </c>
      <c r="H6270">
        <v>2.295849</v>
      </c>
      <c r="I6270">
        <v>5.964766</v>
      </c>
      <c r="J6270">
        <v>-354.86430000000001</v>
      </c>
      <c r="K6270">
        <v>1.108886</v>
      </c>
      <c r="L6270">
        <v>17.403020000000001</v>
      </c>
      <c r="M6270">
        <v>0.99995880000000004</v>
      </c>
      <c r="N6270">
        <v>0</v>
      </c>
      <c r="O6270">
        <v>-4.2247830000000002E-3</v>
      </c>
      <c r="P6270">
        <v>0.99927829999999995</v>
      </c>
      <c r="Q6270">
        <v>7.72448199999999E-3</v>
      </c>
      <c r="R6270">
        <v>-3.7195079999999998E-2</v>
      </c>
      <c r="S6270">
        <v>2.9915470000000002</v>
      </c>
      <c r="T6270">
        <v>3.0002359999999999E-2</v>
      </c>
      <c r="U6270">
        <v>-0.28945920000000003</v>
      </c>
      <c r="V6270">
        <v>3.298061E-2</v>
      </c>
      <c r="W6270">
        <v>1.577009E-2</v>
      </c>
      <c r="X6270">
        <v>0.99933159999999999</v>
      </c>
      <c r="Y6270">
        <v>9.2098769999999996E-2</v>
      </c>
      <c r="Z6270">
        <v>4.1847409999999999E-4</v>
      </c>
      <c r="AA6270">
        <v>0.99574980000000002</v>
      </c>
      <c r="AB6270">
        <v>27</v>
      </c>
      <c r="AC6270">
        <v>113.79430000000001</v>
      </c>
      <c r="AD6270">
        <v>1.186963</v>
      </c>
      <c r="AE6270">
        <v>-11.438253999999899</v>
      </c>
      <c r="AF6270">
        <v>10.956200049048901</v>
      </c>
      <c r="AG6270">
        <v>1.186963</v>
      </c>
      <c r="AH6270">
        <v>113.829349204918</v>
      </c>
      <c r="AI6270">
        <v>89.405314273213605</v>
      </c>
      <c r="AJ6270">
        <v>84.502154317684798</v>
      </c>
      <c r="AK6270">
        <v>114.36156671318101</v>
      </c>
      <c r="AL6270">
        <v>89.096402972888697</v>
      </c>
      <c r="AM6270">
        <v>88.109772418949007</v>
      </c>
      <c r="AN6270">
        <v>1.00000003156656</v>
      </c>
    </row>
    <row r="6271" spans="1:40" x14ac:dyDescent="0.25">
      <c r="A6271" t="str">
        <f>"20190312160811549"</f>
        <v>20190312160811549</v>
      </c>
      <c r="B6271" t="str">
        <f>"1552378091542173"</f>
        <v>1552378091542173</v>
      </c>
      <c r="C6271" t="s">
        <v>40</v>
      </c>
      <c r="D6271">
        <v>6.272049</v>
      </c>
      <c r="E6271">
        <v>0.5223759</v>
      </c>
      <c r="F6271" t="s">
        <v>55</v>
      </c>
      <c r="G6271">
        <v>-241.07</v>
      </c>
      <c r="H6271">
        <v>2.3617789999999999</v>
      </c>
      <c r="I6271">
        <v>6.1602420000000002</v>
      </c>
      <c r="J6271">
        <v>-354.71510000000001</v>
      </c>
      <c r="K6271">
        <v>1.1088830000000001</v>
      </c>
      <c r="L6271">
        <v>17.40222</v>
      </c>
      <c r="M6271">
        <v>0.99995809999999996</v>
      </c>
      <c r="N6271">
        <v>0</v>
      </c>
      <c r="O6271">
        <v>-4.3643969999999999E-3</v>
      </c>
      <c r="P6271">
        <v>0.99927860000000002</v>
      </c>
      <c r="Q6271">
        <v>7.789079E-3</v>
      </c>
      <c r="R6271">
        <v>-3.7171780000000001E-2</v>
      </c>
      <c r="S6271">
        <v>2.990936</v>
      </c>
      <c r="T6271">
        <v>3.293049E-2</v>
      </c>
      <c r="U6271">
        <v>-0.29550169999999998</v>
      </c>
      <c r="V6271">
        <v>3.2818020000000003E-2</v>
      </c>
      <c r="W6271">
        <v>1.583874E-2</v>
      </c>
      <c r="X6271">
        <v>0.9993358</v>
      </c>
      <c r="Y6271">
        <v>9.3970680000000001E-2</v>
      </c>
      <c r="Z6271">
        <v>4.6810820000000003E-4</v>
      </c>
      <c r="AA6271">
        <v>0.99557479999999998</v>
      </c>
      <c r="AB6271">
        <v>27</v>
      </c>
      <c r="AC6271">
        <v>113.6451</v>
      </c>
      <c r="AD6271">
        <v>1.252896</v>
      </c>
      <c r="AE6271">
        <v>-11.241978</v>
      </c>
      <c r="AF6271">
        <v>10.7445692642089</v>
      </c>
      <c r="AG6271">
        <v>1.252896</v>
      </c>
      <c r="AH6271">
        <v>113.67940061705001</v>
      </c>
      <c r="AI6271">
        <v>89.3713524710966</v>
      </c>
      <c r="AJ6271">
        <v>84.600648377307493</v>
      </c>
      <c r="AK6271">
        <v>114.19291414843499</v>
      </c>
      <c r="AL6271">
        <v>89.092469065679097</v>
      </c>
      <c r="AM6271">
        <v>88.119092177613595</v>
      </c>
      <c r="AN6271">
        <v>0.99999996464157304</v>
      </c>
    </row>
    <row r="6272" spans="1:40" x14ac:dyDescent="0.25">
      <c r="A6272" t="str">
        <f>"20190312160811561"</f>
        <v>20190312160811561</v>
      </c>
      <c r="B6272" t="str">
        <f>"1552378091551934"</f>
        <v>1552378091551934</v>
      </c>
      <c r="C6272" t="s">
        <v>40</v>
      </c>
      <c r="D6272">
        <v>6.2494459999999998</v>
      </c>
      <c r="E6272">
        <v>0.52174220000000004</v>
      </c>
      <c r="F6272" t="s">
        <v>55</v>
      </c>
      <c r="G6272">
        <v>-241.07</v>
      </c>
      <c r="H6272">
        <v>2.602217</v>
      </c>
      <c r="I6272">
        <v>6.3729300000000002</v>
      </c>
      <c r="J6272">
        <v>-354.57729999999998</v>
      </c>
      <c r="K6272">
        <v>1.1088830000000001</v>
      </c>
      <c r="L6272">
        <v>17.401520000000001</v>
      </c>
      <c r="M6272">
        <v>0.99995730000000005</v>
      </c>
      <c r="N6272">
        <v>0</v>
      </c>
      <c r="O6272">
        <v>-4.493042E-3</v>
      </c>
      <c r="P6272">
        <v>0.99927310000000003</v>
      </c>
      <c r="Q6272">
        <v>7.8510809999999993E-3</v>
      </c>
      <c r="R6272">
        <v>-3.7312369999999997E-2</v>
      </c>
      <c r="S6272">
        <v>2.9910580000000002</v>
      </c>
      <c r="T6272">
        <v>3.9303299999999999E-2</v>
      </c>
      <c r="U6272">
        <v>-0.29028320000000002</v>
      </c>
      <c r="V6272">
        <v>3.2829669999999998E-2</v>
      </c>
      <c r="W6272">
        <v>1.590358E-2</v>
      </c>
      <c r="X6272">
        <v>0.99933439999999996</v>
      </c>
      <c r="Y6272">
        <v>9.2115829999999996E-2</v>
      </c>
      <c r="Z6272">
        <v>5.4487160000000004E-4</v>
      </c>
      <c r="AA6272">
        <v>0.99574819999999997</v>
      </c>
      <c r="AB6272">
        <v>27</v>
      </c>
      <c r="AC6272">
        <v>113.5073</v>
      </c>
      <c r="AD6272">
        <v>1.4933339999999999</v>
      </c>
      <c r="AE6272">
        <v>-11.028589999999999</v>
      </c>
      <c r="AF6272">
        <v>10.5166656950523</v>
      </c>
      <c r="AG6272">
        <v>1.4933339999999999</v>
      </c>
      <c r="AH6272">
        <v>113.536239797497</v>
      </c>
      <c r="AI6272">
        <v>89.249647948570995</v>
      </c>
      <c r="AJ6272">
        <v>84.707891902613</v>
      </c>
      <c r="AK6272">
        <v>114.03204835103</v>
      </c>
      <c r="AL6272">
        <v>89.088753550528807</v>
      </c>
      <c r="AM6272">
        <v>88.118422323893597</v>
      </c>
      <c r="AN6272">
        <v>0.999999977056242</v>
      </c>
    </row>
    <row r="6273" spans="1:40" x14ac:dyDescent="0.25">
      <c r="A6273" t="str">
        <f>"20190312160811572"</f>
        <v>20190312160811572</v>
      </c>
      <c r="B6273" t="str">
        <f>"1552378091562274"</f>
        <v>1552378091562274</v>
      </c>
      <c r="C6273" t="s">
        <v>40</v>
      </c>
      <c r="D6273">
        <v>6.2056239999999896</v>
      </c>
      <c r="E6273">
        <v>0.52120279999999997</v>
      </c>
      <c r="F6273" t="s">
        <v>55</v>
      </c>
      <c r="G6273">
        <v>-241.07</v>
      </c>
      <c r="H6273">
        <v>2.5915300000000001</v>
      </c>
      <c r="I6273">
        <v>6.5621869999999998</v>
      </c>
      <c r="J6273">
        <v>-354.43720000000002</v>
      </c>
      <c r="K6273">
        <v>1.1088819999999999</v>
      </c>
      <c r="L6273">
        <v>17.400759999999998</v>
      </c>
      <c r="M6273">
        <v>0.99995679999999998</v>
      </c>
      <c r="N6273">
        <v>0</v>
      </c>
      <c r="O6273">
        <v>-4.6239519999999997E-3</v>
      </c>
      <c r="P6273">
        <v>0.99927370000000004</v>
      </c>
      <c r="Q6273">
        <v>7.8234719999999997E-3</v>
      </c>
      <c r="R6273">
        <v>-3.7296240000000001E-2</v>
      </c>
      <c r="S6273">
        <v>2.9912109999999998</v>
      </c>
      <c r="T6273">
        <v>3.9071439999999999E-2</v>
      </c>
      <c r="U6273">
        <v>-0.28564450000000002</v>
      </c>
      <c r="V6273">
        <v>3.268302E-2</v>
      </c>
      <c r="W6273">
        <v>1.587974E-2</v>
      </c>
      <c r="X6273">
        <v>0.99933959999999999</v>
      </c>
      <c r="Y6273">
        <v>9.0450729999999993E-2</v>
      </c>
      <c r="Z6273">
        <v>5.2911449999999997E-4</v>
      </c>
      <c r="AA6273">
        <v>0.99590080000000003</v>
      </c>
      <c r="AB6273">
        <v>27</v>
      </c>
      <c r="AC6273">
        <v>113.3672</v>
      </c>
      <c r="AD6273">
        <v>1.482648</v>
      </c>
      <c r="AE6273">
        <v>-10.838573</v>
      </c>
      <c r="AF6273">
        <v>10.3124877033685</v>
      </c>
      <c r="AG6273">
        <v>1.482648</v>
      </c>
      <c r="AH6273">
        <v>113.39688675269601</v>
      </c>
      <c r="AI6273">
        <v>89.253986798299906</v>
      </c>
      <c r="AJ6273">
        <v>84.803727045363004</v>
      </c>
      <c r="AK6273">
        <v>113.874490439816</v>
      </c>
      <c r="AL6273">
        <v>89.090119667174605</v>
      </c>
      <c r="AM6273">
        <v>88.126831062395794</v>
      </c>
      <c r="AN6273">
        <v>0.99999999103347303</v>
      </c>
    </row>
    <row r="6274" spans="1:40" x14ac:dyDescent="0.25">
      <c r="A6274" t="str">
        <f>"20190312160811584"</f>
        <v>20190312160811584</v>
      </c>
      <c r="B6274" t="str">
        <f>"1552378091581783"</f>
        <v>1552378091581783</v>
      </c>
      <c r="C6274" t="s">
        <v>40</v>
      </c>
      <c r="D6274">
        <v>6.1354499999999996</v>
      </c>
      <c r="E6274">
        <v>0.52044420000000002</v>
      </c>
      <c r="F6274" t="s">
        <v>55</v>
      </c>
      <c r="G6274">
        <v>-241.07</v>
      </c>
      <c r="H6274">
        <v>2.4153229999999999</v>
      </c>
      <c r="I6274">
        <v>6.7455889999999998</v>
      </c>
      <c r="J6274">
        <v>-354.29109999999997</v>
      </c>
      <c r="K6274">
        <v>1.108881</v>
      </c>
      <c r="L6274">
        <v>17.399929999999902</v>
      </c>
      <c r="M6274">
        <v>0.99995610000000001</v>
      </c>
      <c r="N6274">
        <v>0</v>
      </c>
      <c r="O6274">
        <v>-4.760584E-3</v>
      </c>
      <c r="P6274">
        <v>0.99928360000000005</v>
      </c>
      <c r="Q6274">
        <v>7.3429219999999896E-3</v>
      </c>
      <c r="R6274">
        <v>-3.7129309999999999E-2</v>
      </c>
      <c r="S6274">
        <v>2.991425</v>
      </c>
      <c r="T6274">
        <v>3.4472940000000001E-2</v>
      </c>
      <c r="U6274">
        <v>-0.28115839999999998</v>
      </c>
      <c r="V6274">
        <v>3.2379249999999998E-2</v>
      </c>
      <c r="W6274">
        <v>1.540249E-2</v>
      </c>
      <c r="X6274">
        <v>0.99935700000000005</v>
      </c>
      <c r="Y6274">
        <v>8.8829290000000005E-2</v>
      </c>
      <c r="Z6274">
        <v>4.5595189999999999E-4</v>
      </c>
      <c r="AA6274">
        <v>0.99604680000000001</v>
      </c>
      <c r="AB6274">
        <v>27</v>
      </c>
      <c r="AC6274">
        <v>113.221099999999</v>
      </c>
      <c r="AD6274">
        <v>1.3064420000000001</v>
      </c>
      <c r="AE6274">
        <v>-10.654341000000001</v>
      </c>
      <c r="AF6274">
        <v>10.113869355806401</v>
      </c>
      <c r="AG6274">
        <v>1.3064420000000001</v>
      </c>
      <c r="AH6274">
        <v>113.255592392867</v>
      </c>
      <c r="AI6274">
        <v>89.341722242612306</v>
      </c>
      <c r="AJ6274">
        <v>84.896949958709399</v>
      </c>
      <c r="AK6274">
        <v>113.713791390072</v>
      </c>
      <c r="AL6274">
        <v>89.117467460925695</v>
      </c>
      <c r="AM6274">
        <v>88.144261155492401</v>
      </c>
      <c r="AN6274">
        <v>1.0000000329888801</v>
      </c>
    </row>
    <row r="6275" spans="1:40" x14ac:dyDescent="0.25">
      <c r="A6275" t="str">
        <f>"20190312160811598"</f>
        <v>20190312160811598</v>
      </c>
      <c r="B6275" t="str">
        <f>"1552378091591543"</f>
        <v>1552378091591543</v>
      </c>
      <c r="C6275" t="s">
        <v>40</v>
      </c>
      <c r="D6275">
        <v>6.0778869999999996</v>
      </c>
      <c r="E6275">
        <v>0.51988440000000002</v>
      </c>
      <c r="F6275" t="s">
        <v>55</v>
      </c>
      <c r="G6275">
        <v>-241.07</v>
      </c>
      <c r="H6275">
        <v>2.1807400000000001</v>
      </c>
      <c r="I6275">
        <v>7.0114570000000001</v>
      </c>
      <c r="J6275">
        <v>-354.13</v>
      </c>
      <c r="K6275">
        <v>1.1088800000000001</v>
      </c>
      <c r="L6275">
        <v>17.39902</v>
      </c>
      <c r="M6275">
        <v>0.99995520000000004</v>
      </c>
      <c r="N6275">
        <v>0</v>
      </c>
      <c r="O6275">
        <v>-4.910808E-3</v>
      </c>
      <c r="P6275">
        <v>0.99927180000000004</v>
      </c>
      <c r="Q6275">
        <v>7.8092550000000002E-3</v>
      </c>
      <c r="R6275">
        <v>-3.7351870000000002E-2</v>
      </c>
      <c r="S6275">
        <v>2.9917600000000002</v>
      </c>
      <c r="T6275">
        <v>2.8322699999999999E-2</v>
      </c>
      <c r="U6275">
        <v>-0.27450560000000002</v>
      </c>
      <c r="V6275">
        <v>3.2451830000000001E-2</v>
      </c>
      <c r="W6275">
        <v>1.587307E-2</v>
      </c>
      <c r="X6275">
        <v>0.99934730000000005</v>
      </c>
      <c r="Y6275">
        <v>8.6474930000000005E-2</v>
      </c>
      <c r="Z6275">
        <v>3.6206740000000002E-4</v>
      </c>
      <c r="AA6275">
        <v>0.99625399999999997</v>
      </c>
      <c r="AB6275">
        <v>28</v>
      </c>
      <c r="AC6275">
        <v>113.06</v>
      </c>
      <c r="AD6275">
        <v>1.07186</v>
      </c>
      <c r="AE6275">
        <v>-10.387563</v>
      </c>
      <c r="AF6275">
        <v>9.8313273727472694</v>
      </c>
      <c r="AG6275">
        <v>1.07186</v>
      </c>
      <c r="AH6275">
        <v>113.099569435969</v>
      </c>
      <c r="AI6275">
        <v>89.459056128803198</v>
      </c>
      <c r="AJ6275">
        <v>85.031977723717702</v>
      </c>
      <c r="AK6275">
        <v>113.53112563685499</v>
      </c>
      <c r="AL6275">
        <v>89.090501932580295</v>
      </c>
      <c r="AM6275">
        <v>88.140086285554901</v>
      </c>
      <c r="AN6275">
        <v>1.00000005081943</v>
      </c>
    </row>
    <row r="6276" spans="1:40" x14ac:dyDescent="0.25">
      <c r="A6276" t="str">
        <f>"20190312160811616"</f>
        <v>20190312160811616</v>
      </c>
      <c r="B6276" t="str">
        <f>"1552378091612038"</f>
        <v>1552378091612038</v>
      </c>
      <c r="C6276" t="s">
        <v>40</v>
      </c>
      <c r="D6276">
        <v>6.0706810000000004</v>
      </c>
      <c r="E6276">
        <v>0.51874209999999998</v>
      </c>
      <c r="F6276" t="s">
        <v>55</v>
      </c>
      <c r="G6276">
        <v>-241.07</v>
      </c>
      <c r="H6276">
        <v>2.196332</v>
      </c>
      <c r="I6276">
        <v>7.1697939999999996</v>
      </c>
      <c r="J6276">
        <v>-353.89830000000001</v>
      </c>
      <c r="K6276">
        <v>1.1088739999999999</v>
      </c>
      <c r="L6276">
        <v>17.397670000000002</v>
      </c>
      <c r="M6276">
        <v>0.99995420000000002</v>
      </c>
      <c r="N6276">
        <v>0</v>
      </c>
      <c r="O6276">
        <v>-5.1270830000000002E-3</v>
      </c>
      <c r="P6276">
        <v>0.99925719999999996</v>
      </c>
      <c r="Q6276">
        <v>8.0945199999999991E-3</v>
      </c>
      <c r="R6276">
        <v>-3.7682340000000002E-2</v>
      </c>
      <c r="S6276">
        <v>2.9918520000000002</v>
      </c>
      <c r="T6276">
        <v>2.8776530000000002E-2</v>
      </c>
      <c r="U6276">
        <v>-0.27069090000000001</v>
      </c>
      <c r="V6276">
        <v>3.2566289999999998E-2</v>
      </c>
      <c r="W6276">
        <v>1.6163899999999998E-2</v>
      </c>
      <c r="X6276">
        <v>0.99933890000000003</v>
      </c>
      <c r="Y6276">
        <v>8.4996740000000001E-2</v>
      </c>
      <c r="Z6276">
        <v>3.5870880000000001E-4</v>
      </c>
      <c r="AA6276">
        <v>0.99638119999999997</v>
      </c>
      <c r="AB6276">
        <v>28</v>
      </c>
      <c r="AC6276">
        <v>112.8283</v>
      </c>
      <c r="AD6276">
        <v>1.087458</v>
      </c>
      <c r="AE6276">
        <v>-10.227876</v>
      </c>
      <c r="AF6276">
        <v>9.6483536383793993</v>
      </c>
      <c r="AG6276">
        <v>1.087458</v>
      </c>
      <c r="AH6276">
        <v>112.86885840417099</v>
      </c>
      <c r="AI6276">
        <v>89.449994975106407</v>
      </c>
      <c r="AJ6276">
        <v>85.114070402313899</v>
      </c>
      <c r="AK6276">
        <v>113.285711765844</v>
      </c>
      <c r="AL6276">
        <v>89.073836449819197</v>
      </c>
      <c r="AM6276">
        <v>88.133515186849493</v>
      </c>
      <c r="AN6276">
        <v>1.00000003598039</v>
      </c>
    </row>
    <row r="6277" spans="1:40" x14ac:dyDescent="0.25">
      <c r="A6277" t="str">
        <f>"20190312160811661"</f>
        <v>20190312160811661</v>
      </c>
      <c r="B6277" t="str">
        <f>"1552378091652055"</f>
        <v>1552378091652055</v>
      </c>
      <c r="C6277" t="s">
        <v>40</v>
      </c>
      <c r="D6277">
        <v>6.1237700000000004</v>
      </c>
      <c r="E6277">
        <v>0.48511749999999998</v>
      </c>
      <c r="F6277" t="s">
        <v>55</v>
      </c>
      <c r="G6277">
        <v>-241.07</v>
      </c>
      <c r="H6277">
        <v>2.2084109999999999</v>
      </c>
      <c r="I6277">
        <v>7.4975050000000003</v>
      </c>
      <c r="J6277">
        <v>-353.33670000000001</v>
      </c>
      <c r="K6277">
        <v>1.108873</v>
      </c>
      <c r="L6277">
        <v>17.394169999999999</v>
      </c>
      <c r="M6277">
        <v>0.99995109999999998</v>
      </c>
      <c r="N6277">
        <v>0</v>
      </c>
      <c r="O6277">
        <v>-5.6505990000000001E-3</v>
      </c>
      <c r="P6277">
        <v>0.99918949999999995</v>
      </c>
      <c r="Q6277">
        <v>9.5378549999999996E-3</v>
      </c>
      <c r="R6277">
        <v>-3.9110310000000002E-2</v>
      </c>
      <c r="S6277">
        <v>2.9920960000000001</v>
      </c>
      <c r="T6277">
        <v>2.9158469999999999E-2</v>
      </c>
      <c r="U6277">
        <v>-0.26254270000000002</v>
      </c>
      <c r="V6277">
        <v>3.3472370000000001E-2</v>
      </c>
      <c r="W6277">
        <v>1.7618999999999999E-2</v>
      </c>
      <c r="X6277">
        <v>0.99928430000000001</v>
      </c>
      <c r="Y6277">
        <v>8.1775429999999996E-2</v>
      </c>
      <c r="Z6277">
        <v>3.4272689999999999E-4</v>
      </c>
      <c r="AA6277">
        <v>0.9966507</v>
      </c>
      <c r="AB6277">
        <v>28</v>
      </c>
      <c r="AC6277">
        <v>112.2667</v>
      </c>
      <c r="AD6277">
        <v>1.0995379999999999</v>
      </c>
      <c r="AE6277">
        <v>-9.8966650000000005</v>
      </c>
      <c r="AF6277">
        <v>9.2612304890290709</v>
      </c>
      <c r="AG6277">
        <v>1.0995379999999999</v>
      </c>
      <c r="AH6277">
        <v>112.31014154738</v>
      </c>
      <c r="AI6277">
        <v>89.440978452097497</v>
      </c>
      <c r="AJ6277">
        <v>85.285986088273205</v>
      </c>
      <c r="AK6277">
        <v>112.696704780472</v>
      </c>
      <c r="AL6277">
        <v>88.990453394233498</v>
      </c>
      <c r="AM6277">
        <v>88.081518198748597</v>
      </c>
      <c r="AN6277">
        <v>0.99999997047045297</v>
      </c>
    </row>
    <row r="6278" spans="1:40" x14ac:dyDescent="0.25">
      <c r="A6278" t="str">
        <f>"20190312160811674"</f>
        <v>20190312160811674</v>
      </c>
      <c r="B6278" t="str">
        <f>"1552378091661815"</f>
        <v>1552378091661815</v>
      </c>
      <c r="C6278" t="s">
        <v>40</v>
      </c>
      <c r="D6278">
        <v>5.505058</v>
      </c>
      <c r="E6278">
        <v>0.48511749999999998</v>
      </c>
      <c r="F6278" t="s">
        <v>101</v>
      </c>
      <c r="G6278">
        <v>-274.15660000000003</v>
      </c>
      <c r="H6278">
        <v>8.4286440000000002</v>
      </c>
      <c r="I6278">
        <v>17.264469999999999</v>
      </c>
      <c r="J6278">
        <v>-353.1857</v>
      </c>
      <c r="K6278">
        <v>1.1088709999999999</v>
      </c>
      <c r="L6278">
        <v>17.393160000000002</v>
      </c>
      <c r="M6278">
        <v>0.99995049999999996</v>
      </c>
      <c r="N6278">
        <v>0</v>
      </c>
      <c r="O6278">
        <v>-5.7914029999999997E-3</v>
      </c>
      <c r="P6278">
        <v>0.99917009999999995</v>
      </c>
      <c r="Q6278">
        <v>9.5510260000000007E-3</v>
      </c>
      <c r="R6278">
        <v>-3.9605170000000002E-2</v>
      </c>
      <c r="S6278">
        <v>2.9995729999999998</v>
      </c>
      <c r="T6278">
        <v>0.27729429999999999</v>
      </c>
      <c r="U6278">
        <v>-4.9133299999999996E-3</v>
      </c>
      <c r="V6278">
        <v>3.3826410000000001E-2</v>
      </c>
      <c r="W6278">
        <v>1.7635689999999999E-2</v>
      </c>
      <c r="X6278">
        <v>0.9992721</v>
      </c>
      <c r="Y6278">
        <v>-4.1113809999999999E-3</v>
      </c>
      <c r="Z6278">
        <v>-7.2389229999999995E-4</v>
      </c>
      <c r="AA6278">
        <v>0.99999130000000003</v>
      </c>
      <c r="AB6278">
        <v>28</v>
      </c>
      <c r="AC6278">
        <v>79.0290999999999</v>
      </c>
      <c r="AD6278">
        <v>7.3197729999999996</v>
      </c>
      <c r="AE6278">
        <v>-0.128689999999998</v>
      </c>
      <c r="AF6278">
        <v>-0.32621798867652502</v>
      </c>
      <c r="AG6278">
        <v>7.3197729999999996</v>
      </c>
      <c r="AH6278">
        <v>78.356326758539197</v>
      </c>
      <c r="AI6278">
        <v>84.6631637692618</v>
      </c>
      <c r="AJ6278">
        <v>90.238536015384796</v>
      </c>
      <c r="AK6278">
        <v>78.698153968429395</v>
      </c>
      <c r="AL6278">
        <v>88.989496995452001</v>
      </c>
      <c r="AM6278">
        <v>88.061218012435205</v>
      </c>
      <c r="AN6278">
        <v>0.99999998670683699</v>
      </c>
    </row>
    <row r="6279" spans="1:40" x14ac:dyDescent="0.25">
      <c r="A6279" t="str">
        <f>"20190312160811719"</f>
        <v>20190312160811719</v>
      </c>
      <c r="B6279" t="str">
        <f>"1552378091711323"</f>
        <v>1552378091711323</v>
      </c>
      <c r="C6279" t="s">
        <v>40</v>
      </c>
      <c r="D6279">
        <v>4.8892470000000001</v>
      </c>
      <c r="E6279">
        <v>0.50938090000000003</v>
      </c>
      <c r="F6279" t="s">
        <v>101</v>
      </c>
      <c r="G6279">
        <v>-274.15660000000003</v>
      </c>
      <c r="H6279">
        <v>8.4152389999999997</v>
      </c>
      <c r="I6279">
        <v>17.22512</v>
      </c>
      <c r="J6279">
        <v>-352.625</v>
      </c>
      <c r="K6279">
        <v>1.108873</v>
      </c>
      <c r="L6279">
        <v>17.389279999999999</v>
      </c>
      <c r="M6279">
        <v>0.99994720000000004</v>
      </c>
      <c r="N6279">
        <v>0</v>
      </c>
      <c r="O6279">
        <v>-6.3134879999999999E-3</v>
      </c>
      <c r="P6279">
        <v>0.99910379999999999</v>
      </c>
      <c r="Q6279">
        <v>8.9490669999999998E-3</v>
      </c>
      <c r="R6279">
        <v>-4.137482E-2</v>
      </c>
      <c r="S6279">
        <v>2.9996339999999999</v>
      </c>
      <c r="T6279">
        <v>0.27732109999999999</v>
      </c>
      <c r="U6279">
        <v>-6.3781740000000003E-3</v>
      </c>
      <c r="V6279">
        <v>3.5074630000000002E-2</v>
      </c>
      <c r="W6279">
        <v>1.7045459999999998E-2</v>
      </c>
      <c r="X6279">
        <v>0.99923930000000005</v>
      </c>
      <c r="Y6279">
        <v>-4.1428189999999998E-3</v>
      </c>
      <c r="Z6279">
        <v>-7.7356259999999998E-4</v>
      </c>
      <c r="AA6279">
        <v>0.99999110000000002</v>
      </c>
      <c r="AB6279">
        <v>28</v>
      </c>
      <c r="AC6279">
        <v>78.468399999999903</v>
      </c>
      <c r="AD6279">
        <v>7.3063659999999997</v>
      </c>
      <c r="AE6279">
        <v>-0.164159999999998</v>
      </c>
      <c r="AF6279">
        <v>-0.328421494355987</v>
      </c>
      <c r="AG6279">
        <v>7.3063659999999997</v>
      </c>
      <c r="AH6279">
        <v>77.793415573254507</v>
      </c>
      <c r="AI6279">
        <v>84.634561084401</v>
      </c>
      <c r="AJ6279">
        <v>90.241884915305306</v>
      </c>
      <c r="AK6279">
        <v>78.136459808190693</v>
      </c>
      <c r="AL6279">
        <v>89.0233197614115</v>
      </c>
      <c r="AM6279">
        <v>87.989667219912505</v>
      </c>
      <c r="AN6279">
        <v>0.999999978020369</v>
      </c>
    </row>
    <row r="6280" spans="1:40" x14ac:dyDescent="0.25">
      <c r="A6280" t="str">
        <f>"20190312160811729"</f>
        <v>20190312160811729</v>
      </c>
      <c r="B6280" t="str">
        <f>"1552378091722059"</f>
        <v>1552378091722059</v>
      </c>
      <c r="C6280" t="s">
        <v>40</v>
      </c>
      <c r="D6280">
        <v>6.368322</v>
      </c>
      <c r="E6280">
        <v>0.51159250000000001</v>
      </c>
      <c r="F6280" t="s">
        <v>44</v>
      </c>
      <c r="G6280">
        <v>-351.82760000000002</v>
      </c>
      <c r="H6280">
        <v>0.75640869999999905</v>
      </c>
      <c r="I6280">
        <v>17.34534</v>
      </c>
      <c r="J6280">
        <v>-352.47539999999998</v>
      </c>
      <c r="K6280">
        <v>1.1088709999999999</v>
      </c>
      <c r="L6280">
        <v>17.388179999999998</v>
      </c>
      <c r="M6280">
        <v>0.99994620000000001</v>
      </c>
      <c r="N6280">
        <v>0</v>
      </c>
      <c r="O6280">
        <v>-6.4526239999999997E-3</v>
      </c>
      <c r="P6280">
        <v>0.99908569999999997</v>
      </c>
      <c r="Q6280">
        <v>9.0544930000000003E-3</v>
      </c>
      <c r="R6280">
        <v>-4.178457E-2</v>
      </c>
      <c r="S6280">
        <v>3.0077820000000002</v>
      </c>
      <c r="T6280">
        <v>-1.3294349999999999</v>
      </c>
      <c r="U6280">
        <v>-0.16433719999999999</v>
      </c>
      <c r="V6280">
        <v>3.5345429999999997E-2</v>
      </c>
      <c r="W6280">
        <v>1.7154160000000002E-2</v>
      </c>
      <c r="X6280">
        <v>0.99922789999999995</v>
      </c>
      <c r="Y6280">
        <v>4.4565159999999999E-2</v>
      </c>
      <c r="Z6280">
        <v>-6.6805629999999996E-3</v>
      </c>
      <c r="AA6280">
        <v>0.99898419999999999</v>
      </c>
      <c r="AB6280">
        <v>28</v>
      </c>
      <c r="AC6280">
        <v>0.64779999999996096</v>
      </c>
      <c r="AD6280">
        <v>-0.35246230000000001</v>
      </c>
      <c r="AE6280">
        <v>-4.2839999999998199E-2</v>
      </c>
      <c r="AF6280">
        <v>2.98583301021581E-2</v>
      </c>
      <c r="AG6280">
        <v>-0.35246230000000001</v>
      </c>
      <c r="AH6280">
        <v>0.50053279673367801</v>
      </c>
      <c r="AI6280">
        <v>125.10432971879</v>
      </c>
      <c r="AJ6280">
        <v>86.586174984719307</v>
      </c>
      <c r="AK6280">
        <v>0.61290641488225295</v>
      </c>
      <c r="AL6280">
        <v>89.017090801609001</v>
      </c>
      <c r="AM6280">
        <v>87.9741358735467</v>
      </c>
      <c r="AN6280">
        <v>0.99999998038279903</v>
      </c>
    </row>
    <row r="6281" spans="1:40" x14ac:dyDescent="0.25">
      <c r="A6281" t="str">
        <f>"20190312160811741"</f>
        <v>20190312160811741</v>
      </c>
      <c r="B6281" t="str">
        <f>"1552378091731819"</f>
        <v>1552378091731819</v>
      </c>
      <c r="C6281" t="s">
        <v>40</v>
      </c>
      <c r="D6281">
        <v>6.3702259999999997</v>
      </c>
      <c r="E6281">
        <v>0.51159250000000001</v>
      </c>
      <c r="F6281" t="s">
        <v>44</v>
      </c>
      <c r="G6281">
        <v>-351.79590000000002</v>
      </c>
      <c r="H6281">
        <v>0.83767429999999998</v>
      </c>
      <c r="I6281">
        <v>17.34573</v>
      </c>
      <c r="J6281">
        <v>-352.34179999999998</v>
      </c>
      <c r="K6281">
        <v>1.1088709999999999</v>
      </c>
      <c r="L6281">
        <v>17.387179999999901</v>
      </c>
      <c r="M6281">
        <v>0.99994539999999998</v>
      </c>
      <c r="N6281">
        <v>0</v>
      </c>
      <c r="O6281">
        <v>-6.5769749999999997E-3</v>
      </c>
      <c r="P6281">
        <v>0.99908410000000003</v>
      </c>
      <c r="Q6281">
        <v>9.1113349999999999E-3</v>
      </c>
      <c r="R6281">
        <v>-4.1811340000000002E-2</v>
      </c>
      <c r="S6281">
        <v>3.0058289999999999</v>
      </c>
      <c r="T6281">
        <v>-1.1996039999999999</v>
      </c>
      <c r="U6281">
        <v>-0.18615719999999999</v>
      </c>
      <c r="V6281">
        <v>3.5248000000000002E-2</v>
      </c>
      <c r="W6281">
        <v>1.7214230000000001E-2</v>
      </c>
      <c r="X6281">
        <v>0.99923030000000002</v>
      </c>
      <c r="Y6281">
        <v>5.1792949999999997E-2</v>
      </c>
      <c r="Z6281">
        <v>-7.4192109999999898E-3</v>
      </c>
      <c r="AA6281">
        <v>0.99863029999999997</v>
      </c>
      <c r="AB6281">
        <v>28</v>
      </c>
      <c r="AC6281">
        <v>0.54589999999995997</v>
      </c>
      <c r="AD6281">
        <v>-0.27119669999999901</v>
      </c>
      <c r="AE6281">
        <v>-4.1449999999997503E-2</v>
      </c>
      <c r="AF6281">
        <v>3.0399153398803599E-2</v>
      </c>
      <c r="AG6281">
        <v>-0.27119669999999901</v>
      </c>
      <c r="AH6281">
        <v>0.43854818016138603</v>
      </c>
      <c r="AI6281">
        <v>121.671109975764</v>
      </c>
      <c r="AJ6281">
        <v>86.034730904035797</v>
      </c>
      <c r="AK6281">
        <v>0.51652324724170695</v>
      </c>
      <c r="AL6281">
        <v>89.013648527344799</v>
      </c>
      <c r="AM6281">
        <v>87.979720400947301</v>
      </c>
      <c r="AN6281">
        <v>0.99999997182829103</v>
      </c>
    </row>
    <row r="6282" spans="1:40" x14ac:dyDescent="0.25">
      <c r="A6282" t="str">
        <f>"20190312160811752"</f>
        <v>20190312160811752</v>
      </c>
      <c r="B6282" t="str">
        <f>"1552378091741579"</f>
        <v>1552378091741579</v>
      </c>
      <c r="C6282" t="s">
        <v>40</v>
      </c>
      <c r="D6282">
        <v>6.1761819999999998</v>
      </c>
      <c r="E6282">
        <v>0.51438279999999903</v>
      </c>
      <c r="F6282" t="s">
        <v>44</v>
      </c>
      <c r="G6282">
        <v>-351.56049999999999</v>
      </c>
      <c r="H6282">
        <v>0.79708900000000005</v>
      </c>
      <c r="I6282">
        <v>17.338789999999999</v>
      </c>
      <c r="J6282">
        <v>-352.19819999999999</v>
      </c>
      <c r="K6282">
        <v>1.1088739999999999</v>
      </c>
      <c r="L6282">
        <v>17.386140000000001</v>
      </c>
      <c r="M6282">
        <v>0.99994439999999996</v>
      </c>
      <c r="N6282">
        <v>0</v>
      </c>
      <c r="O6282">
        <v>-6.7106259999999999E-3</v>
      </c>
      <c r="P6282">
        <v>0.9990774</v>
      </c>
      <c r="Q6282">
        <v>8.8805930000000009E-3</v>
      </c>
      <c r="R6282">
        <v>-4.2018960000000001E-2</v>
      </c>
      <c r="S6282">
        <v>3.0059200000000001</v>
      </c>
      <c r="T6282">
        <v>-1.199376</v>
      </c>
      <c r="U6282">
        <v>-0.18579100000000001</v>
      </c>
      <c r="V6282">
        <v>3.5322010000000001E-2</v>
      </c>
      <c r="W6282">
        <v>1.6986810000000001E-2</v>
      </c>
      <c r="X6282">
        <v>0.9992316</v>
      </c>
      <c r="Y6282">
        <v>5.1565449999999999E-2</v>
      </c>
      <c r="Z6282">
        <v>-7.3227350000000004E-3</v>
      </c>
      <c r="AA6282">
        <v>0.99864269999999999</v>
      </c>
      <c r="AB6282">
        <v>28</v>
      </c>
      <c r="AC6282">
        <v>0.63769999999999505</v>
      </c>
      <c r="AD6282">
        <v>-0.31178499999999898</v>
      </c>
      <c r="AE6282">
        <v>-4.7350000000001502E-2</v>
      </c>
      <c r="AF6282">
        <v>3.4797019720393597E-2</v>
      </c>
      <c r="AG6282">
        <v>-0.31178499999999898</v>
      </c>
      <c r="AH6282">
        <v>0.51546117324223395</v>
      </c>
      <c r="AI6282">
        <v>121.110669774664</v>
      </c>
      <c r="AJ6282">
        <v>86.138017427868206</v>
      </c>
      <c r="AK6282">
        <v>0.60342434482433804</v>
      </c>
      <c r="AL6282">
        <v>89.026680660405304</v>
      </c>
      <c r="AM6282">
        <v>87.975484590743207</v>
      </c>
      <c r="AN6282">
        <v>0.99999999327148803</v>
      </c>
    </row>
    <row r="6283" spans="1:40" x14ac:dyDescent="0.25">
      <c r="A6283" t="str">
        <f>"20190312160811763"</f>
        <v>20190312160811763</v>
      </c>
      <c r="B6283" t="str">
        <f>"1552378091752315"</f>
        <v>1552378091752315</v>
      </c>
      <c r="C6283" t="s">
        <v>40</v>
      </c>
      <c r="D6283">
        <v>6.4007690000000004</v>
      </c>
      <c r="E6283">
        <v>0.51308089999999995</v>
      </c>
      <c r="F6283" t="s">
        <v>44</v>
      </c>
      <c r="G6283">
        <v>-351.47570000000002</v>
      </c>
      <c r="H6283">
        <v>0.993116</v>
      </c>
      <c r="I6283">
        <v>17.331240000000001</v>
      </c>
      <c r="J6283">
        <v>-352.06189999999998</v>
      </c>
      <c r="K6283">
        <v>1.1088720000000001</v>
      </c>
      <c r="L6283">
        <v>17.385069999999999</v>
      </c>
      <c r="M6283">
        <v>0.99994360000000004</v>
      </c>
      <c r="N6283">
        <v>0</v>
      </c>
      <c r="O6283">
        <v>-6.8373610000000001E-3</v>
      </c>
      <c r="P6283">
        <v>0.99906329999999999</v>
      </c>
      <c r="Q6283">
        <v>8.7820769999999992E-3</v>
      </c>
      <c r="R6283">
        <v>-4.2372880000000002E-2</v>
      </c>
      <c r="S6283">
        <v>2.9974669999999999</v>
      </c>
      <c r="T6283">
        <v>-0.48026780000000002</v>
      </c>
      <c r="U6283">
        <v>-0.227356</v>
      </c>
      <c r="V6283">
        <v>3.554939E-2</v>
      </c>
      <c r="W6283">
        <v>1.689098E-2</v>
      </c>
      <c r="X6283">
        <v>0.99922509999999998</v>
      </c>
      <c r="Y6283">
        <v>6.8036319999999997E-2</v>
      </c>
      <c r="Z6283">
        <v>-4.3213840000000002E-3</v>
      </c>
      <c r="AA6283">
        <v>0.99767349999999999</v>
      </c>
      <c r="AB6283">
        <v>28</v>
      </c>
      <c r="AC6283">
        <v>0.58619999999996197</v>
      </c>
      <c r="AD6283">
        <v>-0.115755999999999</v>
      </c>
      <c r="AE6283">
        <v>-5.38300000000013E-2</v>
      </c>
      <c r="AF6283">
        <v>4.7965819427074001E-2</v>
      </c>
      <c r="AG6283">
        <v>-0.115755999999999</v>
      </c>
      <c r="AH6283">
        <v>0.564718006760211</v>
      </c>
      <c r="AI6283">
        <v>101.543592850168</v>
      </c>
      <c r="AJ6283">
        <v>85.145083964788199</v>
      </c>
      <c r="AK6283">
        <v>0.57845189819771203</v>
      </c>
      <c r="AL6283">
        <v>89.032172043954404</v>
      </c>
      <c r="AM6283">
        <v>87.962449791197002</v>
      </c>
      <c r="AN6283">
        <v>0.99999993240236895</v>
      </c>
    </row>
    <row r="6284" spans="1:40" x14ac:dyDescent="0.25">
      <c r="A6284" t="str">
        <f>"20190312160811775"</f>
        <v>20190312160811775</v>
      </c>
      <c r="B6284" t="str">
        <f>"1552378091771427"</f>
        <v>1552378091771427</v>
      </c>
      <c r="C6284" t="s">
        <v>40</v>
      </c>
      <c r="D6284">
        <v>6.2509610000000002</v>
      </c>
      <c r="E6284">
        <v>0.51351459999999904</v>
      </c>
      <c r="F6284" t="s">
        <v>44</v>
      </c>
      <c r="G6284">
        <v>-351.2201</v>
      </c>
      <c r="H6284">
        <v>1.001018</v>
      </c>
      <c r="I6284">
        <v>17.322789999999902</v>
      </c>
      <c r="J6284">
        <v>-351.9196</v>
      </c>
      <c r="K6284">
        <v>1.10887</v>
      </c>
      <c r="L6284">
        <v>17.383970000000001</v>
      </c>
      <c r="M6284">
        <v>0.99994269999999996</v>
      </c>
      <c r="N6284">
        <v>0</v>
      </c>
      <c r="O6284">
        <v>-6.9698199999999998E-3</v>
      </c>
      <c r="P6284">
        <v>0.99905409999999994</v>
      </c>
      <c r="Q6284">
        <v>8.5613859999999903E-3</v>
      </c>
      <c r="R6284">
        <v>-4.263894E-2</v>
      </c>
      <c r="S6284">
        <v>2.996826</v>
      </c>
      <c r="T6284">
        <v>-0.38394329999999999</v>
      </c>
      <c r="U6284">
        <v>-0.22051999999999999</v>
      </c>
      <c r="V6284">
        <v>3.5682850000000002E-2</v>
      </c>
      <c r="W6284">
        <v>1.6674049999999999E-2</v>
      </c>
      <c r="X6284">
        <v>0.99922409999999995</v>
      </c>
      <c r="Y6284">
        <v>6.5953609999999996E-2</v>
      </c>
      <c r="Z6284">
        <v>-3.3139739999999999E-3</v>
      </c>
      <c r="AA6284">
        <v>0.99781719999999896</v>
      </c>
      <c r="AB6284">
        <v>28</v>
      </c>
      <c r="AC6284">
        <v>0.69950000000000001</v>
      </c>
      <c r="AD6284">
        <v>-0.107852</v>
      </c>
      <c r="AE6284">
        <v>-6.1180000000003697E-2</v>
      </c>
      <c r="AF6284">
        <v>5.50052599203752E-2</v>
      </c>
      <c r="AG6284">
        <v>-0.107852</v>
      </c>
      <c r="AH6284">
        <v>0.68377751053103797</v>
      </c>
      <c r="AI6284">
        <v>98.935003519614298</v>
      </c>
      <c r="AJ6284">
        <v>85.400846886252197</v>
      </c>
      <c r="AK6284">
        <v>0.69441292933738796</v>
      </c>
      <c r="AL6284">
        <v>89.044603077415402</v>
      </c>
      <c r="AM6284">
        <v>87.954804831553801</v>
      </c>
      <c r="AN6284">
        <v>1.00000004587416</v>
      </c>
    </row>
    <row r="6285" spans="1:40" x14ac:dyDescent="0.25">
      <c r="A6285" t="str">
        <f>"20190312160811793"</f>
        <v>20190312160811793</v>
      </c>
      <c r="B6285" t="str">
        <f>"1552378091782163"</f>
        <v>1552378091782163</v>
      </c>
      <c r="C6285" t="s">
        <v>40</v>
      </c>
      <c r="D6285">
        <v>6.1563559999999997</v>
      </c>
      <c r="E6285">
        <v>0.5113626</v>
      </c>
      <c r="F6285" t="s">
        <v>44</v>
      </c>
      <c r="G6285">
        <v>-350.95280000000002</v>
      </c>
      <c r="H6285">
        <v>1.0316559999999999</v>
      </c>
      <c r="I6285">
        <v>17.31006</v>
      </c>
      <c r="J6285">
        <v>-351.67899999999997</v>
      </c>
      <c r="K6285">
        <v>1.1088610000000001</v>
      </c>
      <c r="L6285">
        <v>17.38205</v>
      </c>
      <c r="M6285">
        <v>0.99994110000000003</v>
      </c>
      <c r="N6285">
        <v>0</v>
      </c>
      <c r="O6285">
        <v>-7.1934859999999998E-3</v>
      </c>
      <c r="P6285">
        <v>0.99903399999999998</v>
      </c>
      <c r="Q6285">
        <v>7.8778330000000008E-3</v>
      </c>
      <c r="R6285">
        <v>-4.3237409999999997E-2</v>
      </c>
      <c r="S6285">
        <v>2.995117</v>
      </c>
      <c r="T6285">
        <v>-0.23919460000000001</v>
      </c>
      <c r="U6285">
        <v>-0.2284851</v>
      </c>
      <c r="V6285">
        <v>3.6057640000000002E-2</v>
      </c>
      <c r="W6285">
        <v>1.5996079999999999E-2</v>
      </c>
      <c r="X6285">
        <v>0.99922169999999999</v>
      </c>
      <c r="Y6285">
        <v>6.8695350000000002E-2</v>
      </c>
      <c r="Z6285">
        <v>-2.1620260000000001E-3</v>
      </c>
      <c r="AA6285">
        <v>0.99763539999999995</v>
      </c>
      <c r="AB6285">
        <v>28</v>
      </c>
      <c r="AC6285">
        <v>0.72620000000000495</v>
      </c>
      <c r="AD6285">
        <v>-7.7205000000000107E-2</v>
      </c>
      <c r="AE6285">
        <v>-7.1989999999999499E-2</v>
      </c>
      <c r="AF6285">
        <v>6.6025062562930004E-2</v>
      </c>
      <c r="AG6285">
        <v>-7.7205000000000107E-2</v>
      </c>
      <c r="AH6285">
        <v>0.71865545703316103</v>
      </c>
      <c r="AI6285">
        <v>96.106235483967396</v>
      </c>
      <c r="AJ6285">
        <v>84.750798281477103</v>
      </c>
      <c r="AK6285">
        <v>0.72579996337488295</v>
      </c>
      <c r="AL6285">
        <v>89.083453053026403</v>
      </c>
      <c r="AM6285">
        <v>87.933336971207495</v>
      </c>
      <c r="AN6285">
        <v>1.0000000168643099</v>
      </c>
    </row>
    <row r="6286" spans="1:40" x14ac:dyDescent="0.25">
      <c r="A6286" t="str">
        <f>"20190312160811805"</f>
        <v>20190312160811805</v>
      </c>
      <c r="B6286" t="str">
        <f>"1552378091801683"</f>
        <v>1552378091801683</v>
      </c>
      <c r="C6286" t="s">
        <v>40</v>
      </c>
      <c r="D6286">
        <v>6.5084470000000003</v>
      </c>
      <c r="E6286">
        <v>0.51004329999999998</v>
      </c>
      <c r="F6286" t="s">
        <v>47</v>
      </c>
      <c r="G6286">
        <v>-334.3417</v>
      </c>
      <c r="H6286" s="1">
        <v>-3.0262159999999999E-6</v>
      </c>
      <c r="I6286">
        <v>16.140619999999998</v>
      </c>
      <c r="J6286">
        <v>-351.53930000000003</v>
      </c>
      <c r="K6286">
        <v>1.10886</v>
      </c>
      <c r="L6286">
        <v>17.38092</v>
      </c>
      <c r="M6286">
        <v>0.99994019999999995</v>
      </c>
      <c r="N6286">
        <v>0</v>
      </c>
      <c r="O6286">
        <v>-7.323441E-3</v>
      </c>
      <c r="P6286">
        <v>0.99902639999999998</v>
      </c>
      <c r="Q6286">
        <v>7.7616530000000003E-3</v>
      </c>
      <c r="R6286">
        <v>-4.3432239999999997E-2</v>
      </c>
      <c r="S6286">
        <v>2.9950869999999998</v>
      </c>
      <c r="T6286">
        <v>-0.19156010000000001</v>
      </c>
      <c r="U6286">
        <v>-0.214447</v>
      </c>
      <c r="V6286">
        <v>3.6122689999999999E-2</v>
      </c>
      <c r="W6286">
        <v>1.5883080000000001E-2</v>
      </c>
      <c r="X6286">
        <v>0.99922109999999997</v>
      </c>
      <c r="Y6286">
        <v>6.3994700000000002E-2</v>
      </c>
      <c r="Z6286">
        <v>-1.5744960000000001E-3</v>
      </c>
      <c r="AA6286">
        <v>0.99794899999999997</v>
      </c>
      <c r="AB6286">
        <v>28</v>
      </c>
      <c r="AC6286">
        <v>17.197600000000001</v>
      </c>
      <c r="AD6286">
        <v>-1.108863026216</v>
      </c>
      <c r="AE6286">
        <v>-1.24029999999999</v>
      </c>
      <c r="AF6286">
        <v>1.10972728437654</v>
      </c>
      <c r="AG6286">
        <v>-1.108863026216</v>
      </c>
      <c r="AH6286">
        <v>17.135352730709599</v>
      </c>
      <c r="AI6286">
        <v>93.694843382694501</v>
      </c>
      <c r="AJ6286">
        <v>86.294560050933697</v>
      </c>
      <c r="AK6286">
        <v>17.2070155768638</v>
      </c>
      <c r="AL6286">
        <v>89.089928250366995</v>
      </c>
      <c r="AM6286">
        <v>87.929610595126704</v>
      </c>
      <c r="AN6286">
        <v>0.99999996382416501</v>
      </c>
    </row>
    <row r="6287" spans="1:40" x14ac:dyDescent="0.25">
      <c r="A6287" t="str">
        <f>"20190312160811817"</f>
        <v>20190312160811817</v>
      </c>
      <c r="B6287" t="str">
        <f>"1552378091811443"</f>
        <v>1552378091811443</v>
      </c>
      <c r="C6287" t="s">
        <v>40</v>
      </c>
      <c r="D6287">
        <v>6.1298919999999999</v>
      </c>
      <c r="E6287">
        <v>0.49750879999999997</v>
      </c>
      <c r="F6287" t="s">
        <v>47</v>
      </c>
      <c r="G6287">
        <v>-330.53519999999997</v>
      </c>
      <c r="H6287" s="1">
        <v>-4.6947479999999998E-6</v>
      </c>
      <c r="I6287">
        <v>15.940149999999999</v>
      </c>
      <c r="J6287">
        <v>-351.38760000000002</v>
      </c>
      <c r="K6287">
        <v>1.1088519999999999</v>
      </c>
      <c r="L6287">
        <v>17.379670000000001</v>
      </c>
      <c r="M6287">
        <v>0.99993900000000002</v>
      </c>
      <c r="N6287">
        <v>0</v>
      </c>
      <c r="O6287">
        <v>-7.4646030000000002E-3</v>
      </c>
      <c r="P6287">
        <v>0.99901490000000004</v>
      </c>
      <c r="Q6287">
        <v>7.557378E-3</v>
      </c>
      <c r="R6287">
        <v>-4.3728530000000002E-2</v>
      </c>
      <c r="S6287">
        <v>2.995209</v>
      </c>
      <c r="T6287">
        <v>-0.1581255</v>
      </c>
      <c r="U6287">
        <v>-0.2054443</v>
      </c>
      <c r="V6287">
        <v>3.6278079999999997E-2</v>
      </c>
      <c r="W6287">
        <v>1.5681879999999999E-2</v>
      </c>
      <c r="X6287">
        <v>0.99921870000000002</v>
      </c>
      <c r="Y6287">
        <v>6.0906889999999998E-2</v>
      </c>
      <c r="Z6287">
        <v>-1.211396E-3</v>
      </c>
      <c r="AA6287">
        <v>0.99814270000000005</v>
      </c>
      <c r="AB6287">
        <v>28</v>
      </c>
      <c r="AC6287">
        <v>20.852399999999999</v>
      </c>
      <c r="AD6287">
        <v>-1.1088566947480001</v>
      </c>
      <c r="AE6287">
        <v>-1.4395199999999999</v>
      </c>
      <c r="AF6287">
        <v>1.28021690150645</v>
      </c>
      <c r="AG6287">
        <v>-1.1088566947480001</v>
      </c>
      <c r="AH6287">
        <v>20.804015580720399</v>
      </c>
      <c r="AI6287">
        <v>93.045235852170094</v>
      </c>
      <c r="AJ6287">
        <v>86.478629512907105</v>
      </c>
      <c r="AK6287">
        <v>20.872843188392999</v>
      </c>
      <c r="AL6287">
        <v>89.101457644016506</v>
      </c>
      <c r="AM6287">
        <v>87.920707153378004</v>
      </c>
      <c r="AN6287">
        <v>1.0000000154392501</v>
      </c>
    </row>
    <row r="6288" spans="1:40" x14ac:dyDescent="0.25">
      <c r="A6288" t="str">
        <f>"20190312160811830"</f>
        <v>20190312160811830</v>
      </c>
      <c r="B6288" t="str">
        <f>"1552378091822178"</f>
        <v>1552378091822178</v>
      </c>
      <c r="C6288" t="s">
        <v>40</v>
      </c>
      <c r="D6288">
        <v>6.2020920000000004</v>
      </c>
      <c r="E6288">
        <v>0.49826559999999998</v>
      </c>
      <c r="F6288" t="s">
        <v>101</v>
      </c>
      <c r="G6288">
        <v>-274.15660000000003</v>
      </c>
      <c r="H6288">
        <v>5.8360250000000002</v>
      </c>
      <c r="I6288">
        <v>14.398630000000001</v>
      </c>
      <c r="J6288">
        <v>-351.20690000000002</v>
      </c>
      <c r="K6288">
        <v>1.1088499999999999</v>
      </c>
      <c r="L6288">
        <v>17.378139999999998</v>
      </c>
      <c r="M6288">
        <v>0.99993770000000004</v>
      </c>
      <c r="N6288">
        <v>0</v>
      </c>
      <c r="O6288">
        <v>-7.632471E-3</v>
      </c>
      <c r="P6288">
        <v>0.99899830000000001</v>
      </c>
      <c r="Q6288">
        <v>7.7997250000000004E-3</v>
      </c>
      <c r="R6288">
        <v>-4.406504E-2</v>
      </c>
      <c r="S6288">
        <v>2.9964900000000001</v>
      </c>
      <c r="T6288">
        <v>0.18340989999999999</v>
      </c>
      <c r="U6288">
        <v>-0.1156616</v>
      </c>
      <c r="V6288">
        <v>3.6446890000000003E-2</v>
      </c>
      <c r="W6288">
        <v>1.5928379999999999E-2</v>
      </c>
      <c r="X6288">
        <v>0.9992086</v>
      </c>
      <c r="Y6288">
        <v>3.089867E-2</v>
      </c>
      <c r="Z6288">
        <v>4.7783670000000001E-4</v>
      </c>
      <c r="AA6288">
        <v>0.99952240000000003</v>
      </c>
      <c r="AB6288">
        <v>28</v>
      </c>
      <c r="AC6288">
        <v>77.050299999999993</v>
      </c>
      <c r="AD6288">
        <v>4.7271749999999999</v>
      </c>
      <c r="AE6288">
        <v>-2.9795099999999901</v>
      </c>
      <c r="AF6288">
        <v>2.3823655797529502</v>
      </c>
      <c r="AG6288">
        <v>4.7271749999999999</v>
      </c>
      <c r="AH6288">
        <v>76.782217210630094</v>
      </c>
      <c r="AI6288">
        <v>86.478664323925898</v>
      </c>
      <c r="AJ6288">
        <v>88.222821376181301</v>
      </c>
      <c r="AK6288">
        <v>76.964477059333007</v>
      </c>
      <c r="AL6288">
        <v>89.087332417485499</v>
      </c>
      <c r="AM6288">
        <v>87.911019195457598</v>
      </c>
      <c r="AN6288">
        <v>0.99999995769702699</v>
      </c>
    </row>
    <row r="6289" spans="1:40" x14ac:dyDescent="0.25">
      <c r="A6289" t="str">
        <f>"20190312160811854"</f>
        <v>20190312160811854</v>
      </c>
      <c r="B6289" t="str">
        <f>"1552378091841698"</f>
        <v>1552378091841698</v>
      </c>
      <c r="C6289" t="s">
        <v>40</v>
      </c>
      <c r="D6289">
        <v>8.3874919999999999</v>
      </c>
      <c r="E6289">
        <v>0.4985985</v>
      </c>
      <c r="F6289" t="s">
        <v>101</v>
      </c>
      <c r="G6289">
        <v>-274.15660000000003</v>
      </c>
      <c r="H6289">
        <v>5.5900109999999996</v>
      </c>
      <c r="I6289">
        <v>14.231179999999901</v>
      </c>
      <c r="J6289">
        <v>-350.9248</v>
      </c>
      <c r="K6289">
        <v>1.108846</v>
      </c>
      <c r="L6289">
        <v>17.375729999999901</v>
      </c>
      <c r="M6289">
        <v>0.99993569999999998</v>
      </c>
      <c r="N6289">
        <v>0</v>
      </c>
      <c r="O6289">
        <v>-7.8946480000000006E-3</v>
      </c>
      <c r="P6289">
        <v>0.99899079999999996</v>
      </c>
      <c r="Q6289">
        <v>7.6307479999999997E-3</v>
      </c>
      <c r="R6289">
        <v>-4.4266809999999997E-2</v>
      </c>
      <c r="S6289">
        <v>2.9962460000000002</v>
      </c>
      <c r="T6289">
        <v>0.17425850000000001</v>
      </c>
      <c r="U6289">
        <v>-0.1223755</v>
      </c>
      <c r="V6289">
        <v>3.6386710000000003E-2</v>
      </c>
      <c r="W6289">
        <v>1.5766269999999999E-2</v>
      </c>
      <c r="X6289">
        <v>0.99921340000000003</v>
      </c>
      <c r="Y6289">
        <v>3.2877160000000002E-2</v>
      </c>
      <c r="Z6289">
        <v>4.9628699999999999E-4</v>
      </c>
      <c r="AA6289">
        <v>0.99945930000000005</v>
      </c>
      <c r="AB6289">
        <v>28</v>
      </c>
      <c r="AC6289">
        <v>76.768199999999894</v>
      </c>
      <c r="AD6289">
        <v>4.4811649999999998</v>
      </c>
      <c r="AE6289">
        <v>-3.14454999999999</v>
      </c>
      <c r="AF6289">
        <v>2.5297685836049801</v>
      </c>
      <c r="AG6289">
        <v>4.4811649999999998</v>
      </c>
      <c r="AH6289">
        <v>76.530303256191104</v>
      </c>
      <c r="AI6289">
        <v>86.650747216435605</v>
      </c>
      <c r="AJ6289">
        <v>88.106732910519</v>
      </c>
      <c r="AK6289">
        <v>76.703115225708999</v>
      </c>
      <c r="AL6289">
        <v>89.0966218354353</v>
      </c>
      <c r="AM6289">
        <v>87.914475418470204</v>
      </c>
      <c r="AN6289">
        <v>0.999999993336948</v>
      </c>
    </row>
    <row r="6290" spans="1:40" x14ac:dyDescent="0.25">
      <c r="A6290" t="str">
        <f>"20190312160811866"</f>
        <v>20190312160811866</v>
      </c>
      <c r="B6290" t="str">
        <f>"1552378091862194"</f>
        <v>1552378091862194</v>
      </c>
      <c r="C6290" t="s">
        <v>40</v>
      </c>
      <c r="D6290">
        <v>5.7378179999999999</v>
      </c>
      <c r="E6290">
        <v>0.50375509999999901</v>
      </c>
      <c r="F6290" t="s">
        <v>101</v>
      </c>
      <c r="G6290">
        <v>-274.15660000000003</v>
      </c>
      <c r="H6290">
        <v>5.5841349999999998</v>
      </c>
      <c r="I6290">
        <v>14.156470000000001</v>
      </c>
      <c r="J6290">
        <v>-350.75209999999998</v>
      </c>
      <c r="K6290">
        <v>1.1088439999999999</v>
      </c>
      <c r="L6290">
        <v>17.374179999999999</v>
      </c>
      <c r="M6290">
        <v>0.99993430000000005</v>
      </c>
      <c r="N6290">
        <v>0</v>
      </c>
      <c r="O6290">
        <v>-8.055006E-3</v>
      </c>
      <c r="P6290">
        <v>0.99898089999999995</v>
      </c>
      <c r="Q6290">
        <v>7.319122E-3</v>
      </c>
      <c r="R6290">
        <v>-4.4536880000000001E-2</v>
      </c>
      <c r="S6290">
        <v>2.9960939999999998</v>
      </c>
      <c r="T6290">
        <v>0.1746608</v>
      </c>
      <c r="U6290">
        <v>-0.1256409</v>
      </c>
      <c r="V6290">
        <v>3.6496649999999999E-2</v>
      </c>
      <c r="W6290">
        <v>1.545875E-2</v>
      </c>
      <c r="X6290">
        <v>0.99921420000000005</v>
      </c>
      <c r="Y6290">
        <v>3.3804870000000001E-2</v>
      </c>
      <c r="Z6290">
        <v>5.1511609999999996E-4</v>
      </c>
      <c r="AA6290">
        <v>0.99942830000000005</v>
      </c>
      <c r="AB6290">
        <v>28</v>
      </c>
      <c r="AC6290">
        <v>76.595499999999902</v>
      </c>
      <c r="AD6290">
        <v>4.4752910000000004</v>
      </c>
      <c r="AE6290">
        <v>-3.2177099999999901</v>
      </c>
      <c r="AF6290">
        <v>2.5917756964768399</v>
      </c>
      <c r="AG6290">
        <v>4.4752910000000004</v>
      </c>
      <c r="AH6290">
        <v>76.358721479453195</v>
      </c>
      <c r="AI6290">
        <v>86.647727735366303</v>
      </c>
      <c r="AJ6290">
        <v>88.056006977129599</v>
      </c>
      <c r="AK6290">
        <v>76.533651923661793</v>
      </c>
      <c r="AL6290">
        <v>89.114243585607298</v>
      </c>
      <c r="AM6290">
        <v>87.9081814088008</v>
      </c>
      <c r="AN6290">
        <v>0.99999999794721195</v>
      </c>
    </row>
    <row r="6291" spans="1:40" x14ac:dyDescent="0.25">
      <c r="A6291" t="str">
        <f>"20190312160811883"</f>
        <v>20190312160811883</v>
      </c>
      <c r="B6291" t="str">
        <f>"1552378091871819"</f>
        <v>1552378091871819</v>
      </c>
      <c r="C6291" t="s">
        <v>40</v>
      </c>
      <c r="D6291">
        <v>5.6991110000000003</v>
      </c>
      <c r="E6291">
        <v>0.50150109999999903</v>
      </c>
      <c r="F6291" t="s">
        <v>106</v>
      </c>
      <c r="G6291">
        <v>-279.68</v>
      </c>
      <c r="H6291">
        <v>0.50840560000000001</v>
      </c>
      <c r="I6291">
        <v>13.52427</v>
      </c>
      <c r="J6291">
        <v>-350.53789999999998</v>
      </c>
      <c r="K6291">
        <v>1.1088439999999999</v>
      </c>
      <c r="L6291">
        <v>17.372250000000001</v>
      </c>
      <c r="M6291">
        <v>0.99993270000000001</v>
      </c>
      <c r="N6291">
        <v>0</v>
      </c>
      <c r="O6291">
        <v>-8.2538719999999902E-3</v>
      </c>
      <c r="P6291">
        <v>0.99896189999999996</v>
      </c>
      <c r="Q6291">
        <v>7.043306E-3</v>
      </c>
      <c r="R6291">
        <v>-4.5011280000000001E-2</v>
      </c>
      <c r="S6291">
        <v>2.9960330000000002</v>
      </c>
      <c r="T6291">
        <v>-2.531183E-2</v>
      </c>
      <c r="U6291">
        <v>-0.16229250000000001</v>
      </c>
      <c r="V6291">
        <v>3.6771959999999999E-2</v>
      </c>
      <c r="W6291">
        <v>1.518794E-2</v>
      </c>
      <c r="X6291">
        <v>0.99920830000000005</v>
      </c>
      <c r="Y6291">
        <v>4.5844589999999998E-2</v>
      </c>
      <c r="Z6291">
        <v>-1.2383459999999901E-4</v>
      </c>
      <c r="AA6291">
        <v>0.99894859999999996</v>
      </c>
      <c r="AB6291">
        <v>28</v>
      </c>
      <c r="AC6291">
        <v>70.857899999999901</v>
      </c>
      <c r="AD6291">
        <v>-0.60043839999999904</v>
      </c>
      <c r="AE6291">
        <v>-3.8479800000000002</v>
      </c>
      <c r="AF6291">
        <v>3.2627438440048699</v>
      </c>
      <c r="AG6291">
        <v>-0.60043839999999904</v>
      </c>
      <c r="AH6291">
        <v>70.882173146584805</v>
      </c>
      <c r="AI6291">
        <v>90.484823982881693</v>
      </c>
      <c r="AJ6291">
        <v>87.364505346140007</v>
      </c>
      <c r="AK6291">
        <v>70.959766724857701</v>
      </c>
      <c r="AL6291">
        <v>89.129761713152305</v>
      </c>
      <c r="AM6291">
        <v>87.892403660914496</v>
      </c>
      <c r="AN6291">
        <v>1.00000003867628</v>
      </c>
    </row>
    <row r="6292" spans="1:40" x14ac:dyDescent="0.25">
      <c r="A6292" t="str">
        <f>"20190312160811895"</f>
        <v>20190312160811895</v>
      </c>
      <c r="B6292" t="str">
        <f>"1552378091881578"</f>
        <v>1552378091881578</v>
      </c>
      <c r="C6292" t="s">
        <v>40</v>
      </c>
      <c r="D6292">
        <v>5.6865959999999998</v>
      </c>
      <c r="E6292">
        <v>0.50152169999999996</v>
      </c>
      <c r="F6292" t="s">
        <v>106</v>
      </c>
      <c r="G6292">
        <v>-279.68</v>
      </c>
      <c r="H6292">
        <v>1.340441</v>
      </c>
      <c r="I6292">
        <v>13.903230000000001</v>
      </c>
      <c r="J6292">
        <v>-350.39940000000001</v>
      </c>
      <c r="K6292">
        <v>1.108843</v>
      </c>
      <c r="L6292">
        <v>17.370999999999999</v>
      </c>
      <c r="M6292">
        <v>0.99993160000000003</v>
      </c>
      <c r="N6292">
        <v>0</v>
      </c>
      <c r="O6292">
        <v>-8.3823960000000003E-3</v>
      </c>
      <c r="P6292">
        <v>0.99896130000000005</v>
      </c>
      <c r="Q6292">
        <v>6.9723220000000004E-3</v>
      </c>
      <c r="R6292">
        <v>-4.5032740000000002E-2</v>
      </c>
      <c r="S6292">
        <v>2.996429</v>
      </c>
      <c r="T6292">
        <v>9.7932820000000004E-3</v>
      </c>
      <c r="U6292">
        <v>-0.146698</v>
      </c>
      <c r="V6292">
        <v>3.6665200000000002E-2</v>
      </c>
      <c r="W6292">
        <v>1.512023E-2</v>
      </c>
      <c r="X6292">
        <v>0.99921320000000002</v>
      </c>
      <c r="Y6292">
        <v>4.0524499999999998E-2</v>
      </c>
      <c r="Z6292" s="1">
        <v>3.8804519999999999E-5</v>
      </c>
      <c r="AA6292">
        <v>0.99917849999999997</v>
      </c>
      <c r="AB6292">
        <v>28</v>
      </c>
      <c r="AC6292">
        <v>70.719399999999993</v>
      </c>
      <c r="AD6292">
        <v>0.231598</v>
      </c>
      <c r="AE6292">
        <v>-3.4677699999999998</v>
      </c>
      <c r="AF6292">
        <v>2.8747996648383398</v>
      </c>
      <c r="AG6292">
        <v>0.231598</v>
      </c>
      <c r="AH6292">
        <v>70.745227531433798</v>
      </c>
      <c r="AI6292">
        <v>89.812586675264299</v>
      </c>
      <c r="AJ6292">
        <v>87.673011731577603</v>
      </c>
      <c r="AK6292">
        <v>70.803992325439594</v>
      </c>
      <c r="AL6292">
        <v>89.133641612422807</v>
      </c>
      <c r="AM6292">
        <v>87.898527445446106</v>
      </c>
      <c r="AN6292">
        <v>0.99999998865026596</v>
      </c>
    </row>
    <row r="6293" spans="1:40" x14ac:dyDescent="0.25">
      <c r="A6293" t="str">
        <f>"20190312160811905"</f>
        <v>20190312160811905</v>
      </c>
      <c r="B6293" t="str">
        <f>"1552378091902074"</f>
        <v>1552378091902074</v>
      </c>
      <c r="C6293" t="s">
        <v>40</v>
      </c>
      <c r="D6293">
        <v>6.1537240000000004</v>
      </c>
      <c r="E6293">
        <v>0.50122270000000002</v>
      </c>
      <c r="F6293" t="s">
        <v>101</v>
      </c>
      <c r="G6293">
        <v>-274.49669999999998</v>
      </c>
      <c r="H6293">
        <v>1.384031</v>
      </c>
      <c r="I6293">
        <v>13.648809999999999</v>
      </c>
      <c r="J6293">
        <v>-350.25779999999997</v>
      </c>
      <c r="K6293">
        <v>1.108841</v>
      </c>
      <c r="L6293">
        <v>17.369689999999999</v>
      </c>
      <c r="M6293">
        <v>0.99993030000000005</v>
      </c>
      <c r="N6293">
        <v>0</v>
      </c>
      <c r="O6293">
        <v>-8.5137809999999998E-3</v>
      </c>
      <c r="P6293">
        <v>0.99894879999999997</v>
      </c>
      <c r="Q6293">
        <v>7.1417329999999999E-3</v>
      </c>
      <c r="R6293">
        <v>-4.5280750000000002E-2</v>
      </c>
      <c r="S6293">
        <v>2.996429</v>
      </c>
      <c r="T6293">
        <v>1.086378E-2</v>
      </c>
      <c r="U6293">
        <v>-0.14694209999999999</v>
      </c>
      <c r="V6293">
        <v>3.6782040000000002E-2</v>
      </c>
      <c r="W6293">
        <v>1.529283E-2</v>
      </c>
      <c r="X6293">
        <v>0.99920629999999999</v>
      </c>
      <c r="Y6293">
        <v>4.0474400000000001E-2</v>
      </c>
      <c r="Z6293" s="1">
        <v>4.247932E-5</v>
      </c>
      <c r="AA6293">
        <v>0.99918059999999997</v>
      </c>
      <c r="AB6293">
        <v>29</v>
      </c>
      <c r="AC6293">
        <v>75.761099999999999</v>
      </c>
      <c r="AD6293">
        <v>0.27518999999999999</v>
      </c>
      <c r="AE6293">
        <v>-3.72087999999999</v>
      </c>
      <c r="AF6293">
        <v>3.0756696591981298</v>
      </c>
      <c r="AG6293">
        <v>0.27518999999999999</v>
      </c>
      <c r="AH6293">
        <v>75.789036286589095</v>
      </c>
      <c r="AI6293">
        <v>89.792131029413497</v>
      </c>
      <c r="AJ6293">
        <v>87.676098623173303</v>
      </c>
      <c r="AK6293">
        <v>75.851918200125496</v>
      </c>
      <c r="AL6293">
        <v>89.123751235472</v>
      </c>
      <c r="AM6293">
        <v>87.8918222279177</v>
      </c>
      <c r="AN6293">
        <v>1.0000000095378301</v>
      </c>
    </row>
    <row r="6294" spans="1:40" x14ac:dyDescent="0.25">
      <c r="A6294" t="str">
        <f>"20190312160811917"</f>
        <v>20190312160811917</v>
      </c>
      <c r="B6294" t="str">
        <f>"1552378091911833"</f>
        <v>1552378091911833</v>
      </c>
      <c r="C6294" t="s">
        <v>40</v>
      </c>
      <c r="D6294">
        <v>6.128425</v>
      </c>
      <c r="E6294">
        <v>0.50122270000000002</v>
      </c>
      <c r="F6294" t="s">
        <v>107</v>
      </c>
      <c r="G6294">
        <v>-279.68</v>
      </c>
      <c r="H6294">
        <v>1.237746</v>
      </c>
      <c r="I6294">
        <v>13.9512</v>
      </c>
      <c r="J6294">
        <v>-350.10789999999997</v>
      </c>
      <c r="K6294">
        <v>1.1088370000000001</v>
      </c>
      <c r="L6294">
        <v>17.368259999999999</v>
      </c>
      <c r="M6294">
        <v>0.99992919999999996</v>
      </c>
      <c r="N6294">
        <v>0</v>
      </c>
      <c r="O6294">
        <v>-8.6527970000000003E-3</v>
      </c>
      <c r="P6294">
        <v>0.99894819999999995</v>
      </c>
      <c r="Q6294">
        <v>6.8871359999999899E-3</v>
      </c>
      <c r="R6294">
        <v>-4.5333869999999998E-2</v>
      </c>
      <c r="S6294">
        <v>2.9965820000000001</v>
      </c>
      <c r="T6294">
        <v>5.4731370000000003E-3</v>
      </c>
      <c r="U6294">
        <v>-0.14514160000000001</v>
      </c>
      <c r="V6294">
        <v>3.6696119999999999E-2</v>
      </c>
      <c r="W6294">
        <v>1.5041560000000001E-2</v>
      </c>
      <c r="X6294">
        <v>0.99921329999999997</v>
      </c>
      <c r="Y6294">
        <v>3.9734190000000003E-2</v>
      </c>
      <c r="Z6294" s="1">
        <v>2.047089E-5</v>
      </c>
      <c r="AA6294">
        <v>0.9992103</v>
      </c>
      <c r="AB6294">
        <v>29</v>
      </c>
      <c r="AC6294">
        <v>70.427899999999894</v>
      </c>
      <c r="AD6294">
        <v>0.128908999999999</v>
      </c>
      <c r="AE6294">
        <v>-3.41705999999999</v>
      </c>
      <c r="AF6294">
        <v>2.8075040325231901</v>
      </c>
      <c r="AG6294">
        <v>0.128908999999999</v>
      </c>
      <c r="AH6294">
        <v>70.454595901665797</v>
      </c>
      <c r="AI6294">
        <v>89.895250604387996</v>
      </c>
      <c r="AJ6294">
        <v>87.718061270661806</v>
      </c>
      <c r="AK6294">
        <v>70.510628844805595</v>
      </c>
      <c r="AL6294">
        <v>89.138149625200697</v>
      </c>
      <c r="AM6294">
        <v>87.896757061299894</v>
      </c>
      <c r="AN6294">
        <v>1.0000000363235799</v>
      </c>
    </row>
    <row r="6295" spans="1:40" x14ac:dyDescent="0.25">
      <c r="A6295" t="str">
        <f>"20190312160811929"</f>
        <v>20190312160811929</v>
      </c>
      <c r="B6295" t="str">
        <f>"1552378091921595"</f>
        <v>1552378091921595</v>
      </c>
      <c r="C6295" t="s">
        <v>40</v>
      </c>
      <c r="D6295">
        <v>6.1001180000000002</v>
      </c>
      <c r="E6295">
        <v>0.50116799999999995</v>
      </c>
      <c r="F6295" t="s">
        <v>107</v>
      </c>
      <c r="G6295">
        <v>-279.68</v>
      </c>
      <c r="H6295">
        <v>1.219538</v>
      </c>
      <c r="I6295">
        <v>13.9534</v>
      </c>
      <c r="J6295">
        <v>-349.94699999999898</v>
      </c>
      <c r="K6295">
        <v>1.108835</v>
      </c>
      <c r="L6295">
        <v>17.36673</v>
      </c>
      <c r="M6295">
        <v>0.99992780000000003</v>
      </c>
      <c r="N6295">
        <v>0</v>
      </c>
      <c r="O6295">
        <v>-8.802186E-3</v>
      </c>
      <c r="P6295">
        <v>0.99893860000000001</v>
      </c>
      <c r="Q6295">
        <v>6.9137799999999996E-3</v>
      </c>
      <c r="R6295">
        <v>-4.554238E-2</v>
      </c>
      <c r="S6295">
        <v>2.9965519999999999</v>
      </c>
      <c r="T6295">
        <v>4.7101970000000002E-3</v>
      </c>
      <c r="U6295">
        <v>-0.14529420000000001</v>
      </c>
      <c r="V6295">
        <v>3.6755429999999999E-2</v>
      </c>
      <c r="W6295">
        <v>1.507208E-2</v>
      </c>
      <c r="X6295">
        <v>0.99921059999999995</v>
      </c>
      <c r="Y6295">
        <v>3.9636169999999998E-2</v>
      </c>
      <c r="Z6295" s="1">
        <v>1.7305820000000001E-5</v>
      </c>
      <c r="AA6295">
        <v>0.99921420000000005</v>
      </c>
      <c r="AB6295">
        <v>29</v>
      </c>
      <c r="AC6295">
        <v>70.266999999999896</v>
      </c>
      <c r="AD6295">
        <v>0.110703</v>
      </c>
      <c r="AE6295">
        <v>-3.4133300000000002</v>
      </c>
      <c r="AF6295">
        <v>2.7946669398455901</v>
      </c>
      <c r="AG6295">
        <v>0.110703</v>
      </c>
      <c r="AH6295">
        <v>70.294149380775906</v>
      </c>
      <c r="AI6295">
        <v>89.909838831331101</v>
      </c>
      <c r="AJ6295">
        <v>87.723305013348394</v>
      </c>
      <c r="AK6295">
        <v>70.349767985585601</v>
      </c>
      <c r="AL6295">
        <v>89.136400707887205</v>
      </c>
      <c r="AM6295">
        <v>87.893355073934899</v>
      </c>
      <c r="AN6295">
        <v>0.99999997619118497</v>
      </c>
    </row>
    <row r="6296" spans="1:40" x14ac:dyDescent="0.25">
      <c r="A6296" t="str">
        <f>"20190312160811941"</f>
        <v>20190312160811941</v>
      </c>
      <c r="B6296" t="str">
        <f>"1552378091932330"</f>
        <v>1552378091932330</v>
      </c>
      <c r="C6296" t="s">
        <v>40</v>
      </c>
      <c r="D6296">
        <v>5.6887129999999999</v>
      </c>
      <c r="E6296">
        <v>0.50068559999999995</v>
      </c>
      <c r="F6296" t="s">
        <v>107</v>
      </c>
      <c r="G6296">
        <v>-279.68</v>
      </c>
      <c r="H6296">
        <v>1.1771370000000001</v>
      </c>
      <c r="I6296">
        <v>13.95614</v>
      </c>
      <c r="J6296">
        <v>-349.80259999999998</v>
      </c>
      <c r="K6296">
        <v>1.108833</v>
      </c>
      <c r="L6296">
        <v>17.36533</v>
      </c>
      <c r="M6296">
        <v>0.9999266</v>
      </c>
      <c r="N6296">
        <v>0</v>
      </c>
      <c r="O6296">
        <v>-8.9363129999999995E-3</v>
      </c>
      <c r="P6296">
        <v>0.9989363</v>
      </c>
      <c r="Q6296">
        <v>6.9163590000000004E-3</v>
      </c>
      <c r="R6296">
        <v>-4.5590779999999997E-2</v>
      </c>
      <c r="S6296">
        <v>2.9965820000000001</v>
      </c>
      <c r="T6296">
        <v>2.9128790000000002E-3</v>
      </c>
      <c r="U6296">
        <v>-0.14544679999999999</v>
      </c>
      <c r="V6296">
        <v>3.6669880000000002E-2</v>
      </c>
      <c r="W6296">
        <v>1.5077800000000001E-2</v>
      </c>
      <c r="X6296">
        <v>0.99921369999999998</v>
      </c>
      <c r="Y6296">
        <v>3.9552419999999998E-2</v>
      </c>
      <c r="Z6296" s="1">
        <v>1.053117E-5</v>
      </c>
      <c r="AA6296">
        <v>0.99921749999999998</v>
      </c>
      <c r="AB6296">
        <v>29</v>
      </c>
      <c r="AC6296">
        <v>70.122599999999906</v>
      </c>
      <c r="AD6296">
        <v>6.8304000000000101E-2</v>
      </c>
      <c r="AE6296">
        <v>-3.4091900000000002</v>
      </c>
      <c r="AF6296">
        <v>2.7823927538120601</v>
      </c>
      <c r="AG6296">
        <v>6.8304000000000101E-2</v>
      </c>
      <c r="AH6296">
        <v>70.150200049037906</v>
      </c>
      <c r="AI6296">
        <v>89.944255968394401</v>
      </c>
      <c r="AJ6296">
        <v>87.728647361228894</v>
      </c>
      <c r="AK6296">
        <v>70.205391116301897</v>
      </c>
      <c r="AL6296">
        <v>89.136072975942895</v>
      </c>
      <c r="AM6296">
        <v>87.898260501698601</v>
      </c>
      <c r="AN6296">
        <v>1.0000000192098699</v>
      </c>
    </row>
    <row r="6297" spans="1:40" x14ac:dyDescent="0.25">
      <c r="A6297" t="str">
        <f>"20190312160811952"</f>
        <v>20190312160811952</v>
      </c>
      <c r="B6297" t="str">
        <f>"1552378091942090"</f>
        <v>1552378091942090</v>
      </c>
      <c r="C6297" t="s">
        <v>40</v>
      </c>
      <c r="D6297">
        <v>5.6869310000000004</v>
      </c>
      <c r="E6297">
        <v>0.50033930000000004</v>
      </c>
      <c r="F6297" t="s">
        <v>107</v>
      </c>
      <c r="G6297">
        <v>-279.68</v>
      </c>
      <c r="H6297">
        <v>1.245439</v>
      </c>
      <c r="I6297">
        <v>14.046110000000001</v>
      </c>
      <c r="J6297">
        <v>-349.64550000000003</v>
      </c>
      <c r="K6297">
        <v>1.108833</v>
      </c>
      <c r="L6297">
        <v>17.363769999999999</v>
      </c>
      <c r="M6297">
        <v>0.99992539999999996</v>
      </c>
      <c r="N6297">
        <v>0</v>
      </c>
      <c r="O6297">
        <v>-9.0821249999999999E-3</v>
      </c>
      <c r="P6297">
        <v>0.99892669999999995</v>
      </c>
      <c r="Q6297">
        <v>6.8747620000000004E-3</v>
      </c>
      <c r="R6297">
        <v>-4.5811329999999997E-2</v>
      </c>
      <c r="S6297">
        <v>2.9966740000000001</v>
      </c>
      <c r="T6297">
        <v>5.8379169999999998E-3</v>
      </c>
      <c r="U6297">
        <v>-0.14184569999999999</v>
      </c>
      <c r="V6297">
        <v>3.674467E-2</v>
      </c>
      <c r="W6297">
        <v>1.5040130000000001E-2</v>
      </c>
      <c r="X6297">
        <v>0.99921150000000003</v>
      </c>
      <c r="Y6297">
        <v>3.8207169999999999E-2</v>
      </c>
      <c r="Z6297" s="1">
        <v>1.9512729999999999E-5</v>
      </c>
      <c r="AA6297">
        <v>0.99926979999999999</v>
      </c>
      <c r="AB6297">
        <v>29</v>
      </c>
      <c r="AC6297">
        <v>69.965500000000006</v>
      </c>
      <c r="AD6297">
        <v>0.13660600000000001</v>
      </c>
      <c r="AE6297">
        <v>-3.3176600000000001</v>
      </c>
      <c r="AF6297">
        <v>2.6820563454451101</v>
      </c>
      <c r="AG6297">
        <v>0.13660600000000001</v>
      </c>
      <c r="AH6297">
        <v>69.992480379680202</v>
      </c>
      <c r="AI6297">
        <v>89.888256606659596</v>
      </c>
      <c r="AJ6297">
        <v>87.8055448278608</v>
      </c>
      <c r="AK6297">
        <v>70.043981876670202</v>
      </c>
      <c r="AL6297">
        <v>89.138231535271899</v>
      </c>
      <c r="AM6297">
        <v>87.893973125312499</v>
      </c>
      <c r="AN6297">
        <v>0.99999999900803704</v>
      </c>
    </row>
    <row r="6298" spans="1:40" x14ac:dyDescent="0.25">
      <c r="A6298" t="str">
        <f>"20190312160811965"</f>
        <v>20190312160811965</v>
      </c>
      <c r="B6298" t="str">
        <f>"1552378091951850"</f>
        <v>1552378091951850</v>
      </c>
      <c r="C6298" t="s">
        <v>40</v>
      </c>
      <c r="D6298">
        <v>5.3456320000000002</v>
      </c>
      <c r="E6298">
        <v>0.50019650000000004</v>
      </c>
      <c r="F6298" t="s">
        <v>107</v>
      </c>
      <c r="G6298">
        <v>-279.68</v>
      </c>
      <c r="H6298">
        <v>1.194707</v>
      </c>
      <c r="I6298">
        <v>14.10271</v>
      </c>
      <c r="J6298">
        <v>-349.49169999999998</v>
      </c>
      <c r="K6298">
        <v>1.1088290000000001</v>
      </c>
      <c r="L6298">
        <v>17.36224</v>
      </c>
      <c r="M6298">
        <v>0.99992389999999998</v>
      </c>
      <c r="N6298">
        <v>0</v>
      </c>
      <c r="O6298">
        <v>-9.2247179999999998E-3</v>
      </c>
      <c r="P6298">
        <v>0.9989131</v>
      </c>
      <c r="Q6298">
        <v>6.7484019999999997E-3</v>
      </c>
      <c r="R6298">
        <v>-4.6122160000000002E-2</v>
      </c>
      <c r="S6298">
        <v>2.9967959999999998</v>
      </c>
      <c r="T6298">
        <v>3.6783219999999999E-3</v>
      </c>
      <c r="U6298">
        <v>-0.139679</v>
      </c>
      <c r="V6298">
        <v>3.6913139999999997E-2</v>
      </c>
      <c r="W6298">
        <v>1.4917120000000001E-2</v>
      </c>
      <c r="X6298">
        <v>0.99920710000000001</v>
      </c>
      <c r="Y6298">
        <v>3.7341859999999998E-2</v>
      </c>
      <c r="Z6298" s="1">
        <v>1.158851E-5</v>
      </c>
      <c r="AA6298">
        <v>0.99930260000000004</v>
      </c>
      <c r="AB6298">
        <v>29</v>
      </c>
      <c r="AC6298">
        <v>69.811699999999902</v>
      </c>
      <c r="AD6298">
        <v>8.5877999999999899E-2</v>
      </c>
      <c r="AE6298">
        <v>-3.2595299999999998</v>
      </c>
      <c r="AF6298">
        <v>2.61537250085774</v>
      </c>
      <c r="AG6298">
        <v>8.5877999999999899E-2</v>
      </c>
      <c r="AH6298">
        <v>69.838693210599899</v>
      </c>
      <c r="AI6298">
        <v>89.929594933184802</v>
      </c>
      <c r="AJ6298">
        <v>87.855346257492798</v>
      </c>
      <c r="AK6298">
        <v>69.887700045955199</v>
      </c>
      <c r="AL6298">
        <v>89.145280250421493</v>
      </c>
      <c r="AM6298">
        <v>87.884316686099595</v>
      </c>
      <c r="AN6298">
        <v>0.99999996453208095</v>
      </c>
    </row>
    <row r="6299" spans="1:40" x14ac:dyDescent="0.25">
      <c r="A6299" t="str">
        <f>"20190312160811979"</f>
        <v>20190312160811979</v>
      </c>
      <c r="B6299" t="str">
        <f>"1552378091972347"</f>
        <v>1552378091972347</v>
      </c>
      <c r="C6299" t="s">
        <v>40</v>
      </c>
      <c r="D6299">
        <v>6.061496</v>
      </c>
      <c r="E6299">
        <v>0.49880629999999998</v>
      </c>
      <c r="F6299" t="s">
        <v>107</v>
      </c>
      <c r="G6299">
        <v>-279.68</v>
      </c>
      <c r="H6299">
        <v>1.221117</v>
      </c>
      <c r="I6299">
        <v>14.112629999999999</v>
      </c>
      <c r="J6299">
        <v>-349.31689999999998</v>
      </c>
      <c r="K6299">
        <v>1.1088279999999999</v>
      </c>
      <c r="L6299">
        <v>17.360469999999999</v>
      </c>
      <c r="M6299">
        <v>0.99992239999999999</v>
      </c>
      <c r="N6299">
        <v>0</v>
      </c>
      <c r="O6299">
        <v>-9.3869829999999998E-3</v>
      </c>
      <c r="P6299">
        <v>0.9988998</v>
      </c>
      <c r="Q6299">
        <v>6.6327649999999997E-3</v>
      </c>
      <c r="R6299">
        <v>-4.6428579999999997E-2</v>
      </c>
      <c r="S6299">
        <v>2.9967959999999998</v>
      </c>
      <c r="T6299">
        <v>4.8202280000000002E-3</v>
      </c>
      <c r="U6299">
        <v>-0.139495799999999</v>
      </c>
      <c r="V6299">
        <v>3.7057319999999998E-2</v>
      </c>
      <c r="W6299">
        <v>1.4805560000000001E-2</v>
      </c>
      <c r="X6299">
        <v>0.99920339999999996</v>
      </c>
      <c r="Y6299">
        <v>3.7118760000000001E-2</v>
      </c>
      <c r="Z6299" s="1">
        <v>1.4745929999999999E-5</v>
      </c>
      <c r="AA6299">
        <v>0.9993109</v>
      </c>
      <c r="AB6299">
        <v>29</v>
      </c>
      <c r="AC6299">
        <v>69.636899999999898</v>
      </c>
      <c r="AD6299">
        <v>0.112288999999999</v>
      </c>
      <c r="AE6299">
        <v>-3.2478400000000001</v>
      </c>
      <c r="AF6299">
        <v>2.5939878431977799</v>
      </c>
      <c r="AG6299">
        <v>0.112288999999999</v>
      </c>
      <c r="AH6299">
        <v>69.664139381779705</v>
      </c>
      <c r="AI6299">
        <v>89.907711129589202</v>
      </c>
      <c r="AJ6299">
        <v>87.867540961307697</v>
      </c>
      <c r="AK6299">
        <v>69.712507468561299</v>
      </c>
      <c r="AL6299">
        <v>89.151672854733704</v>
      </c>
      <c r="AM6299">
        <v>87.876052679292997</v>
      </c>
      <c r="AN6299">
        <v>0.99999994207202603</v>
      </c>
    </row>
    <row r="6300" spans="1:40" x14ac:dyDescent="0.25">
      <c r="A6300" t="str">
        <f>"20190312160811996"</f>
        <v>20190312160811996</v>
      </c>
      <c r="B6300" t="str">
        <f>"1552378091991866"</f>
        <v>1552378091991866</v>
      </c>
      <c r="C6300" t="s">
        <v>40</v>
      </c>
      <c r="D6300">
        <v>5.7305400000000004</v>
      </c>
      <c r="E6300">
        <v>0.49940210000000002</v>
      </c>
      <c r="F6300" t="s">
        <v>107</v>
      </c>
      <c r="G6300">
        <v>-279.68</v>
      </c>
      <c r="H6300">
        <v>1.2925450000000001</v>
      </c>
      <c r="I6300">
        <v>14.352729999999999</v>
      </c>
      <c r="J6300">
        <v>-349.08819999999997</v>
      </c>
      <c r="K6300">
        <v>1.108824</v>
      </c>
      <c r="L6300">
        <v>17.358090000000001</v>
      </c>
      <c r="M6300">
        <v>0.99992029999999998</v>
      </c>
      <c r="N6300">
        <v>0</v>
      </c>
      <c r="O6300">
        <v>-9.5989639999999998E-3</v>
      </c>
      <c r="P6300">
        <v>0.99886079999999999</v>
      </c>
      <c r="Q6300">
        <v>6.7935110000000003E-3</v>
      </c>
      <c r="R6300">
        <v>-4.7231870000000002E-2</v>
      </c>
      <c r="S6300">
        <v>2.997223</v>
      </c>
      <c r="T6300">
        <v>7.9073909999999997E-3</v>
      </c>
      <c r="U6300">
        <v>-0.1294556</v>
      </c>
      <c r="V6300">
        <v>3.7649509999999997E-2</v>
      </c>
      <c r="W6300">
        <v>1.4971480000000001E-2</v>
      </c>
      <c r="X6300">
        <v>0.99917880000000003</v>
      </c>
      <c r="Y6300">
        <v>3.3559190000000003E-2</v>
      </c>
      <c r="Z6300" s="1">
        <v>1.8936110000000001E-5</v>
      </c>
      <c r="AA6300">
        <v>0.99943669999999996</v>
      </c>
      <c r="AB6300">
        <v>29</v>
      </c>
      <c r="AC6300">
        <v>69.408199999999894</v>
      </c>
      <c r="AD6300">
        <v>0.183721</v>
      </c>
      <c r="AE6300">
        <v>-3.00536</v>
      </c>
      <c r="AF6300">
        <v>2.3389359555391098</v>
      </c>
      <c r="AG6300">
        <v>0.183721</v>
      </c>
      <c r="AH6300">
        <v>69.433365815448795</v>
      </c>
      <c r="AI6300">
        <v>89.848481405160101</v>
      </c>
      <c r="AJ6300">
        <v>88.070660956874207</v>
      </c>
      <c r="AK6300">
        <v>69.472992329911094</v>
      </c>
      <c r="AL6300">
        <v>89.142165293640602</v>
      </c>
      <c r="AM6300">
        <v>87.8420899545917</v>
      </c>
      <c r="AN6300">
        <v>0.99999995259303398</v>
      </c>
    </row>
    <row r="6301" spans="1:40" x14ac:dyDescent="0.25">
      <c r="A6301" t="str">
        <f>"20190312160812008"</f>
        <v>20190312160812008</v>
      </c>
      <c r="B6301" t="str">
        <f>"1552378092001627"</f>
        <v>1552378092001627</v>
      </c>
      <c r="C6301" t="s">
        <v>40</v>
      </c>
      <c r="D6301">
        <v>6.0848449999999996</v>
      </c>
      <c r="E6301">
        <v>0.4996331</v>
      </c>
      <c r="F6301" t="s">
        <v>107</v>
      </c>
      <c r="G6301">
        <v>-279.68</v>
      </c>
      <c r="H6301">
        <v>1.1937180000000001</v>
      </c>
      <c r="I6301">
        <v>14.19739</v>
      </c>
      <c r="J6301">
        <v>-348.92649999999998</v>
      </c>
      <c r="K6301">
        <v>1.1088229999999999</v>
      </c>
      <c r="L6301">
        <v>17.35641</v>
      </c>
      <c r="M6301">
        <v>0.99991890000000005</v>
      </c>
      <c r="N6301">
        <v>0</v>
      </c>
      <c r="O6301">
        <v>-9.7485909999999992E-3</v>
      </c>
      <c r="P6301">
        <v>0.99884070000000003</v>
      </c>
      <c r="Q6301">
        <v>6.8109939999999999E-3</v>
      </c>
      <c r="R6301">
        <v>-4.7654050000000003E-2</v>
      </c>
      <c r="S6301">
        <v>2.9969480000000002</v>
      </c>
      <c r="T6301">
        <v>3.665686E-3</v>
      </c>
      <c r="U6301">
        <v>-0.1364746</v>
      </c>
      <c r="V6301">
        <v>3.7922360000000002E-2</v>
      </c>
      <c r="W6301">
        <v>1.499198E-2</v>
      </c>
      <c r="X6301">
        <v>0.99916819999999895</v>
      </c>
      <c r="Y6301">
        <v>3.5749709999999997E-2</v>
      </c>
      <c r="Z6301" s="1">
        <v>9.9348020000000006E-6</v>
      </c>
      <c r="AA6301">
        <v>0.99936080000000005</v>
      </c>
      <c r="AB6301">
        <v>29</v>
      </c>
      <c r="AC6301">
        <v>69.246499999999898</v>
      </c>
      <c r="AD6301">
        <v>8.4895000000000095E-2</v>
      </c>
      <c r="AE6301">
        <v>-3.1590199999999999</v>
      </c>
      <c r="AF6301">
        <v>2.48378767645855</v>
      </c>
      <c r="AG6301">
        <v>8.4895000000000095E-2</v>
      </c>
      <c r="AH6301">
        <v>69.273902402701694</v>
      </c>
      <c r="AI6301">
        <v>89.929829285325695</v>
      </c>
      <c r="AJ6301">
        <v>87.9465626939826</v>
      </c>
      <c r="AK6301">
        <v>69.3184676870587</v>
      </c>
      <c r="AL6301">
        <v>89.140990620411799</v>
      </c>
      <c r="AM6301">
        <v>87.826443260010294</v>
      </c>
      <c r="AN6301">
        <v>0.99999997837176402</v>
      </c>
    </row>
    <row r="6302" spans="1:40" x14ac:dyDescent="0.25">
      <c r="A6302" t="str">
        <f>"20190312160812029"</f>
        <v>20190312160812029</v>
      </c>
      <c r="B6302" t="str">
        <f>"1552378092022126"</f>
        <v>1552378092022126</v>
      </c>
      <c r="C6302" t="s">
        <v>40</v>
      </c>
      <c r="D6302">
        <v>6.0361050000000001</v>
      </c>
      <c r="E6302">
        <v>0.49993890000000002</v>
      </c>
      <c r="F6302" t="s">
        <v>107</v>
      </c>
      <c r="G6302">
        <v>-279.68</v>
      </c>
      <c r="H6302">
        <v>1.1345289999999999</v>
      </c>
      <c r="I6302">
        <v>14.13313</v>
      </c>
      <c r="J6302">
        <v>-348.65320000000003</v>
      </c>
      <c r="K6302">
        <v>1.1088260000000001</v>
      </c>
      <c r="L6302">
        <v>17.353490000000001</v>
      </c>
      <c r="M6302">
        <v>0.99991640000000004</v>
      </c>
      <c r="N6302">
        <v>0</v>
      </c>
      <c r="O6302">
        <v>-1.000182E-2</v>
      </c>
      <c r="P6302">
        <v>0.99881390000000003</v>
      </c>
      <c r="Q6302">
        <v>6.7778710000000004E-3</v>
      </c>
      <c r="R6302">
        <v>-4.8218999999999998E-2</v>
      </c>
      <c r="S6302">
        <v>2.996826</v>
      </c>
      <c r="T6302">
        <v>1.1125799999999999E-3</v>
      </c>
      <c r="U6302">
        <v>-0.139495799999999</v>
      </c>
      <c r="V6302">
        <v>3.8234379999999998E-2</v>
      </c>
      <c r="W6302">
        <v>1.4965279999999999E-2</v>
      </c>
      <c r="X6302">
        <v>0.99915670000000001</v>
      </c>
      <c r="Y6302">
        <v>3.6503849999999997E-2</v>
      </c>
      <c r="Z6302" s="1">
        <v>3.061354E-6</v>
      </c>
      <c r="AA6302">
        <v>0.99933349999999999</v>
      </c>
      <c r="AB6302">
        <v>29</v>
      </c>
      <c r="AC6302">
        <v>68.973200000000006</v>
      </c>
      <c r="AD6302">
        <v>2.5703E-2</v>
      </c>
      <c r="AE6302">
        <v>-3.2203599999999999</v>
      </c>
      <c r="AF6302">
        <v>2.5303178612806598</v>
      </c>
      <c r="AG6302">
        <v>2.5703E-2</v>
      </c>
      <c r="AH6302">
        <v>69.001950747803704</v>
      </c>
      <c r="AI6302">
        <v>89.978671846552004</v>
      </c>
      <c r="AJ6302">
        <v>87.899891213653206</v>
      </c>
      <c r="AK6302">
        <v>69.048333623090798</v>
      </c>
      <c r="AL6302">
        <v>89.142520581608494</v>
      </c>
      <c r="AM6302">
        <v>87.808551698864093</v>
      </c>
      <c r="AN6302">
        <v>0.99999996928717505</v>
      </c>
    </row>
    <row r="6303" spans="1:40" x14ac:dyDescent="0.25">
      <c r="A6303" t="str">
        <f>"20190312160812053"</f>
        <v>20190312160812053</v>
      </c>
      <c r="B6303" t="str">
        <f>"1552378092041641"</f>
        <v>1552378092041641</v>
      </c>
      <c r="C6303" t="s">
        <v>40</v>
      </c>
      <c r="D6303">
        <v>5.7342599999999999</v>
      </c>
      <c r="E6303">
        <v>0.50027100000000002</v>
      </c>
      <c r="F6303" t="s">
        <v>107</v>
      </c>
      <c r="G6303">
        <v>-279.68</v>
      </c>
      <c r="H6303">
        <v>1.0342960000000001</v>
      </c>
      <c r="I6303">
        <v>14.05071</v>
      </c>
      <c r="J6303">
        <v>-348.36340000000001</v>
      </c>
      <c r="K6303">
        <v>1.1088260000000001</v>
      </c>
      <c r="L6303">
        <v>17.35031</v>
      </c>
      <c r="M6303">
        <v>0.99991350000000001</v>
      </c>
      <c r="N6303">
        <v>0</v>
      </c>
      <c r="O6303">
        <v>-1.027044E-2</v>
      </c>
      <c r="P6303">
        <v>0.99880769999999997</v>
      </c>
      <c r="Q6303">
        <v>6.9811880000000002E-3</v>
      </c>
      <c r="R6303">
        <v>-4.8317909999999999E-2</v>
      </c>
      <c r="S6303">
        <v>2.9966430000000002</v>
      </c>
      <c r="T6303">
        <v>-3.237963E-3</v>
      </c>
      <c r="U6303">
        <v>-0.1434937</v>
      </c>
      <c r="V6303">
        <v>3.8064889999999997E-2</v>
      </c>
      <c r="W6303">
        <v>1.517554E-2</v>
      </c>
      <c r="X6303">
        <v>0.9991601</v>
      </c>
      <c r="Y6303">
        <v>3.756843E-2</v>
      </c>
      <c r="Z6303" s="1">
        <v>-9.194575E-6</v>
      </c>
      <c r="AA6303">
        <v>0.99929400000000002</v>
      </c>
      <c r="AB6303">
        <v>29</v>
      </c>
      <c r="AC6303">
        <v>68.683400000000006</v>
      </c>
      <c r="AD6303">
        <v>-7.4530000000000193E-2</v>
      </c>
      <c r="AE6303">
        <v>-3.2995999999999999</v>
      </c>
      <c r="AF6303">
        <v>2.5939903610067798</v>
      </c>
      <c r="AG6303">
        <v>-7.4530000000000193E-2</v>
      </c>
      <c r="AH6303">
        <v>68.713585995091094</v>
      </c>
      <c r="AI6303">
        <v>90.062101448350205</v>
      </c>
      <c r="AJ6303">
        <v>87.838067170342399</v>
      </c>
      <c r="AK6303">
        <v>68.762571512550807</v>
      </c>
      <c r="AL6303">
        <v>89.130472289179593</v>
      </c>
      <c r="AM6303">
        <v>87.818264225131699</v>
      </c>
      <c r="AN6303">
        <v>1.0000000691485</v>
      </c>
    </row>
    <row r="6304" spans="1:40" x14ac:dyDescent="0.25">
      <c r="A6304" t="str">
        <f>"20190312160812067"</f>
        <v>20190312160812067</v>
      </c>
      <c r="B6304" t="str">
        <f>"1552378092062138"</f>
        <v>1552378092062138</v>
      </c>
      <c r="C6304" t="s">
        <v>40</v>
      </c>
      <c r="D6304">
        <v>6.0860859999999999</v>
      </c>
      <c r="E6304">
        <v>0.50052390000000002</v>
      </c>
      <c r="F6304" t="s">
        <v>107</v>
      </c>
      <c r="G6304">
        <v>-279.68</v>
      </c>
      <c r="H6304">
        <v>1.007585</v>
      </c>
      <c r="I6304">
        <v>13.994129999999901</v>
      </c>
      <c r="J6304">
        <v>-348.18060000000003</v>
      </c>
      <c r="K6304">
        <v>1.108824</v>
      </c>
      <c r="L6304">
        <v>17.348240000000001</v>
      </c>
      <c r="M6304">
        <v>0.99991180000000002</v>
      </c>
      <c r="N6304">
        <v>0</v>
      </c>
      <c r="O6304">
        <v>-1.043962E-2</v>
      </c>
      <c r="P6304">
        <v>0.9988089</v>
      </c>
      <c r="Q6304">
        <v>7.3325580000000003E-3</v>
      </c>
      <c r="R6304">
        <v>-4.8240669999999999E-2</v>
      </c>
      <c r="S6304">
        <v>2.996521</v>
      </c>
      <c r="T6304">
        <v>-4.4168230000000003E-3</v>
      </c>
      <c r="U6304">
        <v>-0.14642330000000001</v>
      </c>
      <c r="V6304">
        <v>3.7818999999999998E-2</v>
      </c>
      <c r="W6304">
        <v>1.5531700000000001E-2</v>
      </c>
      <c r="X6304">
        <v>0.99916389999999999</v>
      </c>
      <c r="Y6304">
        <v>3.8375989999999999E-2</v>
      </c>
      <c r="Z6304" s="1">
        <v>-1.28879399999999E-5</v>
      </c>
      <c r="AA6304">
        <v>0.99926329999999997</v>
      </c>
      <c r="AB6304">
        <v>29</v>
      </c>
      <c r="AC6304">
        <v>68.500600000000006</v>
      </c>
      <c r="AD6304">
        <v>-0.101239</v>
      </c>
      <c r="AE6304">
        <v>-3.3541099999999999</v>
      </c>
      <c r="AF6304">
        <v>2.6387771208321</v>
      </c>
      <c r="AG6304">
        <v>-0.101239</v>
      </c>
      <c r="AH6304">
        <v>68.531734334944602</v>
      </c>
      <c r="AI6304">
        <v>90.084577868968594</v>
      </c>
      <c r="AJ6304">
        <v>87.794946504421802</v>
      </c>
      <c r="AK6304">
        <v>68.582592579924906</v>
      </c>
      <c r="AL6304">
        <v>89.110063362679</v>
      </c>
      <c r="AM6304">
        <v>87.832352459716404</v>
      </c>
      <c r="AN6304">
        <v>1.0000000047645401</v>
      </c>
    </row>
    <row r="6305" spans="1:40" x14ac:dyDescent="0.25">
      <c r="A6305" t="str">
        <f>"20190312160812081"</f>
        <v>20190312160812081</v>
      </c>
      <c r="B6305" t="str">
        <f>"1552378092071899"</f>
        <v>1552378092071899</v>
      </c>
      <c r="C6305" t="s">
        <v>40</v>
      </c>
      <c r="D6305">
        <v>6.0508449999999998</v>
      </c>
      <c r="E6305">
        <v>0.50066049999999995</v>
      </c>
      <c r="F6305" t="s">
        <v>107</v>
      </c>
      <c r="G6305">
        <v>-279.68</v>
      </c>
      <c r="H6305">
        <v>0.94185909999999995</v>
      </c>
      <c r="I6305">
        <v>13.962590000000001</v>
      </c>
      <c r="J6305">
        <v>-347.99329999999998</v>
      </c>
      <c r="K6305">
        <v>1.108824</v>
      </c>
      <c r="L6305">
        <v>17.346129999999999</v>
      </c>
      <c r="M6305">
        <v>0.99990990000000002</v>
      </c>
      <c r="N6305">
        <v>0</v>
      </c>
      <c r="O6305">
        <v>-1.0612969999999999E-2</v>
      </c>
      <c r="P6305">
        <v>0.998811</v>
      </c>
      <c r="Q6305">
        <v>7.3094409999999999E-3</v>
      </c>
      <c r="R6305">
        <v>-4.819876E-2</v>
      </c>
      <c r="S6305">
        <v>2.9964900000000001</v>
      </c>
      <c r="T6305">
        <v>-7.3035959999999999E-3</v>
      </c>
      <c r="U6305">
        <v>-0.14810179999999901</v>
      </c>
      <c r="V6305">
        <v>3.7603820000000003E-2</v>
      </c>
      <c r="W6305">
        <v>1.5513580000000001E-2</v>
      </c>
      <c r="X6305">
        <v>0.99917230000000001</v>
      </c>
      <c r="Y6305">
        <v>3.8761570000000002E-2</v>
      </c>
      <c r="Z6305" s="1">
        <v>-2.1358649999999999E-5</v>
      </c>
      <c r="AA6305">
        <v>0.99924849999999998</v>
      </c>
      <c r="AB6305">
        <v>29</v>
      </c>
      <c r="AC6305">
        <v>68.313299999999899</v>
      </c>
      <c r="AD6305">
        <v>-0.166964899999999</v>
      </c>
      <c r="AE6305">
        <v>-3.38354</v>
      </c>
      <c r="AF6305">
        <v>2.6583020938137101</v>
      </c>
      <c r="AG6305">
        <v>-0.166964899999999</v>
      </c>
      <c r="AH6305">
        <v>68.344955744680306</v>
      </c>
      <c r="AI6305">
        <v>90.139866021641097</v>
      </c>
      <c r="AJ6305">
        <v>87.772582460294899</v>
      </c>
      <c r="AK6305">
        <v>68.396837814639596</v>
      </c>
      <c r="AL6305">
        <v>89.111101684633397</v>
      </c>
      <c r="AM6305">
        <v>87.844692232367294</v>
      </c>
      <c r="AN6305">
        <v>1.00000000176514</v>
      </c>
    </row>
    <row r="6306" spans="1:40" x14ac:dyDescent="0.25">
      <c r="A6306" t="str">
        <f>"20190312160812096"</f>
        <v>20190312160812096</v>
      </c>
      <c r="B6306" t="str">
        <f>"1552378092092395"</f>
        <v>1552378092092395</v>
      </c>
      <c r="C6306" t="s">
        <v>40</v>
      </c>
      <c r="D6306">
        <v>6.0833009999999996</v>
      </c>
      <c r="E6306">
        <v>0.50093569999999998</v>
      </c>
      <c r="F6306" t="s">
        <v>107</v>
      </c>
      <c r="G6306">
        <v>-279.68</v>
      </c>
      <c r="H6306">
        <v>0.90000440000000004</v>
      </c>
      <c r="I6306">
        <v>13.948829999999999</v>
      </c>
      <c r="J6306">
        <v>-347.798</v>
      </c>
      <c r="K6306">
        <v>1.1088260000000001</v>
      </c>
      <c r="L6306">
        <v>17.343869999999999</v>
      </c>
      <c r="M6306">
        <v>0.99990780000000001</v>
      </c>
      <c r="N6306">
        <v>0</v>
      </c>
      <c r="O6306">
        <v>-1.0793840000000001E-2</v>
      </c>
      <c r="P6306">
        <v>0.99881869999999995</v>
      </c>
      <c r="Q6306">
        <v>7.5449139999999998E-3</v>
      </c>
      <c r="R6306">
        <v>-4.800256E-2</v>
      </c>
      <c r="S6306">
        <v>2.9964599999999999</v>
      </c>
      <c r="T6306">
        <v>-9.1594459999999999E-3</v>
      </c>
      <c r="U6306">
        <v>-0.14901729999999899</v>
      </c>
      <c r="V6306">
        <v>3.7226929999999998E-2</v>
      </c>
      <c r="W6306">
        <v>1.5753400000000001E-2</v>
      </c>
      <c r="X6306">
        <v>0.99918260000000003</v>
      </c>
      <c r="Y6306">
        <v>3.8885839999999998E-2</v>
      </c>
      <c r="Z6306" s="1">
        <v>-2.642332E-5</v>
      </c>
      <c r="AA6306">
        <v>0.99924369999999996</v>
      </c>
      <c r="AB6306">
        <v>29</v>
      </c>
      <c r="AC6306">
        <v>68.117999999999995</v>
      </c>
      <c r="AD6306">
        <v>-0.2088216</v>
      </c>
      <c r="AE6306">
        <v>-3.3950399999999998</v>
      </c>
      <c r="AF6306">
        <v>2.6595375253622699</v>
      </c>
      <c r="AG6306">
        <v>-0.2088216</v>
      </c>
      <c r="AH6306">
        <v>68.150039391462499</v>
      </c>
      <c r="AI6306">
        <v>90.175428493780203</v>
      </c>
      <c r="AJ6306">
        <v>87.765181168180106</v>
      </c>
      <c r="AK6306">
        <v>68.202233213930199</v>
      </c>
      <c r="AL6306">
        <v>89.097359276501095</v>
      </c>
      <c r="AM6306">
        <v>87.866296039105706</v>
      </c>
      <c r="AN6306">
        <v>0.99999994103576995</v>
      </c>
    </row>
    <row r="6307" spans="1:40" x14ac:dyDescent="0.25">
      <c r="A6307" t="str">
        <f>"20190312160812108"</f>
        <v>20190312160812108</v>
      </c>
      <c r="B6307" t="str">
        <f>"1552378092102156"</f>
        <v>1552378092102156</v>
      </c>
      <c r="C6307" t="s">
        <v>40</v>
      </c>
      <c r="D6307">
        <v>6.0363639999999998</v>
      </c>
      <c r="E6307">
        <v>0.50104700000000002</v>
      </c>
      <c r="F6307" t="s">
        <v>106</v>
      </c>
      <c r="G6307">
        <v>-279.68</v>
      </c>
      <c r="H6307">
        <v>0.8631839</v>
      </c>
      <c r="I6307">
        <v>13.92154</v>
      </c>
      <c r="J6307">
        <v>-347.63569999999999</v>
      </c>
      <c r="K6307">
        <v>1.108824</v>
      </c>
      <c r="L6307">
        <v>17.34198</v>
      </c>
      <c r="M6307">
        <v>0.99990619999999997</v>
      </c>
      <c r="N6307">
        <v>0</v>
      </c>
      <c r="O6307">
        <v>-1.094406E-2</v>
      </c>
      <c r="P6307">
        <v>0.99881350000000002</v>
      </c>
      <c r="Q6307">
        <v>7.683718E-3</v>
      </c>
      <c r="R6307">
        <v>-4.8087970000000001E-2</v>
      </c>
      <c r="S6307">
        <v>2.9963989999999998</v>
      </c>
      <c r="T6307">
        <v>-1.0805850000000001E-2</v>
      </c>
      <c r="U6307">
        <v>-0.15054319999999999</v>
      </c>
      <c r="V6307">
        <v>3.7162460000000001E-2</v>
      </c>
      <c r="W6307">
        <v>1.589643E-2</v>
      </c>
      <c r="X6307">
        <v>0.99918280000000004</v>
      </c>
      <c r="Y6307">
        <v>3.9244260000000003E-2</v>
      </c>
      <c r="Z6307" s="1">
        <v>-3.1277649999999997E-5</v>
      </c>
      <c r="AA6307">
        <v>0.9992297</v>
      </c>
      <c r="AB6307">
        <v>29</v>
      </c>
      <c r="AC6307">
        <v>67.955699999999894</v>
      </c>
      <c r="AD6307">
        <v>-0.2456401</v>
      </c>
      <c r="AE6307">
        <v>-3.4204400000000001</v>
      </c>
      <c r="AF6307">
        <v>2.6764637818925201</v>
      </c>
      <c r="AG6307">
        <v>-0.2456401</v>
      </c>
      <c r="AH6307">
        <v>67.988178664746798</v>
      </c>
      <c r="AI6307">
        <v>90.206847532777402</v>
      </c>
      <c r="AJ6307">
        <v>87.745623750218996</v>
      </c>
      <c r="AK6307">
        <v>68.041283318174095</v>
      </c>
      <c r="AL6307">
        <v>89.089163293855705</v>
      </c>
      <c r="AM6307">
        <v>87.869988230083194</v>
      </c>
      <c r="AN6307">
        <v>1.00000000636791</v>
      </c>
    </row>
    <row r="6308" spans="1:40" x14ac:dyDescent="0.25">
      <c r="A6308" t="str">
        <f>"20190312160812119"</f>
        <v>20190312160812119</v>
      </c>
      <c r="B6308" t="str">
        <f>"1552378092111916"</f>
        <v>1552378092111916</v>
      </c>
      <c r="C6308" t="s">
        <v>40</v>
      </c>
      <c r="D6308">
        <v>5.9299140000000001</v>
      </c>
      <c r="E6308">
        <v>0.50112599999999996</v>
      </c>
      <c r="F6308" t="s">
        <v>106</v>
      </c>
      <c r="G6308">
        <v>-279.68</v>
      </c>
      <c r="H6308">
        <v>0.84329370000000003</v>
      </c>
      <c r="I6308">
        <v>13.902850000000001</v>
      </c>
      <c r="J6308">
        <v>-347.48930000000001</v>
      </c>
      <c r="K6308">
        <v>1.1088249999999999</v>
      </c>
      <c r="L6308">
        <v>17.34027</v>
      </c>
      <c r="M6308">
        <v>0.99990460000000003</v>
      </c>
      <c r="N6308">
        <v>0</v>
      </c>
      <c r="O6308">
        <v>-1.1079500000000001E-2</v>
      </c>
      <c r="P6308">
        <v>0.99880919999999895</v>
      </c>
      <c r="Q6308">
        <v>7.4106739999999999E-3</v>
      </c>
      <c r="R6308">
        <v>-4.8220470000000001E-2</v>
      </c>
      <c r="S6308">
        <v>2.9963679999999999</v>
      </c>
      <c r="T6308">
        <v>-1.17085E-2</v>
      </c>
      <c r="U6308">
        <v>-0.15164179999999999</v>
      </c>
      <c r="V6308">
        <v>3.7159369999999997E-2</v>
      </c>
      <c r="W6308">
        <v>1.562705E-2</v>
      </c>
      <c r="X6308">
        <v>0.99918720000000005</v>
      </c>
      <c r="Y6308">
        <v>3.9474830000000002E-2</v>
      </c>
      <c r="Z6308" s="1">
        <v>-3.38118E-5</v>
      </c>
      <c r="AA6308">
        <v>0.99922060000000001</v>
      </c>
      <c r="AB6308">
        <v>29</v>
      </c>
      <c r="AC6308">
        <v>67.809299999999993</v>
      </c>
      <c r="AD6308">
        <v>-0.26553129999999903</v>
      </c>
      <c r="AE6308">
        <v>-3.4374199999999902</v>
      </c>
      <c r="AF6308">
        <v>2.6858492213768899</v>
      </c>
      <c r="AG6308">
        <v>-0.26553129999999903</v>
      </c>
      <c r="AH6308">
        <v>67.842186183811293</v>
      </c>
      <c r="AI6308">
        <v>90.224076456549696</v>
      </c>
      <c r="AJ6308">
        <v>87.732863418503797</v>
      </c>
      <c r="AK6308">
        <v>67.895850529396697</v>
      </c>
      <c r="AL6308">
        <v>89.104599580400503</v>
      </c>
      <c r="AM6308">
        <v>87.870174544351798</v>
      </c>
      <c r="AN6308">
        <v>1.00000004205716</v>
      </c>
    </row>
    <row r="6309" spans="1:40" x14ac:dyDescent="0.25">
      <c r="A6309" t="str">
        <f>"20190312160812131"</f>
        <v>20190312160812131</v>
      </c>
      <c r="B6309" t="str">
        <f>"1552378092121674"</f>
        <v>1552378092121674</v>
      </c>
      <c r="C6309" t="s">
        <v>40</v>
      </c>
      <c r="D6309">
        <v>6.0857269999999897</v>
      </c>
      <c r="E6309">
        <v>0.50104409999999999</v>
      </c>
      <c r="F6309" t="s">
        <v>106</v>
      </c>
      <c r="G6309">
        <v>-279.68</v>
      </c>
      <c r="H6309">
        <v>0.79564579999999996</v>
      </c>
      <c r="I6309">
        <v>13.88569</v>
      </c>
      <c r="J6309">
        <v>-347.32960000000003</v>
      </c>
      <c r="K6309">
        <v>1.1088229999999999</v>
      </c>
      <c r="L6309">
        <v>17.33832</v>
      </c>
      <c r="M6309">
        <v>0.99990310000000004</v>
      </c>
      <c r="N6309">
        <v>0</v>
      </c>
      <c r="O6309">
        <v>-1.1227340000000001E-2</v>
      </c>
      <c r="P6309">
        <v>0.99880069999999999</v>
      </c>
      <c r="Q6309">
        <v>7.5117140000000001E-3</v>
      </c>
      <c r="R6309">
        <v>-4.8381899999999999E-2</v>
      </c>
      <c r="S6309">
        <v>2.9963069999999998</v>
      </c>
      <c r="T6309">
        <v>-1.3839010000000001E-2</v>
      </c>
      <c r="U6309">
        <v>-0.1526489</v>
      </c>
      <c r="V6309">
        <v>3.7173320000000003E-2</v>
      </c>
      <c r="W6309">
        <v>1.573194E-2</v>
      </c>
      <c r="X6309">
        <v>0.99918499999999999</v>
      </c>
      <c r="Y6309">
        <v>3.9663009999999999E-2</v>
      </c>
      <c r="Z6309" s="1">
        <v>-3.9716730000000001E-5</v>
      </c>
      <c r="AA6309">
        <v>0.99921309999999997</v>
      </c>
      <c r="AB6309">
        <v>29</v>
      </c>
      <c r="AC6309">
        <v>67.649600000000007</v>
      </c>
      <c r="AD6309">
        <v>-0.31317719999999899</v>
      </c>
      <c r="AE6309">
        <v>-3.4526300000000001</v>
      </c>
      <c r="AF6309">
        <v>2.6928040248873</v>
      </c>
      <c r="AG6309">
        <v>-0.31317719999999899</v>
      </c>
      <c r="AH6309">
        <v>67.682654254488597</v>
      </c>
      <c r="AI6309">
        <v>90.264904198444896</v>
      </c>
      <c r="AJ6309">
        <v>87.721647033851696</v>
      </c>
      <c r="AK6309">
        <v>67.736924645334298</v>
      </c>
      <c r="AL6309">
        <v>89.098589055805306</v>
      </c>
      <c r="AM6309">
        <v>87.869371036411493</v>
      </c>
      <c r="AN6309">
        <v>1.00000000694049</v>
      </c>
    </row>
    <row r="6310" spans="1:40" x14ac:dyDescent="0.25">
      <c r="A6310" t="str">
        <f>"20190312160812143"</f>
        <v>20190312160812143</v>
      </c>
      <c r="B6310" t="str">
        <f>"1552378092132411"</f>
        <v>1552378092132411</v>
      </c>
      <c r="C6310" t="s">
        <v>40</v>
      </c>
      <c r="D6310">
        <v>5.9541890000000004</v>
      </c>
      <c r="E6310">
        <v>0.50104409999999999</v>
      </c>
      <c r="F6310" t="s">
        <v>106</v>
      </c>
      <c r="G6310">
        <v>-279.68</v>
      </c>
      <c r="H6310">
        <v>0.76982819999999996</v>
      </c>
      <c r="I6310">
        <v>13.89742</v>
      </c>
      <c r="J6310">
        <v>-347.1825</v>
      </c>
      <c r="K6310">
        <v>1.108822</v>
      </c>
      <c r="L6310">
        <v>17.336579999999898</v>
      </c>
      <c r="M6310">
        <v>0.9999015</v>
      </c>
      <c r="N6310">
        <v>0</v>
      </c>
      <c r="O6310">
        <v>-1.1363379999999999E-2</v>
      </c>
      <c r="P6310">
        <v>0.99878659999999997</v>
      </c>
      <c r="Q6310">
        <v>7.6266229999999999E-3</v>
      </c>
      <c r="R6310">
        <v>-4.8657609999999997E-2</v>
      </c>
      <c r="S6310">
        <v>2.9963380000000002</v>
      </c>
      <c r="T6310">
        <v>-1.5015239999999999E-2</v>
      </c>
      <c r="U6310">
        <v>-0.15240479999999901</v>
      </c>
      <c r="V6310">
        <v>3.7313180000000001E-2</v>
      </c>
      <c r="W6310">
        <v>1.5850179999999998E-2</v>
      </c>
      <c r="X6310">
        <v>0.99917789999999995</v>
      </c>
      <c r="Y6310">
        <v>3.9445290000000001E-2</v>
      </c>
      <c r="Z6310" s="1">
        <v>-4.1865720000000003E-5</v>
      </c>
      <c r="AA6310">
        <v>0.99922169999999999</v>
      </c>
      <c r="AB6310">
        <v>29</v>
      </c>
      <c r="AC6310">
        <v>67.502499999999998</v>
      </c>
      <c r="AD6310">
        <v>-0.33899380000000001</v>
      </c>
      <c r="AE6310">
        <v>-3.43915999999999</v>
      </c>
      <c r="AF6310">
        <v>2.67178813923893</v>
      </c>
      <c r="AG6310">
        <v>-0.33899380000000001</v>
      </c>
      <c r="AH6310">
        <v>67.535524362912199</v>
      </c>
      <c r="AI6310">
        <v>90.287368314304501</v>
      </c>
      <c r="AJ6310">
        <v>87.734490136997195</v>
      </c>
      <c r="AK6310">
        <v>67.589203425036203</v>
      </c>
      <c r="AL6310">
        <v>89.091813541523607</v>
      </c>
      <c r="AM6310">
        <v>87.861347056562707</v>
      </c>
      <c r="AN6310">
        <v>0.99999998872807705</v>
      </c>
    </row>
    <row r="6311" spans="1:40" x14ac:dyDescent="0.25">
      <c r="A6311" t="str">
        <f>"20190312160812155"</f>
        <v>20190312160812155</v>
      </c>
      <c r="B6311" t="str">
        <f>"1552378092151931"</f>
        <v>1552378092151931</v>
      </c>
      <c r="C6311" t="s">
        <v>40</v>
      </c>
      <c r="D6311">
        <v>5.9695039999999997</v>
      </c>
      <c r="E6311">
        <v>0.4725956</v>
      </c>
      <c r="F6311" t="s">
        <v>106</v>
      </c>
      <c r="G6311">
        <v>-279.68</v>
      </c>
      <c r="H6311">
        <v>0.77831410000000001</v>
      </c>
      <c r="I6311">
        <v>13.883839999999999</v>
      </c>
      <c r="J6311">
        <v>-347.01600000000002</v>
      </c>
      <c r="K6311">
        <v>1.1088229999999999</v>
      </c>
      <c r="L6311">
        <v>17.334499999999998</v>
      </c>
      <c r="M6311">
        <v>0.99989969999999995</v>
      </c>
      <c r="N6311">
        <v>0</v>
      </c>
      <c r="O6311">
        <v>-1.1517299999999999E-2</v>
      </c>
      <c r="P6311">
        <v>0.9987741</v>
      </c>
      <c r="Q6311">
        <v>7.6952269999999998E-3</v>
      </c>
      <c r="R6311">
        <v>-4.8901750000000001E-2</v>
      </c>
      <c r="S6311">
        <v>2.9962770000000001</v>
      </c>
      <c r="T6311">
        <v>-1.467097E-2</v>
      </c>
      <c r="U6311">
        <v>-0.15325929999999999</v>
      </c>
      <c r="V6311">
        <v>3.7403609999999997E-2</v>
      </c>
      <c r="W6311">
        <v>1.592265E-2</v>
      </c>
      <c r="X6311">
        <v>0.99917339999999999</v>
      </c>
      <c r="Y6311">
        <v>3.9576739999999999E-2</v>
      </c>
      <c r="Z6311" s="1">
        <v>-4.0474939999999997E-5</v>
      </c>
      <c r="AA6311">
        <v>0.99921660000000001</v>
      </c>
      <c r="AB6311">
        <v>29</v>
      </c>
      <c r="AC6311">
        <v>67.335999999999899</v>
      </c>
      <c r="AD6311">
        <v>-0.330508899999999</v>
      </c>
      <c r="AE6311">
        <v>-3.4506599999999898</v>
      </c>
      <c r="AF6311">
        <v>2.6748115828042001</v>
      </c>
      <c r="AG6311">
        <v>-0.330508899999999</v>
      </c>
      <c r="AH6311">
        <v>67.369658371111896</v>
      </c>
      <c r="AI6311">
        <v>90.280863907016396</v>
      </c>
      <c r="AJ6311">
        <v>87.726350920022497</v>
      </c>
      <c r="AK6311">
        <v>67.423547238163096</v>
      </c>
      <c r="AL6311">
        <v>89.087660822669505</v>
      </c>
      <c r="AM6311">
        <v>87.856159128960499</v>
      </c>
      <c r="AN6311">
        <v>1.0000000220458001</v>
      </c>
    </row>
    <row r="6312" spans="1:40" x14ac:dyDescent="0.25">
      <c r="A6312" t="str">
        <f>"20190312160812166"</f>
        <v>20190312160812166</v>
      </c>
      <c r="B6312" t="str">
        <f>"1552378092161691"</f>
        <v>1552378092161691</v>
      </c>
      <c r="C6312" t="s">
        <v>40</v>
      </c>
      <c r="D6312">
        <v>5.9104400000000004</v>
      </c>
      <c r="E6312">
        <v>0.47383730000000002</v>
      </c>
      <c r="F6312" t="s">
        <v>45</v>
      </c>
      <c r="G6312">
        <v>-309.84449999999998</v>
      </c>
      <c r="H6312">
        <v>-0.05</v>
      </c>
      <c r="I6312">
        <v>18.25919</v>
      </c>
      <c r="J6312">
        <v>-346.8639</v>
      </c>
      <c r="K6312">
        <v>1.108824</v>
      </c>
      <c r="L6312">
        <v>17.332639999999898</v>
      </c>
      <c r="M6312">
        <v>0.99989799999999995</v>
      </c>
      <c r="N6312">
        <v>0</v>
      </c>
      <c r="O6312">
        <v>-1.165775E-2</v>
      </c>
      <c r="P6312">
        <v>0.99876310000000001</v>
      </c>
      <c r="Q6312">
        <v>7.8621799999999999E-3</v>
      </c>
      <c r="R6312">
        <v>-4.9096399999999998E-2</v>
      </c>
      <c r="S6312">
        <v>3.0080870000000002</v>
      </c>
      <c r="T6312">
        <v>-9.3777180000000002E-2</v>
      </c>
      <c r="U6312">
        <v>7.4829099999999996E-2</v>
      </c>
      <c r="V6312">
        <v>3.7458230000000002E-2</v>
      </c>
      <c r="W6312">
        <v>1.609286E-2</v>
      </c>
      <c r="X6312">
        <v>0.99916859999999996</v>
      </c>
      <c r="Y6312">
        <v>-3.6497750000000002E-2</v>
      </c>
      <c r="Z6312">
        <v>9.3198849999999998E-4</v>
      </c>
      <c r="AA6312">
        <v>0.99933329999999998</v>
      </c>
      <c r="AB6312">
        <v>29</v>
      </c>
      <c r="AC6312">
        <v>37.019399999999997</v>
      </c>
      <c r="AD6312">
        <v>-1.1588240000000001</v>
      </c>
      <c r="AE6312">
        <v>0.92655000000000198</v>
      </c>
      <c r="AF6312">
        <v>-1.35673601959503</v>
      </c>
      <c r="AG6312">
        <v>-1.1588240000000001</v>
      </c>
      <c r="AH6312">
        <v>36.969878718856897</v>
      </c>
      <c r="AI6312">
        <v>91.794146302329906</v>
      </c>
      <c r="AJ6312">
        <v>92.101721223761601</v>
      </c>
      <c r="AK6312">
        <v>37.012910425645103</v>
      </c>
      <c r="AL6312">
        <v>89.077907233721803</v>
      </c>
      <c r="AM6312">
        <v>87.853021129516193</v>
      </c>
      <c r="AN6312">
        <v>0.99999999518183602</v>
      </c>
    </row>
    <row r="6313" spans="1:40" x14ac:dyDescent="0.25">
      <c r="A6313" t="str">
        <f>"20190312160812185"</f>
        <v>20190312160812185</v>
      </c>
      <c r="B6313" t="str">
        <f>"1552378092182187"</f>
        <v>1552378092182187</v>
      </c>
      <c r="C6313" t="s">
        <v>40</v>
      </c>
      <c r="D6313">
        <v>5.9182569999999997</v>
      </c>
      <c r="E6313">
        <v>0.47381679999999998</v>
      </c>
      <c r="F6313" t="s">
        <v>47</v>
      </c>
      <c r="G6313">
        <v>-320.74939999999998</v>
      </c>
      <c r="H6313" s="1">
        <v>-4.6578389999999997E-6</v>
      </c>
      <c r="I6313">
        <v>17.899370000000001</v>
      </c>
      <c r="J6313">
        <v>-346.62650000000002</v>
      </c>
      <c r="K6313">
        <v>1.108816</v>
      </c>
      <c r="L6313">
        <v>17.329650000000001</v>
      </c>
      <c r="M6313">
        <v>0.99989530000000004</v>
      </c>
      <c r="N6313">
        <v>0</v>
      </c>
      <c r="O6313">
        <v>-1.1877240000000001E-2</v>
      </c>
      <c r="P6313">
        <v>0.998726</v>
      </c>
      <c r="Q6313">
        <v>8.2843080000000006E-3</v>
      </c>
      <c r="R6313">
        <v>-4.9778570000000001E-2</v>
      </c>
      <c r="S6313">
        <v>3.0079349999999998</v>
      </c>
      <c r="T6313">
        <v>-0.127718</v>
      </c>
      <c r="U6313">
        <v>6.5277099999999894E-2</v>
      </c>
      <c r="V6313">
        <v>3.7921740000000002E-2</v>
      </c>
      <c r="W6313">
        <v>1.6520529999999999E-2</v>
      </c>
      <c r="X6313">
        <v>0.99914409999999998</v>
      </c>
      <c r="Y6313">
        <v>-3.3528950000000002E-2</v>
      </c>
      <c r="Z6313">
        <v>1.215472E-3</v>
      </c>
      <c r="AA6313">
        <v>0.99943700000000002</v>
      </c>
      <c r="AB6313">
        <v>29</v>
      </c>
      <c r="AC6313">
        <v>25.877099999999999</v>
      </c>
      <c r="AD6313">
        <v>-1.1088206578389901</v>
      </c>
      <c r="AE6313">
        <v>0.56972</v>
      </c>
      <c r="AF6313">
        <v>-0.87543225357040499</v>
      </c>
      <c r="AG6313">
        <v>-1.1088206578389901</v>
      </c>
      <c r="AH6313">
        <v>25.821120998802002</v>
      </c>
      <c r="AI6313">
        <v>92.457496762683505</v>
      </c>
      <c r="AJ6313">
        <v>91.941796723491905</v>
      </c>
      <c r="AK6313">
        <v>25.859740031883799</v>
      </c>
      <c r="AL6313">
        <v>89.053400255020904</v>
      </c>
      <c r="AM6313">
        <v>87.826426385377601</v>
      </c>
      <c r="AN6313">
        <v>0.99999995942045805</v>
      </c>
    </row>
    <row r="6314" spans="1:40" x14ac:dyDescent="0.25">
      <c r="A6314" t="str">
        <f>"20190312160812195"</f>
        <v>20190312160812195</v>
      </c>
      <c r="B6314" t="str">
        <f>"1552378092191947"</f>
        <v>1552378092191947</v>
      </c>
      <c r="C6314" t="s">
        <v>40</v>
      </c>
      <c r="D6314">
        <v>5.9098990000000002</v>
      </c>
      <c r="E6314">
        <v>0.47327209999999997</v>
      </c>
      <c r="F6314" t="s">
        <v>47</v>
      </c>
      <c r="G6314">
        <v>-322.95530000000002</v>
      </c>
      <c r="H6314" s="1">
        <v>-3.6271859999999998E-6</v>
      </c>
      <c r="I6314">
        <v>17.831309999999998</v>
      </c>
      <c r="J6314">
        <v>-346.48349999999999</v>
      </c>
      <c r="K6314">
        <v>1.1088150000000001</v>
      </c>
      <c r="L6314">
        <v>17.327819999999999</v>
      </c>
      <c r="M6314">
        <v>0.99989380000000005</v>
      </c>
      <c r="N6314">
        <v>0</v>
      </c>
      <c r="O6314">
        <v>-1.200946E-2</v>
      </c>
      <c r="P6314">
        <v>0.99870720000000002</v>
      </c>
      <c r="Q6314">
        <v>8.1902469999999995E-3</v>
      </c>
      <c r="R6314">
        <v>-5.0171590000000002E-2</v>
      </c>
      <c r="S6314">
        <v>3.0081790000000002</v>
      </c>
      <c r="T6314">
        <v>-0.14091099999999901</v>
      </c>
      <c r="U6314">
        <v>6.3751219999999997E-2</v>
      </c>
      <c r="V6314">
        <v>3.8182630000000002E-2</v>
      </c>
      <c r="W6314">
        <v>1.6429940000000001E-2</v>
      </c>
      <c r="X6314">
        <v>0.99913569999999996</v>
      </c>
      <c r="Y6314">
        <v>-3.3144029999999998E-2</v>
      </c>
      <c r="Z6314">
        <v>1.3379749999999999E-3</v>
      </c>
      <c r="AA6314">
        <v>0.9994497</v>
      </c>
      <c r="AB6314">
        <v>29</v>
      </c>
      <c r="AC6314">
        <v>23.528199999999899</v>
      </c>
      <c r="AD6314">
        <v>-1.1088186271860001</v>
      </c>
      <c r="AE6314">
        <v>0.50348999999999899</v>
      </c>
      <c r="AF6314">
        <v>-0.78428321900378295</v>
      </c>
      <c r="AG6314">
        <v>-1.1088186271860001</v>
      </c>
      <c r="AH6314">
        <v>23.468357500283599</v>
      </c>
      <c r="AI6314">
        <v>92.703557332628407</v>
      </c>
      <c r="AJ6314">
        <v>91.914041115931397</v>
      </c>
      <c r="AK6314">
        <v>23.507623926648201</v>
      </c>
      <c r="AL6314">
        <v>89.058591424170899</v>
      </c>
      <c r="AM6314">
        <v>87.811468971492104</v>
      </c>
      <c r="AN6314">
        <v>1.0000000015882999</v>
      </c>
    </row>
    <row r="6315" spans="1:40" x14ac:dyDescent="0.25">
      <c r="A6315" t="str">
        <f>"20190312160812207"</f>
        <v>20190312160812207</v>
      </c>
      <c r="B6315" t="str">
        <f>"1552378092201707"</f>
        <v>1552378092201707</v>
      </c>
      <c r="C6315" t="s">
        <v>40</v>
      </c>
      <c r="D6315">
        <v>5.8399080000000003</v>
      </c>
      <c r="E6315">
        <v>0.47314079999999897</v>
      </c>
      <c r="F6315" t="s">
        <v>47</v>
      </c>
      <c r="G6315">
        <v>-321.38810000000001</v>
      </c>
      <c r="H6315" s="1">
        <v>-4.3585669999999998E-6</v>
      </c>
      <c r="I6315">
        <v>17.88458</v>
      </c>
      <c r="J6315">
        <v>-346.32150000000001</v>
      </c>
      <c r="K6315">
        <v>1.1088129999999901</v>
      </c>
      <c r="L6315">
        <v>17.32574</v>
      </c>
      <c r="M6315">
        <v>0.99989189999999994</v>
      </c>
      <c r="N6315">
        <v>0</v>
      </c>
      <c r="O6315">
        <v>-1.2159089999999999E-2</v>
      </c>
      <c r="P6315">
        <v>0.99868769999999996</v>
      </c>
      <c r="Q6315">
        <v>8.1110509999999993E-3</v>
      </c>
      <c r="R6315">
        <v>-5.0569709999999997E-2</v>
      </c>
      <c r="S6315">
        <v>3.0083009999999999</v>
      </c>
      <c r="T6315">
        <v>-0.13291939999999999</v>
      </c>
      <c r="U6315">
        <v>6.674194E-2</v>
      </c>
      <c r="V6315">
        <v>3.843154E-2</v>
      </c>
      <c r="W6315">
        <v>1.635414E-2</v>
      </c>
      <c r="X6315">
        <v>0.9991274</v>
      </c>
      <c r="Y6315">
        <v>-3.4290040000000001E-2</v>
      </c>
      <c r="Z6315">
        <v>1.294016E-3</v>
      </c>
      <c r="AA6315">
        <v>0.9994111</v>
      </c>
      <c r="AB6315">
        <v>29</v>
      </c>
      <c r="AC6315">
        <v>24.933399999999999</v>
      </c>
      <c r="AD6315">
        <v>-1.10881735856699</v>
      </c>
      <c r="AE6315">
        <v>0.55884</v>
      </c>
      <c r="AF6315">
        <v>-0.86027600002211202</v>
      </c>
      <c r="AG6315">
        <v>-1.10881735856699</v>
      </c>
      <c r="AH6315">
        <v>24.875590098644299</v>
      </c>
      <c r="AI6315">
        <v>92.550719275992194</v>
      </c>
      <c r="AJ6315">
        <v>91.980678555327302</v>
      </c>
      <c r="AK6315">
        <v>24.915146667973701</v>
      </c>
      <c r="AL6315">
        <v>89.062935027578703</v>
      </c>
      <c r="AM6315">
        <v>87.797197812509296</v>
      </c>
      <c r="AN6315">
        <v>1.0000000012963299</v>
      </c>
    </row>
    <row r="6316" spans="1:40" x14ac:dyDescent="0.25">
      <c r="A6316" t="str">
        <f>"20190312160812218"</f>
        <v>20190312160812218</v>
      </c>
      <c r="B6316" t="str">
        <f>"1552378092212442"</f>
        <v>1552378092212442</v>
      </c>
      <c r="C6316" t="s">
        <v>40</v>
      </c>
      <c r="D6316">
        <v>6.0083679999999999</v>
      </c>
      <c r="E6316">
        <v>0.47290569999999998</v>
      </c>
      <c r="F6316" t="s">
        <v>47</v>
      </c>
      <c r="G6316">
        <v>-320.09370000000001</v>
      </c>
      <c r="H6316" s="1">
        <v>-4.9668719999999999E-6</v>
      </c>
      <c r="I6316">
        <v>17.904710000000001</v>
      </c>
      <c r="J6316">
        <v>-346.18439999999998</v>
      </c>
      <c r="K6316">
        <v>1.108814</v>
      </c>
      <c r="L6316">
        <v>17.32394</v>
      </c>
      <c r="M6316">
        <v>0.99989039999999996</v>
      </c>
      <c r="N6316">
        <v>0</v>
      </c>
      <c r="O6316">
        <v>-1.2285829999999999E-2</v>
      </c>
      <c r="P6316">
        <v>0.99868489999999999</v>
      </c>
      <c r="Q6316">
        <v>8.2938419999999992E-3</v>
      </c>
      <c r="R6316">
        <v>-5.0595149999999998E-2</v>
      </c>
      <c r="S6316">
        <v>3.0083009999999999</v>
      </c>
      <c r="T6316">
        <v>-0.1271803</v>
      </c>
      <c r="U6316">
        <v>6.640625E-2</v>
      </c>
      <c r="V6316">
        <v>3.8330589999999998E-2</v>
      </c>
      <c r="W6316">
        <v>1.6540079999999999E-2</v>
      </c>
      <c r="X6316">
        <v>0.99912820000000002</v>
      </c>
      <c r="Y6316">
        <v>-3.4308949999999998E-2</v>
      </c>
      <c r="Z6316">
        <v>1.2439510000000001E-3</v>
      </c>
      <c r="AA6316">
        <v>0.99941049999999998</v>
      </c>
      <c r="AB6316">
        <v>29</v>
      </c>
      <c r="AC6316">
        <v>26.090699999999899</v>
      </c>
      <c r="AD6316">
        <v>-1.1088189668720001</v>
      </c>
      <c r="AE6316">
        <v>0.58077000000000101</v>
      </c>
      <c r="AF6316">
        <v>-0.89965890826323203</v>
      </c>
      <c r="AG6316">
        <v>-1.1088189668720001</v>
      </c>
      <c r="AH6316">
        <v>26.034596552492602</v>
      </c>
      <c r="AI6316">
        <v>92.437312433434798</v>
      </c>
      <c r="AJ6316">
        <v>91.979141682082499</v>
      </c>
      <c r="AK6316">
        <v>26.0737240014458</v>
      </c>
      <c r="AL6316">
        <v>89.052279992907501</v>
      </c>
      <c r="AM6316">
        <v>87.8029801001924</v>
      </c>
      <c r="AN6316">
        <v>0.99999998420569702</v>
      </c>
    </row>
    <row r="6317" spans="1:40" x14ac:dyDescent="0.25">
      <c r="A6317" t="str">
        <f>"20190312160812231"</f>
        <v>20190312160812231</v>
      </c>
      <c r="B6317" t="str">
        <f>"1552378092222203"</f>
        <v>1552378092222203</v>
      </c>
      <c r="C6317" t="s">
        <v>40</v>
      </c>
      <c r="D6317">
        <v>5.9624139999999999</v>
      </c>
      <c r="E6317">
        <v>0.47277370000000002</v>
      </c>
      <c r="F6317" t="s">
        <v>45</v>
      </c>
      <c r="G6317">
        <v>-317.69779999999997</v>
      </c>
      <c r="H6317">
        <v>-0.05</v>
      </c>
      <c r="I6317">
        <v>17.96837</v>
      </c>
      <c r="J6317">
        <v>-346.00689999999997</v>
      </c>
      <c r="K6317">
        <v>1.1088129999999901</v>
      </c>
      <c r="L6317">
        <v>17.321619999999999</v>
      </c>
      <c r="M6317">
        <v>0.9998882</v>
      </c>
      <c r="N6317">
        <v>0</v>
      </c>
      <c r="O6317">
        <v>-1.244952E-2</v>
      </c>
      <c r="P6317">
        <v>0.99866710000000003</v>
      </c>
      <c r="Q6317">
        <v>8.1446750000000005E-3</v>
      </c>
      <c r="R6317">
        <v>-5.0970460000000002E-2</v>
      </c>
      <c r="S6317">
        <v>3.0083920000000002</v>
      </c>
      <c r="T6317">
        <v>-0.1223793</v>
      </c>
      <c r="U6317">
        <v>6.8054199999999995E-2</v>
      </c>
      <c r="V6317">
        <v>3.8542300000000002E-2</v>
      </c>
      <c r="W6317">
        <v>1.6395139999999999E-2</v>
      </c>
      <c r="X6317">
        <v>0.99912239999999997</v>
      </c>
      <c r="Y6317">
        <v>-3.5021440000000001E-2</v>
      </c>
      <c r="Z6317">
        <v>1.218128E-3</v>
      </c>
      <c r="AA6317">
        <v>0.99938579999999999</v>
      </c>
      <c r="AB6317">
        <v>30</v>
      </c>
      <c r="AC6317">
        <v>28.309100000000001</v>
      </c>
      <c r="AD6317">
        <v>-1.1588130000000001</v>
      </c>
      <c r="AE6317">
        <v>0.64674999999999705</v>
      </c>
      <c r="AF6317">
        <v>-0.99747615432347003</v>
      </c>
      <c r="AG6317">
        <v>-1.1588130000000001</v>
      </c>
      <c r="AH6317">
        <v>28.251539892416101</v>
      </c>
      <c r="AI6317">
        <v>92.347363047514307</v>
      </c>
      <c r="AJ6317">
        <v>92.022100172233394</v>
      </c>
      <c r="AK6317">
        <v>28.2928844860363</v>
      </c>
      <c r="AL6317">
        <v>89.060585527888804</v>
      </c>
      <c r="AM6317">
        <v>87.790844555854207</v>
      </c>
      <c r="AN6317">
        <v>0.99999993984333202</v>
      </c>
    </row>
    <row r="6318" spans="1:40" x14ac:dyDescent="0.25">
      <c r="A6318" t="str">
        <f>"20190312160812253"</f>
        <v>20190312160812253</v>
      </c>
      <c r="B6318" t="str">
        <f>"1552378092241722"</f>
        <v>1552378092241722</v>
      </c>
      <c r="C6318" t="s">
        <v>40</v>
      </c>
      <c r="D6318">
        <v>5.8664110000000003</v>
      </c>
      <c r="E6318">
        <v>0.47299099999999999</v>
      </c>
      <c r="F6318" t="s">
        <v>45</v>
      </c>
      <c r="G6318">
        <v>-316.84140000000002</v>
      </c>
      <c r="H6318">
        <v>-0.05</v>
      </c>
      <c r="I6318">
        <v>17.979019999999998</v>
      </c>
      <c r="J6318">
        <v>-345.72660000000002</v>
      </c>
      <c r="K6318">
        <v>1.108811</v>
      </c>
      <c r="L6318">
        <v>17.31784</v>
      </c>
      <c r="M6318">
        <v>0.99988500000000002</v>
      </c>
      <c r="N6318">
        <v>0</v>
      </c>
      <c r="O6318">
        <v>-1.2708240000000001E-2</v>
      </c>
      <c r="P6318">
        <v>0.99867300000000003</v>
      </c>
      <c r="Q6318">
        <v>8.6518959999999992E-3</v>
      </c>
      <c r="R6318">
        <v>-5.0771230000000001E-2</v>
      </c>
      <c r="S6318">
        <v>3.0084529999999998</v>
      </c>
      <c r="T6318">
        <v>-0.1195329</v>
      </c>
      <c r="U6318">
        <v>6.7810060000000005E-2</v>
      </c>
      <c r="V6318">
        <v>3.8084750000000001E-2</v>
      </c>
      <c r="W6318">
        <v>1.690958E-2</v>
      </c>
      <c r="X6318">
        <v>0.9991314</v>
      </c>
      <c r="Y6318">
        <v>-3.5199960000000002E-2</v>
      </c>
      <c r="Z6318">
        <v>1.2036149999999999E-3</v>
      </c>
      <c r="AA6318">
        <v>0.99937960000000003</v>
      </c>
      <c r="AB6318">
        <v>30</v>
      </c>
      <c r="AC6318">
        <v>28.885200000000001</v>
      </c>
      <c r="AD6318">
        <v>-1.158811</v>
      </c>
      <c r="AE6318">
        <v>0.66118000000000099</v>
      </c>
      <c r="AF6318">
        <v>-1.02656789602363</v>
      </c>
      <c r="AG6318">
        <v>-1.158811</v>
      </c>
      <c r="AH6318">
        <v>28.8280918016433</v>
      </c>
      <c r="AI6318">
        <v>92.300438920775903</v>
      </c>
      <c r="AJ6318">
        <v>92.039440047789498</v>
      </c>
      <c r="AK6318">
        <v>28.869630435854901</v>
      </c>
      <c r="AL6318">
        <v>89.031106224915504</v>
      </c>
      <c r="AM6318">
        <v>87.817064383532994</v>
      </c>
      <c r="AN6318">
        <v>0.99999996827214799</v>
      </c>
    </row>
    <row r="6319" spans="1:40" x14ac:dyDescent="0.25">
      <c r="A6319" t="str">
        <f>"20190312160812267"</f>
        <v>20190312160812267</v>
      </c>
      <c r="B6319" t="str">
        <f>"1552378092262218"</f>
        <v>1552378092262218</v>
      </c>
      <c r="C6319" t="s">
        <v>40</v>
      </c>
      <c r="D6319">
        <v>5.910031</v>
      </c>
      <c r="E6319">
        <v>0.47273700000000002</v>
      </c>
      <c r="F6319" t="s">
        <v>45</v>
      </c>
      <c r="G6319">
        <v>-318.13060000000002</v>
      </c>
      <c r="H6319">
        <v>-0.05</v>
      </c>
      <c r="I6319">
        <v>17.930340000000001</v>
      </c>
      <c r="J6319">
        <v>-345.55189999999999</v>
      </c>
      <c r="K6319">
        <v>1.108811</v>
      </c>
      <c r="L6319">
        <v>17.31549</v>
      </c>
      <c r="M6319">
        <v>0.99988290000000002</v>
      </c>
      <c r="N6319">
        <v>0</v>
      </c>
      <c r="O6319">
        <v>-1.286967E-2</v>
      </c>
      <c r="P6319">
        <v>0.99867589999999995</v>
      </c>
      <c r="Q6319">
        <v>8.3409959999999998E-3</v>
      </c>
      <c r="R6319">
        <v>-5.076373E-2</v>
      </c>
      <c r="S6319">
        <v>3.0084840000000002</v>
      </c>
      <c r="T6319">
        <v>-0.12633239999999901</v>
      </c>
      <c r="U6319">
        <v>6.6772460000000006E-2</v>
      </c>
      <c r="V6319">
        <v>3.7915869999999997E-2</v>
      </c>
      <c r="W6319">
        <v>1.6603489999999999E-2</v>
      </c>
      <c r="X6319">
        <v>0.999143</v>
      </c>
      <c r="Y6319">
        <v>-3.5012199999999903E-2</v>
      </c>
      <c r="Z6319">
        <v>1.274849E-3</v>
      </c>
      <c r="AA6319">
        <v>0.99938610000000005</v>
      </c>
      <c r="AB6319">
        <v>30</v>
      </c>
      <c r="AC6319">
        <v>27.421299999999899</v>
      </c>
      <c r="AD6319">
        <v>-1.158811</v>
      </c>
      <c r="AE6319">
        <v>0.61485000000000001</v>
      </c>
      <c r="AF6319">
        <v>-0.96598999296532095</v>
      </c>
      <c r="AG6319">
        <v>-1.158811</v>
      </c>
      <c r="AH6319">
        <v>27.362274857998202</v>
      </c>
      <c r="AI6319">
        <v>92.423558146407103</v>
      </c>
      <c r="AJ6319">
        <v>92.021914226733202</v>
      </c>
      <c r="AK6319">
        <v>27.403833034903499</v>
      </c>
      <c r="AL6319">
        <v>89.048646394715703</v>
      </c>
      <c r="AM6319">
        <v>87.826760125265693</v>
      </c>
      <c r="AN6319">
        <v>1.0000000117635099</v>
      </c>
    </row>
    <row r="6320" spans="1:40" x14ac:dyDescent="0.25">
      <c r="A6320" t="str">
        <f>"20190312160812285"</f>
        <v>20190312160812285</v>
      </c>
      <c r="B6320" t="str">
        <f>"1552378092281738"</f>
        <v>1552378092281738</v>
      </c>
      <c r="C6320" t="s">
        <v>40</v>
      </c>
      <c r="D6320">
        <v>5.9023269999999997</v>
      </c>
      <c r="E6320">
        <v>0.47261570000000003</v>
      </c>
      <c r="F6320" t="s">
        <v>45</v>
      </c>
      <c r="G6320">
        <v>-317.14580000000001</v>
      </c>
      <c r="H6320">
        <v>-0.05</v>
      </c>
      <c r="I6320">
        <v>17.964690000000001</v>
      </c>
      <c r="J6320">
        <v>-345.29660000000001</v>
      </c>
      <c r="K6320">
        <v>1.108814</v>
      </c>
      <c r="L6320">
        <v>17.31195</v>
      </c>
      <c r="M6320">
        <v>0.99987979999999999</v>
      </c>
      <c r="N6320">
        <v>0</v>
      </c>
      <c r="O6320">
        <v>-1.3105139999999999E-2</v>
      </c>
      <c r="P6320">
        <v>0.99864640000000005</v>
      </c>
      <c r="Q6320">
        <v>8.1586419999999903E-3</v>
      </c>
      <c r="R6320">
        <v>-5.137104E-2</v>
      </c>
      <c r="S6320">
        <v>3.0084529999999998</v>
      </c>
      <c r="T6320">
        <v>-0.12272810000000001</v>
      </c>
      <c r="U6320">
        <v>6.8756100000000001E-2</v>
      </c>
      <c r="V6320">
        <v>3.8287979999999999E-2</v>
      </c>
      <c r="W6320">
        <v>1.6426610000000001E-2</v>
      </c>
      <c r="X6320">
        <v>0.99913169999999996</v>
      </c>
      <c r="Y6320">
        <v>-3.5907809999999998E-2</v>
      </c>
      <c r="Z6320">
        <v>1.2663710000000001E-3</v>
      </c>
      <c r="AA6320">
        <v>0.99935430000000003</v>
      </c>
      <c r="AB6320">
        <v>30</v>
      </c>
      <c r="AC6320">
        <v>28.1508</v>
      </c>
      <c r="AD6320">
        <v>-1.158814</v>
      </c>
      <c r="AE6320">
        <v>0.65274000000000099</v>
      </c>
      <c r="AF6320">
        <v>-1.0198894870795201</v>
      </c>
      <c r="AG6320">
        <v>-1.158814</v>
      </c>
      <c r="AH6320">
        <v>28.092250590025099</v>
      </c>
      <c r="AI6320">
        <v>92.360575981154696</v>
      </c>
      <c r="AJ6320">
        <v>92.079210763992506</v>
      </c>
      <c r="AK6320">
        <v>28.134632886626001</v>
      </c>
      <c r="AL6320">
        <v>89.058782223075596</v>
      </c>
      <c r="AM6320">
        <v>87.805427696715597</v>
      </c>
      <c r="AN6320">
        <v>0.99999997843673005</v>
      </c>
    </row>
    <row r="6321" spans="1:40" x14ac:dyDescent="0.25">
      <c r="A6321" t="str">
        <f>"20190312160812298"</f>
        <v>20190312160812298</v>
      </c>
      <c r="B6321" t="str">
        <f>"1552378092292474"</f>
        <v>1552378092292474</v>
      </c>
      <c r="C6321" t="s">
        <v>40</v>
      </c>
      <c r="D6321">
        <v>5.8332179999999996</v>
      </c>
      <c r="E6321">
        <v>0.47277249999999998</v>
      </c>
      <c r="F6321" t="s">
        <v>45</v>
      </c>
      <c r="G6321">
        <v>-316.3297</v>
      </c>
      <c r="H6321">
        <v>-0.05</v>
      </c>
      <c r="I6321">
        <v>17.9666</v>
      </c>
      <c r="J6321">
        <v>-345.13310000000001</v>
      </c>
      <c r="K6321">
        <v>1.108816</v>
      </c>
      <c r="L6321">
        <v>17.309660000000001</v>
      </c>
      <c r="M6321">
        <v>0.99987780000000004</v>
      </c>
      <c r="N6321">
        <v>0</v>
      </c>
      <c r="O6321">
        <v>-1.325608E-2</v>
      </c>
      <c r="P6321">
        <v>0.99863659999999999</v>
      </c>
      <c r="Q6321">
        <v>8.1855219999999902E-3</v>
      </c>
      <c r="R6321">
        <v>-5.1556530000000003E-2</v>
      </c>
      <c r="S6321">
        <v>3.008575</v>
      </c>
      <c r="T6321">
        <v>-0.1203574</v>
      </c>
      <c r="U6321">
        <v>6.7993159999999997E-2</v>
      </c>
      <c r="V6321">
        <v>3.8322910000000002E-2</v>
      </c>
      <c r="W6321">
        <v>1.6457590000000001E-2</v>
      </c>
      <c r="X6321">
        <v>0.99912990000000002</v>
      </c>
      <c r="Y6321">
        <v>-3.5805969999999999E-2</v>
      </c>
      <c r="Z6321">
        <v>1.2458809999999999E-3</v>
      </c>
      <c r="AA6321">
        <v>0.99935799999999997</v>
      </c>
      <c r="AB6321">
        <v>30</v>
      </c>
      <c r="AC6321">
        <v>28.8034</v>
      </c>
      <c r="AD6321">
        <v>-1.1588160000000001</v>
      </c>
      <c r="AE6321">
        <v>0.65693999999999797</v>
      </c>
      <c r="AF6321">
        <v>-1.03703787285536</v>
      </c>
      <c r="AG6321">
        <v>-1.1588160000000001</v>
      </c>
      <c r="AH6321">
        <v>28.7456565131533</v>
      </c>
      <c r="AI6321">
        <v>92.307000352880294</v>
      </c>
      <c r="AJ6321">
        <v>92.066125569106802</v>
      </c>
      <c r="AK6321">
        <v>28.7876895641832</v>
      </c>
      <c r="AL6321">
        <v>89.057007005970704</v>
      </c>
      <c r="AM6321">
        <v>87.803423602389401</v>
      </c>
      <c r="AN6321">
        <v>1.00000002738674</v>
      </c>
    </row>
    <row r="6322" spans="1:40" x14ac:dyDescent="0.25">
      <c r="A6322" t="str">
        <f>"20190312160812309"</f>
        <v>20190312160812309</v>
      </c>
      <c r="B6322" t="str">
        <f>"1552378092302235"</f>
        <v>1552378092302235</v>
      </c>
      <c r="C6322" t="s">
        <v>40</v>
      </c>
      <c r="D6322">
        <v>5.9039989999999998</v>
      </c>
      <c r="E6322">
        <v>0.4727402</v>
      </c>
      <c r="F6322" t="s">
        <v>45</v>
      </c>
      <c r="G6322">
        <v>-317.8372</v>
      </c>
      <c r="H6322">
        <v>-0.05</v>
      </c>
      <c r="I6322">
        <v>17.91188</v>
      </c>
      <c r="J6322">
        <v>-344.97800000000001</v>
      </c>
      <c r="K6322">
        <v>1.108816</v>
      </c>
      <c r="L6322">
        <v>17.307459999999999</v>
      </c>
      <c r="M6322">
        <v>0.99987590000000004</v>
      </c>
      <c r="N6322">
        <v>0</v>
      </c>
      <c r="O6322">
        <v>-1.339927E-2</v>
      </c>
      <c r="P6322">
        <v>0.99861739999999999</v>
      </c>
      <c r="Q6322">
        <v>8.5722699999999999E-3</v>
      </c>
      <c r="R6322">
        <v>-5.1866639999999999E-2</v>
      </c>
      <c r="S6322">
        <v>3.0085449999999998</v>
      </c>
      <c r="T6322">
        <v>-0.12772439999999999</v>
      </c>
      <c r="U6322">
        <v>6.6375729999999994E-2</v>
      </c>
      <c r="V6322">
        <v>3.8490370000000003E-2</v>
      </c>
      <c r="W6322">
        <v>1.684807E-2</v>
      </c>
      <c r="X6322">
        <v>0.99911689999999997</v>
      </c>
      <c r="Y6322">
        <v>-3.5407580000000001E-2</v>
      </c>
      <c r="Z6322">
        <v>1.319719E-3</v>
      </c>
      <c r="AA6322">
        <v>0.99937209999999999</v>
      </c>
      <c r="AB6322">
        <v>30</v>
      </c>
      <c r="AC6322">
        <v>27.140799999999999</v>
      </c>
      <c r="AD6322">
        <v>-1.1588160000000001</v>
      </c>
      <c r="AE6322">
        <v>0.60442000000000096</v>
      </c>
      <c r="AF6322">
        <v>-0.96628447331336098</v>
      </c>
      <c r="AG6322">
        <v>-1.1588160000000001</v>
      </c>
      <c r="AH6322">
        <v>27.080920516798599</v>
      </c>
      <c r="AI6322">
        <v>92.448684765085702</v>
      </c>
      <c r="AJ6322">
        <v>92.0435252289696</v>
      </c>
      <c r="AK6322">
        <v>27.122920496185198</v>
      </c>
      <c r="AL6322">
        <v>89.034630995076796</v>
      </c>
      <c r="AM6322">
        <v>87.793805987377695</v>
      </c>
      <c r="AN6322">
        <v>0.999999972955535</v>
      </c>
    </row>
    <row r="6323" spans="1:40" x14ac:dyDescent="0.25">
      <c r="A6323" t="str">
        <f>"20190312160812320"</f>
        <v>20190312160812320</v>
      </c>
      <c r="B6323" t="str">
        <f>"1552378092311995"</f>
        <v>1552378092311995</v>
      </c>
      <c r="C6323" t="s">
        <v>40</v>
      </c>
      <c r="D6323">
        <v>5.871963</v>
      </c>
      <c r="E6323">
        <v>0.47270679999999998</v>
      </c>
      <c r="F6323" t="s">
        <v>45</v>
      </c>
      <c r="G6323">
        <v>-317.05829999999997</v>
      </c>
      <c r="H6323">
        <v>-0.05</v>
      </c>
      <c r="I6323">
        <v>17.916339999999899</v>
      </c>
      <c r="J6323">
        <v>-344.8288</v>
      </c>
      <c r="K6323">
        <v>1.1088169999999999</v>
      </c>
      <c r="L6323">
        <v>17.305329999999898</v>
      </c>
      <c r="M6323">
        <v>0.99987389999999998</v>
      </c>
      <c r="N6323">
        <v>0</v>
      </c>
      <c r="O6323">
        <v>-1.353686E-2</v>
      </c>
      <c r="P6323">
        <v>0.99860320000000002</v>
      </c>
      <c r="Q6323">
        <v>8.7685920000000004E-3</v>
      </c>
      <c r="R6323">
        <v>-5.2107090000000002E-2</v>
      </c>
      <c r="S6323">
        <v>3.0086360000000001</v>
      </c>
      <c r="T6323">
        <v>-0.12487470000000001</v>
      </c>
      <c r="U6323">
        <v>6.5612790000000004E-2</v>
      </c>
      <c r="V6323">
        <v>3.8593549999999997E-2</v>
      </c>
      <c r="W6323">
        <v>1.7047840000000002E-2</v>
      </c>
      <c r="X6323">
        <v>0.99910960000000004</v>
      </c>
      <c r="Y6323">
        <v>-3.5293060000000001E-2</v>
      </c>
      <c r="Z6323">
        <v>1.2935959999999999E-3</v>
      </c>
      <c r="AA6323">
        <v>0.99937619999999905</v>
      </c>
      <c r="AB6323">
        <v>30</v>
      </c>
      <c r="AC6323">
        <v>27.770499999999998</v>
      </c>
      <c r="AD6323">
        <v>-1.158817</v>
      </c>
      <c r="AE6323">
        <v>0.61101000000000005</v>
      </c>
      <c r="AF6323">
        <v>-0.985177724440637</v>
      </c>
      <c r="AG6323">
        <v>-1.158817</v>
      </c>
      <c r="AH6323">
        <v>27.7114544869249</v>
      </c>
      <c r="AI6323">
        <v>92.393047142459494</v>
      </c>
      <c r="AJ6323">
        <v>92.036080889350004</v>
      </c>
      <c r="AK6323">
        <v>27.7531645361233</v>
      </c>
      <c r="AL6323">
        <v>89.023183440022393</v>
      </c>
      <c r="AM6323">
        <v>87.787881628934102</v>
      </c>
      <c r="AN6323">
        <v>1.0000000418812101</v>
      </c>
    </row>
    <row r="6324" spans="1:40" x14ac:dyDescent="0.25">
      <c r="A6324" t="str">
        <f>"20190312160812331"</f>
        <v>20190312160812331</v>
      </c>
      <c r="B6324" t="str">
        <f>"1552378092321755"</f>
        <v>1552378092321755</v>
      </c>
      <c r="C6324" t="s">
        <v>40</v>
      </c>
      <c r="D6324">
        <v>5.8798399999999997</v>
      </c>
      <c r="E6324">
        <v>0.47278340000000002</v>
      </c>
      <c r="F6324" t="s">
        <v>45</v>
      </c>
      <c r="G6324">
        <v>-316.43790000000001</v>
      </c>
      <c r="H6324">
        <v>-0.05</v>
      </c>
      <c r="I6324">
        <v>17.9193</v>
      </c>
      <c r="J6324">
        <v>-344.67860000000002</v>
      </c>
      <c r="K6324">
        <v>1.1088150000000001</v>
      </c>
      <c r="L6324">
        <v>17.303159999999998</v>
      </c>
      <c r="M6324">
        <v>0.99987199999999998</v>
      </c>
      <c r="N6324">
        <v>0</v>
      </c>
      <c r="O6324">
        <v>-1.367528E-2</v>
      </c>
      <c r="P6324">
        <v>0.99860300000000002</v>
      </c>
      <c r="Q6324">
        <v>8.7942969999999995E-3</v>
      </c>
      <c r="R6324">
        <v>-5.210505E-2</v>
      </c>
      <c r="S6324">
        <v>3.008667</v>
      </c>
      <c r="T6324">
        <v>-0.122803</v>
      </c>
      <c r="U6324">
        <v>6.5063480000000007E-2</v>
      </c>
      <c r="V6324">
        <v>3.845316E-2</v>
      </c>
      <c r="W6324">
        <v>1.70774E-2</v>
      </c>
      <c r="X6324">
        <v>0.99911450000000002</v>
      </c>
      <c r="Y6324">
        <v>-3.5250110000000001E-2</v>
      </c>
      <c r="Z6324">
        <v>1.276913E-3</v>
      </c>
      <c r="AA6324">
        <v>0.99937770000000004</v>
      </c>
      <c r="AB6324">
        <v>30</v>
      </c>
      <c r="AC6324">
        <v>28.2407</v>
      </c>
      <c r="AD6324">
        <v>-1.1588149999999999</v>
      </c>
      <c r="AE6324">
        <v>0.61613999999999702</v>
      </c>
      <c r="AF6324">
        <v>-1.0006112025413401</v>
      </c>
      <c r="AG6324">
        <v>-1.1588149999999999</v>
      </c>
      <c r="AH6324">
        <v>28.182203648244201</v>
      </c>
      <c r="AI6324">
        <v>92.353119335508495</v>
      </c>
      <c r="AJ6324">
        <v>92.033436673807699</v>
      </c>
      <c r="AK6324">
        <v>28.223760866581699</v>
      </c>
      <c r="AL6324">
        <v>89.021489522159797</v>
      </c>
      <c r="AM6324">
        <v>87.795931399348206</v>
      </c>
      <c r="AN6324">
        <v>1.0000000336074899</v>
      </c>
    </row>
    <row r="6325" spans="1:40" x14ac:dyDescent="0.25">
      <c r="A6325" t="str">
        <f>"20190312160812342"</f>
        <v>20190312160812342</v>
      </c>
      <c r="B6325" t="str">
        <f>"1552378092331515"</f>
        <v>1552378092331515</v>
      </c>
      <c r="C6325" t="s">
        <v>40</v>
      </c>
      <c r="D6325">
        <v>5.8994609999999996</v>
      </c>
      <c r="E6325">
        <v>0.47278880000000001</v>
      </c>
      <c r="F6325" t="s">
        <v>45</v>
      </c>
      <c r="G6325">
        <v>-317.89249999999998</v>
      </c>
      <c r="H6325">
        <v>-0.05</v>
      </c>
      <c r="I6325">
        <v>17.878050000000002</v>
      </c>
      <c r="J6325">
        <v>-344.53519999999997</v>
      </c>
      <c r="K6325">
        <v>1.1088129999999901</v>
      </c>
      <c r="L6325">
        <v>17.301089999999999</v>
      </c>
      <c r="M6325">
        <v>0.99987020000000004</v>
      </c>
      <c r="N6325">
        <v>0</v>
      </c>
      <c r="O6325">
        <v>-1.380762E-2</v>
      </c>
      <c r="P6325">
        <v>0.99859520000000002</v>
      </c>
      <c r="Q6325">
        <v>8.7359529999999994E-3</v>
      </c>
      <c r="R6325">
        <v>-5.2263810000000001E-2</v>
      </c>
      <c r="S6325">
        <v>3.0086979999999999</v>
      </c>
      <c r="T6325">
        <v>-0.13016140000000001</v>
      </c>
      <c r="U6325">
        <v>6.4575199999999999E-2</v>
      </c>
      <c r="V6325">
        <v>3.8479840000000001E-2</v>
      </c>
      <c r="W6325">
        <v>1.7022570000000001E-2</v>
      </c>
      <c r="X6325">
        <v>0.99911439999999996</v>
      </c>
      <c r="Y6325">
        <v>-3.5214929999999998E-2</v>
      </c>
      <c r="Z6325">
        <v>1.358307E-3</v>
      </c>
      <c r="AA6325">
        <v>0.99937889999999996</v>
      </c>
      <c r="AB6325">
        <v>30</v>
      </c>
      <c r="AC6325">
        <v>26.642699999999898</v>
      </c>
      <c r="AD6325">
        <v>-1.1588130000000001</v>
      </c>
      <c r="AE6325">
        <v>0.57696000000000303</v>
      </c>
      <c r="AF6325">
        <v>-0.94300682834923699</v>
      </c>
      <c r="AG6325">
        <v>-1.1588130000000001</v>
      </c>
      <c r="AH6325">
        <v>26.581929717251501</v>
      </c>
      <c r="AI6325">
        <v>92.494605241155497</v>
      </c>
      <c r="AJ6325">
        <v>92.031743484966199</v>
      </c>
      <c r="AK6325">
        <v>26.623882078693601</v>
      </c>
      <c r="AL6325">
        <v>89.024631498101101</v>
      </c>
      <c r="AM6325">
        <v>87.794403437157996</v>
      </c>
      <c r="AN6325">
        <v>1.0000000251315899</v>
      </c>
    </row>
    <row r="6326" spans="1:40" x14ac:dyDescent="0.25">
      <c r="A6326" t="str">
        <f>"20190312160812353"</f>
        <v>20190312160812353</v>
      </c>
      <c r="B6326" t="str">
        <f>"1552378092342251"</f>
        <v>1552378092342251</v>
      </c>
      <c r="C6326" t="s">
        <v>40</v>
      </c>
      <c r="D6326">
        <v>5.9659240000000002</v>
      </c>
      <c r="E6326">
        <v>0.47300049999999999</v>
      </c>
      <c r="F6326" t="s">
        <v>45</v>
      </c>
      <c r="G6326">
        <v>-317.4973</v>
      </c>
      <c r="H6326">
        <v>-0.05</v>
      </c>
      <c r="I6326">
        <v>17.876739999999899</v>
      </c>
      <c r="J6326">
        <v>-344.3802</v>
      </c>
      <c r="K6326">
        <v>1.108814</v>
      </c>
      <c r="L6326">
        <v>17.2988</v>
      </c>
      <c r="M6326">
        <v>0.99986819999999998</v>
      </c>
      <c r="N6326">
        <v>0</v>
      </c>
      <c r="O6326">
        <v>-1.395033E-2</v>
      </c>
      <c r="P6326">
        <v>0.9985832</v>
      </c>
      <c r="Q6326">
        <v>8.6807589999999997E-3</v>
      </c>
      <c r="R6326">
        <v>-5.2504000000000002E-2</v>
      </c>
      <c r="S6326">
        <v>3.0086979999999999</v>
      </c>
      <c r="T6326">
        <v>-0.12894949999999999</v>
      </c>
      <c r="U6326">
        <v>6.4056399999999999E-2</v>
      </c>
      <c r="V6326">
        <v>3.8577439999999998E-2</v>
      </c>
      <c r="W6326">
        <v>1.6971079999999999E-2</v>
      </c>
      <c r="X6326">
        <v>0.99911150000000004</v>
      </c>
      <c r="Y6326">
        <v>-3.5186080000000002E-2</v>
      </c>
      <c r="Z6326">
        <v>1.3511700000000001E-3</v>
      </c>
      <c r="AA6326">
        <v>0.99937989999999999</v>
      </c>
      <c r="AB6326">
        <v>30</v>
      </c>
      <c r="AC6326">
        <v>26.882899999999999</v>
      </c>
      <c r="AD6326">
        <v>-1.158814</v>
      </c>
      <c r="AE6326">
        <v>0.57793999999999801</v>
      </c>
      <c r="AF6326">
        <v>-0.951155465854717</v>
      </c>
      <c r="AG6326">
        <v>-1.158814</v>
      </c>
      <c r="AH6326">
        <v>26.822404705223502</v>
      </c>
      <c r="AI6326">
        <v>92.472271230145694</v>
      </c>
      <c r="AJ6326">
        <v>92.030927811534298</v>
      </c>
      <c r="AK6326">
        <v>26.864268848744398</v>
      </c>
      <c r="AL6326">
        <v>89.027582072082097</v>
      </c>
      <c r="AM6326">
        <v>87.788808311501995</v>
      </c>
      <c r="AN6326">
        <v>1.00000001293278</v>
      </c>
    </row>
    <row r="6327" spans="1:40" x14ac:dyDescent="0.25">
      <c r="A6327" t="str">
        <f>"20190312160812363"</f>
        <v>20190312160812363</v>
      </c>
      <c r="B6327" t="str">
        <f>"1552378092352011"</f>
        <v>1552378092352011</v>
      </c>
      <c r="C6327" t="s">
        <v>40</v>
      </c>
      <c r="D6327">
        <v>6.0279889999999998</v>
      </c>
      <c r="E6327">
        <v>0.47300049999999999</v>
      </c>
      <c r="F6327" t="s">
        <v>45</v>
      </c>
      <c r="G6327">
        <v>-316.91739999999999</v>
      </c>
      <c r="H6327">
        <v>-0.05</v>
      </c>
      <c r="I6327">
        <v>17.86093</v>
      </c>
      <c r="J6327">
        <v>-344.24450000000002</v>
      </c>
      <c r="K6327">
        <v>1.1088119999999999</v>
      </c>
      <c r="L6327">
        <v>17.296779999999998</v>
      </c>
      <c r="M6327">
        <v>0.99986640000000004</v>
      </c>
      <c r="N6327">
        <v>0</v>
      </c>
      <c r="O6327">
        <v>-1.4075519999999999E-2</v>
      </c>
      <c r="P6327">
        <v>0.99856719999999999</v>
      </c>
      <c r="Q6327">
        <v>8.7106849999999993E-3</v>
      </c>
      <c r="R6327">
        <v>-5.2802250000000002E-2</v>
      </c>
      <c r="S6327">
        <v>3.0086360000000001</v>
      </c>
      <c r="T6327">
        <v>-0.1269516</v>
      </c>
      <c r="U6327">
        <v>6.1584470000000002E-2</v>
      </c>
      <c r="V6327">
        <v>3.8751000000000001E-2</v>
      </c>
      <c r="W6327">
        <v>1.7003979999999998E-2</v>
      </c>
      <c r="X6327">
        <v>0.9991042</v>
      </c>
      <c r="Y6327">
        <v>-3.4492769999999999E-2</v>
      </c>
      <c r="Z6327">
        <v>1.320952E-3</v>
      </c>
      <c r="AA6327">
        <v>0.99940410000000002</v>
      </c>
      <c r="AB6327">
        <v>30</v>
      </c>
      <c r="AC6327">
        <v>27.327100000000002</v>
      </c>
      <c r="AD6327">
        <v>-1.158812</v>
      </c>
      <c r="AE6327">
        <v>0.56415000000000104</v>
      </c>
      <c r="AF6327">
        <v>-0.94704827378773404</v>
      </c>
      <c r="AG6327">
        <v>-1.158812</v>
      </c>
      <c r="AH6327">
        <v>27.267440151648501</v>
      </c>
      <c r="AI6327">
        <v>92.432027731030999</v>
      </c>
      <c r="AJ6327">
        <v>91.989188051898296</v>
      </c>
      <c r="AK6327">
        <v>27.308479234625299</v>
      </c>
      <c r="AL6327">
        <v>89.025696745493804</v>
      </c>
      <c r="AM6327">
        <v>87.778853883466596</v>
      </c>
      <c r="AN6327">
        <v>0.99999998889723996</v>
      </c>
    </row>
    <row r="6328" spans="1:40" x14ac:dyDescent="0.25">
      <c r="A6328" t="str">
        <f>"20190312160812386"</f>
        <v>20190312160812386</v>
      </c>
      <c r="B6328" t="str">
        <f>"1552378092382267"</f>
        <v>1552378092382267</v>
      </c>
      <c r="C6328" t="s">
        <v>40</v>
      </c>
      <c r="D6328">
        <v>5.9454940000000001</v>
      </c>
      <c r="E6328">
        <v>0.52381709999999904</v>
      </c>
      <c r="F6328" t="s">
        <v>45</v>
      </c>
      <c r="G6328">
        <v>-316.755</v>
      </c>
      <c r="H6328">
        <v>-0.05</v>
      </c>
      <c r="I6328">
        <v>17.851389999999999</v>
      </c>
      <c r="J6328">
        <v>-343.94869999999997</v>
      </c>
      <c r="K6328">
        <v>1.1088020000000001</v>
      </c>
      <c r="L6328">
        <v>17.292359999999999</v>
      </c>
      <c r="M6328">
        <v>0.99986240000000004</v>
      </c>
      <c r="N6328">
        <v>0</v>
      </c>
      <c r="O6328">
        <v>-1.4348069999999999E-2</v>
      </c>
      <c r="P6328">
        <v>0.99855079999999996</v>
      </c>
      <c r="Q6328">
        <v>8.4053059999999995E-3</v>
      </c>
      <c r="R6328">
        <v>-5.3159240000000003E-2</v>
      </c>
      <c r="S6328">
        <v>3.0086059999999999</v>
      </c>
      <c r="T6328">
        <v>-0.12682689999999999</v>
      </c>
      <c r="U6328">
        <v>6.0699459999999997E-2</v>
      </c>
      <c r="V6328">
        <v>3.8835729999999999E-2</v>
      </c>
      <c r="W6328">
        <v>1.670599E-2</v>
      </c>
      <c r="X6328">
        <v>0.99910589999999999</v>
      </c>
      <c r="Y6328">
        <v>-3.4471399999999999E-2</v>
      </c>
      <c r="Z6328">
        <v>1.330705E-3</v>
      </c>
      <c r="AA6328">
        <v>0.99940479999999998</v>
      </c>
      <c r="AB6328">
        <v>30</v>
      </c>
      <c r="AC6328">
        <v>27.1936999999999</v>
      </c>
      <c r="AD6328">
        <v>-1.1588020000000001</v>
      </c>
      <c r="AE6328">
        <v>0.55902999999999603</v>
      </c>
      <c r="AF6328">
        <v>-0.94744338848028797</v>
      </c>
      <c r="AG6328">
        <v>-1.1588020000000001</v>
      </c>
      <c r="AH6328">
        <v>27.133629235368399</v>
      </c>
      <c r="AI6328">
        <v>92.443970051661793</v>
      </c>
      <c r="AJ6328">
        <v>91.999823212555398</v>
      </c>
      <c r="AK6328">
        <v>27.174883744590598</v>
      </c>
      <c r="AL6328">
        <v>89.042772705230504</v>
      </c>
      <c r="AM6328">
        <v>87.7740059576889</v>
      </c>
      <c r="AN6328">
        <v>0.99999995172066003</v>
      </c>
    </row>
    <row r="6329" spans="1:40" x14ac:dyDescent="0.25">
      <c r="A6329" t="str">
        <f>"20190312160812398"</f>
        <v>20190312160812398</v>
      </c>
      <c r="B6329" t="str">
        <f>"1552378092392027"</f>
        <v>1552378092392027</v>
      </c>
      <c r="C6329" t="s">
        <v>40</v>
      </c>
      <c r="D6329">
        <v>5.8458500000000004</v>
      </c>
      <c r="E6329">
        <v>0.52600749999999996</v>
      </c>
      <c r="F6329" t="s">
        <v>55</v>
      </c>
      <c r="G6329">
        <v>-241.07</v>
      </c>
      <c r="H6329">
        <v>3.008813</v>
      </c>
      <c r="I6329">
        <v>5.2314239999999996</v>
      </c>
      <c r="J6329">
        <v>-343.7835</v>
      </c>
      <c r="K6329">
        <v>1.108798</v>
      </c>
      <c r="L6329">
        <v>17.289860000000001</v>
      </c>
      <c r="M6329">
        <v>0.99986019999999998</v>
      </c>
      <c r="N6329">
        <v>0</v>
      </c>
      <c r="O6329">
        <v>-1.4499959999999999E-2</v>
      </c>
      <c r="P6329">
        <v>0.99854960000000004</v>
      </c>
      <c r="Q6329">
        <v>8.4931490000000002E-3</v>
      </c>
      <c r="R6329">
        <v>-5.3165959999999998E-2</v>
      </c>
      <c r="S6329">
        <v>2.9852599999999998</v>
      </c>
      <c r="T6329">
        <v>5.513299E-2</v>
      </c>
      <c r="U6329">
        <v>-0.3499756</v>
      </c>
      <c r="V6329">
        <v>3.8690599999999999E-2</v>
      </c>
      <c r="W6329">
        <v>1.6798009999999999E-2</v>
      </c>
      <c r="X6329">
        <v>0.99911000000000005</v>
      </c>
      <c r="Y6329">
        <v>0.1020083</v>
      </c>
      <c r="Z6329">
        <v>6.7187140000000002E-4</v>
      </c>
      <c r="AA6329">
        <v>0.99478330000000004</v>
      </c>
      <c r="AB6329">
        <v>30</v>
      </c>
      <c r="AC6329">
        <v>102.7135</v>
      </c>
      <c r="AD6329">
        <v>1.900015</v>
      </c>
      <c r="AE6329">
        <v>-12.058436</v>
      </c>
      <c r="AF6329">
        <v>10.564209183294899</v>
      </c>
      <c r="AG6329">
        <v>1.900015</v>
      </c>
      <c r="AH6329">
        <v>102.842841195806</v>
      </c>
      <c r="AI6329">
        <v>88.947123527875505</v>
      </c>
      <c r="AJ6329">
        <v>84.135041127861697</v>
      </c>
      <c r="AK6329">
        <v>103.40146303556099</v>
      </c>
      <c r="AL6329">
        <v>89.037499619106399</v>
      </c>
      <c r="AM6329">
        <v>87.782325317840105</v>
      </c>
      <c r="AN6329">
        <v>0.99999996388415902</v>
      </c>
    </row>
    <row r="6330" spans="1:40" x14ac:dyDescent="0.25">
      <c r="A6330" t="str">
        <f>"20190312160812409"</f>
        <v>20190312160812409</v>
      </c>
      <c r="B6330" t="str">
        <f>"1552378092401787"</f>
        <v>1552378092401787</v>
      </c>
      <c r="C6330" t="s">
        <v>40</v>
      </c>
      <c r="D6330">
        <v>5.7934890000000001</v>
      </c>
      <c r="E6330">
        <v>0.52600749999999996</v>
      </c>
      <c r="F6330" t="s">
        <v>55</v>
      </c>
      <c r="G6330">
        <v>-241.47579999999999</v>
      </c>
      <c r="H6330">
        <v>3.1732469999999999</v>
      </c>
      <c r="I6330">
        <v>4.685918</v>
      </c>
      <c r="J6330">
        <v>-343.62569999999999</v>
      </c>
      <c r="K6330">
        <v>1.108797</v>
      </c>
      <c r="L6330">
        <v>17.287410000000001</v>
      </c>
      <c r="M6330">
        <v>0.99985809999999997</v>
      </c>
      <c r="N6330">
        <v>0</v>
      </c>
      <c r="O6330">
        <v>-1.4645419999999999E-2</v>
      </c>
      <c r="P6330">
        <v>0.9985501</v>
      </c>
      <c r="Q6330">
        <v>8.1639859999999998E-3</v>
      </c>
      <c r="R6330">
        <v>-5.3214869999999997E-2</v>
      </c>
      <c r="S6330">
        <v>2.9842219999999999</v>
      </c>
      <c r="T6330">
        <v>6.0217859999999998E-2</v>
      </c>
      <c r="U6330">
        <v>-0.36764530000000001</v>
      </c>
      <c r="V6330">
        <v>3.8593950000000002E-2</v>
      </c>
      <c r="W6330">
        <v>1.647237E-2</v>
      </c>
      <c r="X6330">
        <v>0.99911919999999999</v>
      </c>
      <c r="Y6330">
        <v>0.1077042</v>
      </c>
      <c r="Z6330">
        <v>7.8814629999999998E-4</v>
      </c>
      <c r="AA6330">
        <v>0.99418260000000003</v>
      </c>
      <c r="AB6330">
        <v>30</v>
      </c>
      <c r="AC6330">
        <v>102.1499</v>
      </c>
      <c r="AD6330">
        <v>2.0644499999999999</v>
      </c>
      <c r="AE6330">
        <v>-12.601492</v>
      </c>
      <c r="AF6330">
        <v>11.0995947681608</v>
      </c>
      <c r="AG6330">
        <v>2.0644499999999999</v>
      </c>
      <c r="AH6330">
        <v>102.28235380692099</v>
      </c>
      <c r="AI6330">
        <v>88.850455640935294</v>
      </c>
      <c r="AJ6330">
        <v>83.806546659380302</v>
      </c>
      <c r="AK6330">
        <v>102.90356095929801</v>
      </c>
      <c r="AL6330">
        <v>89.056160037373999</v>
      </c>
      <c r="AM6330">
        <v>87.787879958535797</v>
      </c>
      <c r="AN6330">
        <v>1.00000000387932</v>
      </c>
    </row>
    <row r="6331" spans="1:40" x14ac:dyDescent="0.25">
      <c r="A6331" t="str">
        <f>"20190312160812421"</f>
        <v>20190312160812421</v>
      </c>
      <c r="B6331" t="str">
        <f>"1552378092411547"</f>
        <v>1552378092411547</v>
      </c>
      <c r="C6331" t="s">
        <v>40</v>
      </c>
      <c r="D6331">
        <v>5.8175019999999904</v>
      </c>
      <c r="E6331">
        <v>0.53136139999999998</v>
      </c>
      <c r="F6331" t="s">
        <v>55</v>
      </c>
      <c r="G6331">
        <v>-241.47579999999999</v>
      </c>
      <c r="H6331">
        <v>3.1378270000000001</v>
      </c>
      <c r="I6331">
        <v>4.6999069999999996</v>
      </c>
      <c r="J6331">
        <v>-343.47859999999997</v>
      </c>
      <c r="K6331">
        <v>1.1087990000000001</v>
      </c>
      <c r="L6331">
        <v>17.285160000000001</v>
      </c>
      <c r="M6331">
        <v>0.99985610000000003</v>
      </c>
      <c r="N6331">
        <v>0</v>
      </c>
      <c r="O6331">
        <v>-1.4780740000000001E-2</v>
      </c>
      <c r="P6331">
        <v>0.99855579999999999</v>
      </c>
      <c r="Q6331">
        <v>8.1424819999999995E-3</v>
      </c>
      <c r="R6331">
        <v>-5.3106899999999999E-2</v>
      </c>
      <c r="S6331">
        <v>2.9842529999999998</v>
      </c>
      <c r="T6331">
        <v>5.9276580000000002E-2</v>
      </c>
      <c r="U6331">
        <v>-0.36773679999999997</v>
      </c>
      <c r="V6331">
        <v>3.8350719999999998E-2</v>
      </c>
      <c r="W6331">
        <v>1.6454259999999998E-2</v>
      </c>
      <c r="X6331">
        <v>0.99912889999999999</v>
      </c>
      <c r="Y6331">
        <v>0.107599</v>
      </c>
      <c r="Z6331">
        <v>7.7210379999999995E-4</v>
      </c>
      <c r="AA6331">
        <v>0.99419409999999997</v>
      </c>
      <c r="AB6331">
        <v>30</v>
      </c>
      <c r="AC6331">
        <v>102.002799999999</v>
      </c>
      <c r="AD6331">
        <v>2.0290279999999998</v>
      </c>
      <c r="AE6331">
        <v>-12.585253</v>
      </c>
      <c r="AF6331">
        <v>11.0718336709825</v>
      </c>
      <c r="AG6331">
        <v>2.0290279999999998</v>
      </c>
      <c r="AH6331">
        <v>102.13787349520901</v>
      </c>
      <c r="AI6331">
        <v>88.868562322225401</v>
      </c>
      <c r="AJ6331">
        <v>83.813245557336202</v>
      </c>
      <c r="AK6331">
        <v>102.75625361789901</v>
      </c>
      <c r="AL6331">
        <v>89.057197838271193</v>
      </c>
      <c r="AM6331">
        <v>87.801828965716695</v>
      </c>
      <c r="AN6331">
        <v>1.0000000396059301</v>
      </c>
    </row>
    <row r="6332" spans="1:40" x14ac:dyDescent="0.25">
      <c r="A6332" t="str">
        <f>"20190312160812432"</f>
        <v>20190312160812432</v>
      </c>
      <c r="B6332" t="str">
        <f>"1552378092422283"</f>
        <v>1552378092422283</v>
      </c>
      <c r="C6332" t="s">
        <v>40</v>
      </c>
      <c r="D6332">
        <v>5.9222440000000001</v>
      </c>
      <c r="E6332">
        <v>0.53261210000000003</v>
      </c>
      <c r="F6332" t="s">
        <v>104</v>
      </c>
      <c r="G6332">
        <v>-252.1508</v>
      </c>
      <c r="H6332">
        <v>1.9857860000000001</v>
      </c>
      <c r="I6332">
        <v>4.7511229999999998</v>
      </c>
      <c r="J6332">
        <v>-343.32369999999997</v>
      </c>
      <c r="K6332">
        <v>1.1088</v>
      </c>
      <c r="L6332">
        <v>17.282710000000002</v>
      </c>
      <c r="M6332">
        <v>0.99985380000000001</v>
      </c>
      <c r="N6332">
        <v>0</v>
      </c>
      <c r="O6332">
        <v>-1.4923209999999999E-2</v>
      </c>
      <c r="P6332">
        <v>0.99855530000000003</v>
      </c>
      <c r="Q6332">
        <v>8.1508480000000005E-3</v>
      </c>
      <c r="R6332">
        <v>-5.311097E-2</v>
      </c>
      <c r="S6332">
        <v>2.9823300000000001</v>
      </c>
      <c r="T6332">
        <v>2.8638239999999999E-2</v>
      </c>
      <c r="U6332">
        <v>-0.40930179999999999</v>
      </c>
      <c r="V6332">
        <v>3.821252E-2</v>
      </c>
      <c r="W6332">
        <v>1.6466649999999999E-2</v>
      </c>
      <c r="X6332">
        <v>0.99913390000000002</v>
      </c>
      <c r="Y6332">
        <v>0.1211626</v>
      </c>
      <c r="Z6332">
        <v>4.364185E-4</v>
      </c>
      <c r="AA6332">
        <v>0.99263259999999998</v>
      </c>
      <c r="AB6332">
        <v>30</v>
      </c>
      <c r="AC6332">
        <v>91.172899999999899</v>
      </c>
      <c r="AD6332">
        <v>0.87698600000000004</v>
      </c>
      <c r="AE6332">
        <v>-12.531587</v>
      </c>
      <c r="AF6332">
        <v>11.168537487000499</v>
      </c>
      <c r="AG6332">
        <v>0.87698600000000004</v>
      </c>
      <c r="AH6332">
        <v>91.341469980286007</v>
      </c>
      <c r="AI6332">
        <v>89.453976026554898</v>
      </c>
      <c r="AJ6332">
        <v>83.028912635005796</v>
      </c>
      <c r="AK6332">
        <v>92.025917393972307</v>
      </c>
      <c r="AL6332">
        <v>89.056487761610001</v>
      </c>
      <c r="AM6332">
        <v>87.809753478744497</v>
      </c>
      <c r="AN6332">
        <v>0.99999994868808995</v>
      </c>
    </row>
    <row r="6333" spans="1:40" x14ac:dyDescent="0.25">
      <c r="A6333" t="str">
        <f>"20190312160812446"</f>
        <v>20190312160812446</v>
      </c>
      <c r="B6333" t="str">
        <f>"1552378092441805"</f>
        <v>1552378092441805</v>
      </c>
      <c r="C6333" t="s">
        <v>40</v>
      </c>
      <c r="D6333">
        <v>5.9917939999999996</v>
      </c>
      <c r="E6333">
        <v>0.53567229999999999</v>
      </c>
      <c r="F6333" t="s">
        <v>104</v>
      </c>
      <c r="G6333">
        <v>-253.1121</v>
      </c>
      <c r="H6333">
        <v>1.8928879999999999</v>
      </c>
      <c r="I6333">
        <v>4.6005739999999999</v>
      </c>
      <c r="J6333">
        <v>-343.14</v>
      </c>
      <c r="K6333">
        <v>1.1088</v>
      </c>
      <c r="L6333">
        <v>17.279820000000001</v>
      </c>
      <c r="M6333">
        <v>0.9998513</v>
      </c>
      <c r="N6333">
        <v>0</v>
      </c>
      <c r="O6333">
        <v>-1.5092400000000001E-2</v>
      </c>
      <c r="P6333">
        <v>0.99854989999999999</v>
      </c>
      <c r="Q6333">
        <v>8.2974209999999993E-3</v>
      </c>
      <c r="R6333">
        <v>-5.319115E-2</v>
      </c>
      <c r="S6333">
        <v>2.9818120000000001</v>
      </c>
      <c r="T6333">
        <v>2.5916930000000001E-2</v>
      </c>
      <c r="U6333">
        <v>-0.41918949999999999</v>
      </c>
      <c r="V6333">
        <v>3.8123730000000002E-2</v>
      </c>
      <c r="W6333">
        <v>1.661779E-2</v>
      </c>
      <c r="X6333">
        <v>0.99913479999999999</v>
      </c>
      <c r="Y6333">
        <v>0.12424739999999999</v>
      </c>
      <c r="Z6333">
        <v>4.068066E-4</v>
      </c>
      <c r="AA6333">
        <v>0.9922512</v>
      </c>
      <c r="AB6333">
        <v>30</v>
      </c>
      <c r="AC6333">
        <v>90.027899999999903</v>
      </c>
      <c r="AD6333">
        <v>0.78408800000000001</v>
      </c>
      <c r="AE6333">
        <v>-12.679245999999999</v>
      </c>
      <c r="AF6333">
        <v>11.318175586703701</v>
      </c>
      <c r="AG6333">
        <v>0.78408800000000001</v>
      </c>
      <c r="AH6333">
        <v>90.202303230636502</v>
      </c>
      <c r="AI6333">
        <v>89.505840792565806</v>
      </c>
      <c r="AJ6333">
        <v>82.848162416765007</v>
      </c>
      <c r="AK6333">
        <v>90.912988074943897</v>
      </c>
      <c r="AL6333">
        <v>89.047826901923301</v>
      </c>
      <c r="AM6333">
        <v>87.814839727709497</v>
      </c>
      <c r="AN6333">
        <v>0.99999995915231699</v>
      </c>
    </row>
    <row r="6334" spans="1:40" x14ac:dyDescent="0.25">
      <c r="A6334" t="str">
        <f>"20190312160812466"</f>
        <v>20190312160812466</v>
      </c>
      <c r="B6334" t="str">
        <f>"1552378092462299"</f>
        <v>1552378092462299</v>
      </c>
      <c r="C6334" t="s">
        <v>40</v>
      </c>
      <c r="D6334">
        <v>6.013255</v>
      </c>
      <c r="E6334">
        <v>0.53730140000000004</v>
      </c>
      <c r="F6334" t="s">
        <v>104</v>
      </c>
      <c r="G6334">
        <v>-257.87240000000003</v>
      </c>
      <c r="H6334">
        <v>1.2564690000000001</v>
      </c>
      <c r="I6334">
        <v>4.600365</v>
      </c>
      <c r="J6334">
        <v>-342.8723</v>
      </c>
      <c r="K6334">
        <v>1.108806</v>
      </c>
      <c r="L6334">
        <v>17.275510000000001</v>
      </c>
      <c r="M6334">
        <v>0.9998475</v>
      </c>
      <c r="N6334">
        <v>0</v>
      </c>
      <c r="O6334">
        <v>-1.5338600000000001E-2</v>
      </c>
      <c r="P6334">
        <v>0.99853650000000005</v>
      </c>
      <c r="Q6334">
        <v>8.714622E-3</v>
      </c>
      <c r="R6334">
        <v>-5.3375119999999998E-2</v>
      </c>
      <c r="S6334">
        <v>2.9807130000000002</v>
      </c>
      <c r="T6334">
        <v>5.1621200000000001E-3</v>
      </c>
      <c r="U6334">
        <v>-0.4432373</v>
      </c>
      <c r="V6334">
        <v>3.8061999999999999E-2</v>
      </c>
      <c r="W6334">
        <v>1.704164E-2</v>
      </c>
      <c r="X6334">
        <v>0.99913010000000002</v>
      </c>
      <c r="Y6334">
        <v>0.1318947</v>
      </c>
      <c r="Z6334" s="1">
        <v>8.7174360000000001E-5</v>
      </c>
      <c r="AA6334">
        <v>0.99126369999999997</v>
      </c>
      <c r="AB6334">
        <v>30</v>
      </c>
      <c r="AC6334">
        <v>84.999899999999897</v>
      </c>
      <c r="AD6334">
        <v>0.14766299999999999</v>
      </c>
      <c r="AE6334">
        <v>-12.675145000000001</v>
      </c>
      <c r="AF6334">
        <v>11.369795276330301</v>
      </c>
      <c r="AG6334">
        <v>0.14766299999999999</v>
      </c>
      <c r="AH6334">
        <v>85.184073908362294</v>
      </c>
      <c r="AI6334">
        <v>89.901553327942693</v>
      </c>
      <c r="AJ6334">
        <v>82.397480114690495</v>
      </c>
      <c r="AK6334">
        <v>85.939632862914607</v>
      </c>
      <c r="AL6334">
        <v>89.023538728530497</v>
      </c>
      <c r="AM6334">
        <v>87.818364268169006</v>
      </c>
      <c r="AN6334">
        <v>1.00000004503194</v>
      </c>
    </row>
    <row r="6335" spans="1:40" x14ac:dyDescent="0.25">
      <c r="A6335" t="str">
        <f>"20190312160812486"</f>
        <v>20190312160812486</v>
      </c>
      <c r="B6335" t="str">
        <f>"1552378092481819"</f>
        <v>1552378092481819</v>
      </c>
      <c r="C6335" t="s">
        <v>40</v>
      </c>
      <c r="D6335">
        <v>5.976337</v>
      </c>
      <c r="E6335">
        <v>0.53821129999999995</v>
      </c>
      <c r="F6335" t="s">
        <v>104</v>
      </c>
      <c r="G6335">
        <v>-260.1721</v>
      </c>
      <c r="H6335">
        <v>1.254542</v>
      </c>
      <c r="I6335">
        <v>4.6003629999999998</v>
      </c>
      <c r="J6335">
        <v>-342.58539999999999</v>
      </c>
      <c r="K6335">
        <v>1.108808</v>
      </c>
      <c r="L6335">
        <v>17.27084</v>
      </c>
      <c r="M6335">
        <v>0.99984340000000005</v>
      </c>
      <c r="N6335">
        <v>0</v>
      </c>
      <c r="O6335">
        <v>-1.560244E-2</v>
      </c>
      <c r="P6335">
        <v>0.99853740000000002</v>
      </c>
      <c r="Q6335">
        <v>9.0811290000000003E-3</v>
      </c>
      <c r="R6335">
        <v>-5.3300260000000002E-2</v>
      </c>
      <c r="S6335">
        <v>2.9799500000000001</v>
      </c>
      <c r="T6335">
        <v>5.2512879999999998E-3</v>
      </c>
      <c r="U6335">
        <v>-0.45672610000000002</v>
      </c>
      <c r="V6335">
        <v>3.7723729999999997E-2</v>
      </c>
      <c r="W6335">
        <v>1.7414949999999998E-2</v>
      </c>
      <c r="X6335">
        <v>0.99913640000000004</v>
      </c>
      <c r="Y6335">
        <v>0.1360558</v>
      </c>
      <c r="Z6335" s="1">
        <v>9.1856169999999994E-5</v>
      </c>
      <c r="AA6335">
        <v>0.99070119999999895</v>
      </c>
      <c r="AB6335">
        <v>30</v>
      </c>
      <c r="AC6335">
        <v>82.413299999999893</v>
      </c>
      <c r="AD6335">
        <v>0.145734</v>
      </c>
      <c r="AE6335">
        <v>-12.670477</v>
      </c>
      <c r="AF6335">
        <v>11.383006391991399</v>
      </c>
      <c r="AG6335">
        <v>0.145734</v>
      </c>
      <c r="AH6335">
        <v>82.600712425344895</v>
      </c>
      <c r="AI6335">
        <v>89.899858493192298</v>
      </c>
      <c r="AJ6335">
        <v>82.1536267417532</v>
      </c>
      <c r="AK6335">
        <v>83.381483352680902</v>
      </c>
      <c r="AL6335">
        <v>89.002146375123999</v>
      </c>
      <c r="AM6335">
        <v>87.837748345127594</v>
      </c>
      <c r="AN6335">
        <v>0.99999995304678602</v>
      </c>
    </row>
    <row r="6336" spans="1:40" x14ac:dyDescent="0.25">
      <c r="A6336" t="str">
        <f>"20190312160812498"</f>
        <v>20190312160812498</v>
      </c>
      <c r="B6336" t="str">
        <f>"1552378092491579"</f>
        <v>1552378092491579</v>
      </c>
      <c r="C6336" t="s">
        <v>40</v>
      </c>
      <c r="D6336">
        <v>6.0722189999999996</v>
      </c>
      <c r="E6336">
        <v>0.53891929999999999</v>
      </c>
      <c r="F6336" t="s">
        <v>104</v>
      </c>
      <c r="G6336">
        <v>-261.17160000000001</v>
      </c>
      <c r="H6336">
        <v>1.2559</v>
      </c>
      <c r="I6336">
        <v>4.600365</v>
      </c>
      <c r="J6336">
        <v>-342.43299999999999</v>
      </c>
      <c r="K6336">
        <v>1.108808</v>
      </c>
      <c r="L6336">
        <v>17.268339999999998</v>
      </c>
      <c r="M6336">
        <v>0.99984119999999999</v>
      </c>
      <c r="N6336">
        <v>0</v>
      </c>
      <c r="O6336">
        <v>-1.574265E-2</v>
      </c>
      <c r="P6336">
        <v>0.99853119999999995</v>
      </c>
      <c r="Q6336">
        <v>9.1949949999999992E-3</v>
      </c>
      <c r="R6336">
        <v>-5.3395619999999998E-2</v>
      </c>
      <c r="S6336">
        <v>2.979584</v>
      </c>
      <c r="T6336">
        <v>5.3832530000000002E-3</v>
      </c>
      <c r="U6336">
        <v>-0.46371459999999998</v>
      </c>
      <c r="V6336">
        <v>3.7679270000000001E-2</v>
      </c>
      <c r="W6336">
        <v>1.753271E-2</v>
      </c>
      <c r="X6336">
        <v>0.99913609999999997</v>
      </c>
      <c r="Y6336">
        <v>0.1382043</v>
      </c>
      <c r="Z6336" s="1">
        <v>9.5836920000000005E-5</v>
      </c>
      <c r="AA6336">
        <v>0.9904037</v>
      </c>
      <c r="AB6336">
        <v>30</v>
      </c>
      <c r="AC6336">
        <v>81.261399999999995</v>
      </c>
      <c r="AD6336">
        <v>0.147092</v>
      </c>
      <c r="AE6336">
        <v>-12.667974999999901</v>
      </c>
      <c r="AF6336">
        <v>11.3870542185738</v>
      </c>
      <c r="AG6336">
        <v>0.147092</v>
      </c>
      <c r="AH6336">
        <v>81.450503036375295</v>
      </c>
      <c r="AI6336">
        <v>89.897525866142402</v>
      </c>
      <c r="AJ6336">
        <v>82.041439812730005</v>
      </c>
      <c r="AK6336">
        <v>82.242757034961997</v>
      </c>
      <c r="AL6336">
        <v>88.995398275655305</v>
      </c>
      <c r="AM6336">
        <v>87.840293644361395</v>
      </c>
      <c r="AN6336">
        <v>1.0000000348154401</v>
      </c>
    </row>
    <row r="6337" spans="1:40" x14ac:dyDescent="0.25">
      <c r="A6337" t="str">
        <f>"20190312160812510"</f>
        <v>20190312160812510</v>
      </c>
      <c r="B6337" t="str">
        <f>"1552378092502314"</f>
        <v>1552378092502314</v>
      </c>
      <c r="C6337" t="s">
        <v>40</v>
      </c>
      <c r="D6337">
        <v>5.7742620000000002</v>
      </c>
      <c r="E6337">
        <v>0.53920419999999902</v>
      </c>
      <c r="F6337" t="s">
        <v>104</v>
      </c>
      <c r="G6337">
        <v>-264.90679999999998</v>
      </c>
      <c r="H6337">
        <v>1.2107600000000001</v>
      </c>
      <c r="I6337">
        <v>5.0474740000000002</v>
      </c>
      <c r="J6337">
        <v>-342.26940000000002</v>
      </c>
      <c r="K6337">
        <v>1.1088089999999999</v>
      </c>
      <c r="L6337">
        <v>17.26559</v>
      </c>
      <c r="M6337">
        <v>0.99983880000000003</v>
      </c>
      <c r="N6337">
        <v>0</v>
      </c>
      <c r="O6337">
        <v>-1.5893109999999998E-2</v>
      </c>
      <c r="P6337">
        <v>0.99852410000000003</v>
      </c>
      <c r="Q6337">
        <v>9.2192430000000002E-3</v>
      </c>
      <c r="R6337">
        <v>-5.352378E-2</v>
      </c>
      <c r="S6337">
        <v>2.9792480000000001</v>
      </c>
      <c r="T6337">
        <v>3.9179330000000002E-3</v>
      </c>
      <c r="U6337">
        <v>-0.46963500000000002</v>
      </c>
      <c r="V6337">
        <v>3.7657160000000002E-2</v>
      </c>
      <c r="W6337">
        <v>1.756131E-2</v>
      </c>
      <c r="X6337">
        <v>0.99913640000000004</v>
      </c>
      <c r="Y6337">
        <v>0.13999300000000001</v>
      </c>
      <c r="Z6337" s="1">
        <v>7.0719769999999998E-5</v>
      </c>
      <c r="AA6337">
        <v>0.99015249999999999</v>
      </c>
      <c r="AB6337">
        <v>30</v>
      </c>
      <c r="AC6337">
        <v>77.3626</v>
      </c>
      <c r="AD6337">
        <v>0.101951</v>
      </c>
      <c r="AE6337">
        <v>-12.218115999999901</v>
      </c>
      <c r="AF6337">
        <v>10.986978871342499</v>
      </c>
      <c r="AG6337">
        <v>0.101951</v>
      </c>
      <c r="AH6337">
        <v>77.546887395111895</v>
      </c>
      <c r="AI6337">
        <v>89.925418051193404</v>
      </c>
      <c r="AJ6337">
        <v>81.935906513186794</v>
      </c>
      <c r="AK6337">
        <v>78.321413696356899</v>
      </c>
      <c r="AL6337">
        <v>88.993759332633203</v>
      </c>
      <c r="AM6337">
        <v>87.841560397290394</v>
      </c>
      <c r="AN6337">
        <v>1.0000000035565699</v>
      </c>
    </row>
    <row r="6338" spans="1:40" x14ac:dyDescent="0.25">
      <c r="A6338" t="str">
        <f>"20190312160812521"</f>
        <v>20190312160812521</v>
      </c>
      <c r="B6338" t="str">
        <f>"1552378092512075"</f>
        <v>1552378092512075</v>
      </c>
      <c r="C6338" t="s">
        <v>40</v>
      </c>
      <c r="D6338">
        <v>6.0101779999999998</v>
      </c>
      <c r="E6338">
        <v>0.53964080000000003</v>
      </c>
      <c r="F6338" t="s">
        <v>104</v>
      </c>
      <c r="G6338">
        <v>-265.19439999999997</v>
      </c>
      <c r="H6338">
        <v>1.132109</v>
      </c>
      <c r="I6338">
        <v>5.047447</v>
      </c>
      <c r="J6338">
        <v>-342.1146</v>
      </c>
      <c r="K6338">
        <v>1.108803</v>
      </c>
      <c r="L6338">
        <v>17.262999999999899</v>
      </c>
      <c r="M6338">
        <v>0.99983639999999996</v>
      </c>
      <c r="N6338">
        <v>0</v>
      </c>
      <c r="O6338">
        <v>-1.6035110000000002E-2</v>
      </c>
      <c r="P6338">
        <v>0.99852300000000005</v>
      </c>
      <c r="Q6338">
        <v>9.2505899999999995E-3</v>
      </c>
      <c r="R6338">
        <v>-5.3535920000000001E-2</v>
      </c>
      <c r="S6338">
        <v>2.9791259999999999</v>
      </c>
      <c r="T6338">
        <v>9.0062619999999895E-4</v>
      </c>
      <c r="U6338">
        <v>-0.4722595</v>
      </c>
      <c r="V6338">
        <v>3.7527619999999998E-2</v>
      </c>
      <c r="W6338">
        <v>1.7596110000000002E-2</v>
      </c>
      <c r="X6338">
        <v>0.99914069999999999</v>
      </c>
      <c r="Y6338">
        <v>0.1407098</v>
      </c>
      <c r="Z6338" s="1">
        <v>1.6321149999999999E-5</v>
      </c>
      <c r="AA6338">
        <v>0.99005089999999996</v>
      </c>
      <c r="AB6338">
        <v>30</v>
      </c>
      <c r="AC6338">
        <v>76.920199999999994</v>
      </c>
      <c r="AD6338">
        <v>2.3306E-2</v>
      </c>
      <c r="AE6338">
        <v>-12.2155529999999</v>
      </c>
      <c r="AF6338">
        <v>10.9805142750151</v>
      </c>
      <c r="AG6338">
        <v>2.3306E-2</v>
      </c>
      <c r="AH6338">
        <v>77.106187320168203</v>
      </c>
      <c r="AI6338">
        <v>89.982854843401299</v>
      </c>
      <c r="AJ6338">
        <v>81.895135764038997</v>
      </c>
      <c r="AK6338">
        <v>77.884121359660497</v>
      </c>
      <c r="AL6338">
        <v>88.991765170010495</v>
      </c>
      <c r="AM6338">
        <v>87.848987655301698</v>
      </c>
      <c r="AN6338">
        <v>1.00000004187324</v>
      </c>
    </row>
    <row r="6339" spans="1:40" x14ac:dyDescent="0.25">
      <c r="A6339" t="str">
        <f>"20190312160812532"</f>
        <v>20190312160812532</v>
      </c>
      <c r="B6339" t="str">
        <f>"1552378092521834"</f>
        <v>1552378092521834</v>
      </c>
      <c r="C6339" t="s">
        <v>40</v>
      </c>
      <c r="D6339">
        <v>6.0232349999999997</v>
      </c>
      <c r="E6339">
        <v>0.54002099999999997</v>
      </c>
      <c r="F6339" t="s">
        <v>104</v>
      </c>
      <c r="G6339">
        <v>-265.61849999999998</v>
      </c>
      <c r="H6339">
        <v>1.1206499999999999</v>
      </c>
      <c r="I6339">
        <v>5.0474430000000003</v>
      </c>
      <c r="J6339">
        <v>-341.9599</v>
      </c>
      <c r="K6339">
        <v>1.1088020000000001</v>
      </c>
      <c r="L6339">
        <v>17.26041</v>
      </c>
      <c r="M6339">
        <v>0.99983420000000001</v>
      </c>
      <c r="N6339">
        <v>0</v>
      </c>
      <c r="O6339">
        <v>-1.617735E-2</v>
      </c>
      <c r="P6339">
        <v>0.99851559999999995</v>
      </c>
      <c r="Q6339">
        <v>9.3664160000000007E-3</v>
      </c>
      <c r="R6339">
        <v>-5.365872E-2</v>
      </c>
      <c r="S6339">
        <v>2.9789729999999999</v>
      </c>
      <c r="T6339">
        <v>4.6134000000000002E-4</v>
      </c>
      <c r="U6339">
        <v>-0.47570800000000002</v>
      </c>
      <c r="V6339">
        <v>3.7508220000000002E-2</v>
      </c>
      <c r="W6339">
        <v>1.7716260000000001E-2</v>
      </c>
      <c r="X6339">
        <v>0.99913920000000001</v>
      </c>
      <c r="Y6339">
        <v>0.1416945</v>
      </c>
      <c r="Z6339" s="1">
        <v>8.4139760000000004E-6</v>
      </c>
      <c r="AA6339">
        <v>0.98991039999999997</v>
      </c>
      <c r="AB6339">
        <v>30</v>
      </c>
      <c r="AC6339">
        <v>76.341399999999993</v>
      </c>
      <c r="AD6339">
        <v>1.18479999999998E-2</v>
      </c>
      <c r="AE6339">
        <v>-12.212967000000001</v>
      </c>
      <c r="AF6339">
        <v>10.976323726840199</v>
      </c>
      <c r="AG6339">
        <v>1.18479999999998E-2</v>
      </c>
      <c r="AH6339">
        <v>76.528987668702996</v>
      </c>
      <c r="AI6339">
        <v>89.991219484193294</v>
      </c>
      <c r="AJ6339">
        <v>81.8379023513818</v>
      </c>
      <c r="AK6339">
        <v>77.312132143202405</v>
      </c>
      <c r="AL6339">
        <v>88.984879902341206</v>
      </c>
      <c r="AM6339">
        <v>87.850095358362296</v>
      </c>
      <c r="AN6339">
        <v>0.99999993670629495</v>
      </c>
    </row>
    <row r="6340" spans="1:40" x14ac:dyDescent="0.25">
      <c r="A6340" t="str">
        <f>"20190312160812544"</f>
        <v>20190312160812544</v>
      </c>
      <c r="B6340" t="str">
        <f>"1552378092531595"</f>
        <v>1552378092531595</v>
      </c>
      <c r="C6340" t="s">
        <v>40</v>
      </c>
      <c r="D6340">
        <v>6.1636670000000002</v>
      </c>
      <c r="E6340">
        <v>0.54048830000000003</v>
      </c>
      <c r="F6340" t="s">
        <v>104</v>
      </c>
      <c r="G6340">
        <v>-265.7654</v>
      </c>
      <c r="H6340">
        <v>1.1327579999999999</v>
      </c>
      <c r="I6340">
        <v>5.0068020000000004</v>
      </c>
      <c r="J6340">
        <v>-341.80849999999998</v>
      </c>
      <c r="K6340">
        <v>1.1088009999999999</v>
      </c>
      <c r="L6340">
        <v>17.257809999999999</v>
      </c>
      <c r="M6340">
        <v>0.99983180000000005</v>
      </c>
      <c r="N6340">
        <v>0</v>
      </c>
      <c r="O6340">
        <v>-1.6316250000000001E-2</v>
      </c>
      <c r="P6340">
        <v>0.99850260000000002</v>
      </c>
      <c r="Q6340">
        <v>9.6091749999999993E-3</v>
      </c>
      <c r="R6340">
        <v>-5.3858389999999999E-2</v>
      </c>
      <c r="S6340">
        <v>2.9786990000000002</v>
      </c>
      <c r="T6340">
        <v>9.3650820000000003E-4</v>
      </c>
      <c r="U6340">
        <v>-0.47903440000000003</v>
      </c>
      <c r="V6340">
        <v>3.7569169999999999E-2</v>
      </c>
      <c r="W6340">
        <v>1.7962269999999999E-2</v>
      </c>
      <c r="X6340">
        <v>0.99913260000000004</v>
      </c>
      <c r="Y6340">
        <v>0.1426489</v>
      </c>
      <c r="Z6340" s="1">
        <v>1.718593E-5</v>
      </c>
      <c r="AA6340">
        <v>0.98977329999999997</v>
      </c>
      <c r="AB6340">
        <v>30</v>
      </c>
      <c r="AC6340">
        <v>76.043099999999896</v>
      </c>
      <c r="AD6340">
        <v>2.3956999999999999E-2</v>
      </c>
      <c r="AE6340">
        <v>-12.251008000000001</v>
      </c>
      <c r="AF6340">
        <v>11.008594227661799</v>
      </c>
      <c r="AG6340">
        <v>2.3956999999999999E-2</v>
      </c>
      <c r="AH6340">
        <v>76.232866664459195</v>
      </c>
      <c r="AI6340">
        <v>89.982179040378995</v>
      </c>
      <c r="AJ6340">
        <v>81.782866811986594</v>
      </c>
      <c r="AK6340">
        <v>77.0236306641564</v>
      </c>
      <c r="AL6340">
        <v>88.970782408052898</v>
      </c>
      <c r="AM6340">
        <v>87.846590887382703</v>
      </c>
      <c r="AN6340">
        <v>1.0000000190303999</v>
      </c>
    </row>
    <row r="6341" spans="1:40" x14ac:dyDescent="0.25">
      <c r="A6341" t="str">
        <f>"20190312160812556"</f>
        <v>20190312160812556</v>
      </c>
      <c r="B6341" t="str">
        <f>"1552378092552091"</f>
        <v>1552378092552091</v>
      </c>
      <c r="C6341" t="s">
        <v>40</v>
      </c>
      <c r="D6341">
        <v>6.0965680000000004</v>
      </c>
      <c r="E6341">
        <v>0.5412863</v>
      </c>
      <c r="F6341" t="s">
        <v>104</v>
      </c>
      <c r="G6341">
        <v>-265.7654</v>
      </c>
      <c r="H6341">
        <v>1.065283</v>
      </c>
      <c r="I6341">
        <v>4.9183430000000001</v>
      </c>
      <c r="J6341">
        <v>-341.63650000000001</v>
      </c>
      <c r="K6341">
        <v>1.1087929999999999</v>
      </c>
      <c r="L6341">
        <v>17.25488</v>
      </c>
      <c r="M6341">
        <v>0.99982919999999997</v>
      </c>
      <c r="N6341">
        <v>0</v>
      </c>
      <c r="O6341">
        <v>-1.6474579999999999E-2</v>
      </c>
      <c r="P6341">
        <v>0.99848000000000003</v>
      </c>
      <c r="Q6341">
        <v>9.584838E-3</v>
      </c>
      <c r="R6341">
        <v>-5.4278559999999997E-2</v>
      </c>
      <c r="S6341">
        <v>2.978424</v>
      </c>
      <c r="T6341">
        <v>-1.704454E-3</v>
      </c>
      <c r="U6341">
        <v>-0.48330689999999998</v>
      </c>
      <c r="V6341">
        <v>3.7831780000000002E-2</v>
      </c>
      <c r="W6341">
        <v>1.7941769999999999E-2</v>
      </c>
      <c r="X6341">
        <v>0.99912299999999998</v>
      </c>
      <c r="Y6341">
        <v>0.14388999999999999</v>
      </c>
      <c r="Z6341" s="1">
        <v>-3.1540749999999998E-5</v>
      </c>
      <c r="AA6341">
        <v>0.98959370000000002</v>
      </c>
      <c r="AB6341">
        <v>31</v>
      </c>
      <c r="AC6341">
        <v>75.871099999999998</v>
      </c>
      <c r="AD6341">
        <v>-4.3510000000000097E-2</v>
      </c>
      <c r="AE6341">
        <v>-12.336537</v>
      </c>
      <c r="AF6341">
        <v>11.0848707201453</v>
      </c>
      <c r="AG6341">
        <v>-4.3510000000000097E-2</v>
      </c>
      <c r="AH6341">
        <v>76.064024448103297</v>
      </c>
      <c r="AI6341">
        <v>90.032431646702307</v>
      </c>
      <c r="AJ6341">
        <v>81.708607808777501</v>
      </c>
      <c r="AK6341">
        <v>76.867496819163307</v>
      </c>
      <c r="AL6341">
        <v>88.971957100036505</v>
      </c>
      <c r="AM6341">
        <v>87.831531975880907</v>
      </c>
      <c r="AN6341">
        <v>0.99999995990884905</v>
      </c>
    </row>
    <row r="6342" spans="1:40" x14ac:dyDescent="0.25">
      <c r="A6342" t="str">
        <f>"20190312160812567"</f>
        <v>20190312160812567</v>
      </c>
      <c r="B6342" t="str">
        <f>"1552378092561851"</f>
        <v>1552378092561851</v>
      </c>
      <c r="C6342" t="s">
        <v>40</v>
      </c>
      <c r="D6342">
        <v>6.1124229999999997</v>
      </c>
      <c r="E6342">
        <v>0.54170220000000002</v>
      </c>
      <c r="F6342" t="s">
        <v>104</v>
      </c>
      <c r="G6342">
        <v>-265.7654</v>
      </c>
      <c r="H6342">
        <v>0.799317099999999</v>
      </c>
      <c r="I6342">
        <v>4.7544380000000004</v>
      </c>
      <c r="J6342">
        <v>-341.47160000000002</v>
      </c>
      <c r="K6342">
        <v>1.108792</v>
      </c>
      <c r="L6342">
        <v>17.25198</v>
      </c>
      <c r="M6342">
        <v>0.99982660000000001</v>
      </c>
      <c r="N6342">
        <v>0</v>
      </c>
      <c r="O6342">
        <v>-1.6625879999999999E-2</v>
      </c>
      <c r="P6342">
        <v>0.99847379999999997</v>
      </c>
      <c r="Q6342">
        <v>9.6899099999999995E-3</v>
      </c>
      <c r="R6342">
        <v>-5.4371650000000001E-2</v>
      </c>
      <c r="S6342">
        <v>2.9780579999999999</v>
      </c>
      <c r="T6342">
        <v>-1.2147430000000001E-2</v>
      </c>
      <c r="U6342">
        <v>-0.49066159999999998</v>
      </c>
      <c r="V6342">
        <v>3.7773889999999997E-2</v>
      </c>
      <c r="W6342">
        <v>1.805095E-2</v>
      </c>
      <c r="X6342">
        <v>0.99912330000000005</v>
      </c>
      <c r="Y6342">
        <v>0.1461384</v>
      </c>
      <c r="Z6342">
        <v>-2.2871139999999999E-4</v>
      </c>
      <c r="AA6342">
        <v>0.98926409999999998</v>
      </c>
      <c r="AB6342">
        <v>31</v>
      </c>
      <c r="AC6342">
        <v>75.706199999999995</v>
      </c>
      <c r="AD6342">
        <v>-0.3094749</v>
      </c>
      <c r="AE6342">
        <v>-12.497541999999999</v>
      </c>
      <c r="AF6342">
        <v>11.236905209198801</v>
      </c>
      <c r="AG6342">
        <v>-0.3094749</v>
      </c>
      <c r="AH6342">
        <v>75.902290420300403</v>
      </c>
      <c r="AI6342">
        <v>90.2310909766138</v>
      </c>
      <c r="AJ6342">
        <v>81.578850566108002</v>
      </c>
      <c r="AK6342">
        <v>76.730186396501594</v>
      </c>
      <c r="AL6342">
        <v>88.965700612134</v>
      </c>
      <c r="AM6342">
        <v>87.834847643824503</v>
      </c>
      <c r="AN6342">
        <v>1.0000000360822601</v>
      </c>
    </row>
    <row r="6343" spans="1:40" x14ac:dyDescent="0.25">
      <c r="A6343" t="str">
        <f>"20190312160812580"</f>
        <v>20190312160812580</v>
      </c>
      <c r="B6343" t="str">
        <f>"1552378092571610"</f>
        <v>1552378092571610</v>
      </c>
      <c r="C6343" t="s">
        <v>40</v>
      </c>
      <c r="D6343">
        <v>6.0961150000000002</v>
      </c>
      <c r="E6343">
        <v>0.54213540000000005</v>
      </c>
      <c r="F6343" t="s">
        <v>104</v>
      </c>
      <c r="G6343">
        <v>-265.7654</v>
      </c>
      <c r="H6343">
        <v>0.75002869999999899</v>
      </c>
      <c r="I6343">
        <v>4.6869160000000001</v>
      </c>
      <c r="J6343">
        <v>-341.31130000000002</v>
      </c>
      <c r="K6343">
        <v>1.1087899999999999</v>
      </c>
      <c r="L6343">
        <v>17.249179999999999</v>
      </c>
      <c r="M6343">
        <v>0.99982420000000005</v>
      </c>
      <c r="N6343">
        <v>0</v>
      </c>
      <c r="O6343">
        <v>-1.6773E-2</v>
      </c>
      <c r="P6343">
        <v>0.99847039999999998</v>
      </c>
      <c r="Q6343">
        <v>9.8110750000000007E-3</v>
      </c>
      <c r="R6343">
        <v>-5.4413080000000003E-2</v>
      </c>
      <c r="S6343">
        <v>2.977814</v>
      </c>
      <c r="T6343">
        <v>-1.4111520000000001E-2</v>
      </c>
      <c r="U6343">
        <v>-0.49423220000000001</v>
      </c>
      <c r="V6343">
        <v>3.7668210000000001E-2</v>
      </c>
      <c r="W6343">
        <v>1.8176339999999999E-2</v>
      </c>
      <c r="X6343">
        <v>0.99912500000000004</v>
      </c>
      <c r="Y6343">
        <v>0.14716000000000001</v>
      </c>
      <c r="Z6343">
        <v>-2.6739880000000002E-4</v>
      </c>
      <c r="AA6343">
        <v>0.98911269999999996</v>
      </c>
      <c r="AB6343">
        <v>31</v>
      </c>
      <c r="AC6343">
        <v>75.545900000000003</v>
      </c>
      <c r="AD6343">
        <v>-0.35876130000000001</v>
      </c>
      <c r="AE6343">
        <v>-12.562264000000001</v>
      </c>
      <c r="AF6343">
        <v>11.2930729455529</v>
      </c>
      <c r="AG6343">
        <v>-0.35876130000000001</v>
      </c>
      <c r="AH6343">
        <v>75.7443237226055</v>
      </c>
      <c r="AI6343">
        <v>90.268411307808293</v>
      </c>
      <c r="AJ6343">
        <v>81.519972757812596</v>
      </c>
      <c r="AK6343">
        <v>76.582405175202098</v>
      </c>
      <c r="AL6343">
        <v>88.958515098433907</v>
      </c>
      <c r="AM6343">
        <v>87.840903019145003</v>
      </c>
      <c r="AN6343">
        <v>1.0000000195026899</v>
      </c>
    </row>
    <row r="6344" spans="1:40" x14ac:dyDescent="0.25">
      <c r="A6344" t="str">
        <f>"20190312160812592"</f>
        <v>20190312160812592</v>
      </c>
      <c r="B6344" t="str">
        <f>"1552378092582346"</f>
        <v>1552378092582346</v>
      </c>
      <c r="C6344" t="s">
        <v>40</v>
      </c>
      <c r="D6344">
        <v>5.8550050000000002</v>
      </c>
      <c r="E6344">
        <v>0.54269820000000002</v>
      </c>
      <c r="F6344" t="s">
        <v>104</v>
      </c>
      <c r="G6344">
        <v>-265.7654</v>
      </c>
      <c r="H6344">
        <v>0.73740220000000001</v>
      </c>
      <c r="I6344">
        <v>4.6208929999999997</v>
      </c>
      <c r="J6344">
        <v>-341.14789999999999</v>
      </c>
      <c r="K6344">
        <v>1.1087929999999999</v>
      </c>
      <c r="L6344">
        <v>17.246310000000001</v>
      </c>
      <c r="M6344">
        <v>0.99982159999999998</v>
      </c>
      <c r="N6344">
        <v>0</v>
      </c>
      <c r="O6344">
        <v>-1.6922980000000001E-2</v>
      </c>
      <c r="P6344">
        <v>0.99845309999999998</v>
      </c>
      <c r="Q6344">
        <v>9.8814630000000001E-3</v>
      </c>
      <c r="R6344">
        <v>-5.4716569999999999E-2</v>
      </c>
      <c r="S6344">
        <v>2.9776310000000001</v>
      </c>
      <c r="T6344">
        <v>-1.4638190000000001E-2</v>
      </c>
      <c r="U6344">
        <v>-0.49774170000000001</v>
      </c>
      <c r="V6344">
        <v>3.7822349999999998E-2</v>
      </c>
      <c r="W6344">
        <v>1.8250229999999999E-2</v>
      </c>
      <c r="X6344">
        <v>0.99911779999999994</v>
      </c>
      <c r="Y6344">
        <v>0.1481556</v>
      </c>
      <c r="Z6344">
        <v>-2.7906749999999998E-4</v>
      </c>
      <c r="AA6344">
        <v>0.98896399999999995</v>
      </c>
      <c r="AB6344">
        <v>31</v>
      </c>
      <c r="AC6344">
        <v>75.382499999999993</v>
      </c>
      <c r="AD6344">
        <v>-0.37139080000000002</v>
      </c>
      <c r="AE6344">
        <v>-12.625417000000001</v>
      </c>
      <c r="AF6344">
        <v>11.347599506160099</v>
      </c>
      <c r="AG6344">
        <v>-0.37139080000000002</v>
      </c>
      <c r="AH6344">
        <v>75.583586800565499</v>
      </c>
      <c r="AI6344">
        <v>90.278408644121598</v>
      </c>
      <c r="AJ6344">
        <v>81.461775306610406</v>
      </c>
      <c r="AK6344">
        <v>76.431567688469897</v>
      </c>
      <c r="AL6344">
        <v>88.954280779797699</v>
      </c>
      <c r="AM6344">
        <v>87.832060702891397</v>
      </c>
      <c r="AN6344">
        <v>0.99999998966570702</v>
      </c>
    </row>
    <row r="6345" spans="1:40" x14ac:dyDescent="0.25">
      <c r="A6345" t="str">
        <f>"20190312160812605"</f>
        <v>20190312160812605</v>
      </c>
      <c r="B6345" t="str">
        <f>"1552378092601867"</f>
        <v>1552378092601867</v>
      </c>
      <c r="C6345" t="s">
        <v>40</v>
      </c>
      <c r="D6345">
        <v>6.0957339999999904</v>
      </c>
      <c r="E6345">
        <v>0.54321699999999995</v>
      </c>
      <c r="F6345" t="s">
        <v>104</v>
      </c>
      <c r="G6345">
        <v>-266.3075</v>
      </c>
      <c r="H6345">
        <v>0.66868559999999999</v>
      </c>
      <c r="I6345">
        <v>4.6001699999999897</v>
      </c>
      <c r="J6345">
        <v>-340.96190000000001</v>
      </c>
      <c r="K6345">
        <v>1.1087940000000001</v>
      </c>
      <c r="L6345">
        <v>17.242979999999999</v>
      </c>
      <c r="M6345">
        <v>0.9998186</v>
      </c>
      <c r="N6345">
        <v>0</v>
      </c>
      <c r="O6345">
        <v>-1.70935999999999E-2</v>
      </c>
      <c r="P6345">
        <v>0.99844089999999996</v>
      </c>
      <c r="Q6345">
        <v>9.6672830000000005E-3</v>
      </c>
      <c r="R6345">
        <v>-5.4975410000000002E-2</v>
      </c>
      <c r="S6345">
        <v>2.9772639999999999</v>
      </c>
      <c r="T6345">
        <v>-1.7508269999999999E-2</v>
      </c>
      <c r="U6345">
        <v>-0.50308229999999998</v>
      </c>
      <c r="V6345">
        <v>3.7910760000000002E-2</v>
      </c>
      <c r="W6345">
        <v>1.8040460000000001E-2</v>
      </c>
      <c r="X6345">
        <v>0.99911830000000001</v>
      </c>
      <c r="Y6345">
        <v>0.149731</v>
      </c>
      <c r="Z6345">
        <v>-3.3737859999999998E-4</v>
      </c>
      <c r="AA6345">
        <v>0.98872669999999996</v>
      </c>
      <c r="AB6345">
        <v>31</v>
      </c>
      <c r="AC6345">
        <v>74.654399999999995</v>
      </c>
      <c r="AD6345">
        <v>-0.44010840000000001</v>
      </c>
      <c r="AE6345">
        <v>-12.642810000000001</v>
      </c>
      <c r="AF6345">
        <v>11.3644212395469</v>
      </c>
      <c r="AG6345">
        <v>-0.44010840000000001</v>
      </c>
      <c r="AH6345">
        <v>74.857081447048401</v>
      </c>
      <c r="AI6345">
        <v>90.333040118346602</v>
      </c>
      <c r="AJ6345">
        <v>81.367562981382093</v>
      </c>
      <c r="AK6345">
        <v>75.716090814856898</v>
      </c>
      <c r="AL6345">
        <v>88.966301737117902</v>
      </c>
      <c r="AM6345">
        <v>87.8269990688364</v>
      </c>
      <c r="AN6345">
        <v>1.0000000306578301</v>
      </c>
    </row>
    <row r="6346" spans="1:40" x14ac:dyDescent="0.25">
      <c r="A6346" t="str">
        <f>"20190312160812622"</f>
        <v>20190312160812622</v>
      </c>
      <c r="B6346" t="str">
        <f>"1552378092611626"</f>
        <v>1552378092611626</v>
      </c>
      <c r="C6346" t="s">
        <v>40</v>
      </c>
      <c r="D6346">
        <v>6.0846419999999997</v>
      </c>
      <c r="E6346">
        <v>0.54368249999999996</v>
      </c>
      <c r="F6346" t="s">
        <v>104</v>
      </c>
      <c r="G6346">
        <v>-266.86059999999998</v>
      </c>
      <c r="H6346">
        <v>0.65626430000000002</v>
      </c>
      <c r="I6346">
        <v>4.6001640000000004</v>
      </c>
      <c r="J6346">
        <v>-340.73140000000001</v>
      </c>
      <c r="K6346">
        <v>1.108797</v>
      </c>
      <c r="L6346">
        <v>17.238859999999999</v>
      </c>
      <c r="M6346">
        <v>0.99981500000000001</v>
      </c>
      <c r="N6346">
        <v>0</v>
      </c>
      <c r="O6346">
        <v>-1.730522E-2</v>
      </c>
      <c r="P6346">
        <v>0.99841740000000001</v>
      </c>
      <c r="Q6346">
        <v>1.0133929999999999E-2</v>
      </c>
      <c r="R6346">
        <v>-5.5321780000000001E-2</v>
      </c>
      <c r="S6346">
        <v>2.9768979999999998</v>
      </c>
      <c r="T6346">
        <v>-1.817966E-2</v>
      </c>
      <c r="U6346">
        <v>-0.50790409999999997</v>
      </c>
      <c r="V6346">
        <v>3.8046049999999998E-2</v>
      </c>
      <c r="W6346">
        <v>1.851245E-2</v>
      </c>
      <c r="X6346">
        <v>0.99910449999999995</v>
      </c>
      <c r="Y6346">
        <v>0.15109790000000001</v>
      </c>
      <c r="Z6346">
        <v>-3.5317339999999903E-4</v>
      </c>
      <c r="AA6346">
        <v>0.98851869999999997</v>
      </c>
      <c r="AB6346">
        <v>31</v>
      </c>
      <c r="AC6346">
        <v>73.870800000000003</v>
      </c>
      <c r="AD6346">
        <v>-0.45253270000000001</v>
      </c>
      <c r="AE6346">
        <v>-12.638695999999999</v>
      </c>
      <c r="AF6346">
        <v>11.357993639540201</v>
      </c>
      <c r="AG6346">
        <v>-0.45253270000000001</v>
      </c>
      <c r="AH6346">
        <v>74.075759600656099</v>
      </c>
      <c r="AI6346">
        <v>90.345975368456806</v>
      </c>
      <c r="AJ6346">
        <v>81.282761812378695</v>
      </c>
      <c r="AK6346">
        <v>74.942824645022597</v>
      </c>
      <c r="AL6346">
        <v>88.939254160260205</v>
      </c>
      <c r="AM6346">
        <v>87.819221784018794</v>
      </c>
      <c r="AN6346">
        <v>1.00000000732292</v>
      </c>
    </row>
    <row r="6347" spans="1:40" x14ac:dyDescent="0.25">
      <c r="A6347" t="str">
        <f>"20190312160812636"</f>
        <v>20190312160812636</v>
      </c>
      <c r="B6347" t="str">
        <f>"1552378092632123"</f>
        <v>1552378092632123</v>
      </c>
      <c r="C6347" t="s">
        <v>40</v>
      </c>
      <c r="D6347">
        <v>6.1090549999999997</v>
      </c>
      <c r="E6347">
        <v>0.54460469999999905</v>
      </c>
      <c r="F6347" t="s">
        <v>104</v>
      </c>
      <c r="G6347">
        <v>-267.35199999999998</v>
      </c>
      <c r="H6347">
        <v>0.71030649999999995</v>
      </c>
      <c r="I6347">
        <v>4.6001830000000004</v>
      </c>
      <c r="J6347">
        <v>-340.5487</v>
      </c>
      <c r="K6347">
        <v>1.108797</v>
      </c>
      <c r="L6347">
        <v>17.235529999999901</v>
      </c>
      <c r="M6347">
        <v>0.99981209999999998</v>
      </c>
      <c r="N6347">
        <v>0</v>
      </c>
      <c r="O6347">
        <v>-1.7472970000000001E-2</v>
      </c>
      <c r="P6347">
        <v>0.99839999999999995</v>
      </c>
      <c r="Q6347">
        <v>1.0091630000000001E-2</v>
      </c>
      <c r="R6347">
        <v>-5.5641280000000001E-2</v>
      </c>
      <c r="S6347">
        <v>2.9765009999999998</v>
      </c>
      <c r="T6347">
        <v>-1.6164060000000001E-2</v>
      </c>
      <c r="U6347">
        <v>-0.51266480000000003</v>
      </c>
      <c r="V6347">
        <v>3.8198360000000001E-2</v>
      </c>
      <c r="W6347">
        <v>1.847383E-2</v>
      </c>
      <c r="X6347">
        <v>0.99909939999999997</v>
      </c>
      <c r="Y6347">
        <v>0.15249019999999999</v>
      </c>
      <c r="Z6347">
        <v>-3.1686609999999999E-4</v>
      </c>
      <c r="AA6347">
        <v>0.98830490000000004</v>
      </c>
      <c r="AB6347">
        <v>31</v>
      </c>
      <c r="AC6347">
        <v>73.196699999999893</v>
      </c>
      <c r="AD6347">
        <v>-0.39849050000000003</v>
      </c>
      <c r="AE6347">
        <v>-12.6353469999999</v>
      </c>
      <c r="AF6347">
        <v>11.3540823200501</v>
      </c>
      <c r="AG6347">
        <v>-0.39849050000000003</v>
      </c>
      <c r="AH6347">
        <v>73.404196908098299</v>
      </c>
      <c r="AI6347">
        <v>90.307384066851995</v>
      </c>
      <c r="AJ6347">
        <v>81.207232488917896</v>
      </c>
      <c r="AK6347">
        <v>74.278193998857603</v>
      </c>
      <c r="AL6347">
        <v>88.941467298302797</v>
      </c>
      <c r="AM6347">
        <v>87.810488774647098</v>
      </c>
      <c r="AN6347">
        <v>1.00000000409095</v>
      </c>
    </row>
    <row r="6348" spans="1:40" x14ac:dyDescent="0.25">
      <c r="A6348" t="str">
        <f>"20190312160812648"</f>
        <v>20190312160812648</v>
      </c>
      <c r="B6348" t="str">
        <f>"1552378092641884"</f>
        <v>1552378092641884</v>
      </c>
      <c r="C6348" t="s">
        <v>40</v>
      </c>
      <c r="D6348">
        <v>6.0757899999999996</v>
      </c>
      <c r="E6348">
        <v>0.54496429999999996</v>
      </c>
      <c r="F6348" t="s">
        <v>104</v>
      </c>
      <c r="G6348">
        <v>-268.3537</v>
      </c>
      <c r="H6348">
        <v>0.62401309999999999</v>
      </c>
      <c r="I6348">
        <v>4.600155</v>
      </c>
      <c r="J6348">
        <v>-340.36540000000002</v>
      </c>
      <c r="K6348">
        <v>1.1087959999999999</v>
      </c>
      <c r="L6348">
        <v>17.23218</v>
      </c>
      <c r="M6348">
        <v>0.99980899999999995</v>
      </c>
      <c r="N6348">
        <v>0</v>
      </c>
      <c r="O6348">
        <v>-1.7640840000000001E-2</v>
      </c>
      <c r="P6348">
        <v>0.9983957</v>
      </c>
      <c r="Q6348">
        <v>1.0019739999999999E-2</v>
      </c>
      <c r="R6348">
        <v>-5.572792E-2</v>
      </c>
      <c r="S6348">
        <v>2.9759519999999999</v>
      </c>
      <c r="T6348">
        <v>-1.998341E-2</v>
      </c>
      <c r="U6348">
        <v>-0.52084350000000001</v>
      </c>
      <c r="V6348">
        <v>3.8117209999999999E-2</v>
      </c>
      <c r="W6348">
        <v>1.840661E-2</v>
      </c>
      <c r="X6348">
        <v>0.99910370000000004</v>
      </c>
      <c r="Y6348">
        <v>0.15498990000000001</v>
      </c>
      <c r="Z6348">
        <v>-3.9892749999999999E-4</v>
      </c>
      <c r="AA6348">
        <v>0.98791600000000002</v>
      </c>
      <c r="AB6348">
        <v>31</v>
      </c>
      <c r="AC6348">
        <v>72.011700000000005</v>
      </c>
      <c r="AD6348">
        <v>-0.48478289999999902</v>
      </c>
      <c r="AE6348">
        <v>-12.632025000000001</v>
      </c>
      <c r="AF6348">
        <v>11.3591679139211</v>
      </c>
      <c r="AG6348">
        <v>-0.48478289999999902</v>
      </c>
      <c r="AH6348">
        <v>72.220165458620301</v>
      </c>
      <c r="AI6348">
        <v>90.379925567590902</v>
      </c>
      <c r="AJ6348">
        <v>81.061447295420294</v>
      </c>
      <c r="AK6348">
        <v>73.109630070376397</v>
      </c>
      <c r="AL6348">
        <v>88.945319333469001</v>
      </c>
      <c r="AM6348">
        <v>87.815145134283</v>
      </c>
      <c r="AN6348">
        <v>0.99999996417178205</v>
      </c>
    </row>
    <row r="6349" spans="1:40" x14ac:dyDescent="0.25">
      <c r="A6349" t="str">
        <f>"20190312160812666"</f>
        <v>20190312160812666</v>
      </c>
      <c r="B6349" t="str">
        <f>"1552378092662378"</f>
        <v>1552378092662378</v>
      </c>
      <c r="C6349" t="s">
        <v>40</v>
      </c>
      <c r="D6349">
        <v>6.0666520000000004</v>
      </c>
      <c r="E6349">
        <v>0.54554480000000005</v>
      </c>
      <c r="F6349" t="s">
        <v>104</v>
      </c>
      <c r="G6349">
        <v>-268.6311</v>
      </c>
      <c r="H6349">
        <v>0.61819369999999996</v>
      </c>
      <c r="I6349">
        <v>4.6001529999999997</v>
      </c>
      <c r="J6349">
        <v>-340.1223</v>
      </c>
      <c r="K6349">
        <v>1.108792</v>
      </c>
      <c r="L6349">
        <v>17.22766</v>
      </c>
      <c r="M6349">
        <v>0.99980500000000005</v>
      </c>
      <c r="N6349">
        <v>0</v>
      </c>
      <c r="O6349">
        <v>-1.7864029999999999E-2</v>
      </c>
      <c r="P6349">
        <v>0.99837580000000004</v>
      </c>
      <c r="Q6349">
        <v>9.6859019999999997E-3</v>
      </c>
      <c r="R6349">
        <v>-5.61462E-2</v>
      </c>
      <c r="S6349">
        <v>2.9757690000000001</v>
      </c>
      <c r="T6349">
        <v>-2.0351770000000002E-2</v>
      </c>
      <c r="U6349">
        <v>-0.52401730000000002</v>
      </c>
      <c r="V6349">
        <v>3.8312510000000001E-2</v>
      </c>
      <c r="W6349">
        <v>1.807812E-2</v>
      </c>
      <c r="X6349">
        <v>0.99910220000000005</v>
      </c>
      <c r="Y6349">
        <v>0.15580160000000001</v>
      </c>
      <c r="Z6349">
        <v>-4.0750969999999999E-4</v>
      </c>
      <c r="AA6349">
        <v>0.98778829999999995</v>
      </c>
      <c r="AB6349">
        <v>31</v>
      </c>
      <c r="AC6349">
        <v>71.491199999999907</v>
      </c>
      <c r="AD6349">
        <v>-0.49059829999999999</v>
      </c>
      <c r="AE6349">
        <v>-12.627507</v>
      </c>
      <c r="AF6349">
        <v>11.347807427356001</v>
      </c>
      <c r="AG6349">
        <v>-0.49059829999999999</v>
      </c>
      <c r="AH6349">
        <v>71.702102735242306</v>
      </c>
      <c r="AI6349">
        <v>90.387202564043506</v>
      </c>
      <c r="AJ6349">
        <v>81.006774195481199</v>
      </c>
      <c r="AK6349">
        <v>72.596177287482305</v>
      </c>
      <c r="AL6349">
        <v>88.964143528576301</v>
      </c>
      <c r="AM6349">
        <v>87.803958297804201</v>
      </c>
      <c r="AN6349">
        <v>0.99999993644503504</v>
      </c>
    </row>
    <row r="6350" spans="1:40" x14ac:dyDescent="0.25">
      <c r="A6350" t="str">
        <f>"20190312160812680"</f>
        <v>20190312160812680</v>
      </c>
      <c r="B6350" t="str">
        <f>"1552378092672139"</f>
        <v>1552378092672139</v>
      </c>
      <c r="C6350" t="s">
        <v>40</v>
      </c>
      <c r="D6350">
        <v>5.8352649999999997</v>
      </c>
      <c r="E6350">
        <v>0.54593740000000002</v>
      </c>
      <c r="F6350" t="s">
        <v>104</v>
      </c>
      <c r="G6350">
        <v>-269.21820000000002</v>
      </c>
      <c r="H6350">
        <v>0.58026359999999999</v>
      </c>
      <c r="I6350">
        <v>4.600142</v>
      </c>
      <c r="J6350">
        <v>-339.92809999999997</v>
      </c>
      <c r="K6350">
        <v>1.1087899999999999</v>
      </c>
      <c r="L6350">
        <v>17.224029999999999</v>
      </c>
      <c r="M6350">
        <v>0.99980179999999996</v>
      </c>
      <c r="N6350">
        <v>0</v>
      </c>
      <c r="O6350">
        <v>-1.8041789999999999E-2</v>
      </c>
      <c r="P6350">
        <v>0.9983611</v>
      </c>
      <c r="Q6350">
        <v>9.3457869999999995E-3</v>
      </c>
      <c r="R6350">
        <v>-5.6461169999999998E-2</v>
      </c>
      <c r="S6350">
        <v>2.9752809999999998</v>
      </c>
      <c r="T6350">
        <v>-2.2178170000000001E-2</v>
      </c>
      <c r="U6350">
        <v>-0.52987669999999998</v>
      </c>
      <c r="V6350">
        <v>3.8449980000000002E-2</v>
      </c>
      <c r="W6350">
        <v>1.77419999999999E-2</v>
      </c>
      <c r="X6350">
        <v>0.99910299999999996</v>
      </c>
      <c r="Y6350">
        <v>0.15753900000000001</v>
      </c>
      <c r="Z6350">
        <v>-4.4918719999999999E-4</v>
      </c>
      <c r="AA6350">
        <v>0.98751259999999996</v>
      </c>
      <c r="AB6350">
        <v>31</v>
      </c>
      <c r="AC6350">
        <v>70.709899999999905</v>
      </c>
      <c r="AD6350">
        <v>-0.52852639999999995</v>
      </c>
      <c r="AE6350">
        <v>-12.623888000000001</v>
      </c>
      <c r="AF6350">
        <v>11.345440463264101</v>
      </c>
      <c r="AG6350">
        <v>-0.52852639999999995</v>
      </c>
      <c r="AH6350">
        <v>70.922315613635902</v>
      </c>
      <c r="AI6350">
        <v>90.421610677087202</v>
      </c>
      <c r="AJ6350">
        <v>80.911400918896106</v>
      </c>
      <c r="AK6350">
        <v>71.825992589459901</v>
      </c>
      <c r="AL6350">
        <v>88.983404933334299</v>
      </c>
      <c r="AM6350">
        <v>87.796088149268897</v>
      </c>
      <c r="AN6350">
        <v>0.99999999206750001</v>
      </c>
    </row>
    <row r="6351" spans="1:40" x14ac:dyDescent="0.25">
      <c r="A6351" t="str">
        <f>"20190312160812700"</f>
        <v>20190312160812700</v>
      </c>
      <c r="B6351" t="str">
        <f>"1552378092691659"</f>
        <v>1552378092691659</v>
      </c>
      <c r="C6351" t="s">
        <v>40</v>
      </c>
      <c r="D6351">
        <v>5.9989470000000003</v>
      </c>
      <c r="E6351">
        <v>0.5464369</v>
      </c>
      <c r="F6351" t="s">
        <v>104</v>
      </c>
      <c r="G6351">
        <v>-269.57420000000002</v>
      </c>
      <c r="H6351">
        <v>0.47977389999999998</v>
      </c>
      <c r="I6351">
        <v>4.6001070000000004</v>
      </c>
      <c r="J6351">
        <v>-339.65120000000002</v>
      </c>
      <c r="K6351">
        <v>1.108787</v>
      </c>
      <c r="L6351">
        <v>17.218779999999999</v>
      </c>
      <c r="M6351">
        <v>0.99979709999999999</v>
      </c>
      <c r="N6351">
        <v>0</v>
      </c>
      <c r="O6351">
        <v>-1.829538E-2</v>
      </c>
      <c r="P6351">
        <v>0.99830229999999998</v>
      </c>
      <c r="Q6351">
        <v>9.0218069999999997E-3</v>
      </c>
      <c r="R6351">
        <v>-5.7544610000000003E-2</v>
      </c>
      <c r="S6351">
        <v>2.9749759999999998</v>
      </c>
      <c r="T6351">
        <v>-2.6598569999999998E-2</v>
      </c>
      <c r="U6351">
        <v>-0.53381350000000005</v>
      </c>
      <c r="V6351">
        <v>3.9280450000000001E-2</v>
      </c>
      <c r="W6351">
        <v>1.742353E-2</v>
      </c>
      <c r="X6351">
        <v>0.99907630000000003</v>
      </c>
      <c r="Y6351">
        <v>0.1585705</v>
      </c>
      <c r="Z6351">
        <v>-5.4103300000000001E-4</v>
      </c>
      <c r="AA6351">
        <v>0.98734750000000004</v>
      </c>
      <c r="AB6351">
        <v>31</v>
      </c>
      <c r="AC6351">
        <v>70.076999999999998</v>
      </c>
      <c r="AD6351">
        <v>-0.62901309999999999</v>
      </c>
      <c r="AE6351">
        <v>-12.6186729999999</v>
      </c>
      <c r="AF6351">
        <v>11.3335454661421</v>
      </c>
      <c r="AG6351">
        <v>-0.62901309999999999</v>
      </c>
      <c r="AH6351">
        <v>70.290656293052294</v>
      </c>
      <c r="AI6351">
        <v>90.506174443072993</v>
      </c>
      <c r="AJ6351">
        <v>80.840558443239502</v>
      </c>
      <c r="AK6351">
        <v>71.201272969105602</v>
      </c>
      <c r="AL6351">
        <v>89.001654742789597</v>
      </c>
      <c r="AM6351">
        <v>87.748474856806197</v>
      </c>
      <c r="AN6351">
        <v>0.99999999318577604</v>
      </c>
    </row>
    <row r="6352" spans="1:40" x14ac:dyDescent="0.25">
      <c r="A6352" t="str">
        <f>"20190312160812711"</f>
        <v>20190312160812711</v>
      </c>
      <c r="B6352" t="str">
        <f>"1552378092702395"</f>
        <v>1552378092702395</v>
      </c>
      <c r="C6352" t="s">
        <v>40</v>
      </c>
      <c r="D6352">
        <v>6.0761089999999998</v>
      </c>
      <c r="E6352">
        <v>0.54669279999999998</v>
      </c>
      <c r="F6352" t="s">
        <v>104</v>
      </c>
      <c r="G6352">
        <v>-270.28590000000003</v>
      </c>
      <c r="H6352">
        <v>0.488987</v>
      </c>
      <c r="I6352">
        <v>4.6001110000000001</v>
      </c>
      <c r="J6352">
        <v>-339.48970000000003</v>
      </c>
      <c r="K6352">
        <v>1.108786</v>
      </c>
      <c r="L6352">
        <v>17.215699999999998</v>
      </c>
      <c r="M6352">
        <v>0.99979439999999997</v>
      </c>
      <c r="N6352">
        <v>0</v>
      </c>
      <c r="O6352">
        <v>-1.8443459999999998E-2</v>
      </c>
      <c r="P6352">
        <v>0.99828110000000003</v>
      </c>
      <c r="Q6352">
        <v>8.7969659999999998E-3</v>
      </c>
      <c r="R6352">
        <v>-5.79456E-2</v>
      </c>
      <c r="S6352">
        <v>2.9741520000000001</v>
      </c>
      <c r="T6352">
        <v>-2.6574850000000001E-2</v>
      </c>
      <c r="U6352">
        <v>-0.54104609999999997</v>
      </c>
      <c r="V6352">
        <v>3.9533770000000003E-2</v>
      </c>
      <c r="W6352">
        <v>1.7202789999999999E-2</v>
      </c>
      <c r="X6352">
        <v>0.99907020000000002</v>
      </c>
      <c r="Y6352">
        <v>0.16079649999999901</v>
      </c>
      <c r="Z6352">
        <v>-5.4913550000000003E-4</v>
      </c>
      <c r="AA6352">
        <v>0.98698739999999996</v>
      </c>
      <c r="AB6352">
        <v>31</v>
      </c>
      <c r="AC6352">
        <v>69.203800000000001</v>
      </c>
      <c r="AD6352">
        <v>-0.61979899999999999</v>
      </c>
      <c r="AE6352">
        <v>-12.6155889999999</v>
      </c>
      <c r="AF6352">
        <v>11.3361601146288</v>
      </c>
      <c r="AG6352">
        <v>-0.61979899999999999</v>
      </c>
      <c r="AH6352">
        <v>69.419322108258996</v>
      </c>
      <c r="AI6352">
        <v>90.504855547022004</v>
      </c>
      <c r="AJ6352">
        <v>80.725474239323106</v>
      </c>
      <c r="AK6352">
        <v>70.3415592584861</v>
      </c>
      <c r="AL6352">
        <v>89.014304174818506</v>
      </c>
      <c r="AM6352">
        <v>87.733956016470401</v>
      </c>
      <c r="AN6352">
        <v>1.0000000597411101</v>
      </c>
    </row>
    <row r="6353" spans="1:40" x14ac:dyDescent="0.25">
      <c r="A6353" t="str">
        <f>"20190312160812722"</f>
        <v>20190312160812722</v>
      </c>
      <c r="B6353" t="str">
        <f>"1552378092712155"</f>
        <v>1552378092712155</v>
      </c>
      <c r="C6353" t="s">
        <v>40</v>
      </c>
      <c r="D6353">
        <v>6.1263129999999997</v>
      </c>
      <c r="E6353">
        <v>0.54701309999999903</v>
      </c>
      <c r="F6353" t="s">
        <v>104</v>
      </c>
      <c r="G6353">
        <v>-270.5573</v>
      </c>
      <c r="H6353">
        <v>0.46526630000000002</v>
      </c>
      <c r="I6353">
        <v>4.6001010000000004</v>
      </c>
      <c r="J6353">
        <v>-339.3356</v>
      </c>
      <c r="K6353">
        <v>1.108787</v>
      </c>
      <c r="L6353">
        <v>17.212710000000001</v>
      </c>
      <c r="M6353">
        <v>0.99979169999999995</v>
      </c>
      <c r="N6353">
        <v>0</v>
      </c>
      <c r="O6353">
        <v>-1.85845E-2</v>
      </c>
      <c r="P6353">
        <v>0.99826809999999999</v>
      </c>
      <c r="Q6353">
        <v>8.7352319999999904E-3</v>
      </c>
      <c r="R6353">
        <v>-5.8174669999999998E-2</v>
      </c>
      <c r="S6353">
        <v>2.9738159999999998</v>
      </c>
      <c r="T6353">
        <v>-2.7762169999999999E-2</v>
      </c>
      <c r="U6353">
        <v>-0.54425049999999997</v>
      </c>
      <c r="V6353">
        <v>3.9622209999999998E-2</v>
      </c>
      <c r="W6353">
        <v>1.7144139999999999E-2</v>
      </c>
      <c r="X6353">
        <v>0.9990677</v>
      </c>
      <c r="Y6353">
        <v>0.1617055</v>
      </c>
      <c r="Z6353">
        <v>-5.7658160000000004E-4</v>
      </c>
      <c r="AA6353">
        <v>0.98683889999999996</v>
      </c>
      <c r="AB6353">
        <v>31</v>
      </c>
      <c r="AC6353">
        <v>68.778300000000002</v>
      </c>
      <c r="AD6353">
        <v>-0.64352069999999995</v>
      </c>
      <c r="AE6353">
        <v>-12.6126089999999</v>
      </c>
      <c r="AF6353">
        <v>11.3312150595227</v>
      </c>
      <c r="AG6353">
        <v>-0.64352069999999995</v>
      </c>
      <c r="AH6353">
        <v>68.994984523359093</v>
      </c>
      <c r="AI6353">
        <v>90.527322139664093</v>
      </c>
      <c r="AJ6353">
        <v>80.673432229733095</v>
      </c>
      <c r="AK6353">
        <v>69.922231393134496</v>
      </c>
      <c r="AL6353">
        <v>89.017665063196205</v>
      </c>
      <c r="AM6353">
        <v>87.728886331833294</v>
      </c>
      <c r="AN6353">
        <v>1.0000000551224499</v>
      </c>
    </row>
    <row r="6354" spans="1:40" x14ac:dyDescent="0.25">
      <c r="A6354" t="str">
        <f>"20190312160812735"</f>
        <v>20190312160812735</v>
      </c>
      <c r="B6354" t="str">
        <f>"1552378092731675"</f>
        <v>1552378092731675</v>
      </c>
      <c r="C6354" t="s">
        <v>40</v>
      </c>
      <c r="D6354">
        <v>6.0594789999999996</v>
      </c>
      <c r="E6354">
        <v>0.54743189999999997</v>
      </c>
      <c r="F6354" t="s">
        <v>104</v>
      </c>
      <c r="G6354">
        <v>-270.8331</v>
      </c>
      <c r="H6354">
        <v>0.4793501</v>
      </c>
      <c r="I6354">
        <v>4.6001070000000004</v>
      </c>
      <c r="J6354">
        <v>-339.16750000000002</v>
      </c>
      <c r="K6354">
        <v>1.108784</v>
      </c>
      <c r="L6354">
        <v>17.20947</v>
      </c>
      <c r="M6354">
        <v>0.99978880000000003</v>
      </c>
      <c r="N6354">
        <v>0</v>
      </c>
      <c r="O6354">
        <v>-1.8738540000000001E-2</v>
      </c>
      <c r="P6354">
        <v>0.99824250000000003</v>
      </c>
      <c r="Q6354">
        <v>8.9649329999999996E-3</v>
      </c>
      <c r="R6354">
        <v>-5.8579999999999903E-2</v>
      </c>
      <c r="S6354">
        <v>2.973541</v>
      </c>
      <c r="T6354">
        <v>-2.7322530000000001E-2</v>
      </c>
      <c r="U6354">
        <v>-0.54748540000000001</v>
      </c>
      <c r="V6354">
        <v>3.9874140000000002E-2</v>
      </c>
      <c r="W6354">
        <v>1.7377279999999998E-2</v>
      </c>
      <c r="X6354">
        <v>0.99905359999999999</v>
      </c>
      <c r="Y6354">
        <v>0.16260820000000001</v>
      </c>
      <c r="Z6354">
        <v>-5.7015820000000004E-4</v>
      </c>
      <c r="AA6354">
        <v>0.98669050000000003</v>
      </c>
      <c r="AB6354">
        <v>31</v>
      </c>
      <c r="AC6354">
        <v>68.334400000000002</v>
      </c>
      <c r="AD6354">
        <v>-0.62943389999999999</v>
      </c>
      <c r="AE6354">
        <v>-12.609362999999901</v>
      </c>
      <c r="AF6354">
        <v>11.325687100763099</v>
      </c>
      <c r="AG6354">
        <v>-0.62943389999999999</v>
      </c>
      <c r="AH6354">
        <v>68.553065531481394</v>
      </c>
      <c r="AI6354">
        <v>90.519022897405804</v>
      </c>
      <c r="AJ6354">
        <v>80.618873484777495</v>
      </c>
      <c r="AK6354">
        <v>69.485179492482004</v>
      </c>
      <c r="AL6354">
        <v>89.004305086912694</v>
      </c>
      <c r="AM6354">
        <v>87.714428947013303</v>
      </c>
      <c r="AN6354">
        <v>1.0000000062869401</v>
      </c>
    </row>
    <row r="6355" spans="1:40" x14ac:dyDescent="0.25">
      <c r="A6355" t="str">
        <f>"20190312160812747"</f>
        <v>20190312160812747</v>
      </c>
      <c r="B6355" t="str">
        <f>"1552378092741436"</f>
        <v>1552378092741436</v>
      </c>
      <c r="C6355" t="s">
        <v>40</v>
      </c>
      <c r="D6355">
        <v>6.0362019999999896</v>
      </c>
      <c r="E6355">
        <v>0.547624</v>
      </c>
      <c r="F6355" t="s">
        <v>104</v>
      </c>
      <c r="G6355">
        <v>-271.26100000000002</v>
      </c>
      <c r="H6355">
        <v>0.49696950000000001</v>
      </c>
      <c r="I6355">
        <v>4.6001130000000003</v>
      </c>
      <c r="J6355">
        <v>-338.99400000000003</v>
      </c>
      <c r="K6355">
        <v>1.108784</v>
      </c>
      <c r="L6355">
        <v>17.206019999999999</v>
      </c>
      <c r="M6355">
        <v>0.9997857</v>
      </c>
      <c r="N6355">
        <v>0</v>
      </c>
      <c r="O6355">
        <v>-1.889735E-2</v>
      </c>
      <c r="P6355">
        <v>0.99822869999999997</v>
      </c>
      <c r="Q6355">
        <v>8.8579829999999998E-3</v>
      </c>
      <c r="R6355">
        <v>-5.8831319999999999E-2</v>
      </c>
      <c r="S6355">
        <v>2.9730829999999999</v>
      </c>
      <c r="T6355">
        <v>-2.678645E-2</v>
      </c>
      <c r="U6355">
        <v>-0.55206299999999997</v>
      </c>
      <c r="V6355">
        <v>3.9966839999999997E-2</v>
      </c>
      <c r="W6355">
        <v>1.727478E-2</v>
      </c>
      <c r="X6355">
        <v>0.99905169999999999</v>
      </c>
      <c r="Y6355">
        <v>0.1639476</v>
      </c>
      <c r="Z6355">
        <v>-5.6354440000000005E-4</v>
      </c>
      <c r="AA6355">
        <v>0.98646889999999998</v>
      </c>
      <c r="AB6355">
        <v>31</v>
      </c>
      <c r="AC6355">
        <v>67.733000000000004</v>
      </c>
      <c r="AD6355">
        <v>-0.61181450000000004</v>
      </c>
      <c r="AE6355">
        <v>-12.605907</v>
      </c>
      <c r="AF6355">
        <v>11.3227429591374</v>
      </c>
      <c r="AG6355">
        <v>-0.61181450000000004</v>
      </c>
      <c r="AH6355">
        <v>67.953771983271693</v>
      </c>
      <c r="AI6355">
        <v>90.508827752567598</v>
      </c>
      <c r="AJ6355">
        <v>80.540045154256504</v>
      </c>
      <c r="AK6355">
        <v>68.893352014948405</v>
      </c>
      <c r="AL6355">
        <v>89.010178812205396</v>
      </c>
      <c r="AM6355">
        <v>87.709116719608204</v>
      </c>
      <c r="AN6355">
        <v>1.0000000327982601</v>
      </c>
    </row>
    <row r="6356" spans="1:40" x14ac:dyDescent="0.25">
      <c r="A6356" t="str">
        <f>"20190312160812760"</f>
        <v>20190312160812760</v>
      </c>
      <c r="B6356" t="str">
        <f>"1552378092752171"</f>
        <v>1552378092752171</v>
      </c>
      <c r="C6356" t="s">
        <v>40</v>
      </c>
      <c r="D6356">
        <v>6.4590360000000002</v>
      </c>
      <c r="E6356">
        <v>0.547624</v>
      </c>
      <c r="F6356" t="s">
        <v>104</v>
      </c>
      <c r="G6356">
        <v>-271.39049999999997</v>
      </c>
      <c r="H6356">
        <v>0.50643909999999903</v>
      </c>
      <c r="I6356">
        <v>4.600117</v>
      </c>
      <c r="J6356">
        <v>-338.81020000000001</v>
      </c>
      <c r="K6356">
        <v>1.1087819999999999</v>
      </c>
      <c r="L6356">
        <v>17.20242</v>
      </c>
      <c r="M6356">
        <v>0.99978259999999997</v>
      </c>
      <c r="N6356">
        <v>0</v>
      </c>
      <c r="O6356">
        <v>-1.9065809999999999E-2</v>
      </c>
      <c r="P6356">
        <v>0.99821680000000002</v>
      </c>
      <c r="Q6356">
        <v>8.9851830000000008E-3</v>
      </c>
      <c r="R6356">
        <v>-5.9017100000000003E-2</v>
      </c>
      <c r="S6356">
        <v>2.9729000000000001</v>
      </c>
      <c r="T6356">
        <v>-2.6488540000000001E-2</v>
      </c>
      <c r="U6356">
        <v>-0.55435179999999995</v>
      </c>
      <c r="V6356">
        <v>3.9984480000000003E-2</v>
      </c>
      <c r="W6356">
        <v>1.740589E-2</v>
      </c>
      <c r="X6356">
        <v>0.99904870000000001</v>
      </c>
      <c r="Y6356">
        <v>0.16452639999999999</v>
      </c>
      <c r="Z6356">
        <v>-5.5834229999999997E-4</v>
      </c>
      <c r="AA6356">
        <v>0.98637249999999999</v>
      </c>
      <c r="AB6356">
        <v>31</v>
      </c>
      <c r="AC6356">
        <v>67.419700000000006</v>
      </c>
      <c r="AD6356">
        <v>-0.60234290000000001</v>
      </c>
      <c r="AE6356">
        <v>-12.602302999999999</v>
      </c>
      <c r="AF6356">
        <v>11.313682568851201</v>
      </c>
      <c r="AG6356">
        <v>-0.60234290000000001</v>
      </c>
      <c r="AH6356">
        <v>67.6425090141217</v>
      </c>
      <c r="AI6356">
        <v>90.503204246865806</v>
      </c>
      <c r="AJ6356">
        <v>80.504771951302999</v>
      </c>
      <c r="AK6356">
        <v>68.584774228420798</v>
      </c>
      <c r="AL6356">
        <v>89.002665614709898</v>
      </c>
      <c r="AM6356">
        <v>87.708099804978602</v>
      </c>
      <c r="AN6356">
        <v>1.0000000143096199</v>
      </c>
    </row>
    <row r="6357" spans="1:40" x14ac:dyDescent="0.25">
      <c r="A6357" t="str">
        <f>"20190312160812778"</f>
        <v>20190312160812778</v>
      </c>
      <c r="B6357" t="str">
        <f>"1552378092771691"</f>
        <v>1552378092771691</v>
      </c>
      <c r="C6357" t="s">
        <v>40</v>
      </c>
      <c r="D6357">
        <v>6.0717150000000002</v>
      </c>
      <c r="E6357">
        <v>0.5485255</v>
      </c>
      <c r="F6357" t="s">
        <v>104</v>
      </c>
      <c r="G6357">
        <v>-271.29939999999999</v>
      </c>
      <c r="H6357">
        <v>0.51778709999999994</v>
      </c>
      <c r="I6357">
        <v>4.6001190000000003</v>
      </c>
      <c r="J6357">
        <v>-338.5684</v>
      </c>
      <c r="K6357">
        <v>1.1087800000000001</v>
      </c>
      <c r="L6357">
        <v>17.197600000000001</v>
      </c>
      <c r="M6357">
        <v>0.99977819999999995</v>
      </c>
      <c r="N6357">
        <v>0</v>
      </c>
      <c r="O6357">
        <v>-1.9286979999999999E-2</v>
      </c>
      <c r="P6357">
        <v>0.99821720000000003</v>
      </c>
      <c r="Q6357">
        <v>8.7465870000000001E-3</v>
      </c>
      <c r="R6357">
        <v>-5.904359E-2</v>
      </c>
      <c r="S6357">
        <v>2.9727779999999999</v>
      </c>
      <c r="T6357">
        <v>-2.6023979999999999E-2</v>
      </c>
      <c r="U6357">
        <v>-0.55493159999999997</v>
      </c>
      <c r="V6357">
        <v>3.978988E-2</v>
      </c>
      <c r="W6357">
        <v>1.7173230000000001E-2</v>
      </c>
      <c r="X6357">
        <v>0.99906050000000002</v>
      </c>
      <c r="Y6357">
        <v>0.1645016</v>
      </c>
      <c r="Z6357">
        <v>-5.4653790000000002E-4</v>
      </c>
      <c r="AA6357">
        <v>0.98637660000000005</v>
      </c>
      <c r="AB6357">
        <v>31</v>
      </c>
      <c r="AC6357">
        <v>67.268999999999906</v>
      </c>
      <c r="AD6357">
        <v>-0.59099289999999904</v>
      </c>
      <c r="AE6357">
        <v>-12.597481</v>
      </c>
      <c r="AF6357">
        <v>11.296832871156001</v>
      </c>
      <c r="AG6357">
        <v>-0.59099289999999904</v>
      </c>
      <c r="AH6357">
        <v>67.494429314862401</v>
      </c>
      <c r="AI6357">
        <v>90.494796503781501</v>
      </c>
      <c r="AJ6357">
        <v>80.498233706891995</v>
      </c>
      <c r="AK6357">
        <v>68.435850941342395</v>
      </c>
      <c r="AL6357">
        <v>89.015998047626695</v>
      </c>
      <c r="AM6357">
        <v>87.719269328769997</v>
      </c>
      <c r="AN6357">
        <v>1.00000001851964</v>
      </c>
    </row>
    <row r="6358" spans="1:40" x14ac:dyDescent="0.25">
      <c r="A6358" t="str">
        <f>"20190312160812789"</f>
        <v>20190312160812789</v>
      </c>
      <c r="B6358" t="str">
        <f>"1552378092782427"</f>
        <v>1552378092782427</v>
      </c>
      <c r="C6358" t="s">
        <v>40</v>
      </c>
      <c r="D6358">
        <v>5.9201930000000003</v>
      </c>
      <c r="E6358">
        <v>0.5485255</v>
      </c>
      <c r="F6358" t="s">
        <v>104</v>
      </c>
      <c r="G6358">
        <v>-271.97789999999998</v>
      </c>
      <c r="H6358">
        <v>0.59216550000000001</v>
      </c>
      <c r="I6358">
        <v>4.6001430000000001</v>
      </c>
      <c r="J6358">
        <v>-338.40370000000001</v>
      </c>
      <c r="K6358">
        <v>1.1087800000000001</v>
      </c>
      <c r="L6358">
        <v>17.194269999999999</v>
      </c>
      <c r="M6358">
        <v>0.99977530000000003</v>
      </c>
      <c r="N6358">
        <v>0</v>
      </c>
      <c r="O6358">
        <v>-1.943756E-2</v>
      </c>
      <c r="P6358">
        <v>0.99821899999999997</v>
      </c>
      <c r="Q6358">
        <v>8.5560769999999901E-3</v>
      </c>
      <c r="R6358">
        <v>-5.9040309999999999E-2</v>
      </c>
      <c r="S6358">
        <v>2.9722599999999999</v>
      </c>
      <c r="T6358">
        <v>-2.3059010000000001E-2</v>
      </c>
      <c r="U6358">
        <v>-0.56228639999999996</v>
      </c>
      <c r="V6358">
        <v>3.9635999999999998E-2</v>
      </c>
      <c r="W6358">
        <v>1.6986810000000001E-2</v>
      </c>
      <c r="X6358">
        <v>0.99906980000000001</v>
      </c>
      <c r="Y6358">
        <v>0.16674229999999901</v>
      </c>
      <c r="Z6358">
        <v>-4.9170379999999997E-4</v>
      </c>
      <c r="AA6358">
        <v>0.9860004</v>
      </c>
      <c r="AB6358">
        <v>31</v>
      </c>
      <c r="AC6358">
        <v>66.425799999999995</v>
      </c>
      <c r="AD6358">
        <v>-0.51661449999999898</v>
      </c>
      <c r="AE6358">
        <v>-12.594127</v>
      </c>
      <c r="AF6358">
        <v>11.2998860268104</v>
      </c>
      <c r="AG6358">
        <v>-0.51661449999999898</v>
      </c>
      <c r="AH6358">
        <v>66.654165526062997</v>
      </c>
      <c r="AI6358">
        <v>90.437825010824199</v>
      </c>
      <c r="AJ6358">
        <v>80.378124875793702</v>
      </c>
      <c r="AK6358">
        <v>67.607189682284002</v>
      </c>
      <c r="AL6358">
        <v>89.026680681304001</v>
      </c>
      <c r="AM6358">
        <v>87.728101498524197</v>
      </c>
      <c r="AN6358">
        <v>1.000000014741</v>
      </c>
    </row>
    <row r="6359" spans="1:40" x14ac:dyDescent="0.25">
      <c r="A6359" t="str">
        <f>"20190312160812800"</f>
        <v>20190312160812800</v>
      </c>
      <c r="B6359" t="str">
        <f>"1552378092792187"</f>
        <v>1552378092792187</v>
      </c>
      <c r="C6359" t="s">
        <v>40</v>
      </c>
      <c r="D6359">
        <v>6.8766470000000002</v>
      </c>
      <c r="E6359">
        <v>0.53892169999999995</v>
      </c>
      <c r="F6359" t="s">
        <v>104</v>
      </c>
      <c r="G6359">
        <v>-271.82569999999998</v>
      </c>
      <c r="H6359">
        <v>0.57887549999999999</v>
      </c>
      <c r="I6359">
        <v>4.6001399999999997</v>
      </c>
      <c r="J6359">
        <v>-338.24680000000001</v>
      </c>
      <c r="K6359">
        <v>1.108779</v>
      </c>
      <c r="L6359">
        <v>17.191099999999999</v>
      </c>
      <c r="M6359">
        <v>0.99977249999999995</v>
      </c>
      <c r="N6359">
        <v>0</v>
      </c>
      <c r="O6359">
        <v>-1.958122E-2</v>
      </c>
      <c r="P6359">
        <v>0.99821590000000004</v>
      </c>
      <c r="Q6359">
        <v>8.4313010000000004E-3</v>
      </c>
      <c r="R6359">
        <v>-5.9111419999999998E-2</v>
      </c>
      <c r="S6359">
        <v>2.972321</v>
      </c>
      <c r="T6359">
        <v>-2.36572E-2</v>
      </c>
      <c r="U6359">
        <v>-0.56225590000000003</v>
      </c>
      <c r="V6359">
        <v>3.9563500000000001E-2</v>
      </c>
      <c r="W6359">
        <v>1.6865709999999999E-2</v>
      </c>
      <c r="X6359">
        <v>0.99907469999999998</v>
      </c>
      <c r="Y6359">
        <v>0.16658689999999901</v>
      </c>
      <c r="Z6359">
        <v>-5.0270449999999895E-4</v>
      </c>
      <c r="AA6359">
        <v>0.98602659999999998</v>
      </c>
      <c r="AB6359">
        <v>31</v>
      </c>
      <c r="AC6359">
        <v>66.421099999999996</v>
      </c>
      <c r="AD6359">
        <v>-0.52990349999999997</v>
      </c>
      <c r="AE6359">
        <v>-12.590960000000001</v>
      </c>
      <c r="AF6359">
        <v>11.2871995874909</v>
      </c>
      <c r="AG6359">
        <v>-0.52990349999999997</v>
      </c>
      <c r="AH6359">
        <v>66.650824306360207</v>
      </c>
      <c r="AI6359">
        <v>90.449122797251505</v>
      </c>
      <c r="AJ6359">
        <v>80.388252952827102</v>
      </c>
      <c r="AK6359">
        <v>67.601879063857794</v>
      </c>
      <c r="AL6359">
        <v>89.033620169805701</v>
      </c>
      <c r="AM6359">
        <v>87.732263898842206</v>
      </c>
      <c r="AN6359">
        <v>0.999999989443072</v>
      </c>
    </row>
    <row r="6360" spans="1:40" x14ac:dyDescent="0.25">
      <c r="A6360" t="str">
        <f>"20190312160812810"</f>
        <v>20190312160812810</v>
      </c>
      <c r="B6360" t="str">
        <f>"1552378092801947"</f>
        <v>1552378092801947</v>
      </c>
      <c r="C6360" t="s">
        <v>40</v>
      </c>
      <c r="D6360">
        <v>5.9053610000000001</v>
      </c>
      <c r="E6360">
        <v>0.53892169999999995</v>
      </c>
      <c r="F6360" t="s">
        <v>104</v>
      </c>
      <c r="G6360">
        <v>-266.99029999999999</v>
      </c>
      <c r="H6360">
        <v>4.8021659999999997</v>
      </c>
      <c r="I6360">
        <v>5.4374599999999997</v>
      </c>
      <c r="J6360">
        <v>-338.09739999999999</v>
      </c>
      <c r="K6360">
        <v>1.1087769999999999</v>
      </c>
      <c r="L6360">
        <v>17.18805</v>
      </c>
      <c r="M6360">
        <v>0.99976969999999998</v>
      </c>
      <c r="N6360">
        <v>0</v>
      </c>
      <c r="O6360">
        <v>-1.971798E-2</v>
      </c>
      <c r="P6360">
        <v>0.99822129999999998</v>
      </c>
      <c r="Q6360">
        <v>8.4268160000000002E-3</v>
      </c>
      <c r="R6360">
        <v>-5.9019469999999997E-2</v>
      </c>
      <c r="S6360">
        <v>2.975006</v>
      </c>
      <c r="T6360">
        <v>0.15420149999999999</v>
      </c>
      <c r="U6360">
        <v>-0.49072270000000001</v>
      </c>
      <c r="V6360">
        <v>3.9334889999999997E-2</v>
      </c>
      <c r="W6360">
        <v>1.686524E-2</v>
      </c>
      <c r="X6360">
        <v>0.99908379999999997</v>
      </c>
      <c r="Y6360">
        <v>0.1431007</v>
      </c>
      <c r="Z6360">
        <v>2.6672319999999998E-3</v>
      </c>
      <c r="AA6360">
        <v>0.98970449999999999</v>
      </c>
      <c r="AB6360">
        <v>31</v>
      </c>
      <c r="AC6360">
        <v>71.107100000000003</v>
      </c>
      <c r="AD6360">
        <v>3.6933889999999998</v>
      </c>
      <c r="AE6360">
        <v>-11.7505899999999</v>
      </c>
      <c r="AF6360">
        <v>10.319066970041201</v>
      </c>
      <c r="AG6360">
        <v>3.6933889999999998</v>
      </c>
      <c r="AH6360">
        <v>71.138159554394406</v>
      </c>
      <c r="AI6360">
        <v>87.058684360339299</v>
      </c>
      <c r="AJ6360">
        <v>81.746430785375793</v>
      </c>
      <c r="AK6360">
        <v>71.977510447527905</v>
      </c>
      <c r="AL6360">
        <v>89.033647165678701</v>
      </c>
      <c r="AM6360">
        <v>87.745374523912503</v>
      </c>
      <c r="AN6360">
        <v>1.000000054657</v>
      </c>
    </row>
    <row r="6361" spans="1:40" x14ac:dyDescent="0.25">
      <c r="A6361" t="str">
        <f>"20190312160812822"</f>
        <v>20190312160812822</v>
      </c>
      <c r="B6361" t="str">
        <f>"1552378092811707"</f>
        <v>1552378092811707</v>
      </c>
      <c r="C6361" t="s">
        <v>40</v>
      </c>
      <c r="D6361">
        <v>5.8674089999999897</v>
      </c>
      <c r="E6361">
        <v>0.47505999999999998</v>
      </c>
      <c r="F6361" t="s">
        <v>104</v>
      </c>
      <c r="G6361">
        <v>-266.81880000000001</v>
      </c>
      <c r="H6361">
        <v>4.8013810000000001</v>
      </c>
      <c r="I6361">
        <v>5.4374599999999997</v>
      </c>
      <c r="J6361">
        <v>-337.94369999999998</v>
      </c>
      <c r="K6361">
        <v>1.108778</v>
      </c>
      <c r="L6361">
        <v>17.18488</v>
      </c>
      <c r="M6361">
        <v>0.99976699999999996</v>
      </c>
      <c r="N6361">
        <v>0</v>
      </c>
      <c r="O6361">
        <v>-1.985866E-2</v>
      </c>
      <c r="P6361">
        <v>0.99822520000000003</v>
      </c>
      <c r="Q6361">
        <v>8.3268809999999995E-3</v>
      </c>
      <c r="R6361">
        <v>-5.8967890000000002E-2</v>
      </c>
      <c r="S6361">
        <v>2.9750369999999999</v>
      </c>
      <c r="T6361">
        <v>0.1541225</v>
      </c>
      <c r="U6361">
        <v>-0.490448</v>
      </c>
      <c r="V6361">
        <v>3.9142540000000003E-2</v>
      </c>
      <c r="W6361">
        <v>1.67694E-2</v>
      </c>
      <c r="X6361">
        <v>0.99909289999999995</v>
      </c>
      <c r="Y6361">
        <v>0.14287149999999901</v>
      </c>
      <c r="Z6361">
        <v>2.652738E-3</v>
      </c>
      <c r="AA6361">
        <v>0.98973770000000005</v>
      </c>
      <c r="AB6361">
        <v>31</v>
      </c>
      <c r="AC6361">
        <v>71.124899999999897</v>
      </c>
      <c r="AD6361">
        <v>3.6926030000000001</v>
      </c>
      <c r="AE6361">
        <v>-11.74742</v>
      </c>
      <c r="AF6361">
        <v>10.305567553500699</v>
      </c>
      <c r="AG6361">
        <v>3.6926030000000001</v>
      </c>
      <c r="AH6361">
        <v>71.157465354017305</v>
      </c>
      <c r="AI6361">
        <v>87.060010218192801</v>
      </c>
      <c r="AJ6361">
        <v>81.759285326656595</v>
      </c>
      <c r="AK6361">
        <v>71.994617264928493</v>
      </c>
      <c r="AL6361">
        <v>89.039139104580798</v>
      </c>
      <c r="AM6361">
        <v>87.756408899086793</v>
      </c>
      <c r="AN6361">
        <v>0.99999998702221005</v>
      </c>
    </row>
    <row r="6362" spans="1:40" x14ac:dyDescent="0.25">
      <c r="A6362" t="str">
        <f>"20190312160812835"</f>
        <v>20190312160812835</v>
      </c>
      <c r="B6362" t="str">
        <f>"1552378092821467"</f>
        <v>1552378092821467</v>
      </c>
      <c r="C6362" t="s">
        <v>40</v>
      </c>
      <c r="D6362">
        <v>5.8910169999999997</v>
      </c>
      <c r="E6362">
        <v>0.47072380000000003</v>
      </c>
      <c r="F6362" t="s">
        <v>101</v>
      </c>
      <c r="G6362">
        <v>-273.40989999999999</v>
      </c>
      <c r="H6362">
        <v>2.1189149999999999</v>
      </c>
      <c r="I6362">
        <v>17.638210000000001</v>
      </c>
      <c r="J6362">
        <v>-337.77620000000002</v>
      </c>
      <c r="K6362">
        <v>1.108778</v>
      </c>
      <c r="L6362">
        <v>17.181460000000001</v>
      </c>
      <c r="M6362">
        <v>0.99976379999999998</v>
      </c>
      <c r="N6362">
        <v>0</v>
      </c>
      <c r="O6362">
        <v>-2.0011749999999998E-2</v>
      </c>
      <c r="P6362">
        <v>0.99822639999999996</v>
      </c>
      <c r="Q6362">
        <v>8.4436119999999996E-3</v>
      </c>
      <c r="R6362">
        <v>-5.8928969999999997E-2</v>
      </c>
      <c r="S6362">
        <v>3.0062259999999998</v>
      </c>
      <c r="T6362">
        <v>4.705608E-2</v>
      </c>
      <c r="U6362">
        <v>2.111816E-2</v>
      </c>
      <c r="V6362">
        <v>3.8950819999999997E-2</v>
      </c>
      <c r="W6362">
        <v>1.689003E-2</v>
      </c>
      <c r="X6362">
        <v>0.99909840000000005</v>
      </c>
      <c r="Y6362">
        <v>-2.702945E-2</v>
      </c>
      <c r="Z6362">
        <v>-5.2474819999999997E-4</v>
      </c>
      <c r="AA6362">
        <v>0.99963449999999998</v>
      </c>
      <c r="AB6362">
        <v>31</v>
      </c>
      <c r="AC6362">
        <v>64.366299999999995</v>
      </c>
      <c r="AD6362">
        <v>1.0101370000000001</v>
      </c>
      <c r="AE6362">
        <v>0.45674999999999899</v>
      </c>
      <c r="AF6362">
        <v>-1.7443575303699499</v>
      </c>
      <c r="AG6362">
        <v>1.0101370000000001</v>
      </c>
      <c r="AH6362">
        <v>64.328426167409006</v>
      </c>
      <c r="AI6362">
        <v>89.100699759700902</v>
      </c>
      <c r="AJ6362">
        <v>91.553276596670699</v>
      </c>
      <c r="AK6362">
        <v>64.359999791239304</v>
      </c>
      <c r="AL6362">
        <v>89.032226573485801</v>
      </c>
      <c r="AM6362">
        <v>87.767399129361493</v>
      </c>
      <c r="AN6362">
        <v>1.0000000261873101</v>
      </c>
    </row>
    <row r="6363" spans="1:40" x14ac:dyDescent="0.25">
      <c r="A6363" t="str">
        <f>"20190312160812847"</f>
        <v>20190312160812847</v>
      </c>
      <c r="B6363" t="str">
        <f>"1552378092841963"</f>
        <v>1552378092841963</v>
      </c>
      <c r="C6363" t="s">
        <v>40</v>
      </c>
      <c r="D6363">
        <v>6.3003269999999896</v>
      </c>
      <c r="E6363">
        <v>0.46930859999999902</v>
      </c>
      <c r="F6363" t="s">
        <v>102</v>
      </c>
      <c r="G6363">
        <v>-276.25099999999998</v>
      </c>
      <c r="H6363">
        <v>2.3545560000000001</v>
      </c>
      <c r="I6363">
        <v>18.314969999999999</v>
      </c>
      <c r="J6363">
        <v>-337.59410000000003</v>
      </c>
      <c r="K6363">
        <v>1.10877</v>
      </c>
      <c r="L6363">
        <v>17.177610000000001</v>
      </c>
      <c r="M6363">
        <v>0.99976039999999999</v>
      </c>
      <c r="N6363">
        <v>0</v>
      </c>
      <c r="O6363">
        <v>-2.0178069999999999E-2</v>
      </c>
      <c r="P6363">
        <v>0.99823490000000004</v>
      </c>
      <c r="Q6363">
        <v>8.5797679999999998E-3</v>
      </c>
      <c r="R6363">
        <v>-5.8765419999999999E-2</v>
      </c>
      <c r="S6363">
        <v>3.0081180000000001</v>
      </c>
      <c r="T6363">
        <v>6.0909150000000002E-2</v>
      </c>
      <c r="U6363">
        <v>5.5419919999999998E-2</v>
      </c>
      <c r="V6363">
        <v>3.8620799999999997E-2</v>
      </c>
      <c r="W6363">
        <v>1.7030670000000001E-2</v>
      </c>
      <c r="X6363">
        <v>0.99910880000000002</v>
      </c>
      <c r="Y6363">
        <v>-3.8579910000000002E-2</v>
      </c>
      <c r="Z6363">
        <v>-7.9902199999999895E-4</v>
      </c>
      <c r="AA6363">
        <v>0.99925520000000001</v>
      </c>
      <c r="AB6363">
        <v>31</v>
      </c>
      <c r="AC6363">
        <v>61.3431</v>
      </c>
      <c r="AD6363">
        <v>1.2457860000000001</v>
      </c>
      <c r="AE6363">
        <v>1.1373599999999999</v>
      </c>
      <c r="AF6363">
        <v>-2.37397956459324</v>
      </c>
      <c r="AG6363">
        <v>1.2457860000000001</v>
      </c>
      <c r="AH6363">
        <v>61.282392899201099</v>
      </c>
      <c r="AI6363">
        <v>88.836289321992098</v>
      </c>
      <c r="AJ6363">
        <v>92.2184354266182</v>
      </c>
      <c r="AK6363">
        <v>61.341009456830299</v>
      </c>
      <c r="AL6363">
        <v>89.024167312510798</v>
      </c>
      <c r="AM6363">
        <v>87.786319486656595</v>
      </c>
      <c r="AN6363">
        <v>1.0000000020753601</v>
      </c>
    </row>
    <row r="6364" spans="1:40" x14ac:dyDescent="0.25">
      <c r="A6364" t="str">
        <f>"20190312160812860"</f>
        <v>20190312160812860</v>
      </c>
      <c r="B6364" t="str">
        <f>"1552378092851723"</f>
        <v>1552378092851723</v>
      </c>
      <c r="C6364" t="s">
        <v>40</v>
      </c>
      <c r="D6364">
        <v>5.8584239999999896</v>
      </c>
      <c r="E6364">
        <v>0.46949200000000002</v>
      </c>
      <c r="F6364" t="s">
        <v>102</v>
      </c>
      <c r="G6364">
        <v>-276.28590000000003</v>
      </c>
      <c r="H6364">
        <v>2.6906110000000001</v>
      </c>
      <c r="I6364">
        <v>18.53829</v>
      </c>
      <c r="J6364">
        <v>-337.41579999999999</v>
      </c>
      <c r="K6364">
        <v>1.108768</v>
      </c>
      <c r="L6364">
        <v>17.17389</v>
      </c>
      <c r="M6364">
        <v>0.99975720000000001</v>
      </c>
      <c r="N6364">
        <v>0</v>
      </c>
      <c r="O6364">
        <v>-2.0341769999999999E-2</v>
      </c>
      <c r="P6364">
        <v>0.99822</v>
      </c>
      <c r="Q6364">
        <v>8.7565919999999901E-3</v>
      </c>
      <c r="R6364">
        <v>-5.8994320000000003E-2</v>
      </c>
      <c r="S6364">
        <v>3.008575</v>
      </c>
      <c r="T6364">
        <v>7.7625749999999993E-2</v>
      </c>
      <c r="U6364">
        <v>6.6772460000000006E-2</v>
      </c>
      <c r="V6364">
        <v>3.8686669999999999E-2</v>
      </c>
      <c r="W6364">
        <v>1.7211839999999999E-2</v>
      </c>
      <c r="X6364">
        <v>0.99910310000000002</v>
      </c>
      <c r="Y6364">
        <v>-4.2500570000000001E-2</v>
      </c>
      <c r="Z6364">
        <v>-1.0728479999999999E-3</v>
      </c>
      <c r="AA6364">
        <v>0.99909590000000004</v>
      </c>
      <c r="AB6364">
        <v>31</v>
      </c>
      <c r="AC6364">
        <v>61.1298999999999</v>
      </c>
      <c r="AD6364">
        <v>1.5818430000000001</v>
      </c>
      <c r="AE6364">
        <v>1.3643999999999901</v>
      </c>
      <c r="AF6364">
        <v>-2.6059085819339201</v>
      </c>
      <c r="AG6364">
        <v>1.5818430000000001</v>
      </c>
      <c r="AH6364">
        <v>61.0486368956484</v>
      </c>
      <c r="AI6364">
        <v>88.517079903973396</v>
      </c>
      <c r="AJ6364">
        <v>92.444231139519005</v>
      </c>
      <c r="AK6364">
        <v>61.1247008469634</v>
      </c>
      <c r="AL6364">
        <v>89.013785468103407</v>
      </c>
      <c r="AM6364">
        <v>87.782535054549399</v>
      </c>
      <c r="AN6364">
        <v>0.99999995515074103</v>
      </c>
    </row>
    <row r="6365" spans="1:40" x14ac:dyDescent="0.25">
      <c r="A6365" t="str">
        <f>"20190312160812879"</f>
        <v>20190312160812879</v>
      </c>
      <c r="B6365" t="str">
        <f>"1552378092872219"</f>
        <v>1552378092872219</v>
      </c>
      <c r="C6365" t="s">
        <v>40</v>
      </c>
      <c r="D6365">
        <v>5.8481360000000002</v>
      </c>
      <c r="E6365">
        <v>0.47012470000000001</v>
      </c>
      <c r="F6365" t="s">
        <v>102</v>
      </c>
      <c r="G6365">
        <v>-276.2824</v>
      </c>
      <c r="H6365">
        <v>2.7149770000000002</v>
      </c>
      <c r="I6365">
        <v>18.486699999999999</v>
      </c>
      <c r="J6365">
        <v>-337.15159999999997</v>
      </c>
      <c r="K6365">
        <v>1.108768</v>
      </c>
      <c r="L6365">
        <v>17.16827</v>
      </c>
      <c r="M6365">
        <v>0.99975199999999997</v>
      </c>
      <c r="N6365">
        <v>0</v>
      </c>
      <c r="O6365">
        <v>-2.0584870000000002E-2</v>
      </c>
      <c r="P6365">
        <v>0.99821309999999996</v>
      </c>
      <c r="Q6365">
        <v>8.8517649999999993E-3</v>
      </c>
      <c r="R6365">
        <v>-5.9095759999999997E-2</v>
      </c>
      <c r="S6365">
        <v>3.0084840000000002</v>
      </c>
      <c r="T6365">
        <v>7.9044459999999997E-2</v>
      </c>
      <c r="U6365">
        <v>6.4605709999999997E-2</v>
      </c>
      <c r="V6365">
        <v>3.8545360000000001E-2</v>
      </c>
      <c r="W6365">
        <v>1.7312919999999999E-2</v>
      </c>
      <c r="X6365">
        <v>0.99910690000000002</v>
      </c>
      <c r="Y6365">
        <v>-4.2024279999999997E-2</v>
      </c>
      <c r="Z6365">
        <v>-1.0926200000000001E-3</v>
      </c>
      <c r="AA6365">
        <v>0.999116</v>
      </c>
      <c r="AB6365">
        <v>31</v>
      </c>
      <c r="AC6365">
        <v>60.8691999999999</v>
      </c>
      <c r="AD6365">
        <v>1.606209</v>
      </c>
      <c r="AE6365">
        <v>1.31842999999999</v>
      </c>
      <c r="AF6365">
        <v>-2.5693921413710301</v>
      </c>
      <c r="AG6365">
        <v>1.606209</v>
      </c>
      <c r="AH6365">
        <v>60.786853491750101</v>
      </c>
      <c r="AI6365">
        <v>88.487739749607201</v>
      </c>
      <c r="AJ6365">
        <v>92.420387576339095</v>
      </c>
      <c r="AK6365">
        <v>60.8623302277798</v>
      </c>
      <c r="AL6365">
        <v>89.007993231340507</v>
      </c>
      <c r="AM6365">
        <v>87.790635096264594</v>
      </c>
      <c r="AN6365">
        <v>1.0000000398020299</v>
      </c>
    </row>
    <row r="6366" spans="1:40" x14ac:dyDescent="0.25">
      <c r="A6366" t="str">
        <f>"20190312160812900"</f>
        <v>20190312160812900</v>
      </c>
      <c r="B6366" t="str">
        <f>"1552378092891739"</f>
        <v>1552378092891739</v>
      </c>
      <c r="C6366" t="s">
        <v>40</v>
      </c>
      <c r="D6366">
        <v>5.3436979999999998</v>
      </c>
      <c r="E6366">
        <v>0.47136220000000001</v>
      </c>
      <c r="F6366" t="s">
        <v>102</v>
      </c>
      <c r="G6366">
        <v>-276.238</v>
      </c>
      <c r="H6366">
        <v>2.4367519999999998</v>
      </c>
      <c r="I6366">
        <v>18.37509</v>
      </c>
      <c r="J6366">
        <v>-336.84320000000002</v>
      </c>
      <c r="K6366">
        <v>1.1087659999999999</v>
      </c>
      <c r="L6366">
        <v>17.161650000000002</v>
      </c>
      <c r="M6366">
        <v>0.99974609999999997</v>
      </c>
      <c r="N6366">
        <v>0</v>
      </c>
      <c r="O6366">
        <v>-2.0869840000000001E-2</v>
      </c>
      <c r="P6366">
        <v>0.99819919999999995</v>
      </c>
      <c r="Q6366">
        <v>8.8034900000000006E-3</v>
      </c>
      <c r="R6366">
        <v>-5.9335579999999999E-2</v>
      </c>
      <c r="S6366">
        <v>3.0083009999999999</v>
      </c>
      <c r="T6366">
        <v>6.5584299999999998E-2</v>
      </c>
      <c r="U6366">
        <v>5.960083E-2</v>
      </c>
      <c r="V6366">
        <v>3.8500779999999998E-2</v>
      </c>
      <c r="W6366">
        <v>1.727192E-2</v>
      </c>
      <c r="X6366">
        <v>0.99910929999999998</v>
      </c>
      <c r="Y6366">
        <v>-4.0655810000000001E-2</v>
      </c>
      <c r="Z6366">
        <v>-8.97977E-4</v>
      </c>
      <c r="AA6366">
        <v>0.99917279999999997</v>
      </c>
      <c r="AB6366">
        <v>32</v>
      </c>
      <c r="AC6366">
        <v>60.605200000000004</v>
      </c>
      <c r="AD6366">
        <v>1.3279860000000001</v>
      </c>
      <c r="AE6366">
        <v>1.2134399999999901</v>
      </c>
      <c r="AF6366">
        <v>-2.47685341748483</v>
      </c>
      <c r="AG6366">
        <v>1.3279860000000001</v>
      </c>
      <c r="AH6366">
        <v>60.537619252757104</v>
      </c>
      <c r="AI6366">
        <v>88.744380465093997</v>
      </c>
      <c r="AJ6366">
        <v>92.342909118302202</v>
      </c>
      <c r="AK6366">
        <v>60.602819195642098</v>
      </c>
      <c r="AL6366">
        <v>89.0103426813167</v>
      </c>
      <c r="AM6366">
        <v>87.793193126079004</v>
      </c>
      <c r="AN6366">
        <v>1.0000000113137899</v>
      </c>
    </row>
    <row r="6367" spans="1:40" x14ac:dyDescent="0.25">
      <c r="A6367" t="str">
        <f>"20190312160812912"</f>
        <v>20190312160812912</v>
      </c>
      <c r="B6367" t="str">
        <f>"1552378092901500"</f>
        <v>1552378092901500</v>
      </c>
      <c r="C6367" t="s">
        <v>40</v>
      </c>
      <c r="D6367">
        <v>5.8606780000000001</v>
      </c>
      <c r="E6367">
        <v>0.47186329999999999</v>
      </c>
      <c r="F6367" t="s">
        <v>102</v>
      </c>
      <c r="G6367">
        <v>-276.10509999999999</v>
      </c>
      <c r="H6367">
        <v>2.5649190000000002</v>
      </c>
      <c r="I6367">
        <v>18.148319999999998</v>
      </c>
      <c r="J6367">
        <v>-336.67410000000001</v>
      </c>
      <c r="K6367">
        <v>1.108768</v>
      </c>
      <c r="L6367">
        <v>17.157959999999999</v>
      </c>
      <c r="M6367">
        <v>0.99974289999999999</v>
      </c>
      <c r="N6367">
        <v>0</v>
      </c>
      <c r="O6367">
        <v>-2.1026860000000001E-2</v>
      </c>
      <c r="P6367">
        <v>0.99820359999999997</v>
      </c>
      <c r="Q6367">
        <v>8.8174540000000006E-3</v>
      </c>
      <c r="R6367">
        <v>-5.9265070000000003E-2</v>
      </c>
      <c r="S6367">
        <v>3.0076900000000002</v>
      </c>
      <c r="T6367">
        <v>7.2107199999999996E-2</v>
      </c>
      <c r="U6367">
        <v>4.8858640000000002E-2</v>
      </c>
      <c r="V6367">
        <v>3.827303E-2</v>
      </c>
      <c r="W6367">
        <v>1.7290030000000001E-2</v>
      </c>
      <c r="X6367">
        <v>0.9991177</v>
      </c>
      <c r="Y6367">
        <v>-3.7246950000000001E-2</v>
      </c>
      <c r="Z6367">
        <v>-9.5040070000000003E-4</v>
      </c>
      <c r="AA6367">
        <v>0.99930569999999996</v>
      </c>
      <c r="AB6367">
        <v>32</v>
      </c>
      <c r="AC6367">
        <v>60.569000000000003</v>
      </c>
      <c r="AD6367">
        <v>1.45615099999999</v>
      </c>
      <c r="AE6367">
        <v>0.99036000000000202</v>
      </c>
      <c r="AF6367">
        <v>-2.2624554623239801</v>
      </c>
      <c r="AG6367">
        <v>1.45615099999999</v>
      </c>
      <c r="AH6367">
        <v>60.499824714838098</v>
      </c>
      <c r="AI6367">
        <v>88.622195040750299</v>
      </c>
      <c r="AJ6367">
        <v>92.141638811038007</v>
      </c>
      <c r="AK6367">
        <v>60.559622447468499</v>
      </c>
      <c r="AL6367">
        <v>89.009304863028305</v>
      </c>
      <c r="AM6367">
        <v>87.8062530472628</v>
      </c>
      <c r="AN6367">
        <v>0.99999997420803499</v>
      </c>
    </row>
    <row r="6368" spans="1:40" x14ac:dyDescent="0.25">
      <c r="A6368" t="str">
        <f>"20190312160812923"</f>
        <v>20190312160812923</v>
      </c>
      <c r="B6368" t="str">
        <f>"1552378092912235"</f>
        <v>1552378092912235</v>
      </c>
      <c r="C6368" t="s">
        <v>40</v>
      </c>
      <c r="D6368">
        <v>5.896922</v>
      </c>
      <c r="E6368">
        <v>0.47232629999999998</v>
      </c>
      <c r="F6368" t="s">
        <v>102</v>
      </c>
      <c r="G6368">
        <v>-276.11950000000002</v>
      </c>
      <c r="H6368">
        <v>2.3600539999999999</v>
      </c>
      <c r="I6368">
        <v>18.07103</v>
      </c>
      <c r="J6368">
        <v>-336.51119999999997</v>
      </c>
      <c r="K6368">
        <v>1.1087670000000001</v>
      </c>
      <c r="L6368">
        <v>17.154419999999998</v>
      </c>
      <c r="M6368">
        <v>0.9997395</v>
      </c>
      <c r="N6368">
        <v>0</v>
      </c>
      <c r="O6368">
        <v>-2.1178530000000001E-2</v>
      </c>
      <c r="P6368">
        <v>0.99820500000000001</v>
      </c>
      <c r="Q6368">
        <v>9.0620089999999993E-3</v>
      </c>
      <c r="R6368">
        <v>-5.9200999999999997E-2</v>
      </c>
      <c r="S6368">
        <v>3.0075379999999998</v>
      </c>
      <c r="T6368">
        <v>6.2147260000000003E-2</v>
      </c>
      <c r="U6368">
        <v>4.534912E-2</v>
      </c>
      <c r="V6368">
        <v>3.8057649999999998E-2</v>
      </c>
      <c r="W6368">
        <v>1.7538910000000001E-2</v>
      </c>
      <c r="X6368">
        <v>0.99912160000000005</v>
      </c>
      <c r="Y6368">
        <v>-3.6238020000000003E-2</v>
      </c>
      <c r="Z6368">
        <v>-8.1191369999999996E-4</v>
      </c>
      <c r="AA6368">
        <v>0.99934290000000003</v>
      </c>
      <c r="AB6368">
        <v>32</v>
      </c>
      <c r="AC6368">
        <v>60.391699999999901</v>
      </c>
      <c r="AD6368">
        <v>1.25128699999999</v>
      </c>
      <c r="AE6368">
        <v>0.91660999999999804</v>
      </c>
      <c r="AF6368">
        <v>-2.1945162469997901</v>
      </c>
      <c r="AG6368">
        <v>1.25128699999999</v>
      </c>
      <c r="AH6368">
        <v>60.3328457622885</v>
      </c>
      <c r="AI6368">
        <v>88.812656232029397</v>
      </c>
      <c r="AJ6368">
        <v>92.083129186358804</v>
      </c>
      <c r="AK6368">
        <v>60.385709389646202</v>
      </c>
      <c r="AL6368">
        <v>88.995042936972794</v>
      </c>
      <c r="AM6368">
        <v>87.818594820198996</v>
      </c>
      <c r="AN6368">
        <v>0.99999998483703501</v>
      </c>
    </row>
    <row r="6369" spans="1:40" x14ac:dyDescent="0.25">
      <c r="A6369" t="str">
        <f>"20190312160812936"</f>
        <v>20190312160812936</v>
      </c>
      <c r="B6369" t="str">
        <f>"1552378092931755"</f>
        <v>1552378092931755</v>
      </c>
      <c r="C6369" t="s">
        <v>40</v>
      </c>
      <c r="D6369">
        <v>5.8738130000000002</v>
      </c>
      <c r="E6369">
        <v>0.47247210000000001</v>
      </c>
      <c r="F6369" t="s">
        <v>102</v>
      </c>
      <c r="G6369">
        <v>-276.1284</v>
      </c>
      <c r="H6369">
        <v>2.2409659999999998</v>
      </c>
      <c r="I6369">
        <v>17.998169999999998</v>
      </c>
      <c r="J6369">
        <v>-336.33069999999998</v>
      </c>
      <c r="K6369">
        <v>1.1087659999999999</v>
      </c>
      <c r="L6369">
        <v>17.150449999999999</v>
      </c>
      <c r="M6369">
        <v>0.99973590000000001</v>
      </c>
      <c r="N6369">
        <v>0</v>
      </c>
      <c r="O6369">
        <v>-2.1347720000000001E-2</v>
      </c>
      <c r="P6369">
        <v>0.99819919999999995</v>
      </c>
      <c r="Q6369">
        <v>9.1012790000000003E-3</v>
      </c>
      <c r="R6369">
        <v>-5.9289149999999999E-2</v>
      </c>
      <c r="S6369">
        <v>3.007355</v>
      </c>
      <c r="T6369">
        <v>5.638874E-2</v>
      </c>
      <c r="U6369">
        <v>4.2022709999999998E-2</v>
      </c>
      <c r="V6369">
        <v>3.7976969999999999E-2</v>
      </c>
      <c r="W6369">
        <v>1.758229E-2</v>
      </c>
      <c r="X6369">
        <v>0.99912389999999995</v>
      </c>
      <c r="Y6369">
        <v>-3.5305209999999997E-2</v>
      </c>
      <c r="Z6369">
        <v>-7.3117359999999999E-4</v>
      </c>
      <c r="AA6369">
        <v>0.9993763</v>
      </c>
      <c r="AB6369">
        <v>32</v>
      </c>
      <c r="AC6369">
        <v>60.202299999999902</v>
      </c>
      <c r="AD6369">
        <v>1.1322000000000001</v>
      </c>
      <c r="AE6369">
        <v>0.84772000000000203</v>
      </c>
      <c r="AF6369">
        <v>-2.1320012600359899</v>
      </c>
      <c r="AG6369">
        <v>1.1322000000000001</v>
      </c>
      <c r="AH6369">
        <v>60.1492122199272</v>
      </c>
      <c r="AI6369">
        <v>88.922314660173598</v>
      </c>
      <c r="AJ6369">
        <v>92.030010889265</v>
      </c>
      <c r="AK6369">
        <v>60.197633150237998</v>
      </c>
      <c r="AL6369">
        <v>88.992557055167893</v>
      </c>
      <c r="AM6369">
        <v>87.823219824842198</v>
      </c>
      <c r="AN6369">
        <v>0.99999997736161705</v>
      </c>
    </row>
    <row r="6370" spans="1:40" x14ac:dyDescent="0.25">
      <c r="A6370" t="str">
        <f>"20190312160812956"</f>
        <v>20190312160812956</v>
      </c>
      <c r="B6370" t="str">
        <f>"1552378092952251"</f>
        <v>1552378092952251</v>
      </c>
      <c r="C6370" t="s">
        <v>40</v>
      </c>
      <c r="D6370">
        <v>6.6319100000000004</v>
      </c>
      <c r="E6370">
        <v>0.47245949999999998</v>
      </c>
      <c r="F6370" t="s">
        <v>101</v>
      </c>
      <c r="G6370">
        <v>-273.40989999999999</v>
      </c>
      <c r="H6370">
        <v>2.3389790000000001</v>
      </c>
      <c r="I6370">
        <v>17.999029999999902</v>
      </c>
      <c r="J6370">
        <v>-336.05970000000002</v>
      </c>
      <c r="K6370">
        <v>1.1087610000000001</v>
      </c>
      <c r="L6370">
        <v>17.144410000000001</v>
      </c>
      <c r="M6370">
        <v>0.99973029999999996</v>
      </c>
      <c r="N6370">
        <v>0</v>
      </c>
      <c r="O6370">
        <v>-2.160635E-2</v>
      </c>
      <c r="P6370">
        <v>0.9981892</v>
      </c>
      <c r="Q6370">
        <v>9.2143729999999997E-3</v>
      </c>
      <c r="R6370">
        <v>-5.9444789999999997E-2</v>
      </c>
      <c r="S6370">
        <v>3.0072939999999999</v>
      </c>
      <c r="T6370">
        <v>5.8798070000000001E-2</v>
      </c>
      <c r="U6370">
        <v>4.0557860000000001E-2</v>
      </c>
      <c r="V6370">
        <v>3.7874650000000003E-2</v>
      </c>
      <c r="W6370">
        <v>1.7701479999999999E-2</v>
      </c>
      <c r="X6370">
        <v>0.99912570000000001</v>
      </c>
      <c r="Y6370">
        <v>-3.5076459999999997E-2</v>
      </c>
      <c r="Z6370">
        <v>-7.6524600000000003E-4</v>
      </c>
      <c r="AA6370">
        <v>0.9993843</v>
      </c>
      <c r="AB6370">
        <v>32</v>
      </c>
      <c r="AC6370">
        <v>62.649799999999999</v>
      </c>
      <c r="AD6370">
        <v>1.230218</v>
      </c>
      <c r="AE6370">
        <v>0.85461999999999705</v>
      </c>
      <c r="AF6370">
        <v>-2.2072521184971099</v>
      </c>
      <c r="AG6370">
        <v>1.230218</v>
      </c>
      <c r="AH6370">
        <v>62.592577277849003</v>
      </c>
      <c r="AI6370">
        <v>88.8747314791935</v>
      </c>
      <c r="AJ6370">
        <v>92.019630018999607</v>
      </c>
      <c r="AK6370">
        <v>62.643564142899997</v>
      </c>
      <c r="AL6370">
        <v>88.985726928960304</v>
      </c>
      <c r="AM6370">
        <v>87.829082934505493</v>
      </c>
      <c r="AN6370">
        <v>0.99999999795365102</v>
      </c>
    </row>
    <row r="6371" spans="1:40" x14ac:dyDescent="0.25">
      <c r="A6371" t="str">
        <f>"20190312160812966"</f>
        <v>20190312160812966</v>
      </c>
      <c r="B6371" t="str">
        <f>"1552378092962012"</f>
        <v>1552378092962012</v>
      </c>
      <c r="C6371" t="s">
        <v>40</v>
      </c>
      <c r="D6371">
        <v>5.902139</v>
      </c>
      <c r="E6371">
        <v>0.47245949999999998</v>
      </c>
      <c r="F6371" t="s">
        <v>101</v>
      </c>
      <c r="G6371">
        <v>-273.40989999999999</v>
      </c>
      <c r="H6371">
        <v>2.3536229999999998</v>
      </c>
      <c r="I6371">
        <v>17.981719999999999</v>
      </c>
      <c r="J6371">
        <v>-335.8929</v>
      </c>
      <c r="K6371">
        <v>1.1087549999999999</v>
      </c>
      <c r="L6371">
        <v>17.14066</v>
      </c>
      <c r="M6371">
        <v>0.99972680000000003</v>
      </c>
      <c r="N6371">
        <v>0</v>
      </c>
      <c r="O6371">
        <v>-2.176997E-2</v>
      </c>
      <c r="P6371">
        <v>0.99818689999999999</v>
      </c>
      <c r="Q6371">
        <v>9.0551910000000006E-3</v>
      </c>
      <c r="R6371">
        <v>-5.9508239999999997E-2</v>
      </c>
      <c r="S6371">
        <v>3.0072329999999998</v>
      </c>
      <c r="T6371">
        <v>5.9754370000000001E-2</v>
      </c>
      <c r="U6371">
        <v>4.0191650000000002E-2</v>
      </c>
      <c r="V6371">
        <v>3.7774509999999997E-2</v>
      </c>
      <c r="W6371">
        <v>1.7546059999999999E-2</v>
      </c>
      <c r="X6371">
        <v>0.99913220000000003</v>
      </c>
      <c r="Y6371">
        <v>-3.5118219999999999E-2</v>
      </c>
      <c r="Z6371">
        <v>-7.81371E-4</v>
      </c>
      <c r="AA6371">
        <v>0.99938289999999996</v>
      </c>
      <c r="AB6371">
        <v>32</v>
      </c>
      <c r="AC6371">
        <v>62.482999999999997</v>
      </c>
      <c r="AD6371">
        <v>1.2448680000000001</v>
      </c>
      <c r="AE6371">
        <v>0.84106000000000203</v>
      </c>
      <c r="AF6371">
        <v>-2.2002897138501001</v>
      </c>
      <c r="AG6371">
        <v>1.2448680000000001</v>
      </c>
      <c r="AH6371">
        <v>62.425105907115601</v>
      </c>
      <c r="AI6371">
        <v>88.858280138386803</v>
      </c>
      <c r="AJ6371">
        <v>92.018661324154294</v>
      </c>
      <c r="AK6371">
        <v>62.476274046048097</v>
      </c>
      <c r="AL6371">
        <v>88.994633189602595</v>
      </c>
      <c r="AM6371">
        <v>87.834831408572299</v>
      </c>
      <c r="AN6371">
        <v>0.99999996545205105</v>
      </c>
    </row>
    <row r="6372" spans="1:40" x14ac:dyDescent="0.25">
      <c r="A6372" t="str">
        <f>"20190312160812978"</f>
        <v>20190312160812978</v>
      </c>
      <c r="B6372" t="str">
        <f>"1552378092972053"</f>
        <v>1552378092972053</v>
      </c>
      <c r="C6372" t="s">
        <v>40</v>
      </c>
      <c r="D6372">
        <v>5.9967489999999897</v>
      </c>
      <c r="E6372">
        <v>0.4725084</v>
      </c>
      <c r="F6372" t="s">
        <v>101</v>
      </c>
      <c r="G6372">
        <v>-273.40989999999999</v>
      </c>
      <c r="H6372">
        <v>2.3422670000000001</v>
      </c>
      <c r="I6372">
        <v>17.97129</v>
      </c>
      <c r="J6372">
        <v>-335.73689999999999</v>
      </c>
      <c r="K6372">
        <v>1.108743</v>
      </c>
      <c r="L6372">
        <v>17.137119999999999</v>
      </c>
      <c r="M6372">
        <v>0.99972329999999998</v>
      </c>
      <c r="N6372">
        <v>0</v>
      </c>
      <c r="O6372">
        <v>-2.1925239999999999E-2</v>
      </c>
      <c r="P6372">
        <v>0.9981795</v>
      </c>
      <c r="Q6372">
        <v>8.9613279999999993E-3</v>
      </c>
      <c r="R6372">
        <v>-5.9645339999999998E-2</v>
      </c>
      <c r="S6372">
        <v>3.007263</v>
      </c>
      <c r="T6372">
        <v>5.9368129999999998E-2</v>
      </c>
      <c r="U6372">
        <v>3.9978029999999998E-2</v>
      </c>
      <c r="V6372">
        <v>3.7756629999999999E-2</v>
      </c>
      <c r="W6372">
        <v>1.7455950000000001E-2</v>
      </c>
      <c r="X6372">
        <v>0.99913450000000004</v>
      </c>
      <c r="Y6372">
        <v>-3.5202419999999998E-2</v>
      </c>
      <c r="Z6372">
        <v>-7.8020970000000005E-4</v>
      </c>
      <c r="AA6372">
        <v>0.99937989999999999</v>
      </c>
      <c r="AB6372">
        <v>32</v>
      </c>
      <c r="AC6372">
        <v>62.326999999999998</v>
      </c>
      <c r="AD6372">
        <v>1.2335239999999901</v>
      </c>
      <c r="AE6372">
        <v>0.83416999999999997</v>
      </c>
      <c r="AF6372">
        <v>-2.1996920645749301</v>
      </c>
      <c r="AG6372">
        <v>1.2335239999999901</v>
      </c>
      <c r="AH6372">
        <v>62.269340346638202</v>
      </c>
      <c r="AI6372">
        <v>88.865855379288902</v>
      </c>
      <c r="AJ6372">
        <v>92.023157544881798</v>
      </c>
      <c r="AK6372">
        <v>62.320389711899203</v>
      </c>
      <c r="AL6372">
        <v>88.999796949076497</v>
      </c>
      <c r="AM6372">
        <v>87.835860261177999</v>
      </c>
      <c r="AN6372">
        <v>1.0000000111948</v>
      </c>
    </row>
    <row r="6373" spans="1:40" x14ac:dyDescent="0.25">
      <c r="A6373" t="str">
        <f>"20190312160812992"</f>
        <v>20190312160812992</v>
      </c>
      <c r="B6373" t="str">
        <f>"1552378092981812"</f>
        <v>1552378092981812</v>
      </c>
      <c r="C6373" t="s">
        <v>40</v>
      </c>
      <c r="D6373">
        <v>6.0143709999999997</v>
      </c>
      <c r="E6373">
        <v>0.47243259999999998</v>
      </c>
      <c r="F6373" t="s">
        <v>101</v>
      </c>
      <c r="G6373">
        <v>-273.40989999999999</v>
      </c>
      <c r="H6373">
        <v>2.3400240000000001</v>
      </c>
      <c r="I6373">
        <v>17.948599999999999</v>
      </c>
      <c r="J6373">
        <v>-335.54149999999998</v>
      </c>
      <c r="K6373">
        <v>1.108735</v>
      </c>
      <c r="L6373">
        <v>17.132660000000001</v>
      </c>
      <c r="M6373">
        <v>0.99971900000000002</v>
      </c>
      <c r="N6373">
        <v>0</v>
      </c>
      <c r="O6373">
        <v>-2.2124769999999998E-2</v>
      </c>
      <c r="P6373">
        <v>0.99817259999999997</v>
      </c>
      <c r="Q6373">
        <v>9.0267590000000005E-3</v>
      </c>
      <c r="R6373">
        <v>-5.9752529999999998E-2</v>
      </c>
      <c r="S6373">
        <v>3.0072939999999999</v>
      </c>
      <c r="T6373">
        <v>5.9409740000000003E-2</v>
      </c>
      <c r="U6373">
        <v>3.9154050000000003E-2</v>
      </c>
      <c r="V6373">
        <v>3.7664860000000001E-2</v>
      </c>
      <c r="W6373">
        <v>1.7526030000000001E-2</v>
      </c>
      <c r="X6373">
        <v>0.99913669999999999</v>
      </c>
      <c r="Y6373">
        <v>-3.5127930000000002E-2</v>
      </c>
      <c r="Z6373">
        <v>-7.839546E-4</v>
      </c>
      <c r="AA6373">
        <v>0.99938249999999995</v>
      </c>
      <c r="AB6373">
        <v>32</v>
      </c>
      <c r="AC6373">
        <v>62.131599999999899</v>
      </c>
      <c r="AD6373">
        <v>1.2312889999999901</v>
      </c>
      <c r="AE6373">
        <v>0.815939999999997</v>
      </c>
      <c r="AF6373">
        <v>-2.1895776267165701</v>
      </c>
      <c r="AG6373">
        <v>1.2312889999999901</v>
      </c>
      <c r="AH6373">
        <v>62.073962868819898</v>
      </c>
      <c r="AI6373">
        <v>88.864345392249106</v>
      </c>
      <c r="AJ6373">
        <v>92.020195888654897</v>
      </c>
      <c r="AK6373">
        <v>62.124771138609198</v>
      </c>
      <c r="AL6373">
        <v>88.995781009535904</v>
      </c>
      <c r="AM6373">
        <v>87.841120112547102</v>
      </c>
      <c r="AN6373">
        <v>0.99999997434663401</v>
      </c>
    </row>
    <row r="6374" spans="1:40" x14ac:dyDescent="0.25">
      <c r="A6374" t="str">
        <f>"20190312160813017"</f>
        <v>20190312160813017</v>
      </c>
      <c r="B6374" t="str">
        <f>"1552378093012067"</f>
        <v>1552378093012067</v>
      </c>
      <c r="C6374" t="s">
        <v>40</v>
      </c>
      <c r="D6374">
        <v>6.0007679999999999</v>
      </c>
      <c r="E6374">
        <v>0.4730067</v>
      </c>
      <c r="F6374" t="s">
        <v>101</v>
      </c>
      <c r="G6374">
        <v>-273.40989999999999</v>
      </c>
      <c r="H6374">
        <v>2.3524150000000001</v>
      </c>
      <c r="I6374">
        <v>17.94726</v>
      </c>
      <c r="J6374">
        <v>-335.19</v>
      </c>
      <c r="K6374">
        <v>1.1087119999999999</v>
      </c>
      <c r="L6374">
        <v>17.124510000000001</v>
      </c>
      <c r="M6374">
        <v>0.99971019999999999</v>
      </c>
      <c r="N6374">
        <v>0</v>
      </c>
      <c r="O6374">
        <v>-2.2510539999999999E-2</v>
      </c>
      <c r="P6374">
        <v>0.99816890000000003</v>
      </c>
      <c r="Q6374">
        <v>9.143534E-3</v>
      </c>
      <c r="R6374">
        <v>-5.9797690000000001E-2</v>
      </c>
      <c r="S6374">
        <v>3.0073240000000001</v>
      </c>
      <c r="T6374">
        <v>6.0197349999999997E-2</v>
      </c>
      <c r="U6374">
        <v>3.9428709999999999E-2</v>
      </c>
      <c r="V6374">
        <v>3.7325339999999999E-2</v>
      </c>
      <c r="W6374">
        <v>1.7649519999999998E-2</v>
      </c>
      <c r="X6374">
        <v>0.99914729999999996</v>
      </c>
      <c r="Y6374">
        <v>-3.5604230000000001E-2</v>
      </c>
      <c r="Z6374">
        <v>-8.0682409999999997E-4</v>
      </c>
      <c r="AA6374">
        <v>0.99936559999999997</v>
      </c>
      <c r="AB6374">
        <v>32</v>
      </c>
      <c r="AC6374">
        <v>61.780099999999997</v>
      </c>
      <c r="AD6374">
        <v>1.243703</v>
      </c>
      <c r="AE6374">
        <v>0.82274999999999898</v>
      </c>
      <c r="AF6374">
        <v>-2.2123990925924302</v>
      </c>
      <c r="AG6374">
        <v>1.243703</v>
      </c>
      <c r="AH6374">
        <v>61.720914192434698</v>
      </c>
      <c r="AI6374">
        <v>88.846362297804205</v>
      </c>
      <c r="AJ6374">
        <v>92.052900271674801</v>
      </c>
      <c r="AK6374">
        <v>61.773074681830501</v>
      </c>
      <c r="AL6374">
        <v>88.988704491812499</v>
      </c>
      <c r="AM6374">
        <v>87.860585278947198</v>
      </c>
      <c r="AN6374">
        <v>1.0000000068298101</v>
      </c>
    </row>
    <row r="6375" spans="1:40" x14ac:dyDescent="0.25">
      <c r="A6375" t="str">
        <f>"20190312160813029"</f>
        <v>20190312160813029</v>
      </c>
      <c r="B6375" t="str">
        <f>"1552378093021828"</f>
        <v>1552378093021828</v>
      </c>
      <c r="C6375" t="s">
        <v>40</v>
      </c>
      <c r="D6375">
        <v>6.3824199999999998</v>
      </c>
      <c r="E6375">
        <v>0.4730067</v>
      </c>
      <c r="F6375" t="s">
        <v>101</v>
      </c>
      <c r="G6375">
        <v>-273.40989999999999</v>
      </c>
      <c r="H6375">
        <v>2.331582</v>
      </c>
      <c r="I6375">
        <v>17.838639999999899</v>
      </c>
      <c r="J6375">
        <v>-334.99489999999997</v>
      </c>
      <c r="K6375">
        <v>1.1086929999999999</v>
      </c>
      <c r="L6375">
        <v>17.119900000000001</v>
      </c>
      <c r="M6375">
        <v>0.99970479999999995</v>
      </c>
      <c r="N6375">
        <v>0</v>
      </c>
      <c r="O6375">
        <v>-2.2744029999999998E-2</v>
      </c>
      <c r="P6375">
        <v>0.99815969999999998</v>
      </c>
      <c r="Q6375">
        <v>9.1380550000000008E-3</v>
      </c>
      <c r="R6375">
        <v>-5.9947830000000001E-2</v>
      </c>
      <c r="S6375">
        <v>3.0070800000000002</v>
      </c>
      <c r="T6375">
        <v>5.9522029999999997E-2</v>
      </c>
      <c r="U6375">
        <v>3.4759520000000002E-2</v>
      </c>
      <c r="V6375">
        <v>3.7242989999999997E-2</v>
      </c>
      <c r="W6375">
        <v>1.764808E-2</v>
      </c>
      <c r="X6375">
        <v>0.99915039999999999</v>
      </c>
      <c r="Y6375">
        <v>-3.4287629999999999E-2</v>
      </c>
      <c r="Z6375">
        <v>-7.8943699999999895E-4</v>
      </c>
      <c r="AA6375">
        <v>0.99941170000000001</v>
      </c>
      <c r="AB6375">
        <v>32</v>
      </c>
      <c r="AC6375">
        <v>61.584999999999901</v>
      </c>
      <c r="AD6375">
        <v>1.2228889999999999</v>
      </c>
      <c r="AE6375">
        <v>0.71873999999999605</v>
      </c>
      <c r="AF6375">
        <v>-2.1184611040239099</v>
      </c>
      <c r="AG6375">
        <v>1.2228889999999999</v>
      </c>
      <c r="AH6375">
        <v>61.528463230618897</v>
      </c>
      <c r="AI6375">
        <v>88.862060358396405</v>
      </c>
      <c r="AJ6375">
        <v>91.971948339919393</v>
      </c>
      <c r="AK6375">
        <v>61.5770665303017</v>
      </c>
      <c r="AL6375">
        <v>88.9887870122012</v>
      </c>
      <c r="AM6375">
        <v>87.865307663563499</v>
      </c>
      <c r="AN6375">
        <v>1.0000000084259899</v>
      </c>
    </row>
    <row r="6376" spans="1:40" x14ac:dyDescent="0.25">
      <c r="A6376" t="str">
        <f>"20190312160813044"</f>
        <v>20190312160813044</v>
      </c>
      <c r="B6376" t="str">
        <f>"1552378093031587"</f>
        <v>1552378093031587</v>
      </c>
      <c r="C6376" t="s">
        <v>40</v>
      </c>
      <c r="D6376">
        <v>6.0249489999999897</v>
      </c>
      <c r="E6376">
        <v>0.50762619999999903</v>
      </c>
      <c r="F6376" t="s">
        <v>101</v>
      </c>
      <c r="G6376">
        <v>-273.40989999999999</v>
      </c>
      <c r="H6376">
        <v>2.3272390000000001</v>
      </c>
      <c r="I6376">
        <v>17.823039999999999</v>
      </c>
      <c r="J6376">
        <v>-334.79399999999998</v>
      </c>
      <c r="K6376">
        <v>1.1086750000000001</v>
      </c>
      <c r="L6376">
        <v>17.115110000000001</v>
      </c>
      <c r="M6376">
        <v>0.999699</v>
      </c>
      <c r="N6376">
        <v>0</v>
      </c>
      <c r="O6376">
        <v>-2.3002000000000002E-2</v>
      </c>
      <c r="P6376">
        <v>0.99814970000000003</v>
      </c>
      <c r="Q6376">
        <v>8.7232939999999995E-3</v>
      </c>
      <c r="R6376">
        <v>-6.0180860000000003E-2</v>
      </c>
      <c r="S6376">
        <v>3.00705</v>
      </c>
      <c r="T6376">
        <v>5.9498790000000003E-2</v>
      </c>
      <c r="U6376">
        <v>3.433228E-2</v>
      </c>
      <c r="V6376">
        <v>3.7218569999999999E-2</v>
      </c>
      <c r="W6376">
        <v>1.723616E-2</v>
      </c>
      <c r="X6376">
        <v>0.99915849999999995</v>
      </c>
      <c r="Y6376">
        <v>-3.4403599999999999E-2</v>
      </c>
      <c r="Z6376">
        <v>-7.9538739999999997E-4</v>
      </c>
      <c r="AA6376">
        <v>0.99940770000000001</v>
      </c>
      <c r="AB6376">
        <v>32</v>
      </c>
      <c r="AC6376">
        <v>61.384099999999997</v>
      </c>
      <c r="AD6376">
        <v>1.218564</v>
      </c>
      <c r="AE6376">
        <v>0.70792999999999695</v>
      </c>
      <c r="AF6376">
        <v>-2.1189162476111401</v>
      </c>
      <c r="AG6376">
        <v>1.218564</v>
      </c>
      <c r="AH6376">
        <v>61.327408632187201</v>
      </c>
      <c r="AI6376">
        <v>88.862372144627997</v>
      </c>
      <c r="AJ6376">
        <v>91.978832724227701</v>
      </c>
      <c r="AK6376">
        <v>61.376100835958603</v>
      </c>
      <c r="AL6376">
        <v>89.012391879792006</v>
      </c>
      <c r="AM6376">
        <v>87.866723352815299</v>
      </c>
      <c r="AN6376">
        <v>1.00000000764332</v>
      </c>
    </row>
    <row r="6377" spans="1:40" x14ac:dyDescent="0.25">
      <c r="A6377" t="str">
        <f>"20190312160813070"</f>
        <v>20190312160813070</v>
      </c>
      <c r="B6377" t="str">
        <f>"1552378093061842"</f>
        <v>1552378093061842</v>
      </c>
      <c r="C6377" t="s">
        <v>40</v>
      </c>
      <c r="D6377">
        <v>6.3150050000000002</v>
      </c>
      <c r="E6377">
        <v>0.51900639999999998</v>
      </c>
      <c r="F6377" t="s">
        <v>101</v>
      </c>
      <c r="G6377">
        <v>-274.49669999999998</v>
      </c>
      <c r="H6377">
        <v>2.6120640000000002</v>
      </c>
      <c r="I6377">
        <v>12.22669</v>
      </c>
      <c r="J6377">
        <v>-334.4194</v>
      </c>
      <c r="K6377">
        <v>1.108625</v>
      </c>
      <c r="L6377">
        <v>17.105989999999998</v>
      </c>
      <c r="M6377">
        <v>0.99968639999999998</v>
      </c>
      <c r="N6377">
        <v>0</v>
      </c>
      <c r="O6377">
        <v>-2.3531239999999998E-2</v>
      </c>
      <c r="P6377">
        <v>0.99809270000000005</v>
      </c>
      <c r="Q6377">
        <v>8.9967119999999901E-3</v>
      </c>
      <c r="R6377">
        <v>-6.1074499999999997E-2</v>
      </c>
      <c r="S6377">
        <v>2.990326</v>
      </c>
      <c r="T6377">
        <v>7.4557659999999998E-2</v>
      </c>
      <c r="U6377">
        <v>-0.2424316</v>
      </c>
      <c r="V6377">
        <v>3.7586630000000003E-2</v>
      </c>
      <c r="W6377">
        <v>1.7514109999999999E-2</v>
      </c>
      <c r="X6377">
        <v>0.99913989999999997</v>
      </c>
      <c r="Y6377">
        <v>5.7318910000000001E-2</v>
      </c>
      <c r="Z6377">
        <v>1.277908E-4</v>
      </c>
      <c r="AA6377">
        <v>0.99835589999999996</v>
      </c>
      <c r="AB6377">
        <v>32</v>
      </c>
      <c r="AC6377">
        <v>59.922699999999999</v>
      </c>
      <c r="AD6377">
        <v>1.503439</v>
      </c>
      <c r="AE6377">
        <v>-4.87929999999999</v>
      </c>
      <c r="AF6377">
        <v>3.46567441978913</v>
      </c>
      <c r="AG6377">
        <v>1.503439</v>
      </c>
      <c r="AH6377">
        <v>59.983416240306703</v>
      </c>
      <c r="AI6377">
        <v>88.566614666940694</v>
      </c>
      <c r="AJ6377">
        <v>86.693285958828199</v>
      </c>
      <c r="AK6377">
        <v>60.102258292584899</v>
      </c>
      <c r="AL6377">
        <v>88.996464125193299</v>
      </c>
      <c r="AM6377">
        <v>87.845606774800103</v>
      </c>
      <c r="AN6377">
        <v>1.0000000192879199</v>
      </c>
    </row>
    <row r="6378" spans="1:40" x14ac:dyDescent="0.25">
      <c r="A6378" t="str">
        <f>"20190312160813084"</f>
        <v>20190312160813084</v>
      </c>
      <c r="B6378" t="str">
        <f>"1552378093071602"</f>
        <v>1552378093071602</v>
      </c>
      <c r="C6378" t="s">
        <v>40</v>
      </c>
      <c r="D6378">
        <v>6.0224449999999896</v>
      </c>
      <c r="E6378">
        <v>0.52159719999999998</v>
      </c>
      <c r="F6378" t="s">
        <v>55</v>
      </c>
      <c r="G6378">
        <v>-241.07</v>
      </c>
      <c r="H6378">
        <v>4.2797020000000003</v>
      </c>
      <c r="I6378">
        <v>6.588203</v>
      </c>
      <c r="J6378">
        <v>-334.22370000000001</v>
      </c>
      <c r="K6378">
        <v>1.108603</v>
      </c>
      <c r="L6378">
        <v>17.101099999999999</v>
      </c>
      <c r="M6378">
        <v>0.99967910000000004</v>
      </c>
      <c r="N6378">
        <v>0</v>
      </c>
      <c r="O6378">
        <v>-2.3844029999999999E-2</v>
      </c>
      <c r="P6378">
        <v>0.99806680000000003</v>
      </c>
      <c r="Q6378">
        <v>9.0726729999999998E-3</v>
      </c>
      <c r="R6378">
        <v>-6.1483660000000002E-2</v>
      </c>
      <c r="S6378">
        <v>2.984283</v>
      </c>
      <c r="T6378">
        <v>0.1013758</v>
      </c>
      <c r="U6378">
        <v>-0.33624270000000001</v>
      </c>
      <c r="V6378">
        <v>3.7684929999999998E-2</v>
      </c>
      <c r="W6378">
        <v>1.7592300000000002E-2</v>
      </c>
      <c r="X6378">
        <v>0.99913479999999999</v>
      </c>
      <c r="Y6378">
        <v>8.819929E-2</v>
      </c>
      <c r="Z6378">
        <v>6.8601299999999997E-4</v>
      </c>
      <c r="AA6378">
        <v>0.99610259999999995</v>
      </c>
      <c r="AB6378">
        <v>32</v>
      </c>
      <c r="AC6378">
        <v>93.153700000000001</v>
      </c>
      <c r="AD6378">
        <v>3.1710989999999901</v>
      </c>
      <c r="AE6378">
        <v>-10.512897000000001</v>
      </c>
      <c r="AF6378">
        <v>8.27919348359368</v>
      </c>
      <c r="AG6378">
        <v>3.1710989999999901</v>
      </c>
      <c r="AH6378">
        <v>93.271166559694294</v>
      </c>
      <c r="AI6378">
        <v>88.060388091619402</v>
      </c>
      <c r="AJ6378">
        <v>84.927448056402895</v>
      </c>
      <c r="AK6378">
        <v>93.691576062167002</v>
      </c>
      <c r="AL6378">
        <v>88.991983454238806</v>
      </c>
      <c r="AM6378">
        <v>87.839966723058595</v>
      </c>
      <c r="AN6378">
        <v>0.99999999576971699</v>
      </c>
    </row>
    <row r="6379" spans="1:40" x14ac:dyDescent="0.25">
      <c r="A6379" t="str">
        <f>"20190312160813103"</f>
        <v>20190312160813103</v>
      </c>
      <c r="B6379" t="str">
        <f>"1552378093092099"</f>
        <v>1552378093092099</v>
      </c>
      <c r="C6379" t="s">
        <v>40</v>
      </c>
      <c r="D6379">
        <v>6.2663409999999997</v>
      </c>
      <c r="E6379">
        <v>0.52465379999999995</v>
      </c>
      <c r="F6379" t="s">
        <v>55</v>
      </c>
      <c r="G6379">
        <v>-241.07</v>
      </c>
      <c r="H6379">
        <v>4.4324519999999996</v>
      </c>
      <c r="I6379">
        <v>5.9148480000000001</v>
      </c>
      <c r="J6379">
        <v>-333.9522</v>
      </c>
      <c r="K6379">
        <v>1.1085609999999999</v>
      </c>
      <c r="L6379">
        <v>17.094179999999898</v>
      </c>
      <c r="M6379">
        <v>0.99966750000000004</v>
      </c>
      <c r="N6379">
        <v>0</v>
      </c>
      <c r="O6379">
        <v>-2.4316870000000001E-2</v>
      </c>
      <c r="P6379">
        <v>0.99803390000000003</v>
      </c>
      <c r="Q6379">
        <v>8.5527580000000006E-3</v>
      </c>
      <c r="R6379">
        <v>-6.2090840000000001E-2</v>
      </c>
      <c r="S6379">
        <v>2.9827880000000002</v>
      </c>
      <c r="T6379">
        <v>0.1064297</v>
      </c>
      <c r="U6379">
        <v>-0.35818480000000003</v>
      </c>
      <c r="V6379">
        <v>3.7821319999999999E-2</v>
      </c>
      <c r="W6379">
        <v>1.7075489999999999E-2</v>
      </c>
      <c r="X6379">
        <v>0.99913859999999999</v>
      </c>
      <c r="Y6379">
        <v>9.5003459999999998E-2</v>
      </c>
      <c r="Z6379">
        <v>8.2439099999999995E-4</v>
      </c>
      <c r="AA6379">
        <v>0.99547660000000004</v>
      </c>
      <c r="AB6379">
        <v>32</v>
      </c>
      <c r="AC6379">
        <v>92.882199999999997</v>
      </c>
      <c r="AD6379">
        <v>3.3238910000000002</v>
      </c>
      <c r="AE6379">
        <v>-11.179332</v>
      </c>
      <c r="AF6379">
        <v>8.9060958873410705</v>
      </c>
      <c r="AG6379">
        <v>3.3238910000000002</v>
      </c>
      <c r="AH6379">
        <v>93.009178387385205</v>
      </c>
      <c r="AI6379">
        <v>87.962589518832203</v>
      </c>
      <c r="AJ6379">
        <v>84.5303179300235</v>
      </c>
      <c r="AK6379">
        <v>93.493711337345303</v>
      </c>
      <c r="AL6379">
        <v>89.021598923836095</v>
      </c>
      <c r="AM6379">
        <v>87.832164772857098</v>
      </c>
      <c r="AN6379">
        <v>0.99999998330762097</v>
      </c>
    </row>
    <row r="6380" spans="1:40" x14ac:dyDescent="0.25">
      <c r="A6380" t="str">
        <f>"20190312160813123"</f>
        <v>20190312160813123</v>
      </c>
      <c r="B6380" t="str">
        <f>"1552378093111619"</f>
        <v>1552378093111619</v>
      </c>
      <c r="C6380" t="s">
        <v>40</v>
      </c>
      <c r="D6380">
        <v>6.339658</v>
      </c>
      <c r="E6380">
        <v>0.52465379999999995</v>
      </c>
      <c r="F6380" t="s">
        <v>55</v>
      </c>
      <c r="G6380">
        <v>-241.07</v>
      </c>
      <c r="H6380">
        <v>4.5122960000000001</v>
      </c>
      <c r="I6380">
        <v>5.1162769999999904</v>
      </c>
      <c r="J6380">
        <v>-333.66899999999998</v>
      </c>
      <c r="K6380">
        <v>1.1085130000000001</v>
      </c>
      <c r="L6380">
        <v>17.086760000000002</v>
      </c>
      <c r="M6380">
        <v>0.99965409999999999</v>
      </c>
      <c r="N6380">
        <v>0</v>
      </c>
      <c r="O6380">
        <v>-2.4868609999999999E-2</v>
      </c>
      <c r="P6380">
        <v>0.9979517</v>
      </c>
      <c r="Q6380">
        <v>8.5187639999999999E-3</v>
      </c>
      <c r="R6380">
        <v>-6.340237E-2</v>
      </c>
      <c r="S6380">
        <v>2.9810490000000001</v>
      </c>
      <c r="T6380">
        <v>0.1092424</v>
      </c>
      <c r="U6380">
        <v>-0.38442989999999999</v>
      </c>
      <c r="V6380">
        <v>3.8585040000000001E-2</v>
      </c>
      <c r="W6380">
        <v>1.704307E-2</v>
      </c>
      <c r="X6380">
        <v>0.99911000000000005</v>
      </c>
      <c r="Y6380">
        <v>0.1031424</v>
      </c>
      <c r="Z6380">
        <v>9.745744E-4</v>
      </c>
      <c r="AA6380">
        <v>0.9946661</v>
      </c>
      <c r="AB6380">
        <v>32</v>
      </c>
      <c r="AC6380">
        <v>92.599000000000004</v>
      </c>
      <c r="AD6380">
        <v>3.4037829999999998</v>
      </c>
      <c r="AE6380">
        <v>-11.970483</v>
      </c>
      <c r="AF6380">
        <v>9.65106193321067</v>
      </c>
      <c r="AG6380">
        <v>3.4037829999999998</v>
      </c>
      <c r="AH6380">
        <v>92.744805244263901</v>
      </c>
      <c r="AI6380">
        <v>87.9094365062451</v>
      </c>
      <c r="AJ6380">
        <v>84.059160041328099</v>
      </c>
      <c r="AK6380">
        <v>93.3077040492702</v>
      </c>
      <c r="AL6380">
        <v>89.023456770768604</v>
      </c>
      <c r="AM6380">
        <v>87.788369808172504</v>
      </c>
      <c r="AN6380">
        <v>1.0000000318234099</v>
      </c>
    </row>
    <row r="6381" spans="1:40" x14ac:dyDescent="0.25">
      <c r="A6381" t="str">
        <f>"20190312160813133"</f>
        <v>20190312160813133</v>
      </c>
      <c r="B6381" t="str">
        <f>"1552378093122355"</f>
        <v>1552378093122355</v>
      </c>
      <c r="C6381" t="s">
        <v>40</v>
      </c>
      <c r="D6381">
        <v>6.177594</v>
      </c>
      <c r="E6381">
        <v>0.52549939999999995</v>
      </c>
      <c r="F6381" t="s">
        <v>55</v>
      </c>
      <c r="G6381">
        <v>-241.07</v>
      </c>
      <c r="H6381">
        <v>4.4964930000000001</v>
      </c>
      <c r="I6381">
        <v>5.0201739999999999</v>
      </c>
      <c r="J6381">
        <v>-333.5111</v>
      </c>
      <c r="K6381">
        <v>1.108484</v>
      </c>
      <c r="L6381">
        <v>17.082550000000001</v>
      </c>
      <c r="M6381">
        <v>0.99964580000000003</v>
      </c>
      <c r="N6381">
        <v>0</v>
      </c>
      <c r="O6381">
        <v>-2.519573E-2</v>
      </c>
      <c r="P6381">
        <v>0.99789419999999995</v>
      </c>
      <c r="Q6381">
        <v>8.6218430000000006E-3</v>
      </c>
      <c r="R6381">
        <v>-6.428739E-2</v>
      </c>
      <c r="S6381">
        <v>2.9805600000000001</v>
      </c>
      <c r="T6381">
        <v>0.1090515</v>
      </c>
      <c r="U6381">
        <v>-0.3883972</v>
      </c>
      <c r="V6381">
        <v>3.9145840000000001E-2</v>
      </c>
      <c r="W6381">
        <v>1.7146049999999999E-2</v>
      </c>
      <c r="X6381">
        <v>0.99908640000000004</v>
      </c>
      <c r="Y6381">
        <v>0.1041393</v>
      </c>
      <c r="Z6381">
        <v>9.7920329999999999E-4</v>
      </c>
      <c r="AA6381">
        <v>0.99456219999999995</v>
      </c>
      <c r="AB6381">
        <v>32</v>
      </c>
      <c r="AC6381">
        <v>92.441100000000006</v>
      </c>
      <c r="AD6381">
        <v>3.3880089999999998</v>
      </c>
      <c r="AE6381">
        <v>-12.062375999999899</v>
      </c>
      <c r="AF6381">
        <v>9.7165065764609206</v>
      </c>
      <c r="AG6381">
        <v>3.3880089999999998</v>
      </c>
      <c r="AH6381">
        <v>92.5933884017048</v>
      </c>
      <c r="AI6381">
        <v>87.915905098635903</v>
      </c>
      <c r="AJ6381">
        <v>84.009456427639194</v>
      </c>
      <c r="AK6381">
        <v>93.163429953729405</v>
      </c>
      <c r="AL6381">
        <v>89.017555567096394</v>
      </c>
      <c r="AM6381">
        <v>87.756205358421099</v>
      </c>
      <c r="AN6381">
        <v>1.0000000092424299</v>
      </c>
    </row>
    <row r="6382" spans="1:40" x14ac:dyDescent="0.25">
      <c r="A6382" t="str">
        <f>"20190312160813145"</f>
        <v>20190312160813145</v>
      </c>
      <c r="B6382" t="str">
        <f>"1552378093141875"</f>
        <v>1552378093141875</v>
      </c>
      <c r="C6382" t="s">
        <v>40</v>
      </c>
      <c r="D6382">
        <v>6.1200140000000003</v>
      </c>
      <c r="E6382">
        <v>0.52642149999999999</v>
      </c>
      <c r="F6382" t="s">
        <v>55</v>
      </c>
      <c r="G6382">
        <v>-241.47579999999999</v>
      </c>
      <c r="H6382">
        <v>4.4848480000000004</v>
      </c>
      <c r="I6382">
        <v>4.796157</v>
      </c>
      <c r="J6382">
        <v>-333.3451</v>
      </c>
      <c r="K6382">
        <v>1.108444</v>
      </c>
      <c r="L6382">
        <v>17.078029999999998</v>
      </c>
      <c r="M6382">
        <v>0.99963610000000003</v>
      </c>
      <c r="N6382">
        <v>0</v>
      </c>
      <c r="O6382">
        <v>-2.55768E-2</v>
      </c>
      <c r="P6382">
        <v>0.99783299999999997</v>
      </c>
      <c r="Q6382">
        <v>8.6336769999999993E-3</v>
      </c>
      <c r="R6382">
        <v>-6.5232869999999998E-2</v>
      </c>
      <c r="S6382">
        <v>2.9798279999999999</v>
      </c>
      <c r="T6382">
        <v>0.1093165</v>
      </c>
      <c r="U6382">
        <v>-0.3977966</v>
      </c>
      <c r="V6382">
        <v>3.9712989999999997E-2</v>
      </c>
      <c r="W6382">
        <v>1.7158449999999999E-2</v>
      </c>
      <c r="X6382">
        <v>0.99906379999999995</v>
      </c>
      <c r="Y6382">
        <v>0.1068728</v>
      </c>
      <c r="Z6382">
        <v>1.017631E-3</v>
      </c>
      <c r="AA6382">
        <v>0.99427220000000005</v>
      </c>
      <c r="AB6382">
        <v>32</v>
      </c>
      <c r="AC6382">
        <v>91.869299999999996</v>
      </c>
      <c r="AD6382">
        <v>3.376404</v>
      </c>
      <c r="AE6382">
        <v>-12.2818729999999</v>
      </c>
      <c r="AF6382">
        <v>9.9148885837262206</v>
      </c>
      <c r="AG6382">
        <v>3.376404</v>
      </c>
      <c r="AH6382">
        <v>92.031259729152694</v>
      </c>
      <c r="AI6382">
        <v>87.910976423566495</v>
      </c>
      <c r="AJ6382">
        <v>83.851017345777393</v>
      </c>
      <c r="AK6382">
        <v>92.625363086649699</v>
      </c>
      <c r="AL6382">
        <v>89.016844990954894</v>
      </c>
      <c r="AM6382">
        <v>87.723679485052799</v>
      </c>
      <c r="AN6382">
        <v>1.00000000522579</v>
      </c>
    </row>
    <row r="6383" spans="1:40" x14ac:dyDescent="0.25">
      <c r="A6383" t="str">
        <f>"20190312160813157"</f>
        <v>20190312160813157</v>
      </c>
      <c r="B6383" t="str">
        <f>"1552378093151636"</f>
        <v>1552378093151636</v>
      </c>
      <c r="C6383" t="s">
        <v>40</v>
      </c>
      <c r="D6383">
        <v>6.1724110000000003</v>
      </c>
      <c r="E6383">
        <v>0.52642149999999999</v>
      </c>
      <c r="F6383" t="s">
        <v>55</v>
      </c>
      <c r="G6383">
        <v>-241.47579999999999</v>
      </c>
      <c r="H6383">
        <v>4.5559779999999996</v>
      </c>
      <c r="I6383">
        <v>4.4954219999999996</v>
      </c>
      <c r="J6383">
        <v>-333.17610000000002</v>
      </c>
      <c r="K6383">
        <v>1.1084069999999999</v>
      </c>
      <c r="L6383">
        <v>17.073360000000001</v>
      </c>
      <c r="M6383">
        <v>0.99962569999999995</v>
      </c>
      <c r="N6383">
        <v>0</v>
      </c>
      <c r="O6383">
        <v>-2.597791E-2</v>
      </c>
      <c r="P6383">
        <v>0.99776350000000003</v>
      </c>
      <c r="Q6383">
        <v>8.535819E-3</v>
      </c>
      <c r="R6383">
        <v>-6.6298529999999994E-2</v>
      </c>
      <c r="S6383">
        <v>2.9788510000000001</v>
      </c>
      <c r="T6383">
        <v>0.1117855</v>
      </c>
      <c r="U6383">
        <v>-0.4079895</v>
      </c>
      <c r="V6383">
        <v>4.038038E-2</v>
      </c>
      <c r="W6383">
        <v>1.706071E-2</v>
      </c>
      <c r="X6383">
        <v>0.99903869999999895</v>
      </c>
      <c r="Y6383">
        <v>0.1098529</v>
      </c>
      <c r="Z6383">
        <v>1.081388E-3</v>
      </c>
      <c r="AA6383">
        <v>0.99394729999999998</v>
      </c>
      <c r="AB6383">
        <v>32</v>
      </c>
      <c r="AC6383">
        <v>91.700299999999999</v>
      </c>
      <c r="AD6383">
        <v>3.4475709999999999</v>
      </c>
      <c r="AE6383">
        <v>-12.577938</v>
      </c>
      <c r="AF6383">
        <v>10.1773034163223</v>
      </c>
      <c r="AG6383">
        <v>3.4475709999999999</v>
      </c>
      <c r="AH6383">
        <v>91.868655841764195</v>
      </c>
      <c r="AI6383">
        <v>87.863915118807199</v>
      </c>
      <c r="AJ6383">
        <v>83.678491103636503</v>
      </c>
      <c r="AK6383">
        <v>92.494935952193799</v>
      </c>
      <c r="AL6383">
        <v>89.022445879041996</v>
      </c>
      <c r="AM6383">
        <v>87.685408334785294</v>
      </c>
      <c r="AN6383">
        <v>0.99999998350616803</v>
      </c>
    </row>
    <row r="6384" spans="1:40" x14ac:dyDescent="0.25">
      <c r="A6384" t="str">
        <f>"20190312160813168"</f>
        <v>20190312160813168</v>
      </c>
      <c r="B6384" t="str">
        <f>"1552378093162371"</f>
        <v>1552378093162371</v>
      </c>
      <c r="C6384" t="s">
        <v>40</v>
      </c>
      <c r="D6384">
        <v>6.1696730000000004</v>
      </c>
      <c r="E6384">
        <v>0.52694379999999996</v>
      </c>
      <c r="F6384" t="s">
        <v>55</v>
      </c>
      <c r="G6384">
        <v>-241.47579999999999</v>
      </c>
      <c r="H6384">
        <v>4.5410029999999999</v>
      </c>
      <c r="I6384">
        <v>4.4135759999999999</v>
      </c>
      <c r="J6384">
        <v>-333.00990000000002</v>
      </c>
      <c r="K6384">
        <v>1.108366</v>
      </c>
      <c r="L6384">
        <v>17.068629999999999</v>
      </c>
      <c r="M6384">
        <v>0.99961429999999996</v>
      </c>
      <c r="N6384">
        <v>0</v>
      </c>
      <c r="O6384">
        <v>-2.640959E-2</v>
      </c>
      <c r="P6384">
        <v>0.99769430000000003</v>
      </c>
      <c r="Q6384">
        <v>8.5016640000000008E-3</v>
      </c>
      <c r="R6384">
        <v>-6.7335019999999995E-2</v>
      </c>
      <c r="S6384">
        <v>2.9784549999999999</v>
      </c>
      <c r="T6384">
        <v>0.1114914</v>
      </c>
      <c r="U6384">
        <v>-0.4111938</v>
      </c>
      <c r="V6384">
        <v>4.0988620000000003E-2</v>
      </c>
      <c r="W6384">
        <v>1.70259E-2</v>
      </c>
      <c r="X6384">
        <v>0.99901459999999997</v>
      </c>
      <c r="Y6384">
        <v>0.11049109999999999</v>
      </c>
      <c r="Z6384">
        <v>1.074436E-3</v>
      </c>
      <c r="AA6384">
        <v>0.99387650000000005</v>
      </c>
      <c r="AB6384">
        <v>32</v>
      </c>
      <c r="AC6384">
        <v>91.534099999999995</v>
      </c>
      <c r="AD6384">
        <v>3.4326370000000002</v>
      </c>
      <c r="AE6384">
        <v>-12.655054</v>
      </c>
      <c r="AF6384">
        <v>10.219070503300699</v>
      </c>
      <c r="AG6384">
        <v>3.4326370000000002</v>
      </c>
      <c r="AH6384">
        <v>91.709842163750594</v>
      </c>
      <c r="AI6384">
        <v>87.869631127855698</v>
      </c>
      <c r="AJ6384">
        <v>83.641857727682506</v>
      </c>
      <c r="AK6384">
        <v>92.341255939180499</v>
      </c>
      <c r="AL6384">
        <v>89.0244407091608</v>
      </c>
      <c r="AM6384">
        <v>87.650526359413703</v>
      </c>
      <c r="AN6384">
        <v>1.00000005962673</v>
      </c>
    </row>
    <row r="6385" spans="1:40" x14ac:dyDescent="0.25">
      <c r="A6385" t="str">
        <f>"20190312160813179"</f>
        <v>20190312160813179</v>
      </c>
      <c r="B6385" t="str">
        <f>"1552378093172131"</f>
        <v>1552378093172131</v>
      </c>
      <c r="C6385" t="s">
        <v>40</v>
      </c>
      <c r="D6385">
        <v>6.1119320000000004</v>
      </c>
      <c r="E6385">
        <v>0.52749840000000003</v>
      </c>
      <c r="F6385" t="s">
        <v>55</v>
      </c>
      <c r="G6385">
        <v>-241.47579999999999</v>
      </c>
      <c r="H6385">
        <v>4.5657030000000001</v>
      </c>
      <c r="I6385">
        <v>4.2063579999999998</v>
      </c>
      <c r="J6385">
        <v>-332.83550000000002</v>
      </c>
      <c r="K6385">
        <v>1.108325</v>
      </c>
      <c r="L6385">
        <v>17.06363</v>
      </c>
      <c r="M6385">
        <v>0.99960139999999997</v>
      </c>
      <c r="N6385">
        <v>0</v>
      </c>
      <c r="O6385">
        <v>-2.68877E-2</v>
      </c>
      <c r="P6385">
        <v>0.9976256</v>
      </c>
      <c r="Q6385">
        <v>8.2301930000000002E-3</v>
      </c>
      <c r="R6385">
        <v>-6.8377569999999999E-2</v>
      </c>
      <c r="S6385">
        <v>2.977722</v>
      </c>
      <c r="T6385">
        <v>0.1124716</v>
      </c>
      <c r="U6385">
        <v>-0.41842649999999998</v>
      </c>
      <c r="V6385">
        <v>4.1556000000000003E-2</v>
      </c>
      <c r="W6385">
        <v>1.6753669999999998E-2</v>
      </c>
      <c r="X6385">
        <v>0.99899570000000004</v>
      </c>
      <c r="Y6385">
        <v>0.1124148</v>
      </c>
      <c r="Z6385">
        <v>1.1021620000000001E-3</v>
      </c>
      <c r="AA6385">
        <v>0.99366069999999995</v>
      </c>
      <c r="AB6385">
        <v>32</v>
      </c>
      <c r="AC6385">
        <v>91.359700000000004</v>
      </c>
      <c r="AD6385">
        <v>3.4573779999999998</v>
      </c>
      <c r="AE6385">
        <v>-12.857272</v>
      </c>
      <c r="AF6385">
        <v>10.3815010492808</v>
      </c>
      <c r="AG6385">
        <v>3.4573779999999998</v>
      </c>
      <c r="AH6385">
        <v>91.543825589183996</v>
      </c>
      <c r="AI6385">
        <v>87.850874137103403</v>
      </c>
      <c r="AJ6385">
        <v>83.5300301791886</v>
      </c>
      <c r="AK6385">
        <v>92.195450159831907</v>
      </c>
      <c r="AL6385">
        <v>89.040040503996806</v>
      </c>
      <c r="AM6385">
        <v>87.617996247527401</v>
      </c>
      <c r="AN6385">
        <v>0.99999999760647895</v>
      </c>
    </row>
    <row r="6386" spans="1:40" x14ac:dyDescent="0.25">
      <c r="A6386" t="str">
        <f>"20190312160813190"</f>
        <v>20190312160813190</v>
      </c>
      <c r="B6386" t="str">
        <f>"1552378093181890"</f>
        <v>1552378093181890</v>
      </c>
      <c r="C6386" t="s">
        <v>40</v>
      </c>
      <c r="D6386">
        <v>6.1111550000000001</v>
      </c>
      <c r="E6386">
        <v>0.52812360000000003</v>
      </c>
      <c r="F6386" t="s">
        <v>55</v>
      </c>
      <c r="G6386">
        <v>-241.47579999999999</v>
      </c>
      <c r="H6386">
        <v>4.6231280000000003</v>
      </c>
      <c r="I6386">
        <v>3.9913639999999999</v>
      </c>
      <c r="J6386">
        <v>-332.67869999999999</v>
      </c>
      <c r="K6386">
        <v>1.1082809999999901</v>
      </c>
      <c r="L6386">
        <v>17.05902</v>
      </c>
      <c r="M6386">
        <v>0.99958910000000001</v>
      </c>
      <c r="N6386">
        <v>0</v>
      </c>
      <c r="O6386">
        <v>-2.7339789999999999E-2</v>
      </c>
      <c r="P6386">
        <v>0.99756920000000004</v>
      </c>
      <c r="Q6386">
        <v>8.6339740000000009E-3</v>
      </c>
      <c r="R6386">
        <v>-6.9145189999999995E-2</v>
      </c>
      <c r="S6386">
        <v>2.9769899999999998</v>
      </c>
      <c r="T6386">
        <v>0.1145308</v>
      </c>
      <c r="U6386">
        <v>-0.42596440000000002</v>
      </c>
      <c r="V6386">
        <v>4.1875540000000003E-2</v>
      </c>
      <c r="W6386">
        <v>1.715701E-2</v>
      </c>
      <c r="X6386">
        <v>0.99897550000000002</v>
      </c>
      <c r="Y6386">
        <v>0.1144618</v>
      </c>
      <c r="Z6386">
        <v>1.1442959999999999E-3</v>
      </c>
      <c r="AA6386">
        <v>0.99342699999999995</v>
      </c>
      <c r="AB6386">
        <v>32</v>
      </c>
      <c r="AC6386">
        <v>91.2029</v>
      </c>
      <c r="AD6386">
        <v>3.5148470000000001</v>
      </c>
      <c r="AE6386">
        <v>-13.067655999999999</v>
      </c>
      <c r="AF6386">
        <v>10.5538506809159</v>
      </c>
      <c r="AG6386">
        <v>3.5148470000000001</v>
      </c>
      <c r="AH6386">
        <v>91.393076178423897</v>
      </c>
      <c r="AI6386">
        <v>87.812097015906801</v>
      </c>
      <c r="AJ6386">
        <v>83.412799265197407</v>
      </c>
      <c r="AK6386">
        <v>92.067541984043899</v>
      </c>
      <c r="AL6386">
        <v>89.016927490830994</v>
      </c>
      <c r="AM6386">
        <v>87.599652970558196</v>
      </c>
      <c r="AN6386">
        <v>0.99999998672134005</v>
      </c>
    </row>
    <row r="6387" spans="1:40" x14ac:dyDescent="0.25">
      <c r="A6387" t="str">
        <f>"20190312160813202"</f>
        <v>20190312160813202</v>
      </c>
      <c r="B6387" t="str">
        <f>"1552378093191650"</f>
        <v>1552378093191650</v>
      </c>
      <c r="C6387" t="s">
        <v>40</v>
      </c>
      <c r="D6387">
        <v>6.3522339999999904</v>
      </c>
      <c r="E6387">
        <v>0.52812360000000003</v>
      </c>
      <c r="F6387" t="s">
        <v>55</v>
      </c>
      <c r="G6387">
        <v>-241.6901</v>
      </c>
      <c r="H6387">
        <v>4.7056329999999997</v>
      </c>
      <c r="I6387">
        <v>3.8126129999999998</v>
      </c>
      <c r="J6387">
        <v>-332.51170000000002</v>
      </c>
      <c r="K6387">
        <v>1.1082350000000001</v>
      </c>
      <c r="L6387">
        <v>17.053989999999999</v>
      </c>
      <c r="M6387">
        <v>0.99957490000000004</v>
      </c>
      <c r="N6387">
        <v>0</v>
      </c>
      <c r="O6387">
        <v>-2.78587E-2</v>
      </c>
      <c r="P6387">
        <v>0.99752810000000003</v>
      </c>
      <c r="Q6387">
        <v>8.5633329999999994E-3</v>
      </c>
      <c r="R6387">
        <v>-6.9746760000000005E-2</v>
      </c>
      <c r="S6387">
        <v>2.9762270000000002</v>
      </c>
      <c r="T6387">
        <v>0.1176687</v>
      </c>
      <c r="U6387">
        <v>-0.43328860000000002</v>
      </c>
      <c r="V6387">
        <v>4.1960959999999999E-2</v>
      </c>
      <c r="W6387">
        <v>1.7085980000000001E-2</v>
      </c>
      <c r="X6387">
        <v>0.99897309999999995</v>
      </c>
      <c r="Y6387">
        <v>0.1163718</v>
      </c>
      <c r="Z6387">
        <v>1.1928959999999999E-3</v>
      </c>
      <c r="AA6387">
        <v>0.993205</v>
      </c>
      <c r="AB6387">
        <v>32</v>
      </c>
      <c r="AC6387">
        <v>90.821600000000004</v>
      </c>
      <c r="AD6387">
        <v>3.5973980000000001</v>
      </c>
      <c r="AE6387">
        <v>-13.2413769999999</v>
      </c>
      <c r="AF6387">
        <v>10.6895501424643</v>
      </c>
      <c r="AG6387">
        <v>3.5973980000000001</v>
      </c>
      <c r="AH6387">
        <v>91.015424988618605</v>
      </c>
      <c r="AI6387">
        <v>87.751989476530795</v>
      </c>
      <c r="AJ6387">
        <v>83.301431292477702</v>
      </c>
      <c r="AK6387">
        <v>91.711587820065205</v>
      </c>
      <c r="AL6387">
        <v>89.020997774415093</v>
      </c>
      <c r="AM6387">
        <v>87.594756585227998</v>
      </c>
      <c r="AN6387">
        <v>0.99999995370014405</v>
      </c>
    </row>
    <row r="6388" spans="1:40" x14ac:dyDescent="0.25">
      <c r="A6388" t="str">
        <f>"20190312160813214"</f>
        <v>20190312160813214</v>
      </c>
      <c r="B6388" t="str">
        <f>"1552378093212148"</f>
        <v>1552378093212148</v>
      </c>
      <c r="C6388" t="s">
        <v>40</v>
      </c>
      <c r="D6388">
        <v>6.2307169999999896</v>
      </c>
      <c r="E6388">
        <v>0.55375989999999997</v>
      </c>
      <c r="F6388" t="s">
        <v>55</v>
      </c>
      <c r="G6388">
        <v>-241.6901</v>
      </c>
      <c r="H6388">
        <v>4.6943409999999997</v>
      </c>
      <c r="I6388">
        <v>3.7759900000000002</v>
      </c>
      <c r="J6388">
        <v>-332.34219999999999</v>
      </c>
      <c r="K6388">
        <v>1.108187</v>
      </c>
      <c r="L6388">
        <v>17.048829999999999</v>
      </c>
      <c r="M6388">
        <v>0.99955959999999999</v>
      </c>
      <c r="N6388">
        <v>0</v>
      </c>
      <c r="O6388">
        <v>-2.8399219999999999E-2</v>
      </c>
      <c r="P6388">
        <v>0.9974691</v>
      </c>
      <c r="Q6388">
        <v>8.2244150000000005E-3</v>
      </c>
      <c r="R6388">
        <v>-7.062541E-2</v>
      </c>
      <c r="S6388">
        <v>2.976013</v>
      </c>
      <c r="T6388">
        <v>0.11750819999999999</v>
      </c>
      <c r="U6388">
        <v>-0.43508910000000001</v>
      </c>
      <c r="V6388">
        <v>4.2302060000000002E-2</v>
      </c>
      <c r="W6388">
        <v>1.6746520000000001E-2</v>
      </c>
      <c r="X6388">
        <v>0.99896450000000003</v>
      </c>
      <c r="Y6388">
        <v>0.11643390000000001</v>
      </c>
      <c r="Z6388">
        <v>1.171327E-3</v>
      </c>
      <c r="AA6388">
        <v>0.99319769999999996</v>
      </c>
      <c r="AB6388">
        <v>32</v>
      </c>
      <c r="AC6388">
        <v>90.652100000000004</v>
      </c>
      <c r="AD6388">
        <v>3.5861540000000001</v>
      </c>
      <c r="AE6388">
        <v>-13.27284</v>
      </c>
      <c r="AF6388">
        <v>10.676584121552899</v>
      </c>
      <c r="AG6388">
        <v>3.5861540000000001</v>
      </c>
      <c r="AH6388">
        <v>90.853288642670506</v>
      </c>
      <c r="AI6388">
        <v>87.7550308740433</v>
      </c>
      <c r="AJ6388">
        <v>83.297651364105704</v>
      </c>
      <c r="AK6388">
        <v>91.548730227156696</v>
      </c>
      <c r="AL6388">
        <v>89.0404502201892</v>
      </c>
      <c r="AM6388">
        <v>87.575206791771606</v>
      </c>
      <c r="AN6388">
        <v>0.99999999123630201</v>
      </c>
    </row>
    <row r="6389" spans="1:40" x14ac:dyDescent="0.25">
      <c r="A6389" t="str">
        <f>"20190312160813225"</f>
        <v>20190312160813225</v>
      </c>
      <c r="B6389" t="str">
        <f>"1552378093221907"</f>
        <v>1552378093221907</v>
      </c>
      <c r="C6389" t="s">
        <v>40</v>
      </c>
      <c r="D6389">
        <v>6.0967580000000003</v>
      </c>
      <c r="E6389">
        <v>0.56326229999999999</v>
      </c>
      <c r="F6389" t="s">
        <v>45</v>
      </c>
      <c r="G6389">
        <v>-309.57870000000003</v>
      </c>
      <c r="H6389">
        <v>-0.05</v>
      </c>
      <c r="I6389">
        <v>12.165800000000001</v>
      </c>
      <c r="J6389">
        <v>-332.17059999999998</v>
      </c>
      <c r="K6389">
        <v>1.108133</v>
      </c>
      <c r="L6389">
        <v>17.043399999999998</v>
      </c>
      <c r="M6389">
        <v>0.99954219999999905</v>
      </c>
      <c r="N6389">
        <v>0</v>
      </c>
      <c r="O6389">
        <v>-2.900575E-2</v>
      </c>
      <c r="P6389">
        <v>0.99741740000000001</v>
      </c>
      <c r="Q6389">
        <v>8.2141550000000008E-3</v>
      </c>
      <c r="R6389">
        <v>-7.1353849999999996E-2</v>
      </c>
      <c r="S6389">
        <v>2.9638369999999998</v>
      </c>
      <c r="T6389">
        <v>-0.15079709999999999</v>
      </c>
      <c r="U6389">
        <v>-0.63577269999999997</v>
      </c>
      <c r="V6389">
        <v>4.2427569999999998E-2</v>
      </c>
      <c r="W6389">
        <v>1.6735079999999999E-2</v>
      </c>
      <c r="X6389">
        <v>0.99895940000000005</v>
      </c>
      <c r="Y6389">
        <v>0.18110109999999999</v>
      </c>
      <c r="Z6389">
        <v>-3.095408E-3</v>
      </c>
      <c r="AA6389">
        <v>0.98345959999999999</v>
      </c>
      <c r="AB6389">
        <v>33</v>
      </c>
      <c r="AC6389">
        <v>22.5918999999999</v>
      </c>
      <c r="AD6389">
        <v>-1.1581330000000001</v>
      </c>
      <c r="AE6389">
        <v>-4.8775999999999904</v>
      </c>
      <c r="AF6389">
        <v>4.2096583730305301</v>
      </c>
      <c r="AG6389">
        <v>-1.1581330000000001</v>
      </c>
      <c r="AH6389">
        <v>22.666963388277299</v>
      </c>
      <c r="AI6389">
        <v>92.875804981776398</v>
      </c>
      <c r="AJ6389">
        <v>79.479021534608705</v>
      </c>
      <c r="AK6389">
        <v>23.083624605092201</v>
      </c>
      <c r="AL6389">
        <v>89.0411058054965</v>
      </c>
      <c r="AM6389">
        <v>87.568008666716693</v>
      </c>
      <c r="AN6389">
        <v>1.0000000222235299</v>
      </c>
    </row>
    <row r="6390" spans="1:40" x14ac:dyDescent="0.25">
      <c r="A6390" t="str">
        <f>"20190312160813237"</f>
        <v>20190312160813237</v>
      </c>
      <c r="B6390" t="str">
        <f>"1552378093231667"</f>
        <v>1552378093231667</v>
      </c>
      <c r="C6390" t="s">
        <v>40</v>
      </c>
      <c r="D6390">
        <v>5.5507379999999999</v>
      </c>
      <c r="E6390">
        <v>0.56326229999999999</v>
      </c>
      <c r="F6390" t="s">
        <v>44</v>
      </c>
      <c r="G6390">
        <v>-331.3879</v>
      </c>
      <c r="H6390">
        <v>0.90897680000000003</v>
      </c>
      <c r="I6390">
        <v>16.858339999999998</v>
      </c>
      <c r="J6390">
        <v>-332.0018</v>
      </c>
      <c r="K6390">
        <v>1.10808</v>
      </c>
      <c r="L6390">
        <v>17.037960000000002</v>
      </c>
      <c r="M6390">
        <v>0.99952419999999997</v>
      </c>
      <c r="N6390">
        <v>0</v>
      </c>
      <c r="O6390">
        <v>-2.961859E-2</v>
      </c>
      <c r="P6390">
        <v>0.99736199999999997</v>
      </c>
      <c r="Q6390">
        <v>7.9948850000000002E-3</v>
      </c>
      <c r="R6390">
        <v>-7.214719E-2</v>
      </c>
      <c r="S6390">
        <v>2.9639280000000001</v>
      </c>
      <c r="T6390">
        <v>-0.75410959999999905</v>
      </c>
      <c r="U6390">
        <v>-0.70025630000000005</v>
      </c>
      <c r="V6390">
        <v>4.2611360000000001E-2</v>
      </c>
      <c r="W6390">
        <v>1.651528E-2</v>
      </c>
      <c r="X6390">
        <v>0.99895520000000004</v>
      </c>
      <c r="Y6390">
        <v>0.19598699999999999</v>
      </c>
      <c r="Z6390">
        <v>-1.690842E-2</v>
      </c>
      <c r="AA6390">
        <v>0.98046069999999996</v>
      </c>
      <c r="AB6390">
        <v>33</v>
      </c>
      <c r="AC6390">
        <v>0.613900000000001</v>
      </c>
      <c r="AD6390">
        <v>-0.19910319999999901</v>
      </c>
      <c r="AE6390">
        <v>-0.179620000000003</v>
      </c>
      <c r="AF6390">
        <v>0.14710441390297699</v>
      </c>
      <c r="AG6390">
        <v>-0.19910319999999901</v>
      </c>
      <c r="AH6390">
        <v>0.56427697460721804</v>
      </c>
      <c r="AI6390">
        <v>108.85169885651599</v>
      </c>
      <c r="AJ6390">
        <v>75.388469296511204</v>
      </c>
      <c r="AK6390">
        <v>0.61619014671759698</v>
      </c>
      <c r="AL6390">
        <v>89.053701125059206</v>
      </c>
      <c r="AM6390">
        <v>87.557476112206899</v>
      </c>
      <c r="AN6390">
        <v>0.99999998704078397</v>
      </c>
    </row>
    <row r="6391" spans="1:40" x14ac:dyDescent="0.25">
      <c r="A6391" t="str">
        <f>"20190312160813276"</f>
        <v>20190312160813276</v>
      </c>
      <c r="B6391" t="str">
        <f>"1552378093271683"</f>
        <v>1552378093271683</v>
      </c>
      <c r="C6391" t="s">
        <v>40</v>
      </c>
      <c r="D6391">
        <v>6.5335449999999904</v>
      </c>
      <c r="E6391">
        <v>0.6106954</v>
      </c>
      <c r="F6391" t="s">
        <v>44</v>
      </c>
      <c r="G6391">
        <v>-331.10750000000002</v>
      </c>
      <c r="H6391">
        <v>0.88021000000000005</v>
      </c>
      <c r="I6391">
        <v>16.825679999999998</v>
      </c>
      <c r="J6391">
        <v>-331.44760000000002</v>
      </c>
      <c r="K6391">
        <v>1.1078939999999999</v>
      </c>
      <c r="L6391">
        <v>17.019169999999999</v>
      </c>
      <c r="M6391">
        <v>0.99945439999999997</v>
      </c>
      <c r="N6391">
        <v>0</v>
      </c>
      <c r="O6391">
        <v>-3.188071E-2</v>
      </c>
      <c r="P6391">
        <v>0.99710019999999999</v>
      </c>
      <c r="Q6391">
        <v>7.6694780000000004E-3</v>
      </c>
      <c r="R6391">
        <v>-7.5714539999999997E-2</v>
      </c>
      <c r="S6391">
        <v>2.9631959999999999</v>
      </c>
      <c r="T6391">
        <v>-0.75488199999999905</v>
      </c>
      <c r="U6391">
        <v>-0.70214840000000001</v>
      </c>
      <c r="V6391">
        <v>4.393031E-2</v>
      </c>
      <c r="W6391">
        <v>1.6183449999999999E-2</v>
      </c>
      <c r="X6391">
        <v>0.99890350000000006</v>
      </c>
      <c r="Y6391">
        <v>0.19451840000000001</v>
      </c>
      <c r="Z6391">
        <v>-1.6187650000000001E-2</v>
      </c>
      <c r="AA6391">
        <v>0.98076529999999995</v>
      </c>
      <c r="AB6391">
        <v>33</v>
      </c>
      <c r="AC6391">
        <v>0.34010000000000601</v>
      </c>
      <c r="AD6391">
        <v>-0.227684</v>
      </c>
      <c r="AE6391">
        <v>-0.19349000000000399</v>
      </c>
      <c r="AF6391">
        <v>0.136373991830437</v>
      </c>
      <c r="AG6391">
        <v>-0.227684</v>
      </c>
      <c r="AH6391">
        <v>0.25855297282816803</v>
      </c>
      <c r="AI6391">
        <v>127.91509612825401</v>
      </c>
      <c r="AJ6391">
        <v>62.190555110484297</v>
      </c>
      <c r="AK6391">
        <v>0.37052329111953503</v>
      </c>
      <c r="AL6391">
        <v>89.072716127500001</v>
      </c>
      <c r="AM6391">
        <v>87.4818383326635</v>
      </c>
      <c r="AN6391">
        <v>0.99999998925142397</v>
      </c>
    </row>
    <row r="6392" spans="1:40" x14ac:dyDescent="0.25">
      <c r="A6392" t="str">
        <f>"20190312160813291"</f>
        <v>20190312160813291</v>
      </c>
      <c r="B6392" t="str">
        <f>"1552378093281486"</f>
        <v>1552378093281486</v>
      </c>
      <c r="C6392" t="s">
        <v>40</v>
      </c>
      <c r="D6392">
        <v>6.6208710000000002</v>
      </c>
      <c r="E6392">
        <v>0.6106954</v>
      </c>
      <c r="F6392" t="s">
        <v>47</v>
      </c>
      <c r="G6392">
        <v>-328.41539999999998</v>
      </c>
      <c r="H6392" s="1">
        <v>-1.5810739999999999E-6</v>
      </c>
      <c r="I6392">
        <v>15.90171</v>
      </c>
      <c r="J6392">
        <v>-331.209</v>
      </c>
      <c r="K6392">
        <v>1.1078129999999999</v>
      </c>
      <c r="L6392">
        <v>17.010560000000002</v>
      </c>
      <c r="M6392">
        <v>0.99941840000000004</v>
      </c>
      <c r="N6392">
        <v>0</v>
      </c>
      <c r="O6392">
        <v>-3.2989419999999998E-2</v>
      </c>
      <c r="P6392">
        <v>0.99694340000000004</v>
      </c>
      <c r="Q6392">
        <v>7.8698969999999903E-3</v>
      </c>
      <c r="R6392">
        <v>-7.7733990000000003E-2</v>
      </c>
      <c r="S6392">
        <v>2.9349059999999998</v>
      </c>
      <c r="T6392">
        <v>-1.072349</v>
      </c>
      <c r="U6392">
        <v>-1.081604</v>
      </c>
      <c r="V6392">
        <v>4.4849460000000001E-2</v>
      </c>
      <c r="W6392">
        <v>1.637893E-2</v>
      </c>
      <c r="X6392">
        <v>0.99885950000000001</v>
      </c>
      <c r="Y6392">
        <v>0.2994733</v>
      </c>
      <c r="Z6392">
        <v>-4.0133990000000001E-2</v>
      </c>
      <c r="AA6392">
        <v>0.9532602</v>
      </c>
      <c r="AB6392">
        <v>33</v>
      </c>
      <c r="AC6392">
        <v>2.7936000000000201</v>
      </c>
      <c r="AD6392">
        <v>-1.1078145810740001</v>
      </c>
      <c r="AE6392">
        <v>-1.1088499999999999</v>
      </c>
      <c r="AF6392">
        <v>0.89455642616378706</v>
      </c>
      <c r="AG6392">
        <v>-1.1078145810740001</v>
      </c>
      <c r="AH6392">
        <v>2.4903428872564199</v>
      </c>
      <c r="AI6392">
        <v>112.71679811988299</v>
      </c>
      <c r="AJ6392">
        <v>70.241196967980599</v>
      </c>
      <c r="AK6392">
        <v>2.8686742655344699</v>
      </c>
      <c r="AL6392">
        <v>89.061514494438995</v>
      </c>
      <c r="AM6392">
        <v>87.4291079284462</v>
      </c>
      <c r="AN6392">
        <v>1.0000000220752401</v>
      </c>
    </row>
    <row r="6393" spans="1:40" x14ac:dyDescent="0.25">
      <c r="A6393" t="str">
        <f>"20190312160813305"</f>
        <v>20190312160813305</v>
      </c>
      <c r="B6393" t="str">
        <f>"1552378093301939"</f>
        <v>1552378093301939</v>
      </c>
      <c r="C6393" t="s">
        <v>40</v>
      </c>
      <c r="D6393">
        <v>6.3927310000000004</v>
      </c>
      <c r="E6393">
        <v>0.58440289999999995</v>
      </c>
      <c r="F6393" t="s">
        <v>44</v>
      </c>
      <c r="G6393">
        <v>-330.52949999999998</v>
      </c>
      <c r="H6393">
        <v>0.85945070000000001</v>
      </c>
      <c r="I6393">
        <v>16.75836</v>
      </c>
      <c r="J6393">
        <v>-331.00749999999999</v>
      </c>
      <c r="K6393">
        <v>1.1077360000000001</v>
      </c>
      <c r="L6393">
        <v>17.002960000000002</v>
      </c>
      <c r="M6393">
        <v>0.99938459999999996</v>
      </c>
      <c r="N6393">
        <v>0</v>
      </c>
      <c r="O6393">
        <v>-3.3991649999999998E-2</v>
      </c>
      <c r="P6393">
        <v>0.99685159999999995</v>
      </c>
      <c r="Q6393">
        <v>8.2514289999999994E-3</v>
      </c>
      <c r="R6393">
        <v>-7.8859509999999994E-2</v>
      </c>
      <c r="S6393">
        <v>2.9328609999999999</v>
      </c>
      <c r="T6393">
        <v>-1.0717970000000001</v>
      </c>
      <c r="U6393">
        <v>-1.087494</v>
      </c>
      <c r="V6393">
        <v>4.4979970000000001E-2</v>
      </c>
      <c r="W6393">
        <v>1.6757959999999999E-2</v>
      </c>
      <c r="X6393">
        <v>0.99884729999999999</v>
      </c>
      <c r="Y6393">
        <v>0.30043340000000002</v>
      </c>
      <c r="Z6393">
        <v>-3.9948669999999999E-2</v>
      </c>
      <c r="AA6393">
        <v>0.95296590000000003</v>
      </c>
      <c r="AB6393">
        <v>33</v>
      </c>
      <c r="AC6393">
        <v>0.47800000000000797</v>
      </c>
      <c r="AD6393">
        <v>-0.24828529999999999</v>
      </c>
      <c r="AE6393">
        <v>-0.24460000000000101</v>
      </c>
      <c r="AF6393">
        <v>0.18801059362351299</v>
      </c>
      <c r="AG6393">
        <v>-0.24828529999999999</v>
      </c>
      <c r="AH6393">
        <v>0.40042225781736002</v>
      </c>
      <c r="AI6393">
        <v>119.30415298414199</v>
      </c>
      <c r="AJ6393">
        <v>64.848497362333006</v>
      </c>
      <c r="AK6393">
        <v>0.50727858033462103</v>
      </c>
      <c r="AL6393">
        <v>89.039794651589901</v>
      </c>
      <c r="AM6393">
        <v>87.4216053745496</v>
      </c>
      <c r="AN6393">
        <v>0.99999997782092498</v>
      </c>
    </row>
    <row r="6394" spans="1:40" x14ac:dyDescent="0.25">
      <c r="A6394" t="str">
        <f>"20190312160813318"</f>
        <v>20190312160813318</v>
      </c>
      <c r="B6394" t="str">
        <f>"1552378093311699"</f>
        <v>1552378093311699</v>
      </c>
      <c r="C6394" t="s">
        <v>40</v>
      </c>
      <c r="D6394">
        <v>6.2305390000000003</v>
      </c>
      <c r="E6394">
        <v>0.58290980000000003</v>
      </c>
      <c r="F6394" t="s">
        <v>45</v>
      </c>
      <c r="G6394">
        <v>-309.30279999999999</v>
      </c>
      <c r="H6394">
        <v>-0.05</v>
      </c>
      <c r="I6394">
        <v>10.330310000000001</v>
      </c>
      <c r="J6394">
        <v>-330.8141</v>
      </c>
      <c r="K6394">
        <v>1.1076600000000001</v>
      </c>
      <c r="L6394">
        <v>16.995539999999998</v>
      </c>
      <c r="M6394">
        <v>0.99934979999999995</v>
      </c>
      <c r="N6394">
        <v>0</v>
      </c>
      <c r="O6394">
        <v>-3.49994E-2</v>
      </c>
      <c r="P6394">
        <v>0.99675190000000002</v>
      </c>
      <c r="Q6394">
        <v>8.3025010000000003E-3</v>
      </c>
      <c r="R6394">
        <v>-8.0105570000000001E-2</v>
      </c>
      <c r="S6394">
        <v>2.9393009999999999</v>
      </c>
      <c r="T6394">
        <v>-0.15678300000000001</v>
      </c>
      <c r="U6394">
        <v>-0.90362549999999997</v>
      </c>
      <c r="V6394">
        <v>4.5224750000000001E-2</v>
      </c>
      <c r="W6394">
        <v>1.680659E-2</v>
      </c>
      <c r="X6394">
        <v>0.99883540000000004</v>
      </c>
      <c r="Y6394">
        <v>0.25992880000000002</v>
      </c>
      <c r="Z6394">
        <v>-4.9504270000000003E-3</v>
      </c>
      <c r="AA6394">
        <v>0.96561509999999995</v>
      </c>
      <c r="AB6394">
        <v>33</v>
      </c>
      <c r="AC6394">
        <v>21.511299999999999</v>
      </c>
      <c r="AD6394">
        <v>-1.1576599999999999</v>
      </c>
      <c r="AE6394">
        <v>-6.6652299999999904</v>
      </c>
      <c r="AF6394">
        <v>5.8926638961133202</v>
      </c>
      <c r="AG6394">
        <v>-1.1576599999999999</v>
      </c>
      <c r="AH6394">
        <v>21.674133534307</v>
      </c>
      <c r="AI6394">
        <v>92.9504793982927</v>
      </c>
      <c r="AJ6394">
        <v>74.790320337792593</v>
      </c>
      <c r="AK6394">
        <v>22.4907031666671</v>
      </c>
      <c r="AL6394">
        <v>89.037007936485395</v>
      </c>
      <c r="AM6394">
        <v>87.407562055445197</v>
      </c>
      <c r="AN6394">
        <v>0.99999994788657398</v>
      </c>
    </row>
    <row r="6395" spans="1:40" x14ac:dyDescent="0.25">
      <c r="A6395" t="str">
        <f>"20190312160813335"</f>
        <v>20190312160813335</v>
      </c>
      <c r="B6395" t="str">
        <f>"1552378093332195"</f>
        <v>1552378093332195</v>
      </c>
      <c r="C6395" t="s">
        <v>40</v>
      </c>
      <c r="D6395">
        <v>6.2839369999999999</v>
      </c>
      <c r="E6395">
        <v>0.58736690000000003</v>
      </c>
      <c r="F6395" t="s">
        <v>45</v>
      </c>
      <c r="G6395">
        <v>-284.93130000000002</v>
      </c>
      <c r="H6395">
        <v>-0.05</v>
      </c>
      <c r="I6395">
        <v>2.9822540000000002</v>
      </c>
      <c r="J6395">
        <v>-330.57170000000002</v>
      </c>
      <c r="K6395">
        <v>1.1075539999999999</v>
      </c>
      <c r="L6395">
        <v>16.98584</v>
      </c>
      <c r="M6395">
        <v>0.99930160000000001</v>
      </c>
      <c r="N6395">
        <v>0</v>
      </c>
      <c r="O6395">
        <v>-3.63483E-2</v>
      </c>
      <c r="P6395">
        <v>0.99660159999999998</v>
      </c>
      <c r="Q6395">
        <v>8.3642119999999993E-3</v>
      </c>
      <c r="R6395">
        <v>-8.1946399999999905E-2</v>
      </c>
      <c r="S6395">
        <v>2.9382929999999998</v>
      </c>
      <c r="T6395">
        <v>-7.413554E-2</v>
      </c>
      <c r="U6395">
        <v>-0.89739990000000003</v>
      </c>
      <c r="V6395">
        <v>4.572611E-2</v>
      </c>
      <c r="W6395">
        <v>1.6862849999999999E-2</v>
      </c>
      <c r="X6395">
        <v>0.99881169999999997</v>
      </c>
      <c r="Y6395">
        <v>0.25707439999999998</v>
      </c>
      <c r="Z6395">
        <v>-2.2751389999999998E-3</v>
      </c>
      <c r="AA6395">
        <v>0.9663889</v>
      </c>
      <c r="AB6395">
        <v>33</v>
      </c>
      <c r="AC6395">
        <v>45.6404</v>
      </c>
      <c r="AD6395">
        <v>-1.157554</v>
      </c>
      <c r="AE6395">
        <v>-14.003586</v>
      </c>
      <c r="AF6395">
        <v>12.328070440008499</v>
      </c>
      <c r="AG6395">
        <v>-1.157554</v>
      </c>
      <c r="AH6395">
        <v>46.092165398714201</v>
      </c>
      <c r="AI6395">
        <v>91.389785678794894</v>
      </c>
      <c r="AJ6395">
        <v>75.025852809243901</v>
      </c>
      <c r="AK6395">
        <v>47.726396922239502</v>
      </c>
      <c r="AL6395">
        <v>89.033784090940003</v>
      </c>
      <c r="AM6395">
        <v>87.378800132933407</v>
      </c>
      <c r="AN6395">
        <v>1.0000000224513701</v>
      </c>
    </row>
    <row r="6396" spans="1:40" x14ac:dyDescent="0.25">
      <c r="A6396" t="str">
        <f>"20190312160813345"</f>
        <v>20190312160813345</v>
      </c>
      <c r="B6396" t="str">
        <f>"1552378093341956"</f>
        <v>1552378093341956</v>
      </c>
      <c r="C6396" t="s">
        <v>40</v>
      </c>
      <c r="D6396">
        <v>6.2181340000000001</v>
      </c>
      <c r="E6396">
        <v>0.58575650000000001</v>
      </c>
      <c r="F6396" t="s">
        <v>104</v>
      </c>
      <c r="G6396">
        <v>-279.02</v>
      </c>
      <c r="H6396">
        <v>0.63048059999999995</v>
      </c>
      <c r="I6396">
        <v>0.47811890000000001</v>
      </c>
      <c r="J6396">
        <v>-330.40350000000001</v>
      </c>
      <c r="K6396">
        <v>1.1074679999999999</v>
      </c>
      <c r="L6396">
        <v>16.978819999999999</v>
      </c>
      <c r="M6396">
        <v>0.99926409999999999</v>
      </c>
      <c r="N6396">
        <v>0</v>
      </c>
      <c r="O6396">
        <v>-3.7363180000000003E-2</v>
      </c>
      <c r="P6396">
        <v>0.99651489999999998</v>
      </c>
      <c r="Q6396">
        <v>7.7564330000000001E-3</v>
      </c>
      <c r="R6396">
        <v>-8.3054810000000007E-2</v>
      </c>
      <c r="S6396">
        <v>2.9332280000000002</v>
      </c>
      <c r="T6396">
        <v>-2.7144910000000001E-2</v>
      </c>
      <c r="U6396">
        <v>-0.93927000000000005</v>
      </c>
      <c r="V6396">
        <v>4.5823349999999999E-2</v>
      </c>
      <c r="W6396">
        <v>1.625687E-2</v>
      </c>
      <c r="X6396">
        <v>0.99881730000000002</v>
      </c>
      <c r="Y6396">
        <v>0.26915679999999997</v>
      </c>
      <c r="Z6396">
        <v>-8.7822599999999996E-4</v>
      </c>
      <c r="AA6396">
        <v>0.96309599999999995</v>
      </c>
      <c r="AB6396">
        <v>33</v>
      </c>
      <c r="AC6396">
        <v>51.383499999999998</v>
      </c>
      <c r="AD6396">
        <v>-0.47698740000000001</v>
      </c>
      <c r="AE6396">
        <v>-16.500701100000001</v>
      </c>
      <c r="AF6396">
        <v>14.5681174528703</v>
      </c>
      <c r="AG6396">
        <v>-0.47698740000000001</v>
      </c>
      <c r="AH6396">
        <v>51.960101830869</v>
      </c>
      <c r="AI6396">
        <v>90.506426487598901</v>
      </c>
      <c r="AJ6396">
        <v>74.338032074225495</v>
      </c>
      <c r="AK6396">
        <v>53.965820158454598</v>
      </c>
      <c r="AL6396">
        <v>89.068508957667106</v>
      </c>
      <c r="AM6396">
        <v>87.373248460745401</v>
      </c>
      <c r="AN6396">
        <v>1.00000003200335</v>
      </c>
    </row>
    <row r="6397" spans="1:40" x14ac:dyDescent="0.25">
      <c r="A6397" t="str">
        <f>"20190312160813358"</f>
        <v>20190312160813358</v>
      </c>
      <c r="B6397" t="str">
        <f>"1552378093351715"</f>
        <v>1552378093351715</v>
      </c>
      <c r="C6397" t="s">
        <v>40</v>
      </c>
      <c r="D6397">
        <v>6.1730689999999999</v>
      </c>
      <c r="E6397">
        <v>0.58509270000000002</v>
      </c>
      <c r="F6397" t="s">
        <v>104</v>
      </c>
      <c r="G6397">
        <v>-279.02</v>
      </c>
      <c r="H6397">
        <v>0.80413330000000005</v>
      </c>
      <c r="I6397">
        <v>0.68730740000000001</v>
      </c>
      <c r="J6397">
        <v>-330.23020000000002</v>
      </c>
      <c r="K6397">
        <v>1.107386</v>
      </c>
      <c r="L6397">
        <v>16.971440000000001</v>
      </c>
      <c r="M6397">
        <v>0.99922319999999998</v>
      </c>
      <c r="N6397">
        <v>0</v>
      </c>
      <c r="O6397">
        <v>-3.843775E-2</v>
      </c>
      <c r="P6397">
        <v>0.9963611</v>
      </c>
      <c r="Q6397">
        <v>7.6857119999999999E-3</v>
      </c>
      <c r="R6397">
        <v>-8.4885509999999997E-2</v>
      </c>
      <c r="S6397">
        <v>2.9331049999999999</v>
      </c>
      <c r="T6397">
        <v>-1.7315150000000001E-2</v>
      </c>
      <c r="U6397">
        <v>-0.92996219999999996</v>
      </c>
      <c r="V6397">
        <v>4.6587360000000001E-2</v>
      </c>
      <c r="W6397">
        <v>1.6185829999999998E-2</v>
      </c>
      <c r="X6397">
        <v>0.99878310000000003</v>
      </c>
      <c r="Y6397">
        <v>0.26536149999999997</v>
      </c>
      <c r="Z6397">
        <v>-5.4338589999999897E-4</v>
      </c>
      <c r="AA6397">
        <v>0.96414880000000003</v>
      </c>
      <c r="AB6397">
        <v>33</v>
      </c>
      <c r="AC6397">
        <v>51.2102</v>
      </c>
      <c r="AD6397">
        <v>-0.30325269999999899</v>
      </c>
      <c r="AE6397">
        <v>-16.2841326</v>
      </c>
      <c r="AF6397">
        <v>14.303162941972699</v>
      </c>
      <c r="AG6397">
        <v>-0.30325269999999899</v>
      </c>
      <c r="AH6397">
        <v>51.796652139065301</v>
      </c>
      <c r="AI6397">
        <v>90.323343164128502</v>
      </c>
      <c r="AJ6397">
        <v>74.563005192397</v>
      </c>
      <c r="AK6397">
        <v>53.736073592699498</v>
      </c>
      <c r="AL6397">
        <v>89.072579776077603</v>
      </c>
      <c r="AM6397">
        <v>87.329424359334695</v>
      </c>
      <c r="AN6397">
        <v>1.00000002202508</v>
      </c>
    </row>
    <row r="6398" spans="1:40" x14ac:dyDescent="0.25">
      <c r="A6398" t="str">
        <f>"20190312160813369"</f>
        <v>20190312160813369</v>
      </c>
      <c r="B6398" t="str">
        <f>"1552378093361475"</f>
        <v>1552378093361475</v>
      </c>
      <c r="C6398" t="s">
        <v>40</v>
      </c>
      <c r="D6398">
        <v>5.7132820000000004</v>
      </c>
      <c r="E6398">
        <v>0.58333480000000004</v>
      </c>
      <c r="F6398" t="s">
        <v>104</v>
      </c>
      <c r="G6398">
        <v>-279.02</v>
      </c>
      <c r="H6398">
        <v>1.0089629999999901</v>
      </c>
      <c r="I6398">
        <v>0.71980669999999902</v>
      </c>
      <c r="J6398">
        <v>-330.0566</v>
      </c>
      <c r="K6398">
        <v>1.1073040000000001</v>
      </c>
      <c r="L6398">
        <v>16.96378</v>
      </c>
      <c r="M6398">
        <v>0.99917900000000004</v>
      </c>
      <c r="N6398">
        <v>0</v>
      </c>
      <c r="O6398">
        <v>-3.956817E-2</v>
      </c>
      <c r="P6398">
        <v>0.99622540000000004</v>
      </c>
      <c r="Q6398">
        <v>7.8770349999999992E-3</v>
      </c>
      <c r="R6398">
        <v>-8.6449189999999995E-2</v>
      </c>
      <c r="S6398">
        <v>2.9317319999999998</v>
      </c>
      <c r="T6398">
        <v>-5.6346649999999996E-3</v>
      </c>
      <c r="U6398">
        <v>-0.93038940000000003</v>
      </c>
      <c r="V6398">
        <v>4.7029179999999997E-2</v>
      </c>
      <c r="W6398">
        <v>1.6380840000000001E-2</v>
      </c>
      <c r="X6398">
        <v>0.99875919999999896</v>
      </c>
      <c r="Y6398">
        <v>0.26453149999999997</v>
      </c>
      <c r="Z6398">
        <v>-1.7401269999999999E-4</v>
      </c>
      <c r="AA6398">
        <v>0.96437700000000004</v>
      </c>
      <c r="AB6398">
        <v>33</v>
      </c>
      <c r="AC6398">
        <v>51.0366</v>
      </c>
      <c r="AD6398">
        <v>-9.8341000000000206E-2</v>
      </c>
      <c r="AE6398">
        <v>-16.2439733</v>
      </c>
      <c r="AF6398">
        <v>14.2117020453948</v>
      </c>
      <c r="AG6398">
        <v>-9.8341000000000206E-2</v>
      </c>
      <c r="AH6398">
        <v>51.639223380074903</v>
      </c>
      <c r="AI6398">
        <v>90.105201792622495</v>
      </c>
      <c r="AJ6398">
        <v>74.612489569903005</v>
      </c>
      <c r="AK6398">
        <v>53.559233912339003</v>
      </c>
      <c r="AL6398">
        <v>89.061405031266503</v>
      </c>
      <c r="AM6398">
        <v>87.304070224967901</v>
      </c>
      <c r="AN6398">
        <v>1.0000000076376001</v>
      </c>
    </row>
    <row r="6399" spans="1:40" x14ac:dyDescent="0.25">
      <c r="A6399" t="str">
        <f>"20190312160813380"</f>
        <v>20190312160813380</v>
      </c>
      <c r="B6399" t="str">
        <f>"1552378093372212"</f>
        <v>1552378093372212</v>
      </c>
      <c r="C6399" t="s">
        <v>40</v>
      </c>
      <c r="D6399">
        <v>6.4749030000000003</v>
      </c>
      <c r="E6399">
        <v>0.58333480000000004</v>
      </c>
      <c r="F6399" t="s">
        <v>104</v>
      </c>
      <c r="G6399">
        <v>-279.02</v>
      </c>
      <c r="H6399">
        <v>1.350223</v>
      </c>
      <c r="I6399">
        <v>0.92144970000000004</v>
      </c>
      <c r="J6399">
        <v>-329.90260000000001</v>
      </c>
      <c r="K6399">
        <v>1.107229</v>
      </c>
      <c r="L6399">
        <v>16.956759999999999</v>
      </c>
      <c r="M6399">
        <v>0.99913660000000004</v>
      </c>
      <c r="N6399">
        <v>0</v>
      </c>
      <c r="O6399">
        <v>-4.0622320000000003E-2</v>
      </c>
      <c r="P6399">
        <v>0.99607800000000002</v>
      </c>
      <c r="Q6399">
        <v>8.1355479999999994E-3</v>
      </c>
      <c r="R6399">
        <v>-8.8107050000000006E-2</v>
      </c>
      <c r="S6399">
        <v>2.9312740000000002</v>
      </c>
      <c r="T6399">
        <v>1.3952020000000001E-2</v>
      </c>
      <c r="U6399">
        <v>-0.9213867</v>
      </c>
      <c r="V6399">
        <v>4.7641959999999997E-2</v>
      </c>
      <c r="W6399">
        <v>1.66421E-2</v>
      </c>
      <c r="X6399">
        <v>0.9987258</v>
      </c>
      <c r="Y6399">
        <v>0.2608606</v>
      </c>
      <c r="Z6399">
        <v>4.177157E-4</v>
      </c>
      <c r="AA6399">
        <v>0.96537640000000002</v>
      </c>
      <c r="AB6399">
        <v>33</v>
      </c>
      <c r="AC6399">
        <v>50.882599999999996</v>
      </c>
      <c r="AD6399">
        <v>0.24299399999999999</v>
      </c>
      <c r="AE6399">
        <v>-16.035310299999999</v>
      </c>
      <c r="AF6399">
        <v>13.954736126542601</v>
      </c>
      <c r="AG6399">
        <v>0.24299399999999999</v>
      </c>
      <c r="AH6399">
        <v>51.4909449352267</v>
      </c>
      <c r="AI6399">
        <v>89.739028093411306</v>
      </c>
      <c r="AJ6399">
        <v>74.836320301214002</v>
      </c>
      <c r="AK6399">
        <v>53.348956098203303</v>
      </c>
      <c r="AL6399">
        <v>89.046433858898595</v>
      </c>
      <c r="AM6399">
        <v>87.268904491777306</v>
      </c>
      <c r="AN6399">
        <v>0.99999996971534499</v>
      </c>
    </row>
    <row r="6400" spans="1:40" x14ac:dyDescent="0.25">
      <c r="A6400" t="str">
        <f>"20190312160813390"</f>
        <v>20190312160813390</v>
      </c>
      <c r="B6400" t="str">
        <f>"1552378093381972"</f>
        <v>1552378093381972</v>
      </c>
      <c r="C6400" t="s">
        <v>40</v>
      </c>
      <c r="D6400">
        <v>6.2437769999999997</v>
      </c>
      <c r="E6400">
        <v>0.5824281</v>
      </c>
      <c r="F6400" t="s">
        <v>104</v>
      </c>
      <c r="G6400">
        <v>-279.02</v>
      </c>
      <c r="H6400">
        <v>1.361327</v>
      </c>
      <c r="I6400">
        <v>0.87199020000000005</v>
      </c>
      <c r="J6400">
        <v>-329.73989999999998</v>
      </c>
      <c r="K6400">
        <v>1.1071470000000001</v>
      </c>
      <c r="L6400">
        <v>16.94913</v>
      </c>
      <c r="M6400">
        <v>0.999089</v>
      </c>
      <c r="N6400">
        <v>0</v>
      </c>
      <c r="O6400">
        <v>-4.1773060000000001E-2</v>
      </c>
      <c r="P6400">
        <v>0.99594519999999997</v>
      </c>
      <c r="Q6400">
        <v>8.4060639999999996E-3</v>
      </c>
      <c r="R6400">
        <v>-8.9570129999999998E-2</v>
      </c>
      <c r="S6400">
        <v>2.9297789999999999</v>
      </c>
      <c r="T6400">
        <v>1.4630789999999999E-2</v>
      </c>
      <c r="U6400">
        <v>-0.92614750000000001</v>
      </c>
      <c r="V6400">
        <v>4.7963619999999998E-2</v>
      </c>
      <c r="W6400">
        <v>1.6916730000000001E-2</v>
      </c>
      <c r="X6400">
        <v>0.99870579999999998</v>
      </c>
      <c r="Y6400">
        <v>0.2613162</v>
      </c>
      <c r="Z6400">
        <v>4.336702E-4</v>
      </c>
      <c r="AA6400">
        <v>0.96525309999999998</v>
      </c>
      <c r="AB6400">
        <v>33</v>
      </c>
      <c r="AC6400">
        <v>50.719900000000003</v>
      </c>
      <c r="AD6400">
        <v>0.25418000000000002</v>
      </c>
      <c r="AE6400">
        <v>-16.077139800000001</v>
      </c>
      <c r="AF6400">
        <v>13.943981035387001</v>
      </c>
      <c r="AG6400">
        <v>0.25418000000000002</v>
      </c>
      <c r="AH6400">
        <v>51.346069591760397</v>
      </c>
      <c r="AI6400">
        <v>89.7262828503207</v>
      </c>
      <c r="AJ6400">
        <v>74.806689650385294</v>
      </c>
      <c r="AK6400">
        <v>53.206372523500697</v>
      </c>
      <c r="AL6400">
        <v>89.030696512624502</v>
      </c>
      <c r="AM6400">
        <v>87.250438420174802</v>
      </c>
      <c r="AN6400">
        <v>0.99999997977551802</v>
      </c>
    </row>
    <row r="6401" spans="1:40" x14ac:dyDescent="0.25">
      <c r="A6401" t="str">
        <f>"20190312160813403"</f>
        <v>20190312160813403</v>
      </c>
      <c r="B6401" t="str">
        <f>"1552378093391730"</f>
        <v>1552378093391730</v>
      </c>
      <c r="C6401" t="s">
        <v>40</v>
      </c>
      <c r="D6401">
        <v>6.4611049999999999</v>
      </c>
      <c r="E6401">
        <v>0.58239160000000001</v>
      </c>
      <c r="F6401" t="s">
        <v>104</v>
      </c>
      <c r="G6401">
        <v>-279.02</v>
      </c>
      <c r="H6401">
        <v>1.4662170000000001</v>
      </c>
      <c r="I6401">
        <v>0.95655440000000003</v>
      </c>
      <c r="J6401">
        <v>-329.56729999999999</v>
      </c>
      <c r="K6401">
        <v>1.107056</v>
      </c>
      <c r="L6401">
        <v>16.940770000000001</v>
      </c>
      <c r="M6401">
        <v>0.99903359999999997</v>
      </c>
      <c r="N6401">
        <v>0</v>
      </c>
      <c r="O6401">
        <v>-4.307184E-2</v>
      </c>
      <c r="P6401">
        <v>0.99580619999999997</v>
      </c>
      <c r="Q6401">
        <v>8.660315E-3</v>
      </c>
      <c r="R6401">
        <v>-9.1078969999999995E-2</v>
      </c>
      <c r="S6401">
        <v>2.9290159999999998</v>
      </c>
      <c r="T6401">
        <v>2.0735859999999998E-2</v>
      </c>
      <c r="U6401">
        <v>-0.92355350000000003</v>
      </c>
      <c r="V6401">
        <v>4.8183709999999998E-2</v>
      </c>
      <c r="W6401">
        <v>1.7179429999999999E-2</v>
      </c>
      <c r="X6401">
        <v>0.99869070000000004</v>
      </c>
      <c r="Y6401">
        <v>0.25935330000000001</v>
      </c>
      <c r="Z6401">
        <v>5.9913260000000004E-4</v>
      </c>
      <c r="AA6401">
        <v>0.96578229999999998</v>
      </c>
      <c r="AB6401">
        <v>33</v>
      </c>
      <c r="AC6401">
        <v>50.5473</v>
      </c>
      <c r="AD6401">
        <v>0.35916100000000001</v>
      </c>
      <c r="AE6401">
        <v>-15.984215599999899</v>
      </c>
      <c r="AF6401">
        <v>13.791499056794899</v>
      </c>
      <c r="AG6401">
        <v>0.35916100000000001</v>
      </c>
      <c r="AH6401">
        <v>51.186534009607698</v>
      </c>
      <c r="AI6401">
        <v>89.611821578017</v>
      </c>
      <c r="AJ6401">
        <v>74.920544027904796</v>
      </c>
      <c r="AK6401">
        <v>53.013165409869799</v>
      </c>
      <c r="AL6401">
        <v>89.015642702296006</v>
      </c>
      <c r="AM6401">
        <v>87.2377993412275</v>
      </c>
      <c r="AN6401">
        <v>0.99999995849548795</v>
      </c>
    </row>
    <row r="6402" spans="1:40" x14ac:dyDescent="0.25">
      <c r="A6402" t="str">
        <f>"20190312160813416"</f>
        <v>20190312160813416</v>
      </c>
      <c r="B6402" t="str">
        <f>"1552378093412227"</f>
        <v>1552378093412227</v>
      </c>
      <c r="C6402" t="s">
        <v>40</v>
      </c>
      <c r="D6402">
        <v>6.3642159999999999</v>
      </c>
      <c r="E6402">
        <v>0.58080600000000004</v>
      </c>
      <c r="F6402" t="s">
        <v>104</v>
      </c>
      <c r="G6402">
        <v>-279.02</v>
      </c>
      <c r="H6402">
        <v>1.4788399999999999</v>
      </c>
      <c r="I6402">
        <v>0.92418670000000003</v>
      </c>
      <c r="J6402">
        <v>-329.38130000000001</v>
      </c>
      <c r="K6402">
        <v>1.1069519999999999</v>
      </c>
      <c r="L6402">
        <v>16.931550000000001</v>
      </c>
      <c r="M6402">
        <v>0.99897029999999998</v>
      </c>
      <c r="N6402">
        <v>0</v>
      </c>
      <c r="O6402">
        <v>-4.451223E-2</v>
      </c>
      <c r="P6402">
        <v>0.995645</v>
      </c>
      <c r="Q6402">
        <v>8.7872479999999992E-3</v>
      </c>
      <c r="R6402">
        <v>-9.2812889999999995E-2</v>
      </c>
      <c r="S6402">
        <v>2.9275820000000001</v>
      </c>
      <c r="T6402">
        <v>2.1532889999999999E-2</v>
      </c>
      <c r="U6402">
        <v>-0.92764279999999999</v>
      </c>
      <c r="V6402">
        <v>4.8488110000000001E-2</v>
      </c>
      <c r="W6402">
        <v>1.731626E-2</v>
      </c>
      <c r="X6402">
        <v>0.99867360000000005</v>
      </c>
      <c r="Y6402">
        <v>0.25932270000000002</v>
      </c>
      <c r="Z6402">
        <v>6.1191709999999897E-4</v>
      </c>
      <c r="AA6402">
        <v>0.96579060000000005</v>
      </c>
      <c r="AB6402">
        <v>33</v>
      </c>
      <c r="AC6402">
        <v>50.3613</v>
      </c>
      <c r="AD6402">
        <v>0.371888</v>
      </c>
      <c r="AE6402">
        <v>-16.007363300000002</v>
      </c>
      <c r="AF6402">
        <v>13.7490351987853</v>
      </c>
      <c r="AG6402">
        <v>0.371888</v>
      </c>
      <c r="AH6402">
        <v>51.021404016242698</v>
      </c>
      <c r="AI6402">
        <v>89.596769997395</v>
      </c>
      <c r="AJ6402">
        <v>74.918420668770494</v>
      </c>
      <c r="AK6402">
        <v>52.842766178263702</v>
      </c>
      <c r="AL6402">
        <v>89.007801750111895</v>
      </c>
      <c r="AM6402">
        <v>87.220328933750494</v>
      </c>
      <c r="AN6402">
        <v>0.99999995450435797</v>
      </c>
    </row>
    <row r="6403" spans="1:40" x14ac:dyDescent="0.25">
      <c r="A6403" t="str">
        <f>"20190312160813427"</f>
        <v>20190312160813427</v>
      </c>
      <c r="B6403" t="str">
        <f>"1552378093421987"</f>
        <v>1552378093421987</v>
      </c>
      <c r="C6403" t="s">
        <v>40</v>
      </c>
      <c r="D6403">
        <v>6.2959189999999996</v>
      </c>
      <c r="E6403">
        <v>0.57980969999999998</v>
      </c>
      <c r="F6403" t="s">
        <v>104</v>
      </c>
      <c r="G6403">
        <v>-279.02</v>
      </c>
      <c r="H6403">
        <v>1.50013</v>
      </c>
      <c r="I6403">
        <v>1.099674</v>
      </c>
      <c r="J6403">
        <v>-329.1995</v>
      </c>
      <c r="K6403">
        <v>1.106846</v>
      </c>
      <c r="L6403">
        <v>16.922090000000001</v>
      </c>
      <c r="M6403">
        <v>0.9989017</v>
      </c>
      <c r="N6403">
        <v>0</v>
      </c>
      <c r="O6403">
        <v>-4.602154E-2</v>
      </c>
      <c r="P6403">
        <v>0.99546089999999998</v>
      </c>
      <c r="Q6403">
        <v>8.6498240000000004E-3</v>
      </c>
      <c r="R6403">
        <v>-9.477969E-2</v>
      </c>
      <c r="S6403">
        <v>2.927155</v>
      </c>
      <c r="T6403">
        <v>2.285266E-2</v>
      </c>
      <c r="U6403">
        <v>-0.92019649999999997</v>
      </c>
      <c r="V6403">
        <v>4.8955940000000003E-2</v>
      </c>
      <c r="W6403">
        <v>1.719277E-2</v>
      </c>
      <c r="X6403">
        <v>0.99865289999999995</v>
      </c>
      <c r="Y6403">
        <v>0.25566739999999999</v>
      </c>
      <c r="Z6403">
        <v>6.2435959999999999E-4</v>
      </c>
      <c r="AA6403">
        <v>0.96676459999999997</v>
      </c>
      <c r="AB6403">
        <v>33</v>
      </c>
      <c r="AC6403">
        <v>50.179499999999997</v>
      </c>
      <c r="AD6403">
        <v>0.39328400000000002</v>
      </c>
      <c r="AE6403">
        <v>-15.822416</v>
      </c>
      <c r="AF6403">
        <v>13.495468746867999</v>
      </c>
      <c r="AG6403">
        <v>0.39328400000000002</v>
      </c>
      <c r="AH6403">
        <v>50.851687021609102</v>
      </c>
      <c r="AI6403">
        <v>89.571711835969296</v>
      </c>
      <c r="AJ6403">
        <v>75.1369594930121</v>
      </c>
      <c r="AK6403">
        <v>52.613462364170999</v>
      </c>
      <c r="AL6403">
        <v>89.014878250407605</v>
      </c>
      <c r="AM6403">
        <v>87.193494302019005</v>
      </c>
      <c r="AN6403">
        <v>0.99999994503998102</v>
      </c>
    </row>
    <row r="6404" spans="1:40" x14ac:dyDescent="0.25">
      <c r="A6404" t="str">
        <f>"20190312160813440"</f>
        <v>20190312160813440</v>
      </c>
      <c r="B6404" t="str">
        <f>"1552378093431747"</f>
        <v>1552378093431747</v>
      </c>
      <c r="C6404" t="s">
        <v>40</v>
      </c>
      <c r="D6404">
        <v>6.4487769999999998</v>
      </c>
      <c r="E6404">
        <v>0.57937590000000005</v>
      </c>
      <c r="F6404" t="s">
        <v>104</v>
      </c>
      <c r="G6404">
        <v>-279.02</v>
      </c>
      <c r="H6404">
        <v>1.546721</v>
      </c>
      <c r="I6404">
        <v>1.17638</v>
      </c>
      <c r="J6404">
        <v>-329.01</v>
      </c>
      <c r="K6404">
        <v>1.106735</v>
      </c>
      <c r="L6404">
        <v>16.911929999999899</v>
      </c>
      <c r="M6404">
        <v>0.99882499999999996</v>
      </c>
      <c r="N6404">
        <v>0</v>
      </c>
      <c r="O6404">
        <v>-4.7648080000000002E-2</v>
      </c>
      <c r="P6404">
        <v>0.99523709999999999</v>
      </c>
      <c r="Q6404">
        <v>8.1345669999999901E-3</v>
      </c>
      <c r="R6404">
        <v>-9.7144880000000003E-2</v>
      </c>
      <c r="S6404">
        <v>2.9260250000000001</v>
      </c>
      <c r="T6404">
        <v>2.5649669999999999E-2</v>
      </c>
      <c r="U6404">
        <v>-0.91815190000000002</v>
      </c>
      <c r="V6404">
        <v>4.9704789999999999E-2</v>
      </c>
      <c r="W6404">
        <v>1.6694549999999999E-2</v>
      </c>
      <c r="X6404">
        <v>0.99862439999999997</v>
      </c>
      <c r="Y6404">
        <v>0.253583</v>
      </c>
      <c r="Z6404">
        <v>6.7831860000000001E-4</v>
      </c>
      <c r="AA6404">
        <v>0.96731339999999999</v>
      </c>
      <c r="AB6404">
        <v>33</v>
      </c>
      <c r="AC6404">
        <v>49.99</v>
      </c>
      <c r="AD6404">
        <v>0.43998599999999999</v>
      </c>
      <c r="AE6404">
        <v>-15.7355499999999</v>
      </c>
      <c r="AF6404">
        <v>13.3347153126669</v>
      </c>
      <c r="AG6404">
        <v>0.43998599999999999</v>
      </c>
      <c r="AH6404">
        <v>50.679442251291498</v>
      </c>
      <c r="AI6404">
        <v>89.518957349924904</v>
      </c>
      <c r="AJ6404">
        <v>75.258530715346595</v>
      </c>
      <c r="AK6404">
        <v>52.406240917013598</v>
      </c>
      <c r="AL6404">
        <v>89.043428290529505</v>
      </c>
      <c r="AM6404">
        <v>87.150553877089294</v>
      </c>
      <c r="AN6404">
        <v>0.99999998321200301</v>
      </c>
    </row>
    <row r="6405" spans="1:40" x14ac:dyDescent="0.25">
      <c r="A6405" t="str">
        <f>"20190312160813451"</f>
        <v>20190312160813451</v>
      </c>
      <c r="B6405" t="str">
        <f>"1552378093441508"</f>
        <v>1552378093441508</v>
      </c>
      <c r="C6405" t="s">
        <v>40</v>
      </c>
      <c r="D6405">
        <v>6.254626</v>
      </c>
      <c r="E6405">
        <v>0.57810240000000002</v>
      </c>
      <c r="F6405" t="s">
        <v>104</v>
      </c>
      <c r="G6405">
        <v>-279.02</v>
      </c>
      <c r="H6405">
        <v>1.5165169999999999</v>
      </c>
      <c r="I6405">
        <v>1.155146</v>
      </c>
      <c r="J6405">
        <v>-328.84390000000002</v>
      </c>
      <c r="K6405">
        <v>1.106635</v>
      </c>
      <c r="L6405">
        <v>16.90277</v>
      </c>
      <c r="M6405">
        <v>0.99875329999999996</v>
      </c>
      <c r="N6405">
        <v>0</v>
      </c>
      <c r="O6405">
        <v>-4.9121579999999998E-2</v>
      </c>
      <c r="P6405">
        <v>0.99501629999999996</v>
      </c>
      <c r="Q6405">
        <v>7.7203039999999999E-3</v>
      </c>
      <c r="R6405">
        <v>-9.9413130000000002E-2</v>
      </c>
      <c r="S6405">
        <v>2.9241640000000002</v>
      </c>
      <c r="T6405">
        <v>2.3970129999999999E-2</v>
      </c>
      <c r="U6405">
        <v>-0.92169190000000001</v>
      </c>
      <c r="V6405">
        <v>5.0509409999999998E-2</v>
      </c>
      <c r="W6405">
        <v>1.62974E-2</v>
      </c>
      <c r="X6405">
        <v>0.99859059999999999</v>
      </c>
      <c r="Y6405">
        <v>0.25339840000000002</v>
      </c>
      <c r="Z6405">
        <v>6.2170159999999999E-4</v>
      </c>
      <c r="AA6405">
        <v>0.96736180000000005</v>
      </c>
      <c r="AB6405">
        <v>33</v>
      </c>
      <c r="AC6405">
        <v>49.823900000000002</v>
      </c>
      <c r="AD6405">
        <v>0.40988200000000002</v>
      </c>
      <c r="AE6405">
        <v>-15.747623999999901</v>
      </c>
      <c r="AF6405">
        <v>13.280269662769999</v>
      </c>
      <c r="AG6405">
        <v>0.40988200000000002</v>
      </c>
      <c r="AH6405">
        <v>50.534217467385801</v>
      </c>
      <c r="AI6405">
        <v>89.550545777466198</v>
      </c>
      <c r="AJ6405">
        <v>75.275746727681394</v>
      </c>
      <c r="AK6405">
        <v>52.251705241177099</v>
      </c>
      <c r="AL6405">
        <v>89.066186418557393</v>
      </c>
      <c r="AM6405">
        <v>87.104407140718294</v>
      </c>
      <c r="AN6405">
        <v>0.99999999607683399</v>
      </c>
    </row>
    <row r="6406" spans="1:40" x14ac:dyDescent="0.25">
      <c r="A6406" t="str">
        <f>"20190312160813462"</f>
        <v>20190312160813462</v>
      </c>
      <c r="B6406" t="str">
        <f>"1552378093452244"</f>
        <v>1552378093452244</v>
      </c>
      <c r="C6406" t="s">
        <v>40</v>
      </c>
      <c r="D6406">
        <v>6.2254509999999996</v>
      </c>
      <c r="E6406">
        <v>0.57699509999999998</v>
      </c>
      <c r="F6406" t="s">
        <v>104</v>
      </c>
      <c r="G6406">
        <v>-279.02</v>
      </c>
      <c r="H6406">
        <v>1.680661</v>
      </c>
      <c r="I6406">
        <v>1.2448709999999901</v>
      </c>
      <c r="J6406">
        <v>-328.67619999999999</v>
      </c>
      <c r="K6406">
        <v>1.1065419999999999</v>
      </c>
      <c r="L6406">
        <v>16.8931</v>
      </c>
      <c r="M6406">
        <v>0.99867479999999997</v>
      </c>
      <c r="N6406">
        <v>0</v>
      </c>
      <c r="O6406">
        <v>-5.0683440000000003E-2</v>
      </c>
      <c r="P6406">
        <v>0.99478409999999995</v>
      </c>
      <c r="Q6406">
        <v>7.2311509999999999E-3</v>
      </c>
      <c r="R6406">
        <v>-0.101747</v>
      </c>
      <c r="S6406">
        <v>2.9229430000000001</v>
      </c>
      <c r="T6406">
        <v>3.3675549999999999E-2</v>
      </c>
      <c r="U6406">
        <v>-0.91857909999999998</v>
      </c>
      <c r="V6406">
        <v>5.1291379999999998E-2</v>
      </c>
      <c r="W6406">
        <v>1.583731E-2</v>
      </c>
      <c r="X6406">
        <v>0.99855819999999995</v>
      </c>
      <c r="Y6406">
        <v>0.25105739999999999</v>
      </c>
      <c r="Z6406">
        <v>8.4323969999999999E-4</v>
      </c>
      <c r="AA6406">
        <v>0.96797180000000005</v>
      </c>
      <c r="AB6406">
        <v>33</v>
      </c>
      <c r="AC6406">
        <v>49.656199999999998</v>
      </c>
      <c r="AD6406">
        <v>0.57411899999999905</v>
      </c>
      <c r="AE6406">
        <v>-15.648229000000001</v>
      </c>
      <c r="AF6406">
        <v>13.109674147371299</v>
      </c>
      <c r="AG6406">
        <v>0.57411899999999905</v>
      </c>
      <c r="AH6406">
        <v>50.379386737019303</v>
      </c>
      <c r="AI6406">
        <v>89.368131633577306</v>
      </c>
      <c r="AJ6406">
        <v>75.414030630029103</v>
      </c>
      <c r="AK6406">
        <v>52.060309035526998</v>
      </c>
      <c r="AL6406">
        <v>89.092551088584798</v>
      </c>
      <c r="AM6406">
        <v>87.059561359196294</v>
      </c>
      <c r="AN6406">
        <v>1.00000005241878</v>
      </c>
    </row>
    <row r="6407" spans="1:40" x14ac:dyDescent="0.25">
      <c r="A6407" t="str">
        <f>"20190312160813476"</f>
        <v>20190312160813476</v>
      </c>
      <c r="B6407" t="str">
        <f>"1552378093472383"</f>
        <v>1552378093472383</v>
      </c>
      <c r="C6407" t="s">
        <v>40</v>
      </c>
      <c r="D6407">
        <v>6.3082979999999997</v>
      </c>
      <c r="E6407">
        <v>0.57556830000000003</v>
      </c>
      <c r="F6407" t="s">
        <v>104</v>
      </c>
      <c r="G6407">
        <v>-279.02</v>
      </c>
      <c r="H6407">
        <v>1.699918</v>
      </c>
      <c r="I6407">
        <v>1.3140339999999999</v>
      </c>
      <c r="J6407">
        <v>-328.4853</v>
      </c>
      <c r="K6407">
        <v>1.106439</v>
      </c>
      <c r="L6407">
        <v>16.88184</v>
      </c>
      <c r="M6407">
        <v>0.99858060000000004</v>
      </c>
      <c r="N6407">
        <v>0</v>
      </c>
      <c r="O6407">
        <v>-5.2501029999999997E-2</v>
      </c>
      <c r="P6407">
        <v>0.99449770000000004</v>
      </c>
      <c r="Q6407">
        <v>6.9587069999999997E-3</v>
      </c>
      <c r="R6407">
        <v>-0.1045302</v>
      </c>
      <c r="S6407">
        <v>2.9217219999999999</v>
      </c>
      <c r="T6407">
        <v>3.4913659999999999E-2</v>
      </c>
      <c r="U6407">
        <v>-0.91665649999999999</v>
      </c>
      <c r="V6407">
        <v>5.2270789999999998E-2</v>
      </c>
      <c r="W6407">
        <v>1.5604170000000001E-2</v>
      </c>
      <c r="X6407">
        <v>0.99851100000000004</v>
      </c>
      <c r="Y6407">
        <v>0.2488302</v>
      </c>
      <c r="Z6407">
        <v>8.4057019999999997E-4</v>
      </c>
      <c r="AA6407">
        <v>0.96854669999999998</v>
      </c>
      <c r="AB6407">
        <v>33</v>
      </c>
      <c r="AC6407">
        <v>49.465299999999999</v>
      </c>
      <c r="AD6407">
        <v>0.59347899999999998</v>
      </c>
      <c r="AE6407">
        <v>-15.567805999999999</v>
      </c>
      <c r="AF6407">
        <v>12.947554782828201</v>
      </c>
      <c r="AG6407">
        <v>0.59347899999999998</v>
      </c>
      <c r="AH6407">
        <v>50.207858116179402</v>
      </c>
      <c r="AI6407">
        <v>89.344222407875606</v>
      </c>
      <c r="AJ6407">
        <v>75.539669238320101</v>
      </c>
      <c r="AK6407">
        <v>51.853836972708002</v>
      </c>
      <c r="AL6407">
        <v>89.105910604432495</v>
      </c>
      <c r="AM6407">
        <v>87.003373602753697</v>
      </c>
      <c r="AN6407">
        <v>0.99999997136480601</v>
      </c>
    </row>
    <row r="6408" spans="1:40" x14ac:dyDescent="0.25">
      <c r="A6408" t="str">
        <f>"20190312160813491"</f>
        <v>20190312160813491</v>
      </c>
      <c r="B6408" t="str">
        <f>"1552378093482126"</f>
        <v>1552378093482126</v>
      </c>
      <c r="C6408" t="s">
        <v>40</v>
      </c>
      <c r="D6408">
        <v>6.2368779999999999</v>
      </c>
      <c r="E6408">
        <v>0.57442720000000003</v>
      </c>
      <c r="F6408" t="s">
        <v>104</v>
      </c>
      <c r="G6408">
        <v>-279.02</v>
      </c>
      <c r="H6408">
        <v>1.7117910000000001</v>
      </c>
      <c r="I6408">
        <v>1.4096679999999999</v>
      </c>
      <c r="J6408">
        <v>-328.23669999999998</v>
      </c>
      <c r="K6408">
        <v>1.106317</v>
      </c>
      <c r="L6408">
        <v>16.866520000000001</v>
      </c>
      <c r="M6408">
        <v>0.99844560000000004</v>
      </c>
      <c r="N6408">
        <v>0</v>
      </c>
      <c r="O6408">
        <v>-5.499188E-2</v>
      </c>
      <c r="P6408">
        <v>0.99404219999999999</v>
      </c>
      <c r="Q6408">
        <v>6.2475810000000003E-3</v>
      </c>
      <c r="R6408">
        <v>-0.10881970000000001</v>
      </c>
      <c r="S6408">
        <v>2.9203489999999999</v>
      </c>
      <c r="T6408">
        <v>3.5739060000000003E-2</v>
      </c>
      <c r="U6408">
        <v>-0.91345209999999999</v>
      </c>
      <c r="V6408">
        <v>5.4089079999999998E-2</v>
      </c>
      <c r="W6408">
        <v>1.4965279999999999E-2</v>
      </c>
      <c r="X6408">
        <v>0.99842390000000003</v>
      </c>
      <c r="Y6408">
        <v>0.24557480000000001</v>
      </c>
      <c r="Z6408">
        <v>8.118884E-4</v>
      </c>
      <c r="AA6408">
        <v>0.9693773</v>
      </c>
      <c r="AB6408">
        <v>33</v>
      </c>
      <c r="AC6408">
        <v>49.216700000000003</v>
      </c>
      <c r="AD6408">
        <v>0.60547399999999996</v>
      </c>
      <c r="AE6408">
        <v>-15.456852</v>
      </c>
      <c r="AF6408">
        <v>12.7250776130223</v>
      </c>
      <c r="AG6408">
        <v>0.60547399999999996</v>
      </c>
      <c r="AH6408">
        <v>49.985369722849697</v>
      </c>
      <c r="AI6408">
        <v>89.327457975618401</v>
      </c>
      <c r="AJ6408">
        <v>75.717258353308793</v>
      </c>
      <c r="AK6408">
        <v>51.583247138505101</v>
      </c>
      <c r="AL6408">
        <v>89.142520553179907</v>
      </c>
      <c r="AM6408">
        <v>86.899063081717301</v>
      </c>
      <c r="AN6408">
        <v>0.99999993613596505</v>
      </c>
    </row>
    <row r="6409" spans="1:40" x14ac:dyDescent="0.25">
      <c r="A6409" t="str">
        <f>"20190312160813513"</f>
        <v>20190312160813513</v>
      </c>
      <c r="B6409" t="str">
        <f>"1552378093501646"</f>
        <v>1552378093501646</v>
      </c>
      <c r="C6409" t="s">
        <v>40</v>
      </c>
      <c r="D6409">
        <v>6.5721899999999902</v>
      </c>
      <c r="E6409">
        <v>0.57356439999999997</v>
      </c>
      <c r="F6409" t="s">
        <v>104</v>
      </c>
      <c r="G6409">
        <v>-279.02</v>
      </c>
      <c r="H6409">
        <v>1.7838189999999901</v>
      </c>
      <c r="I6409">
        <v>1.3929940000000001</v>
      </c>
      <c r="J6409">
        <v>-327.92579999999998</v>
      </c>
      <c r="K6409">
        <v>1.1061749999999999</v>
      </c>
      <c r="L6409">
        <v>16.846309999999999</v>
      </c>
      <c r="M6409">
        <v>0.99825850000000005</v>
      </c>
      <c r="N6409">
        <v>0</v>
      </c>
      <c r="O6409">
        <v>-5.826017E-2</v>
      </c>
      <c r="P6409">
        <v>0.9934925</v>
      </c>
      <c r="Q6409">
        <v>6.2887749999999999E-3</v>
      </c>
      <c r="R6409">
        <v>-0.11372359999999999</v>
      </c>
      <c r="S6409">
        <v>2.9173580000000001</v>
      </c>
      <c r="T6409">
        <v>4.0159460000000001E-2</v>
      </c>
      <c r="U6409">
        <v>-0.91720579999999996</v>
      </c>
      <c r="V6409">
        <v>5.5755119999999998E-2</v>
      </c>
      <c r="W6409">
        <v>1.513167E-2</v>
      </c>
      <c r="X6409">
        <v>0.99832980000000004</v>
      </c>
      <c r="Y6409">
        <v>0.24381649999999999</v>
      </c>
      <c r="Z6409">
        <v>8.5752199999999999E-4</v>
      </c>
      <c r="AA6409">
        <v>0.96982100000000004</v>
      </c>
      <c r="AB6409">
        <v>33</v>
      </c>
      <c r="AC6409">
        <v>48.905799999999999</v>
      </c>
      <c r="AD6409">
        <v>0.67764399999999902</v>
      </c>
      <c r="AE6409">
        <v>-15.453315999999999</v>
      </c>
      <c r="AF6409">
        <v>12.5754877074174</v>
      </c>
      <c r="AG6409">
        <v>0.67764399999999902</v>
      </c>
      <c r="AH6409">
        <v>49.714396261015203</v>
      </c>
      <c r="AI6409">
        <v>89.242907725327697</v>
      </c>
      <c r="AJ6409">
        <v>75.804536832319101</v>
      </c>
      <c r="AK6409">
        <v>51.284727629845001</v>
      </c>
      <c r="AL6409">
        <v>89.132986079385702</v>
      </c>
      <c r="AM6409">
        <v>86.803443142668897</v>
      </c>
      <c r="AN6409">
        <v>0.999999995205621</v>
      </c>
    </row>
    <row r="6410" spans="1:40" x14ac:dyDescent="0.25">
      <c r="A6410" t="str">
        <f>"20190312160813525"</f>
        <v>20190312160813525</v>
      </c>
      <c r="B6410" t="str">
        <f>"1552378093522142"</f>
        <v>1552378093522142</v>
      </c>
      <c r="C6410" t="s">
        <v>40</v>
      </c>
      <c r="D6410">
        <v>6.1658900000000001</v>
      </c>
      <c r="E6410">
        <v>0.57290229999999998</v>
      </c>
      <c r="F6410" t="s">
        <v>104</v>
      </c>
      <c r="G6410">
        <v>-279.02</v>
      </c>
      <c r="H6410">
        <v>1.8055490000000001</v>
      </c>
      <c r="I6410">
        <v>1.3237019999999999</v>
      </c>
      <c r="J6410">
        <v>-327.76060000000001</v>
      </c>
      <c r="K6410">
        <v>1.1061049999999999</v>
      </c>
      <c r="L6410">
        <v>16.834959999999999</v>
      </c>
      <c r="M6410">
        <v>0.99814959999999997</v>
      </c>
      <c r="N6410">
        <v>0</v>
      </c>
      <c r="O6410">
        <v>-6.0083549999999999E-2</v>
      </c>
      <c r="P6410">
        <v>0.99319460000000004</v>
      </c>
      <c r="Q6410">
        <v>6.1814019999999999E-3</v>
      </c>
      <c r="R6410">
        <v>-0.1163049</v>
      </c>
      <c r="S6410">
        <v>2.913513</v>
      </c>
      <c r="T6410">
        <v>4.1664479999999997E-2</v>
      </c>
      <c r="U6410">
        <v>-0.92474369999999995</v>
      </c>
      <c r="V6410">
        <v>5.6528969999999998E-2</v>
      </c>
      <c r="W6410">
        <v>1.5115470000000001E-2</v>
      </c>
      <c r="X6410">
        <v>0.99828649999999997</v>
      </c>
      <c r="Y6410">
        <v>0.24469099999999999</v>
      </c>
      <c r="Z6410">
        <v>8.712546E-4</v>
      </c>
      <c r="AA6410">
        <v>0.96960069999999998</v>
      </c>
      <c r="AB6410">
        <v>33</v>
      </c>
      <c r="AC6410">
        <v>48.740600000000001</v>
      </c>
      <c r="AD6410">
        <v>0.69944399999999995</v>
      </c>
      <c r="AE6410">
        <v>-15.5112579999999</v>
      </c>
      <c r="AF6410">
        <v>12.552248787305301</v>
      </c>
      <c r="AG6410">
        <v>0.69944399999999995</v>
      </c>
      <c r="AH6410">
        <v>49.575277044531099</v>
      </c>
      <c r="AI6410">
        <v>89.216407117006398</v>
      </c>
      <c r="AJ6410">
        <v>75.791555036229994</v>
      </c>
      <c r="AK6410">
        <v>51.144464662068401</v>
      </c>
      <c r="AL6410">
        <v>89.133914354472296</v>
      </c>
      <c r="AM6410">
        <v>86.759030370070306</v>
      </c>
      <c r="AN6410">
        <v>0.99999996898241506</v>
      </c>
    </row>
    <row r="6411" spans="1:40" x14ac:dyDescent="0.25">
      <c r="A6411" t="str">
        <f>"20190312160813536"</f>
        <v>20190312160813536</v>
      </c>
      <c r="B6411" t="str">
        <f>"1552378093531902"</f>
        <v>1552378093531902</v>
      </c>
      <c r="C6411" t="s">
        <v>40</v>
      </c>
      <c r="D6411">
        <v>6.5853970000000004</v>
      </c>
      <c r="E6411">
        <v>0.57239969999999996</v>
      </c>
      <c r="F6411" t="s">
        <v>104</v>
      </c>
      <c r="G6411">
        <v>-279.02</v>
      </c>
      <c r="H6411">
        <v>1.8633900000000001</v>
      </c>
      <c r="I6411">
        <v>1.3128169999999999</v>
      </c>
      <c r="J6411">
        <v>-327.58800000000002</v>
      </c>
      <c r="K6411">
        <v>1.106034</v>
      </c>
      <c r="L6411">
        <v>16.822939999999999</v>
      </c>
      <c r="M6411">
        <v>0.99803050000000004</v>
      </c>
      <c r="N6411">
        <v>0</v>
      </c>
      <c r="O6411">
        <v>-6.2008609999999999E-2</v>
      </c>
      <c r="P6411">
        <v>0.99289559999999999</v>
      </c>
      <c r="Q6411">
        <v>5.9715330000000002E-3</v>
      </c>
      <c r="R6411">
        <v>-0.1188381</v>
      </c>
      <c r="S6411">
        <v>2.9117130000000002</v>
      </c>
      <c r="T6411">
        <v>4.523945E-2</v>
      </c>
      <c r="U6411">
        <v>-0.92727660000000001</v>
      </c>
      <c r="V6411">
        <v>5.7153080000000002E-2</v>
      </c>
      <c r="W6411">
        <v>1.5009140000000001E-2</v>
      </c>
      <c r="X6411">
        <v>0.99825260000000005</v>
      </c>
      <c r="Y6411">
        <v>0.2437569</v>
      </c>
      <c r="Z6411">
        <v>9.1035439999999997E-4</v>
      </c>
      <c r="AA6411">
        <v>0.96983589999999997</v>
      </c>
      <c r="AB6411">
        <v>33</v>
      </c>
      <c r="AC6411">
        <v>48.567999999999898</v>
      </c>
      <c r="AD6411">
        <v>0.75735600000000003</v>
      </c>
      <c r="AE6411">
        <v>-15.510123</v>
      </c>
      <c r="AF6411">
        <v>12.4657523710368</v>
      </c>
      <c r="AG6411">
        <v>0.75735600000000003</v>
      </c>
      <c r="AH6411">
        <v>49.425426256843501</v>
      </c>
      <c r="AI6411">
        <v>89.148766323117897</v>
      </c>
      <c r="AJ6411">
        <v>75.844462916439596</v>
      </c>
      <c r="AK6411">
        <v>50.978832185108203</v>
      </c>
      <c r="AL6411">
        <v>89.140007333743995</v>
      </c>
      <c r="AM6411">
        <v>86.723214847119607</v>
      </c>
      <c r="AN6411">
        <v>1.0000000011218899</v>
      </c>
    </row>
    <row r="6412" spans="1:40" x14ac:dyDescent="0.25">
      <c r="A6412" t="str">
        <f>"20190312160813548"</f>
        <v>20190312160813548</v>
      </c>
      <c r="B6412" t="str">
        <f>"1552378093541663"</f>
        <v>1552378093541663</v>
      </c>
      <c r="C6412" t="s">
        <v>40</v>
      </c>
      <c r="D6412">
        <v>6.3759379999999997</v>
      </c>
      <c r="E6412">
        <v>0.57189639999999997</v>
      </c>
      <c r="F6412" t="s">
        <v>104</v>
      </c>
      <c r="G6412">
        <v>-279.02</v>
      </c>
      <c r="H6412">
        <v>1.9278139999999999</v>
      </c>
      <c r="I6412">
        <v>1.286308</v>
      </c>
      <c r="J6412">
        <v>-327.39859999999999</v>
      </c>
      <c r="K6412">
        <v>1.1059589999999999</v>
      </c>
      <c r="L6412">
        <v>16.809139999999999</v>
      </c>
      <c r="M6412">
        <v>0.99789050000000001</v>
      </c>
      <c r="N6412">
        <v>0</v>
      </c>
      <c r="O6412">
        <v>-6.4198389999999994E-2</v>
      </c>
      <c r="P6412">
        <v>0.99252899999999999</v>
      </c>
      <c r="Q6412">
        <v>5.7438609999999899E-3</v>
      </c>
      <c r="R6412">
        <v>-0.1218735</v>
      </c>
      <c r="S6412">
        <v>2.9097599999999999</v>
      </c>
      <c r="T6412">
        <v>4.9233789999999999E-2</v>
      </c>
      <c r="U6412">
        <v>-0.93081670000000005</v>
      </c>
      <c r="V6412">
        <v>5.801779E-2</v>
      </c>
      <c r="W6412">
        <v>1.492428E-2</v>
      </c>
      <c r="X6412">
        <v>0.99820399999999998</v>
      </c>
      <c r="Y6412">
        <v>0.2428843</v>
      </c>
      <c r="Z6412">
        <v>9.4806589999999998E-4</v>
      </c>
      <c r="AA6412">
        <v>0.97005479999999999</v>
      </c>
      <c r="AB6412">
        <v>33</v>
      </c>
      <c r="AC6412">
        <v>48.378599999999999</v>
      </c>
      <c r="AD6412">
        <v>0.821854999999999</v>
      </c>
      <c r="AE6412">
        <v>-15.522831999999999</v>
      </c>
      <c r="AF6412">
        <v>12.381595294322899</v>
      </c>
      <c r="AG6412">
        <v>0.821854999999999</v>
      </c>
      <c r="AH6412">
        <v>49.262490679620903</v>
      </c>
      <c r="AI6412">
        <v>89.073037996483095</v>
      </c>
      <c r="AJ6412">
        <v>75.891562045665594</v>
      </c>
      <c r="AK6412">
        <v>50.801302499376597</v>
      </c>
      <c r="AL6412">
        <v>89.144870007421503</v>
      </c>
      <c r="AM6412">
        <v>86.673586917753994</v>
      </c>
      <c r="AN6412">
        <v>1.0000000118529999</v>
      </c>
    </row>
    <row r="6413" spans="1:40" x14ac:dyDescent="0.25">
      <c r="A6413" t="str">
        <f>"20190312160813559"</f>
        <v>20190312160813559</v>
      </c>
      <c r="B6413" t="str">
        <f>"1552378093552398"</f>
        <v>1552378093552398</v>
      </c>
      <c r="C6413" t="s">
        <v>40</v>
      </c>
      <c r="D6413">
        <v>5.8008410000000001</v>
      </c>
      <c r="E6413">
        <v>0.57189639999999997</v>
      </c>
      <c r="F6413" t="s">
        <v>104</v>
      </c>
      <c r="G6413">
        <v>-279.02</v>
      </c>
      <c r="H6413">
        <v>1.984199</v>
      </c>
      <c r="I6413">
        <v>1.2386680000000001</v>
      </c>
      <c r="J6413">
        <v>-327.25040000000001</v>
      </c>
      <c r="K6413">
        <v>1.1059079999999999</v>
      </c>
      <c r="L6413">
        <v>16.798069999999999</v>
      </c>
      <c r="M6413">
        <v>0.99777539999999998</v>
      </c>
      <c r="N6413">
        <v>0</v>
      </c>
      <c r="O6413">
        <v>-6.5942260000000003E-2</v>
      </c>
      <c r="P6413">
        <v>0.9921643</v>
      </c>
      <c r="Q6413">
        <v>5.5375320000000004E-3</v>
      </c>
      <c r="R6413">
        <v>-0.124817</v>
      </c>
      <c r="S6413">
        <v>2.9073790000000002</v>
      </c>
      <c r="T6413">
        <v>5.2779079999999999E-2</v>
      </c>
      <c r="U6413">
        <v>-0.93572999999999995</v>
      </c>
      <c r="V6413">
        <v>5.9236379999999998E-2</v>
      </c>
      <c r="W6413">
        <v>1.483512E-2</v>
      </c>
      <c r="X6413">
        <v>0.99813370000000001</v>
      </c>
      <c r="Y6413">
        <v>0.24290239999999999</v>
      </c>
      <c r="Z6413">
        <v>9.8636569999999992E-4</v>
      </c>
      <c r="AA6413">
        <v>0.97005030000000003</v>
      </c>
      <c r="AB6413">
        <v>33</v>
      </c>
      <c r="AC6413">
        <v>48.230400000000003</v>
      </c>
      <c r="AD6413">
        <v>0.87829100000000004</v>
      </c>
      <c r="AE6413">
        <v>-15.559402</v>
      </c>
      <c r="AF6413">
        <v>12.341251971215801</v>
      </c>
      <c r="AG6413">
        <v>0.87829100000000004</v>
      </c>
      <c r="AH6413">
        <v>49.136726378352897</v>
      </c>
      <c r="AI6413">
        <v>89.006820045427901</v>
      </c>
      <c r="AJ6413">
        <v>75.901141390006799</v>
      </c>
      <c r="AK6413">
        <v>50.670462544551903</v>
      </c>
      <c r="AL6413">
        <v>89.149979017447293</v>
      </c>
      <c r="AM6413">
        <v>86.603643055474905</v>
      </c>
      <c r="AN6413">
        <v>0.99999995628830296</v>
      </c>
    </row>
    <row r="6414" spans="1:40" x14ac:dyDescent="0.25">
      <c r="A6414" t="str">
        <f>"20190312160813569"</f>
        <v>20190312160813569</v>
      </c>
      <c r="B6414" t="str">
        <f>"1552378093562158"</f>
        <v>1552378093562158</v>
      </c>
      <c r="C6414" t="s">
        <v>40</v>
      </c>
      <c r="D6414">
        <v>6.336989</v>
      </c>
      <c r="E6414">
        <v>0.57139309999999999</v>
      </c>
      <c r="F6414" t="s">
        <v>104</v>
      </c>
      <c r="G6414">
        <v>-279.02</v>
      </c>
      <c r="H6414">
        <v>1.9704159999999999</v>
      </c>
      <c r="I6414">
        <v>1.114336</v>
      </c>
      <c r="J6414">
        <v>-327.07440000000003</v>
      </c>
      <c r="K6414">
        <v>1.105853</v>
      </c>
      <c r="L6414">
        <v>16.784579999999998</v>
      </c>
      <c r="M6414">
        <v>0.99763190000000002</v>
      </c>
      <c r="N6414">
        <v>0</v>
      </c>
      <c r="O6414">
        <v>-6.8054770000000001E-2</v>
      </c>
      <c r="P6414">
        <v>0.99176450000000005</v>
      </c>
      <c r="Q6414">
        <v>5.414243E-3</v>
      </c>
      <c r="R6414">
        <v>-0.12796089999999999</v>
      </c>
      <c r="S6414">
        <v>2.9045719999999999</v>
      </c>
      <c r="T6414">
        <v>5.2063110000000003E-2</v>
      </c>
      <c r="U6414">
        <v>-0.944519</v>
      </c>
      <c r="V6414">
        <v>6.028961E-2</v>
      </c>
      <c r="W6414">
        <v>1.4868019999999999E-2</v>
      </c>
      <c r="X6414">
        <v>0.99807020000000002</v>
      </c>
      <c r="Y6414">
        <v>0.24377950000000001</v>
      </c>
      <c r="Z6414">
        <v>9.4447349999999999E-4</v>
      </c>
      <c r="AA6414">
        <v>0.96983019999999998</v>
      </c>
      <c r="AB6414">
        <v>33</v>
      </c>
      <c r="AC6414">
        <v>48.054400000000001</v>
      </c>
      <c r="AD6414">
        <v>0.86456299999999997</v>
      </c>
      <c r="AE6414">
        <v>-15.670244</v>
      </c>
      <c r="AF6414">
        <v>12.3598008404054</v>
      </c>
      <c r="AG6414">
        <v>0.86456299999999997</v>
      </c>
      <c r="AH6414">
        <v>48.995131870656799</v>
      </c>
      <c r="AI6414">
        <v>89.019772158673405</v>
      </c>
      <c r="AJ6414">
        <v>75.841632390732201</v>
      </c>
      <c r="AK6414">
        <v>50.537462273233601</v>
      </c>
      <c r="AL6414">
        <v>89.1480938237233</v>
      </c>
      <c r="AM6414">
        <v>86.543181176698496</v>
      </c>
      <c r="AN6414">
        <v>1.0000000096103501</v>
      </c>
    </row>
    <row r="6415" spans="1:40" x14ac:dyDescent="0.25">
      <c r="A6415" t="str">
        <f>"20190312160813582"</f>
        <v>20190312160813582</v>
      </c>
      <c r="B6415" t="str">
        <f>"1552378093572454"</f>
        <v>1552378093572454</v>
      </c>
      <c r="C6415" t="s">
        <v>40</v>
      </c>
      <c r="D6415">
        <v>6.3888600000000002</v>
      </c>
      <c r="E6415">
        <v>0.57094019999999901</v>
      </c>
      <c r="F6415" t="s">
        <v>104</v>
      </c>
      <c r="G6415">
        <v>-279.02</v>
      </c>
      <c r="H6415">
        <v>2.0332469999999998</v>
      </c>
      <c r="I6415">
        <v>1.058014</v>
      </c>
      <c r="J6415">
        <v>-326.9058</v>
      </c>
      <c r="K6415">
        <v>1.1058030000000001</v>
      </c>
      <c r="L6415">
        <v>16.771179999999902</v>
      </c>
      <c r="M6415">
        <v>0.99748630000000005</v>
      </c>
      <c r="N6415">
        <v>0</v>
      </c>
      <c r="O6415">
        <v>-7.0128339999999997E-2</v>
      </c>
      <c r="P6415">
        <v>0.99132699999999996</v>
      </c>
      <c r="Q6415">
        <v>5.1838939999999997E-3</v>
      </c>
      <c r="R6415">
        <v>-0.13131579999999901</v>
      </c>
      <c r="S6415">
        <v>2.9020389999999998</v>
      </c>
      <c r="T6415">
        <v>5.6005949999999999E-2</v>
      </c>
      <c r="U6415">
        <v>-0.94973750000000001</v>
      </c>
      <c r="V6415">
        <v>6.1594459999999997E-2</v>
      </c>
      <c r="W6415">
        <v>1.480508E-2</v>
      </c>
      <c r="X6415">
        <v>0.99799139999999997</v>
      </c>
      <c r="Y6415">
        <v>0.24358479999999999</v>
      </c>
      <c r="Z6415">
        <v>9.7602750000000003E-4</v>
      </c>
      <c r="AA6415">
        <v>0.96987920000000005</v>
      </c>
      <c r="AB6415">
        <v>33</v>
      </c>
      <c r="AC6415">
        <v>47.885800000000003</v>
      </c>
      <c r="AD6415">
        <v>0.92744400000000005</v>
      </c>
      <c r="AE6415">
        <v>-15.7131659999999</v>
      </c>
      <c r="AF6415">
        <v>12.311981609282901</v>
      </c>
      <c r="AG6415">
        <v>0.92744400000000005</v>
      </c>
      <c r="AH6415">
        <v>48.8533428228248</v>
      </c>
      <c r="AI6415">
        <v>88.945381344103197</v>
      </c>
      <c r="AJ6415">
        <v>75.8549207628365</v>
      </c>
      <c r="AK6415">
        <v>50.3894249668014</v>
      </c>
      <c r="AL6415">
        <v>89.151700367455405</v>
      </c>
      <c r="AM6415">
        <v>86.468274340189794</v>
      </c>
      <c r="AN6415">
        <v>0.999999951185227</v>
      </c>
    </row>
    <row r="6416" spans="1:40" x14ac:dyDescent="0.25">
      <c r="A6416" t="str">
        <f>"20190312160813593"</f>
        <v>20190312160813593</v>
      </c>
      <c r="B6416" t="str">
        <f>"1552378093582198"</f>
        <v>1552378093582198</v>
      </c>
      <c r="C6416" t="s">
        <v>40</v>
      </c>
      <c r="D6416">
        <v>6.2809569999999999</v>
      </c>
      <c r="E6416">
        <v>0.57052460000000005</v>
      </c>
      <c r="F6416" t="s">
        <v>104</v>
      </c>
      <c r="G6416">
        <v>-279.02</v>
      </c>
      <c r="H6416">
        <v>2.0832540000000002</v>
      </c>
      <c r="I6416">
        <v>0.98045349999999998</v>
      </c>
      <c r="J6416">
        <v>-326.7303</v>
      </c>
      <c r="K6416">
        <v>1.105756</v>
      </c>
      <c r="L6416">
        <v>16.756989999999998</v>
      </c>
      <c r="M6416">
        <v>0.99732849999999995</v>
      </c>
      <c r="N6416">
        <v>0</v>
      </c>
      <c r="O6416">
        <v>-7.2310429999999995E-2</v>
      </c>
      <c r="P6416">
        <v>0.99091169999999995</v>
      </c>
      <c r="Q6416">
        <v>5.0260309999999898E-3</v>
      </c>
      <c r="R6416">
        <v>-0.1344207</v>
      </c>
      <c r="S6416">
        <v>2.8992610000000001</v>
      </c>
      <c r="T6416">
        <v>5.9180139999999999E-2</v>
      </c>
      <c r="U6416">
        <v>-0.95605469999999904</v>
      </c>
      <c r="V6416">
        <v>6.2540780000000004E-2</v>
      </c>
      <c r="W6416">
        <v>1.483512E-2</v>
      </c>
      <c r="X6416">
        <v>0.99793209999999999</v>
      </c>
      <c r="Y6416">
        <v>0.24364160000000001</v>
      </c>
      <c r="Z6416">
        <v>9.8946020000000002E-4</v>
      </c>
      <c r="AA6416">
        <v>0.96986479999999997</v>
      </c>
      <c r="AB6416">
        <v>33</v>
      </c>
      <c r="AC6416">
        <v>47.710299999999997</v>
      </c>
      <c r="AD6416">
        <v>0.97749799999999998</v>
      </c>
      <c r="AE6416">
        <v>-15.776536500000001</v>
      </c>
      <c r="AF6416">
        <v>12.280448031297</v>
      </c>
      <c r="AG6416">
        <v>0.97749799999999998</v>
      </c>
      <c r="AH6416">
        <v>48.707827970563102</v>
      </c>
      <c r="AI6416">
        <v>88.885185692393605</v>
      </c>
      <c r="AJ6416">
        <v>75.849236876817102</v>
      </c>
      <c r="AK6416">
        <v>50.2415904584972</v>
      </c>
      <c r="AL6416">
        <v>89.149979014719506</v>
      </c>
      <c r="AM6416">
        <v>86.413941882230105</v>
      </c>
      <c r="AN6416">
        <v>0.99999995307941503</v>
      </c>
    </row>
    <row r="6417" spans="1:40" x14ac:dyDescent="0.25">
      <c r="A6417" t="str">
        <f>"20190312160813607"</f>
        <v>20190312160813607</v>
      </c>
      <c r="B6417" t="str">
        <f>"1552378093601718"</f>
        <v>1552378093601718</v>
      </c>
      <c r="C6417" t="s">
        <v>40</v>
      </c>
      <c r="D6417">
        <v>6.5316260000000002</v>
      </c>
      <c r="E6417">
        <v>0.56995699999999905</v>
      </c>
      <c r="F6417" t="s">
        <v>104</v>
      </c>
      <c r="G6417">
        <v>-279.02</v>
      </c>
      <c r="H6417">
        <v>2.1288520000000002</v>
      </c>
      <c r="I6417">
        <v>0.91221620000000003</v>
      </c>
      <c r="J6417">
        <v>-326.52659999999997</v>
      </c>
      <c r="K6417">
        <v>1.1057060000000001</v>
      </c>
      <c r="L6417">
        <v>16.73969</v>
      </c>
      <c r="M6417">
        <v>0.99713249999999998</v>
      </c>
      <c r="N6417">
        <v>0</v>
      </c>
      <c r="O6417">
        <v>-7.4925459999999999E-2</v>
      </c>
      <c r="P6417">
        <v>0.99038789999999999</v>
      </c>
      <c r="Q6417">
        <v>4.9319840000000004E-3</v>
      </c>
      <c r="R6417">
        <v>-0.13823139999999901</v>
      </c>
      <c r="S6417">
        <v>2.8966980000000002</v>
      </c>
      <c r="T6417">
        <v>6.2116619999999997E-2</v>
      </c>
      <c r="U6417">
        <v>-0.96200560000000002</v>
      </c>
      <c r="V6417">
        <v>6.3767050000000006E-2</v>
      </c>
      <c r="W6417">
        <v>1.4979579999999999E-2</v>
      </c>
      <c r="X6417">
        <v>0.99785239999999997</v>
      </c>
      <c r="Y6417">
        <v>0.24314630000000001</v>
      </c>
      <c r="Z6417">
        <v>9.797727999999999E-4</v>
      </c>
      <c r="AA6417">
        <v>0.96998910000000005</v>
      </c>
      <c r="AB6417">
        <v>33</v>
      </c>
      <c r="AC6417">
        <v>47.506599999999899</v>
      </c>
      <c r="AD6417">
        <v>1.0231460000000001</v>
      </c>
      <c r="AE6417">
        <v>-15.8274738</v>
      </c>
      <c r="AF6417">
        <v>12.21822393055</v>
      </c>
      <c r="AG6417">
        <v>1.0231460000000001</v>
      </c>
      <c r="AH6417">
        <v>48.538733289743398</v>
      </c>
      <c r="AI6417">
        <v>88.828963456470504</v>
      </c>
      <c r="AJ6417">
        <v>75.870982449489901</v>
      </c>
      <c r="AK6417">
        <v>50.063364380824702</v>
      </c>
      <c r="AL6417">
        <v>89.141701202185004</v>
      </c>
      <c r="AM6417">
        <v>86.343525818115396</v>
      </c>
      <c r="AN6417">
        <v>1.0000000183342099</v>
      </c>
    </row>
    <row r="6418" spans="1:40" x14ac:dyDescent="0.25">
      <c r="A6418" t="str">
        <f>"20190312160813620"</f>
        <v>20190312160813620</v>
      </c>
      <c r="B6418" t="str">
        <f>"1552378093612454"</f>
        <v>1552378093612454</v>
      </c>
      <c r="C6418" t="s">
        <v>40</v>
      </c>
      <c r="D6418">
        <v>6.4387499999999998</v>
      </c>
      <c r="E6418">
        <v>0.57027609999999995</v>
      </c>
      <c r="F6418" t="s">
        <v>104</v>
      </c>
      <c r="G6418">
        <v>-279.02</v>
      </c>
      <c r="H6418">
        <v>2.1721119999999998</v>
      </c>
      <c r="I6418">
        <v>0.83683589999999997</v>
      </c>
      <c r="J6418">
        <v>-326.33179999999999</v>
      </c>
      <c r="K6418">
        <v>1.1056589999999999</v>
      </c>
      <c r="L6418">
        <v>16.722719999999999</v>
      </c>
      <c r="M6418">
        <v>0.99693500000000002</v>
      </c>
      <c r="N6418">
        <v>0</v>
      </c>
      <c r="O6418">
        <v>-7.7474009999999996E-2</v>
      </c>
      <c r="P6418">
        <v>0.98991580000000001</v>
      </c>
      <c r="Q6418">
        <v>4.753747E-3</v>
      </c>
      <c r="R6418">
        <v>-0.14157690000000001</v>
      </c>
      <c r="S6418">
        <v>2.8935849999999999</v>
      </c>
      <c r="T6418">
        <v>6.4953800000000006E-2</v>
      </c>
      <c r="U6418">
        <v>-0.96862789999999999</v>
      </c>
      <c r="V6418">
        <v>6.4591590000000004E-2</v>
      </c>
      <c r="W6418">
        <v>1.503346E-2</v>
      </c>
      <c r="X6418">
        <v>0.99779859999999998</v>
      </c>
      <c r="Y6418">
        <v>0.24297389999999999</v>
      </c>
      <c r="Z6418">
        <v>9.6812370000000001E-4</v>
      </c>
      <c r="AA6418">
        <v>0.97003229999999996</v>
      </c>
      <c r="AB6418">
        <v>33</v>
      </c>
      <c r="AC6418">
        <v>47.311799999999998</v>
      </c>
      <c r="AD6418">
        <v>1.0664530000000001</v>
      </c>
      <c r="AE6418">
        <v>-15.8858841</v>
      </c>
      <c r="AF6418">
        <v>12.166923930483399</v>
      </c>
      <c r="AG6418">
        <v>1.0664530000000001</v>
      </c>
      <c r="AH6418">
        <v>48.378307204294103</v>
      </c>
      <c r="AI6418">
        <v>88.775299632207407</v>
      </c>
      <c r="AJ6418">
        <v>75.883142386577504</v>
      </c>
      <c r="AK6418">
        <v>49.896211959270303</v>
      </c>
      <c r="AL6418">
        <v>89.138613795847903</v>
      </c>
      <c r="AM6418">
        <v>86.296177387394806</v>
      </c>
      <c r="AN6418">
        <v>1.00000006229012</v>
      </c>
    </row>
    <row r="6419" spans="1:40" x14ac:dyDescent="0.25">
      <c r="A6419" t="str">
        <f>"20190312160813637"</f>
        <v>20190312160813637</v>
      </c>
      <c r="B6419" t="str">
        <f>"1552378093631974"</f>
        <v>1552378093631974</v>
      </c>
      <c r="C6419" t="s">
        <v>40</v>
      </c>
      <c r="D6419">
        <v>6.3846759999999998</v>
      </c>
      <c r="E6419">
        <v>0.57138650000000002</v>
      </c>
      <c r="F6419" t="s">
        <v>104</v>
      </c>
      <c r="G6419">
        <v>-279.02</v>
      </c>
      <c r="H6419">
        <v>2.2040440000000001</v>
      </c>
      <c r="I6419">
        <v>0.66269299999999998</v>
      </c>
      <c r="J6419">
        <v>-326.08240000000001</v>
      </c>
      <c r="K6419">
        <v>1.1055919999999999</v>
      </c>
      <c r="L6419">
        <v>16.700229999999902</v>
      </c>
      <c r="M6419">
        <v>0.99666670000000002</v>
      </c>
      <c r="N6419">
        <v>0</v>
      </c>
      <c r="O6419">
        <v>-8.0809500000000006E-2</v>
      </c>
      <c r="P6419">
        <v>0.98920039999999998</v>
      </c>
      <c r="Q6419">
        <v>4.655663E-3</v>
      </c>
      <c r="R6419">
        <v>-0.14649599999999999</v>
      </c>
      <c r="S6419">
        <v>2.889923</v>
      </c>
      <c r="T6419">
        <v>6.7092180000000001E-2</v>
      </c>
      <c r="U6419">
        <v>-0.98098750000000001</v>
      </c>
      <c r="V6419">
        <v>6.6218659999999999E-2</v>
      </c>
      <c r="W6419">
        <v>1.5223220000000001E-2</v>
      </c>
      <c r="X6419">
        <v>0.99768900000000005</v>
      </c>
      <c r="Y6419">
        <v>0.24382039999999999</v>
      </c>
      <c r="Z6419">
        <v>9.3549249999999996E-4</v>
      </c>
      <c r="AA6419">
        <v>0.96982000000000002</v>
      </c>
      <c r="AB6419">
        <v>33</v>
      </c>
      <c r="AC6419">
        <v>47.062399999999997</v>
      </c>
      <c r="AD6419">
        <v>1.09845199999999</v>
      </c>
      <c r="AE6419">
        <v>-16.037536999999901</v>
      </c>
      <c r="AF6419">
        <v>12.1758104533129</v>
      </c>
      <c r="AG6419">
        <v>1.09845199999999</v>
      </c>
      <c r="AH6419">
        <v>48.181015956886199</v>
      </c>
      <c r="AI6419">
        <v>88.733764858888605</v>
      </c>
      <c r="AJ6419">
        <v>75.817727781007406</v>
      </c>
      <c r="AK6419">
        <v>49.707818858093503</v>
      </c>
      <c r="AL6419">
        <v>89.127740049829995</v>
      </c>
      <c r="AM6419">
        <v>86.202731333582904</v>
      </c>
      <c r="AN6419">
        <v>0.999999999040182</v>
      </c>
    </row>
    <row r="6420" spans="1:40" x14ac:dyDescent="0.25">
      <c r="A6420" t="str">
        <f>"20190312160813649"</f>
        <v>20190312160813649</v>
      </c>
      <c r="B6420" t="str">
        <f>"1552378093641733"</f>
        <v>1552378093641733</v>
      </c>
      <c r="C6420" t="s">
        <v>40</v>
      </c>
      <c r="D6420">
        <v>6.3620109999999999</v>
      </c>
      <c r="E6420">
        <v>0.57180589999999998</v>
      </c>
      <c r="F6420" t="s">
        <v>104</v>
      </c>
      <c r="G6420">
        <v>-279.02</v>
      </c>
      <c r="H6420">
        <v>2.2947000000000002</v>
      </c>
      <c r="I6420">
        <v>0.31116290000000002</v>
      </c>
      <c r="J6420">
        <v>-325.9024</v>
      </c>
      <c r="K6420">
        <v>1.1055429999999999</v>
      </c>
      <c r="L6420">
        <v>16.683319999999998</v>
      </c>
      <c r="M6420">
        <v>0.99646100000000004</v>
      </c>
      <c r="N6420">
        <v>0</v>
      </c>
      <c r="O6420">
        <v>-8.3275390000000005E-2</v>
      </c>
      <c r="P6420">
        <v>0.98872199999999999</v>
      </c>
      <c r="Q6420">
        <v>4.5320150000000003E-3</v>
      </c>
      <c r="R6420">
        <v>-0.1496952</v>
      </c>
      <c r="S6420">
        <v>2.883667</v>
      </c>
      <c r="T6420">
        <v>7.2860480000000005E-2</v>
      </c>
      <c r="U6420">
        <v>-1.004211</v>
      </c>
      <c r="V6420">
        <v>6.6980860000000003E-2</v>
      </c>
      <c r="W6420">
        <v>1.530189E-2</v>
      </c>
      <c r="X6420">
        <v>0.99763690000000005</v>
      </c>
      <c r="Y6420">
        <v>0.24903249999999999</v>
      </c>
      <c r="Z6420">
        <v>1.0208490000000001E-3</v>
      </c>
      <c r="AA6420">
        <v>0.96849459999999998</v>
      </c>
      <c r="AB6420">
        <v>33</v>
      </c>
      <c r="AC6420">
        <v>46.882399999999997</v>
      </c>
      <c r="AD6420">
        <v>1.189157</v>
      </c>
      <c r="AE6420">
        <v>-16.372157099999999</v>
      </c>
      <c r="AF6420">
        <v>12.4037641246566</v>
      </c>
      <c r="AG6420">
        <v>1.189157</v>
      </c>
      <c r="AH6420">
        <v>48.0554662393371</v>
      </c>
      <c r="AI6420">
        <v>88.627442457261495</v>
      </c>
      <c r="AJ6420">
        <v>75.527075116249804</v>
      </c>
      <c r="AK6420">
        <v>49.644690494662498</v>
      </c>
      <c r="AL6420">
        <v>89.123232052436506</v>
      </c>
      <c r="AM6420">
        <v>86.158953540845701</v>
      </c>
      <c r="AN6420">
        <v>0.99999998384276001</v>
      </c>
    </row>
    <row r="6421" spans="1:40" x14ac:dyDescent="0.25">
      <c r="A6421" t="str">
        <f>"20190312160813663"</f>
        <v>20190312160813663</v>
      </c>
      <c r="B6421" t="str">
        <f>"1552378093652470"</f>
        <v>1552378093652470</v>
      </c>
      <c r="C6421" t="s">
        <v>40</v>
      </c>
      <c r="D6421">
        <v>5.9009489999999998</v>
      </c>
      <c r="E6421">
        <v>0.57240930000000001</v>
      </c>
      <c r="F6421" t="s">
        <v>104</v>
      </c>
      <c r="G6421">
        <v>-279.02</v>
      </c>
      <c r="H6421">
        <v>2.2820819999999999</v>
      </c>
      <c r="I6421">
        <v>0.1306572</v>
      </c>
      <c r="J6421">
        <v>-325.71620000000001</v>
      </c>
      <c r="K6421">
        <v>1.1054870000000001</v>
      </c>
      <c r="L6421">
        <v>16.665279999999999</v>
      </c>
      <c r="M6421">
        <v>0.99623839999999997</v>
      </c>
      <c r="N6421">
        <v>0</v>
      </c>
      <c r="O6421">
        <v>-8.586887E-2</v>
      </c>
      <c r="P6421">
        <v>0.98823919999999998</v>
      </c>
      <c r="Q6421">
        <v>3.9438140000000003E-3</v>
      </c>
      <c r="R6421">
        <v>-0.15286640000000001</v>
      </c>
      <c r="S6421">
        <v>2.8799440000000001</v>
      </c>
      <c r="T6421">
        <v>7.2273729999999994E-2</v>
      </c>
      <c r="U6421">
        <v>-1.016815</v>
      </c>
      <c r="V6421">
        <v>6.7583519999999994E-2</v>
      </c>
      <c r="W6421">
        <v>1.4914739999999999E-2</v>
      </c>
      <c r="X6421">
        <v>0.99760210000000005</v>
      </c>
      <c r="Y6421">
        <v>0.25067479999999998</v>
      </c>
      <c r="Z6421">
        <v>9.7069330000000001E-4</v>
      </c>
      <c r="AA6421">
        <v>0.96807089999999996</v>
      </c>
      <c r="AB6421">
        <v>33</v>
      </c>
      <c r="AC6421">
        <v>46.696199999999997</v>
      </c>
      <c r="AD6421">
        <v>1.1765949999999901</v>
      </c>
      <c r="AE6421">
        <v>-16.534622799999902</v>
      </c>
      <c r="AF6421">
        <v>12.456493923650701</v>
      </c>
      <c r="AG6421">
        <v>1.1765949999999901</v>
      </c>
      <c r="AH6421">
        <v>47.916575361059998</v>
      </c>
      <c r="AI6421">
        <v>88.638612232576904</v>
      </c>
      <c r="AJ6421">
        <v>75.427817419484398</v>
      </c>
      <c r="AK6421">
        <v>49.523194676798802</v>
      </c>
      <c r="AL6421">
        <v>89.145416630624098</v>
      </c>
      <c r="AM6421">
        <v>86.124363810601906</v>
      </c>
      <c r="AN6421">
        <v>0.99999996578463302</v>
      </c>
    </row>
    <row r="6422" spans="1:40" x14ac:dyDescent="0.25">
      <c r="A6422" t="str">
        <f>"20190312160813676"</f>
        <v>20190312160813676</v>
      </c>
      <c r="B6422" t="str">
        <f>"1552378093671990"</f>
        <v>1552378093671990</v>
      </c>
      <c r="C6422" t="s">
        <v>40</v>
      </c>
      <c r="D6422">
        <v>6.1004759999999996</v>
      </c>
      <c r="E6422">
        <v>0.57269650000000005</v>
      </c>
      <c r="F6422" t="s">
        <v>104</v>
      </c>
      <c r="G6422">
        <v>-279.02</v>
      </c>
      <c r="H6422">
        <v>2.282988</v>
      </c>
      <c r="I6422">
        <v>-7.2977070000000005E-2</v>
      </c>
      <c r="J6422">
        <v>-325.51260000000002</v>
      </c>
      <c r="K6422">
        <v>1.1054280000000001</v>
      </c>
      <c r="L6422">
        <v>16.645139999999898</v>
      </c>
      <c r="M6422">
        <v>0.99598419999999999</v>
      </c>
      <c r="N6422">
        <v>0</v>
      </c>
      <c r="O6422">
        <v>-8.8738399999999995E-2</v>
      </c>
      <c r="P6422">
        <v>0.98769189999999996</v>
      </c>
      <c r="Q6422">
        <v>3.6946940000000001E-3</v>
      </c>
      <c r="R6422">
        <v>-0.15636910000000001</v>
      </c>
      <c r="S6422">
        <v>2.8759459999999999</v>
      </c>
      <c r="T6422">
        <v>7.2520490000000007E-2</v>
      </c>
      <c r="U6422">
        <v>-1.0308839999999999</v>
      </c>
      <c r="V6422">
        <v>6.8249370000000004E-2</v>
      </c>
      <c r="W6422">
        <v>1.4877069999999999E-2</v>
      </c>
      <c r="X6422">
        <v>0.99755729999999998</v>
      </c>
      <c r="Y6422">
        <v>0.25251059999999997</v>
      </c>
      <c r="Z6422">
        <v>9.2761570000000004E-4</v>
      </c>
      <c r="AA6422">
        <v>0.9675937</v>
      </c>
      <c r="AB6422">
        <v>33</v>
      </c>
      <c r="AC6422">
        <v>46.492600000000003</v>
      </c>
      <c r="AD6422">
        <v>1.1775599999999999</v>
      </c>
      <c r="AE6422">
        <v>-16.718117069999899</v>
      </c>
      <c r="AF6422">
        <v>12.5190729722492</v>
      </c>
      <c r="AG6422">
        <v>1.1775599999999999</v>
      </c>
      <c r="AH6422">
        <v>47.765669378852799</v>
      </c>
      <c r="AI6422">
        <v>88.633904641863396</v>
      </c>
      <c r="AJ6422">
        <v>75.313485899954699</v>
      </c>
      <c r="AK6422">
        <v>49.3930461385809</v>
      </c>
      <c r="AL6422">
        <v>89.147575176175906</v>
      </c>
      <c r="AM6422">
        <v>86.086122927995106</v>
      </c>
      <c r="AN6422">
        <v>0.99999993525023301</v>
      </c>
    </row>
    <row r="6423" spans="1:40" x14ac:dyDescent="0.25">
      <c r="A6423" t="str">
        <f>"20190312160813693"</f>
        <v>20190312160813693</v>
      </c>
      <c r="B6423" t="str">
        <f>"1552378093681750"</f>
        <v>1552378093681750</v>
      </c>
      <c r="C6423" t="s">
        <v>40</v>
      </c>
      <c r="D6423">
        <v>6.401097</v>
      </c>
      <c r="E6423">
        <v>0.57303169999999903</v>
      </c>
      <c r="F6423" t="s">
        <v>104</v>
      </c>
      <c r="G6423">
        <v>-279.02</v>
      </c>
      <c r="H6423">
        <v>2.276421</v>
      </c>
      <c r="I6423">
        <v>-0.24343300000000001</v>
      </c>
      <c r="J6423">
        <v>-325.25810000000001</v>
      </c>
      <c r="K6423">
        <v>1.105353</v>
      </c>
      <c r="L6423">
        <v>16.6189</v>
      </c>
      <c r="M6423">
        <v>0.99564699999999995</v>
      </c>
      <c r="N6423">
        <v>0</v>
      </c>
      <c r="O6423">
        <v>-9.2409720000000001E-2</v>
      </c>
      <c r="P6423">
        <v>0.98694870000000001</v>
      </c>
      <c r="Q6423">
        <v>3.3771560000000001E-3</v>
      </c>
      <c r="R6423">
        <v>-0.16100010000000001</v>
      </c>
      <c r="S6423">
        <v>2.8719480000000002</v>
      </c>
      <c r="T6423">
        <v>7.2334770000000007E-2</v>
      </c>
      <c r="U6423">
        <v>-1.0432429999999999</v>
      </c>
      <c r="V6423">
        <v>6.9253259999999997E-2</v>
      </c>
      <c r="W6423">
        <v>1.4801740000000001E-2</v>
      </c>
      <c r="X6423">
        <v>0.99748930000000002</v>
      </c>
      <c r="Y6423">
        <v>0.25305569999999999</v>
      </c>
      <c r="Z6423">
        <v>8.4392979999999896E-4</v>
      </c>
      <c r="AA6423">
        <v>0.96745130000000001</v>
      </c>
      <c r="AB6423">
        <v>33</v>
      </c>
      <c r="AC6423">
        <v>46.238100000000003</v>
      </c>
      <c r="AD6423">
        <v>1.171068</v>
      </c>
      <c r="AE6423">
        <v>-16.862333</v>
      </c>
      <c r="AF6423">
        <v>12.5099219523113</v>
      </c>
      <c r="AG6423">
        <v>1.171068</v>
      </c>
      <c r="AH6423">
        <v>47.571646445776203</v>
      </c>
      <c r="AI6423">
        <v>88.636187886596403</v>
      </c>
      <c r="AJ6423">
        <v>75.266499095706493</v>
      </c>
      <c r="AK6423">
        <v>49.202958174031401</v>
      </c>
      <c r="AL6423">
        <v>89.151891801620394</v>
      </c>
      <c r="AM6423">
        <v>86.028466151712294</v>
      </c>
      <c r="AN6423">
        <v>1.00000000457107</v>
      </c>
    </row>
    <row r="6424" spans="1:40" x14ac:dyDescent="0.25">
      <c r="A6424" t="str">
        <f>"20190312160813706"</f>
        <v>20190312160813706</v>
      </c>
      <c r="B6424" t="str">
        <f>"1552378093702246"</f>
        <v>1552378093702246</v>
      </c>
      <c r="C6424" t="s">
        <v>40</v>
      </c>
      <c r="D6424">
        <v>6.4867869999999996</v>
      </c>
      <c r="E6424">
        <v>0.57353900000000002</v>
      </c>
      <c r="F6424" t="s">
        <v>104</v>
      </c>
      <c r="G6424">
        <v>-279.02</v>
      </c>
      <c r="H6424">
        <v>2.2426140000000001</v>
      </c>
      <c r="I6424">
        <v>-0.4697132</v>
      </c>
      <c r="J6424">
        <v>-325.0736</v>
      </c>
      <c r="K6424">
        <v>1.105302</v>
      </c>
      <c r="L6424">
        <v>16.599060000000001</v>
      </c>
      <c r="M6424">
        <v>0.99538819999999995</v>
      </c>
      <c r="N6424">
        <v>0</v>
      </c>
      <c r="O6424">
        <v>-9.5134170000000004E-2</v>
      </c>
      <c r="P6424">
        <v>0.98647980000000002</v>
      </c>
      <c r="Q6424">
        <v>3.039538E-3</v>
      </c>
      <c r="R6424">
        <v>-0.163856</v>
      </c>
      <c r="S6424">
        <v>2.866638</v>
      </c>
      <c r="T6424">
        <v>7.0507169999999994E-2</v>
      </c>
      <c r="U6424">
        <v>-1.0594479999999999</v>
      </c>
      <c r="V6424">
        <v>6.941087E-2</v>
      </c>
      <c r="W6424">
        <v>1.463248E-2</v>
      </c>
      <c r="X6424">
        <v>0.99748079999999995</v>
      </c>
      <c r="Y6424">
        <v>0.25580449999999999</v>
      </c>
      <c r="Z6424">
        <v>7.9201770000000002E-4</v>
      </c>
      <c r="AA6424">
        <v>0.96672820000000004</v>
      </c>
      <c r="AB6424">
        <v>33</v>
      </c>
      <c r="AC6424">
        <v>46.053600000000003</v>
      </c>
      <c r="AD6424">
        <v>1.1373120000000001</v>
      </c>
      <c r="AE6424">
        <v>-17.068773199999999</v>
      </c>
      <c r="AF6424">
        <v>12.6029838668696</v>
      </c>
      <c r="AG6424">
        <v>1.1373120000000001</v>
      </c>
      <c r="AH6424">
        <v>47.443197733942199</v>
      </c>
      <c r="AI6424">
        <v>88.672777371137002</v>
      </c>
      <c r="AJ6424">
        <v>75.123320253421795</v>
      </c>
      <c r="AK6424">
        <v>49.101789093228199</v>
      </c>
      <c r="AL6424">
        <v>89.161590700251793</v>
      </c>
      <c r="AM6424">
        <v>86.019422750040107</v>
      </c>
      <c r="AN6424">
        <v>0.99999996235687205</v>
      </c>
    </row>
    <row r="6425" spans="1:40" x14ac:dyDescent="0.25">
      <c r="A6425" t="str">
        <f>"20190312160813720"</f>
        <v>20190312160813720</v>
      </c>
      <c r="B6425" t="str">
        <f>"1552378093712006"</f>
        <v>1552378093712006</v>
      </c>
      <c r="C6425" t="s">
        <v>40</v>
      </c>
      <c r="D6425">
        <v>5.5058210000000001</v>
      </c>
      <c r="E6425">
        <v>0.57381249999999995</v>
      </c>
      <c r="F6425" t="s">
        <v>104</v>
      </c>
      <c r="G6425">
        <v>-279.02</v>
      </c>
      <c r="H6425">
        <v>2.3763070000000002</v>
      </c>
      <c r="I6425">
        <v>-0.64513019999999999</v>
      </c>
      <c r="J6425">
        <v>-324.86180000000002</v>
      </c>
      <c r="K6425">
        <v>1.105243</v>
      </c>
      <c r="L6425">
        <v>16.575810000000001</v>
      </c>
      <c r="M6425">
        <v>0.99507780000000001</v>
      </c>
      <c r="N6425">
        <v>0</v>
      </c>
      <c r="O6425">
        <v>-9.8301459999999993E-2</v>
      </c>
      <c r="P6425">
        <v>0.98591850000000003</v>
      </c>
      <c r="Q6425">
        <v>3.0602899999999998E-3</v>
      </c>
      <c r="R6425">
        <v>-0.16719990000000001</v>
      </c>
      <c r="S6425">
        <v>2.862854</v>
      </c>
      <c r="T6425">
        <v>7.9010250000000004E-2</v>
      </c>
      <c r="U6425">
        <v>-1.07196</v>
      </c>
      <c r="V6425">
        <v>6.9623149999999995E-2</v>
      </c>
      <c r="W6425">
        <v>1.483655E-2</v>
      </c>
      <c r="X6425">
        <v>0.99746299999999999</v>
      </c>
      <c r="Y6425">
        <v>0.25684380000000001</v>
      </c>
      <c r="Z6425">
        <v>8.1843140000000003E-4</v>
      </c>
      <c r="AA6425">
        <v>0.9664526</v>
      </c>
      <c r="AB6425">
        <v>33</v>
      </c>
      <c r="AC6425">
        <v>45.841799999999999</v>
      </c>
      <c r="AD6425">
        <v>1.271064</v>
      </c>
      <c r="AE6425">
        <v>-17.220940200000001</v>
      </c>
      <c r="AF6425">
        <v>12.622347009680499</v>
      </c>
      <c r="AG6425">
        <v>1.271064</v>
      </c>
      <c r="AH6425">
        <v>47.280861029191499</v>
      </c>
      <c r="AI6425">
        <v>88.5121557254392</v>
      </c>
      <c r="AJ6425">
        <v>75.052612075393299</v>
      </c>
      <c r="AK6425">
        <v>48.9532334722294</v>
      </c>
      <c r="AL6425">
        <v>89.149897088223497</v>
      </c>
      <c r="AM6425">
        <v>86.007217201725595</v>
      </c>
      <c r="AN6425">
        <v>0.99999997130041196</v>
      </c>
    </row>
    <row r="6426" spans="1:40" x14ac:dyDescent="0.25">
      <c r="A6426" t="str">
        <f>"20190312160813733"</f>
        <v>20190312160813733</v>
      </c>
      <c r="B6426" t="str">
        <f>"1552378093721767"</f>
        <v>1552378093721767</v>
      </c>
      <c r="C6426" t="s">
        <v>40</v>
      </c>
      <c r="D6426">
        <v>6.4274909999999998</v>
      </c>
      <c r="E6426">
        <v>0.57418829999999998</v>
      </c>
      <c r="F6426" t="s">
        <v>104</v>
      </c>
      <c r="G6426">
        <v>-279.02</v>
      </c>
      <c r="H6426">
        <v>2.3959739999999998</v>
      </c>
      <c r="I6426">
        <v>-0.80477140000000003</v>
      </c>
      <c r="J6426">
        <v>-324.6678</v>
      </c>
      <c r="K6426">
        <v>1.105186</v>
      </c>
      <c r="L6426">
        <v>16.55396</v>
      </c>
      <c r="M6426">
        <v>0.99478049999999996</v>
      </c>
      <c r="N6426">
        <v>0</v>
      </c>
      <c r="O6426">
        <v>-0.1012451</v>
      </c>
      <c r="P6426">
        <v>0.98541489999999998</v>
      </c>
      <c r="Q6426">
        <v>3.2413630000000001E-3</v>
      </c>
      <c r="R6426">
        <v>-0.17013909999999999</v>
      </c>
      <c r="S6426">
        <v>2.8587950000000002</v>
      </c>
      <c r="T6426">
        <v>8.0492969999999997E-2</v>
      </c>
      <c r="U6426">
        <v>-1.083893</v>
      </c>
      <c r="V6426">
        <v>6.9652389999999995E-2</v>
      </c>
      <c r="W6426">
        <v>1.517745E-2</v>
      </c>
      <c r="X6426">
        <v>0.9974558</v>
      </c>
      <c r="Y6426">
        <v>0.2579649</v>
      </c>
      <c r="Z6426">
        <v>7.7061259999999896E-4</v>
      </c>
      <c r="AA6426">
        <v>0.96615399999999996</v>
      </c>
      <c r="AB6426">
        <v>33</v>
      </c>
      <c r="AC6426">
        <v>45.647799999999997</v>
      </c>
      <c r="AD6426">
        <v>1.290788</v>
      </c>
      <c r="AE6426">
        <v>-17.3587314</v>
      </c>
      <c r="AF6426">
        <v>12.6387016952593</v>
      </c>
      <c r="AG6426">
        <v>1.290788</v>
      </c>
      <c r="AH6426">
        <v>47.137900264020303</v>
      </c>
      <c r="AI6426">
        <v>88.484935563282207</v>
      </c>
      <c r="AJ6426">
        <v>74.990769762364906</v>
      </c>
      <c r="AK6426">
        <v>48.819919658920199</v>
      </c>
      <c r="AL6426">
        <v>89.130362730789798</v>
      </c>
      <c r="AM6426">
        <v>86.005517018734295</v>
      </c>
      <c r="AN6426">
        <v>0.99999994168742501</v>
      </c>
    </row>
    <row r="6427" spans="1:40" x14ac:dyDescent="0.25">
      <c r="A6427" t="str">
        <f>"20190312160813750"</f>
        <v>20190312160813750</v>
      </c>
      <c r="B6427" t="str">
        <f>"1552378093742263"</f>
        <v>1552378093742263</v>
      </c>
      <c r="C6427" t="s">
        <v>40</v>
      </c>
      <c r="D6427">
        <v>4.9891189999999996</v>
      </c>
      <c r="E6427">
        <v>0.5745228</v>
      </c>
      <c r="F6427" t="s">
        <v>104</v>
      </c>
      <c r="G6427">
        <v>-279.02</v>
      </c>
      <c r="H6427">
        <v>2.4305720000000002</v>
      </c>
      <c r="I6427">
        <v>-0.95834350000000001</v>
      </c>
      <c r="J6427">
        <v>-324.43169999999998</v>
      </c>
      <c r="K6427">
        <v>1.105121</v>
      </c>
      <c r="L6427">
        <v>16.52628</v>
      </c>
      <c r="M6427">
        <v>0.99439809999999995</v>
      </c>
      <c r="N6427">
        <v>0</v>
      </c>
      <c r="O6427">
        <v>-0.1049105</v>
      </c>
      <c r="P6427">
        <v>0.98476759999999997</v>
      </c>
      <c r="Q6427">
        <v>2.9309079999999999E-3</v>
      </c>
      <c r="R6427">
        <v>-0.17385059999999999</v>
      </c>
      <c r="S6427">
        <v>2.8550420000000001</v>
      </c>
      <c r="T6427">
        <v>8.2896230000000001E-2</v>
      </c>
      <c r="U6427">
        <v>-1.0953059999999999</v>
      </c>
      <c r="V6427">
        <v>6.9735939999999996E-2</v>
      </c>
      <c r="W6427">
        <v>1.504252E-2</v>
      </c>
      <c r="X6427">
        <v>0.99745209999999995</v>
      </c>
      <c r="Y6427">
        <v>0.25819449999999999</v>
      </c>
      <c r="Z6427">
        <v>6.9601139999999999E-4</v>
      </c>
      <c r="AA6427">
        <v>0.96609270000000003</v>
      </c>
      <c r="AB6427">
        <v>33</v>
      </c>
      <c r="AC6427">
        <v>45.411700000000003</v>
      </c>
      <c r="AD6427">
        <v>1.3254509999999999</v>
      </c>
      <c r="AE6427">
        <v>-17.484623499999898</v>
      </c>
      <c r="AF6427">
        <v>12.614202590628601</v>
      </c>
      <c r="AG6427">
        <v>1.3254509999999999</v>
      </c>
      <c r="AH6427">
        <v>46.9606932926214</v>
      </c>
      <c r="AI6427">
        <v>88.438593346280797</v>
      </c>
      <c r="AJ6427">
        <v>74.964577304679096</v>
      </c>
      <c r="AK6427">
        <v>48.643413139647997</v>
      </c>
      <c r="AL6427">
        <v>89.138094614118103</v>
      </c>
      <c r="AM6427">
        <v>86.000726275764407</v>
      </c>
      <c r="AN6427">
        <v>1.00000003526502</v>
      </c>
    </row>
    <row r="6428" spans="1:40" x14ac:dyDescent="0.25">
      <c r="A6428" t="str">
        <f>"20190312160813761"</f>
        <v>20190312160813761</v>
      </c>
      <c r="B6428" t="str">
        <f>"1552378093752022"</f>
        <v>1552378093752022</v>
      </c>
      <c r="C6428" t="s">
        <v>40</v>
      </c>
      <c r="D6428">
        <v>6.484121</v>
      </c>
      <c r="E6428">
        <v>0.57480819999999999</v>
      </c>
      <c r="F6428" t="s">
        <v>104</v>
      </c>
      <c r="G6428">
        <v>-279.02</v>
      </c>
      <c r="H6428">
        <v>2.4493450000000001</v>
      </c>
      <c r="I6428">
        <v>-1.1377280000000001</v>
      </c>
      <c r="J6428">
        <v>-324.25439999999998</v>
      </c>
      <c r="K6428">
        <v>1.1050719999999901</v>
      </c>
      <c r="L6428">
        <v>16.504909999999999</v>
      </c>
      <c r="M6428">
        <v>0.99409749999999997</v>
      </c>
      <c r="N6428">
        <v>0</v>
      </c>
      <c r="O6428">
        <v>-0.10770540000000001</v>
      </c>
      <c r="P6428">
        <v>0.98426630000000004</v>
      </c>
      <c r="Q6428">
        <v>2.8468040000000001E-3</v>
      </c>
      <c r="R6428">
        <v>-0.1766691</v>
      </c>
      <c r="S6428">
        <v>2.850403</v>
      </c>
      <c r="T6428">
        <v>8.4374190000000002E-2</v>
      </c>
      <c r="U6428">
        <v>-1.1087340000000001</v>
      </c>
      <c r="V6428">
        <v>6.9789630000000005E-2</v>
      </c>
      <c r="W6428">
        <v>1.508114E-2</v>
      </c>
      <c r="X6428">
        <v>0.99744770000000005</v>
      </c>
      <c r="Y6428">
        <v>0.25996150000000001</v>
      </c>
      <c r="Z6428">
        <v>6.5563500000000001E-4</v>
      </c>
      <c r="AA6428">
        <v>0.9656188</v>
      </c>
      <c r="AB6428">
        <v>33</v>
      </c>
      <c r="AC6428">
        <v>45.234400000000001</v>
      </c>
      <c r="AD6428">
        <v>1.3442730000000001</v>
      </c>
      <c r="AE6428">
        <v>-17.642637999999899</v>
      </c>
      <c r="AF6428">
        <v>12.6578852478253</v>
      </c>
      <c r="AG6428">
        <v>1.3442730000000001</v>
      </c>
      <c r="AH6428">
        <v>46.835686944756702</v>
      </c>
      <c r="AI6428">
        <v>88.412864916952898</v>
      </c>
      <c r="AJ6428">
        <v>74.876458430854498</v>
      </c>
      <c r="AK6428">
        <v>48.534634030070698</v>
      </c>
      <c r="AL6428">
        <v>89.135881546984905</v>
      </c>
      <c r="AM6428">
        <v>85.997639622499506</v>
      </c>
      <c r="AN6428">
        <v>0.99999997373726301</v>
      </c>
    </row>
    <row r="6429" spans="1:40" x14ac:dyDescent="0.25">
      <c r="A6429" t="str">
        <f>"20190312160813772"</f>
        <v>20190312160813772</v>
      </c>
      <c r="B6429" t="str">
        <f>"1552378093761782"</f>
        <v>1552378093761782</v>
      </c>
      <c r="C6429" t="s">
        <v>40</v>
      </c>
      <c r="D6429">
        <v>6.3963239999999999</v>
      </c>
      <c r="E6429">
        <v>0.57512379999999996</v>
      </c>
      <c r="F6429" t="s">
        <v>104</v>
      </c>
      <c r="G6429">
        <v>-279.02</v>
      </c>
      <c r="H6429">
        <v>2.4631059999999998</v>
      </c>
      <c r="I6429">
        <v>-1.278694</v>
      </c>
      <c r="J6429">
        <v>-324.08710000000002</v>
      </c>
      <c r="K6429">
        <v>1.105027</v>
      </c>
      <c r="L6429">
        <v>16.48441</v>
      </c>
      <c r="M6429">
        <v>0.99380420000000003</v>
      </c>
      <c r="N6429">
        <v>0</v>
      </c>
      <c r="O6429">
        <v>-0.1103653</v>
      </c>
      <c r="P6429">
        <v>0.98376940000000002</v>
      </c>
      <c r="Q6429">
        <v>2.8321129999999998E-3</v>
      </c>
      <c r="R6429">
        <v>-0.17941589999999999</v>
      </c>
      <c r="S6429">
        <v>2.8468019999999998</v>
      </c>
      <c r="T6429">
        <v>8.5467100000000004E-2</v>
      </c>
      <c r="U6429">
        <v>-1.119202</v>
      </c>
      <c r="V6429">
        <v>6.9907579999999997E-2</v>
      </c>
      <c r="W6429">
        <v>1.5176490000000001E-2</v>
      </c>
      <c r="X6429">
        <v>0.99743800000000005</v>
      </c>
      <c r="Y6429">
        <v>0.26086789999999999</v>
      </c>
      <c r="Z6429">
        <v>6.0189209999999996E-4</v>
      </c>
      <c r="AA6429">
        <v>0.96537430000000002</v>
      </c>
      <c r="AB6429">
        <v>33</v>
      </c>
      <c r="AC6429">
        <v>45.067100000000003</v>
      </c>
      <c r="AD6429">
        <v>1.358079</v>
      </c>
      <c r="AE6429">
        <v>-17.763103999999998</v>
      </c>
      <c r="AF6429">
        <v>12.6703396758911</v>
      </c>
      <c r="AG6429">
        <v>1.358079</v>
      </c>
      <c r="AH6429">
        <v>46.715623145911302</v>
      </c>
      <c r="AI6429">
        <v>88.392843846018494</v>
      </c>
      <c r="AJ6429">
        <v>74.825146931569705</v>
      </c>
      <c r="AK6429">
        <v>48.422425920057997</v>
      </c>
      <c r="AL6429">
        <v>89.130417774149706</v>
      </c>
      <c r="AM6429">
        <v>85.990858494508601</v>
      </c>
      <c r="AN6429">
        <v>0.99999997971708798</v>
      </c>
    </row>
    <row r="6430" spans="1:40" x14ac:dyDescent="0.25">
      <c r="A6430" t="str">
        <f>"20190312160813784"</f>
        <v>20190312160813784</v>
      </c>
      <c r="B6430" t="str">
        <f>"1552378093771542"</f>
        <v>1552378093771542</v>
      </c>
      <c r="C6430" t="s">
        <v>40</v>
      </c>
      <c r="D6430">
        <v>6.4705640000000004</v>
      </c>
      <c r="E6430">
        <v>0.57542649999999995</v>
      </c>
      <c r="F6430" t="s">
        <v>104</v>
      </c>
      <c r="G6430">
        <v>-279.02</v>
      </c>
      <c r="H6430">
        <v>2.4827089999999998</v>
      </c>
      <c r="I6430">
        <v>-1.4208069999999999</v>
      </c>
      <c r="J6430">
        <v>-323.93150000000003</v>
      </c>
      <c r="K6430">
        <v>1.104983</v>
      </c>
      <c r="L6430">
        <v>16.46463</v>
      </c>
      <c r="M6430">
        <v>0.99351999999999996</v>
      </c>
      <c r="N6430">
        <v>0</v>
      </c>
      <c r="O6430">
        <v>-0.1128836</v>
      </c>
      <c r="P6430">
        <v>0.9832822</v>
      </c>
      <c r="Q6430">
        <v>2.722421E-3</v>
      </c>
      <c r="R6430">
        <v>-0.1820686</v>
      </c>
      <c r="S6430">
        <v>2.8432010000000001</v>
      </c>
      <c r="T6430">
        <v>8.6915489999999998E-2</v>
      </c>
      <c r="U6430">
        <v>-1.1296079999999999</v>
      </c>
      <c r="V6430">
        <v>7.0071350000000004E-2</v>
      </c>
      <c r="W6430">
        <v>1.5158369999999999E-2</v>
      </c>
      <c r="X6430">
        <v>0.99742679999999995</v>
      </c>
      <c r="Y6430">
        <v>0.2618915</v>
      </c>
      <c r="Z6430">
        <v>5.546142E-4</v>
      </c>
      <c r="AA6430">
        <v>0.96509719999999999</v>
      </c>
      <c r="AB6430">
        <v>33</v>
      </c>
      <c r="AC6430">
        <v>44.911499999999997</v>
      </c>
      <c r="AD6430">
        <v>1.37772599999999</v>
      </c>
      <c r="AE6430">
        <v>-17.885437</v>
      </c>
      <c r="AF6430">
        <v>12.690573183371599</v>
      </c>
      <c r="AG6430">
        <v>1.37772599999999</v>
      </c>
      <c r="AH6430">
        <v>46.605679948921697</v>
      </c>
      <c r="AI6430">
        <v>88.366205799195299</v>
      </c>
      <c r="AJ6430">
        <v>74.767845502684295</v>
      </c>
      <c r="AK6430">
        <v>48.322232772864602</v>
      </c>
      <c r="AL6430">
        <v>89.131456107118495</v>
      </c>
      <c r="AM6430">
        <v>85.981452180000105</v>
      </c>
      <c r="AN6430">
        <v>0.99999999581505905</v>
      </c>
    </row>
    <row r="6431" spans="1:40" x14ac:dyDescent="0.25">
      <c r="A6431" t="str">
        <f>"20190312160813796"</f>
        <v>20190312160813796</v>
      </c>
      <c r="B6431" t="str">
        <f>"1552378093792038"</f>
        <v>1552378093792038</v>
      </c>
      <c r="C6431" t="s">
        <v>40</v>
      </c>
      <c r="D6431">
        <v>6.4248440000000002</v>
      </c>
      <c r="E6431">
        <v>0.5758373</v>
      </c>
      <c r="F6431" t="s">
        <v>104</v>
      </c>
      <c r="G6431">
        <v>-279.02</v>
      </c>
      <c r="H6431">
        <v>2.491276</v>
      </c>
      <c r="I6431">
        <v>-1.559442</v>
      </c>
      <c r="J6431">
        <v>-323.7407</v>
      </c>
      <c r="K6431">
        <v>1.104935</v>
      </c>
      <c r="L6431">
        <v>16.440089999999898</v>
      </c>
      <c r="M6431">
        <v>0.99316020000000005</v>
      </c>
      <c r="N6431">
        <v>0</v>
      </c>
      <c r="O6431">
        <v>-0.1159924</v>
      </c>
      <c r="P6431">
        <v>0.9826918</v>
      </c>
      <c r="Q6431">
        <v>2.6845340000000001E-3</v>
      </c>
      <c r="R6431">
        <v>-0.1852299</v>
      </c>
      <c r="S6431">
        <v>2.8397220000000001</v>
      </c>
      <c r="T6431">
        <v>8.765423E-2</v>
      </c>
      <c r="U6431">
        <v>-1.139648</v>
      </c>
      <c r="V6431">
        <v>7.0160159999999999E-2</v>
      </c>
      <c r="W6431">
        <v>1.522942E-2</v>
      </c>
      <c r="X6431">
        <v>0.99741950000000001</v>
      </c>
      <c r="Y6431">
        <v>0.26221909999999998</v>
      </c>
      <c r="Z6431">
        <v>4.7373279999999999E-4</v>
      </c>
      <c r="AA6431">
        <v>0.96500830000000004</v>
      </c>
      <c r="AB6431">
        <v>33</v>
      </c>
      <c r="AC6431">
        <v>44.720700000000001</v>
      </c>
      <c r="AD6431">
        <v>1.386341</v>
      </c>
      <c r="AE6431">
        <v>-17.999531999999999</v>
      </c>
      <c r="AF6431">
        <v>12.679804142705899</v>
      </c>
      <c r="AG6431">
        <v>1.386341</v>
      </c>
      <c r="AH6431">
        <v>46.468350606601099</v>
      </c>
      <c r="AI6431">
        <v>88.351378843789902</v>
      </c>
      <c r="AJ6431">
        <v>74.737286903407593</v>
      </c>
      <c r="AK6431">
        <v>48.187207665143497</v>
      </c>
      <c r="AL6431">
        <v>89.127384794090204</v>
      </c>
      <c r="AM6431">
        <v>85.976346348774001</v>
      </c>
      <c r="AN6431">
        <v>1.0000000211325</v>
      </c>
    </row>
    <row r="6432" spans="1:40" x14ac:dyDescent="0.25">
      <c r="A6432" t="str">
        <f>"20190312160813808"</f>
        <v>20190312160813808</v>
      </c>
      <c r="B6432" t="str">
        <f>"1552378093801797"</f>
        <v>1552378093801797</v>
      </c>
      <c r="C6432" t="s">
        <v>40</v>
      </c>
      <c r="D6432">
        <v>6.419861</v>
      </c>
      <c r="E6432">
        <v>0.57600779999999996</v>
      </c>
      <c r="F6432" t="s">
        <v>104</v>
      </c>
      <c r="G6432">
        <v>-279.02</v>
      </c>
      <c r="H6432">
        <v>2.5219010000000002</v>
      </c>
      <c r="I6432">
        <v>-1.7291609999999999</v>
      </c>
      <c r="J6432">
        <v>-323.55900000000003</v>
      </c>
      <c r="K6432">
        <v>1.104889</v>
      </c>
      <c r="L6432">
        <v>16.41592</v>
      </c>
      <c r="M6432">
        <v>0.99280310000000005</v>
      </c>
      <c r="N6432">
        <v>0</v>
      </c>
      <c r="O6432">
        <v>-0.1189978</v>
      </c>
      <c r="P6432">
        <v>0.98207040000000001</v>
      </c>
      <c r="Q6432">
        <v>2.7869290000000001E-3</v>
      </c>
      <c r="R6432">
        <v>-0.18849379999999999</v>
      </c>
      <c r="S6432">
        <v>2.83548</v>
      </c>
      <c r="T6432">
        <v>8.9841599999999994E-2</v>
      </c>
      <c r="U6432">
        <v>-1.1520079999999999</v>
      </c>
      <c r="V6432">
        <v>7.0459599999999997E-2</v>
      </c>
      <c r="W6432">
        <v>1.542347E-2</v>
      </c>
      <c r="X6432">
        <v>0.99739540000000004</v>
      </c>
      <c r="Y6432">
        <v>0.2634107</v>
      </c>
      <c r="Z6432">
        <v>4.1414449999999998E-4</v>
      </c>
      <c r="AA6432">
        <v>0.96468370000000003</v>
      </c>
      <c r="AB6432">
        <v>33</v>
      </c>
      <c r="AC6432">
        <v>44.539000000000001</v>
      </c>
      <c r="AD6432">
        <v>1.4170119999999899</v>
      </c>
      <c r="AE6432">
        <v>-18.145081000000001</v>
      </c>
      <c r="AF6432">
        <v>12.7045747817187</v>
      </c>
      <c r="AG6432">
        <v>1.4170119999999899</v>
      </c>
      <c r="AH6432">
        <v>46.341662058879599</v>
      </c>
      <c r="AI6432">
        <v>88.310872232246496</v>
      </c>
      <c r="AJ6432">
        <v>74.669026551834094</v>
      </c>
      <c r="AK6432">
        <v>48.072484705617498</v>
      </c>
      <c r="AL6432">
        <v>89.1162652335357</v>
      </c>
      <c r="AM6432">
        <v>85.959133050888894</v>
      </c>
      <c r="AN6432">
        <v>1.00000001130008</v>
      </c>
    </row>
    <row r="6433" spans="1:40" x14ac:dyDescent="0.25">
      <c r="A6433" t="str">
        <f>"20190312160813827"</f>
        <v>20190312160813827</v>
      </c>
      <c r="B6433" t="str">
        <f>"1552378093822294"</f>
        <v>1552378093822294</v>
      </c>
      <c r="C6433" t="s">
        <v>40</v>
      </c>
      <c r="D6433">
        <v>5.018885</v>
      </c>
      <c r="E6433">
        <v>0.576345</v>
      </c>
      <c r="F6433" t="s">
        <v>104</v>
      </c>
      <c r="G6433">
        <v>-279.02</v>
      </c>
      <c r="H6433">
        <v>2.5054970000000001</v>
      </c>
      <c r="I6433">
        <v>-1.874838</v>
      </c>
      <c r="J6433">
        <v>-323.30290000000002</v>
      </c>
      <c r="K6433">
        <v>1.1048249999999999</v>
      </c>
      <c r="L6433">
        <v>16.380949999999999</v>
      </c>
      <c r="M6433">
        <v>0.99227790000000005</v>
      </c>
      <c r="N6433">
        <v>0</v>
      </c>
      <c r="O6433">
        <v>-0.1232857</v>
      </c>
      <c r="P6433">
        <v>0.98119029999999996</v>
      </c>
      <c r="Q6433">
        <v>3.0753719999999998E-3</v>
      </c>
      <c r="R6433">
        <v>-0.19301850000000001</v>
      </c>
      <c r="S6433">
        <v>2.8313600000000001</v>
      </c>
      <c r="T6433">
        <v>8.9037179999999994E-2</v>
      </c>
      <c r="U6433">
        <v>-1.16275</v>
      </c>
      <c r="V6433">
        <v>7.0755299999999993E-2</v>
      </c>
      <c r="W6433">
        <v>1.583207E-2</v>
      </c>
      <c r="X6433">
        <v>0.99736800000000003</v>
      </c>
      <c r="Y6433">
        <v>0.26287139999999998</v>
      </c>
      <c r="Z6433">
        <v>2.754279E-4</v>
      </c>
      <c r="AA6433">
        <v>0.96483090000000005</v>
      </c>
      <c r="AB6433">
        <v>33</v>
      </c>
      <c r="AC6433">
        <v>44.282899999999998</v>
      </c>
      <c r="AD6433">
        <v>1.4006719999999999</v>
      </c>
      <c r="AE6433">
        <v>-18.255787999999999</v>
      </c>
      <c r="AF6433">
        <v>12.6457249948845</v>
      </c>
      <c r="AG6433">
        <v>1.4006719999999999</v>
      </c>
      <c r="AH6433">
        <v>46.1564289175844</v>
      </c>
      <c r="AI6433">
        <v>88.3235675359239</v>
      </c>
      <c r="AJ6433">
        <v>74.678342091684996</v>
      </c>
      <c r="AK6433">
        <v>47.877888143921403</v>
      </c>
      <c r="AL6433">
        <v>89.092851260617095</v>
      </c>
      <c r="AM6433">
        <v>85.942120045424303</v>
      </c>
      <c r="AN6433">
        <v>0.99999994717128604</v>
      </c>
    </row>
    <row r="6434" spans="1:40" x14ac:dyDescent="0.25">
      <c r="A6434" t="str">
        <f>"20190312160813838"</f>
        <v>20190312160813838</v>
      </c>
      <c r="B6434" t="str">
        <f>"1552378093832054"</f>
        <v>1552378093832054</v>
      </c>
      <c r="C6434" t="s">
        <v>40</v>
      </c>
      <c r="D6434">
        <v>6.4479059999999997</v>
      </c>
      <c r="E6434">
        <v>0.57660310000000004</v>
      </c>
      <c r="F6434" t="s">
        <v>104</v>
      </c>
      <c r="G6434">
        <v>-279.02</v>
      </c>
      <c r="H6434">
        <v>2.5065949999999999</v>
      </c>
      <c r="I6434">
        <v>-2.0890740000000001</v>
      </c>
      <c r="J6434">
        <v>-323.1234</v>
      </c>
      <c r="K6434">
        <v>1.1047830000000001</v>
      </c>
      <c r="L6434">
        <v>16.355799999999999</v>
      </c>
      <c r="M6434">
        <v>0.99189450000000001</v>
      </c>
      <c r="N6434">
        <v>0</v>
      </c>
      <c r="O6434">
        <v>-0.1263243</v>
      </c>
      <c r="P6434">
        <v>0.98054330000000001</v>
      </c>
      <c r="Q6434">
        <v>3.3535959999999999E-3</v>
      </c>
      <c r="R6434">
        <v>-0.1962757</v>
      </c>
      <c r="S6434">
        <v>2.8254389999999998</v>
      </c>
      <c r="T6434">
        <v>8.9438920000000005E-2</v>
      </c>
      <c r="U6434">
        <v>-1.1784669999999999</v>
      </c>
      <c r="V6434">
        <v>7.101855E-2</v>
      </c>
      <c r="W6434">
        <v>1.618584E-2</v>
      </c>
      <c r="X6434">
        <v>0.99734370000000006</v>
      </c>
      <c r="Y6434">
        <v>0.265206</v>
      </c>
      <c r="Z6434">
        <v>2.2206219999999999E-4</v>
      </c>
      <c r="AA6434">
        <v>0.96419169999999998</v>
      </c>
      <c r="AB6434">
        <v>33</v>
      </c>
      <c r="AC6434">
        <v>44.103400000000001</v>
      </c>
      <c r="AD6434">
        <v>1.4018119999999901</v>
      </c>
      <c r="AE6434">
        <v>-18.444873999999999</v>
      </c>
      <c r="AF6434">
        <v>12.7142981888174</v>
      </c>
      <c r="AG6434">
        <v>1.4018119999999901</v>
      </c>
      <c r="AH6434">
        <v>46.0406863496965</v>
      </c>
      <c r="AI6434">
        <v>88.318924517464794</v>
      </c>
      <c r="AJ6434">
        <v>74.562321162093895</v>
      </c>
      <c r="AK6434">
        <v>47.784550378429202</v>
      </c>
      <c r="AL6434">
        <v>89.0725792159093</v>
      </c>
      <c r="AM6434">
        <v>85.926974235932093</v>
      </c>
      <c r="AN6434">
        <v>1.00000003589514</v>
      </c>
    </row>
    <row r="6435" spans="1:40" x14ac:dyDescent="0.25">
      <c r="A6435" t="str">
        <f>"20190312160813849"</f>
        <v>20190312160813849</v>
      </c>
      <c r="B6435" t="str">
        <f>"1552378093841814"</f>
        <v>1552378093841814</v>
      </c>
      <c r="C6435" t="s">
        <v>40</v>
      </c>
      <c r="D6435">
        <v>6.4238759999999999</v>
      </c>
      <c r="E6435">
        <v>0.57683930000000005</v>
      </c>
      <c r="F6435" t="s">
        <v>104</v>
      </c>
      <c r="G6435">
        <v>-279.02</v>
      </c>
      <c r="H6435">
        <v>2.5307650000000002</v>
      </c>
      <c r="I6435">
        <v>-2.245498</v>
      </c>
      <c r="J6435">
        <v>-322.96519999999998</v>
      </c>
      <c r="K6435">
        <v>1.104746</v>
      </c>
      <c r="L6435">
        <v>16.333100000000002</v>
      </c>
      <c r="M6435">
        <v>0.99154520000000002</v>
      </c>
      <c r="N6435">
        <v>0</v>
      </c>
      <c r="O6435">
        <v>-0.1290299</v>
      </c>
      <c r="P6435">
        <v>0.97992509999999999</v>
      </c>
      <c r="Q6435">
        <v>3.4037329999999999E-3</v>
      </c>
      <c r="R6435">
        <v>-0.1993375</v>
      </c>
      <c r="S6435">
        <v>2.8210449999999998</v>
      </c>
      <c r="T6435">
        <v>9.1211920000000002E-2</v>
      </c>
      <c r="U6435">
        <v>-1.189819</v>
      </c>
      <c r="V6435">
        <v>7.141554E-2</v>
      </c>
      <c r="W6435">
        <v>1.629597E-2</v>
      </c>
      <c r="X6435">
        <v>0.99731349999999996</v>
      </c>
      <c r="Y6435">
        <v>0.26640589999999997</v>
      </c>
      <c r="Z6435">
        <v>1.6315789999999999E-4</v>
      </c>
      <c r="AA6435">
        <v>0.96386090000000002</v>
      </c>
      <c r="AB6435">
        <v>33</v>
      </c>
      <c r="AC6435">
        <v>43.9452</v>
      </c>
      <c r="AD6435">
        <v>1.4260189999999999</v>
      </c>
      <c r="AE6435">
        <v>-18.578598</v>
      </c>
      <c r="AF6435">
        <v>12.7411006093377</v>
      </c>
      <c r="AG6435">
        <v>1.4260189999999999</v>
      </c>
      <c r="AH6435">
        <v>45.934166422567003</v>
      </c>
      <c r="AI6435">
        <v>88.286487791038695</v>
      </c>
      <c r="AJ6435">
        <v>74.497186787720295</v>
      </c>
      <c r="AK6435">
        <v>47.689797859308598</v>
      </c>
      <c r="AL6435">
        <v>89.066268345185193</v>
      </c>
      <c r="AM6435">
        <v>85.904159900488594</v>
      </c>
      <c r="AN6435">
        <v>0.999999977636991</v>
      </c>
    </row>
    <row r="6436" spans="1:40" x14ac:dyDescent="0.25">
      <c r="A6436" t="str">
        <f>"20190312160813860"</f>
        <v>20190312160813860</v>
      </c>
      <c r="B6436" t="str">
        <f>"1552378093851574"</f>
        <v>1552378093851574</v>
      </c>
      <c r="C6436" t="s">
        <v>40</v>
      </c>
      <c r="D6436">
        <v>6.2550970000000001</v>
      </c>
      <c r="E6436">
        <v>0.57697189999999998</v>
      </c>
      <c r="F6436" t="s">
        <v>104</v>
      </c>
      <c r="G6436">
        <v>-279.02</v>
      </c>
      <c r="H6436">
        <v>2.5379960000000001</v>
      </c>
      <c r="I6436">
        <v>-2.3940389999999998</v>
      </c>
      <c r="J6436">
        <v>-322.8091</v>
      </c>
      <c r="K6436">
        <v>1.1047119999999999</v>
      </c>
      <c r="L6436">
        <v>16.310210000000001</v>
      </c>
      <c r="M6436">
        <v>0.99119029999999997</v>
      </c>
      <c r="N6436">
        <v>0</v>
      </c>
      <c r="O6436">
        <v>-0.13172249999999999</v>
      </c>
      <c r="P6436">
        <v>0.97936880000000004</v>
      </c>
      <c r="Q6436">
        <v>3.2270459999999999E-3</v>
      </c>
      <c r="R6436">
        <v>-0.2020565</v>
      </c>
      <c r="S6436">
        <v>2.8169559999999998</v>
      </c>
      <c r="T6436">
        <v>9.1873650000000001E-2</v>
      </c>
      <c r="U6436">
        <v>-1.200439</v>
      </c>
      <c r="V6436">
        <v>7.147473E-2</v>
      </c>
      <c r="W6436">
        <v>1.6177730000000001E-2</v>
      </c>
      <c r="X6436">
        <v>0.99731119999999995</v>
      </c>
      <c r="Y6436">
        <v>0.26736799999999999</v>
      </c>
      <c r="Z6436" s="1">
        <v>9.721331E-5</v>
      </c>
      <c r="AA6436">
        <v>0.96359450000000002</v>
      </c>
      <c r="AB6436">
        <v>33</v>
      </c>
      <c r="AC6436">
        <v>43.789099999999998</v>
      </c>
      <c r="AD6436">
        <v>1.43328399999999</v>
      </c>
      <c r="AE6436">
        <v>-18.704249000000001</v>
      </c>
      <c r="AF6436">
        <v>12.7611179985756</v>
      </c>
      <c r="AG6436">
        <v>1.43328399999999</v>
      </c>
      <c r="AH6436">
        <v>45.829957974732501</v>
      </c>
      <c r="AI6436">
        <v>88.274324723863003</v>
      </c>
      <c r="AJ6436">
        <v>74.440409959011504</v>
      </c>
      <c r="AK6436">
        <v>47.595015322657197</v>
      </c>
      <c r="AL6436">
        <v>89.073043905572604</v>
      </c>
      <c r="AM6436">
        <v>85.900767368460507</v>
      </c>
      <c r="AN6436">
        <v>0.99999999281098195</v>
      </c>
    </row>
    <row r="6437" spans="1:40" x14ac:dyDescent="0.25">
      <c r="A6437" t="str">
        <f>"20190312160813872"</f>
        <v>20190312160813872</v>
      </c>
      <c r="B6437" t="str">
        <f>"1552378093862310"</f>
        <v>1552378093862310</v>
      </c>
      <c r="C6437" t="s">
        <v>40</v>
      </c>
      <c r="D6437">
        <v>6.4212119999999997</v>
      </c>
      <c r="E6437">
        <v>0.57720919999999998</v>
      </c>
      <c r="F6437" t="s">
        <v>104</v>
      </c>
      <c r="G6437">
        <v>-279.02</v>
      </c>
      <c r="H6437">
        <v>2.5387029999999999</v>
      </c>
      <c r="I6437">
        <v>-2.513271</v>
      </c>
      <c r="J6437">
        <v>-322.6386</v>
      </c>
      <c r="K6437">
        <v>1.1046750000000001</v>
      </c>
      <c r="L6437">
        <v>16.284879999999902</v>
      </c>
      <c r="M6437">
        <v>0.99079139999999999</v>
      </c>
      <c r="N6437">
        <v>0</v>
      </c>
      <c r="O6437">
        <v>-0.13468189999999999</v>
      </c>
      <c r="P6437">
        <v>0.97875579999999995</v>
      </c>
      <c r="Q6437">
        <v>3.2004910000000002E-3</v>
      </c>
      <c r="R6437">
        <v>-0.20500479999999999</v>
      </c>
      <c r="S6437">
        <v>2.8133849999999998</v>
      </c>
      <c r="T6437">
        <v>9.2131850000000001E-2</v>
      </c>
      <c r="U6437">
        <v>-1.209381</v>
      </c>
      <c r="V6437">
        <v>7.1501540000000002E-2</v>
      </c>
      <c r="W6437">
        <v>1.621206E-2</v>
      </c>
      <c r="X6437">
        <v>0.99730870000000005</v>
      </c>
      <c r="Y6437">
        <v>0.26752009999999998</v>
      </c>
      <c r="Z6437" s="1">
        <v>9.2168339999999992E-6</v>
      </c>
      <c r="AA6437">
        <v>0.96355230000000003</v>
      </c>
      <c r="AB6437">
        <v>33</v>
      </c>
      <c r="AC6437">
        <v>43.618600000000001</v>
      </c>
      <c r="AD6437">
        <v>1.4340280000000001</v>
      </c>
      <c r="AE6437">
        <v>-18.798151000000001</v>
      </c>
      <c r="AF6437">
        <v>12.7400289109257</v>
      </c>
      <c r="AG6437">
        <v>1.4340280000000001</v>
      </c>
      <c r="AH6437">
        <v>45.7114553978098</v>
      </c>
      <c r="AI6437">
        <v>88.269072733679096</v>
      </c>
      <c r="AJ6437">
        <v>74.426559840965993</v>
      </c>
      <c r="AK6437">
        <v>47.475277013851802</v>
      </c>
      <c r="AL6437">
        <v>89.071076664217401</v>
      </c>
      <c r="AM6437">
        <v>85.899224756233295</v>
      </c>
      <c r="AN6437">
        <v>0.99999997210375202</v>
      </c>
    </row>
    <row r="6438" spans="1:40" x14ac:dyDescent="0.25">
      <c r="A6438" t="str">
        <f>"20190312160813885"</f>
        <v>20190312160813885</v>
      </c>
      <c r="B6438" t="str">
        <f>"1552378093881829"</f>
        <v>1552378093881829</v>
      </c>
      <c r="C6438" t="s">
        <v>40</v>
      </c>
      <c r="D6438">
        <v>6.5412429999999997</v>
      </c>
      <c r="E6438">
        <v>0.57761370000000001</v>
      </c>
      <c r="F6438" t="s">
        <v>104</v>
      </c>
      <c r="G6438">
        <v>-279.02</v>
      </c>
      <c r="H6438">
        <v>2.5454750000000002</v>
      </c>
      <c r="I6438">
        <v>-2.6513810000000002</v>
      </c>
      <c r="J6438">
        <v>-322.4504</v>
      </c>
      <c r="K6438">
        <v>1.104636</v>
      </c>
      <c r="L6438">
        <v>16.255979999999902</v>
      </c>
      <c r="M6438">
        <v>0.99033530000000003</v>
      </c>
      <c r="N6438">
        <v>0</v>
      </c>
      <c r="O6438">
        <v>-0.13798869999999999</v>
      </c>
      <c r="P6438">
        <v>0.97806269999999995</v>
      </c>
      <c r="Q6438">
        <v>2.728987E-3</v>
      </c>
      <c r="R6438">
        <v>-0.20829400000000001</v>
      </c>
      <c r="S6438">
        <v>2.8093569999999999</v>
      </c>
      <c r="T6438">
        <v>9.2798229999999995E-2</v>
      </c>
      <c r="U6438">
        <v>-1.219635</v>
      </c>
      <c r="V6438">
        <v>7.1521299999999996E-2</v>
      </c>
      <c r="W6438">
        <v>1.5801550000000001E-2</v>
      </c>
      <c r="X6438">
        <v>0.99731389999999998</v>
      </c>
      <c r="Y6438">
        <v>0.26776809999999901</v>
      </c>
      <c r="Z6438" s="1">
        <v>-8.8848639999999896E-5</v>
      </c>
      <c r="AA6438">
        <v>0.96348339999999999</v>
      </c>
      <c r="AB6438">
        <v>33</v>
      </c>
      <c r="AC6438">
        <v>43.430399999999999</v>
      </c>
      <c r="AD6438">
        <v>1.440839</v>
      </c>
      <c r="AE6438">
        <v>-18.907361000000002</v>
      </c>
      <c r="AF6438">
        <v>12.7211942921834</v>
      </c>
      <c r="AG6438">
        <v>1.440839</v>
      </c>
      <c r="AH6438">
        <v>45.581935911108197</v>
      </c>
      <c r="AI6438">
        <v>88.256088772733506</v>
      </c>
      <c r="AJ6438">
        <v>74.406426348355893</v>
      </c>
      <c r="AK6438">
        <v>47.345725072574197</v>
      </c>
      <c r="AL6438">
        <v>89.094600194722204</v>
      </c>
      <c r="AM6438">
        <v>85.898116657662399</v>
      </c>
      <c r="AN6438">
        <v>1.0000000002346501</v>
      </c>
    </row>
    <row r="6439" spans="1:40" x14ac:dyDescent="0.25">
      <c r="A6439" t="str">
        <f>"20190312160813899"</f>
        <v>20190312160813899</v>
      </c>
      <c r="B6439" t="str">
        <f>"1552378093891591"</f>
        <v>1552378093891591</v>
      </c>
      <c r="C6439" t="s">
        <v>40</v>
      </c>
      <c r="D6439">
        <v>6.4376340000000001</v>
      </c>
      <c r="E6439">
        <v>0.57783530000000005</v>
      </c>
      <c r="F6439" t="s">
        <v>104</v>
      </c>
      <c r="G6439">
        <v>-279.02</v>
      </c>
      <c r="H6439">
        <v>2.5491679999999999</v>
      </c>
      <c r="I6439">
        <v>-2.8232010000000001</v>
      </c>
      <c r="J6439">
        <v>-322.26060000000001</v>
      </c>
      <c r="K6439">
        <v>1.1045969999999901</v>
      </c>
      <c r="L6439">
        <v>16.226379999999999</v>
      </c>
      <c r="M6439">
        <v>0.98986090000000004</v>
      </c>
      <c r="N6439">
        <v>0</v>
      </c>
      <c r="O6439">
        <v>-0.14134630000000001</v>
      </c>
      <c r="P6439">
        <v>0.97738250000000004</v>
      </c>
      <c r="Q6439">
        <v>2.8084490000000002E-3</v>
      </c>
      <c r="R6439">
        <v>-0.21146110000000001</v>
      </c>
      <c r="S6439">
        <v>2.8046259999999998</v>
      </c>
      <c r="T6439">
        <v>9.3284249999999999E-2</v>
      </c>
      <c r="U6439">
        <v>-1.232086</v>
      </c>
      <c r="V6439">
        <v>7.1373190000000003E-2</v>
      </c>
      <c r="W6439">
        <v>1.593982E-2</v>
      </c>
      <c r="X6439">
        <v>0.99732229999999999</v>
      </c>
      <c r="Y6439">
        <v>0.26868579999999997</v>
      </c>
      <c r="Z6439">
        <v>-1.78873499999999E-4</v>
      </c>
      <c r="AA6439">
        <v>0.96322790000000003</v>
      </c>
      <c r="AB6439">
        <v>33</v>
      </c>
      <c r="AC6439">
        <v>43.240600000000001</v>
      </c>
      <c r="AD6439">
        <v>1.4445709999999901</v>
      </c>
      <c r="AE6439">
        <v>-19.049581</v>
      </c>
      <c r="AF6439">
        <v>12.733887661911499</v>
      </c>
      <c r="AG6439">
        <v>1.4445709999999901</v>
      </c>
      <c r="AH6439">
        <v>45.456753106723298</v>
      </c>
      <c r="AI6439">
        <v>88.247238648366604</v>
      </c>
      <c r="AJ6439">
        <v>74.350744665583903</v>
      </c>
      <c r="AK6439">
        <v>47.228752718718098</v>
      </c>
      <c r="AL6439">
        <v>89.086676900106795</v>
      </c>
      <c r="AM6439">
        <v>85.9066165042926</v>
      </c>
      <c r="AN6439">
        <v>0.99999999009484897</v>
      </c>
    </row>
    <row r="6440" spans="1:40" x14ac:dyDescent="0.25">
      <c r="A6440" t="str">
        <f>"20190312160813912"</f>
        <v>20190312160813912</v>
      </c>
      <c r="B6440" t="str">
        <f>"1552378093902326"</f>
        <v>1552378093902326</v>
      </c>
      <c r="C6440" t="s">
        <v>40</v>
      </c>
      <c r="D6440">
        <v>6.4159949999999997</v>
      </c>
      <c r="E6440">
        <v>0.57804369999999905</v>
      </c>
      <c r="F6440" t="s">
        <v>104</v>
      </c>
      <c r="G6440">
        <v>-279.02</v>
      </c>
      <c r="H6440">
        <v>2.5584579999999999</v>
      </c>
      <c r="I6440">
        <v>-2.9662999999999999</v>
      </c>
      <c r="J6440">
        <v>-322.06330000000003</v>
      </c>
      <c r="K6440">
        <v>1.1045579999999999</v>
      </c>
      <c r="L6440">
        <v>16.194890000000001</v>
      </c>
      <c r="M6440">
        <v>0.98935039999999996</v>
      </c>
      <c r="N6440">
        <v>0</v>
      </c>
      <c r="O6440">
        <v>-0.14486869999999999</v>
      </c>
      <c r="P6440">
        <v>0.97660409999999997</v>
      </c>
      <c r="Q6440">
        <v>2.8813900000000002E-3</v>
      </c>
      <c r="R6440">
        <v>-0.21502560000000001</v>
      </c>
      <c r="S6440">
        <v>2.800262</v>
      </c>
      <c r="T6440">
        <v>9.415221E-2</v>
      </c>
      <c r="U6440">
        <v>-1.24292</v>
      </c>
      <c r="V6440">
        <v>7.1465269999999997E-2</v>
      </c>
      <c r="W6440">
        <v>1.6066159999999999E-2</v>
      </c>
      <c r="X6440">
        <v>0.99731369999999997</v>
      </c>
      <c r="Y6440">
        <v>0.2689279</v>
      </c>
      <c r="Z6440">
        <v>-2.8700520000000002E-4</v>
      </c>
      <c r="AA6440">
        <v>0.96316029999999997</v>
      </c>
      <c r="AB6440">
        <v>33</v>
      </c>
      <c r="AC6440">
        <v>43.043300000000002</v>
      </c>
      <c r="AD6440">
        <v>1.4539</v>
      </c>
      <c r="AE6440">
        <v>-19.161189999999898</v>
      </c>
      <c r="AF6440">
        <v>12.7106656431377</v>
      </c>
      <c r="AG6440">
        <v>1.4539</v>
      </c>
      <c r="AH6440">
        <v>45.3221164163471</v>
      </c>
      <c r="AI6440">
        <v>88.230836296902694</v>
      </c>
      <c r="AJ6440">
        <v>74.333756148583703</v>
      </c>
      <c r="AK6440">
        <v>47.093195716138801</v>
      </c>
      <c r="AL6440">
        <v>89.0794372436483</v>
      </c>
      <c r="AM6440">
        <v>85.901318310356103</v>
      </c>
      <c r="AN6440">
        <v>1.0000000112605001</v>
      </c>
    </row>
    <row r="6441" spans="1:40" x14ac:dyDescent="0.25">
      <c r="A6441" t="str">
        <f>"20190312160813928"</f>
        <v>20190312160813928</v>
      </c>
      <c r="B6441" t="str">
        <f>"1552378093921845"</f>
        <v>1552378093921845</v>
      </c>
      <c r="C6441" t="s">
        <v>40</v>
      </c>
      <c r="D6441">
        <v>5.8801870000000003</v>
      </c>
      <c r="E6441">
        <v>0.57836650000000001</v>
      </c>
      <c r="F6441" t="s">
        <v>104</v>
      </c>
      <c r="G6441">
        <v>-279.02</v>
      </c>
      <c r="H6441">
        <v>2.5630130000000002</v>
      </c>
      <c r="I6441">
        <v>-3.1251980000000001</v>
      </c>
      <c r="J6441">
        <v>-321.83479999999997</v>
      </c>
      <c r="K6441">
        <v>1.104509</v>
      </c>
      <c r="L6441">
        <v>16.157260000000001</v>
      </c>
      <c r="M6441">
        <v>0.98873659999999997</v>
      </c>
      <c r="N6441">
        <v>0</v>
      </c>
      <c r="O6441">
        <v>-0.1489963</v>
      </c>
      <c r="P6441">
        <v>0.97564589999999995</v>
      </c>
      <c r="Q6441">
        <v>2.0256950000000001E-3</v>
      </c>
      <c r="R6441">
        <v>-0.21934329999999999</v>
      </c>
      <c r="S6441">
        <v>2.7953489999999999</v>
      </c>
      <c r="T6441">
        <v>9.4716190000000006E-2</v>
      </c>
      <c r="U6441">
        <v>-1.2546999999999999</v>
      </c>
      <c r="V6441">
        <v>7.1706110000000003E-2</v>
      </c>
      <c r="W6441">
        <v>1.526374E-2</v>
      </c>
      <c r="X6441">
        <v>0.997309</v>
      </c>
      <c r="Y6441">
        <v>0.26892059999999901</v>
      </c>
      <c r="Z6441">
        <v>-4.1898709999999999E-4</v>
      </c>
      <c r="AA6441">
        <v>0.96316219999999997</v>
      </c>
      <c r="AB6441">
        <v>33</v>
      </c>
      <c r="AC6441">
        <v>42.814799999999899</v>
      </c>
      <c r="AD6441">
        <v>1.458504</v>
      </c>
      <c r="AE6441">
        <v>-19.282457999999998</v>
      </c>
      <c r="AF6441">
        <v>12.675065731073399</v>
      </c>
      <c r="AG6441">
        <v>1.458504</v>
      </c>
      <c r="AH6441">
        <v>45.166521621466501</v>
      </c>
      <c r="AI6441">
        <v>88.219209927137797</v>
      </c>
      <c r="AJ6441">
        <v>74.324304805890804</v>
      </c>
      <c r="AK6441">
        <v>46.9339876910906</v>
      </c>
      <c r="AL6441">
        <v>89.125418151290205</v>
      </c>
      <c r="AM6441">
        <v>85.887533633586699</v>
      </c>
      <c r="AN6441">
        <v>0.999999994725559</v>
      </c>
    </row>
    <row r="6442" spans="1:40" x14ac:dyDescent="0.25">
      <c r="A6442" t="str">
        <f>"20190312160813941"</f>
        <v>20190312160813941</v>
      </c>
      <c r="B6442" t="str">
        <f>"1552378093931606"</f>
        <v>1552378093931606</v>
      </c>
      <c r="C6442" t="s">
        <v>40</v>
      </c>
      <c r="D6442">
        <v>6.402069</v>
      </c>
      <c r="E6442">
        <v>0.57854619999999901</v>
      </c>
      <c r="F6442" t="s">
        <v>104</v>
      </c>
      <c r="G6442">
        <v>-279.02</v>
      </c>
      <c r="H6442">
        <v>2.5080200000000001</v>
      </c>
      <c r="I6442">
        <v>-3.3330160000000002</v>
      </c>
      <c r="J6442">
        <v>-321.64789999999999</v>
      </c>
      <c r="K6442">
        <v>1.104471</v>
      </c>
      <c r="L6442">
        <v>16.125820000000001</v>
      </c>
      <c r="M6442">
        <v>0.98821650000000005</v>
      </c>
      <c r="N6442">
        <v>0</v>
      </c>
      <c r="O6442">
        <v>-0.1524017</v>
      </c>
      <c r="P6442">
        <v>0.97479159999999998</v>
      </c>
      <c r="Q6442">
        <v>1.630498E-3</v>
      </c>
      <c r="R6442">
        <v>-0.22311110000000001</v>
      </c>
      <c r="S6442">
        <v>2.789215</v>
      </c>
      <c r="T6442">
        <v>9.1433169999999994E-2</v>
      </c>
      <c r="U6442">
        <v>-1.269714</v>
      </c>
      <c r="V6442">
        <v>7.212064E-2</v>
      </c>
      <c r="W6442">
        <v>1.490473E-2</v>
      </c>
      <c r="X6442">
        <v>0.99728450000000002</v>
      </c>
      <c r="Y6442">
        <v>0.27070090000000002</v>
      </c>
      <c r="Z6442">
        <v>-4.803389E-4</v>
      </c>
      <c r="AA6442">
        <v>0.96266339999999995</v>
      </c>
      <c r="AB6442">
        <v>33</v>
      </c>
      <c r="AC6442">
        <v>42.627899999999997</v>
      </c>
      <c r="AD6442">
        <v>1.4035489999999999</v>
      </c>
      <c r="AE6442">
        <v>-19.458835999999899</v>
      </c>
      <c r="AF6442">
        <v>12.7228494662836</v>
      </c>
      <c r="AG6442">
        <v>1.4035489999999999</v>
      </c>
      <c r="AH6442">
        <v>45.055284423073601</v>
      </c>
      <c r="AI6442">
        <v>88.282824108433502</v>
      </c>
      <c r="AJ6442">
        <v>74.231218757662305</v>
      </c>
      <c r="AK6442">
        <v>46.8382269389136</v>
      </c>
      <c r="AL6442">
        <v>89.145990216640698</v>
      </c>
      <c r="AM6442">
        <v>85.863740654009604</v>
      </c>
      <c r="AN6442">
        <v>0.99999995581531498</v>
      </c>
    </row>
    <row r="6443" spans="1:40" x14ac:dyDescent="0.25">
      <c r="A6443" t="str">
        <f>"20190312160813952"</f>
        <v>20190312160813952</v>
      </c>
      <c r="B6443" t="str">
        <f>"1552378093942341"</f>
        <v>1552378093942341</v>
      </c>
      <c r="C6443" t="s">
        <v>40</v>
      </c>
      <c r="D6443">
        <v>6.3483299999999998</v>
      </c>
      <c r="E6443">
        <v>0.57872349999999995</v>
      </c>
      <c r="F6443" t="s">
        <v>104</v>
      </c>
      <c r="G6443">
        <v>-279.02</v>
      </c>
      <c r="H6443">
        <v>2.4905970000000002</v>
      </c>
      <c r="I6443">
        <v>-3.502923</v>
      </c>
      <c r="J6443">
        <v>-321.47840000000002</v>
      </c>
      <c r="K6443">
        <v>1.104438</v>
      </c>
      <c r="L6443">
        <v>16.096800000000002</v>
      </c>
      <c r="M6443">
        <v>0.98773100000000003</v>
      </c>
      <c r="N6443">
        <v>0</v>
      </c>
      <c r="O6443">
        <v>-0.15551389999999901</v>
      </c>
      <c r="P6443">
        <v>0.97398819999999997</v>
      </c>
      <c r="Q6443">
        <v>1.08182E-3</v>
      </c>
      <c r="R6443">
        <v>-0.22659670000000001</v>
      </c>
      <c r="S6443">
        <v>2.784027</v>
      </c>
      <c r="T6443">
        <v>9.0527769999999994E-2</v>
      </c>
      <c r="U6443">
        <v>-1.281952</v>
      </c>
      <c r="V6443">
        <v>7.2541339999999996E-2</v>
      </c>
      <c r="W6443">
        <v>1.4385510000000001E-2</v>
      </c>
      <c r="X6443">
        <v>0.99726159999999997</v>
      </c>
      <c r="Y6443">
        <v>0.27184350000000002</v>
      </c>
      <c r="Z6443">
        <v>-5.5176859999999999E-4</v>
      </c>
      <c r="AA6443">
        <v>0.96234129999999996</v>
      </c>
      <c r="AB6443">
        <v>32</v>
      </c>
      <c r="AC6443">
        <v>42.458399999999997</v>
      </c>
      <c r="AD6443">
        <v>1.3861589999999999</v>
      </c>
      <c r="AE6443">
        <v>-19.599723000000001</v>
      </c>
      <c r="AF6443">
        <v>12.746477560314499</v>
      </c>
      <c r="AG6443">
        <v>1.3861589999999999</v>
      </c>
      <c r="AH6443">
        <v>44.9505769400335</v>
      </c>
      <c r="AI6443">
        <v>88.300665975761703</v>
      </c>
      <c r="AJ6443">
        <v>74.168440368106602</v>
      </c>
      <c r="AK6443">
        <v>46.743432631876303</v>
      </c>
      <c r="AL6443">
        <v>89.175742513884302</v>
      </c>
      <c r="AM6443">
        <v>85.8396019653011</v>
      </c>
      <c r="AN6443">
        <v>0.99999994387075597</v>
      </c>
    </row>
    <row r="6444" spans="1:40" x14ac:dyDescent="0.25">
      <c r="A6444" t="str">
        <f>"20190312160813964"</f>
        <v>20190312160813964</v>
      </c>
      <c r="B6444" t="str">
        <f>"1552378093952102"</f>
        <v>1552378093952102</v>
      </c>
      <c r="C6444" t="s">
        <v>40</v>
      </c>
      <c r="D6444">
        <v>6.4017169999999997</v>
      </c>
      <c r="E6444">
        <v>0.57892049999999995</v>
      </c>
      <c r="F6444" t="s">
        <v>104</v>
      </c>
      <c r="G6444">
        <v>-279.02</v>
      </c>
      <c r="H6444">
        <v>2.474208</v>
      </c>
      <c r="I6444">
        <v>-3.6597979999999999</v>
      </c>
      <c r="J6444">
        <v>-321.31420000000003</v>
      </c>
      <c r="K6444">
        <v>1.104401</v>
      </c>
      <c r="L6444">
        <v>16.06793</v>
      </c>
      <c r="M6444">
        <v>0.98724559999999995</v>
      </c>
      <c r="N6444">
        <v>0</v>
      </c>
      <c r="O6444">
        <v>-0.15856199999999901</v>
      </c>
      <c r="P6444">
        <v>0.97317390000000004</v>
      </c>
      <c r="Q6444">
        <v>9.7055730000000003E-4</v>
      </c>
      <c r="R6444">
        <v>-0.23006940000000001</v>
      </c>
      <c r="S6444">
        <v>2.7792050000000001</v>
      </c>
      <c r="T6444">
        <v>8.9661359999999996E-2</v>
      </c>
      <c r="U6444">
        <v>-1.2932129999999999</v>
      </c>
      <c r="V6444">
        <v>7.3020280000000007E-2</v>
      </c>
      <c r="W6444">
        <v>1.429778E-2</v>
      </c>
      <c r="X6444">
        <v>0.997228</v>
      </c>
      <c r="Y6444">
        <v>0.27271889999999999</v>
      </c>
      <c r="Z6444">
        <v>-6.2415330000000001E-4</v>
      </c>
      <c r="AA6444">
        <v>0.96209350000000005</v>
      </c>
      <c r="AB6444">
        <v>32</v>
      </c>
      <c r="AC6444">
        <v>42.294199999999996</v>
      </c>
      <c r="AD6444">
        <v>1.369807</v>
      </c>
      <c r="AE6444">
        <v>-19.727727999999999</v>
      </c>
      <c r="AF6444">
        <v>12.7601707225986</v>
      </c>
      <c r="AG6444">
        <v>1.369807</v>
      </c>
      <c r="AH6444">
        <v>44.848776464867797</v>
      </c>
      <c r="AI6444">
        <v>88.317310767161203</v>
      </c>
      <c r="AJ6444">
        <v>74.118127329882199</v>
      </c>
      <c r="AK6444">
        <v>46.648805756233301</v>
      </c>
      <c r="AL6444">
        <v>89.180769665316305</v>
      </c>
      <c r="AM6444">
        <v>85.812090557360804</v>
      </c>
      <c r="AN6444">
        <v>1.0000000358940999</v>
      </c>
    </row>
    <row r="6445" spans="1:40" x14ac:dyDescent="0.25">
      <c r="A6445" t="str">
        <f>"20190312160813976"</f>
        <v>20190312160813976</v>
      </c>
      <c r="B6445" t="str">
        <f>"1552378093971622"</f>
        <v>1552378093971622</v>
      </c>
      <c r="C6445" t="s">
        <v>40</v>
      </c>
      <c r="D6445">
        <v>6.28477</v>
      </c>
      <c r="E6445">
        <v>0.57926339999999998</v>
      </c>
      <c r="F6445" t="s">
        <v>104</v>
      </c>
      <c r="G6445">
        <v>-279.02</v>
      </c>
      <c r="H6445">
        <v>2.4805609999999998</v>
      </c>
      <c r="I6445">
        <v>-3.8227389999999999</v>
      </c>
      <c r="J6445">
        <v>-321.13760000000002</v>
      </c>
      <c r="K6445">
        <v>1.104358</v>
      </c>
      <c r="L6445">
        <v>16.036529999999999</v>
      </c>
      <c r="M6445">
        <v>0.98669079999999998</v>
      </c>
      <c r="N6445">
        <v>0</v>
      </c>
      <c r="O6445">
        <v>-0.16198070000000001</v>
      </c>
      <c r="P6445">
        <v>0.97226939999999995</v>
      </c>
      <c r="Q6445">
        <v>6.202124E-4</v>
      </c>
      <c r="R6445">
        <v>-0.23386309999999999</v>
      </c>
      <c r="S6445">
        <v>2.7742</v>
      </c>
      <c r="T6445">
        <v>9.0266349999999995E-2</v>
      </c>
      <c r="U6445">
        <v>-1.3046879999999901</v>
      </c>
      <c r="V6445">
        <v>7.3451719999999998E-2</v>
      </c>
      <c r="W6445">
        <v>1.3917300000000001E-2</v>
      </c>
      <c r="X6445">
        <v>0.99720169999999997</v>
      </c>
      <c r="Y6445">
        <v>0.27331440000000001</v>
      </c>
      <c r="Z6445">
        <v>-7.2205209999999997E-4</v>
      </c>
      <c r="AA6445">
        <v>0.96192449999999996</v>
      </c>
      <c r="AB6445">
        <v>32</v>
      </c>
      <c r="AC6445">
        <v>42.117600000000003</v>
      </c>
      <c r="AD6445">
        <v>1.3762030000000001</v>
      </c>
      <c r="AE6445">
        <v>-19.859269000000001</v>
      </c>
      <c r="AF6445">
        <v>12.7628716111836</v>
      </c>
      <c r="AG6445">
        <v>1.3762030000000001</v>
      </c>
      <c r="AH6445">
        <v>44.739344999011202</v>
      </c>
      <c r="AI6445">
        <v>88.305663259565705</v>
      </c>
      <c r="AJ6445">
        <v>74.078048212252696</v>
      </c>
      <c r="AK6445">
        <v>46.544535849026602</v>
      </c>
      <c r="AL6445">
        <v>89.202571734550901</v>
      </c>
      <c r="AM6445">
        <v>85.7873244276566</v>
      </c>
      <c r="AN6445">
        <v>1.0000000384465599</v>
      </c>
    </row>
    <row r="6446" spans="1:40" x14ac:dyDescent="0.25">
      <c r="A6446" t="str">
        <f>"20190312160813994"</f>
        <v>20190312160813994</v>
      </c>
      <c r="B6446" t="str">
        <f>"1552378093982358"</f>
        <v>1552378093982358</v>
      </c>
      <c r="C6446" t="s">
        <v>40</v>
      </c>
      <c r="D6446">
        <v>6.3593000000000002</v>
      </c>
      <c r="E6446">
        <v>0.57944169999999995</v>
      </c>
      <c r="F6446" t="s">
        <v>104</v>
      </c>
      <c r="G6446">
        <v>-279.02</v>
      </c>
      <c r="H6446">
        <v>2.483606</v>
      </c>
      <c r="I6446">
        <v>-4.0152619999999999</v>
      </c>
      <c r="J6446">
        <v>-320.88080000000002</v>
      </c>
      <c r="K6446">
        <v>1.104268</v>
      </c>
      <c r="L6446">
        <v>15.9899</v>
      </c>
      <c r="M6446">
        <v>0.98572190000000004</v>
      </c>
      <c r="N6446">
        <v>0</v>
      </c>
      <c r="O6446">
        <v>-0.16780909999999999</v>
      </c>
      <c r="P6446">
        <v>0.97072990000000003</v>
      </c>
      <c r="Q6446" s="1">
        <v>8.0866740000000006E-5</v>
      </c>
      <c r="R6446">
        <v>-0.24017440000000001</v>
      </c>
      <c r="S6446">
        <v>2.768494</v>
      </c>
      <c r="T6446">
        <v>9.0661409999999998E-2</v>
      </c>
      <c r="U6446">
        <v>-1.3180540000000001</v>
      </c>
      <c r="V6446">
        <v>7.4024729999999997E-2</v>
      </c>
      <c r="W6446">
        <v>1.297706E-2</v>
      </c>
      <c r="X6446">
        <v>0.99717199999999995</v>
      </c>
      <c r="Y6446">
        <v>0.27218949999999997</v>
      </c>
      <c r="Z6446">
        <v>-9.1873900000000001E-4</v>
      </c>
      <c r="AA6446">
        <v>0.96224319999999997</v>
      </c>
      <c r="AB6446">
        <v>32</v>
      </c>
      <c r="AC6446">
        <v>41.860799999999998</v>
      </c>
      <c r="AD6446">
        <v>1.379338</v>
      </c>
      <c r="AE6446">
        <v>-20.005161999999999</v>
      </c>
      <c r="AF6446">
        <v>12.6849129187088</v>
      </c>
      <c r="AG6446">
        <v>1.379338</v>
      </c>
      <c r="AH6446">
        <v>44.585041884862498</v>
      </c>
      <c r="AI6446">
        <v>88.295590376773802</v>
      </c>
      <c r="AJ6446">
        <v>74.118390347182299</v>
      </c>
      <c r="AK6446">
        <v>46.374945271648699</v>
      </c>
      <c r="AL6446">
        <v>89.256448384164699</v>
      </c>
      <c r="AM6446">
        <v>85.754454301936704</v>
      </c>
      <c r="AN6446">
        <v>1.0000000311609001</v>
      </c>
    </row>
    <row r="6447" spans="1:40" x14ac:dyDescent="0.25">
      <c r="A6447" t="str">
        <f>"20190312160814005"</f>
        <v>20190312160814005</v>
      </c>
      <c r="B6447" t="str">
        <f>"1552378094001878"</f>
        <v>1552378094001878</v>
      </c>
      <c r="C6447" t="s">
        <v>40</v>
      </c>
      <c r="D6447">
        <v>6.3597149999999996</v>
      </c>
      <c r="E6447">
        <v>0.57971249999999996</v>
      </c>
      <c r="F6447" t="s">
        <v>104</v>
      </c>
      <c r="G6447">
        <v>-279.02</v>
      </c>
      <c r="H6447">
        <v>2.4626540000000001</v>
      </c>
      <c r="I6447">
        <v>-4.2993360000000003</v>
      </c>
      <c r="J6447">
        <v>-320.71210000000002</v>
      </c>
      <c r="K6447">
        <v>1.1040219999999901</v>
      </c>
      <c r="L6447">
        <v>15.958279999999901</v>
      </c>
      <c r="M6447">
        <v>0.98510070000000005</v>
      </c>
      <c r="N6447">
        <v>0</v>
      </c>
      <c r="O6447">
        <v>-0.17144770000000001</v>
      </c>
      <c r="P6447">
        <v>0.96972550000000002</v>
      </c>
      <c r="Q6447" s="1">
        <v>5.3606000000000001E-5</v>
      </c>
      <c r="R6447">
        <v>-0.24419830000000001</v>
      </c>
      <c r="S6447">
        <v>2.7595209999999999</v>
      </c>
      <c r="T6447">
        <v>8.9546680000000003E-2</v>
      </c>
      <c r="U6447">
        <v>-1.337494</v>
      </c>
      <c r="V6447">
        <v>7.4477740000000001E-2</v>
      </c>
      <c r="W6447">
        <v>1.256606E-2</v>
      </c>
      <c r="X6447">
        <v>0.99714349999999996</v>
      </c>
      <c r="Y6447">
        <v>0.27535490000000001</v>
      </c>
      <c r="Z6447">
        <v>-9.6784720000000005E-4</v>
      </c>
      <c r="AA6447">
        <v>0.96134219999999904</v>
      </c>
      <c r="AB6447">
        <v>33</v>
      </c>
      <c r="AC6447">
        <v>41.692100000000003</v>
      </c>
      <c r="AD6447">
        <v>1.3586320000000001</v>
      </c>
      <c r="AE6447">
        <v>-20.257615999999999</v>
      </c>
      <c r="AF6447">
        <v>12.7979497997507</v>
      </c>
      <c r="AG6447">
        <v>1.3586320000000001</v>
      </c>
      <c r="AH6447">
        <v>44.509860474978296</v>
      </c>
      <c r="AI6447">
        <v>88.319668872768801</v>
      </c>
      <c r="AJ6447">
        <v>73.958433847957195</v>
      </c>
      <c r="AK6447">
        <v>46.333153135637097</v>
      </c>
      <c r="AL6447">
        <v>89.279998847026107</v>
      </c>
      <c r="AM6447">
        <v>85.728447022694695</v>
      </c>
      <c r="AN6447">
        <v>0.99999999960583996</v>
      </c>
    </row>
    <row r="6448" spans="1:40" x14ac:dyDescent="0.25">
      <c r="A6448" t="str">
        <f>"20190312160814017"</f>
        <v>20190312160814017</v>
      </c>
      <c r="B6448" t="str">
        <f>"1552378094011638"</f>
        <v>1552378094011638</v>
      </c>
      <c r="C6448" t="s">
        <v>40</v>
      </c>
      <c r="D6448">
        <v>6.4170819999999997</v>
      </c>
      <c r="E6448">
        <v>0.57986019999999905</v>
      </c>
      <c r="F6448" t="s">
        <v>104</v>
      </c>
      <c r="G6448">
        <v>-279.02</v>
      </c>
      <c r="H6448">
        <v>2.450955</v>
      </c>
      <c r="I6448">
        <v>-4.5005389999999998</v>
      </c>
      <c r="J6448">
        <v>-320.54739999999998</v>
      </c>
      <c r="K6448">
        <v>1.1037570000000001</v>
      </c>
      <c r="L6448">
        <v>15.927149999999999</v>
      </c>
      <c r="M6448">
        <v>0.9844946</v>
      </c>
      <c r="N6448">
        <v>0</v>
      </c>
      <c r="O6448">
        <v>-0.17491609999999999</v>
      </c>
      <c r="P6448">
        <v>0.96878640000000005</v>
      </c>
      <c r="Q6448">
        <v>1.286231E-4</v>
      </c>
      <c r="R6448">
        <v>-0.2478968</v>
      </c>
      <c r="S6448">
        <v>2.7534179999999999</v>
      </c>
      <c r="T6448">
        <v>8.8953729999999995E-2</v>
      </c>
      <c r="U6448">
        <v>-1.351135</v>
      </c>
      <c r="V6448">
        <v>7.4773229999999996E-2</v>
      </c>
      <c r="W6448">
        <v>1.23391E-2</v>
      </c>
      <c r="X6448">
        <v>0.99712420000000002</v>
      </c>
      <c r="Y6448">
        <v>0.27665289999999998</v>
      </c>
      <c r="Z6448">
        <v>-1.044672E-3</v>
      </c>
      <c r="AA6448">
        <v>0.96096930000000003</v>
      </c>
      <c r="AB6448">
        <v>33</v>
      </c>
      <c r="AC6448">
        <v>41.5274</v>
      </c>
      <c r="AD6448">
        <v>1.3471979999999999</v>
      </c>
      <c r="AE6448">
        <v>-20.427689000000001</v>
      </c>
      <c r="AF6448">
        <v>12.837383057938</v>
      </c>
      <c r="AG6448">
        <v>1.3471979999999999</v>
      </c>
      <c r="AH6448">
        <v>44.4228741598304</v>
      </c>
      <c r="AI6448">
        <v>88.331185498687006</v>
      </c>
      <c r="AJ6448">
        <v>73.881691237317597</v>
      </c>
      <c r="AK6448">
        <v>46.260189092215803</v>
      </c>
      <c r="AL6448">
        <v>89.293003691502193</v>
      </c>
      <c r="AM6448">
        <v>85.711480064344897</v>
      </c>
      <c r="AN6448">
        <v>0.99999997976954103</v>
      </c>
    </row>
    <row r="6449" spans="1:40" x14ac:dyDescent="0.25">
      <c r="A6449" t="str">
        <f>"20190312160814028"</f>
        <v>20190312160814028</v>
      </c>
      <c r="B6449" t="str">
        <f>"1552378094021398"</f>
        <v>1552378094021398</v>
      </c>
      <c r="C6449" t="s">
        <v>40</v>
      </c>
      <c r="D6449">
        <v>6.3231929999999998</v>
      </c>
      <c r="E6449">
        <v>0.57993879999999998</v>
      </c>
      <c r="F6449" t="s">
        <v>104</v>
      </c>
      <c r="G6449">
        <v>-279.02</v>
      </c>
      <c r="H6449">
        <v>2.4617119999999999</v>
      </c>
      <c r="I6449">
        <v>-4.6640430000000004</v>
      </c>
      <c r="J6449">
        <v>-320.37439999999998</v>
      </c>
      <c r="K6449">
        <v>1.103424</v>
      </c>
      <c r="L6449">
        <v>15.8936799999999</v>
      </c>
      <c r="M6449">
        <v>0.98388500000000001</v>
      </c>
      <c r="N6449">
        <v>0</v>
      </c>
      <c r="O6449">
        <v>-0.178317</v>
      </c>
      <c r="P6449">
        <v>0.96787380000000001</v>
      </c>
      <c r="Q6449">
        <v>2.830485E-4</v>
      </c>
      <c r="R6449">
        <v>-0.25143670000000001</v>
      </c>
      <c r="S6449">
        <v>2.747986</v>
      </c>
      <c r="T6449">
        <v>8.9859839999999996E-2</v>
      </c>
      <c r="U6449">
        <v>-1.362579</v>
      </c>
      <c r="V6449">
        <v>7.4979539999999997E-2</v>
      </c>
      <c r="W6449">
        <v>1.23844E-2</v>
      </c>
      <c r="X6449">
        <v>0.9971082</v>
      </c>
      <c r="Y6449">
        <v>0.27730120000000003</v>
      </c>
      <c r="Z6449">
        <v>-1.1474650000000001E-3</v>
      </c>
      <c r="AA6449">
        <v>0.96078229999999998</v>
      </c>
      <c r="AB6449">
        <v>33</v>
      </c>
      <c r="AC6449">
        <v>41.354399999999998</v>
      </c>
      <c r="AD6449">
        <v>1.3582879999999999</v>
      </c>
      <c r="AE6449">
        <v>-20.557722999999999</v>
      </c>
      <c r="AF6449">
        <v>12.842247931007799</v>
      </c>
      <c r="AG6449">
        <v>1.3582879999999999</v>
      </c>
      <c r="AH6449">
        <v>44.319272693708399</v>
      </c>
      <c r="AI6449">
        <v>88.313878362165497</v>
      </c>
      <c r="AJ6449">
        <v>73.840173639986901</v>
      </c>
      <c r="AK6449">
        <v>46.162389564576301</v>
      </c>
      <c r="AL6449">
        <v>89.290408032533307</v>
      </c>
      <c r="AM6449">
        <v>85.699623007129901</v>
      </c>
      <c r="AN6449">
        <v>1.0000000336446</v>
      </c>
    </row>
    <row r="6450" spans="1:40" x14ac:dyDescent="0.25">
      <c r="A6450" t="str">
        <f>"20190312160814039"</f>
        <v>20190312160814039</v>
      </c>
      <c r="B6450" t="str">
        <f>"1552378094032134"</f>
        <v>1552378094032134</v>
      </c>
      <c r="C6450" t="s">
        <v>40</v>
      </c>
      <c r="D6450">
        <v>7.0757659999999998</v>
      </c>
      <c r="E6450">
        <v>0.57993879999999998</v>
      </c>
      <c r="F6450" t="s">
        <v>104</v>
      </c>
      <c r="G6450">
        <v>-279.02</v>
      </c>
      <c r="H6450">
        <v>2.4587310000000002</v>
      </c>
      <c r="I6450">
        <v>-4.8092610000000002</v>
      </c>
      <c r="J6450">
        <v>-320.21850000000001</v>
      </c>
      <c r="K6450">
        <v>1.1030979999999999</v>
      </c>
      <c r="L6450">
        <v>15.86304</v>
      </c>
      <c r="M6450">
        <v>0.98333250000000005</v>
      </c>
      <c r="N6450">
        <v>0</v>
      </c>
      <c r="O6450">
        <v>-0.18133540000000001</v>
      </c>
      <c r="P6450">
        <v>0.96701250000000005</v>
      </c>
      <c r="Q6450">
        <v>1.443215E-4</v>
      </c>
      <c r="R6450">
        <v>-0.25473020000000002</v>
      </c>
      <c r="S6450">
        <v>2.7428590000000002</v>
      </c>
      <c r="T6450">
        <v>8.9891789999999999E-2</v>
      </c>
      <c r="U6450">
        <v>-1.373138</v>
      </c>
      <c r="V6450">
        <v>7.5318499999999997E-2</v>
      </c>
      <c r="W6450">
        <v>1.2277120000000001E-2</v>
      </c>
      <c r="X6450">
        <v>0.99708399999999997</v>
      </c>
      <c r="Y6450">
        <v>0.27803020000000001</v>
      </c>
      <c r="Z6450">
        <v>-1.227414E-3</v>
      </c>
      <c r="AA6450">
        <v>0.96057159999999997</v>
      </c>
      <c r="AB6450">
        <v>33</v>
      </c>
      <c r="AC6450">
        <v>41.198500000000003</v>
      </c>
      <c r="AD6450">
        <v>1.3556330000000001</v>
      </c>
      <c r="AE6450">
        <v>-20.672301000000001</v>
      </c>
      <c r="AF6450">
        <v>12.847009824353201</v>
      </c>
      <c r="AG6450">
        <v>1.3556330000000001</v>
      </c>
      <c r="AH6450">
        <v>44.226056245218899</v>
      </c>
      <c r="AI6450">
        <v>88.313951362365799</v>
      </c>
      <c r="AJ6450">
        <v>73.8022069407548</v>
      </c>
      <c r="AK6450">
        <v>46.074151682510497</v>
      </c>
      <c r="AL6450">
        <v>89.296555204932801</v>
      </c>
      <c r="AM6450">
        <v>85.680151268453599</v>
      </c>
      <c r="AN6450">
        <v>1.0000000535868701</v>
      </c>
    </row>
    <row r="6451" spans="1:40" x14ac:dyDescent="0.25">
      <c r="A6451" t="str">
        <f>"20190312160814051"</f>
        <v>20190312160814051</v>
      </c>
      <c r="B6451" t="str">
        <f>"1552378094041895"</f>
        <v>1552378094041895</v>
      </c>
      <c r="C6451" t="s">
        <v>40</v>
      </c>
      <c r="D6451">
        <v>6.3204669999999998</v>
      </c>
      <c r="E6451">
        <v>0.58008890000000002</v>
      </c>
      <c r="F6451" t="s">
        <v>104</v>
      </c>
      <c r="G6451">
        <v>-279.02</v>
      </c>
      <c r="H6451">
        <v>2.4558689999999999</v>
      </c>
      <c r="I6451">
        <v>-4.93825</v>
      </c>
      <c r="J6451">
        <v>-320.04539999999997</v>
      </c>
      <c r="K6451">
        <v>1.1027070000000001</v>
      </c>
      <c r="L6451">
        <v>15.82849</v>
      </c>
      <c r="M6451">
        <v>0.98271379999999997</v>
      </c>
      <c r="N6451">
        <v>0</v>
      </c>
      <c r="O6451">
        <v>-0.1846439</v>
      </c>
      <c r="P6451">
        <v>0.96614739999999999</v>
      </c>
      <c r="Q6451">
        <v>-4.1154869999999999E-4</v>
      </c>
      <c r="R6451">
        <v>-0.25799119999999998</v>
      </c>
      <c r="S6451">
        <v>2.738159</v>
      </c>
      <c r="T6451">
        <v>8.9908719999999998E-2</v>
      </c>
      <c r="U6451">
        <v>-1.3825069999999999</v>
      </c>
      <c r="V6451">
        <v>7.5327019999999995E-2</v>
      </c>
      <c r="W6451">
        <v>1.1889E-2</v>
      </c>
      <c r="X6451">
        <v>0.99708799999999997</v>
      </c>
      <c r="Y6451">
        <v>0.2780803</v>
      </c>
      <c r="Z6451">
        <v>-1.3264119999999999E-3</v>
      </c>
      <c r="AA6451">
        <v>0.96055690000000005</v>
      </c>
      <c r="AB6451">
        <v>33</v>
      </c>
      <c r="AC6451">
        <v>41.025399999999898</v>
      </c>
      <c r="AD6451">
        <v>1.353162</v>
      </c>
      <c r="AE6451">
        <v>-20.766739999999999</v>
      </c>
      <c r="AF6451">
        <v>12.8227239665366</v>
      </c>
      <c r="AG6451">
        <v>1.353162</v>
      </c>
      <c r="AH6451">
        <v>44.1164520594793</v>
      </c>
      <c r="AI6451">
        <v>88.312921385517498</v>
      </c>
      <c r="AJ6451">
        <v>73.7931618673461</v>
      </c>
      <c r="AK6451">
        <v>45.962100035100399</v>
      </c>
      <c r="AL6451">
        <v>89.318794424763894</v>
      </c>
      <c r="AM6451">
        <v>85.6796817250667</v>
      </c>
      <c r="AN6451">
        <v>0.99999999400354</v>
      </c>
    </row>
    <row r="6452" spans="1:40" x14ac:dyDescent="0.25">
      <c r="A6452" t="str">
        <f>"20190312160814062"</f>
        <v>20190312160814062</v>
      </c>
      <c r="B6452" t="str">
        <f>"1552378094051654"</f>
        <v>1552378094051654</v>
      </c>
      <c r="C6452" t="s">
        <v>40</v>
      </c>
      <c r="D6452">
        <v>6.3214040000000002</v>
      </c>
      <c r="E6452">
        <v>0.58024189999999998</v>
      </c>
      <c r="F6452" t="s">
        <v>104</v>
      </c>
      <c r="G6452">
        <v>-279.02</v>
      </c>
      <c r="H6452">
        <v>2.4477099999999998</v>
      </c>
      <c r="I6452">
        <v>-5.0774429999999997</v>
      </c>
      <c r="J6452">
        <v>-319.9008</v>
      </c>
      <c r="K6452">
        <v>1.1023160000000001</v>
      </c>
      <c r="L6452">
        <v>15.79895</v>
      </c>
      <c r="M6452">
        <v>0.98218530000000004</v>
      </c>
      <c r="N6452">
        <v>0</v>
      </c>
      <c r="O6452">
        <v>-0.18741189999999999</v>
      </c>
      <c r="P6452">
        <v>0.96539470000000005</v>
      </c>
      <c r="Q6452">
        <v>-8.5111889999999997E-4</v>
      </c>
      <c r="R6452">
        <v>-0.26079190000000002</v>
      </c>
      <c r="S6452">
        <v>2.7332459999999998</v>
      </c>
      <c r="T6452">
        <v>8.9608549999999995E-2</v>
      </c>
      <c r="U6452">
        <v>-1.392822</v>
      </c>
      <c r="V6452">
        <v>7.541117E-2</v>
      </c>
      <c r="W6452">
        <v>1.172403E-2</v>
      </c>
      <c r="X6452">
        <v>0.99708359999999996</v>
      </c>
      <c r="Y6452">
        <v>0.2789507</v>
      </c>
      <c r="Z6452">
        <v>-1.3916429999999999E-3</v>
      </c>
      <c r="AA6452">
        <v>0.96030439999999995</v>
      </c>
      <c r="AB6452">
        <v>33</v>
      </c>
      <c r="AC6452">
        <v>40.880800000000001</v>
      </c>
      <c r="AD6452">
        <v>1.34539399999999</v>
      </c>
      <c r="AE6452">
        <v>-20.876393</v>
      </c>
      <c r="AF6452">
        <v>12.833126198850699</v>
      </c>
      <c r="AG6452">
        <v>1.34539399999999</v>
      </c>
      <c r="AH6452">
        <v>44.031340597561702</v>
      </c>
      <c r="AI6452">
        <v>88.319719869094101</v>
      </c>
      <c r="AJ6452">
        <v>73.751006522022806</v>
      </c>
      <c r="AK6452">
        <v>45.883092396539197</v>
      </c>
      <c r="AL6452">
        <v>89.328247173406098</v>
      </c>
      <c r="AM6452">
        <v>85.674854662280794</v>
      </c>
      <c r="AN6452">
        <v>1.00000000141458</v>
      </c>
    </row>
    <row r="6453" spans="1:40" x14ac:dyDescent="0.25">
      <c r="A6453" t="str">
        <f>"20190312160814073"</f>
        <v>20190312160814073</v>
      </c>
      <c r="B6453" t="str">
        <f>"1552378094061415"</f>
        <v>1552378094061415</v>
      </c>
      <c r="C6453" t="s">
        <v>40</v>
      </c>
      <c r="D6453">
        <v>5.9031580000000003</v>
      </c>
      <c r="E6453">
        <v>0.58038970000000001</v>
      </c>
      <c r="F6453" t="s">
        <v>104</v>
      </c>
      <c r="G6453">
        <v>-279.02</v>
      </c>
      <c r="H6453">
        <v>2.4390299999999998</v>
      </c>
      <c r="I6453">
        <v>-5.2016730000000004</v>
      </c>
      <c r="J6453">
        <v>-319.7362</v>
      </c>
      <c r="K6453">
        <v>1.1018460000000001</v>
      </c>
      <c r="L6453">
        <v>15.765140000000001</v>
      </c>
      <c r="M6453">
        <v>0.98157360000000005</v>
      </c>
      <c r="N6453">
        <v>0</v>
      </c>
      <c r="O6453">
        <v>-0.19056100000000001</v>
      </c>
      <c r="P6453">
        <v>0.96462159999999997</v>
      </c>
      <c r="Q6453">
        <v>-1.1313989999999999E-3</v>
      </c>
      <c r="R6453">
        <v>-0.26363619999999999</v>
      </c>
      <c r="S6453">
        <v>2.7289119999999998</v>
      </c>
      <c r="T6453">
        <v>8.9229699999999995E-2</v>
      </c>
      <c r="U6453">
        <v>-1.4018550000000001</v>
      </c>
      <c r="V6453">
        <v>7.5158299999999997E-2</v>
      </c>
      <c r="W6453">
        <v>1.1803660000000001E-2</v>
      </c>
      <c r="X6453">
        <v>0.99710169999999998</v>
      </c>
      <c r="Y6453">
        <v>0.27900649999999999</v>
      </c>
      <c r="Z6453">
        <v>-1.4789180000000001E-3</v>
      </c>
      <c r="AA6453">
        <v>0.96028800000000003</v>
      </c>
      <c r="AB6453">
        <v>33</v>
      </c>
      <c r="AC6453">
        <v>40.716200000000001</v>
      </c>
      <c r="AD6453">
        <v>1.3371839999999999</v>
      </c>
      <c r="AE6453">
        <v>-20.966812999999998</v>
      </c>
      <c r="AF6453">
        <v>12.8119089844523</v>
      </c>
      <c r="AG6453">
        <v>1.3371839999999999</v>
      </c>
      <c r="AH6453">
        <v>43.928346471272697</v>
      </c>
      <c r="AI6453">
        <v>88.326144362762804</v>
      </c>
      <c r="AJ6453">
        <v>73.740426851066502</v>
      </c>
      <c r="AK6453">
        <v>45.778080962136499</v>
      </c>
      <c r="AL6453">
        <v>89.323684358833802</v>
      </c>
      <c r="AM6453">
        <v>85.689381008731701</v>
      </c>
      <c r="AN6453">
        <v>0.99999994829558603</v>
      </c>
    </row>
    <row r="6454" spans="1:40" x14ac:dyDescent="0.25">
      <c r="A6454" t="str">
        <f>"20190312160814088"</f>
        <v>20190312160814088</v>
      </c>
      <c r="B6454" t="str">
        <f>"1552378094081910"</f>
        <v>1552378094081910</v>
      </c>
      <c r="C6454" t="s">
        <v>40</v>
      </c>
      <c r="D6454">
        <v>5.8952150000000003</v>
      </c>
      <c r="E6454">
        <v>0.58067080000000004</v>
      </c>
      <c r="F6454" t="s">
        <v>104</v>
      </c>
      <c r="G6454">
        <v>-279.02</v>
      </c>
      <c r="H6454">
        <v>2.4351080000000001</v>
      </c>
      <c r="I6454">
        <v>-5.3206100000000003</v>
      </c>
      <c r="J6454">
        <v>-319.53410000000002</v>
      </c>
      <c r="K6454">
        <v>1.101164</v>
      </c>
      <c r="L6454">
        <v>15.72241</v>
      </c>
      <c r="M6454">
        <v>0.98083779999999998</v>
      </c>
      <c r="N6454">
        <v>0</v>
      </c>
      <c r="O6454">
        <v>-0.19425799999999999</v>
      </c>
      <c r="P6454">
        <v>0.96359189999999995</v>
      </c>
      <c r="Q6454">
        <v>-2.237742E-3</v>
      </c>
      <c r="R6454">
        <v>-0.26736799999999999</v>
      </c>
      <c r="S6454">
        <v>2.7245180000000002</v>
      </c>
      <c r="T6454">
        <v>8.9215039999999995E-2</v>
      </c>
      <c r="U6454">
        <v>-1.4109499999999999</v>
      </c>
      <c r="V6454">
        <v>7.5259930000000003E-2</v>
      </c>
      <c r="W6454">
        <v>1.139217E-2</v>
      </c>
      <c r="X6454">
        <v>0.99709890000000001</v>
      </c>
      <c r="Y6454">
        <v>0.27854849999999998</v>
      </c>
      <c r="Z6454">
        <v>-1.5960340000000001E-3</v>
      </c>
      <c r="AA6454">
        <v>0.96042079999999996</v>
      </c>
      <c r="AB6454">
        <v>33</v>
      </c>
      <c r="AC6454">
        <v>40.514099999999999</v>
      </c>
      <c r="AD6454">
        <v>1.333944</v>
      </c>
      <c r="AE6454">
        <v>-21.043019999999999</v>
      </c>
      <c r="AF6454">
        <v>12.760118857767999</v>
      </c>
      <c r="AG6454">
        <v>1.333944</v>
      </c>
      <c r="AH6454">
        <v>43.792991396450397</v>
      </c>
      <c r="AI6454">
        <v>88.324913275528999</v>
      </c>
      <c r="AJ6454">
        <v>73.755274797598005</v>
      </c>
      <c r="AK6454">
        <v>45.633607520215698</v>
      </c>
      <c r="AL6454">
        <v>89.347262638053706</v>
      </c>
      <c r="AM6454">
        <v>85.683562074752899</v>
      </c>
      <c r="AN6454">
        <v>1.0000000274910601</v>
      </c>
    </row>
    <row r="6455" spans="1:40" x14ac:dyDescent="0.25">
      <c r="A6455" t="str">
        <f>"20190312160814103"</f>
        <v>20190312160814103</v>
      </c>
      <c r="B6455" t="str">
        <f>"1552378094091670"</f>
        <v>1552378094091670</v>
      </c>
      <c r="C6455" t="s">
        <v>40</v>
      </c>
      <c r="D6455">
        <v>6.3240749999999997</v>
      </c>
      <c r="E6455">
        <v>0.58079329999999996</v>
      </c>
      <c r="F6455" t="s">
        <v>104</v>
      </c>
      <c r="G6455">
        <v>-279.02</v>
      </c>
      <c r="H6455">
        <v>2.3816660000000001</v>
      </c>
      <c r="I6455">
        <v>-5.4938149999999997</v>
      </c>
      <c r="J6455">
        <v>-319.31400000000002</v>
      </c>
      <c r="K6455">
        <v>1.1003350000000001</v>
      </c>
      <c r="L6455">
        <v>15.67496</v>
      </c>
      <c r="M6455">
        <v>0.98003859999999998</v>
      </c>
      <c r="N6455">
        <v>0</v>
      </c>
      <c r="O6455">
        <v>-0.19817750000000001</v>
      </c>
      <c r="P6455">
        <v>0.96240499999999995</v>
      </c>
      <c r="Q6455">
        <v>-3.4454910000000002E-3</v>
      </c>
      <c r="R6455">
        <v>-0.27159620000000001</v>
      </c>
      <c r="S6455">
        <v>2.7185060000000001</v>
      </c>
      <c r="T6455">
        <v>8.5921999999999998E-2</v>
      </c>
      <c r="U6455">
        <v>-1.4236150000000001</v>
      </c>
      <c r="V6455">
        <v>7.5651449999999995E-2</v>
      </c>
      <c r="W6455">
        <v>1.10708E-2</v>
      </c>
      <c r="X6455">
        <v>0.99707290000000004</v>
      </c>
      <c r="Y6455">
        <v>0.27909499999999998</v>
      </c>
      <c r="Z6455">
        <v>-1.64186E-3</v>
      </c>
      <c r="AA6455">
        <v>0.96026210000000001</v>
      </c>
      <c r="AB6455">
        <v>33</v>
      </c>
      <c r="AC6455">
        <v>40.293999999999997</v>
      </c>
      <c r="AD6455">
        <v>1.281331</v>
      </c>
      <c r="AE6455">
        <v>-21.168775</v>
      </c>
      <c r="AF6455">
        <v>12.752341933739601</v>
      </c>
      <c r="AG6455">
        <v>1.281331</v>
      </c>
      <c r="AH6455">
        <v>43.655715858841802</v>
      </c>
      <c r="AI6455">
        <v>88.386209175809697</v>
      </c>
      <c r="AJ6455">
        <v>73.716302817401896</v>
      </c>
      <c r="AK6455">
        <v>45.498192942956599</v>
      </c>
      <c r="AL6455">
        <v>89.365676949302298</v>
      </c>
      <c r="AM6455">
        <v>85.661079760149605</v>
      </c>
      <c r="AN6455">
        <v>1.00000003620707</v>
      </c>
    </row>
    <row r="6456" spans="1:40" x14ac:dyDescent="0.25">
      <c r="A6456" t="str">
        <f>"20190312160814118"</f>
        <v>20190312160814118</v>
      </c>
      <c r="B6456" t="str">
        <f>"1552378094112166"</f>
        <v>1552378094112166</v>
      </c>
      <c r="C6456" t="s">
        <v>40</v>
      </c>
      <c r="D6456">
        <v>6.317647</v>
      </c>
      <c r="E6456">
        <v>0.58103000000000005</v>
      </c>
      <c r="F6456" t="s">
        <v>104</v>
      </c>
      <c r="G6456">
        <v>-279.02</v>
      </c>
      <c r="H6456">
        <v>2.3383989999999999</v>
      </c>
      <c r="I6456">
        <v>-5.6683250000000003</v>
      </c>
      <c r="J6456">
        <v>-319.10899999999998</v>
      </c>
      <c r="K6456">
        <v>1.099502</v>
      </c>
      <c r="L6456">
        <v>15.629910000000001</v>
      </c>
      <c r="M6456">
        <v>0.97928859999999995</v>
      </c>
      <c r="N6456">
        <v>0</v>
      </c>
      <c r="O6456">
        <v>-0.2017709</v>
      </c>
      <c r="P6456">
        <v>0.96136650000000001</v>
      </c>
      <c r="Q6456">
        <v>-4.900321E-3</v>
      </c>
      <c r="R6456">
        <v>-0.27522839999999998</v>
      </c>
      <c r="S6456">
        <v>2.7120669999999998</v>
      </c>
      <c r="T6456">
        <v>8.3330390000000004E-2</v>
      </c>
      <c r="U6456">
        <v>-1.4365540000000001</v>
      </c>
      <c r="V6456">
        <v>7.5754230000000006E-2</v>
      </c>
      <c r="W6456">
        <v>1.056491E-2</v>
      </c>
      <c r="X6456">
        <v>0.99707060000000003</v>
      </c>
      <c r="Y6456">
        <v>0.2800935</v>
      </c>
      <c r="Z6456">
        <v>-1.6785649999999999E-3</v>
      </c>
      <c r="AA6456">
        <v>0.95997120000000002</v>
      </c>
      <c r="AB6456">
        <v>32</v>
      </c>
      <c r="AC6456">
        <v>40.088999999999999</v>
      </c>
      <c r="AD6456">
        <v>1.2388969999999999</v>
      </c>
      <c r="AE6456">
        <v>-21.298234999999998</v>
      </c>
      <c r="AF6456">
        <v>12.760623758575599</v>
      </c>
      <c r="AG6456">
        <v>1.2388969999999999</v>
      </c>
      <c r="AH6456">
        <v>43.5297933720164</v>
      </c>
      <c r="AI6456">
        <v>88.435551238020295</v>
      </c>
      <c r="AJ6456">
        <v>73.661664770683501</v>
      </c>
      <c r="AK6456">
        <v>45.378533421596799</v>
      </c>
      <c r="AL6456">
        <v>89.394664015605301</v>
      </c>
      <c r="AM6456">
        <v>85.655197479590498</v>
      </c>
      <c r="AN6456">
        <v>1.00000005103527</v>
      </c>
    </row>
    <row r="6457" spans="1:40" x14ac:dyDescent="0.25">
      <c r="A6457" t="str">
        <f>"20190312160814130"</f>
        <v>20190312160814130</v>
      </c>
      <c r="B6457" t="str">
        <f>"1552378094121926"</f>
        <v>1552378094121926</v>
      </c>
      <c r="C6457" t="s">
        <v>40</v>
      </c>
      <c r="D6457">
        <v>6.2675780000000003</v>
      </c>
      <c r="E6457">
        <v>0.58114160000000004</v>
      </c>
      <c r="F6457" t="s">
        <v>104</v>
      </c>
      <c r="G6457">
        <v>-279.02</v>
      </c>
      <c r="H6457">
        <v>2.278346</v>
      </c>
      <c r="I6457">
        <v>-5.8270839999999904</v>
      </c>
      <c r="J6457">
        <v>-318.9171</v>
      </c>
      <c r="K6457">
        <v>1.098676</v>
      </c>
      <c r="L6457">
        <v>15.586729999999999</v>
      </c>
      <c r="M6457">
        <v>0.97856149999999997</v>
      </c>
      <c r="N6457">
        <v>0</v>
      </c>
      <c r="O6457">
        <v>-0.20518110000000001</v>
      </c>
      <c r="P6457">
        <v>0.96031409999999995</v>
      </c>
      <c r="Q6457">
        <v>-5.9962380000000001E-3</v>
      </c>
      <c r="R6457">
        <v>-0.27885749999999998</v>
      </c>
      <c r="S6457">
        <v>2.7062680000000001</v>
      </c>
      <c r="T6457">
        <v>7.9579590000000006E-2</v>
      </c>
      <c r="U6457">
        <v>-1.4484859999999999</v>
      </c>
      <c r="V6457">
        <v>7.6046329999999995E-2</v>
      </c>
      <c r="W6457">
        <v>1.0474789999999999E-2</v>
      </c>
      <c r="X6457">
        <v>0.99704930000000003</v>
      </c>
      <c r="Y6457">
        <v>0.28089560000000002</v>
      </c>
      <c r="Z6457">
        <v>-1.6830969999999999E-3</v>
      </c>
      <c r="AA6457">
        <v>0.9597369</v>
      </c>
      <c r="AB6457">
        <v>32</v>
      </c>
      <c r="AC6457">
        <v>39.897100000000002</v>
      </c>
      <c r="AD6457">
        <v>1.17967</v>
      </c>
      <c r="AE6457">
        <v>-21.413813999999999</v>
      </c>
      <c r="AF6457">
        <v>12.761972520228399</v>
      </c>
      <c r="AG6457">
        <v>1.17967</v>
      </c>
      <c r="AH6457">
        <v>43.4129204760128</v>
      </c>
      <c r="AI6457">
        <v>88.506629422598294</v>
      </c>
      <c r="AJ6457">
        <v>73.618396285321296</v>
      </c>
      <c r="AK6457">
        <v>45.265232001753603</v>
      </c>
      <c r="AL6457">
        <v>89.399827787756493</v>
      </c>
      <c r="AM6457">
        <v>85.638416102686904</v>
      </c>
      <c r="AN6457">
        <v>1.00000003608125</v>
      </c>
    </row>
    <row r="6458" spans="1:40" x14ac:dyDescent="0.25">
      <c r="A6458" t="str">
        <f>"20190312160814143"</f>
        <v>20190312160814143</v>
      </c>
      <c r="B6458" t="str">
        <f>"1552378094131686"</f>
        <v>1552378094131686</v>
      </c>
      <c r="C6458" t="s">
        <v>40</v>
      </c>
      <c r="D6458">
        <v>6.2666199999999996</v>
      </c>
      <c r="E6458">
        <v>0.58124919999999902</v>
      </c>
      <c r="F6458" t="s">
        <v>104</v>
      </c>
      <c r="G6458">
        <v>-279.02</v>
      </c>
      <c r="H6458">
        <v>2.2365210000000002</v>
      </c>
      <c r="I6458">
        <v>-5.9785399999999997</v>
      </c>
      <c r="J6458">
        <v>-318.7439</v>
      </c>
      <c r="K6458">
        <v>1.0979369999999999</v>
      </c>
      <c r="L6458">
        <v>15.547000000000001</v>
      </c>
      <c r="M6458">
        <v>0.97779070000000001</v>
      </c>
      <c r="N6458">
        <v>0</v>
      </c>
      <c r="O6458">
        <v>-0.20874509999999999</v>
      </c>
      <c r="P6458">
        <v>0.95920059999999996</v>
      </c>
      <c r="Q6458">
        <v>-6.7849800000000004E-3</v>
      </c>
      <c r="R6458">
        <v>-0.28264539999999999</v>
      </c>
      <c r="S6458">
        <v>2.7006230000000002</v>
      </c>
      <c r="T6458">
        <v>7.7020409999999997E-2</v>
      </c>
      <c r="U6458">
        <v>-1.4597469999999999</v>
      </c>
      <c r="V6458">
        <v>7.634908E-2</v>
      </c>
      <c r="W6458">
        <v>1.056872E-2</v>
      </c>
      <c r="X6458">
        <v>0.9970251</v>
      </c>
      <c r="Y6458">
        <v>0.28133469999999999</v>
      </c>
      <c r="Z6458">
        <v>-1.7152840000000001E-3</v>
      </c>
      <c r="AA6458">
        <v>0.95960820000000002</v>
      </c>
      <c r="AB6458">
        <v>32</v>
      </c>
      <c r="AC6458">
        <v>39.7239</v>
      </c>
      <c r="AD6458">
        <v>1.13858399999999</v>
      </c>
      <c r="AE6458">
        <v>-21.525539999999999</v>
      </c>
      <c r="AF6458">
        <v>12.7494447336618</v>
      </c>
      <c r="AG6458">
        <v>1.13858399999999</v>
      </c>
      <c r="AH6458">
        <v>43.315106870165003</v>
      </c>
      <c r="AI6458">
        <v>88.555511680846294</v>
      </c>
      <c r="AJ6458">
        <v>73.598642077682996</v>
      </c>
      <c r="AK6458">
        <v>45.1668373667625</v>
      </c>
      <c r="AL6458">
        <v>89.394445654373698</v>
      </c>
      <c r="AM6458">
        <v>85.621013619651194</v>
      </c>
      <c r="AN6458">
        <v>0.99999996494464605</v>
      </c>
    </row>
    <row r="6459" spans="1:40" x14ac:dyDescent="0.25">
      <c r="A6459" t="str">
        <f>"20190312160814156"</f>
        <v>20190312160814156</v>
      </c>
      <c r="B6459" t="str">
        <f>"1552378094152182"</f>
        <v>1552378094152182</v>
      </c>
      <c r="C6459" t="s">
        <v>40</v>
      </c>
      <c r="D6459">
        <v>6.3190339999999896</v>
      </c>
      <c r="E6459">
        <v>0.58144940000000001</v>
      </c>
      <c r="F6459" t="s">
        <v>104</v>
      </c>
      <c r="G6459">
        <v>-279.02</v>
      </c>
      <c r="H6459">
        <v>2.2075680000000002</v>
      </c>
      <c r="I6459">
        <v>-6.1387830000000001</v>
      </c>
      <c r="J6459">
        <v>-318.56830000000002</v>
      </c>
      <c r="K6459">
        <v>1.0971820000000001</v>
      </c>
      <c r="L6459">
        <v>15.50629</v>
      </c>
      <c r="M6459">
        <v>0.97694429999999999</v>
      </c>
      <c r="N6459">
        <v>0</v>
      </c>
      <c r="O6459">
        <v>-0.21259069999999999</v>
      </c>
      <c r="P6459">
        <v>0.95799299999999998</v>
      </c>
      <c r="Q6459">
        <v>-7.9013409999999992E-3</v>
      </c>
      <c r="R6459">
        <v>-0.28668320000000003</v>
      </c>
      <c r="S6459">
        <v>2.6946409999999998</v>
      </c>
      <c r="T6459">
        <v>7.5271009999999999E-2</v>
      </c>
      <c r="U6459">
        <v>-1.471039</v>
      </c>
      <c r="V6459">
        <v>7.6619389999999996E-2</v>
      </c>
      <c r="W6459">
        <v>1.033509E-2</v>
      </c>
      <c r="X6459">
        <v>0.99700679999999997</v>
      </c>
      <c r="Y6459">
        <v>0.28155150000000001</v>
      </c>
      <c r="Z6459">
        <v>-1.7707980000000001E-3</v>
      </c>
      <c r="AA6459">
        <v>0.95954450000000002</v>
      </c>
      <c r="AB6459">
        <v>32</v>
      </c>
      <c r="AC6459">
        <v>39.548299999999998</v>
      </c>
      <c r="AD6459">
        <v>1.1103860000000001</v>
      </c>
      <c r="AE6459">
        <v>-21.645073</v>
      </c>
      <c r="AF6459">
        <v>12.7331590427791</v>
      </c>
      <c r="AG6459">
        <v>1.1103860000000001</v>
      </c>
      <c r="AH6459">
        <v>43.220136587391501</v>
      </c>
      <c r="AI6459">
        <v>88.588280063633206</v>
      </c>
      <c r="AJ6459">
        <v>73.5844083805666</v>
      </c>
      <c r="AK6459">
        <v>45.070461534251997</v>
      </c>
      <c r="AL6459">
        <v>89.407832391470606</v>
      </c>
      <c r="AM6459">
        <v>85.605490321142995</v>
      </c>
      <c r="AN6459">
        <v>0.99999995212775805</v>
      </c>
    </row>
    <row r="6460" spans="1:40" x14ac:dyDescent="0.25">
      <c r="A6460" t="str">
        <f>"20190312160814166"</f>
        <v>20190312160814166</v>
      </c>
      <c r="B6460" t="str">
        <f>"1552378094161943"</f>
        <v>1552378094161943</v>
      </c>
      <c r="C6460" t="s">
        <v>40</v>
      </c>
      <c r="D6460">
        <v>6.3191739999999896</v>
      </c>
      <c r="E6460">
        <v>0.58152780000000004</v>
      </c>
      <c r="F6460" t="s">
        <v>104</v>
      </c>
      <c r="G6460">
        <v>-279.02</v>
      </c>
      <c r="H6460">
        <v>2.1709109999999998</v>
      </c>
      <c r="I6460">
        <v>-6.3253240000000002</v>
      </c>
      <c r="J6460">
        <v>-318.40649999999999</v>
      </c>
      <c r="K6460">
        <v>1.096368</v>
      </c>
      <c r="L6460">
        <v>15.4679</v>
      </c>
      <c r="M6460">
        <v>0.97605869999999995</v>
      </c>
      <c r="N6460">
        <v>0</v>
      </c>
      <c r="O6460">
        <v>-0.21654799999999999</v>
      </c>
      <c r="P6460">
        <v>0.95673529999999996</v>
      </c>
      <c r="Q6460">
        <v>-8.6019770000000002E-3</v>
      </c>
      <c r="R6460">
        <v>-0.2908327</v>
      </c>
      <c r="S6460">
        <v>2.6880799999999998</v>
      </c>
      <c r="T6460">
        <v>7.2980999999999893E-2</v>
      </c>
      <c r="U6460">
        <v>-1.483887</v>
      </c>
      <c r="V6460">
        <v>7.6899720000000005E-2</v>
      </c>
      <c r="W6460">
        <v>1.0409470000000001E-2</v>
      </c>
      <c r="X6460">
        <v>0.99698450000000005</v>
      </c>
      <c r="Y6460">
        <v>0.28216839999999999</v>
      </c>
      <c r="Z6460">
        <v>-1.806205E-3</v>
      </c>
      <c r="AA6460">
        <v>0.95936319999999997</v>
      </c>
      <c r="AB6460">
        <v>32</v>
      </c>
      <c r="AC6460">
        <v>39.386499999999998</v>
      </c>
      <c r="AD6460">
        <v>1.074543</v>
      </c>
      <c r="AE6460">
        <v>-21.793223999999999</v>
      </c>
      <c r="AF6460">
        <v>12.737793175406599</v>
      </c>
      <c r="AG6460">
        <v>1.074543</v>
      </c>
      <c r="AH6460">
        <v>43.147216673492302</v>
      </c>
      <c r="AI6460">
        <v>88.631749152790206</v>
      </c>
      <c r="AJ6460">
        <v>73.552502039232905</v>
      </c>
      <c r="AK6460">
        <v>45.000981370494301</v>
      </c>
      <c r="AL6460">
        <v>89.403570535618698</v>
      </c>
      <c r="AM6460">
        <v>85.589377040549394</v>
      </c>
      <c r="AN6460">
        <v>1.0000000086209999</v>
      </c>
    </row>
    <row r="6461" spans="1:40" x14ac:dyDescent="0.25">
      <c r="A6461" t="str">
        <f>"20190312160814178"</f>
        <v>20190312160814178</v>
      </c>
      <c r="B6461" t="str">
        <f>"1552378094171702"</f>
        <v>1552378094171702</v>
      </c>
      <c r="C6461" t="s">
        <v>40</v>
      </c>
      <c r="D6461">
        <v>6.3215250000000003</v>
      </c>
      <c r="E6461">
        <v>0.58163050000000005</v>
      </c>
      <c r="F6461" t="s">
        <v>104</v>
      </c>
      <c r="G6461">
        <v>-279.02</v>
      </c>
      <c r="H6461">
        <v>2.149772</v>
      </c>
      <c r="I6461">
        <v>-6.5069140000000001</v>
      </c>
      <c r="J6461">
        <v>-318.24310000000003</v>
      </c>
      <c r="K6461">
        <v>1.0954549999999901</v>
      </c>
      <c r="L6461">
        <v>15.428739999999999</v>
      </c>
      <c r="M6461">
        <v>0.97514849999999997</v>
      </c>
      <c r="N6461">
        <v>0</v>
      </c>
      <c r="O6461">
        <v>-0.22053919999999999</v>
      </c>
      <c r="P6461">
        <v>0.95545480000000005</v>
      </c>
      <c r="Q6461">
        <v>-9.4266269999999999E-3</v>
      </c>
      <c r="R6461">
        <v>-0.29498730000000001</v>
      </c>
      <c r="S6461">
        <v>2.6815190000000002</v>
      </c>
      <c r="T6461">
        <v>7.1718100000000007E-2</v>
      </c>
      <c r="U6461">
        <v>-1.496094</v>
      </c>
      <c r="V6461">
        <v>7.7151929999999994E-2</v>
      </c>
      <c r="W6461">
        <v>1.0322690000000001E-2</v>
      </c>
      <c r="X6461">
        <v>0.99696589999999996</v>
      </c>
      <c r="Y6461">
        <v>0.28257130000000003</v>
      </c>
      <c r="Z6461">
        <v>-1.866281E-3</v>
      </c>
      <c r="AA6461">
        <v>0.95924450000000006</v>
      </c>
      <c r="AB6461">
        <v>32</v>
      </c>
      <c r="AC6461">
        <v>39.223100000000002</v>
      </c>
      <c r="AD6461">
        <v>1.0543169999999999</v>
      </c>
      <c r="AE6461">
        <v>-21.935654</v>
      </c>
      <c r="AF6461">
        <v>12.736133056963901</v>
      </c>
      <c r="AG6461">
        <v>1.0543169999999999</v>
      </c>
      <c r="AH6461">
        <v>43.071963853231203</v>
      </c>
      <c r="AI6461">
        <v>88.655323708585101</v>
      </c>
      <c r="AJ6461">
        <v>73.527353356762603</v>
      </c>
      <c r="AK6461">
        <v>44.927883766712597</v>
      </c>
      <c r="AL6461">
        <v>89.408542920654</v>
      </c>
      <c r="AM6461">
        <v>85.574886538282399</v>
      </c>
      <c r="AN6461">
        <v>0.99999999199718503</v>
      </c>
    </row>
    <row r="6462" spans="1:40" x14ac:dyDescent="0.25">
      <c r="A6462" t="str">
        <f>"20190312160814190"</f>
        <v>20190312160814190</v>
      </c>
      <c r="B6462" t="str">
        <f>"1552378094182438"</f>
        <v>1552378094182438</v>
      </c>
      <c r="C6462" t="s">
        <v>40</v>
      </c>
      <c r="D6462">
        <v>6.436731</v>
      </c>
      <c r="E6462">
        <v>0.58171879999999998</v>
      </c>
      <c r="F6462" t="s">
        <v>104</v>
      </c>
      <c r="G6462">
        <v>-279.02</v>
      </c>
      <c r="H6462">
        <v>2.1192549999999999</v>
      </c>
      <c r="I6462">
        <v>-6.6926539999999903</v>
      </c>
      <c r="J6462">
        <v>-318.06479999999999</v>
      </c>
      <c r="K6462">
        <v>1.094285</v>
      </c>
      <c r="L6462">
        <v>15.385249999999999</v>
      </c>
      <c r="M6462">
        <v>0.97413899999999998</v>
      </c>
      <c r="N6462">
        <v>0</v>
      </c>
      <c r="O6462">
        <v>-0.2248841</v>
      </c>
      <c r="P6462">
        <v>0.95405640000000003</v>
      </c>
      <c r="Q6462">
        <v>-1.036844E-2</v>
      </c>
      <c r="R6462">
        <v>-0.299448299999999</v>
      </c>
      <c r="S6462">
        <v>2.6747740000000002</v>
      </c>
      <c r="T6462">
        <v>6.9816950000000003E-2</v>
      </c>
      <c r="U6462">
        <v>-1.508545</v>
      </c>
      <c r="V6462">
        <v>7.7364799999999997E-2</v>
      </c>
      <c r="W6462">
        <v>1.0095730000000001E-2</v>
      </c>
      <c r="X6462">
        <v>0.99695180000000005</v>
      </c>
      <c r="Y6462">
        <v>0.28271649999999998</v>
      </c>
      <c r="Z6462">
        <v>-1.917123E-3</v>
      </c>
      <c r="AA6462">
        <v>0.95920159999999999</v>
      </c>
      <c r="AB6462">
        <v>32</v>
      </c>
      <c r="AC6462">
        <v>39.044800000000002</v>
      </c>
      <c r="AD6462">
        <v>1.0249699999999999</v>
      </c>
      <c r="AE6462">
        <v>-22.077904</v>
      </c>
      <c r="AF6462">
        <v>12.722806852135299</v>
      </c>
      <c r="AG6462">
        <v>1.0249699999999999</v>
      </c>
      <c r="AH6462">
        <v>42.987916388658398</v>
      </c>
      <c r="AI6462">
        <v>88.690280215667102</v>
      </c>
      <c r="AJ6462">
        <v>73.513227153466104</v>
      </c>
      <c r="AK6462">
        <v>44.8428515277065</v>
      </c>
      <c r="AL6462">
        <v>89.421547490165906</v>
      </c>
      <c r="AM6462">
        <v>85.562663388927703</v>
      </c>
      <c r="AN6462">
        <v>1.00000006378325</v>
      </c>
    </row>
    <row r="6463" spans="1:40" x14ac:dyDescent="0.25">
      <c r="A6463" t="str">
        <f>"20190312160814201"</f>
        <v>20190312160814201</v>
      </c>
      <c r="B6463" t="str">
        <f>"1552378094192200"</f>
        <v>1552378094192200</v>
      </c>
      <c r="C6463" t="s">
        <v>40</v>
      </c>
      <c r="D6463">
        <v>6.5632380000000001</v>
      </c>
      <c r="E6463">
        <v>0.5818276</v>
      </c>
      <c r="F6463" t="s">
        <v>104</v>
      </c>
      <c r="G6463">
        <v>-279.02</v>
      </c>
      <c r="H6463">
        <v>2.084454</v>
      </c>
      <c r="I6463">
        <v>-6.8880379999999999</v>
      </c>
      <c r="J6463">
        <v>-317.90730000000002</v>
      </c>
      <c r="K6463">
        <v>1.093081</v>
      </c>
      <c r="L6463">
        <v>15.34595</v>
      </c>
      <c r="M6463">
        <v>0.9732575</v>
      </c>
      <c r="N6463">
        <v>0</v>
      </c>
      <c r="O6463">
        <v>-0.2286115</v>
      </c>
      <c r="P6463">
        <v>0.95273660000000004</v>
      </c>
      <c r="Q6463">
        <v>-1.0870350000000001E-2</v>
      </c>
      <c r="R6463">
        <v>-0.30360389999999998</v>
      </c>
      <c r="S6463">
        <v>2.6675719999999998</v>
      </c>
      <c r="T6463">
        <v>6.7649130000000002E-2</v>
      </c>
      <c r="U6463">
        <v>-1.5217290000000001</v>
      </c>
      <c r="V6463">
        <v>7.7899780000000002E-2</v>
      </c>
      <c r="W6463">
        <v>1.0127199999999999E-2</v>
      </c>
      <c r="X6463">
        <v>0.99690970000000001</v>
      </c>
      <c r="Y6463">
        <v>0.28373470000000001</v>
      </c>
      <c r="Z6463">
        <v>-1.930787E-3</v>
      </c>
      <c r="AA6463">
        <v>0.95890089999999994</v>
      </c>
      <c r="AB6463">
        <v>32</v>
      </c>
      <c r="AC6463">
        <v>38.887300000000003</v>
      </c>
      <c r="AD6463">
        <v>0.99137299999999995</v>
      </c>
      <c r="AE6463">
        <v>-22.233988</v>
      </c>
      <c r="AF6463">
        <v>12.7462992069474</v>
      </c>
      <c r="AG6463">
        <v>0.99137299999999995</v>
      </c>
      <c r="AH6463">
        <v>42.9201582309122</v>
      </c>
      <c r="AI6463">
        <v>88.731548064183798</v>
      </c>
      <c r="AJ6463">
        <v>73.459792243539596</v>
      </c>
      <c r="AK6463">
        <v>44.783824607381398</v>
      </c>
      <c r="AL6463">
        <v>89.419744229787796</v>
      </c>
      <c r="AM6463">
        <v>85.531914965792794</v>
      </c>
      <c r="AN6463">
        <v>0.99999994292898697</v>
      </c>
    </row>
    <row r="6464" spans="1:40" x14ac:dyDescent="0.25">
      <c r="A6464" t="str">
        <f>"20190312160814217"</f>
        <v>20190312160814217</v>
      </c>
      <c r="B6464" t="str">
        <f>"1552378094211722"</f>
        <v>1552378094211722</v>
      </c>
      <c r="C6464" t="s">
        <v>40</v>
      </c>
      <c r="D6464">
        <v>6.1991829999999997</v>
      </c>
      <c r="E6464">
        <v>0.58190090000000005</v>
      </c>
      <c r="F6464" t="s">
        <v>104</v>
      </c>
      <c r="G6464">
        <v>-279.02</v>
      </c>
      <c r="H6464">
        <v>2.0603600000000002</v>
      </c>
      <c r="I6464">
        <v>-7.0787639999999996</v>
      </c>
      <c r="J6464">
        <v>-317.68849999999998</v>
      </c>
      <c r="K6464">
        <v>1.0912599999999999</v>
      </c>
      <c r="L6464">
        <v>15.290369999999999</v>
      </c>
      <c r="M6464">
        <v>0.97203300000000004</v>
      </c>
      <c r="N6464">
        <v>0</v>
      </c>
      <c r="O6464">
        <v>-0.2336907</v>
      </c>
      <c r="P6464">
        <v>0.95071600000000001</v>
      </c>
      <c r="Q6464">
        <v>-1.173827E-2</v>
      </c>
      <c r="R6464">
        <v>-0.30984089999999997</v>
      </c>
      <c r="S6464">
        <v>2.6606749999999999</v>
      </c>
      <c r="T6464">
        <v>6.6181420000000005E-2</v>
      </c>
      <c r="U6464">
        <v>-1.5343020000000001</v>
      </c>
      <c r="V6464">
        <v>7.9232650000000002E-2</v>
      </c>
      <c r="W6464">
        <v>9.8906979999999999E-3</v>
      </c>
      <c r="X6464">
        <v>0.99680709999999995</v>
      </c>
      <c r="Y6464">
        <v>0.2832018</v>
      </c>
      <c r="Z6464">
        <v>-2.0079999999999998E-3</v>
      </c>
      <c r="AA6464">
        <v>0.95905830000000003</v>
      </c>
      <c r="AB6464">
        <v>32</v>
      </c>
      <c r="AC6464">
        <v>38.668500000000002</v>
      </c>
      <c r="AD6464">
        <v>0.96909999999999896</v>
      </c>
      <c r="AE6464">
        <v>-22.369133999999999</v>
      </c>
      <c r="AF6464">
        <v>12.704524279256701</v>
      </c>
      <c r="AG6464">
        <v>0.96909999999999896</v>
      </c>
      <c r="AH6464">
        <v>42.8059473258133</v>
      </c>
      <c r="AI6464">
        <v>88.756667586311906</v>
      </c>
      <c r="AJ6464">
        <v>73.469456881714606</v>
      </c>
      <c r="AK6464">
        <v>44.661988518566098</v>
      </c>
      <c r="AL6464">
        <v>89.433295517623407</v>
      </c>
      <c r="AM6464">
        <v>85.455317501686594</v>
      </c>
      <c r="AN6464">
        <v>1.00000001667167</v>
      </c>
    </row>
    <row r="6465" spans="1:40" x14ac:dyDescent="0.25">
      <c r="A6465" t="str">
        <f>"20190312160814229"</f>
        <v>20190312160814229</v>
      </c>
      <c r="B6465" t="str">
        <f>"1552378094222454"</f>
        <v>1552378094222454</v>
      </c>
      <c r="C6465" t="s">
        <v>40</v>
      </c>
      <c r="D6465">
        <v>6.1050490000000002</v>
      </c>
      <c r="E6465">
        <v>0.60721329999999996</v>
      </c>
      <c r="F6465" t="s">
        <v>104</v>
      </c>
      <c r="G6465">
        <v>-279.02</v>
      </c>
      <c r="H6465">
        <v>2.0230260000000002</v>
      </c>
      <c r="I6465">
        <v>-7.3557679999999896</v>
      </c>
      <c r="J6465">
        <v>-317.524</v>
      </c>
      <c r="K6465">
        <v>1.089761</v>
      </c>
      <c r="L6465">
        <v>15.2475</v>
      </c>
      <c r="M6465">
        <v>0.97111709999999996</v>
      </c>
      <c r="N6465">
        <v>0</v>
      </c>
      <c r="O6465">
        <v>-0.237423</v>
      </c>
      <c r="P6465">
        <v>0.94928659999999998</v>
      </c>
      <c r="Q6465">
        <v>-1.212589E-2</v>
      </c>
      <c r="R6465">
        <v>-0.31417859999999997</v>
      </c>
      <c r="S6465">
        <v>2.6504210000000001</v>
      </c>
      <c r="T6465">
        <v>6.38653E-2</v>
      </c>
      <c r="U6465">
        <v>-1.552216</v>
      </c>
      <c r="V6465">
        <v>7.996296E-2</v>
      </c>
      <c r="W6465">
        <v>9.8730550000000004E-3</v>
      </c>
      <c r="X6465">
        <v>0.99674890000000005</v>
      </c>
      <c r="Y6465">
        <v>0.28595979999999999</v>
      </c>
      <c r="Z6465">
        <v>-1.9883829999999998E-3</v>
      </c>
      <c r="AA6465">
        <v>0.95823959999999997</v>
      </c>
      <c r="AB6465">
        <v>32</v>
      </c>
      <c r="AC6465">
        <v>38.503999999999998</v>
      </c>
      <c r="AD6465">
        <v>0.93326499999999901</v>
      </c>
      <c r="AE6465">
        <v>-22.603268</v>
      </c>
      <c r="AF6465">
        <v>12.806689488544601</v>
      </c>
      <c r="AG6465">
        <v>0.93326499999999901</v>
      </c>
      <c r="AH6465">
        <v>42.751767431149702</v>
      </c>
      <c r="AI6465">
        <v>88.802019801798593</v>
      </c>
      <c r="AJ6465">
        <v>73.323923987268799</v>
      </c>
      <c r="AK6465">
        <v>44.638502413312899</v>
      </c>
      <c r="AL6465">
        <v>89.434306404864699</v>
      </c>
      <c r="AM6465">
        <v>85.413339109354098</v>
      </c>
      <c r="AN6465">
        <v>0.99999996091910104</v>
      </c>
    </row>
    <row r="6466" spans="1:40" x14ac:dyDescent="0.25">
      <c r="A6466" t="str">
        <f>"20190312160814240"</f>
        <v>20190312160814240</v>
      </c>
      <c r="B6466" t="str">
        <f>"1552378094232214"</f>
        <v>1552378094232214</v>
      </c>
      <c r="C6466" t="s">
        <v>40</v>
      </c>
      <c r="D6466">
        <v>5.9182059999999996</v>
      </c>
      <c r="E6466">
        <v>0.61382029999999999</v>
      </c>
      <c r="F6466" t="s">
        <v>104</v>
      </c>
      <c r="G6466">
        <v>-279.02</v>
      </c>
      <c r="H6466">
        <v>5.1237700000000004</v>
      </c>
      <c r="I6466">
        <v>-10.989269999999999</v>
      </c>
      <c r="J6466">
        <v>-317.3766</v>
      </c>
      <c r="K6466">
        <v>1.0883780000000001</v>
      </c>
      <c r="L6466">
        <v>15.20837</v>
      </c>
      <c r="M6466">
        <v>0.97028419999999904</v>
      </c>
      <c r="N6466">
        <v>0</v>
      </c>
      <c r="O6466">
        <v>-0.2407704</v>
      </c>
      <c r="P6466">
        <v>0.94796970000000003</v>
      </c>
      <c r="Q6466">
        <v>-1.239409E-2</v>
      </c>
      <c r="R6466">
        <v>-0.31811990000000001</v>
      </c>
      <c r="S6466">
        <v>2.5815730000000001</v>
      </c>
      <c r="T6466">
        <v>0.27046789999999998</v>
      </c>
      <c r="U6466">
        <v>-1.7590939999999999</v>
      </c>
      <c r="V6466">
        <v>8.0674490000000001E-2</v>
      </c>
      <c r="W6466">
        <v>9.8692399999999996E-3</v>
      </c>
      <c r="X6466">
        <v>0.99669160000000001</v>
      </c>
      <c r="Y6466">
        <v>0.3471051</v>
      </c>
      <c r="Z6466">
        <v>-5.7891629999999999E-3</v>
      </c>
      <c r="AA6466">
        <v>0.93780830000000004</v>
      </c>
      <c r="AB6466">
        <v>32</v>
      </c>
      <c r="AC6466">
        <v>38.3566</v>
      </c>
      <c r="AD6466">
        <v>4.0353919999999999</v>
      </c>
      <c r="AE6466">
        <v>-26.19764</v>
      </c>
      <c r="AF6466">
        <v>16.067431659192799</v>
      </c>
      <c r="AG6466">
        <v>4.0353919999999999</v>
      </c>
      <c r="AH6466">
        <v>43.2108669002263</v>
      </c>
      <c r="AI6466">
        <v>84.997483979188303</v>
      </c>
      <c r="AJ6466">
        <v>69.602965406656494</v>
      </c>
      <c r="AK6466">
        <v>46.277702697795696</v>
      </c>
      <c r="AL6466">
        <v>89.434524998613199</v>
      </c>
      <c r="AM6466">
        <v>85.372437468736194</v>
      </c>
      <c r="AN6466">
        <v>0.99999996037274796</v>
      </c>
    </row>
    <row r="6467" spans="1:40" x14ac:dyDescent="0.25">
      <c r="A6467" t="str">
        <f>"20190312160814251"</f>
        <v>20190312160814251</v>
      </c>
      <c r="B6467" t="str">
        <f>"1552378094241976"</f>
        <v>1552378094241976</v>
      </c>
      <c r="C6467" t="s">
        <v>40</v>
      </c>
      <c r="D6467">
        <v>5.8609299999999998</v>
      </c>
      <c r="E6467">
        <v>0.6169713</v>
      </c>
      <c r="F6467" t="s">
        <v>44</v>
      </c>
      <c r="G6467">
        <v>-316.7484</v>
      </c>
      <c r="H6467">
        <v>1.16799599999999</v>
      </c>
      <c r="I6467">
        <v>14.76112</v>
      </c>
      <c r="J6467">
        <v>-317.20249999999999</v>
      </c>
      <c r="K6467">
        <v>1.0867</v>
      </c>
      <c r="L6467">
        <v>15.16141</v>
      </c>
      <c r="M6467">
        <v>0.96928519999999896</v>
      </c>
      <c r="N6467">
        <v>0</v>
      </c>
      <c r="O6467">
        <v>-0.24472849999999999</v>
      </c>
      <c r="P6467">
        <v>0.94649380000000005</v>
      </c>
      <c r="Q6467">
        <v>-1.2805459999999999E-2</v>
      </c>
      <c r="R6467">
        <v>-0.32246799999999998</v>
      </c>
      <c r="S6467">
        <v>2.5579529999999999</v>
      </c>
      <c r="T6467">
        <v>0.3241462</v>
      </c>
      <c r="U6467">
        <v>-1.8205260000000001</v>
      </c>
      <c r="V6467">
        <v>8.1188049999999998E-2</v>
      </c>
      <c r="W6467">
        <v>9.7056929999999996E-3</v>
      </c>
      <c r="X6467">
        <v>0.99665150000000002</v>
      </c>
      <c r="Y6467">
        <v>0.36214170000000001</v>
      </c>
      <c r="Z6467">
        <v>-6.4943860000000004E-3</v>
      </c>
      <c r="AA6467">
        <v>0.9321005</v>
      </c>
      <c r="AB6467">
        <v>32</v>
      </c>
      <c r="AC6467">
        <v>0.45409999999998202</v>
      </c>
      <c r="AD6467">
        <v>8.1295999999999799E-2</v>
      </c>
      <c r="AE6467">
        <v>-0.40028999999999798</v>
      </c>
      <c r="AF6467">
        <v>0.27203977797464601</v>
      </c>
      <c r="AG6467">
        <v>8.1295999999999799E-2</v>
      </c>
      <c r="AH6467">
        <v>0.52873846412351899</v>
      </c>
      <c r="AI6467">
        <v>82.214799803363206</v>
      </c>
      <c r="AJ6467">
        <v>62.773850844125398</v>
      </c>
      <c r="AK6467">
        <v>0.60014918467010503</v>
      </c>
      <c r="AL6467">
        <v>89.443895998380199</v>
      </c>
      <c r="AM6467">
        <v>85.342921811340304</v>
      </c>
      <c r="AN6467">
        <v>0.99999995619583004</v>
      </c>
    </row>
    <row r="6468" spans="1:40" x14ac:dyDescent="0.25">
      <c r="A6468" t="str">
        <f>"20190312160814263"</f>
        <v>20190312160814263</v>
      </c>
      <c r="B6468" t="str">
        <f>"1552378094251734"</f>
        <v>1552378094251734</v>
      </c>
      <c r="C6468" t="s">
        <v>40</v>
      </c>
      <c r="D6468">
        <v>5.4460860000000002</v>
      </c>
      <c r="E6468">
        <v>0.61716700000000002</v>
      </c>
      <c r="F6468" t="s">
        <v>104</v>
      </c>
      <c r="G6468">
        <v>-279.02</v>
      </c>
      <c r="H6468">
        <v>6.4649330000000003</v>
      </c>
      <c r="I6468">
        <v>-12.718870000000001</v>
      </c>
      <c r="J6468">
        <v>-317.05029999999999</v>
      </c>
      <c r="K6468">
        <v>1.085213</v>
      </c>
      <c r="L6468">
        <v>15.1192299999999</v>
      </c>
      <c r="M6468">
        <v>0.96840420000000005</v>
      </c>
      <c r="N6468">
        <v>0</v>
      </c>
      <c r="O6468">
        <v>-0.24816779999999999</v>
      </c>
      <c r="P6468">
        <v>0.94510159999999999</v>
      </c>
      <c r="Q6468">
        <v>-1.313313E-2</v>
      </c>
      <c r="R6468">
        <v>-0.32651219999999997</v>
      </c>
      <c r="S6468">
        <v>2.5420530000000001</v>
      </c>
      <c r="T6468">
        <v>0.35806389999999999</v>
      </c>
      <c r="U6468">
        <v>-1.856171</v>
      </c>
      <c r="V6468">
        <v>8.1915769999999999E-2</v>
      </c>
      <c r="W6468">
        <v>9.540715E-3</v>
      </c>
      <c r="X6468">
        <v>0.99659359999999997</v>
      </c>
      <c r="Y6468">
        <v>0.36998710000000001</v>
      </c>
      <c r="Z6468">
        <v>-7.0809929999999998E-3</v>
      </c>
      <c r="AA6468">
        <v>0.92900990000000006</v>
      </c>
      <c r="AB6468">
        <v>32</v>
      </c>
      <c r="AC6468">
        <v>38.030299999999997</v>
      </c>
      <c r="AD6468">
        <v>5.3797199999999998</v>
      </c>
      <c r="AE6468">
        <v>-27.838100000000001</v>
      </c>
      <c r="AF6468">
        <v>17.300535744663701</v>
      </c>
      <c r="AG6468">
        <v>5.3797199999999998</v>
      </c>
      <c r="AH6468">
        <v>43.187777600015501</v>
      </c>
      <c r="AI6468">
        <v>83.404014052973395</v>
      </c>
      <c r="AJ6468">
        <v>68.169518741021605</v>
      </c>
      <c r="AK6468">
        <v>46.834112123100901</v>
      </c>
      <c r="AL6468">
        <v>89.453349009637705</v>
      </c>
      <c r="AM6468">
        <v>85.301092929039399</v>
      </c>
      <c r="AN6468">
        <v>1.00000001108918</v>
      </c>
    </row>
    <row r="6469" spans="1:40" x14ac:dyDescent="0.25">
      <c r="A6469" t="str">
        <f>"20190312160814275"</f>
        <v>20190312160814275</v>
      </c>
      <c r="B6469" t="str">
        <f>"1552378094272230"</f>
        <v>1552378094272230</v>
      </c>
      <c r="C6469" t="s">
        <v>40</v>
      </c>
      <c r="D6469">
        <v>5.9537610000000001</v>
      </c>
      <c r="E6469">
        <v>0.62091890000000005</v>
      </c>
      <c r="F6469" t="s">
        <v>44</v>
      </c>
      <c r="G6469">
        <v>-316.44749999999999</v>
      </c>
      <c r="H6469">
        <v>1.171826</v>
      </c>
      <c r="I6469">
        <v>14.67455</v>
      </c>
      <c r="J6469">
        <v>-316.88330000000002</v>
      </c>
      <c r="K6469">
        <v>1.083574</v>
      </c>
      <c r="L6469">
        <v>15.07254</v>
      </c>
      <c r="M6469">
        <v>0.96742209999999995</v>
      </c>
      <c r="N6469">
        <v>0</v>
      </c>
      <c r="O6469">
        <v>-0.2519458</v>
      </c>
      <c r="P6469">
        <v>0.94365690000000002</v>
      </c>
      <c r="Q6469">
        <v>-1.3227829999999999E-2</v>
      </c>
      <c r="R6469">
        <v>-0.3306615</v>
      </c>
      <c r="S6469">
        <v>2.533722</v>
      </c>
      <c r="T6469">
        <v>0.36405169999999998</v>
      </c>
      <c r="U6469">
        <v>-1.8686830000000001</v>
      </c>
      <c r="V6469">
        <v>8.2413360000000005E-2</v>
      </c>
      <c r="W6469">
        <v>9.6131910000000001E-3</v>
      </c>
      <c r="X6469">
        <v>0.99655190000000005</v>
      </c>
      <c r="Y6469">
        <v>0.37078339999999999</v>
      </c>
      <c r="Z6469">
        <v>-7.6047409999999999E-3</v>
      </c>
      <c r="AA6469">
        <v>0.92868819999999996</v>
      </c>
      <c r="AB6469">
        <v>32</v>
      </c>
      <c r="AC6469">
        <v>0.435800000000028</v>
      </c>
      <c r="AD6469">
        <v>8.8251999999999997E-2</v>
      </c>
      <c r="AE6469">
        <v>-0.39799000000000001</v>
      </c>
      <c r="AF6469">
        <v>0.26929004764137998</v>
      </c>
      <c r="AG6469">
        <v>8.8251999999999997E-2</v>
      </c>
      <c r="AH6469">
        <v>0.51061826872745997</v>
      </c>
      <c r="AI6469">
        <v>81.3081190547136</v>
      </c>
      <c r="AJ6469">
        <v>62.193715955220704</v>
      </c>
      <c r="AK6469">
        <v>0.58398335731502204</v>
      </c>
      <c r="AL6469">
        <v>89.449196262043301</v>
      </c>
      <c r="AM6469">
        <v>85.272481897844003</v>
      </c>
      <c r="AN6469">
        <v>1.0000000323706499</v>
      </c>
    </row>
    <row r="6470" spans="1:40" x14ac:dyDescent="0.25">
      <c r="A6470" t="str">
        <f>"20190312160814296"</f>
        <v>20190312160814296</v>
      </c>
      <c r="B6470" t="str">
        <f>"1552378094291750"</f>
        <v>1552378094291750</v>
      </c>
      <c r="C6470" t="s">
        <v>40</v>
      </c>
      <c r="D6470">
        <v>5.9801950000000001</v>
      </c>
      <c r="E6470">
        <v>0.62080349999999995</v>
      </c>
      <c r="F6470" t="s">
        <v>44</v>
      </c>
      <c r="G6470">
        <v>-316.2527</v>
      </c>
      <c r="H6470">
        <v>1.1827209999999999</v>
      </c>
      <c r="I6470">
        <v>14.59409</v>
      </c>
      <c r="J6470">
        <v>-316.58980000000003</v>
      </c>
      <c r="K6470">
        <v>1.0807420000000001</v>
      </c>
      <c r="L6470">
        <v>14.987880000000001</v>
      </c>
      <c r="M6470">
        <v>0.96562340000000002</v>
      </c>
      <c r="N6470">
        <v>0</v>
      </c>
      <c r="O6470">
        <v>-0.25872889999999998</v>
      </c>
      <c r="P6470">
        <v>0.94089250000000002</v>
      </c>
      <c r="Q6470">
        <v>-1.391299E-2</v>
      </c>
      <c r="R6470">
        <v>-0.33842040000000001</v>
      </c>
      <c r="S6470">
        <v>2.5160830000000001</v>
      </c>
      <c r="T6470">
        <v>0.39552569999999998</v>
      </c>
      <c r="U6470">
        <v>-1.90802</v>
      </c>
      <c r="V6470">
        <v>8.3624100000000007E-2</v>
      </c>
      <c r="W6470">
        <v>9.0782050000000006E-3</v>
      </c>
      <c r="X6470">
        <v>0.99645600000000001</v>
      </c>
      <c r="Y6470">
        <v>0.37651679999999998</v>
      </c>
      <c r="Z6470">
        <v>-8.7360089999999994E-3</v>
      </c>
      <c r="AA6470">
        <v>0.92636859999999999</v>
      </c>
      <c r="AB6470">
        <v>32</v>
      </c>
      <c r="AC6470">
        <v>0.33710000000001999</v>
      </c>
      <c r="AD6470">
        <v>0.101978999999999</v>
      </c>
      <c r="AE6470">
        <v>-0.39378999999999897</v>
      </c>
      <c r="AF6470">
        <v>0.28220564154258598</v>
      </c>
      <c r="AG6470">
        <v>0.101978999999999</v>
      </c>
      <c r="AH6470">
        <v>0.41160124067422299</v>
      </c>
      <c r="AI6470">
        <v>78.450930538866402</v>
      </c>
      <c r="AJ6470">
        <v>55.564344509179499</v>
      </c>
      <c r="AK6470">
        <v>0.50936757050682202</v>
      </c>
      <c r="AL6470">
        <v>89.479850013784898</v>
      </c>
      <c r="AM6470">
        <v>85.202891868403498</v>
      </c>
      <c r="AN6470">
        <v>0.99999998192141504</v>
      </c>
    </row>
    <row r="6471" spans="1:40" x14ac:dyDescent="0.25">
      <c r="A6471" t="str">
        <f>"20190312160814309"</f>
        <v>20190312160814309</v>
      </c>
      <c r="B6471" t="str">
        <f>"1552378094302486"</f>
        <v>1552378094302486</v>
      </c>
      <c r="C6471" t="s">
        <v>40</v>
      </c>
      <c r="D6471">
        <v>6.6086299999999998</v>
      </c>
      <c r="E6471">
        <v>0.62080349999999995</v>
      </c>
      <c r="F6471" t="s">
        <v>44</v>
      </c>
      <c r="G6471">
        <v>-315.97800000000001</v>
      </c>
      <c r="H6471">
        <v>1.178599</v>
      </c>
      <c r="I6471">
        <v>14.51619</v>
      </c>
      <c r="J6471">
        <v>-316.40910000000002</v>
      </c>
      <c r="K6471">
        <v>1.079048</v>
      </c>
      <c r="L6471">
        <v>14.93427</v>
      </c>
      <c r="M6471">
        <v>0.96445179999999997</v>
      </c>
      <c r="N6471">
        <v>0</v>
      </c>
      <c r="O6471">
        <v>-0.26305699999999999</v>
      </c>
      <c r="P6471">
        <v>0.93917620000000002</v>
      </c>
      <c r="Q6471">
        <v>-1.393382E-2</v>
      </c>
      <c r="R6471">
        <v>-0.34315319999999999</v>
      </c>
      <c r="S6471">
        <v>2.5010379999999999</v>
      </c>
      <c r="T6471">
        <v>0.40000239999999998</v>
      </c>
      <c r="U6471">
        <v>-1.9277040000000001</v>
      </c>
      <c r="V6471">
        <v>8.4175550000000002E-2</v>
      </c>
      <c r="W6471">
        <v>9.0624680000000006E-3</v>
      </c>
      <c r="X6471">
        <v>0.99640969999999995</v>
      </c>
      <c r="Y6471">
        <v>0.37961479999999997</v>
      </c>
      <c r="Z6471">
        <v>-9.1976579999999992E-3</v>
      </c>
      <c r="AA6471">
        <v>0.925099</v>
      </c>
      <c r="AB6471">
        <v>32</v>
      </c>
      <c r="AC6471">
        <v>0.43110000000001403</v>
      </c>
      <c r="AD6471">
        <v>9.9550999999999903E-2</v>
      </c>
      <c r="AE6471">
        <v>-0.41808000000000101</v>
      </c>
      <c r="AF6471">
        <v>0.28215241246621903</v>
      </c>
      <c r="AG6471">
        <v>9.9550999999999903E-2</v>
      </c>
      <c r="AH6471">
        <v>0.51185485053162005</v>
      </c>
      <c r="AI6471">
        <v>80.333750919263807</v>
      </c>
      <c r="AJ6471">
        <v>61.134899150392997</v>
      </c>
      <c r="AK6471">
        <v>0.59288765670593502</v>
      </c>
      <c r="AL6471">
        <v>89.480751708852594</v>
      </c>
      <c r="AM6471">
        <v>85.171183636811406</v>
      </c>
      <c r="AN6471">
        <v>0.999999970899071</v>
      </c>
    </row>
    <row r="6472" spans="1:40" x14ac:dyDescent="0.25">
      <c r="A6472" t="str">
        <f>"20190312160814321"</f>
        <v>20190312160814321</v>
      </c>
      <c r="B6472" t="str">
        <f>"1552378094312248"</f>
        <v>1552378094312248</v>
      </c>
      <c r="C6472" t="s">
        <v>40</v>
      </c>
      <c r="D6472">
        <v>5.9634510000000001</v>
      </c>
      <c r="E6472">
        <v>0.62100239999999995</v>
      </c>
      <c r="F6472" t="s">
        <v>104</v>
      </c>
      <c r="G6472">
        <v>-279.02</v>
      </c>
      <c r="H6472">
        <v>7.0849500000000001</v>
      </c>
      <c r="I6472">
        <v>-14.185140000000001</v>
      </c>
      <c r="J6472">
        <v>-316.24689999999998</v>
      </c>
      <c r="K6472">
        <v>1.0775709999999901</v>
      </c>
      <c r="L6472">
        <v>14.88531</v>
      </c>
      <c r="M6472">
        <v>0.96335490000000001</v>
      </c>
      <c r="N6472">
        <v>0</v>
      </c>
      <c r="O6472">
        <v>-0.26704820000000001</v>
      </c>
      <c r="P6472">
        <v>0.93746980000000002</v>
      </c>
      <c r="Q6472">
        <v>-1.429066E-2</v>
      </c>
      <c r="R6472">
        <v>-0.34777360000000002</v>
      </c>
      <c r="S6472">
        <v>2.4913020000000001</v>
      </c>
      <c r="T6472">
        <v>0.40018389999999998</v>
      </c>
      <c r="U6472">
        <v>-1.940277</v>
      </c>
      <c r="V6472">
        <v>8.4949650000000002E-2</v>
      </c>
      <c r="W6472">
        <v>8.6476369999999997E-3</v>
      </c>
      <c r="X6472">
        <v>0.99634769999999995</v>
      </c>
      <c r="Y6472">
        <v>0.38046479999999999</v>
      </c>
      <c r="Z6472">
        <v>-9.6748509999999999E-3</v>
      </c>
      <c r="AA6472">
        <v>0.92474480000000003</v>
      </c>
      <c r="AB6472">
        <v>32</v>
      </c>
      <c r="AC6472">
        <v>37.226900000000001</v>
      </c>
      <c r="AD6472">
        <v>6.0073790000000002</v>
      </c>
      <c r="AE6472">
        <v>-29.070450000000001</v>
      </c>
      <c r="AF6472">
        <v>17.781852621987198</v>
      </c>
      <c r="AG6472">
        <v>6.0073790000000002</v>
      </c>
      <c r="AH6472">
        <v>42.945034541088297</v>
      </c>
      <c r="AI6472">
        <v>82.6356794410232</v>
      </c>
      <c r="AJ6472">
        <v>67.507474364565994</v>
      </c>
      <c r="AK6472">
        <v>46.8674607468229</v>
      </c>
      <c r="AL6472">
        <v>89.504520712620504</v>
      </c>
      <c r="AM6472">
        <v>85.126687695726005</v>
      </c>
      <c r="AN6472">
        <v>0.99999998197804796</v>
      </c>
    </row>
    <row r="6473" spans="1:40" x14ac:dyDescent="0.25">
      <c r="A6473" t="str">
        <f>"20190312160814332"</f>
        <v>20190312160814332</v>
      </c>
      <c r="B6473" t="str">
        <f>"1552378094322007"</f>
        <v>1552378094322007</v>
      </c>
      <c r="C6473" t="s">
        <v>40</v>
      </c>
      <c r="D6473">
        <v>5.9598709999999997</v>
      </c>
      <c r="E6473">
        <v>0.62102930000000001</v>
      </c>
      <c r="F6473" t="s">
        <v>44</v>
      </c>
      <c r="G6473">
        <v>-315.67259999999999</v>
      </c>
      <c r="H6473">
        <v>1.1707449999999999</v>
      </c>
      <c r="I6473">
        <v>14.43285</v>
      </c>
      <c r="J6473">
        <v>-316.08319999999998</v>
      </c>
      <c r="K6473">
        <v>1.0761160000000001</v>
      </c>
      <c r="L6473">
        <v>14.8353</v>
      </c>
      <c r="M6473">
        <v>0.96220939999999999</v>
      </c>
      <c r="N6473">
        <v>0</v>
      </c>
      <c r="O6473">
        <v>-0.27115299999999998</v>
      </c>
      <c r="P6473">
        <v>0.93569360000000001</v>
      </c>
      <c r="Q6473">
        <v>-1.4656310000000001E-2</v>
      </c>
      <c r="R6473">
        <v>-0.35250959999999998</v>
      </c>
      <c r="S6473">
        <v>2.4813540000000001</v>
      </c>
      <c r="T6473">
        <v>0.40253949999999999</v>
      </c>
      <c r="U6473">
        <v>-1.954102</v>
      </c>
      <c r="V6473">
        <v>8.5731689999999999E-2</v>
      </c>
      <c r="W6473">
        <v>8.1851210000000001E-3</v>
      </c>
      <c r="X6473">
        <v>0.99628470000000002</v>
      </c>
      <c r="Y6473">
        <v>0.38151760000000001</v>
      </c>
      <c r="Z6473">
        <v>-1.0206750000000001E-2</v>
      </c>
      <c r="AA6473">
        <v>0.92430520000000005</v>
      </c>
      <c r="AB6473">
        <v>32</v>
      </c>
      <c r="AC6473">
        <v>0.41059999999998797</v>
      </c>
      <c r="AD6473">
        <v>9.4629000000000005E-2</v>
      </c>
      <c r="AE6473">
        <v>-0.40244999999999997</v>
      </c>
      <c r="AF6473">
        <v>0.26871328344623102</v>
      </c>
      <c r="AG6473">
        <v>9.4629000000000005E-2</v>
      </c>
      <c r="AH6473">
        <v>0.49106470568904098</v>
      </c>
      <c r="AI6473">
        <v>80.405010931407503</v>
      </c>
      <c r="AJ6473">
        <v>61.312280973541696</v>
      </c>
      <c r="AK6473">
        <v>0.56772002035767499</v>
      </c>
      <c r="AL6473">
        <v>89.531021903856598</v>
      </c>
      <c r="AM6473">
        <v>85.081733928530895</v>
      </c>
      <c r="AN6473">
        <v>1.0000000611650599</v>
      </c>
    </row>
    <row r="6474" spans="1:40" x14ac:dyDescent="0.25">
      <c r="A6474" t="str">
        <f>"20190312160814344"</f>
        <v>20190312160814344</v>
      </c>
      <c r="B6474" t="str">
        <f>"1552378094331766"</f>
        <v>1552378094331766</v>
      </c>
      <c r="C6474" t="s">
        <v>40</v>
      </c>
      <c r="D6474">
        <v>5.9707879999999998</v>
      </c>
      <c r="E6474">
        <v>0.6212453</v>
      </c>
      <c r="F6474" t="s">
        <v>104</v>
      </c>
      <c r="G6474">
        <v>-279.02</v>
      </c>
      <c r="H6474">
        <v>7.1229950000000004</v>
      </c>
      <c r="I6474">
        <v>-14.664099999999999</v>
      </c>
      <c r="J6474">
        <v>-315.92779999999999</v>
      </c>
      <c r="K6474">
        <v>1.0747979999999999</v>
      </c>
      <c r="L6474">
        <v>14.786619999999999</v>
      </c>
      <c r="M6474">
        <v>0.96105620000000003</v>
      </c>
      <c r="N6474">
        <v>0</v>
      </c>
      <c r="O6474">
        <v>-0.27522550000000001</v>
      </c>
      <c r="P6474">
        <v>0.93391449999999998</v>
      </c>
      <c r="Q6474">
        <v>-1.45851E-2</v>
      </c>
      <c r="R6474">
        <v>-0.35719869999999998</v>
      </c>
      <c r="S6474">
        <v>2.4714360000000002</v>
      </c>
      <c r="T6474">
        <v>0.40321659999999998</v>
      </c>
      <c r="U6474">
        <v>-1.9670719999999999</v>
      </c>
      <c r="V6474">
        <v>8.6508370000000001E-2</v>
      </c>
      <c r="W6474">
        <v>8.0921399999999994E-3</v>
      </c>
      <c r="X6474">
        <v>0.9962183</v>
      </c>
      <c r="Y6474">
        <v>0.38240190000000002</v>
      </c>
      <c r="Z6474">
        <v>-1.070892E-2</v>
      </c>
      <c r="AA6474">
        <v>0.92393400000000003</v>
      </c>
      <c r="AB6474">
        <v>32</v>
      </c>
      <c r="AC6474">
        <v>36.907800000000002</v>
      </c>
      <c r="AD6474">
        <v>6.048197</v>
      </c>
      <c r="AE6474">
        <v>-29.45072</v>
      </c>
      <c r="AF6474">
        <v>17.858464402877001</v>
      </c>
      <c r="AG6474">
        <v>6.048197</v>
      </c>
      <c r="AH6474">
        <v>42.885970467471402</v>
      </c>
      <c r="AI6474">
        <v>82.582224455309401</v>
      </c>
      <c r="AJ6474">
        <v>67.392305249523801</v>
      </c>
      <c r="AK6474">
        <v>46.847752355011302</v>
      </c>
      <c r="AL6474">
        <v>89.5363494895184</v>
      </c>
      <c r="AM6474">
        <v>85.037069655607993</v>
      </c>
      <c r="AN6474">
        <v>1.00000004103236</v>
      </c>
    </row>
    <row r="6475" spans="1:40" x14ac:dyDescent="0.25">
      <c r="A6475" t="str">
        <f>"20190312160814357"</f>
        <v>20190312160814357</v>
      </c>
      <c r="B6475" t="str">
        <f>"1552378094352262"</f>
        <v>1552378094352262</v>
      </c>
      <c r="C6475" t="s">
        <v>40</v>
      </c>
      <c r="D6475">
        <v>6.0127240000000004</v>
      </c>
      <c r="E6475">
        <v>0.62166060000000001</v>
      </c>
      <c r="F6475" t="s">
        <v>44</v>
      </c>
      <c r="G6475">
        <v>-315.36470000000003</v>
      </c>
      <c r="H6475">
        <v>1.167449</v>
      </c>
      <c r="I6475">
        <v>14.333069999999999</v>
      </c>
      <c r="J6475">
        <v>-315.76100000000002</v>
      </c>
      <c r="K6475">
        <v>1.0734079999999999</v>
      </c>
      <c r="L6475">
        <v>14.733919999999999</v>
      </c>
      <c r="M6475">
        <v>0.95978129999999995</v>
      </c>
      <c r="N6475">
        <v>0</v>
      </c>
      <c r="O6475">
        <v>-0.27965519999999999</v>
      </c>
      <c r="P6475">
        <v>0.93207700000000004</v>
      </c>
      <c r="Q6475">
        <v>-1.451351E-2</v>
      </c>
      <c r="R6475">
        <v>-0.36196980000000001</v>
      </c>
      <c r="S6475">
        <v>2.4608150000000002</v>
      </c>
      <c r="T6475">
        <v>0.40479979999999999</v>
      </c>
      <c r="U6475">
        <v>-1.981384</v>
      </c>
      <c r="V6475">
        <v>8.7005020000000002E-2</v>
      </c>
      <c r="W6475">
        <v>7.974844E-3</v>
      </c>
      <c r="X6475">
        <v>0.9961759</v>
      </c>
      <c r="Y6475">
        <v>0.38336940000000003</v>
      </c>
      <c r="Z6475">
        <v>-1.1279249999999999E-2</v>
      </c>
      <c r="AA6475">
        <v>0.92352619999999996</v>
      </c>
      <c r="AB6475">
        <v>32</v>
      </c>
      <c r="AC6475">
        <v>0.39629999999993898</v>
      </c>
      <c r="AD6475">
        <v>9.4041E-2</v>
      </c>
      <c r="AE6475">
        <v>-0.40084999999999998</v>
      </c>
      <c r="AF6475">
        <v>0.26656545308886098</v>
      </c>
      <c r="AG6475">
        <v>9.4041E-2</v>
      </c>
      <c r="AH6475">
        <v>0.47927218565512397</v>
      </c>
      <c r="AI6475">
        <v>80.269680481054706</v>
      </c>
      <c r="AJ6475">
        <v>60.917711916730802</v>
      </c>
      <c r="AK6475">
        <v>0.55641951655572697</v>
      </c>
      <c r="AL6475">
        <v>89.543070229222195</v>
      </c>
      <c r="AM6475">
        <v>85.008509315438701</v>
      </c>
      <c r="AN6475">
        <v>0.99999994769141598</v>
      </c>
    </row>
    <row r="6476" spans="1:40" x14ac:dyDescent="0.25">
      <c r="A6476" t="str">
        <f>"20190312160814367"</f>
        <v>20190312160814367</v>
      </c>
      <c r="B6476" t="str">
        <f>"1552378094362022"</f>
        <v>1552378094362022</v>
      </c>
      <c r="C6476" t="s">
        <v>40</v>
      </c>
      <c r="D6476">
        <v>6.0507860000000004</v>
      </c>
      <c r="E6476">
        <v>0.62175000000000002</v>
      </c>
      <c r="F6476" t="s">
        <v>44</v>
      </c>
      <c r="G6476">
        <v>-315.16699999999997</v>
      </c>
      <c r="H6476">
        <v>1.1720630000000001</v>
      </c>
      <c r="I6476">
        <v>14.249309999999999</v>
      </c>
      <c r="J6476">
        <v>-315.60419999999999</v>
      </c>
      <c r="K6476">
        <v>1.0721510000000001</v>
      </c>
      <c r="L6476">
        <v>14.683199999999999</v>
      </c>
      <c r="M6476">
        <v>0.95851889999999995</v>
      </c>
      <c r="N6476">
        <v>0</v>
      </c>
      <c r="O6476">
        <v>-0.2839719</v>
      </c>
      <c r="P6476">
        <v>0.93021100000000001</v>
      </c>
      <c r="Q6476">
        <v>-1.430884E-2</v>
      </c>
      <c r="R6476">
        <v>-0.3667473</v>
      </c>
      <c r="S6476">
        <v>2.4493100000000001</v>
      </c>
      <c r="T6476">
        <v>0.4066768</v>
      </c>
      <c r="U6476">
        <v>-1.9971920000000001</v>
      </c>
      <c r="V6476">
        <v>8.7631349999999997E-2</v>
      </c>
      <c r="W6476">
        <v>7.9486179999999993E-3</v>
      </c>
      <c r="X6476">
        <v>0.99612129999999999</v>
      </c>
      <c r="Y6476">
        <v>0.38493329999999998</v>
      </c>
      <c r="Z6476">
        <v>-1.180467E-2</v>
      </c>
      <c r="AA6476">
        <v>0.92286889999999999</v>
      </c>
      <c r="AB6476">
        <v>32</v>
      </c>
      <c r="AC6476">
        <v>0.43719999999996101</v>
      </c>
      <c r="AD6476">
        <v>9.9911999999999695E-2</v>
      </c>
      <c r="AE6476">
        <v>-0.433889999999998</v>
      </c>
      <c r="AF6476">
        <v>0.28434568403213301</v>
      </c>
      <c r="AG6476">
        <v>9.9911999999999695E-2</v>
      </c>
      <c r="AH6476">
        <v>0.52853406871026598</v>
      </c>
      <c r="AI6476">
        <v>80.548441339018396</v>
      </c>
      <c r="AJ6476">
        <v>61.720223086658002</v>
      </c>
      <c r="AK6476">
        <v>0.60842677255289301</v>
      </c>
      <c r="AL6476">
        <v>89.544572957705896</v>
      </c>
      <c r="AM6476">
        <v>84.972486013304106</v>
      </c>
      <c r="AN6476">
        <v>1.0000000391723101</v>
      </c>
    </row>
    <row r="6477" spans="1:40" x14ac:dyDescent="0.25">
      <c r="A6477" t="str">
        <f>"20190312160814384"</f>
        <v>20190312160814384</v>
      </c>
      <c r="B6477" t="str">
        <f>"1552378094371782"</f>
        <v>1552378094371782</v>
      </c>
      <c r="C6477" t="s">
        <v>40</v>
      </c>
      <c r="D6477">
        <v>5.9559439999999997</v>
      </c>
      <c r="E6477">
        <v>0.621695</v>
      </c>
      <c r="F6477" t="s">
        <v>104</v>
      </c>
      <c r="G6477">
        <v>-279.02</v>
      </c>
      <c r="H6477">
        <v>7.1843459999999997</v>
      </c>
      <c r="I6477">
        <v>-15.481730000000001</v>
      </c>
      <c r="J6477">
        <v>-315.38889999999998</v>
      </c>
      <c r="K6477">
        <v>1.070495</v>
      </c>
      <c r="L6477">
        <v>14.612299999999999</v>
      </c>
      <c r="M6477">
        <v>0.95669099999999996</v>
      </c>
      <c r="N6477">
        <v>0</v>
      </c>
      <c r="O6477">
        <v>-0.29009879999999999</v>
      </c>
      <c r="P6477">
        <v>0.9274017</v>
      </c>
      <c r="Q6477">
        <v>-1.419138E-2</v>
      </c>
      <c r="R6477">
        <v>-0.37379820000000002</v>
      </c>
      <c r="S6477">
        <v>2.4385680000000001</v>
      </c>
      <c r="T6477">
        <v>0.407416</v>
      </c>
      <c r="U6477">
        <v>-2.0106809999999999</v>
      </c>
      <c r="V6477">
        <v>8.8813899999999904E-2</v>
      </c>
      <c r="W6477">
        <v>7.7240340000000003E-3</v>
      </c>
      <c r="X6477">
        <v>0.99601830000000002</v>
      </c>
      <c r="Y6477">
        <v>0.38411499999999998</v>
      </c>
      <c r="Z6477">
        <v>-1.2714929999999999E-2</v>
      </c>
      <c r="AA6477">
        <v>0.92319770000000001</v>
      </c>
      <c r="AB6477">
        <v>32</v>
      </c>
      <c r="AC6477">
        <v>36.368899999999996</v>
      </c>
      <c r="AD6477">
        <v>6.1138510000000004</v>
      </c>
      <c r="AE6477">
        <v>-30.09403</v>
      </c>
      <c r="AF6477">
        <v>17.944444004896699</v>
      </c>
      <c r="AG6477">
        <v>6.1138510000000004</v>
      </c>
      <c r="AH6477">
        <v>42.818523357345299</v>
      </c>
      <c r="AI6477">
        <v>82.497970021828706</v>
      </c>
      <c r="AJ6477">
        <v>67.262351824197196</v>
      </c>
      <c r="AK6477">
        <v>46.827429858989703</v>
      </c>
      <c r="AL6477">
        <v>89.557441055540494</v>
      </c>
      <c r="AM6477">
        <v>84.904472347719206</v>
      </c>
      <c r="AN6477">
        <v>1.0000000117346599</v>
      </c>
    </row>
    <row r="6478" spans="1:40" x14ac:dyDescent="0.25">
      <c r="A6478" t="str">
        <f>"20190312160814395"</f>
        <v>20190312160814395</v>
      </c>
      <c r="B6478" t="str">
        <f>"1552378094392280"</f>
        <v>1552378094392280</v>
      </c>
      <c r="C6478" t="s">
        <v>40</v>
      </c>
      <c r="D6478">
        <v>6.0391349999999999</v>
      </c>
      <c r="E6478">
        <v>0.62152149999999995</v>
      </c>
      <c r="F6478" t="s">
        <v>44</v>
      </c>
      <c r="G6478">
        <v>-314.83780000000002</v>
      </c>
      <c r="H6478">
        <v>1.1631769999999999</v>
      </c>
      <c r="I6478">
        <v>14.150919999999999</v>
      </c>
      <c r="J6478">
        <v>-315.23570000000001</v>
      </c>
      <c r="K6478">
        <v>1.069353</v>
      </c>
      <c r="L6478">
        <v>14.56119</v>
      </c>
      <c r="M6478">
        <v>0.95533170000000001</v>
      </c>
      <c r="N6478">
        <v>0</v>
      </c>
      <c r="O6478">
        <v>-0.29456450000000001</v>
      </c>
      <c r="P6478">
        <v>0.92542400000000002</v>
      </c>
      <c r="Q6478">
        <v>-1.4078210000000001E-2</v>
      </c>
      <c r="R6478">
        <v>-0.37867190000000001</v>
      </c>
      <c r="S6478">
        <v>2.4233090000000002</v>
      </c>
      <c r="T6478">
        <v>0.40752860000000002</v>
      </c>
      <c r="U6478">
        <v>-2.028931</v>
      </c>
      <c r="V6478">
        <v>8.9397210000000005E-2</v>
      </c>
      <c r="W6478">
        <v>7.5943369999999996E-3</v>
      </c>
      <c r="X6478">
        <v>0.99596709999999999</v>
      </c>
      <c r="Y6478">
        <v>0.38676270000000001</v>
      </c>
      <c r="Z6478">
        <v>-1.3143790000000001E-2</v>
      </c>
      <c r="AA6478">
        <v>0.92208559999999995</v>
      </c>
      <c r="AB6478">
        <v>32</v>
      </c>
      <c r="AC6478">
        <v>0.39789999999999198</v>
      </c>
      <c r="AD6478">
        <v>9.3824000000000102E-2</v>
      </c>
      <c r="AE6478">
        <v>-0.41026999999999803</v>
      </c>
      <c r="AF6478">
        <v>0.267603695839364</v>
      </c>
      <c r="AG6478">
        <v>9.3824000000000102E-2</v>
      </c>
      <c r="AH6478">
        <v>0.48797051618730602</v>
      </c>
      <c r="AI6478">
        <v>80.430650273418394</v>
      </c>
      <c r="AJ6478">
        <v>61.2595763300111</v>
      </c>
      <c r="AK6478">
        <v>0.56438453705872704</v>
      </c>
      <c r="AL6478">
        <v>89.564872358910804</v>
      </c>
      <c r="AM6478">
        <v>84.870921710432398</v>
      </c>
      <c r="AN6478">
        <v>0.99999999969633102</v>
      </c>
    </row>
    <row r="6479" spans="1:40" x14ac:dyDescent="0.25">
      <c r="A6479" t="str">
        <f>"20190312160814406"</f>
        <v>20190312160814406</v>
      </c>
      <c r="B6479" t="str">
        <f>"1552378094402039"</f>
        <v>1552378094402039</v>
      </c>
      <c r="C6479" t="s">
        <v>40</v>
      </c>
      <c r="D6479">
        <v>6.086233</v>
      </c>
      <c r="E6479">
        <v>0.62123629999999996</v>
      </c>
      <c r="F6479" t="s">
        <v>44</v>
      </c>
      <c r="G6479">
        <v>-314.63529999999997</v>
      </c>
      <c r="H6479">
        <v>1.1704410000000001</v>
      </c>
      <c r="I6479">
        <v>14.053240000000001</v>
      </c>
      <c r="J6479">
        <v>-315.07670000000002</v>
      </c>
      <c r="K6479">
        <v>1.0682229999999999</v>
      </c>
      <c r="L6479">
        <v>14.506740000000001</v>
      </c>
      <c r="M6479">
        <v>0.95382979999999995</v>
      </c>
      <c r="N6479">
        <v>0</v>
      </c>
      <c r="O6479">
        <v>-0.29941440000000002</v>
      </c>
      <c r="P6479">
        <v>0.92332380000000003</v>
      </c>
      <c r="Q6479">
        <v>-1.393892E-2</v>
      </c>
      <c r="R6479">
        <v>-0.3837699</v>
      </c>
      <c r="S6479">
        <v>2.4129330000000002</v>
      </c>
      <c r="T6479">
        <v>0.40618409999999999</v>
      </c>
      <c r="U6479">
        <v>-2.040619</v>
      </c>
      <c r="V6479">
        <v>8.9825820000000001E-2</v>
      </c>
      <c r="W6479">
        <v>7.4717949999999998E-3</v>
      </c>
      <c r="X6479">
        <v>0.99592950000000002</v>
      </c>
      <c r="Y6479">
        <v>0.38667990000000002</v>
      </c>
      <c r="Z6479">
        <v>-1.376746E-2</v>
      </c>
      <c r="AA6479">
        <v>0.92211120000000002</v>
      </c>
      <c r="AB6479">
        <v>32</v>
      </c>
      <c r="AC6479">
        <v>0.44140000000004398</v>
      </c>
      <c r="AD6479">
        <v>0.102218</v>
      </c>
      <c r="AE6479">
        <v>-0.45350000000000001</v>
      </c>
      <c r="AF6479">
        <v>0.29284440630196101</v>
      </c>
      <c r="AG6479">
        <v>0.102218</v>
      </c>
      <c r="AH6479">
        <v>0.54279973283205296</v>
      </c>
      <c r="AI6479">
        <v>80.589645913132102</v>
      </c>
      <c r="AJ6479">
        <v>61.652815515741999</v>
      </c>
      <c r="AK6479">
        <v>0.62517030942687701</v>
      </c>
      <c r="AL6479">
        <v>89.571893713658497</v>
      </c>
      <c r="AM6479">
        <v>84.846269215282305</v>
      </c>
      <c r="AN6479">
        <v>1.00000003731472</v>
      </c>
    </row>
    <row r="6480" spans="1:40" x14ac:dyDescent="0.25">
      <c r="A6480" t="str">
        <f>"20190312160814418"</f>
        <v>20190312160814418</v>
      </c>
      <c r="B6480" t="str">
        <f>"1552378094411799"</f>
        <v>1552378094411799</v>
      </c>
      <c r="C6480" t="s">
        <v>40</v>
      </c>
      <c r="D6480">
        <v>6.0719839999999996</v>
      </c>
      <c r="E6480">
        <v>0.62093500000000001</v>
      </c>
      <c r="F6480" t="s">
        <v>44</v>
      </c>
      <c r="G6480">
        <v>-314.53399999999999</v>
      </c>
      <c r="H6480">
        <v>1.15998</v>
      </c>
      <c r="I6480">
        <v>14.0430299999999</v>
      </c>
      <c r="J6480">
        <v>-314.92849999999999</v>
      </c>
      <c r="K6480">
        <v>1.0671809999999999</v>
      </c>
      <c r="L6480">
        <v>14.455439999999999</v>
      </c>
      <c r="M6480">
        <v>0.95238880000000004</v>
      </c>
      <c r="N6480">
        <v>0</v>
      </c>
      <c r="O6480">
        <v>-0.3039868</v>
      </c>
      <c r="P6480">
        <v>0.92125060000000003</v>
      </c>
      <c r="Q6480">
        <v>-1.4122340000000001E-2</v>
      </c>
      <c r="R6480">
        <v>-0.38871319999999998</v>
      </c>
      <c r="S6480">
        <v>2.402374</v>
      </c>
      <c r="T6480">
        <v>0.40610540000000001</v>
      </c>
      <c r="U6480">
        <v>-2.0519409999999998</v>
      </c>
      <c r="V6480">
        <v>9.0376319999999996E-2</v>
      </c>
      <c r="W6480">
        <v>7.0335919999999904E-3</v>
      </c>
      <c r="X6480">
        <v>0.99588290000000002</v>
      </c>
      <c r="Y6480">
        <v>0.38680360000000003</v>
      </c>
      <c r="Z6480">
        <v>-1.438159E-2</v>
      </c>
      <c r="AA6480">
        <v>0.92205000000000004</v>
      </c>
      <c r="AB6480">
        <v>32</v>
      </c>
      <c r="AC6480">
        <v>0.39449999999999302</v>
      </c>
      <c r="AD6480">
        <v>9.2799000000000006E-2</v>
      </c>
      <c r="AE6480">
        <v>-0.412410000000001</v>
      </c>
      <c r="AF6480">
        <v>0.26589645267832002</v>
      </c>
      <c r="AG6480">
        <v>9.2799000000000006E-2</v>
      </c>
      <c r="AH6480">
        <v>0.48831115047804702</v>
      </c>
      <c r="AI6480">
        <v>80.524601077654907</v>
      </c>
      <c r="AJ6480">
        <v>61.430709619496596</v>
      </c>
      <c r="AK6480">
        <v>0.56370236617306102</v>
      </c>
      <c r="AL6480">
        <v>89.5970015611001</v>
      </c>
      <c r="AM6480">
        <v>84.814614778768004</v>
      </c>
      <c r="AN6480">
        <v>1.00000005057278</v>
      </c>
    </row>
    <row r="6481" spans="1:40" x14ac:dyDescent="0.25">
      <c r="A6481" t="str">
        <f>"20190312160814429"</f>
        <v>20190312160814429</v>
      </c>
      <c r="B6481" t="str">
        <f>"1552378094422534"</f>
        <v>1552378094422534</v>
      </c>
      <c r="C6481" t="s">
        <v>40</v>
      </c>
      <c r="D6481">
        <v>6.0550649999999999</v>
      </c>
      <c r="E6481">
        <v>0.6204771</v>
      </c>
      <c r="F6481" t="s">
        <v>44</v>
      </c>
      <c r="G6481">
        <v>-314.36590000000001</v>
      </c>
      <c r="H6481">
        <v>1.1622709999999901</v>
      </c>
      <c r="I6481">
        <v>13.9704</v>
      </c>
      <c r="J6481">
        <v>-314.7697</v>
      </c>
      <c r="K6481">
        <v>1.0660909999999999</v>
      </c>
      <c r="L6481">
        <v>14.39954</v>
      </c>
      <c r="M6481">
        <v>0.95078499999999999</v>
      </c>
      <c r="N6481">
        <v>0</v>
      </c>
      <c r="O6481">
        <v>-0.30898819999999999</v>
      </c>
      <c r="P6481">
        <v>0.91896409999999995</v>
      </c>
      <c r="Q6481">
        <v>-1.3746929999999999E-2</v>
      </c>
      <c r="R6481">
        <v>-0.3941017</v>
      </c>
      <c r="S6481">
        <v>2.392242</v>
      </c>
      <c r="T6481">
        <v>0.40436179999999999</v>
      </c>
      <c r="U6481">
        <v>-2.062805</v>
      </c>
      <c r="V6481">
        <v>9.0975200000000006E-2</v>
      </c>
      <c r="W6481">
        <v>7.1208510000000001E-3</v>
      </c>
      <c r="X6481">
        <v>0.99582769999999998</v>
      </c>
      <c r="Y6481">
        <v>0.38633719999999999</v>
      </c>
      <c r="Z6481">
        <v>-1.503348E-2</v>
      </c>
      <c r="AA6481">
        <v>0.92223509999999997</v>
      </c>
      <c r="AB6481">
        <v>32</v>
      </c>
      <c r="AC6481">
        <v>0.403799999999989</v>
      </c>
      <c r="AD6481">
        <v>9.6179999999999904E-2</v>
      </c>
      <c r="AE6481">
        <v>-0.42914000000000002</v>
      </c>
      <c r="AF6481">
        <v>0.27597357531301803</v>
      </c>
      <c r="AG6481">
        <v>9.6179999999999904E-2</v>
      </c>
      <c r="AH6481">
        <v>0.50325632868597903</v>
      </c>
      <c r="AI6481">
        <v>80.487154381731301</v>
      </c>
      <c r="AJ6481">
        <v>61.260703769542801</v>
      </c>
      <c r="AK6481">
        <v>0.58196128654193202</v>
      </c>
      <c r="AL6481">
        <v>89.592001843411893</v>
      </c>
      <c r="AM6481">
        <v>84.780155191624004</v>
      </c>
      <c r="AN6481">
        <v>1.00000000081064</v>
      </c>
    </row>
    <row r="6482" spans="1:40" x14ac:dyDescent="0.25">
      <c r="A6482" t="str">
        <f>"20190312160814441"</f>
        <v>20190312160814441</v>
      </c>
      <c r="B6482" t="str">
        <f>"1552378094432294"</f>
        <v>1552378094432294</v>
      </c>
      <c r="C6482" t="s">
        <v>40</v>
      </c>
      <c r="D6482">
        <v>6.1177330000000003</v>
      </c>
      <c r="E6482">
        <v>0.62003619999999904</v>
      </c>
      <c r="F6482" t="s">
        <v>104</v>
      </c>
      <c r="G6482">
        <v>-279.02</v>
      </c>
      <c r="H6482">
        <v>7.1144869999999996</v>
      </c>
      <c r="I6482">
        <v>-16.72889</v>
      </c>
      <c r="J6482">
        <v>-314.62490000000003</v>
      </c>
      <c r="K6482">
        <v>1.0651170000000001</v>
      </c>
      <c r="L6482">
        <v>14.34756</v>
      </c>
      <c r="M6482">
        <v>0.94927819999999996</v>
      </c>
      <c r="N6482">
        <v>0</v>
      </c>
      <c r="O6482">
        <v>-0.31360680000000002</v>
      </c>
      <c r="P6482">
        <v>0.9169233</v>
      </c>
      <c r="Q6482">
        <v>-1.35029E-2</v>
      </c>
      <c r="R6482">
        <v>-0.39883469999999999</v>
      </c>
      <c r="S6482">
        <v>2.381348</v>
      </c>
      <c r="T6482">
        <v>0.40289399999999997</v>
      </c>
      <c r="U6482">
        <v>-2.0735169999999998</v>
      </c>
      <c r="V6482">
        <v>9.1267940000000006E-2</v>
      </c>
      <c r="W6482">
        <v>7.0951030000000002E-3</v>
      </c>
      <c r="X6482">
        <v>0.99580109999999999</v>
      </c>
      <c r="Y6482">
        <v>0.38634030000000003</v>
      </c>
      <c r="Z6482">
        <v>-1.5610010000000001E-2</v>
      </c>
      <c r="AA6482">
        <v>0.92222420000000005</v>
      </c>
      <c r="AB6482">
        <v>32</v>
      </c>
      <c r="AC6482">
        <v>35.604900000000001</v>
      </c>
      <c r="AD6482">
        <v>6.0493699999999997</v>
      </c>
      <c r="AE6482">
        <v>-31.076450000000001</v>
      </c>
      <c r="AF6482">
        <v>18.043402970046898</v>
      </c>
      <c r="AG6482">
        <v>6.0493699999999997</v>
      </c>
      <c r="AH6482">
        <v>42.853947336733398</v>
      </c>
      <c r="AI6482">
        <v>82.587411786524299</v>
      </c>
      <c r="AJ6482">
        <v>67.166759579589296</v>
      </c>
      <c r="AK6482">
        <v>46.889445192664802</v>
      </c>
      <c r="AL6482">
        <v>89.593477133731298</v>
      </c>
      <c r="AM6482">
        <v>84.763312902684106</v>
      </c>
      <c r="AN6482">
        <v>1.00000000405981</v>
      </c>
    </row>
    <row r="6483" spans="1:40" x14ac:dyDescent="0.25">
      <c r="A6483" t="str">
        <f>"20190312160814451"</f>
        <v>20190312160814451</v>
      </c>
      <c r="B6483" t="str">
        <f>"1552378094442055"</f>
        <v>1552378094442055</v>
      </c>
      <c r="C6483" t="s">
        <v>40</v>
      </c>
      <c r="D6483">
        <v>7.5312729999999997</v>
      </c>
      <c r="E6483">
        <v>0.62003619999999904</v>
      </c>
      <c r="F6483" t="s">
        <v>44</v>
      </c>
      <c r="G6483">
        <v>-314.0788</v>
      </c>
      <c r="H6483">
        <v>1.157144</v>
      </c>
      <c r="I6483">
        <v>13.867940000000001</v>
      </c>
      <c r="J6483">
        <v>-314.46910000000003</v>
      </c>
      <c r="K6483">
        <v>1.064082</v>
      </c>
      <c r="L6483">
        <v>14.29102</v>
      </c>
      <c r="M6483">
        <v>0.94761609999999996</v>
      </c>
      <c r="N6483">
        <v>0</v>
      </c>
      <c r="O6483">
        <v>-0.31861509999999998</v>
      </c>
      <c r="P6483">
        <v>0.91465510000000005</v>
      </c>
      <c r="Q6483">
        <v>-1.321701E-2</v>
      </c>
      <c r="R6483">
        <v>-0.4040185</v>
      </c>
      <c r="S6483">
        <v>2.3719480000000002</v>
      </c>
      <c r="T6483">
        <v>0.3996518</v>
      </c>
      <c r="U6483">
        <v>-2.082306</v>
      </c>
      <c r="V6483">
        <v>9.1646179999999994E-2</v>
      </c>
      <c r="W6483">
        <v>7.0807989999999996E-3</v>
      </c>
      <c r="X6483">
        <v>0.9957665</v>
      </c>
      <c r="Y6483">
        <v>0.38526510000000003</v>
      </c>
      <c r="Z6483">
        <v>-1.623753E-2</v>
      </c>
      <c r="AA6483">
        <v>0.92266309999999996</v>
      </c>
      <c r="AB6483">
        <v>31</v>
      </c>
      <c r="AC6483">
        <v>0.39030000000002402</v>
      </c>
      <c r="AD6483">
        <v>9.3061999999999895E-2</v>
      </c>
      <c r="AE6483">
        <v>-0.42308000000000201</v>
      </c>
      <c r="AF6483">
        <v>0.26958563774315297</v>
      </c>
      <c r="AG6483">
        <v>9.3061999999999895E-2</v>
      </c>
      <c r="AH6483">
        <v>0.491924276497477</v>
      </c>
      <c r="AI6483">
        <v>80.580398195825097</v>
      </c>
      <c r="AJ6483">
        <v>61.276261393387699</v>
      </c>
      <c r="AK6483">
        <v>0.56861801389768596</v>
      </c>
      <c r="AL6483">
        <v>89.594296728243506</v>
      </c>
      <c r="AM6483">
        <v>84.741550318201902</v>
      </c>
      <c r="AN6483">
        <v>1.00000004127265</v>
      </c>
    </row>
    <row r="6484" spans="1:40" x14ac:dyDescent="0.25">
      <c r="A6484" t="str">
        <f>"20190312160814464"</f>
        <v>20190312160814464</v>
      </c>
      <c r="B6484" t="str">
        <f>"1552378094451815"</f>
        <v>1552378094451815</v>
      </c>
      <c r="C6484" t="s">
        <v>40</v>
      </c>
      <c r="D6484">
        <v>6.2500159999999996</v>
      </c>
      <c r="E6484">
        <v>0.61937940000000002</v>
      </c>
      <c r="F6484" t="s">
        <v>104</v>
      </c>
      <c r="G6484">
        <v>-279.02</v>
      </c>
      <c r="H6484">
        <v>7.0777169999999998</v>
      </c>
      <c r="I6484">
        <v>-17.193159999999999</v>
      </c>
      <c r="J6484">
        <v>-314.31959999999998</v>
      </c>
      <c r="K6484">
        <v>1.0631250000000001</v>
      </c>
      <c r="L6484">
        <v>14.23541</v>
      </c>
      <c r="M6484">
        <v>0.94597350000000002</v>
      </c>
      <c r="N6484">
        <v>0</v>
      </c>
      <c r="O6484">
        <v>-0.32347999999999999</v>
      </c>
      <c r="P6484">
        <v>0.91239919999999997</v>
      </c>
      <c r="Q6484">
        <v>-1.286181E-2</v>
      </c>
      <c r="R6484">
        <v>-0.4090995</v>
      </c>
      <c r="S6484">
        <v>2.3598940000000002</v>
      </c>
      <c r="T6484">
        <v>0.40033629999999998</v>
      </c>
      <c r="U6484">
        <v>-2.0959469999999998</v>
      </c>
      <c r="V6484">
        <v>9.2069600000000001E-2</v>
      </c>
      <c r="W6484">
        <v>7.133726E-3</v>
      </c>
      <c r="X6484">
        <v>0.99572700000000003</v>
      </c>
      <c r="Y6484">
        <v>0.38587519999999997</v>
      </c>
      <c r="Z6484">
        <v>-1.687984E-2</v>
      </c>
      <c r="AA6484">
        <v>0.92239649999999995</v>
      </c>
      <c r="AB6484">
        <v>31</v>
      </c>
      <c r="AC6484">
        <v>35.299599999999998</v>
      </c>
      <c r="AD6484">
        <v>6.0145920000000004</v>
      </c>
      <c r="AE6484">
        <v>-31.428570000000001</v>
      </c>
      <c r="AF6484">
        <v>18.024515866242499</v>
      </c>
      <c r="AG6484">
        <v>6.0145920000000004</v>
      </c>
      <c r="AH6484">
        <v>42.875439159816302</v>
      </c>
      <c r="AI6484">
        <v>82.631513916816701</v>
      </c>
      <c r="AJ6484">
        <v>67.198477306959504</v>
      </c>
      <c r="AK6484">
        <v>46.897353574439599</v>
      </c>
      <c r="AL6484">
        <v>89.591264132971105</v>
      </c>
      <c r="AM6484">
        <v>84.717184201559505</v>
      </c>
      <c r="AN6484">
        <v>0.99999997990990097</v>
      </c>
    </row>
    <row r="6485" spans="1:40" x14ac:dyDescent="0.25">
      <c r="A6485" t="str">
        <f>"20190312160814475"</f>
        <v>20190312160814475</v>
      </c>
      <c r="B6485" t="str">
        <f>"1552378094472310"</f>
        <v>1552378094472310</v>
      </c>
      <c r="C6485" t="s">
        <v>40</v>
      </c>
      <c r="D6485">
        <v>5.7657910000000001</v>
      </c>
      <c r="E6485">
        <v>0.61713030000000002</v>
      </c>
      <c r="F6485" t="s">
        <v>44</v>
      </c>
      <c r="G6485">
        <v>-313.7801</v>
      </c>
      <c r="H6485">
        <v>1.154069</v>
      </c>
      <c r="I6485">
        <v>13.752479999999901</v>
      </c>
      <c r="J6485">
        <v>-314.1653</v>
      </c>
      <c r="K6485">
        <v>1.062152</v>
      </c>
      <c r="L6485">
        <v>14.177519999999999</v>
      </c>
      <c r="M6485">
        <v>0.94424280000000005</v>
      </c>
      <c r="N6485">
        <v>0</v>
      </c>
      <c r="O6485">
        <v>-0.32851819999999998</v>
      </c>
      <c r="P6485">
        <v>0.90996739999999998</v>
      </c>
      <c r="Q6485">
        <v>-1.2482709999999999E-2</v>
      </c>
      <c r="R6485">
        <v>-0.41449180000000002</v>
      </c>
      <c r="S6485">
        <v>2.3501889999999999</v>
      </c>
      <c r="T6485">
        <v>0.3961807</v>
      </c>
      <c r="U6485">
        <v>-2.1041259999999999</v>
      </c>
      <c r="V6485">
        <v>9.2656210000000003E-2</v>
      </c>
      <c r="W6485">
        <v>7.1942830000000001E-3</v>
      </c>
      <c r="X6485">
        <v>0.99567220000000001</v>
      </c>
      <c r="Y6485">
        <v>0.38468590000000003</v>
      </c>
      <c r="Z6485">
        <v>-1.7467989999999999E-2</v>
      </c>
      <c r="AA6485">
        <v>0.92288230000000004</v>
      </c>
      <c r="AB6485">
        <v>31</v>
      </c>
      <c r="AC6485">
        <v>0.38519999999999699</v>
      </c>
      <c r="AD6485">
        <v>9.1916999999999999E-2</v>
      </c>
      <c r="AE6485">
        <v>-0.42504000000000203</v>
      </c>
      <c r="AF6485">
        <v>0.26798093923579103</v>
      </c>
      <c r="AG6485">
        <v>9.1916999999999999E-2</v>
      </c>
      <c r="AH6485">
        <v>0.49087270936452798</v>
      </c>
      <c r="AI6485">
        <v>80.666584096227098</v>
      </c>
      <c r="AJ6485">
        <v>61.368657274603699</v>
      </c>
      <c r="AK6485">
        <v>0.56676144494978598</v>
      </c>
      <c r="AL6485">
        <v>89.587794404156</v>
      </c>
      <c r="AM6485">
        <v>84.683426725952003</v>
      </c>
      <c r="AN6485">
        <v>1.0000000304061401</v>
      </c>
    </row>
    <row r="6486" spans="1:40" x14ac:dyDescent="0.25">
      <c r="A6486" t="str">
        <f>"20190312160814488"</f>
        <v>20190312160814488</v>
      </c>
      <c r="B6486" t="str">
        <f>"1552378094482070"</f>
        <v>1552378094482070</v>
      </c>
      <c r="C6486" t="s">
        <v>40</v>
      </c>
      <c r="D6486">
        <v>6.2226239999999997</v>
      </c>
      <c r="E6486">
        <v>0.61651250000000002</v>
      </c>
      <c r="F6486" t="s">
        <v>44</v>
      </c>
      <c r="G6486">
        <v>-313.58260000000001</v>
      </c>
      <c r="H6486">
        <v>1.156633</v>
      </c>
      <c r="I6486">
        <v>13.655189999999999</v>
      </c>
      <c r="J6486">
        <v>-313.98039999999997</v>
      </c>
      <c r="K6486">
        <v>1.0610619999999999</v>
      </c>
      <c r="L6486">
        <v>14.10641</v>
      </c>
      <c r="M6486">
        <v>0.94209860000000001</v>
      </c>
      <c r="N6486">
        <v>0</v>
      </c>
      <c r="O6486">
        <v>-0.33464159999999998</v>
      </c>
      <c r="P6486">
        <v>0.90704189999999996</v>
      </c>
      <c r="Q6486">
        <v>-1.262771E-2</v>
      </c>
      <c r="R6486">
        <v>-0.42085149999999999</v>
      </c>
      <c r="S6486">
        <v>2.344849</v>
      </c>
      <c r="T6486">
        <v>0.38016309999999998</v>
      </c>
      <c r="U6486">
        <v>-2.10141</v>
      </c>
      <c r="V6486">
        <v>9.3153180000000002E-2</v>
      </c>
      <c r="W6486">
        <v>6.6673909999999999E-3</v>
      </c>
      <c r="X6486">
        <v>0.99562949999999995</v>
      </c>
      <c r="Y6486">
        <v>0.3792529</v>
      </c>
      <c r="Z6486">
        <v>-1.7931720000000002E-2</v>
      </c>
      <c r="AA6486">
        <v>0.92511929999999998</v>
      </c>
      <c r="AB6486">
        <v>31</v>
      </c>
      <c r="AC6486">
        <v>0.39779999999996102</v>
      </c>
      <c r="AD6486">
        <v>9.5570999999999795E-2</v>
      </c>
      <c r="AE6486">
        <v>-0.45122000000000101</v>
      </c>
      <c r="AF6486">
        <v>0.28485092409260099</v>
      </c>
      <c r="AG6486">
        <v>9.5570999999999795E-2</v>
      </c>
      <c r="AH6486">
        <v>0.51293835777527097</v>
      </c>
      <c r="AI6486">
        <v>80.748399538118207</v>
      </c>
      <c r="AJ6486">
        <v>60.955198338933599</v>
      </c>
      <c r="AK6486">
        <v>0.59445741973214605</v>
      </c>
      <c r="AL6486">
        <v>89.617983818367605</v>
      </c>
      <c r="AM6486">
        <v>84.654847613098596</v>
      </c>
      <c r="AN6486">
        <v>1.0000000351585501</v>
      </c>
    </row>
    <row r="6487" spans="1:40" x14ac:dyDescent="0.25">
      <c r="A6487" t="str">
        <f>"20190312160814501"</f>
        <v>20190312160814501</v>
      </c>
      <c r="B6487" t="str">
        <f>"1552378094491831"</f>
        <v>1552378094491831</v>
      </c>
      <c r="C6487" t="s">
        <v>40</v>
      </c>
      <c r="D6487">
        <v>6.303877</v>
      </c>
      <c r="E6487">
        <v>0.61581249999999998</v>
      </c>
      <c r="F6487" t="s">
        <v>104</v>
      </c>
      <c r="G6487">
        <v>-279.02</v>
      </c>
      <c r="H6487">
        <v>6.6640110000000004</v>
      </c>
      <c r="I6487">
        <v>-17.57244</v>
      </c>
      <c r="J6487">
        <v>-313.81849999999997</v>
      </c>
      <c r="K6487">
        <v>1.060155</v>
      </c>
      <c r="L6487">
        <v>14.04294</v>
      </c>
      <c r="M6487">
        <v>0.94016330000000004</v>
      </c>
      <c r="N6487">
        <v>0</v>
      </c>
      <c r="O6487">
        <v>-0.340061</v>
      </c>
      <c r="P6487">
        <v>0.90440549999999997</v>
      </c>
      <c r="Q6487">
        <v>-1.25065E-2</v>
      </c>
      <c r="R6487">
        <v>-0.42649090000000001</v>
      </c>
      <c r="S6487">
        <v>2.3321230000000002</v>
      </c>
      <c r="T6487">
        <v>0.37375940000000002</v>
      </c>
      <c r="U6487">
        <v>-2.1132200000000001</v>
      </c>
      <c r="V6487">
        <v>9.3616630000000006E-2</v>
      </c>
      <c r="W6487">
        <v>6.4571089999999999E-3</v>
      </c>
      <c r="X6487">
        <v>0.99558740000000001</v>
      </c>
      <c r="Y6487">
        <v>0.3790557</v>
      </c>
      <c r="Z6487">
        <v>-1.8338879999999998E-2</v>
      </c>
      <c r="AA6487">
        <v>0.92519209999999996</v>
      </c>
      <c r="AB6487">
        <v>31</v>
      </c>
      <c r="AC6487">
        <v>34.798499999999898</v>
      </c>
      <c r="AD6487">
        <v>5.6038559999999897</v>
      </c>
      <c r="AE6487">
        <v>-31.615379999999998</v>
      </c>
      <c r="AF6487">
        <v>17.6433947830945</v>
      </c>
      <c r="AG6487">
        <v>5.6038559999999897</v>
      </c>
      <c r="AH6487">
        <v>42.868234844279698</v>
      </c>
      <c r="AI6487">
        <v>83.107262536472902</v>
      </c>
      <c r="AJ6487">
        <v>67.629272302415899</v>
      </c>
      <c r="AK6487">
        <v>46.694519380813702</v>
      </c>
      <c r="AL6487">
        <v>89.630032342652996</v>
      </c>
      <c r="AM6487">
        <v>84.628184089478594</v>
      </c>
      <c r="AN6487">
        <v>1.00000001935397</v>
      </c>
    </row>
    <row r="6488" spans="1:40" x14ac:dyDescent="0.25">
      <c r="A6488" t="str">
        <f>"20190312160814516"</f>
        <v>20190312160814516</v>
      </c>
      <c r="B6488" t="str">
        <f>"1552378094512328"</f>
        <v>1552378094512328</v>
      </c>
      <c r="C6488" t="s">
        <v>40</v>
      </c>
      <c r="D6488">
        <v>6.1937759999999997</v>
      </c>
      <c r="E6488">
        <v>0.61485469999999998</v>
      </c>
      <c r="F6488" t="s">
        <v>44</v>
      </c>
      <c r="G6488">
        <v>-313.27140000000003</v>
      </c>
      <c r="H6488">
        <v>1.147219</v>
      </c>
      <c r="I6488">
        <v>13.54278</v>
      </c>
      <c r="J6488">
        <v>-313.6395</v>
      </c>
      <c r="K6488">
        <v>1.059199</v>
      </c>
      <c r="L6488">
        <v>13.971830000000001</v>
      </c>
      <c r="M6488">
        <v>0.93796579999999996</v>
      </c>
      <c r="N6488">
        <v>0</v>
      </c>
      <c r="O6488">
        <v>-0.34609759999999901</v>
      </c>
      <c r="P6488">
        <v>0.90146059999999995</v>
      </c>
      <c r="Q6488">
        <v>-1.233837E-2</v>
      </c>
      <c r="R6488">
        <v>-0.43268529999999999</v>
      </c>
      <c r="S6488">
        <v>2.321259</v>
      </c>
      <c r="T6488">
        <v>0.3694057</v>
      </c>
      <c r="U6488">
        <v>-2.122528</v>
      </c>
      <c r="V6488">
        <v>9.4044569999999994E-2</v>
      </c>
      <c r="W6488">
        <v>6.2644709999999998E-3</v>
      </c>
      <c r="X6488">
        <v>0.99554830000000005</v>
      </c>
      <c r="Y6488">
        <v>0.37733800000000001</v>
      </c>
      <c r="Z6488">
        <v>-1.8999309999999998E-2</v>
      </c>
      <c r="AA6488">
        <v>0.9258807</v>
      </c>
      <c r="AB6488">
        <v>31</v>
      </c>
      <c r="AC6488">
        <v>0.36809999999996901</v>
      </c>
      <c r="AD6488">
        <v>8.8019999999999904E-2</v>
      </c>
      <c r="AE6488">
        <v>-0.42904999999999999</v>
      </c>
      <c r="AF6488">
        <v>0.26858454521581798</v>
      </c>
      <c r="AG6488">
        <v>8.8019999999999904E-2</v>
      </c>
      <c r="AH6488">
        <v>0.48217693795342997</v>
      </c>
      <c r="AI6488">
        <v>80.939038330089403</v>
      </c>
      <c r="AJ6488">
        <v>60.881105675679898</v>
      </c>
      <c r="AK6488">
        <v>0.55890945404683801</v>
      </c>
      <c r="AL6488">
        <v>89.641069910778896</v>
      </c>
      <c r="AM6488">
        <v>84.603562404590704</v>
      </c>
      <c r="AN6488">
        <v>1.0000000211881399</v>
      </c>
    </row>
    <row r="6489" spans="1:40" x14ac:dyDescent="0.25">
      <c r="A6489" t="str">
        <f>"20190312160814530"</f>
        <v>20190312160814530</v>
      </c>
      <c r="B6489" t="str">
        <f>"1552378094522088"</f>
        <v>1552378094522088</v>
      </c>
      <c r="C6489" t="s">
        <v>40</v>
      </c>
      <c r="D6489">
        <v>6.1955410000000004</v>
      </c>
      <c r="E6489">
        <v>0.61432739999999997</v>
      </c>
      <c r="F6489" t="s">
        <v>44</v>
      </c>
      <c r="G6489">
        <v>-313.06459999999998</v>
      </c>
      <c r="H6489">
        <v>1.1501459999999999</v>
      </c>
      <c r="I6489">
        <v>13.441280000000001</v>
      </c>
      <c r="J6489">
        <v>-313.43959999999998</v>
      </c>
      <c r="K6489">
        <v>1.0582309999999999</v>
      </c>
      <c r="L6489">
        <v>13.8902</v>
      </c>
      <c r="M6489">
        <v>0.93540710000000005</v>
      </c>
      <c r="N6489">
        <v>0</v>
      </c>
      <c r="O6489">
        <v>-0.35297590000000001</v>
      </c>
      <c r="P6489">
        <v>0.89801900000000001</v>
      </c>
      <c r="Q6489">
        <v>-1.2403519999999999E-2</v>
      </c>
      <c r="R6489">
        <v>-0.4397819</v>
      </c>
      <c r="S6489">
        <v>2.3098749999999999</v>
      </c>
      <c r="T6489">
        <v>0.36539969999999999</v>
      </c>
      <c r="U6489">
        <v>-2.1314389999999999</v>
      </c>
      <c r="V6489">
        <v>9.4579150000000001E-2</v>
      </c>
      <c r="W6489">
        <v>5.8081469999999996E-3</v>
      </c>
      <c r="X6489">
        <v>0.99550039999999995</v>
      </c>
      <c r="Y6489">
        <v>0.37480029999999998</v>
      </c>
      <c r="Z6489">
        <v>-1.981716E-2</v>
      </c>
      <c r="AA6489">
        <v>0.92689379999999999</v>
      </c>
      <c r="AB6489">
        <v>31</v>
      </c>
      <c r="AC6489">
        <v>0.375</v>
      </c>
      <c r="AD6489">
        <v>9.19149999999999E-2</v>
      </c>
      <c r="AE6489">
        <v>-0.44892000000000098</v>
      </c>
      <c r="AF6489">
        <v>0.28068698668101899</v>
      </c>
      <c r="AG6489">
        <v>9.19149999999999E-2</v>
      </c>
      <c r="AH6489">
        <v>0.49706948753797803</v>
      </c>
      <c r="AI6489">
        <v>80.852979683733494</v>
      </c>
      <c r="AJ6489">
        <v>60.5472953664542</v>
      </c>
      <c r="AK6489">
        <v>0.57819687577704804</v>
      </c>
      <c r="AL6489">
        <v>89.667215818467199</v>
      </c>
      <c r="AM6489">
        <v>84.572810353400001</v>
      </c>
      <c r="AN6489">
        <v>0.99999999829322705</v>
      </c>
    </row>
    <row r="6490" spans="1:40" x14ac:dyDescent="0.25">
      <c r="A6490" t="str">
        <f>"20190312160814551"</f>
        <v>20190312160814551</v>
      </c>
      <c r="B6490" t="str">
        <f>"1552378094541607"</f>
        <v>1552378094541607</v>
      </c>
      <c r="C6490" t="s">
        <v>40</v>
      </c>
      <c r="D6490">
        <v>6.1534930000000001</v>
      </c>
      <c r="E6490">
        <v>0.61329659999999997</v>
      </c>
      <c r="F6490" t="s">
        <v>104</v>
      </c>
      <c r="G6490">
        <v>-279.02</v>
      </c>
      <c r="H6490">
        <v>6.4854770000000004</v>
      </c>
      <c r="I6490">
        <v>-18.296520000000001</v>
      </c>
      <c r="J6490">
        <v>-313.16239999999999</v>
      </c>
      <c r="K6490">
        <v>1.0570090000000001</v>
      </c>
      <c r="L6490">
        <v>13.774319999999999</v>
      </c>
      <c r="M6490">
        <v>0.93170379999999997</v>
      </c>
      <c r="N6490">
        <v>0</v>
      </c>
      <c r="O6490">
        <v>-0.3626663</v>
      </c>
      <c r="P6490">
        <v>0.89307449999999999</v>
      </c>
      <c r="Q6490">
        <v>-1.2267709999999999E-2</v>
      </c>
      <c r="R6490">
        <v>-0.44974239999999999</v>
      </c>
      <c r="S6490">
        <v>2.2947690000000001</v>
      </c>
      <c r="T6490">
        <v>0.36183710000000002</v>
      </c>
      <c r="U6490">
        <v>-2.145905</v>
      </c>
      <c r="V6490">
        <v>9.5312499999999994E-2</v>
      </c>
      <c r="W6490">
        <v>5.4276359999999996E-3</v>
      </c>
      <c r="X6490">
        <v>0.9954326</v>
      </c>
      <c r="Y6490">
        <v>0.37141590000000002</v>
      </c>
      <c r="Z6490">
        <v>-2.1029240000000001E-2</v>
      </c>
      <c r="AA6490">
        <v>0.92822839999999995</v>
      </c>
      <c r="AB6490">
        <v>31</v>
      </c>
      <c r="AC6490">
        <v>34.142400000000002</v>
      </c>
      <c r="AD6490">
        <v>5.4284679999999996</v>
      </c>
      <c r="AE6490">
        <v>-32.070839999999997</v>
      </c>
      <c r="AF6490">
        <v>17.269806392433299</v>
      </c>
      <c r="AG6490">
        <v>5.4284679999999996</v>
      </c>
      <c r="AH6490">
        <v>42.874536325872597</v>
      </c>
      <c r="AI6490">
        <v>83.301672101586405</v>
      </c>
      <c r="AJ6490">
        <v>68.060489380963801</v>
      </c>
      <c r="AK6490">
        <v>46.539664188922998</v>
      </c>
      <c r="AL6490">
        <v>89.689017836487807</v>
      </c>
      <c r="AM6490">
        <v>84.530612812451906</v>
      </c>
      <c r="AN6490">
        <v>0.99999999651577898</v>
      </c>
    </row>
    <row r="6491" spans="1:40" x14ac:dyDescent="0.25">
      <c r="A6491" t="str">
        <f>"20190312160814563"</f>
        <v>20190312160814563</v>
      </c>
      <c r="B6491" t="str">
        <f>"1552378094552342"</f>
        <v>1552378094552342</v>
      </c>
      <c r="C6491" t="s">
        <v>40</v>
      </c>
      <c r="D6491">
        <v>6.038449</v>
      </c>
      <c r="E6491">
        <v>0.6120797</v>
      </c>
      <c r="F6491" t="s">
        <v>104</v>
      </c>
      <c r="G6491">
        <v>-279.02</v>
      </c>
      <c r="H6491">
        <v>6.4078949999999999</v>
      </c>
      <c r="I6491">
        <v>-18.71049</v>
      </c>
      <c r="J6491">
        <v>-313.01310000000001</v>
      </c>
      <c r="K6491">
        <v>1.056416</v>
      </c>
      <c r="L6491">
        <v>13.71027</v>
      </c>
      <c r="M6491">
        <v>0.92961970000000005</v>
      </c>
      <c r="N6491">
        <v>0</v>
      </c>
      <c r="O6491">
        <v>-0.36798890000000001</v>
      </c>
      <c r="P6491">
        <v>0.89029990000000003</v>
      </c>
      <c r="Q6491">
        <v>-1.20596E-2</v>
      </c>
      <c r="R6491">
        <v>-0.45521539999999999</v>
      </c>
      <c r="S6491">
        <v>2.2743229999999999</v>
      </c>
      <c r="T6491">
        <v>0.35643839999999999</v>
      </c>
      <c r="U6491">
        <v>-2.16391</v>
      </c>
      <c r="V6491">
        <v>9.5729430000000004E-2</v>
      </c>
      <c r="W6491">
        <v>5.372801E-3</v>
      </c>
      <c r="X6491">
        <v>0.99539290000000002</v>
      </c>
      <c r="Y6491">
        <v>0.37414150000000002</v>
      </c>
      <c r="Z6491">
        <v>-2.122129E-2</v>
      </c>
      <c r="AA6491">
        <v>0.92712879999999998</v>
      </c>
      <c r="AB6491">
        <v>31</v>
      </c>
      <c r="AC6491">
        <v>33.993099999999998</v>
      </c>
      <c r="AD6491">
        <v>5.3514789999999897</v>
      </c>
      <c r="AE6491">
        <v>-32.420759999999902</v>
      </c>
      <c r="AF6491">
        <v>17.407426437609001</v>
      </c>
      <c r="AG6491">
        <v>5.3514789999999897</v>
      </c>
      <c r="AH6491">
        <v>42.981826598581399</v>
      </c>
      <c r="AI6491">
        <v>83.4171442117716</v>
      </c>
      <c r="AJ6491">
        <v>67.952296844584097</v>
      </c>
      <c r="AK6491">
        <v>46.680769492572999</v>
      </c>
      <c r="AL6491">
        <v>89.692159699936298</v>
      </c>
      <c r="AM6491">
        <v>84.506616088386096</v>
      </c>
      <c r="AN6491">
        <v>1.0000000080645599</v>
      </c>
    </row>
    <row r="6492" spans="1:40" x14ac:dyDescent="0.25">
      <c r="A6492" t="str">
        <f>"20190312160814574"</f>
        <v>20190312160814574</v>
      </c>
      <c r="B6492" t="str">
        <f>"1552378094571862"</f>
        <v>1552378094571862</v>
      </c>
      <c r="C6492" t="s">
        <v>40</v>
      </c>
      <c r="D6492">
        <v>5.8337979999999998</v>
      </c>
      <c r="E6492">
        <v>0.61157740000000005</v>
      </c>
      <c r="F6492" t="s">
        <v>44</v>
      </c>
      <c r="G6492">
        <v>-312.47070000000002</v>
      </c>
      <c r="H6492">
        <v>1.1414629999999999</v>
      </c>
      <c r="I6492">
        <v>13.190569999999999</v>
      </c>
      <c r="J6492">
        <v>-312.8664</v>
      </c>
      <c r="K6492">
        <v>1.05585</v>
      </c>
      <c r="L6492">
        <v>13.646789999999999</v>
      </c>
      <c r="M6492">
        <v>0.92752780000000001</v>
      </c>
      <c r="N6492">
        <v>0</v>
      </c>
      <c r="O6492">
        <v>-0.37324259999999998</v>
      </c>
      <c r="P6492">
        <v>0.88751659999999899</v>
      </c>
      <c r="Q6492">
        <v>-1.192294E-2</v>
      </c>
      <c r="R6492">
        <v>-0.46062150000000002</v>
      </c>
      <c r="S6492">
        <v>2.26532</v>
      </c>
      <c r="T6492">
        <v>0.35507909999999998</v>
      </c>
      <c r="U6492">
        <v>-2.1691280000000002</v>
      </c>
      <c r="V6492">
        <v>9.61505E-2</v>
      </c>
      <c r="W6492">
        <v>5.2545469999999896E-3</v>
      </c>
      <c r="X6492">
        <v>0.99535289999999998</v>
      </c>
      <c r="Y6492">
        <v>0.37188939999999998</v>
      </c>
      <c r="Z6492">
        <v>-2.1930270000000002E-2</v>
      </c>
      <c r="AA6492">
        <v>0.92801800000000001</v>
      </c>
      <c r="AB6492">
        <v>31</v>
      </c>
      <c r="AC6492">
        <v>0.39569999999997602</v>
      </c>
      <c r="AD6492">
        <v>8.5612999999999898E-2</v>
      </c>
      <c r="AE6492">
        <v>-0.45621999999999802</v>
      </c>
      <c r="AF6492">
        <v>0.27008936889037699</v>
      </c>
      <c r="AG6492">
        <v>8.5612999999999898E-2</v>
      </c>
      <c r="AH6492">
        <v>0.52681884114047195</v>
      </c>
      <c r="AI6492">
        <v>81.771390254113498</v>
      </c>
      <c r="AJ6492">
        <v>62.856702950647097</v>
      </c>
      <c r="AK6492">
        <v>0.59817718473475101</v>
      </c>
      <c r="AL6492">
        <v>89.698935236850701</v>
      </c>
      <c r="AM6492">
        <v>84.482381621770401</v>
      </c>
      <c r="AN6492">
        <v>0.99999996222641696</v>
      </c>
    </row>
    <row r="6493" spans="1:40" x14ac:dyDescent="0.25">
      <c r="A6493" t="str">
        <f>"20190312160814585"</f>
        <v>20190312160814585</v>
      </c>
      <c r="B6493" t="str">
        <f>"1552378094581623"</f>
        <v>1552378094581623</v>
      </c>
      <c r="C6493" t="s">
        <v>40</v>
      </c>
      <c r="D6493">
        <v>5.8525219999999996</v>
      </c>
      <c r="E6493">
        <v>0.61242919999999901</v>
      </c>
      <c r="F6493" t="s">
        <v>44</v>
      </c>
      <c r="G6493">
        <v>-312.2996</v>
      </c>
      <c r="H6493">
        <v>1.147513</v>
      </c>
      <c r="I6493">
        <v>13.09849</v>
      </c>
      <c r="J6493">
        <v>-312.71640000000002</v>
      </c>
      <c r="K6493">
        <v>1.055323</v>
      </c>
      <c r="L6493">
        <v>13.580109999999999</v>
      </c>
      <c r="M6493">
        <v>0.92530800000000002</v>
      </c>
      <c r="N6493">
        <v>0</v>
      </c>
      <c r="O6493">
        <v>-0.3787239</v>
      </c>
      <c r="P6493">
        <v>0.88456869999999999</v>
      </c>
      <c r="Q6493">
        <v>-1.1638620000000001E-2</v>
      </c>
      <c r="R6493">
        <v>-0.46626489999999998</v>
      </c>
      <c r="S6493">
        <v>2.253876</v>
      </c>
      <c r="T6493">
        <v>0.36446010000000001</v>
      </c>
      <c r="U6493">
        <v>-2.1797490000000002</v>
      </c>
      <c r="V6493">
        <v>9.6602679999999996E-2</v>
      </c>
      <c r="W6493">
        <v>5.2950769999999996E-3</v>
      </c>
      <c r="X6493">
        <v>0.99530890000000005</v>
      </c>
      <c r="Y6493">
        <v>0.37104320000000002</v>
      </c>
      <c r="Z6493">
        <v>-2.3246260000000001E-2</v>
      </c>
      <c r="AA6493">
        <v>0.92832460000000006</v>
      </c>
      <c r="AB6493">
        <v>31</v>
      </c>
      <c r="AC6493">
        <v>0.41680000000002299</v>
      </c>
      <c r="AD6493">
        <v>9.2189999999999994E-2</v>
      </c>
      <c r="AE6493">
        <v>-0.48162000000000099</v>
      </c>
      <c r="AF6493">
        <v>0.281941771943228</v>
      </c>
      <c r="AG6493">
        <v>9.2189999999999994E-2</v>
      </c>
      <c r="AH6493">
        <v>0.55651642517941602</v>
      </c>
      <c r="AI6493">
        <v>81.594038884472894</v>
      </c>
      <c r="AJ6493">
        <v>63.132362038828099</v>
      </c>
      <c r="AK6493">
        <v>0.63063514837104095</v>
      </c>
      <c r="AL6493">
        <v>89.696613006146904</v>
      </c>
      <c r="AM6493">
        <v>84.456350889323801</v>
      </c>
      <c r="AN6493">
        <v>0.99999996102141298</v>
      </c>
    </row>
    <row r="6494" spans="1:40" x14ac:dyDescent="0.25">
      <c r="A6494" t="str">
        <f>"20190312160814602"</f>
        <v>20190312160814602</v>
      </c>
      <c r="B6494" t="str">
        <f>"1552378094592360"</f>
        <v>1552378094592360</v>
      </c>
      <c r="C6494" t="s">
        <v>40</v>
      </c>
      <c r="D6494">
        <v>5.748138</v>
      </c>
      <c r="E6494">
        <v>0.61258979999999996</v>
      </c>
      <c r="F6494" t="s">
        <v>104</v>
      </c>
      <c r="G6494">
        <v>-279.02</v>
      </c>
      <c r="H6494">
        <v>6.6328389999999997</v>
      </c>
      <c r="I6494">
        <v>-19.567789999999999</v>
      </c>
      <c r="J6494">
        <v>-312.52280000000002</v>
      </c>
      <c r="K6494">
        <v>1.0546789999999999</v>
      </c>
      <c r="L6494">
        <v>13.492889999999999</v>
      </c>
      <c r="M6494">
        <v>0.92236209999999996</v>
      </c>
      <c r="N6494">
        <v>0</v>
      </c>
      <c r="O6494">
        <v>-0.38585750000000002</v>
      </c>
      <c r="P6494">
        <v>0.8807507</v>
      </c>
      <c r="Q6494">
        <v>-1.1097640000000001E-2</v>
      </c>
      <c r="R6494">
        <v>-0.47345039999999999</v>
      </c>
      <c r="S6494">
        <v>2.2366030000000001</v>
      </c>
      <c r="T6494">
        <v>0.37020829999999999</v>
      </c>
      <c r="U6494">
        <v>-2.2001949999999999</v>
      </c>
      <c r="V6494">
        <v>9.7026039999999994E-2</v>
      </c>
      <c r="W6494">
        <v>5.5349229999999998E-3</v>
      </c>
      <c r="X6494">
        <v>0.9952664</v>
      </c>
      <c r="Y6494">
        <v>0.37181209999999998</v>
      </c>
      <c r="Z6494">
        <v>-2.4453800000000001E-2</v>
      </c>
      <c r="AA6494">
        <v>0.92798579999999997</v>
      </c>
      <c r="AB6494">
        <v>31</v>
      </c>
      <c r="AC6494">
        <v>33.502800000000001</v>
      </c>
      <c r="AD6494">
        <v>5.5781599999999996</v>
      </c>
      <c r="AE6494">
        <v>-33.060679999999998</v>
      </c>
      <c r="AF6494">
        <v>17.326443947583201</v>
      </c>
      <c r="AG6494">
        <v>5.5781599999999996</v>
      </c>
      <c r="AH6494">
        <v>43.061533974473598</v>
      </c>
      <c r="AI6494">
        <v>83.147288459331406</v>
      </c>
      <c r="AJ6494">
        <v>68.081883267696497</v>
      </c>
      <c r="AK6494">
        <v>46.750585419747303</v>
      </c>
      <c r="AL6494">
        <v>89.682870636242299</v>
      </c>
      <c r="AM6494">
        <v>84.431971986396306</v>
      </c>
      <c r="AN6494">
        <v>0.999999947389827</v>
      </c>
    </row>
    <row r="6495" spans="1:40" x14ac:dyDescent="0.25">
      <c r="A6495" t="str">
        <f>"20190312160814617"</f>
        <v>20190312160814617</v>
      </c>
      <c r="B6495" t="str">
        <f>"1552378094611879"</f>
        <v>1552378094611879</v>
      </c>
      <c r="C6495" t="s">
        <v>40</v>
      </c>
      <c r="D6495">
        <v>4.079332</v>
      </c>
      <c r="E6495">
        <v>0.61285389999999995</v>
      </c>
      <c r="F6495" t="s">
        <v>44</v>
      </c>
      <c r="G6495">
        <v>-311.99239999999998</v>
      </c>
      <c r="H6495">
        <v>1.1430880000000001</v>
      </c>
      <c r="I6495">
        <v>12.96199</v>
      </c>
      <c r="J6495">
        <v>-312.31670000000003</v>
      </c>
      <c r="K6495">
        <v>1.0540449999999999</v>
      </c>
      <c r="L6495">
        <v>13.398099999999999</v>
      </c>
      <c r="M6495">
        <v>0.91911290000000001</v>
      </c>
      <c r="N6495">
        <v>0</v>
      </c>
      <c r="O6495">
        <v>-0.3935476</v>
      </c>
      <c r="P6495">
        <v>0.87660669999999996</v>
      </c>
      <c r="Q6495">
        <v>-1.0610970000000001E-2</v>
      </c>
      <c r="R6495">
        <v>-0.48109099999999999</v>
      </c>
      <c r="S6495">
        <v>2.2178650000000002</v>
      </c>
      <c r="T6495">
        <v>0.36962060000000002</v>
      </c>
      <c r="U6495">
        <v>-2.2193299999999998</v>
      </c>
      <c r="V6495">
        <v>9.7373139999999997E-2</v>
      </c>
      <c r="W6495">
        <v>5.7213630000000001E-3</v>
      </c>
      <c r="X6495">
        <v>0.99523150000000005</v>
      </c>
      <c r="Y6495">
        <v>0.37202499999999999</v>
      </c>
      <c r="Z6495">
        <v>-2.5376389999999999E-2</v>
      </c>
      <c r="AA6495">
        <v>0.92787580000000003</v>
      </c>
      <c r="AB6495">
        <v>31</v>
      </c>
      <c r="AC6495">
        <v>0.32430000000004999</v>
      </c>
      <c r="AD6495">
        <v>8.9042999999999706E-2</v>
      </c>
      <c r="AE6495">
        <v>-0.436109999999999</v>
      </c>
      <c r="AF6495">
        <v>0.26611145674431003</v>
      </c>
      <c r="AG6495">
        <v>8.9042999999999706E-2</v>
      </c>
      <c r="AH6495">
        <v>0.45749994410659101</v>
      </c>
      <c r="AI6495">
        <v>80.450049566536606</v>
      </c>
      <c r="AJ6495">
        <v>59.8149577397907</v>
      </c>
      <c r="AK6495">
        <v>0.53670304835831995</v>
      </c>
      <c r="AL6495">
        <v>89.672188258750495</v>
      </c>
      <c r="AM6495">
        <v>84.411984109929307</v>
      </c>
      <c r="AN6495">
        <v>1.0000000004901399</v>
      </c>
    </row>
    <row r="6496" spans="1:40" x14ac:dyDescent="0.25">
      <c r="A6496" t="str">
        <f>"20190312160814630"</f>
        <v>20190312160814630</v>
      </c>
      <c r="B6496" t="str">
        <f>"1552378094621639"</f>
        <v>1552378094621639</v>
      </c>
      <c r="C6496" t="s">
        <v>40</v>
      </c>
      <c r="D6496">
        <v>4.9719360000000004</v>
      </c>
      <c r="E6496">
        <v>0.61323229999999995</v>
      </c>
      <c r="F6496" t="s">
        <v>44</v>
      </c>
      <c r="G6496">
        <v>-311.7867</v>
      </c>
      <c r="H6496">
        <v>1.1432150000000001</v>
      </c>
      <c r="I6496">
        <v>12.857760000000001</v>
      </c>
      <c r="J6496">
        <v>-312.13990000000001</v>
      </c>
      <c r="K6496">
        <v>1.0535479999999999</v>
      </c>
      <c r="L6496">
        <v>13.314909999999999</v>
      </c>
      <c r="M6496">
        <v>0.91622459999999994</v>
      </c>
      <c r="N6496">
        <v>0</v>
      </c>
      <c r="O6496">
        <v>-0.40023589999999998</v>
      </c>
      <c r="P6496">
        <v>0.87276119999999902</v>
      </c>
      <c r="Q6496">
        <v>-1.024513E-2</v>
      </c>
      <c r="R6496">
        <v>-0.48803990000000003</v>
      </c>
      <c r="S6496">
        <v>2.197235</v>
      </c>
      <c r="T6496">
        <v>0.36970540000000002</v>
      </c>
      <c r="U6496">
        <v>-2.2403559999999998</v>
      </c>
      <c r="V6496">
        <v>9.8030270000000003E-2</v>
      </c>
      <c r="W6496">
        <v>5.8362780000000003E-3</v>
      </c>
      <c r="X6496">
        <v>0.99516629999999995</v>
      </c>
      <c r="Y6496">
        <v>0.37399690000000002</v>
      </c>
      <c r="Z6496">
        <v>-2.610995E-2</v>
      </c>
      <c r="AA6496">
        <v>0.92706230000000001</v>
      </c>
      <c r="AB6496">
        <v>31</v>
      </c>
      <c r="AC6496">
        <v>0.353200000000015</v>
      </c>
      <c r="AD6496">
        <v>8.96669999999999E-2</v>
      </c>
      <c r="AE6496">
        <v>-0.45715</v>
      </c>
      <c r="AF6496">
        <v>0.271007509676509</v>
      </c>
      <c r="AG6496">
        <v>8.96669999999999E-2</v>
      </c>
      <c r="AH6496">
        <v>0.49474632627818099</v>
      </c>
      <c r="AI6496">
        <v>80.968206347493805</v>
      </c>
      <c r="AJ6496">
        <v>61.287366254658103</v>
      </c>
      <c r="AK6496">
        <v>0.57119100881913298</v>
      </c>
      <c r="AL6496">
        <v>89.665603997560495</v>
      </c>
      <c r="AM6496">
        <v>84.374147849565801</v>
      </c>
      <c r="AN6496">
        <v>0.99999998031642701</v>
      </c>
    </row>
    <row r="6497" spans="1:40" x14ac:dyDescent="0.25">
      <c r="A6497" t="str">
        <f>"20190312160814644"</f>
        <v>20190312160814644</v>
      </c>
      <c r="B6497" t="str">
        <f>"1552378094632375"</f>
        <v>1552378094632375</v>
      </c>
      <c r="C6497" t="s">
        <v>40</v>
      </c>
      <c r="D6497">
        <v>6.0568150000000003</v>
      </c>
      <c r="E6497">
        <v>0.61338340000000002</v>
      </c>
      <c r="F6497" t="s">
        <v>108</v>
      </c>
      <c r="G6497">
        <v>-282.6823</v>
      </c>
      <c r="H6497">
        <v>6.0543069999999997</v>
      </c>
      <c r="I6497">
        <v>-17.259179999999901</v>
      </c>
      <c r="J6497">
        <v>-311.9796</v>
      </c>
      <c r="K6497">
        <v>1.053129</v>
      </c>
      <c r="L6497">
        <v>13.23779</v>
      </c>
      <c r="M6497">
        <v>0.91351780000000005</v>
      </c>
      <c r="N6497">
        <v>0</v>
      </c>
      <c r="O6497">
        <v>-0.40638479999999999</v>
      </c>
      <c r="P6497">
        <v>0.86926559999999897</v>
      </c>
      <c r="Q6497">
        <v>-9.9650420000000003E-3</v>
      </c>
      <c r="R6497">
        <v>-0.49424509999999999</v>
      </c>
      <c r="S6497">
        <v>2.177765</v>
      </c>
      <c r="T6497">
        <v>0.36970069999999999</v>
      </c>
      <c r="U6497">
        <v>-2.2603149999999999</v>
      </c>
      <c r="V6497">
        <v>9.843441E-2</v>
      </c>
      <c r="W6497">
        <v>5.9063730000000004E-3</v>
      </c>
      <c r="X6497">
        <v>0.99512599999999996</v>
      </c>
      <c r="Y6497">
        <v>0.37602059999999998</v>
      </c>
      <c r="Z6497">
        <v>-2.6764610000000001E-2</v>
      </c>
      <c r="AA6497">
        <v>0.92622470000000001</v>
      </c>
      <c r="AB6497">
        <v>31</v>
      </c>
      <c r="AC6497">
        <v>29.2973</v>
      </c>
      <c r="AD6497">
        <v>5.0011780000000003</v>
      </c>
      <c r="AE6497">
        <v>-30.496970000000001</v>
      </c>
      <c r="AF6497">
        <v>15.736154035431801</v>
      </c>
      <c r="AG6497">
        <v>5.0011780000000003</v>
      </c>
      <c r="AH6497">
        <v>38.623529626060403</v>
      </c>
      <c r="AI6497">
        <v>83.162049166223099</v>
      </c>
      <c r="AJ6497">
        <v>67.832837429164599</v>
      </c>
      <c r="AK6497">
        <v>42.004944542157098</v>
      </c>
      <c r="AL6497">
        <v>89.661587782884595</v>
      </c>
      <c r="AM6497">
        <v>84.350877102580398</v>
      </c>
      <c r="AN6497">
        <v>0.99999998709503102</v>
      </c>
    </row>
    <row r="6498" spans="1:40" x14ac:dyDescent="0.25">
      <c r="A6498" t="str">
        <f>"20190312160814664"</f>
        <v>20190312160814664</v>
      </c>
      <c r="B6498" t="str">
        <f>"1552378094651894"</f>
        <v>1552378094651894</v>
      </c>
      <c r="C6498" t="s">
        <v>40</v>
      </c>
      <c r="D6498">
        <v>5.9437430000000004</v>
      </c>
      <c r="E6498">
        <v>0.61366889999999996</v>
      </c>
      <c r="F6498" t="s">
        <v>44</v>
      </c>
      <c r="G6498">
        <v>-311.47019999999998</v>
      </c>
      <c r="H6498">
        <v>1.1400699999999999</v>
      </c>
      <c r="I6498">
        <v>12.70119</v>
      </c>
      <c r="J6498">
        <v>-311.72669999999999</v>
      </c>
      <c r="K6498">
        <v>1.0525169999999999</v>
      </c>
      <c r="L6498">
        <v>13.113709999999999</v>
      </c>
      <c r="M6498">
        <v>0.90909399999999996</v>
      </c>
      <c r="N6498">
        <v>0</v>
      </c>
      <c r="O6498">
        <v>-0.41619889999999998</v>
      </c>
      <c r="P6498">
        <v>0.86344339999999997</v>
      </c>
      <c r="Q6498">
        <v>-9.9314299999999998E-3</v>
      </c>
      <c r="R6498">
        <v>-0.50434820000000002</v>
      </c>
      <c r="S6498">
        <v>2.1609189999999998</v>
      </c>
      <c r="T6498">
        <v>0.36886790000000003</v>
      </c>
      <c r="U6498">
        <v>-2.276764</v>
      </c>
      <c r="V6498">
        <v>9.9319500000000005E-2</v>
      </c>
      <c r="W6498">
        <v>5.619799E-3</v>
      </c>
      <c r="X6498">
        <v>0.99503969999999997</v>
      </c>
      <c r="Y6498">
        <v>0.37306119999999998</v>
      </c>
      <c r="Z6498">
        <v>-2.8127739999999998E-2</v>
      </c>
      <c r="AA6498">
        <v>0.92738030000000005</v>
      </c>
      <c r="AB6498">
        <v>31</v>
      </c>
      <c r="AC6498">
        <v>0.25650000000001599</v>
      </c>
      <c r="AD6498">
        <v>8.75530000000002E-2</v>
      </c>
      <c r="AE6498">
        <v>-0.412520000000002</v>
      </c>
      <c r="AF6498">
        <v>0.25986627258747103</v>
      </c>
      <c r="AG6498">
        <v>8.75530000000002E-2</v>
      </c>
      <c r="AH6498">
        <v>0.39219820891481499</v>
      </c>
      <c r="AI6498">
        <v>79.458210610541101</v>
      </c>
      <c r="AJ6498">
        <v>56.471977571971202</v>
      </c>
      <c r="AK6498">
        <v>0.478555579335875</v>
      </c>
      <c r="AL6498">
        <v>89.678007532621905</v>
      </c>
      <c r="AM6498">
        <v>84.299923927661396</v>
      </c>
      <c r="AN6498">
        <v>0.99999997489856896</v>
      </c>
    </row>
    <row r="6499" spans="1:40" x14ac:dyDescent="0.25">
      <c r="A6499" t="str">
        <f>"20190312160814687"</f>
        <v>20190312160814687</v>
      </c>
      <c r="B6499" t="str">
        <f>"1552378094682151"</f>
        <v>1552378094682151</v>
      </c>
      <c r="C6499" t="s">
        <v>40</v>
      </c>
      <c r="D6499">
        <v>4.8694579999999998</v>
      </c>
      <c r="E6499">
        <v>0.61404259999999999</v>
      </c>
      <c r="F6499" t="s">
        <v>44</v>
      </c>
      <c r="G6499">
        <v>-311.22590000000002</v>
      </c>
      <c r="H6499">
        <v>1.1385240000000001</v>
      </c>
      <c r="I6499">
        <v>12.57283</v>
      </c>
      <c r="J6499">
        <v>-311.44349999999997</v>
      </c>
      <c r="K6499">
        <v>1.0518909999999999</v>
      </c>
      <c r="L6499">
        <v>12.97052</v>
      </c>
      <c r="M6499">
        <v>0.90389010000000003</v>
      </c>
      <c r="N6499">
        <v>0</v>
      </c>
      <c r="O6499">
        <v>-0.42739450000000001</v>
      </c>
      <c r="P6499">
        <v>0.85677789999999998</v>
      </c>
      <c r="Q6499">
        <v>-9.7755859999999993E-3</v>
      </c>
      <c r="R6499">
        <v>-0.51559330000000003</v>
      </c>
      <c r="S6499">
        <v>2.1330870000000002</v>
      </c>
      <c r="T6499">
        <v>0.36628509999999997</v>
      </c>
      <c r="U6499">
        <v>-2.3037109999999998</v>
      </c>
      <c r="V6499">
        <v>0.1000393</v>
      </c>
      <c r="W6499">
        <v>5.4529089999999997E-3</v>
      </c>
      <c r="X6499">
        <v>0.99496850000000003</v>
      </c>
      <c r="Y6499">
        <v>0.3731062</v>
      </c>
      <c r="Z6499">
        <v>-2.934111E-2</v>
      </c>
      <c r="AA6499">
        <v>0.9273245</v>
      </c>
      <c r="AB6499">
        <v>31</v>
      </c>
      <c r="AC6499">
        <v>0.217599999999947</v>
      </c>
      <c r="AD6499">
        <v>8.6632999999999905E-2</v>
      </c>
      <c r="AE6499">
        <v>-0.39768999999999999</v>
      </c>
      <c r="AF6499">
        <v>0.25711902241038598</v>
      </c>
      <c r="AG6499">
        <v>8.6632999999999905E-2</v>
      </c>
      <c r="AH6499">
        <v>0.353794228828749</v>
      </c>
      <c r="AI6499">
        <v>78.795699162802705</v>
      </c>
      <c r="AJ6499">
        <v>53.9923193643505</v>
      </c>
      <c r="AK6499">
        <v>0.44585403971120602</v>
      </c>
      <c r="AL6499">
        <v>89.687569766121101</v>
      </c>
      <c r="AM6499">
        <v>84.258480548851594</v>
      </c>
      <c r="AN6499">
        <v>0.99999995587665003</v>
      </c>
    </row>
    <row r="6500" spans="1:40" x14ac:dyDescent="0.25">
      <c r="A6500" t="str">
        <f>"20190312160814709"</f>
        <v>20190312160814709</v>
      </c>
      <c r="B6500" t="str">
        <f>"1552378094701671"</f>
        <v>1552378094701671</v>
      </c>
      <c r="C6500" t="s">
        <v>40</v>
      </c>
      <c r="D6500">
        <v>6.0440480000000001</v>
      </c>
      <c r="E6500">
        <v>0.61401569999999905</v>
      </c>
      <c r="F6500" t="s">
        <v>108</v>
      </c>
      <c r="G6500">
        <v>-284.28739999999999</v>
      </c>
      <c r="H6500">
        <v>5.7980859999999996</v>
      </c>
      <c r="I6500">
        <v>-17.19408</v>
      </c>
      <c r="J6500">
        <v>-311.16660000000002</v>
      </c>
      <c r="K6500">
        <v>1.0513509999999999</v>
      </c>
      <c r="L6500">
        <v>12.826079999999999</v>
      </c>
      <c r="M6500">
        <v>0.89853850000000002</v>
      </c>
      <c r="N6500">
        <v>0</v>
      </c>
      <c r="O6500">
        <v>-0.43854340000000003</v>
      </c>
      <c r="P6500">
        <v>0.85000089999999995</v>
      </c>
      <c r="Q6500">
        <v>-9.5792310000000006E-3</v>
      </c>
      <c r="R6500">
        <v>-0.526694199999999</v>
      </c>
      <c r="S6500">
        <v>2.1011660000000001</v>
      </c>
      <c r="T6500">
        <v>0.36723070000000002</v>
      </c>
      <c r="U6500">
        <v>-2.3339539999999999</v>
      </c>
      <c r="V6500">
        <v>0.10067470000000001</v>
      </c>
      <c r="W6500">
        <v>5.3661239999999999E-3</v>
      </c>
      <c r="X6500">
        <v>0.99490489999999998</v>
      </c>
      <c r="Y6500">
        <v>0.37466670000000002</v>
      </c>
      <c r="Z6500">
        <v>-3.0735370000000001E-2</v>
      </c>
      <c r="AA6500">
        <v>0.92664999999999997</v>
      </c>
      <c r="AB6500">
        <v>31</v>
      </c>
      <c r="AC6500">
        <v>26.879200000000001</v>
      </c>
      <c r="AD6500">
        <v>4.7467349999999904</v>
      </c>
      <c r="AE6500">
        <v>-30.020159999999901</v>
      </c>
      <c r="AF6500">
        <v>14.981028854747001</v>
      </c>
      <c r="AG6500">
        <v>4.7467349999999904</v>
      </c>
      <c r="AH6500">
        <v>36.8120647577298</v>
      </c>
      <c r="AI6500">
        <v>83.189212750057607</v>
      </c>
      <c r="AJ6500">
        <v>67.855655059134307</v>
      </c>
      <c r="AK6500">
        <v>40.026126847776297</v>
      </c>
      <c r="AL6500">
        <v>89.692542259286597</v>
      </c>
      <c r="AM6500">
        <v>84.221892365904097</v>
      </c>
      <c r="AN6500">
        <v>0.99999997527544104</v>
      </c>
    </row>
    <row r="6501" spans="1:40" x14ac:dyDescent="0.25">
      <c r="A6501" t="str">
        <f>"20190312160814730"</f>
        <v>20190312160814730</v>
      </c>
      <c r="B6501" t="str">
        <f>"1552378094722166"</f>
        <v>1552378094722166</v>
      </c>
      <c r="C6501" t="s">
        <v>40</v>
      </c>
      <c r="D6501">
        <v>5.4885830000000002</v>
      </c>
      <c r="E6501">
        <v>0.61433490000000002</v>
      </c>
      <c r="F6501" t="s">
        <v>108</v>
      </c>
      <c r="G6501">
        <v>-284.83710000000002</v>
      </c>
      <c r="H6501">
        <v>5.6740529999999998</v>
      </c>
      <c r="I6501">
        <v>-17.19408</v>
      </c>
      <c r="J6501">
        <v>-310.89789999999999</v>
      </c>
      <c r="K6501">
        <v>1.0508839999999999</v>
      </c>
      <c r="L6501">
        <v>12.681520000000001</v>
      </c>
      <c r="M6501">
        <v>0.89308089999999996</v>
      </c>
      <c r="N6501">
        <v>0</v>
      </c>
      <c r="O6501">
        <v>-0.44956099999999999</v>
      </c>
      <c r="P6501">
        <v>0.84313570000000004</v>
      </c>
      <c r="Q6501">
        <v>-9.6234739999999999E-3</v>
      </c>
      <c r="R6501">
        <v>-0.53761519999999996</v>
      </c>
      <c r="S6501">
        <v>2.0706180000000001</v>
      </c>
      <c r="T6501">
        <v>0.36354140000000001</v>
      </c>
      <c r="U6501">
        <v>-2.3608699999999998</v>
      </c>
      <c r="V6501">
        <v>0.1012696</v>
      </c>
      <c r="W6501">
        <v>5.0723970000000002E-3</v>
      </c>
      <c r="X6501">
        <v>0.99484609999999996</v>
      </c>
      <c r="Y6501">
        <v>0.37532880000000002</v>
      </c>
      <c r="Z6501">
        <v>-3.1784119999999999E-2</v>
      </c>
      <c r="AA6501">
        <v>0.92634660000000002</v>
      </c>
      <c r="AB6501">
        <v>31</v>
      </c>
      <c r="AC6501">
        <v>26.060799999999901</v>
      </c>
      <c r="AD6501">
        <v>4.6231689999999999</v>
      </c>
      <c r="AE6501">
        <v>-29.875599999999999</v>
      </c>
      <c r="AF6501">
        <v>14.7668507176746</v>
      </c>
      <c r="AG6501">
        <v>4.6231689999999999</v>
      </c>
      <c r="AH6501">
        <v>36.218309478718702</v>
      </c>
      <c r="AI6501">
        <v>83.258896530008897</v>
      </c>
      <c r="AJ6501">
        <v>67.818401572408902</v>
      </c>
      <c r="AK6501">
        <v>39.385270256999597</v>
      </c>
      <c r="AL6501">
        <v>89.709371817059406</v>
      </c>
      <c r="AM6501">
        <v>84.187640665975707</v>
      </c>
      <c r="AN6501">
        <v>1.00000001189034</v>
      </c>
    </row>
    <row r="6502" spans="1:40" x14ac:dyDescent="0.25">
      <c r="A6502" t="str">
        <f>"20190312160814742"</f>
        <v>20190312160814742</v>
      </c>
      <c r="B6502" t="str">
        <f>"1552378094731927"</f>
        <v>1552378094731927</v>
      </c>
      <c r="C6502" t="s">
        <v>40</v>
      </c>
      <c r="D6502">
        <v>6.0981420000000002</v>
      </c>
      <c r="E6502">
        <v>0.61425339999999995</v>
      </c>
      <c r="F6502" t="s">
        <v>108</v>
      </c>
      <c r="G6502">
        <v>-285.40929999999997</v>
      </c>
      <c r="H6502">
        <v>5.6383769999999904</v>
      </c>
      <c r="I6502">
        <v>-17.19408</v>
      </c>
      <c r="J6502">
        <v>-310.75689999999997</v>
      </c>
      <c r="K6502">
        <v>1.0506580000000001</v>
      </c>
      <c r="L6502">
        <v>12.603579999999999</v>
      </c>
      <c r="M6502">
        <v>0.89009889999999903</v>
      </c>
      <c r="N6502">
        <v>0</v>
      </c>
      <c r="O6502">
        <v>-0.45544030000000002</v>
      </c>
      <c r="P6502">
        <v>0.83944719999999995</v>
      </c>
      <c r="Q6502">
        <v>-9.4870630000000004E-3</v>
      </c>
      <c r="R6502">
        <v>-0.54335849999999997</v>
      </c>
      <c r="S6502">
        <v>2.0386660000000001</v>
      </c>
      <c r="T6502">
        <v>0.366923</v>
      </c>
      <c r="U6502">
        <v>-2.3895569999999999</v>
      </c>
      <c r="V6502">
        <v>0.1015032</v>
      </c>
      <c r="W6502">
        <v>5.0909939999999997E-3</v>
      </c>
      <c r="X6502">
        <v>0.99482219999999999</v>
      </c>
      <c r="Y6502">
        <v>0.38187149999999997</v>
      </c>
      <c r="Z6502">
        <v>-3.2440249999999997E-2</v>
      </c>
      <c r="AA6502">
        <v>0.92364590000000002</v>
      </c>
      <c r="AB6502">
        <v>31</v>
      </c>
      <c r="AC6502">
        <v>25.3476</v>
      </c>
      <c r="AD6502">
        <v>4.5877189999999901</v>
      </c>
      <c r="AE6502">
        <v>-29.797659999999901</v>
      </c>
      <c r="AF6502">
        <v>14.777547433204299</v>
      </c>
      <c r="AG6502">
        <v>4.5877189999999901</v>
      </c>
      <c r="AH6502">
        <v>35.648055215059699</v>
      </c>
      <c r="AI6502">
        <v>83.220226659407999</v>
      </c>
      <c r="AJ6502">
        <v>67.484033808841204</v>
      </c>
      <c r="AK6502">
        <v>38.8613807575015</v>
      </c>
      <c r="AL6502">
        <v>89.708306274236406</v>
      </c>
      <c r="AM6502">
        <v>84.174186330510693</v>
      </c>
      <c r="AN6502">
        <v>1.0000000137214899</v>
      </c>
    </row>
    <row r="6503" spans="1:40" x14ac:dyDescent="0.25">
      <c r="A6503" t="str">
        <f>"20190312160814754"</f>
        <v>20190312160814754</v>
      </c>
      <c r="B6503" t="str">
        <f>"1552378094741686"</f>
        <v>1552378094741686</v>
      </c>
      <c r="C6503" t="s">
        <v>40</v>
      </c>
      <c r="D6503">
        <v>6.1093640000000002</v>
      </c>
      <c r="E6503">
        <v>0.61414380000000002</v>
      </c>
      <c r="F6503" t="s">
        <v>44</v>
      </c>
      <c r="G6503">
        <v>-310.2835</v>
      </c>
      <c r="H6503">
        <v>1.1361019999999999</v>
      </c>
      <c r="I6503">
        <v>12.04116</v>
      </c>
      <c r="J6503">
        <v>-310.60980000000001</v>
      </c>
      <c r="K6503">
        <v>1.0504290000000001</v>
      </c>
      <c r="L6503">
        <v>12.52158</v>
      </c>
      <c r="M6503">
        <v>0.88692469999999901</v>
      </c>
      <c r="N6503">
        <v>0</v>
      </c>
      <c r="O6503">
        <v>-0.46159529999999899</v>
      </c>
      <c r="P6503">
        <v>0.83562990000000004</v>
      </c>
      <c r="Q6503">
        <v>-9.5354759999999993E-3</v>
      </c>
      <c r="R6503">
        <v>-0.54921049999999905</v>
      </c>
      <c r="S6503">
        <v>2.0227050000000002</v>
      </c>
      <c r="T6503">
        <v>0.3650563</v>
      </c>
      <c r="U6503">
        <v>-2.4027099999999999</v>
      </c>
      <c r="V6503">
        <v>0.1015609</v>
      </c>
      <c r="W6503">
        <v>4.9274409999999899E-3</v>
      </c>
      <c r="X6503">
        <v>0.99481710000000001</v>
      </c>
      <c r="Y6503">
        <v>0.38158239999999999</v>
      </c>
      <c r="Z6503">
        <v>-3.3080829999999999E-2</v>
      </c>
      <c r="AA6503">
        <v>0.92374270000000003</v>
      </c>
      <c r="AB6503">
        <v>31</v>
      </c>
      <c r="AC6503">
        <v>0.32630000000000298</v>
      </c>
      <c r="AD6503">
        <v>8.5672999999999805E-2</v>
      </c>
      <c r="AE6503">
        <v>-0.48041999999999802</v>
      </c>
      <c r="AF6503">
        <v>0.26965017767697802</v>
      </c>
      <c r="AG6503">
        <v>8.5672999999999805E-2</v>
      </c>
      <c r="AH6503">
        <v>0.50034965977325196</v>
      </c>
      <c r="AI6503">
        <v>81.428294172324698</v>
      </c>
      <c r="AJ6503">
        <v>61.678730156095099</v>
      </c>
      <c r="AK6503">
        <v>0.57480506546605503</v>
      </c>
      <c r="AL6503">
        <v>89.717677278588596</v>
      </c>
      <c r="AM6503">
        <v>84.170867738252497</v>
      </c>
      <c r="AN6503">
        <v>0.99999997926801398</v>
      </c>
    </row>
    <row r="6504" spans="1:40" x14ac:dyDescent="0.25">
      <c r="A6504" t="str">
        <f>"20190312160814766"</f>
        <v>20190312160814766</v>
      </c>
      <c r="B6504" t="str">
        <f>"1552378094762183"</f>
        <v>1552378094762183</v>
      </c>
      <c r="C6504" t="s">
        <v>40</v>
      </c>
      <c r="D6504">
        <v>6.2111470000000004</v>
      </c>
      <c r="E6504">
        <v>0.61407330000000004</v>
      </c>
      <c r="F6504" t="s">
        <v>44</v>
      </c>
      <c r="G6504">
        <v>-310.10390000000001</v>
      </c>
      <c r="H6504">
        <v>1.141972</v>
      </c>
      <c r="I6504">
        <v>11.91206</v>
      </c>
      <c r="J6504">
        <v>-310.46409999999997</v>
      </c>
      <c r="K6504">
        <v>1.0502199999999999</v>
      </c>
      <c r="L6504">
        <v>12.43811</v>
      </c>
      <c r="M6504">
        <v>0.88366619999999996</v>
      </c>
      <c r="N6504">
        <v>0</v>
      </c>
      <c r="O6504">
        <v>-0.467806</v>
      </c>
      <c r="P6504">
        <v>0.83179309999999995</v>
      </c>
      <c r="Q6504">
        <v>-9.4020909999999996E-3</v>
      </c>
      <c r="R6504">
        <v>-0.55500609999999995</v>
      </c>
      <c r="S6504">
        <v>2.0062869999999999</v>
      </c>
      <c r="T6504">
        <v>0.36295529999999998</v>
      </c>
      <c r="U6504">
        <v>-2.4161069999999998</v>
      </c>
      <c r="V6504">
        <v>0.10150000000000001</v>
      </c>
      <c r="W6504">
        <v>4.9612959999999996E-3</v>
      </c>
      <c r="X6504">
        <v>0.99482320000000002</v>
      </c>
      <c r="Y6504">
        <v>0.38136029999999999</v>
      </c>
      <c r="Z6504">
        <v>-3.3695830000000003E-2</v>
      </c>
      <c r="AA6504">
        <v>0.92381219999999997</v>
      </c>
      <c r="AB6504">
        <v>31</v>
      </c>
      <c r="AC6504">
        <v>0.36019999999996299</v>
      </c>
      <c r="AD6504">
        <v>9.1751999999999806E-2</v>
      </c>
      <c r="AE6504">
        <v>-0.52604999999999902</v>
      </c>
      <c r="AF6504">
        <v>0.29037809682041199</v>
      </c>
      <c r="AG6504">
        <v>9.1751999999999806E-2</v>
      </c>
      <c r="AH6504">
        <v>0.55301476096262303</v>
      </c>
      <c r="AI6504">
        <v>81.643384612508399</v>
      </c>
      <c r="AJ6504">
        <v>62.296844208151398</v>
      </c>
      <c r="AK6504">
        <v>0.63131861564474001</v>
      </c>
      <c r="AL6504">
        <v>89.715737521171604</v>
      </c>
      <c r="AM6504">
        <v>84.174374548125698</v>
      </c>
      <c r="AN6504">
        <v>1.0000000318581099</v>
      </c>
    </row>
    <row r="6505" spans="1:40" x14ac:dyDescent="0.25">
      <c r="A6505" t="str">
        <f>"20190312160814777"</f>
        <v>20190312160814777</v>
      </c>
      <c r="B6505" t="str">
        <f>"1552378094771942"</f>
        <v>1552378094771942</v>
      </c>
      <c r="C6505" t="s">
        <v>40</v>
      </c>
      <c r="D6505">
        <v>6.2020850000000003</v>
      </c>
      <c r="E6505">
        <v>0.61406249999999996</v>
      </c>
      <c r="F6505" t="s">
        <v>108</v>
      </c>
      <c r="G6505">
        <v>-285.86779999999999</v>
      </c>
      <c r="H6505">
        <v>5.5181310000000003</v>
      </c>
      <c r="I6505">
        <v>-17.587869999999999</v>
      </c>
      <c r="J6505">
        <v>-310.3236</v>
      </c>
      <c r="K6505">
        <v>1.050025</v>
      </c>
      <c r="L6505">
        <v>12.356809999999999</v>
      </c>
      <c r="M6505">
        <v>0.88045819999999997</v>
      </c>
      <c r="N6505">
        <v>0</v>
      </c>
      <c r="O6505">
        <v>-0.47381909999999999</v>
      </c>
      <c r="P6505">
        <v>0.82787350000000004</v>
      </c>
      <c r="Q6505">
        <v>-9.2657409999999992E-3</v>
      </c>
      <c r="R6505">
        <v>-0.56083890000000003</v>
      </c>
      <c r="S6505">
        <v>1.9898990000000001</v>
      </c>
      <c r="T6505">
        <v>0.36146159999999999</v>
      </c>
      <c r="U6505">
        <v>-2.4291689999999999</v>
      </c>
      <c r="V6505">
        <v>0.1017125</v>
      </c>
      <c r="W6505">
        <v>4.997535E-3</v>
      </c>
      <c r="X6505">
        <v>0.9948013</v>
      </c>
      <c r="Y6505">
        <v>0.38125140000000002</v>
      </c>
      <c r="Z6505">
        <v>-3.4329699999999998E-2</v>
      </c>
      <c r="AA6505">
        <v>0.92383380000000004</v>
      </c>
      <c r="AB6505">
        <v>31</v>
      </c>
      <c r="AC6505">
        <v>24.4558</v>
      </c>
      <c r="AD6505">
        <v>4.4681059999999997</v>
      </c>
      <c r="AE6505">
        <v>-29.944680000000002</v>
      </c>
      <c r="AF6505">
        <v>14.5847560898829</v>
      </c>
      <c r="AG6505">
        <v>4.4681059999999997</v>
      </c>
      <c r="AH6505">
        <v>35.254969295001999</v>
      </c>
      <c r="AI6505">
        <v>83.320450805939501</v>
      </c>
      <c r="AJ6505">
        <v>67.525432154596899</v>
      </c>
      <c r="AK6505">
        <v>38.413434387205598</v>
      </c>
      <c r="AL6505">
        <v>89.713661149558703</v>
      </c>
      <c r="AM6505">
        <v>84.1621345614424</v>
      </c>
      <c r="AN6505">
        <v>1.0000000172470001</v>
      </c>
    </row>
    <row r="6506" spans="1:40" x14ac:dyDescent="0.25">
      <c r="A6506" t="str">
        <f>"20190312160814789"</f>
        <v>20190312160814789</v>
      </c>
      <c r="B6506" t="str">
        <f>"1552378094781703"</f>
        <v>1552378094781703</v>
      </c>
      <c r="C6506" t="s">
        <v>40</v>
      </c>
      <c r="D6506">
        <v>6.167414</v>
      </c>
      <c r="E6506">
        <v>0.61397860000000004</v>
      </c>
      <c r="F6506" t="s">
        <v>44</v>
      </c>
      <c r="G6506">
        <v>-309.85489999999999</v>
      </c>
      <c r="H6506">
        <v>1.13554</v>
      </c>
      <c r="I6506">
        <v>11.776579999999999</v>
      </c>
      <c r="J6506">
        <v>-310.17860000000002</v>
      </c>
      <c r="K6506">
        <v>1.0498350000000001</v>
      </c>
      <c r="L6506">
        <v>12.271330000000001</v>
      </c>
      <c r="M6506">
        <v>0.87705529999999998</v>
      </c>
      <c r="N6506">
        <v>0</v>
      </c>
      <c r="O6506">
        <v>-0.48009109999999999</v>
      </c>
      <c r="P6506">
        <v>0.82375379999999998</v>
      </c>
      <c r="Q6506">
        <v>-9.5155429999999996E-3</v>
      </c>
      <c r="R6506">
        <v>-0.56686800000000004</v>
      </c>
      <c r="S6506">
        <v>1.9729920000000001</v>
      </c>
      <c r="T6506">
        <v>0.36000659999999901</v>
      </c>
      <c r="U6506">
        <v>-2.442688</v>
      </c>
      <c r="V6506">
        <v>0.1018698</v>
      </c>
      <c r="W6506">
        <v>4.6537389999999996E-3</v>
      </c>
      <c r="X6506">
        <v>0.99478690000000003</v>
      </c>
      <c r="Y6506">
        <v>0.38105159999999899</v>
      </c>
      <c r="Z6506">
        <v>-3.4998229999999998E-2</v>
      </c>
      <c r="AA6506">
        <v>0.92389109999999997</v>
      </c>
      <c r="AB6506">
        <v>31</v>
      </c>
      <c r="AC6506">
        <v>0.32370000000003002</v>
      </c>
      <c r="AD6506">
        <v>8.5704999999999906E-2</v>
      </c>
      <c r="AE6506">
        <v>-0.49474999999999902</v>
      </c>
      <c r="AF6506">
        <v>0.27282462249300499</v>
      </c>
      <c r="AG6506">
        <v>8.5704999999999906E-2</v>
      </c>
      <c r="AH6506">
        <v>0.51076970325298099</v>
      </c>
      <c r="AI6506">
        <v>81.581043143410298</v>
      </c>
      <c r="AJ6506">
        <v>61.8913590977808</v>
      </c>
      <c r="AK6506">
        <v>0.58537535942725605</v>
      </c>
      <c r="AL6506">
        <v>89.733359445865702</v>
      </c>
      <c r="AM6506">
        <v>84.153084659942607</v>
      </c>
      <c r="AN6506">
        <v>1.00000004492516</v>
      </c>
    </row>
    <row r="6507" spans="1:40" x14ac:dyDescent="0.25">
      <c r="A6507" t="str">
        <f>"20190312160814801"</f>
        <v>20190312160814801</v>
      </c>
      <c r="B6507" t="str">
        <f>"1552378094792438"</f>
        <v>1552378094792438</v>
      </c>
      <c r="C6507" t="s">
        <v>40</v>
      </c>
      <c r="D6507">
        <v>5.8782079999999999</v>
      </c>
      <c r="E6507">
        <v>0.61422569999999999</v>
      </c>
      <c r="F6507" t="s">
        <v>108</v>
      </c>
      <c r="G6507">
        <v>-282.32900000000001</v>
      </c>
      <c r="H6507">
        <v>6.1244129999999997</v>
      </c>
      <c r="I6507">
        <v>-22.709990000000001</v>
      </c>
      <c r="J6507">
        <v>-310.0403</v>
      </c>
      <c r="K6507">
        <v>1.0496639999999999</v>
      </c>
      <c r="L6507">
        <v>12.18829</v>
      </c>
      <c r="M6507">
        <v>0.87371860000000001</v>
      </c>
      <c r="N6507">
        <v>0</v>
      </c>
      <c r="O6507">
        <v>-0.4861394</v>
      </c>
      <c r="P6507">
        <v>0.81963090000000005</v>
      </c>
      <c r="Q6507">
        <v>-9.7854529999999995E-3</v>
      </c>
      <c r="R6507">
        <v>-0.5728084</v>
      </c>
      <c r="S6507">
        <v>1.955597</v>
      </c>
      <c r="T6507">
        <v>0.35633700000000001</v>
      </c>
      <c r="U6507">
        <v>-2.4563899999999999</v>
      </c>
      <c r="V6507">
        <v>0.10218240000000001</v>
      </c>
      <c r="W6507">
        <v>4.2942079999999999E-3</v>
      </c>
      <c r="X6507">
        <v>0.99475639999999999</v>
      </c>
      <c r="Y6507">
        <v>0.3812005</v>
      </c>
      <c r="Z6507">
        <v>-3.5395790000000003E-2</v>
      </c>
      <c r="AA6507">
        <v>0.92381449999999998</v>
      </c>
      <c r="AB6507">
        <v>31</v>
      </c>
      <c r="AC6507">
        <v>27.711299999999898</v>
      </c>
      <c r="AD6507">
        <v>5.0747489999999997</v>
      </c>
      <c r="AE6507">
        <v>-34.89828</v>
      </c>
      <c r="AF6507">
        <v>16.8042146521008</v>
      </c>
      <c r="AG6507">
        <v>5.0747489999999997</v>
      </c>
      <c r="AH6507">
        <v>40.655912282302097</v>
      </c>
      <c r="AI6507">
        <v>83.419644337032196</v>
      </c>
      <c r="AJ6507">
        <v>67.543336745974003</v>
      </c>
      <c r="AK6507">
        <v>44.283607700741001</v>
      </c>
      <c r="AL6507">
        <v>89.753959246417196</v>
      </c>
      <c r="AM6507">
        <v>84.135088989216896</v>
      </c>
      <c r="AN6507">
        <v>0.99999998921653299</v>
      </c>
    </row>
    <row r="6508" spans="1:40" x14ac:dyDescent="0.25">
      <c r="A6508" t="str">
        <f>"20190312160814813"</f>
        <v>20190312160814813</v>
      </c>
      <c r="B6508" t="str">
        <f>"1552378094802199"</f>
        <v>1552378094802199</v>
      </c>
      <c r="C6508" t="s">
        <v>40</v>
      </c>
      <c r="D6508">
        <v>5.8785699999999999</v>
      </c>
      <c r="E6508">
        <v>0.61449330000000002</v>
      </c>
      <c r="F6508" t="s">
        <v>44</v>
      </c>
      <c r="G6508">
        <v>-309.58609999999999</v>
      </c>
      <c r="H6508">
        <v>1.1334690000000001</v>
      </c>
      <c r="I6508">
        <v>11.60839</v>
      </c>
      <c r="J6508">
        <v>-309.89260000000002</v>
      </c>
      <c r="K6508">
        <v>1.0494889999999999</v>
      </c>
      <c r="L6508">
        <v>12.098750000000001</v>
      </c>
      <c r="M6508">
        <v>0.87008399999999997</v>
      </c>
      <c r="N6508">
        <v>0</v>
      </c>
      <c r="O6508">
        <v>-0.49261739999999998</v>
      </c>
      <c r="P6508">
        <v>0.81519200000000003</v>
      </c>
      <c r="Q6508">
        <v>-9.9619740000000002E-3</v>
      </c>
      <c r="R6508">
        <v>-0.5791058</v>
      </c>
      <c r="S6508">
        <v>1.9366460000000001</v>
      </c>
      <c r="T6508">
        <v>0.35734900000000003</v>
      </c>
      <c r="U6508">
        <v>-2.472321</v>
      </c>
      <c r="V6508">
        <v>0.1024509</v>
      </c>
      <c r="W6508">
        <v>4.0267039999999999E-3</v>
      </c>
      <c r="X6508">
        <v>0.99472989999999994</v>
      </c>
      <c r="Y6508">
        <v>0.38164330000000002</v>
      </c>
      <c r="Z6508">
        <v>-3.6277410000000003E-2</v>
      </c>
      <c r="AA6508">
        <v>0.92359749999999996</v>
      </c>
      <c r="AB6508">
        <v>31</v>
      </c>
      <c r="AC6508">
        <v>0.30650000000002797</v>
      </c>
      <c r="AD6508">
        <v>8.3980000000000096E-2</v>
      </c>
      <c r="AE6508">
        <v>-0.49036000000000002</v>
      </c>
      <c r="AF6508">
        <v>0.27001128805086999</v>
      </c>
      <c r="AG6508">
        <v>8.3980000000000096E-2</v>
      </c>
      <c r="AH6508">
        <v>0.49781303047104503</v>
      </c>
      <c r="AI6508">
        <v>81.565110016584896</v>
      </c>
      <c r="AJ6508">
        <v>61.524818099961301</v>
      </c>
      <c r="AK6508">
        <v>0.572517728443107</v>
      </c>
      <c r="AL6508">
        <v>89.769286229110193</v>
      </c>
      <c r="AM6508">
        <v>84.119630323684305</v>
      </c>
      <c r="AN6508">
        <v>0.999999987604961</v>
      </c>
    </row>
    <row r="6509" spans="1:40" x14ac:dyDescent="0.25">
      <c r="A6509" t="str">
        <f>"20190312160814831"</f>
        <v>20190312160814831</v>
      </c>
      <c r="B6509" t="str">
        <f>"1552378094821718"</f>
        <v>1552378094821718</v>
      </c>
      <c r="C6509" t="s">
        <v>40</v>
      </c>
      <c r="D6509">
        <v>5.9257809999999997</v>
      </c>
      <c r="E6509">
        <v>0.61493439999999999</v>
      </c>
      <c r="F6509" t="s">
        <v>108</v>
      </c>
      <c r="G6509">
        <v>-282.32900000000001</v>
      </c>
      <c r="H6509">
        <v>6.2096580000000001</v>
      </c>
      <c r="I6509">
        <v>-23.699300000000001</v>
      </c>
      <c r="J6509">
        <v>-309.69330000000002</v>
      </c>
      <c r="K6509">
        <v>1.049266</v>
      </c>
      <c r="L6509">
        <v>11.97452</v>
      </c>
      <c r="M6509">
        <v>0.86498549999999996</v>
      </c>
      <c r="N6509">
        <v>0</v>
      </c>
      <c r="O6509">
        <v>-0.50151820000000003</v>
      </c>
      <c r="P6509">
        <v>0.80871219999999999</v>
      </c>
      <c r="Q6509">
        <v>-9.7965729999999994E-3</v>
      </c>
      <c r="R6509">
        <v>-0.58812330000000002</v>
      </c>
      <c r="S6509">
        <v>1.916382</v>
      </c>
      <c r="T6509">
        <v>0.358765</v>
      </c>
      <c r="U6509">
        <v>-2.4888919999999999</v>
      </c>
      <c r="V6509">
        <v>0.10329530000000001</v>
      </c>
      <c r="W6509">
        <v>4.0677120000000002E-3</v>
      </c>
      <c r="X6509">
        <v>0.99464240000000004</v>
      </c>
      <c r="Y6509">
        <v>0.37990879999999999</v>
      </c>
      <c r="Z6509">
        <v>-3.7634590000000002E-2</v>
      </c>
      <c r="AA6509">
        <v>0.92425809999999997</v>
      </c>
      <c r="AB6509">
        <v>31</v>
      </c>
      <c r="AC6509">
        <v>27.3643</v>
      </c>
      <c r="AD6509">
        <v>5.1603919999999999</v>
      </c>
      <c r="AE6509">
        <v>-35.673819999999999</v>
      </c>
      <c r="AF6509">
        <v>16.913228520150099</v>
      </c>
      <c r="AG6509">
        <v>5.1603919999999999</v>
      </c>
      <c r="AH6509">
        <v>41.026138054300702</v>
      </c>
      <c r="AI6509">
        <v>83.366939149752</v>
      </c>
      <c r="AJ6509">
        <v>67.595852204107601</v>
      </c>
      <c r="AK6509">
        <v>44.674723818049799</v>
      </c>
      <c r="AL6509">
        <v>89.766936623806401</v>
      </c>
      <c r="AM6509">
        <v>84.070990308533496</v>
      </c>
      <c r="AN6509">
        <v>0.99999998458038197</v>
      </c>
    </row>
    <row r="6510" spans="1:40" x14ac:dyDescent="0.25">
      <c r="A6510" t="str">
        <f>"20190312160814843"</f>
        <v>20190312160814843</v>
      </c>
      <c r="B6510" t="str">
        <f>"1552378094832454"</f>
        <v>1552378094832454</v>
      </c>
      <c r="C6510" t="s">
        <v>40</v>
      </c>
      <c r="D6510">
        <v>5.9227559999999997</v>
      </c>
      <c r="E6510">
        <v>0.61505759999999998</v>
      </c>
      <c r="F6510" t="s">
        <v>108</v>
      </c>
      <c r="G6510">
        <v>-282.32900000000001</v>
      </c>
      <c r="H6510">
        <v>6.320144</v>
      </c>
      <c r="I6510">
        <v>-24.472169999999998</v>
      </c>
      <c r="J6510">
        <v>-309.55459999999999</v>
      </c>
      <c r="K6510">
        <v>1.0491250000000001</v>
      </c>
      <c r="L6510">
        <v>11.886200000000001</v>
      </c>
      <c r="M6510">
        <v>0.86132140000000001</v>
      </c>
      <c r="N6510">
        <v>0</v>
      </c>
      <c r="O6510">
        <v>-0.50778670000000004</v>
      </c>
      <c r="P6510">
        <v>0.80426750000000002</v>
      </c>
      <c r="Q6510">
        <v>-9.858037E-3</v>
      </c>
      <c r="R6510">
        <v>-0.59418590000000004</v>
      </c>
      <c r="S6510">
        <v>1.8866270000000001</v>
      </c>
      <c r="T6510">
        <v>0.36340070000000002</v>
      </c>
      <c r="U6510">
        <v>-2.5128170000000001</v>
      </c>
      <c r="V6510">
        <v>0.1035476</v>
      </c>
      <c r="W6510">
        <v>3.9341990000000002E-3</v>
      </c>
      <c r="X6510">
        <v>0.99461670000000002</v>
      </c>
      <c r="Y6510">
        <v>0.38443460000000002</v>
      </c>
      <c r="Z6510">
        <v>-3.8656259999999998E-2</v>
      </c>
      <c r="AA6510">
        <v>0.92234249999999995</v>
      </c>
      <c r="AB6510">
        <v>31</v>
      </c>
      <c r="AC6510">
        <v>27.225599999999901</v>
      </c>
      <c r="AD6510">
        <v>5.2710189999999999</v>
      </c>
      <c r="AE6510">
        <v>-36.358370000000001</v>
      </c>
      <c r="AF6510">
        <v>17.261426063679501</v>
      </c>
      <c r="AG6510">
        <v>5.2710189999999999</v>
      </c>
      <c r="AH6510">
        <v>41.361127629196197</v>
      </c>
      <c r="AI6510">
        <v>83.292367360380794</v>
      </c>
      <c r="AJ6510">
        <v>67.347538469141099</v>
      </c>
      <c r="AK6510">
        <v>45.127412398772599</v>
      </c>
      <c r="AL6510">
        <v>89.774586415908203</v>
      </c>
      <c r="AM6510">
        <v>84.056459695555802</v>
      </c>
      <c r="AN6510">
        <v>0.99999998165321002</v>
      </c>
    </row>
    <row r="6511" spans="1:40" x14ac:dyDescent="0.25">
      <c r="A6511" t="str">
        <f>"20190312160814855"</f>
        <v>20190312160814855</v>
      </c>
      <c r="B6511" t="str">
        <f>"1552378094851975"</f>
        <v>1552378094851975</v>
      </c>
      <c r="C6511" t="s">
        <v>40</v>
      </c>
      <c r="D6511">
        <v>5.9308779999999999</v>
      </c>
      <c r="E6511">
        <v>0.61532679999999995</v>
      </c>
      <c r="F6511" t="s">
        <v>44</v>
      </c>
      <c r="G6511">
        <v>-309.12169999999998</v>
      </c>
      <c r="H6511">
        <v>1.1338539999999999</v>
      </c>
      <c r="I6511">
        <v>11.30002</v>
      </c>
      <c r="J6511">
        <v>-309.40940000000001</v>
      </c>
      <c r="K6511">
        <v>1.0489740000000001</v>
      </c>
      <c r="L6511">
        <v>11.792820000000001</v>
      </c>
      <c r="M6511">
        <v>0.857406</v>
      </c>
      <c r="N6511">
        <v>0</v>
      </c>
      <c r="O6511">
        <v>-0.51437149999999998</v>
      </c>
      <c r="P6511">
        <v>0.79943019999999998</v>
      </c>
      <c r="Q6511">
        <v>-1.000533E-2</v>
      </c>
      <c r="R6511">
        <v>-0.60067550000000003</v>
      </c>
      <c r="S6511">
        <v>1.867218</v>
      </c>
      <c r="T6511">
        <v>0.36541760000000001</v>
      </c>
      <c r="U6511">
        <v>-2.5276179999999999</v>
      </c>
      <c r="V6511">
        <v>0.1039728</v>
      </c>
      <c r="W6511">
        <v>3.7086570000000002E-3</v>
      </c>
      <c r="X6511">
        <v>0.99457320000000005</v>
      </c>
      <c r="Y6511">
        <v>0.3845615</v>
      </c>
      <c r="Z6511">
        <v>-3.9710559999999999E-2</v>
      </c>
      <c r="AA6511">
        <v>0.92224479999999998</v>
      </c>
      <c r="AB6511">
        <v>31</v>
      </c>
      <c r="AC6511">
        <v>0.28770000000002899</v>
      </c>
      <c r="AD6511">
        <v>8.4879999999999997E-2</v>
      </c>
      <c r="AE6511">
        <v>-0.49279999999999802</v>
      </c>
      <c r="AF6511">
        <v>0.268639206796222</v>
      </c>
      <c r="AG6511">
        <v>8.4879999999999997E-2</v>
      </c>
      <c r="AH6511">
        <v>0.48939898825823203</v>
      </c>
      <c r="AI6511">
        <v>81.355071813880599</v>
      </c>
      <c r="AJ6511">
        <v>61.2368877988051</v>
      </c>
      <c r="AK6511">
        <v>0.56469727070022602</v>
      </c>
      <c r="AL6511">
        <v>89.787509113546804</v>
      </c>
      <c r="AM6511">
        <v>84.031970240614996</v>
      </c>
      <c r="AN6511">
        <v>0.99999997371741101</v>
      </c>
    </row>
    <row r="6512" spans="1:40" x14ac:dyDescent="0.25">
      <c r="A6512" t="str">
        <f>"20190312160814875"</f>
        <v>20190312160814875</v>
      </c>
      <c r="B6512" t="str">
        <f>"1552378094872470"</f>
        <v>1552378094872470</v>
      </c>
      <c r="C6512" t="s">
        <v>40</v>
      </c>
      <c r="D6512">
        <v>5.927975</v>
      </c>
      <c r="E6512">
        <v>0.61555760000000004</v>
      </c>
      <c r="F6512" t="s">
        <v>44</v>
      </c>
      <c r="G6512">
        <v>-308.95249999999999</v>
      </c>
      <c r="H6512">
        <v>1.1401650000000001</v>
      </c>
      <c r="I6512">
        <v>11.16281</v>
      </c>
      <c r="J6512">
        <v>-309.17599999999999</v>
      </c>
      <c r="K6512">
        <v>1.0487470000000001</v>
      </c>
      <c r="L6512">
        <v>11.638579999999999</v>
      </c>
      <c r="M6512">
        <v>0.85086269999999997</v>
      </c>
      <c r="N6512">
        <v>0</v>
      </c>
      <c r="O6512">
        <v>-0.52512689999999995</v>
      </c>
      <c r="P6512">
        <v>0.79136969999999995</v>
      </c>
      <c r="Q6512">
        <v>-1.065204E-2</v>
      </c>
      <c r="R6512">
        <v>-0.61124519999999904</v>
      </c>
      <c r="S6512">
        <v>1.845459</v>
      </c>
      <c r="T6512">
        <v>0.36829820000000002</v>
      </c>
      <c r="U6512">
        <v>-2.5444339999999999</v>
      </c>
      <c r="V6512">
        <v>0.1046518</v>
      </c>
      <c r="W6512">
        <v>2.9485819999999999E-3</v>
      </c>
      <c r="X6512">
        <v>0.99450459999999996</v>
      </c>
      <c r="Y6512">
        <v>0.38107940000000001</v>
      </c>
      <c r="Z6512">
        <v>-4.1611870000000002E-2</v>
      </c>
      <c r="AA6512">
        <v>0.92360540000000002</v>
      </c>
      <c r="AB6512">
        <v>30</v>
      </c>
      <c r="AC6512">
        <v>0.223500000000001</v>
      </c>
      <c r="AD6512">
        <v>9.1417999999999999E-2</v>
      </c>
      <c r="AE6512">
        <v>-0.47577000000000003</v>
      </c>
      <c r="AF6512">
        <v>0.27904843416749298</v>
      </c>
      <c r="AG6512">
        <v>9.1417999999999999E-2</v>
      </c>
      <c r="AH6512">
        <v>0.427148296330224</v>
      </c>
      <c r="AI6512">
        <v>79.841876775643598</v>
      </c>
      <c r="AJ6512">
        <v>56.844124242842803</v>
      </c>
      <c r="AK6512">
        <v>0.51834442834195005</v>
      </c>
      <c r="AL6512">
        <v>89.831058458889899</v>
      </c>
      <c r="AM6512">
        <v>83.992868424420706</v>
      </c>
      <c r="AN6512">
        <v>1.0000000464001</v>
      </c>
    </row>
    <row r="6513" spans="1:40" x14ac:dyDescent="0.25">
      <c r="A6513" t="str">
        <f>"20190312160814886"</f>
        <v>20190312160814886</v>
      </c>
      <c r="B6513" t="str">
        <f>"1552378094882231"</f>
        <v>1552378094882231</v>
      </c>
      <c r="C6513" t="s">
        <v>40</v>
      </c>
      <c r="D6513">
        <v>6.2555930000000002</v>
      </c>
      <c r="E6513">
        <v>0.61533419999999905</v>
      </c>
      <c r="F6513" t="s">
        <v>44</v>
      </c>
      <c r="G6513">
        <v>-308.72930000000002</v>
      </c>
      <c r="H6513">
        <v>1.139804</v>
      </c>
      <c r="I6513">
        <v>11.00432</v>
      </c>
      <c r="J6513">
        <v>-309.04430000000002</v>
      </c>
      <c r="K6513">
        <v>1.048629</v>
      </c>
      <c r="L6513">
        <v>11.549189999999999</v>
      </c>
      <c r="M6513">
        <v>0.84703280000000003</v>
      </c>
      <c r="N6513">
        <v>0</v>
      </c>
      <c r="O6513">
        <v>-0.5312829</v>
      </c>
      <c r="P6513">
        <v>0.78653589999999995</v>
      </c>
      <c r="Q6513">
        <v>-1.093792E-2</v>
      </c>
      <c r="R6513">
        <v>-0.61744759999999999</v>
      </c>
      <c r="S6513">
        <v>1.810638</v>
      </c>
      <c r="T6513">
        <v>0.36906230000000001</v>
      </c>
      <c r="U6513">
        <v>-2.5702509999999998</v>
      </c>
      <c r="V6513">
        <v>0.1052522</v>
      </c>
      <c r="W6513">
        <v>2.598585E-3</v>
      </c>
      <c r="X6513">
        <v>0.99444219999999905</v>
      </c>
      <c r="Y6513">
        <v>0.38710329999999998</v>
      </c>
      <c r="Z6513">
        <v>-4.2158880000000003E-2</v>
      </c>
      <c r="AA6513">
        <v>0.921072</v>
      </c>
      <c r="AB6513">
        <v>30</v>
      </c>
      <c r="AC6513">
        <v>0.314999999999997</v>
      </c>
      <c r="AD6513">
        <v>9.1175000000000006E-2</v>
      </c>
      <c r="AE6513">
        <v>-0.54486999999999897</v>
      </c>
      <c r="AF6513">
        <v>0.28816147826202498</v>
      </c>
      <c r="AG6513">
        <v>9.1175000000000006E-2</v>
      </c>
      <c r="AH6513">
        <v>0.54493542718177701</v>
      </c>
      <c r="AI6513">
        <v>81.586551243526799</v>
      </c>
      <c r="AJ6513">
        <v>62.1301448502862</v>
      </c>
      <c r="AK6513">
        <v>0.62314086527601598</v>
      </c>
      <c r="AL6513">
        <v>89.851111884245697</v>
      </c>
      <c r="AM6513">
        <v>83.958282658789798</v>
      </c>
      <c r="AN6513">
        <v>1.00000003369484</v>
      </c>
    </row>
    <row r="6514" spans="1:40" x14ac:dyDescent="0.25">
      <c r="A6514" t="str">
        <f>"20190312160814911"</f>
        <v>20190312160814911</v>
      </c>
      <c r="B6514" t="str">
        <f>"1552378094901783"</f>
        <v>1552378094901783</v>
      </c>
      <c r="C6514" t="s">
        <v>40</v>
      </c>
      <c r="D6514">
        <v>5.995749</v>
      </c>
      <c r="E6514">
        <v>0.61527469999999995</v>
      </c>
      <c r="F6514" t="s">
        <v>108</v>
      </c>
      <c r="G6514">
        <v>-282.32900000000001</v>
      </c>
      <c r="H6514">
        <v>6.4982949999999997</v>
      </c>
      <c r="I6514">
        <v>-26.962160000000001</v>
      </c>
      <c r="J6514">
        <v>-308.77190000000002</v>
      </c>
      <c r="K6514">
        <v>1.0484</v>
      </c>
      <c r="L6514">
        <v>11.36063</v>
      </c>
      <c r="M6514">
        <v>0.83884720000000002</v>
      </c>
      <c r="N6514">
        <v>0</v>
      </c>
      <c r="O6514">
        <v>-0.54411719999999997</v>
      </c>
      <c r="P6514">
        <v>0.7766014</v>
      </c>
      <c r="Q6514">
        <v>-1.1175600000000001E-2</v>
      </c>
      <c r="R6514">
        <v>-0.6298935</v>
      </c>
      <c r="S6514">
        <v>1.7917179999999999</v>
      </c>
      <c r="T6514">
        <v>0.36549389999999998</v>
      </c>
      <c r="U6514">
        <v>-2.5828549999999999</v>
      </c>
      <c r="V6514">
        <v>0.1059416</v>
      </c>
      <c r="W6514">
        <v>2.251926E-3</v>
      </c>
      <c r="X6514">
        <v>0.99436979999999997</v>
      </c>
      <c r="Y6514">
        <v>0.37979639999999998</v>
      </c>
      <c r="Z6514">
        <v>-4.383513E-2</v>
      </c>
      <c r="AA6514">
        <v>0.92403089999999999</v>
      </c>
      <c r="AB6514">
        <v>30</v>
      </c>
      <c r="AC6514">
        <v>26.442900000000002</v>
      </c>
      <c r="AD6514">
        <v>5.4498949999999997</v>
      </c>
      <c r="AE6514">
        <v>-38.322789999999998</v>
      </c>
      <c r="AF6514">
        <v>17.521287917511199</v>
      </c>
      <c r="AG6514">
        <v>5.4498949999999997</v>
      </c>
      <c r="AH6514">
        <v>42.457788683476203</v>
      </c>
      <c r="AI6514">
        <v>83.2332704232075</v>
      </c>
      <c r="AJ6514">
        <v>67.575261281678095</v>
      </c>
      <c r="AK6514">
        <v>46.253223732947198</v>
      </c>
      <c r="AL6514">
        <v>89.870974034916003</v>
      </c>
      <c r="AM6514">
        <v>83.9185656344021</v>
      </c>
      <c r="AN6514">
        <v>0.99999999646665405</v>
      </c>
    </row>
    <row r="6515" spans="1:40" x14ac:dyDescent="0.25">
      <c r="A6515" t="str">
        <f>"20190312160814932"</f>
        <v>20190312160814932</v>
      </c>
      <c r="B6515" t="str">
        <f>"1552378094922247"</f>
        <v>1552378094922247</v>
      </c>
      <c r="C6515" t="s">
        <v>40</v>
      </c>
      <c r="D6515">
        <v>6.0480850000000004</v>
      </c>
      <c r="E6515">
        <v>0.61527559999999903</v>
      </c>
      <c r="F6515" t="s">
        <v>108</v>
      </c>
      <c r="G6515">
        <v>-282.32900000000001</v>
      </c>
      <c r="H6515">
        <v>6.5359170000000004</v>
      </c>
      <c r="I6515">
        <v>-28.073080000000001</v>
      </c>
      <c r="J6515">
        <v>-308.53519999999997</v>
      </c>
      <c r="K6515">
        <v>1.0482149999999999</v>
      </c>
      <c r="L6515">
        <v>11.191560000000001</v>
      </c>
      <c r="M6515">
        <v>0.83139569999999996</v>
      </c>
      <c r="N6515">
        <v>0</v>
      </c>
      <c r="O6515">
        <v>-0.55543739999999997</v>
      </c>
      <c r="P6515">
        <v>0.76754359999999999</v>
      </c>
      <c r="Q6515">
        <v>-1.1282830000000001E-2</v>
      </c>
      <c r="R6515">
        <v>-0.64089750000000001</v>
      </c>
      <c r="S6515">
        <v>1.7506710000000001</v>
      </c>
      <c r="T6515">
        <v>0.36330600000000002</v>
      </c>
      <c r="U6515">
        <v>-2.6107480000000001</v>
      </c>
      <c r="V6515">
        <v>0.10663259999999999</v>
      </c>
      <c r="W6515">
        <v>2.0554689999999999E-3</v>
      </c>
      <c r="X6515">
        <v>0.99429639999999997</v>
      </c>
      <c r="Y6515">
        <v>0.38187880000000002</v>
      </c>
      <c r="Z6515">
        <v>-4.4934050000000003E-2</v>
      </c>
      <c r="AA6515">
        <v>0.92311949999999998</v>
      </c>
      <c r="AB6515">
        <v>30</v>
      </c>
      <c r="AC6515">
        <v>26.2061999999999</v>
      </c>
      <c r="AD6515">
        <v>5.4877019999999996</v>
      </c>
      <c r="AE6515">
        <v>-39.26464</v>
      </c>
      <c r="AF6515">
        <v>17.849780283008901</v>
      </c>
      <c r="AG6515">
        <v>5.4877019999999996</v>
      </c>
      <c r="AH6515">
        <v>43.021293842274503</v>
      </c>
      <c r="AI6515">
        <v>83.280435226165693</v>
      </c>
      <c r="AJ6515">
        <v>67.466159009570603</v>
      </c>
      <c r="AK6515">
        <v>46.899480309016496</v>
      </c>
      <c r="AL6515">
        <v>89.882230222419395</v>
      </c>
      <c r="AM6515">
        <v>83.878751432623403</v>
      </c>
      <c r="AN6515">
        <v>1.00000003369426</v>
      </c>
    </row>
    <row r="6516" spans="1:40" x14ac:dyDescent="0.25">
      <c r="A6516" t="str">
        <f>"20190312160814947"</f>
        <v>20190312160814947</v>
      </c>
      <c r="B6516" t="str">
        <f>"1552378094941767"</f>
        <v>1552378094941767</v>
      </c>
      <c r="C6516" t="s">
        <v>40</v>
      </c>
      <c r="D6516">
        <v>6.3856510000000002</v>
      </c>
      <c r="E6516">
        <v>0.61502959999999995</v>
      </c>
      <c r="F6516" t="s">
        <v>108</v>
      </c>
      <c r="G6516">
        <v>-282.73419999999999</v>
      </c>
      <c r="H6516">
        <v>6.532216</v>
      </c>
      <c r="I6516">
        <v>-28.491499999999998</v>
      </c>
      <c r="J6516">
        <v>-308.36020000000002</v>
      </c>
      <c r="K6516">
        <v>1.048084</v>
      </c>
      <c r="L6516">
        <v>11.06274</v>
      </c>
      <c r="M6516">
        <v>0.82565029999999995</v>
      </c>
      <c r="N6516">
        <v>0</v>
      </c>
      <c r="O6516">
        <v>-0.56394309999999903</v>
      </c>
      <c r="P6516">
        <v>0.76085409999999998</v>
      </c>
      <c r="Q6516">
        <v>-1.1308159999999999E-2</v>
      </c>
      <c r="R6516">
        <v>-0.64882510000000004</v>
      </c>
      <c r="S6516">
        <v>1.7134400000000001</v>
      </c>
      <c r="T6516">
        <v>0.36419079999999998</v>
      </c>
      <c r="U6516">
        <v>-2.635345</v>
      </c>
      <c r="V6516">
        <v>0.10673879999999999</v>
      </c>
      <c r="W6516">
        <v>1.982036E-3</v>
      </c>
      <c r="X6516">
        <v>0.99428510000000003</v>
      </c>
      <c r="Y6516">
        <v>0.3855171</v>
      </c>
      <c r="Z6516">
        <v>-4.595834E-2</v>
      </c>
      <c r="AA6516">
        <v>0.92155540000000002</v>
      </c>
      <c r="AB6516">
        <v>30</v>
      </c>
      <c r="AC6516">
        <v>25.626000000000001</v>
      </c>
      <c r="AD6516">
        <v>5.4841319999999998</v>
      </c>
      <c r="AE6516">
        <v>-39.55424</v>
      </c>
      <c r="AF6516">
        <v>17.965564643567902</v>
      </c>
      <c r="AG6516">
        <v>5.4841319999999998</v>
      </c>
      <c r="AH6516">
        <v>42.889589114652502</v>
      </c>
      <c r="AI6516">
        <v>83.273747107771399</v>
      </c>
      <c r="AJ6516">
        <v>67.272194982925001</v>
      </c>
      <c r="AK6516">
        <v>46.822580782987202</v>
      </c>
      <c r="AL6516">
        <v>89.886437625729798</v>
      </c>
      <c r="AM6516">
        <v>83.872632262840995</v>
      </c>
      <c r="AN6516">
        <v>0.99999997998707701</v>
      </c>
    </row>
    <row r="6517" spans="1:40" x14ac:dyDescent="0.25">
      <c r="A6517" t="str">
        <f>"20190312160814965"</f>
        <v>20190312160814965</v>
      </c>
      <c r="B6517" t="str">
        <f>"1552378094962263"</f>
        <v>1552378094962263</v>
      </c>
      <c r="C6517" t="s">
        <v>40</v>
      </c>
      <c r="D6517">
        <v>6.4641279999999997</v>
      </c>
      <c r="E6517">
        <v>0.61445939999999999</v>
      </c>
      <c r="F6517" t="s">
        <v>108</v>
      </c>
      <c r="G6517">
        <v>-283.11649999999997</v>
      </c>
      <c r="H6517">
        <v>6.4476139999999997</v>
      </c>
      <c r="I6517">
        <v>-28.593229999999998</v>
      </c>
      <c r="J6517">
        <v>-308.16449999999998</v>
      </c>
      <c r="K6517">
        <v>1.0479369999999999</v>
      </c>
      <c r="L6517">
        <v>10.915620000000001</v>
      </c>
      <c r="M6517">
        <v>0.81900969999999995</v>
      </c>
      <c r="N6517">
        <v>0</v>
      </c>
      <c r="O6517">
        <v>-0.57354490000000002</v>
      </c>
      <c r="P6517">
        <v>0.75300310000000004</v>
      </c>
      <c r="Q6517">
        <v>-1.156105E-2</v>
      </c>
      <c r="R6517">
        <v>-0.65791549999999999</v>
      </c>
      <c r="S6517">
        <v>1.68759199999999</v>
      </c>
      <c r="T6517">
        <v>0.36097030000000002</v>
      </c>
      <c r="U6517">
        <v>-2.6510929999999999</v>
      </c>
      <c r="V6517">
        <v>0.1070651</v>
      </c>
      <c r="W6517">
        <v>1.6739999999999999E-3</v>
      </c>
      <c r="X6517">
        <v>0.99425059999999998</v>
      </c>
      <c r="Y6517">
        <v>0.38365320000000003</v>
      </c>
      <c r="Z6517">
        <v>-4.6912919999999997E-2</v>
      </c>
      <c r="AA6517">
        <v>0.92228489999999996</v>
      </c>
      <c r="AB6517">
        <v>30</v>
      </c>
      <c r="AC6517">
        <v>25.047999999999998</v>
      </c>
      <c r="AD6517">
        <v>5.3996769999999996</v>
      </c>
      <c r="AE6517">
        <v>-39.508850000000002</v>
      </c>
      <c r="AF6517">
        <v>17.757806158867201</v>
      </c>
      <c r="AG6517">
        <v>5.3996769999999996</v>
      </c>
      <c r="AH6517">
        <v>42.6127195388299</v>
      </c>
      <c r="AI6517">
        <v>83.328690067139107</v>
      </c>
      <c r="AJ6517">
        <v>67.377263663211906</v>
      </c>
      <c r="AK6517">
        <v>46.4794584496765</v>
      </c>
      <c r="AL6517">
        <v>89.904086819988095</v>
      </c>
      <c r="AM6517">
        <v>83.853832438445906</v>
      </c>
      <c r="AN6517">
        <v>0.99999999675718498</v>
      </c>
    </row>
    <row r="6518" spans="1:40" x14ac:dyDescent="0.25">
      <c r="A6518" t="str">
        <f>"20190312160814977"</f>
        <v>20190312160814977</v>
      </c>
      <c r="B6518" t="str">
        <f>"1552378094972023"</f>
        <v>1552378094972023</v>
      </c>
      <c r="C6518" t="s">
        <v>40</v>
      </c>
      <c r="D6518">
        <v>6.3873899999999999</v>
      </c>
      <c r="E6518">
        <v>0.61420640000000004</v>
      </c>
      <c r="F6518" t="s">
        <v>44</v>
      </c>
      <c r="G6518">
        <v>-307.78390000000002</v>
      </c>
      <c r="H6518">
        <v>1.1292899999999999</v>
      </c>
      <c r="I6518">
        <v>10.30315</v>
      </c>
      <c r="J6518">
        <v>-308.02679999999998</v>
      </c>
      <c r="K6518">
        <v>1.0478379999999901</v>
      </c>
      <c r="L6518">
        <v>10.81012</v>
      </c>
      <c r="M6518">
        <v>0.81419719999999995</v>
      </c>
      <c r="N6518">
        <v>0</v>
      </c>
      <c r="O6518">
        <v>-0.58035700000000001</v>
      </c>
      <c r="P6518">
        <v>0.74729650000000003</v>
      </c>
      <c r="Q6518">
        <v>-1.1694349999999999E-2</v>
      </c>
      <c r="R6518">
        <v>-0.66438819999999998</v>
      </c>
      <c r="S6518">
        <v>1.6585080000000001</v>
      </c>
      <c r="T6518">
        <v>0.35442269999999998</v>
      </c>
      <c r="U6518">
        <v>-2.6678160000000002</v>
      </c>
      <c r="V6518">
        <v>0.1073474</v>
      </c>
      <c r="W6518">
        <v>1.502815E-3</v>
      </c>
      <c r="X6518">
        <v>0.9942204</v>
      </c>
      <c r="Y6518">
        <v>0.38578430000000002</v>
      </c>
      <c r="Z6518">
        <v>-4.6850660000000002E-2</v>
      </c>
      <c r="AA6518">
        <v>0.92139859999999896</v>
      </c>
      <c r="AB6518">
        <v>30</v>
      </c>
      <c r="AC6518">
        <v>0.24289999999996301</v>
      </c>
      <c r="AD6518">
        <v>8.1451999999999997E-2</v>
      </c>
      <c r="AE6518">
        <v>-0.50696999999999803</v>
      </c>
      <c r="AF6518">
        <v>0.26625173350912001</v>
      </c>
      <c r="AG6518">
        <v>8.1451999999999997E-2</v>
      </c>
      <c r="AH6518">
        <v>0.48194044940950997</v>
      </c>
      <c r="AI6518">
        <v>81.5850328293308</v>
      </c>
      <c r="AJ6518">
        <v>61.081204560699703</v>
      </c>
      <c r="AK6518">
        <v>0.55658872668933201</v>
      </c>
      <c r="AL6518">
        <v>89.913895007536595</v>
      </c>
      <c r="AM6518">
        <v>83.837565533869594</v>
      </c>
      <c r="AN6518">
        <v>0.99999996325792095</v>
      </c>
    </row>
    <row r="6519" spans="1:40" x14ac:dyDescent="0.25">
      <c r="A6519" t="str">
        <f>"20190312160814992"</f>
        <v>20190312160814992</v>
      </c>
      <c r="B6519" t="str">
        <f>"1552378094981783"</f>
        <v>1552378094981783</v>
      </c>
      <c r="C6519" t="s">
        <v>40</v>
      </c>
      <c r="D6519">
        <v>6.3479780000000003</v>
      </c>
      <c r="E6519">
        <v>0.61391909999999905</v>
      </c>
      <c r="F6519" t="s">
        <v>44</v>
      </c>
      <c r="G6519">
        <v>-307.6413</v>
      </c>
      <c r="H6519">
        <v>1.1306769999999999</v>
      </c>
      <c r="I6519">
        <v>10.178789999999999</v>
      </c>
      <c r="J6519">
        <v>-307.8689</v>
      </c>
      <c r="K6519">
        <v>1.0477289999999999</v>
      </c>
      <c r="L6519">
        <v>10.686680000000001</v>
      </c>
      <c r="M6519">
        <v>0.80851949999999995</v>
      </c>
      <c r="N6519">
        <v>0</v>
      </c>
      <c r="O6519">
        <v>-0.58824119999999902</v>
      </c>
      <c r="P6519">
        <v>0.74053080000000004</v>
      </c>
      <c r="Q6519">
        <v>-1.190777E-2</v>
      </c>
      <c r="R6519">
        <v>-0.67191730000000005</v>
      </c>
      <c r="S6519">
        <v>1.6369629999999999</v>
      </c>
      <c r="T6519">
        <v>0.35171039999999998</v>
      </c>
      <c r="U6519">
        <v>-2.6803590000000002</v>
      </c>
      <c r="V6519">
        <v>0.1077442</v>
      </c>
      <c r="W6519">
        <v>1.2477079999999999E-3</v>
      </c>
      <c r="X6519">
        <v>0.99417789999999995</v>
      </c>
      <c r="Y6519">
        <v>0.38415779999999999</v>
      </c>
      <c r="Z6519">
        <v>-4.7591649999999999E-2</v>
      </c>
      <c r="AA6519">
        <v>0.92203999999999997</v>
      </c>
      <c r="AB6519">
        <v>30</v>
      </c>
      <c r="AC6519">
        <v>0.227599999999995</v>
      </c>
      <c r="AD6519">
        <v>8.2947999999999994E-2</v>
      </c>
      <c r="AE6519">
        <v>-0.50789000000000095</v>
      </c>
      <c r="AF6519">
        <v>0.27077781776707999</v>
      </c>
      <c r="AG6519">
        <v>8.2947999999999994E-2</v>
      </c>
      <c r="AH6519">
        <v>0.47235359693177498</v>
      </c>
      <c r="AI6519">
        <v>81.337673939757394</v>
      </c>
      <c r="AJ6519">
        <v>60.176406818632003</v>
      </c>
      <c r="AK6519">
        <v>0.550743967586653</v>
      </c>
      <c r="AL6519">
        <v>89.928511581354996</v>
      </c>
      <c r="AM6519">
        <v>83.814700524756304</v>
      </c>
      <c r="AN6519">
        <v>1.00000003312865</v>
      </c>
    </row>
    <row r="6520" spans="1:40" x14ac:dyDescent="0.25">
      <c r="A6520" t="str">
        <f>"20190312160815011"</f>
        <v>20190312160815011</v>
      </c>
      <c r="B6520" t="str">
        <f>"1552378095002283"</f>
        <v>1552378095002283</v>
      </c>
      <c r="C6520" t="s">
        <v>40</v>
      </c>
      <c r="D6520">
        <v>6.404407</v>
      </c>
      <c r="E6520">
        <v>0.61337169999999996</v>
      </c>
      <c r="F6520" t="s">
        <v>108</v>
      </c>
      <c r="G6520">
        <v>-284.38189999999997</v>
      </c>
      <c r="H6520">
        <v>6.123183</v>
      </c>
      <c r="I6520">
        <v>-28.593229999999998</v>
      </c>
      <c r="J6520">
        <v>-307.67619999999999</v>
      </c>
      <c r="K6520">
        <v>1.0476030000000001</v>
      </c>
      <c r="L6520">
        <v>10.5321</v>
      </c>
      <c r="M6520">
        <v>0.80134079999999996</v>
      </c>
      <c r="N6520">
        <v>0</v>
      </c>
      <c r="O6520">
        <v>-0.59798370000000001</v>
      </c>
      <c r="P6520">
        <v>0.732016</v>
      </c>
      <c r="Q6520">
        <v>-1.20623E-2</v>
      </c>
      <c r="R6520">
        <v>-0.68118109999999998</v>
      </c>
      <c r="S6520">
        <v>1.61145</v>
      </c>
      <c r="T6520">
        <v>0.34822710000000001</v>
      </c>
      <c r="U6520">
        <v>-2.6950069999999999</v>
      </c>
      <c r="V6520">
        <v>0.1082166</v>
      </c>
      <c r="W6520">
        <v>1.046483E-3</v>
      </c>
      <c r="X6520">
        <v>0.99412679999999998</v>
      </c>
      <c r="Y6520">
        <v>0.38165130000000003</v>
      </c>
      <c r="Z6520">
        <v>-4.849125E-2</v>
      </c>
      <c r="AA6520">
        <v>0.92303349999999995</v>
      </c>
      <c r="AB6520">
        <v>30</v>
      </c>
      <c r="AC6520">
        <v>23.2943</v>
      </c>
      <c r="AD6520">
        <v>5.0755800000000004</v>
      </c>
      <c r="AE6520">
        <v>-39.125329999999998</v>
      </c>
      <c r="AF6520">
        <v>17.211601827972199</v>
      </c>
      <c r="AG6520">
        <v>5.0755800000000004</v>
      </c>
      <c r="AH6520">
        <v>41.552354553372901</v>
      </c>
      <c r="AI6520">
        <v>83.561357842715395</v>
      </c>
      <c r="AJ6520">
        <v>67.4999375941495</v>
      </c>
      <c r="AK6520">
        <v>45.261450692065402</v>
      </c>
      <c r="AL6520">
        <v>89.9400409304871</v>
      </c>
      <c r="AM6520">
        <v>83.787476091604006</v>
      </c>
      <c r="AN6520">
        <v>1.0000000110602301</v>
      </c>
    </row>
    <row r="6521" spans="1:40" x14ac:dyDescent="0.25">
      <c r="A6521" t="str">
        <f>"20190312160815025"</f>
        <v>20190312160815025</v>
      </c>
      <c r="B6521" t="str">
        <f>"1552378095021799"</f>
        <v>1552378095021799</v>
      </c>
      <c r="C6521" t="s">
        <v>40</v>
      </c>
      <c r="D6521">
        <v>6.1050219999999999</v>
      </c>
      <c r="E6521">
        <v>0.61303039999999998</v>
      </c>
      <c r="F6521" t="s">
        <v>104</v>
      </c>
      <c r="G6521">
        <v>-279.33690000000001</v>
      </c>
      <c r="H6521">
        <v>7.1824429999999904</v>
      </c>
      <c r="I6521">
        <v>-38.084069999999997</v>
      </c>
      <c r="J6521">
        <v>-307.52089999999998</v>
      </c>
      <c r="K6521">
        <v>1.047506</v>
      </c>
      <c r="L6521">
        <v>10.40457</v>
      </c>
      <c r="M6521">
        <v>0.79535880000000003</v>
      </c>
      <c r="N6521">
        <v>0</v>
      </c>
      <c r="O6521">
        <v>-0.60591759999999995</v>
      </c>
      <c r="P6521">
        <v>0.72514009999999995</v>
      </c>
      <c r="Q6521">
        <v>-1.2328209999999999E-2</v>
      </c>
      <c r="R6521">
        <v>-0.68849119999999997</v>
      </c>
      <c r="S6521">
        <v>1.580627</v>
      </c>
      <c r="T6521">
        <v>0.34217209999999998</v>
      </c>
      <c r="U6521">
        <v>-2.7115779999999998</v>
      </c>
      <c r="V6521">
        <v>0.10830679999999999</v>
      </c>
      <c r="W6521">
        <v>7.5513499999999999E-4</v>
      </c>
      <c r="X6521">
        <v>0.99411719999999903</v>
      </c>
      <c r="Y6521">
        <v>0.38274829999999999</v>
      </c>
      <c r="Z6521">
        <v>-4.8611559999999998E-2</v>
      </c>
      <c r="AA6521">
        <v>0.92257290000000003</v>
      </c>
      <c r="AB6521">
        <v>30</v>
      </c>
      <c r="AC6521">
        <v>28.183999999999902</v>
      </c>
      <c r="AD6521">
        <v>6.1349369999999901</v>
      </c>
      <c r="AE6521">
        <v>-48.488639999999997</v>
      </c>
      <c r="AF6521">
        <v>21.2374498998992</v>
      </c>
      <c r="AG6521">
        <v>6.1349369999999901</v>
      </c>
      <c r="AH6521">
        <v>51.190933802301601</v>
      </c>
      <c r="AI6521">
        <v>83.683303066837396</v>
      </c>
      <c r="AJ6521">
        <v>67.468031183039599</v>
      </c>
      <c r="AK6521">
        <v>55.760007476652298</v>
      </c>
      <c r="AL6521">
        <v>89.956733946138101</v>
      </c>
      <c r="AM6521">
        <v>83.782278837620694</v>
      </c>
      <c r="AN6521">
        <v>0.99999997024547305</v>
      </c>
    </row>
    <row r="6522" spans="1:40" x14ac:dyDescent="0.25">
      <c r="A6522" t="str">
        <f>"20190312160815043"</f>
        <v>20190312160815043</v>
      </c>
      <c r="B6522" t="str">
        <f>"1552378095031560"</f>
        <v>1552378095031560</v>
      </c>
      <c r="C6522" t="s">
        <v>40</v>
      </c>
      <c r="D6522">
        <v>6.3265929999999999</v>
      </c>
      <c r="E6522">
        <v>0.61293710000000001</v>
      </c>
      <c r="F6522" t="s">
        <v>44</v>
      </c>
      <c r="G6522">
        <v>-307.16039999999998</v>
      </c>
      <c r="H6522">
        <v>1.126077</v>
      </c>
      <c r="I6522">
        <v>9.7730149999999991</v>
      </c>
      <c r="J6522">
        <v>-307.33210000000003</v>
      </c>
      <c r="K6522">
        <v>1.0473950000000001</v>
      </c>
      <c r="L6522">
        <v>10.24606</v>
      </c>
      <c r="M6522">
        <v>0.7878482</v>
      </c>
      <c r="N6522">
        <v>0</v>
      </c>
      <c r="O6522">
        <v>-0.61565179999999997</v>
      </c>
      <c r="P6522">
        <v>0.71637580000000001</v>
      </c>
      <c r="Q6522">
        <v>-1.191713E-2</v>
      </c>
      <c r="R6522">
        <v>-0.69761319999999905</v>
      </c>
      <c r="S6522">
        <v>1.555328</v>
      </c>
      <c r="T6522">
        <v>0.33902690000000002</v>
      </c>
      <c r="U6522">
        <v>-2.7252809999999998</v>
      </c>
      <c r="V6522">
        <v>0.1086718</v>
      </c>
      <c r="W6522">
        <v>1.129929E-3</v>
      </c>
      <c r="X6522">
        <v>0.99407699999999999</v>
      </c>
      <c r="Y6522">
        <v>0.37987349999999998</v>
      </c>
      <c r="Z6522">
        <v>-4.9523449999999997E-2</v>
      </c>
      <c r="AA6522">
        <v>0.92371179999999997</v>
      </c>
      <c r="AB6522">
        <v>30</v>
      </c>
      <c r="AC6522">
        <v>0.17170000000004301</v>
      </c>
      <c r="AD6522">
        <v>7.8681999999999905E-2</v>
      </c>
      <c r="AE6522">
        <v>-0.47304499999999999</v>
      </c>
      <c r="AF6522">
        <v>0.26064447249852501</v>
      </c>
      <c r="AG6522">
        <v>7.8681999999999905E-2</v>
      </c>
      <c r="AH6522">
        <v>0.41638307103183703</v>
      </c>
      <c r="AI6522">
        <v>80.900098590784197</v>
      </c>
      <c r="AJ6522">
        <v>57.954553964765601</v>
      </c>
      <c r="AK6522">
        <v>0.49749498490933403</v>
      </c>
      <c r="AL6522">
        <v>89.9352598207455</v>
      </c>
      <c r="AM6522">
        <v>83.761239421468105</v>
      </c>
      <c r="AN6522">
        <v>0.99999995939189101</v>
      </c>
    </row>
    <row r="6523" spans="1:40" x14ac:dyDescent="0.25">
      <c r="A6523" t="str">
        <f>"20190312160815065"</f>
        <v>20190312160815065</v>
      </c>
      <c r="B6523" t="str">
        <f>"1552378095061815"</f>
        <v>1552378095061815</v>
      </c>
      <c r="C6523" t="s">
        <v>40</v>
      </c>
      <c r="D6523">
        <v>3.9107569999999998</v>
      </c>
      <c r="E6523">
        <v>0.66207609999999995</v>
      </c>
      <c r="F6523" t="s">
        <v>44</v>
      </c>
      <c r="G6523">
        <v>-306.9776</v>
      </c>
      <c r="H6523">
        <v>1.126528</v>
      </c>
      <c r="I6523">
        <v>9.6062279999999998</v>
      </c>
      <c r="J6523">
        <v>-307.09949999999998</v>
      </c>
      <c r="K6523">
        <v>1.0472570000000001</v>
      </c>
      <c r="L6523">
        <v>10.04501</v>
      </c>
      <c r="M6523">
        <v>0.77820840000000002</v>
      </c>
      <c r="N6523">
        <v>0</v>
      </c>
      <c r="O6523">
        <v>-0.62779209999999996</v>
      </c>
      <c r="P6523">
        <v>0.70517439999999998</v>
      </c>
      <c r="Q6523">
        <v>-1.1251479999999999E-2</v>
      </c>
      <c r="R6523">
        <v>-0.70894460000000004</v>
      </c>
      <c r="S6523">
        <v>1.5211490000000001</v>
      </c>
      <c r="T6523">
        <v>0.33942159999999999</v>
      </c>
      <c r="U6523">
        <v>-2.74411</v>
      </c>
      <c r="V6523">
        <v>0.1091208</v>
      </c>
      <c r="W6523">
        <v>1.7560150000000001E-3</v>
      </c>
      <c r="X6523">
        <v>0.99402699999999999</v>
      </c>
      <c r="Y6523">
        <v>0.37707049999999998</v>
      </c>
      <c r="Z6523">
        <v>-5.12284E-2</v>
      </c>
      <c r="AA6523">
        <v>0.92476670000000005</v>
      </c>
      <c r="AB6523">
        <v>30</v>
      </c>
      <c r="AC6523">
        <v>0.12189999999998199</v>
      </c>
      <c r="AD6523">
        <v>7.9270999999999994E-2</v>
      </c>
      <c r="AE6523">
        <v>-0.438782000000001</v>
      </c>
      <c r="AF6523">
        <v>0.257179069018031</v>
      </c>
      <c r="AG6523">
        <v>7.9270999999999994E-2</v>
      </c>
      <c r="AH6523">
        <v>0.35948486645621203</v>
      </c>
      <c r="AI6523">
        <v>79.832481493300193</v>
      </c>
      <c r="AJ6523">
        <v>54.4196904260575</v>
      </c>
      <c r="AK6523">
        <v>0.44905938826955</v>
      </c>
      <c r="AL6523">
        <v>89.899387705529406</v>
      </c>
      <c r="AM6523">
        <v>83.735354611685096</v>
      </c>
      <c r="AN6523">
        <v>1.00000005465515</v>
      </c>
    </row>
    <row r="6524" spans="1:40" x14ac:dyDescent="0.25">
      <c r="A6524" t="str">
        <f>"20190312160815078"</f>
        <v>20190312160815078</v>
      </c>
      <c r="B6524" t="str">
        <f>"1552378095071574"</f>
        <v>1552378095071574</v>
      </c>
      <c r="C6524" t="s">
        <v>40</v>
      </c>
      <c r="D6524">
        <v>4.0641540000000003</v>
      </c>
      <c r="E6524">
        <v>0.67128219999999905</v>
      </c>
      <c r="F6524" t="s">
        <v>44</v>
      </c>
      <c r="G6524">
        <v>-306.858</v>
      </c>
      <c r="H6524">
        <v>1.182806</v>
      </c>
      <c r="I6524">
        <v>9.4309530000000006</v>
      </c>
      <c r="J6524">
        <v>-306.97149999999999</v>
      </c>
      <c r="K6524">
        <v>1.047177</v>
      </c>
      <c r="L6524">
        <v>9.9318539999999995</v>
      </c>
      <c r="M6524">
        <v>0.7727271</v>
      </c>
      <c r="N6524">
        <v>0</v>
      </c>
      <c r="O6524">
        <v>-0.63452659999999905</v>
      </c>
      <c r="P6524">
        <v>0.69871870000000003</v>
      </c>
      <c r="Q6524">
        <v>-1.1227900000000001E-2</v>
      </c>
      <c r="R6524">
        <v>-0.71530839999999996</v>
      </c>
      <c r="S6524">
        <v>1.199066</v>
      </c>
      <c r="T6524">
        <v>0.67318049999999996</v>
      </c>
      <c r="U6524">
        <v>-3.0496219999999998</v>
      </c>
      <c r="V6524">
        <v>0.1095006</v>
      </c>
      <c r="W6524">
        <v>1.755539E-3</v>
      </c>
      <c r="X6524">
        <v>0.99398520000000001</v>
      </c>
      <c r="Y6524">
        <v>0.48775879999999999</v>
      </c>
      <c r="Z6524">
        <v>-8.7720010000000001E-2</v>
      </c>
      <c r="AA6524">
        <v>0.86856009999999995</v>
      </c>
      <c r="AB6524">
        <v>30</v>
      </c>
      <c r="AC6524">
        <v>0.113499999999987</v>
      </c>
      <c r="AD6524">
        <v>0.135629</v>
      </c>
      <c r="AE6524">
        <v>-0.50090099999999804</v>
      </c>
      <c r="AF6524">
        <v>0.29454312433289098</v>
      </c>
      <c r="AG6524">
        <v>0.135629</v>
      </c>
      <c r="AH6524">
        <v>0.37915343856323602</v>
      </c>
      <c r="AI6524">
        <v>74.225482997148603</v>
      </c>
      <c r="AJ6524">
        <v>52.158362243340498</v>
      </c>
      <c r="AK6524">
        <v>0.49890701308671398</v>
      </c>
      <c r="AL6524">
        <v>89.899414974932398</v>
      </c>
      <c r="AM6524">
        <v>83.713462245986193</v>
      </c>
      <c r="AN6524">
        <v>1.00000002056829</v>
      </c>
    </row>
    <row r="6525" spans="1:40" x14ac:dyDescent="0.25">
      <c r="A6525" t="str">
        <f>"20190312160815099"</f>
        <v>20190312160815099</v>
      </c>
      <c r="B6525" t="str">
        <f>"1552378095092071"</f>
        <v>1552378095092071</v>
      </c>
      <c r="C6525" t="s">
        <v>40</v>
      </c>
      <c r="D6525">
        <v>4.9226910000000004</v>
      </c>
      <c r="E6525">
        <v>0.67242619999999997</v>
      </c>
      <c r="F6525" t="s">
        <v>109</v>
      </c>
      <c r="G6525">
        <v>-270.48140000000001</v>
      </c>
      <c r="H6525">
        <v>23.813690000000001</v>
      </c>
      <c r="I6525">
        <v>-91.564989999999995</v>
      </c>
      <c r="J6525">
        <v>-306.75349999999997</v>
      </c>
      <c r="K6525">
        <v>1.0470549999999901</v>
      </c>
      <c r="L6525">
        <v>9.7336729999999996</v>
      </c>
      <c r="M6525">
        <v>0.76304249999999996</v>
      </c>
      <c r="N6525">
        <v>0</v>
      </c>
      <c r="O6525">
        <v>-0.64613999999999905</v>
      </c>
      <c r="P6525">
        <v>0.68752170000000001</v>
      </c>
      <c r="Q6525">
        <v>-1.103792E-2</v>
      </c>
      <c r="R6525">
        <v>-0.72607999999999995</v>
      </c>
      <c r="S6525">
        <v>1.118835</v>
      </c>
      <c r="T6525">
        <v>0.69805229999999996</v>
      </c>
      <c r="U6525">
        <v>-3.1120299999999999</v>
      </c>
      <c r="V6525">
        <v>0.109919</v>
      </c>
      <c r="W6525">
        <v>1.915756E-3</v>
      </c>
      <c r="X6525">
        <v>0.99393869999999895</v>
      </c>
      <c r="Y6525">
        <v>0.50012849999999998</v>
      </c>
      <c r="Z6525">
        <v>-9.1772809999999996E-2</v>
      </c>
      <c r="AA6525">
        <v>0.86107440000000002</v>
      </c>
      <c r="AB6525">
        <v>30</v>
      </c>
      <c r="AC6525">
        <v>36.272099999999902</v>
      </c>
      <c r="AD6525">
        <v>22.766635000000001</v>
      </c>
      <c r="AE6525">
        <v>-101.298663</v>
      </c>
      <c r="AF6525">
        <v>51.557301378949603</v>
      </c>
      <c r="AG6525">
        <v>22.766635000000001</v>
      </c>
      <c r="AH6525">
        <v>89.151398992480495</v>
      </c>
      <c r="AI6525">
        <v>77.534379302189095</v>
      </c>
      <c r="AJ6525">
        <v>59.958700697308998</v>
      </c>
      <c r="AK6525">
        <v>105.472493746092</v>
      </c>
      <c r="AL6525">
        <v>89.890235199263998</v>
      </c>
      <c r="AM6525">
        <v>83.689342062878495</v>
      </c>
      <c r="AN6525">
        <v>0.99999999801987005</v>
      </c>
    </row>
    <row r="6526" spans="1:40" x14ac:dyDescent="0.25">
      <c r="A6526" t="str">
        <f>"20190312160815122"</f>
        <v>20190312160815122</v>
      </c>
      <c r="B6526" t="str">
        <f>"1552378095111591"</f>
        <v>1552378095111591</v>
      </c>
      <c r="C6526" t="s">
        <v>40</v>
      </c>
      <c r="D6526">
        <v>4.5838999999999999</v>
      </c>
      <c r="E6526">
        <v>0.6129848</v>
      </c>
      <c r="F6526" t="s">
        <v>109</v>
      </c>
      <c r="G6526">
        <v>-272.37720000000002</v>
      </c>
      <c r="H6526">
        <v>23.988489999999999</v>
      </c>
      <c r="I6526">
        <v>-91.564989999999995</v>
      </c>
      <c r="J6526">
        <v>-306.53140000000002</v>
      </c>
      <c r="K6526">
        <v>1.04694</v>
      </c>
      <c r="L6526">
        <v>9.5252990000000004</v>
      </c>
      <c r="M6526">
        <v>0.75273639999999997</v>
      </c>
      <c r="N6526">
        <v>0</v>
      </c>
      <c r="O6526">
        <v>-0.65811709999999901</v>
      </c>
      <c r="P6526">
        <v>0.6759501</v>
      </c>
      <c r="Q6526">
        <v>-1.1089669999999999E-2</v>
      </c>
      <c r="R6526">
        <v>-0.73686370000000001</v>
      </c>
      <c r="S6526">
        <v>1.0639339999999999</v>
      </c>
      <c r="T6526">
        <v>0.71003079999999996</v>
      </c>
      <c r="U6526">
        <v>-3.1351619999999998</v>
      </c>
      <c r="V6526">
        <v>0.1099337</v>
      </c>
      <c r="W6526">
        <v>1.850429E-3</v>
      </c>
      <c r="X6526">
        <v>0.99393719999999997</v>
      </c>
      <c r="Y6526">
        <v>0.5020443</v>
      </c>
      <c r="Z6526">
        <v>-9.6096719999999997E-2</v>
      </c>
      <c r="AA6526">
        <v>0.85948649999999904</v>
      </c>
      <c r="AB6526">
        <v>30</v>
      </c>
      <c r="AC6526">
        <v>34.154200000000003</v>
      </c>
      <c r="AD6526">
        <v>22.941549999999999</v>
      </c>
      <c r="AE6526">
        <v>-101.090289</v>
      </c>
      <c r="AF6526">
        <v>51.254820630987702</v>
      </c>
      <c r="AG6526">
        <v>22.941549999999999</v>
      </c>
      <c r="AH6526">
        <v>88.174856754463406</v>
      </c>
      <c r="AI6526">
        <v>77.322873900020397</v>
      </c>
      <c r="AJ6526">
        <v>59.831157383664198</v>
      </c>
      <c r="AK6526">
        <v>104.537920000291</v>
      </c>
      <c r="AL6526">
        <v>89.893978167507996</v>
      </c>
      <c r="AM6526">
        <v>83.688495470190304</v>
      </c>
      <c r="AN6526">
        <v>1.0000000000135001</v>
      </c>
    </row>
    <row r="6527" spans="1:40" x14ac:dyDescent="0.25">
      <c r="A6527" t="str">
        <f>"20190312160815143"</f>
        <v>20190312160815143</v>
      </c>
      <c r="B6527" t="str">
        <f>"1552378095132204"</f>
        <v>1552378095132204</v>
      </c>
      <c r="C6527" t="s">
        <v>40</v>
      </c>
      <c r="D6527">
        <v>5.9231850000000001</v>
      </c>
      <c r="E6527">
        <v>0.61611719999999903</v>
      </c>
      <c r="F6527" t="s">
        <v>44</v>
      </c>
      <c r="G6527">
        <v>-306.2158</v>
      </c>
      <c r="H6527">
        <v>1.185462</v>
      </c>
      <c r="I6527">
        <v>8.8702050000000003</v>
      </c>
      <c r="J6527">
        <v>-306.31569999999999</v>
      </c>
      <c r="K6527">
        <v>1.0468329999999999</v>
      </c>
      <c r="L6527">
        <v>9.316376</v>
      </c>
      <c r="M6527">
        <v>0.74228530000000004</v>
      </c>
      <c r="N6527">
        <v>0</v>
      </c>
      <c r="O6527">
        <v>-0.66988249999999905</v>
      </c>
      <c r="P6527">
        <v>0.66429869999999902</v>
      </c>
      <c r="Q6527">
        <v>-1.1201030000000001E-2</v>
      </c>
      <c r="R6527">
        <v>-0.74738319999999903</v>
      </c>
      <c r="S6527">
        <v>1.3637079999999999</v>
      </c>
      <c r="T6527">
        <v>0.59834290000000001</v>
      </c>
      <c r="U6527">
        <v>-2.8293149999999998</v>
      </c>
      <c r="V6527">
        <v>0.109891</v>
      </c>
      <c r="W6527">
        <v>1.7312199999999999E-3</v>
      </c>
      <c r="X6527">
        <v>0.99394210000000005</v>
      </c>
      <c r="Y6527">
        <v>0.3803086</v>
      </c>
      <c r="Z6527">
        <v>-9.8372269999999998E-2</v>
      </c>
      <c r="AA6527">
        <v>0.91961309999999996</v>
      </c>
      <c r="AB6527">
        <v>30</v>
      </c>
      <c r="AC6527">
        <v>9.9899999999990996E-2</v>
      </c>
      <c r="AD6527">
        <v>0.138629</v>
      </c>
      <c r="AE6527">
        <v>-0.44617099999999899</v>
      </c>
      <c r="AF6527">
        <v>0.242048850525345</v>
      </c>
      <c r="AG6527">
        <v>0.138629</v>
      </c>
      <c r="AH6527">
        <v>0.341676244797818</v>
      </c>
      <c r="AI6527">
        <v>71.681614659852301</v>
      </c>
      <c r="AJ6527">
        <v>54.685640304506002</v>
      </c>
      <c r="AK6527">
        <v>0.441076299454844</v>
      </c>
      <c r="AL6527">
        <v>89.900808347430299</v>
      </c>
      <c r="AM6527">
        <v>83.690958038963004</v>
      </c>
      <c r="AN6527">
        <v>0.99999996357804799</v>
      </c>
    </row>
    <row r="6528" spans="1:40" x14ac:dyDescent="0.25">
      <c r="A6528" t="str">
        <f>"20190312160815166"</f>
        <v>20190312160815166</v>
      </c>
      <c r="B6528" t="str">
        <f>"1552378095162455"</f>
        <v>1552378095162455</v>
      </c>
      <c r="C6528" t="s">
        <v>40</v>
      </c>
      <c r="D6528">
        <v>5.0925149999999997</v>
      </c>
      <c r="E6528">
        <v>0.67080169999999995</v>
      </c>
      <c r="F6528" t="s">
        <v>44</v>
      </c>
      <c r="G6528">
        <v>-306.02289999999999</v>
      </c>
      <c r="H6528">
        <v>1.191883</v>
      </c>
      <c r="I6528">
        <v>8.6706450000000004</v>
      </c>
      <c r="J6528">
        <v>-306.10090000000002</v>
      </c>
      <c r="K6528">
        <v>1.0467280000000001</v>
      </c>
      <c r="L6528">
        <v>9.1013789999999997</v>
      </c>
      <c r="M6528">
        <v>0.73141080000000003</v>
      </c>
      <c r="N6528">
        <v>0</v>
      </c>
      <c r="O6528">
        <v>-0.68173869999999903</v>
      </c>
      <c r="P6528">
        <v>0.65199059999999998</v>
      </c>
      <c r="Q6528">
        <v>-1.128404E-2</v>
      </c>
      <c r="R6528">
        <v>-0.75814340000000002</v>
      </c>
      <c r="S6528">
        <v>1.3005679999999999</v>
      </c>
      <c r="T6528">
        <v>0.64418520000000001</v>
      </c>
      <c r="U6528">
        <v>-2.8676759999999999</v>
      </c>
      <c r="V6528">
        <v>0.11014649999999999</v>
      </c>
      <c r="W6528">
        <v>1.633469E-3</v>
      </c>
      <c r="X6528">
        <v>0.99391399999999996</v>
      </c>
      <c r="Y6528">
        <v>0.38729570000000002</v>
      </c>
      <c r="Z6528">
        <v>-0.107651</v>
      </c>
      <c r="AA6528">
        <v>0.91564909999999999</v>
      </c>
      <c r="AB6528">
        <v>30</v>
      </c>
      <c r="AC6528">
        <v>7.8000000000031294E-2</v>
      </c>
      <c r="AD6528">
        <v>0.14515499999999901</v>
      </c>
      <c r="AE6528">
        <v>-0.43073399999999901</v>
      </c>
      <c r="AF6528">
        <v>0.235957544901989</v>
      </c>
      <c r="AG6528">
        <v>0.14515499999999901</v>
      </c>
      <c r="AH6528">
        <v>0.31599850112448102</v>
      </c>
      <c r="AI6528">
        <v>69.793148726127598</v>
      </c>
      <c r="AJ6528">
        <v>53.2511324037309</v>
      </c>
      <c r="AK6528">
        <v>0.42023920537485898</v>
      </c>
      <c r="AL6528">
        <v>89.906409076799306</v>
      </c>
      <c r="AM6528">
        <v>83.676230680848704</v>
      </c>
      <c r="AN6528">
        <v>0.99999997953961095</v>
      </c>
    </row>
    <row r="6529" spans="1:40" x14ac:dyDescent="0.25">
      <c r="A6529" t="str">
        <f>"20190312160815180"</f>
        <v>20190312160815180</v>
      </c>
      <c r="B6529" t="str">
        <f>"1552378095172216"</f>
        <v>1552378095172216</v>
      </c>
      <c r="C6529" t="s">
        <v>40</v>
      </c>
      <c r="D6529">
        <v>5.2118099999999998</v>
      </c>
      <c r="E6529">
        <v>0.66701919999999904</v>
      </c>
      <c r="F6529" t="s">
        <v>109</v>
      </c>
      <c r="G6529">
        <v>-277.01729999999998</v>
      </c>
      <c r="H6529">
        <v>26.011430000000001</v>
      </c>
      <c r="I6529">
        <v>-90.976820000000004</v>
      </c>
      <c r="J6529">
        <v>-305.96710000000002</v>
      </c>
      <c r="K6529">
        <v>1.046667</v>
      </c>
      <c r="L6529">
        <v>8.9638670000000005</v>
      </c>
      <c r="M6529">
        <v>0.72439209999999998</v>
      </c>
      <c r="N6529">
        <v>0</v>
      </c>
      <c r="O6529">
        <v>-0.68919140000000001</v>
      </c>
      <c r="P6529">
        <v>0.64402530000000002</v>
      </c>
      <c r="Q6529">
        <v>-1.0994550000000001E-2</v>
      </c>
      <c r="R6529">
        <v>-0.76492550000000004</v>
      </c>
      <c r="S6529">
        <v>0.92276000000000002</v>
      </c>
      <c r="T6529">
        <v>0.79207559999999999</v>
      </c>
      <c r="U6529">
        <v>-3.175262</v>
      </c>
      <c r="V6529">
        <v>0.1103785</v>
      </c>
      <c r="W6529">
        <v>1.9128940000000001E-3</v>
      </c>
      <c r="X6529">
        <v>0.99388779999999999</v>
      </c>
      <c r="Y6529">
        <v>0.50423119999999999</v>
      </c>
      <c r="Z6529">
        <v>-0.1156784</v>
      </c>
      <c r="AA6529">
        <v>0.85578580000000004</v>
      </c>
      <c r="AB6529">
        <v>30</v>
      </c>
      <c r="AC6529">
        <v>28.9498</v>
      </c>
      <c r="AD6529">
        <v>24.964763000000001</v>
      </c>
      <c r="AE6529">
        <v>-99.940686999999997</v>
      </c>
      <c r="AF6529">
        <v>49.596271742250003</v>
      </c>
      <c r="AG6529">
        <v>24.964763000000001</v>
      </c>
      <c r="AH6529">
        <v>84.969949100602804</v>
      </c>
      <c r="AI6529">
        <v>75.762003271078697</v>
      </c>
      <c r="AJ6529">
        <v>59.728236440196397</v>
      </c>
      <c r="AK6529">
        <v>101.50330936741</v>
      </c>
      <c r="AL6529">
        <v>89.890399182024296</v>
      </c>
      <c r="AM6529">
        <v>83.662853570031004</v>
      </c>
      <c r="AN6529">
        <v>1.0000000157072699</v>
      </c>
    </row>
    <row r="6530" spans="1:40" x14ac:dyDescent="0.25">
      <c r="A6530" t="str">
        <f>"20190312160815200"</f>
        <v>20190312160815200</v>
      </c>
      <c r="B6530" t="str">
        <f>"1552378095192386"</f>
        <v>1552378095192386</v>
      </c>
      <c r="C6530" t="s">
        <v>40</v>
      </c>
      <c r="D6530">
        <v>5.0160580000000001</v>
      </c>
      <c r="E6530">
        <v>0.66141490000000003</v>
      </c>
      <c r="F6530" t="s">
        <v>109</v>
      </c>
      <c r="G6530">
        <v>-277.15159999999997</v>
      </c>
      <c r="H6530">
        <v>25.235890000000001</v>
      </c>
      <c r="I6530">
        <v>-90.976820000000004</v>
      </c>
      <c r="J6530">
        <v>-305.78620000000001</v>
      </c>
      <c r="K6530">
        <v>1.046584</v>
      </c>
      <c r="L6530">
        <v>8.7731019999999997</v>
      </c>
      <c r="M6530">
        <v>0.71457619999999999</v>
      </c>
      <c r="N6530">
        <v>0</v>
      </c>
      <c r="O6530">
        <v>-0.69936330000000002</v>
      </c>
      <c r="P6530">
        <v>0.63318779999999997</v>
      </c>
      <c r="Q6530">
        <v>-1.106097E-2</v>
      </c>
      <c r="R6530">
        <v>-0.77391960000000004</v>
      </c>
      <c r="S6530">
        <v>0.91247560000000005</v>
      </c>
      <c r="T6530">
        <v>0.76597930000000003</v>
      </c>
      <c r="U6530">
        <v>-3.1647340000000002</v>
      </c>
      <c r="V6530">
        <v>0.1103243</v>
      </c>
      <c r="W6530">
        <v>1.845661E-3</v>
      </c>
      <c r="X6530">
        <v>0.9938939</v>
      </c>
      <c r="Y6530">
        <v>0.4939924</v>
      </c>
      <c r="Z6530">
        <v>-0.11636920000000001</v>
      </c>
      <c r="AA6530">
        <v>0.86164359999999995</v>
      </c>
      <c r="AB6530">
        <v>30</v>
      </c>
      <c r="AC6530">
        <v>28.634599999999999</v>
      </c>
      <c r="AD6530">
        <v>24.189305999999998</v>
      </c>
      <c r="AE6530">
        <v>-99.749921999999899</v>
      </c>
      <c r="AF6530">
        <v>48.618505048911601</v>
      </c>
      <c r="AG6530">
        <v>24.189305999999998</v>
      </c>
      <c r="AH6530">
        <v>85.585528139885298</v>
      </c>
      <c r="AI6530">
        <v>76.193215680811093</v>
      </c>
      <c r="AJ6530">
        <v>60.400426033780697</v>
      </c>
      <c r="AK6530">
        <v>101.359578654095</v>
      </c>
      <c r="AL6530">
        <v>89.894251351188004</v>
      </c>
      <c r="AM6530">
        <v>83.665978609102297</v>
      </c>
      <c r="AN6530">
        <v>0.99999997104611305</v>
      </c>
    </row>
    <row r="6531" spans="1:40" x14ac:dyDescent="0.25">
      <c r="A6531" t="str">
        <f>"20190312160815213"</f>
        <v>20190312160815213</v>
      </c>
      <c r="B6531" t="str">
        <f>"1552378095202145"</f>
        <v>1552378095202145</v>
      </c>
      <c r="C6531" t="s">
        <v>40</v>
      </c>
      <c r="D6531">
        <v>4.4922829999999996</v>
      </c>
      <c r="E6531">
        <v>0.66141490000000003</v>
      </c>
      <c r="F6531" t="s">
        <v>109</v>
      </c>
      <c r="G6531">
        <v>-277.19229999999999</v>
      </c>
      <c r="H6531">
        <v>24.267530000000001</v>
      </c>
      <c r="I6531">
        <v>-90.976820000000004</v>
      </c>
      <c r="J6531">
        <v>-305.65690000000001</v>
      </c>
      <c r="K6531">
        <v>1.046522</v>
      </c>
      <c r="L6531">
        <v>8.6337890000000002</v>
      </c>
      <c r="M6531">
        <v>0.7073469</v>
      </c>
      <c r="N6531">
        <v>0</v>
      </c>
      <c r="O6531">
        <v>-0.70667389999999997</v>
      </c>
      <c r="P6531">
        <v>0.62525169999999997</v>
      </c>
      <c r="Q6531">
        <v>-1.118735E-2</v>
      </c>
      <c r="R6531">
        <v>-0.78034289999999995</v>
      </c>
      <c r="S6531">
        <v>0.90252690000000002</v>
      </c>
      <c r="T6531">
        <v>0.73293730000000001</v>
      </c>
      <c r="U6531">
        <v>-3.1484679999999998</v>
      </c>
      <c r="V6531">
        <v>0.1102489</v>
      </c>
      <c r="W6531">
        <v>1.721207E-3</v>
      </c>
      <c r="X6531">
        <v>0.99390250000000002</v>
      </c>
      <c r="Y6531">
        <v>0.48645149999999998</v>
      </c>
      <c r="Z6531">
        <v>-0.1148641</v>
      </c>
      <c r="AA6531">
        <v>0.86612420000000001</v>
      </c>
      <c r="AB6531">
        <v>30</v>
      </c>
      <c r="AC6531">
        <v>28.464600000000001</v>
      </c>
      <c r="AD6531">
        <v>23.221008000000001</v>
      </c>
      <c r="AE6531">
        <v>-99.610608999999897</v>
      </c>
      <c r="AF6531">
        <v>47.942241831409198</v>
      </c>
      <c r="AG6531">
        <v>23.221008000000001</v>
      </c>
      <c r="AH6531">
        <v>86.207706470958897</v>
      </c>
      <c r="AI6531">
        <v>76.753345824114106</v>
      </c>
      <c r="AJ6531">
        <v>60.920479765470802</v>
      </c>
      <c r="AK6531">
        <v>101.338257431931</v>
      </c>
      <c r="AL6531">
        <v>89.9013820526649</v>
      </c>
      <c r="AM6531">
        <v>83.670326707567597</v>
      </c>
      <c r="AN6531">
        <v>0.99999998100549803</v>
      </c>
    </row>
    <row r="6532" spans="1:40" x14ac:dyDescent="0.25">
      <c r="A6532" t="str">
        <f>"20190312160815233"</f>
        <v>20190312160815233</v>
      </c>
      <c r="B6532" t="str">
        <f>"1552378095221665"</f>
        <v>1552378095221665</v>
      </c>
      <c r="C6532" t="s">
        <v>40</v>
      </c>
      <c r="D6532">
        <v>5.7347239999999999</v>
      </c>
      <c r="E6532">
        <v>0.66075569999999995</v>
      </c>
      <c r="F6532" t="s">
        <v>44</v>
      </c>
      <c r="G6532">
        <v>-305.50979999999998</v>
      </c>
      <c r="H6532">
        <v>1.1705620000000001</v>
      </c>
      <c r="I6532">
        <v>8.0991929999999996</v>
      </c>
      <c r="J6532">
        <v>-305.48329999999999</v>
      </c>
      <c r="K6532">
        <v>1.046441</v>
      </c>
      <c r="L6532">
        <v>8.4413450000000001</v>
      </c>
      <c r="M6532">
        <v>0.69729090000000005</v>
      </c>
      <c r="N6532">
        <v>0</v>
      </c>
      <c r="O6532">
        <v>-0.71659790000000001</v>
      </c>
      <c r="P6532">
        <v>0.61416599999999999</v>
      </c>
      <c r="Q6532">
        <v>-1.138042E-2</v>
      </c>
      <c r="R6532">
        <v>-0.78909499999999999</v>
      </c>
      <c r="S6532">
        <v>0.8703613</v>
      </c>
      <c r="T6532">
        <v>0.73285909999999999</v>
      </c>
      <c r="U6532">
        <v>-3.1575929999999999</v>
      </c>
      <c r="V6532">
        <v>0.1102385</v>
      </c>
      <c r="W6532">
        <v>1.5299949999999999E-3</v>
      </c>
      <c r="X6532">
        <v>0.99390400000000001</v>
      </c>
      <c r="Y6532">
        <v>0.48308329999999999</v>
      </c>
      <c r="Z6532">
        <v>-0.11789189999999899</v>
      </c>
      <c r="AA6532">
        <v>0.86760130000000002</v>
      </c>
      <c r="AB6532">
        <v>30</v>
      </c>
      <c r="AC6532">
        <v>-2.6499999999998601E-2</v>
      </c>
      <c r="AD6532">
        <v>0.124121</v>
      </c>
      <c r="AE6532">
        <v>-0.34215200000000001</v>
      </c>
      <c r="AF6532">
        <v>0.227804409570213</v>
      </c>
      <c r="AG6532">
        <v>0.124121</v>
      </c>
      <c r="AH6532">
        <v>0.200508736125901</v>
      </c>
      <c r="AI6532">
        <v>67.7556493276997</v>
      </c>
      <c r="AJ6532">
        <v>41.353567812796499</v>
      </c>
      <c r="AK6532">
        <v>0.32787897908136698</v>
      </c>
      <c r="AL6532">
        <v>89.912337710892999</v>
      </c>
      <c r="AM6532">
        <v>83.670928427113296</v>
      </c>
      <c r="AN6532">
        <v>1.00000001449147</v>
      </c>
    </row>
    <row r="6533" spans="1:40" x14ac:dyDescent="0.25">
      <c r="A6533" t="str">
        <f>"20190312160815255"</f>
        <v>20190312160815255</v>
      </c>
      <c r="B6533" t="str">
        <f>"1552378095251921"</f>
        <v>1552378095251921</v>
      </c>
      <c r="C6533" t="s">
        <v>40</v>
      </c>
      <c r="D6533">
        <v>5.7810119999999996</v>
      </c>
      <c r="E6533">
        <v>0.65754409999999996</v>
      </c>
      <c r="F6533" t="s">
        <v>44</v>
      </c>
      <c r="G6533">
        <v>-305.34179999999998</v>
      </c>
      <c r="H6533">
        <v>1.1716169999999999</v>
      </c>
      <c r="I6533">
        <v>7.9015649999999997</v>
      </c>
      <c r="J6533">
        <v>-305.2842</v>
      </c>
      <c r="K6533">
        <v>1.0463480000000001</v>
      </c>
      <c r="L6533">
        <v>8.2134400000000003</v>
      </c>
      <c r="M6533">
        <v>0.68526659999999995</v>
      </c>
      <c r="N6533">
        <v>0</v>
      </c>
      <c r="O6533">
        <v>-0.72810450000000004</v>
      </c>
      <c r="P6533">
        <v>0.60101819999999995</v>
      </c>
      <c r="Q6533">
        <v>-1.174421E-2</v>
      </c>
      <c r="R6533">
        <v>-0.79914929999999995</v>
      </c>
      <c r="S6533">
        <v>0.83010859999999997</v>
      </c>
      <c r="T6533">
        <v>0.73421499999999995</v>
      </c>
      <c r="U6533">
        <v>-3.1663209999999999</v>
      </c>
      <c r="V6533">
        <v>0.11013539999999999</v>
      </c>
      <c r="W6533">
        <v>1.171891E-3</v>
      </c>
      <c r="X6533">
        <v>0.99391589999999996</v>
      </c>
      <c r="Y6533">
        <v>0.47956339999999997</v>
      </c>
      <c r="Z6533">
        <v>-0.1216788</v>
      </c>
      <c r="AA6533">
        <v>0.86902999999999997</v>
      </c>
      <c r="AB6533">
        <v>30</v>
      </c>
      <c r="AC6533">
        <v>-5.7599999999979397E-2</v>
      </c>
      <c r="AD6533">
        <v>0.12526899999999899</v>
      </c>
      <c r="AE6533">
        <v>-0.31187500000000001</v>
      </c>
      <c r="AF6533">
        <v>0.22118387125777</v>
      </c>
      <c r="AG6533">
        <v>0.12526899999999899</v>
      </c>
      <c r="AH6533">
        <v>0.16230958038440901</v>
      </c>
      <c r="AI6533">
        <v>65.458249324593893</v>
      </c>
      <c r="AJ6533">
        <v>36.272038887071403</v>
      </c>
      <c r="AK6533">
        <v>0.30159414309654098</v>
      </c>
      <c r="AL6533">
        <v>89.932855576145499</v>
      </c>
      <c r="AM6533">
        <v>83.676874785490199</v>
      </c>
      <c r="AN6533">
        <v>0.99999999796724204</v>
      </c>
    </row>
    <row r="6534" spans="1:40" x14ac:dyDescent="0.25">
      <c r="A6534" t="str">
        <f>"20190312160815278"</f>
        <v>20190312160815278</v>
      </c>
      <c r="B6534" t="str">
        <f>"1552378095272416"</f>
        <v>1552378095272416</v>
      </c>
      <c r="C6534" t="s">
        <v>40</v>
      </c>
      <c r="D6534">
        <v>5.5116149999999999</v>
      </c>
      <c r="E6534">
        <v>0.65397479999999997</v>
      </c>
      <c r="F6534" t="s">
        <v>109</v>
      </c>
      <c r="G6534">
        <v>-277.17500000000001</v>
      </c>
      <c r="H6534">
        <v>25.77955</v>
      </c>
      <c r="I6534">
        <v>-103.13420000000001</v>
      </c>
      <c r="J6534">
        <v>-305.08350000000002</v>
      </c>
      <c r="K6534">
        <v>1.046257</v>
      </c>
      <c r="L6534">
        <v>7.975098</v>
      </c>
      <c r="M6534">
        <v>0.67257140000000004</v>
      </c>
      <c r="N6534">
        <v>0</v>
      </c>
      <c r="O6534">
        <v>-0.73984680000000003</v>
      </c>
      <c r="P6534">
        <v>0.58712959999999903</v>
      </c>
      <c r="Q6534">
        <v>-1.170154E-2</v>
      </c>
      <c r="R6534">
        <v>-0.80940869999999998</v>
      </c>
      <c r="S6534">
        <v>0.79864499999999905</v>
      </c>
      <c r="T6534">
        <v>0.7027255</v>
      </c>
      <c r="U6534">
        <v>-3.1636350000000002</v>
      </c>
      <c r="V6534">
        <v>0.110111</v>
      </c>
      <c r="W6534">
        <v>1.220528E-3</v>
      </c>
      <c r="X6534">
        <v>0.99391850000000004</v>
      </c>
      <c r="Y6534">
        <v>0.47237610000000002</v>
      </c>
      <c r="Z6534">
        <v>-0.1207681</v>
      </c>
      <c r="AA6534">
        <v>0.87308410000000003</v>
      </c>
      <c r="AB6534">
        <v>30</v>
      </c>
      <c r="AC6534">
        <v>27.9085</v>
      </c>
      <c r="AD6534">
        <v>24.733293</v>
      </c>
      <c r="AE6534">
        <v>-111.109298</v>
      </c>
      <c r="AF6534">
        <v>51.6794892960745</v>
      </c>
      <c r="AG6534">
        <v>24.733293</v>
      </c>
      <c r="AH6534">
        <v>96.490610678521094</v>
      </c>
      <c r="AI6534">
        <v>77.267271456813006</v>
      </c>
      <c r="AJ6534">
        <v>61.826904923656897</v>
      </c>
      <c r="AK6534">
        <v>112.218284364184</v>
      </c>
      <c r="AL6534">
        <v>89.930068876195804</v>
      </c>
      <c r="AM6534">
        <v>83.678280705679498</v>
      </c>
      <c r="AN6534">
        <v>0.99999995332592295</v>
      </c>
    </row>
    <row r="6535" spans="1:40" x14ac:dyDescent="0.25">
      <c r="A6535" t="str">
        <f>"20190312160815300"</f>
        <v>20190312160815300</v>
      </c>
      <c r="B6535" t="str">
        <f>"1552378095291542"</f>
        <v>1552378095291542</v>
      </c>
      <c r="C6535" t="s">
        <v>40</v>
      </c>
      <c r="D6535">
        <v>6.5420930000000004</v>
      </c>
      <c r="E6535">
        <v>0.65224169999999904</v>
      </c>
      <c r="F6535" t="s">
        <v>44</v>
      </c>
      <c r="G6535">
        <v>-304.90480000000002</v>
      </c>
      <c r="H6535">
        <v>1.19312</v>
      </c>
      <c r="I6535">
        <v>7.2388009999999996</v>
      </c>
      <c r="J6535">
        <v>-304.90039999999999</v>
      </c>
      <c r="K6535">
        <v>1.046181</v>
      </c>
      <c r="L6535">
        <v>7.7501829999999998</v>
      </c>
      <c r="M6535">
        <v>0.66047959999999994</v>
      </c>
      <c r="N6535">
        <v>0</v>
      </c>
      <c r="O6535">
        <v>-0.75066069999999996</v>
      </c>
      <c r="P6535">
        <v>0.5738356</v>
      </c>
      <c r="Q6535">
        <v>-1.204674E-2</v>
      </c>
      <c r="R6535">
        <v>-0.81888219999999901</v>
      </c>
      <c r="S6535">
        <v>0.76708980000000004</v>
      </c>
      <c r="T6535">
        <v>0.63014709999999996</v>
      </c>
      <c r="U6535">
        <v>-3.1590880000000001</v>
      </c>
      <c r="V6535">
        <v>0.1102008</v>
      </c>
      <c r="W6535">
        <v>8.7911309999999998E-4</v>
      </c>
      <c r="X6535">
        <v>0.99390889999999998</v>
      </c>
      <c r="Y6535">
        <v>0.4658795</v>
      </c>
      <c r="Z6535">
        <v>-0.112184199999999</v>
      </c>
      <c r="AA6535">
        <v>0.87770780000000004</v>
      </c>
      <c r="AB6535">
        <v>29</v>
      </c>
      <c r="AC6535">
        <v>-4.4000000000323702E-3</v>
      </c>
      <c r="AD6535">
        <v>0.14693899999999999</v>
      </c>
      <c r="AE6535">
        <v>-0.511382</v>
      </c>
      <c r="AF6535">
        <v>0.31509416429715398</v>
      </c>
      <c r="AG6535">
        <v>0.14693899999999999</v>
      </c>
      <c r="AH6535">
        <v>0.35196380354892398</v>
      </c>
      <c r="AI6535">
        <v>72.721846631422693</v>
      </c>
      <c r="AJ6535">
        <v>48.163634282295</v>
      </c>
      <c r="AK6535">
        <v>0.494726107158039</v>
      </c>
      <c r="AL6535">
        <v>89.949630520413706</v>
      </c>
      <c r="AM6535">
        <v>83.673106263193205</v>
      </c>
      <c r="AN6535">
        <v>0.99999994532984404</v>
      </c>
    </row>
    <row r="6536" spans="1:40" x14ac:dyDescent="0.25">
      <c r="A6536" t="str">
        <f>"20190312160815322"</f>
        <v>20190312160815322</v>
      </c>
      <c r="B6536" t="str">
        <f>"1552378095312039"</f>
        <v>1552378095312039</v>
      </c>
      <c r="C6536" t="s">
        <v>40</v>
      </c>
      <c r="D6536">
        <v>6.0496259999999999</v>
      </c>
      <c r="E6536">
        <v>0.64943490000000004</v>
      </c>
      <c r="F6536" t="s">
        <v>44</v>
      </c>
      <c r="G6536">
        <v>-304.73630000000003</v>
      </c>
      <c r="H6536">
        <v>1.1852720000000001</v>
      </c>
      <c r="I6536">
        <v>7.0360569999999996</v>
      </c>
      <c r="J6536">
        <v>-304.714</v>
      </c>
      <c r="K6536">
        <v>1.0461129999999901</v>
      </c>
      <c r="L6536">
        <v>7.5131229999999896</v>
      </c>
      <c r="M6536">
        <v>0.64763059999999995</v>
      </c>
      <c r="N6536">
        <v>0</v>
      </c>
      <c r="O6536">
        <v>-0.76177299999999903</v>
      </c>
      <c r="P6536">
        <v>0.55988359999999904</v>
      </c>
      <c r="Q6536">
        <v>-1.2176029999999999E-2</v>
      </c>
      <c r="R6536">
        <v>-0.82848189999999999</v>
      </c>
      <c r="S6536">
        <v>0.72714230000000002</v>
      </c>
      <c r="T6536">
        <v>0.61608229999999997</v>
      </c>
      <c r="U6536">
        <v>-3.1630549999999999</v>
      </c>
      <c r="V6536">
        <v>0.1101444</v>
      </c>
      <c r="W6536">
        <v>7.5942649999999996E-4</v>
      </c>
      <c r="X6536">
        <v>0.99391529999999995</v>
      </c>
      <c r="Y6536">
        <v>0.46165010000000001</v>
      </c>
      <c r="Z6536">
        <v>-0.1128883</v>
      </c>
      <c r="AA6536">
        <v>0.87984969999999996</v>
      </c>
      <c r="AB6536">
        <v>29</v>
      </c>
      <c r="AC6536">
        <v>-2.2300000000029699E-2</v>
      </c>
      <c r="AD6536">
        <v>0.139159</v>
      </c>
      <c r="AE6536">
        <v>-0.47706599999999799</v>
      </c>
      <c r="AF6536">
        <v>0.30048350836358101</v>
      </c>
      <c r="AG6536">
        <v>0.139159</v>
      </c>
      <c r="AH6536">
        <v>0.32170841373382297</v>
      </c>
      <c r="AI6536">
        <v>72.457311089828295</v>
      </c>
      <c r="AJ6536">
        <v>46.953779948079301</v>
      </c>
      <c r="AK6536">
        <v>0.46168373324887602</v>
      </c>
      <c r="AL6536">
        <v>89.956488062281196</v>
      </c>
      <c r="AM6536">
        <v>83.676358474130396</v>
      </c>
      <c r="AN6536">
        <v>0.99999999457702904</v>
      </c>
    </row>
    <row r="6537" spans="1:40" x14ac:dyDescent="0.25">
      <c r="A6537" t="str">
        <f>"20190312160815344"</f>
        <v>20190312160815344</v>
      </c>
      <c r="B6537" t="str">
        <f>"1552378095342295"</f>
        <v>1552378095342295</v>
      </c>
      <c r="C6537" t="s">
        <v>40</v>
      </c>
      <c r="D6537">
        <v>5.4812399999999997</v>
      </c>
      <c r="E6537">
        <v>0.645646099999999</v>
      </c>
      <c r="F6537" t="s">
        <v>44</v>
      </c>
      <c r="G6537">
        <v>-304.56580000000002</v>
      </c>
      <c r="H6537">
        <v>1.1728510000000001</v>
      </c>
      <c r="I6537">
        <v>6.8354910000000002</v>
      </c>
      <c r="J6537">
        <v>-304.53640000000001</v>
      </c>
      <c r="K6537">
        <v>1.0460529999999999</v>
      </c>
      <c r="L6537">
        <v>7.2792659999999998</v>
      </c>
      <c r="M6537">
        <v>0.63485219999999998</v>
      </c>
      <c r="N6537">
        <v>0</v>
      </c>
      <c r="O6537">
        <v>-0.77245439999999999</v>
      </c>
      <c r="P6537">
        <v>0.54601509999999998</v>
      </c>
      <c r="Q6537">
        <v>-1.2103600000000001E-2</v>
      </c>
      <c r="R6537">
        <v>-0.83768829999999905</v>
      </c>
      <c r="S6537">
        <v>0.69232179999999999</v>
      </c>
      <c r="T6537">
        <v>0.59145239999999999</v>
      </c>
      <c r="U6537">
        <v>-3.161896</v>
      </c>
      <c r="V6537">
        <v>0.1101379</v>
      </c>
      <c r="W6537">
        <v>8.4048929999999895E-4</v>
      </c>
      <c r="X6537">
        <v>0.99391600000000002</v>
      </c>
      <c r="Y6537">
        <v>0.4560399</v>
      </c>
      <c r="Z6537">
        <v>-0.11163820000000001</v>
      </c>
      <c r="AA6537">
        <v>0.88292950000000003</v>
      </c>
      <c r="AB6537">
        <v>29</v>
      </c>
      <c r="AC6537">
        <v>-2.9400000000009599E-2</v>
      </c>
      <c r="AD6537">
        <v>0.12679799999999899</v>
      </c>
      <c r="AE6537">
        <v>-0.44377499999999998</v>
      </c>
      <c r="AF6537">
        <v>0.28159509105946701</v>
      </c>
      <c r="AG6537">
        <v>0.12679799999999899</v>
      </c>
      <c r="AH6537">
        <v>0.29980710158380502</v>
      </c>
      <c r="AI6537">
        <v>72.866797446132296</v>
      </c>
      <c r="AJ6537">
        <v>46.794162913248798</v>
      </c>
      <c r="AK6537">
        <v>0.43041587595356201</v>
      </c>
      <c r="AL6537">
        <v>89.951843506604305</v>
      </c>
      <c r="AM6537">
        <v>83.676733048411705</v>
      </c>
      <c r="AN6537">
        <v>1.0000000392473301</v>
      </c>
    </row>
    <row r="6538" spans="1:40" x14ac:dyDescent="0.25">
      <c r="A6538" t="str">
        <f>"20190312160815367"</f>
        <v>20190312160815367</v>
      </c>
      <c r="B6538" t="str">
        <f>"1552378095361814"</f>
        <v>1552378095361814</v>
      </c>
      <c r="C6538" t="s">
        <v>40</v>
      </c>
      <c r="D6538">
        <v>6.100606</v>
      </c>
      <c r="E6538">
        <v>0.64305330000000005</v>
      </c>
      <c r="F6538" t="s">
        <v>44</v>
      </c>
      <c r="G6538">
        <v>-304.39999999999998</v>
      </c>
      <c r="H6538">
        <v>1.1612910000000001</v>
      </c>
      <c r="I6538">
        <v>6.6311540000000004</v>
      </c>
      <c r="J6538">
        <v>-304.35300000000001</v>
      </c>
      <c r="K6538">
        <v>1.0459959999999999</v>
      </c>
      <c r="L6538">
        <v>7.0287169999999897</v>
      </c>
      <c r="M6538">
        <v>0.621058</v>
      </c>
      <c r="N6538">
        <v>0</v>
      </c>
      <c r="O6538">
        <v>-0.78358719999999904</v>
      </c>
      <c r="P6538">
        <v>0.53123690000000001</v>
      </c>
      <c r="Q6538">
        <v>-1.26052E-2</v>
      </c>
      <c r="R6538">
        <v>-0.84712949999999998</v>
      </c>
      <c r="S6538">
        <v>0.6650085</v>
      </c>
      <c r="T6538">
        <v>0.5612104</v>
      </c>
      <c r="U6538">
        <v>-3.155945</v>
      </c>
      <c r="V6538">
        <v>0.1099323</v>
      </c>
      <c r="W6538">
        <v>3.555454E-4</v>
      </c>
      <c r="X6538">
        <v>0.99393900000000002</v>
      </c>
      <c r="Y6538">
        <v>0.44720569999999998</v>
      </c>
      <c r="Z6538">
        <v>-0.1094719</v>
      </c>
      <c r="AA6538">
        <v>0.88770659999999901</v>
      </c>
      <c r="AB6538">
        <v>29</v>
      </c>
      <c r="AC6538">
        <v>-4.6999999999968602E-2</v>
      </c>
      <c r="AD6538">
        <v>0.11529499999999999</v>
      </c>
      <c r="AE6538">
        <v>-0.397562999999999</v>
      </c>
      <c r="AF6538">
        <v>0.26204302199028601</v>
      </c>
      <c r="AG6538">
        <v>0.11529499999999999</v>
      </c>
      <c r="AH6538">
        <v>0.26074754962788099</v>
      </c>
      <c r="AI6538">
        <v>72.678011551944707</v>
      </c>
      <c r="AJ6538">
        <v>44.858021642037102</v>
      </c>
      <c r="AK6538">
        <v>0.38723218749962601</v>
      </c>
      <c r="AL6538">
        <v>89.979628748447595</v>
      </c>
      <c r="AM6538">
        <v>83.688586535849197</v>
      </c>
      <c r="AN6538">
        <v>0.99999998635841003</v>
      </c>
    </row>
    <row r="6539" spans="1:40" x14ac:dyDescent="0.25">
      <c r="A6539" t="str">
        <f>"20190312160815389"</f>
        <v>20190312160815389</v>
      </c>
      <c r="B6539" t="str">
        <f>"1552378095382314"</f>
        <v>1552378095382314</v>
      </c>
      <c r="C6539" t="s">
        <v>40</v>
      </c>
      <c r="D6539">
        <v>5.9999000000000002</v>
      </c>
      <c r="E6539">
        <v>0.64093129999999998</v>
      </c>
      <c r="F6539" t="s">
        <v>44</v>
      </c>
      <c r="G6539">
        <v>-304.23329999999999</v>
      </c>
      <c r="H6539">
        <v>1.1495629999999999</v>
      </c>
      <c r="I6539">
        <v>6.425351</v>
      </c>
      <c r="J6539">
        <v>-304.18180000000001</v>
      </c>
      <c r="K6539">
        <v>1.045949</v>
      </c>
      <c r="L6539">
        <v>6.7859800000000003</v>
      </c>
      <c r="M6539">
        <v>0.60759479999999999</v>
      </c>
      <c r="N6539">
        <v>0</v>
      </c>
      <c r="O6539">
        <v>-0.79407190000000005</v>
      </c>
      <c r="P6539">
        <v>0.5172582</v>
      </c>
      <c r="Q6539">
        <v>-1.3765110000000001E-2</v>
      </c>
      <c r="R6539">
        <v>-0.85571869999999906</v>
      </c>
      <c r="S6539">
        <v>0.62716669999999997</v>
      </c>
      <c r="T6539">
        <v>0.54180779999999995</v>
      </c>
      <c r="U6539">
        <v>-3.1561279999999998</v>
      </c>
      <c r="V6539">
        <v>0.1092393</v>
      </c>
      <c r="W6539">
        <v>-7.7149969999999995E-4</v>
      </c>
      <c r="X6539">
        <v>0.99401519999999999</v>
      </c>
      <c r="Y6539">
        <v>0.44217089999999998</v>
      </c>
      <c r="Z6539">
        <v>-0.1085742</v>
      </c>
      <c r="AA6539">
        <v>0.89033499999999999</v>
      </c>
      <c r="AB6539">
        <v>29</v>
      </c>
      <c r="AC6539">
        <v>-5.1499999999975898E-2</v>
      </c>
      <c r="AD6539">
        <v>0.103613999999999</v>
      </c>
      <c r="AE6539">
        <v>-0.36062899999999998</v>
      </c>
      <c r="AF6539">
        <v>0.24058399027732399</v>
      </c>
      <c r="AG6539">
        <v>0.103613999999999</v>
      </c>
      <c r="AH6539">
        <v>0.236016062816786</v>
      </c>
      <c r="AI6539">
        <v>72.910513687375001</v>
      </c>
      <c r="AJ6539">
        <v>44.450870915086199</v>
      </c>
      <c r="AK6539">
        <v>0.35259055472501899</v>
      </c>
      <c r="AL6539">
        <v>90.044203680257297</v>
      </c>
      <c r="AM6539">
        <v>83.728531828226394</v>
      </c>
      <c r="AN6539">
        <v>1.00000001885365</v>
      </c>
    </row>
    <row r="6540" spans="1:40" x14ac:dyDescent="0.25">
      <c r="A6540" t="str">
        <f>"20190312160815411"</f>
        <v>20190312160815411</v>
      </c>
      <c r="B6540" t="str">
        <f>"1552378095402443"</f>
        <v>1552378095402443</v>
      </c>
      <c r="C6540" t="s">
        <v>40</v>
      </c>
      <c r="D6540">
        <v>5.6777439999999997</v>
      </c>
      <c r="E6540">
        <v>0.63892280000000001</v>
      </c>
      <c r="F6540" t="s">
        <v>44</v>
      </c>
      <c r="G6540">
        <v>-304.06810000000002</v>
      </c>
      <c r="H6540">
        <v>1.1462319999999999</v>
      </c>
      <c r="I6540">
        <v>6.1783960000000002</v>
      </c>
      <c r="J6540">
        <v>-304.0204</v>
      </c>
      <c r="K6540">
        <v>1.0459130000000001</v>
      </c>
      <c r="L6540">
        <v>6.548737</v>
      </c>
      <c r="M6540">
        <v>0.59435190000000004</v>
      </c>
      <c r="N6540">
        <v>0</v>
      </c>
      <c r="O6540">
        <v>-0.80403159999999996</v>
      </c>
      <c r="P6540">
        <v>0.50343369999999998</v>
      </c>
      <c r="Q6540">
        <v>-1.440846E-2</v>
      </c>
      <c r="R6540">
        <v>-0.86391409999999902</v>
      </c>
      <c r="S6540">
        <v>0.59051509999999996</v>
      </c>
      <c r="T6540">
        <v>0.52111770000000002</v>
      </c>
      <c r="U6540">
        <v>-3.157257</v>
      </c>
      <c r="V6540">
        <v>0.108720899999999</v>
      </c>
      <c r="W6540">
        <v>-1.3871350000000001E-3</v>
      </c>
      <c r="X6540">
        <v>0.99407140000000005</v>
      </c>
      <c r="Y6540">
        <v>0.43732349999999998</v>
      </c>
      <c r="Z6540">
        <v>-0.1070588</v>
      </c>
      <c r="AA6540">
        <v>0.89290899999999995</v>
      </c>
      <c r="AB6540">
        <v>29</v>
      </c>
      <c r="AC6540">
        <v>-4.7700000000020198E-2</v>
      </c>
      <c r="AD6540">
        <v>0.10031900000000001</v>
      </c>
      <c r="AE6540">
        <v>-0.37034099999999898</v>
      </c>
      <c r="AF6540">
        <v>0.241098729935036</v>
      </c>
      <c r="AG6540">
        <v>0.10031900000000001</v>
      </c>
      <c r="AH6540">
        <v>0.25131308218825898</v>
      </c>
      <c r="AI6540">
        <v>73.930658197016399</v>
      </c>
      <c r="AJ6540">
        <v>46.188345487020001</v>
      </c>
      <c r="AK6540">
        <v>0.36242346035577</v>
      </c>
      <c r="AL6540">
        <v>90.079477002368705</v>
      </c>
      <c r="AM6540">
        <v>83.758407988876897</v>
      </c>
      <c r="AN6540">
        <v>1.00000005326913</v>
      </c>
    </row>
    <row r="6541" spans="1:40" x14ac:dyDescent="0.25">
      <c r="A6541" t="str">
        <f>"20190312160815433"</f>
        <v>20190312160815433</v>
      </c>
      <c r="B6541" t="str">
        <f>"1552378095421964"</f>
        <v>1552378095421964</v>
      </c>
      <c r="C6541" t="s">
        <v>40</v>
      </c>
      <c r="D6541">
        <v>6.2148770000000004</v>
      </c>
      <c r="E6541">
        <v>0.63716309999999998</v>
      </c>
      <c r="F6541" t="s">
        <v>44</v>
      </c>
      <c r="G6541">
        <v>-303.91340000000002</v>
      </c>
      <c r="H6541">
        <v>1.1432990000000001</v>
      </c>
      <c r="I6541">
        <v>5.9369480000000001</v>
      </c>
      <c r="J6541">
        <v>-303.8546</v>
      </c>
      <c r="K6541">
        <v>1.0458769999999999</v>
      </c>
      <c r="L6541">
        <v>6.2960209999999996</v>
      </c>
      <c r="M6541">
        <v>0.58015810000000001</v>
      </c>
      <c r="N6541">
        <v>0</v>
      </c>
      <c r="O6541">
        <v>-0.81433219999999995</v>
      </c>
      <c r="P6541">
        <v>0.48836020000000002</v>
      </c>
      <c r="Q6541">
        <v>-1.4641410000000001E-2</v>
      </c>
      <c r="R6541">
        <v>-0.87251939999999995</v>
      </c>
      <c r="S6541">
        <v>0.55349729999999997</v>
      </c>
      <c r="T6541">
        <v>0.50283559999999905</v>
      </c>
      <c r="U6541">
        <v>-3.1583860000000001</v>
      </c>
      <c r="V6541">
        <v>0.1085333</v>
      </c>
      <c r="W6541">
        <v>-1.6028940000000001E-3</v>
      </c>
      <c r="X6541">
        <v>0.99409150000000002</v>
      </c>
      <c r="Y6541">
        <v>0.43173620000000001</v>
      </c>
      <c r="Z6541">
        <v>-0.1059435</v>
      </c>
      <c r="AA6541">
        <v>0.89575649999999996</v>
      </c>
      <c r="AB6541">
        <v>29</v>
      </c>
      <c r="AC6541">
        <v>-5.8800000000019198E-2</v>
      </c>
      <c r="AD6541">
        <v>9.7422000000000106E-2</v>
      </c>
      <c r="AE6541">
        <v>-0.35907299999999898</v>
      </c>
      <c r="AF6541">
        <v>0.23909691422569801</v>
      </c>
      <c r="AG6541">
        <v>9.7422000000000106E-2</v>
      </c>
      <c r="AH6541">
        <v>0.24104697441636</v>
      </c>
      <c r="AI6541">
        <v>73.989488757427594</v>
      </c>
      <c r="AJ6541">
        <v>45.232700253068302</v>
      </c>
      <c r="AK6541">
        <v>0.35321668187039601</v>
      </c>
      <c r="AL6541">
        <v>90.091839102514797</v>
      </c>
      <c r="AM6541">
        <v>83.769218184348503</v>
      </c>
      <c r="AN6541">
        <v>0.99999997842515698</v>
      </c>
    </row>
    <row r="6542" spans="1:40" x14ac:dyDescent="0.25">
      <c r="A6542" t="str">
        <f>"20190312160815456"</f>
        <v>20190312160815456</v>
      </c>
      <c r="B6542" t="str">
        <f>"1552378095452219"</f>
        <v>1552378095452219</v>
      </c>
      <c r="C6542" t="s">
        <v>40</v>
      </c>
      <c r="D6542">
        <v>5.8361869999999998</v>
      </c>
      <c r="E6542">
        <v>0.60662759999999905</v>
      </c>
      <c r="F6542" t="s">
        <v>44</v>
      </c>
      <c r="G6542">
        <v>-303.75560000000002</v>
      </c>
      <c r="H6542">
        <v>1.1403299999999901</v>
      </c>
      <c r="I6542">
        <v>5.6827300000000003</v>
      </c>
      <c r="J6542">
        <v>-303.6979</v>
      </c>
      <c r="K6542">
        <v>1.0458449999999999</v>
      </c>
      <c r="L6542">
        <v>6.0468440000000001</v>
      </c>
      <c r="M6542">
        <v>0.56609900000000002</v>
      </c>
      <c r="N6542">
        <v>0</v>
      </c>
      <c r="O6542">
        <v>-0.82416719999999899</v>
      </c>
      <c r="P6542">
        <v>0.47377010000000003</v>
      </c>
      <c r="Q6542">
        <v>-1.5106919999999999E-2</v>
      </c>
      <c r="R6542">
        <v>-0.88051919999999995</v>
      </c>
      <c r="S6542">
        <v>0.51104740000000004</v>
      </c>
      <c r="T6542">
        <v>0.48676839999999999</v>
      </c>
      <c r="U6542">
        <v>-3.160431</v>
      </c>
      <c r="V6542">
        <v>0.1080021</v>
      </c>
      <c r="W6542">
        <v>-2.0393299999999998E-3</v>
      </c>
      <c r="X6542">
        <v>0.99414860000000005</v>
      </c>
      <c r="Y6542">
        <v>0.42805219999999999</v>
      </c>
      <c r="Z6542">
        <v>-0.10491780000000001</v>
      </c>
      <c r="AA6542">
        <v>0.89764339999999998</v>
      </c>
      <c r="AB6542">
        <v>29</v>
      </c>
      <c r="AC6542">
        <v>-5.7700000000011097E-2</v>
      </c>
      <c r="AD6542">
        <v>9.4484999999999694E-2</v>
      </c>
      <c r="AE6542">
        <v>-0.36411399999999899</v>
      </c>
      <c r="AF6542">
        <v>0.23807607030608699</v>
      </c>
      <c r="AG6542">
        <v>9.4484999999999694E-2</v>
      </c>
      <c r="AH6542">
        <v>0.25097836870239798</v>
      </c>
      <c r="AI6542">
        <v>74.723400699313899</v>
      </c>
      <c r="AJ6542">
        <v>46.511234225174199</v>
      </c>
      <c r="AK6542">
        <v>0.35860531512221899</v>
      </c>
      <c r="AL6542">
        <v>90.116845080024802</v>
      </c>
      <c r="AM6542">
        <v>83.799829054826503</v>
      </c>
      <c r="AN6542">
        <v>1.0000000256766</v>
      </c>
    </row>
    <row r="6543" spans="1:40" x14ac:dyDescent="0.25">
      <c r="A6543" t="str">
        <f>"20190312160815478"</f>
        <v>20190312160815478</v>
      </c>
      <c r="B6543" t="str">
        <f>"1552378095471739"</f>
        <v>1552378095471739</v>
      </c>
      <c r="C6543" t="s">
        <v>40</v>
      </c>
      <c r="D6543">
        <v>5.9253859999999996</v>
      </c>
      <c r="E6543">
        <v>0.61427940000000003</v>
      </c>
      <c r="F6543" t="s">
        <v>109</v>
      </c>
      <c r="G6543">
        <v>-278.18560000000002</v>
      </c>
      <c r="H6543">
        <v>6.7334670000000001</v>
      </c>
      <c r="I6543">
        <v>-109.52630000000001</v>
      </c>
      <c r="J6543">
        <v>-303.54000000000002</v>
      </c>
      <c r="K6543">
        <v>1.0458240000000001</v>
      </c>
      <c r="L6543">
        <v>5.7857059999999896</v>
      </c>
      <c r="M6543">
        <v>0.55129600000000001</v>
      </c>
      <c r="N6543">
        <v>0</v>
      </c>
      <c r="O6543">
        <v>-0.83414140000000003</v>
      </c>
      <c r="P6543">
        <v>0.45873399999999998</v>
      </c>
      <c r="Q6543">
        <v>-1.4495559999999999E-2</v>
      </c>
      <c r="R6543">
        <v>-0.88845569999999896</v>
      </c>
      <c r="S6543">
        <v>0.67276000000000002</v>
      </c>
      <c r="T6543">
        <v>0.14998320000000001</v>
      </c>
      <c r="U6543">
        <v>-3.0476679999999998</v>
      </c>
      <c r="V6543">
        <v>0.107181</v>
      </c>
      <c r="W6543">
        <v>-1.3878359999999999E-3</v>
      </c>
      <c r="X6543">
        <v>0.99423859999999997</v>
      </c>
      <c r="Y6543">
        <v>0.358716799999999</v>
      </c>
      <c r="Z6543">
        <v>-3.5139129999999998E-2</v>
      </c>
      <c r="AA6543">
        <v>0.93278490000000003</v>
      </c>
      <c r="AB6543">
        <v>29</v>
      </c>
      <c r="AC6543">
        <v>25.354399999999998</v>
      </c>
      <c r="AD6543">
        <v>5.6876429999999996</v>
      </c>
      <c r="AE6543">
        <v>-115.312006</v>
      </c>
      <c r="AF6543">
        <v>42.329618637353498</v>
      </c>
      <c r="AG6543">
        <v>5.6876429999999996</v>
      </c>
      <c r="AH6543">
        <v>109.924672696012</v>
      </c>
      <c r="AI6543">
        <v>87.235620323978694</v>
      </c>
      <c r="AJ6543">
        <v>68.939381690517195</v>
      </c>
      <c r="AK6543">
        <v>117.930401356921</v>
      </c>
      <c r="AL6543">
        <v>90.079517167540203</v>
      </c>
      <c r="AM6543">
        <v>83.847156408884402</v>
      </c>
      <c r="AN6543">
        <v>1.0000000432898599</v>
      </c>
    </row>
    <row r="6544" spans="1:40" x14ac:dyDescent="0.25">
      <c r="A6544" t="str">
        <f>"20190312160815500"</f>
        <v>20190312160815500</v>
      </c>
      <c r="B6544" t="str">
        <f>"1552378095491771"</f>
        <v>1552378095491771</v>
      </c>
      <c r="C6544" t="s">
        <v>40</v>
      </c>
      <c r="D6544">
        <v>6.1665739999999998</v>
      </c>
      <c r="E6544">
        <v>0.61079629999999996</v>
      </c>
      <c r="F6544" t="s">
        <v>110</v>
      </c>
      <c r="G6544">
        <v>-287.63990000000001</v>
      </c>
      <c r="H6544">
        <v>9.231859</v>
      </c>
      <c r="I6544">
        <v>-80.916469999999904</v>
      </c>
      <c r="J6544">
        <v>-303.39530000000002</v>
      </c>
      <c r="K6544">
        <v>1.045817</v>
      </c>
      <c r="L6544">
        <v>5.5366819999999999</v>
      </c>
      <c r="M6544">
        <v>0.53712389999999999</v>
      </c>
      <c r="N6544">
        <v>0</v>
      </c>
      <c r="O6544">
        <v>-0.8433368</v>
      </c>
      <c r="P6544">
        <v>0.44457069999999999</v>
      </c>
      <c r="Q6544">
        <v>-1.347114E-2</v>
      </c>
      <c r="R6544">
        <v>-0.89564249999999901</v>
      </c>
      <c r="S6544">
        <v>0.56646730000000001</v>
      </c>
      <c r="T6544">
        <v>0.29164050000000002</v>
      </c>
      <c r="U6544">
        <v>-3.0888979999999999</v>
      </c>
      <c r="V6544">
        <v>0.106211</v>
      </c>
      <c r="W6544">
        <v>-3.1894790000000002E-4</v>
      </c>
      <c r="X6544">
        <v>0.99434359999999999</v>
      </c>
      <c r="Y6544">
        <v>0.37664829999999999</v>
      </c>
      <c r="Z6544">
        <v>-6.8313910000000005E-2</v>
      </c>
      <c r="AA6544">
        <v>0.92383400000000004</v>
      </c>
      <c r="AB6544">
        <v>29</v>
      </c>
      <c r="AC6544">
        <v>15.7554</v>
      </c>
      <c r="AD6544">
        <v>8.1860420000000005</v>
      </c>
      <c r="AE6544">
        <v>-86.453151999999903</v>
      </c>
      <c r="AF6544">
        <v>32.8683864315501</v>
      </c>
      <c r="AG6544">
        <v>8.1860420000000005</v>
      </c>
      <c r="AH6544">
        <v>80.683029434996996</v>
      </c>
      <c r="AI6544">
        <v>84.632152988594996</v>
      </c>
      <c r="AJ6544">
        <v>67.835163048508903</v>
      </c>
      <c r="AK6544">
        <v>87.504819004715799</v>
      </c>
      <c r="AL6544">
        <v>90.018274368196302</v>
      </c>
      <c r="AM6544">
        <v>83.903057982298904</v>
      </c>
      <c r="AN6544">
        <v>1.00000003655486</v>
      </c>
    </row>
    <row r="6545" spans="1:40" x14ac:dyDescent="0.25">
      <c r="A6545" t="str">
        <f>"20190312160815523"</f>
        <v>20190312160815523</v>
      </c>
      <c r="B6545" t="str">
        <f>"1552378095512264"</f>
        <v>1552378095512264</v>
      </c>
      <c r="C6545" t="s">
        <v>40</v>
      </c>
      <c r="D6545">
        <v>6.2163389999999996</v>
      </c>
      <c r="E6545">
        <v>0.60852359999999905</v>
      </c>
      <c r="F6545" t="s">
        <v>110</v>
      </c>
      <c r="G6545">
        <v>-288.19450000000001</v>
      </c>
      <c r="H6545">
        <v>8.66601</v>
      </c>
      <c r="I6545">
        <v>-80.916469999999904</v>
      </c>
      <c r="J6545">
        <v>-303.2475</v>
      </c>
      <c r="K6545">
        <v>1.045822</v>
      </c>
      <c r="L6545">
        <v>5.2717289999999997</v>
      </c>
      <c r="M6545">
        <v>0.52199139999999999</v>
      </c>
      <c r="N6545">
        <v>0</v>
      </c>
      <c r="O6545">
        <v>-0.85278569999999998</v>
      </c>
      <c r="P6545">
        <v>0.42955860000000001</v>
      </c>
      <c r="Q6545">
        <v>-1.4258E-2</v>
      </c>
      <c r="R6545">
        <v>-0.90292629999999996</v>
      </c>
      <c r="S6545">
        <v>0.54232789999999997</v>
      </c>
      <c r="T6545">
        <v>0.27187070000000002</v>
      </c>
      <c r="U6545">
        <v>-3.0844420000000001</v>
      </c>
      <c r="V6545">
        <v>0.1050359</v>
      </c>
      <c r="W6545">
        <v>-1.05561E-3</v>
      </c>
      <c r="X6545">
        <v>0.99446789999999996</v>
      </c>
      <c r="Y6545">
        <v>0.36683460000000001</v>
      </c>
      <c r="Z6545">
        <v>-6.5209119999999995E-2</v>
      </c>
      <c r="AA6545">
        <v>0.92799790000000004</v>
      </c>
      <c r="AB6545">
        <v>29</v>
      </c>
      <c r="AC6545">
        <v>15.0529999999999</v>
      </c>
      <c r="AD6545">
        <v>7.6201879999999997</v>
      </c>
      <c r="AE6545">
        <v>-86.188198999999898</v>
      </c>
      <c r="AF6545">
        <v>31.914950393083998</v>
      </c>
      <c r="AG6545">
        <v>7.6201879999999997</v>
      </c>
      <c r="AH6545">
        <v>80.756473682671995</v>
      </c>
      <c r="AI6545">
        <v>84.984819704277399</v>
      </c>
      <c r="AJ6545">
        <v>68.436073119771805</v>
      </c>
      <c r="AK6545">
        <v>87.1678803539954</v>
      </c>
      <c r="AL6545">
        <v>90.060482007268305</v>
      </c>
      <c r="AM6545">
        <v>83.970761890078904</v>
      </c>
      <c r="AN6545">
        <v>1.00000002936584</v>
      </c>
    </row>
    <row r="6546" spans="1:40" x14ac:dyDescent="0.25">
      <c r="A6546" t="str">
        <f>"20190312160815546"</f>
        <v>20190312160815546</v>
      </c>
      <c r="B6546" t="str">
        <f>"1552378095541543"</f>
        <v>1552378095541543</v>
      </c>
      <c r="C6546" t="s">
        <v>40</v>
      </c>
      <c r="D6546">
        <v>6.3129140000000001</v>
      </c>
      <c r="E6546">
        <v>0.60653639999999998</v>
      </c>
      <c r="F6546" t="s">
        <v>110</v>
      </c>
      <c r="G6546">
        <v>-289.27879999999999</v>
      </c>
      <c r="H6546">
        <v>8.1056000000000008</v>
      </c>
      <c r="I6546">
        <v>-79.671169999999904</v>
      </c>
      <c r="J6546">
        <v>-303.1069</v>
      </c>
      <c r="K6546">
        <v>1.0458350000000001</v>
      </c>
      <c r="L6546">
        <v>5.008972</v>
      </c>
      <c r="M6546">
        <v>0.50693699999999997</v>
      </c>
      <c r="N6546">
        <v>0</v>
      </c>
      <c r="O6546">
        <v>-0.86181969999999997</v>
      </c>
      <c r="P6546">
        <v>0.41427209999999998</v>
      </c>
      <c r="Q6546">
        <v>-1.4847340000000001E-2</v>
      </c>
      <c r="R6546">
        <v>-0.91003199999999995</v>
      </c>
      <c r="S6546">
        <v>0.50735470000000005</v>
      </c>
      <c r="T6546">
        <v>0.25641819999999999</v>
      </c>
      <c r="U6546">
        <v>-3.0852050000000002</v>
      </c>
      <c r="V6546">
        <v>0.1043196</v>
      </c>
      <c r="W6546">
        <v>-1.6115979999999999E-3</v>
      </c>
      <c r="X6546">
        <v>0.9945425</v>
      </c>
      <c r="Y6546">
        <v>0.3607303</v>
      </c>
      <c r="Z6546">
        <v>-6.2737420000000002E-2</v>
      </c>
      <c r="AA6546">
        <v>0.93055770000000004</v>
      </c>
      <c r="AB6546">
        <v>29</v>
      </c>
      <c r="AC6546">
        <v>13.828099999999999</v>
      </c>
      <c r="AD6546">
        <v>7.0597649999999996</v>
      </c>
      <c r="AE6546">
        <v>-84.680141999999904</v>
      </c>
      <c r="AF6546">
        <v>30.805980398045399</v>
      </c>
      <c r="AG6546">
        <v>7.0597649999999996</v>
      </c>
      <c r="AH6546">
        <v>79.462299242268202</v>
      </c>
      <c r="AI6546">
        <v>85.264601964225506</v>
      </c>
      <c r="AJ6546">
        <v>68.809661518034801</v>
      </c>
      <c r="AK6546">
        <v>85.516698433743102</v>
      </c>
      <c r="AL6546">
        <v>90.092337805466201</v>
      </c>
      <c r="AM6546">
        <v>84.012024845243502</v>
      </c>
      <c r="AN6546">
        <v>0.99999998024926096</v>
      </c>
    </row>
    <row r="6547" spans="1:40" x14ac:dyDescent="0.25">
      <c r="A6547" t="str">
        <f>"20190312160815567"</f>
        <v>20190312160815567</v>
      </c>
      <c r="B6547" t="str">
        <f>"1552378095562039"</f>
        <v>1552378095562039</v>
      </c>
      <c r="C6547" t="s">
        <v>40</v>
      </c>
      <c r="D6547">
        <v>6.5021740000000001</v>
      </c>
      <c r="E6547">
        <v>0.60552379999999995</v>
      </c>
      <c r="F6547" t="s">
        <v>110</v>
      </c>
      <c r="G6547">
        <v>-290.23419999999999</v>
      </c>
      <c r="H6547">
        <v>7.4310669999999996</v>
      </c>
      <c r="I6547">
        <v>-79.671169999999904</v>
      </c>
      <c r="J6547">
        <v>-302.97329999999999</v>
      </c>
      <c r="K6547">
        <v>1.0458480000000001</v>
      </c>
      <c r="L6547">
        <v>4.7485350000000004</v>
      </c>
      <c r="M6547">
        <v>0.4919753</v>
      </c>
      <c r="N6547">
        <v>0</v>
      </c>
      <c r="O6547">
        <v>-0.87044719999999998</v>
      </c>
      <c r="P6547">
        <v>0.39890779999999998</v>
      </c>
      <c r="Q6547">
        <v>-1.511526E-2</v>
      </c>
      <c r="R6547">
        <v>-0.91686639999999997</v>
      </c>
      <c r="S6547">
        <v>0.4692383</v>
      </c>
      <c r="T6547">
        <v>0.23275509999999999</v>
      </c>
      <c r="U6547">
        <v>-3.0867610000000001</v>
      </c>
      <c r="V6547">
        <v>0.10385759999999999</v>
      </c>
      <c r="W6547">
        <v>-1.8556480000000001E-3</v>
      </c>
      <c r="X6547">
        <v>0.99459050000000004</v>
      </c>
      <c r="Y6547">
        <v>0.355859599999999</v>
      </c>
      <c r="Z6547">
        <v>-5.8005250000000001E-2</v>
      </c>
      <c r="AA6547">
        <v>0.9327375</v>
      </c>
      <c r="AB6547">
        <v>29</v>
      </c>
      <c r="AC6547">
        <v>12.739100000000001</v>
      </c>
      <c r="AD6547">
        <v>6.3852189999999904</v>
      </c>
      <c r="AE6547">
        <v>-84.419704999999993</v>
      </c>
      <c r="AF6547">
        <v>30.278624718689699</v>
      </c>
      <c r="AG6547">
        <v>6.3852189999999904</v>
      </c>
      <c r="AH6547">
        <v>79.317798738128104</v>
      </c>
      <c r="AI6547">
        <v>85.698985085426898</v>
      </c>
      <c r="AJ6547">
        <v>69.106239828082394</v>
      </c>
      <c r="AK6547">
        <v>85.140350793236706</v>
      </c>
      <c r="AL6547">
        <v>90.106320853981302</v>
      </c>
      <c r="AM6547">
        <v>84.038638011736793</v>
      </c>
      <c r="AN6547">
        <v>1.0000000535987501</v>
      </c>
    </row>
    <row r="6548" spans="1:40" x14ac:dyDescent="0.25">
      <c r="A6548" t="str">
        <f>"20190312160815590"</f>
        <v>20190312160815590</v>
      </c>
      <c r="B6548" t="str">
        <f>"1552378095582540"</f>
        <v>1552378095582540</v>
      </c>
      <c r="C6548" t="s">
        <v>40</v>
      </c>
      <c r="D6548">
        <v>6.258165</v>
      </c>
      <c r="E6548">
        <v>0.60433079999999995</v>
      </c>
      <c r="F6548" t="s">
        <v>110</v>
      </c>
      <c r="G6548">
        <v>-291.37419999999997</v>
      </c>
      <c r="H6548">
        <v>7.0893039999999896</v>
      </c>
      <c r="I6548">
        <v>-79.671169999999904</v>
      </c>
      <c r="J6548">
        <v>-302.84519999999998</v>
      </c>
      <c r="K6548">
        <v>1.045866</v>
      </c>
      <c r="L6548">
        <v>4.4875489999999996</v>
      </c>
      <c r="M6548">
        <v>0.47694550000000002</v>
      </c>
      <c r="N6548">
        <v>0</v>
      </c>
      <c r="O6548">
        <v>-0.87877240000000001</v>
      </c>
      <c r="P6548">
        <v>0.38356259999999998</v>
      </c>
      <c r="Q6548">
        <v>-1.4881999999999999E-2</v>
      </c>
      <c r="R6548">
        <v>-0.92339499999999997</v>
      </c>
      <c r="S6548">
        <v>0.42468260000000002</v>
      </c>
      <c r="T6548">
        <v>0.2212712</v>
      </c>
      <c r="U6548">
        <v>-3.090881</v>
      </c>
      <c r="V6548">
        <v>0.1033632</v>
      </c>
      <c r="W6548">
        <v>-1.5979200000000001E-3</v>
      </c>
      <c r="X6548">
        <v>0.99464240000000004</v>
      </c>
      <c r="Y6548">
        <v>0.35313889999999998</v>
      </c>
      <c r="Z6548">
        <v>-5.6031839999999999E-2</v>
      </c>
      <c r="AA6548">
        <v>0.93389149999999999</v>
      </c>
      <c r="AB6548">
        <v>29</v>
      </c>
      <c r="AC6548">
        <v>11.471</v>
      </c>
      <c r="AD6548">
        <v>6.0434379999999903</v>
      </c>
      <c r="AE6548">
        <v>-84.158718999999905</v>
      </c>
      <c r="AF6548">
        <v>29.9115333835488</v>
      </c>
      <c r="AG6548">
        <v>6.0434379999999903</v>
      </c>
      <c r="AH6548">
        <v>79.038463405148406</v>
      </c>
      <c r="AI6548">
        <v>85.909609032253599</v>
      </c>
      <c r="AJ6548">
        <v>69.271214932601495</v>
      </c>
      <c r="AK6548">
        <v>84.724858628751903</v>
      </c>
      <c r="AL6548">
        <v>90.091554110579295</v>
      </c>
      <c r="AM6548">
        <v>84.067120731222502</v>
      </c>
      <c r="AN6548">
        <v>1.00000000417016</v>
      </c>
    </row>
    <row r="6549" spans="1:40" x14ac:dyDescent="0.25">
      <c r="A6549" t="str">
        <f>"20190312160815612"</f>
        <v>20190312160815612</v>
      </c>
      <c r="B6549" t="str">
        <f>"1552378095602055"</f>
        <v>1552378095602055</v>
      </c>
      <c r="C6549" t="s">
        <v>40</v>
      </c>
      <c r="D6549">
        <v>6.3490199999999897</v>
      </c>
      <c r="E6549">
        <v>0.60290269999999901</v>
      </c>
      <c r="F6549" t="s">
        <v>110</v>
      </c>
      <c r="G6549">
        <v>-292.45710000000003</v>
      </c>
      <c r="H6549">
        <v>6.8413679999999903</v>
      </c>
      <c r="I6549">
        <v>-79.671169999999904</v>
      </c>
      <c r="J6549">
        <v>-302.7199</v>
      </c>
      <c r="K6549">
        <v>1.0458809999999901</v>
      </c>
      <c r="L6549">
        <v>4.221069</v>
      </c>
      <c r="M6549">
        <v>0.46156459999999999</v>
      </c>
      <c r="N6549">
        <v>0</v>
      </c>
      <c r="O6549">
        <v>-0.8869475</v>
      </c>
      <c r="P6549">
        <v>0.36786770000000002</v>
      </c>
      <c r="Q6549">
        <v>-1.5665849999999999E-2</v>
      </c>
      <c r="R6549">
        <v>-0.92974590000000001</v>
      </c>
      <c r="S6549">
        <v>0.3818665</v>
      </c>
      <c r="T6549">
        <v>0.21304419999999999</v>
      </c>
      <c r="U6549">
        <v>-3.0936889999999999</v>
      </c>
      <c r="V6549">
        <v>0.1028514</v>
      </c>
      <c r="W6549">
        <v>-2.358158E-3</v>
      </c>
      <c r="X6549">
        <v>0.99469390000000002</v>
      </c>
      <c r="Y6549">
        <v>0.3496533</v>
      </c>
      <c r="Z6549">
        <v>-5.481374E-2</v>
      </c>
      <c r="AA6549">
        <v>0.9352743</v>
      </c>
      <c r="AB6549">
        <v>29</v>
      </c>
      <c r="AC6549">
        <v>10.262799999999899</v>
      </c>
      <c r="AD6549">
        <v>5.7954869999999996</v>
      </c>
      <c r="AE6549">
        <v>-83.892238999999904</v>
      </c>
      <c r="AF6549">
        <v>29.484666171892201</v>
      </c>
      <c r="AG6549">
        <v>5.7954869999999996</v>
      </c>
      <c r="AH6549">
        <v>78.785676281893799</v>
      </c>
      <c r="AI6549">
        <v>86.058906408246003</v>
      </c>
      <c r="AJ6549">
        <v>69.482194997497103</v>
      </c>
      <c r="AK6549">
        <v>84.321503758118894</v>
      </c>
      <c r="AL6549">
        <v>90.135112631043199</v>
      </c>
      <c r="AM6549">
        <v>84.096592724028497</v>
      </c>
      <c r="AN6549">
        <v>0.99999996304415995</v>
      </c>
    </row>
    <row r="6550" spans="1:40" x14ac:dyDescent="0.25">
      <c r="A6550" t="str">
        <f>"20190312160815636"</f>
        <v>20190312160815636</v>
      </c>
      <c r="B6550" t="str">
        <f>"1552378095632312"</f>
        <v>1552378095632312</v>
      </c>
      <c r="C6550" t="s">
        <v>40</v>
      </c>
      <c r="D6550">
        <v>6.2557640000000001</v>
      </c>
      <c r="E6550">
        <v>0.60084179999999998</v>
      </c>
      <c r="F6550" t="s">
        <v>110</v>
      </c>
      <c r="G6550">
        <v>-293.11219999999997</v>
      </c>
      <c r="H6550">
        <v>6.6740849999999998</v>
      </c>
      <c r="I6550">
        <v>-83.302000000000007</v>
      </c>
      <c r="J6550">
        <v>-302.5994</v>
      </c>
      <c r="K6550">
        <v>1.0459000000000001</v>
      </c>
      <c r="L6550">
        <v>3.952118</v>
      </c>
      <c r="M6550">
        <v>0.44601560000000001</v>
      </c>
      <c r="N6550">
        <v>0</v>
      </c>
      <c r="O6550">
        <v>-0.89486779999999999</v>
      </c>
      <c r="P6550">
        <v>0.35270459999999998</v>
      </c>
      <c r="Q6550">
        <v>-1.67780999999999E-2</v>
      </c>
      <c r="R6550">
        <v>-0.93558439999999998</v>
      </c>
      <c r="S6550">
        <v>0.33981319999999998</v>
      </c>
      <c r="T6550">
        <v>0.19906309999999999</v>
      </c>
      <c r="U6550">
        <v>-3.0955810000000001</v>
      </c>
      <c r="V6550">
        <v>0.1016179</v>
      </c>
      <c r="W6550">
        <v>-3.422759E-3</v>
      </c>
      <c r="X6550">
        <v>0.99481759999999997</v>
      </c>
      <c r="Y6550">
        <v>0.34588950000000002</v>
      </c>
      <c r="Z6550">
        <v>-5.2022319999999997E-2</v>
      </c>
      <c r="AA6550">
        <v>0.936832</v>
      </c>
      <c r="AB6550">
        <v>29</v>
      </c>
      <c r="AC6550">
        <v>9.4872000000000298</v>
      </c>
      <c r="AD6550">
        <v>5.6281850000000002</v>
      </c>
      <c r="AE6550">
        <v>-87.254118000000005</v>
      </c>
      <c r="AF6550">
        <v>30.306571842154199</v>
      </c>
      <c r="AG6550">
        <v>5.6281850000000002</v>
      </c>
      <c r="AH6550">
        <v>81.986800634503496</v>
      </c>
      <c r="AI6550">
        <v>86.3158610480927</v>
      </c>
      <c r="AJ6550">
        <v>69.713074241749595</v>
      </c>
      <c r="AK6550">
        <v>87.589955140413807</v>
      </c>
      <c r="AL6550">
        <v>90.1961100308326</v>
      </c>
      <c r="AM6550">
        <v>84.167621656409693</v>
      </c>
      <c r="AN6550">
        <v>0.99999998507467003</v>
      </c>
    </row>
    <row r="6551" spans="1:40" x14ac:dyDescent="0.25">
      <c r="A6551" t="str">
        <f>"20190312160815657"</f>
        <v>20190312160815657</v>
      </c>
      <c r="B6551" t="str">
        <f>"1552378095651832"</f>
        <v>1552378095651832</v>
      </c>
      <c r="C6551" t="s">
        <v>40</v>
      </c>
      <c r="D6551">
        <v>6.4959980000000002</v>
      </c>
      <c r="E6551">
        <v>0.58543869999999998</v>
      </c>
      <c r="F6551" t="s">
        <v>110</v>
      </c>
      <c r="G6551">
        <v>-293.34640000000002</v>
      </c>
      <c r="H6551">
        <v>6.6740869999999903</v>
      </c>
      <c r="I6551">
        <v>-89.922619999999995</v>
      </c>
      <c r="J6551">
        <v>-302.4837</v>
      </c>
      <c r="K6551">
        <v>1.045919</v>
      </c>
      <c r="L6551">
        <v>3.6808169999999998</v>
      </c>
      <c r="M6551">
        <v>0.43030590000000002</v>
      </c>
      <c r="N6551">
        <v>0</v>
      </c>
      <c r="O6551">
        <v>-0.90252690000000002</v>
      </c>
      <c r="P6551">
        <v>0.33810030000000002</v>
      </c>
      <c r="Q6551">
        <v>-1.708233E-2</v>
      </c>
      <c r="R6551">
        <v>-0.94095519999999999</v>
      </c>
      <c r="S6551">
        <v>0.30505369999999998</v>
      </c>
      <c r="T6551">
        <v>0.18555150000000001</v>
      </c>
      <c r="U6551">
        <v>-3.0948790000000002</v>
      </c>
      <c r="V6551">
        <v>9.9701700000000004E-2</v>
      </c>
      <c r="W6551">
        <v>-3.6559460000000002E-3</v>
      </c>
      <c r="X6551">
        <v>0.99501070000000003</v>
      </c>
      <c r="Y6551">
        <v>0.33985559999999998</v>
      </c>
      <c r="Z6551">
        <v>-4.927782E-2</v>
      </c>
      <c r="AA6551">
        <v>0.93918570000000001</v>
      </c>
      <c r="AB6551">
        <v>29</v>
      </c>
      <c r="AC6551">
        <v>9.1372999999999802</v>
      </c>
      <c r="AD6551">
        <v>5.6281679999999898</v>
      </c>
      <c r="AE6551">
        <v>-93.603437</v>
      </c>
      <c r="AF6551">
        <v>31.921651352092301</v>
      </c>
      <c r="AG6551">
        <v>5.6281679999999898</v>
      </c>
      <c r="AH6551">
        <v>88.1083877747526</v>
      </c>
      <c r="AI6551">
        <v>86.563078175780205</v>
      </c>
      <c r="AJ6551">
        <v>70.084558314255403</v>
      </c>
      <c r="AK6551">
        <v>93.881606805310497</v>
      </c>
      <c r="AL6551">
        <v>90.209470733337596</v>
      </c>
      <c r="AM6551">
        <v>84.2779685829926</v>
      </c>
      <c r="AN6551">
        <v>1.00000004401926</v>
      </c>
    </row>
    <row r="6552" spans="1:40" x14ac:dyDescent="0.25">
      <c r="A6552" t="str">
        <f>"20190312160815680"</f>
        <v>20190312160815680</v>
      </c>
      <c r="B6552" t="str">
        <f>"1552378095672331"</f>
        <v>1552378095672331</v>
      </c>
      <c r="C6552" t="s">
        <v>40</v>
      </c>
      <c r="D6552">
        <v>6.0099010000000002</v>
      </c>
      <c r="E6552">
        <v>0.58404609999999901</v>
      </c>
      <c r="F6552" t="s">
        <v>110</v>
      </c>
      <c r="G6552">
        <v>-290.86700000000002</v>
      </c>
      <c r="H6552">
        <v>4.1674530000000001</v>
      </c>
      <c r="I6552">
        <v>-91.564989999999995</v>
      </c>
      <c r="J6552">
        <v>-302.37430000000001</v>
      </c>
      <c r="K6552">
        <v>1.0459480000000001</v>
      </c>
      <c r="L6552">
        <v>3.411133</v>
      </c>
      <c r="M6552">
        <v>0.41466419999999998</v>
      </c>
      <c r="N6552">
        <v>0</v>
      </c>
      <c r="O6552">
        <v>-0.90981979999999996</v>
      </c>
      <c r="P6552">
        <v>0.32355469999999997</v>
      </c>
      <c r="Q6552">
        <v>-1.7567159999999998E-2</v>
      </c>
      <c r="R6552">
        <v>-0.94604670000000002</v>
      </c>
      <c r="S6552">
        <v>0.37274170000000001</v>
      </c>
      <c r="T6552">
        <v>0.1001601</v>
      </c>
      <c r="U6552">
        <v>-3.0561219999999998</v>
      </c>
      <c r="V6552">
        <v>9.7848089999999999E-2</v>
      </c>
      <c r="W6552">
        <v>-4.0729349999999998E-3</v>
      </c>
      <c r="X6552">
        <v>0.99519299999999999</v>
      </c>
      <c r="Y6552">
        <v>0.30155090000000001</v>
      </c>
      <c r="Z6552">
        <v>-2.7506510000000001E-2</v>
      </c>
      <c r="AA6552">
        <v>0.95305320000000004</v>
      </c>
      <c r="AB6552">
        <v>29</v>
      </c>
      <c r="AC6552">
        <v>11.507299999999899</v>
      </c>
      <c r="AD6552">
        <v>3.121505</v>
      </c>
      <c r="AE6552">
        <v>-94.976123000000001</v>
      </c>
      <c r="AF6552">
        <v>28.886947711042499</v>
      </c>
      <c r="AG6552">
        <v>3.121505</v>
      </c>
      <c r="AH6552">
        <v>91.098680741612895</v>
      </c>
      <c r="AI6552">
        <v>88.129251278813697</v>
      </c>
      <c r="AJ6552">
        <v>72.406432379825205</v>
      </c>
      <c r="AK6552">
        <v>95.619920384759993</v>
      </c>
      <c r="AL6552">
        <v>90.233362637379997</v>
      </c>
      <c r="AM6552">
        <v>84.384685773695296</v>
      </c>
      <c r="AN6552">
        <v>0.99999997238257998</v>
      </c>
    </row>
    <row r="6553" spans="1:40" x14ac:dyDescent="0.25">
      <c r="A6553" t="str">
        <f>"20190312160815701"</f>
        <v>20190312160815701</v>
      </c>
      <c r="B6553" t="str">
        <f>"1552378095691847"</f>
        <v>1552378095691847</v>
      </c>
      <c r="C6553" t="s">
        <v>40</v>
      </c>
      <c r="D6553">
        <v>6.3773759999999999</v>
      </c>
      <c r="E6553">
        <v>0.58320590000000005</v>
      </c>
      <c r="F6553" t="s">
        <v>110</v>
      </c>
      <c r="G6553">
        <v>-291.93150000000003</v>
      </c>
      <c r="H6553">
        <v>3.9163290000000002</v>
      </c>
      <c r="I6553">
        <v>-91.564989999999995</v>
      </c>
      <c r="J6553">
        <v>-302.2715</v>
      </c>
      <c r="K6553">
        <v>1.0459830000000001</v>
      </c>
      <c r="L6553">
        <v>3.1450200000000001</v>
      </c>
      <c r="M6553">
        <v>0.39920460000000002</v>
      </c>
      <c r="N6553">
        <v>0</v>
      </c>
      <c r="O6553">
        <v>-0.91670850000000004</v>
      </c>
      <c r="P6553">
        <v>0.30849670000000001</v>
      </c>
      <c r="Q6553">
        <v>-1.8514289999999999E-2</v>
      </c>
      <c r="R6553">
        <v>-0.95104560000000005</v>
      </c>
      <c r="S6553">
        <v>0.33621220000000002</v>
      </c>
      <c r="T6553">
        <v>9.2414620000000003E-2</v>
      </c>
      <c r="U6553">
        <v>-3.0578310000000002</v>
      </c>
      <c r="V6553">
        <v>9.6762630000000002E-2</v>
      </c>
      <c r="W6553">
        <v>-4.979804E-3</v>
      </c>
      <c r="X6553">
        <v>0.99529500000000004</v>
      </c>
      <c r="Y6553">
        <v>0.29670069999999998</v>
      </c>
      <c r="Z6553">
        <v>-2.5711640000000001E-2</v>
      </c>
      <c r="AA6553">
        <v>0.95462440000000004</v>
      </c>
      <c r="AB6553">
        <v>29</v>
      </c>
      <c r="AC6553">
        <v>10.3399999999999</v>
      </c>
      <c r="AD6553">
        <v>2.8703460000000001</v>
      </c>
      <c r="AE6553">
        <v>-94.710009999999997</v>
      </c>
      <c r="AF6553">
        <v>28.3081953116411</v>
      </c>
      <c r="AG6553">
        <v>2.8703460000000001</v>
      </c>
      <c r="AH6553">
        <v>90.879548346572406</v>
      </c>
      <c r="AI6553">
        <v>88.272768684295201</v>
      </c>
      <c r="AJ6553">
        <v>72.698639065134898</v>
      </c>
      <c r="AK6553">
        <v>95.229644101187006</v>
      </c>
      <c r="AL6553">
        <v>90.285322939540706</v>
      </c>
      <c r="AM6553">
        <v>84.447152241643394</v>
      </c>
      <c r="AN6553">
        <v>0.99999997101869698</v>
      </c>
    </row>
    <row r="6554" spans="1:40" x14ac:dyDescent="0.25">
      <c r="A6554" t="str">
        <f>"20190312160815725"</f>
        <v>20190312160815725</v>
      </c>
      <c r="B6554" t="str">
        <f>"1552378095722103"</f>
        <v>1552378095722103</v>
      </c>
      <c r="C6554" t="s">
        <v>40</v>
      </c>
      <c r="D6554">
        <v>6.1651400000000001</v>
      </c>
      <c r="E6554">
        <v>0.58157630000000005</v>
      </c>
      <c r="F6554" t="s">
        <v>110</v>
      </c>
      <c r="G6554">
        <v>-293.18549999999999</v>
      </c>
      <c r="H6554">
        <v>3.694855</v>
      </c>
      <c r="I6554">
        <v>-91.564989999999995</v>
      </c>
      <c r="J6554">
        <v>-302.16849999999999</v>
      </c>
      <c r="K6554">
        <v>1.046017</v>
      </c>
      <c r="L6554">
        <v>2.863953</v>
      </c>
      <c r="M6554">
        <v>0.38285920000000001</v>
      </c>
      <c r="N6554">
        <v>0</v>
      </c>
      <c r="O6554">
        <v>-0.92365459999999999</v>
      </c>
      <c r="P6554">
        <v>0.29155239999999999</v>
      </c>
      <c r="Q6554">
        <v>-1.8536179999999999E-2</v>
      </c>
      <c r="R6554">
        <v>-0.9563758</v>
      </c>
      <c r="S6554">
        <v>0.29364010000000001</v>
      </c>
      <c r="T6554">
        <v>8.5607050000000004E-2</v>
      </c>
      <c r="U6554">
        <v>-3.0608520000000001</v>
      </c>
      <c r="V6554">
        <v>9.6765500000000004E-2</v>
      </c>
      <c r="W6554">
        <v>-4.9983759999999997E-3</v>
      </c>
      <c r="X6554">
        <v>0.99529460000000003</v>
      </c>
      <c r="Y6554">
        <v>0.29297230000000002</v>
      </c>
      <c r="Z6554">
        <v>-2.411315E-2</v>
      </c>
      <c r="AA6554">
        <v>0.95581680000000002</v>
      </c>
      <c r="AB6554">
        <v>28</v>
      </c>
      <c r="AC6554">
        <v>8.9830000000000005</v>
      </c>
      <c r="AD6554">
        <v>2.648838</v>
      </c>
      <c r="AE6554">
        <v>-94.428943000000004</v>
      </c>
      <c r="AF6554">
        <v>27.838006730504802</v>
      </c>
      <c r="AG6554">
        <v>2.648838</v>
      </c>
      <c r="AH6554">
        <v>90.601041153131902</v>
      </c>
      <c r="AI6554">
        <v>88.399181338113905</v>
      </c>
      <c r="AJ6554">
        <v>72.919940938761897</v>
      </c>
      <c r="AK6554">
        <v>94.818350647484806</v>
      </c>
      <c r="AL6554">
        <v>90.2863870579788</v>
      </c>
      <c r="AM6554">
        <v>84.446986354661703</v>
      </c>
      <c r="AN6554">
        <v>0.99999994327102204</v>
      </c>
    </row>
    <row r="6555" spans="1:40" x14ac:dyDescent="0.25">
      <c r="A6555" t="str">
        <f>"20190312160815748"</f>
        <v>20190312160815748</v>
      </c>
      <c r="B6555" t="str">
        <f>"1552378095741623"</f>
        <v>1552378095741623</v>
      </c>
      <c r="C6555" t="s">
        <v>40</v>
      </c>
      <c r="D6555">
        <v>6.1450180000000003</v>
      </c>
      <c r="E6555">
        <v>0.58006199999999997</v>
      </c>
      <c r="F6555" t="s">
        <v>110</v>
      </c>
      <c r="G6555">
        <v>-294.39170000000001</v>
      </c>
      <c r="H6555">
        <v>3.5265849999999999</v>
      </c>
      <c r="I6555">
        <v>-91.564989999999995</v>
      </c>
      <c r="J6555">
        <v>-302.07100000000003</v>
      </c>
      <c r="K6555">
        <v>1.0460590000000001</v>
      </c>
      <c r="L6555">
        <v>2.5825809999999998</v>
      </c>
      <c r="M6555">
        <v>0.36648170000000002</v>
      </c>
      <c r="N6555">
        <v>0</v>
      </c>
      <c r="O6555">
        <v>-0.93027420000000005</v>
      </c>
      <c r="P6555">
        <v>0.27416459999999998</v>
      </c>
      <c r="Q6555">
        <v>-1.8267140000000001E-2</v>
      </c>
      <c r="R6555">
        <v>-0.96150959999999996</v>
      </c>
      <c r="S6555">
        <v>0.25213619999999998</v>
      </c>
      <c r="T6555">
        <v>8.042407E-2</v>
      </c>
      <c r="U6555">
        <v>-3.0615230000000002</v>
      </c>
      <c r="V6555">
        <v>9.7238260000000007E-2</v>
      </c>
      <c r="W6555">
        <v>-4.7421190000000004E-3</v>
      </c>
      <c r="X6555">
        <v>0.99524979999999996</v>
      </c>
      <c r="Y6555">
        <v>0.2889506</v>
      </c>
      <c r="Z6555">
        <v>-2.29345E-2</v>
      </c>
      <c r="AA6555">
        <v>0.95706930000000001</v>
      </c>
      <c r="AB6555">
        <v>28</v>
      </c>
      <c r="AC6555">
        <v>7.6792999999999498</v>
      </c>
      <c r="AD6555">
        <v>2.4805259999999998</v>
      </c>
      <c r="AE6555">
        <v>-94.147570999999999</v>
      </c>
      <c r="AF6555">
        <v>27.344496645608999</v>
      </c>
      <c r="AG6555">
        <v>2.4805259999999998</v>
      </c>
      <c r="AH6555">
        <v>90.347783458362201</v>
      </c>
      <c r="AI6555">
        <v>88.494721632606499</v>
      </c>
      <c r="AJ6555">
        <v>73.1611305890642</v>
      </c>
      <c r="AK6555">
        <v>94.427731529871593</v>
      </c>
      <c r="AL6555">
        <v>90.271704432322593</v>
      </c>
      <c r="AM6555">
        <v>84.419777625894895</v>
      </c>
      <c r="AN6555">
        <v>0.99999996565023797</v>
      </c>
    </row>
    <row r="6556" spans="1:40" x14ac:dyDescent="0.25">
      <c r="A6556" t="str">
        <f>"20190312160815769"</f>
        <v>20190312160815769</v>
      </c>
      <c r="B6556" t="str">
        <f>"1552378095762120"</f>
        <v>1552378095762120</v>
      </c>
      <c r="C6556" t="s">
        <v>40</v>
      </c>
      <c r="D6556">
        <v>6.2501319999999998</v>
      </c>
      <c r="E6556">
        <v>0.57001380000000001</v>
      </c>
      <c r="F6556" t="s">
        <v>110</v>
      </c>
      <c r="G6556">
        <v>-295.67399999999998</v>
      </c>
      <c r="H6556">
        <v>3.3803100000000001</v>
      </c>
      <c r="I6556">
        <v>-91.564989999999995</v>
      </c>
      <c r="J6556">
        <v>-301.98259999999999</v>
      </c>
      <c r="K6556">
        <v>1.046103</v>
      </c>
      <c r="L6556">
        <v>2.3124389999999999</v>
      </c>
      <c r="M6556">
        <v>0.35075669999999998</v>
      </c>
      <c r="N6556">
        <v>0</v>
      </c>
      <c r="O6556">
        <v>-0.93631679999999995</v>
      </c>
      <c r="P6556">
        <v>0.25749699999999998</v>
      </c>
      <c r="Q6556">
        <v>-1.8824839999999999E-2</v>
      </c>
      <c r="R6556">
        <v>-0.9660957</v>
      </c>
      <c r="S6556">
        <v>0.2080688</v>
      </c>
      <c r="T6556">
        <v>7.59238E-2</v>
      </c>
      <c r="U6556">
        <v>-3.0622250000000002</v>
      </c>
      <c r="V6556">
        <v>9.7658690000000006E-2</v>
      </c>
      <c r="W6556">
        <v>-5.3118929999999998E-3</v>
      </c>
      <c r="X6556">
        <v>0.99520580000000003</v>
      </c>
      <c r="Y6556">
        <v>0.28653149999999999</v>
      </c>
      <c r="Z6556">
        <v>-2.1888299999999999E-2</v>
      </c>
      <c r="AA6556">
        <v>0.95782080000000003</v>
      </c>
      <c r="AB6556">
        <v>28</v>
      </c>
      <c r="AC6556">
        <v>6.3085999999999496</v>
      </c>
      <c r="AD6556">
        <v>2.3342070000000001</v>
      </c>
      <c r="AE6556">
        <v>-93.877429000000006</v>
      </c>
      <c r="AF6556">
        <v>27.008458136445999</v>
      </c>
      <c r="AG6556">
        <v>2.3342070000000001</v>
      </c>
      <c r="AH6556">
        <v>90.069008575931207</v>
      </c>
      <c r="AI6556">
        <v>88.5779972641255</v>
      </c>
      <c r="AJ6556">
        <v>73.307901976382396</v>
      </c>
      <c r="AK6556">
        <v>94.060255363666698</v>
      </c>
      <c r="AL6556">
        <v>90.304350478317701</v>
      </c>
      <c r="AM6556">
        <v>84.395557433858201</v>
      </c>
      <c r="AN6556">
        <v>1.0000000101466899</v>
      </c>
    </row>
    <row r="6557" spans="1:40" x14ac:dyDescent="0.25">
      <c r="A6557" t="str">
        <f>"20190312160815791"</f>
        <v>20190312160815791</v>
      </c>
      <c r="B6557" t="str">
        <f>"1552378095781640"</f>
        <v>1552378095781640</v>
      </c>
      <c r="C6557" t="s">
        <v>40</v>
      </c>
      <c r="D6557">
        <v>6.1303789999999996</v>
      </c>
      <c r="E6557">
        <v>0.59547759999999905</v>
      </c>
      <c r="F6557" t="s">
        <v>110</v>
      </c>
      <c r="G6557">
        <v>-294.80189999999999</v>
      </c>
      <c r="H6557">
        <v>2.6009869999999999</v>
      </c>
      <c r="I6557">
        <v>-91.564989999999995</v>
      </c>
      <c r="J6557">
        <v>-301.89929999999998</v>
      </c>
      <c r="K6557">
        <v>1.046157</v>
      </c>
      <c r="L6557">
        <v>2.0426030000000002</v>
      </c>
      <c r="M6557">
        <v>0.3350535</v>
      </c>
      <c r="N6557">
        <v>0</v>
      </c>
      <c r="O6557">
        <v>-0.94205039999999995</v>
      </c>
      <c r="P6557">
        <v>0.2414927</v>
      </c>
      <c r="Q6557">
        <v>-2.033254E-2</v>
      </c>
      <c r="R6557">
        <v>-0.97018970000000004</v>
      </c>
      <c r="S6557">
        <v>0.2328491</v>
      </c>
      <c r="T6557">
        <v>5.042112E-2</v>
      </c>
      <c r="U6557">
        <v>-3.0441889999999998</v>
      </c>
      <c r="V6557">
        <v>9.7411739999999997E-2</v>
      </c>
      <c r="W6557">
        <v>-6.8100629999999999E-3</v>
      </c>
      <c r="X6557">
        <v>0.99522080000000002</v>
      </c>
      <c r="Y6557">
        <v>0.26227509999999998</v>
      </c>
      <c r="Z6557">
        <v>-1.481937E-2</v>
      </c>
      <c r="AA6557">
        <v>0.9648793</v>
      </c>
      <c r="AB6557">
        <v>28</v>
      </c>
      <c r="AC6557">
        <v>7.0973999999999897</v>
      </c>
      <c r="AD6557">
        <v>1.5548299999999999</v>
      </c>
      <c r="AE6557">
        <v>-93.607592999999994</v>
      </c>
      <c r="AF6557">
        <v>24.674132583116499</v>
      </c>
      <c r="AG6557">
        <v>1.5548299999999999</v>
      </c>
      <c r="AH6557">
        <v>90.548930039988605</v>
      </c>
      <c r="AI6557">
        <v>89.050862578775806</v>
      </c>
      <c r="AJ6557">
        <v>74.757267819581699</v>
      </c>
      <c r="AK6557">
        <v>93.863406322404899</v>
      </c>
      <c r="AL6557">
        <v>90.3901909105127</v>
      </c>
      <c r="AM6557">
        <v>84.409723253305998</v>
      </c>
      <c r="AN6557">
        <v>0.99999993240026297</v>
      </c>
    </row>
    <row r="6558" spans="1:40" x14ac:dyDescent="0.25">
      <c r="A6558" t="str">
        <f>"20190312160815813"</f>
        <v>20190312160815813</v>
      </c>
      <c r="B6558" t="str">
        <f>"1552378095802136"</f>
        <v>1552378095802136</v>
      </c>
      <c r="C6558" t="s">
        <v>40</v>
      </c>
      <c r="D6558">
        <v>5.8136619999999999</v>
      </c>
      <c r="E6558">
        <v>0.59448179999999995</v>
      </c>
      <c r="F6558" t="s">
        <v>110</v>
      </c>
      <c r="G6558">
        <v>-302.31020000000001</v>
      </c>
      <c r="H6558">
        <v>6.674086</v>
      </c>
      <c r="I6558">
        <v>-84.391530000000003</v>
      </c>
      <c r="J6558">
        <v>-301.81909999999999</v>
      </c>
      <c r="K6558">
        <v>1.0462309999999999</v>
      </c>
      <c r="L6558">
        <v>1.766937</v>
      </c>
      <c r="M6558">
        <v>0.31903049999999999</v>
      </c>
      <c r="N6558">
        <v>0</v>
      </c>
      <c r="O6558">
        <v>-0.94759660000000001</v>
      </c>
      <c r="P6558">
        <v>0.22534989999999999</v>
      </c>
      <c r="Q6558">
        <v>-2.2049989999999998E-2</v>
      </c>
      <c r="R6558">
        <v>-0.97402829999999996</v>
      </c>
      <c r="S6558">
        <v>-1.473999E-2</v>
      </c>
      <c r="T6558">
        <v>0.20185320000000001</v>
      </c>
      <c r="U6558">
        <v>-3.1000670000000001</v>
      </c>
      <c r="V6558">
        <v>9.6994179999999999E-2</v>
      </c>
      <c r="W6558">
        <v>-8.5128129999999993E-3</v>
      </c>
      <c r="X6558">
        <v>0.99524860000000004</v>
      </c>
      <c r="Y6558">
        <v>0.32355060000000002</v>
      </c>
      <c r="Z6558">
        <v>-5.8134819999999997E-2</v>
      </c>
      <c r="AA6558">
        <v>0.94442329999999997</v>
      </c>
      <c r="AB6558">
        <v>28</v>
      </c>
      <c r="AC6558">
        <v>-0.49110000000001702</v>
      </c>
      <c r="AD6558">
        <v>5.6278550000000003</v>
      </c>
      <c r="AE6558">
        <v>-86.158467000000002</v>
      </c>
      <c r="AF6558">
        <v>27.837690200220401</v>
      </c>
      <c r="AG6558">
        <v>5.6278550000000003</v>
      </c>
      <c r="AH6558">
        <v>81.151976073804903</v>
      </c>
      <c r="AI6558">
        <v>86.246920717696597</v>
      </c>
      <c r="AJ6558">
        <v>71.066413071252896</v>
      </c>
      <c r="AK6558">
        <v>85.978212171851297</v>
      </c>
      <c r="AL6558">
        <v>90.487754119915095</v>
      </c>
      <c r="AM6558">
        <v>84.433689924116905</v>
      </c>
      <c r="AN6558">
        <v>1.0000000573704999</v>
      </c>
    </row>
    <row r="6559" spans="1:40" x14ac:dyDescent="0.25">
      <c r="A6559" t="str">
        <f>"20190312160815836"</f>
        <v>20190312160815836</v>
      </c>
      <c r="B6559" t="str">
        <f>"1552378095832392"</f>
        <v>1552378095832392</v>
      </c>
      <c r="C6559" t="s">
        <v>40</v>
      </c>
      <c r="D6559">
        <v>6.0302819999999997</v>
      </c>
      <c r="E6559">
        <v>0.59280739999999998</v>
      </c>
      <c r="F6559" t="s">
        <v>110</v>
      </c>
      <c r="G6559">
        <v>-303.58730000000003</v>
      </c>
      <c r="H6559">
        <v>6.5355049999999997</v>
      </c>
      <c r="I6559">
        <v>-91.564989999999995</v>
      </c>
      <c r="J6559">
        <v>-301.74299999999999</v>
      </c>
      <c r="K6559">
        <v>1.046308</v>
      </c>
      <c r="L6559">
        <v>1.486359</v>
      </c>
      <c r="M6559">
        <v>0.30275790000000002</v>
      </c>
      <c r="N6559">
        <v>0</v>
      </c>
      <c r="O6559">
        <v>-0.95292100000000002</v>
      </c>
      <c r="P6559">
        <v>0.2096382</v>
      </c>
      <c r="Q6559">
        <v>-2.2336209999999999E-2</v>
      </c>
      <c r="R6559">
        <v>-0.97752399999999995</v>
      </c>
      <c r="S6559">
        <v>-5.8685300000000003E-2</v>
      </c>
      <c r="T6559">
        <v>0.1821895</v>
      </c>
      <c r="U6559">
        <v>-3.0976870000000001</v>
      </c>
      <c r="V6559">
        <v>9.5966960000000004E-2</v>
      </c>
      <c r="W6559">
        <v>-8.7638419999999904E-3</v>
      </c>
      <c r="X6559">
        <v>0.99534599999999995</v>
      </c>
      <c r="Y6559">
        <v>0.32075609999999999</v>
      </c>
      <c r="Z6559">
        <v>-5.3020949999999997E-2</v>
      </c>
      <c r="AA6559">
        <v>0.94567659999999998</v>
      </c>
      <c r="AB6559">
        <v>28</v>
      </c>
      <c r="AC6559">
        <v>-1.84430000000003</v>
      </c>
      <c r="AD6559">
        <v>5.4891969999999999</v>
      </c>
      <c r="AE6559">
        <v>-93.051349000000002</v>
      </c>
      <c r="AF6559">
        <v>29.829916890564501</v>
      </c>
      <c r="AG6559">
        <v>5.4891969999999999</v>
      </c>
      <c r="AH6559">
        <v>87.819026833822605</v>
      </c>
      <c r="AI6559">
        <v>86.612921386194301</v>
      </c>
      <c r="AJ6559">
        <v>71.2386664751929</v>
      </c>
      <c r="AK6559">
        <v>92.909292858370407</v>
      </c>
      <c r="AL6559">
        <v>90.502137556188003</v>
      </c>
      <c r="AM6559">
        <v>84.492811352031794</v>
      </c>
      <c r="AN6559">
        <v>1.00000006102711</v>
      </c>
    </row>
    <row r="6560" spans="1:40" x14ac:dyDescent="0.25">
      <c r="A6560" t="str">
        <f>"20190312160815858"</f>
        <v>20190312160815858</v>
      </c>
      <c r="B6560" t="str">
        <f>"1552378095851912"</f>
        <v>1552378095851912</v>
      </c>
      <c r="C6560" t="s">
        <v>40</v>
      </c>
      <c r="D6560">
        <v>6.2069970000000003</v>
      </c>
      <c r="E6560">
        <v>0.59008760000000005</v>
      </c>
      <c r="F6560" t="s">
        <v>110</v>
      </c>
      <c r="G6560">
        <v>-304.6096</v>
      </c>
      <c r="H6560">
        <v>5.3243790000000004</v>
      </c>
      <c r="I6560">
        <v>-91.564989999999995</v>
      </c>
      <c r="J6560">
        <v>-301.67230000000001</v>
      </c>
      <c r="K6560">
        <v>1.046481</v>
      </c>
      <c r="L6560">
        <v>1.2068479999999999</v>
      </c>
      <c r="M6560">
        <v>0.28651749999999998</v>
      </c>
      <c r="N6560">
        <v>0</v>
      </c>
      <c r="O6560">
        <v>-0.95792840000000001</v>
      </c>
      <c r="P6560">
        <v>0.19483110000000001</v>
      </c>
      <c r="Q6560">
        <v>-2.1959949999999999E-2</v>
      </c>
      <c r="R6560">
        <v>-0.98059090000000004</v>
      </c>
      <c r="S6560">
        <v>-9.5275879999999993E-2</v>
      </c>
      <c r="T6560">
        <v>0.14218629999999999</v>
      </c>
      <c r="U6560">
        <v>-3.092651</v>
      </c>
      <c r="V6560">
        <v>9.4122269999999994E-2</v>
      </c>
      <c r="W6560">
        <v>-8.2409319999999994E-3</v>
      </c>
      <c r="X6560">
        <v>0.99552660000000004</v>
      </c>
      <c r="Y6560">
        <v>0.31588719999999998</v>
      </c>
      <c r="Z6560">
        <v>-4.1848789999999997E-2</v>
      </c>
      <c r="AA6560">
        <v>0.94787339999999998</v>
      </c>
      <c r="AB6560">
        <v>28</v>
      </c>
      <c r="AC6560">
        <v>-2.9372999999999898</v>
      </c>
      <c r="AD6560">
        <v>4.2778980000000004</v>
      </c>
      <c r="AE6560">
        <v>-92.771838000000002</v>
      </c>
      <c r="AF6560">
        <v>29.336291685869501</v>
      </c>
      <c r="AG6560">
        <v>4.2778980000000004</v>
      </c>
      <c r="AH6560">
        <v>87.852940280605907</v>
      </c>
      <c r="AI6560">
        <v>87.355568385068594</v>
      </c>
      <c r="AJ6560">
        <v>71.534547411820995</v>
      </c>
      <c r="AK6560">
        <v>92.720318901115405</v>
      </c>
      <c r="AL6560">
        <v>90.472175937692597</v>
      </c>
      <c r="AM6560">
        <v>84.599013170257706</v>
      </c>
      <c r="AN6560">
        <v>1.0000000629888599</v>
      </c>
    </row>
    <row r="6561" spans="1:40" x14ac:dyDescent="0.25">
      <c r="A6561" t="str">
        <f>"20190312160815880"</f>
        <v>20190312160815880</v>
      </c>
      <c r="B6561" t="str">
        <f>"1552378095872407"</f>
        <v>1552378095872407</v>
      </c>
      <c r="C6561" t="s">
        <v>40</v>
      </c>
      <c r="D6561">
        <v>6.4068569999999996</v>
      </c>
      <c r="E6561">
        <v>0.58763219999999905</v>
      </c>
      <c r="F6561" t="s">
        <v>110</v>
      </c>
      <c r="G6561">
        <v>-305.29680000000002</v>
      </c>
      <c r="H6561">
        <v>4.920058</v>
      </c>
      <c r="I6561">
        <v>-91.564989999999995</v>
      </c>
      <c r="J6561">
        <v>-301.6062</v>
      </c>
      <c r="K6561">
        <v>1.0470029999999999</v>
      </c>
      <c r="L6561">
        <v>0.92910769999999998</v>
      </c>
      <c r="M6561">
        <v>0.26978249999999998</v>
      </c>
      <c r="N6561">
        <v>0</v>
      </c>
      <c r="O6561">
        <v>-0.96276899999999999</v>
      </c>
      <c r="P6561">
        <v>0.17942239999999901</v>
      </c>
      <c r="Q6561">
        <v>-2.3147000000000001E-2</v>
      </c>
      <c r="R6561">
        <v>-0.98350009999999999</v>
      </c>
      <c r="S6561">
        <v>-0.120575</v>
      </c>
      <c r="T6561">
        <v>0.12886149999999999</v>
      </c>
      <c r="U6561">
        <v>-3.0862120000000002</v>
      </c>
      <c r="V6561">
        <v>9.2371869999999995E-2</v>
      </c>
      <c r="W6561">
        <v>-8.9287329999999995E-3</v>
      </c>
      <c r="X6561">
        <v>0.99568460000000003</v>
      </c>
      <c r="Y6561">
        <v>0.307172</v>
      </c>
      <c r="Z6561">
        <v>-3.8370019999999998E-2</v>
      </c>
      <c r="AA6561">
        <v>0.95088019999999995</v>
      </c>
      <c r="AB6561">
        <v>28</v>
      </c>
      <c r="AC6561">
        <v>-3.6906000000000101</v>
      </c>
      <c r="AD6561">
        <v>3.8730549999999999</v>
      </c>
      <c r="AE6561">
        <v>-92.494097699999998</v>
      </c>
      <c r="AF6561">
        <v>28.460841224407901</v>
      </c>
      <c r="AG6561">
        <v>3.8730549999999999</v>
      </c>
      <c r="AH6561">
        <v>87.913802335760394</v>
      </c>
      <c r="AI6561">
        <v>87.599938734806997</v>
      </c>
      <c r="AJ6561">
        <v>72.061378489018793</v>
      </c>
      <c r="AK6561">
        <v>92.487062226914404</v>
      </c>
      <c r="AL6561">
        <v>90.511585487460906</v>
      </c>
      <c r="AM6561">
        <v>84.699714600480803</v>
      </c>
      <c r="AN6561">
        <v>1.0000000536587199</v>
      </c>
    </row>
    <row r="6562" spans="1:40" x14ac:dyDescent="0.25">
      <c r="A6562" t="str">
        <f>"20190312160815902"</f>
        <v>20190312160815902</v>
      </c>
      <c r="B6562" t="str">
        <f>"1552378095891928"</f>
        <v>1552378095891928</v>
      </c>
      <c r="C6562" t="s">
        <v>40</v>
      </c>
      <c r="D6562">
        <v>6.1503889999999997</v>
      </c>
      <c r="E6562">
        <v>0.58541549999999998</v>
      </c>
      <c r="F6562" t="s">
        <v>110</v>
      </c>
      <c r="G6562">
        <v>-306.10270000000003</v>
      </c>
      <c r="H6562">
        <v>4.5317800000000004</v>
      </c>
      <c r="I6562">
        <v>-91.564989999999995</v>
      </c>
      <c r="J6562">
        <v>-301.5446</v>
      </c>
      <c r="K6562">
        <v>1.047469</v>
      </c>
      <c r="L6562">
        <v>0.65368649999999995</v>
      </c>
      <c r="M6562">
        <v>0.25311220000000001</v>
      </c>
      <c r="N6562">
        <v>0</v>
      </c>
      <c r="O6562">
        <v>-0.96727779999999997</v>
      </c>
      <c r="P6562">
        <v>0.16374900000000001</v>
      </c>
      <c r="Q6562">
        <v>-2.4826979999999998E-2</v>
      </c>
      <c r="R6562">
        <v>-0.98618980000000001</v>
      </c>
      <c r="S6562">
        <v>-0.14974979999999999</v>
      </c>
      <c r="T6562">
        <v>0.11605600000000001</v>
      </c>
      <c r="U6562">
        <v>-3.0803829999999999</v>
      </c>
      <c r="V6562">
        <v>9.0973929999999995E-2</v>
      </c>
      <c r="W6562">
        <v>-1.0117549999999999E-2</v>
      </c>
      <c r="X6562">
        <v>0.99580190000000002</v>
      </c>
      <c r="Y6562">
        <v>0.29979280000000003</v>
      </c>
      <c r="Z6562">
        <v>-3.4919650000000003E-2</v>
      </c>
      <c r="AA6562">
        <v>0.95336500000000002</v>
      </c>
      <c r="AB6562">
        <v>28</v>
      </c>
      <c r="AC6562">
        <v>-4.55810000000002</v>
      </c>
      <c r="AD6562">
        <v>3.4843109999999999</v>
      </c>
      <c r="AE6562">
        <v>-92.218676500000001</v>
      </c>
      <c r="AF6562">
        <v>27.715424673762001</v>
      </c>
      <c r="AG6562">
        <v>3.4843109999999999</v>
      </c>
      <c r="AH6562">
        <v>87.935696554993598</v>
      </c>
      <c r="AI6562">
        <v>87.835775927964207</v>
      </c>
      <c r="AJ6562">
        <v>72.506278694026406</v>
      </c>
      <c r="AK6562">
        <v>92.265767848122394</v>
      </c>
      <c r="AL6562">
        <v>90.579702791508595</v>
      </c>
      <c r="AM6562">
        <v>84.780093166547204</v>
      </c>
      <c r="AN6562">
        <v>1.00000002240062</v>
      </c>
    </row>
    <row r="6563" spans="1:40" x14ac:dyDescent="0.25">
      <c r="A6563" t="str">
        <f>"20190312160815926"</f>
        <v>20190312160815926</v>
      </c>
      <c r="B6563" t="str">
        <f>"1552378095922184"</f>
        <v>1552378095922184</v>
      </c>
      <c r="C6563" t="s">
        <v>40</v>
      </c>
      <c r="D6563">
        <v>6.5138639999999999</v>
      </c>
      <c r="E6563">
        <v>0.57426299999999997</v>
      </c>
      <c r="F6563" t="s">
        <v>110</v>
      </c>
      <c r="G6563">
        <v>-306.97550000000001</v>
      </c>
      <c r="H6563">
        <v>3.9402879999999998</v>
      </c>
      <c r="I6563">
        <v>-91.564989999999995</v>
      </c>
      <c r="J6563">
        <v>-301.4864</v>
      </c>
      <c r="K6563">
        <v>1.0477540000000001</v>
      </c>
      <c r="L6563">
        <v>0.37353520000000001</v>
      </c>
      <c r="M6563">
        <v>0.23821410000000001</v>
      </c>
      <c r="N6563">
        <v>0</v>
      </c>
      <c r="O6563">
        <v>-0.97105010000000003</v>
      </c>
      <c r="P6563">
        <v>0.14999779999999999</v>
      </c>
      <c r="Q6563">
        <v>-2.4969169999999999E-2</v>
      </c>
      <c r="R6563">
        <v>-0.988371</v>
      </c>
      <c r="S6563">
        <v>-0.18106079999999999</v>
      </c>
      <c r="T6563">
        <v>9.644461E-2</v>
      </c>
      <c r="U6563">
        <v>-3.0744929999999999</v>
      </c>
      <c r="V6563">
        <v>8.9530910000000005E-2</v>
      </c>
      <c r="W6563">
        <v>-1.0079080000000001E-2</v>
      </c>
      <c r="X6563">
        <v>0.99593310000000002</v>
      </c>
      <c r="Y6563">
        <v>0.29490749999999999</v>
      </c>
      <c r="Z6563">
        <v>-2.927391E-2</v>
      </c>
      <c r="AA6563">
        <v>0.95507730000000002</v>
      </c>
      <c r="AB6563">
        <v>28</v>
      </c>
      <c r="AC6563">
        <v>-5.4890999999999996</v>
      </c>
      <c r="AD6563">
        <v>2.8925339999999902</v>
      </c>
      <c r="AE6563">
        <v>-91.938525200000001</v>
      </c>
      <c r="AF6563">
        <v>27.208707820728002</v>
      </c>
      <c r="AG6563">
        <v>2.8925339999999902</v>
      </c>
      <c r="AH6563">
        <v>87.896530488420893</v>
      </c>
      <c r="AI6563">
        <v>88.199404966006796</v>
      </c>
      <c r="AJ6563">
        <v>72.799889030634304</v>
      </c>
      <c r="AK6563">
        <v>92.056942194039905</v>
      </c>
      <c r="AL6563">
        <v>90.577498491301597</v>
      </c>
      <c r="AM6563">
        <v>84.863117386647602</v>
      </c>
      <c r="AN6563">
        <v>1.0000000556873401</v>
      </c>
    </row>
    <row r="6564" spans="1:40" x14ac:dyDescent="0.25">
      <c r="A6564" t="str">
        <f>"20190312160815948"</f>
        <v>20190312160815948</v>
      </c>
      <c r="B6564" t="str">
        <f>"1552378095941704"</f>
        <v>1552378095941704</v>
      </c>
      <c r="C6564" t="s">
        <v>40</v>
      </c>
      <c r="D6564">
        <v>6.2364059999999997</v>
      </c>
      <c r="E6564">
        <v>0.573582699999999</v>
      </c>
      <c r="F6564" t="s">
        <v>47</v>
      </c>
      <c r="G6564">
        <v>-302.46960000000001</v>
      </c>
      <c r="H6564" s="1">
        <v>-4.2714570000000004E-6</v>
      </c>
      <c r="I6564">
        <v>-21.74858</v>
      </c>
      <c r="J6564">
        <v>-301.43380000000002</v>
      </c>
      <c r="K6564">
        <v>1.0479750000000001</v>
      </c>
      <c r="L6564">
        <v>9.4360349999999996E-2</v>
      </c>
      <c r="M6564">
        <v>0.22462879999999999</v>
      </c>
      <c r="N6564">
        <v>0</v>
      </c>
      <c r="O6564">
        <v>-0.97429739999999998</v>
      </c>
      <c r="P6564">
        <v>0.13748170000000001</v>
      </c>
      <c r="Q6564">
        <v>-2.4388420000000001E-2</v>
      </c>
      <c r="R6564">
        <v>-0.99020419999999998</v>
      </c>
      <c r="S6564">
        <v>-0.13565060000000001</v>
      </c>
      <c r="T6564">
        <v>-0.14456189999999999</v>
      </c>
      <c r="U6564">
        <v>-3.0522459999999998</v>
      </c>
      <c r="V6564">
        <v>8.8200199999999895E-2</v>
      </c>
      <c r="W6564">
        <v>-1.040602E-2</v>
      </c>
      <c r="X6564">
        <v>0.99604839999999994</v>
      </c>
      <c r="Y6564">
        <v>0.26765349999999999</v>
      </c>
      <c r="Z6564">
        <v>4.4607849999999998E-2</v>
      </c>
      <c r="AA6564">
        <v>0.96248210000000001</v>
      </c>
      <c r="AB6564">
        <v>27</v>
      </c>
      <c r="AC6564">
        <v>-1.0357999999999901</v>
      </c>
      <c r="AD6564">
        <v>-1.047979271457</v>
      </c>
      <c r="AE6564">
        <v>-21.842940349999999</v>
      </c>
      <c r="AF6564">
        <v>5.9030206990035303</v>
      </c>
      <c r="AG6564">
        <v>-1.047979271457</v>
      </c>
      <c r="AH6564">
        <v>21.003625743475901</v>
      </c>
      <c r="AI6564">
        <v>92.750040598746295</v>
      </c>
      <c r="AJ6564">
        <v>74.302104040968402</v>
      </c>
      <c r="AK6564">
        <v>21.842532094477299</v>
      </c>
      <c r="AL6564">
        <v>90.596231795629095</v>
      </c>
      <c r="AM6564">
        <v>84.939650886396294</v>
      </c>
      <c r="AN6564">
        <v>0.99999998783741995</v>
      </c>
    </row>
    <row r="6565" spans="1:40" x14ac:dyDescent="0.25">
      <c r="A6565" t="str">
        <f>"20190312160815970"</f>
        <v>20190312160815970</v>
      </c>
      <c r="B6565" t="str">
        <f>"1552378095962199"</f>
        <v>1552378095962199</v>
      </c>
      <c r="C6565" t="s">
        <v>40</v>
      </c>
      <c r="D6565">
        <v>6.1867710000000002</v>
      </c>
      <c r="E6565">
        <v>0.57536309999999902</v>
      </c>
      <c r="F6565" t="s">
        <v>47</v>
      </c>
      <c r="G6565">
        <v>-302.66230000000002</v>
      </c>
      <c r="H6565" s="1">
        <v>-4.189842E-6</v>
      </c>
      <c r="I6565">
        <v>-22.08886</v>
      </c>
      <c r="J6565">
        <v>-301.38659999999999</v>
      </c>
      <c r="K6565">
        <v>1.0485580000000001</v>
      </c>
      <c r="L6565">
        <v>-0.18560789999999999</v>
      </c>
      <c r="M6565">
        <v>0.21081040000000001</v>
      </c>
      <c r="N6565">
        <v>0</v>
      </c>
      <c r="O6565">
        <v>-0.97741069999999997</v>
      </c>
      <c r="P6565">
        <v>0.12446939999999999</v>
      </c>
      <c r="Q6565">
        <v>-2.2763120000000001E-2</v>
      </c>
      <c r="R6565">
        <v>-0.99196260000000003</v>
      </c>
      <c r="S6565">
        <v>-0.16888429999999999</v>
      </c>
      <c r="T6565">
        <v>-0.14406869999999999</v>
      </c>
      <c r="U6565">
        <v>-3.0495909999999999</v>
      </c>
      <c r="V6565">
        <v>8.7160829999999995E-2</v>
      </c>
      <c r="W6565">
        <v>-1.06477E-2</v>
      </c>
      <c r="X6565">
        <v>0.9961373</v>
      </c>
      <c r="Y6565">
        <v>0.26450279999999998</v>
      </c>
      <c r="Z6565">
        <v>4.4721039999999997E-2</v>
      </c>
      <c r="AA6565">
        <v>0.96334739999999996</v>
      </c>
      <c r="AB6565">
        <v>27</v>
      </c>
      <c r="AC6565">
        <v>-1.27570000000002</v>
      </c>
      <c r="AD6565">
        <v>-1.0485621898419999</v>
      </c>
      <c r="AE6565">
        <v>-21.9032521</v>
      </c>
      <c r="AF6565">
        <v>5.8516175272158604</v>
      </c>
      <c r="AG6565">
        <v>-1.0485621898419999</v>
      </c>
      <c r="AH6565">
        <v>21.093766398696399</v>
      </c>
      <c r="AI6565">
        <v>92.742406598922699</v>
      </c>
      <c r="AJ6565">
        <v>74.495464125552601</v>
      </c>
      <c r="AK6565">
        <v>21.915471503792901</v>
      </c>
      <c r="AL6565">
        <v>90.610079828914806</v>
      </c>
      <c r="AM6565">
        <v>84.999422971997305</v>
      </c>
      <c r="AN6565">
        <v>0.999999952126433</v>
      </c>
    </row>
    <row r="6566" spans="1:40" x14ac:dyDescent="0.25">
      <c r="A6566" t="str">
        <f>"20190312160815993"</f>
        <v>20190312160815993</v>
      </c>
      <c r="B6566" t="str">
        <f>"1552378095981720"</f>
        <v>1552378095981720</v>
      </c>
      <c r="C6566" t="s">
        <v>40</v>
      </c>
      <c r="D6566">
        <v>6.3186730000000004</v>
      </c>
      <c r="E6566">
        <v>0.57526140000000003</v>
      </c>
      <c r="F6566" t="s">
        <v>47</v>
      </c>
      <c r="G6566">
        <v>-303.6755</v>
      </c>
      <c r="H6566" s="1">
        <v>-4.5770210000000003E-6</v>
      </c>
      <c r="I6566">
        <v>-31.479289999999999</v>
      </c>
      <c r="J6566">
        <v>-301.34530000000001</v>
      </c>
      <c r="K6566">
        <v>1.0498989999999999</v>
      </c>
      <c r="L6566">
        <v>-0.46084589999999998</v>
      </c>
      <c r="M6566">
        <v>0.19654630000000001</v>
      </c>
      <c r="N6566">
        <v>0</v>
      </c>
      <c r="O6566">
        <v>-0.98040799999999995</v>
      </c>
      <c r="P6566">
        <v>0.11045290000000001</v>
      </c>
      <c r="Q6566">
        <v>-2.1269090000000001E-2</v>
      </c>
      <c r="R6566">
        <v>-0.99365429999999999</v>
      </c>
      <c r="S6566">
        <v>-0.22308349999999999</v>
      </c>
      <c r="T6566">
        <v>-0.10219540000000001</v>
      </c>
      <c r="U6566">
        <v>-3.049957</v>
      </c>
      <c r="V6566">
        <v>8.6696709999999996E-2</v>
      </c>
      <c r="W6566">
        <v>-1.114186E-2</v>
      </c>
      <c r="X6566">
        <v>0.99617239999999996</v>
      </c>
      <c r="Y6566">
        <v>0.2675247</v>
      </c>
      <c r="Z6566">
        <v>3.1853310000000003E-2</v>
      </c>
      <c r="AA6566">
        <v>0.9630244</v>
      </c>
      <c r="AB6566">
        <v>28</v>
      </c>
      <c r="AC6566">
        <v>-2.3301999999999898</v>
      </c>
      <c r="AD6566">
        <v>-1.0499035770209999</v>
      </c>
      <c r="AE6566">
        <v>-31.0184441</v>
      </c>
      <c r="AF6566">
        <v>8.3722803649500008</v>
      </c>
      <c r="AG6566">
        <v>-1.0499035770209999</v>
      </c>
      <c r="AH6566">
        <v>29.921193066109101</v>
      </c>
      <c r="AI6566">
        <v>91.935348972889301</v>
      </c>
      <c r="AJ6566">
        <v>74.367793166023205</v>
      </c>
      <c r="AK6566">
        <v>31.088183776633599</v>
      </c>
      <c r="AL6566">
        <v>90.638394791269704</v>
      </c>
      <c r="AM6566">
        <v>85.026090829805696</v>
      </c>
      <c r="AN6566">
        <v>0.99999995554541998</v>
      </c>
    </row>
    <row r="6567" spans="1:40" x14ac:dyDescent="0.25">
      <c r="A6567" t="str">
        <f>"20190312160816014"</f>
        <v>20190312160816014</v>
      </c>
      <c r="B6567" t="str">
        <f>"1552378096011975"</f>
        <v>1552378096011975</v>
      </c>
      <c r="C6567" t="s">
        <v>40</v>
      </c>
      <c r="D6567">
        <v>6.3808540000000002</v>
      </c>
      <c r="E6567">
        <v>0.57443540000000004</v>
      </c>
      <c r="F6567" t="s">
        <v>82</v>
      </c>
      <c r="G6567">
        <v>-305.24579999999997</v>
      </c>
      <c r="H6567" s="1">
        <v>-3.8481270000000002E-6</v>
      </c>
      <c r="I6567">
        <v>-45.281840000000003</v>
      </c>
      <c r="J6567">
        <v>-301.30900000000003</v>
      </c>
      <c r="K6567">
        <v>1.0519540000000001</v>
      </c>
      <c r="L6567">
        <v>-0.73144529999999996</v>
      </c>
      <c r="M6567">
        <v>0.18178240000000001</v>
      </c>
      <c r="N6567">
        <v>0</v>
      </c>
      <c r="O6567">
        <v>-0.9832748</v>
      </c>
      <c r="P6567">
        <v>9.6103190000000005E-2</v>
      </c>
      <c r="Q6567">
        <v>-2.0109229999999999E-2</v>
      </c>
      <c r="R6567">
        <v>-0.99516830000000001</v>
      </c>
      <c r="S6567">
        <v>-0.26516719999999999</v>
      </c>
      <c r="T6567">
        <v>-7.1376800000000004E-2</v>
      </c>
      <c r="U6567">
        <v>-3.0471189999999999</v>
      </c>
      <c r="V6567">
        <v>8.6089170000000007E-2</v>
      </c>
      <c r="W6567">
        <v>-1.1646399999999999E-2</v>
      </c>
      <c r="X6567">
        <v>0.99621930000000003</v>
      </c>
      <c r="Y6567">
        <v>0.26633649999999998</v>
      </c>
      <c r="Z6567">
        <v>2.2365900000000001E-2</v>
      </c>
      <c r="AA6567">
        <v>0.96362060000000005</v>
      </c>
      <c r="AB6567">
        <v>28</v>
      </c>
      <c r="AC6567">
        <v>-3.9367999999999399</v>
      </c>
      <c r="AD6567">
        <v>-1.051957848127</v>
      </c>
      <c r="AE6567">
        <v>-44.550394699999998</v>
      </c>
      <c r="AF6567">
        <v>11.963568257914901</v>
      </c>
      <c r="AG6567">
        <v>-1.051957848127</v>
      </c>
      <c r="AH6567">
        <v>43.068523325057399</v>
      </c>
      <c r="AI6567">
        <v>91.348156742899306</v>
      </c>
      <c r="AJ6567">
        <v>74.4757783971246</v>
      </c>
      <c r="AK6567">
        <v>44.711645934555399</v>
      </c>
      <c r="AL6567">
        <v>90.667304693351397</v>
      </c>
      <c r="AM6567">
        <v>85.0610045807029</v>
      </c>
      <c r="AN6567">
        <v>0.99999993875836701</v>
      </c>
    </row>
    <row r="6568" spans="1:40" x14ac:dyDescent="0.25">
      <c r="A6568" t="str">
        <f>"20190312160816037"</f>
        <v>20190312160816037</v>
      </c>
      <c r="B6568" t="str">
        <f>"1552378096032475"</f>
        <v>1552378096032475</v>
      </c>
      <c r="C6568" t="s">
        <v>40</v>
      </c>
      <c r="D6568">
        <v>6.3984860000000001</v>
      </c>
      <c r="E6568">
        <v>0.57304600000000006</v>
      </c>
      <c r="F6568" t="s">
        <v>82</v>
      </c>
      <c r="G6568">
        <v>-307.29989999999998</v>
      </c>
      <c r="H6568" s="1">
        <v>-8.5945209999999996E-6</v>
      </c>
      <c r="I6568">
        <v>-60.939050000000002</v>
      </c>
      <c r="J6568">
        <v>-301.2747</v>
      </c>
      <c r="K6568">
        <v>1.054449</v>
      </c>
      <c r="L6568">
        <v>-1.016907</v>
      </c>
      <c r="M6568">
        <v>0.1656359</v>
      </c>
      <c r="N6568">
        <v>0</v>
      </c>
      <c r="O6568">
        <v>-0.98614159999999995</v>
      </c>
      <c r="P6568">
        <v>8.0395679999999997E-2</v>
      </c>
      <c r="Q6568">
        <v>-1.9331170000000002E-2</v>
      </c>
      <c r="R6568">
        <v>-0.99657549999999995</v>
      </c>
      <c r="S6568">
        <v>-0.3027649</v>
      </c>
      <c r="T6568">
        <v>-5.3163290000000002E-2</v>
      </c>
      <c r="U6568">
        <v>-3.0427249999999999</v>
      </c>
      <c r="V6568">
        <v>8.5461809999999999E-2</v>
      </c>
      <c r="W6568">
        <v>-1.241545E-2</v>
      </c>
      <c r="X6568">
        <v>0.99626409999999999</v>
      </c>
      <c r="Y6568">
        <v>0.26246259999999999</v>
      </c>
      <c r="Z6568">
        <v>1.6759019999999999E-2</v>
      </c>
      <c r="AA6568">
        <v>0.9647966</v>
      </c>
      <c r="AB6568">
        <v>28</v>
      </c>
      <c r="AC6568">
        <v>-6.0251999999999803</v>
      </c>
      <c r="AD6568">
        <v>-1.054457594521</v>
      </c>
      <c r="AE6568">
        <v>-59.922142999999998</v>
      </c>
      <c r="AF6568">
        <v>15.862805602461901</v>
      </c>
      <c r="AG6568">
        <v>-1.054457594521</v>
      </c>
      <c r="AH6568">
        <v>58.078523704452103</v>
      </c>
      <c r="AI6568">
        <v>91.003387555158497</v>
      </c>
      <c r="AJ6568">
        <v>74.723573085256007</v>
      </c>
      <c r="AK6568">
        <v>60.215076169417401</v>
      </c>
      <c r="AL6568">
        <v>90.711371154499801</v>
      </c>
      <c r="AM6568">
        <v>85.097039966842203</v>
      </c>
      <c r="AN6568">
        <v>1.00000001065799</v>
      </c>
    </row>
    <row r="6569" spans="1:40" x14ac:dyDescent="0.25">
      <c r="A6569" t="str">
        <f>"20190312160816059"</f>
        <v>20190312160816059</v>
      </c>
      <c r="B6569" t="str">
        <f>"1552378096051992"</f>
        <v>1552378096051992</v>
      </c>
      <c r="C6569" t="s">
        <v>40</v>
      </c>
      <c r="D6569">
        <v>6.3895650000000002</v>
      </c>
      <c r="E6569">
        <v>0.57195659999999904</v>
      </c>
      <c r="F6569" t="s">
        <v>82</v>
      </c>
      <c r="G6569">
        <v>-308.27080000000001</v>
      </c>
      <c r="H6569" s="1">
        <v>-7.9583919999999997E-6</v>
      </c>
      <c r="I6569">
        <v>-63.564700000000002</v>
      </c>
      <c r="J6569">
        <v>-301.24459999999999</v>
      </c>
      <c r="K6569">
        <v>1.05681</v>
      </c>
      <c r="L6569">
        <v>-1.2995909999999999</v>
      </c>
      <c r="M6569">
        <v>0.14957100000000001</v>
      </c>
      <c r="N6569">
        <v>0</v>
      </c>
      <c r="O6569">
        <v>-0.98872000000000004</v>
      </c>
      <c r="P6569">
        <v>6.440891E-2</v>
      </c>
      <c r="Q6569">
        <v>-1.8927070000000001E-2</v>
      </c>
      <c r="R6569">
        <v>-0.99774439999999998</v>
      </c>
      <c r="S6569">
        <v>-0.33966059999999998</v>
      </c>
      <c r="T6569">
        <v>-5.1194190000000001E-2</v>
      </c>
      <c r="U6569">
        <v>-3.0367130000000002</v>
      </c>
      <c r="V6569">
        <v>8.5211880000000004E-2</v>
      </c>
      <c r="W6569">
        <v>-1.349036E-2</v>
      </c>
      <c r="X6569">
        <v>0.99627160000000003</v>
      </c>
      <c r="Y6569">
        <v>0.25854120000000003</v>
      </c>
      <c r="Z6569">
        <v>1.6233640000000001E-2</v>
      </c>
      <c r="AA6569">
        <v>0.96586380000000005</v>
      </c>
      <c r="AB6569">
        <v>28</v>
      </c>
      <c r="AC6569">
        <v>-7.02620000000001</v>
      </c>
      <c r="AD6569">
        <v>-1.0568179583920001</v>
      </c>
      <c r="AE6569">
        <v>-62.265108999999903</v>
      </c>
      <c r="AF6569">
        <v>16.255873205221501</v>
      </c>
      <c r="AG6569">
        <v>-1.0568179583920001</v>
      </c>
      <c r="AH6569">
        <v>60.496488293943798</v>
      </c>
      <c r="AI6569">
        <v>90.966524295784893</v>
      </c>
      <c r="AJ6569">
        <v>74.959458768195205</v>
      </c>
      <c r="AK6569">
        <v>62.651379663664997</v>
      </c>
      <c r="AL6569">
        <v>90.772964078573906</v>
      </c>
      <c r="AM6569">
        <v>85.111345530855999</v>
      </c>
      <c r="AN6569">
        <v>1.0000000776363001</v>
      </c>
    </row>
    <row r="6570" spans="1:40" x14ac:dyDescent="0.25">
      <c r="A6570" t="str">
        <f>"20190312160816081"</f>
        <v>20190312160816081</v>
      </c>
      <c r="B6570" t="str">
        <f>"1552378096072487"</f>
        <v>1552378096072487</v>
      </c>
      <c r="C6570" t="s">
        <v>40</v>
      </c>
      <c r="D6570">
        <v>6.3167989999999996</v>
      </c>
      <c r="E6570">
        <v>0.57059059999999995</v>
      </c>
      <c r="F6570" t="s">
        <v>82</v>
      </c>
      <c r="G6570">
        <v>-309.31810000000002</v>
      </c>
      <c r="H6570" s="1">
        <v>-7.3445149999999999E-6</v>
      </c>
      <c r="I6570">
        <v>-65.754040000000003</v>
      </c>
      <c r="J6570">
        <v>-301.21910000000003</v>
      </c>
      <c r="K6570">
        <v>1.058962</v>
      </c>
      <c r="L6570">
        <v>-1.571747</v>
      </c>
      <c r="M6570">
        <v>0.13401869999999999</v>
      </c>
      <c r="N6570">
        <v>0</v>
      </c>
      <c r="O6570">
        <v>-0.99095809999999995</v>
      </c>
      <c r="P6570">
        <v>4.9118509999999997E-2</v>
      </c>
      <c r="Q6570">
        <v>-1.8690950000000001E-2</v>
      </c>
      <c r="R6570">
        <v>-0.99861849999999996</v>
      </c>
      <c r="S6570">
        <v>-0.37957760000000001</v>
      </c>
      <c r="T6570">
        <v>-4.9686429999999997E-2</v>
      </c>
      <c r="U6570">
        <v>-3.0303339999999999</v>
      </c>
      <c r="V6570">
        <v>8.4807350000000004E-2</v>
      </c>
      <c r="W6570">
        <v>-1.451333E-2</v>
      </c>
      <c r="X6570">
        <v>0.99629160000000005</v>
      </c>
      <c r="Y6570">
        <v>0.2561331</v>
      </c>
      <c r="Z6570">
        <v>1.5836380000000001E-2</v>
      </c>
      <c r="AA6570">
        <v>0.96651180000000003</v>
      </c>
      <c r="AB6570">
        <v>28</v>
      </c>
      <c r="AC6570">
        <v>-8.0989999999999895</v>
      </c>
      <c r="AD6570">
        <v>-1.0589693445149999</v>
      </c>
      <c r="AE6570">
        <v>-64.182293000000001</v>
      </c>
      <c r="AF6570">
        <v>16.623283830810099</v>
      </c>
      <c r="AG6570">
        <v>-1.0589693445149999</v>
      </c>
      <c r="AH6570">
        <v>62.501080306233</v>
      </c>
      <c r="AI6570">
        <v>90.938075705294395</v>
      </c>
      <c r="AJ6570">
        <v>75.105965326288796</v>
      </c>
      <c r="AK6570">
        <v>64.6826098796151</v>
      </c>
      <c r="AL6570">
        <v>90.831581802766806</v>
      </c>
      <c r="AM6570">
        <v>85.134539175322899</v>
      </c>
      <c r="AN6570">
        <v>0.99999993779613305</v>
      </c>
    </row>
    <row r="6571" spans="1:40" x14ac:dyDescent="0.25">
      <c r="A6571" t="str">
        <f>"20190312160816103"</f>
        <v>20190312160816103</v>
      </c>
      <c r="B6571" t="str">
        <f>"1552378096092008"</f>
        <v>1552378096092008</v>
      </c>
      <c r="C6571" t="s">
        <v>40</v>
      </c>
      <c r="D6571">
        <v>6.3411059999999999</v>
      </c>
      <c r="E6571">
        <v>0.55094589999999999</v>
      </c>
      <c r="F6571" t="s">
        <v>82</v>
      </c>
      <c r="G6571">
        <v>-309.9803</v>
      </c>
      <c r="H6571">
        <v>7.2447869999999998E-2</v>
      </c>
      <c r="I6571">
        <v>-65.418610000000001</v>
      </c>
      <c r="J6571">
        <v>-301.19619999999998</v>
      </c>
      <c r="K6571">
        <v>1.0612699999999999</v>
      </c>
      <c r="L6571">
        <v>-1.847534</v>
      </c>
      <c r="M6571">
        <v>0.1177173</v>
      </c>
      <c r="N6571">
        <v>0</v>
      </c>
      <c r="O6571">
        <v>-0.993031</v>
      </c>
      <c r="P6571">
        <v>3.4467190000000002E-2</v>
      </c>
      <c r="Q6571">
        <v>-1.8275929999999999E-2</v>
      </c>
      <c r="R6571">
        <v>-0.99923859999999998</v>
      </c>
      <c r="S6571">
        <v>-0.41491699999999998</v>
      </c>
      <c r="T6571">
        <v>-4.6719669999999998E-2</v>
      </c>
      <c r="U6571">
        <v>-3.023682</v>
      </c>
      <c r="V6571">
        <v>8.306007E-2</v>
      </c>
      <c r="W6571">
        <v>-1.4691920000000001E-2</v>
      </c>
      <c r="X6571">
        <v>0.99643619999999999</v>
      </c>
      <c r="Y6571">
        <v>0.2516139</v>
      </c>
      <c r="Z6571">
        <v>1.49692E-2</v>
      </c>
      <c r="AA6571">
        <v>0.96771189999999996</v>
      </c>
      <c r="AB6571">
        <v>28</v>
      </c>
      <c r="AC6571">
        <v>-8.78410000000002</v>
      </c>
      <c r="AD6571">
        <v>-0.98882212999999997</v>
      </c>
      <c r="AE6571">
        <v>-63.571075999999998</v>
      </c>
      <c r="AF6571">
        <v>16.202712184063099</v>
      </c>
      <c r="AG6571">
        <v>-0.98882212999999997</v>
      </c>
      <c r="AH6571">
        <v>62.080265723189598</v>
      </c>
      <c r="AI6571">
        <v>90.882964086447501</v>
      </c>
      <c r="AJ6571">
        <v>75.372333981878299</v>
      </c>
      <c r="AK6571">
        <v>64.167476524998193</v>
      </c>
      <c r="AL6571">
        <v>90.841815325588101</v>
      </c>
      <c r="AM6571">
        <v>85.235003801647906</v>
      </c>
      <c r="AN6571">
        <v>0.99999996420606496</v>
      </c>
    </row>
    <row r="6572" spans="1:40" x14ac:dyDescent="0.25">
      <c r="A6572" t="str">
        <f>"20190312160816127"</f>
        <v>20190312160816127</v>
      </c>
      <c r="B6572" t="str">
        <f>"1552378096122264"</f>
        <v>1552378096122264</v>
      </c>
      <c r="C6572" t="s">
        <v>40</v>
      </c>
      <c r="D6572">
        <v>6.1301899999999998</v>
      </c>
      <c r="E6572">
        <v>0.48945470000000002</v>
      </c>
      <c r="F6572" t="s">
        <v>82</v>
      </c>
      <c r="G6572">
        <v>-305.36540000000002</v>
      </c>
      <c r="H6572" s="1">
        <v>-2.63576E-6</v>
      </c>
      <c r="I6572">
        <v>-43.348269999999999</v>
      </c>
      <c r="J6572">
        <v>-301.17570000000001</v>
      </c>
      <c r="K6572">
        <v>1.0636669999999999</v>
      </c>
      <c r="L6572">
        <v>-2.1353149999999999</v>
      </c>
      <c r="M6572">
        <v>0.1011155</v>
      </c>
      <c r="N6572">
        <v>0</v>
      </c>
      <c r="O6572">
        <v>-0.99485809999999997</v>
      </c>
      <c r="P6572">
        <v>1.9458840000000002E-2</v>
      </c>
      <c r="Q6572">
        <v>-1.931503E-2</v>
      </c>
      <c r="R6572">
        <v>-0.99962450000000003</v>
      </c>
      <c r="S6572">
        <v>-0.30252079999999998</v>
      </c>
      <c r="T6572">
        <v>-7.7006699999999997E-2</v>
      </c>
      <c r="U6572">
        <v>-3.0113219999999998</v>
      </c>
      <c r="V6572">
        <v>8.136082E-2</v>
      </c>
      <c r="W6572">
        <v>-1.556543E-2</v>
      </c>
      <c r="X6572">
        <v>0.99656310000000004</v>
      </c>
      <c r="Y6572">
        <v>0.20002449999999999</v>
      </c>
      <c r="Z6572">
        <v>2.5045850000000001E-2</v>
      </c>
      <c r="AA6572">
        <v>0.97947070000000003</v>
      </c>
      <c r="AB6572">
        <v>27</v>
      </c>
      <c r="AC6572">
        <v>-4.18970000000001</v>
      </c>
      <c r="AD6572">
        <v>-1.06366963576</v>
      </c>
      <c r="AE6572">
        <v>-41.212955000000001</v>
      </c>
      <c r="AF6572">
        <v>8.3300711532974105</v>
      </c>
      <c r="AG6572">
        <v>-1.06366963576</v>
      </c>
      <c r="AH6572">
        <v>40.551333025189102</v>
      </c>
      <c r="AI6572">
        <v>91.471816594719002</v>
      </c>
      <c r="AJ6572">
        <v>78.391759840707095</v>
      </c>
      <c r="AK6572">
        <v>41.411738536709997</v>
      </c>
      <c r="AL6572">
        <v>90.8918695162983</v>
      </c>
      <c r="AM6572">
        <v>85.332643022644802</v>
      </c>
      <c r="AN6572">
        <v>0.999999938961881</v>
      </c>
    </row>
    <row r="6573" spans="1:40" x14ac:dyDescent="0.25">
      <c r="A6573" t="str">
        <f>"20190312160816149"</f>
        <v>20190312160816149</v>
      </c>
      <c r="B6573" t="str">
        <f>"1552378096141783"</f>
        <v>1552378096141783</v>
      </c>
      <c r="C6573" t="s">
        <v>40</v>
      </c>
      <c r="D6573">
        <v>6.2212239999999897</v>
      </c>
      <c r="E6573">
        <v>0.44001420000000002</v>
      </c>
      <c r="F6573" t="s">
        <v>110</v>
      </c>
      <c r="G6573">
        <v>-296.9314</v>
      </c>
      <c r="H6573">
        <v>1.1305179999999999</v>
      </c>
      <c r="I6573">
        <v>-91.564989999999995</v>
      </c>
      <c r="J6573">
        <v>-301.16019999999997</v>
      </c>
      <c r="K6573">
        <v>1.0658319999999999</v>
      </c>
      <c r="L6573">
        <v>-2.4100649999999999</v>
      </c>
      <c r="M6573">
        <v>8.6477650000000003E-2</v>
      </c>
      <c r="N6573">
        <v>0</v>
      </c>
      <c r="O6573">
        <v>-0.99623569999999995</v>
      </c>
      <c r="P6573">
        <v>6.5260419999999897E-3</v>
      </c>
      <c r="Q6573">
        <v>-2.018441E-2</v>
      </c>
      <c r="R6573">
        <v>-0.99977490000000002</v>
      </c>
      <c r="S6573">
        <v>0.1423035</v>
      </c>
      <c r="T6573">
        <v>2.2418500000000001E-3</v>
      </c>
      <c r="U6573">
        <v>-2.9984130000000002</v>
      </c>
      <c r="V6573">
        <v>7.9573099999999994E-2</v>
      </c>
      <c r="W6573">
        <v>-1.6207869999999999E-2</v>
      </c>
      <c r="X6573">
        <v>0.99669719999999995</v>
      </c>
      <c r="Y6573">
        <v>3.9153359999999998E-2</v>
      </c>
      <c r="Z6573">
        <v>-7.4277529999999998E-4</v>
      </c>
      <c r="AA6573">
        <v>0.99923289999999998</v>
      </c>
      <c r="AB6573">
        <v>27</v>
      </c>
      <c r="AC6573">
        <v>4.2287999999999704</v>
      </c>
      <c r="AD6573">
        <v>6.4686000000000202E-2</v>
      </c>
      <c r="AE6573">
        <v>-89.154925000000006</v>
      </c>
      <c r="AF6573">
        <v>3.4970880637591502</v>
      </c>
      <c r="AG6573">
        <v>6.4686000000000202E-2</v>
      </c>
      <c r="AH6573">
        <v>89.186576387477302</v>
      </c>
      <c r="AI6573">
        <v>89.958475945430095</v>
      </c>
      <c r="AJ6573">
        <v>87.754529876482593</v>
      </c>
      <c r="AK6573">
        <v>89.255135521288693</v>
      </c>
      <c r="AL6573">
        <v>90.9286832639024</v>
      </c>
      <c r="AM6573">
        <v>85.435370925834505</v>
      </c>
      <c r="AN6573">
        <v>0.999999940890691</v>
      </c>
    </row>
    <row r="6574" spans="1:40" x14ac:dyDescent="0.25">
      <c r="A6574" t="str">
        <f>"20190312160816172"</f>
        <v>20190312160816172</v>
      </c>
      <c r="B6574" t="str">
        <f>"1552378096162280"</f>
        <v>1552378096162280</v>
      </c>
      <c r="C6574" t="s">
        <v>40</v>
      </c>
      <c r="D6574">
        <v>6.1301579999999998</v>
      </c>
      <c r="E6574">
        <v>0.43858799999999998</v>
      </c>
      <c r="F6574" t="s">
        <v>47</v>
      </c>
      <c r="G6574">
        <v>-295.82490000000001</v>
      </c>
      <c r="H6574" s="1">
        <v>-3.2642189999999999E-6</v>
      </c>
      <c r="I6574">
        <v>-34.484580000000001</v>
      </c>
      <c r="J6574">
        <v>-301.14870000000002</v>
      </c>
      <c r="K6574">
        <v>1.0683009999999999</v>
      </c>
      <c r="L6574">
        <v>-2.689819</v>
      </c>
      <c r="M6574">
        <v>7.2249229999999998E-2</v>
      </c>
      <c r="N6574">
        <v>0</v>
      </c>
      <c r="O6574">
        <v>-0.99736829999999999</v>
      </c>
      <c r="P6574">
        <v>-6.117356E-3</v>
      </c>
      <c r="Q6574">
        <v>-2.0723869999999998E-2</v>
      </c>
      <c r="R6574">
        <v>-0.9997665</v>
      </c>
      <c r="S6574">
        <v>0.4982605</v>
      </c>
      <c r="T6574">
        <v>-9.9537849999999997E-2</v>
      </c>
      <c r="U6574">
        <v>-2.995422</v>
      </c>
      <c r="V6574">
        <v>7.7930639999999995E-2</v>
      </c>
      <c r="W6574">
        <v>-1.6729750000000002E-2</v>
      </c>
      <c r="X6574">
        <v>0.99681839999999999</v>
      </c>
      <c r="Y6574">
        <v>-9.2297610000000002E-2</v>
      </c>
      <c r="Z6574">
        <v>3.2785910000000001E-2</v>
      </c>
      <c r="AA6574">
        <v>0.99519159999999995</v>
      </c>
      <c r="AB6574">
        <v>27</v>
      </c>
      <c r="AC6574">
        <v>5.3238000000000003</v>
      </c>
      <c r="AD6574">
        <v>-1.0683042642189999</v>
      </c>
      <c r="AE6574">
        <v>-31.794760999999902</v>
      </c>
      <c r="AF6574">
        <v>-3.0093925439628602</v>
      </c>
      <c r="AG6574">
        <v>-1.0683042642189999</v>
      </c>
      <c r="AH6574">
        <v>32.061104729036003</v>
      </c>
      <c r="AI6574">
        <v>91.900093901101499</v>
      </c>
      <c r="AJ6574">
        <v>95.362315745974499</v>
      </c>
      <c r="AK6574">
        <v>32.219747887449799</v>
      </c>
      <c r="AL6574">
        <v>90.958588790499206</v>
      </c>
      <c r="AM6574">
        <v>85.529744365031803</v>
      </c>
      <c r="AN6574">
        <v>0.999999995882216</v>
      </c>
    </row>
    <row r="6575" spans="1:40" x14ac:dyDescent="0.25">
      <c r="A6575" t="str">
        <f>"20190312160816193"</f>
        <v>20190312160816193</v>
      </c>
      <c r="B6575" t="str">
        <f>"1552378096181800"</f>
        <v>1552378096181800</v>
      </c>
      <c r="C6575" t="s">
        <v>40</v>
      </c>
      <c r="D6575">
        <v>6.0911589999999904</v>
      </c>
      <c r="E6575">
        <v>0.44037500000000002</v>
      </c>
      <c r="F6575" t="s">
        <v>47</v>
      </c>
      <c r="G6575">
        <v>-296.09750000000003</v>
      </c>
      <c r="H6575" s="1">
        <v>-3.0627700000000002E-6</v>
      </c>
      <c r="I6575">
        <v>-34.841450000000002</v>
      </c>
      <c r="J6575">
        <v>-301.14170000000001</v>
      </c>
      <c r="K6575">
        <v>1.0710150000000001</v>
      </c>
      <c r="L6575">
        <v>-2.954895</v>
      </c>
      <c r="M6575">
        <v>5.90597E-2</v>
      </c>
      <c r="N6575">
        <v>0</v>
      </c>
      <c r="O6575">
        <v>-0.99823660000000003</v>
      </c>
      <c r="P6575">
        <v>-1.717778E-2</v>
      </c>
      <c r="Q6575">
        <v>-2.0585160000000002E-2</v>
      </c>
      <c r="R6575">
        <v>-0.999641</v>
      </c>
      <c r="S6575">
        <v>0.47155760000000002</v>
      </c>
      <c r="T6575">
        <v>-9.9731920000000002E-2</v>
      </c>
      <c r="U6575">
        <v>-3.0015260000000001</v>
      </c>
      <c r="V6575">
        <v>7.5791319999999995E-2</v>
      </c>
      <c r="W6575">
        <v>-1.6536260000000001E-2</v>
      </c>
      <c r="X6575">
        <v>0.99698659999999995</v>
      </c>
      <c r="Y6575">
        <v>-9.6502439999999995E-2</v>
      </c>
      <c r="Z6575">
        <v>3.2843280000000002E-2</v>
      </c>
      <c r="AA6575">
        <v>0.99479070000000003</v>
      </c>
      <c r="AB6575">
        <v>27</v>
      </c>
      <c r="AC6575">
        <v>5.0441999999999796</v>
      </c>
      <c r="AD6575">
        <v>-1.0710180627699999</v>
      </c>
      <c r="AE6575">
        <v>-31.886554999999898</v>
      </c>
      <c r="AF6575">
        <v>-3.1486853017287602</v>
      </c>
      <c r="AG6575">
        <v>-1.0710180627699999</v>
      </c>
      <c r="AH6575">
        <v>32.093484492977403</v>
      </c>
      <c r="AI6575">
        <v>91.902228940073798</v>
      </c>
      <c r="AJ6575">
        <v>95.603344914616997</v>
      </c>
      <c r="AK6575">
        <v>32.265353643205003</v>
      </c>
      <c r="AL6575">
        <v>90.9475010673561</v>
      </c>
      <c r="AM6575">
        <v>85.652713532936801</v>
      </c>
      <c r="AN6575">
        <v>1.00000002633084</v>
      </c>
    </row>
    <row r="6576" spans="1:40" x14ac:dyDescent="0.25">
      <c r="A6576" t="str">
        <f>"20190312160816216"</f>
        <v>20190312160816216</v>
      </c>
      <c r="B6576" t="str">
        <f>"1552378096212056"</f>
        <v>1552378096212056</v>
      </c>
      <c r="C6576" t="s">
        <v>40</v>
      </c>
      <c r="D6576">
        <v>6.0936180000000002</v>
      </c>
      <c r="E6576">
        <v>0.44106250000000002</v>
      </c>
      <c r="F6576" t="s">
        <v>47</v>
      </c>
      <c r="G6576">
        <v>-298.09129999999999</v>
      </c>
      <c r="H6576" s="1">
        <v>-2.8257689999999999E-6</v>
      </c>
      <c r="I6576">
        <v>-24.569510000000001</v>
      </c>
      <c r="J6576">
        <v>-301.13810000000001</v>
      </c>
      <c r="K6576">
        <v>1.074192</v>
      </c>
      <c r="L6576">
        <v>-3.2406009999999998</v>
      </c>
      <c r="M6576">
        <v>4.5227919999999998E-2</v>
      </c>
      <c r="N6576">
        <v>0</v>
      </c>
      <c r="O6576">
        <v>-0.9989576</v>
      </c>
      <c r="P6576">
        <v>-2.8901409999999999E-2</v>
      </c>
      <c r="Q6576">
        <v>-2.0230370000000001E-2</v>
      </c>
      <c r="R6576">
        <v>-0.99937750000000003</v>
      </c>
      <c r="S6576">
        <v>0.42413329999999999</v>
      </c>
      <c r="T6576">
        <v>-0.14891489999999999</v>
      </c>
      <c r="U6576">
        <v>-3.0053100000000001</v>
      </c>
      <c r="V6576">
        <v>7.3702069999999995E-2</v>
      </c>
      <c r="W6576">
        <v>-1.5883040000000001E-2</v>
      </c>
      <c r="X6576">
        <v>0.99715379999999998</v>
      </c>
      <c r="Y6576">
        <v>-9.4646869999999994E-2</v>
      </c>
      <c r="Z6576">
        <v>4.9060560000000003E-2</v>
      </c>
      <c r="AA6576">
        <v>0.99430130000000005</v>
      </c>
      <c r="AB6576">
        <v>27</v>
      </c>
      <c r="AC6576">
        <v>3.0468000000000099</v>
      </c>
      <c r="AD6576">
        <v>-1.0741948257689999</v>
      </c>
      <c r="AE6576">
        <v>-21.328908999999999</v>
      </c>
      <c r="AF6576">
        <v>-2.07384643542518</v>
      </c>
      <c r="AG6576">
        <v>-1.0741948257689999</v>
      </c>
      <c r="AH6576">
        <v>21.391710957866799</v>
      </c>
      <c r="AI6576">
        <v>92.861327535007902</v>
      </c>
      <c r="AJ6576">
        <v>95.537307366929696</v>
      </c>
      <c r="AK6576">
        <v>21.518829690909101</v>
      </c>
      <c r="AL6576">
        <v>90.910069439633702</v>
      </c>
      <c r="AM6576">
        <v>85.7728157471782</v>
      </c>
      <c r="AN6576">
        <v>0.99999998346818297</v>
      </c>
    </row>
    <row r="6577" spans="1:40" x14ac:dyDescent="0.25">
      <c r="A6577" t="str">
        <f>"20190312160816238"</f>
        <v>20190312160816238</v>
      </c>
      <c r="B6577" t="str">
        <f>"1552378096231580"</f>
        <v>1552378096231580</v>
      </c>
      <c r="C6577" t="s">
        <v>40</v>
      </c>
      <c r="D6577">
        <v>6.0585820000000004</v>
      </c>
      <c r="E6577">
        <v>0.4403203</v>
      </c>
      <c r="F6577" t="s">
        <v>47</v>
      </c>
      <c r="G6577">
        <v>-298.76229999999998</v>
      </c>
      <c r="H6577" s="1">
        <v>-3.857221E-6</v>
      </c>
      <c r="I6577">
        <v>-21.887699999999999</v>
      </c>
      <c r="J6577">
        <v>-301.13830000000002</v>
      </c>
      <c r="K6577">
        <v>1.0773200000000001</v>
      </c>
      <c r="L6577">
        <v>-3.5190429999999999</v>
      </c>
      <c r="M6577">
        <v>3.2149659999999997E-2</v>
      </c>
      <c r="N6577">
        <v>0</v>
      </c>
      <c r="O6577">
        <v>-0.99946109999999999</v>
      </c>
      <c r="P6577">
        <v>-3.9670700000000003E-2</v>
      </c>
      <c r="Q6577">
        <v>-2.1162489999999999E-2</v>
      </c>
      <c r="R6577">
        <v>-0.99898880000000001</v>
      </c>
      <c r="S6577">
        <v>0.38342290000000001</v>
      </c>
      <c r="T6577">
        <v>-0.17336480000000001</v>
      </c>
      <c r="U6577">
        <v>-3.0094599999999998</v>
      </c>
      <c r="V6577">
        <v>7.1398630000000005E-2</v>
      </c>
      <c r="W6577">
        <v>-1.626447E-2</v>
      </c>
      <c r="X6577">
        <v>0.99731519999999996</v>
      </c>
      <c r="Y6577">
        <v>-9.4220079999999998E-2</v>
      </c>
      <c r="Z6577">
        <v>5.7108819999999998E-2</v>
      </c>
      <c r="AA6577">
        <v>0.99391200000000002</v>
      </c>
      <c r="AB6577">
        <v>27</v>
      </c>
      <c r="AC6577">
        <v>2.3760000000000301</v>
      </c>
      <c r="AD6577">
        <v>-1.077323857221</v>
      </c>
      <c r="AE6577">
        <v>-18.368656999999999</v>
      </c>
      <c r="AF6577">
        <v>-1.7781966216282401</v>
      </c>
      <c r="AG6577">
        <v>-1.077323857221</v>
      </c>
      <c r="AH6577">
        <v>18.3733890846127</v>
      </c>
      <c r="AI6577">
        <v>93.340125702556094</v>
      </c>
      <c r="AJ6577">
        <v>95.5279316197322</v>
      </c>
      <c r="AK6577">
        <v>18.4906472675532</v>
      </c>
      <c r="AL6577">
        <v>90.931926621686998</v>
      </c>
      <c r="AM6577">
        <v>85.905133383407303</v>
      </c>
      <c r="AN6577">
        <v>0.99999995275064701</v>
      </c>
    </row>
    <row r="6578" spans="1:40" x14ac:dyDescent="0.25">
      <c r="A6578" t="str">
        <f>"20190312160816260"</f>
        <v>20190312160816260</v>
      </c>
      <c r="B6578" t="str">
        <f>"1552378096252074"</f>
        <v>1552378096252074</v>
      </c>
      <c r="C6578" t="s">
        <v>40</v>
      </c>
      <c r="D6578">
        <v>6.0377859999999997</v>
      </c>
      <c r="E6578">
        <v>0.43927060000000001</v>
      </c>
      <c r="F6578" t="s">
        <v>47</v>
      </c>
      <c r="G6578">
        <v>-299.09750000000003</v>
      </c>
      <c r="H6578" s="1">
        <v>-4.2888640000000004E-6</v>
      </c>
      <c r="I6578">
        <v>-20.742920000000002</v>
      </c>
      <c r="J6578">
        <v>-301.14210000000003</v>
      </c>
      <c r="K6578">
        <v>1.080274</v>
      </c>
      <c r="L6578">
        <v>-3.7943419999999999</v>
      </c>
      <c r="M6578">
        <v>1.9543970000000001E-2</v>
      </c>
      <c r="N6578">
        <v>0</v>
      </c>
      <c r="O6578">
        <v>-0.99978299999999998</v>
      </c>
      <c r="P6578">
        <v>-4.9975930000000002E-2</v>
      </c>
      <c r="Q6578">
        <v>-2.2035989999999998E-2</v>
      </c>
      <c r="R6578">
        <v>-0.99850709999999998</v>
      </c>
      <c r="S6578">
        <v>0.35702509999999998</v>
      </c>
      <c r="T6578">
        <v>-0.18847130000000001</v>
      </c>
      <c r="U6578">
        <v>-3.0132140000000001</v>
      </c>
      <c r="V6578">
        <v>6.9116849999999994E-2</v>
      </c>
      <c r="W6578">
        <v>-1.6460949999999998E-2</v>
      </c>
      <c r="X6578">
        <v>0.99747280000000005</v>
      </c>
      <c r="Y6578">
        <v>-9.8005620000000002E-2</v>
      </c>
      <c r="Z6578">
        <v>6.2042060000000003E-2</v>
      </c>
      <c r="AA6578">
        <v>0.99325010000000002</v>
      </c>
      <c r="AB6578">
        <v>27</v>
      </c>
      <c r="AC6578">
        <v>2.0446</v>
      </c>
      <c r="AD6578">
        <v>-1.0802782888639999</v>
      </c>
      <c r="AE6578">
        <v>-16.948578000000001</v>
      </c>
      <c r="AF6578">
        <v>-1.7061264510359899</v>
      </c>
      <c r="AG6578">
        <v>-1.0802782888639999</v>
      </c>
      <c r="AH6578">
        <v>16.917557750903899</v>
      </c>
      <c r="AI6578">
        <v>93.635297258673006</v>
      </c>
      <c r="AJ6578">
        <v>95.758777282861203</v>
      </c>
      <c r="AK6578">
        <v>17.0376532686719</v>
      </c>
      <c r="AL6578">
        <v>90.943185517986095</v>
      </c>
      <c r="AM6578">
        <v>86.036198669727696</v>
      </c>
      <c r="AN6578">
        <v>1.00000004428433</v>
      </c>
    </row>
    <row r="6579" spans="1:40" x14ac:dyDescent="0.25">
      <c r="A6579" t="str">
        <f>"20190312160816283"</f>
        <v>20190312160816283</v>
      </c>
      <c r="B6579" t="str">
        <f>"1552378096271592"</f>
        <v>1552378096271592</v>
      </c>
      <c r="C6579" t="s">
        <v>40</v>
      </c>
      <c r="D6579">
        <v>6.112215</v>
      </c>
      <c r="E6579">
        <v>0.43809959999999998</v>
      </c>
      <c r="F6579" t="s">
        <v>47</v>
      </c>
      <c r="G6579">
        <v>-299.3295</v>
      </c>
      <c r="H6579" s="1">
        <v>-2.496177E-7</v>
      </c>
      <c r="I6579">
        <v>-20.142620000000001</v>
      </c>
      <c r="J6579">
        <v>-301.14920000000001</v>
      </c>
      <c r="K6579">
        <v>1.083021</v>
      </c>
      <c r="L6579">
        <v>-4.0702210000000001</v>
      </c>
      <c r="M6579">
        <v>7.271034E-3</v>
      </c>
      <c r="N6579">
        <v>0</v>
      </c>
      <c r="O6579">
        <v>-0.99994300000000003</v>
      </c>
      <c r="P6579">
        <v>-6.0073250000000002E-2</v>
      </c>
      <c r="Q6579">
        <v>-2.2356830000000001E-2</v>
      </c>
      <c r="R6579">
        <v>-0.99794380000000005</v>
      </c>
      <c r="S6579">
        <v>0.33447270000000001</v>
      </c>
      <c r="T6579">
        <v>-0.19934740000000001</v>
      </c>
      <c r="U6579">
        <v>-3.0168149999999998</v>
      </c>
      <c r="V6579">
        <v>6.6980559999999995E-2</v>
      </c>
      <c r="W6579">
        <v>-1.6059879999999999E-2</v>
      </c>
      <c r="X6579">
        <v>0.99762499999999998</v>
      </c>
      <c r="Y6579">
        <v>-0.102727399999999</v>
      </c>
      <c r="Z6579">
        <v>6.5557989999999997E-2</v>
      </c>
      <c r="AA6579">
        <v>0.99254690000000001</v>
      </c>
      <c r="AB6579">
        <v>27</v>
      </c>
      <c r="AC6579">
        <v>1.8197000000000101</v>
      </c>
      <c r="AD6579">
        <v>-1.0830212496177001</v>
      </c>
      <c r="AE6579">
        <v>-16.072399000000001</v>
      </c>
      <c r="AF6579">
        <v>-1.6951856328063</v>
      </c>
      <c r="AG6579">
        <v>-1.0830212496177001</v>
      </c>
      <c r="AH6579">
        <v>16.0134154631521</v>
      </c>
      <c r="AI6579">
        <v>93.847708656897495</v>
      </c>
      <c r="AJ6579">
        <v>96.042844990578104</v>
      </c>
      <c r="AK6579">
        <v>16.139270868050801</v>
      </c>
      <c r="AL6579">
        <v>90.920202923137495</v>
      </c>
      <c r="AM6579">
        <v>86.158925013065996</v>
      </c>
      <c r="AN6579">
        <v>0.99999997789426298</v>
      </c>
    </row>
    <row r="6580" spans="1:40" x14ac:dyDescent="0.25">
      <c r="A6580" t="str">
        <f>"20190312160816304"</f>
        <v>20190312160816304</v>
      </c>
      <c r="B6580" t="str">
        <f>"1552378096301848"</f>
        <v>1552378096301848</v>
      </c>
      <c r="C6580" t="s">
        <v>40</v>
      </c>
      <c r="D6580">
        <v>6.0927579999999999</v>
      </c>
      <c r="E6580">
        <v>0.43578790000000001</v>
      </c>
      <c r="F6580" t="s">
        <v>47</v>
      </c>
      <c r="G6580">
        <v>-299.4966</v>
      </c>
      <c r="H6580" s="1">
        <v>-2.4690740000000002E-7</v>
      </c>
      <c r="I6580">
        <v>-20.020009999999999</v>
      </c>
      <c r="J6580">
        <v>-301.15960000000001</v>
      </c>
      <c r="K6580">
        <v>1.0855629999999901</v>
      </c>
      <c r="L6580">
        <v>-4.3460390000000002</v>
      </c>
      <c r="M6580">
        <v>-4.6066700000000002E-3</v>
      </c>
      <c r="N6580">
        <v>0</v>
      </c>
      <c r="O6580">
        <v>-0.9999536</v>
      </c>
      <c r="P6580">
        <v>-6.9788299999999998E-2</v>
      </c>
      <c r="Q6580">
        <v>-2.2354349999999999E-2</v>
      </c>
      <c r="R6580">
        <v>-0.99731159999999996</v>
      </c>
      <c r="S6580">
        <v>0.31295780000000001</v>
      </c>
      <c r="T6580">
        <v>-0.2050922</v>
      </c>
      <c r="U6580">
        <v>-3.020416</v>
      </c>
      <c r="V6580">
        <v>6.4869949999999996E-2</v>
      </c>
      <c r="W6580">
        <v>-1.5332790000000001E-2</v>
      </c>
      <c r="X6580">
        <v>0.99777590000000005</v>
      </c>
      <c r="Y6580">
        <v>-0.1074094</v>
      </c>
      <c r="Z6580">
        <v>6.7369399999999996E-2</v>
      </c>
      <c r="AA6580">
        <v>0.99192970000000003</v>
      </c>
      <c r="AB6580">
        <v>27</v>
      </c>
      <c r="AC6580">
        <v>1.66300000000001</v>
      </c>
      <c r="AD6580">
        <v>-1.0855632469073999</v>
      </c>
      <c r="AE6580">
        <v>-15.6739709999999</v>
      </c>
      <c r="AF6580">
        <v>-1.7269978913625299</v>
      </c>
      <c r="AG6580">
        <v>-1.0855632469073999</v>
      </c>
      <c r="AH6580">
        <v>15.5921834009474</v>
      </c>
      <c r="AI6580">
        <v>93.958506160308403</v>
      </c>
      <c r="AJ6580">
        <v>96.3203469265531</v>
      </c>
      <c r="AK6580">
        <v>15.725048568719499</v>
      </c>
      <c r="AL6580">
        <v>90.878538602024506</v>
      </c>
      <c r="AM6580">
        <v>86.280175946549505</v>
      </c>
      <c r="AN6580">
        <v>0.99999997574149802</v>
      </c>
    </row>
    <row r="6581" spans="1:40" x14ac:dyDescent="0.25">
      <c r="A6581" t="str">
        <f>"20190312160816328"</f>
        <v>20190312160816328</v>
      </c>
      <c r="B6581" t="str">
        <f>"1552378096322344"</f>
        <v>1552378096322344</v>
      </c>
      <c r="C6581" t="s">
        <v>40</v>
      </c>
      <c r="D6581">
        <v>5.9437030000000002</v>
      </c>
      <c r="E6581">
        <v>0.43432140000000002</v>
      </c>
      <c r="F6581" t="s">
        <v>47</v>
      </c>
      <c r="G6581">
        <v>-299.55880000000002</v>
      </c>
      <c r="H6581" s="1">
        <v>-1.0889569999999999E-7</v>
      </c>
      <c r="I6581">
        <v>-20.376860000000001</v>
      </c>
      <c r="J6581">
        <v>-301.17380000000003</v>
      </c>
      <c r="K6581">
        <v>1.0880080000000001</v>
      </c>
      <c r="L6581">
        <v>-4.6323549999999996</v>
      </c>
      <c r="M6581">
        <v>-1.6521129999999998E-2</v>
      </c>
      <c r="N6581">
        <v>0</v>
      </c>
      <c r="O6581">
        <v>-0.99982199999999999</v>
      </c>
      <c r="P6581">
        <v>-7.9966049999999997E-2</v>
      </c>
      <c r="Q6581">
        <v>-2.275537E-2</v>
      </c>
      <c r="R6581">
        <v>-0.99653820000000004</v>
      </c>
      <c r="S6581">
        <v>0.30203249999999998</v>
      </c>
      <c r="T6581">
        <v>-0.20481940000000001</v>
      </c>
      <c r="U6581">
        <v>-3.0246279999999999</v>
      </c>
      <c r="V6581">
        <v>6.3183429999999999E-2</v>
      </c>
      <c r="W6581">
        <v>-1.5013769999999999E-2</v>
      </c>
      <c r="X6581">
        <v>0.99788900000000003</v>
      </c>
      <c r="Y6581">
        <v>-0.1155656</v>
      </c>
      <c r="Z6581">
        <v>6.715604E-2</v>
      </c>
      <c r="AA6581">
        <v>0.99102710000000005</v>
      </c>
      <c r="AB6581">
        <v>27</v>
      </c>
      <c r="AC6581">
        <v>1.615</v>
      </c>
      <c r="AD6581">
        <v>-1.0880081088956901</v>
      </c>
      <c r="AE6581">
        <v>-15.744504999999901</v>
      </c>
      <c r="AF6581">
        <v>-1.8660889100239499</v>
      </c>
      <c r="AG6581">
        <v>-1.0880081088956901</v>
      </c>
      <c r="AH6581">
        <v>15.641755929459199</v>
      </c>
      <c r="AI6581">
        <v>93.951038365119203</v>
      </c>
      <c r="AJ6581">
        <v>96.803331499510406</v>
      </c>
      <c r="AK6581">
        <v>15.7902051291903</v>
      </c>
      <c r="AL6581">
        <v>90.860257969933997</v>
      </c>
      <c r="AM6581">
        <v>86.377034225666193</v>
      </c>
      <c r="AN6581">
        <v>1.00000000771858</v>
      </c>
    </row>
    <row r="6582" spans="1:40" x14ac:dyDescent="0.25">
      <c r="A6582" t="str">
        <f>"20190312160816351"</f>
        <v>20190312160816351</v>
      </c>
      <c r="B6582" t="str">
        <f>"1552378096341864"</f>
        <v>1552378096341864</v>
      </c>
      <c r="C6582" t="s">
        <v>40</v>
      </c>
      <c r="D6582">
        <v>6.1423189999999996</v>
      </c>
      <c r="E6582">
        <v>0.43517790000000001</v>
      </c>
      <c r="F6582" t="s">
        <v>47</v>
      </c>
      <c r="G6582">
        <v>-299.67579999999998</v>
      </c>
      <c r="H6582" s="1">
        <v>-4.215296E-6</v>
      </c>
      <c r="I6582">
        <v>-20.675319999999999</v>
      </c>
      <c r="J6582">
        <v>-301.19060000000002</v>
      </c>
      <c r="K6582">
        <v>1.0902019999999999</v>
      </c>
      <c r="L6582">
        <v>-4.9122309999999896</v>
      </c>
      <c r="M6582">
        <v>-2.7782669999999999E-2</v>
      </c>
      <c r="N6582">
        <v>0</v>
      </c>
      <c r="O6582">
        <v>-0.99956690000000004</v>
      </c>
      <c r="P6582">
        <v>-8.9326829999999996E-2</v>
      </c>
      <c r="Q6582">
        <v>-2.2616270000000001E-2</v>
      </c>
      <c r="R6582">
        <v>-0.99574580000000001</v>
      </c>
      <c r="S6582">
        <v>0.28277590000000002</v>
      </c>
      <c r="T6582">
        <v>-0.2053827</v>
      </c>
      <c r="U6582">
        <v>-3.0284119999999999</v>
      </c>
      <c r="V6582">
        <v>6.1346579999999998E-2</v>
      </c>
      <c r="W6582">
        <v>-1.4200809999999999E-2</v>
      </c>
      <c r="X6582">
        <v>0.99801550000000006</v>
      </c>
      <c r="Y6582">
        <v>-0.12038699999999999</v>
      </c>
      <c r="Z6582">
        <v>6.7232319999999998E-2</v>
      </c>
      <c r="AA6582">
        <v>0.99044779999999999</v>
      </c>
      <c r="AB6582">
        <v>27</v>
      </c>
      <c r="AC6582">
        <v>1.5148000000000299</v>
      </c>
      <c r="AD6582">
        <v>-1.0902062152959999</v>
      </c>
      <c r="AE6582">
        <v>-15.763089000000001</v>
      </c>
      <c r="AF6582">
        <v>-1.94296762184613</v>
      </c>
      <c r="AG6582">
        <v>-1.0902062152959999</v>
      </c>
      <c r="AH6582">
        <v>15.640785309815699</v>
      </c>
      <c r="AI6582">
        <v>93.956909839677806</v>
      </c>
      <c r="AJ6582">
        <v>97.081258872262694</v>
      </c>
      <c r="AK6582">
        <v>15.798665699329099</v>
      </c>
      <c r="AL6582">
        <v>90.813673826537396</v>
      </c>
      <c r="AM6582">
        <v>86.482536344212207</v>
      </c>
      <c r="AN6582">
        <v>1.0000000020613</v>
      </c>
    </row>
    <row r="6583" spans="1:40" x14ac:dyDescent="0.25">
      <c r="A6583" t="str">
        <f>"20190312160816375"</f>
        <v>20190312160816375</v>
      </c>
      <c r="B6583" t="str">
        <f>"1552378096362360"</f>
        <v>1552378096362360</v>
      </c>
      <c r="C6583" t="s">
        <v>40</v>
      </c>
      <c r="D6583">
        <v>5.3859469999999998</v>
      </c>
      <c r="E6583">
        <v>0.4814351</v>
      </c>
      <c r="F6583" t="s">
        <v>47</v>
      </c>
      <c r="G6583">
        <v>-299.86290000000002</v>
      </c>
      <c r="H6583" s="1">
        <v>-3.9686289999999997E-6</v>
      </c>
      <c r="I6583">
        <v>-21.172930000000001</v>
      </c>
      <c r="J6583">
        <v>-301.2106</v>
      </c>
      <c r="K6583">
        <v>1.0922510000000001</v>
      </c>
      <c r="L6583">
        <v>-5.1969599999999998</v>
      </c>
      <c r="M6583">
        <v>-3.8857660000000002E-2</v>
      </c>
      <c r="N6583">
        <v>0</v>
      </c>
      <c r="O6583">
        <v>-0.99919230000000003</v>
      </c>
      <c r="P6583">
        <v>-9.8500619999999997E-2</v>
      </c>
      <c r="Q6583">
        <v>-2.31238E-2</v>
      </c>
      <c r="R6583">
        <v>-0.99486850000000004</v>
      </c>
      <c r="S6583">
        <v>0.2474365</v>
      </c>
      <c r="T6583">
        <v>-0.2031742</v>
      </c>
      <c r="U6583">
        <v>-3.0303960000000001</v>
      </c>
      <c r="V6583">
        <v>5.9499789999999997E-2</v>
      </c>
      <c r="W6583">
        <v>-1.40675E-2</v>
      </c>
      <c r="X6583">
        <v>0.99812920000000005</v>
      </c>
      <c r="Y6583">
        <v>-0.11986960000000001</v>
      </c>
      <c r="Z6583">
        <v>6.6468100000000002E-2</v>
      </c>
      <c r="AA6583">
        <v>0.9905621</v>
      </c>
      <c r="AB6583">
        <v>27</v>
      </c>
      <c r="AC6583">
        <v>1.3476999999999699</v>
      </c>
      <c r="AD6583">
        <v>-1.092254968629</v>
      </c>
      <c r="AE6583">
        <v>-15.975969999999901</v>
      </c>
      <c r="AF6583">
        <v>-1.95841393437834</v>
      </c>
      <c r="AG6583">
        <v>-1.092254968629</v>
      </c>
      <c r="AH6583">
        <v>15.8380237038571</v>
      </c>
      <c r="AI6583">
        <v>93.915379433022096</v>
      </c>
      <c r="AJ6583">
        <v>97.048995156942993</v>
      </c>
      <c r="AK6583">
        <v>15.9959807732693</v>
      </c>
      <c r="AL6583">
        <v>90.806034956936799</v>
      </c>
      <c r="AM6583">
        <v>86.588560515189798</v>
      </c>
      <c r="AN6583">
        <v>1.0000000097294599</v>
      </c>
    </row>
    <row r="6584" spans="1:40" x14ac:dyDescent="0.25">
      <c r="A6584" t="str">
        <f>"20190312160816394"</f>
        <v>20190312160816394</v>
      </c>
      <c r="B6584" t="str">
        <f>"1552378096381880"</f>
        <v>1552378096381880</v>
      </c>
      <c r="C6584" t="s">
        <v>40</v>
      </c>
      <c r="D6584">
        <v>6.493239</v>
      </c>
      <c r="E6584">
        <v>0.48333860000000001</v>
      </c>
      <c r="F6584" t="s">
        <v>47</v>
      </c>
      <c r="G6584">
        <v>-302.59109999999998</v>
      </c>
      <c r="H6584" s="1">
        <v>-3.7998780000000001E-6</v>
      </c>
      <c r="I6584">
        <v>-33.160350000000001</v>
      </c>
      <c r="J6584">
        <v>-301.23070000000001</v>
      </c>
      <c r="K6584">
        <v>1.093877</v>
      </c>
      <c r="L6584">
        <v>-5.4468990000000002</v>
      </c>
      <c r="M6584">
        <v>-4.8225259999999999E-2</v>
      </c>
      <c r="N6584">
        <v>0</v>
      </c>
      <c r="O6584">
        <v>-0.99877939999999998</v>
      </c>
      <c r="P6584">
        <v>-0.1058516</v>
      </c>
      <c r="Q6584">
        <v>-2.3841009999999999E-2</v>
      </c>
      <c r="R6584">
        <v>-0.99409639999999999</v>
      </c>
      <c r="S6584">
        <v>-0.14801029999999901</v>
      </c>
      <c r="T6584">
        <v>-0.11710660000000001</v>
      </c>
      <c r="U6584">
        <v>-2.9981080000000002</v>
      </c>
      <c r="V6584">
        <v>5.7525800000000002E-2</v>
      </c>
      <c r="W6584">
        <v>-1.426003E-2</v>
      </c>
      <c r="X6584">
        <v>0.99824219999999997</v>
      </c>
      <c r="Y6584">
        <v>1.0436690000000001E-3</v>
      </c>
      <c r="Z6584">
        <v>3.8938649999999998E-2</v>
      </c>
      <c r="AA6584">
        <v>0.99924109999999999</v>
      </c>
      <c r="AB6584">
        <v>27</v>
      </c>
      <c r="AC6584">
        <v>-1.3603999999999601</v>
      </c>
      <c r="AD6584">
        <v>-1.093880799878</v>
      </c>
      <c r="AE6584">
        <v>-27.713450999999999</v>
      </c>
      <c r="AF6584">
        <v>2.2217853077597799E-2</v>
      </c>
      <c r="AG6584">
        <v>-1.093880799878</v>
      </c>
      <c r="AH6584">
        <v>27.703753863784701</v>
      </c>
      <c r="AI6584">
        <v>92.261144555124602</v>
      </c>
      <c r="AJ6584">
        <v>89.9540499477244</v>
      </c>
      <c r="AK6584">
        <v>27.725350258968799</v>
      </c>
      <c r="AL6584">
        <v>90.817067205013203</v>
      </c>
      <c r="AM6584">
        <v>86.701858247409902</v>
      </c>
      <c r="AN6584">
        <v>1.0000000279910399</v>
      </c>
    </row>
    <row r="6585" spans="1:40" x14ac:dyDescent="0.25">
      <c r="A6585" t="str">
        <f>"20190312160816417"</f>
        <v>20190312160816417</v>
      </c>
      <c r="B6585" t="str">
        <f>"1552378096412136"</f>
        <v>1552378096412136</v>
      </c>
      <c r="C6585" t="s">
        <v>40</v>
      </c>
      <c r="D6585">
        <v>6.6747750000000003</v>
      </c>
      <c r="E6585">
        <v>0.4874655</v>
      </c>
      <c r="F6585" t="s">
        <v>47</v>
      </c>
      <c r="G6585">
        <v>-302.98610000000002</v>
      </c>
      <c r="H6585" s="1">
        <v>-3.6090480000000001E-6</v>
      </c>
      <c r="I6585">
        <v>-33.85013</v>
      </c>
      <c r="J6585">
        <v>-301.2552</v>
      </c>
      <c r="K6585">
        <v>1.09549599999999</v>
      </c>
      <c r="L6585">
        <v>-5.7240599999999997</v>
      </c>
      <c r="M6585">
        <v>-5.8213300000000003E-2</v>
      </c>
      <c r="N6585">
        <v>0</v>
      </c>
      <c r="O6585">
        <v>-0.99824230000000003</v>
      </c>
      <c r="P6585">
        <v>-0.11388330000000001</v>
      </c>
      <c r="Q6585">
        <v>-2.4465649999999999E-2</v>
      </c>
      <c r="R6585">
        <v>-0.99319310000000005</v>
      </c>
      <c r="S6585">
        <v>-0.1851196</v>
      </c>
      <c r="T6585">
        <v>-0.1153578</v>
      </c>
      <c r="U6585">
        <v>-2.9953310000000002</v>
      </c>
      <c r="V6585">
        <v>5.5620250000000003E-2</v>
      </c>
      <c r="W6585">
        <v>-1.436087E-2</v>
      </c>
      <c r="X6585">
        <v>0.99834869999999998</v>
      </c>
      <c r="Y6585">
        <v>3.4289289999999998E-3</v>
      </c>
      <c r="Z6585">
        <v>3.8349550000000003E-2</v>
      </c>
      <c r="AA6585">
        <v>0.99925850000000005</v>
      </c>
      <c r="AB6585">
        <v>27</v>
      </c>
      <c r="AC6585">
        <v>-1.7309000000000101</v>
      </c>
      <c r="AD6585">
        <v>-1.09549960904799</v>
      </c>
      <c r="AE6585">
        <v>-28.126069999999999</v>
      </c>
      <c r="AF6585">
        <v>9.0415190216116506E-2</v>
      </c>
      <c r="AG6585">
        <v>-1.09549960904799</v>
      </c>
      <c r="AH6585">
        <v>28.136610407323101</v>
      </c>
      <c r="AI6585">
        <v>92.229674833240097</v>
      </c>
      <c r="AJ6585">
        <v>89.815884326608199</v>
      </c>
      <c r="AK6585">
        <v>28.158074144257998</v>
      </c>
      <c r="AL6585">
        <v>90.822845536856903</v>
      </c>
      <c r="AM6585">
        <v>86.8112197870567</v>
      </c>
      <c r="AN6585">
        <v>0.99999998679445401</v>
      </c>
    </row>
    <row r="6586" spans="1:40" x14ac:dyDescent="0.25">
      <c r="A6586" t="str">
        <f>"20190312160816439"</f>
        <v>20190312160816439</v>
      </c>
      <c r="B6586" t="str">
        <f>"1552378096431656"</f>
        <v>1552378096431656</v>
      </c>
      <c r="C6586" t="s">
        <v>40</v>
      </c>
      <c r="D6586">
        <v>6.1051190000000002</v>
      </c>
      <c r="E6586">
        <v>0.48813129999999999</v>
      </c>
      <c r="F6586" t="s">
        <v>47</v>
      </c>
      <c r="G6586">
        <v>-303.49259999999998</v>
      </c>
      <c r="H6586" s="1">
        <v>-3.9048770000000001E-6</v>
      </c>
      <c r="I6586">
        <v>-33.359050000000003</v>
      </c>
      <c r="J6586">
        <v>-301.2817</v>
      </c>
      <c r="K6586">
        <v>1.0968739999999999</v>
      </c>
      <c r="L6586">
        <v>-5.995819</v>
      </c>
      <c r="M6586">
        <v>-6.7676479999999997E-2</v>
      </c>
      <c r="N6586">
        <v>0</v>
      </c>
      <c r="O6586">
        <v>-0.997641</v>
      </c>
      <c r="P6586">
        <v>-0.1215899</v>
      </c>
      <c r="Q6586">
        <v>-2.4737140000000001E-2</v>
      </c>
      <c r="R6586">
        <v>-0.9922725</v>
      </c>
      <c r="S6586">
        <v>-0.24206539999999999</v>
      </c>
      <c r="T6586">
        <v>-0.1185249</v>
      </c>
      <c r="U6586">
        <v>-2.9898989999999999</v>
      </c>
      <c r="V6586">
        <v>5.3917479999999997E-2</v>
      </c>
      <c r="W6586">
        <v>-1.417421E-2</v>
      </c>
      <c r="X6586">
        <v>0.99844480000000002</v>
      </c>
      <c r="Y6586">
        <v>1.2988939999999999E-2</v>
      </c>
      <c r="Z6586">
        <v>3.940859E-2</v>
      </c>
      <c r="AA6586">
        <v>0.99913879999999999</v>
      </c>
      <c r="AB6586">
        <v>27</v>
      </c>
      <c r="AC6586">
        <v>-2.2108999999999801</v>
      </c>
      <c r="AD6586">
        <v>-1.0968779048770001</v>
      </c>
      <c r="AE6586">
        <v>-27.363230999999999</v>
      </c>
      <c r="AF6586">
        <v>0.35329672402636098</v>
      </c>
      <c r="AG6586">
        <v>-1.0968779048770001</v>
      </c>
      <c r="AH6586">
        <v>27.406370404471598</v>
      </c>
      <c r="AI6586">
        <v>92.291720383340802</v>
      </c>
      <c r="AJ6586">
        <v>89.261438500334094</v>
      </c>
      <c r="AK6586">
        <v>27.430586914255201</v>
      </c>
      <c r="AL6586">
        <v>90.812149598328503</v>
      </c>
      <c r="AM6586">
        <v>86.908946412153796</v>
      </c>
      <c r="AN6586">
        <v>1.0000000107628499</v>
      </c>
    </row>
    <row r="6587" spans="1:40" x14ac:dyDescent="0.25">
      <c r="A6587" t="str">
        <f>"20190312160816460"</f>
        <v>20190312160816460</v>
      </c>
      <c r="B6587" t="str">
        <f>"1552378096452152"</f>
        <v>1552378096452152</v>
      </c>
      <c r="C6587" t="s">
        <v>40</v>
      </c>
      <c r="D6587">
        <v>5.7532860000000001</v>
      </c>
      <c r="E6587">
        <v>0.4882534</v>
      </c>
      <c r="F6587" t="s">
        <v>47</v>
      </c>
      <c r="G6587">
        <v>-303.67439999999999</v>
      </c>
      <c r="H6587" s="1">
        <v>-4.2562470000000002E-6</v>
      </c>
      <c r="I6587">
        <v>-32.421329999999998</v>
      </c>
      <c r="J6587">
        <v>-301.30970000000002</v>
      </c>
      <c r="K6587">
        <v>1.0980430000000001</v>
      </c>
      <c r="L6587">
        <v>-6.2621769999999897</v>
      </c>
      <c r="M6587">
        <v>-7.66231E-2</v>
      </c>
      <c r="N6587">
        <v>0</v>
      </c>
      <c r="O6587">
        <v>-0.99698980000000004</v>
      </c>
      <c r="P6587">
        <v>-0.12874549999999901</v>
      </c>
      <c r="Q6587">
        <v>-2.5270689999999998E-2</v>
      </c>
      <c r="R6587">
        <v>-0.99135600000000001</v>
      </c>
      <c r="S6587">
        <v>-0.27047729999999998</v>
      </c>
      <c r="T6587">
        <v>-0.1239904</v>
      </c>
      <c r="U6587">
        <v>-2.9871219999999998</v>
      </c>
      <c r="V6587">
        <v>5.2171870000000002E-2</v>
      </c>
      <c r="W6587">
        <v>-1.4303669999999999E-2</v>
      </c>
      <c r="X6587">
        <v>0.99853570000000003</v>
      </c>
      <c r="Y6587">
        <v>1.352067E-2</v>
      </c>
      <c r="Z6587">
        <v>4.1203990000000003E-2</v>
      </c>
      <c r="AA6587">
        <v>0.99905929999999998</v>
      </c>
      <c r="AB6587">
        <v>27</v>
      </c>
      <c r="AC6587">
        <v>-2.3646999999999698</v>
      </c>
      <c r="AD6587">
        <v>-1.0980472562470001</v>
      </c>
      <c r="AE6587">
        <v>-26.159153</v>
      </c>
      <c r="AF6587">
        <v>0.35259493095890199</v>
      </c>
      <c r="AG6587">
        <v>-1.0980472562470001</v>
      </c>
      <c r="AH6587">
        <v>26.217621171259701</v>
      </c>
      <c r="AI6587">
        <v>92.398045471215895</v>
      </c>
      <c r="AJ6587">
        <v>89.2294883111677</v>
      </c>
      <c r="AK6587">
        <v>26.2429741234102</v>
      </c>
      <c r="AL6587">
        <v>90.819567853054807</v>
      </c>
      <c r="AM6587">
        <v>87.009108120809998</v>
      </c>
      <c r="AN6587">
        <v>1.0000000215846201</v>
      </c>
    </row>
    <row r="6588" spans="1:40" x14ac:dyDescent="0.25">
      <c r="A6588" t="str">
        <f>"20190312160816484"</f>
        <v>20190312160816484</v>
      </c>
      <c r="B6588" t="str">
        <f>"1552378096471673"</f>
        <v>1552378096471673</v>
      </c>
      <c r="C6588" t="s">
        <v>40</v>
      </c>
      <c r="D6588">
        <v>6.0870689999999996</v>
      </c>
      <c r="E6588">
        <v>0.48812260000000002</v>
      </c>
      <c r="F6588" t="s">
        <v>47</v>
      </c>
      <c r="G6588">
        <v>-303.94310000000002</v>
      </c>
      <c r="H6588" s="1">
        <v>-4.0763529999999901E-6</v>
      </c>
      <c r="I6588">
        <v>-33.089979999999997</v>
      </c>
      <c r="J6588">
        <v>-301.34059999999999</v>
      </c>
      <c r="K6588">
        <v>1.0991010000000001</v>
      </c>
      <c r="L6588">
        <v>-6.535126</v>
      </c>
      <c r="M6588">
        <v>-8.5423360000000004E-2</v>
      </c>
      <c r="N6588">
        <v>0</v>
      </c>
      <c r="O6588">
        <v>-0.99627080000000001</v>
      </c>
      <c r="P6588">
        <v>-0.1358722</v>
      </c>
      <c r="Q6588">
        <v>-2.5566169999999999E-2</v>
      </c>
      <c r="R6588">
        <v>-0.99039639999999995</v>
      </c>
      <c r="S6588">
        <v>-0.29299930000000002</v>
      </c>
      <c r="T6588">
        <v>-0.1221738</v>
      </c>
      <c r="U6588">
        <v>-2.984985</v>
      </c>
      <c r="V6588">
        <v>5.0547120000000001E-2</v>
      </c>
      <c r="W6588">
        <v>-1.4231479999999999E-2</v>
      </c>
      <c r="X6588">
        <v>0.99862030000000002</v>
      </c>
      <c r="Y6588">
        <v>1.222931E-2</v>
      </c>
      <c r="Z6588">
        <v>4.0572530000000002E-2</v>
      </c>
      <c r="AA6588">
        <v>0.99910180000000004</v>
      </c>
      <c r="AB6588">
        <v>27</v>
      </c>
      <c r="AC6588">
        <v>-2.60250000000002</v>
      </c>
      <c r="AD6588">
        <v>-1.0991050763529999</v>
      </c>
      <c r="AE6588">
        <v>-26.554853999999999</v>
      </c>
      <c r="AF6588">
        <v>0.32386426127609302</v>
      </c>
      <c r="AG6588">
        <v>-1.0991050763529999</v>
      </c>
      <c r="AH6588">
        <v>26.634910565204098</v>
      </c>
      <c r="AI6588">
        <v>92.362828528496294</v>
      </c>
      <c r="AJ6588">
        <v>89.303352611867496</v>
      </c>
      <c r="AK6588">
        <v>26.659545773418898</v>
      </c>
      <c r="AL6588">
        <v>90.815431247008803</v>
      </c>
      <c r="AM6588">
        <v>87.102335028166294</v>
      </c>
      <c r="AN6588">
        <v>1.0000000249676799</v>
      </c>
    </row>
    <row r="6589" spans="1:40" x14ac:dyDescent="0.25">
      <c r="A6589" t="str">
        <f>"20190312160816505"</f>
        <v>20190312160816505</v>
      </c>
      <c r="B6589" t="str">
        <f>"1552378096501929"</f>
        <v>1552378096501929</v>
      </c>
      <c r="C6589" t="s">
        <v>40</v>
      </c>
      <c r="D6589">
        <v>6.138001</v>
      </c>
      <c r="E6589">
        <v>0.48779050000000002</v>
      </c>
      <c r="F6589" t="s">
        <v>47</v>
      </c>
      <c r="G6589">
        <v>-303.91340000000002</v>
      </c>
      <c r="H6589" s="1">
        <v>-4.7775030000000003E-6</v>
      </c>
      <c r="I6589">
        <v>-31.014140000000001</v>
      </c>
      <c r="J6589">
        <v>-301.37310000000002</v>
      </c>
      <c r="K6589">
        <v>1.100033</v>
      </c>
      <c r="L6589">
        <v>-6.8045349999999996</v>
      </c>
      <c r="M6589">
        <v>-9.3729350000000003E-2</v>
      </c>
      <c r="N6589">
        <v>0</v>
      </c>
      <c r="O6589">
        <v>-0.99552030000000002</v>
      </c>
      <c r="P6589">
        <v>-0.1422369</v>
      </c>
      <c r="Q6589">
        <v>-2.6118769999999999E-2</v>
      </c>
      <c r="R6589">
        <v>-0.98948820000000004</v>
      </c>
      <c r="S6589">
        <v>-0.31347659999999899</v>
      </c>
      <c r="T6589">
        <v>-0.13392009999999999</v>
      </c>
      <c r="U6589">
        <v>-2.9826350000000001</v>
      </c>
      <c r="V6589">
        <v>4.8645819999999999E-2</v>
      </c>
      <c r="W6589">
        <v>-1.4456729999999999E-2</v>
      </c>
      <c r="X6589">
        <v>0.99871149999999997</v>
      </c>
      <c r="Y6589">
        <v>1.0737780000000001E-2</v>
      </c>
      <c r="Z6589">
        <v>4.4435750000000003E-2</v>
      </c>
      <c r="AA6589">
        <v>0.99895449999999997</v>
      </c>
      <c r="AB6589">
        <v>27</v>
      </c>
      <c r="AC6589">
        <v>-2.5402999999999998</v>
      </c>
      <c r="AD6589">
        <v>-1.1000377775029999</v>
      </c>
      <c r="AE6589">
        <v>-24.209605</v>
      </c>
      <c r="AF6589">
        <v>0.25926025639163902</v>
      </c>
      <c r="AG6589">
        <v>-1.1000377775029999</v>
      </c>
      <c r="AH6589">
        <v>24.2915234096867</v>
      </c>
      <c r="AI6589">
        <v>92.592711369979597</v>
      </c>
      <c r="AJ6589">
        <v>89.388512846725007</v>
      </c>
      <c r="AK6589">
        <v>24.317800240890101</v>
      </c>
      <c r="AL6589">
        <v>90.828338439381795</v>
      </c>
      <c r="AM6589">
        <v>87.211407824409505</v>
      </c>
      <c r="AN6589">
        <v>1.000000036539</v>
      </c>
    </row>
    <row r="6590" spans="1:40" x14ac:dyDescent="0.25">
      <c r="A6590" t="str">
        <f>"20190312160816551"</f>
        <v>20190312160816551</v>
      </c>
      <c r="B6590" t="str">
        <f>"1552378096541945"</f>
        <v>1552378096541945</v>
      </c>
      <c r="C6590" t="s">
        <v>40</v>
      </c>
      <c r="D6590">
        <v>7.2775509999999999</v>
      </c>
      <c r="E6590">
        <v>0.48704229999999998</v>
      </c>
      <c r="F6590" t="s">
        <v>47</v>
      </c>
      <c r="G6590">
        <v>-303.67700000000002</v>
      </c>
      <c r="H6590" s="1">
        <v>-2.1841220000000002E-6</v>
      </c>
      <c r="I6590">
        <v>-27.600210000000001</v>
      </c>
      <c r="J6590">
        <v>-301.44490000000002</v>
      </c>
      <c r="K6590">
        <v>1.1017049999999999</v>
      </c>
      <c r="L6590">
        <v>-7.3523559999999897</v>
      </c>
      <c r="M6590">
        <v>-0.10942780000000001</v>
      </c>
      <c r="N6590">
        <v>0</v>
      </c>
      <c r="O6590">
        <v>-0.99391189999999996</v>
      </c>
      <c r="P6590">
        <v>-0.15655229999999901</v>
      </c>
      <c r="Q6590">
        <v>-2.995753E-2</v>
      </c>
      <c r="R6590">
        <v>-0.98721579999999998</v>
      </c>
      <c r="S6590">
        <v>-0.33016970000000001</v>
      </c>
      <c r="T6590">
        <v>-0.1576475</v>
      </c>
      <c r="U6590">
        <v>-2.9802550000000001</v>
      </c>
      <c r="V6590">
        <v>4.7336969999999999E-2</v>
      </c>
      <c r="W6590">
        <v>-1.7771439999999999E-2</v>
      </c>
      <c r="X6590">
        <v>0.99872090000000002</v>
      </c>
      <c r="Y6590">
        <v>5.2835719999999998E-4</v>
      </c>
      <c r="Z6590">
        <v>5.218975E-2</v>
      </c>
      <c r="AA6590">
        <v>0.998637</v>
      </c>
      <c r="AB6590">
        <v>27</v>
      </c>
      <c r="AC6590">
        <v>-2.2321</v>
      </c>
      <c r="AD6590">
        <v>-1.1017071841220001</v>
      </c>
      <c r="AE6590">
        <v>-20.247854</v>
      </c>
      <c r="AF6590">
        <v>2.8246053151574899E-3</v>
      </c>
      <c r="AG6590">
        <v>-1.1017071841220001</v>
      </c>
      <c r="AH6590">
        <v>20.311104007532201</v>
      </c>
      <c r="AI6590">
        <v>93.104773345339495</v>
      </c>
      <c r="AJ6590">
        <v>89.992032045021006</v>
      </c>
      <c r="AK6590">
        <v>20.3409614498118</v>
      </c>
      <c r="AL6590">
        <v>91.018282087433207</v>
      </c>
      <c r="AM6590">
        <v>87.286348660619893</v>
      </c>
      <c r="AN6590">
        <v>1.0000000244526299</v>
      </c>
    </row>
    <row r="6591" spans="1:40" x14ac:dyDescent="0.25">
      <c r="A6591" t="str">
        <f>"20190312160816574"</f>
        <v>20190312160816574</v>
      </c>
      <c r="B6591" t="str">
        <f>"1552378096562442"</f>
        <v>1552378096562442</v>
      </c>
      <c r="C6591" t="s">
        <v>40</v>
      </c>
      <c r="D6591">
        <v>6.1133709999999999</v>
      </c>
      <c r="E6591">
        <v>0.48654510000000001</v>
      </c>
      <c r="F6591" t="s">
        <v>47</v>
      </c>
      <c r="G6591">
        <v>-303.73079999999999</v>
      </c>
      <c r="H6591" s="1">
        <v>-2.9330729999999998E-6</v>
      </c>
      <c r="I6591">
        <v>-25.887789999999999</v>
      </c>
      <c r="J6591">
        <v>-301.48200000000003</v>
      </c>
      <c r="K6591">
        <v>1.102441</v>
      </c>
      <c r="L6591">
        <v>-7.6170649999999904</v>
      </c>
      <c r="M6591">
        <v>-0.1163867</v>
      </c>
      <c r="N6591">
        <v>0</v>
      </c>
      <c r="O6591">
        <v>-0.99311870000000002</v>
      </c>
      <c r="P6591">
        <v>-0.163328</v>
      </c>
      <c r="Q6591">
        <v>-3.0187060000000002E-2</v>
      </c>
      <c r="R6591">
        <v>-0.98611020000000005</v>
      </c>
      <c r="S6591">
        <v>-0.36694339999999998</v>
      </c>
      <c r="T6591">
        <v>-0.17684639999999999</v>
      </c>
      <c r="U6591">
        <v>-2.975311</v>
      </c>
      <c r="V6591">
        <v>4.721475E-2</v>
      </c>
      <c r="W6591">
        <v>-1.77935E-2</v>
      </c>
      <c r="X6591">
        <v>0.99872620000000001</v>
      </c>
      <c r="Y6591">
        <v>5.837643E-3</v>
      </c>
      <c r="Z6591">
        <v>5.8509070000000003E-2</v>
      </c>
      <c r="AA6591">
        <v>0.99826979999999998</v>
      </c>
      <c r="AB6591">
        <v>27</v>
      </c>
      <c r="AC6591">
        <v>-2.2487999999999602</v>
      </c>
      <c r="AD6591">
        <v>-1.102443933073</v>
      </c>
      <c r="AE6591">
        <v>-18.270724999999999</v>
      </c>
      <c r="AF6591">
        <v>0.10648309192042001</v>
      </c>
      <c r="AG6591">
        <v>-1.102443933073</v>
      </c>
      <c r="AH6591">
        <v>18.342502671187699</v>
      </c>
      <c r="AI6591">
        <v>93.439466795561401</v>
      </c>
      <c r="AJ6591">
        <v>89.667386543148993</v>
      </c>
      <c r="AK6591">
        <v>18.3759115560824</v>
      </c>
      <c r="AL6591">
        <v>91.019546326544003</v>
      </c>
      <c r="AM6591">
        <v>87.293358985459406</v>
      </c>
      <c r="AN6591">
        <v>0.99999993191312297</v>
      </c>
    </row>
    <row r="6592" spans="1:40" x14ac:dyDescent="0.25">
      <c r="A6592" t="str">
        <f>"20190312160816596"</f>
        <v>20190312160816596</v>
      </c>
      <c r="B6592" t="str">
        <f>"1552378096592697"</f>
        <v>1552378096592697</v>
      </c>
      <c r="C6592" t="s">
        <v>40</v>
      </c>
      <c r="D6592">
        <v>6.1310750000000001</v>
      </c>
      <c r="E6592">
        <v>0.47539209999999898</v>
      </c>
      <c r="F6592" t="s">
        <v>47</v>
      </c>
      <c r="G6592">
        <v>-303.84190000000001</v>
      </c>
      <c r="H6592" s="1">
        <v>-2.9475179999999998E-6</v>
      </c>
      <c r="I6592">
        <v>-25.922969999999999</v>
      </c>
      <c r="J6592">
        <v>-301.52109999999999</v>
      </c>
      <c r="K6592">
        <v>1.1031420000000001</v>
      </c>
      <c r="L6592">
        <v>-7.885345</v>
      </c>
      <c r="M6592">
        <v>-0.1229348</v>
      </c>
      <c r="N6592">
        <v>0</v>
      </c>
      <c r="O6592">
        <v>-0.99232770000000003</v>
      </c>
      <c r="P6592">
        <v>-0.16969229999999999</v>
      </c>
      <c r="Q6592">
        <v>-3.0154839999999999E-2</v>
      </c>
      <c r="R6592">
        <v>-0.98503600000000002</v>
      </c>
      <c r="S6592">
        <v>-0.3833008</v>
      </c>
      <c r="T6592">
        <v>-0.1790621</v>
      </c>
      <c r="U6592">
        <v>-2.9732970000000001</v>
      </c>
      <c r="V6592">
        <v>4.7093980000000001E-2</v>
      </c>
      <c r="W6592">
        <v>-1.7574780000000002E-2</v>
      </c>
      <c r="X6592">
        <v>0.99873579999999995</v>
      </c>
      <c r="Y6592">
        <v>4.7241080000000003E-3</v>
      </c>
      <c r="Z6592">
        <v>5.9188690000000002E-2</v>
      </c>
      <c r="AA6592">
        <v>0.9982356</v>
      </c>
      <c r="AB6592">
        <v>27</v>
      </c>
      <c r="AC6592">
        <v>-2.3208000000000202</v>
      </c>
      <c r="AD6592">
        <v>-1.103144947518</v>
      </c>
      <c r="AE6592">
        <v>-18.037624999999998</v>
      </c>
      <c r="AF6592">
        <v>8.5236078133799895E-2</v>
      </c>
      <c r="AG6592">
        <v>-1.103144947518</v>
      </c>
      <c r="AH6592">
        <v>18.1194445999155</v>
      </c>
      <c r="AI6592">
        <v>93.483933147639306</v>
      </c>
      <c r="AJ6592">
        <v>89.730475650636606</v>
      </c>
      <c r="AK6592">
        <v>18.153194390345099</v>
      </c>
      <c r="AL6592">
        <v>91.007012607505004</v>
      </c>
      <c r="AM6592">
        <v>87.300297923403406</v>
      </c>
      <c r="AN6592">
        <v>0.99999995702296296</v>
      </c>
    </row>
    <row r="6593" spans="1:40" x14ac:dyDescent="0.25">
      <c r="A6593" t="str">
        <f>"20190312160816621"</f>
        <v>20190312160816621</v>
      </c>
      <c r="B6593" t="str">
        <f>"1552378096612217"</f>
        <v>1552378096612217</v>
      </c>
      <c r="C6593" t="s">
        <v>40</v>
      </c>
      <c r="D6593">
        <v>6.0577319999999997</v>
      </c>
      <c r="E6593">
        <v>0.47601389999999999</v>
      </c>
      <c r="F6593" t="s">
        <v>44</v>
      </c>
      <c r="G6593">
        <v>-301.61919999999998</v>
      </c>
      <c r="H6593">
        <v>1.0134129999999999</v>
      </c>
      <c r="I6593">
        <v>-8.8182200000000002</v>
      </c>
      <c r="J6593">
        <v>-301.56639999999999</v>
      </c>
      <c r="K6593">
        <v>1.1038650000000001</v>
      </c>
      <c r="L6593">
        <v>-8.1865229999999993</v>
      </c>
      <c r="M6593">
        <v>-0.12967329999999999</v>
      </c>
      <c r="N6593">
        <v>0</v>
      </c>
      <c r="O6593">
        <v>-0.99146780000000001</v>
      </c>
      <c r="P6593">
        <v>-0.17782609999999999</v>
      </c>
      <c r="Q6593">
        <v>-3.0346189999999999E-2</v>
      </c>
      <c r="R6593">
        <v>-0.98359399999999997</v>
      </c>
      <c r="S6593">
        <v>-0.31326290000000001</v>
      </c>
      <c r="T6593">
        <v>-0.2866187</v>
      </c>
      <c r="U6593">
        <v>-2.9828190000000001</v>
      </c>
      <c r="V6593">
        <v>4.8579219999999999E-2</v>
      </c>
      <c r="W6593">
        <v>-1.7601490000000001E-2</v>
      </c>
      <c r="X6593">
        <v>0.99866429999999995</v>
      </c>
      <c r="Y6593">
        <v>-2.5877509999999999E-2</v>
      </c>
      <c r="Z6593">
        <v>9.417114E-2</v>
      </c>
      <c r="AA6593">
        <v>0.99521959999999998</v>
      </c>
      <c r="AB6593">
        <v>27</v>
      </c>
      <c r="AC6593">
        <v>-5.2799999999990598E-2</v>
      </c>
      <c r="AD6593">
        <v>-9.0451999999999894E-2</v>
      </c>
      <c r="AE6593">
        <v>-0.63169699999999995</v>
      </c>
      <c r="AF6593">
        <v>-2.89773409989868E-2</v>
      </c>
      <c r="AG6593">
        <v>-9.0451999999999894E-2</v>
      </c>
      <c r="AH6593">
        <v>0.62057444743162005</v>
      </c>
      <c r="AI6593">
        <v>98.283865163355699</v>
      </c>
      <c r="AJ6593">
        <v>92.673449175795994</v>
      </c>
      <c r="AK6593">
        <v>0.62780084055409802</v>
      </c>
      <c r="AL6593">
        <v>91.008543102078903</v>
      </c>
      <c r="AM6593">
        <v>87.215088205019399</v>
      </c>
      <c r="AN6593">
        <v>1.0000000685802499</v>
      </c>
    </row>
    <row r="6594" spans="1:40" x14ac:dyDescent="0.25">
      <c r="A6594" t="str">
        <f>"20190312160816641"</f>
        <v>20190312160816641</v>
      </c>
      <c r="B6594" t="str">
        <f>"1552378096631736"</f>
        <v>1552378096631736</v>
      </c>
      <c r="C6594" t="s">
        <v>40</v>
      </c>
      <c r="D6594">
        <v>6.1671760000000004</v>
      </c>
      <c r="E6594">
        <v>0.47429280000000001</v>
      </c>
      <c r="F6594" t="s">
        <v>44</v>
      </c>
      <c r="G6594">
        <v>-301.66669999999999</v>
      </c>
      <c r="H6594">
        <v>1.020386</v>
      </c>
      <c r="I6594">
        <v>-9.058821</v>
      </c>
      <c r="J6594">
        <v>-301.60210000000001</v>
      </c>
      <c r="K6594">
        <v>1.104358</v>
      </c>
      <c r="L6594">
        <v>-8.4166869999999996</v>
      </c>
      <c r="M6594">
        <v>-0.13448070000000001</v>
      </c>
      <c r="N6594">
        <v>0</v>
      </c>
      <c r="O6594">
        <v>-0.99082590000000004</v>
      </c>
      <c r="P6594">
        <v>-0.1832474</v>
      </c>
      <c r="Q6594">
        <v>-3.09082E-2</v>
      </c>
      <c r="R6594">
        <v>-0.98258100000000004</v>
      </c>
      <c r="S6594">
        <v>-0.34243770000000001</v>
      </c>
      <c r="T6594">
        <v>-0.28515980000000002</v>
      </c>
      <c r="U6594">
        <v>-2.9793400000000001</v>
      </c>
      <c r="V6594">
        <v>4.9252240000000003E-2</v>
      </c>
      <c r="W6594">
        <v>-1.8047580000000001E-2</v>
      </c>
      <c r="X6594">
        <v>0.99862329999999999</v>
      </c>
      <c r="Y6594">
        <v>-2.0971440000000001E-2</v>
      </c>
      <c r="Z6594">
        <v>9.3669459999999996E-2</v>
      </c>
      <c r="AA6594">
        <v>0.9953824</v>
      </c>
      <c r="AB6594">
        <v>27</v>
      </c>
      <c r="AC6594">
        <v>-6.4599999999984406E-2</v>
      </c>
      <c r="AD6594">
        <v>-8.3971999999999894E-2</v>
      </c>
      <c r="AE6594">
        <v>-0.64213399999999998</v>
      </c>
      <c r="AF6594">
        <v>-2.1977213340106699E-2</v>
      </c>
      <c r="AG6594">
        <v>-8.3971999999999894E-2</v>
      </c>
      <c r="AH6594">
        <v>0.63425062181931302</v>
      </c>
      <c r="AI6594">
        <v>97.537376426604894</v>
      </c>
      <c r="AJ6594">
        <v>91.984543534824496</v>
      </c>
      <c r="AK6594">
        <v>0.64016259338419801</v>
      </c>
      <c r="AL6594">
        <v>91.034106310267404</v>
      </c>
      <c r="AM6594">
        <v>87.176452109383405</v>
      </c>
      <c r="AN6594">
        <v>0.99999999679588103</v>
      </c>
    </row>
    <row r="6595" spans="1:40" x14ac:dyDescent="0.25">
      <c r="A6595" t="str">
        <f>"20190312160816662"</f>
        <v>20190312160816662</v>
      </c>
      <c r="B6595" t="str">
        <f>"1552378096652233"</f>
        <v>1552378096652233</v>
      </c>
      <c r="C6595" t="s">
        <v>40</v>
      </c>
      <c r="D6595">
        <v>6.2019120000000001</v>
      </c>
      <c r="E6595">
        <v>0.47322809999999998</v>
      </c>
      <c r="F6595" t="s">
        <v>44</v>
      </c>
      <c r="G6595">
        <v>-301.70370000000003</v>
      </c>
      <c r="H6595">
        <v>1.016154</v>
      </c>
      <c r="I6595">
        <v>-9.2935029999999994</v>
      </c>
      <c r="J6595">
        <v>-301.64330000000001</v>
      </c>
      <c r="K6595">
        <v>1.1048639999999901</v>
      </c>
      <c r="L6595">
        <v>-8.6764220000000005</v>
      </c>
      <c r="M6595">
        <v>-0.13950109999999999</v>
      </c>
      <c r="N6595">
        <v>0</v>
      </c>
      <c r="O6595">
        <v>-0.99013039999999997</v>
      </c>
      <c r="P6595">
        <v>-0.18883949999999999</v>
      </c>
      <c r="Q6595">
        <v>-3.0992390000000002E-2</v>
      </c>
      <c r="R6595">
        <v>-0.98151880000000002</v>
      </c>
      <c r="S6595">
        <v>-0.34472659999999899</v>
      </c>
      <c r="T6595">
        <v>-0.29956899999999997</v>
      </c>
      <c r="U6595">
        <v>-2.9794619999999998</v>
      </c>
      <c r="V6595">
        <v>4.989072E-2</v>
      </c>
      <c r="W6595">
        <v>-1.8014079999999998E-2</v>
      </c>
      <c r="X6595">
        <v>0.99859219999999904</v>
      </c>
      <c r="Y6595">
        <v>-2.5340390000000001E-2</v>
      </c>
      <c r="Z6595">
        <v>9.8240579999999994E-2</v>
      </c>
      <c r="AA6595">
        <v>0.99483999999999995</v>
      </c>
      <c r="AB6595">
        <v>27</v>
      </c>
      <c r="AC6595">
        <v>-6.0400000000015497E-2</v>
      </c>
      <c r="AD6595">
        <v>-8.8709999999999803E-2</v>
      </c>
      <c r="AE6595">
        <v>-0.61708099999999799</v>
      </c>
      <c r="AF6595">
        <v>-2.5754781036961098E-2</v>
      </c>
      <c r="AG6595">
        <v>-8.8709999999999803E-2</v>
      </c>
      <c r="AH6595">
        <v>0.60704636481352503</v>
      </c>
      <c r="AI6595">
        <v>98.306633755843805</v>
      </c>
      <c r="AJ6595">
        <v>92.429395698661494</v>
      </c>
      <c r="AK6595">
        <v>0.614034251389592</v>
      </c>
      <c r="AL6595">
        <v>91.032186600230204</v>
      </c>
      <c r="AM6595">
        <v>87.139820587880195</v>
      </c>
      <c r="AN6595">
        <v>0.99999998646060195</v>
      </c>
    </row>
    <row r="6596" spans="1:40" x14ac:dyDescent="0.25">
      <c r="A6596" t="str">
        <f>"20190312160816686"</f>
        <v>20190312160816686</v>
      </c>
      <c r="B6596" t="str">
        <f>"1552378096682488"</f>
        <v>1552378096682488</v>
      </c>
      <c r="C6596" t="s">
        <v>40</v>
      </c>
      <c r="D6596">
        <v>6.2131179999999997</v>
      </c>
      <c r="E6596">
        <v>0.47128750000000003</v>
      </c>
      <c r="F6596" t="s">
        <v>44</v>
      </c>
      <c r="G6596">
        <v>-301.7448</v>
      </c>
      <c r="H6596">
        <v>1.0183719999999901</v>
      </c>
      <c r="I6596">
        <v>-9.5316679999999998</v>
      </c>
      <c r="J6596">
        <v>-301.68770000000001</v>
      </c>
      <c r="K6596">
        <v>1.1053649999999999</v>
      </c>
      <c r="L6596">
        <v>-8.950958</v>
      </c>
      <c r="M6596">
        <v>-0.1443122</v>
      </c>
      <c r="N6596">
        <v>0</v>
      </c>
      <c r="O6596">
        <v>-0.98943959999999997</v>
      </c>
      <c r="P6596">
        <v>-0.1944004</v>
      </c>
      <c r="Q6596">
        <v>-3.1546970000000001E-2</v>
      </c>
      <c r="R6596">
        <v>-0.98041500000000004</v>
      </c>
      <c r="S6596">
        <v>-0.35336299999999998</v>
      </c>
      <c r="T6596">
        <v>-0.30119479999999998</v>
      </c>
      <c r="U6596">
        <v>-2.9790040000000002</v>
      </c>
      <c r="V6596">
        <v>5.0710230000000002E-2</v>
      </c>
      <c r="W6596">
        <v>-1.8458749999999999E-2</v>
      </c>
      <c r="X6596">
        <v>0.99854279999999995</v>
      </c>
      <c r="Y6596">
        <v>-2.7342559999999998E-2</v>
      </c>
      <c r="Z6596">
        <v>9.8661360000000004E-2</v>
      </c>
      <c r="AA6596">
        <v>0.9947454</v>
      </c>
      <c r="AB6596">
        <v>27</v>
      </c>
      <c r="AC6596">
        <v>-5.7099999999991199E-2</v>
      </c>
      <c r="AD6596">
        <v>-8.6993000000000098E-2</v>
      </c>
      <c r="AE6596">
        <v>-0.58070999999999895</v>
      </c>
      <c r="AF6596">
        <v>-2.6715252248695798E-2</v>
      </c>
      <c r="AG6596">
        <v>-8.6993000000000098E-2</v>
      </c>
      <c r="AH6596">
        <v>0.57019760752744297</v>
      </c>
      <c r="AI6596">
        <v>98.665158743665003</v>
      </c>
      <c r="AJ6596">
        <v>92.682495731856605</v>
      </c>
      <c r="AK6596">
        <v>0.57741388828268703</v>
      </c>
      <c r="AL6596">
        <v>91.057668550847595</v>
      </c>
      <c r="AM6596">
        <v>87.092775360350004</v>
      </c>
      <c r="AN6596">
        <v>0.999999988155027</v>
      </c>
    </row>
    <row r="6597" spans="1:40" x14ac:dyDescent="0.25">
      <c r="A6597" t="str">
        <f>"20190312160816708"</f>
        <v>20190312160816708</v>
      </c>
      <c r="B6597" t="str">
        <f>"1552378096702008"</f>
        <v>1552378096702008</v>
      </c>
      <c r="C6597" t="s">
        <v>40</v>
      </c>
      <c r="D6597">
        <v>6.1773740000000004</v>
      </c>
      <c r="E6597">
        <v>0.46993370000000001</v>
      </c>
      <c r="F6597" t="s">
        <v>44</v>
      </c>
      <c r="G6597">
        <v>-301.78550000000001</v>
      </c>
      <c r="H6597">
        <v>1.0224310000000001</v>
      </c>
      <c r="I6597">
        <v>-9.7710150000000002</v>
      </c>
      <c r="J6597">
        <v>-301.73160000000001</v>
      </c>
      <c r="K6597">
        <v>1.10585</v>
      </c>
      <c r="L6597">
        <v>-9.2163699999999995</v>
      </c>
      <c r="M6597">
        <v>-0.14847569999999999</v>
      </c>
      <c r="N6597">
        <v>0</v>
      </c>
      <c r="O6597">
        <v>-0.9888226</v>
      </c>
      <c r="P6597">
        <v>-0.1989744</v>
      </c>
      <c r="Q6597">
        <v>-3.2176929999999999E-2</v>
      </c>
      <c r="R6597">
        <v>-0.97947669999999998</v>
      </c>
      <c r="S6597">
        <v>-0.35498049999999998</v>
      </c>
      <c r="T6597">
        <v>-0.30124570000000001</v>
      </c>
      <c r="U6597">
        <v>-2.9798580000000001</v>
      </c>
      <c r="V6597">
        <v>5.1181770000000001E-2</v>
      </c>
      <c r="W6597">
        <v>-1.8989229999999999E-2</v>
      </c>
      <c r="X6597">
        <v>0.99850879999999997</v>
      </c>
      <c r="Y6597">
        <v>-3.105014E-2</v>
      </c>
      <c r="Z6597">
        <v>9.8549499999999998E-2</v>
      </c>
      <c r="AA6597">
        <v>0.99464759999999997</v>
      </c>
      <c r="AB6597">
        <v>27</v>
      </c>
      <c r="AC6597">
        <v>-5.3899999999998699E-2</v>
      </c>
      <c r="AD6597">
        <v>-8.3419000000000104E-2</v>
      </c>
      <c r="AE6597">
        <v>-0.55464500000000005</v>
      </c>
      <c r="AF6597">
        <v>-2.8419604131174201E-2</v>
      </c>
      <c r="AG6597">
        <v>-8.3419000000000104E-2</v>
      </c>
      <c r="AH6597">
        <v>0.54430264207206702</v>
      </c>
      <c r="AI6597">
        <v>98.7015958910156</v>
      </c>
      <c r="AJ6597">
        <v>92.988863104872294</v>
      </c>
      <c r="AK6597">
        <v>0.55139075946791605</v>
      </c>
      <c r="AL6597">
        <v>91.088068139589097</v>
      </c>
      <c r="AM6597">
        <v>87.065689192147104</v>
      </c>
      <c r="AN6597">
        <v>0.999999994056882</v>
      </c>
    </row>
    <row r="6598" spans="1:40" x14ac:dyDescent="0.25">
      <c r="A6598" t="str">
        <f>"20190312160816731"</f>
        <v>20190312160816731</v>
      </c>
      <c r="B6598" t="str">
        <f>"1552378096722504"</f>
        <v>1552378096722504</v>
      </c>
      <c r="C6598" t="s">
        <v>40</v>
      </c>
      <c r="D6598">
        <v>6.2199339999999896</v>
      </c>
      <c r="E6598">
        <v>0.46880569999999999</v>
      </c>
      <c r="F6598" t="s">
        <v>44</v>
      </c>
      <c r="G6598">
        <v>-301.82690000000002</v>
      </c>
      <c r="H6598">
        <v>1.0250600000000001</v>
      </c>
      <c r="I6598">
        <v>-10.009040000000001</v>
      </c>
      <c r="J6598">
        <v>-301.77569999999997</v>
      </c>
      <c r="K6598">
        <v>1.106339</v>
      </c>
      <c r="L6598">
        <v>-9.4801939999999991</v>
      </c>
      <c r="M6598">
        <v>-0.15211720000000001</v>
      </c>
      <c r="N6598">
        <v>0</v>
      </c>
      <c r="O6598">
        <v>-0.98826820000000004</v>
      </c>
      <c r="P6598">
        <v>-0.20279359999999999</v>
      </c>
      <c r="Q6598">
        <v>-3.1621070000000001E-2</v>
      </c>
      <c r="R6598">
        <v>-0.97871090000000005</v>
      </c>
      <c r="S6598">
        <v>-0.35772710000000002</v>
      </c>
      <c r="T6598">
        <v>-0.30351879999999998</v>
      </c>
      <c r="U6598">
        <v>-2.9802249999999999</v>
      </c>
      <c r="V6598">
        <v>5.1417230000000001E-2</v>
      </c>
      <c r="W6598">
        <v>-1.8337860000000001E-2</v>
      </c>
      <c r="X6598">
        <v>0.99850890000000003</v>
      </c>
      <c r="Y6598">
        <v>-3.3850570000000003E-2</v>
      </c>
      <c r="Z6598">
        <v>9.918043E-2</v>
      </c>
      <c r="AA6598">
        <v>0.99449350000000003</v>
      </c>
      <c r="AB6598">
        <v>27</v>
      </c>
      <c r="AC6598">
        <v>-5.1200000000051198E-2</v>
      </c>
      <c r="AD6598">
        <v>-8.1278999999999796E-2</v>
      </c>
      <c r="AE6598">
        <v>-0.52884599999999704</v>
      </c>
      <c r="AF6598">
        <v>-2.9167455221277599E-2</v>
      </c>
      <c r="AG6598">
        <v>-8.1278999999999796E-2</v>
      </c>
      <c r="AH6598">
        <v>0.518349277318923</v>
      </c>
      <c r="AI6598">
        <v>98.897766380733799</v>
      </c>
      <c r="AJ6598">
        <v>93.2206307384551</v>
      </c>
      <c r="AK6598">
        <v>0.52549309185005899</v>
      </c>
      <c r="AL6598">
        <v>91.050740862102003</v>
      </c>
      <c r="AM6598">
        <v>87.052214043540502</v>
      </c>
      <c r="AN6598">
        <v>1.00000001601473</v>
      </c>
    </row>
    <row r="6599" spans="1:40" x14ac:dyDescent="0.25">
      <c r="A6599" t="str">
        <f>"20190312160816752"</f>
        <v>20190312160816752</v>
      </c>
      <c r="B6599" t="str">
        <f>"1552378096742025"</f>
        <v>1552378096742025</v>
      </c>
      <c r="C6599" t="s">
        <v>40</v>
      </c>
      <c r="D6599">
        <v>6.2074410000000002</v>
      </c>
      <c r="E6599">
        <v>0.45763920000000002</v>
      </c>
      <c r="F6599" t="s">
        <v>47</v>
      </c>
      <c r="G6599">
        <v>-303.10039999999998</v>
      </c>
      <c r="H6599" s="1">
        <v>-4.8290870000000003E-6</v>
      </c>
      <c r="I6599">
        <v>-20.438780000000001</v>
      </c>
      <c r="J6599">
        <v>-301.81849999999997</v>
      </c>
      <c r="K6599">
        <v>1.106832</v>
      </c>
      <c r="L6599">
        <v>-9.7334589999999999</v>
      </c>
      <c r="M6599">
        <v>-0.155113</v>
      </c>
      <c r="N6599">
        <v>0</v>
      </c>
      <c r="O6599">
        <v>-0.98780199999999996</v>
      </c>
      <c r="P6599">
        <v>-0.2054269</v>
      </c>
      <c r="Q6599">
        <v>-3.1333220000000002E-2</v>
      </c>
      <c r="R6599">
        <v>-0.97817109999999996</v>
      </c>
      <c r="S6599">
        <v>-0.360321</v>
      </c>
      <c r="T6599">
        <v>-0.3009386</v>
      </c>
      <c r="U6599">
        <v>-2.9808650000000001</v>
      </c>
      <c r="V6599">
        <v>5.1095040000000001E-2</v>
      </c>
      <c r="W6599">
        <v>-1.7957870000000001E-2</v>
      </c>
      <c r="X6599">
        <v>0.99853239999999999</v>
      </c>
      <c r="Y6599">
        <v>-3.6042240000000003E-2</v>
      </c>
      <c r="Z6599">
        <v>9.824666E-2</v>
      </c>
      <c r="AA6599">
        <v>0.99450919999999998</v>
      </c>
      <c r="AB6599">
        <v>27</v>
      </c>
      <c r="AC6599">
        <v>-1.2819</v>
      </c>
      <c r="AD6599">
        <v>-1.1068368290870001</v>
      </c>
      <c r="AE6599">
        <v>-10.7053209999999</v>
      </c>
      <c r="AF6599">
        <v>-0.39019583877057701</v>
      </c>
      <c r="AG6599">
        <v>-1.1068368290870001</v>
      </c>
      <c r="AH6599">
        <v>10.66221985002</v>
      </c>
      <c r="AI6599">
        <v>95.922666005756696</v>
      </c>
      <c r="AJ6599">
        <v>92.095867702265195</v>
      </c>
      <c r="AK6599">
        <v>10.7266151552565</v>
      </c>
      <c r="AL6599">
        <v>91.028965396342599</v>
      </c>
      <c r="AM6599">
        <v>87.070721970490098</v>
      </c>
      <c r="AN6599">
        <v>1.0000000710286401</v>
      </c>
    </row>
    <row r="6600" spans="1:40" x14ac:dyDescent="0.25">
      <c r="A6600" t="str">
        <f>"20190312160816776"</f>
        <v>20190312160816776</v>
      </c>
      <c r="B6600" t="str">
        <f>"1552378096772281"</f>
        <v>1552378096772281</v>
      </c>
      <c r="C6600" t="s">
        <v>40</v>
      </c>
      <c r="D6600">
        <v>6.2078360000000004</v>
      </c>
      <c r="E6600">
        <v>0.45685979999999998</v>
      </c>
      <c r="F6600" t="s">
        <v>47</v>
      </c>
      <c r="G6600">
        <v>-302.88069999999999</v>
      </c>
      <c r="H6600" s="1">
        <v>-4.5793280000000003E-6</v>
      </c>
      <c r="I6600">
        <v>-21.058199999999999</v>
      </c>
      <c r="J6600">
        <v>-301.86529999999999</v>
      </c>
      <c r="K6600">
        <v>1.10737</v>
      </c>
      <c r="L6600">
        <v>-10.009119999999999</v>
      </c>
      <c r="M6600">
        <v>-0.15777459999999999</v>
      </c>
      <c r="N6600">
        <v>0</v>
      </c>
      <c r="O6600">
        <v>-0.98737989999999998</v>
      </c>
      <c r="P6600">
        <v>-0.20800440000000001</v>
      </c>
      <c r="Q6600">
        <v>-3.1221559999999999E-2</v>
      </c>
      <c r="R6600">
        <v>-0.97762979999999999</v>
      </c>
      <c r="S6600">
        <v>-0.28125</v>
      </c>
      <c r="T6600">
        <v>-0.2930623</v>
      </c>
      <c r="U6600">
        <v>-2.9985050000000002</v>
      </c>
      <c r="V6600">
        <v>5.1055789999999997E-2</v>
      </c>
      <c r="W6600">
        <v>-1.7752449999999999E-2</v>
      </c>
      <c r="X6600">
        <v>0.99853800000000004</v>
      </c>
      <c r="Y6600">
        <v>-6.5311179999999996E-2</v>
      </c>
      <c r="Z6600">
        <v>9.5143169999999999E-2</v>
      </c>
      <c r="AA6600">
        <v>0.99331879999999995</v>
      </c>
      <c r="AB6600">
        <v>27</v>
      </c>
      <c r="AC6600">
        <v>-1.0153999999999901</v>
      </c>
      <c r="AD6600">
        <v>-1.1073745793280001</v>
      </c>
      <c r="AE6600">
        <v>-11.04908</v>
      </c>
      <c r="AF6600">
        <v>-0.73344278805886798</v>
      </c>
      <c r="AG6600">
        <v>-1.1073745793280001</v>
      </c>
      <c r="AH6600">
        <v>10.9617002979042</v>
      </c>
      <c r="AI6600">
        <v>95.755789587573801</v>
      </c>
      <c r="AJ6600">
        <v>93.827931066044101</v>
      </c>
      <c r="AK6600">
        <v>11.041878925408099</v>
      </c>
      <c r="AL6600">
        <v>91.017193903668698</v>
      </c>
      <c r="AM6600">
        <v>87.072984644820394</v>
      </c>
      <c r="AN6600">
        <v>0.99999999030876296</v>
      </c>
    </row>
    <row r="6601" spans="1:40" x14ac:dyDescent="0.25">
      <c r="A6601" t="str">
        <f>"20190312160816797"</f>
        <v>20190312160816797</v>
      </c>
      <c r="B6601" t="str">
        <f>"1552378096791802"</f>
        <v>1552378096791802</v>
      </c>
      <c r="C6601" t="s">
        <v>40</v>
      </c>
      <c r="D6601">
        <v>6.1819610000000003</v>
      </c>
      <c r="E6601">
        <v>0.45568560000000002</v>
      </c>
      <c r="F6601" t="s">
        <v>47</v>
      </c>
      <c r="G6601">
        <v>-302.94909999999999</v>
      </c>
      <c r="H6601" s="1">
        <v>-4.435641E-6</v>
      </c>
      <c r="I6601">
        <v>-21.516079999999999</v>
      </c>
      <c r="J6601">
        <v>-301.90750000000003</v>
      </c>
      <c r="K6601">
        <v>1.107842</v>
      </c>
      <c r="L6601">
        <v>-10.25845</v>
      </c>
      <c r="M6601">
        <v>-0.15962399999999999</v>
      </c>
      <c r="N6601">
        <v>0</v>
      </c>
      <c r="O6601">
        <v>-0.98708209999999996</v>
      </c>
      <c r="P6601">
        <v>-0.20996090000000001</v>
      </c>
      <c r="Q6601">
        <v>-3.1940379999999997E-2</v>
      </c>
      <c r="R6601">
        <v>-0.9771879</v>
      </c>
      <c r="S6601">
        <v>-0.28250120000000001</v>
      </c>
      <c r="T6601">
        <v>-0.28864109999999998</v>
      </c>
      <c r="U6601">
        <v>-2.9993289999999999</v>
      </c>
      <c r="V6601">
        <v>5.1202770000000002E-2</v>
      </c>
      <c r="W6601">
        <v>-1.8392539999999999E-2</v>
      </c>
      <c r="X6601">
        <v>0.99851889999999999</v>
      </c>
      <c r="Y6601">
        <v>-6.6781759999999996E-2</v>
      </c>
      <c r="Z6601">
        <v>9.3646679999999996E-2</v>
      </c>
      <c r="AA6601">
        <v>0.9933632</v>
      </c>
      <c r="AB6601">
        <v>26</v>
      </c>
      <c r="AC6601">
        <v>-1.0415999999999599</v>
      </c>
      <c r="AD6601">
        <v>-1.107846435641</v>
      </c>
      <c r="AE6601">
        <v>-11.257630000000001</v>
      </c>
      <c r="AF6601">
        <v>-0.76160298630096401</v>
      </c>
      <c r="AG6601">
        <v>-1.107846435641</v>
      </c>
      <c r="AH6601">
        <v>11.172259590728</v>
      </c>
      <c r="AI6601">
        <v>95.649936171660201</v>
      </c>
      <c r="AJ6601">
        <v>93.899768951650401</v>
      </c>
      <c r="AK6601">
        <v>11.252855068662299</v>
      </c>
      <c r="AL6601">
        <v>91.0538743391309</v>
      </c>
      <c r="AM6601">
        <v>87.064516983630298</v>
      </c>
      <c r="AN6601">
        <v>1.0000000014202599</v>
      </c>
    </row>
    <row r="6602" spans="1:40" x14ac:dyDescent="0.25">
      <c r="A6602" t="str">
        <f>"20190312160816819"</f>
        <v>20190312160816819</v>
      </c>
      <c r="B6602" t="str">
        <f>"1552378096812297"</f>
        <v>1552378096812297</v>
      </c>
      <c r="C6602" t="s">
        <v>40</v>
      </c>
      <c r="D6602">
        <v>6.2221640000000003</v>
      </c>
      <c r="E6602">
        <v>0.45497989999999999</v>
      </c>
      <c r="F6602" t="s">
        <v>47</v>
      </c>
      <c r="G6602">
        <v>-302.97000000000003</v>
      </c>
      <c r="H6602" s="1">
        <v>-4.3774879999999997E-6</v>
      </c>
      <c r="I6602">
        <v>-21.697839999999999</v>
      </c>
      <c r="J6602">
        <v>-301.9511</v>
      </c>
      <c r="K6602">
        <v>1.108276</v>
      </c>
      <c r="L6602">
        <v>-10.51538</v>
      </c>
      <c r="M6602">
        <v>-0.16107060000000001</v>
      </c>
      <c r="N6602">
        <v>0</v>
      </c>
      <c r="O6602">
        <v>-0.98684669999999997</v>
      </c>
      <c r="P6602">
        <v>-0.21122160000000001</v>
      </c>
      <c r="Q6602">
        <v>-3.0811689999999999E-2</v>
      </c>
      <c r="R6602">
        <v>-0.97695279999999995</v>
      </c>
      <c r="S6602">
        <v>-0.2786865</v>
      </c>
      <c r="T6602">
        <v>-0.29059960000000001</v>
      </c>
      <c r="U6602">
        <v>-3.0006710000000001</v>
      </c>
      <c r="V6602">
        <v>5.104173E-2</v>
      </c>
      <c r="W6602">
        <v>-1.7190529999999999E-2</v>
      </c>
      <c r="X6602">
        <v>0.99854860000000001</v>
      </c>
      <c r="Y6602">
        <v>-6.9542370000000006E-2</v>
      </c>
      <c r="Z6602">
        <v>9.4197299999999998E-2</v>
      </c>
      <c r="AA6602">
        <v>0.9931217</v>
      </c>
      <c r="AB6602">
        <v>26</v>
      </c>
      <c r="AC6602">
        <v>-1.0189000000000299</v>
      </c>
      <c r="AD6602">
        <v>-1.1082803774879999</v>
      </c>
      <c r="AE6602">
        <v>-11.182460000000001</v>
      </c>
      <c r="AF6602">
        <v>-0.78806589296954399</v>
      </c>
      <c r="AG6602">
        <v>-1.1082803774879999</v>
      </c>
      <c r="AH6602">
        <v>11.0924923379064</v>
      </c>
      <c r="AI6602">
        <v>95.691387520252206</v>
      </c>
      <c r="AJ6602">
        <v>94.063749562230299</v>
      </c>
      <c r="AK6602">
        <v>11.1755411284331</v>
      </c>
      <c r="AL6602">
        <v>90.984993294975496</v>
      </c>
      <c r="AM6602">
        <v>87.073820308836005</v>
      </c>
      <c r="AN6602">
        <v>1.0000000395425099</v>
      </c>
    </row>
    <row r="6603" spans="1:40" x14ac:dyDescent="0.25">
      <c r="A6603" t="str">
        <f>"20190312160816842"</f>
        <v>20190312160816842</v>
      </c>
      <c r="B6603" t="str">
        <f>"1552378096831816"</f>
        <v>1552378096831816</v>
      </c>
      <c r="C6603" t="s">
        <v>40</v>
      </c>
      <c r="D6603">
        <v>6.2323269999999997</v>
      </c>
      <c r="E6603">
        <v>0.45422469999999998</v>
      </c>
      <c r="F6603" t="s">
        <v>47</v>
      </c>
      <c r="G6603">
        <v>-303.0188</v>
      </c>
      <c r="H6603" s="1">
        <v>-4.2519909999999997E-6</v>
      </c>
      <c r="I6603">
        <v>-22.092099999999999</v>
      </c>
      <c r="J6603">
        <v>-301.99549999999999</v>
      </c>
      <c r="K6603">
        <v>1.1086739999999999</v>
      </c>
      <c r="L6603">
        <v>-10.77783</v>
      </c>
      <c r="M6603">
        <v>-0.1620567</v>
      </c>
      <c r="N6603">
        <v>0</v>
      </c>
      <c r="O6603">
        <v>-0.98668480000000003</v>
      </c>
      <c r="P6603">
        <v>-0.21161550000000001</v>
      </c>
      <c r="Q6603">
        <v>-2.8982569999999999E-2</v>
      </c>
      <c r="R6603">
        <v>-0.97692319999999999</v>
      </c>
      <c r="S6603">
        <v>-0.27685549999999998</v>
      </c>
      <c r="T6603">
        <v>-0.28737879999999999</v>
      </c>
      <c r="U6603">
        <v>-3.001862</v>
      </c>
      <c r="V6603">
        <v>5.0455760000000002E-2</v>
      </c>
      <c r="W6603">
        <v>-1.529428E-2</v>
      </c>
      <c r="X6603">
        <v>0.99860919999999997</v>
      </c>
      <c r="Y6603">
        <v>-7.1166530000000006E-2</v>
      </c>
      <c r="Z6603">
        <v>9.3100440000000007E-2</v>
      </c>
      <c r="AA6603">
        <v>0.9931101</v>
      </c>
      <c r="AB6603">
        <v>26</v>
      </c>
      <c r="AC6603">
        <v>-1.0233000000000001</v>
      </c>
      <c r="AD6603">
        <v>-1.1086782519909999</v>
      </c>
      <c r="AE6603">
        <v>-11.31427</v>
      </c>
      <c r="AF6603">
        <v>-0.81618393916601395</v>
      </c>
      <c r="AG6603">
        <v>-1.1086782519909999</v>
      </c>
      <c r="AH6603">
        <v>11.223637398645399</v>
      </c>
      <c r="AI6603">
        <v>95.626651076601306</v>
      </c>
      <c r="AJ6603">
        <v>94.159233007234107</v>
      </c>
      <c r="AK6603">
        <v>11.3077566362768</v>
      </c>
      <c r="AL6603">
        <v>90.876331847004593</v>
      </c>
      <c r="AM6603">
        <v>87.107531335123994</v>
      </c>
      <c r="AN6603">
        <v>1.0000000165212599</v>
      </c>
    </row>
    <row r="6604" spans="1:40" x14ac:dyDescent="0.25">
      <c r="A6604" t="str">
        <f>"20190312160816864"</f>
        <v>20190312160816864</v>
      </c>
      <c r="B6604" t="str">
        <f>"1552378096852313"</f>
        <v>1552378096852313</v>
      </c>
      <c r="C6604" t="s">
        <v>40</v>
      </c>
      <c r="D6604">
        <v>6.2353990000000001</v>
      </c>
      <c r="E6604">
        <v>0.4535322</v>
      </c>
      <c r="F6604" t="s">
        <v>47</v>
      </c>
      <c r="G6604">
        <v>-303.06490000000002</v>
      </c>
      <c r="H6604" s="1">
        <v>-4.0904039999999999E-6</v>
      </c>
      <c r="I6604">
        <v>-22.59093</v>
      </c>
      <c r="J6604">
        <v>-302.03789999999998</v>
      </c>
      <c r="K6604">
        <v>1.1090340000000001</v>
      </c>
      <c r="L6604">
        <v>-11.030849999999999</v>
      </c>
      <c r="M6604">
        <v>-0.16252339999999901</v>
      </c>
      <c r="N6604">
        <v>0</v>
      </c>
      <c r="O6604">
        <v>-0.98660789999999998</v>
      </c>
      <c r="P6604">
        <v>-0.2110262</v>
      </c>
      <c r="Q6604">
        <v>-2.778168E-2</v>
      </c>
      <c r="R6604">
        <v>-0.97708550000000005</v>
      </c>
      <c r="S6604">
        <v>-0.27191159999999998</v>
      </c>
      <c r="T6604">
        <v>-0.2818929</v>
      </c>
      <c r="U6604">
        <v>-3.0036010000000002</v>
      </c>
      <c r="V6604">
        <v>4.9389210000000003E-2</v>
      </c>
      <c r="W6604">
        <v>-1.4032950000000001E-2</v>
      </c>
      <c r="X6604">
        <v>0.99868100000000004</v>
      </c>
      <c r="Y6604">
        <v>-7.3296589999999995E-2</v>
      </c>
      <c r="Z6604">
        <v>9.1275220000000004E-2</v>
      </c>
      <c r="AA6604">
        <v>0.99312460000000002</v>
      </c>
      <c r="AB6604">
        <v>26</v>
      </c>
      <c r="AC6604">
        <v>-1.0270000000000401</v>
      </c>
      <c r="AD6604">
        <v>-1.109038090404</v>
      </c>
      <c r="AE6604">
        <v>-11.560079999999999</v>
      </c>
      <c r="AF6604">
        <v>-0.85778671390938799</v>
      </c>
      <c r="AG6604">
        <v>-1.109038090404</v>
      </c>
      <c r="AH6604">
        <v>11.468554372558501</v>
      </c>
      <c r="AI6604">
        <v>95.508180997806804</v>
      </c>
      <c r="AJ6604">
        <v>94.277454284822895</v>
      </c>
      <c r="AK6604">
        <v>11.553938849105</v>
      </c>
      <c r="AL6604">
        <v>90.804055217259005</v>
      </c>
      <c r="AM6604">
        <v>87.168775930627106</v>
      </c>
      <c r="AN6604">
        <v>0.99999997875556301</v>
      </c>
    </row>
    <row r="6605" spans="1:40" x14ac:dyDescent="0.25">
      <c r="A6605" t="str">
        <f>"20190312160816887"</f>
        <v>20190312160816887</v>
      </c>
      <c r="B6605" t="str">
        <f>"1552378096882569"</f>
        <v>1552378096882569</v>
      </c>
      <c r="C6605" t="s">
        <v>40</v>
      </c>
      <c r="D6605">
        <v>6.2440389999999999</v>
      </c>
      <c r="E6605">
        <v>0.4526367</v>
      </c>
      <c r="F6605" t="s">
        <v>47</v>
      </c>
      <c r="G6605">
        <v>-303.0822</v>
      </c>
      <c r="H6605" s="1">
        <v>-3.9857249999999999E-6</v>
      </c>
      <c r="I6605">
        <v>-22.907579999999999</v>
      </c>
      <c r="J6605">
        <v>-302.08190000000002</v>
      </c>
      <c r="K6605">
        <v>1.109426</v>
      </c>
      <c r="L6605">
        <v>-11.29486</v>
      </c>
      <c r="M6605">
        <v>-0.16251380000000001</v>
      </c>
      <c r="N6605">
        <v>0</v>
      </c>
      <c r="O6605">
        <v>-0.98660950000000003</v>
      </c>
      <c r="P6605">
        <v>-0.20979100000000001</v>
      </c>
      <c r="Q6605">
        <v>-2.754641E-2</v>
      </c>
      <c r="R6605">
        <v>-0.97735850000000002</v>
      </c>
      <c r="S6605">
        <v>-0.26425169999999998</v>
      </c>
      <c r="T6605">
        <v>-0.28063310000000002</v>
      </c>
      <c r="U6605">
        <v>-3.0053100000000001</v>
      </c>
      <c r="V6605">
        <v>4.814802E-2</v>
      </c>
      <c r="W6605">
        <v>-1.3736379999999999E-2</v>
      </c>
      <c r="X6605">
        <v>0.99874569999999996</v>
      </c>
      <c r="Y6605">
        <v>-7.584486E-2</v>
      </c>
      <c r="Z6605">
        <v>9.0821120000000005E-2</v>
      </c>
      <c r="AA6605">
        <v>0.99297489999999999</v>
      </c>
      <c r="AB6605">
        <v>26</v>
      </c>
      <c r="AC6605">
        <v>-1.00029999999998</v>
      </c>
      <c r="AD6605">
        <v>-1.1094299857250001</v>
      </c>
      <c r="AE6605">
        <v>-11.612719999999999</v>
      </c>
      <c r="AF6605">
        <v>-0.89232342364612105</v>
      </c>
      <c r="AG6605">
        <v>-1.1094299857250001</v>
      </c>
      <c r="AH6605">
        <v>11.5165536942777</v>
      </c>
      <c r="AI6605">
        <v>95.486181248438498</v>
      </c>
      <c r="AJ6605">
        <v>94.430528719497801</v>
      </c>
      <c r="AK6605">
        <v>11.604227030646801</v>
      </c>
      <c r="AL6605">
        <v>90.787061394652795</v>
      </c>
      <c r="AM6605">
        <v>87.239993921109701</v>
      </c>
      <c r="AN6605">
        <v>0.99999994661695601</v>
      </c>
    </row>
    <row r="6606" spans="1:40" x14ac:dyDescent="0.25">
      <c r="A6606" t="str">
        <f>"20190312160816908"</f>
        <v>20190312160816908</v>
      </c>
      <c r="B6606" t="str">
        <f>"1552378096902088"</f>
        <v>1552378096902088</v>
      </c>
      <c r="C6606" t="s">
        <v>40</v>
      </c>
      <c r="D6606">
        <v>6.2705080000000004</v>
      </c>
      <c r="E6606">
        <v>0.45225379999999898</v>
      </c>
      <c r="F6606" t="s">
        <v>47</v>
      </c>
      <c r="G6606">
        <v>-303.09449999999998</v>
      </c>
      <c r="H6606" s="1">
        <v>-3.8499540000000004E-6</v>
      </c>
      <c r="I6606">
        <v>-23.312940000000001</v>
      </c>
      <c r="J6606">
        <v>-302.12509999999997</v>
      </c>
      <c r="K6606">
        <v>1.109837</v>
      </c>
      <c r="L6606">
        <v>-11.55838</v>
      </c>
      <c r="M6606">
        <v>-0.16200249999999999</v>
      </c>
      <c r="N6606">
        <v>0</v>
      </c>
      <c r="O6606">
        <v>-0.98669300000000004</v>
      </c>
      <c r="P6606">
        <v>-0.20752409999999999</v>
      </c>
      <c r="Q6606">
        <v>-2.8182510000000001E-2</v>
      </c>
      <c r="R6606">
        <v>-0.97782380000000002</v>
      </c>
      <c r="S6606">
        <v>-0.25338749999999999</v>
      </c>
      <c r="T6606">
        <v>-0.27761360000000002</v>
      </c>
      <c r="U6606">
        <v>-3.0072939999999999</v>
      </c>
      <c r="V6606">
        <v>4.6366209999999998E-2</v>
      </c>
      <c r="W6606">
        <v>-1.431085E-2</v>
      </c>
      <c r="X6606">
        <v>0.99882199999999999</v>
      </c>
      <c r="Y6606">
        <v>-7.8937980000000005E-2</v>
      </c>
      <c r="Z6606">
        <v>8.9807639999999994E-2</v>
      </c>
      <c r="AA6606">
        <v>0.99282599999999999</v>
      </c>
      <c r="AB6606">
        <v>26</v>
      </c>
      <c r="AC6606">
        <v>-0.96940000000000703</v>
      </c>
      <c r="AD6606">
        <v>-1.109840849954</v>
      </c>
      <c r="AE6606">
        <v>-11.75456</v>
      </c>
      <c r="AF6606">
        <v>-0.93953979377576802</v>
      </c>
      <c r="AG6606">
        <v>-1.109840849954</v>
      </c>
      <c r="AH6606">
        <v>11.653133750823899</v>
      </c>
      <c r="AI6606">
        <v>95.422930761626006</v>
      </c>
      <c r="AJ6606">
        <v>94.609530373024199</v>
      </c>
      <c r="AK6606">
        <v>11.7435091838388</v>
      </c>
      <c r="AL6606">
        <v>90.8199792910019</v>
      </c>
      <c r="AM6606">
        <v>87.342186714218997</v>
      </c>
      <c r="AN6606">
        <v>1.00000000677074</v>
      </c>
    </row>
    <row r="6607" spans="1:40" x14ac:dyDescent="0.25">
      <c r="A6607" t="str">
        <f>"20190312160816931"</f>
        <v>20190312160816931</v>
      </c>
      <c r="B6607" t="str">
        <f>"1552378096922584"</f>
        <v>1552378096922584</v>
      </c>
      <c r="C6607" t="s">
        <v>40</v>
      </c>
      <c r="D6607">
        <v>6.2599210000000003</v>
      </c>
      <c r="E6607">
        <v>0.45174550000000002</v>
      </c>
      <c r="F6607" t="s">
        <v>47</v>
      </c>
      <c r="G6607">
        <v>-303.08710000000002</v>
      </c>
      <c r="H6607" s="1">
        <v>-3.7939359999999999E-6</v>
      </c>
      <c r="I6607">
        <v>-23.473710000000001</v>
      </c>
      <c r="J6607">
        <v>-302.16609999999997</v>
      </c>
      <c r="K6607">
        <v>1.110247</v>
      </c>
      <c r="L6607">
        <v>-11.812290000000001</v>
      </c>
      <c r="M6607">
        <v>-0.1610171</v>
      </c>
      <c r="N6607">
        <v>0</v>
      </c>
      <c r="O6607">
        <v>-0.98685440000000002</v>
      </c>
      <c r="P6607">
        <v>-0.2043027</v>
      </c>
      <c r="Q6607">
        <v>-2.8256300000000002E-2</v>
      </c>
      <c r="R6607">
        <v>-0.97850040000000005</v>
      </c>
      <c r="S6607">
        <v>-0.24288940000000001</v>
      </c>
      <c r="T6607">
        <v>-0.28021629999999997</v>
      </c>
      <c r="U6607">
        <v>-3.0084230000000001</v>
      </c>
      <c r="V6607">
        <v>4.408865E-2</v>
      </c>
      <c r="W6607">
        <v>-1.4326119999999999E-2</v>
      </c>
      <c r="X6607">
        <v>0.9989249</v>
      </c>
      <c r="Y6607">
        <v>-8.1420409999999999E-2</v>
      </c>
      <c r="Z6607">
        <v>9.0634569999999998E-2</v>
      </c>
      <c r="AA6607">
        <v>0.9925503</v>
      </c>
      <c r="AB6607">
        <v>26</v>
      </c>
      <c r="AC6607">
        <v>-0.921000000000049</v>
      </c>
      <c r="AD6607">
        <v>-1.110250793936</v>
      </c>
      <c r="AE6607">
        <v>-11.66142</v>
      </c>
      <c r="AF6607">
        <v>-0.96023805917351801</v>
      </c>
      <c r="AG6607">
        <v>-1.110250793936</v>
      </c>
      <c r="AH6607">
        <v>11.553462818468301</v>
      </c>
      <c r="AI6607">
        <v>95.470339701661899</v>
      </c>
      <c r="AJ6607">
        <v>94.751080241577597</v>
      </c>
      <c r="AK6607">
        <v>11.646339212535899</v>
      </c>
      <c r="AL6607">
        <v>90.820854291734804</v>
      </c>
      <c r="AM6607">
        <v>87.472827826156902</v>
      </c>
      <c r="AN6607">
        <v>1.00000000130654</v>
      </c>
    </row>
    <row r="6608" spans="1:40" x14ac:dyDescent="0.25">
      <c r="A6608" t="str">
        <f>"20190312160816953"</f>
        <v>20190312160816953</v>
      </c>
      <c r="B6608" t="str">
        <f>"1552378096942105"</f>
        <v>1552378096942105</v>
      </c>
      <c r="C6608" t="s">
        <v>40</v>
      </c>
      <c r="D6608">
        <v>6.2233539999999996</v>
      </c>
      <c r="E6608">
        <v>0.45147520000000002</v>
      </c>
      <c r="F6608" t="s">
        <v>47</v>
      </c>
      <c r="G6608">
        <v>-303.06659999999999</v>
      </c>
      <c r="H6608" s="1">
        <v>-3.713595E-6</v>
      </c>
      <c r="I6608">
        <v>-23.656379999999999</v>
      </c>
      <c r="J6608">
        <v>-302.20670000000001</v>
      </c>
      <c r="K6608">
        <v>1.110668</v>
      </c>
      <c r="L6608">
        <v>-12.069610000000001</v>
      </c>
      <c r="M6608">
        <v>-0.159514299999999</v>
      </c>
      <c r="N6608">
        <v>0</v>
      </c>
      <c r="O6608">
        <v>-0.98709789999999997</v>
      </c>
      <c r="P6608">
        <v>-0.20039699999999999</v>
      </c>
      <c r="Q6608">
        <v>-2.764192E-2</v>
      </c>
      <c r="R6608">
        <v>-0.97932490000000005</v>
      </c>
      <c r="S6608">
        <v>-0.22885130000000001</v>
      </c>
      <c r="T6608">
        <v>-0.28215170000000001</v>
      </c>
      <c r="U6608">
        <v>-3.009979</v>
      </c>
      <c r="V6608">
        <v>4.1634039999999997E-2</v>
      </c>
      <c r="W6608">
        <v>-1.365569E-2</v>
      </c>
      <c r="X6608">
        <v>0.99903960000000003</v>
      </c>
      <c r="Y6608">
        <v>-8.4548639999999994E-2</v>
      </c>
      <c r="Z6608">
        <v>9.1246510000000003E-2</v>
      </c>
      <c r="AA6608">
        <v>0.99223260000000002</v>
      </c>
      <c r="AB6608">
        <v>26</v>
      </c>
      <c r="AC6608">
        <v>-0.85989999999998101</v>
      </c>
      <c r="AD6608">
        <v>-1.1106717135949999</v>
      </c>
      <c r="AE6608">
        <v>-11.5867699999999</v>
      </c>
      <c r="AF6608">
        <v>-0.99049509000525104</v>
      </c>
      <c r="AG6608">
        <v>-1.1106717135949999</v>
      </c>
      <c r="AH6608">
        <v>11.470737303164499</v>
      </c>
      <c r="AI6608">
        <v>95.510133594138907</v>
      </c>
      <c r="AJ6608">
        <v>94.935233336092494</v>
      </c>
      <c r="AK6608">
        <v>11.5668702100833</v>
      </c>
      <c r="AL6608">
        <v>90.782437725044105</v>
      </c>
      <c r="AM6608">
        <v>87.613632881419605</v>
      </c>
      <c r="AN6608">
        <v>0.99999999676212803</v>
      </c>
    </row>
    <row r="6609" spans="1:40" x14ac:dyDescent="0.25">
      <c r="A6609" t="str">
        <f>"20190312160816978"</f>
        <v>20190312160816978</v>
      </c>
      <c r="B6609" t="str">
        <f>"1552378096972361"</f>
        <v>1552378096972361</v>
      </c>
      <c r="C6609" t="s">
        <v>40</v>
      </c>
      <c r="D6609">
        <v>6.2603549999999997</v>
      </c>
      <c r="E6609">
        <v>0.45074019999999998</v>
      </c>
      <c r="F6609" t="s">
        <v>47</v>
      </c>
      <c r="G6609">
        <v>-303.05759999999998</v>
      </c>
      <c r="H6609" s="1">
        <v>-3.5624060000000001E-6</v>
      </c>
      <c r="I6609">
        <v>-24.003209999999999</v>
      </c>
      <c r="J6609">
        <v>-302.24939999999998</v>
      </c>
      <c r="K6609">
        <v>1.1110869999999999</v>
      </c>
      <c r="L6609">
        <v>-12.347720000000001</v>
      </c>
      <c r="M6609">
        <v>-0.15729270000000001</v>
      </c>
      <c r="N6609">
        <v>0</v>
      </c>
      <c r="O6609">
        <v>-0.9874541</v>
      </c>
      <c r="P6609">
        <v>-0.19579530000000001</v>
      </c>
      <c r="Q6609">
        <v>-2.7498359999999999E-2</v>
      </c>
      <c r="R6609">
        <v>-0.9802592</v>
      </c>
      <c r="S6609">
        <v>-0.21472169999999999</v>
      </c>
      <c r="T6609">
        <v>-0.28028069999999999</v>
      </c>
      <c r="U6609">
        <v>-3.0114749999999999</v>
      </c>
      <c r="V6609">
        <v>3.9202710000000002E-2</v>
      </c>
      <c r="W6609">
        <v>-1.345793E-2</v>
      </c>
      <c r="X6609">
        <v>0.99914060000000005</v>
      </c>
      <c r="Y6609">
        <v>-8.6969729999999995E-2</v>
      </c>
      <c r="Z6609">
        <v>9.0656870000000001E-2</v>
      </c>
      <c r="AA6609">
        <v>0.9920774</v>
      </c>
      <c r="AB6609">
        <v>26</v>
      </c>
      <c r="AC6609">
        <v>-0.80819999999999903</v>
      </c>
      <c r="AD6609">
        <v>-1.1110905624059999</v>
      </c>
      <c r="AE6609">
        <v>-11.655489999999901</v>
      </c>
      <c r="AF6609">
        <v>-1.0260834427110199</v>
      </c>
      <c r="AG6609">
        <v>-1.1110905624059999</v>
      </c>
      <c r="AH6609">
        <v>11.5332058813307</v>
      </c>
      <c r="AI6609">
        <v>95.481283958293105</v>
      </c>
      <c r="AJ6609">
        <v>95.084091137700995</v>
      </c>
      <c r="AK6609">
        <v>11.6319477032196</v>
      </c>
      <c r="AL6609">
        <v>90.771105903652895</v>
      </c>
      <c r="AM6609">
        <v>87.753070744283605</v>
      </c>
      <c r="AN6609">
        <v>0.99999995345979298</v>
      </c>
    </row>
    <row r="6610" spans="1:40" x14ac:dyDescent="0.25">
      <c r="A6610" t="str">
        <f>"20190312160817021"</f>
        <v>20190312160817021</v>
      </c>
      <c r="B6610" t="str">
        <f>"1552378097012416"</f>
        <v>1552378097012416</v>
      </c>
      <c r="C6610" t="s">
        <v>40</v>
      </c>
      <c r="D6610">
        <v>6.2790249999999999</v>
      </c>
      <c r="E6610">
        <v>0.45063969999999998</v>
      </c>
      <c r="F6610" t="s">
        <v>47</v>
      </c>
      <c r="G6610">
        <v>-303.01749999999998</v>
      </c>
      <c r="H6610" s="1">
        <v>-3.461322E-6</v>
      </c>
      <c r="I6610">
        <v>-24.21397</v>
      </c>
      <c r="J6610">
        <v>-302.32299999999998</v>
      </c>
      <c r="K6610">
        <v>1.1116629999999901</v>
      </c>
      <c r="L6610">
        <v>-12.848330000000001</v>
      </c>
      <c r="M6610">
        <v>-0.15210850000000001</v>
      </c>
      <c r="N6610">
        <v>0</v>
      </c>
      <c r="O6610">
        <v>-0.98826550000000002</v>
      </c>
      <c r="P6610">
        <v>-0.18494150000000001</v>
      </c>
      <c r="Q6610">
        <v>-2.908316E-2</v>
      </c>
      <c r="R6610">
        <v>-0.98231919999999995</v>
      </c>
      <c r="S6610">
        <v>-0.1950684</v>
      </c>
      <c r="T6610">
        <v>-0.28216930000000001</v>
      </c>
      <c r="U6610">
        <v>-3.0135190000000001</v>
      </c>
      <c r="V6610">
        <v>3.3429130000000001E-2</v>
      </c>
      <c r="W6610">
        <v>-1.498121E-2</v>
      </c>
      <c r="X6610">
        <v>0.99932880000000002</v>
      </c>
      <c r="Y6610">
        <v>-8.8233339999999993E-2</v>
      </c>
      <c r="Z6610">
        <v>9.1328629999999994E-2</v>
      </c>
      <c r="AA6610">
        <v>0.99190420000000001</v>
      </c>
      <c r="AB6610">
        <v>26</v>
      </c>
      <c r="AC6610">
        <v>-0.694500000000005</v>
      </c>
      <c r="AD6610">
        <v>-1.11166646132199</v>
      </c>
      <c r="AE6610">
        <v>-11.365640000000001</v>
      </c>
      <c r="AF6610">
        <v>-1.0327184210373099</v>
      </c>
      <c r="AG6610">
        <v>-1.11166646132199</v>
      </c>
      <c r="AH6610">
        <v>11.231958099784</v>
      </c>
      <c r="AI6610">
        <v>95.628767940817696</v>
      </c>
      <c r="AJ6610">
        <v>95.253270042584603</v>
      </c>
      <c r="AK6610">
        <v>11.3339839603593</v>
      </c>
      <c r="AL6610">
        <v>90.858392218774298</v>
      </c>
      <c r="AM6610">
        <v>88.084079923542205</v>
      </c>
      <c r="AN6610">
        <v>0.99999999694752995</v>
      </c>
    </row>
    <row r="6611" spans="1:40" x14ac:dyDescent="0.25">
      <c r="A6611" t="str">
        <f>"20190312160817042"</f>
        <v>20190312160817042</v>
      </c>
      <c r="B6611" t="str">
        <f>"1552378097031936"</f>
        <v>1552378097031936</v>
      </c>
      <c r="C6611" t="s">
        <v>40</v>
      </c>
      <c r="D6611">
        <v>6.3185169999999999</v>
      </c>
      <c r="E6611">
        <v>0.45076430000000001</v>
      </c>
      <c r="F6611" t="s">
        <v>47</v>
      </c>
      <c r="G6611">
        <v>-302.9461</v>
      </c>
      <c r="H6611" s="1">
        <v>-3.3383459999999999E-6</v>
      </c>
      <c r="I6611">
        <v>-24.45635</v>
      </c>
      <c r="J6611">
        <v>-302.3571</v>
      </c>
      <c r="K6611">
        <v>1.1118410000000001</v>
      </c>
      <c r="L6611">
        <v>-13.08963</v>
      </c>
      <c r="M6611">
        <v>-0.14921889999999999</v>
      </c>
      <c r="N6611">
        <v>0</v>
      </c>
      <c r="O6611">
        <v>-0.98870559999999996</v>
      </c>
      <c r="P6611">
        <v>-0.18116009999999999</v>
      </c>
      <c r="Q6611">
        <v>-3.1890370000000001E-2</v>
      </c>
      <c r="R6611">
        <v>-0.98293649999999999</v>
      </c>
      <c r="S6611">
        <v>-0.1618347</v>
      </c>
      <c r="T6611">
        <v>-0.2887362</v>
      </c>
      <c r="U6611">
        <v>-3.0149840000000001</v>
      </c>
      <c r="V6611">
        <v>3.2539470000000001E-2</v>
      </c>
      <c r="W6611">
        <v>-1.7767479999999999E-2</v>
      </c>
      <c r="X6611">
        <v>0.99931250000000005</v>
      </c>
      <c r="Y6611">
        <v>-9.6255129999999994E-2</v>
      </c>
      <c r="Z6611">
        <v>9.3447089999999997E-2</v>
      </c>
      <c r="AA6611">
        <v>0.99096039999999996</v>
      </c>
      <c r="AB6611">
        <v>26</v>
      </c>
      <c r="AC6611">
        <v>-0.58899999999999797</v>
      </c>
      <c r="AD6611">
        <v>-1.1118443383459999</v>
      </c>
      <c r="AE6611">
        <v>-11.3667199999999</v>
      </c>
      <c r="AF6611">
        <v>-1.1033618316853799</v>
      </c>
      <c r="AG6611">
        <v>-1.1118443383459999</v>
      </c>
      <c r="AH6611">
        <v>11.2202667140554</v>
      </c>
      <c r="AI6611">
        <v>95.632117664614498</v>
      </c>
      <c r="AJ6611">
        <v>95.616210200983403</v>
      </c>
      <c r="AK6611">
        <v>11.3290772042065</v>
      </c>
      <c r="AL6611">
        <v>91.018055198908598</v>
      </c>
      <c r="AM6611">
        <v>88.135002012594995</v>
      </c>
      <c r="AN6611">
        <v>0.99999998655484001</v>
      </c>
    </row>
    <row r="6612" spans="1:40" x14ac:dyDescent="0.25">
      <c r="A6612" t="str">
        <f>"20190312160817064"</f>
        <v>20190312160817064</v>
      </c>
      <c r="B6612" t="str">
        <f>"1552378097052432"</f>
        <v>1552378097052432</v>
      </c>
      <c r="C6612" t="s">
        <v>40</v>
      </c>
      <c r="D6612">
        <v>6.3391630000000001</v>
      </c>
      <c r="E6612">
        <v>0.45093889999999998</v>
      </c>
      <c r="F6612" t="s">
        <v>47</v>
      </c>
      <c r="G6612">
        <v>-302.91849999999999</v>
      </c>
      <c r="H6612" s="1">
        <v>-3.3929140000000001E-6</v>
      </c>
      <c r="I6612">
        <v>-24.312049999999999</v>
      </c>
      <c r="J6612">
        <v>-302.39179999999999</v>
      </c>
      <c r="K6612">
        <v>1.1119730000000001</v>
      </c>
      <c r="L6612">
        <v>-13.3429</v>
      </c>
      <c r="M6612">
        <v>-0.14599719999999999</v>
      </c>
      <c r="N6612">
        <v>0</v>
      </c>
      <c r="O6612">
        <v>-0.98918649999999997</v>
      </c>
      <c r="P6612">
        <v>-0.17869679999999999</v>
      </c>
      <c r="Q6612">
        <v>-3.3928989999999999E-2</v>
      </c>
      <c r="R6612">
        <v>-0.98331930000000001</v>
      </c>
      <c r="S6612">
        <v>-0.15081789999999901</v>
      </c>
      <c r="T6612">
        <v>-0.29866579999999998</v>
      </c>
      <c r="U6612">
        <v>-3.0145870000000001</v>
      </c>
      <c r="V6612">
        <v>3.3317840000000001E-2</v>
      </c>
      <c r="W6612">
        <v>-1.9782810000000001E-2</v>
      </c>
      <c r="X6612">
        <v>0.99924900000000005</v>
      </c>
      <c r="Y6612">
        <v>-9.6632789999999996E-2</v>
      </c>
      <c r="Z6612">
        <v>9.6720669999999995E-2</v>
      </c>
      <c r="AA6612">
        <v>0.99060950000000003</v>
      </c>
      <c r="AB6612">
        <v>26</v>
      </c>
      <c r="AC6612">
        <v>-0.52670000000000505</v>
      </c>
      <c r="AD6612">
        <v>-1.1119763929140001</v>
      </c>
      <c r="AE6612">
        <v>-10.969150000000001</v>
      </c>
      <c r="AF6612">
        <v>-1.0695995013162201</v>
      </c>
      <c r="AG6612">
        <v>-1.1119763929140001</v>
      </c>
      <c r="AH6612">
        <v>10.8175855856382</v>
      </c>
      <c r="AI6612">
        <v>95.840731182441601</v>
      </c>
      <c r="AJ6612">
        <v>95.646822761588297</v>
      </c>
      <c r="AK6612">
        <v>10.9270623908817</v>
      </c>
      <c r="AL6612">
        <v>91.1335454642672</v>
      </c>
      <c r="AM6612">
        <v>88.090301161751498</v>
      </c>
      <c r="AN6612">
        <v>1.00000000101738</v>
      </c>
    </row>
    <row r="6613" spans="1:40" x14ac:dyDescent="0.25">
      <c r="A6613" t="str">
        <f>"20190312160817087"</f>
        <v>20190312160817087</v>
      </c>
      <c r="B6613" t="str">
        <f>"1552378097081717"</f>
        <v>1552378097081717</v>
      </c>
      <c r="C6613" t="s">
        <v>40</v>
      </c>
      <c r="D6613">
        <v>6.3522819999999998</v>
      </c>
      <c r="E6613">
        <v>0.45103359999999898</v>
      </c>
      <c r="F6613" t="s">
        <v>47</v>
      </c>
      <c r="G6613">
        <v>-302.91879999999998</v>
      </c>
      <c r="H6613" s="1">
        <v>-3.3882340000000001E-6</v>
      </c>
      <c r="I6613">
        <v>-24.32311</v>
      </c>
      <c r="J6613">
        <v>-302.42599999999999</v>
      </c>
      <c r="K6613">
        <v>1.11208</v>
      </c>
      <c r="L6613">
        <v>-13.599880000000001</v>
      </c>
      <c r="M6613">
        <v>-0.14256679999999999</v>
      </c>
      <c r="N6613">
        <v>0</v>
      </c>
      <c r="O6613">
        <v>-0.98968659999999997</v>
      </c>
      <c r="P6613">
        <v>-0.17522119999999999</v>
      </c>
      <c r="Q6613">
        <v>-3.3532489999999998E-2</v>
      </c>
      <c r="R6613">
        <v>-0.98395790000000005</v>
      </c>
      <c r="S6613">
        <v>-0.14465329999999901</v>
      </c>
      <c r="T6613">
        <v>-0.30523739999999999</v>
      </c>
      <c r="U6613">
        <v>-3.0140690000000001</v>
      </c>
      <c r="V6613">
        <v>3.3251780000000002E-2</v>
      </c>
      <c r="W6613">
        <v>-1.9369589999999999E-2</v>
      </c>
      <c r="X6613">
        <v>0.99925929999999996</v>
      </c>
      <c r="Y6613">
        <v>-9.5204990000000003E-2</v>
      </c>
      <c r="Z6613">
        <v>9.8931469999999994E-2</v>
      </c>
      <c r="AA6613">
        <v>0.9905294</v>
      </c>
      <c r="AB6613">
        <v>26</v>
      </c>
      <c r="AC6613">
        <v>-0.49279999999998803</v>
      </c>
      <c r="AD6613">
        <v>-1.112083388234</v>
      </c>
      <c r="AE6613">
        <v>-10.723229999999999</v>
      </c>
      <c r="AF6613">
        <v>-1.0301048608479699</v>
      </c>
      <c r="AG6613">
        <v>-1.112083388234</v>
      </c>
      <c r="AH6613">
        <v>10.5704870470581</v>
      </c>
      <c r="AI6613">
        <v>95.977681687097402</v>
      </c>
      <c r="AJ6613">
        <v>95.565957768170705</v>
      </c>
      <c r="AK6613">
        <v>10.678625468605601</v>
      </c>
      <c r="AL6613">
        <v>91.109865159492202</v>
      </c>
      <c r="AM6613">
        <v>88.0941043984961</v>
      </c>
      <c r="AN6613">
        <v>1.0000000052632101</v>
      </c>
    </row>
    <row r="6614" spans="1:40" x14ac:dyDescent="0.25">
      <c r="A6614" t="str">
        <f>"20190312160817110"</f>
        <v>20190312160817110</v>
      </c>
      <c r="B6614" t="str">
        <f>"1552378097102208"</f>
        <v>1552378097102208</v>
      </c>
      <c r="C6614" t="s">
        <v>40</v>
      </c>
      <c r="D6614">
        <v>6.4276589999999896</v>
      </c>
      <c r="E6614">
        <v>0.45197009999999999</v>
      </c>
      <c r="F6614" t="s">
        <v>47</v>
      </c>
      <c r="G6614">
        <v>-302.9162</v>
      </c>
      <c r="H6614" s="1">
        <v>-3.272951E-6</v>
      </c>
      <c r="I6614">
        <v>-24.590240000000001</v>
      </c>
      <c r="J6614">
        <v>-302.46039999999999</v>
      </c>
      <c r="K6614">
        <v>1.1121719999999999</v>
      </c>
      <c r="L6614">
        <v>-13.86725</v>
      </c>
      <c r="M6614">
        <v>-0.13887539999999901</v>
      </c>
      <c r="N6614">
        <v>0</v>
      </c>
      <c r="O6614">
        <v>-0.99021110000000001</v>
      </c>
      <c r="P6614">
        <v>-0.17043929999999999</v>
      </c>
      <c r="Q6614">
        <v>-3.1689380000000003E-2</v>
      </c>
      <c r="R6614">
        <v>-0.98485860000000003</v>
      </c>
      <c r="S6614">
        <v>-0.13446040000000001</v>
      </c>
      <c r="T6614">
        <v>-0.30503459999999899</v>
      </c>
      <c r="U6614">
        <v>-3.0145569999999999</v>
      </c>
      <c r="V6614">
        <v>3.2108440000000002E-2</v>
      </c>
      <c r="W6614">
        <v>-1.7516230000000001E-2</v>
      </c>
      <c r="X6614">
        <v>0.99933090000000002</v>
      </c>
      <c r="Y6614">
        <v>-9.4842640000000006E-2</v>
      </c>
      <c r="Z6614">
        <v>9.8938709999999999E-2</v>
      </c>
      <c r="AA6614">
        <v>0.99056350000000004</v>
      </c>
      <c r="AB6614">
        <v>26</v>
      </c>
      <c r="AC6614">
        <v>-0.45580000000000997</v>
      </c>
      <c r="AD6614">
        <v>-1.1121752729509999</v>
      </c>
      <c r="AE6614">
        <v>-10.7229899999999</v>
      </c>
      <c r="AF6614">
        <v>-1.02689582797551</v>
      </c>
      <c r="AG6614">
        <v>-1.1121752729509999</v>
      </c>
      <c r="AH6614">
        <v>10.5688774125828</v>
      </c>
      <c r="AI6614">
        <v>95.979241126373694</v>
      </c>
      <c r="AJ6614">
        <v>95.549566595940405</v>
      </c>
      <c r="AK6614">
        <v>10.6767325826528</v>
      </c>
      <c r="AL6614">
        <v>91.003657370856104</v>
      </c>
      <c r="AM6614">
        <v>88.159723233666597</v>
      </c>
      <c r="AN6614">
        <v>1.00000000896372</v>
      </c>
    </row>
    <row r="6615" spans="1:40" x14ac:dyDescent="0.25">
      <c r="A6615" t="str">
        <f>"20190312160817131"</f>
        <v>20190312160817131</v>
      </c>
      <c r="B6615" t="str">
        <f>"1552378097121727"</f>
        <v>1552378097121727</v>
      </c>
      <c r="C6615" t="s">
        <v>40</v>
      </c>
      <c r="D6615">
        <v>6.4647209999999999</v>
      </c>
      <c r="E6615">
        <v>0.45264120000000002</v>
      </c>
      <c r="F6615" t="s">
        <v>47</v>
      </c>
      <c r="G6615">
        <v>-302.84390000000002</v>
      </c>
      <c r="H6615" s="1">
        <v>-3.905857E-6</v>
      </c>
      <c r="I6615">
        <v>-23.018049999999999</v>
      </c>
      <c r="J6615">
        <v>-302.49079999999998</v>
      </c>
      <c r="K6615">
        <v>1.112241</v>
      </c>
      <c r="L6615">
        <v>-14.111050000000001</v>
      </c>
      <c r="M6615">
        <v>-0.13543259999999999</v>
      </c>
      <c r="N6615">
        <v>0</v>
      </c>
      <c r="O6615">
        <v>-0.99068780000000001</v>
      </c>
      <c r="P6615">
        <v>-0.166354</v>
      </c>
      <c r="Q6615">
        <v>-3.1703259999999997E-2</v>
      </c>
      <c r="R6615">
        <v>-0.9855564</v>
      </c>
      <c r="S6615">
        <v>-0.12625120000000001</v>
      </c>
      <c r="T6615">
        <v>-0.36613630000000003</v>
      </c>
      <c r="U6615">
        <v>-3.0125120000000001</v>
      </c>
      <c r="V6615">
        <v>3.1441330000000003E-2</v>
      </c>
      <c r="W6615">
        <v>-1.7521220000000001E-2</v>
      </c>
      <c r="X6615">
        <v>0.99935200000000002</v>
      </c>
      <c r="Y6615">
        <v>-9.4137180000000001E-2</v>
      </c>
      <c r="Z6615">
        <v>0.1186706</v>
      </c>
      <c r="AA6615">
        <v>0.98846120000000004</v>
      </c>
      <c r="AB6615">
        <v>26</v>
      </c>
      <c r="AC6615">
        <v>-0.35310000000003999</v>
      </c>
      <c r="AD6615">
        <v>-1.1122449058570001</v>
      </c>
      <c r="AE6615">
        <v>-8.9069999999999894</v>
      </c>
      <c r="AF6615">
        <v>-0.84343876855802402</v>
      </c>
      <c r="AG6615">
        <v>-1.1122449058570001</v>
      </c>
      <c r="AH6615">
        <v>8.7367251159860899</v>
      </c>
      <c r="AI6615">
        <v>97.221899629098701</v>
      </c>
      <c r="AJ6615">
        <v>95.514215681052903</v>
      </c>
      <c r="AK6615">
        <v>8.8475331838436002</v>
      </c>
      <c r="AL6615">
        <v>91.003943344593296</v>
      </c>
      <c r="AM6615">
        <v>88.197970805076196</v>
      </c>
      <c r="AN6615">
        <v>0.99999998514322797</v>
      </c>
    </row>
    <row r="6616" spans="1:40" x14ac:dyDescent="0.25">
      <c r="A6616" t="str">
        <f>"20190312160817178"</f>
        <v>20190312160817178</v>
      </c>
      <c r="B6616" t="str">
        <f>"1552378097172480"</f>
        <v>1552378097172480</v>
      </c>
      <c r="C6616" t="s">
        <v>40</v>
      </c>
      <c r="D6616">
        <v>6.4944879999999996</v>
      </c>
      <c r="E6616">
        <v>0.45180749999999997</v>
      </c>
      <c r="F6616" t="s">
        <v>47</v>
      </c>
      <c r="G6616">
        <v>-302.85820000000001</v>
      </c>
      <c r="H6616" s="1">
        <v>-3.785429E-6</v>
      </c>
      <c r="I6616">
        <v>-23.359660000000002</v>
      </c>
      <c r="J6616">
        <v>-302.5521</v>
      </c>
      <c r="K6616">
        <v>1.1123499999999999</v>
      </c>
      <c r="L6616">
        <v>-14.628170000000001</v>
      </c>
      <c r="M6616">
        <v>-0.12794030000000001</v>
      </c>
      <c r="N6616">
        <v>0</v>
      </c>
      <c r="O6616">
        <v>-0.99168310000000004</v>
      </c>
      <c r="P6616">
        <v>-0.15833939999999999</v>
      </c>
      <c r="Q6616">
        <v>-3.2451019999999997E-2</v>
      </c>
      <c r="R6616">
        <v>-0.98685149999999999</v>
      </c>
      <c r="S6616">
        <v>-0.1196289</v>
      </c>
      <c r="T6616">
        <v>-0.36223949999999999</v>
      </c>
      <c r="U6616">
        <v>-3.0121150000000001</v>
      </c>
      <c r="V6616">
        <v>3.0886319999999998E-2</v>
      </c>
      <c r="W6616">
        <v>-1.8252850000000001E-2</v>
      </c>
      <c r="X6616">
        <v>0.99935620000000003</v>
      </c>
      <c r="Y6616">
        <v>-8.876974E-2</v>
      </c>
      <c r="Z6616">
        <v>0.1176527</v>
      </c>
      <c r="AA6616">
        <v>0.98907920000000005</v>
      </c>
      <c r="AB6616">
        <v>26</v>
      </c>
      <c r="AC6616">
        <v>-0.30610000000001403</v>
      </c>
      <c r="AD6616">
        <v>-1.112353785429</v>
      </c>
      <c r="AE6616">
        <v>-8.7314899999999902</v>
      </c>
      <c r="AF6616">
        <v>-0.80065653136398196</v>
      </c>
      <c r="AG6616">
        <v>-1.112353785429</v>
      </c>
      <c r="AH6616">
        <v>8.5601283776699599</v>
      </c>
      <c r="AI6616">
        <v>97.372044651231505</v>
      </c>
      <c r="AJ6616">
        <v>95.343513495597307</v>
      </c>
      <c r="AK6616">
        <v>8.6691510349840204</v>
      </c>
      <c r="AL6616">
        <v>91.045869377705301</v>
      </c>
      <c r="AM6616">
        <v>88.229767676057705</v>
      </c>
      <c r="AN6616">
        <v>0.99999997288735198</v>
      </c>
    </row>
    <row r="6617" spans="1:40" x14ac:dyDescent="0.25">
      <c r="A6617" t="str">
        <f>"20190312160817199"</f>
        <v>20190312160817199</v>
      </c>
      <c r="B6617" t="str">
        <f>"1552378097192000"</f>
        <v>1552378097192000</v>
      </c>
      <c r="C6617" t="s">
        <v>40</v>
      </c>
      <c r="D6617">
        <v>6.3784479999999997</v>
      </c>
      <c r="E6617">
        <v>0.45211489999999999</v>
      </c>
      <c r="F6617" t="s">
        <v>47</v>
      </c>
      <c r="G6617">
        <v>-302.8143</v>
      </c>
      <c r="H6617" s="1">
        <v>-3.6572290000000001E-6</v>
      </c>
      <c r="I6617">
        <v>-23.631309999999999</v>
      </c>
      <c r="J6617">
        <v>-302.58100000000002</v>
      </c>
      <c r="K6617">
        <v>1.1123829999999999</v>
      </c>
      <c r="L6617">
        <v>-14.88611</v>
      </c>
      <c r="M6617">
        <v>-0.1241165</v>
      </c>
      <c r="N6617">
        <v>0</v>
      </c>
      <c r="O6617">
        <v>-0.99216879999999996</v>
      </c>
      <c r="P6617">
        <v>-0.1539324</v>
      </c>
      <c r="Q6617">
        <v>-3.0564729999999998E-2</v>
      </c>
      <c r="R6617">
        <v>-0.98760840000000005</v>
      </c>
      <c r="S6617">
        <v>-8.7768550000000001E-2</v>
      </c>
      <c r="T6617">
        <v>-0.37234070000000002</v>
      </c>
      <c r="U6617">
        <v>-3.0136409999999998</v>
      </c>
      <c r="V6617">
        <v>3.0259080000000001E-2</v>
      </c>
      <c r="W6617">
        <v>-1.636307E-2</v>
      </c>
      <c r="X6617">
        <v>0.99940810000000002</v>
      </c>
      <c r="Y6617">
        <v>-9.5402899999999999E-2</v>
      </c>
      <c r="Z6617">
        <v>0.1208973</v>
      </c>
      <c r="AA6617">
        <v>0.98806989999999995</v>
      </c>
      <c r="AB6617">
        <v>26</v>
      </c>
      <c r="AC6617">
        <v>-0.233300000000042</v>
      </c>
      <c r="AD6617">
        <v>-1.112386657229</v>
      </c>
      <c r="AE6617">
        <v>-8.7451999999999899</v>
      </c>
      <c r="AF6617">
        <v>-0.84044586466392701</v>
      </c>
      <c r="AG6617">
        <v>-1.112386657229</v>
      </c>
      <c r="AH6617">
        <v>8.5679954641102096</v>
      </c>
      <c r="AI6617">
        <v>97.362413563199596</v>
      </c>
      <c r="AJ6617">
        <v>95.602295461775697</v>
      </c>
      <c r="AK6617">
        <v>8.68068543374455</v>
      </c>
      <c r="AL6617">
        <v>90.9375767345242</v>
      </c>
      <c r="AM6617">
        <v>88.265785415693202</v>
      </c>
      <c r="AN6617">
        <v>0.999999956163939</v>
      </c>
    </row>
    <row r="6618" spans="1:40" x14ac:dyDescent="0.25">
      <c r="A6618" t="str">
        <f>"20190312160817223"</f>
        <v>20190312160817223</v>
      </c>
      <c r="B6618" t="str">
        <f>"1552378097212497"</f>
        <v>1552378097212497</v>
      </c>
      <c r="C6618" t="s">
        <v>40</v>
      </c>
      <c r="D6618">
        <v>6.218305</v>
      </c>
      <c r="E6618">
        <v>0.44743549999999899</v>
      </c>
      <c r="F6618" t="s">
        <v>47</v>
      </c>
      <c r="G6618">
        <v>-302.81790000000001</v>
      </c>
      <c r="H6618" s="1">
        <v>-3.4053529999999998E-6</v>
      </c>
      <c r="I6618">
        <v>-24.22063</v>
      </c>
      <c r="J6618">
        <v>-302.60969999999998</v>
      </c>
      <c r="K6618">
        <v>1.112393</v>
      </c>
      <c r="L6618">
        <v>-15.151820000000001</v>
      </c>
      <c r="M6618">
        <v>-0.1201376</v>
      </c>
      <c r="N6618">
        <v>0</v>
      </c>
      <c r="O6618">
        <v>-0.9926585</v>
      </c>
      <c r="P6618">
        <v>-0.148895</v>
      </c>
      <c r="Q6618">
        <v>-2.8136479999999998E-2</v>
      </c>
      <c r="R6618">
        <v>-0.98845280000000002</v>
      </c>
      <c r="S6618">
        <v>-7.6507569999999997E-2</v>
      </c>
      <c r="T6618">
        <v>-0.3592457</v>
      </c>
      <c r="U6618">
        <v>-3.0145870000000001</v>
      </c>
      <c r="V6618">
        <v>2.9146640000000001E-2</v>
      </c>
      <c r="W6618">
        <v>-1.3935980000000001E-2</v>
      </c>
      <c r="X6618">
        <v>0.99947799999999998</v>
      </c>
      <c r="Y6618">
        <v>-9.50965E-2</v>
      </c>
      <c r="Z6618">
        <v>0.1167636</v>
      </c>
      <c r="AA6618">
        <v>0.98859640000000004</v>
      </c>
      <c r="AB6618">
        <v>26</v>
      </c>
      <c r="AC6618">
        <v>-0.208200000000033</v>
      </c>
      <c r="AD6618">
        <v>-1.112396405353</v>
      </c>
      <c r="AE6618">
        <v>-9.0688099999999991</v>
      </c>
      <c r="AF6618">
        <v>-0.86983949017928297</v>
      </c>
      <c r="AG6618">
        <v>-1.112396405353</v>
      </c>
      <c r="AH6618">
        <v>8.8943755433703906</v>
      </c>
      <c r="AI6618">
        <v>97.0953163102389</v>
      </c>
      <c r="AJ6618">
        <v>95.585569238654202</v>
      </c>
      <c r="AK6618">
        <v>9.0057738594649894</v>
      </c>
      <c r="AL6618">
        <v>90.798498680826796</v>
      </c>
      <c r="AM6618">
        <v>88.329621753596101</v>
      </c>
      <c r="AN6618">
        <v>1.0000000053229201</v>
      </c>
    </row>
    <row r="6619" spans="1:40" x14ac:dyDescent="0.25">
      <c r="A6619" t="str">
        <f>"20190312160817243"</f>
        <v>20190312160817243</v>
      </c>
      <c r="B6619" t="str">
        <f>"1552378097232016"</f>
        <v>1552378097232016</v>
      </c>
      <c r="C6619" t="s">
        <v>40</v>
      </c>
      <c r="D6619">
        <v>6.3235099999999997</v>
      </c>
      <c r="E6619">
        <v>0.45335189999999997</v>
      </c>
      <c r="F6619" t="s">
        <v>47</v>
      </c>
      <c r="G6619">
        <v>-302.77800000000002</v>
      </c>
      <c r="H6619" s="1">
        <v>-3.966843E-6</v>
      </c>
      <c r="I6619">
        <v>-32.804459999999999</v>
      </c>
      <c r="J6619">
        <v>-302.63400000000001</v>
      </c>
      <c r="K6619">
        <v>1.1124000000000001</v>
      </c>
      <c r="L6619">
        <v>-15.386380000000001</v>
      </c>
      <c r="M6619">
        <v>-0.11660429999999999</v>
      </c>
      <c r="N6619">
        <v>0</v>
      </c>
      <c r="O6619">
        <v>-0.99307970000000001</v>
      </c>
      <c r="P6619">
        <v>-0.14523079999999999</v>
      </c>
      <c r="Q6619">
        <v>-2.7357630000000001E-2</v>
      </c>
      <c r="R6619">
        <v>-0.9890198</v>
      </c>
      <c r="S6619">
        <v>-2.8839110000000001E-2</v>
      </c>
      <c r="T6619">
        <v>-0.19064010000000001</v>
      </c>
      <c r="U6619">
        <v>-3.0252690000000002</v>
      </c>
      <c r="V6619">
        <v>2.8991840000000001E-2</v>
      </c>
      <c r="W6619">
        <v>-1.3155089999999999E-2</v>
      </c>
      <c r="X6619">
        <v>0.99949310000000002</v>
      </c>
      <c r="Y6619">
        <v>-0.10716100000000001</v>
      </c>
      <c r="Z6619">
        <v>6.2065620000000002E-2</v>
      </c>
      <c r="AA6619">
        <v>0.99230249999999998</v>
      </c>
      <c r="AB6619">
        <v>26</v>
      </c>
      <c r="AC6619">
        <v>-0.14400000000000501</v>
      </c>
      <c r="AD6619">
        <v>-1.1124039668429999</v>
      </c>
      <c r="AE6619">
        <v>-17.41808</v>
      </c>
      <c r="AF6619">
        <v>-1.8805350780730801</v>
      </c>
      <c r="AG6619">
        <v>-1.1124039668429999</v>
      </c>
      <c r="AH6619">
        <v>17.245695351358801</v>
      </c>
      <c r="AI6619">
        <v>93.668964424086994</v>
      </c>
      <c r="AJ6619">
        <v>96.223158108100804</v>
      </c>
      <c r="AK6619">
        <v>17.383551504718199</v>
      </c>
      <c r="AL6619">
        <v>90.753752862349302</v>
      </c>
      <c r="AM6619">
        <v>88.338513359746003</v>
      </c>
      <c r="AN6619">
        <v>1.0000000200635499</v>
      </c>
    </row>
    <row r="6620" spans="1:40" x14ac:dyDescent="0.25">
      <c r="A6620" t="str">
        <f>"20190312160817265"</f>
        <v>20190312160817265</v>
      </c>
      <c r="B6620" t="str">
        <f>"1552378097252512"</f>
        <v>1552378097252512</v>
      </c>
      <c r="C6620" t="s">
        <v>40</v>
      </c>
      <c r="D6620">
        <v>6.4094300000000004</v>
      </c>
      <c r="E6620">
        <v>0.45402039999999999</v>
      </c>
      <c r="F6620" t="s">
        <v>47</v>
      </c>
      <c r="G6620">
        <v>-302.8254</v>
      </c>
      <c r="H6620" s="1">
        <v>-3.0574160000000002E-6</v>
      </c>
      <c r="I6620">
        <v>-25.036349999999999</v>
      </c>
      <c r="J6620">
        <v>-302.65899999999999</v>
      </c>
      <c r="K6620">
        <v>1.112395</v>
      </c>
      <c r="L6620">
        <v>-15.6348</v>
      </c>
      <c r="M6620">
        <v>-0.112849</v>
      </c>
      <c r="N6620">
        <v>0</v>
      </c>
      <c r="O6620">
        <v>-0.99351330000000004</v>
      </c>
      <c r="P6620">
        <v>-0.14333580000000001</v>
      </c>
      <c r="Q6620">
        <v>-2.713016E-2</v>
      </c>
      <c r="R6620">
        <v>-0.98930249999999997</v>
      </c>
      <c r="S6620">
        <v>-5.9783940000000001E-2</v>
      </c>
      <c r="T6620">
        <v>-0.34754620000000003</v>
      </c>
      <c r="U6620">
        <v>-3.014923</v>
      </c>
      <c r="V6620">
        <v>3.085272E-2</v>
      </c>
      <c r="W6620">
        <v>-1.2914449999999999E-2</v>
      </c>
      <c r="X6620">
        <v>0.99944049999999995</v>
      </c>
      <c r="Y6620">
        <v>-9.3265650000000005E-2</v>
      </c>
      <c r="Z6620">
        <v>0.1131621</v>
      </c>
      <c r="AA6620">
        <v>0.98918950000000005</v>
      </c>
      <c r="AB6620">
        <v>26</v>
      </c>
      <c r="AC6620">
        <v>-0.16640000000001001</v>
      </c>
      <c r="AD6620">
        <v>-1.112398057416</v>
      </c>
      <c r="AE6620">
        <v>-9.4015500000000003</v>
      </c>
      <c r="AF6620">
        <v>-0.88335989846344198</v>
      </c>
      <c r="AG6620">
        <v>-1.112398057416</v>
      </c>
      <c r="AH6620">
        <v>9.2310698150347292</v>
      </c>
      <c r="AI6620">
        <v>96.840393639445907</v>
      </c>
      <c r="AJ6620">
        <v>95.466229242883898</v>
      </c>
      <c r="AK6620">
        <v>9.3397218415968695</v>
      </c>
      <c r="AL6620">
        <v>90.739964054646705</v>
      </c>
      <c r="AM6620">
        <v>88.231841275253203</v>
      </c>
      <c r="AN6620">
        <v>0.99999999319522503</v>
      </c>
    </row>
    <row r="6621" spans="1:40" x14ac:dyDescent="0.25">
      <c r="A6621" t="str">
        <f>"20190312160817288"</f>
        <v>20190312160817288</v>
      </c>
      <c r="B6621" t="str">
        <f>"1552378097281792"</f>
        <v>1552378097281792</v>
      </c>
      <c r="C6621" t="s">
        <v>40</v>
      </c>
      <c r="D6621">
        <v>6.35921</v>
      </c>
      <c r="E6621">
        <v>0.45323580000000002</v>
      </c>
      <c r="F6621" t="s">
        <v>47</v>
      </c>
      <c r="G6621">
        <v>-302.86130000000003</v>
      </c>
      <c r="H6621" s="1">
        <v>-2.6778929999999998E-6</v>
      </c>
      <c r="I6621">
        <v>-25.943290000000001</v>
      </c>
      <c r="J6621">
        <v>-302.68439999999998</v>
      </c>
      <c r="K6621">
        <v>1.112395</v>
      </c>
      <c r="L6621">
        <v>-15.89902</v>
      </c>
      <c r="M6621">
        <v>-0.1088509</v>
      </c>
      <c r="N6621">
        <v>0</v>
      </c>
      <c r="O6621">
        <v>-0.99395919999999904</v>
      </c>
      <c r="P6621">
        <v>-0.14229439999999999</v>
      </c>
      <c r="Q6621">
        <v>-2.7770349999999999E-2</v>
      </c>
      <c r="R6621">
        <v>-0.98943499999999995</v>
      </c>
      <c r="S6621">
        <v>-5.9173580000000003E-2</v>
      </c>
      <c r="T6621">
        <v>-0.32534249999999998</v>
      </c>
      <c r="U6621">
        <v>-3.014923</v>
      </c>
      <c r="V6621">
        <v>3.382661E-2</v>
      </c>
      <c r="W6621">
        <v>-1.353615E-2</v>
      </c>
      <c r="X6621">
        <v>0.99933609999999995</v>
      </c>
      <c r="Y6621">
        <v>-8.9444289999999996E-2</v>
      </c>
      <c r="Z6621">
        <v>0.1061088</v>
      </c>
      <c r="AA6621">
        <v>0.99032350000000002</v>
      </c>
      <c r="AB6621">
        <v>26</v>
      </c>
      <c r="AC6621">
        <v>-0.17690000000004599</v>
      </c>
      <c r="AD6621">
        <v>-1.112397677893</v>
      </c>
      <c r="AE6621">
        <v>-10.044269999999999</v>
      </c>
      <c r="AF6621">
        <v>-0.90647181104136698</v>
      </c>
      <c r="AG6621">
        <v>-1.112397677893</v>
      </c>
      <c r="AH6621">
        <v>9.8826560649914708</v>
      </c>
      <c r="AI6621">
        <v>96.3955918272394</v>
      </c>
      <c r="AJ6621">
        <v>95.240705269125797</v>
      </c>
      <c r="AK6621">
        <v>9.9862911351966392</v>
      </c>
      <c r="AL6621">
        <v>90.775587910153405</v>
      </c>
      <c r="AM6621">
        <v>88.061330628519897</v>
      </c>
      <c r="AN6621">
        <v>1.0000000538320599</v>
      </c>
    </row>
    <row r="6622" spans="1:40" x14ac:dyDescent="0.25">
      <c r="A6622" t="str">
        <f>"20190312160817310"</f>
        <v>20190312160817310</v>
      </c>
      <c r="B6622" t="str">
        <f>"1552378097302288"</f>
        <v>1552378097302288</v>
      </c>
      <c r="C6622" t="s">
        <v>40</v>
      </c>
      <c r="D6622">
        <v>6.378603</v>
      </c>
      <c r="E6622">
        <v>0.4147922</v>
      </c>
      <c r="F6622" t="s">
        <v>47</v>
      </c>
      <c r="G6622">
        <v>-302.85820000000001</v>
      </c>
      <c r="H6622" s="1">
        <v>-2.4280159999999999E-6</v>
      </c>
      <c r="I6622">
        <v>-26.523859999999999</v>
      </c>
      <c r="J6622">
        <v>-302.70699999999999</v>
      </c>
      <c r="K6622">
        <v>1.112384</v>
      </c>
      <c r="L6622">
        <v>-16.144259999999999</v>
      </c>
      <c r="M6622">
        <v>-0.1051417</v>
      </c>
      <c r="N6622">
        <v>0</v>
      </c>
      <c r="O6622">
        <v>-0.99435839999999998</v>
      </c>
      <c r="P6622">
        <v>-0.14071839999999999</v>
      </c>
      <c r="Q6622">
        <v>-2.750439E-2</v>
      </c>
      <c r="R6622">
        <v>-0.98966770000000004</v>
      </c>
      <c r="S6622">
        <v>-4.9346920000000002E-2</v>
      </c>
      <c r="T6622">
        <v>-0.31577709999999998</v>
      </c>
      <c r="U6622">
        <v>-3.0160830000000001</v>
      </c>
      <c r="V6622">
        <v>3.5959989999999997E-2</v>
      </c>
      <c r="W6622">
        <v>-1.3257659999999999E-2</v>
      </c>
      <c r="X6622">
        <v>0.99926530000000002</v>
      </c>
      <c r="Y6622">
        <v>-8.8956019999999997E-2</v>
      </c>
      <c r="Z6622">
        <v>0.1030515</v>
      </c>
      <c r="AA6622">
        <v>0.99069030000000002</v>
      </c>
      <c r="AB6622">
        <v>26</v>
      </c>
      <c r="AC6622">
        <v>-0.15120000000001699</v>
      </c>
      <c r="AD6622">
        <v>-1.1123864280159901</v>
      </c>
      <c r="AE6622">
        <v>-10.3796</v>
      </c>
      <c r="AF6622">
        <v>-0.93039056988475199</v>
      </c>
      <c r="AG6622">
        <v>-1.1123864280159901</v>
      </c>
      <c r="AH6622">
        <v>10.220592351207401</v>
      </c>
      <c r="AI6622">
        <v>96.186116519223901</v>
      </c>
      <c r="AJ6622">
        <v>95.201355496134596</v>
      </c>
      <c r="AK6622">
        <v>10.322961696496</v>
      </c>
      <c r="AL6622">
        <v>90.759630208174499</v>
      </c>
      <c r="AM6622">
        <v>87.939018851093806</v>
      </c>
      <c r="AN6622">
        <v>1.0000000131067801</v>
      </c>
    </row>
    <row r="6623" spans="1:40" x14ac:dyDescent="0.25">
      <c r="A6623" t="str">
        <f>"20190312160817332"</f>
        <v>20190312160817332</v>
      </c>
      <c r="B6623" t="str">
        <f>"1552378097321808"</f>
        <v>1552378097321808</v>
      </c>
      <c r="C6623" t="s">
        <v>40</v>
      </c>
      <c r="D6623">
        <v>6.7262959999999996</v>
      </c>
      <c r="E6623">
        <v>0.41091450000000002</v>
      </c>
      <c r="F6623" t="s">
        <v>47</v>
      </c>
      <c r="G6623">
        <v>-301.57100000000003</v>
      </c>
      <c r="H6623" s="1">
        <v>-7.3229730000000001E-7</v>
      </c>
      <c r="I6623">
        <v>-29.678249999999998</v>
      </c>
      <c r="J6623">
        <v>-302.72930000000002</v>
      </c>
      <c r="K6623">
        <v>1.1123769999999999</v>
      </c>
      <c r="L6623">
        <v>-16.3949</v>
      </c>
      <c r="M6623">
        <v>-0.1013544</v>
      </c>
      <c r="N6623">
        <v>0</v>
      </c>
      <c r="O6623">
        <v>-0.99475170000000002</v>
      </c>
      <c r="P6623">
        <v>-0.13859399999999999</v>
      </c>
      <c r="Q6623">
        <v>-2.634392E-2</v>
      </c>
      <c r="R6623">
        <v>-0.98999910000000002</v>
      </c>
      <c r="S6623">
        <v>0.25692749999999998</v>
      </c>
      <c r="T6623">
        <v>-0.251577299999999</v>
      </c>
      <c r="U6623">
        <v>-3.0608520000000001</v>
      </c>
      <c r="V6623">
        <v>3.7608709999999997E-2</v>
      </c>
      <c r="W6623">
        <v>-1.2088120000000001E-2</v>
      </c>
      <c r="X6623">
        <v>0.99921939999999998</v>
      </c>
      <c r="Y6623">
        <v>-0.18394869999999999</v>
      </c>
      <c r="Z6623">
        <v>8.0442609999999998E-2</v>
      </c>
      <c r="AA6623">
        <v>0.97963860000000003</v>
      </c>
      <c r="AB6623">
        <v>26</v>
      </c>
      <c r="AC6623">
        <v>1.1583000000000501</v>
      </c>
      <c r="AD6623">
        <v>-1.1123777322973001</v>
      </c>
      <c r="AE6623">
        <v>-13.28335</v>
      </c>
      <c r="AF6623">
        <v>-2.4815211800091399</v>
      </c>
      <c r="AG6623">
        <v>-1.1123777322973001</v>
      </c>
      <c r="AH6623">
        <v>13.0069953728829</v>
      </c>
      <c r="AI6623">
        <v>94.801932687036199</v>
      </c>
      <c r="AJ6623">
        <v>100.80129257262</v>
      </c>
      <c r="AK6623">
        <v>13.288237664052399</v>
      </c>
      <c r="AL6623">
        <v>90.692615145076601</v>
      </c>
      <c r="AM6623">
        <v>87.844513732223902</v>
      </c>
      <c r="AN6623">
        <v>0.99999997352467795</v>
      </c>
    </row>
    <row r="6624" spans="1:40" x14ac:dyDescent="0.25">
      <c r="A6624" t="str">
        <f>"20190312160817354"</f>
        <v>20190312160817354</v>
      </c>
      <c r="B6624" t="str">
        <f>"1552378097342305"</f>
        <v>1552378097342305</v>
      </c>
      <c r="C6624" t="s">
        <v>40</v>
      </c>
      <c r="D6624">
        <v>6.3339030000000003</v>
      </c>
      <c r="E6624">
        <v>0.41094700000000001</v>
      </c>
      <c r="F6624" t="s">
        <v>47</v>
      </c>
      <c r="G6624">
        <v>-301.25200000000001</v>
      </c>
      <c r="H6624" s="1">
        <v>-4.0148820000000002E-6</v>
      </c>
      <c r="I6624">
        <v>-31.828600000000002</v>
      </c>
      <c r="J6624">
        <v>-302.75069999999999</v>
      </c>
      <c r="K6624">
        <v>1.1123719999999999</v>
      </c>
      <c r="L6624">
        <v>-16.647860000000001</v>
      </c>
      <c r="M6624">
        <v>-9.7537659999999998E-2</v>
      </c>
      <c r="N6624">
        <v>0</v>
      </c>
      <c r="O6624">
        <v>-0.99513320000000005</v>
      </c>
      <c r="P6624">
        <v>-0.13610120000000001</v>
      </c>
      <c r="Q6624">
        <v>-2.565576E-2</v>
      </c>
      <c r="R6624">
        <v>-0.99036279999999999</v>
      </c>
      <c r="S6624">
        <v>0.29342649999999998</v>
      </c>
      <c r="T6624">
        <v>-0.22094459999999999</v>
      </c>
      <c r="U6624">
        <v>-3.0654910000000002</v>
      </c>
      <c r="V6624">
        <v>3.8919370000000002E-2</v>
      </c>
      <c r="W6624">
        <v>-1.139366E-2</v>
      </c>
      <c r="X6624">
        <v>0.99917739999999999</v>
      </c>
      <c r="Y6624">
        <v>-0.1916919</v>
      </c>
      <c r="Z6624">
        <v>7.0546310000000001E-2</v>
      </c>
      <c r="AA6624">
        <v>0.97891649999999997</v>
      </c>
      <c r="AB6624">
        <v>26</v>
      </c>
      <c r="AC6624">
        <v>1.4986999999999799</v>
      </c>
      <c r="AD6624">
        <v>-1.1123760148820001</v>
      </c>
      <c r="AE6624">
        <v>-15.18074</v>
      </c>
      <c r="AF6624">
        <v>-2.9566697640260999</v>
      </c>
      <c r="AG6624">
        <v>-1.1123760148820001</v>
      </c>
      <c r="AH6624">
        <v>14.883007489093901</v>
      </c>
      <c r="AI6624">
        <v>94.192781180326904</v>
      </c>
      <c r="AJ6624">
        <v>101.236132655305</v>
      </c>
      <c r="AK6624">
        <v>15.214571581625799</v>
      </c>
      <c r="AL6624">
        <v>90.652822753036403</v>
      </c>
      <c r="AM6624">
        <v>87.769376172946295</v>
      </c>
      <c r="AN6624">
        <v>1.0000000047600699</v>
      </c>
    </row>
    <row r="6625" spans="1:40" x14ac:dyDescent="0.25">
      <c r="A6625" t="str">
        <f>"20190312160817379"</f>
        <v>20190312160817379</v>
      </c>
      <c r="B6625" t="str">
        <f>"1552378097372560"</f>
        <v>1552378097372560</v>
      </c>
      <c r="C6625" t="s">
        <v>40</v>
      </c>
      <c r="D6625">
        <v>6.3525510000000001</v>
      </c>
      <c r="E6625">
        <v>0.41085690000000002</v>
      </c>
      <c r="F6625" t="s">
        <v>47</v>
      </c>
      <c r="G6625">
        <v>-301.25310000000002</v>
      </c>
      <c r="H6625" s="1">
        <v>-3.9888389999999998E-6</v>
      </c>
      <c r="I6625">
        <v>-31.889970000000002</v>
      </c>
      <c r="J6625">
        <v>-302.77249999999998</v>
      </c>
      <c r="K6625">
        <v>1.112355</v>
      </c>
      <c r="L6625">
        <v>-16.917909999999999</v>
      </c>
      <c r="M6625">
        <v>-9.3466569999999999E-2</v>
      </c>
      <c r="N6625">
        <v>0</v>
      </c>
      <c r="O6625">
        <v>-0.99552379999999996</v>
      </c>
      <c r="P6625">
        <v>-0.13367519999999999</v>
      </c>
      <c r="Q6625">
        <v>-2.6002529999999999E-2</v>
      </c>
      <c r="R6625">
        <v>-0.99068420000000001</v>
      </c>
      <c r="S6625">
        <v>0.30114750000000001</v>
      </c>
      <c r="T6625">
        <v>-0.2236698</v>
      </c>
      <c r="U6625">
        <v>-3.0647890000000002</v>
      </c>
      <c r="V6625">
        <v>4.0561279999999998E-2</v>
      </c>
      <c r="W6625">
        <v>-1.173303E-2</v>
      </c>
      <c r="X6625">
        <v>0.99910810000000005</v>
      </c>
      <c r="Y6625">
        <v>-0.19013559999999999</v>
      </c>
      <c r="Z6625">
        <v>7.1473030000000007E-2</v>
      </c>
      <c r="AA6625">
        <v>0.97915269999999999</v>
      </c>
      <c r="AB6625">
        <v>26</v>
      </c>
      <c r="AC6625">
        <v>1.5193999999999599</v>
      </c>
      <c r="AD6625">
        <v>-1.112358988839</v>
      </c>
      <c r="AE6625">
        <v>-14.972060000000001</v>
      </c>
      <c r="AF6625">
        <v>-2.8964469425483101</v>
      </c>
      <c r="AG6625">
        <v>-1.112358988839</v>
      </c>
      <c r="AH6625">
        <v>14.684250109553799</v>
      </c>
      <c r="AI6625">
        <v>94.250399988501002</v>
      </c>
      <c r="AJ6625">
        <v>101.15826905935801</v>
      </c>
      <c r="AK6625">
        <v>15.0084625691967</v>
      </c>
      <c r="AL6625">
        <v>90.672268566405606</v>
      </c>
      <c r="AM6625">
        <v>87.6752118709054</v>
      </c>
      <c r="AN6625">
        <v>0.99999993845691204</v>
      </c>
    </row>
    <row r="6626" spans="1:40" x14ac:dyDescent="0.25">
      <c r="A6626" t="str">
        <f>"20190312160817402"</f>
        <v>20190312160817402</v>
      </c>
      <c r="B6626" t="str">
        <f>"1552378097392080"</f>
        <v>1552378097392080</v>
      </c>
      <c r="C6626" t="s">
        <v>40</v>
      </c>
      <c r="D6626">
        <v>6.3440979999999998</v>
      </c>
      <c r="E6626">
        <v>0.41106199999999998</v>
      </c>
      <c r="F6626" t="s">
        <v>47</v>
      </c>
      <c r="G6626">
        <v>-301.2912</v>
      </c>
      <c r="H6626" s="1">
        <v>-4.1321940000000003E-6</v>
      </c>
      <c r="I6626">
        <v>-31.543620000000001</v>
      </c>
      <c r="J6626">
        <v>-302.79250000000002</v>
      </c>
      <c r="K6626">
        <v>1.112344</v>
      </c>
      <c r="L6626">
        <v>-17.179960000000001</v>
      </c>
      <c r="M6626">
        <v>-8.9518609999999998E-2</v>
      </c>
      <c r="N6626">
        <v>0</v>
      </c>
      <c r="O6626">
        <v>-0.99588639999999995</v>
      </c>
      <c r="P6626">
        <v>-0.13084609999999999</v>
      </c>
      <c r="Q6626">
        <v>-2.6392470000000001E-2</v>
      </c>
      <c r="R6626">
        <v>-0.99105140000000003</v>
      </c>
      <c r="S6626">
        <v>0.31030269999999999</v>
      </c>
      <c r="T6626">
        <v>-0.23302980000000001</v>
      </c>
      <c r="U6626">
        <v>-3.063965</v>
      </c>
      <c r="V6626">
        <v>4.1672889999999997E-2</v>
      </c>
      <c r="W6626">
        <v>-1.211894E-2</v>
      </c>
      <c r="X6626">
        <v>0.9990578</v>
      </c>
      <c r="Y6626">
        <v>-0.18914320000000001</v>
      </c>
      <c r="Z6626">
        <v>7.4504550000000003E-2</v>
      </c>
      <c r="AA6626">
        <v>0.97911890000000001</v>
      </c>
      <c r="AB6626">
        <v>25</v>
      </c>
      <c r="AC6626">
        <v>1.5013000000000101</v>
      </c>
      <c r="AD6626">
        <v>-1.1123481321940001</v>
      </c>
      <c r="AE6626">
        <v>-14.363659999999999</v>
      </c>
      <c r="AF6626">
        <v>-2.7648106314379302</v>
      </c>
      <c r="AG6626">
        <v>-1.1123481321940001</v>
      </c>
      <c r="AH6626">
        <v>14.0879971510817</v>
      </c>
      <c r="AI6626">
        <v>94.430379225445606</v>
      </c>
      <c r="AJ6626">
        <v>101.103350226788</v>
      </c>
      <c r="AK6626">
        <v>14.399762495395301</v>
      </c>
      <c r="AL6626">
        <v>90.694381116810703</v>
      </c>
      <c r="AM6626">
        <v>87.611452129960099</v>
      </c>
      <c r="AN6626">
        <v>0.99999999310425702</v>
      </c>
    </row>
    <row r="6627" spans="1:40" x14ac:dyDescent="0.25">
      <c r="A6627" t="str">
        <f>"20190312160817424"</f>
        <v>20190312160817424</v>
      </c>
      <c r="B6627" t="str">
        <f>"1552378097412577"</f>
        <v>1552378097412577</v>
      </c>
      <c r="C6627" t="s">
        <v>40</v>
      </c>
      <c r="D6627">
        <v>6.3548450000000001</v>
      </c>
      <c r="E6627">
        <v>0.41087259999999998</v>
      </c>
      <c r="F6627" t="s">
        <v>47</v>
      </c>
      <c r="G6627">
        <v>-301.29129999999998</v>
      </c>
      <c r="H6627" s="1">
        <v>-4.090765E-6</v>
      </c>
      <c r="I6627">
        <v>-31.665369999999999</v>
      </c>
      <c r="J6627">
        <v>-302.81049999999999</v>
      </c>
      <c r="K6627">
        <v>1.112333</v>
      </c>
      <c r="L6627">
        <v>-17.428619999999999</v>
      </c>
      <c r="M6627">
        <v>-8.5774050000000004E-2</v>
      </c>
      <c r="N6627">
        <v>0</v>
      </c>
      <c r="O6627">
        <v>-0.99621590000000004</v>
      </c>
      <c r="P6627">
        <v>-0.1286631</v>
      </c>
      <c r="Q6627">
        <v>-2.6947530000000001E-2</v>
      </c>
      <c r="R6627">
        <v>-0.99132220000000004</v>
      </c>
      <c r="S6627">
        <v>0.31741329999999901</v>
      </c>
      <c r="T6627">
        <v>-0.23519109999999999</v>
      </c>
      <c r="U6627">
        <v>-3.0627439999999999</v>
      </c>
      <c r="V6627">
        <v>4.3232479999999997E-2</v>
      </c>
      <c r="W6627">
        <v>-1.266749E-2</v>
      </c>
      <c r="X6627">
        <v>0.99898480000000001</v>
      </c>
      <c r="Y6627">
        <v>-0.1877346</v>
      </c>
      <c r="Z6627">
        <v>7.5260469999999996E-2</v>
      </c>
      <c r="AA6627">
        <v>0.97933219999999999</v>
      </c>
      <c r="AB6627">
        <v>25</v>
      </c>
      <c r="AC6627">
        <v>1.5192000000000101</v>
      </c>
      <c r="AD6627">
        <v>-1.1123370907650001</v>
      </c>
      <c r="AE6627">
        <v>-14.236750000000001</v>
      </c>
      <c r="AF6627">
        <v>-2.7184558637455201</v>
      </c>
      <c r="AG6627">
        <v>-1.1123370907650001</v>
      </c>
      <c r="AH6627">
        <v>13.969633297956699</v>
      </c>
      <c r="AI6627">
        <v>94.469108801026394</v>
      </c>
      <c r="AJ6627">
        <v>101.011991150432</v>
      </c>
      <c r="AK6627">
        <v>14.275081455669699</v>
      </c>
      <c r="AL6627">
        <v>90.725813074217498</v>
      </c>
      <c r="AM6627">
        <v>87.521990319649106</v>
      </c>
      <c r="AN6627">
        <v>1.00000007163044</v>
      </c>
    </row>
    <row r="6628" spans="1:40" x14ac:dyDescent="0.25">
      <c r="A6628" t="str">
        <f>"20190312160817444"</f>
        <v>20190312160817444</v>
      </c>
      <c r="B6628" t="str">
        <f>"1552378097441856"</f>
        <v>1552378097441856</v>
      </c>
      <c r="C6628" t="s">
        <v>40</v>
      </c>
      <c r="D6628">
        <v>6.3513099999999998</v>
      </c>
      <c r="E6628">
        <v>0.410829</v>
      </c>
      <c r="F6628" t="s">
        <v>47</v>
      </c>
      <c r="G6628">
        <v>-301.28640000000001</v>
      </c>
      <c r="H6628" s="1">
        <v>-4.0564010000000001E-6</v>
      </c>
      <c r="I6628">
        <v>-31.75318</v>
      </c>
      <c r="J6628">
        <v>-302.82650000000001</v>
      </c>
      <c r="K6628">
        <v>1.1123289999999999</v>
      </c>
      <c r="L6628">
        <v>-17.660769999999999</v>
      </c>
      <c r="M6628">
        <v>-8.2278470000000006E-2</v>
      </c>
      <c r="N6628">
        <v>0</v>
      </c>
      <c r="O6628">
        <v>-0.99651100000000004</v>
      </c>
      <c r="P6628">
        <v>-0.12554969999999999</v>
      </c>
      <c r="Q6628">
        <v>-2.654548E-2</v>
      </c>
      <c r="R6628">
        <v>-0.99173250000000002</v>
      </c>
      <c r="S6628">
        <v>0.32580569999999998</v>
      </c>
      <c r="T6628">
        <v>-0.23777960000000001</v>
      </c>
      <c r="U6628">
        <v>-3.062103</v>
      </c>
      <c r="V6628">
        <v>4.3596580000000003E-2</v>
      </c>
      <c r="W6628">
        <v>-1.226556E-2</v>
      </c>
      <c r="X6628">
        <v>0.99897389999999997</v>
      </c>
      <c r="Y6628">
        <v>-0.1869577</v>
      </c>
      <c r="Z6628">
        <v>7.6128710000000002E-2</v>
      </c>
      <c r="AA6628">
        <v>0.97941369999999905</v>
      </c>
      <c r="AB6628">
        <v>25</v>
      </c>
      <c r="AC6628">
        <v>1.54009999999999</v>
      </c>
      <c r="AD6628">
        <v>-1.1123330564010001</v>
      </c>
      <c r="AE6628">
        <v>-14.092409999999999</v>
      </c>
      <c r="AF6628">
        <v>-2.6780052231548099</v>
      </c>
      <c r="AG6628">
        <v>-1.1123330564010001</v>
      </c>
      <c r="AH6628">
        <v>13.8327261353287</v>
      </c>
      <c r="AI6628">
        <v>94.513982260099894</v>
      </c>
      <c r="AJ6628">
        <v>100.956870891459</v>
      </c>
      <c r="AK6628">
        <v>14.1334110935264</v>
      </c>
      <c r="AL6628">
        <v>90.702782458215594</v>
      </c>
      <c r="AM6628">
        <v>87.501119861285801</v>
      </c>
      <c r="AN6628">
        <v>0.99999997931550899</v>
      </c>
    </row>
    <row r="6629" spans="1:40" x14ac:dyDescent="0.25">
      <c r="A6629" t="str">
        <f>"20190312160817467"</f>
        <v>20190312160817467</v>
      </c>
      <c r="B6629" t="str">
        <f>"1552378097462354"</f>
        <v>1552378097462354</v>
      </c>
      <c r="C6629" t="s">
        <v>40</v>
      </c>
      <c r="D6629">
        <v>6.3556179999999998</v>
      </c>
      <c r="E6629">
        <v>0.41096719999999998</v>
      </c>
      <c r="F6629" t="s">
        <v>47</v>
      </c>
      <c r="G6629">
        <v>-301.2199</v>
      </c>
      <c r="H6629" s="1">
        <v>-3.8006530000000001E-6</v>
      </c>
      <c r="I6629">
        <v>-32.308079999999997</v>
      </c>
      <c r="J6629">
        <v>-302.8426</v>
      </c>
      <c r="K6629">
        <v>1.11232</v>
      </c>
      <c r="L6629">
        <v>-17.906739999999999</v>
      </c>
      <c r="M6629">
        <v>-7.8573550000000006E-2</v>
      </c>
      <c r="N6629">
        <v>0</v>
      </c>
      <c r="O6629">
        <v>-0.99680990000000003</v>
      </c>
      <c r="P6629">
        <v>-0.1213885</v>
      </c>
      <c r="Q6629">
        <v>-2.5580990000000001E-2</v>
      </c>
      <c r="R6629">
        <v>-0.99227560000000004</v>
      </c>
      <c r="S6629">
        <v>0.3357849</v>
      </c>
      <c r="T6629">
        <v>-0.23247670000000001</v>
      </c>
      <c r="U6629">
        <v>-3.0612789999999999</v>
      </c>
      <c r="V6629">
        <v>4.3111389999999999E-2</v>
      </c>
      <c r="W6629">
        <v>-1.130625E-2</v>
      </c>
      <c r="X6629">
        <v>0.99900630000000001</v>
      </c>
      <c r="Y6629">
        <v>-0.18650369999999999</v>
      </c>
      <c r="Z6629">
        <v>7.4484720000000004E-2</v>
      </c>
      <c r="AA6629">
        <v>0.97962669999999996</v>
      </c>
      <c r="AB6629">
        <v>25</v>
      </c>
      <c r="AC6629">
        <v>1.6227</v>
      </c>
      <c r="AD6629">
        <v>-1.1123238006530001</v>
      </c>
      <c r="AE6629">
        <v>-14.4013399999999</v>
      </c>
      <c r="AF6629">
        <v>-2.7332564000280999</v>
      </c>
      <c r="AG6629">
        <v>-1.1123238006530001</v>
      </c>
      <c r="AH6629">
        <v>14.145961443711</v>
      </c>
      <c r="AI6629">
        <v>94.4147040971216</v>
      </c>
      <c r="AJ6629">
        <v>100.93582315014901</v>
      </c>
      <c r="AK6629">
        <v>14.450473347013601</v>
      </c>
      <c r="AL6629">
        <v>90.647814205982201</v>
      </c>
      <c r="AM6629">
        <v>87.528975484898695</v>
      </c>
      <c r="AN6629">
        <v>1.0000000053382401</v>
      </c>
    </row>
    <row r="6630" spans="1:40" x14ac:dyDescent="0.25">
      <c r="A6630" t="str">
        <f>"20190312160817489"</f>
        <v>20190312160817489</v>
      </c>
      <c r="B6630" t="str">
        <f>"1552378097481873"</f>
        <v>1552378097481873</v>
      </c>
      <c r="C6630" t="s">
        <v>40</v>
      </c>
      <c r="D6630">
        <v>6.3552970000000002</v>
      </c>
      <c r="E6630">
        <v>0.41100419999999999</v>
      </c>
      <c r="F6630" t="s">
        <v>47</v>
      </c>
      <c r="G6630">
        <v>-301.17059999999998</v>
      </c>
      <c r="H6630" s="1">
        <v>-3.6529779999999998E-6</v>
      </c>
      <c r="I6630">
        <v>-32.621749999999999</v>
      </c>
      <c r="J6630">
        <v>-302.85829999999999</v>
      </c>
      <c r="K6630">
        <v>1.112312</v>
      </c>
      <c r="L6630">
        <v>-18.161529999999999</v>
      </c>
      <c r="M6630">
        <v>-7.4734670000000003E-2</v>
      </c>
      <c r="N6630">
        <v>0</v>
      </c>
      <c r="O6630">
        <v>-0.99710500000000002</v>
      </c>
      <c r="P6630">
        <v>-0.1163327</v>
      </c>
      <c r="Q6630">
        <v>-2.570749E-2</v>
      </c>
      <c r="R6630">
        <v>-0.99287780000000003</v>
      </c>
      <c r="S6630">
        <v>0.34768680000000002</v>
      </c>
      <c r="T6630">
        <v>-0.23130390000000001</v>
      </c>
      <c r="U6630">
        <v>-3.0599370000000001</v>
      </c>
      <c r="V6630">
        <v>4.1870690000000002E-2</v>
      </c>
      <c r="W6630">
        <v>-1.144276E-2</v>
      </c>
      <c r="X6630">
        <v>0.99905750000000004</v>
      </c>
      <c r="Y6630">
        <v>-0.1865338</v>
      </c>
      <c r="Z6630">
        <v>7.4160470000000006E-2</v>
      </c>
      <c r="AA6630">
        <v>0.97964560000000001</v>
      </c>
      <c r="AB6630">
        <v>25</v>
      </c>
      <c r="AC6630">
        <v>1.6877</v>
      </c>
      <c r="AD6630">
        <v>-1.1123156529780001</v>
      </c>
      <c r="AE6630">
        <v>-14.46022</v>
      </c>
      <c r="AF6630">
        <v>-2.74772525074264</v>
      </c>
      <c r="AG6630">
        <v>-1.1123156529780001</v>
      </c>
      <c r="AH6630">
        <v>14.210675827629199</v>
      </c>
      <c r="AI6630">
        <v>94.394533955575497</v>
      </c>
      <c r="AJ6630">
        <v>100.94345991647501</v>
      </c>
      <c r="AK6630">
        <v>14.516561150747499</v>
      </c>
      <c r="AL6630">
        <v>90.655636168964705</v>
      </c>
      <c r="AM6630">
        <v>87.600127413218999</v>
      </c>
      <c r="AN6630">
        <v>0.999999989871871</v>
      </c>
    </row>
    <row r="6631" spans="1:40" x14ac:dyDescent="0.25">
      <c r="A6631" t="str">
        <f>"20190312160817511"</f>
        <v>20190312160817511</v>
      </c>
      <c r="B6631" t="str">
        <f>"1552378097502369"</f>
        <v>1552378097502369</v>
      </c>
      <c r="C6631" t="s">
        <v>40</v>
      </c>
      <c r="D6631">
        <v>6.3843779999999999</v>
      </c>
      <c r="E6631">
        <v>0.41100310000000001</v>
      </c>
      <c r="F6631" t="s">
        <v>47</v>
      </c>
      <c r="G6631">
        <v>-301.1241</v>
      </c>
      <c r="H6631" s="1">
        <v>-3.5767629999999998E-6</v>
      </c>
      <c r="I6631">
        <v>-32.770579999999903</v>
      </c>
      <c r="J6631">
        <v>-302.8723</v>
      </c>
      <c r="K6631">
        <v>1.112303</v>
      </c>
      <c r="L6631">
        <v>-18.403320000000001</v>
      </c>
      <c r="M6631">
        <v>-7.109087E-2</v>
      </c>
      <c r="N6631">
        <v>0</v>
      </c>
      <c r="O6631">
        <v>-0.99737149999999997</v>
      </c>
      <c r="P6631">
        <v>-0.111135999999999</v>
      </c>
      <c r="Q6631">
        <v>-2.6278949999999999E-2</v>
      </c>
      <c r="R6631">
        <v>-0.99345779999999995</v>
      </c>
      <c r="S6631">
        <v>0.36300660000000001</v>
      </c>
      <c r="T6631">
        <v>-0.2328334</v>
      </c>
      <c r="U6631">
        <v>-3.058014</v>
      </c>
      <c r="V6631">
        <v>4.0298590000000002E-2</v>
      </c>
      <c r="W6631">
        <v>-1.2026190000000001E-2</v>
      </c>
      <c r="X6631">
        <v>0.99911530000000004</v>
      </c>
      <c r="Y6631">
        <v>-0.18785089999999999</v>
      </c>
      <c r="Z6631">
        <v>7.4693770000000007E-2</v>
      </c>
      <c r="AA6631">
        <v>0.97935329999999998</v>
      </c>
      <c r="AB6631">
        <v>25</v>
      </c>
      <c r="AC6631">
        <v>1.74819999999999</v>
      </c>
      <c r="AD6631">
        <v>-1.112306576763</v>
      </c>
      <c r="AE6631">
        <v>-14.3672599999999</v>
      </c>
      <c r="AF6631">
        <v>-2.7490204874775599</v>
      </c>
      <c r="AG6631">
        <v>-1.112306576763</v>
      </c>
      <c r="AH6631">
        <v>14.1231918738217</v>
      </c>
      <c r="AI6631">
        <v>94.420550073660706</v>
      </c>
      <c r="AJ6631">
        <v>101.014658935477</v>
      </c>
      <c r="AK6631">
        <v>14.4311776465424</v>
      </c>
      <c r="AL6631">
        <v>90.689066545198102</v>
      </c>
      <c r="AM6631">
        <v>87.690268334299603</v>
      </c>
      <c r="AN6631">
        <v>0.99999999414799701</v>
      </c>
    </row>
    <row r="6632" spans="1:40" x14ac:dyDescent="0.25">
      <c r="A6632" t="str">
        <f>"20190312160817533"</f>
        <v>20190312160817533</v>
      </c>
      <c r="B6632" t="str">
        <f>"1552378097521888"</f>
        <v>1552378097521888</v>
      </c>
      <c r="C6632" t="s">
        <v>40</v>
      </c>
      <c r="D6632">
        <v>6.3831449999999998</v>
      </c>
      <c r="E6632">
        <v>0.41107480000000002</v>
      </c>
      <c r="F6632" t="s">
        <v>47</v>
      </c>
      <c r="G6632">
        <v>-301.07330000000002</v>
      </c>
      <c r="H6632" s="1">
        <v>-3.5032339999999999E-6</v>
      </c>
      <c r="I6632">
        <v>-32.910449999999997</v>
      </c>
      <c r="J6632">
        <v>-302.88589999999999</v>
      </c>
      <c r="K6632">
        <v>1.112295</v>
      </c>
      <c r="L6632">
        <v>-18.654419999999998</v>
      </c>
      <c r="M6632">
        <v>-6.7306329999999998E-2</v>
      </c>
      <c r="N6632">
        <v>0</v>
      </c>
      <c r="O6632">
        <v>-0.99763409999999997</v>
      </c>
      <c r="P6632">
        <v>-0.1065348</v>
      </c>
      <c r="Q6632">
        <v>-2.6526689999999999E-2</v>
      </c>
      <c r="R6632">
        <v>-0.99395529999999999</v>
      </c>
      <c r="S6632">
        <v>0.37896730000000001</v>
      </c>
      <c r="T6632">
        <v>-0.23431060000000001</v>
      </c>
      <c r="U6632">
        <v>-3.0559690000000002</v>
      </c>
      <c r="V6632">
        <v>3.9465010000000002E-2</v>
      </c>
      <c r="W6632">
        <v>-1.2281759999999999E-2</v>
      </c>
      <c r="X6632">
        <v>0.99914539999999996</v>
      </c>
      <c r="Y6632">
        <v>-0.18923719999999999</v>
      </c>
      <c r="Z6632">
        <v>7.5211020000000003E-2</v>
      </c>
      <c r="AA6632">
        <v>0.97904679999999999</v>
      </c>
      <c r="AB6632">
        <v>25</v>
      </c>
      <c r="AC6632">
        <v>1.81259999999997</v>
      </c>
      <c r="AD6632">
        <v>-1.112298503234</v>
      </c>
      <c r="AE6632">
        <v>-14.2560299999999</v>
      </c>
      <c r="AF6632">
        <v>-2.7516197503550401</v>
      </c>
      <c r="AG6632">
        <v>-1.112298503234</v>
      </c>
      <c r="AH6632">
        <v>14.017708159714401</v>
      </c>
      <c r="AI6632">
        <v>94.452271426709103</v>
      </c>
      <c r="AJ6632">
        <v>101.105725614747</v>
      </c>
      <c r="AK6632">
        <v>14.3284598356475</v>
      </c>
      <c r="AL6632">
        <v>90.703710754846597</v>
      </c>
      <c r="AM6632">
        <v>87.738063265634196</v>
      </c>
      <c r="AN6632">
        <v>0.99999992949207595</v>
      </c>
    </row>
    <row r="6633" spans="1:40" x14ac:dyDescent="0.25">
      <c r="A6633" t="str">
        <f>"20190312160817556"</f>
        <v>20190312160817556</v>
      </c>
      <c r="B6633" t="str">
        <f>"1552378097552145"</f>
        <v>1552378097552145</v>
      </c>
      <c r="C6633" t="s">
        <v>40</v>
      </c>
      <c r="D6633">
        <v>6.361084</v>
      </c>
      <c r="E6633">
        <v>0.41136149999999999</v>
      </c>
      <c r="F6633" t="s">
        <v>47</v>
      </c>
      <c r="G6633">
        <v>-301.02879999999999</v>
      </c>
      <c r="H6633" s="1">
        <v>-3.4116530000000001E-6</v>
      </c>
      <c r="I6633">
        <v>-33.096319999999999</v>
      </c>
      <c r="J6633">
        <v>-302.89850000000001</v>
      </c>
      <c r="K6633">
        <v>1.1122909999999999</v>
      </c>
      <c r="L6633">
        <v>-18.904879999999999</v>
      </c>
      <c r="M6633">
        <v>-6.3532050000000007E-2</v>
      </c>
      <c r="N6633">
        <v>0</v>
      </c>
      <c r="O6633">
        <v>-0.99788160000000004</v>
      </c>
      <c r="P6633">
        <v>-0.1019094</v>
      </c>
      <c r="Q6633">
        <v>-2.6489180000000001E-2</v>
      </c>
      <c r="R6633">
        <v>-0.99444109999999997</v>
      </c>
      <c r="S6633">
        <v>0.39273069999999999</v>
      </c>
      <c r="T6633">
        <v>-0.23521909999999999</v>
      </c>
      <c r="U6633">
        <v>-3.0540470000000002</v>
      </c>
      <c r="V6633">
        <v>3.8595820000000003E-2</v>
      </c>
      <c r="W6633">
        <v>-1.225237E-2</v>
      </c>
      <c r="X6633">
        <v>0.99917979999999995</v>
      </c>
      <c r="Y6633">
        <v>-0.1899381</v>
      </c>
      <c r="Z6633">
        <v>7.5549950000000005E-2</v>
      </c>
      <c r="AA6633">
        <v>0.97888489999999995</v>
      </c>
      <c r="AB6633">
        <v>25</v>
      </c>
      <c r="AC6633">
        <v>1.8697000000000199</v>
      </c>
      <c r="AD6633">
        <v>-1.112294411653</v>
      </c>
      <c r="AE6633">
        <v>-14.19144</v>
      </c>
      <c r="AF6633">
        <v>-2.75101037238927</v>
      </c>
      <c r="AG6633">
        <v>-1.112294411653</v>
      </c>
      <c r="AH6633">
        <v>13.9596749294574</v>
      </c>
      <c r="AI6633">
        <v>94.470037997242798</v>
      </c>
      <c r="AJ6633">
        <v>101.148332109413</v>
      </c>
      <c r="AK6633">
        <v>14.2715724804</v>
      </c>
      <c r="AL6633">
        <v>90.702026644804903</v>
      </c>
      <c r="AM6633">
        <v>87.787906918469801</v>
      </c>
      <c r="AN6633">
        <v>1.0000000153100601</v>
      </c>
    </row>
    <row r="6634" spans="1:40" x14ac:dyDescent="0.25">
      <c r="A6634" t="str">
        <f>"20190312160817579"</f>
        <v>20190312160817579</v>
      </c>
      <c r="B6634" t="str">
        <f>"1552378097572641"</f>
        <v>1552378097572641</v>
      </c>
      <c r="C6634" t="s">
        <v>40</v>
      </c>
      <c r="D6634">
        <v>6.3425019999999996</v>
      </c>
      <c r="E6634">
        <v>0.4117267</v>
      </c>
      <c r="F6634" t="s">
        <v>47</v>
      </c>
      <c r="G6634">
        <v>-301.0136</v>
      </c>
      <c r="H6634" s="1">
        <v>-3.403924E-6</v>
      </c>
      <c r="I6634">
        <v>-33.104939999999999</v>
      </c>
      <c r="J6634">
        <v>-302.91030000000001</v>
      </c>
      <c r="K6634">
        <v>1.112276</v>
      </c>
      <c r="L6634">
        <v>-19.16028</v>
      </c>
      <c r="M6634">
        <v>-5.9685889999999998E-2</v>
      </c>
      <c r="N6634">
        <v>0</v>
      </c>
      <c r="O6634">
        <v>-0.99811910000000004</v>
      </c>
      <c r="P6634">
        <v>-9.6764089999999997E-2</v>
      </c>
      <c r="Q6634">
        <v>-2.6536460000000001E-2</v>
      </c>
      <c r="R6634">
        <v>-0.9949538</v>
      </c>
      <c r="S6634">
        <v>0.40509030000000001</v>
      </c>
      <c r="T6634">
        <v>-0.23905680000000001</v>
      </c>
      <c r="U6634">
        <v>-3.0519099999999999</v>
      </c>
      <c r="V6634">
        <v>3.7278520000000002E-2</v>
      </c>
      <c r="W6634">
        <v>-1.2310689999999999E-2</v>
      </c>
      <c r="X6634">
        <v>0.99922909999999998</v>
      </c>
      <c r="Y6634">
        <v>-0.1901262</v>
      </c>
      <c r="Z6634">
        <v>7.6834509999999995E-2</v>
      </c>
      <c r="AA6634">
        <v>0.97874839999999996</v>
      </c>
      <c r="AB6634">
        <v>25</v>
      </c>
      <c r="AC6634">
        <v>1.8967000000000001</v>
      </c>
      <c r="AD6634">
        <v>-1.112279403924</v>
      </c>
      <c r="AE6634">
        <v>-13.944660000000001</v>
      </c>
      <c r="AF6634">
        <v>-2.7087779500987699</v>
      </c>
      <c r="AG6634">
        <v>-1.112279403924</v>
      </c>
      <c r="AH6634">
        <v>13.7208672276911</v>
      </c>
      <c r="AI6634">
        <v>94.547150485134694</v>
      </c>
      <c r="AJ6634">
        <v>101.167742053295</v>
      </c>
      <c r="AK6634">
        <v>14.0298553426349</v>
      </c>
      <c r="AL6634">
        <v>90.7053683849565</v>
      </c>
      <c r="AM6634">
        <v>87.863441177273401</v>
      </c>
      <c r="AN6634">
        <v>1.0000000177142301</v>
      </c>
    </row>
    <row r="6635" spans="1:40" x14ac:dyDescent="0.25">
      <c r="A6635" t="str">
        <f>"20190312160817601"</f>
        <v>20190312160817601</v>
      </c>
      <c r="B6635" t="str">
        <f>"1552378097592160"</f>
        <v>1552378097592160</v>
      </c>
      <c r="C6635" t="s">
        <v>40</v>
      </c>
      <c r="D6635">
        <v>6.5375959999999997</v>
      </c>
      <c r="E6635">
        <v>0.412186</v>
      </c>
      <c r="F6635" t="s">
        <v>47</v>
      </c>
      <c r="G6635">
        <v>-300.97230000000002</v>
      </c>
      <c r="H6635" s="1">
        <v>-3.3089059999999999E-6</v>
      </c>
      <c r="I6635">
        <v>-33.300800000000002</v>
      </c>
      <c r="J6635">
        <v>-302.92110000000002</v>
      </c>
      <c r="K6635">
        <v>1.112269</v>
      </c>
      <c r="L6635">
        <v>-19.41461</v>
      </c>
      <c r="M6635">
        <v>-5.5860079999999999E-2</v>
      </c>
      <c r="N6635">
        <v>0</v>
      </c>
      <c r="O6635">
        <v>-0.99834049999999996</v>
      </c>
      <c r="P6635">
        <v>-9.145876E-2</v>
      </c>
      <c r="Q6635">
        <v>-2.62761E-2</v>
      </c>
      <c r="R6635">
        <v>-0.99546230000000002</v>
      </c>
      <c r="S6635">
        <v>0.41793819999999998</v>
      </c>
      <c r="T6635">
        <v>-0.23986840000000001</v>
      </c>
      <c r="U6635">
        <v>-3.0494690000000002</v>
      </c>
      <c r="V6635">
        <v>3.5779459999999999E-2</v>
      </c>
      <c r="W6635">
        <v>-1.206263E-2</v>
      </c>
      <c r="X6635">
        <v>0.99928689999999998</v>
      </c>
      <c r="Y6635">
        <v>-0.19051270000000001</v>
      </c>
      <c r="Z6635">
        <v>7.7156139999999998E-2</v>
      </c>
      <c r="AA6635">
        <v>0.97864790000000002</v>
      </c>
      <c r="AB6635">
        <v>25</v>
      </c>
      <c r="AC6635">
        <v>1.9488000000000001</v>
      </c>
      <c r="AD6635">
        <v>-1.112272308906</v>
      </c>
      <c r="AE6635">
        <v>-13.886189999999999</v>
      </c>
      <c r="AF6635">
        <v>-2.70449964644191</v>
      </c>
      <c r="AG6635">
        <v>-1.112272308906</v>
      </c>
      <c r="AH6635">
        <v>13.669624513002899</v>
      </c>
      <c r="AI6635">
        <v>94.563726137358501</v>
      </c>
      <c r="AJ6635">
        <v>101.191292195383</v>
      </c>
      <c r="AK6635">
        <v>13.9789163511787</v>
      </c>
      <c r="AL6635">
        <v>90.691154555904106</v>
      </c>
      <c r="AM6635">
        <v>87.949401030156295</v>
      </c>
      <c r="AN6635">
        <v>0.99999999265600903</v>
      </c>
    </row>
    <row r="6636" spans="1:40" x14ac:dyDescent="0.25">
      <c r="A6636" t="str">
        <f>"20190312160817625"</f>
        <v>20190312160817625</v>
      </c>
      <c r="B6636" t="str">
        <f>"1552378097622418"</f>
        <v>1552378097622418</v>
      </c>
      <c r="C6636" t="s">
        <v>40</v>
      </c>
      <c r="D6636">
        <v>6.502929</v>
      </c>
      <c r="E6636">
        <v>0.41276420000000003</v>
      </c>
      <c r="F6636" t="s">
        <v>47</v>
      </c>
      <c r="G6636">
        <v>-300.90929999999997</v>
      </c>
      <c r="H6636" s="1">
        <v>-3.1378989999999998E-6</v>
      </c>
      <c r="I6636">
        <v>-33.660310000000003</v>
      </c>
      <c r="J6636">
        <v>-302.93119999999999</v>
      </c>
      <c r="K6636">
        <v>1.1122510000000001</v>
      </c>
      <c r="L6636">
        <v>-19.677610000000001</v>
      </c>
      <c r="M6636">
        <v>-5.191747E-2</v>
      </c>
      <c r="N6636">
        <v>0</v>
      </c>
      <c r="O6636">
        <v>-0.99855340000000004</v>
      </c>
      <c r="P6636">
        <v>-8.6778729999999998E-2</v>
      </c>
      <c r="Q6636">
        <v>-2.6500989999999999E-2</v>
      </c>
      <c r="R6636">
        <v>-0.99587539999999997</v>
      </c>
      <c r="S6636">
        <v>0.43029790000000001</v>
      </c>
      <c r="T6636">
        <v>-0.2378979</v>
      </c>
      <c r="U6636">
        <v>-3.0469360000000001</v>
      </c>
      <c r="V6636">
        <v>3.5029869999999998E-2</v>
      </c>
      <c r="W6636">
        <v>-1.2296090000000001E-2</v>
      </c>
      <c r="X6636">
        <v>0.99931060000000005</v>
      </c>
      <c r="Y6636">
        <v>-0.1906466</v>
      </c>
      <c r="Z6636">
        <v>7.6591309999999996E-2</v>
      </c>
      <c r="AA6636">
        <v>0.97866620000000004</v>
      </c>
      <c r="AB6636">
        <v>25</v>
      </c>
      <c r="AC6636">
        <v>2.0219000000000098</v>
      </c>
      <c r="AD6636">
        <v>-1.1122541378990001</v>
      </c>
      <c r="AE6636">
        <v>-13.9826999999999</v>
      </c>
      <c r="AF6636">
        <v>-2.7282807454484499</v>
      </c>
      <c r="AG6636">
        <v>-1.1122541378990001</v>
      </c>
      <c r="AH6636">
        <v>13.7734911352886</v>
      </c>
      <c r="AI6636">
        <v>94.529179314209699</v>
      </c>
      <c r="AJ6636">
        <v>101.204227263071</v>
      </c>
      <c r="AK6636">
        <v>14.085087260898799</v>
      </c>
      <c r="AL6636">
        <v>90.704531829527198</v>
      </c>
      <c r="AM6636">
        <v>87.992373712543895</v>
      </c>
      <c r="AN6636">
        <v>0.99999998044693195</v>
      </c>
    </row>
    <row r="6637" spans="1:40" x14ac:dyDescent="0.25">
      <c r="A6637" t="str">
        <f>"20190312160817646"</f>
        <v>20190312160817646</v>
      </c>
      <c r="B6637" t="str">
        <f>"1552378097641937"</f>
        <v>1552378097641937</v>
      </c>
      <c r="C6637" t="s">
        <v>40</v>
      </c>
      <c r="D6637">
        <v>6.3459250000000003</v>
      </c>
      <c r="E6637">
        <v>0.41314960000000001</v>
      </c>
      <c r="F6637" t="s">
        <v>47</v>
      </c>
      <c r="G6637">
        <v>-300.89389999999997</v>
      </c>
      <c r="H6637" s="1">
        <v>-3.0836450000000002E-6</v>
      </c>
      <c r="I6637">
        <v>-33.77722</v>
      </c>
      <c r="J6637">
        <v>-302.93959999999998</v>
      </c>
      <c r="K6637">
        <v>1.1122299999999901</v>
      </c>
      <c r="L6637">
        <v>-19.918060000000001</v>
      </c>
      <c r="M6637">
        <v>-4.8335700000000002E-2</v>
      </c>
      <c r="N6637">
        <v>0</v>
      </c>
      <c r="O6637">
        <v>-0.99873319999999999</v>
      </c>
      <c r="P6637">
        <v>-8.2220059999999998E-2</v>
      </c>
      <c r="Q6637">
        <v>-2.7341549999999999E-2</v>
      </c>
      <c r="R6637">
        <v>-0.99623930000000005</v>
      </c>
      <c r="S6637">
        <v>0.43991089999999999</v>
      </c>
      <c r="T6637">
        <v>-0.2401567</v>
      </c>
      <c r="U6637">
        <v>-3.0443730000000002</v>
      </c>
      <c r="V6637">
        <v>3.4046439999999997E-2</v>
      </c>
      <c r="W6637">
        <v>-1.31472E-2</v>
      </c>
      <c r="X6637">
        <v>0.99933380000000005</v>
      </c>
      <c r="Y6637">
        <v>-0.19025990000000001</v>
      </c>
      <c r="Z6637">
        <v>7.7385140000000005E-2</v>
      </c>
      <c r="AA6637">
        <v>0.97867910000000002</v>
      </c>
      <c r="AB6637">
        <v>25</v>
      </c>
      <c r="AC6637">
        <v>2.0457000000000098</v>
      </c>
      <c r="AD6637">
        <v>-1.1122330836449901</v>
      </c>
      <c r="AE6637">
        <v>-13.859159999999999</v>
      </c>
      <c r="AF6637">
        <v>-2.6962711700273698</v>
      </c>
      <c r="AG6637">
        <v>-1.1122330836449901</v>
      </c>
      <c r="AH6637">
        <v>13.6579792940971</v>
      </c>
      <c r="AI6637">
        <v>94.567815712208798</v>
      </c>
      <c r="AJ6637">
        <v>101.16737291128899</v>
      </c>
      <c r="AK6637">
        <v>13.9659349508961</v>
      </c>
      <c r="AL6637">
        <v>90.753300754799099</v>
      </c>
      <c r="AM6637">
        <v>88.048736960425103</v>
      </c>
      <c r="AN6637">
        <v>1.0000000263834701</v>
      </c>
    </row>
    <row r="6638" spans="1:40" x14ac:dyDescent="0.25">
      <c r="A6638" t="str">
        <f>"20190312160817669"</f>
        <v>20190312160817669</v>
      </c>
      <c r="B6638" t="str">
        <f>"1552378097662433"</f>
        <v>1552378097662433</v>
      </c>
      <c r="C6638" t="s">
        <v>40</v>
      </c>
      <c r="D6638">
        <v>6.3597950000000001</v>
      </c>
      <c r="E6638">
        <v>0.4136167</v>
      </c>
      <c r="F6638" t="s">
        <v>47</v>
      </c>
      <c r="G6638">
        <v>-300.89139999999998</v>
      </c>
      <c r="H6638" s="1">
        <v>-3.103245E-6</v>
      </c>
      <c r="I6638">
        <v>-33.730029999999999</v>
      </c>
      <c r="J6638">
        <v>-302.94740000000002</v>
      </c>
      <c r="K6638">
        <v>1.112193</v>
      </c>
      <c r="L6638">
        <v>-20.165500000000002</v>
      </c>
      <c r="M6638">
        <v>-4.4687539999999998E-2</v>
      </c>
      <c r="N6638">
        <v>0</v>
      </c>
      <c r="O6638">
        <v>-0.99890310000000004</v>
      </c>
      <c r="P6638">
        <v>-7.7741649999999995E-2</v>
      </c>
      <c r="Q6638">
        <v>-2.791971E-2</v>
      </c>
      <c r="R6638">
        <v>-0.99658259999999999</v>
      </c>
      <c r="S6638">
        <v>0.45108029999999999</v>
      </c>
      <c r="T6638">
        <v>-0.24494949999999999</v>
      </c>
      <c r="U6638">
        <v>-3.0418400000000001</v>
      </c>
      <c r="V6638">
        <v>3.320845E-2</v>
      </c>
      <c r="W6638">
        <v>-1.373657E-2</v>
      </c>
      <c r="X6638">
        <v>0.99935410000000002</v>
      </c>
      <c r="Y6638">
        <v>-0.19028970000000001</v>
      </c>
      <c r="Z6638">
        <v>7.8983780000000003E-2</v>
      </c>
      <c r="AA6638">
        <v>0.97854549999999996</v>
      </c>
      <c r="AB6638">
        <v>25</v>
      </c>
      <c r="AC6638">
        <v>2.05600000000004</v>
      </c>
      <c r="AD6638">
        <v>-1.1121961032449901</v>
      </c>
      <c r="AE6638">
        <v>-13.5645299999999</v>
      </c>
      <c r="AF6638">
        <v>-2.6428023150561901</v>
      </c>
      <c r="AG6638">
        <v>-1.1121961032449901</v>
      </c>
      <c r="AH6638">
        <v>13.3712161580269</v>
      </c>
      <c r="AI6638">
        <v>94.664988619419603</v>
      </c>
      <c r="AJ6638">
        <v>101.180331200628</v>
      </c>
      <c r="AK6638">
        <v>13.675189424399999</v>
      </c>
      <c r="AL6638">
        <v>90.787072195901601</v>
      </c>
      <c r="AM6638">
        <v>88.096766547844894</v>
      </c>
      <c r="AN6638">
        <v>1.0000000558467801</v>
      </c>
    </row>
    <row r="6639" spans="1:40" x14ac:dyDescent="0.25">
      <c r="A6639" t="str">
        <f>"20190312160817689"</f>
        <v>20190312160817689</v>
      </c>
      <c r="B6639" t="str">
        <f>"1552378097681953"</f>
        <v>1552378097681953</v>
      </c>
      <c r="C6639" t="s">
        <v>40</v>
      </c>
      <c r="D6639">
        <v>6.3944700000000001</v>
      </c>
      <c r="E6639">
        <v>0.41403980000000001</v>
      </c>
      <c r="F6639" t="s">
        <v>47</v>
      </c>
      <c r="G6639">
        <v>-300.88780000000003</v>
      </c>
      <c r="H6639" s="1">
        <v>-3.0980409999999999E-6</v>
      </c>
      <c r="I6639">
        <v>-33.739890000000003</v>
      </c>
      <c r="J6639">
        <v>-302.95400000000001</v>
      </c>
      <c r="K6639">
        <v>1.112158</v>
      </c>
      <c r="L6639">
        <v>-20.402249999999999</v>
      </c>
      <c r="M6639">
        <v>-4.1245320000000002E-2</v>
      </c>
      <c r="N6639">
        <v>0</v>
      </c>
      <c r="O6639">
        <v>-0.99905109999999997</v>
      </c>
      <c r="P6639">
        <v>-7.3137510000000003E-2</v>
      </c>
      <c r="Q6639">
        <v>-2.8350219999999999E-2</v>
      </c>
      <c r="R6639">
        <v>-0.99691890000000005</v>
      </c>
      <c r="S6639">
        <v>0.46115109999999898</v>
      </c>
      <c r="T6639">
        <v>-0.2490182</v>
      </c>
      <c r="U6639">
        <v>-3.0392760000000001</v>
      </c>
      <c r="V6639">
        <v>3.2037889999999999E-2</v>
      </c>
      <c r="W6639">
        <v>-1.41812E-2</v>
      </c>
      <c r="X6639">
        <v>0.99938610000000005</v>
      </c>
      <c r="Y6639">
        <v>-0.19018180000000001</v>
      </c>
      <c r="Z6639">
        <v>8.0353099999999997E-2</v>
      </c>
      <c r="AA6639">
        <v>0.97845510000000002</v>
      </c>
      <c r="AB6639">
        <v>25</v>
      </c>
      <c r="AC6639">
        <v>2.0661999999999798</v>
      </c>
      <c r="AD6639">
        <v>-1.1121610980409999</v>
      </c>
      <c r="AE6639">
        <v>-13.33764</v>
      </c>
      <c r="AF6639">
        <v>-2.5969766879668201</v>
      </c>
      <c r="AG6639">
        <v>-1.1121610980409999</v>
      </c>
      <c r="AH6639">
        <v>13.151756561836599</v>
      </c>
      <c r="AI6639">
        <v>94.742498389642606</v>
      </c>
      <c r="AJ6639">
        <v>101.170059745202</v>
      </c>
      <c r="AK6639">
        <v>13.4517616276698</v>
      </c>
      <c r="AL6639">
        <v>90.812550100254199</v>
      </c>
      <c r="AM6639">
        <v>88.163865348181005</v>
      </c>
      <c r="AN6639">
        <v>1.0000000548511401</v>
      </c>
    </row>
    <row r="6640" spans="1:40" x14ac:dyDescent="0.25">
      <c r="A6640" t="str">
        <f>"20190312160817712"</f>
        <v>20190312160817712</v>
      </c>
      <c r="B6640" t="str">
        <f>"1552378097702449"</f>
        <v>1552378097702449</v>
      </c>
      <c r="C6640" t="s">
        <v>40</v>
      </c>
      <c r="D6640">
        <v>6.3479409999999996</v>
      </c>
      <c r="E6640">
        <v>0.41448089999999999</v>
      </c>
      <c r="F6640" t="s">
        <v>47</v>
      </c>
      <c r="G6640">
        <v>-300.8845</v>
      </c>
      <c r="H6640" s="1">
        <v>-3.1021529999999999E-6</v>
      </c>
      <c r="I6640">
        <v>-33.728290000000001</v>
      </c>
      <c r="J6640">
        <v>-302.96019999999999</v>
      </c>
      <c r="K6640">
        <v>1.1121019999999999</v>
      </c>
      <c r="L6640">
        <v>-20.647950000000002</v>
      </c>
      <c r="M6640">
        <v>-3.7735579999999998E-2</v>
      </c>
      <c r="N6640">
        <v>0</v>
      </c>
      <c r="O6640">
        <v>-0.99919009999999997</v>
      </c>
      <c r="P6640">
        <v>-6.8639019999999995E-2</v>
      </c>
      <c r="Q6640">
        <v>-2.8219359999999999E-2</v>
      </c>
      <c r="R6640">
        <v>-0.99724250000000003</v>
      </c>
      <c r="S6640">
        <v>0.47158810000000001</v>
      </c>
      <c r="T6640">
        <v>-0.2534322</v>
      </c>
      <c r="U6640">
        <v>-3.0366520000000001</v>
      </c>
      <c r="V6640">
        <v>3.1037229999999999E-2</v>
      </c>
      <c r="W6640">
        <v>-1.4064770000000001E-2</v>
      </c>
      <c r="X6640">
        <v>0.99941930000000001</v>
      </c>
      <c r="Y6640">
        <v>-0.19012589999999999</v>
      </c>
      <c r="Z6640">
        <v>8.1833749999999997E-2</v>
      </c>
      <c r="AA6640">
        <v>0.97834319999999997</v>
      </c>
      <c r="AB6640">
        <v>25</v>
      </c>
      <c r="AC6640">
        <v>2.0756999999999799</v>
      </c>
      <c r="AD6640">
        <v>-1.112105102153</v>
      </c>
      <c r="AE6640">
        <v>-13.08034</v>
      </c>
      <c r="AF6640">
        <v>-2.5498843911863198</v>
      </c>
      <c r="AG6640">
        <v>-1.112105102153</v>
      </c>
      <c r="AH6640">
        <v>12.901716046655499</v>
      </c>
      <c r="AI6640">
        <v>94.833574549817698</v>
      </c>
      <c r="AJ6640">
        <v>101.17981029346601</v>
      </c>
      <c r="AK6640">
        <v>13.1982182553245</v>
      </c>
      <c r="AL6640">
        <v>90.805878505788101</v>
      </c>
      <c r="AM6640">
        <v>88.2212361368084</v>
      </c>
      <c r="AN6640">
        <v>1.0000000323068501</v>
      </c>
    </row>
    <row r="6641" spans="1:40" x14ac:dyDescent="0.25">
      <c r="A6641" t="str">
        <f>"20190312160817735"</f>
        <v>20190312160817735</v>
      </c>
      <c r="B6641" t="str">
        <f>"1552378097731728"</f>
        <v>1552378097731728</v>
      </c>
      <c r="C6641" t="s">
        <v>40</v>
      </c>
      <c r="D6641">
        <v>6.386971</v>
      </c>
      <c r="E6641">
        <v>0.41513860000000002</v>
      </c>
      <c r="F6641" t="s">
        <v>47</v>
      </c>
      <c r="G6641">
        <v>-300.87060000000002</v>
      </c>
      <c r="H6641" s="1">
        <v>-3.060862E-6</v>
      </c>
      <c r="I6641">
        <v>-33.815919999999998</v>
      </c>
      <c r="J6641">
        <v>-302.96550000000002</v>
      </c>
      <c r="K6641">
        <v>1.112039</v>
      </c>
      <c r="L6641">
        <v>-20.896090000000001</v>
      </c>
      <c r="M6641">
        <v>-3.4267300000000001E-2</v>
      </c>
      <c r="N6641">
        <v>0</v>
      </c>
      <c r="O6641">
        <v>-0.99931510000000001</v>
      </c>
      <c r="P6641">
        <v>-6.4205760000000001E-2</v>
      </c>
      <c r="Q6641">
        <v>-2.8263179999999999E-2</v>
      </c>
      <c r="R6641">
        <v>-0.99753670000000005</v>
      </c>
      <c r="S6641">
        <v>0.48147580000000001</v>
      </c>
      <c r="T6641">
        <v>-0.25625249999999999</v>
      </c>
      <c r="U6641">
        <v>-3.0341800000000001</v>
      </c>
      <c r="V6641">
        <v>3.0062350000000002E-2</v>
      </c>
      <c r="W6641">
        <v>-1.4123810000000001E-2</v>
      </c>
      <c r="X6641">
        <v>0.99944820000000001</v>
      </c>
      <c r="Y6641">
        <v>-0.18993860000000001</v>
      </c>
      <c r="Z6641">
        <v>8.2800830000000006E-2</v>
      </c>
      <c r="AA6641">
        <v>0.97829820000000001</v>
      </c>
      <c r="AB6641">
        <v>25</v>
      </c>
      <c r="AC6641">
        <v>2.0948999999999902</v>
      </c>
      <c r="AD6641">
        <v>-1.1120420608620001</v>
      </c>
      <c r="AE6641">
        <v>-12.9198299999999</v>
      </c>
      <c r="AF6641">
        <v>-2.51826177259727</v>
      </c>
      <c r="AG6641">
        <v>-1.1120420608620001</v>
      </c>
      <c r="AH6641">
        <v>12.748420334776499</v>
      </c>
      <c r="AI6641">
        <v>94.891236717024498</v>
      </c>
      <c r="AJ6641">
        <v>101.174077387986</v>
      </c>
      <c r="AK6641">
        <v>13.0422582757969</v>
      </c>
      <c r="AL6641">
        <v>90.809261638455197</v>
      </c>
      <c r="AM6641">
        <v>88.277122714235205</v>
      </c>
      <c r="AN6641">
        <v>0.99999996568983796</v>
      </c>
    </row>
    <row r="6642" spans="1:40" x14ac:dyDescent="0.25">
      <c r="A6642" t="str">
        <f>"20190312160817757"</f>
        <v>20190312160817757</v>
      </c>
      <c r="B6642" t="str">
        <f>"1552378097752225"</f>
        <v>1552378097752225</v>
      </c>
      <c r="C6642" t="s">
        <v>40</v>
      </c>
      <c r="D6642">
        <v>6.3595759999999997</v>
      </c>
      <c r="E6642">
        <v>0.41558679999999898</v>
      </c>
      <c r="F6642" t="s">
        <v>47</v>
      </c>
      <c r="G6642">
        <v>-300.85140000000001</v>
      </c>
      <c r="H6642" s="1">
        <v>-2.9837610000000001E-6</v>
      </c>
      <c r="I6642">
        <v>-33.983730000000001</v>
      </c>
      <c r="J6642">
        <v>-302.9701</v>
      </c>
      <c r="K6642">
        <v>1.1119749999999999</v>
      </c>
      <c r="L6642">
        <v>-21.142880000000002</v>
      </c>
      <c r="M6642">
        <v>-3.090203E-2</v>
      </c>
      <c r="N6642">
        <v>0</v>
      </c>
      <c r="O6642">
        <v>-0.99942489999999995</v>
      </c>
      <c r="P6642">
        <v>-6.1215239999999997E-2</v>
      </c>
      <c r="Q6642">
        <v>-2.8864560000000001E-2</v>
      </c>
      <c r="R6642">
        <v>-0.99770780000000003</v>
      </c>
      <c r="S6642">
        <v>0.48971559999999997</v>
      </c>
      <c r="T6642">
        <v>-0.25759569999999998</v>
      </c>
      <c r="U6642">
        <v>-3.031647</v>
      </c>
      <c r="V6642">
        <v>3.0433499999999999E-2</v>
      </c>
      <c r="W6642">
        <v>-1.473378E-2</v>
      </c>
      <c r="X6642">
        <v>0.99942819999999999</v>
      </c>
      <c r="Y6642">
        <v>-0.18934529999999999</v>
      </c>
      <c r="Z6642">
        <v>8.3300990000000005E-2</v>
      </c>
      <c r="AA6642">
        <v>0.97837070000000004</v>
      </c>
      <c r="AB6642">
        <v>25</v>
      </c>
      <c r="AC6642">
        <v>2.1186999999999898</v>
      </c>
      <c r="AD6642">
        <v>-1.111977983761</v>
      </c>
      <c r="AE6642">
        <v>-12.84085</v>
      </c>
      <c r="AF6642">
        <v>-2.4963111856368601</v>
      </c>
      <c r="AG6642">
        <v>-1.111977983761</v>
      </c>
      <c r="AH6642">
        <v>12.67669428075</v>
      </c>
      <c r="AI6642">
        <v>94.919064851824501</v>
      </c>
      <c r="AJ6642">
        <v>101.140220752372</v>
      </c>
      <c r="AK6642">
        <v>12.967908175935801</v>
      </c>
      <c r="AL6642">
        <v>90.844213952552494</v>
      </c>
      <c r="AM6642">
        <v>88.255830234973303</v>
      </c>
      <c r="AN6642">
        <v>1.0000000045752799</v>
      </c>
    </row>
    <row r="6643" spans="1:40" x14ac:dyDescent="0.25">
      <c r="A6643" t="str">
        <f>"20190312160817779"</f>
        <v>20190312160817779</v>
      </c>
      <c r="B6643" t="str">
        <f>"1552378097771745"</f>
        <v>1552378097771745</v>
      </c>
      <c r="C6643" t="s">
        <v>40</v>
      </c>
      <c r="D6643">
        <v>6.3714820000000003</v>
      </c>
      <c r="E6643">
        <v>0.41607369999999999</v>
      </c>
      <c r="F6643" t="s">
        <v>47</v>
      </c>
      <c r="G6643">
        <v>-300.84109999999998</v>
      </c>
      <c r="H6643" s="1">
        <v>-2.906914E-6</v>
      </c>
      <c r="I6643">
        <v>-34.156460000000003</v>
      </c>
      <c r="J6643">
        <v>-302.97390000000001</v>
      </c>
      <c r="K6643">
        <v>1.1119190000000001</v>
      </c>
      <c r="L6643">
        <v>-21.39096</v>
      </c>
      <c r="M6643">
        <v>-2.7587070000000002E-2</v>
      </c>
      <c r="N6643">
        <v>0</v>
      </c>
      <c r="O6643">
        <v>-0.99952200000000002</v>
      </c>
      <c r="P6643">
        <v>-5.765356E-2</v>
      </c>
      <c r="Q6643">
        <v>-2.9295990000000001E-2</v>
      </c>
      <c r="R6643">
        <v>-0.99790699999999999</v>
      </c>
      <c r="S6643">
        <v>0.49566650000000001</v>
      </c>
      <c r="T6643">
        <v>-0.25889030000000002</v>
      </c>
      <c r="U6643">
        <v>-3.0298159999999998</v>
      </c>
      <c r="V6643">
        <v>3.0181670000000001E-2</v>
      </c>
      <c r="W6643">
        <v>-1.517638E-2</v>
      </c>
      <c r="X6643">
        <v>0.99942920000000002</v>
      </c>
      <c r="Y6643">
        <v>-0.18804779999999999</v>
      </c>
      <c r="Z6643">
        <v>8.3776089999999998E-2</v>
      </c>
      <c r="AA6643">
        <v>0.97858040000000002</v>
      </c>
      <c r="AB6643">
        <v>25</v>
      </c>
      <c r="AC6643">
        <v>2.1328000000000298</v>
      </c>
      <c r="AD6643">
        <v>-1.1119219069140001</v>
      </c>
      <c r="AE6643">
        <v>-12.7654999999999</v>
      </c>
      <c r="AF6643">
        <v>-2.4659836805204001</v>
      </c>
      <c r="AG6643">
        <v>-1.1119219069140001</v>
      </c>
      <c r="AH6643">
        <v>12.6087318935234</v>
      </c>
      <c r="AI6643">
        <v>94.946449580346297</v>
      </c>
      <c r="AJ6643">
        <v>101.06607921703601</v>
      </c>
      <c r="AK6643">
        <v>12.8956413490149</v>
      </c>
      <c r="AL6643">
        <v>90.8695759129821</v>
      </c>
      <c r="AM6643">
        <v>88.270255751710494</v>
      </c>
      <c r="AN6643">
        <v>0.99999999076326596</v>
      </c>
    </row>
    <row r="6644" spans="1:40" x14ac:dyDescent="0.25">
      <c r="A6644" t="str">
        <f>"20190312160817802"</f>
        <v>20190312160817802</v>
      </c>
      <c r="B6644" t="str">
        <f>"1552378097792241"</f>
        <v>1552378097792241</v>
      </c>
      <c r="C6644" t="s">
        <v>40</v>
      </c>
      <c r="D6644">
        <v>6.3522150000000002</v>
      </c>
      <c r="E6644">
        <v>0.41660900000000001</v>
      </c>
      <c r="F6644" t="s">
        <v>47</v>
      </c>
      <c r="G6644">
        <v>-300.83760000000001</v>
      </c>
      <c r="H6644" s="1">
        <v>-2.8575210000000001E-6</v>
      </c>
      <c r="I6644">
        <v>-34.269410000000001</v>
      </c>
      <c r="J6644">
        <v>-302.97699999999998</v>
      </c>
      <c r="K6644">
        <v>1.1118729999999999</v>
      </c>
      <c r="L6644">
        <v>-21.648530000000001</v>
      </c>
      <c r="M6644">
        <v>-2.4212259999999999E-2</v>
      </c>
      <c r="N6644">
        <v>0</v>
      </c>
      <c r="O6644">
        <v>-0.99960939999999998</v>
      </c>
      <c r="P6644">
        <v>-5.4547320000000003E-2</v>
      </c>
      <c r="Q6644">
        <v>-2.963549E-2</v>
      </c>
      <c r="R6644">
        <v>-0.99807140000000005</v>
      </c>
      <c r="S6644">
        <v>0.5022278</v>
      </c>
      <c r="T6644">
        <v>-0.26140380000000002</v>
      </c>
      <c r="U6644">
        <v>-3.0276179999999999</v>
      </c>
      <c r="V6644">
        <v>3.0445509999999999E-2</v>
      </c>
      <c r="W6644">
        <v>-1.552397E-2</v>
      </c>
      <c r="X6644">
        <v>0.99941590000000002</v>
      </c>
      <c r="Y6644">
        <v>-0.1868978</v>
      </c>
      <c r="Z6644">
        <v>8.464961E-2</v>
      </c>
      <c r="AA6644">
        <v>0.97872559999999997</v>
      </c>
      <c r="AB6644">
        <v>25</v>
      </c>
      <c r="AC6644">
        <v>2.1394000000000202</v>
      </c>
      <c r="AD6644">
        <v>-1.1118758575209999</v>
      </c>
      <c r="AE6644">
        <v>-12.62088</v>
      </c>
      <c r="AF6644">
        <v>-2.4260789569661698</v>
      </c>
      <c r="AG6644">
        <v>-1.1118758575209999</v>
      </c>
      <c r="AH6644">
        <v>12.471285081492301</v>
      </c>
      <c r="AI6644">
        <v>95.001460054771997</v>
      </c>
      <c r="AJ6644">
        <v>101.00844065616501</v>
      </c>
      <c r="AK6644">
        <v>12.753630017051</v>
      </c>
      <c r="AL6644">
        <v>90.889493663361804</v>
      </c>
      <c r="AM6644">
        <v>88.255120896042698</v>
      </c>
      <c r="AN6644">
        <v>1.00000003194826</v>
      </c>
    </row>
    <row r="6645" spans="1:40" x14ac:dyDescent="0.25">
      <c r="A6645" t="str">
        <f>"20190312160817825"</f>
        <v>20190312160817825</v>
      </c>
      <c r="B6645" t="str">
        <f>"1552378097822497"</f>
        <v>1552378097822497</v>
      </c>
      <c r="C6645" t="s">
        <v>40</v>
      </c>
      <c r="D6645">
        <v>6.3357099999999997</v>
      </c>
      <c r="E6645">
        <v>0.4173635</v>
      </c>
      <c r="F6645" t="s">
        <v>47</v>
      </c>
      <c r="G6645">
        <v>-300.83019999999999</v>
      </c>
      <c r="H6645" s="1">
        <v>-2.7771859999999999E-6</v>
      </c>
      <c r="I6645">
        <v>-34.452129999999997</v>
      </c>
      <c r="J6645">
        <v>-302.97930000000002</v>
      </c>
      <c r="K6645">
        <v>1.1118399999999999</v>
      </c>
      <c r="L6645">
        <v>-21.888210000000001</v>
      </c>
      <c r="M6645">
        <v>-2.1128859999999999E-2</v>
      </c>
      <c r="N6645">
        <v>0</v>
      </c>
      <c r="O6645">
        <v>-0.9996796</v>
      </c>
      <c r="P6645">
        <v>-5.1563820000000003E-2</v>
      </c>
      <c r="Q6645">
        <v>-2.9131850000000001E-2</v>
      </c>
      <c r="R6645">
        <v>-0.99824489999999999</v>
      </c>
      <c r="S6645">
        <v>0.5073242</v>
      </c>
      <c r="T6645">
        <v>-0.26275680000000001</v>
      </c>
      <c r="U6645">
        <v>-3.0257260000000001</v>
      </c>
      <c r="V6645">
        <v>3.0536509999999999E-2</v>
      </c>
      <c r="W6645">
        <v>-1.502791E-2</v>
      </c>
      <c r="X6645">
        <v>0.99942070000000005</v>
      </c>
      <c r="Y6645">
        <v>-0.1855637</v>
      </c>
      <c r="Z6645">
        <v>8.5144910000000004E-2</v>
      </c>
      <c r="AA6645">
        <v>0.97893640000000004</v>
      </c>
      <c r="AB6645">
        <v>25</v>
      </c>
      <c r="AC6645">
        <v>2.14910000000003</v>
      </c>
      <c r="AD6645">
        <v>-1.111842777186</v>
      </c>
      <c r="AE6645">
        <v>-12.5639199999999</v>
      </c>
      <c r="AF6645">
        <v>-2.39587767422814</v>
      </c>
      <c r="AG6645">
        <v>-1.111842777186</v>
      </c>
      <c r="AH6645">
        <v>12.4211928585846</v>
      </c>
      <c r="AI6645">
        <v>95.022914741923699</v>
      </c>
      <c r="AJ6645">
        <v>100.917491950241</v>
      </c>
      <c r="AK6645">
        <v>12.698915552959599</v>
      </c>
      <c r="AL6645">
        <v>90.861068207871995</v>
      </c>
      <c r="AM6645">
        <v>88.249917184337207</v>
      </c>
      <c r="AN6645">
        <v>1.00000002605521</v>
      </c>
    </row>
    <row r="6646" spans="1:40" x14ac:dyDescent="0.25">
      <c r="A6646" t="str">
        <f>"20190312160817847"</f>
        <v>20190312160817847</v>
      </c>
      <c r="B6646" t="str">
        <f>"1552378097842031"</f>
        <v>1552378097842031</v>
      </c>
      <c r="C6646" t="s">
        <v>40</v>
      </c>
      <c r="D6646">
        <v>6.3829669999999998</v>
      </c>
      <c r="E6646">
        <v>0.41756769999999999</v>
      </c>
      <c r="F6646" t="s">
        <v>47</v>
      </c>
      <c r="G6646">
        <v>-300.81900000000002</v>
      </c>
      <c r="H6646" s="1">
        <v>-2.6763640000000002E-6</v>
      </c>
      <c r="I6646">
        <v>-34.68018</v>
      </c>
      <c r="J6646">
        <v>-302.98090000000002</v>
      </c>
      <c r="K6646">
        <v>1.1118059999999901</v>
      </c>
      <c r="L6646">
        <v>-22.145289999999999</v>
      </c>
      <c r="M6646">
        <v>-1.7874729999999998E-2</v>
      </c>
      <c r="N6646">
        <v>0</v>
      </c>
      <c r="O6646">
        <v>-0.9997431</v>
      </c>
      <c r="P6646">
        <v>-4.811232E-2</v>
      </c>
      <c r="Q6646">
        <v>-2.841051E-2</v>
      </c>
      <c r="R6646">
        <v>-0.99843780000000004</v>
      </c>
      <c r="S6646">
        <v>0.51068119999999995</v>
      </c>
      <c r="T6646">
        <v>-0.26283669999999998</v>
      </c>
      <c r="U6646">
        <v>-3.023987</v>
      </c>
      <c r="V6646">
        <v>3.0329020000000002E-2</v>
      </c>
      <c r="W6646">
        <v>-1.4316010000000001E-2</v>
      </c>
      <c r="X6646">
        <v>0.99943749999999998</v>
      </c>
      <c r="Y6646">
        <v>-0.1835126</v>
      </c>
      <c r="Z6646">
        <v>8.5235599999999995E-2</v>
      </c>
      <c r="AA6646">
        <v>0.97931509999999999</v>
      </c>
      <c r="AB6646">
        <v>25</v>
      </c>
      <c r="AC6646">
        <v>2.1619000000000002</v>
      </c>
      <c r="AD6646">
        <v>-1.1118086763639901</v>
      </c>
      <c r="AE6646">
        <v>-12.5348899999999</v>
      </c>
      <c r="AF6646">
        <v>-2.3675462044873701</v>
      </c>
      <c r="AG6646">
        <v>-1.1118086763639901</v>
      </c>
      <c r="AH6646">
        <v>12.399508558900299</v>
      </c>
      <c r="AI6646">
        <v>95.033305036505993</v>
      </c>
      <c r="AJ6646">
        <v>100.80986846293099</v>
      </c>
      <c r="AK6646">
        <v>12.6723796528301</v>
      </c>
      <c r="AL6646">
        <v>90.820274926306197</v>
      </c>
      <c r="AM6646">
        <v>88.261830557391804</v>
      </c>
      <c r="AN6646">
        <v>1.0000000570013601</v>
      </c>
    </row>
    <row r="6647" spans="1:40" x14ac:dyDescent="0.25">
      <c r="A6647" t="str">
        <f>"20190312160817869"</f>
        <v>20190312160817869</v>
      </c>
      <c r="B6647" t="str">
        <f>"1552378097862513"</f>
        <v>1552378097862513</v>
      </c>
      <c r="C6647" t="s">
        <v>40</v>
      </c>
      <c r="D6647">
        <v>6.3800949999999998</v>
      </c>
      <c r="E6647">
        <v>0.4179351</v>
      </c>
      <c r="F6647" t="s">
        <v>47</v>
      </c>
      <c r="G6647">
        <v>-300.77730000000003</v>
      </c>
      <c r="H6647" s="1">
        <v>-2.5397110000000001E-6</v>
      </c>
      <c r="I6647">
        <v>-34.972819999999999</v>
      </c>
      <c r="J6647">
        <v>-302.98169999999999</v>
      </c>
      <c r="K6647">
        <v>1.111775</v>
      </c>
      <c r="L6647">
        <v>-22.376650000000001</v>
      </c>
      <c r="M6647">
        <v>-1.498733E-2</v>
      </c>
      <c r="N6647">
        <v>0</v>
      </c>
      <c r="O6647">
        <v>-0.99979050000000003</v>
      </c>
      <c r="P6647">
        <v>-4.3999709999999997E-2</v>
      </c>
      <c r="Q6647">
        <v>-2.8098910000000001E-2</v>
      </c>
      <c r="R6647">
        <v>-0.99863639999999998</v>
      </c>
      <c r="S6647">
        <v>0.51919559999999998</v>
      </c>
      <c r="T6647">
        <v>-0.26194919999999999</v>
      </c>
      <c r="U6647">
        <v>-3.0222470000000001</v>
      </c>
      <c r="V6647">
        <v>2.9096609999999998E-2</v>
      </c>
      <c r="W6647">
        <v>-1.401764E-2</v>
      </c>
      <c r="X6647">
        <v>0.99947830000000004</v>
      </c>
      <c r="Y6647">
        <v>-0.18345130000000001</v>
      </c>
      <c r="Z6647">
        <v>8.4984569999999995E-2</v>
      </c>
      <c r="AA6647">
        <v>0.97934840000000001</v>
      </c>
      <c r="AB6647">
        <v>25</v>
      </c>
      <c r="AC6647">
        <v>2.2043999999999602</v>
      </c>
      <c r="AD6647">
        <v>-1.1117775397109999</v>
      </c>
      <c r="AE6647">
        <v>-12.5961699999999</v>
      </c>
      <c r="AF6647">
        <v>-2.3750013220830799</v>
      </c>
      <c r="AG6647">
        <v>-1.1117775397109999</v>
      </c>
      <c r="AH6647">
        <v>12.4674735907937</v>
      </c>
      <c r="AI6647">
        <v>95.006272817697706</v>
      </c>
      <c r="AJ6647">
        <v>100.78538192142</v>
      </c>
      <c r="AK6647">
        <v>12.740273871265099</v>
      </c>
      <c r="AL6647">
        <v>90.803177923890303</v>
      </c>
      <c r="AM6647">
        <v>88.332487826033201</v>
      </c>
      <c r="AN6647">
        <v>0.99999998955777603</v>
      </c>
    </row>
    <row r="6648" spans="1:40" x14ac:dyDescent="0.25">
      <c r="A6648" t="str">
        <f>"20190312160817890"</f>
        <v>20190312160817890</v>
      </c>
      <c r="B6648" t="str">
        <f>"1552378097882033"</f>
        <v>1552378097882033</v>
      </c>
      <c r="C6648" t="s">
        <v>40</v>
      </c>
      <c r="D6648">
        <v>6.3071460000000004</v>
      </c>
      <c r="E6648">
        <v>0.4314151</v>
      </c>
      <c r="F6648" t="s">
        <v>47</v>
      </c>
      <c r="G6648">
        <v>-300.738</v>
      </c>
      <c r="H6648" s="1">
        <v>-2.4355950000000001E-6</v>
      </c>
      <c r="I6648">
        <v>-35.19117</v>
      </c>
      <c r="J6648">
        <v>-302.9819</v>
      </c>
      <c r="K6648">
        <v>1.1117410000000001</v>
      </c>
      <c r="L6648">
        <v>-22.616849999999999</v>
      </c>
      <c r="M6648">
        <v>-1.202751E-2</v>
      </c>
      <c r="N6648">
        <v>0</v>
      </c>
      <c r="O6648">
        <v>-0.99983069999999996</v>
      </c>
      <c r="P6648">
        <v>-3.9664970000000001E-2</v>
      </c>
      <c r="Q6648">
        <v>-2.7973040000000001E-2</v>
      </c>
      <c r="R6648">
        <v>-0.99882170000000003</v>
      </c>
      <c r="S6648">
        <v>0.52877810000000003</v>
      </c>
      <c r="T6648">
        <v>-0.26201439999999998</v>
      </c>
      <c r="U6648">
        <v>-3.0200200000000001</v>
      </c>
      <c r="V6648">
        <v>2.7715969999999999E-2</v>
      </c>
      <c r="W6648">
        <v>-1.390568E-2</v>
      </c>
      <c r="X6648">
        <v>0.99951909999999999</v>
      </c>
      <c r="Y6648">
        <v>-0.18367790000000001</v>
      </c>
      <c r="Z6648">
        <v>8.5047559999999994E-2</v>
      </c>
      <c r="AA6648">
        <v>0.97930039999999996</v>
      </c>
      <c r="AB6648">
        <v>25</v>
      </c>
      <c r="AC6648">
        <v>2.2438999999999898</v>
      </c>
      <c r="AD6648">
        <v>-1.111743435595</v>
      </c>
      <c r="AE6648">
        <v>-12.57432</v>
      </c>
      <c r="AF6648">
        <v>-2.3769826533407699</v>
      </c>
      <c r="AG6648">
        <v>-1.111743435595</v>
      </c>
      <c r="AH6648">
        <v>12.4520852235348</v>
      </c>
      <c r="AI6648">
        <v>95.011913130262599</v>
      </c>
      <c r="AJ6648">
        <v>100.807193796549</v>
      </c>
      <c r="AK6648">
        <v>12.7255823605462</v>
      </c>
      <c r="AL6648">
        <v>90.796762464999603</v>
      </c>
      <c r="AM6648">
        <v>88.411634875505399</v>
      </c>
      <c r="AN6648">
        <v>0.99999998709705595</v>
      </c>
    </row>
    <row r="6649" spans="1:40" x14ac:dyDescent="0.25">
      <c r="A6649" t="str">
        <f>"20190312160817913"</f>
        <v>20190312160817913</v>
      </c>
      <c r="B6649" t="str">
        <f>"1552378097902529"</f>
        <v>1552378097902529</v>
      </c>
      <c r="C6649" t="s">
        <v>40</v>
      </c>
      <c r="D6649">
        <v>6.3669909999999996</v>
      </c>
      <c r="E6649">
        <v>0.4309886</v>
      </c>
      <c r="F6649" t="s">
        <v>47</v>
      </c>
      <c r="G6649">
        <v>-301.67809999999997</v>
      </c>
      <c r="H6649" s="1">
        <v>-4.1898570000000002E-6</v>
      </c>
      <c r="I6649">
        <v>-31.57582</v>
      </c>
      <c r="J6649">
        <v>-302.98140000000001</v>
      </c>
      <c r="K6649">
        <v>1.1116969999999999</v>
      </c>
      <c r="L6649">
        <v>-22.862369999999999</v>
      </c>
      <c r="M6649">
        <v>-9.0429399999999993E-3</v>
      </c>
      <c r="N6649">
        <v>0</v>
      </c>
      <c r="O6649">
        <v>-0.99986209999999998</v>
      </c>
      <c r="P6649">
        <v>-3.4439589999999999E-2</v>
      </c>
      <c r="Q6649">
        <v>-2.863926E-2</v>
      </c>
      <c r="R6649">
        <v>-0.99899660000000001</v>
      </c>
      <c r="S6649">
        <v>0.43811040000000001</v>
      </c>
      <c r="T6649">
        <v>-0.37357810000000002</v>
      </c>
      <c r="U6649">
        <v>-3.0104679999999999</v>
      </c>
      <c r="V6649">
        <v>2.5473780000000001E-2</v>
      </c>
      <c r="W6649">
        <v>-1.458986E-2</v>
      </c>
      <c r="X6649">
        <v>0.99956900000000004</v>
      </c>
      <c r="Y6649">
        <v>-0.15188309999999999</v>
      </c>
      <c r="Z6649">
        <v>0.1217945</v>
      </c>
      <c r="AA6649">
        <v>0.98086580000000001</v>
      </c>
      <c r="AB6649">
        <v>25</v>
      </c>
      <c r="AC6649">
        <v>1.3033000000000301</v>
      </c>
      <c r="AD6649">
        <v>-1.1117011898569999</v>
      </c>
      <c r="AE6649">
        <v>-8.7134499999999893</v>
      </c>
      <c r="AF6649">
        <v>-1.3603899594395701</v>
      </c>
      <c r="AG6649">
        <v>-1.1117011898569999</v>
      </c>
      <c r="AH6649">
        <v>8.5649392722813804</v>
      </c>
      <c r="AI6649">
        <v>97.304897809324601</v>
      </c>
      <c r="AJ6649">
        <v>99.025037013522805</v>
      </c>
      <c r="AK6649">
        <v>8.7432674164262796</v>
      </c>
      <c r="AL6649">
        <v>90.835967076724501</v>
      </c>
      <c r="AM6649">
        <v>88.540146575240598</v>
      </c>
      <c r="AN6649">
        <v>0.99999998162165304</v>
      </c>
    </row>
    <row r="6650" spans="1:40" x14ac:dyDescent="0.25">
      <c r="A6650" t="str">
        <f>"20190312160817936"</f>
        <v>20190312160817936</v>
      </c>
      <c r="B6650" t="str">
        <f>"1552378097932786"</f>
        <v>1552378097932786</v>
      </c>
      <c r="C6650" t="s">
        <v>40</v>
      </c>
      <c r="D6650">
        <v>6.2564489999999999</v>
      </c>
      <c r="E6650">
        <v>0.43065490000000001</v>
      </c>
      <c r="F6650" t="s">
        <v>47</v>
      </c>
      <c r="G6650">
        <v>-301.50779999999997</v>
      </c>
      <c r="H6650" s="1">
        <v>-3.757422E-6</v>
      </c>
      <c r="I6650">
        <v>-32.587429999999998</v>
      </c>
      <c r="J6650">
        <v>-302.98009999999999</v>
      </c>
      <c r="K6650">
        <v>1.111656</v>
      </c>
      <c r="L6650">
        <v>-23.110140000000001</v>
      </c>
      <c r="M6650">
        <v>-6.0775600000000001E-3</v>
      </c>
      <c r="N6650">
        <v>0</v>
      </c>
      <c r="O6650">
        <v>-0.99988469999999996</v>
      </c>
      <c r="P6650">
        <v>-3.0103129999999999E-2</v>
      </c>
      <c r="Q6650">
        <v>-2.917639E-2</v>
      </c>
      <c r="R6650">
        <v>-0.99912109999999998</v>
      </c>
      <c r="S6650">
        <v>0.45590209999999998</v>
      </c>
      <c r="T6650">
        <v>-0.34395409999999998</v>
      </c>
      <c r="U6650">
        <v>-3.0088810000000001</v>
      </c>
      <c r="V6650">
        <v>2.4101330000000001E-2</v>
      </c>
      <c r="W6650">
        <v>-1.514091E-2</v>
      </c>
      <c r="X6650">
        <v>0.99959489999999995</v>
      </c>
      <c r="Y6650">
        <v>-0.1548687</v>
      </c>
      <c r="Z6650">
        <v>0.11225250000000001</v>
      </c>
      <c r="AA6650">
        <v>0.98153710000000005</v>
      </c>
      <c r="AB6650">
        <v>25</v>
      </c>
      <c r="AC6650">
        <v>1.4723000000000099</v>
      </c>
      <c r="AD6650">
        <v>-1.111659757422</v>
      </c>
      <c r="AE6650">
        <v>-9.47729</v>
      </c>
      <c r="AF6650">
        <v>-1.5095966321663199</v>
      </c>
      <c r="AG6650">
        <v>-1.111659757422</v>
      </c>
      <c r="AH6650">
        <v>9.3426529979569093</v>
      </c>
      <c r="AI6650">
        <v>96.699495005128796</v>
      </c>
      <c r="AJ6650">
        <v>99.178587091847206</v>
      </c>
      <c r="AK6650">
        <v>9.5288947128380297</v>
      </c>
      <c r="AL6650">
        <v>90.867543353082795</v>
      </c>
      <c r="AM6650">
        <v>88.618803488322996</v>
      </c>
      <c r="AN6650">
        <v>1.0000000426847</v>
      </c>
    </row>
    <row r="6651" spans="1:40" x14ac:dyDescent="0.25">
      <c r="A6651" t="str">
        <f>"20190312160817959"</f>
        <v>20190312160817959</v>
      </c>
      <c r="B6651" t="str">
        <f>"1552378097952304"</f>
        <v>1552378097952304</v>
      </c>
      <c r="C6651" t="s">
        <v>40</v>
      </c>
      <c r="D6651">
        <v>6.3660880000000004</v>
      </c>
      <c r="E6651">
        <v>0.43095699999999998</v>
      </c>
      <c r="F6651" t="s">
        <v>47</v>
      </c>
      <c r="G6651">
        <v>-301.38740000000001</v>
      </c>
      <c r="H6651" s="1">
        <v>-3.4262130000000001E-6</v>
      </c>
      <c r="I6651">
        <v>-33.284770000000002</v>
      </c>
      <c r="J6651">
        <v>-302.97820000000002</v>
      </c>
      <c r="K6651">
        <v>1.1116159999999999</v>
      </c>
      <c r="L6651">
        <v>-23.360690000000002</v>
      </c>
      <c r="M6651">
        <v>-3.126939E-3</v>
      </c>
      <c r="N6651">
        <v>0</v>
      </c>
      <c r="O6651">
        <v>-0.99989850000000002</v>
      </c>
      <c r="P6651">
        <v>-2.723248E-2</v>
      </c>
      <c r="Q6651">
        <v>-2.943894E-2</v>
      </c>
      <c r="R6651">
        <v>-0.99919579999999997</v>
      </c>
      <c r="S6651">
        <v>0.47076420000000002</v>
      </c>
      <c r="T6651">
        <v>-0.32856419999999997</v>
      </c>
      <c r="U6651">
        <v>-3.0072329999999998</v>
      </c>
      <c r="V6651">
        <v>2.4179050000000001E-2</v>
      </c>
      <c r="W6651">
        <v>-1.541088E-2</v>
      </c>
      <c r="X6651">
        <v>0.99958880000000006</v>
      </c>
      <c r="Y6651">
        <v>-0.15685639999999901</v>
      </c>
      <c r="Z6651">
        <v>0.107292899999999</v>
      </c>
      <c r="AA6651">
        <v>0.98177610000000004</v>
      </c>
      <c r="AB6651">
        <v>25</v>
      </c>
      <c r="AC6651">
        <v>1.5908</v>
      </c>
      <c r="AD6651">
        <v>-1.1116194262129999</v>
      </c>
      <c r="AE6651">
        <v>-9.92408</v>
      </c>
      <c r="AF6651">
        <v>-1.6022280378261999</v>
      </c>
      <c r="AG6651">
        <v>-1.1116194262129999</v>
      </c>
      <c r="AH6651">
        <v>9.7991885724467593</v>
      </c>
      <c r="AI6651">
        <v>96.3878539428555</v>
      </c>
      <c r="AJ6651">
        <v>99.286044833573101</v>
      </c>
      <c r="AK6651">
        <v>9.9913427081799995</v>
      </c>
      <c r="AL6651">
        <v>90.883013385073895</v>
      </c>
      <c r="AM6651">
        <v>88.614342799689496</v>
      </c>
      <c r="AN6651">
        <v>0.99999994538335701</v>
      </c>
    </row>
    <row r="6652" spans="1:40" x14ac:dyDescent="0.25">
      <c r="A6652" t="str">
        <f>"20190312160817980"</f>
        <v>20190312160817980</v>
      </c>
      <c r="B6652" t="str">
        <f>"1552378097971825"</f>
        <v>1552378097971825</v>
      </c>
      <c r="C6652" t="s">
        <v>40</v>
      </c>
      <c r="D6652">
        <v>6.55009</v>
      </c>
      <c r="E6652">
        <v>0.43231029999999998</v>
      </c>
      <c r="F6652" t="s">
        <v>47</v>
      </c>
      <c r="G6652">
        <v>-301.38580000000002</v>
      </c>
      <c r="H6652" s="1">
        <v>-3.3792920000000002E-6</v>
      </c>
      <c r="I6652">
        <v>-33.393189999999997</v>
      </c>
      <c r="J6652">
        <v>-302.97570000000002</v>
      </c>
      <c r="K6652">
        <v>1.111583</v>
      </c>
      <c r="L6652">
        <v>-23.597169999999998</v>
      </c>
      <c r="M6652">
        <v>-3.7645469999999999E-4</v>
      </c>
      <c r="N6652">
        <v>0</v>
      </c>
      <c r="O6652">
        <v>-0.99990299999999999</v>
      </c>
      <c r="P6652">
        <v>-2.3421730000000002E-2</v>
      </c>
      <c r="Q6652">
        <v>-2.9719590000000001E-2</v>
      </c>
      <c r="R6652">
        <v>-0.9992837</v>
      </c>
      <c r="S6652">
        <v>0.4770508</v>
      </c>
      <c r="T6652">
        <v>-0.33302769999999998</v>
      </c>
      <c r="U6652">
        <v>-3.0056150000000001</v>
      </c>
      <c r="V6652">
        <v>2.311709E-2</v>
      </c>
      <c r="W6652">
        <v>-1.5702919999999999E-2</v>
      </c>
      <c r="X6652">
        <v>0.99960939999999998</v>
      </c>
      <c r="Y6652">
        <v>-0.15619920000000001</v>
      </c>
      <c r="Z6652">
        <v>0.108779399999999</v>
      </c>
      <c r="AA6652">
        <v>0.98171730000000001</v>
      </c>
      <c r="AB6652">
        <v>25</v>
      </c>
      <c r="AC6652">
        <v>1.5899000000000001</v>
      </c>
      <c r="AD6652">
        <v>-1.111586379292</v>
      </c>
      <c r="AE6652">
        <v>-9.7960200000000004</v>
      </c>
      <c r="AF6652">
        <v>-1.5738430253967499</v>
      </c>
      <c r="AG6652">
        <v>-1.111586379292</v>
      </c>
      <c r="AH6652">
        <v>9.6740528667579309</v>
      </c>
      <c r="AI6652">
        <v>96.470430025526696</v>
      </c>
      <c r="AJ6652">
        <v>99.240326830362704</v>
      </c>
      <c r="AK6652">
        <v>9.8640714218848196</v>
      </c>
      <c r="AL6652">
        <v>90.899748051156607</v>
      </c>
      <c r="AM6652">
        <v>88.675206892487594</v>
      </c>
      <c r="AN6652">
        <v>0.99999996705747596</v>
      </c>
    </row>
    <row r="6653" spans="1:40" x14ac:dyDescent="0.25">
      <c r="A6653" t="str">
        <f>"20190312160818026"</f>
        <v>20190312160818026</v>
      </c>
      <c r="B6653" t="str">
        <f>"1552378098022576"</f>
        <v>1552378098022576</v>
      </c>
      <c r="C6653" t="s">
        <v>40</v>
      </c>
      <c r="D6653">
        <v>6.3330529999999996</v>
      </c>
      <c r="E6653">
        <v>0.54475549999999995</v>
      </c>
      <c r="F6653" t="s">
        <v>47</v>
      </c>
      <c r="G6653">
        <v>-301.35680000000002</v>
      </c>
      <c r="H6653" s="1">
        <v>-3.2011850000000002E-6</v>
      </c>
      <c r="I6653">
        <v>-33.79036</v>
      </c>
      <c r="J6653">
        <v>-302.96870000000001</v>
      </c>
      <c r="K6653">
        <v>1.111531</v>
      </c>
      <c r="L6653">
        <v>-24.086269999999999</v>
      </c>
      <c r="M6653">
        <v>5.2089149999999997E-3</v>
      </c>
      <c r="N6653">
        <v>0</v>
      </c>
      <c r="O6653">
        <v>-0.9998899</v>
      </c>
      <c r="P6653">
        <v>-1.7452860000000001E-2</v>
      </c>
      <c r="Q6653">
        <v>-2.974945E-2</v>
      </c>
      <c r="R6653">
        <v>-0.99940530000000005</v>
      </c>
      <c r="S6653">
        <v>0.4770508</v>
      </c>
      <c r="T6653">
        <v>-0.32754830000000001</v>
      </c>
      <c r="U6653">
        <v>-3.0036010000000002</v>
      </c>
      <c r="V6653">
        <v>2.272865E-2</v>
      </c>
      <c r="W6653">
        <v>-1.5747199999999999E-2</v>
      </c>
      <c r="X6653">
        <v>0.9996176</v>
      </c>
      <c r="Y6653">
        <v>-0.15081059999999999</v>
      </c>
      <c r="Z6653">
        <v>0.1071236</v>
      </c>
      <c r="AA6653">
        <v>0.98274139999999999</v>
      </c>
      <c r="AB6653">
        <v>25</v>
      </c>
      <c r="AC6653">
        <v>1.6118999999999899</v>
      </c>
      <c r="AD6653">
        <v>-1.111534201185</v>
      </c>
      <c r="AE6653">
        <v>-9.7040899999999901</v>
      </c>
      <c r="AF6653">
        <v>-1.54164210404073</v>
      </c>
      <c r="AG6653">
        <v>-1.111534201185</v>
      </c>
      <c r="AH6653">
        <v>9.5899133763091093</v>
      </c>
      <c r="AI6653">
        <v>96.528377215021905</v>
      </c>
      <c r="AJ6653">
        <v>99.132541223324793</v>
      </c>
      <c r="AK6653">
        <v>9.7764312109515501</v>
      </c>
      <c r="AL6653">
        <v>90.902285432040998</v>
      </c>
      <c r="AM6653">
        <v>88.697470540477397</v>
      </c>
      <c r="AN6653">
        <v>0.99999995603420999</v>
      </c>
    </row>
    <row r="6654" spans="1:40" x14ac:dyDescent="0.25">
      <c r="A6654" t="str">
        <f>"20190312160818047"</f>
        <v>20190312160818047</v>
      </c>
      <c r="B6654" t="str">
        <f>"1552378098042096"</f>
        <v>1552378098042096</v>
      </c>
      <c r="C6654" t="s">
        <v>40</v>
      </c>
      <c r="D6654">
        <v>6.3118080000000001</v>
      </c>
      <c r="E6654">
        <v>0.54494330000000002</v>
      </c>
      <c r="F6654" t="s">
        <v>44</v>
      </c>
      <c r="G6654">
        <v>-303.07240000000002</v>
      </c>
      <c r="H6654">
        <v>0.95443259999999996</v>
      </c>
      <c r="I6654">
        <v>-24.86908</v>
      </c>
      <c r="J6654">
        <v>-302.96420000000001</v>
      </c>
      <c r="K6654">
        <v>1.1115139999999999</v>
      </c>
      <c r="L6654">
        <v>-24.332339999999999</v>
      </c>
      <c r="M6654">
        <v>7.9702469999999997E-3</v>
      </c>
      <c r="N6654">
        <v>0</v>
      </c>
      <c r="O6654">
        <v>-0.99987170000000003</v>
      </c>
      <c r="P6654">
        <v>-1.4625910000000001E-2</v>
      </c>
      <c r="Q6654">
        <v>-2.9657099999999902E-2</v>
      </c>
      <c r="R6654">
        <v>-0.99945340000000005</v>
      </c>
      <c r="S6654">
        <v>-0.39407350000000002</v>
      </c>
      <c r="T6654">
        <v>-0.59755979999999997</v>
      </c>
      <c r="U6654">
        <v>-2.977112</v>
      </c>
      <c r="V6654">
        <v>2.2660509999999998E-2</v>
      </c>
      <c r="W6654">
        <v>-1.566122E-2</v>
      </c>
      <c r="X6654">
        <v>0.99962059999999997</v>
      </c>
      <c r="Y6654">
        <v>0.1366</v>
      </c>
      <c r="Z6654">
        <v>0.1950424</v>
      </c>
      <c r="AA6654">
        <v>0.97123579999999998</v>
      </c>
      <c r="AB6654">
        <v>24</v>
      </c>
      <c r="AC6654">
        <v>-0.10820000000001</v>
      </c>
      <c r="AD6654">
        <v>-0.15708139999999901</v>
      </c>
      <c r="AE6654">
        <v>-0.53674000000000099</v>
      </c>
      <c r="AF6654">
        <v>0.103921728339916</v>
      </c>
      <c r="AG6654">
        <v>-0.15708139999999901</v>
      </c>
      <c r="AH6654">
        <v>0.49511077421413802</v>
      </c>
      <c r="AI6654">
        <v>107.24952474018301</v>
      </c>
      <c r="AJ6654">
        <v>78.145932812889299</v>
      </c>
      <c r="AK6654">
        <v>0.52972537280183096</v>
      </c>
      <c r="AL6654">
        <v>90.897358441403298</v>
      </c>
      <c r="AM6654">
        <v>88.701378052353306</v>
      </c>
      <c r="AN6654">
        <v>1.0000000582348501</v>
      </c>
    </row>
    <row r="6655" spans="1:40" x14ac:dyDescent="0.25">
      <c r="A6655" t="str">
        <f>"20190312160818070"</f>
        <v>20190312160818070</v>
      </c>
      <c r="B6655" t="str">
        <f>"1552378098062593"</f>
        <v>1552378098062593</v>
      </c>
      <c r="C6655" t="s">
        <v>40</v>
      </c>
      <c r="D6655">
        <v>6.2707610000000003</v>
      </c>
      <c r="E6655">
        <v>0.54281029999999997</v>
      </c>
      <c r="F6655" t="s">
        <v>44</v>
      </c>
      <c r="G6655">
        <v>-303.06220000000002</v>
      </c>
      <c r="H6655">
        <v>0.9531577</v>
      </c>
      <c r="I6655">
        <v>-25.085979999999999</v>
      </c>
      <c r="J6655">
        <v>-302.95920000000001</v>
      </c>
      <c r="K6655">
        <v>1.1114900000000001</v>
      </c>
      <c r="L6655">
        <v>-24.572420000000001</v>
      </c>
      <c r="M6655">
        <v>1.0633500000000001E-2</v>
      </c>
      <c r="N6655">
        <v>0</v>
      </c>
      <c r="O6655">
        <v>-0.99984700000000004</v>
      </c>
      <c r="P6655">
        <v>-1.154795E-2</v>
      </c>
      <c r="Q6655">
        <v>-2.9701109999999999E-2</v>
      </c>
      <c r="R6655">
        <v>-0.99949219999999905</v>
      </c>
      <c r="S6655">
        <v>-0.3866272</v>
      </c>
      <c r="T6655">
        <v>-0.62569750000000002</v>
      </c>
      <c r="U6655">
        <v>-2.977417</v>
      </c>
      <c r="V6655">
        <v>2.2244090000000001E-2</v>
      </c>
      <c r="W6655">
        <v>-1.571293E-2</v>
      </c>
      <c r="X6655">
        <v>0.99962910000000005</v>
      </c>
      <c r="Y6655">
        <v>0.13660549999999999</v>
      </c>
      <c r="Z6655">
        <v>0.20385320000000001</v>
      </c>
      <c r="AA6655">
        <v>0.96942390000000001</v>
      </c>
      <c r="AB6655">
        <v>24</v>
      </c>
      <c r="AC6655">
        <v>-0.103000000000008</v>
      </c>
      <c r="AD6655">
        <v>-0.15833229999999901</v>
      </c>
      <c r="AE6655">
        <v>-0.51355999999999802</v>
      </c>
      <c r="AF6655">
        <v>9.9375189921097895E-2</v>
      </c>
      <c r="AG6655">
        <v>-0.15833229999999901</v>
      </c>
      <c r="AH6655">
        <v>0.46953191321244397</v>
      </c>
      <c r="AI6655">
        <v>108.25798306569401</v>
      </c>
      <c r="AJ6655">
        <v>78.049850760764997</v>
      </c>
      <c r="AK6655">
        <v>0.50537586321477801</v>
      </c>
      <c r="AL6655">
        <v>90.900321608055606</v>
      </c>
      <c r="AM6655">
        <v>88.725245016905703</v>
      </c>
      <c r="AN6655">
        <v>1.0000000166379599</v>
      </c>
    </row>
    <row r="6656" spans="1:40" x14ac:dyDescent="0.25">
      <c r="A6656" t="str">
        <f>"20190312160818091"</f>
        <v>20190312160818091</v>
      </c>
      <c r="B6656" t="str">
        <f>"1552378098082114"</f>
        <v>1552378098082114</v>
      </c>
      <c r="C6656" t="s">
        <v>40</v>
      </c>
      <c r="D6656">
        <v>6.3874829999999996</v>
      </c>
      <c r="E6656">
        <v>0.54074960000000005</v>
      </c>
      <c r="F6656" t="s">
        <v>44</v>
      </c>
      <c r="G6656">
        <v>-303.04880000000003</v>
      </c>
      <c r="H6656">
        <v>0.9668407</v>
      </c>
      <c r="I6656">
        <v>-25.30977</v>
      </c>
      <c r="J6656">
        <v>-302.95370000000003</v>
      </c>
      <c r="K6656">
        <v>1.1114539999999999</v>
      </c>
      <c r="L6656">
        <v>-24.808990000000001</v>
      </c>
      <c r="M6656">
        <v>1.322342E-2</v>
      </c>
      <c r="N6656">
        <v>0</v>
      </c>
      <c r="O6656">
        <v>-0.99981609999999999</v>
      </c>
      <c r="P6656">
        <v>-9.7047409999999994E-3</v>
      </c>
      <c r="Q6656">
        <v>-2.9719220000000001E-2</v>
      </c>
      <c r="R6656">
        <v>-0.99951129999999999</v>
      </c>
      <c r="S6656">
        <v>-0.3614502</v>
      </c>
      <c r="T6656">
        <v>-0.58471059999999997</v>
      </c>
      <c r="U6656">
        <v>-2.9799799999999999</v>
      </c>
      <c r="V6656">
        <v>2.2988829999999998E-2</v>
      </c>
      <c r="W6656">
        <v>-1.5734250000000002E-2</v>
      </c>
      <c r="X6656">
        <v>0.9996119</v>
      </c>
      <c r="Y6656">
        <v>0.13130999999999901</v>
      </c>
      <c r="Z6656">
        <v>0.19100729999999999</v>
      </c>
      <c r="AA6656">
        <v>0.97276609999999997</v>
      </c>
      <c r="AB6656">
        <v>24</v>
      </c>
      <c r="AC6656">
        <v>-9.51000000000021E-2</v>
      </c>
      <c r="AD6656">
        <v>-0.1446133</v>
      </c>
      <c r="AE6656">
        <v>-0.500780000000002</v>
      </c>
      <c r="AF6656">
        <v>9.4137332999388895E-2</v>
      </c>
      <c r="AG6656">
        <v>-0.1446133</v>
      </c>
      <c r="AH6656">
        <v>0.462270850266219</v>
      </c>
      <c r="AI6656">
        <v>107.042443622831</v>
      </c>
      <c r="AJ6656">
        <v>78.489614237746494</v>
      </c>
      <c r="AK6656">
        <v>0.49342596507174302</v>
      </c>
      <c r="AL6656">
        <v>90.901543318485693</v>
      </c>
      <c r="AM6656">
        <v>88.682557906517701</v>
      </c>
      <c r="AN6656">
        <v>1.0000000017747199</v>
      </c>
    </row>
    <row r="6657" spans="1:40" x14ac:dyDescent="0.25">
      <c r="A6657" t="str">
        <f>"20190312160818115"</f>
        <v>20190312160818115</v>
      </c>
      <c r="B6657" t="str">
        <f>"1552378098102609"</f>
        <v>1552378098102609</v>
      </c>
      <c r="C6657" t="s">
        <v>40</v>
      </c>
      <c r="D6657">
        <v>5.7193009999999997</v>
      </c>
      <c r="E6657">
        <v>0.53915139999999995</v>
      </c>
      <c r="F6657" t="s">
        <v>44</v>
      </c>
      <c r="G6657">
        <v>-303.03609999999998</v>
      </c>
      <c r="H6657">
        <v>0.97437050000000003</v>
      </c>
      <c r="I6657">
        <v>-25.530380000000001</v>
      </c>
      <c r="J6657">
        <v>-302.94749999999999</v>
      </c>
      <c r="K6657">
        <v>1.1114299999999999</v>
      </c>
      <c r="L6657">
        <v>-25.05273</v>
      </c>
      <c r="M6657">
        <v>1.5859229999999998E-2</v>
      </c>
      <c r="N6657">
        <v>0</v>
      </c>
      <c r="O6657">
        <v>-0.9997779</v>
      </c>
      <c r="P6657">
        <v>-7.9387209999999993E-3</v>
      </c>
      <c r="Q6657">
        <v>-2.9371680000000001E-2</v>
      </c>
      <c r="R6657">
        <v>-0.99953720000000001</v>
      </c>
      <c r="S6657">
        <v>-0.34021000000000001</v>
      </c>
      <c r="T6657">
        <v>-0.56657100000000005</v>
      </c>
      <c r="U6657">
        <v>-2.9813230000000002</v>
      </c>
      <c r="V6657">
        <v>2.385526E-2</v>
      </c>
      <c r="W6657">
        <v>-1.538979E-2</v>
      </c>
      <c r="X6657">
        <v>0.99959699999999996</v>
      </c>
      <c r="Y6657">
        <v>0.12715679999999999</v>
      </c>
      <c r="Z6657">
        <v>0.18532399999999999</v>
      </c>
      <c r="AA6657">
        <v>0.97441580000000005</v>
      </c>
      <c r="AB6657">
        <v>24</v>
      </c>
      <c r="AC6657">
        <v>-8.8599999999985302E-2</v>
      </c>
      <c r="AD6657">
        <v>-0.137059499999999</v>
      </c>
      <c r="AE6657">
        <v>-0.47764999999999702</v>
      </c>
      <c r="AF6657">
        <v>8.9074510171991902E-2</v>
      </c>
      <c r="AG6657">
        <v>-0.137059499999999</v>
      </c>
      <c r="AH6657">
        <v>0.44107551396613498</v>
      </c>
      <c r="AI6657">
        <v>106.94022699788199</v>
      </c>
      <c r="AJ6657">
        <v>78.582764439227603</v>
      </c>
      <c r="AK6657">
        <v>0.47039045900519799</v>
      </c>
      <c r="AL6657">
        <v>90.8818047896076</v>
      </c>
      <c r="AM6657">
        <v>88.632902734018998</v>
      </c>
      <c r="AN6657">
        <v>1.0000000407374501</v>
      </c>
    </row>
    <row r="6658" spans="1:40" x14ac:dyDescent="0.25">
      <c r="A6658" t="str">
        <f>"20190312160818136"</f>
        <v>20190312160818136</v>
      </c>
      <c r="B6658" t="str">
        <f>"1552378098131888"</f>
        <v>1552378098131888</v>
      </c>
      <c r="C6658" t="s">
        <v>40</v>
      </c>
      <c r="D6658">
        <v>6.37819</v>
      </c>
      <c r="E6658">
        <v>0.53968619999999901</v>
      </c>
      <c r="F6658" t="s">
        <v>44</v>
      </c>
      <c r="G6658">
        <v>-303.04489999999998</v>
      </c>
      <c r="H6658">
        <v>0.94542559999999998</v>
      </c>
      <c r="I6658">
        <v>-25.950610000000001</v>
      </c>
      <c r="J6658">
        <v>-302.94060000000002</v>
      </c>
      <c r="K6658">
        <v>1.1114090000000001</v>
      </c>
      <c r="L6658">
        <v>-25.294039999999999</v>
      </c>
      <c r="M6658">
        <v>1.8435710000000001E-2</v>
      </c>
      <c r="N6658">
        <v>0</v>
      </c>
      <c r="O6658">
        <v>-0.9997336</v>
      </c>
      <c r="P6658">
        <v>-6.1523840000000003E-3</v>
      </c>
      <c r="Q6658">
        <v>-2.9609650000000001E-2</v>
      </c>
      <c r="R6658">
        <v>-0.99954270000000001</v>
      </c>
      <c r="S6658">
        <v>-0.32266240000000002</v>
      </c>
      <c r="T6658">
        <v>-0.55165529999999996</v>
      </c>
      <c r="U6658">
        <v>-2.982605</v>
      </c>
      <c r="V6658">
        <v>2.4644470000000002E-2</v>
      </c>
      <c r="W6658">
        <v>-1.5631140000000002E-2</v>
      </c>
      <c r="X6658">
        <v>0.99957410000000002</v>
      </c>
      <c r="Y6658">
        <v>0.12409580000000001</v>
      </c>
      <c r="Z6658">
        <v>0.18061279999999999</v>
      </c>
      <c r="AA6658">
        <v>0.97569419999999996</v>
      </c>
      <c r="AB6658">
        <v>24</v>
      </c>
      <c r="AC6658">
        <v>-0.104299999999966</v>
      </c>
      <c r="AD6658">
        <v>-0.1659834</v>
      </c>
      <c r="AE6658">
        <v>-0.65657000000000199</v>
      </c>
      <c r="AF6658">
        <v>0.10955827198401399</v>
      </c>
      <c r="AG6658">
        <v>-0.1659834</v>
      </c>
      <c r="AH6658">
        <v>0.61612798378510103</v>
      </c>
      <c r="AI6658">
        <v>104.854912544915</v>
      </c>
      <c r="AJ6658">
        <v>79.917201767300995</v>
      </c>
      <c r="AK6658">
        <v>0.64743122911918305</v>
      </c>
      <c r="AL6658">
        <v>90.895634797038397</v>
      </c>
      <c r="AM6658">
        <v>88.587660368801593</v>
      </c>
      <c r="AN6658">
        <v>1.0000000319150399</v>
      </c>
    </row>
    <row r="6659" spans="1:40" x14ac:dyDescent="0.25">
      <c r="A6659" t="str">
        <f>"20190312160818159"</f>
        <v>20190312160818159</v>
      </c>
      <c r="B6659" t="str">
        <f>"1552378098152385"</f>
        <v>1552378098152385</v>
      </c>
      <c r="C6659" t="s">
        <v>40</v>
      </c>
      <c r="D6659">
        <v>6.2332280000000004</v>
      </c>
      <c r="E6659">
        <v>0.54016330000000001</v>
      </c>
      <c r="F6659" t="s">
        <v>44</v>
      </c>
      <c r="G6659">
        <v>-303.03519999999997</v>
      </c>
      <c r="H6659">
        <v>0.9519031</v>
      </c>
      <c r="I6659">
        <v>-26.169910000000002</v>
      </c>
      <c r="J6659">
        <v>-302.93310000000002</v>
      </c>
      <c r="K6659">
        <v>1.111391</v>
      </c>
      <c r="L6659">
        <v>-25.537410000000001</v>
      </c>
      <c r="M6659">
        <v>2.1010339999999999E-2</v>
      </c>
      <c r="N6659">
        <v>0</v>
      </c>
      <c r="O6659">
        <v>-0.99968310000000005</v>
      </c>
      <c r="P6659">
        <v>-3.212936E-3</v>
      </c>
      <c r="Q6659">
        <v>-2.8810209999999999E-2</v>
      </c>
      <c r="R6659">
        <v>-0.99957980000000002</v>
      </c>
      <c r="S6659">
        <v>-0.32168580000000002</v>
      </c>
      <c r="T6659">
        <v>-0.54336459999999998</v>
      </c>
      <c r="U6659">
        <v>-2.9833069999999999</v>
      </c>
      <c r="V6659">
        <v>2.427578E-2</v>
      </c>
      <c r="W6659">
        <v>-1.4838560000000001E-2</v>
      </c>
      <c r="X6659">
        <v>0.99959520000000002</v>
      </c>
      <c r="Y6659">
        <v>0.12636269999999999</v>
      </c>
      <c r="Z6659">
        <v>0.17790919999999999</v>
      </c>
      <c r="AA6659">
        <v>0.97589999999999999</v>
      </c>
      <c r="AB6659">
        <v>24</v>
      </c>
      <c r="AC6659">
        <v>-0.10209999999994999</v>
      </c>
      <c r="AD6659">
        <v>-0.15948789999999999</v>
      </c>
      <c r="AE6659">
        <v>-0.63249999999999995</v>
      </c>
      <c r="AF6659">
        <v>0.10863589915536</v>
      </c>
      <c r="AG6659">
        <v>-0.15948789999999999</v>
      </c>
      <c r="AH6659">
        <v>0.59344103602613596</v>
      </c>
      <c r="AI6659">
        <v>104.807854236677</v>
      </c>
      <c r="AJ6659">
        <v>79.626240031595103</v>
      </c>
      <c r="AK6659">
        <v>0.62402757316602298</v>
      </c>
      <c r="AL6659">
        <v>90.850218038970695</v>
      </c>
      <c r="AM6659">
        <v>88.608810458026298</v>
      </c>
      <c r="AN6659">
        <v>1.0000000301102601</v>
      </c>
    </row>
    <row r="6660" spans="1:40" x14ac:dyDescent="0.25">
      <c r="A6660" t="str">
        <f>"20190312160818181"</f>
        <v>20190312160818181</v>
      </c>
      <c r="B6660" t="str">
        <f>"1552378098171905"</f>
        <v>1552378098171905</v>
      </c>
      <c r="C6660" t="s">
        <v>40</v>
      </c>
      <c r="D6660">
        <v>5.7184480000000004</v>
      </c>
      <c r="E6660">
        <v>0.5391534</v>
      </c>
      <c r="F6660" t="s">
        <v>44</v>
      </c>
      <c r="G6660">
        <v>-303.02390000000003</v>
      </c>
      <c r="H6660">
        <v>0.9582292</v>
      </c>
      <c r="I6660">
        <v>-26.388819999999999</v>
      </c>
      <c r="J6660">
        <v>-302.92520000000002</v>
      </c>
      <c r="K6660">
        <v>1.111375</v>
      </c>
      <c r="L6660">
        <v>-25.774899999999999</v>
      </c>
      <c r="M6660">
        <v>2.350155E-2</v>
      </c>
      <c r="N6660">
        <v>0</v>
      </c>
      <c r="O6660">
        <v>-0.9996275</v>
      </c>
      <c r="P6660">
        <v>3.4267260000000002E-4</v>
      </c>
      <c r="Q6660">
        <v>-2.8421559999999998E-2</v>
      </c>
      <c r="R6660">
        <v>-0.99959620000000005</v>
      </c>
      <c r="S6660">
        <v>-0.31741329999999901</v>
      </c>
      <c r="T6660">
        <v>-0.53712139999999997</v>
      </c>
      <c r="U6660">
        <v>-2.984772</v>
      </c>
      <c r="V6660">
        <v>2.320964E-2</v>
      </c>
      <c r="W6660">
        <v>-1.4458769999999999E-2</v>
      </c>
      <c r="X6660">
        <v>0.99962600000000001</v>
      </c>
      <c r="Y6660">
        <v>0.12744130000000001</v>
      </c>
      <c r="Z6660">
        <v>0.17583199999999999</v>
      </c>
      <c r="AA6660">
        <v>0.97613609999999995</v>
      </c>
      <c r="AB6660">
        <v>24</v>
      </c>
      <c r="AC6660">
        <v>-9.8700000000008004E-2</v>
      </c>
      <c r="AD6660">
        <v>-0.1531458</v>
      </c>
      <c r="AE6660">
        <v>-0.61392000000000302</v>
      </c>
      <c r="AF6660">
        <v>0.106633766442174</v>
      </c>
      <c r="AG6660">
        <v>-0.1531458</v>
      </c>
      <c r="AH6660">
        <v>0.57646224748110297</v>
      </c>
      <c r="AI6660">
        <v>104.64037680347801</v>
      </c>
      <c r="AJ6660">
        <v>79.519911006424806</v>
      </c>
      <c r="AK6660">
        <v>0.60591510871924004</v>
      </c>
      <c r="AL6660">
        <v>90.828455413604402</v>
      </c>
      <c r="AM6660">
        <v>88.669927022887606</v>
      </c>
      <c r="AN6660">
        <v>0.99999994164741901</v>
      </c>
    </row>
    <row r="6661" spans="1:40" x14ac:dyDescent="0.25">
      <c r="A6661" t="str">
        <f>"20190312160818204"</f>
        <v>20190312160818204</v>
      </c>
      <c r="B6661" t="str">
        <f>"1552378098192401"</f>
        <v>1552378098192401</v>
      </c>
      <c r="C6661" t="s">
        <v>40</v>
      </c>
      <c r="D6661">
        <v>5.7454919999999996</v>
      </c>
      <c r="E6661">
        <v>0.53875039999999996</v>
      </c>
      <c r="F6661" t="s">
        <v>44</v>
      </c>
      <c r="G6661">
        <v>-303.00839999999999</v>
      </c>
      <c r="H6661">
        <v>0.96314690000000003</v>
      </c>
      <c r="I6661">
        <v>-26.60661</v>
      </c>
      <c r="J6661">
        <v>-302.91660000000002</v>
      </c>
      <c r="K6661">
        <v>1.111359</v>
      </c>
      <c r="L6661">
        <v>-26.018339999999998</v>
      </c>
      <c r="M6661">
        <v>2.6036190000000001E-2</v>
      </c>
      <c r="N6661">
        <v>0</v>
      </c>
      <c r="O6661">
        <v>-0.99956489999999998</v>
      </c>
      <c r="P6661">
        <v>3.8397380000000001E-3</v>
      </c>
      <c r="Q6661">
        <v>-2.8983950000000001E-2</v>
      </c>
      <c r="R6661">
        <v>-0.99957260000000003</v>
      </c>
      <c r="S6661">
        <v>-0.29891970000000001</v>
      </c>
      <c r="T6661">
        <v>-0.5321285</v>
      </c>
      <c r="U6661">
        <v>-2.9861759999999999</v>
      </c>
      <c r="V6661">
        <v>2.2248779999999999E-2</v>
      </c>
      <c r="W6661">
        <v>-1.502965E-2</v>
      </c>
      <c r="X6661">
        <v>0.99963950000000001</v>
      </c>
      <c r="Y6661">
        <v>0.12395299999999999</v>
      </c>
      <c r="Z6661">
        <v>0.1742446</v>
      </c>
      <c r="AA6661">
        <v>0.97686969999999995</v>
      </c>
      <c r="AB6661">
        <v>24</v>
      </c>
      <c r="AC6661">
        <v>-9.1799999999977899E-2</v>
      </c>
      <c r="AD6661">
        <v>-0.14821209999999899</v>
      </c>
      <c r="AE6661">
        <v>-0.58826999999999696</v>
      </c>
      <c r="AF6661">
        <v>0.100837966905669</v>
      </c>
      <c r="AG6661">
        <v>-0.14821209999999899</v>
      </c>
      <c r="AH6661">
        <v>0.55150475400232901</v>
      </c>
      <c r="AI6661">
        <v>104.80789034041</v>
      </c>
      <c r="AJ6661">
        <v>79.638407126760299</v>
      </c>
      <c r="AK6661">
        <v>0.57990742006224405</v>
      </c>
      <c r="AL6661">
        <v>90.861167923931504</v>
      </c>
      <c r="AM6661">
        <v>88.724989593716302</v>
      </c>
      <c r="AN6661">
        <v>1.0000000142754299</v>
      </c>
    </row>
    <row r="6662" spans="1:40" x14ac:dyDescent="0.25">
      <c r="A6662" t="str">
        <f>"20190312160818227"</f>
        <v>20190312160818227</v>
      </c>
      <c r="B6662" t="str">
        <f>"1552378098222658"</f>
        <v>1552378098222658</v>
      </c>
      <c r="C6662" t="s">
        <v>40</v>
      </c>
      <c r="D6662">
        <v>6.2097519999999999</v>
      </c>
      <c r="E6662">
        <v>0.53795369999999998</v>
      </c>
      <c r="F6662" t="s">
        <v>44</v>
      </c>
      <c r="G6662">
        <v>-302.99349999999998</v>
      </c>
      <c r="H6662">
        <v>0.96623669999999995</v>
      </c>
      <c r="I6662">
        <v>-26.823250000000002</v>
      </c>
      <c r="J6662">
        <v>-302.90679999999998</v>
      </c>
      <c r="K6662">
        <v>1.1113459999999999</v>
      </c>
      <c r="L6662">
        <v>-26.273040000000002</v>
      </c>
      <c r="M6662">
        <v>2.8669460000000001E-2</v>
      </c>
      <c r="N6662">
        <v>0</v>
      </c>
      <c r="O6662">
        <v>-0.99949290000000002</v>
      </c>
      <c r="P6662">
        <v>7.1388060000000001E-3</v>
      </c>
      <c r="Q6662">
        <v>-2.9541100000000001E-2</v>
      </c>
      <c r="R6662">
        <v>-0.99953829999999999</v>
      </c>
      <c r="S6662">
        <v>-0.28485110000000002</v>
      </c>
      <c r="T6662">
        <v>-0.53866000000000003</v>
      </c>
      <c r="U6662">
        <v>-2.986755</v>
      </c>
      <c r="V6662">
        <v>2.158446E-2</v>
      </c>
      <c r="W6662">
        <v>-1.55942999999999E-2</v>
      </c>
      <c r="X6662">
        <v>0.99964540000000002</v>
      </c>
      <c r="Y6662">
        <v>0.1219544</v>
      </c>
      <c r="Z6662">
        <v>0.1763255</v>
      </c>
      <c r="AA6662">
        <v>0.9767479</v>
      </c>
      <c r="AB6662">
        <v>24</v>
      </c>
      <c r="AC6662">
        <v>-8.6700000000007493E-2</v>
      </c>
      <c r="AD6662">
        <v>-0.145109299999999</v>
      </c>
      <c r="AE6662">
        <v>-0.55020999999999898</v>
      </c>
      <c r="AF6662">
        <v>9.5929314261008994E-2</v>
      </c>
      <c r="AG6662">
        <v>-0.145109299999999</v>
      </c>
      <c r="AH6662">
        <v>0.51270061879581497</v>
      </c>
      <c r="AI6662">
        <v>105.546645410262</v>
      </c>
      <c r="AJ6662">
        <v>79.402159286380595</v>
      </c>
      <c r="AK6662">
        <v>0.54140656330957804</v>
      </c>
      <c r="AL6662">
        <v>90.893523793210903</v>
      </c>
      <c r="AM6662">
        <v>88.763055055488095</v>
      </c>
      <c r="AN6662">
        <v>0.99999999842357001</v>
      </c>
    </row>
    <row r="6663" spans="1:40" x14ac:dyDescent="0.25">
      <c r="A6663" t="str">
        <f>"20190312160818255"</f>
        <v>20190312160818255</v>
      </c>
      <c r="B6663" t="str">
        <f>"1552378098242177"</f>
        <v>1552378098242177</v>
      </c>
      <c r="C6663" t="s">
        <v>40</v>
      </c>
      <c r="D6663">
        <v>7.2432020000000001</v>
      </c>
      <c r="E6663">
        <v>0.53732340000000001</v>
      </c>
      <c r="F6663" t="s">
        <v>44</v>
      </c>
      <c r="G6663">
        <v>-302.97559999999999</v>
      </c>
      <c r="H6663">
        <v>0.97181019999999896</v>
      </c>
      <c r="I6663">
        <v>-27.040690000000001</v>
      </c>
      <c r="J6663">
        <v>-302.89460000000003</v>
      </c>
      <c r="K6663">
        <v>1.1113309999999901</v>
      </c>
      <c r="L6663">
        <v>-26.57358</v>
      </c>
      <c r="M6663">
        <v>3.1756489999999998E-2</v>
      </c>
      <c r="N6663">
        <v>0</v>
      </c>
      <c r="O6663">
        <v>-0.99939940000000005</v>
      </c>
      <c r="P6663">
        <v>1.0013559999999999E-2</v>
      </c>
      <c r="Q6663">
        <v>-2.9371189999999998E-2</v>
      </c>
      <c r="R6663">
        <v>-0.99951849999999998</v>
      </c>
      <c r="S6663">
        <v>-0.2680054</v>
      </c>
      <c r="T6663">
        <v>-0.54293859999999905</v>
      </c>
      <c r="U6663">
        <v>-2.987244</v>
      </c>
      <c r="V6663">
        <v>2.1795769999999999E-2</v>
      </c>
      <c r="W6663">
        <v>-1.5429409999999999E-2</v>
      </c>
      <c r="X6663">
        <v>0.99964339999999996</v>
      </c>
      <c r="Y6663">
        <v>0.1195204</v>
      </c>
      <c r="Z6663">
        <v>0.17769969999999999</v>
      </c>
      <c r="AA6663">
        <v>0.97679970000000005</v>
      </c>
      <c r="AB6663">
        <v>24</v>
      </c>
      <c r="AC6663">
        <v>-8.0999999999960395E-2</v>
      </c>
      <c r="AD6663">
        <v>-0.139520799999999</v>
      </c>
      <c r="AE6663">
        <v>-0.46711000000000102</v>
      </c>
      <c r="AF6663">
        <v>8.8158818883374804E-2</v>
      </c>
      <c r="AG6663">
        <v>-0.139520799999999</v>
      </c>
      <c r="AH6663">
        <v>0.42729353106580198</v>
      </c>
      <c r="AI6663">
        <v>107.73359015910199</v>
      </c>
      <c r="AJ6663">
        <v>78.342361601324598</v>
      </c>
      <c r="AK6663">
        <v>0.45805872185805302</v>
      </c>
      <c r="AL6663">
        <v>90.884075132025799</v>
      </c>
      <c r="AM6663">
        <v>88.750946790770897</v>
      </c>
      <c r="AN6663">
        <v>1.0000000247231999</v>
      </c>
    </row>
    <row r="6664" spans="1:40" x14ac:dyDescent="0.25">
      <c r="A6664" t="str">
        <f>"20190312160818271"</f>
        <v>20190312160818271</v>
      </c>
      <c r="B6664" t="str">
        <f>"1552378098261697"</f>
        <v>1552378098261697</v>
      </c>
      <c r="C6664" t="s">
        <v>40</v>
      </c>
      <c r="D6664">
        <v>5.9959339999999903</v>
      </c>
      <c r="E6664">
        <v>0.53686590000000001</v>
      </c>
      <c r="F6664" t="s">
        <v>44</v>
      </c>
      <c r="G6664">
        <v>-302.97019999999998</v>
      </c>
      <c r="H6664">
        <v>0.94929410000000003</v>
      </c>
      <c r="I6664">
        <v>-27.459890000000001</v>
      </c>
      <c r="J6664">
        <v>-302.88690000000003</v>
      </c>
      <c r="K6664">
        <v>1.111318</v>
      </c>
      <c r="L6664">
        <v>-26.750119999999999</v>
      </c>
      <c r="M6664">
        <v>3.3558259999999999E-2</v>
      </c>
      <c r="N6664">
        <v>0</v>
      </c>
      <c r="O6664">
        <v>-0.99934069999999997</v>
      </c>
      <c r="P6664">
        <v>1.0644010000000001E-2</v>
      </c>
      <c r="Q6664">
        <v>-2.9772099999999999E-2</v>
      </c>
      <c r="R6664">
        <v>-0.99950019999999995</v>
      </c>
      <c r="S6664">
        <v>-0.254303</v>
      </c>
      <c r="T6664">
        <v>-0.54642749999999995</v>
      </c>
      <c r="U6664">
        <v>-2.987946</v>
      </c>
      <c r="V6664">
        <v>2.2967810000000002E-2</v>
      </c>
      <c r="W6664">
        <v>-1.582975E-2</v>
      </c>
      <c r="X6664">
        <v>0.99961089999999997</v>
      </c>
      <c r="Y6664">
        <v>0.116826399999999</v>
      </c>
      <c r="Z6664">
        <v>0.17881179999999999</v>
      </c>
      <c r="AA6664">
        <v>0.97692270000000003</v>
      </c>
      <c r="AB6664">
        <v>24</v>
      </c>
      <c r="AC6664">
        <v>-8.3299999999951496E-2</v>
      </c>
      <c r="AD6664">
        <v>-0.1620239</v>
      </c>
      <c r="AE6664">
        <v>-0.70976999999999801</v>
      </c>
      <c r="AF6664">
        <v>0.10183924413673499</v>
      </c>
      <c r="AG6664">
        <v>-0.1620239</v>
      </c>
      <c r="AH6664">
        <v>0.67203062240438005</v>
      </c>
      <c r="AI6664">
        <v>103.407638811572</v>
      </c>
      <c r="AJ6664">
        <v>81.382983092877893</v>
      </c>
      <c r="AK6664">
        <v>0.698747546161537</v>
      </c>
      <c r="AL6664">
        <v>90.907015724694105</v>
      </c>
      <c r="AM6664">
        <v>88.683760778799297</v>
      </c>
      <c r="AN6664">
        <v>1.0000000263400299</v>
      </c>
    </row>
    <row r="6665" spans="1:40" x14ac:dyDescent="0.25">
      <c r="A6665" t="str">
        <f>"20190312160818292"</f>
        <v>20190312160818292</v>
      </c>
      <c r="B6665" t="str">
        <f>"1552378098282193"</f>
        <v>1552378098282193</v>
      </c>
      <c r="C6665" t="s">
        <v>40</v>
      </c>
      <c r="D6665">
        <v>5.9511079999999996</v>
      </c>
      <c r="E6665">
        <v>0.53655240000000004</v>
      </c>
      <c r="F6665" t="s">
        <v>44</v>
      </c>
      <c r="G6665">
        <v>-302.94729999999998</v>
      </c>
      <c r="H6665">
        <v>0.97871109999999994</v>
      </c>
      <c r="I6665">
        <v>-27.473030000000001</v>
      </c>
      <c r="J6665">
        <v>-302.8768</v>
      </c>
      <c r="K6665">
        <v>1.111297</v>
      </c>
      <c r="L6665">
        <v>-26.973479999999999</v>
      </c>
      <c r="M6665">
        <v>3.5828209999999999E-2</v>
      </c>
      <c r="N6665">
        <v>0</v>
      </c>
      <c r="O6665">
        <v>-0.99926219999999999</v>
      </c>
      <c r="P6665">
        <v>1.201174E-2</v>
      </c>
      <c r="Q6665">
        <v>-2.9891919999999999E-2</v>
      </c>
      <c r="R6665">
        <v>-0.99948119999999996</v>
      </c>
      <c r="S6665">
        <v>-0.24874879999999999</v>
      </c>
      <c r="T6665">
        <v>-0.54826450000000004</v>
      </c>
      <c r="U6665">
        <v>-2.9878230000000001</v>
      </c>
      <c r="V6665">
        <v>2.387003E-2</v>
      </c>
      <c r="W6665">
        <v>-1.5950780000000001E-2</v>
      </c>
      <c r="X6665">
        <v>0.99958780000000003</v>
      </c>
      <c r="Y6665">
        <v>0.11727319999999999</v>
      </c>
      <c r="Z6665">
        <v>0.17938799999999999</v>
      </c>
      <c r="AA6665">
        <v>0.97676350000000001</v>
      </c>
      <c r="AB6665">
        <v>24</v>
      </c>
      <c r="AC6665">
        <v>-7.04999999999813E-2</v>
      </c>
      <c r="AD6665">
        <v>-0.13258590000000001</v>
      </c>
      <c r="AE6665">
        <v>-0.49954999999999899</v>
      </c>
      <c r="AF6665">
        <v>8.26462744329092E-2</v>
      </c>
      <c r="AG6665">
        <v>-0.13258590000000001</v>
      </c>
      <c r="AH6665">
        <v>0.46461351352862401</v>
      </c>
      <c r="AI6665">
        <v>105.693119255255</v>
      </c>
      <c r="AJ6665">
        <v>79.913626309949194</v>
      </c>
      <c r="AK6665">
        <v>0.49017868630721101</v>
      </c>
      <c r="AL6665">
        <v>90.913951143575204</v>
      </c>
      <c r="AM6665">
        <v>88.632044030880905</v>
      </c>
      <c r="AN6665">
        <v>0.99999998781182398</v>
      </c>
    </row>
    <row r="6666" spans="1:40" x14ac:dyDescent="0.25">
      <c r="A6666" t="str">
        <f>"20190312160818315"</f>
        <v>20190312160818315</v>
      </c>
      <c r="B6666" t="str">
        <f>"1552378098312068"</f>
        <v>1552378098312068</v>
      </c>
      <c r="C6666" t="s">
        <v>40</v>
      </c>
      <c r="D6666">
        <v>5.8896470000000001</v>
      </c>
      <c r="E6666">
        <v>0.53701940000000004</v>
      </c>
      <c r="F6666" t="s">
        <v>44</v>
      </c>
      <c r="G6666">
        <v>-302.93509999999998</v>
      </c>
      <c r="H6666">
        <v>0.97985199999999995</v>
      </c>
      <c r="I6666">
        <v>-27.687750000000001</v>
      </c>
      <c r="J6666">
        <v>-302.86540000000002</v>
      </c>
      <c r="K6666">
        <v>1.111278</v>
      </c>
      <c r="L6666">
        <v>-27.213290000000001</v>
      </c>
      <c r="M6666">
        <v>3.8246290000000002E-2</v>
      </c>
      <c r="N6666">
        <v>0</v>
      </c>
      <c r="O6666">
        <v>-0.99917230000000001</v>
      </c>
      <c r="P6666">
        <v>1.435587E-2</v>
      </c>
      <c r="Q6666">
        <v>-2.9936230000000001E-2</v>
      </c>
      <c r="R6666">
        <v>-0.99944880000000003</v>
      </c>
      <c r="S6666">
        <v>-0.24246219999999999</v>
      </c>
      <c r="T6666">
        <v>-0.55014540000000001</v>
      </c>
      <c r="U6666">
        <v>-2.9880070000000001</v>
      </c>
      <c r="V6666">
        <v>2.394404E-2</v>
      </c>
      <c r="W6666">
        <v>-1.599954E-2</v>
      </c>
      <c r="X6666">
        <v>0.99958530000000001</v>
      </c>
      <c r="Y6666">
        <v>0.11762110000000001</v>
      </c>
      <c r="Z6666">
        <v>0.1799597</v>
      </c>
      <c r="AA6666">
        <v>0.9766165</v>
      </c>
      <c r="AB6666">
        <v>24</v>
      </c>
      <c r="AC6666">
        <v>-6.9699999999954798E-2</v>
      </c>
      <c r="AD6666">
        <v>-0.13142599999999899</v>
      </c>
      <c r="AE6666">
        <v>-0.47445999999999999</v>
      </c>
      <c r="AF6666">
        <v>8.1663430053844396E-2</v>
      </c>
      <c r="AG6666">
        <v>-0.13142599999999899</v>
      </c>
      <c r="AH6666">
        <v>0.43851076315382498</v>
      </c>
      <c r="AI6666">
        <v>106.417298151682</v>
      </c>
      <c r="AJ6666">
        <v>79.450709437492705</v>
      </c>
      <c r="AK6666">
        <v>0.46500903075737099</v>
      </c>
      <c r="AL6666">
        <v>90.916745197138397</v>
      </c>
      <c r="AM6666">
        <v>88.627800816233901</v>
      </c>
      <c r="AN6666">
        <v>1.0000000371539099</v>
      </c>
    </row>
    <row r="6667" spans="1:40" x14ac:dyDescent="0.25">
      <c r="A6667" t="str">
        <f>"20190312160818338"</f>
        <v>20190312160818338</v>
      </c>
      <c r="B6667" t="str">
        <f>"1552378098332565"</f>
        <v>1552378098332565</v>
      </c>
      <c r="C6667" t="s">
        <v>40</v>
      </c>
      <c r="D6667">
        <v>5.6096709999999996</v>
      </c>
      <c r="E6667">
        <v>0.47789350000000003</v>
      </c>
      <c r="F6667" t="s">
        <v>44</v>
      </c>
      <c r="G6667">
        <v>-302.93650000000002</v>
      </c>
      <c r="H6667">
        <v>0.94673940000000001</v>
      </c>
      <c r="I6667">
        <v>-28.100639999999999</v>
      </c>
      <c r="J6667">
        <v>-302.85320000000002</v>
      </c>
      <c r="K6667">
        <v>1.1112580000000001</v>
      </c>
      <c r="L6667">
        <v>-27.45599</v>
      </c>
      <c r="M6667">
        <v>4.0668660000000002E-2</v>
      </c>
      <c r="N6667">
        <v>0</v>
      </c>
      <c r="O6667">
        <v>-0.99907670000000004</v>
      </c>
      <c r="P6667">
        <v>1.7489350000000001E-2</v>
      </c>
      <c r="Q6667">
        <v>-2.9765759999999999E-2</v>
      </c>
      <c r="R6667">
        <v>-0.99940410000000002</v>
      </c>
      <c r="S6667">
        <v>-0.23910519999999999</v>
      </c>
      <c r="T6667">
        <v>-0.55419490000000005</v>
      </c>
      <c r="U6667">
        <v>-2.9884949999999999</v>
      </c>
      <c r="V6667">
        <v>2.3232639999999999E-2</v>
      </c>
      <c r="W6667">
        <v>-1.583625E-2</v>
      </c>
      <c r="X6667">
        <v>0.99960459999999995</v>
      </c>
      <c r="Y6667">
        <v>0.1189072</v>
      </c>
      <c r="Z6667">
        <v>0.1811799</v>
      </c>
      <c r="AA6667">
        <v>0.97623510000000002</v>
      </c>
      <c r="AB6667">
        <v>24</v>
      </c>
      <c r="AC6667">
        <v>-8.3300000000008298E-2</v>
      </c>
      <c r="AD6667">
        <v>-0.16451859999999999</v>
      </c>
      <c r="AE6667">
        <v>-0.64464999999999795</v>
      </c>
      <c r="AF6667">
        <v>0.102861290618147</v>
      </c>
      <c r="AG6667">
        <v>-0.16451859999999999</v>
      </c>
      <c r="AH6667">
        <v>0.60215423525306899</v>
      </c>
      <c r="AI6667">
        <v>105.073021186999</v>
      </c>
      <c r="AJ6667">
        <v>80.306177423917703</v>
      </c>
      <c r="AK6667">
        <v>0.63264250401533995</v>
      </c>
      <c r="AL6667">
        <v>90.907388263798197</v>
      </c>
      <c r="AM6667">
        <v>88.668580945149301</v>
      </c>
      <c r="AN6667">
        <v>0.99999994935829395</v>
      </c>
    </row>
    <row r="6668" spans="1:40" x14ac:dyDescent="0.25">
      <c r="A6668" t="str">
        <f>"20190312160818359"</f>
        <v>20190312160818359</v>
      </c>
      <c r="B6668" t="str">
        <f>"1552378098352084"</f>
        <v>1552378098352084</v>
      </c>
      <c r="C6668" t="s">
        <v>40</v>
      </c>
      <c r="D6668">
        <v>5.5219189999999996</v>
      </c>
      <c r="E6668">
        <v>0.46075369999999999</v>
      </c>
      <c r="F6668" t="s">
        <v>44</v>
      </c>
      <c r="G6668">
        <v>-302.7835</v>
      </c>
      <c r="H6668">
        <v>0.98219339999999999</v>
      </c>
      <c r="I6668">
        <v>-28.326989999999999</v>
      </c>
      <c r="J6668">
        <v>-302.84089999999998</v>
      </c>
      <c r="K6668">
        <v>1.1112379999999999</v>
      </c>
      <c r="L6668">
        <v>-27.691590000000001</v>
      </c>
      <c r="M6668">
        <v>4.3001329999999997E-2</v>
      </c>
      <c r="N6668">
        <v>0</v>
      </c>
      <c r="O6668">
        <v>-0.99897919999999996</v>
      </c>
      <c r="P6668">
        <v>2.0935539999999999E-2</v>
      </c>
      <c r="Q6668">
        <v>-2.9853310000000001E-2</v>
      </c>
      <c r="R6668">
        <v>-0.99933519999999998</v>
      </c>
      <c r="S6668">
        <v>0.2388306</v>
      </c>
      <c r="T6668">
        <v>-0.44220530000000002</v>
      </c>
      <c r="U6668">
        <v>-2.9844360000000001</v>
      </c>
      <c r="V6668">
        <v>2.211956E-2</v>
      </c>
      <c r="W6668">
        <v>-1.5932229999999999E-2</v>
      </c>
      <c r="X6668">
        <v>0.99962839999999997</v>
      </c>
      <c r="Y6668">
        <v>-3.5971620000000003E-2</v>
      </c>
      <c r="Z6668">
        <v>0.1460931</v>
      </c>
      <c r="AA6668">
        <v>0.98861659999999996</v>
      </c>
      <c r="AB6668">
        <v>24</v>
      </c>
      <c r="AC6668">
        <v>5.7399999999972799E-2</v>
      </c>
      <c r="AD6668">
        <v>-0.12904459999999901</v>
      </c>
      <c r="AE6668">
        <v>-0.63539999999999996</v>
      </c>
      <c r="AF6668">
        <v>-2.88412679347235E-2</v>
      </c>
      <c r="AG6668">
        <v>-0.12904459999999901</v>
      </c>
      <c r="AH6668">
        <v>0.61223272480496305</v>
      </c>
      <c r="AI6668">
        <v>101.889603482928</v>
      </c>
      <c r="AJ6668">
        <v>92.697115152855801</v>
      </c>
      <c r="AK6668">
        <v>0.62634913334924702</v>
      </c>
      <c r="AL6668">
        <v>90.912888138293198</v>
      </c>
      <c r="AM6668">
        <v>88.732378307455093</v>
      </c>
      <c r="AN6668">
        <v>1.00000002448696</v>
      </c>
    </row>
    <row r="6669" spans="1:40" x14ac:dyDescent="0.25">
      <c r="A6669" t="str">
        <f>"20190312160818382"</f>
        <v>20190312160818382</v>
      </c>
      <c r="B6669" t="str">
        <f>"1552378098372580"</f>
        <v>1552378098372580</v>
      </c>
      <c r="C6669" t="s">
        <v>40</v>
      </c>
      <c r="D6669">
        <v>5.4734499999999997</v>
      </c>
      <c r="E6669">
        <v>0.45065040000000001</v>
      </c>
      <c r="F6669" t="s">
        <v>47</v>
      </c>
      <c r="G6669">
        <v>-301.76089999999999</v>
      </c>
      <c r="H6669" s="1">
        <v>-2.3305150000000002E-6</v>
      </c>
      <c r="I6669">
        <v>-36.070569999999996</v>
      </c>
      <c r="J6669">
        <v>-302.82810000000001</v>
      </c>
      <c r="K6669">
        <v>1.1112280000000001</v>
      </c>
      <c r="L6669">
        <v>-27.927399999999999</v>
      </c>
      <c r="M6669">
        <v>4.5319430000000001E-2</v>
      </c>
      <c r="N6669">
        <v>0</v>
      </c>
      <c r="O6669">
        <v>-0.99887680000000001</v>
      </c>
      <c r="P6669">
        <v>2.4024609999999998E-2</v>
      </c>
      <c r="Q6669">
        <v>-2.9542249999999999E-2</v>
      </c>
      <c r="R6669">
        <v>-0.99927489999999997</v>
      </c>
      <c r="S6669">
        <v>0.38436890000000001</v>
      </c>
      <c r="T6669">
        <v>-0.3954954</v>
      </c>
      <c r="U6669">
        <v>-2.9821170000000001</v>
      </c>
      <c r="V6669">
        <v>2.134815E-2</v>
      </c>
      <c r="W6669">
        <v>-1.5628039999999999E-2</v>
      </c>
      <c r="X6669">
        <v>0.99964989999999998</v>
      </c>
      <c r="Y6669">
        <v>-8.1656510000000002E-2</v>
      </c>
      <c r="Z6669">
        <v>0.1305209</v>
      </c>
      <c r="AA6669">
        <v>0.98807719999999999</v>
      </c>
      <c r="AB6669">
        <v>24</v>
      </c>
      <c r="AC6669">
        <v>1.0672000000000099</v>
      </c>
      <c r="AD6669">
        <v>-1.111230330515</v>
      </c>
      <c r="AE6669">
        <v>-8.1431699999999996</v>
      </c>
      <c r="AF6669">
        <v>-0.68449291956556302</v>
      </c>
      <c r="AG6669">
        <v>-1.111230330515</v>
      </c>
      <c r="AH6669">
        <v>8.0360524125518502</v>
      </c>
      <c r="AI6669">
        <v>97.844916948169995</v>
      </c>
      <c r="AJ6669">
        <v>94.868574435820904</v>
      </c>
      <c r="AK6669">
        <v>8.1413452071308399</v>
      </c>
      <c r="AL6669">
        <v>90.895457231019606</v>
      </c>
      <c r="AM6669">
        <v>88.776598686674603</v>
      </c>
      <c r="AN6669">
        <v>0.99999995085633497</v>
      </c>
    </row>
    <row r="6670" spans="1:40" x14ac:dyDescent="0.25">
      <c r="A6670" t="str">
        <f>"20190312160818404"</f>
        <v>20190312160818404</v>
      </c>
      <c r="B6670" t="str">
        <f>"1552378098392100"</f>
        <v>1552378098392100</v>
      </c>
      <c r="C6670" t="s">
        <v>40</v>
      </c>
      <c r="D6670">
        <v>5.5083869999999999</v>
      </c>
      <c r="E6670">
        <v>0.44870520000000003</v>
      </c>
      <c r="F6670" t="s">
        <v>47</v>
      </c>
      <c r="G6670">
        <v>-301.35359999999997</v>
      </c>
      <c r="H6670" s="1">
        <v>-1.73113E-6</v>
      </c>
      <c r="I6670">
        <v>-37.215139999999998</v>
      </c>
      <c r="J6670">
        <v>-302.81450000000001</v>
      </c>
      <c r="K6670">
        <v>1.1112200000000001</v>
      </c>
      <c r="L6670">
        <v>-28.166810000000002</v>
      </c>
      <c r="M6670">
        <v>4.7658190000000003E-2</v>
      </c>
      <c r="N6670">
        <v>0</v>
      </c>
      <c r="O6670">
        <v>-0.99876799999999999</v>
      </c>
      <c r="P6670">
        <v>2.6886299999999998E-2</v>
      </c>
      <c r="Q6670">
        <v>-2.8907229999999999E-2</v>
      </c>
      <c r="R6670">
        <v>-0.99922049999999996</v>
      </c>
      <c r="S6670">
        <v>0.47311399999999998</v>
      </c>
      <c r="T6670">
        <v>-0.356572</v>
      </c>
      <c r="U6670">
        <v>-2.9802550000000001</v>
      </c>
      <c r="V6670">
        <v>2.0824220000000001E-2</v>
      </c>
      <c r="W6670">
        <v>-1.499869E-2</v>
      </c>
      <c r="X6670">
        <v>0.99967059999999996</v>
      </c>
      <c r="Y6670">
        <v>-0.108448</v>
      </c>
      <c r="Z6670">
        <v>0.1175215</v>
      </c>
      <c r="AA6670">
        <v>0.98713110000000004</v>
      </c>
      <c r="AB6670">
        <v>24</v>
      </c>
      <c r="AC6670">
        <v>1.4609000000000301</v>
      </c>
      <c r="AD6670">
        <v>-1.1112217311299999</v>
      </c>
      <c r="AE6670">
        <v>-9.04833</v>
      </c>
      <c r="AF6670">
        <v>-1.01308011861398</v>
      </c>
      <c r="AG6670">
        <v>-1.1112217311299999</v>
      </c>
      <c r="AH6670">
        <v>8.9757422847231698</v>
      </c>
      <c r="AI6670">
        <v>97.013381493295995</v>
      </c>
      <c r="AJ6670">
        <v>96.439645265882305</v>
      </c>
      <c r="AK6670">
        <v>9.1008293371666902</v>
      </c>
      <c r="AL6670">
        <v>90.859393894439293</v>
      </c>
      <c r="AM6670">
        <v>88.806639525801103</v>
      </c>
      <c r="AN6670">
        <v>0.99999995867234104</v>
      </c>
    </row>
    <row r="6671" spans="1:40" x14ac:dyDescent="0.25">
      <c r="A6671" t="str">
        <f>"20190312160818428"</f>
        <v>20190312160818428</v>
      </c>
      <c r="B6671" t="str">
        <f>"1552378098422037"</f>
        <v>1552378098422037</v>
      </c>
      <c r="C6671" t="s">
        <v>40</v>
      </c>
      <c r="D6671">
        <v>5.4942900000000003</v>
      </c>
      <c r="E6671">
        <v>0.44621919999999998</v>
      </c>
      <c r="F6671" t="s">
        <v>47</v>
      </c>
      <c r="G6671">
        <v>-301.20100000000002</v>
      </c>
      <c r="H6671" s="1">
        <v>-1.423186E-6</v>
      </c>
      <c r="I6671">
        <v>-37.838299999999997</v>
      </c>
      <c r="J6671">
        <v>-302.79939999999999</v>
      </c>
      <c r="K6671">
        <v>1.111216</v>
      </c>
      <c r="L6671">
        <v>-28.422149999999998</v>
      </c>
      <c r="M6671">
        <v>5.0138530000000001E-2</v>
      </c>
      <c r="N6671">
        <v>0</v>
      </c>
      <c r="O6671">
        <v>-0.99864649999999999</v>
      </c>
      <c r="P6671">
        <v>2.9329350000000001E-2</v>
      </c>
      <c r="Q6671">
        <v>-2.883527E-2</v>
      </c>
      <c r="R6671">
        <v>-0.99915399999999999</v>
      </c>
      <c r="S6671">
        <v>0.4969788</v>
      </c>
      <c r="T6671">
        <v>-0.34228439999999999</v>
      </c>
      <c r="U6671">
        <v>-2.9790649999999999</v>
      </c>
      <c r="V6671">
        <v>2.086211E-2</v>
      </c>
      <c r="W6671">
        <v>-1.4930779999999999E-2</v>
      </c>
      <c r="X6671">
        <v>0.99967090000000003</v>
      </c>
      <c r="Y6671">
        <v>-0.11383260000000001</v>
      </c>
      <c r="Z6671">
        <v>0.1127923</v>
      </c>
      <c r="AA6671">
        <v>0.98707650000000002</v>
      </c>
      <c r="AB6671">
        <v>24</v>
      </c>
      <c r="AC6671">
        <v>1.59840000000002</v>
      </c>
      <c r="AD6671">
        <v>-1.1112174231859999</v>
      </c>
      <c r="AE6671">
        <v>-9.4161499999999894</v>
      </c>
      <c r="AF6671">
        <v>-1.1092170060831399</v>
      </c>
      <c r="AG6671">
        <v>-1.1112174231859999</v>
      </c>
      <c r="AH6671">
        <v>9.3577800963858699</v>
      </c>
      <c r="AI6671">
        <v>96.725398917934001</v>
      </c>
      <c r="AJ6671">
        <v>96.759967334789394</v>
      </c>
      <c r="AK6671">
        <v>9.4885833958758994</v>
      </c>
      <c r="AL6671">
        <v>90.855502439348001</v>
      </c>
      <c r="AM6671">
        <v>88.804469175705506</v>
      </c>
      <c r="AN6671">
        <v>1.0000000320659299</v>
      </c>
    </row>
    <row r="6672" spans="1:40" x14ac:dyDescent="0.25">
      <c r="A6672" t="str">
        <f>"20190312160818454"</f>
        <v>20190312160818454</v>
      </c>
      <c r="B6672" t="str">
        <f>"1552378098442534"</f>
        <v>1552378098442534</v>
      </c>
      <c r="C6672" t="s">
        <v>40</v>
      </c>
      <c r="D6672">
        <v>5.1550580000000004</v>
      </c>
      <c r="E6672">
        <v>0.44536959999999998</v>
      </c>
      <c r="F6672" t="s">
        <v>47</v>
      </c>
      <c r="G6672">
        <v>-301.06189999999998</v>
      </c>
      <c r="H6672" s="1">
        <v>-1.189332E-6</v>
      </c>
      <c r="I6672">
        <v>-38.29712</v>
      </c>
      <c r="J6672">
        <v>-302.7833</v>
      </c>
      <c r="K6672">
        <v>1.1112070000000001</v>
      </c>
      <c r="L6672">
        <v>-28.6843</v>
      </c>
      <c r="M6672">
        <v>5.2674100000000001E-2</v>
      </c>
      <c r="N6672">
        <v>0</v>
      </c>
      <c r="O6672">
        <v>-0.99851619999999996</v>
      </c>
      <c r="P6672">
        <v>3.1966429999999997E-2</v>
      </c>
      <c r="Q6672">
        <v>-2.856088E-2</v>
      </c>
      <c r="R6672">
        <v>-0.99908110000000006</v>
      </c>
      <c r="S6672">
        <v>0.52389529999999995</v>
      </c>
      <c r="T6672">
        <v>-0.3350552</v>
      </c>
      <c r="U6672">
        <v>-2.977509</v>
      </c>
      <c r="V6672">
        <v>2.076101E-2</v>
      </c>
      <c r="W6672">
        <v>-1.466072E-2</v>
      </c>
      <c r="X6672">
        <v>0.99967689999999998</v>
      </c>
      <c r="Y6672">
        <v>-0.12010759999999999</v>
      </c>
      <c r="Z6672">
        <v>0.1103507</v>
      </c>
      <c r="AA6672">
        <v>0.98660879999999995</v>
      </c>
      <c r="AB6672">
        <v>24</v>
      </c>
      <c r="AC6672">
        <v>1.72140000000001</v>
      </c>
      <c r="AD6672">
        <v>-1.1112081893320001</v>
      </c>
      <c r="AE6672">
        <v>-9.6128199999999993</v>
      </c>
      <c r="AF6672">
        <v>-1.1971153721386101</v>
      </c>
      <c r="AG6672">
        <v>-1.1112081893320001</v>
      </c>
      <c r="AH6672">
        <v>9.5662960759261502</v>
      </c>
      <c r="AI6672">
        <v>96.574881658727705</v>
      </c>
      <c r="AJ6672">
        <v>97.132849827513297</v>
      </c>
      <c r="AK6672">
        <v>9.7047354145555804</v>
      </c>
      <c r="AL6672">
        <v>90.840027533116498</v>
      </c>
      <c r="AM6672">
        <v>88.810268314381403</v>
      </c>
      <c r="AN6672">
        <v>0.99999993032037104</v>
      </c>
    </row>
    <row r="6673" spans="1:40" x14ac:dyDescent="0.25">
      <c r="A6673" t="str">
        <f>"20190312160818473"</f>
        <v>20190312160818473</v>
      </c>
      <c r="B6673" t="str">
        <f>"1552378098462053"</f>
        <v>1552378098462053</v>
      </c>
      <c r="C6673" t="s">
        <v>40</v>
      </c>
      <c r="D6673">
        <v>5.3739019999999904</v>
      </c>
      <c r="E6673">
        <v>0.4451213</v>
      </c>
      <c r="F6673" t="s">
        <v>47</v>
      </c>
      <c r="G6673">
        <v>-300.93619999999999</v>
      </c>
      <c r="H6673" s="1">
        <v>-8.9926559999999995E-7</v>
      </c>
      <c r="I6673">
        <v>-38.895359999999997</v>
      </c>
      <c r="J6673">
        <v>-302.76990000000001</v>
      </c>
      <c r="K6673">
        <v>1.111197</v>
      </c>
      <c r="L6673">
        <v>-28.892880000000002</v>
      </c>
      <c r="M6673">
        <v>5.4687199999999998E-2</v>
      </c>
      <c r="N6673">
        <v>0</v>
      </c>
      <c r="O6673">
        <v>-0.99840770000000001</v>
      </c>
      <c r="P6673">
        <v>3.4246550000000001E-2</v>
      </c>
      <c r="Q6673">
        <v>-2.797639E-2</v>
      </c>
      <c r="R6673">
        <v>-0.99902159999999995</v>
      </c>
      <c r="S6673">
        <v>0.53836059999999997</v>
      </c>
      <c r="T6673">
        <v>-0.32389119999999999</v>
      </c>
      <c r="U6673">
        <v>-2.9762879999999998</v>
      </c>
      <c r="V6673">
        <v>2.0493689999999998E-2</v>
      </c>
      <c r="W6673">
        <v>-1.4079950000000001E-2</v>
      </c>
      <c r="X6673">
        <v>0.99969079999999999</v>
      </c>
      <c r="Y6673">
        <v>-0.1228933</v>
      </c>
      <c r="Z6673">
        <v>0.1066791</v>
      </c>
      <c r="AA6673">
        <v>0.98666949999999998</v>
      </c>
      <c r="AB6673">
        <v>24</v>
      </c>
      <c r="AC6673">
        <v>1.8337000000000201</v>
      </c>
      <c r="AD6673">
        <v>-1.1111978992656</v>
      </c>
      <c r="AE6673">
        <v>-10.002479999999901</v>
      </c>
      <c r="AF6673">
        <v>-1.2687463476815899</v>
      </c>
      <c r="AG6673">
        <v>-1.1111978992656</v>
      </c>
      <c r="AH6673">
        <v>9.9687691861574308</v>
      </c>
      <c r="AI6673">
        <v>96.309901184358793</v>
      </c>
      <c r="AJ6673">
        <v>97.253160144506296</v>
      </c>
      <c r="AK6673">
        <v>10.1104320952652</v>
      </c>
      <c r="AL6673">
        <v>90.806748395350795</v>
      </c>
      <c r="AM6673">
        <v>88.825599376796205</v>
      </c>
      <c r="AN6673">
        <v>0.99999996596322804</v>
      </c>
    </row>
    <row r="6674" spans="1:40" x14ac:dyDescent="0.25">
      <c r="A6674" t="str">
        <f>"20190312160818505"</f>
        <v>20190312160818505</v>
      </c>
      <c r="B6674" t="str">
        <f>"1552378098492309"</f>
        <v>1552378098492309</v>
      </c>
      <c r="C6674" t="s">
        <v>40</v>
      </c>
      <c r="D6674">
        <v>5.4083019999999999</v>
      </c>
      <c r="E6674">
        <v>0.44490239999999998</v>
      </c>
      <c r="F6674" t="s">
        <v>47</v>
      </c>
      <c r="G6674">
        <v>-300.83449999999999</v>
      </c>
      <c r="H6674" s="1">
        <v>-6.4690730000000001E-7</v>
      </c>
      <c r="I6674">
        <v>-39.42051</v>
      </c>
      <c r="J6674">
        <v>-302.7475</v>
      </c>
      <c r="K6674">
        <v>1.111194</v>
      </c>
      <c r="L6674">
        <v>-29.22888</v>
      </c>
      <c r="M6674">
        <v>5.7927190000000003E-2</v>
      </c>
      <c r="N6674">
        <v>0</v>
      </c>
      <c r="O6674">
        <v>-0.99822520000000003</v>
      </c>
      <c r="P6674">
        <v>3.8131760000000001E-2</v>
      </c>
      <c r="Q6674">
        <v>-2.7354420000000001E-2</v>
      </c>
      <c r="R6674">
        <v>-0.99889850000000002</v>
      </c>
      <c r="S6674">
        <v>0.54699709999999901</v>
      </c>
      <c r="T6674">
        <v>-0.3140558</v>
      </c>
      <c r="U6674">
        <v>-2.975403</v>
      </c>
      <c r="V6674">
        <v>1.9848810000000001E-2</v>
      </c>
      <c r="W6674">
        <v>-1.346462E-2</v>
      </c>
      <c r="X6674">
        <v>0.9997123</v>
      </c>
      <c r="Y6674">
        <v>-0.1225575</v>
      </c>
      <c r="Z6674">
        <v>0.10345260000000001</v>
      </c>
      <c r="AA6674">
        <v>0.98705480000000001</v>
      </c>
      <c r="AB6674">
        <v>24</v>
      </c>
      <c r="AC6674">
        <v>1.91300000000001</v>
      </c>
      <c r="AD6674">
        <v>-1.1111946469073</v>
      </c>
      <c r="AE6674">
        <v>-10.19163</v>
      </c>
      <c r="AF6674">
        <v>-1.3043800651862301</v>
      </c>
      <c r="AG6674">
        <v>-1.1111946469073</v>
      </c>
      <c r="AH6674">
        <v>10.168572691521501</v>
      </c>
      <c r="AI6674">
        <v>96.186095797111093</v>
      </c>
      <c r="AJ6674">
        <v>97.309733615445495</v>
      </c>
      <c r="AK6674">
        <v>10.3119363594102</v>
      </c>
      <c r="AL6674">
        <v>90.771489228998902</v>
      </c>
      <c r="AM6674">
        <v>88.862569120270607</v>
      </c>
      <c r="AN6674">
        <v>0.99999997701072496</v>
      </c>
    </row>
    <row r="6675" spans="1:40" x14ac:dyDescent="0.25">
      <c r="A6675" t="str">
        <f>"20190312160818528"</f>
        <v>20190312160818528</v>
      </c>
      <c r="B6675" t="str">
        <f>"1552378098522468"</f>
        <v>1552378098522468</v>
      </c>
      <c r="C6675" t="s">
        <v>40</v>
      </c>
      <c r="D6675">
        <v>5.3145759999999997</v>
      </c>
      <c r="E6675">
        <v>0.44547179999999997</v>
      </c>
      <c r="F6675" t="s">
        <v>47</v>
      </c>
      <c r="G6675">
        <v>-300.73719999999997</v>
      </c>
      <c r="H6675" s="1">
        <v>-4.1306049999999998E-7</v>
      </c>
      <c r="I6675">
        <v>-39.905290000000001</v>
      </c>
      <c r="J6675">
        <v>-302.73090000000002</v>
      </c>
      <c r="K6675">
        <v>1.1111819999999999</v>
      </c>
      <c r="L6675">
        <v>-29.4693</v>
      </c>
      <c r="M6675">
        <v>6.0246029999999999E-2</v>
      </c>
      <c r="N6675">
        <v>0</v>
      </c>
      <c r="O6675">
        <v>-0.99808819999999998</v>
      </c>
      <c r="P6675">
        <v>4.0538369999999997E-2</v>
      </c>
      <c r="Q6675">
        <v>-2.763674E-2</v>
      </c>
      <c r="R6675">
        <v>-0.99879609999999996</v>
      </c>
      <c r="S6675">
        <v>0.55987549999999997</v>
      </c>
      <c r="T6675">
        <v>-0.30947479999999999</v>
      </c>
      <c r="U6675">
        <v>-2.9734500000000001</v>
      </c>
      <c r="V6675">
        <v>1.9763019999999999E-2</v>
      </c>
      <c r="W6675">
        <v>-1.375059E-2</v>
      </c>
      <c r="X6675">
        <v>0.99971010000000005</v>
      </c>
      <c r="Y6675">
        <v>-0.12452779999999999</v>
      </c>
      <c r="Z6675">
        <v>0.1019515</v>
      </c>
      <c r="AA6675">
        <v>0.98696439999999996</v>
      </c>
      <c r="AB6675">
        <v>24</v>
      </c>
      <c r="AC6675">
        <v>1.99370000000004</v>
      </c>
      <c r="AD6675">
        <v>-1.1111824130604999</v>
      </c>
      <c r="AE6675">
        <v>-10.435989999999901</v>
      </c>
      <c r="AF6675">
        <v>-1.34656243325795</v>
      </c>
      <c r="AG6675">
        <v>-1.1111824130604999</v>
      </c>
      <c r="AH6675">
        <v>10.4231462165623</v>
      </c>
      <c r="AI6675">
        <v>96.035377256924505</v>
      </c>
      <c r="AJ6675">
        <v>97.361248428920703</v>
      </c>
      <c r="AK6675">
        <v>10.568345839988099</v>
      </c>
      <c r="AL6675">
        <v>90.7878756263095</v>
      </c>
      <c r="AM6675">
        <v>88.867481519057506</v>
      </c>
      <c r="AN6675">
        <v>0.99999996986343798</v>
      </c>
    </row>
    <row r="6676" spans="1:40" x14ac:dyDescent="0.25">
      <c r="A6676" t="str">
        <f>"20190312160818550"</f>
        <v>20190312160818550</v>
      </c>
      <c r="B6676" t="str">
        <f>"1552378098541988"</f>
        <v>1552378098541988</v>
      </c>
      <c r="C6676" t="s">
        <v>40</v>
      </c>
      <c r="D6676">
        <v>5.2909259999999998</v>
      </c>
      <c r="E6676">
        <v>0.44547249999999999</v>
      </c>
      <c r="F6676" t="s">
        <v>47</v>
      </c>
      <c r="G6676">
        <v>-300.71899999999999</v>
      </c>
      <c r="H6676" s="1">
        <v>-3.2660280000000002E-7</v>
      </c>
      <c r="I6676">
        <v>-40.09552</v>
      </c>
      <c r="J6676">
        <v>-302.714</v>
      </c>
      <c r="K6676">
        <v>1.111173</v>
      </c>
      <c r="L6676">
        <v>-29.705690000000001</v>
      </c>
      <c r="M6676">
        <v>6.2528E-2</v>
      </c>
      <c r="N6676">
        <v>0</v>
      </c>
      <c r="O6676">
        <v>-0.99794760000000005</v>
      </c>
      <c r="P6676">
        <v>4.3005950000000001E-2</v>
      </c>
      <c r="Q6676">
        <v>-2.8453800000000001E-2</v>
      </c>
      <c r="R6676">
        <v>-0.99866969999999999</v>
      </c>
      <c r="S6676">
        <v>0.56271359999999904</v>
      </c>
      <c r="T6676">
        <v>-0.31079899999999999</v>
      </c>
      <c r="U6676">
        <v>-2.9721679999999999</v>
      </c>
      <c r="V6676">
        <v>1.9580279999999999E-2</v>
      </c>
      <c r="W6676">
        <v>-1.457137E-2</v>
      </c>
      <c r="X6676">
        <v>0.99970210000000004</v>
      </c>
      <c r="Y6676">
        <v>-0.1232379</v>
      </c>
      <c r="Z6676">
        <v>0.10240390000000001</v>
      </c>
      <c r="AA6676">
        <v>0.98707940000000005</v>
      </c>
      <c r="AB6676">
        <v>24</v>
      </c>
      <c r="AC6676">
        <v>1.9950000000000001</v>
      </c>
      <c r="AD6676">
        <v>-1.1111733266028001</v>
      </c>
      <c r="AE6676">
        <v>-10.38983</v>
      </c>
      <c r="AF6676">
        <v>-1.3267426132054401</v>
      </c>
      <c r="AG6676">
        <v>-1.1111733266028001</v>
      </c>
      <c r="AH6676">
        <v>10.379749620524301</v>
      </c>
      <c r="AI6676">
        <v>96.061415299390205</v>
      </c>
      <c r="AJ6676">
        <v>97.284065471051505</v>
      </c>
      <c r="AK6676">
        <v>10.5230297114578</v>
      </c>
      <c r="AL6676">
        <v>90.834907549378002</v>
      </c>
      <c r="AM6676">
        <v>88.877941755541997</v>
      </c>
      <c r="AN6676">
        <v>1.00000000046648</v>
      </c>
    </row>
    <row r="6677" spans="1:40" x14ac:dyDescent="0.25">
      <c r="A6677" t="str">
        <f>"20190312160818572"</f>
        <v>20190312160818572</v>
      </c>
      <c r="B6677" t="str">
        <f>"1552378098562484"</f>
        <v>1552378098562484</v>
      </c>
      <c r="C6677" t="s">
        <v>40</v>
      </c>
      <c r="D6677">
        <v>5.3979039999999996</v>
      </c>
      <c r="E6677">
        <v>0.4455636</v>
      </c>
      <c r="F6677" t="s">
        <v>82</v>
      </c>
      <c r="G6677">
        <v>-300.66379999999998</v>
      </c>
      <c r="H6677" s="1">
        <v>-1.8646469999999999E-7</v>
      </c>
      <c r="I6677">
        <v>-40.384169999999997</v>
      </c>
      <c r="J6677">
        <v>-302.69720000000001</v>
      </c>
      <c r="K6677">
        <v>1.1111679999999999</v>
      </c>
      <c r="L6677">
        <v>-29.93234</v>
      </c>
      <c r="M6677">
        <v>6.4718150000000002E-2</v>
      </c>
      <c r="N6677">
        <v>0</v>
      </c>
      <c r="O6677">
        <v>-0.99780800000000003</v>
      </c>
      <c r="P6677">
        <v>4.4679160000000002E-2</v>
      </c>
      <c r="Q6677">
        <v>-2.852768E-2</v>
      </c>
      <c r="R6677">
        <v>-0.99859430000000005</v>
      </c>
      <c r="S6677">
        <v>0.57034300000000004</v>
      </c>
      <c r="T6677">
        <v>-0.30911670000000002</v>
      </c>
      <c r="U6677">
        <v>-2.9706419999999998</v>
      </c>
      <c r="V6677">
        <v>2.0099349999999998E-2</v>
      </c>
      <c r="W6677">
        <v>-1.464616E-2</v>
      </c>
      <c r="X6677">
        <v>0.99969070000000004</v>
      </c>
      <c r="Y6677">
        <v>-0.12360930000000001</v>
      </c>
      <c r="Z6677">
        <v>0.10185859999999999</v>
      </c>
      <c r="AA6677">
        <v>0.98708949999999995</v>
      </c>
      <c r="AB6677">
        <v>24</v>
      </c>
      <c r="AC6677">
        <v>2.0334000000000199</v>
      </c>
      <c r="AD6677">
        <v>-1.1111681864646901</v>
      </c>
      <c r="AE6677">
        <v>-10.451829999999999</v>
      </c>
      <c r="AF6677">
        <v>-1.3380766263652599</v>
      </c>
      <c r="AG6677">
        <v>-1.1111681864646901</v>
      </c>
      <c r="AH6677">
        <v>10.447745601829</v>
      </c>
      <c r="AI6677">
        <v>96.022039256427604</v>
      </c>
      <c r="AJ6677">
        <v>97.298324949560694</v>
      </c>
      <c r="AK6677">
        <v>10.591531143190499</v>
      </c>
      <c r="AL6677">
        <v>90.8391931628409</v>
      </c>
      <c r="AM6677">
        <v>88.848190954865402</v>
      </c>
      <c r="AN6677">
        <v>0.99999999476982904</v>
      </c>
    </row>
    <row r="6678" spans="1:40" x14ac:dyDescent="0.25">
      <c r="A6678" t="str">
        <f>"20190312160818596"</f>
        <v>20190312160818596</v>
      </c>
      <c r="B6678" t="str">
        <f>"1552378098592740"</f>
        <v>1552378098592740</v>
      </c>
      <c r="C6678" t="s">
        <v>40</v>
      </c>
      <c r="D6678">
        <v>5.3816459999999999</v>
      </c>
      <c r="E6678">
        <v>0.44563849999999999</v>
      </c>
      <c r="F6678" t="s">
        <v>82</v>
      </c>
      <c r="G6678">
        <v>-300.61250000000001</v>
      </c>
      <c r="H6678" s="1">
        <v>-2.9650219999999997E-7</v>
      </c>
      <c r="I6678">
        <v>-40.708010000000002</v>
      </c>
      <c r="J6678">
        <v>-302.67829999999998</v>
      </c>
      <c r="K6678">
        <v>1.11117</v>
      </c>
      <c r="L6678">
        <v>-30.180420000000002</v>
      </c>
      <c r="M6678">
        <v>6.7117629999999998E-2</v>
      </c>
      <c r="N6678">
        <v>0</v>
      </c>
      <c r="O6678">
        <v>-0.99764949999999997</v>
      </c>
      <c r="P6678">
        <v>4.720249E-2</v>
      </c>
      <c r="Q6678">
        <v>-2.792967E-2</v>
      </c>
      <c r="R6678">
        <v>-0.99849500000000002</v>
      </c>
      <c r="S6678">
        <v>0.57455440000000002</v>
      </c>
      <c r="T6678">
        <v>-0.30623610000000001</v>
      </c>
      <c r="U6678">
        <v>-2.969757</v>
      </c>
      <c r="V6678">
        <v>1.9976279999999999E-2</v>
      </c>
      <c r="W6678">
        <v>-1.405124E-2</v>
      </c>
      <c r="X6678">
        <v>0.99970170000000003</v>
      </c>
      <c r="Y6678">
        <v>-0.1226453</v>
      </c>
      <c r="Z6678">
        <v>0.1009173</v>
      </c>
      <c r="AA6678">
        <v>0.98730640000000003</v>
      </c>
      <c r="AB6678">
        <v>24</v>
      </c>
      <c r="AC6678">
        <v>2.0657999999999599</v>
      </c>
      <c r="AD6678">
        <v>-1.1111702965021999</v>
      </c>
      <c r="AE6678">
        <v>-10.527589999999901</v>
      </c>
      <c r="AF6678">
        <v>-1.34011069235903</v>
      </c>
      <c r="AG6678">
        <v>-1.1111702965021999</v>
      </c>
      <c r="AH6678">
        <v>10.529556489610099</v>
      </c>
      <c r="AI6678">
        <v>95.976198942829996</v>
      </c>
      <c r="AJ6678">
        <v>97.253116011019102</v>
      </c>
      <c r="AK6678">
        <v>10.672495301638399</v>
      </c>
      <c r="AL6678">
        <v>90.805103252135495</v>
      </c>
      <c r="AM6678">
        <v>88.855254288135001</v>
      </c>
      <c r="AN6678">
        <v>0.999999989045532</v>
      </c>
    </row>
    <row r="6679" spans="1:40" x14ac:dyDescent="0.25">
      <c r="A6679" t="str">
        <f>"20190312160818621"</f>
        <v>20190312160818621</v>
      </c>
      <c r="B6679" t="str">
        <f>"1552378098612260"</f>
        <v>1552378098612260</v>
      </c>
      <c r="C6679" t="s">
        <v>40</v>
      </c>
      <c r="D6679">
        <v>5.4058349999999997</v>
      </c>
      <c r="E6679">
        <v>0.44579390000000002</v>
      </c>
      <c r="F6679" t="s">
        <v>82</v>
      </c>
      <c r="G6679">
        <v>-300.54730000000001</v>
      </c>
      <c r="H6679" s="1">
        <v>-5.1037899999999997E-7</v>
      </c>
      <c r="I6679">
        <v>-41.059959999999997</v>
      </c>
      <c r="J6679">
        <v>-302.65769999999998</v>
      </c>
      <c r="K6679">
        <v>1.1111789999999999</v>
      </c>
      <c r="L6679">
        <v>-30.44211</v>
      </c>
      <c r="M6679">
        <v>6.9651110000000002E-2</v>
      </c>
      <c r="N6679">
        <v>0</v>
      </c>
      <c r="O6679">
        <v>-0.99747600000000003</v>
      </c>
      <c r="P6679">
        <v>5.0132950000000003E-2</v>
      </c>
      <c r="Q6679">
        <v>-2.757737E-2</v>
      </c>
      <c r="R6679">
        <v>-0.99836219999999998</v>
      </c>
      <c r="S6679">
        <v>0.58145139999999995</v>
      </c>
      <c r="T6679">
        <v>-0.3031915</v>
      </c>
      <c r="U6679">
        <v>-2.9685670000000002</v>
      </c>
      <c r="V6679">
        <v>1.9580449999999999E-2</v>
      </c>
      <c r="W6679">
        <v>-1.37032E-2</v>
      </c>
      <c r="X6679">
        <v>0.9997144</v>
      </c>
      <c r="Y6679">
        <v>-0.1224283</v>
      </c>
      <c r="Z6679">
        <v>9.9916669999999999E-2</v>
      </c>
      <c r="AA6679">
        <v>0.98743499999999995</v>
      </c>
      <c r="AB6679">
        <v>24</v>
      </c>
      <c r="AC6679">
        <v>2.1103999999999701</v>
      </c>
      <c r="AD6679">
        <v>-1.1111795103790001</v>
      </c>
      <c r="AE6679">
        <v>-10.617850000000001</v>
      </c>
      <c r="AF6679">
        <v>-1.3514199726056699</v>
      </c>
      <c r="AG6679">
        <v>-1.1111795103790001</v>
      </c>
      <c r="AH6679">
        <v>10.6270991481704</v>
      </c>
      <c r="AI6679">
        <v>95.921862255476896</v>
      </c>
      <c r="AJ6679">
        <v>97.247252761805797</v>
      </c>
      <c r="AK6679">
        <v>10.7701574803569</v>
      </c>
      <c r="AL6679">
        <v>90.785160078804907</v>
      </c>
      <c r="AM6679">
        <v>88.877945817942702</v>
      </c>
      <c r="AN6679">
        <v>1.0000000266399001</v>
      </c>
    </row>
    <row r="6680" spans="1:40" x14ac:dyDescent="0.25">
      <c r="A6680" t="str">
        <f>"20190312160818662"</f>
        <v>20190312160818662</v>
      </c>
      <c r="B6680" t="str">
        <f>"1552378098652276"</f>
        <v>1552378098652276</v>
      </c>
      <c r="C6680" t="s">
        <v>40</v>
      </c>
      <c r="D6680">
        <v>5.3985770000000004</v>
      </c>
      <c r="E6680">
        <v>0.44621680000000002</v>
      </c>
      <c r="F6680" t="s">
        <v>82</v>
      </c>
      <c r="G6680">
        <v>-300.46609999999998</v>
      </c>
      <c r="H6680" s="1">
        <v>-7.6947009999999996E-7</v>
      </c>
      <c r="I6680">
        <v>-41.485370000000003</v>
      </c>
      <c r="J6680">
        <v>-302.62240000000003</v>
      </c>
      <c r="K6680">
        <v>1.111175</v>
      </c>
      <c r="L6680">
        <v>-30.871980000000001</v>
      </c>
      <c r="M6680">
        <v>7.3815060000000002E-2</v>
      </c>
      <c r="N6680">
        <v>0</v>
      </c>
      <c r="O6680">
        <v>-0.99717650000000002</v>
      </c>
      <c r="P6680">
        <v>5.4388579999999999E-2</v>
      </c>
      <c r="Q6680">
        <v>-2.7312489999999998E-2</v>
      </c>
      <c r="R6680">
        <v>-0.99814650000000005</v>
      </c>
      <c r="S6680">
        <v>0.58883669999999899</v>
      </c>
      <c r="T6680">
        <v>-0.29855140000000002</v>
      </c>
      <c r="U6680">
        <v>-2.9671020000000001</v>
      </c>
      <c r="V6680">
        <v>1.9491979999999999E-2</v>
      </c>
      <c r="W6680">
        <v>-1.344352E-2</v>
      </c>
      <c r="X6680">
        <v>0.99971960000000004</v>
      </c>
      <c r="Y6680">
        <v>-0.120772</v>
      </c>
      <c r="Z6680">
        <v>9.8392430000000003E-2</v>
      </c>
      <c r="AA6680">
        <v>0.987792</v>
      </c>
      <c r="AB6680">
        <v>24</v>
      </c>
      <c r="AC6680">
        <v>2.1563000000000399</v>
      </c>
      <c r="AD6680">
        <v>-1.1111757694701001</v>
      </c>
      <c r="AE6680">
        <v>-10.613390000000001</v>
      </c>
      <c r="AF6680">
        <v>-1.3526746229936799</v>
      </c>
      <c r="AG6680">
        <v>-1.1111757694701001</v>
      </c>
      <c r="AH6680">
        <v>10.631696816410701</v>
      </c>
      <c r="AI6680">
        <v>95.919253391768095</v>
      </c>
      <c r="AJ6680">
        <v>97.250805879364194</v>
      </c>
      <c r="AK6680">
        <v>10.774851155465001</v>
      </c>
      <c r="AL6680">
        <v>90.770280182398693</v>
      </c>
      <c r="AM6680">
        <v>88.883020096587202</v>
      </c>
      <c r="AN6680">
        <v>0.99999997206923497</v>
      </c>
    </row>
    <row r="6681" spans="1:40" x14ac:dyDescent="0.25">
      <c r="A6681" t="str">
        <f>"20190312160818684"</f>
        <v>20190312160818684</v>
      </c>
      <c r="B6681" t="str">
        <f>"1552378098672773"</f>
        <v>1552378098672773</v>
      </c>
      <c r="C6681" t="s">
        <v>40</v>
      </c>
      <c r="D6681">
        <v>5.4564269999999997</v>
      </c>
      <c r="E6681">
        <v>0.44649450000000002</v>
      </c>
      <c r="F6681" t="s">
        <v>82</v>
      </c>
      <c r="G6681">
        <v>-300.40730000000002</v>
      </c>
      <c r="H6681" s="1">
        <v>-9.9395469999999993E-7</v>
      </c>
      <c r="I6681">
        <v>-41.851419999999997</v>
      </c>
      <c r="J6681">
        <v>-302.60270000000003</v>
      </c>
      <c r="K6681">
        <v>1.111173</v>
      </c>
      <c r="L6681">
        <v>-31.101839999999999</v>
      </c>
      <c r="M6681">
        <v>7.6042100000000001E-2</v>
      </c>
      <c r="N6681">
        <v>0</v>
      </c>
      <c r="O6681">
        <v>-0.99700920000000004</v>
      </c>
      <c r="P6681">
        <v>5.7041330000000001E-2</v>
      </c>
      <c r="Q6681">
        <v>-2.710599E-2</v>
      </c>
      <c r="R6681">
        <v>-0.99800409999999995</v>
      </c>
      <c r="S6681">
        <v>0.59814449999999997</v>
      </c>
      <c r="T6681">
        <v>-0.30004809999999998</v>
      </c>
      <c r="U6681">
        <v>-2.9647519999999998</v>
      </c>
      <c r="V6681">
        <v>1.9067500000000001E-2</v>
      </c>
      <c r="W6681">
        <v>-1.3240989999999999E-2</v>
      </c>
      <c r="X6681">
        <v>0.99973049999999997</v>
      </c>
      <c r="Y6681">
        <v>-0.1216762</v>
      </c>
      <c r="Z6681">
        <v>9.8896739999999997E-2</v>
      </c>
      <c r="AA6681">
        <v>0.98763069999999997</v>
      </c>
      <c r="AB6681">
        <v>24</v>
      </c>
      <c r="AC6681">
        <v>2.1953999999999998</v>
      </c>
      <c r="AD6681">
        <v>-1.1111739939546901</v>
      </c>
      <c r="AE6681">
        <v>-10.74958</v>
      </c>
      <c r="AF6681">
        <v>-1.35761830438895</v>
      </c>
      <c r="AG6681">
        <v>-1.1111739939546901</v>
      </c>
      <c r="AH6681">
        <v>10.774887003365199</v>
      </c>
      <c r="AI6681">
        <v>95.842019828052202</v>
      </c>
      <c r="AJ6681">
        <v>97.181332311374106</v>
      </c>
      <c r="AK6681">
        <v>10.9167772277601</v>
      </c>
      <c r="AL6681">
        <v>90.758675026539905</v>
      </c>
      <c r="AM6681">
        <v>88.907350696004499</v>
      </c>
      <c r="AN6681">
        <v>0.99999998300133996</v>
      </c>
    </row>
    <row r="6682" spans="1:40" x14ac:dyDescent="0.25">
      <c r="A6682" t="str">
        <f>"20190312160818718"</f>
        <v>20190312160818718</v>
      </c>
      <c r="B6682" t="str">
        <f>"1552378098711812"</f>
        <v>1552378098711812</v>
      </c>
      <c r="C6682" t="s">
        <v>40</v>
      </c>
      <c r="D6682">
        <v>5.4534279999999997</v>
      </c>
      <c r="E6682">
        <v>0.44712580000000002</v>
      </c>
      <c r="F6682" t="s">
        <v>82</v>
      </c>
      <c r="G6682">
        <v>-300.38549999999998</v>
      </c>
      <c r="H6682" s="1">
        <v>-1.0793650000000001E-6</v>
      </c>
      <c r="I6682">
        <v>-41.990549999999999</v>
      </c>
      <c r="J6682">
        <v>-302.57159999999999</v>
      </c>
      <c r="K6682">
        <v>1.1111719999999901</v>
      </c>
      <c r="L6682">
        <v>-31.45477</v>
      </c>
      <c r="M6682">
        <v>7.9463580000000006E-2</v>
      </c>
      <c r="N6682">
        <v>0</v>
      </c>
      <c r="O6682">
        <v>-0.99674249999999998</v>
      </c>
      <c r="P6682">
        <v>6.0663340000000003E-2</v>
      </c>
      <c r="Q6682">
        <v>-2.7409559999999999E-2</v>
      </c>
      <c r="R6682">
        <v>-0.99778230000000001</v>
      </c>
      <c r="S6682">
        <v>0.60339359999999997</v>
      </c>
      <c r="T6682">
        <v>-0.30239820000000001</v>
      </c>
      <c r="U6682">
        <v>-2.9632869999999998</v>
      </c>
      <c r="V6682">
        <v>1.8870379999999999E-2</v>
      </c>
      <c r="W6682">
        <v>-1.3549449999999999E-2</v>
      </c>
      <c r="X6682">
        <v>0.99973009999999995</v>
      </c>
      <c r="Y6682">
        <v>-0.12002930000000001</v>
      </c>
      <c r="Z6682">
        <v>9.9664379999999997E-2</v>
      </c>
      <c r="AA6682">
        <v>0.98775500000000005</v>
      </c>
      <c r="AB6682">
        <v>23</v>
      </c>
      <c r="AC6682">
        <v>2.1861000000000099</v>
      </c>
      <c r="AD6682">
        <v>-1.1111730793650001</v>
      </c>
      <c r="AE6682">
        <v>-10.535780000000001</v>
      </c>
      <c r="AF6682">
        <v>-1.3277363295707301</v>
      </c>
      <c r="AG6682">
        <v>-1.1111730793650001</v>
      </c>
      <c r="AH6682">
        <v>10.5635384781475</v>
      </c>
      <c r="AI6682">
        <v>95.958291342077302</v>
      </c>
      <c r="AJ6682">
        <v>97.163966558230996</v>
      </c>
      <c r="AK6682">
        <v>10.7044819843124</v>
      </c>
      <c r="AL6682">
        <v>90.776350074422595</v>
      </c>
      <c r="AM6682">
        <v>88.918643386371102</v>
      </c>
      <c r="AN6682">
        <v>0.99999997584132805</v>
      </c>
    </row>
    <row r="6683" spans="1:40" x14ac:dyDescent="0.25">
      <c r="A6683" t="str">
        <f>"20190312160818740"</f>
        <v>20190312160818740</v>
      </c>
      <c r="B6683" t="str">
        <f>"1552378098732309"</f>
        <v>1552378098732309</v>
      </c>
      <c r="C6683" t="s">
        <v>40</v>
      </c>
      <c r="D6683">
        <v>5.5150110000000003</v>
      </c>
      <c r="E6683">
        <v>0.4474418</v>
      </c>
      <c r="F6683" t="s">
        <v>82</v>
      </c>
      <c r="G6683">
        <v>-300.36779999999999</v>
      </c>
      <c r="H6683" s="1">
        <v>-1.1907530000000001E-6</v>
      </c>
      <c r="I6683">
        <v>-42.169690000000003</v>
      </c>
      <c r="J6683">
        <v>-302.55099999999999</v>
      </c>
      <c r="K6683">
        <v>1.1111690000000001</v>
      </c>
      <c r="L6683">
        <v>-31.680569999999999</v>
      </c>
      <c r="M6683">
        <v>8.165319E-2</v>
      </c>
      <c r="N6683">
        <v>0</v>
      </c>
      <c r="O6683">
        <v>-0.99656520000000004</v>
      </c>
      <c r="P6683">
        <v>6.3556130000000002E-2</v>
      </c>
      <c r="Q6683">
        <v>-2.7623620000000002E-2</v>
      </c>
      <c r="R6683">
        <v>-0.99759589999999998</v>
      </c>
      <c r="S6683">
        <v>0.60906979999999999</v>
      </c>
      <c r="T6683">
        <v>-0.30708790000000002</v>
      </c>
      <c r="U6683">
        <v>-2.9612120000000002</v>
      </c>
      <c r="V6683">
        <v>1.8168380000000001E-2</v>
      </c>
      <c r="W6683">
        <v>-1.3768529999999999E-2</v>
      </c>
      <c r="X6683">
        <v>0.99974010000000002</v>
      </c>
      <c r="Y6683">
        <v>-0.1197691</v>
      </c>
      <c r="Z6683">
        <v>0.10121860000000001</v>
      </c>
      <c r="AA6683">
        <v>0.98762859999999997</v>
      </c>
      <c r="AB6683">
        <v>23</v>
      </c>
      <c r="AC6683">
        <v>2.1831999999999998</v>
      </c>
      <c r="AD6683">
        <v>-1.1111701907529901</v>
      </c>
      <c r="AE6683">
        <v>-10.48912</v>
      </c>
      <c r="AF6683">
        <v>-1.3053163187724199</v>
      </c>
      <c r="AG6683">
        <v>-1.1111701907529901</v>
      </c>
      <c r="AH6683">
        <v>10.519221941522</v>
      </c>
      <c r="AI6683">
        <v>95.9843660515983</v>
      </c>
      <c r="AJ6683">
        <v>97.073598860438295</v>
      </c>
      <c r="AK6683">
        <v>10.657981991909599</v>
      </c>
      <c r="AL6683">
        <v>90.788903613778999</v>
      </c>
      <c r="AM6683">
        <v>88.958872491332301</v>
      </c>
      <c r="AN6683">
        <v>0.99999996499909705</v>
      </c>
    </row>
    <row r="6684" spans="1:40" x14ac:dyDescent="0.25">
      <c r="A6684" t="str">
        <f>"20190312160818762"</f>
        <v>20190312160818762</v>
      </c>
      <c r="B6684" t="str">
        <f>"1552378098751828"</f>
        <v>1552378098751828</v>
      </c>
      <c r="C6684" t="s">
        <v>40</v>
      </c>
      <c r="D6684">
        <v>5.421322</v>
      </c>
      <c r="E6684">
        <v>0.44780409999999998</v>
      </c>
      <c r="F6684" t="s">
        <v>82</v>
      </c>
      <c r="G6684">
        <v>-300.34840000000003</v>
      </c>
      <c r="H6684" s="1">
        <v>-1.2553549999999999E-6</v>
      </c>
      <c r="I6684">
        <v>-42.275550000000003</v>
      </c>
      <c r="J6684">
        <v>-302.52910000000003</v>
      </c>
      <c r="K6684">
        <v>1.1111580000000001</v>
      </c>
      <c r="L6684">
        <v>-31.914670000000001</v>
      </c>
      <c r="M6684">
        <v>8.3923090000000006E-2</v>
      </c>
      <c r="N6684">
        <v>0</v>
      </c>
      <c r="O6684">
        <v>-0.99637699999999996</v>
      </c>
      <c r="P6684">
        <v>6.6110409999999994E-2</v>
      </c>
      <c r="Q6684">
        <v>-2.753997E-2</v>
      </c>
      <c r="R6684">
        <v>-0.9974324</v>
      </c>
      <c r="S6684">
        <v>0.61523439999999996</v>
      </c>
      <c r="T6684">
        <v>-0.31037759999999998</v>
      </c>
      <c r="U6684">
        <v>-2.9594420000000001</v>
      </c>
      <c r="V6684">
        <v>1.788559E-2</v>
      </c>
      <c r="W6684">
        <v>-1.368864E-2</v>
      </c>
      <c r="X6684">
        <v>0.99974629999999998</v>
      </c>
      <c r="Y6684">
        <v>-0.1195745</v>
      </c>
      <c r="Z6684">
        <v>0.1023019</v>
      </c>
      <c r="AA6684">
        <v>0.98754050000000004</v>
      </c>
      <c r="AB6684">
        <v>23</v>
      </c>
      <c r="AC6684">
        <v>2.1806999999999999</v>
      </c>
      <c r="AD6684">
        <v>-1.111159255355</v>
      </c>
      <c r="AE6684">
        <v>-10.36088</v>
      </c>
      <c r="AF6684">
        <v>-1.2892069785166</v>
      </c>
      <c r="AG6684">
        <v>-1.111159255355</v>
      </c>
      <c r="AH6684">
        <v>10.3928863472785</v>
      </c>
      <c r="AI6684">
        <v>96.056545732318796</v>
      </c>
      <c r="AJ6684">
        <v>97.071250513506897</v>
      </c>
      <c r="AK6684">
        <v>10.531325469838301</v>
      </c>
      <c r="AL6684">
        <v>90.784325819409503</v>
      </c>
      <c r="AM6684">
        <v>88.975080463866703</v>
      </c>
      <c r="AN6684">
        <v>0.99999996877919295</v>
      </c>
    </row>
    <row r="6685" spans="1:40" x14ac:dyDescent="0.25">
      <c r="A6685" t="str">
        <f>"20190312160818784"</f>
        <v>20190312160818784</v>
      </c>
      <c r="B6685" t="str">
        <f>"1552378098772325"</f>
        <v>1552378098772325</v>
      </c>
      <c r="C6685" t="s">
        <v>40</v>
      </c>
      <c r="D6685">
        <v>5.5707329999999997</v>
      </c>
      <c r="E6685">
        <v>0.44798389999999999</v>
      </c>
      <c r="F6685" t="s">
        <v>82</v>
      </c>
      <c r="G6685">
        <v>-300.32429999999999</v>
      </c>
      <c r="H6685" s="1">
        <v>-1.3528870000000001E-6</v>
      </c>
      <c r="I6685">
        <v>-42.434280000000001</v>
      </c>
      <c r="J6685">
        <v>-302.50760000000002</v>
      </c>
      <c r="K6685">
        <v>1.1111580000000001</v>
      </c>
      <c r="L6685">
        <v>-32.139890000000001</v>
      </c>
      <c r="M6685">
        <v>8.6107450000000002E-2</v>
      </c>
      <c r="N6685">
        <v>0</v>
      </c>
      <c r="O6685">
        <v>-0.99619040000000003</v>
      </c>
      <c r="P6685">
        <v>6.8881220000000007E-2</v>
      </c>
      <c r="Q6685">
        <v>-2.7467579999999998E-2</v>
      </c>
      <c r="R6685">
        <v>-0.99724669999999904</v>
      </c>
      <c r="S6685">
        <v>0.61996459999999998</v>
      </c>
      <c r="T6685">
        <v>-0.31244699999999997</v>
      </c>
      <c r="U6685">
        <v>-2.958008</v>
      </c>
      <c r="V6685">
        <v>1.7300030000000001E-2</v>
      </c>
      <c r="W6685">
        <v>-1.3620800000000001E-2</v>
      </c>
      <c r="X6685">
        <v>0.99975760000000002</v>
      </c>
      <c r="Y6685">
        <v>-0.1189921</v>
      </c>
      <c r="Z6685">
        <v>0.1029834</v>
      </c>
      <c r="AA6685">
        <v>0.98753999999999997</v>
      </c>
      <c r="AB6685">
        <v>23</v>
      </c>
      <c r="AC6685">
        <v>2.1833000000000302</v>
      </c>
      <c r="AD6685">
        <v>-1.1111593528870001</v>
      </c>
      <c r="AE6685">
        <v>-10.29439</v>
      </c>
      <c r="AF6685">
        <v>-1.27447205591024</v>
      </c>
      <c r="AG6685">
        <v>-1.1111593528870001</v>
      </c>
      <c r="AH6685">
        <v>10.3290041407065</v>
      </c>
      <c r="AI6685">
        <v>96.094209378974895</v>
      </c>
      <c r="AJ6685">
        <v>97.034041541691906</v>
      </c>
      <c r="AK6685">
        <v>10.4664836820938</v>
      </c>
      <c r="AL6685">
        <v>90.780438457169893</v>
      </c>
      <c r="AM6685">
        <v>89.008639907675899</v>
      </c>
      <c r="AN6685">
        <v>1.00000003799419</v>
      </c>
    </row>
    <row r="6686" spans="1:40" x14ac:dyDescent="0.25">
      <c r="A6686" t="str">
        <f>"20190312160818807"</f>
        <v>20190312160818807</v>
      </c>
      <c r="B6686" t="str">
        <f>"1552378098802580"</f>
        <v>1552378098802580</v>
      </c>
      <c r="C6686" t="s">
        <v>40</v>
      </c>
      <c r="D6686">
        <v>5.5875260000000004</v>
      </c>
      <c r="E6686">
        <v>0.42940689999999998</v>
      </c>
      <c r="F6686" t="s">
        <v>82</v>
      </c>
      <c r="G6686">
        <v>-300.28809999999999</v>
      </c>
      <c r="H6686" s="1">
        <v>-1.4593149999999999E-6</v>
      </c>
      <c r="I6686">
        <v>-42.609659999999998</v>
      </c>
      <c r="J6686">
        <v>-302.48439999999999</v>
      </c>
      <c r="K6686">
        <v>1.1111549999999999</v>
      </c>
      <c r="L6686">
        <v>-32.3765</v>
      </c>
      <c r="M6686">
        <v>8.8403889999999999E-2</v>
      </c>
      <c r="N6686">
        <v>0</v>
      </c>
      <c r="O6686">
        <v>-0.99598909999999996</v>
      </c>
      <c r="P6686">
        <v>7.1546979999999996E-2</v>
      </c>
      <c r="Q6686">
        <v>-2.7660000000000001E-2</v>
      </c>
      <c r="R6686">
        <v>-0.99705339999999998</v>
      </c>
      <c r="S6686">
        <v>0.6267395</v>
      </c>
      <c r="T6686">
        <v>-0.31375910000000001</v>
      </c>
      <c r="U6686">
        <v>-2.9563600000000001</v>
      </c>
      <c r="V6686">
        <v>1.6932409999999998E-2</v>
      </c>
      <c r="W6686">
        <v>-1.381719E-2</v>
      </c>
      <c r="X6686">
        <v>0.99976120000000002</v>
      </c>
      <c r="Y6686">
        <v>-0.1189711</v>
      </c>
      <c r="Z6686">
        <v>0.103412</v>
      </c>
      <c r="AA6686">
        <v>0.98749770000000003</v>
      </c>
      <c r="AB6686">
        <v>23</v>
      </c>
      <c r="AC6686">
        <v>2.1962999999999999</v>
      </c>
      <c r="AD6686">
        <v>-1.1111564593149901</v>
      </c>
      <c r="AE6686">
        <v>-10.2331599999999</v>
      </c>
      <c r="AF6686">
        <v>-1.26866246752692</v>
      </c>
      <c r="AG6686">
        <v>-1.1111564593149901</v>
      </c>
      <c r="AH6686">
        <v>10.2714938345738</v>
      </c>
      <c r="AI6686">
        <v>96.127963617518802</v>
      </c>
      <c r="AJ6686">
        <v>97.041109955846395</v>
      </c>
      <c r="AK6686">
        <v>10.4090229477736</v>
      </c>
      <c r="AL6686">
        <v>90.791691833047906</v>
      </c>
      <c r="AM6686">
        <v>89.029705408646706</v>
      </c>
      <c r="AN6686">
        <v>1.0000000391366699</v>
      </c>
    </row>
    <row r="6687" spans="1:40" x14ac:dyDescent="0.25">
      <c r="A6687" t="str">
        <f>"20190312160818830"</f>
        <v>20190312160818830</v>
      </c>
      <c r="B6687" t="str">
        <f>"1552378098822101"</f>
        <v>1552378098822101</v>
      </c>
      <c r="C6687" t="s">
        <v>40</v>
      </c>
      <c r="D6687">
        <v>5.649737</v>
      </c>
      <c r="E6687">
        <v>0.42741879999999999</v>
      </c>
      <c r="F6687" t="s">
        <v>82</v>
      </c>
      <c r="G6687">
        <v>-298.57130000000001</v>
      </c>
      <c r="H6687" s="1">
        <v>-4.3910330000000002E-6</v>
      </c>
      <c r="I6687">
        <v>-47.163829999999997</v>
      </c>
      <c r="J6687">
        <v>-302.4599</v>
      </c>
      <c r="K6687">
        <v>1.111148</v>
      </c>
      <c r="L6687">
        <v>-32.622250000000001</v>
      </c>
      <c r="M6687">
        <v>9.0790889999999999E-2</v>
      </c>
      <c r="N6687">
        <v>0</v>
      </c>
      <c r="O6687">
        <v>-0.99577439999999995</v>
      </c>
      <c r="P6687">
        <v>7.3606569999999996E-2</v>
      </c>
      <c r="Q6687">
        <v>-2.8033240000000001E-2</v>
      </c>
      <c r="R6687">
        <v>-0.99689320000000003</v>
      </c>
      <c r="S6687">
        <v>0.77978519999999996</v>
      </c>
      <c r="T6687">
        <v>-0.2214264</v>
      </c>
      <c r="U6687">
        <v>-2.9467469999999998</v>
      </c>
      <c r="V6687">
        <v>1.7263540000000001E-2</v>
      </c>
      <c r="W6687">
        <v>-1.419224E-2</v>
      </c>
      <c r="X6687">
        <v>0.99975029999999998</v>
      </c>
      <c r="Y6687">
        <v>-0.16630719999999999</v>
      </c>
      <c r="Z6687">
        <v>7.2704459999999999E-2</v>
      </c>
      <c r="AA6687">
        <v>0.98338999999999999</v>
      </c>
      <c r="AB6687">
        <v>23</v>
      </c>
      <c r="AC6687">
        <v>3.8885999999999901</v>
      </c>
      <c r="AD6687">
        <v>-1.1111523910329999</v>
      </c>
      <c r="AE6687">
        <v>-14.5415799999999</v>
      </c>
      <c r="AF6687">
        <v>-2.5383365128644102</v>
      </c>
      <c r="AG6687">
        <v>-1.1111523910329999</v>
      </c>
      <c r="AH6687">
        <v>14.7541968667965</v>
      </c>
      <c r="AI6687">
        <v>94.244741047560296</v>
      </c>
      <c r="AJ6687">
        <v>99.761699577043501</v>
      </c>
      <c r="AK6687">
        <v>15.0121329954417</v>
      </c>
      <c r="AL6687">
        <v>90.813182708419902</v>
      </c>
      <c r="AM6687">
        <v>89.010723290865599</v>
      </c>
      <c r="AN6687">
        <v>1.0000000559198099</v>
      </c>
    </row>
    <row r="6688" spans="1:40" x14ac:dyDescent="0.25">
      <c r="A6688" t="str">
        <f>"20190312160818854"</f>
        <v>20190312160818854</v>
      </c>
      <c r="B6688" t="str">
        <f>"1552378098842597"</f>
        <v>1552378098842597</v>
      </c>
      <c r="C6688" t="s">
        <v>40</v>
      </c>
      <c r="D6688">
        <v>5.5916449999999998</v>
      </c>
      <c r="E6688">
        <v>0.42721880000000001</v>
      </c>
      <c r="F6688" t="s">
        <v>82</v>
      </c>
      <c r="G6688">
        <v>-298.39089999999999</v>
      </c>
      <c r="H6688" s="1">
        <v>-4.6357439999999999E-6</v>
      </c>
      <c r="I6688">
        <v>-47.565570000000001</v>
      </c>
      <c r="J6688">
        <v>-302.43540000000002</v>
      </c>
      <c r="K6688">
        <v>1.1111439999999999</v>
      </c>
      <c r="L6688">
        <v>-32.86121</v>
      </c>
      <c r="M6688">
        <v>9.3114100000000005E-2</v>
      </c>
      <c r="N6688">
        <v>0</v>
      </c>
      <c r="O6688">
        <v>-0.99556029999999995</v>
      </c>
      <c r="P6688">
        <v>7.5593530000000006E-2</v>
      </c>
      <c r="Q6688">
        <v>-2.8363670000000001E-2</v>
      </c>
      <c r="R6688">
        <v>-0.9967355</v>
      </c>
      <c r="S6688">
        <v>0.80163569999999995</v>
      </c>
      <c r="T6688">
        <v>-0.2189094</v>
      </c>
      <c r="U6688">
        <v>-2.944</v>
      </c>
      <c r="V6688">
        <v>1.7603540000000001E-2</v>
      </c>
      <c r="W6688">
        <v>-1.452438E-2</v>
      </c>
      <c r="X6688">
        <v>0.9997395</v>
      </c>
      <c r="Y6688">
        <v>-0.17105600000000001</v>
      </c>
      <c r="Z6688">
        <v>7.182645E-2</v>
      </c>
      <c r="AA6688">
        <v>0.9826397</v>
      </c>
      <c r="AB6688">
        <v>23</v>
      </c>
      <c r="AC6688">
        <v>4.0445000000000197</v>
      </c>
      <c r="AD6688">
        <v>-1.1111486357439999</v>
      </c>
      <c r="AE6688">
        <v>-14.704359999999999</v>
      </c>
      <c r="AF6688">
        <v>-2.64357847395926</v>
      </c>
      <c r="AG6688">
        <v>-1.1111486357439999</v>
      </c>
      <c r="AH6688">
        <v>14.9378009773871</v>
      </c>
      <c r="AI6688">
        <v>94.189253922875295</v>
      </c>
      <c r="AJ6688">
        <v>100.03586070271</v>
      </c>
      <c r="AK6688">
        <v>15.210557401973301</v>
      </c>
      <c r="AL6688">
        <v>90.832214973552297</v>
      </c>
      <c r="AM6688">
        <v>88.991232888684195</v>
      </c>
      <c r="AN6688">
        <v>0.99999995504758199</v>
      </c>
    </row>
    <row r="6689" spans="1:40" x14ac:dyDescent="0.25">
      <c r="A6689" t="str">
        <f>"20190312160818873"</f>
        <v>20190312160818873</v>
      </c>
      <c r="B6689" t="str">
        <f>"1552378098862116"</f>
        <v>1552378098862116</v>
      </c>
      <c r="C6689" t="s">
        <v>40</v>
      </c>
      <c r="D6689">
        <v>5.6023620000000003</v>
      </c>
      <c r="E6689">
        <v>0.42735780000000001</v>
      </c>
      <c r="F6689" t="s">
        <v>82</v>
      </c>
      <c r="G6689">
        <v>-298.20159999999998</v>
      </c>
      <c r="H6689" s="1">
        <v>-5.0325109999999998E-6</v>
      </c>
      <c r="I6689">
        <v>-48.261890000000001</v>
      </c>
      <c r="J6689">
        <v>-302.41390000000001</v>
      </c>
      <c r="K6689">
        <v>1.1111409999999999</v>
      </c>
      <c r="L6689">
        <v>-33.065459999999902</v>
      </c>
      <c r="M6689">
        <v>9.5102010000000001E-2</v>
      </c>
      <c r="N6689">
        <v>0</v>
      </c>
      <c r="O6689">
        <v>-0.99537240000000005</v>
      </c>
      <c r="P6689">
        <v>7.7671760000000006E-2</v>
      </c>
      <c r="Q6689">
        <v>-2.799718E-2</v>
      </c>
      <c r="R6689">
        <v>-0.99658639999999998</v>
      </c>
      <c r="S6689">
        <v>0.80889889999999998</v>
      </c>
      <c r="T6689">
        <v>-0.2122954</v>
      </c>
      <c r="U6689">
        <v>-2.9424440000000001</v>
      </c>
      <c r="V6689">
        <v>1.7515019999999999E-2</v>
      </c>
      <c r="W6689">
        <v>-1.416044E-2</v>
      </c>
      <c r="X6689">
        <v>0.99974629999999998</v>
      </c>
      <c r="Y6689">
        <v>-0.1715177</v>
      </c>
      <c r="Z6689">
        <v>6.9657880000000005E-2</v>
      </c>
      <c r="AA6689">
        <v>0.98271540000000002</v>
      </c>
      <c r="AB6689">
        <v>23</v>
      </c>
      <c r="AC6689">
        <v>4.2123000000000204</v>
      </c>
      <c r="AD6689">
        <v>-1.1111460325110001</v>
      </c>
      <c r="AE6689">
        <v>-15.196429999999999</v>
      </c>
      <c r="AF6689">
        <v>-2.7342809246665598</v>
      </c>
      <c r="AG6689">
        <v>-1.1111460325110001</v>
      </c>
      <c r="AH6689">
        <v>15.451460821731899</v>
      </c>
      <c r="AI6689">
        <v>94.050459694772996</v>
      </c>
      <c r="AJ6689">
        <v>100.035137414122</v>
      </c>
      <c r="AK6689">
        <v>15.7308162282214</v>
      </c>
      <c r="AL6689">
        <v>90.811360581894306</v>
      </c>
      <c r="AM6689">
        <v>88.996311293575801</v>
      </c>
      <c r="AN6689">
        <v>0.99999997917514105</v>
      </c>
    </row>
    <row r="6690" spans="1:40" x14ac:dyDescent="0.25">
      <c r="A6690" t="str">
        <f>"20190312160818896"</f>
        <v>20190312160818896</v>
      </c>
      <c r="B6690" t="str">
        <f>"1552378098892372"</f>
        <v>1552378098892372</v>
      </c>
      <c r="C6690" t="s">
        <v>40</v>
      </c>
      <c r="D6690">
        <v>5.5983419999999997</v>
      </c>
      <c r="E6690">
        <v>0.42778830000000001</v>
      </c>
      <c r="F6690" t="s">
        <v>82</v>
      </c>
      <c r="G6690">
        <v>-298.11180000000002</v>
      </c>
      <c r="H6690" s="1">
        <v>-5.2283539999999998E-6</v>
      </c>
      <c r="I6690">
        <v>-48.60716</v>
      </c>
      <c r="J6690">
        <v>-302.38959999999997</v>
      </c>
      <c r="K6690">
        <v>1.111145</v>
      </c>
      <c r="L6690">
        <v>-33.292850000000001</v>
      </c>
      <c r="M6690">
        <v>9.7316700000000006E-2</v>
      </c>
      <c r="N6690">
        <v>0</v>
      </c>
      <c r="O6690">
        <v>-0.99515819999999999</v>
      </c>
      <c r="P6690">
        <v>7.9844219999999994E-2</v>
      </c>
      <c r="Q6690">
        <v>-2.77646E-2</v>
      </c>
      <c r="R6690">
        <v>-0.99642090000000005</v>
      </c>
      <c r="S6690">
        <v>0.81408689999999995</v>
      </c>
      <c r="T6690">
        <v>-0.21025959999999999</v>
      </c>
      <c r="U6690">
        <v>-2.9409179999999999</v>
      </c>
      <c r="V6690">
        <v>1.755984E-2</v>
      </c>
      <c r="W6690">
        <v>-1.39303E-2</v>
      </c>
      <c r="X6690">
        <v>0.99974879999999999</v>
      </c>
      <c r="Y6690">
        <v>-0.17107929999999999</v>
      </c>
      <c r="Z6690">
        <v>6.8992049999999999E-2</v>
      </c>
      <c r="AA6690">
        <v>0.98283869999999895</v>
      </c>
      <c r="AB6690">
        <v>23</v>
      </c>
      <c r="AC6690">
        <v>4.2777999999999503</v>
      </c>
      <c r="AD6690">
        <v>-1.111150228354</v>
      </c>
      <c r="AE6690">
        <v>-15.314310000000001</v>
      </c>
      <c r="AF6690">
        <v>-2.7535652650815399</v>
      </c>
      <c r="AG6690">
        <v>-1.111150228354</v>
      </c>
      <c r="AH6690">
        <v>15.5818549317185</v>
      </c>
      <c r="AI6690">
        <v>94.0168576293554</v>
      </c>
      <c r="AJ6690">
        <v>100.02162342927301</v>
      </c>
      <c r="AK6690">
        <v>15.8622501434114</v>
      </c>
      <c r="AL6690">
        <v>90.798173187776896</v>
      </c>
      <c r="AM6690">
        <v>88.993745951003604</v>
      </c>
      <c r="AN6690">
        <v>1.0000000321701701</v>
      </c>
    </row>
    <row r="6691" spans="1:40" x14ac:dyDescent="0.25">
      <c r="A6691" t="str">
        <f>"20190312160818918"</f>
        <v>20190312160818918</v>
      </c>
      <c r="B6691" t="str">
        <f>"1552378098911892"</f>
        <v>1552378098911892</v>
      </c>
      <c r="C6691" t="s">
        <v>40</v>
      </c>
      <c r="D6691">
        <v>5.6074279999999996</v>
      </c>
      <c r="E6691">
        <v>0.4281681</v>
      </c>
      <c r="F6691" t="s">
        <v>82</v>
      </c>
      <c r="G6691">
        <v>-298.09070000000003</v>
      </c>
      <c r="H6691" s="1">
        <v>-5.3127110000000001E-6</v>
      </c>
      <c r="I6691">
        <v>-48.763530000000003</v>
      </c>
      <c r="J6691">
        <v>-302.3639</v>
      </c>
      <c r="K6691">
        <v>1.11114</v>
      </c>
      <c r="L6691">
        <v>-33.528230000000001</v>
      </c>
      <c r="M6691">
        <v>9.9612409999999998E-2</v>
      </c>
      <c r="N6691">
        <v>0</v>
      </c>
      <c r="O6691">
        <v>-0.99493089999999995</v>
      </c>
      <c r="P6691">
        <v>8.2169989999999998E-2</v>
      </c>
      <c r="Q6691">
        <v>-2.7595080000000001E-2</v>
      </c>
      <c r="R6691">
        <v>-0.99623660000000003</v>
      </c>
      <c r="S6691">
        <v>0.81680299999999995</v>
      </c>
      <c r="T6691">
        <v>-0.21112020000000001</v>
      </c>
      <c r="U6691">
        <v>-2.9394529999999999</v>
      </c>
      <c r="V6691">
        <v>1.7532470000000001E-2</v>
      </c>
      <c r="W6691">
        <v>-1.3763559999999999E-2</v>
      </c>
      <c r="X6691">
        <v>0.99975159999999996</v>
      </c>
      <c r="Y6691">
        <v>-0.169769899999999</v>
      </c>
      <c r="Z6691">
        <v>6.9282049999999998E-2</v>
      </c>
      <c r="AA6691">
        <v>0.98304530000000001</v>
      </c>
      <c r="AB6691">
        <v>23</v>
      </c>
      <c r="AC6691">
        <v>4.2731999999999699</v>
      </c>
      <c r="AD6691">
        <v>-1.111145312711</v>
      </c>
      <c r="AE6691">
        <v>-15.235299999999899</v>
      </c>
      <c r="AF6691">
        <v>-2.7207567960240699</v>
      </c>
      <c r="AG6691">
        <v>-1.111145312711</v>
      </c>
      <c r="AH6691">
        <v>15.508737679131</v>
      </c>
      <c r="AI6691">
        <v>94.036596209191501</v>
      </c>
      <c r="AJ6691">
        <v>99.950360117211304</v>
      </c>
      <c r="AK6691">
        <v>15.784742818594401</v>
      </c>
      <c r="AL6691">
        <v>90.788618765719505</v>
      </c>
      <c r="AM6691">
        <v>88.995316860750194</v>
      </c>
      <c r="AN6691">
        <v>1.0000000423953599</v>
      </c>
    </row>
    <row r="6692" spans="1:40" x14ac:dyDescent="0.25">
      <c r="A6692" t="str">
        <f>"20190312160818941"</f>
        <v>20190312160818941</v>
      </c>
      <c r="B6692" t="str">
        <f>"1552378098932388"</f>
        <v>1552378098932388</v>
      </c>
      <c r="C6692" t="s">
        <v>40</v>
      </c>
      <c r="D6692">
        <v>5.6143669999999997</v>
      </c>
      <c r="E6692">
        <v>0.42821029999999999</v>
      </c>
      <c r="F6692" t="s">
        <v>82</v>
      </c>
      <c r="G6692">
        <v>-298.08940000000001</v>
      </c>
      <c r="H6692" s="1">
        <v>-5.3448790000000003E-6</v>
      </c>
      <c r="I6692">
        <v>-48.826129999999999</v>
      </c>
      <c r="J6692">
        <v>-302.339</v>
      </c>
      <c r="K6692">
        <v>1.1111420000000001</v>
      </c>
      <c r="L6692">
        <v>-33.750239999999998</v>
      </c>
      <c r="M6692">
        <v>0.10178180000000001</v>
      </c>
      <c r="N6692">
        <v>0</v>
      </c>
      <c r="O6692">
        <v>-0.99471149999999997</v>
      </c>
      <c r="P6692">
        <v>8.4374909999999997E-2</v>
      </c>
      <c r="Q6692">
        <v>-2.7438690000000002E-2</v>
      </c>
      <c r="R6692">
        <v>-0.99605659999999896</v>
      </c>
      <c r="S6692">
        <v>0.82083130000000004</v>
      </c>
      <c r="T6692">
        <v>-0.21337739999999999</v>
      </c>
      <c r="U6692">
        <v>-2.9377140000000002</v>
      </c>
      <c r="V6692">
        <v>1.74995999999999E-2</v>
      </c>
      <c r="W6692">
        <v>-1.3609710000000001E-2</v>
      </c>
      <c r="X6692">
        <v>0.99975429999999998</v>
      </c>
      <c r="Y6692">
        <v>-0.16900780000000001</v>
      </c>
      <c r="Z6692">
        <v>7.0027690000000004E-2</v>
      </c>
      <c r="AA6692">
        <v>0.98312379999999999</v>
      </c>
      <c r="AB6692">
        <v>23</v>
      </c>
      <c r="AC6692">
        <v>4.2495999999999796</v>
      </c>
      <c r="AD6692">
        <v>-1.1111473448789999</v>
      </c>
      <c r="AE6692">
        <v>-15.0758899999999</v>
      </c>
      <c r="AF6692">
        <v>-2.67944598094024</v>
      </c>
      <c r="AG6692">
        <v>-1.1111473448789999</v>
      </c>
      <c r="AH6692">
        <v>15.3528937716498</v>
      </c>
      <c r="AI6692">
        <v>94.078068608171293</v>
      </c>
      <c r="AJ6692">
        <v>99.899772109933494</v>
      </c>
      <c r="AK6692">
        <v>15.6245136356423</v>
      </c>
      <c r="AL6692">
        <v>90.779802970711003</v>
      </c>
      <c r="AM6692">
        <v>88.997202770550601</v>
      </c>
      <c r="AN6692">
        <v>1.0000000602874599</v>
      </c>
    </row>
    <row r="6693" spans="1:40" x14ac:dyDescent="0.25">
      <c r="A6693" t="str">
        <f>"20190312160818963"</f>
        <v>20190312160818963</v>
      </c>
      <c r="B6693" t="str">
        <f>"1552378098951908"</f>
        <v>1552378098951908</v>
      </c>
      <c r="C6693" t="s">
        <v>40</v>
      </c>
      <c r="D6693">
        <v>5.6349640000000001</v>
      </c>
      <c r="E6693">
        <v>0.428479</v>
      </c>
      <c r="F6693" t="s">
        <v>82</v>
      </c>
      <c r="G6693">
        <v>-298.01549999999997</v>
      </c>
      <c r="H6693" s="1">
        <v>-5.5016050000000003E-6</v>
      </c>
      <c r="I6693">
        <v>-49.101559999999999</v>
      </c>
      <c r="J6693">
        <v>-302.31299999999999</v>
      </c>
      <c r="K6693">
        <v>1.1111489999999999</v>
      </c>
      <c r="L6693">
        <v>-33.978879999999997</v>
      </c>
      <c r="M6693">
        <v>0.1040272</v>
      </c>
      <c r="N6693">
        <v>0</v>
      </c>
      <c r="O6693">
        <v>-0.99447920000000001</v>
      </c>
      <c r="P6693">
        <v>8.7093790000000004E-2</v>
      </c>
      <c r="Q6693">
        <v>-2.6507079999999999E-2</v>
      </c>
      <c r="R6693">
        <v>-0.99584779999999995</v>
      </c>
      <c r="S6693">
        <v>0.82687379999999999</v>
      </c>
      <c r="T6693">
        <v>-0.21250949999999999</v>
      </c>
      <c r="U6693">
        <v>-2.9359739999999999</v>
      </c>
      <c r="V6693">
        <v>1.7027009999999999E-2</v>
      </c>
      <c r="W6693">
        <v>-1.2681619999999999E-2</v>
      </c>
      <c r="X6693">
        <v>0.99977459999999996</v>
      </c>
      <c r="Y6693">
        <v>-0.16881489999999999</v>
      </c>
      <c r="Z6693">
        <v>6.9741699999999907E-2</v>
      </c>
      <c r="AA6693">
        <v>0.98317730000000003</v>
      </c>
      <c r="AB6693">
        <v>23</v>
      </c>
      <c r="AC6693">
        <v>4.2975000000000101</v>
      </c>
      <c r="AD6693">
        <v>-1.111154501605</v>
      </c>
      <c r="AE6693">
        <v>-15.122680000000001</v>
      </c>
      <c r="AF6693">
        <v>-2.6874355585765701</v>
      </c>
      <c r="AG6693">
        <v>-1.111154501605</v>
      </c>
      <c r="AH6693">
        <v>15.4107332167073</v>
      </c>
      <c r="AI6693">
        <v>94.062933896324196</v>
      </c>
      <c r="AJ6693">
        <v>99.892177832447103</v>
      </c>
      <c r="AK6693">
        <v>15.682718912371801</v>
      </c>
      <c r="AL6693">
        <v>90.726622783023302</v>
      </c>
      <c r="AM6693">
        <v>89.0242985716188</v>
      </c>
      <c r="AN6693">
        <v>0.99999999668026196</v>
      </c>
    </row>
    <row r="6694" spans="1:40" x14ac:dyDescent="0.25">
      <c r="A6694" t="str">
        <f>"20190312160818996"</f>
        <v>20190312160818996</v>
      </c>
      <c r="B6694" t="str">
        <f>"1552378098982164"</f>
        <v>1552378098982164</v>
      </c>
      <c r="C6694" t="s">
        <v>40</v>
      </c>
      <c r="D6694">
        <v>5.6180500000000002</v>
      </c>
      <c r="E6694">
        <v>0.42873270000000002</v>
      </c>
      <c r="F6694" t="s">
        <v>82</v>
      </c>
      <c r="G6694">
        <v>-297.9477</v>
      </c>
      <c r="H6694" s="1">
        <v>-5.6470880000000002E-6</v>
      </c>
      <c r="I6694">
        <v>-49.357570000000003</v>
      </c>
      <c r="J6694">
        <v>-302.27289999999999</v>
      </c>
      <c r="K6694">
        <v>1.111167</v>
      </c>
      <c r="L6694">
        <v>-34.321750000000002</v>
      </c>
      <c r="M6694">
        <v>0.1074423</v>
      </c>
      <c r="N6694">
        <v>0</v>
      </c>
      <c r="O6694">
        <v>-0.99411609999999995</v>
      </c>
      <c r="P6694">
        <v>9.0715299999999999E-2</v>
      </c>
      <c r="Q6694">
        <v>-2.5227329999999999E-2</v>
      </c>
      <c r="R6694">
        <v>-0.99555760000000004</v>
      </c>
      <c r="S6694">
        <v>0.83282469999999997</v>
      </c>
      <c r="T6694">
        <v>-0.2119914</v>
      </c>
      <c r="U6694">
        <v>-2.934021</v>
      </c>
      <c r="V6694">
        <v>1.682434E-2</v>
      </c>
      <c r="W6694">
        <v>-1.1404539999999999E-2</v>
      </c>
      <c r="X6694">
        <v>0.99979340000000005</v>
      </c>
      <c r="Y6694">
        <v>-0.16745009999999999</v>
      </c>
      <c r="Z6694">
        <v>6.9568229999999995E-2</v>
      </c>
      <c r="AA6694">
        <v>0.98342289999999999</v>
      </c>
      <c r="AB6694">
        <v>23</v>
      </c>
      <c r="AC6694">
        <v>4.3251999999999899</v>
      </c>
      <c r="AD6694">
        <v>-1.1111726470879999</v>
      </c>
      <c r="AE6694">
        <v>-15.035819999999999</v>
      </c>
      <c r="AF6694">
        <v>-2.6710490495747901</v>
      </c>
      <c r="AG6694">
        <v>-1.1111726470879999</v>
      </c>
      <c r="AH6694">
        <v>15.3361626470828</v>
      </c>
      <c r="AI6694">
        <v>94.082841098607005</v>
      </c>
      <c r="AJ6694">
        <v>99.879913880776698</v>
      </c>
      <c r="AK6694">
        <v>15.6066361658959</v>
      </c>
      <c r="AL6694">
        <v>90.653446186285606</v>
      </c>
      <c r="AM6694">
        <v>89.035928122470807</v>
      </c>
      <c r="AN6694">
        <v>0.99999998231630305</v>
      </c>
    </row>
    <row r="6695" spans="1:40" x14ac:dyDescent="0.25">
      <c r="A6695" t="str">
        <f>"20190312160819019"</f>
        <v>20190312160819019</v>
      </c>
      <c r="B6695" t="str">
        <f>"1552378099012420"</f>
        <v>1552378099012420</v>
      </c>
      <c r="C6695" t="s">
        <v>40</v>
      </c>
      <c r="D6695">
        <v>5.6061059999999996</v>
      </c>
      <c r="E6695">
        <v>0.42900290000000002</v>
      </c>
      <c r="F6695" t="s">
        <v>82</v>
      </c>
      <c r="G6695">
        <v>-297.81889999999999</v>
      </c>
      <c r="H6695" s="1">
        <v>-5.8521539999999996E-6</v>
      </c>
      <c r="I6695">
        <v>-49.838940000000001</v>
      </c>
      <c r="J6695">
        <v>-302.24560000000002</v>
      </c>
      <c r="K6695">
        <v>1.1112029999999999</v>
      </c>
      <c r="L6695">
        <v>-34.54965</v>
      </c>
      <c r="M6695">
        <v>0.109768699999999</v>
      </c>
      <c r="N6695">
        <v>0</v>
      </c>
      <c r="O6695">
        <v>-0.99386189999999996</v>
      </c>
      <c r="P6695">
        <v>9.3032619999999996E-2</v>
      </c>
      <c r="Q6695">
        <v>-2.4978650000000002E-2</v>
      </c>
      <c r="R6695">
        <v>-0.99534979999999995</v>
      </c>
      <c r="S6695">
        <v>0.84143069999999898</v>
      </c>
      <c r="T6695">
        <v>-0.20991470000000001</v>
      </c>
      <c r="U6695">
        <v>-2.9313959999999999</v>
      </c>
      <c r="V6695">
        <v>1.683749E-2</v>
      </c>
      <c r="W6695">
        <v>-1.11562E-2</v>
      </c>
      <c r="X6695">
        <v>0.99979600000000002</v>
      </c>
      <c r="Y6695">
        <v>-0.16805639999999999</v>
      </c>
      <c r="Z6695">
        <v>6.8891949999999993E-2</v>
      </c>
      <c r="AA6695">
        <v>0.98336710000000005</v>
      </c>
      <c r="AB6695">
        <v>23</v>
      </c>
      <c r="AC6695">
        <v>4.4267000000000296</v>
      </c>
      <c r="AD6695">
        <v>-1.111208852154</v>
      </c>
      <c r="AE6695">
        <v>-15.289289999999999</v>
      </c>
      <c r="AF6695">
        <v>-2.7083012812067699</v>
      </c>
      <c r="AG6695">
        <v>-1.111208852154</v>
      </c>
      <c r="AH6695">
        <v>15.6067784234444</v>
      </c>
      <c r="AI6695">
        <v>94.012836956331498</v>
      </c>
      <c r="AJ6695">
        <v>99.844706318843294</v>
      </c>
      <c r="AK6695">
        <v>15.8789550569734</v>
      </c>
      <c r="AL6695">
        <v>90.639216434322506</v>
      </c>
      <c r="AM6695">
        <v>89.035177249366598</v>
      </c>
      <c r="AN6695">
        <v>1.0000000017419699</v>
      </c>
    </row>
    <row r="6696" spans="1:40" x14ac:dyDescent="0.25">
      <c r="A6696" t="str">
        <f>"20190312160819042"</f>
        <v>20190312160819042</v>
      </c>
      <c r="B6696" t="str">
        <f>"1552378099031941"</f>
        <v>1552378099031941</v>
      </c>
      <c r="C6696" t="s">
        <v>40</v>
      </c>
      <c r="D6696">
        <v>5.6311229999999997</v>
      </c>
      <c r="E6696">
        <v>0.4291818</v>
      </c>
      <c r="F6696" t="s">
        <v>82</v>
      </c>
      <c r="G6696">
        <v>-297.75850000000003</v>
      </c>
      <c r="H6696" s="1">
        <v>-5.9552509999999997E-6</v>
      </c>
      <c r="I6696">
        <v>-50.08643</v>
      </c>
      <c r="J6696">
        <v>-302.21690000000001</v>
      </c>
      <c r="K6696">
        <v>1.11124</v>
      </c>
      <c r="L6696">
        <v>-34.783540000000002</v>
      </c>
      <c r="M6696">
        <v>0.1122079</v>
      </c>
      <c r="N6696">
        <v>0</v>
      </c>
      <c r="O6696">
        <v>-0.99358939999999996</v>
      </c>
      <c r="P6696">
        <v>9.5385559999999994E-2</v>
      </c>
      <c r="Q6696">
        <v>-2.4952490000000001E-2</v>
      </c>
      <c r="R6696">
        <v>-0.99512769999999995</v>
      </c>
      <c r="S6696">
        <v>0.84609990000000002</v>
      </c>
      <c r="T6696">
        <v>-0.20953250000000001</v>
      </c>
      <c r="U6696">
        <v>-2.9296570000000002</v>
      </c>
      <c r="V6696">
        <v>1.6928740000000001E-2</v>
      </c>
      <c r="W6696">
        <v>-1.112961E-2</v>
      </c>
      <c r="X6696">
        <v>0.99979479999999998</v>
      </c>
      <c r="Y6696">
        <v>-0.16724129999999901</v>
      </c>
      <c r="Z6696">
        <v>6.8767969999999998E-2</v>
      </c>
      <c r="AA6696">
        <v>0.98351480000000002</v>
      </c>
      <c r="AB6696">
        <v>23</v>
      </c>
      <c r="AC6696">
        <v>4.4583999999999797</v>
      </c>
      <c r="AD6696">
        <v>-1.1112459552509999</v>
      </c>
      <c r="AE6696">
        <v>-15.3028899999999</v>
      </c>
      <c r="AF6696">
        <v>-2.6998479602244001</v>
      </c>
      <c r="AG6696">
        <v>-1.1112459552509999</v>
      </c>
      <c r="AH6696">
        <v>15.630570988169</v>
      </c>
      <c r="AI6696">
        <v>94.007422388631596</v>
      </c>
      <c r="AJ6696">
        <v>99.799927197912496</v>
      </c>
      <c r="AK6696">
        <v>15.900905508730601</v>
      </c>
      <c r="AL6696">
        <v>90.637692816553297</v>
      </c>
      <c r="AM6696">
        <v>89.029948269376504</v>
      </c>
      <c r="AN6696">
        <v>1.0000000462818801</v>
      </c>
    </row>
    <row r="6697" spans="1:40" x14ac:dyDescent="0.25">
      <c r="A6697" t="str">
        <f>"20190312160819065"</f>
        <v>20190312160819065</v>
      </c>
      <c r="B6697" t="str">
        <f>"1552378099052436"</f>
        <v>1552378099052436</v>
      </c>
      <c r="C6697" t="s">
        <v>40</v>
      </c>
      <c r="D6697">
        <v>5.6243489999999996</v>
      </c>
      <c r="E6697">
        <v>0.42937789999999998</v>
      </c>
      <c r="F6697" t="s">
        <v>82</v>
      </c>
      <c r="G6697">
        <v>-297.70170000000002</v>
      </c>
      <c r="H6697" s="1">
        <v>-6.0449819999999996E-6</v>
      </c>
      <c r="I6697">
        <v>-50.300080000000001</v>
      </c>
      <c r="J6697">
        <v>-302.18860000000001</v>
      </c>
      <c r="K6697">
        <v>1.1112879999999901</v>
      </c>
      <c r="L6697">
        <v>-35.00882</v>
      </c>
      <c r="M6697">
        <v>0.1146283</v>
      </c>
      <c r="N6697">
        <v>0</v>
      </c>
      <c r="O6697">
        <v>-0.99331309999999995</v>
      </c>
      <c r="P6697">
        <v>9.8732840000000002E-2</v>
      </c>
      <c r="Q6697">
        <v>-2.404017E-2</v>
      </c>
      <c r="R6697">
        <v>-0.99482369999999998</v>
      </c>
      <c r="S6697">
        <v>0.85195919999999903</v>
      </c>
      <c r="T6697">
        <v>-0.20967730000000001</v>
      </c>
      <c r="U6697">
        <v>-2.927765</v>
      </c>
      <c r="V6697">
        <v>1.6001629999999999E-2</v>
      </c>
      <c r="W6697">
        <v>-1.021942E-2</v>
      </c>
      <c r="X6697">
        <v>0.99981980000000004</v>
      </c>
      <c r="Y6697">
        <v>-0.16682359999999999</v>
      </c>
      <c r="Z6697">
        <v>6.8812849999999995E-2</v>
      </c>
      <c r="AA6697">
        <v>0.98358259999999997</v>
      </c>
      <c r="AB6697">
        <v>23</v>
      </c>
      <c r="AC6697">
        <v>4.4868999999999897</v>
      </c>
      <c r="AD6697">
        <v>-1.1112940449819999</v>
      </c>
      <c r="AE6697">
        <v>-15.291259999999999</v>
      </c>
      <c r="AF6697">
        <v>-2.6912540933803299</v>
      </c>
      <c r="AG6697">
        <v>-1.1112940449819999</v>
      </c>
      <c r="AH6697">
        <v>15.628819766724</v>
      </c>
      <c r="AI6697">
        <v>94.008397816183106</v>
      </c>
      <c r="AJ6697">
        <v>99.770408705027705</v>
      </c>
      <c r="AK6697">
        <v>15.8977303521695</v>
      </c>
      <c r="AL6697">
        <v>90.585539791853506</v>
      </c>
      <c r="AM6697">
        <v>89.083087175908801</v>
      </c>
      <c r="AN6697">
        <v>1.00000006058991</v>
      </c>
    </row>
    <row r="6698" spans="1:40" x14ac:dyDescent="0.25">
      <c r="A6698" t="str">
        <f>"20190312160819086"</f>
        <v>20190312160819086</v>
      </c>
      <c r="B6698" t="str">
        <f>"1552378099082692"</f>
        <v>1552378099082692</v>
      </c>
      <c r="C6698" t="s">
        <v>40</v>
      </c>
      <c r="D6698">
        <v>5.8455810000000001</v>
      </c>
      <c r="E6698">
        <v>0.42847990000000002</v>
      </c>
      <c r="F6698" t="s">
        <v>82</v>
      </c>
      <c r="G6698">
        <v>-297.61399999999998</v>
      </c>
      <c r="H6698" s="1">
        <v>-8.0883589999999999E-6</v>
      </c>
      <c r="I6698">
        <v>-50.572760000000002</v>
      </c>
      <c r="J6698">
        <v>-302.16030000000001</v>
      </c>
      <c r="K6698">
        <v>1.1113409999999999</v>
      </c>
      <c r="L6698">
        <v>-35.228789999999996</v>
      </c>
      <c r="M6698">
        <v>0.1170737</v>
      </c>
      <c r="N6698">
        <v>0</v>
      </c>
      <c r="O6698">
        <v>-0.99302800000000002</v>
      </c>
      <c r="P6698">
        <v>0.1022865</v>
      </c>
      <c r="Q6698">
        <v>-2.3292E-2</v>
      </c>
      <c r="R6698">
        <v>-0.9944828</v>
      </c>
      <c r="S6698">
        <v>0.85980219999999896</v>
      </c>
      <c r="T6698">
        <v>-0.20886740000000001</v>
      </c>
      <c r="U6698">
        <v>-2.9252319999999998</v>
      </c>
      <c r="V6698">
        <v>1.4891969999999999E-2</v>
      </c>
      <c r="W6698">
        <v>-9.4735540000000003E-3</v>
      </c>
      <c r="X6698">
        <v>0.99984430000000002</v>
      </c>
      <c r="Y6698">
        <v>-0.1670587</v>
      </c>
      <c r="Z6698">
        <v>6.8548979999999995E-2</v>
      </c>
      <c r="AA6698">
        <v>0.98356109999999997</v>
      </c>
      <c r="AB6698">
        <v>23</v>
      </c>
      <c r="AC6698">
        <v>4.5462999999999703</v>
      </c>
      <c r="AD6698">
        <v>-1.11134908835899</v>
      </c>
      <c r="AE6698">
        <v>-15.343969999999899</v>
      </c>
      <c r="AF6698">
        <v>-2.70543772429115</v>
      </c>
      <c r="AG6698">
        <v>-1.11134908835899</v>
      </c>
      <c r="AH6698">
        <v>15.695044666449199</v>
      </c>
      <c r="AI6698">
        <v>93.991618409246996</v>
      </c>
      <c r="AJ6698">
        <v>99.7802641005227</v>
      </c>
      <c r="AK6698">
        <v>15.965240905105301</v>
      </c>
      <c r="AL6698">
        <v>90.542802741783802</v>
      </c>
      <c r="AM6698">
        <v>89.146683195271095</v>
      </c>
      <c r="AN6698">
        <v>1.0000000716191699</v>
      </c>
    </row>
    <row r="6699" spans="1:40" x14ac:dyDescent="0.25">
      <c r="A6699" t="str">
        <f>"20190312160819109"</f>
        <v>20190312160819109</v>
      </c>
      <c r="B6699" t="str">
        <f>"1552378099102213"</f>
        <v>1552378099102213</v>
      </c>
      <c r="C6699" t="s">
        <v>40</v>
      </c>
      <c r="D6699">
        <v>5.4361189999999997</v>
      </c>
      <c r="E6699">
        <v>0.37737389999999998</v>
      </c>
      <c r="F6699" t="s">
        <v>82</v>
      </c>
      <c r="G6699">
        <v>-297.43450000000001</v>
      </c>
      <c r="H6699" s="1">
        <v>-8.1068149999999994E-6</v>
      </c>
      <c r="I6699">
        <v>-50.968820000000001</v>
      </c>
      <c r="J6699">
        <v>-302.1302</v>
      </c>
      <c r="K6699">
        <v>1.111397</v>
      </c>
      <c r="L6699">
        <v>-35.459109999999903</v>
      </c>
      <c r="M6699">
        <v>0.1197252</v>
      </c>
      <c r="N6699">
        <v>0</v>
      </c>
      <c r="O6699">
        <v>-0.99271160000000003</v>
      </c>
      <c r="P6699">
        <v>0.10546999999999999</v>
      </c>
      <c r="Q6699">
        <v>-2.4138340000000001E-2</v>
      </c>
      <c r="R6699">
        <v>-0.99412970000000001</v>
      </c>
      <c r="S6699">
        <v>0.87719729999999996</v>
      </c>
      <c r="T6699">
        <v>-0.2062842</v>
      </c>
      <c r="U6699">
        <v>-2.9216000000000002</v>
      </c>
      <c r="V6699">
        <v>1.4363320000000001E-2</v>
      </c>
      <c r="W6699">
        <v>-1.031993E-2</v>
      </c>
      <c r="X6699">
        <v>0.99984360000000005</v>
      </c>
      <c r="Y6699">
        <v>-0.17015350000000001</v>
      </c>
      <c r="Z6699">
        <v>6.7679069999999994E-2</v>
      </c>
      <c r="AA6699">
        <v>0.98309069999999998</v>
      </c>
      <c r="AB6699">
        <v>23</v>
      </c>
      <c r="AC6699">
        <v>4.69569999999998</v>
      </c>
      <c r="AD6699">
        <v>-1.1114051068149999</v>
      </c>
      <c r="AE6699">
        <v>-15.50971</v>
      </c>
      <c r="AF6699">
        <v>-2.7917069451460801</v>
      </c>
      <c r="AG6699">
        <v>-1.1114051068149999</v>
      </c>
      <c r="AH6699">
        <v>15.8856524734061</v>
      </c>
      <c r="AI6699">
        <v>93.941841592399399</v>
      </c>
      <c r="AJ6699">
        <v>99.967247702897893</v>
      </c>
      <c r="AK6699">
        <v>16.167337550903898</v>
      </c>
      <c r="AL6699">
        <v>90.591298920855806</v>
      </c>
      <c r="AM6699">
        <v>89.176970266464807</v>
      </c>
      <c r="AN6699">
        <v>1.00000001518879</v>
      </c>
    </row>
    <row r="6700" spans="1:40" x14ac:dyDescent="0.25">
      <c r="A6700" t="str">
        <f>"20190312160819130"</f>
        <v>20190312160819130</v>
      </c>
      <c r="B6700" t="str">
        <f>"1552378099122708"</f>
        <v>1552378099122708</v>
      </c>
      <c r="C6700" t="s">
        <v>40</v>
      </c>
      <c r="D6700">
        <v>5.7074669999999896</v>
      </c>
      <c r="E6700">
        <v>0.37276379999999998</v>
      </c>
      <c r="F6700" t="s">
        <v>82</v>
      </c>
      <c r="G6700">
        <v>-294.47699999999998</v>
      </c>
      <c r="H6700" s="1">
        <v>-8.9730269999999992E-6</v>
      </c>
      <c r="I6700">
        <v>-52.497070000000001</v>
      </c>
      <c r="J6700">
        <v>-302.10109999999997</v>
      </c>
      <c r="K6700">
        <v>1.1114489999999999</v>
      </c>
      <c r="L6700">
        <v>-35.674990000000001</v>
      </c>
      <c r="M6700">
        <v>0.122297699999999</v>
      </c>
      <c r="N6700">
        <v>0</v>
      </c>
      <c r="O6700">
        <v>-0.99239809999999995</v>
      </c>
      <c r="P6700">
        <v>0.1073886</v>
      </c>
      <c r="Q6700">
        <v>-2.448587E-2</v>
      </c>
      <c r="R6700">
        <v>-0.99391580000000002</v>
      </c>
      <c r="S6700">
        <v>1.291901</v>
      </c>
      <c r="T6700">
        <v>-0.1876111</v>
      </c>
      <c r="U6700">
        <v>-2.876099</v>
      </c>
      <c r="V6700">
        <v>1.502647E-2</v>
      </c>
      <c r="W6700">
        <v>-1.0662639999999999E-2</v>
      </c>
      <c r="X6700">
        <v>0.9998302</v>
      </c>
      <c r="Y6700">
        <v>-0.29435929999999999</v>
      </c>
      <c r="Z6700">
        <v>6.0048129999999998E-2</v>
      </c>
      <c r="AA6700">
        <v>0.9538065</v>
      </c>
      <c r="AB6700">
        <v>23</v>
      </c>
      <c r="AC6700">
        <v>7.6240999999999399</v>
      </c>
      <c r="AD6700">
        <v>-1.111457973027</v>
      </c>
      <c r="AE6700">
        <v>-16.8220799999999</v>
      </c>
      <c r="AF6700">
        <v>-5.4894817573009496</v>
      </c>
      <c r="AG6700">
        <v>-1.111457973027</v>
      </c>
      <c r="AH6700">
        <v>17.5646675365427</v>
      </c>
      <c r="AI6700">
        <v>93.456301676437903</v>
      </c>
      <c r="AJ6700">
        <v>107.355579315003</v>
      </c>
      <c r="AK6700">
        <v>18.4360325031939</v>
      </c>
      <c r="AL6700">
        <v>90.610935873054501</v>
      </c>
      <c r="AM6700">
        <v>89.138965297149497</v>
      </c>
      <c r="AN6700">
        <v>0.99999995776223405</v>
      </c>
    </row>
    <row r="6701" spans="1:40" x14ac:dyDescent="0.25">
      <c r="A6701" t="str">
        <f>"20190312160819152"</f>
        <v>20190312160819152</v>
      </c>
      <c r="B6701" t="str">
        <f>"1552378099142229"</f>
        <v>1552378099142229</v>
      </c>
      <c r="C6701" t="s">
        <v>40</v>
      </c>
      <c r="D6701">
        <v>5.7651339999999998</v>
      </c>
      <c r="E6701">
        <v>0.37301410000000002</v>
      </c>
      <c r="F6701" t="s">
        <v>82</v>
      </c>
      <c r="G6701">
        <v>-292.8997</v>
      </c>
      <c r="H6701" s="1">
        <v>-9.2183159999999999E-6</v>
      </c>
      <c r="I6701">
        <v>-55.479239999999997</v>
      </c>
      <c r="J6701">
        <v>-302.07060000000001</v>
      </c>
      <c r="K6701">
        <v>1.111507</v>
      </c>
      <c r="L6701">
        <v>-35.897550000000003</v>
      </c>
      <c r="M6701">
        <v>0.12503829999999999</v>
      </c>
      <c r="N6701">
        <v>0</v>
      </c>
      <c r="O6701">
        <v>-0.99205670000000001</v>
      </c>
      <c r="P6701">
        <v>0.10935549999999999</v>
      </c>
      <c r="Q6701">
        <v>-2.4243339999999999E-2</v>
      </c>
      <c r="R6701">
        <v>-0.99370749999999997</v>
      </c>
      <c r="S6701">
        <v>1.333588</v>
      </c>
      <c r="T6701">
        <v>-0.16108749999999999</v>
      </c>
      <c r="U6701">
        <v>-2.8702999999999999</v>
      </c>
      <c r="V6701">
        <v>1.5810169999999998E-2</v>
      </c>
      <c r="W6701">
        <v>-1.041424E-2</v>
      </c>
      <c r="X6701">
        <v>0.99982079999999995</v>
      </c>
      <c r="Y6701">
        <v>-0.30408489999999999</v>
      </c>
      <c r="Z6701">
        <v>5.1423240000000002E-2</v>
      </c>
      <c r="AA6701">
        <v>0.95125599999999999</v>
      </c>
      <c r="AB6701">
        <v>23</v>
      </c>
      <c r="AC6701">
        <v>9.1709000000000103</v>
      </c>
      <c r="AD6701">
        <v>-1.1115162183159999</v>
      </c>
      <c r="AE6701">
        <v>-19.581689999999998</v>
      </c>
      <c r="AF6701">
        <v>-6.6326932904340703</v>
      </c>
      <c r="AG6701">
        <v>-1.1115162183159999</v>
      </c>
      <c r="AH6701">
        <v>20.520579736933399</v>
      </c>
      <c r="AI6701">
        <v>92.9504435408966</v>
      </c>
      <c r="AJ6701">
        <v>107.911949757792</v>
      </c>
      <c r="AK6701">
        <v>21.594496551862299</v>
      </c>
      <c r="AL6701">
        <v>90.596702770293604</v>
      </c>
      <c r="AM6701">
        <v>89.0940571327546</v>
      </c>
      <c r="AN6701">
        <v>1.00000002499142</v>
      </c>
    </row>
    <row r="6702" spans="1:40" x14ac:dyDescent="0.25">
      <c r="A6702" t="str">
        <f>"20190312160819176"</f>
        <v>20190312160819176</v>
      </c>
      <c r="B6702" t="str">
        <f>"1552378099172485"</f>
        <v>1552378099172485</v>
      </c>
      <c r="C6702" t="s">
        <v>40</v>
      </c>
      <c r="D6702">
        <v>5.704027</v>
      </c>
      <c r="E6702">
        <v>0.37319540000000001</v>
      </c>
      <c r="F6702" t="s">
        <v>82</v>
      </c>
      <c r="G6702">
        <v>-292.96530000000001</v>
      </c>
      <c r="H6702" s="1">
        <v>-9.1998010000000007E-6</v>
      </c>
      <c r="I6702">
        <v>-55.426070000000003</v>
      </c>
      <c r="J6702">
        <v>-302.03910000000002</v>
      </c>
      <c r="K6702">
        <v>1.1115539999999999</v>
      </c>
      <c r="L6702">
        <v>-36.120820000000002</v>
      </c>
      <c r="M6702">
        <v>0.12787979999999999</v>
      </c>
      <c r="N6702">
        <v>0</v>
      </c>
      <c r="O6702">
        <v>-0.99169410000000002</v>
      </c>
      <c r="P6702">
        <v>0.1121166</v>
      </c>
      <c r="Q6702">
        <v>-2.4991960000000001E-2</v>
      </c>
      <c r="R6702">
        <v>-0.99338059999999995</v>
      </c>
      <c r="S6702">
        <v>1.3371580000000001</v>
      </c>
      <c r="T6702">
        <v>-0.1632316</v>
      </c>
      <c r="U6702">
        <v>-2.8678590000000002</v>
      </c>
      <c r="V6702">
        <v>1.5898099999999998E-2</v>
      </c>
      <c r="W6702">
        <v>-1.115996E-2</v>
      </c>
      <c r="X6702">
        <v>0.99981140000000002</v>
      </c>
      <c r="Y6702">
        <v>-0.30262329999999998</v>
      </c>
      <c r="Z6702">
        <v>5.2116530000000001E-2</v>
      </c>
      <c r="AA6702">
        <v>0.95168430000000004</v>
      </c>
      <c r="AB6702">
        <v>23</v>
      </c>
      <c r="AC6702">
        <v>9.0738000000000003</v>
      </c>
      <c r="AD6702">
        <v>-1.111563199801</v>
      </c>
      <c r="AE6702">
        <v>-19.305249999999901</v>
      </c>
      <c r="AF6702">
        <v>-6.5126171448267103</v>
      </c>
      <c r="AG6702">
        <v>-1.111563199801</v>
      </c>
      <c r="AH6702">
        <v>20.2521906293338</v>
      </c>
      <c r="AI6702">
        <v>92.991034014856496</v>
      </c>
      <c r="AJ6702">
        <v>107.82654127034399</v>
      </c>
      <c r="AK6702">
        <v>21.302605007583399</v>
      </c>
      <c r="AL6702">
        <v>90.639431839458993</v>
      </c>
      <c r="AM6702">
        <v>89.089010915188297</v>
      </c>
      <c r="AN6702">
        <v>1.00000006493038</v>
      </c>
    </row>
    <row r="6703" spans="1:40" x14ac:dyDescent="0.25">
      <c r="A6703" t="str">
        <f>"20190312160819197"</f>
        <v>20190312160819197</v>
      </c>
      <c r="B6703" t="str">
        <f>"1552378099192006"</f>
        <v>1552378099192006</v>
      </c>
      <c r="C6703" t="s">
        <v>40</v>
      </c>
      <c r="D6703">
        <v>5.7516319999999999</v>
      </c>
      <c r="E6703">
        <v>0.37319920000000001</v>
      </c>
      <c r="F6703" t="s">
        <v>82</v>
      </c>
      <c r="G6703">
        <v>-292.7842</v>
      </c>
      <c r="H6703" s="1">
        <v>-9.2228180000000001E-6</v>
      </c>
      <c r="I6703">
        <v>-55.854570000000002</v>
      </c>
      <c r="J6703">
        <v>-302.0059</v>
      </c>
      <c r="K6703">
        <v>1.1115980000000001</v>
      </c>
      <c r="L6703">
        <v>-36.3508</v>
      </c>
      <c r="M6703">
        <v>0.1308996</v>
      </c>
      <c r="N6703">
        <v>0</v>
      </c>
      <c r="O6703">
        <v>-0.99130019999999996</v>
      </c>
      <c r="P6703">
        <v>0.1144771</v>
      </c>
      <c r="Q6703">
        <v>-2.4986189999999998E-2</v>
      </c>
      <c r="R6703">
        <v>-0.99311190000000005</v>
      </c>
      <c r="S6703">
        <v>1.343323</v>
      </c>
      <c r="T6703">
        <v>-0.16134129999999899</v>
      </c>
      <c r="U6703">
        <v>-2.8643190000000001</v>
      </c>
      <c r="V6703">
        <v>1.6568360000000001E-2</v>
      </c>
      <c r="W6703">
        <v>-1.114852E-2</v>
      </c>
      <c r="X6703">
        <v>0.99980060000000004</v>
      </c>
      <c r="Y6703">
        <v>-0.30186449999999998</v>
      </c>
      <c r="Z6703">
        <v>5.1525290000000001E-2</v>
      </c>
      <c r="AA6703">
        <v>0.95195750000000001</v>
      </c>
      <c r="AB6703">
        <v>23</v>
      </c>
      <c r="AC6703">
        <v>9.2216999999999896</v>
      </c>
      <c r="AD6703">
        <v>-1.1116072228179901</v>
      </c>
      <c r="AE6703">
        <v>-19.503769999999999</v>
      </c>
      <c r="AF6703">
        <v>-6.57161401395508</v>
      </c>
      <c r="AG6703">
        <v>-1.1116072228179901</v>
      </c>
      <c r="AH6703">
        <v>20.488756672935601</v>
      </c>
      <c r="AI6703">
        <v>92.957393894740306</v>
      </c>
      <c r="AJ6703">
        <v>107.783251162984</v>
      </c>
      <c r="AK6703">
        <v>21.5455547937155</v>
      </c>
      <c r="AL6703">
        <v>90.638776363766496</v>
      </c>
      <c r="AM6703">
        <v>89.050600472640994</v>
      </c>
      <c r="AN6703">
        <v>1.0000000199058099</v>
      </c>
    </row>
    <row r="6704" spans="1:40" x14ac:dyDescent="0.25">
      <c r="A6704" t="str">
        <f>"20190312160819221"</f>
        <v>20190312160819221</v>
      </c>
      <c r="B6704" t="str">
        <f>"1552378099212500"</f>
        <v>1552378099212500</v>
      </c>
      <c r="C6704" t="s">
        <v>40</v>
      </c>
      <c r="D6704">
        <v>5.7692620000000003</v>
      </c>
      <c r="E6704">
        <v>0.37376710000000002</v>
      </c>
      <c r="F6704" t="s">
        <v>82</v>
      </c>
      <c r="G6704">
        <v>-292.52229999999997</v>
      </c>
      <c r="H6704" s="1">
        <v>-9.2590989999999998E-6</v>
      </c>
      <c r="I6704">
        <v>-56.444600000000001</v>
      </c>
      <c r="J6704">
        <v>-301.97190000000001</v>
      </c>
      <c r="K6704">
        <v>1.1116379999999999</v>
      </c>
      <c r="L6704">
        <v>-36.580570000000002</v>
      </c>
      <c r="M6704">
        <v>0.1339872</v>
      </c>
      <c r="N6704">
        <v>0</v>
      </c>
      <c r="O6704">
        <v>-0.99088750000000003</v>
      </c>
      <c r="P6704">
        <v>0.1170654</v>
      </c>
      <c r="Q6704">
        <v>-2.5641359999999998E-2</v>
      </c>
      <c r="R6704">
        <v>-0.99279340000000005</v>
      </c>
      <c r="S6704">
        <v>1.3503719999999999</v>
      </c>
      <c r="T6704">
        <v>-0.1582828</v>
      </c>
      <c r="U6704">
        <v>-2.8611759999999999</v>
      </c>
      <c r="V6704">
        <v>1.7078659999999999E-2</v>
      </c>
      <c r="W6704">
        <v>-1.179916E-2</v>
      </c>
      <c r="X6704">
        <v>0.99978449999999996</v>
      </c>
      <c r="Y6704">
        <v>-0.30123810000000001</v>
      </c>
      <c r="Z6704">
        <v>5.0549450000000003E-2</v>
      </c>
      <c r="AA6704">
        <v>0.95220819999999995</v>
      </c>
      <c r="AB6704">
        <v>23</v>
      </c>
      <c r="AC6704">
        <v>9.4496000000000304</v>
      </c>
      <c r="AD6704">
        <v>-1.1116472590990001</v>
      </c>
      <c r="AE6704">
        <v>-19.86403</v>
      </c>
      <c r="AF6704">
        <v>-6.68552544505682</v>
      </c>
      <c r="AG6704">
        <v>-1.1116472590990001</v>
      </c>
      <c r="AH6704">
        <v>20.897758111565299</v>
      </c>
      <c r="AI6704">
        <v>92.900412324132404</v>
      </c>
      <c r="AJ6704">
        <v>107.740301404805</v>
      </c>
      <c r="AK6704">
        <v>21.969258162137798</v>
      </c>
      <c r="AL6704">
        <v>90.676057775065502</v>
      </c>
      <c r="AM6704">
        <v>89.021349127269701</v>
      </c>
      <c r="AN6704">
        <v>0.99999997362217496</v>
      </c>
    </row>
    <row r="6705" spans="1:40" x14ac:dyDescent="0.25">
      <c r="A6705" t="str">
        <f>"20190312160819246"</f>
        <v>20190312160819246</v>
      </c>
      <c r="B6705" t="str">
        <f>"1552378099242758"</f>
        <v>1552378099242758</v>
      </c>
      <c r="C6705" t="s">
        <v>40</v>
      </c>
      <c r="D6705">
        <v>5.5123620000000004</v>
      </c>
      <c r="E6705">
        <v>0.37407669999999998</v>
      </c>
      <c r="F6705" t="s">
        <v>82</v>
      </c>
      <c r="G6705">
        <v>-292.6909</v>
      </c>
      <c r="H6705" s="1">
        <v>-9.2241929999999997E-6</v>
      </c>
      <c r="I6705">
        <v>-56.180439999999997</v>
      </c>
      <c r="J6705">
        <v>-301.93650000000002</v>
      </c>
      <c r="K6705">
        <v>1.1116740000000001</v>
      </c>
      <c r="L6705">
        <v>-36.814880000000002</v>
      </c>
      <c r="M6705">
        <v>0.13720639999999901</v>
      </c>
      <c r="N6705">
        <v>0</v>
      </c>
      <c r="O6705">
        <v>-0.99044699999999997</v>
      </c>
      <c r="P6705">
        <v>0.1201478</v>
      </c>
      <c r="Q6705">
        <v>-2.60238E-2</v>
      </c>
      <c r="R6705">
        <v>-0.99241509999999999</v>
      </c>
      <c r="S6705">
        <v>1.3533329999999999</v>
      </c>
      <c r="T6705">
        <v>-0.16209749999999901</v>
      </c>
      <c r="U6705">
        <v>-2.8580019999999999</v>
      </c>
      <c r="V6705">
        <v>1.7224199999999999E-2</v>
      </c>
      <c r="W6705">
        <v>-1.2178919999999999E-2</v>
      </c>
      <c r="X6705">
        <v>0.99977749999999999</v>
      </c>
      <c r="Y6705">
        <v>-0.29932609999999998</v>
      </c>
      <c r="Z6705">
        <v>5.1786510000000001E-2</v>
      </c>
      <c r="AA6705">
        <v>0.95274449999999999</v>
      </c>
      <c r="AB6705">
        <v>23</v>
      </c>
      <c r="AC6705">
        <v>9.2456000000000191</v>
      </c>
      <c r="AD6705">
        <v>-1.1116832241929999</v>
      </c>
      <c r="AE6705">
        <v>-19.365559999999999</v>
      </c>
      <c r="AF6705">
        <v>-6.4834135864157103</v>
      </c>
      <c r="AG6705">
        <v>-1.1116832241929999</v>
      </c>
      <c r="AH6705">
        <v>20.396313803714602</v>
      </c>
      <c r="AI6705">
        <v>92.973444432114306</v>
      </c>
      <c r="AJ6705">
        <v>107.63399455544899</v>
      </c>
      <c r="AK6705">
        <v>21.430821451896499</v>
      </c>
      <c r="AL6705">
        <v>90.697817949540905</v>
      </c>
      <c r="AM6705">
        <v>89.013004046945795</v>
      </c>
      <c r="AN6705">
        <v>1.0000000243321201</v>
      </c>
    </row>
    <row r="6706" spans="1:40" x14ac:dyDescent="0.25">
      <c r="A6706" t="str">
        <f>"20190312160819267"</f>
        <v>20190312160819267</v>
      </c>
      <c r="B6706" t="str">
        <f>"1552378099262276"</f>
        <v>1552378099262276</v>
      </c>
      <c r="C6706" t="s">
        <v>40</v>
      </c>
      <c r="D6706">
        <v>5.7977569999999998</v>
      </c>
      <c r="E6706">
        <v>0.3744092</v>
      </c>
      <c r="F6706" t="s">
        <v>82</v>
      </c>
      <c r="G6706">
        <v>-292.70749999999998</v>
      </c>
      <c r="H6706" s="1">
        <v>-9.2171869999999999E-6</v>
      </c>
      <c r="I6706">
        <v>-56.190119999999901</v>
      </c>
      <c r="J6706">
        <v>-301.90179999999998</v>
      </c>
      <c r="K6706">
        <v>1.11171</v>
      </c>
      <c r="L6706">
        <v>-37.038510000000002</v>
      </c>
      <c r="M6706">
        <v>0.14035059999999999</v>
      </c>
      <c r="N6706">
        <v>0</v>
      </c>
      <c r="O6706">
        <v>-0.99000630000000001</v>
      </c>
      <c r="P6706">
        <v>0.1241864</v>
      </c>
      <c r="Q6706">
        <v>-2.5494039999999999E-2</v>
      </c>
      <c r="R6706">
        <v>-0.99193149999999997</v>
      </c>
      <c r="S6706">
        <v>1.359467</v>
      </c>
      <c r="T6706">
        <v>-0.16375609999999999</v>
      </c>
      <c r="U6706">
        <v>-2.8540649999999999</v>
      </c>
      <c r="V6706">
        <v>1.632981E-2</v>
      </c>
      <c r="W6706">
        <v>-1.165094E-2</v>
      </c>
      <c r="X6706">
        <v>0.99979879999999999</v>
      </c>
      <c r="Y6706">
        <v>-0.29846309999999998</v>
      </c>
      <c r="Z6706">
        <v>5.2329100000000003E-2</v>
      </c>
      <c r="AA6706">
        <v>0.95298550000000004</v>
      </c>
      <c r="AB6706">
        <v>23</v>
      </c>
      <c r="AC6706">
        <v>9.1942999999999895</v>
      </c>
      <c r="AD6706">
        <v>-1.1117192171870001</v>
      </c>
      <c r="AE6706">
        <v>-19.151610000000002</v>
      </c>
      <c r="AF6706">
        <v>-6.3975625124479096</v>
      </c>
      <c r="AG6706">
        <v>-1.1117192171870001</v>
      </c>
      <c r="AH6706">
        <v>20.197247073444</v>
      </c>
      <c r="AI6706">
        <v>93.003760652980603</v>
      </c>
      <c r="AJ6706">
        <v>107.57581602571101</v>
      </c>
      <c r="AK6706">
        <v>21.215407492298699</v>
      </c>
      <c r="AL6706">
        <v>90.667564777090007</v>
      </c>
      <c r="AM6706">
        <v>89.064265722974994</v>
      </c>
      <c r="AN6706">
        <v>1.0000000237894699</v>
      </c>
    </row>
    <row r="6707" spans="1:40" x14ac:dyDescent="0.25">
      <c r="A6707" t="str">
        <f>"20190312160819287"</f>
        <v>20190312160819287</v>
      </c>
      <c r="B6707" t="str">
        <f>"1552378099281796"</f>
        <v>1552378099281796</v>
      </c>
      <c r="C6707" t="s">
        <v>40</v>
      </c>
      <c r="D6707">
        <v>5.8050680000000003</v>
      </c>
      <c r="E6707">
        <v>0.37456620000000002</v>
      </c>
      <c r="F6707" t="s">
        <v>82</v>
      </c>
      <c r="G6707">
        <v>-292.58300000000003</v>
      </c>
      <c r="H6707" s="1">
        <v>-9.2377400000000008E-6</v>
      </c>
      <c r="I6707">
        <v>-56.437449999999998</v>
      </c>
      <c r="J6707">
        <v>-301.87009999999998</v>
      </c>
      <c r="K6707">
        <v>1.111753</v>
      </c>
      <c r="L6707">
        <v>-37.238280000000003</v>
      </c>
      <c r="M6707">
        <v>0.14322389999999999</v>
      </c>
      <c r="N6707">
        <v>0</v>
      </c>
      <c r="O6707">
        <v>-0.98959459999999999</v>
      </c>
      <c r="P6707">
        <v>0.1271235</v>
      </c>
      <c r="Q6707">
        <v>-2.5233169999999999E-2</v>
      </c>
      <c r="R6707">
        <v>-0.99156610000000001</v>
      </c>
      <c r="S6707">
        <v>1.36853</v>
      </c>
      <c r="T6707">
        <v>-0.1632642</v>
      </c>
      <c r="U6707">
        <v>-2.8488769999999999</v>
      </c>
      <c r="V6707">
        <v>1.6271910000000001E-2</v>
      </c>
      <c r="W6707">
        <v>-1.1387929999999999E-2</v>
      </c>
      <c r="X6707">
        <v>0.99980279999999999</v>
      </c>
      <c r="Y6707">
        <v>-0.2988363</v>
      </c>
      <c r="Z6707">
        <v>5.2187900000000002E-2</v>
      </c>
      <c r="AA6707">
        <v>0.95287630000000001</v>
      </c>
      <c r="AB6707">
        <v>23</v>
      </c>
      <c r="AC6707">
        <v>9.2871000000000095</v>
      </c>
      <c r="AD6707">
        <v>-1.1117622377399901</v>
      </c>
      <c r="AE6707">
        <v>-19.199169999999999</v>
      </c>
      <c r="AF6707">
        <v>-6.4238382600738202</v>
      </c>
      <c r="AG6707">
        <v>-1.1117622377399901</v>
      </c>
      <c r="AH6707">
        <v>20.276357322845602</v>
      </c>
      <c r="AI6707">
        <v>92.992126469807801</v>
      </c>
      <c r="AJ6707">
        <v>107.57894195406</v>
      </c>
      <c r="AK6707">
        <v>21.298647364294499</v>
      </c>
      <c r="AL6707">
        <v>90.6524943977617</v>
      </c>
      <c r="AM6707">
        <v>89.067586664155897</v>
      </c>
      <c r="AN6707">
        <v>1.00000004944628</v>
      </c>
    </row>
    <row r="6708" spans="1:40" x14ac:dyDescent="0.25">
      <c r="A6708" t="str">
        <f>"20190312160819310"</f>
        <v>20190312160819310</v>
      </c>
      <c r="B6708" t="str">
        <f>"1552378099302293"</f>
        <v>1552378099302293</v>
      </c>
      <c r="C6708" t="s">
        <v>40</v>
      </c>
      <c r="D6708">
        <v>5.8316739999999996</v>
      </c>
      <c r="E6708">
        <v>0.37484220000000001</v>
      </c>
      <c r="F6708" t="s">
        <v>82</v>
      </c>
      <c r="G6708">
        <v>-292.35660000000001</v>
      </c>
      <c r="H6708" s="1">
        <v>-9.2727580000000005E-6</v>
      </c>
      <c r="I6708">
        <v>-56.911119999999997</v>
      </c>
      <c r="J6708">
        <v>-301.83300000000003</v>
      </c>
      <c r="K6708">
        <v>1.11181</v>
      </c>
      <c r="L6708">
        <v>-37.467529999999996</v>
      </c>
      <c r="M6708">
        <v>0.14659529999999901</v>
      </c>
      <c r="N6708">
        <v>0</v>
      </c>
      <c r="O6708">
        <v>-0.9891006</v>
      </c>
      <c r="P6708">
        <v>0.13132149999999901</v>
      </c>
      <c r="Q6708">
        <v>-2.476774E-2</v>
      </c>
      <c r="R6708">
        <v>-0.99103039999999998</v>
      </c>
      <c r="S6708">
        <v>1.3758239999999999</v>
      </c>
      <c r="T6708">
        <v>-0.16078000000000001</v>
      </c>
      <c r="U6708">
        <v>-2.8450319999999998</v>
      </c>
      <c r="V6708">
        <v>1.544592E-2</v>
      </c>
      <c r="W6708">
        <v>-1.0922980000000001E-2</v>
      </c>
      <c r="X6708">
        <v>0.99982110000000002</v>
      </c>
      <c r="Y6708">
        <v>-0.29808679999999999</v>
      </c>
      <c r="Z6708">
        <v>5.1398819999999998E-2</v>
      </c>
      <c r="AA6708">
        <v>0.95315399999999995</v>
      </c>
      <c r="AB6708">
        <v>23</v>
      </c>
      <c r="AC6708">
        <v>9.4763999999999502</v>
      </c>
      <c r="AD6708">
        <v>-1.1118192727580001</v>
      </c>
      <c r="AE6708">
        <v>-19.44359</v>
      </c>
      <c r="AF6708">
        <v>-6.5062028477039098</v>
      </c>
      <c r="AG6708">
        <v>-1.1118192727580001</v>
      </c>
      <c r="AH6708">
        <v>20.5684747407613</v>
      </c>
      <c r="AI6708">
        <v>92.950277826156693</v>
      </c>
      <c r="AJ6708">
        <v>107.553161428073</v>
      </c>
      <c r="AK6708">
        <v>21.601596486187798</v>
      </c>
      <c r="AL6708">
        <v>90.625853061836494</v>
      </c>
      <c r="AM6708">
        <v>89.114926027617898</v>
      </c>
      <c r="AN6708">
        <v>1.00000005997096</v>
      </c>
    </row>
    <row r="6709" spans="1:40" x14ac:dyDescent="0.25">
      <c r="A6709" t="str">
        <f>"20190312160819331"</f>
        <v>20190312160819331</v>
      </c>
      <c r="B6709" t="str">
        <f>"1552378099321813"</f>
        <v>1552378099321813</v>
      </c>
      <c r="C6709" t="s">
        <v>40</v>
      </c>
      <c r="D6709">
        <v>5.8316739999999996</v>
      </c>
      <c r="E6709">
        <v>0.37510549999999998</v>
      </c>
      <c r="F6709" t="s">
        <v>82</v>
      </c>
      <c r="G6709">
        <v>-292.10489999999999</v>
      </c>
      <c r="H6709" s="1">
        <v>-9.3153030000000003E-6</v>
      </c>
      <c r="I6709">
        <v>-57.401209999999999</v>
      </c>
      <c r="J6709">
        <v>-301.79840000000002</v>
      </c>
      <c r="K6709">
        <v>1.1118629999999901</v>
      </c>
      <c r="L6709">
        <v>-37.676389999999998</v>
      </c>
      <c r="M6709">
        <v>0.14974509999999999</v>
      </c>
      <c r="N6709">
        <v>0</v>
      </c>
      <c r="O6709">
        <v>-0.98862879999999997</v>
      </c>
      <c r="P6709">
        <v>0.13532350000000001</v>
      </c>
      <c r="Q6709">
        <v>-2.4823479999999998E-2</v>
      </c>
      <c r="R6709">
        <v>-0.99049089999999995</v>
      </c>
      <c r="S6709">
        <v>1.3857729999999999</v>
      </c>
      <c r="T6709">
        <v>-0.15837960000000001</v>
      </c>
      <c r="U6709">
        <v>-2.839569</v>
      </c>
      <c r="V6709">
        <v>1.459352E-2</v>
      </c>
      <c r="W6709">
        <v>-1.0979529999999999E-2</v>
      </c>
      <c r="X6709">
        <v>0.99983319999999998</v>
      </c>
      <c r="Y6709">
        <v>-0.2984829</v>
      </c>
      <c r="Z6709">
        <v>5.0644450000000001E-2</v>
      </c>
      <c r="AA6709">
        <v>0.95307030000000004</v>
      </c>
      <c r="AB6709">
        <v>23</v>
      </c>
      <c r="AC6709">
        <v>9.6935000000000198</v>
      </c>
      <c r="AD6709">
        <v>-1.1118723153029999</v>
      </c>
      <c r="AE6709">
        <v>-19.724819999999902</v>
      </c>
      <c r="AF6709">
        <v>-6.61328052522334</v>
      </c>
      <c r="AG6709">
        <v>-1.1118723153029999</v>
      </c>
      <c r="AH6709">
        <v>20.900572402390399</v>
      </c>
      <c r="AI6709">
        <v>92.9035378910134</v>
      </c>
      <c r="AJ6709">
        <v>107.558217119392</v>
      </c>
      <c r="AK6709">
        <v>21.9500721205739</v>
      </c>
      <c r="AL6709">
        <v>90.6290933861399</v>
      </c>
      <c r="AM6709">
        <v>89.163772783591696</v>
      </c>
      <c r="AN6709">
        <v>0.99999997436362498</v>
      </c>
    </row>
    <row r="6710" spans="1:40" x14ac:dyDescent="0.25">
      <c r="A6710" t="str">
        <f>"20190312160819354"</f>
        <v>20190312160819354</v>
      </c>
      <c r="B6710" t="str">
        <f>"1552378099342309"</f>
        <v>1552378099342309</v>
      </c>
      <c r="C6710" t="s">
        <v>40</v>
      </c>
      <c r="D6710">
        <v>5.859496</v>
      </c>
      <c r="E6710">
        <v>0.37546410000000002</v>
      </c>
      <c r="F6710" t="s">
        <v>82</v>
      </c>
      <c r="G6710">
        <v>-292.06029999999998</v>
      </c>
      <c r="H6710" s="1">
        <v>-9.3255400000000002E-6</v>
      </c>
      <c r="I6710">
        <v>-57.461060000000003</v>
      </c>
      <c r="J6710">
        <v>-301.76119999999997</v>
      </c>
      <c r="K6710">
        <v>1.111907</v>
      </c>
      <c r="L6710">
        <v>-37.895539999999997</v>
      </c>
      <c r="M6710">
        <v>0.1531313</v>
      </c>
      <c r="N6710">
        <v>0</v>
      </c>
      <c r="O6710">
        <v>-0.98810980000000004</v>
      </c>
      <c r="P6710">
        <v>0.1400034</v>
      </c>
      <c r="Q6710">
        <v>-2.4267250000000001E-2</v>
      </c>
      <c r="R6710">
        <v>-0.9898536</v>
      </c>
      <c r="S6710">
        <v>1.3950199999999999</v>
      </c>
      <c r="T6710">
        <v>-0.1592799</v>
      </c>
      <c r="U6710">
        <v>-2.8342290000000001</v>
      </c>
      <c r="V6710">
        <v>1.329433E-2</v>
      </c>
      <c r="W6710">
        <v>-1.0426070000000001E-2</v>
      </c>
      <c r="X6710">
        <v>0.9998572</v>
      </c>
      <c r="Y6710">
        <v>-0.29842049999999998</v>
      </c>
      <c r="Z6710">
        <v>5.0943049999999997E-2</v>
      </c>
      <c r="AA6710">
        <v>0.95307399999999998</v>
      </c>
      <c r="AB6710">
        <v>23</v>
      </c>
      <c r="AC6710">
        <v>9.7008999999999901</v>
      </c>
      <c r="AD6710">
        <v>-1.11191632554</v>
      </c>
      <c r="AE6710">
        <v>-19.5655199999999</v>
      </c>
      <c r="AF6710">
        <v>-6.57304642682608</v>
      </c>
      <c r="AG6710">
        <v>-1.11191632554</v>
      </c>
      <c r="AH6710">
        <v>20.766534635837498</v>
      </c>
      <c r="AI6710">
        <v>92.922273890780701</v>
      </c>
      <c r="AJ6710">
        <v>107.563678335563</v>
      </c>
      <c r="AK6710">
        <v>21.810324574055599</v>
      </c>
      <c r="AL6710">
        <v>90.597380672139494</v>
      </c>
      <c r="AM6710">
        <v>89.238227101049702</v>
      </c>
      <c r="AN6710">
        <v>0.99999993126881404</v>
      </c>
    </row>
    <row r="6711" spans="1:40" x14ac:dyDescent="0.25">
      <c r="A6711" t="str">
        <f>"20190312160819377"</f>
        <v>20190312160819377</v>
      </c>
      <c r="B6711" t="str">
        <f>"1552378099372565"</f>
        <v>1552378099372565</v>
      </c>
      <c r="C6711" t="s">
        <v>40</v>
      </c>
      <c r="D6711">
        <v>5.6038379999999997</v>
      </c>
      <c r="E6711">
        <v>0.37590099999999999</v>
      </c>
      <c r="F6711" t="s">
        <v>82</v>
      </c>
      <c r="G6711">
        <v>-291.89789999999999</v>
      </c>
      <c r="H6711" s="1">
        <v>-9.3566900000000007E-6</v>
      </c>
      <c r="I6711">
        <v>-57.740360000000003</v>
      </c>
      <c r="J6711">
        <v>-301.72280000000001</v>
      </c>
      <c r="K6711">
        <v>1.111961</v>
      </c>
      <c r="L6711">
        <v>-38.11636</v>
      </c>
      <c r="M6711">
        <v>0.1566398</v>
      </c>
      <c r="N6711">
        <v>0</v>
      </c>
      <c r="O6711">
        <v>-0.98755999999999999</v>
      </c>
      <c r="P6711">
        <v>0.14440349999999999</v>
      </c>
      <c r="Q6711">
        <v>-2.428928E-2</v>
      </c>
      <c r="R6711">
        <v>-0.98922120000000002</v>
      </c>
      <c r="S6711">
        <v>1.4056090000000001</v>
      </c>
      <c r="T6711">
        <v>-0.15845799999999999</v>
      </c>
      <c r="U6711">
        <v>-2.8280639999999999</v>
      </c>
      <c r="V6711">
        <v>1.240109E-2</v>
      </c>
      <c r="W6711">
        <v>-1.044902E-2</v>
      </c>
      <c r="X6711">
        <v>0.99986850000000005</v>
      </c>
      <c r="Y6711">
        <v>-0.29872569999999998</v>
      </c>
      <c r="Z6711">
        <v>5.0694719999999999E-2</v>
      </c>
      <c r="AA6711">
        <v>0.95299160000000005</v>
      </c>
      <c r="AB6711">
        <v>23</v>
      </c>
      <c r="AC6711">
        <v>9.8249000000000102</v>
      </c>
      <c r="AD6711">
        <v>-1.1119703566900001</v>
      </c>
      <c r="AE6711">
        <v>-19.623999999999899</v>
      </c>
      <c r="AF6711">
        <v>-6.6124301001198704</v>
      </c>
      <c r="AG6711">
        <v>-1.1119703566900001</v>
      </c>
      <c r="AH6711">
        <v>20.867255178553101</v>
      </c>
      <c r="AI6711">
        <v>92.908033741728801</v>
      </c>
      <c r="AJ6711">
        <v>107.582402828562</v>
      </c>
      <c r="AK6711">
        <v>21.918098653623598</v>
      </c>
      <c r="AL6711">
        <v>90.598695644939198</v>
      </c>
      <c r="AM6711">
        <v>89.289412869089006</v>
      </c>
      <c r="AN6711">
        <v>0.99999999317219901</v>
      </c>
    </row>
    <row r="6712" spans="1:40" x14ac:dyDescent="0.25">
      <c r="A6712" t="str">
        <f>"20190312160819399"</f>
        <v>20190312160819399</v>
      </c>
      <c r="B6712" t="str">
        <f>"1552378099392085"</f>
        <v>1552378099392085</v>
      </c>
      <c r="C6712" t="s">
        <v>40</v>
      </c>
      <c r="D6712">
        <v>6.029941</v>
      </c>
      <c r="E6712">
        <v>0.37624340000000001</v>
      </c>
      <c r="F6712" t="s">
        <v>82</v>
      </c>
      <c r="G6712">
        <v>-291.67090000000002</v>
      </c>
      <c r="H6712" s="1">
        <v>-9.3966400000000002E-6</v>
      </c>
      <c r="I6712">
        <v>-58.166640000000001</v>
      </c>
      <c r="J6712">
        <v>-301.6814</v>
      </c>
      <c r="K6712">
        <v>1.112009</v>
      </c>
      <c r="L6712">
        <v>-38.349299999999999</v>
      </c>
      <c r="M6712">
        <v>0.160435299999999</v>
      </c>
      <c r="N6712">
        <v>0</v>
      </c>
      <c r="O6712">
        <v>-0.9869502</v>
      </c>
      <c r="P6712">
        <v>0.14792439999999901</v>
      </c>
      <c r="Q6712">
        <v>-2.396442E-2</v>
      </c>
      <c r="R6712">
        <v>-0.98870840000000004</v>
      </c>
      <c r="S6712">
        <v>1.414917</v>
      </c>
      <c r="T6712">
        <v>-0.15652199999999999</v>
      </c>
      <c r="U6712">
        <v>-2.8222960000000001</v>
      </c>
      <c r="V6712">
        <v>1.2686009999999999E-2</v>
      </c>
      <c r="W6712">
        <v>-1.011893E-2</v>
      </c>
      <c r="X6712">
        <v>0.99986830000000004</v>
      </c>
      <c r="Y6712">
        <v>-0.29836180000000001</v>
      </c>
      <c r="Z6712">
        <v>5.008978E-2</v>
      </c>
      <c r="AA6712">
        <v>0.95313760000000003</v>
      </c>
      <c r="AB6712">
        <v>22</v>
      </c>
      <c r="AC6712">
        <v>10.010499999999899</v>
      </c>
      <c r="AD6712">
        <v>-1.1120183966399999</v>
      </c>
      <c r="AE6712">
        <v>-19.817339999999898</v>
      </c>
      <c r="AF6712">
        <v>-6.6843317564298603</v>
      </c>
      <c r="AG6712">
        <v>-1.1120183966399999</v>
      </c>
      <c r="AH6712">
        <v>21.113808025773601</v>
      </c>
      <c r="AI6712">
        <v>92.874500496629693</v>
      </c>
      <c r="AJ6712">
        <v>107.567047516288</v>
      </c>
      <c r="AK6712">
        <v>22.174529652141601</v>
      </c>
      <c r="AL6712">
        <v>90.579781892680501</v>
      </c>
      <c r="AM6712">
        <v>89.273088432482695</v>
      </c>
      <c r="AN6712">
        <v>0.99999997246947703</v>
      </c>
    </row>
    <row r="6713" spans="1:40" x14ac:dyDescent="0.25">
      <c r="A6713" t="str">
        <f>"20190312160819421"</f>
        <v>20190312160819421</v>
      </c>
      <c r="B6713" t="str">
        <f>"1552378099412581"</f>
        <v>1552378099412581</v>
      </c>
      <c r="C6713" t="s">
        <v>40</v>
      </c>
      <c r="D6713">
        <v>5.9182090000000001</v>
      </c>
      <c r="E6713">
        <v>0.37641520000000001</v>
      </c>
      <c r="F6713" t="s">
        <v>82</v>
      </c>
      <c r="G6713">
        <v>-291.50290000000001</v>
      </c>
      <c r="H6713" s="1">
        <v>-9.4230240000000001E-6</v>
      </c>
      <c r="I6713">
        <v>-58.514000000000003</v>
      </c>
      <c r="J6713">
        <v>-301.64389999999997</v>
      </c>
      <c r="K6713">
        <v>1.112036</v>
      </c>
      <c r="L6713">
        <v>-38.554960000000001</v>
      </c>
      <c r="M6713">
        <v>0.16385069999999999</v>
      </c>
      <c r="N6713">
        <v>0</v>
      </c>
      <c r="O6713">
        <v>-0.98638899999999996</v>
      </c>
      <c r="P6713">
        <v>0.150639</v>
      </c>
      <c r="Q6713">
        <v>-2.3711719999999999E-2</v>
      </c>
      <c r="R6713">
        <v>-0.98830459999999998</v>
      </c>
      <c r="S6713">
        <v>1.422272</v>
      </c>
      <c r="T6713">
        <v>-0.15538640000000001</v>
      </c>
      <c r="U6713">
        <v>-2.817688</v>
      </c>
      <c r="V6713">
        <v>1.340155E-2</v>
      </c>
      <c r="W6713">
        <v>-9.8595539999999995E-3</v>
      </c>
      <c r="X6713">
        <v>0.99986160000000002</v>
      </c>
      <c r="Y6713">
        <v>-0.29767519999999997</v>
      </c>
      <c r="Z6713">
        <v>4.9735099999999997E-2</v>
      </c>
      <c r="AA6713">
        <v>0.95337079999999996</v>
      </c>
      <c r="AB6713">
        <v>22</v>
      </c>
      <c r="AC6713">
        <v>10.140999999999901</v>
      </c>
      <c r="AD6713">
        <v>-1.112045423024</v>
      </c>
      <c r="AE6713">
        <v>-19.959039999999899</v>
      </c>
      <c r="AF6713">
        <v>-6.7167342671870296</v>
      </c>
      <c r="AG6713">
        <v>-1.112045423024</v>
      </c>
      <c r="AH6713">
        <v>21.298461755658401</v>
      </c>
      <c r="AI6713">
        <v>92.850689604583593</v>
      </c>
      <c r="AJ6713">
        <v>107.50331564029401</v>
      </c>
      <c r="AK6713">
        <v>22.360135003977899</v>
      </c>
      <c r="AL6713">
        <v>90.564919976156105</v>
      </c>
      <c r="AM6713">
        <v>89.232087443889498</v>
      </c>
      <c r="AN6713">
        <v>1.00000001575102</v>
      </c>
    </row>
    <row r="6714" spans="1:40" x14ac:dyDescent="0.25">
      <c r="A6714" t="str">
        <f>"20190312160819443"</f>
        <v>20190312160819443</v>
      </c>
      <c r="B6714" t="str">
        <f>"1552378099432101"</f>
        <v>1552378099432101</v>
      </c>
      <c r="C6714" t="s">
        <v>40</v>
      </c>
      <c r="D6714">
        <v>5.9684679999999997</v>
      </c>
      <c r="E6714">
        <v>0.37644830000000001</v>
      </c>
      <c r="F6714" t="s">
        <v>82</v>
      </c>
      <c r="G6714">
        <v>-291.38990000000001</v>
      </c>
      <c r="H6714" s="1">
        <v>-9.4403509999999996E-6</v>
      </c>
      <c r="I6714">
        <v>-58.751910000000002</v>
      </c>
      <c r="J6714">
        <v>-301.60309999999998</v>
      </c>
      <c r="K6714">
        <v>1.112074</v>
      </c>
      <c r="L6714">
        <v>-38.773899999999998</v>
      </c>
      <c r="M6714">
        <v>0.1675489</v>
      </c>
      <c r="N6714">
        <v>0</v>
      </c>
      <c r="O6714">
        <v>-0.98576759999999997</v>
      </c>
      <c r="P6714">
        <v>0.15342</v>
      </c>
      <c r="Q6714">
        <v>-2.3812690000000001E-2</v>
      </c>
      <c r="R6714">
        <v>-0.98787449999999999</v>
      </c>
      <c r="S6714">
        <v>1.4286799999999999</v>
      </c>
      <c r="T6714">
        <v>-0.15494050000000001</v>
      </c>
      <c r="U6714">
        <v>-2.8140260000000001</v>
      </c>
      <c r="V6714">
        <v>1.4337890000000001E-2</v>
      </c>
      <c r="W6714">
        <v>-9.9530920000000002E-3</v>
      </c>
      <c r="X6714">
        <v>0.99984770000000001</v>
      </c>
      <c r="Y6714">
        <v>-0.29632500000000001</v>
      </c>
      <c r="Z6714">
        <v>4.9589790000000002E-2</v>
      </c>
      <c r="AA6714">
        <v>0.95379890000000001</v>
      </c>
      <c r="AB6714">
        <v>22</v>
      </c>
      <c r="AC6714">
        <v>10.213199999999899</v>
      </c>
      <c r="AD6714">
        <v>-1.112083440351</v>
      </c>
      <c r="AE6714">
        <v>-19.978010000000001</v>
      </c>
      <c r="AF6714">
        <v>-6.7047144314256499</v>
      </c>
      <c r="AG6714">
        <v>-1.112083440351</v>
      </c>
      <c r="AH6714">
        <v>21.354455454134399</v>
      </c>
      <c r="AI6714">
        <v>92.844453893372702</v>
      </c>
      <c r="AJ6714">
        <v>107.430860876317</v>
      </c>
      <c r="AK6714">
        <v>22.4098793599582</v>
      </c>
      <c r="AL6714">
        <v>90.570279562897596</v>
      </c>
      <c r="AM6714">
        <v>89.178430594412902</v>
      </c>
      <c r="AN6714">
        <v>1.00000003116265</v>
      </c>
    </row>
    <row r="6715" spans="1:40" x14ac:dyDescent="0.25">
      <c r="A6715" t="str">
        <f>"20190312160819468"</f>
        <v>20190312160819468</v>
      </c>
      <c r="B6715" t="str">
        <f>"1552378099462358"</f>
        <v>1552378099462358</v>
      </c>
      <c r="C6715" t="s">
        <v>40</v>
      </c>
      <c r="D6715">
        <v>6.040756</v>
      </c>
      <c r="E6715">
        <v>0.37680629999999998</v>
      </c>
      <c r="F6715" t="s">
        <v>82</v>
      </c>
      <c r="G6715">
        <v>-291.21749999999997</v>
      </c>
      <c r="H6715" s="1">
        <v>-9.468811E-6</v>
      </c>
      <c r="I6715">
        <v>-59.094610000000003</v>
      </c>
      <c r="J6715">
        <v>-301.5575</v>
      </c>
      <c r="K6715">
        <v>1.112107</v>
      </c>
      <c r="L6715">
        <v>-39.013730000000002</v>
      </c>
      <c r="M6715">
        <v>0.1716741</v>
      </c>
      <c r="N6715">
        <v>0</v>
      </c>
      <c r="O6715">
        <v>-0.98505739999999997</v>
      </c>
      <c r="P6715">
        <v>0.15671570000000001</v>
      </c>
      <c r="Q6715">
        <v>-2.348741E-2</v>
      </c>
      <c r="R6715">
        <v>-0.98736449999999998</v>
      </c>
      <c r="S6715">
        <v>1.436188</v>
      </c>
      <c r="T6715">
        <v>-0.1537849</v>
      </c>
      <c r="U6715">
        <v>-2.8100589999999999</v>
      </c>
      <c r="V6715">
        <v>1.5186959999999999E-2</v>
      </c>
      <c r="W6715">
        <v>-9.6205960000000004E-3</v>
      </c>
      <c r="X6715">
        <v>0.99983840000000002</v>
      </c>
      <c r="Y6715">
        <v>-0.29490139999999998</v>
      </c>
      <c r="Z6715">
        <v>4.9212329999999999E-2</v>
      </c>
      <c r="AA6715">
        <v>0.95425959999999999</v>
      </c>
      <c r="AB6715">
        <v>22</v>
      </c>
      <c r="AC6715">
        <v>10.34</v>
      </c>
      <c r="AD6715">
        <v>-1.1121164688109999</v>
      </c>
      <c r="AE6715">
        <v>-20.080880000000001</v>
      </c>
      <c r="AF6715">
        <v>-6.7224688075390597</v>
      </c>
      <c r="AG6715">
        <v>-1.1121164688109999</v>
      </c>
      <c r="AH6715">
        <v>21.505839090560801</v>
      </c>
      <c r="AI6715">
        <v>92.825661606705793</v>
      </c>
      <c r="AJ6715">
        <v>107.358621800347</v>
      </c>
      <c r="AK6715">
        <v>22.559465971020401</v>
      </c>
      <c r="AL6715">
        <v>90.551228043561693</v>
      </c>
      <c r="AM6715">
        <v>89.129777570907706</v>
      </c>
      <c r="AN6715">
        <v>1.00000001286799</v>
      </c>
    </row>
    <row r="6716" spans="1:40" x14ac:dyDescent="0.25">
      <c r="A6716" t="str">
        <f>"20190312160819490"</f>
        <v>20190312160819490</v>
      </c>
      <c r="B6716" t="str">
        <f>"1552378099481877"</f>
        <v>1552378099481877</v>
      </c>
      <c r="C6716" t="s">
        <v>40</v>
      </c>
      <c r="D6716">
        <v>5.9985039999999996</v>
      </c>
      <c r="E6716">
        <v>0.3772392</v>
      </c>
      <c r="F6716" t="s">
        <v>82</v>
      </c>
      <c r="G6716">
        <v>-291.1157</v>
      </c>
      <c r="H6716" s="1">
        <v>-9.4833609999999997E-6</v>
      </c>
      <c r="I6716">
        <v>-59.319580000000002</v>
      </c>
      <c r="J6716">
        <v>-301.51530000000002</v>
      </c>
      <c r="K6716">
        <v>1.1121399999999999</v>
      </c>
      <c r="L6716">
        <v>-39.230260000000001</v>
      </c>
      <c r="M6716">
        <v>0.17546129999999999</v>
      </c>
      <c r="N6716">
        <v>0</v>
      </c>
      <c r="O6716">
        <v>-0.98438999999999999</v>
      </c>
      <c r="P6716">
        <v>0.1598763</v>
      </c>
      <c r="Q6716">
        <v>-2.2699759999999999E-2</v>
      </c>
      <c r="R6716">
        <v>-0.98687619999999998</v>
      </c>
      <c r="S6716">
        <v>1.44278</v>
      </c>
      <c r="T6716">
        <v>-0.15366479999999999</v>
      </c>
      <c r="U6716">
        <v>-2.8057249999999998</v>
      </c>
      <c r="V6716">
        <v>1.5830239999999999E-2</v>
      </c>
      <c r="W6716">
        <v>-8.8266209999999998E-3</v>
      </c>
      <c r="X6716">
        <v>0.99983569999999999</v>
      </c>
      <c r="Y6716">
        <v>-0.2935992</v>
      </c>
      <c r="Z6716">
        <v>4.9176610000000003E-2</v>
      </c>
      <c r="AA6716">
        <v>0.95466289999999998</v>
      </c>
      <c r="AB6716">
        <v>22</v>
      </c>
      <c r="AC6716">
        <v>10.3996</v>
      </c>
      <c r="AD6716">
        <v>-1.1121494833609999</v>
      </c>
      <c r="AE6716">
        <v>-20.089320000000001</v>
      </c>
      <c r="AF6716">
        <v>-6.69681421487146</v>
      </c>
      <c r="AG6716">
        <v>-1.1121494833609999</v>
      </c>
      <c r="AH6716">
        <v>21.550413558922202</v>
      </c>
      <c r="AI6716">
        <v>92.821379640731706</v>
      </c>
      <c r="AJ6716">
        <v>107.262688425405</v>
      </c>
      <c r="AK6716">
        <v>22.594347117419002</v>
      </c>
      <c r="AL6716">
        <v>90.505734714717804</v>
      </c>
      <c r="AM6716">
        <v>89.092920803884894</v>
      </c>
      <c r="AN6716">
        <v>0.99999996636561195</v>
      </c>
    </row>
    <row r="6717" spans="1:40" x14ac:dyDescent="0.25">
      <c r="A6717" t="str">
        <f>"20190312160819511"</f>
        <v>20190312160819511</v>
      </c>
      <c r="B6717" t="str">
        <f>"1552378099502373"</f>
        <v>1552378099502373</v>
      </c>
      <c r="C6717" t="s">
        <v>40</v>
      </c>
      <c r="D6717">
        <v>6.0132329999999996</v>
      </c>
      <c r="E6717">
        <v>0.37758190000000003</v>
      </c>
      <c r="F6717" t="s">
        <v>82</v>
      </c>
      <c r="G6717">
        <v>-290.96620000000001</v>
      </c>
      <c r="H6717" s="1">
        <v>-9.5063499999999992E-6</v>
      </c>
      <c r="I6717">
        <v>-59.633450000000003</v>
      </c>
      <c r="J6717">
        <v>-301.476</v>
      </c>
      <c r="K6717">
        <v>1.112177</v>
      </c>
      <c r="L6717">
        <v>-39.427280000000003</v>
      </c>
      <c r="M6717">
        <v>0.1789607</v>
      </c>
      <c r="N6717">
        <v>0</v>
      </c>
      <c r="O6717">
        <v>-0.98375959999999996</v>
      </c>
      <c r="P6717">
        <v>0.1635576</v>
      </c>
      <c r="Q6717">
        <v>-2.1770080000000001E-2</v>
      </c>
      <c r="R6717">
        <v>-0.98629359999999999</v>
      </c>
      <c r="S6717">
        <v>1.4485779999999999</v>
      </c>
      <c r="T6717">
        <v>-0.1527182</v>
      </c>
      <c r="U6717">
        <v>-2.8017270000000001</v>
      </c>
      <c r="V6717">
        <v>1.565387E-2</v>
      </c>
      <c r="W6717">
        <v>-7.8949889999999998E-3</v>
      </c>
      <c r="X6717">
        <v>0.99984629999999997</v>
      </c>
      <c r="Y6717">
        <v>-0.29232089999999999</v>
      </c>
      <c r="Z6717">
        <v>4.887727E-2</v>
      </c>
      <c r="AA6717">
        <v>0.95507039999999999</v>
      </c>
      <c r="AB6717">
        <v>22</v>
      </c>
      <c r="AC6717">
        <v>10.509799999999901</v>
      </c>
      <c r="AD6717">
        <v>-1.11218650635</v>
      </c>
      <c r="AE6717">
        <v>-20.20617</v>
      </c>
      <c r="AF6717">
        <v>-6.70765095296467</v>
      </c>
      <c r="AG6717">
        <v>-1.11218650635</v>
      </c>
      <c r="AH6717">
        <v>21.709157601474399</v>
      </c>
      <c r="AI6717">
        <v>92.802277087106802</v>
      </c>
      <c r="AJ6717">
        <v>107.16999560905499</v>
      </c>
      <c r="AK6717">
        <v>22.749001382420499</v>
      </c>
      <c r="AL6717">
        <v>90.452354248781106</v>
      </c>
      <c r="AM6717">
        <v>89.103034724077901</v>
      </c>
      <c r="AN6717">
        <v>0.99999999906048798</v>
      </c>
    </row>
    <row r="6718" spans="1:40" x14ac:dyDescent="0.25">
      <c r="A6718" t="str">
        <f>"20190312160819532"</f>
        <v>20190312160819532</v>
      </c>
      <c r="B6718" t="str">
        <f>"1552378099521934"</f>
        <v>1552378099521934</v>
      </c>
      <c r="C6718" t="s">
        <v>40</v>
      </c>
      <c r="D6718">
        <v>6.9520710000000001</v>
      </c>
      <c r="E6718">
        <v>0.37791940000000002</v>
      </c>
      <c r="F6718" t="s">
        <v>82</v>
      </c>
      <c r="G6718">
        <v>-290.73970000000003</v>
      </c>
      <c r="H6718" s="1">
        <v>-9.5475660000000002E-6</v>
      </c>
      <c r="I6718">
        <v>-60.045389999999998</v>
      </c>
      <c r="J6718">
        <v>-301.43340000000001</v>
      </c>
      <c r="K6718">
        <v>1.1122099999999999</v>
      </c>
      <c r="L6718">
        <v>-39.63702</v>
      </c>
      <c r="M6718">
        <v>0.18273539999999999</v>
      </c>
      <c r="N6718">
        <v>0</v>
      </c>
      <c r="O6718">
        <v>-0.98306550000000004</v>
      </c>
      <c r="P6718">
        <v>0.16742580000000001</v>
      </c>
      <c r="Q6718">
        <v>-2.1434700000000001E-2</v>
      </c>
      <c r="R6718">
        <v>-0.98565199999999997</v>
      </c>
      <c r="S6718">
        <v>1.4563900000000001</v>
      </c>
      <c r="T6718">
        <v>-0.1508679</v>
      </c>
      <c r="U6718">
        <v>-2.7968440000000001</v>
      </c>
      <c r="V6718">
        <v>1.556897E-2</v>
      </c>
      <c r="W6718">
        <v>-7.5571060000000001E-3</v>
      </c>
      <c r="X6718">
        <v>0.99985020000000002</v>
      </c>
      <c r="Y6718">
        <v>-0.29144499999999901</v>
      </c>
      <c r="Z6718">
        <v>4.8287410000000003E-2</v>
      </c>
      <c r="AA6718">
        <v>0.95536810000000005</v>
      </c>
      <c r="AB6718">
        <v>22</v>
      </c>
      <c r="AC6718">
        <v>10.6936999999999</v>
      </c>
      <c r="AD6718">
        <v>-1.1122195475659999</v>
      </c>
      <c r="AE6718">
        <v>-20.408370000000001</v>
      </c>
      <c r="AF6718">
        <v>-6.7681488516431001</v>
      </c>
      <c r="AG6718">
        <v>-1.1122195475659999</v>
      </c>
      <c r="AH6718">
        <v>21.967783302848702</v>
      </c>
      <c r="AI6718">
        <v>92.770108244102502</v>
      </c>
      <c r="AJ6718">
        <v>107.123767134001</v>
      </c>
      <c r="AK6718">
        <v>23.0136562597276</v>
      </c>
      <c r="AL6718">
        <v>90.432994416786002</v>
      </c>
      <c r="AM6718">
        <v>89.107902176889894</v>
      </c>
      <c r="AN6718">
        <v>0.99999996255899704</v>
      </c>
    </row>
    <row r="6719" spans="1:40" x14ac:dyDescent="0.25">
      <c r="A6719" t="str">
        <f>"20190312160819555"</f>
        <v>20190312160819555</v>
      </c>
      <c r="B6719" t="str">
        <f>"1552378099552191"</f>
        <v>1552378099552191</v>
      </c>
      <c r="C6719" t="s">
        <v>40</v>
      </c>
      <c r="D6719">
        <v>6.0599020000000001</v>
      </c>
      <c r="E6719">
        <v>0.37835970000000002</v>
      </c>
      <c r="F6719" t="s">
        <v>82</v>
      </c>
      <c r="G6719">
        <v>-290.59379999999999</v>
      </c>
      <c r="H6719" s="1">
        <v>-9.5757909999999994E-6</v>
      </c>
      <c r="I6719">
        <v>-60.29363</v>
      </c>
      <c r="J6719">
        <v>-301.38810000000001</v>
      </c>
      <c r="K6719">
        <v>1.112249</v>
      </c>
      <c r="L6719">
        <v>-39.85492</v>
      </c>
      <c r="M6719">
        <v>0.18671180000000001</v>
      </c>
      <c r="N6719">
        <v>0</v>
      </c>
      <c r="O6719">
        <v>-0.98231789999999997</v>
      </c>
      <c r="P6719">
        <v>0.17204800000000001</v>
      </c>
      <c r="Q6719">
        <v>-2.047759E-2</v>
      </c>
      <c r="R6719">
        <v>-0.98487579999999997</v>
      </c>
      <c r="S6719">
        <v>1.464874</v>
      </c>
      <c r="T6719">
        <v>-0.1503071</v>
      </c>
      <c r="U6719">
        <v>-2.7915649999999999</v>
      </c>
      <c r="V6719">
        <v>1.4922919999999999E-2</v>
      </c>
      <c r="W6719">
        <v>-6.6008079999999997E-3</v>
      </c>
      <c r="X6719">
        <v>0.99986679999999994</v>
      </c>
      <c r="Y6719">
        <v>-0.29059770000000001</v>
      </c>
      <c r="Z6719">
        <v>4.8108329999999998E-2</v>
      </c>
      <c r="AA6719">
        <v>0.95563520000000002</v>
      </c>
      <c r="AB6719">
        <v>22</v>
      </c>
      <c r="AC6719">
        <v>10.7943</v>
      </c>
      <c r="AD6719">
        <v>-1.112258575791</v>
      </c>
      <c r="AE6719">
        <v>-20.43871</v>
      </c>
      <c r="AF6719">
        <v>-6.7722497789989804</v>
      </c>
      <c r="AG6719">
        <v>-1.112258575791</v>
      </c>
      <c r="AH6719">
        <v>22.0437914413958</v>
      </c>
      <c r="AI6719">
        <v>92.761347228347304</v>
      </c>
      <c r="AJ6719">
        <v>107.077900790863</v>
      </c>
      <c r="AK6719">
        <v>23.087425740439901</v>
      </c>
      <c r="AL6719">
        <v>90.378201208546699</v>
      </c>
      <c r="AM6719">
        <v>89.144929248161006</v>
      </c>
      <c r="AN6719">
        <v>0.99999994097490696</v>
      </c>
    </row>
    <row r="6720" spans="1:40" x14ac:dyDescent="0.25">
      <c r="A6720" t="str">
        <f>"20190312160819577"</f>
        <v>20190312160819577</v>
      </c>
      <c r="B6720" t="str">
        <f>"1552378099572686"</f>
        <v>1552378099572686</v>
      </c>
      <c r="C6720" t="s">
        <v>40</v>
      </c>
      <c r="D6720">
        <v>6.070811</v>
      </c>
      <c r="E6720">
        <v>0.37847459999999999</v>
      </c>
      <c r="F6720" t="s">
        <v>82</v>
      </c>
      <c r="G6720">
        <v>-290.34910000000002</v>
      </c>
      <c r="H6720" s="1">
        <v>-9.9915930000000002E-6</v>
      </c>
      <c r="I6720">
        <v>-60.707940000000001</v>
      </c>
      <c r="J6720">
        <v>-301.34219999999999</v>
      </c>
      <c r="K6720">
        <v>1.1122749999999999</v>
      </c>
      <c r="L6720">
        <v>-40.070950000000003</v>
      </c>
      <c r="M6720">
        <v>0.19070400000000001</v>
      </c>
      <c r="N6720">
        <v>0</v>
      </c>
      <c r="O6720">
        <v>-0.98155079999999995</v>
      </c>
      <c r="P6720">
        <v>0.1774626</v>
      </c>
      <c r="Q6720">
        <v>-1.9533869999999998E-2</v>
      </c>
      <c r="R6720">
        <v>-0.98393390000000003</v>
      </c>
      <c r="S6720">
        <v>1.474518</v>
      </c>
      <c r="T6720">
        <v>-0.1485677</v>
      </c>
      <c r="U6720">
        <v>-2.7854000000000001</v>
      </c>
      <c r="V6720">
        <v>1.3486939999999999E-2</v>
      </c>
      <c r="W6720">
        <v>-5.6632009999999997E-3</v>
      </c>
      <c r="X6720">
        <v>0.99989300000000003</v>
      </c>
      <c r="Y6720">
        <v>-0.2901782</v>
      </c>
      <c r="Z6720">
        <v>4.7557040000000002E-2</v>
      </c>
      <c r="AA6720">
        <v>0.95579020000000003</v>
      </c>
      <c r="AB6720">
        <v>22</v>
      </c>
      <c r="AC6720">
        <v>10.993099999999901</v>
      </c>
      <c r="AD6720">
        <v>-1.112284991593</v>
      </c>
      <c r="AE6720">
        <v>-20.636990000000001</v>
      </c>
      <c r="AF6720">
        <v>-6.8399031926875598</v>
      </c>
      <c r="AG6720">
        <v>-1.112284991593</v>
      </c>
      <c r="AH6720">
        <v>22.304334685601798</v>
      </c>
      <c r="AI6720">
        <v>92.729629594327903</v>
      </c>
      <c r="AJ6720">
        <v>107.04881312998501</v>
      </c>
      <c r="AK6720">
        <v>23.356044171802701</v>
      </c>
      <c r="AL6720">
        <v>90.324479253399105</v>
      </c>
      <c r="AM6720">
        <v>89.227219430304501</v>
      </c>
      <c r="AN6720">
        <v>0.99999999042256404</v>
      </c>
    </row>
    <row r="6721" spans="1:40" x14ac:dyDescent="0.25">
      <c r="A6721" t="str">
        <f>"20190312160819600"</f>
        <v>20190312160819600</v>
      </c>
      <c r="B6721" t="str">
        <f>"1552378099592206"</f>
        <v>1552378099592206</v>
      </c>
      <c r="C6721" t="s">
        <v>40</v>
      </c>
      <c r="D6721">
        <v>6.0743799999999997</v>
      </c>
      <c r="E6721">
        <v>0.39249279999999998</v>
      </c>
      <c r="F6721" t="s">
        <v>82</v>
      </c>
      <c r="G6721">
        <v>-290.05619999999999</v>
      </c>
      <c r="H6721" s="1">
        <v>-9.9727660000000008E-6</v>
      </c>
      <c r="I6721">
        <v>-61.128770000000003</v>
      </c>
      <c r="J6721">
        <v>-301.2953</v>
      </c>
      <c r="K6721">
        <v>1.112293</v>
      </c>
      <c r="L6721">
        <v>-40.286769999999997</v>
      </c>
      <c r="M6721">
        <v>0.19472590000000001</v>
      </c>
      <c r="N6721">
        <v>0</v>
      </c>
      <c r="O6721">
        <v>-0.98076079999999999</v>
      </c>
      <c r="P6721">
        <v>0.18243690000000001</v>
      </c>
      <c r="Q6721">
        <v>-1.9422249999999999E-2</v>
      </c>
      <c r="R6721">
        <v>-0.98302599999999996</v>
      </c>
      <c r="S6721">
        <v>1.4886469999999901</v>
      </c>
      <c r="T6721">
        <v>-0.1467137</v>
      </c>
      <c r="U6721">
        <v>-2.7775880000000002</v>
      </c>
      <c r="V6721">
        <v>1.252848E-2</v>
      </c>
      <c r="W6721">
        <v>-5.556091E-3</v>
      </c>
      <c r="X6721">
        <v>0.99990610000000002</v>
      </c>
      <c r="Y6721">
        <v>-0.29116510000000001</v>
      </c>
      <c r="Z6721">
        <v>4.6964430000000001E-2</v>
      </c>
      <c r="AA6721">
        <v>0.95551940000000002</v>
      </c>
      <c r="AB6721">
        <v>22</v>
      </c>
      <c r="AC6721">
        <v>11.239100000000001</v>
      </c>
      <c r="AD6721">
        <v>-1.1123029727660001</v>
      </c>
      <c r="AE6721">
        <v>-20.841999999999899</v>
      </c>
      <c r="AF6721">
        <v>-6.9497186848728001</v>
      </c>
      <c r="AG6721">
        <v>-1.1123029727660001</v>
      </c>
      <c r="AH6721">
        <v>22.581883736041998</v>
      </c>
      <c r="AI6721">
        <v>92.6953470830057</v>
      </c>
      <c r="AJ6721">
        <v>107.10608223455699</v>
      </c>
      <c r="AK6721">
        <v>23.653272094368099</v>
      </c>
      <c r="AL6721">
        <v>90.318342196133798</v>
      </c>
      <c r="AM6721">
        <v>89.282141126341301</v>
      </c>
      <c r="AN6721">
        <v>1.00000002088776</v>
      </c>
    </row>
    <row r="6722" spans="1:40" x14ac:dyDescent="0.25">
      <c r="A6722" t="str">
        <f>"20190312160819622"</f>
        <v>20190312160819622</v>
      </c>
      <c r="B6722" t="str">
        <f>"1552378099612702"</f>
        <v>1552378099612702</v>
      </c>
      <c r="C6722" t="s">
        <v>40</v>
      </c>
      <c r="D6722">
        <v>5.8154250000000003</v>
      </c>
      <c r="E6722">
        <v>0.39187119999999998</v>
      </c>
      <c r="F6722" t="s">
        <v>82</v>
      </c>
      <c r="G6722">
        <v>-295.66739999999999</v>
      </c>
      <c r="H6722" s="1">
        <v>-8.6646339999999997E-6</v>
      </c>
      <c r="I6722">
        <v>-51.523780000000002</v>
      </c>
      <c r="J6722">
        <v>-301.2482</v>
      </c>
      <c r="K6722">
        <v>1.112306</v>
      </c>
      <c r="L6722">
        <v>-40.499879999999997</v>
      </c>
      <c r="M6722">
        <v>0.19872010000000001</v>
      </c>
      <c r="N6722">
        <v>0</v>
      </c>
      <c r="O6722">
        <v>-0.97995940000000004</v>
      </c>
      <c r="P6722">
        <v>0.18680359999999999</v>
      </c>
      <c r="Q6722">
        <v>-1.940217E-2</v>
      </c>
      <c r="R6722">
        <v>-0.98220589999999997</v>
      </c>
      <c r="S6722">
        <v>1.395966</v>
      </c>
      <c r="T6722">
        <v>-0.2758987</v>
      </c>
      <c r="U6722">
        <v>-2.7872620000000001</v>
      </c>
      <c r="V6722">
        <v>1.2158789999999999E-2</v>
      </c>
      <c r="W6722">
        <v>-5.5380710000000003E-3</v>
      </c>
      <c r="X6722">
        <v>0.99991079999999999</v>
      </c>
      <c r="Y6722">
        <v>-0.25939319999999999</v>
      </c>
      <c r="Z6722">
        <v>8.8726369999999999E-2</v>
      </c>
      <c r="AA6722">
        <v>0.96168750000000003</v>
      </c>
      <c r="AB6722">
        <v>22</v>
      </c>
      <c r="AC6722">
        <v>5.5808000000000098</v>
      </c>
      <c r="AD6722">
        <v>-1.1123146646340001</v>
      </c>
      <c r="AE6722">
        <v>-11.023899999999999</v>
      </c>
      <c r="AF6722">
        <v>-3.2522422103913202</v>
      </c>
      <c r="AG6722">
        <v>-1.1123146646340001</v>
      </c>
      <c r="AH6722">
        <v>11.8173554808543</v>
      </c>
      <c r="AI6722">
        <v>95.1854722743563</v>
      </c>
      <c r="AJ6722">
        <v>105.38738186046101</v>
      </c>
      <c r="AK6722">
        <v>12.3070798270381</v>
      </c>
      <c r="AL6722">
        <v>90.317309698807406</v>
      </c>
      <c r="AM6722">
        <v>89.303324838562105</v>
      </c>
      <c r="AN6722">
        <v>1.00000005718065</v>
      </c>
    </row>
    <row r="6723" spans="1:40" x14ac:dyDescent="0.25">
      <c r="A6723" t="str">
        <f>"20190312160819645"</f>
        <v>20190312160819645</v>
      </c>
      <c r="B6723" t="str">
        <f>"1552378099641982"</f>
        <v>1552378099641982</v>
      </c>
      <c r="C6723" t="s">
        <v>40</v>
      </c>
      <c r="D6723">
        <v>6.1716389999999999</v>
      </c>
      <c r="E6723">
        <v>0.38525490000000001</v>
      </c>
      <c r="F6723" t="s">
        <v>82</v>
      </c>
      <c r="G6723">
        <v>-295.404</v>
      </c>
      <c r="H6723" s="1">
        <v>-8.7037199999999906E-6</v>
      </c>
      <c r="I6723">
        <v>-51.998420000000003</v>
      </c>
      <c r="J6723">
        <v>-301.19749999999999</v>
      </c>
      <c r="K6723">
        <v>1.112306</v>
      </c>
      <c r="L6723">
        <v>-40.724460000000001</v>
      </c>
      <c r="M6723">
        <v>0.20293990000000001</v>
      </c>
      <c r="N6723">
        <v>0</v>
      </c>
      <c r="O6723">
        <v>-0.97909400000000002</v>
      </c>
      <c r="P6723">
        <v>0.1900792</v>
      </c>
      <c r="Q6723">
        <v>-1.8300239999999999E-2</v>
      </c>
      <c r="R6723">
        <v>-0.98159830000000003</v>
      </c>
      <c r="S6723">
        <v>1.4130860000000001</v>
      </c>
      <c r="T6723">
        <v>-0.26895059999999998</v>
      </c>
      <c r="U6723">
        <v>-2.7802730000000002</v>
      </c>
      <c r="V6723">
        <v>1.3128010000000001E-2</v>
      </c>
      <c r="W6723">
        <v>-4.4311669999999997E-3</v>
      </c>
      <c r="X6723">
        <v>0.99990400000000002</v>
      </c>
      <c r="Y6723">
        <v>-0.26101020000000003</v>
      </c>
      <c r="Z6723">
        <v>8.6456279999999996E-2</v>
      </c>
      <c r="AA6723">
        <v>0.96145670000000005</v>
      </c>
      <c r="AB6723">
        <v>22</v>
      </c>
      <c r="AC6723">
        <v>5.7934999999999901</v>
      </c>
      <c r="AD6723">
        <v>-1.1123147037200001</v>
      </c>
      <c r="AE6723">
        <v>-11.273960000000001</v>
      </c>
      <c r="AF6723">
        <v>-3.3589010832314399</v>
      </c>
      <c r="AG6723">
        <v>-1.1123147037200001</v>
      </c>
      <c r="AH6723">
        <v>12.121815211972301</v>
      </c>
      <c r="AI6723">
        <v>95.053480140704593</v>
      </c>
      <c r="AJ6723">
        <v>105.48781603110901</v>
      </c>
      <c r="AK6723">
        <v>12.627662670512199</v>
      </c>
      <c r="AL6723">
        <v>90.253887999664101</v>
      </c>
      <c r="AM6723">
        <v>89.247791436774406</v>
      </c>
      <c r="AN6723">
        <v>0.99999999455177102</v>
      </c>
    </row>
    <row r="6724" spans="1:40" x14ac:dyDescent="0.25">
      <c r="A6724" t="str">
        <f>"20190312160819689"</f>
        <v>20190312160819689</v>
      </c>
      <c r="B6724" t="str">
        <f>"1552378099681998"</f>
        <v>1552378099681998</v>
      </c>
      <c r="C6724" t="s">
        <v>40</v>
      </c>
      <c r="D6724">
        <v>5.7963740000000001</v>
      </c>
      <c r="E6724">
        <v>0.385353</v>
      </c>
      <c r="F6724" t="s">
        <v>82</v>
      </c>
      <c r="G6724">
        <v>-292.07810000000001</v>
      </c>
      <c r="H6724" s="1">
        <v>-9.2787690000000002E-6</v>
      </c>
      <c r="I6724">
        <v>-57.864750000000001</v>
      </c>
      <c r="J6724">
        <v>-301.101</v>
      </c>
      <c r="K6724">
        <v>1.1122879999999999</v>
      </c>
      <c r="L6724">
        <v>-41.140169999999998</v>
      </c>
      <c r="M6724">
        <v>0.21074699999999999</v>
      </c>
      <c r="N6724">
        <v>0</v>
      </c>
      <c r="O6724">
        <v>-0.97744339999999996</v>
      </c>
      <c r="P6724">
        <v>0.19491069999999999</v>
      </c>
      <c r="Q6724">
        <v>-1.662982E-2</v>
      </c>
      <c r="R6724">
        <v>-0.98067990000000005</v>
      </c>
      <c r="S6724">
        <v>1.4725649999999999</v>
      </c>
      <c r="T6724">
        <v>-0.179611299999999</v>
      </c>
      <c r="U6724">
        <v>-2.7677309999999999</v>
      </c>
      <c r="V6724">
        <v>1.6179280000000001E-2</v>
      </c>
      <c r="W6724">
        <v>-2.746292E-3</v>
      </c>
      <c r="X6724">
        <v>0.99986540000000002</v>
      </c>
      <c r="Y6724">
        <v>-0.27229199999999998</v>
      </c>
      <c r="Z6724">
        <v>5.7588559999999997E-2</v>
      </c>
      <c r="AA6724">
        <v>0.9604897</v>
      </c>
      <c r="AB6724">
        <v>22</v>
      </c>
      <c r="AC6724">
        <v>9.0228999999999893</v>
      </c>
      <c r="AD6724">
        <v>-1.112297278769</v>
      </c>
      <c r="AE6724">
        <v>-16.72458</v>
      </c>
      <c r="AF6724">
        <v>-5.2771429371364897</v>
      </c>
      <c r="AG6724">
        <v>-1.112297278769</v>
      </c>
      <c r="AH6724">
        <v>18.1883014771531</v>
      </c>
      <c r="AI6724">
        <v>93.361258174061504</v>
      </c>
      <c r="AJ6724">
        <v>106.179526344745</v>
      </c>
      <c r="AK6724">
        <v>18.9710240482462</v>
      </c>
      <c r="AL6724">
        <v>90.157351128528703</v>
      </c>
      <c r="AM6724">
        <v>89.072951655844307</v>
      </c>
      <c r="AN6724">
        <v>1.0000000646691101</v>
      </c>
    </row>
    <row r="6725" spans="1:40" x14ac:dyDescent="0.25">
      <c r="A6725" t="str">
        <f>"20190312160819711"</f>
        <v>20190312160819711</v>
      </c>
      <c r="B6725" t="str">
        <f>"1552378099702494"</f>
        <v>1552378099702494</v>
      </c>
      <c r="C6725" t="s">
        <v>40</v>
      </c>
      <c r="D6725">
        <v>6.154604</v>
      </c>
      <c r="E6725">
        <v>0.38523810000000003</v>
      </c>
      <c r="F6725" t="s">
        <v>82</v>
      </c>
      <c r="G6725">
        <v>-291.72480000000002</v>
      </c>
      <c r="H6725" s="1">
        <v>-9.3363110000000008E-6</v>
      </c>
      <c r="I6725">
        <v>-58.574399999999997</v>
      </c>
      <c r="J6725">
        <v>-301.05059999999997</v>
      </c>
      <c r="K6725">
        <v>1.112276</v>
      </c>
      <c r="L6725">
        <v>-41.351559999999999</v>
      </c>
      <c r="M6725">
        <v>0.21470549999999999</v>
      </c>
      <c r="N6725">
        <v>0</v>
      </c>
      <c r="O6725">
        <v>-0.97658149999999999</v>
      </c>
      <c r="P6725">
        <v>0.19769510000000001</v>
      </c>
      <c r="Q6725">
        <v>-1.7364549999999999E-2</v>
      </c>
      <c r="R6725">
        <v>-0.98010969999999997</v>
      </c>
      <c r="S6725">
        <v>1.4848629999999901</v>
      </c>
      <c r="T6725">
        <v>-0.17615</v>
      </c>
      <c r="U6725">
        <v>-2.7609859999999999</v>
      </c>
      <c r="V6725">
        <v>1.7392020000000001E-2</v>
      </c>
      <c r="W6725">
        <v>-3.4765659999999999E-3</v>
      </c>
      <c r="X6725">
        <v>0.99984269999999997</v>
      </c>
      <c r="Y6725">
        <v>-0.27272160000000001</v>
      </c>
      <c r="Z6725">
        <v>5.6470069999999997E-2</v>
      </c>
      <c r="AA6725">
        <v>0.96043429999999996</v>
      </c>
      <c r="AB6725">
        <v>22</v>
      </c>
      <c r="AC6725">
        <v>9.3257999999999495</v>
      </c>
      <c r="AD6725">
        <v>-1.1122853363109999</v>
      </c>
      <c r="AE6725">
        <v>-17.222839999999898</v>
      </c>
      <c r="AF6725">
        <v>-5.3926870635541402</v>
      </c>
      <c r="AG6725">
        <v>-1.1122853363109999</v>
      </c>
      <c r="AH6725">
        <v>18.763082140226601</v>
      </c>
      <c r="AI6725">
        <v>93.260848030198801</v>
      </c>
      <c r="AJ6725">
        <v>106.035150995897</v>
      </c>
      <c r="AK6725">
        <v>19.554321871026001</v>
      </c>
      <c r="AL6725">
        <v>90.199192960893996</v>
      </c>
      <c r="AM6725">
        <v>89.003454387024604</v>
      </c>
      <c r="AN6725">
        <v>0.99999999680706098</v>
      </c>
    </row>
    <row r="6726" spans="1:40" x14ac:dyDescent="0.25">
      <c r="A6726" t="str">
        <f>"20190312160819733"</f>
        <v>20190312160819733</v>
      </c>
      <c r="B6726" t="str">
        <f>"1552378099722014"</f>
        <v>1552378099722014</v>
      </c>
      <c r="C6726" t="s">
        <v>40</v>
      </c>
      <c r="D6726">
        <v>6.2167409999999999</v>
      </c>
      <c r="E6726">
        <v>0.38571889999999998</v>
      </c>
      <c r="F6726" t="s">
        <v>82</v>
      </c>
      <c r="G6726">
        <v>-291.6087</v>
      </c>
      <c r="H6726" s="1">
        <v>-9.3584849999999992E-6</v>
      </c>
      <c r="I6726">
        <v>-58.775109999999998</v>
      </c>
      <c r="J6726">
        <v>-301.00040000000001</v>
      </c>
      <c r="K6726">
        <v>1.112269</v>
      </c>
      <c r="L6726">
        <v>-41.558529999999998</v>
      </c>
      <c r="M6726">
        <v>0.21857170000000001</v>
      </c>
      <c r="N6726">
        <v>0</v>
      </c>
      <c r="O6726">
        <v>-0.97572349999999997</v>
      </c>
      <c r="P6726">
        <v>0.20071600000000001</v>
      </c>
      <c r="Q6726">
        <v>-1.7793639999999999E-2</v>
      </c>
      <c r="R6726">
        <v>-0.97948800000000003</v>
      </c>
      <c r="S6726">
        <v>1.493744</v>
      </c>
      <c r="T6726">
        <v>-0.1759677</v>
      </c>
      <c r="U6726">
        <v>-2.7564700000000002</v>
      </c>
      <c r="V6726">
        <v>1.8269980000000002E-2</v>
      </c>
      <c r="W6726">
        <v>-3.903316E-3</v>
      </c>
      <c r="X6726">
        <v>0.99982550000000003</v>
      </c>
      <c r="Y6726">
        <v>-0.27196510000000002</v>
      </c>
      <c r="Z6726">
        <v>5.638464E-2</v>
      </c>
      <c r="AA6726">
        <v>0.9606538</v>
      </c>
      <c r="AB6726">
        <v>22</v>
      </c>
      <c r="AC6726">
        <v>9.3917000000000108</v>
      </c>
      <c r="AD6726">
        <v>-1.112278358485</v>
      </c>
      <c r="AE6726">
        <v>-17.21658</v>
      </c>
      <c r="AF6726">
        <v>-5.3838407170654703</v>
      </c>
      <c r="AG6726">
        <v>-1.112278358485</v>
      </c>
      <c r="AH6726">
        <v>18.792724020702</v>
      </c>
      <c r="AI6726">
        <v>93.256491348354601</v>
      </c>
      <c r="AJ6726">
        <v>105.986233748625</v>
      </c>
      <c r="AK6726">
        <v>19.5803314612332</v>
      </c>
      <c r="AL6726">
        <v>90.223644094269503</v>
      </c>
      <c r="AM6726">
        <v>88.9531410650564</v>
      </c>
      <c r="AN6726">
        <v>1.0000000292476201</v>
      </c>
    </row>
    <row r="6727" spans="1:40" x14ac:dyDescent="0.25">
      <c r="A6727" t="str">
        <f>"20190312160819756"</f>
        <v>20190312160819756</v>
      </c>
      <c r="B6727" t="str">
        <f>"1552378099752271"</f>
        <v>1552378099752271</v>
      </c>
      <c r="C6727" t="s">
        <v>40</v>
      </c>
      <c r="D6727">
        <v>6.1219289999999997</v>
      </c>
      <c r="E6727">
        <v>0.3861986</v>
      </c>
      <c r="F6727" t="s">
        <v>82</v>
      </c>
      <c r="G6727">
        <v>-291.81279999999998</v>
      </c>
      <c r="H6727" s="1">
        <v>-9.3182330000000003E-6</v>
      </c>
      <c r="I6727">
        <v>-58.4351699999999</v>
      </c>
      <c r="J6727">
        <v>-300.9479</v>
      </c>
      <c r="K6727">
        <v>1.112252</v>
      </c>
      <c r="L6727">
        <v>-41.770969999999998</v>
      </c>
      <c r="M6727">
        <v>0.22253429999999999</v>
      </c>
      <c r="N6727">
        <v>0</v>
      </c>
      <c r="O6727">
        <v>-0.97482740000000001</v>
      </c>
      <c r="P6727">
        <v>0.20472509999999999</v>
      </c>
      <c r="Q6727">
        <v>-1.802399E-2</v>
      </c>
      <c r="R6727">
        <v>-0.97865360000000001</v>
      </c>
      <c r="S6727">
        <v>1.4984440000000001</v>
      </c>
      <c r="T6727">
        <v>-0.18140539999999999</v>
      </c>
      <c r="U6727">
        <v>-2.752472</v>
      </c>
      <c r="V6727">
        <v>1.8238529999999999E-2</v>
      </c>
      <c r="W6727">
        <v>-4.1365739999999996E-3</v>
      </c>
      <c r="X6727">
        <v>0.99982510000000002</v>
      </c>
      <c r="Y6727">
        <v>-0.26985700000000001</v>
      </c>
      <c r="Z6727">
        <v>5.8110710000000003E-2</v>
      </c>
      <c r="AA6727">
        <v>0.96114529999999998</v>
      </c>
      <c r="AB6727">
        <v>22</v>
      </c>
      <c r="AC6727">
        <v>9.1351000000000209</v>
      </c>
      <c r="AD6727">
        <v>-1.1122613182329999</v>
      </c>
      <c r="AE6727">
        <v>-16.664199999999902</v>
      </c>
      <c r="AF6727">
        <v>-5.1795407143823402</v>
      </c>
      <c r="AG6727">
        <v>-1.1122613182329999</v>
      </c>
      <c r="AH6727">
        <v>18.216925560324601</v>
      </c>
      <c r="AI6727">
        <v>93.361049384434097</v>
      </c>
      <c r="AJ6727">
        <v>105.87181514009301</v>
      </c>
      <c r="AK6727">
        <v>18.971587812368</v>
      </c>
      <c r="AL6727">
        <v>90.237008909447795</v>
      </c>
      <c r="AM6727">
        <v>88.954942313257305</v>
      </c>
      <c r="AN6727">
        <v>0.999999992905514</v>
      </c>
    </row>
    <row r="6728" spans="1:40" x14ac:dyDescent="0.25">
      <c r="A6728" t="str">
        <f>"20190312160819778"</f>
        <v>20190312160819778</v>
      </c>
      <c r="B6728" t="str">
        <f>"1552378099772768"</f>
        <v>1552378099772768</v>
      </c>
      <c r="C6728" t="s">
        <v>40</v>
      </c>
      <c r="D6728">
        <v>6.1844809999999999</v>
      </c>
      <c r="E6728">
        <v>0.38658629999999999</v>
      </c>
      <c r="F6728" t="s">
        <v>82</v>
      </c>
      <c r="G6728">
        <v>-291.99720000000002</v>
      </c>
      <c r="H6728" s="1">
        <v>-9.2850259999999995E-6</v>
      </c>
      <c r="I6728">
        <v>-58.09628</v>
      </c>
      <c r="J6728">
        <v>-300.8954</v>
      </c>
      <c r="K6728">
        <v>1.112244</v>
      </c>
      <c r="L6728">
        <v>-41.979979999999998</v>
      </c>
      <c r="M6728">
        <v>0.22642860000000001</v>
      </c>
      <c r="N6728">
        <v>0</v>
      </c>
      <c r="O6728">
        <v>-0.97393039999999997</v>
      </c>
      <c r="P6728">
        <v>0.20878559999999999</v>
      </c>
      <c r="Q6728">
        <v>-1.8121310000000002E-2</v>
      </c>
      <c r="R6728">
        <v>-0.97779360000000004</v>
      </c>
      <c r="S6728">
        <v>1.506073</v>
      </c>
      <c r="T6728">
        <v>-0.1871526</v>
      </c>
      <c r="U6728">
        <v>-2.7469480000000002</v>
      </c>
      <c r="V6728">
        <v>1.8084449999999998E-2</v>
      </c>
      <c r="W6728">
        <v>-4.2375269999999996E-3</v>
      </c>
      <c r="X6728">
        <v>0.99982749999999998</v>
      </c>
      <c r="Y6728">
        <v>-0.26882200000000001</v>
      </c>
      <c r="Z6728">
        <v>5.9939409999999999E-2</v>
      </c>
      <c r="AA6728">
        <v>0.96132300000000004</v>
      </c>
      <c r="AB6728">
        <v>22</v>
      </c>
      <c r="AC6728">
        <v>8.8981999999999708</v>
      </c>
      <c r="AD6728">
        <v>-1.1122532850260001</v>
      </c>
      <c r="AE6728">
        <v>-16.116299999999999</v>
      </c>
      <c r="AF6728">
        <v>-4.9992636722720398</v>
      </c>
      <c r="AG6728">
        <v>-1.1122532850260001</v>
      </c>
      <c r="AH6728">
        <v>17.6482213957581</v>
      </c>
      <c r="AI6728">
        <v>93.470028971609395</v>
      </c>
      <c r="AJ6728">
        <v>105.81599109055099</v>
      </c>
      <c r="AK6728">
        <v>18.376328878985699</v>
      </c>
      <c r="AL6728">
        <v>90.242793135207094</v>
      </c>
      <c r="AM6728">
        <v>88.963771565662299</v>
      </c>
      <c r="AN6728">
        <v>1.0000000168615599</v>
      </c>
    </row>
    <row r="6729" spans="1:40" x14ac:dyDescent="0.25">
      <c r="A6729" t="str">
        <f>"20190312160819801"</f>
        <v>20190312160819801</v>
      </c>
      <c r="B6729" t="str">
        <f>"1552378099792287"</f>
        <v>1552378099792287</v>
      </c>
      <c r="C6729" t="s">
        <v>40</v>
      </c>
      <c r="D6729">
        <v>6.1220179999999997</v>
      </c>
      <c r="E6729">
        <v>0.38660870000000003</v>
      </c>
      <c r="F6729" t="s">
        <v>82</v>
      </c>
      <c r="G6729">
        <v>-292.12729999999999</v>
      </c>
      <c r="H6729" s="1">
        <v>-9.2625639999999999E-6</v>
      </c>
      <c r="I6729">
        <v>-57.847740000000002</v>
      </c>
      <c r="J6729">
        <v>-300.84210000000002</v>
      </c>
      <c r="K6729">
        <v>1.112231</v>
      </c>
      <c r="L6729">
        <v>-42.18826</v>
      </c>
      <c r="M6729">
        <v>0.23030890000000001</v>
      </c>
      <c r="N6729">
        <v>0</v>
      </c>
      <c r="O6729">
        <v>-0.97302</v>
      </c>
      <c r="P6729">
        <v>0.21229490000000001</v>
      </c>
      <c r="Q6729">
        <v>-1.8613279999999999E-2</v>
      </c>
      <c r="R6729">
        <v>-0.97702849999999997</v>
      </c>
      <c r="S6729">
        <v>1.5146790000000001</v>
      </c>
      <c r="T6729">
        <v>-0.19214139999999999</v>
      </c>
      <c r="U6729">
        <v>-2.7411500000000002</v>
      </c>
      <c r="V6729">
        <v>1.8480570000000002E-2</v>
      </c>
      <c r="W6729">
        <v>-4.7302189999999999E-3</v>
      </c>
      <c r="X6729">
        <v>0.99981799999999998</v>
      </c>
      <c r="Y6729">
        <v>-0.2681075</v>
      </c>
      <c r="Z6729">
        <v>6.1521319999999997E-2</v>
      </c>
      <c r="AA6729">
        <v>0.96142260000000002</v>
      </c>
      <c r="AB6729">
        <v>22</v>
      </c>
      <c r="AC6729">
        <v>8.7148000000000199</v>
      </c>
      <c r="AD6729">
        <v>-1.112240262564</v>
      </c>
      <c r="AE6729">
        <v>-15.65948</v>
      </c>
      <c r="AF6729">
        <v>-4.8549195437321204</v>
      </c>
      <c r="AG6729">
        <v>-1.112240262564</v>
      </c>
      <c r="AH6729">
        <v>17.179548139730901</v>
      </c>
      <c r="AI6729">
        <v>93.565039890697506</v>
      </c>
      <c r="AJ6729">
        <v>105.780227815042</v>
      </c>
      <c r="AK6729">
        <v>17.886983995719099</v>
      </c>
      <c r="AL6729">
        <v>90.271022603755995</v>
      </c>
      <c r="AM6729">
        <v>88.941069174287804</v>
      </c>
      <c r="AN6729">
        <v>0.99999996978165595</v>
      </c>
    </row>
    <row r="6730" spans="1:40" x14ac:dyDescent="0.25">
      <c r="A6730" t="str">
        <f>"20190312160819823"</f>
        <v>20190312160819823</v>
      </c>
      <c r="B6730" t="str">
        <f>"1552378099811807"</f>
        <v>1552378099811807</v>
      </c>
      <c r="C6730" t="s">
        <v>40</v>
      </c>
      <c r="D6730">
        <v>6.197622</v>
      </c>
      <c r="E6730">
        <v>0.38661760000000001</v>
      </c>
      <c r="F6730" t="s">
        <v>82</v>
      </c>
      <c r="G6730">
        <v>-292.14830000000001</v>
      </c>
      <c r="H6730" s="1">
        <v>-9.2603860000000003E-6</v>
      </c>
      <c r="I6730">
        <v>-57.792929999999998</v>
      </c>
      <c r="J6730">
        <v>-300.7869</v>
      </c>
      <c r="K6730">
        <v>1.112222</v>
      </c>
      <c r="L6730">
        <v>-42.400730000000003</v>
      </c>
      <c r="M6730">
        <v>0.23426720000000001</v>
      </c>
      <c r="N6730">
        <v>0</v>
      </c>
      <c r="O6730">
        <v>-0.97207469999999996</v>
      </c>
      <c r="P6730">
        <v>0.21596409999999999</v>
      </c>
      <c r="Q6730">
        <v>-1.963407E-2</v>
      </c>
      <c r="R6730">
        <v>-0.97620419999999997</v>
      </c>
      <c r="S6730">
        <v>1.5241089999999999</v>
      </c>
      <c r="T6730">
        <v>-0.1949871</v>
      </c>
      <c r="U6730">
        <v>-2.7356569999999998</v>
      </c>
      <c r="V6730">
        <v>1.879455E-2</v>
      </c>
      <c r="W6730">
        <v>-5.7523440000000004E-3</v>
      </c>
      <c r="X6730">
        <v>0.9998068</v>
      </c>
      <c r="Y6730">
        <v>-0.2675091</v>
      </c>
      <c r="Z6730">
        <v>6.2404019999999998E-2</v>
      </c>
      <c r="AA6730">
        <v>0.96153239999999995</v>
      </c>
      <c r="AB6730">
        <v>22</v>
      </c>
      <c r="AC6730">
        <v>8.6385999999999896</v>
      </c>
      <c r="AD6730">
        <v>-1.1122312603860001</v>
      </c>
      <c r="AE6730">
        <v>-15.392200000000001</v>
      </c>
      <c r="AF6730">
        <v>-4.7729791836785003</v>
      </c>
      <c r="AG6730">
        <v>-1.1122312603860001</v>
      </c>
      <c r="AH6730">
        <v>16.920533152323799</v>
      </c>
      <c r="AI6730">
        <v>93.619927149021194</v>
      </c>
      <c r="AJ6730">
        <v>105.752808200589</v>
      </c>
      <c r="AK6730">
        <v>17.6159822554207</v>
      </c>
      <c r="AL6730">
        <v>90.329586857445406</v>
      </c>
      <c r="AM6730">
        <v>88.923070360019807</v>
      </c>
      <c r="AN6730">
        <v>0.999999980948718</v>
      </c>
    </row>
    <row r="6731" spans="1:40" x14ac:dyDescent="0.25">
      <c r="A6731" t="str">
        <f>"20190312160819845"</f>
        <v>20190312160819845</v>
      </c>
      <c r="B6731" t="str">
        <f>"1552378099842064"</f>
        <v>1552378099842064</v>
      </c>
      <c r="C6731" t="s">
        <v>40</v>
      </c>
      <c r="D6731">
        <v>6.2141060000000001</v>
      </c>
      <c r="E6731">
        <v>0.38649470000000002</v>
      </c>
      <c r="F6731" t="s">
        <v>82</v>
      </c>
      <c r="G6731">
        <v>-292.22789999999998</v>
      </c>
      <c r="H6731" s="1">
        <v>-9.2479509999999995E-6</v>
      </c>
      <c r="I6731">
        <v>-57.627690000000001</v>
      </c>
      <c r="J6731">
        <v>-300.73149999999998</v>
      </c>
      <c r="K6731">
        <v>1.112209</v>
      </c>
      <c r="L6731">
        <v>-42.610529999999997</v>
      </c>
      <c r="M6731">
        <v>0.23817759999999999</v>
      </c>
      <c r="N6731">
        <v>0</v>
      </c>
      <c r="O6731">
        <v>-0.97112410000000005</v>
      </c>
      <c r="P6731">
        <v>0.21932750000000001</v>
      </c>
      <c r="Q6731">
        <v>-2.0561940000000001E-2</v>
      </c>
      <c r="R6731">
        <v>-0.97543500000000005</v>
      </c>
      <c r="S6731">
        <v>1.534332</v>
      </c>
      <c r="T6731">
        <v>-0.19938520000000001</v>
      </c>
      <c r="U6731">
        <v>-2.7296749999999999</v>
      </c>
      <c r="V6731">
        <v>1.9372980000000001E-2</v>
      </c>
      <c r="W6731">
        <v>-6.6800180000000002E-3</v>
      </c>
      <c r="X6731">
        <v>0.99978999999999996</v>
      </c>
      <c r="Y6731">
        <v>-0.26722420000000002</v>
      </c>
      <c r="Z6731">
        <v>6.3782149999999996E-2</v>
      </c>
      <c r="AA6731">
        <v>0.96152130000000002</v>
      </c>
      <c r="AB6731">
        <v>22</v>
      </c>
      <c r="AC6731">
        <v>8.5036000000000005</v>
      </c>
      <c r="AD6731">
        <v>-1.1122182479510001</v>
      </c>
      <c r="AE6731">
        <v>-15.017160000000001</v>
      </c>
      <c r="AF6731">
        <v>-4.66237787266558</v>
      </c>
      <c r="AG6731">
        <v>-1.1122182479510001</v>
      </c>
      <c r="AH6731">
        <v>16.541759589484101</v>
      </c>
      <c r="AI6731">
        <v>93.702764110034295</v>
      </c>
      <c r="AJ6731">
        <v>105.740756448114</v>
      </c>
      <c r="AK6731">
        <v>17.2222126097341</v>
      </c>
      <c r="AL6731">
        <v>90.382739688984003</v>
      </c>
      <c r="AM6731">
        <v>88.889915783094807</v>
      </c>
      <c r="AN6731">
        <v>0.99999998954727998</v>
      </c>
    </row>
    <row r="6732" spans="1:40" x14ac:dyDescent="0.25">
      <c r="A6732" t="str">
        <f>"20190312160819868"</f>
        <v>20190312160819868</v>
      </c>
      <c r="B6732" t="str">
        <f>"1552378099862559"</f>
        <v>1552378099862559</v>
      </c>
      <c r="C6732" t="s">
        <v>40</v>
      </c>
      <c r="D6732">
        <v>6.1866289999999999</v>
      </c>
      <c r="E6732">
        <v>0.3863819</v>
      </c>
      <c r="F6732" t="s">
        <v>82</v>
      </c>
      <c r="G6732">
        <v>-292.1028</v>
      </c>
      <c r="H6732" s="1">
        <v>-9.2735750000000004E-6</v>
      </c>
      <c r="I6732">
        <v>-57.826520000000002</v>
      </c>
      <c r="J6732">
        <v>-300.67450000000002</v>
      </c>
      <c r="K6732">
        <v>1.112198</v>
      </c>
      <c r="L6732">
        <v>-42.823059999999998</v>
      </c>
      <c r="M6732">
        <v>0.24213999999999999</v>
      </c>
      <c r="N6732">
        <v>0</v>
      </c>
      <c r="O6732">
        <v>-0.97014370000000005</v>
      </c>
      <c r="P6732">
        <v>0.2224795</v>
      </c>
      <c r="Q6732">
        <v>-2.105423E-2</v>
      </c>
      <c r="R6732">
        <v>-0.97471010000000002</v>
      </c>
      <c r="S6732">
        <v>1.5447390000000001</v>
      </c>
      <c r="T6732">
        <v>-0.19911400000000001</v>
      </c>
      <c r="U6732">
        <v>-2.72403</v>
      </c>
      <c r="V6732">
        <v>2.022239E-2</v>
      </c>
      <c r="W6732">
        <v>-7.1706369999999997E-3</v>
      </c>
      <c r="X6732">
        <v>0.99976980000000004</v>
      </c>
      <c r="Y6732">
        <v>-0.26692929999999998</v>
      </c>
      <c r="Z6732">
        <v>6.3661449999999994E-2</v>
      </c>
      <c r="AA6732">
        <v>0.9616112</v>
      </c>
      <c r="AB6732">
        <v>22</v>
      </c>
      <c r="AC6732">
        <v>8.5717000000000194</v>
      </c>
      <c r="AD6732">
        <v>-1.1122072735749999</v>
      </c>
      <c r="AE6732">
        <v>-15.003459999999899</v>
      </c>
      <c r="AF6732">
        <v>-4.6639637734018597</v>
      </c>
      <c r="AG6732">
        <v>-1.1122072735749999</v>
      </c>
      <c r="AH6732">
        <v>16.564014457522799</v>
      </c>
      <c r="AI6732">
        <v>93.698038953836203</v>
      </c>
      <c r="AJ6732">
        <v>105.72573675503401</v>
      </c>
      <c r="AK6732">
        <v>17.244017456730401</v>
      </c>
      <c r="AL6732">
        <v>90.4108507541238</v>
      </c>
      <c r="AM6732">
        <v>88.841233629710203</v>
      </c>
      <c r="AN6732">
        <v>1.00000000804216</v>
      </c>
    </row>
    <row r="6733" spans="1:40" x14ac:dyDescent="0.25">
      <c r="A6733" t="str">
        <f>"20190312160819890"</f>
        <v>20190312160819890</v>
      </c>
      <c r="B6733" t="str">
        <f>"1552378099882079"</f>
        <v>1552378099882079</v>
      </c>
      <c r="C6733" t="s">
        <v>40</v>
      </c>
      <c r="D6733">
        <v>6.277882</v>
      </c>
      <c r="E6733">
        <v>0.3999645</v>
      </c>
      <c r="F6733" t="s">
        <v>82</v>
      </c>
      <c r="G6733">
        <v>-291.9939</v>
      </c>
      <c r="H6733" s="1">
        <v>-9.2955689999999998E-6</v>
      </c>
      <c r="I6733">
        <v>-58.002749999999999</v>
      </c>
      <c r="J6733">
        <v>-300.6182</v>
      </c>
      <c r="K6733">
        <v>1.1121939999999999</v>
      </c>
      <c r="L6733">
        <v>-43.02957</v>
      </c>
      <c r="M6733">
        <v>0.24599299999999999</v>
      </c>
      <c r="N6733">
        <v>0</v>
      </c>
      <c r="O6733">
        <v>-0.96917399999999998</v>
      </c>
      <c r="P6733">
        <v>0.22566310000000001</v>
      </c>
      <c r="Q6733">
        <v>-2.0866570000000001E-2</v>
      </c>
      <c r="R6733">
        <v>-0.97398200000000001</v>
      </c>
      <c r="S6733">
        <v>1.5546879999999901</v>
      </c>
      <c r="T6733">
        <v>-0.19919680000000001</v>
      </c>
      <c r="U6733">
        <v>-2.7186889999999999</v>
      </c>
      <c r="V6733">
        <v>2.092805E-2</v>
      </c>
      <c r="W6733">
        <v>-6.9819729999999998E-3</v>
      </c>
      <c r="X6733">
        <v>0.9997566</v>
      </c>
      <c r="Y6733">
        <v>-0.26656649999999998</v>
      </c>
      <c r="Z6733">
        <v>6.3650970000000001E-2</v>
      </c>
      <c r="AA6733">
        <v>0.96171240000000002</v>
      </c>
      <c r="AB6733">
        <v>22</v>
      </c>
      <c r="AC6733">
        <v>8.6242999999999999</v>
      </c>
      <c r="AD6733">
        <v>-1.112203295569</v>
      </c>
      <c r="AE6733">
        <v>-14.973179999999999</v>
      </c>
      <c r="AF6733">
        <v>-4.6563011202928504</v>
      </c>
      <c r="AG6733">
        <v>-1.112203295569</v>
      </c>
      <c r="AH6733">
        <v>16.566074595026599</v>
      </c>
      <c r="AI6733">
        <v>93.698045474509698</v>
      </c>
      <c r="AJ6733">
        <v>105.699319043728</v>
      </c>
      <c r="AK6733">
        <v>17.243925416838799</v>
      </c>
      <c r="AL6733">
        <v>90.400040837720795</v>
      </c>
      <c r="AM6733">
        <v>88.800794274404396</v>
      </c>
      <c r="AN6733">
        <v>0.99999999523366701</v>
      </c>
    </row>
    <row r="6734" spans="1:40" x14ac:dyDescent="0.25">
      <c r="A6734" t="str">
        <f>"20190312160819912"</f>
        <v>20190312160819912</v>
      </c>
      <c r="B6734" t="str">
        <f>"1552378099902574"</f>
        <v>1552378099902574</v>
      </c>
      <c r="C6734" t="s">
        <v>40</v>
      </c>
      <c r="D6734">
        <v>5.9588039999999998</v>
      </c>
      <c r="E6734">
        <v>0.38992779999999999</v>
      </c>
      <c r="F6734" t="s">
        <v>82</v>
      </c>
      <c r="G6734">
        <v>-296.101</v>
      </c>
      <c r="H6734" s="1">
        <v>-8.5175180000000003E-6</v>
      </c>
      <c r="I6734">
        <v>-51.478560000000002</v>
      </c>
      <c r="J6734">
        <v>-300.56259999999997</v>
      </c>
      <c r="K6734">
        <v>1.112187</v>
      </c>
      <c r="L6734">
        <v>-43.230379999999997</v>
      </c>
      <c r="M6734">
        <v>0.24974089999999999</v>
      </c>
      <c r="N6734">
        <v>0</v>
      </c>
      <c r="O6734">
        <v>-0.96821480000000004</v>
      </c>
      <c r="P6734">
        <v>0.22953570000000001</v>
      </c>
      <c r="Q6734">
        <v>-1.9892030000000002E-2</v>
      </c>
      <c r="R6734">
        <v>-0.97309690000000004</v>
      </c>
      <c r="S6734">
        <v>1.461578</v>
      </c>
      <c r="T6734">
        <v>-0.35986980000000002</v>
      </c>
      <c r="U6734">
        <v>-2.7337950000000002</v>
      </c>
      <c r="V6734">
        <v>2.0818739999999999E-2</v>
      </c>
      <c r="W6734">
        <v>-6.0105669999999996E-3</v>
      </c>
      <c r="X6734">
        <v>0.99976520000000002</v>
      </c>
      <c r="Y6734">
        <v>-0.23306370000000001</v>
      </c>
      <c r="Z6734">
        <v>0.1150986</v>
      </c>
      <c r="AA6734">
        <v>0.96562599999999998</v>
      </c>
      <c r="AB6734">
        <v>22</v>
      </c>
      <c r="AC6734">
        <v>4.4615999999999696</v>
      </c>
      <c r="AD6734">
        <v>-1.1121955175180001</v>
      </c>
      <c r="AE6734">
        <v>-8.2481799999999907</v>
      </c>
      <c r="AF6734">
        <v>-2.22874303957036</v>
      </c>
      <c r="AG6734">
        <v>-1.1121955175180001</v>
      </c>
      <c r="AH6734">
        <v>8.9748722636918696</v>
      </c>
      <c r="AI6734">
        <v>96.8580401606403</v>
      </c>
      <c r="AJ6734">
        <v>103.94623089140801</v>
      </c>
      <c r="AK6734">
        <v>9.3141079312624502</v>
      </c>
      <c r="AL6734">
        <v>90.344382194838303</v>
      </c>
      <c r="AM6734">
        <v>88.807066330019495</v>
      </c>
      <c r="AN6734">
        <v>1.00000000099094</v>
      </c>
    </row>
    <row r="6735" spans="1:40" x14ac:dyDescent="0.25">
      <c r="A6735" t="str">
        <f>"20190312160819934"</f>
        <v>20190312160819934</v>
      </c>
      <c r="B6735" t="str">
        <f>"1552378099931854"</f>
        <v>1552378099931854</v>
      </c>
      <c r="C6735" t="s">
        <v>40</v>
      </c>
      <c r="D6735">
        <v>6.2575279999999998</v>
      </c>
      <c r="E6735">
        <v>0.39693030000000001</v>
      </c>
      <c r="F6735" t="s">
        <v>82</v>
      </c>
      <c r="G6735">
        <v>-293.22710000000001</v>
      </c>
      <c r="H6735" s="1">
        <v>-9.0381060000000005E-6</v>
      </c>
      <c r="I6735">
        <v>-56.091529999999999</v>
      </c>
      <c r="J6735">
        <v>-300.50470000000001</v>
      </c>
      <c r="K6735">
        <v>1.1121780000000001</v>
      </c>
      <c r="L6735">
        <v>-43.436399999999999</v>
      </c>
      <c r="M6735">
        <v>0.25358849999999999</v>
      </c>
      <c r="N6735">
        <v>0</v>
      </c>
      <c r="O6735">
        <v>-0.96721449999999998</v>
      </c>
      <c r="P6735">
        <v>0.23315839999999999</v>
      </c>
      <c r="Q6735">
        <v>-2.003371E-2</v>
      </c>
      <c r="R6735">
        <v>-0.97223280000000001</v>
      </c>
      <c r="S6735">
        <v>1.547455</v>
      </c>
      <c r="T6735">
        <v>-0.2346241</v>
      </c>
      <c r="U6735">
        <v>-2.7131349999999999</v>
      </c>
      <c r="V6735">
        <v>2.107003E-2</v>
      </c>
      <c r="W6735">
        <v>-6.1537730000000004E-3</v>
      </c>
      <c r="X6735">
        <v>0.99975910000000001</v>
      </c>
      <c r="Y6735">
        <v>-0.25751160000000001</v>
      </c>
      <c r="Z6735">
        <v>7.4956460000000003E-2</v>
      </c>
      <c r="AA6735">
        <v>0.96336350000000004</v>
      </c>
      <c r="AB6735">
        <v>22</v>
      </c>
      <c r="AC6735">
        <v>7.2775999999999996</v>
      </c>
      <c r="AD6735">
        <v>-1.1121870381059999</v>
      </c>
      <c r="AE6735">
        <v>-12.65513</v>
      </c>
      <c r="AF6735">
        <v>-3.8080640997828499</v>
      </c>
      <c r="AG6735">
        <v>-1.1121870381059999</v>
      </c>
      <c r="AH6735">
        <v>14.005780162661299</v>
      </c>
      <c r="AI6735">
        <v>94.381857254203396</v>
      </c>
      <c r="AJ6735">
        <v>105.210582098945</v>
      </c>
      <c r="AK6735">
        <v>14.5567918910928</v>
      </c>
      <c r="AL6735">
        <v>90.352587433465899</v>
      </c>
      <c r="AM6735">
        <v>88.792664045498697</v>
      </c>
      <c r="AN6735">
        <v>1.00000003655957</v>
      </c>
    </row>
    <row r="6736" spans="1:40" x14ac:dyDescent="0.25">
      <c r="A6736" t="str">
        <f>"20190312160819957"</f>
        <v>20190312160819957</v>
      </c>
      <c r="B6736" t="str">
        <f>"1552378099952351"</f>
        <v>1552378099952351</v>
      </c>
      <c r="C6736" t="s">
        <v>40</v>
      </c>
      <c r="D6736">
        <v>5.9703089999999897</v>
      </c>
      <c r="E6736">
        <v>0.39667669999999999</v>
      </c>
      <c r="F6736" t="s">
        <v>82</v>
      </c>
      <c r="G6736">
        <v>-295.04419999999999</v>
      </c>
      <c r="H6736" s="1">
        <v>-8.6843529999999907E-6</v>
      </c>
      <c r="I6736">
        <v>-53.29336</v>
      </c>
      <c r="J6736">
        <v>-300.44479999999999</v>
      </c>
      <c r="K6736">
        <v>1.1121760000000001</v>
      </c>
      <c r="L6736">
        <v>-43.645940000000003</v>
      </c>
      <c r="M6736">
        <v>0.25750529999999999</v>
      </c>
      <c r="N6736">
        <v>0</v>
      </c>
      <c r="O6736">
        <v>-0.9661788</v>
      </c>
      <c r="P6736">
        <v>0.23633470000000001</v>
      </c>
      <c r="Q6736">
        <v>-2.1315210000000001E-2</v>
      </c>
      <c r="R6736">
        <v>-0.97143769999999996</v>
      </c>
      <c r="S6736">
        <v>1.5058290000000001</v>
      </c>
      <c r="T6736">
        <v>-0.30670550000000002</v>
      </c>
      <c r="U6736">
        <v>-2.7182309999999998</v>
      </c>
      <c r="V6736">
        <v>2.1853239999999999E-2</v>
      </c>
      <c r="W6736">
        <v>-7.4341800000000003E-3</v>
      </c>
      <c r="X6736">
        <v>0.9997336</v>
      </c>
      <c r="Y6736">
        <v>-0.24057139999999999</v>
      </c>
      <c r="Z6736">
        <v>9.8021510000000006E-2</v>
      </c>
      <c r="AA6736">
        <v>0.96566929999999995</v>
      </c>
      <c r="AB6736">
        <v>22</v>
      </c>
      <c r="AC6736">
        <v>5.4005999999999901</v>
      </c>
      <c r="AD6736">
        <v>-1.1121846843529899</v>
      </c>
      <c r="AE6736">
        <v>-9.6474199999999897</v>
      </c>
      <c r="AF6736">
        <v>-2.7065545750284401</v>
      </c>
      <c r="AG6736">
        <v>-1.1121846843529899</v>
      </c>
      <c r="AH6736">
        <v>10.6055125396246</v>
      </c>
      <c r="AI6736">
        <v>95.802015131581996</v>
      </c>
      <c r="AJ6736">
        <v>104.31645172715</v>
      </c>
      <c r="AK6736">
        <v>11.0017857035961</v>
      </c>
      <c r="AL6736">
        <v>90.425951039965298</v>
      </c>
      <c r="AM6736">
        <v>88.747767352706404</v>
      </c>
      <c r="AN6736">
        <v>1.0000000510498599</v>
      </c>
    </row>
    <row r="6737" spans="1:40" x14ac:dyDescent="0.25">
      <c r="A6737" t="str">
        <f>"20190312160819980"</f>
        <v>20190312160819980</v>
      </c>
      <c r="B6737" t="str">
        <f>"1552378099971871"</f>
        <v>1552378099971871</v>
      </c>
      <c r="C6737" t="s">
        <v>40</v>
      </c>
      <c r="D6737">
        <v>6.2915199999999896</v>
      </c>
      <c r="E6737">
        <v>0.3901886</v>
      </c>
      <c r="F6737" t="s">
        <v>82</v>
      </c>
      <c r="G6737">
        <v>-294.81490000000002</v>
      </c>
      <c r="H6737" s="1">
        <v>-8.7175290000000001E-6</v>
      </c>
      <c r="I6737">
        <v>-53.7140699999999</v>
      </c>
      <c r="J6737">
        <v>-300.38389999999998</v>
      </c>
      <c r="K6737">
        <v>1.1121700000000001</v>
      </c>
      <c r="L6737">
        <v>-43.85577</v>
      </c>
      <c r="M6737">
        <v>0.26143339999999998</v>
      </c>
      <c r="N6737">
        <v>0</v>
      </c>
      <c r="O6737">
        <v>-0.96512350000000002</v>
      </c>
      <c r="P6737">
        <v>0.2395379</v>
      </c>
      <c r="Q6737">
        <v>-2.149444E-2</v>
      </c>
      <c r="R6737">
        <v>-0.97064910000000004</v>
      </c>
      <c r="S6737">
        <v>1.5168459999999999</v>
      </c>
      <c r="T6737">
        <v>-0.29965160000000002</v>
      </c>
      <c r="U6737">
        <v>-2.7126160000000001</v>
      </c>
      <c r="V6737">
        <v>2.2621829999999999E-2</v>
      </c>
      <c r="W6737">
        <v>-7.6119959999999898E-3</v>
      </c>
      <c r="X6737">
        <v>0.99971509999999997</v>
      </c>
      <c r="Y6737">
        <v>-0.2405755</v>
      </c>
      <c r="Z6737">
        <v>9.5718639999999994E-2</v>
      </c>
      <c r="AA6737">
        <v>0.96589919999999996</v>
      </c>
      <c r="AB6737">
        <v>22</v>
      </c>
      <c r="AC6737">
        <v>5.5689999999999502</v>
      </c>
      <c r="AD6737">
        <v>-1.1121787175290001</v>
      </c>
      <c r="AE6737">
        <v>-9.8582999999999892</v>
      </c>
      <c r="AF6737">
        <v>-2.77101234562697</v>
      </c>
      <c r="AG6737">
        <v>-1.1121787175290001</v>
      </c>
      <c r="AH6737">
        <v>10.8665908360614</v>
      </c>
      <c r="AI6737">
        <v>95.663773442873094</v>
      </c>
      <c r="AJ6737">
        <v>104.30570869777399</v>
      </c>
      <c r="AK6737">
        <v>11.2693499066147</v>
      </c>
      <c r="AL6737">
        <v>90.436139462731703</v>
      </c>
      <c r="AM6737">
        <v>88.703716460933705</v>
      </c>
      <c r="AN6737">
        <v>0.99999998542183099</v>
      </c>
    </row>
    <row r="6738" spans="1:40" x14ac:dyDescent="0.25">
      <c r="A6738" t="str">
        <f>"20190312160820002"</f>
        <v>20190312160820002</v>
      </c>
      <c r="B6738" t="str">
        <f>"1552378099992367"</f>
        <v>1552378099992367</v>
      </c>
      <c r="C6738" t="s">
        <v>40</v>
      </c>
      <c r="D6738">
        <v>6.265987</v>
      </c>
      <c r="E6738">
        <v>0.3901424</v>
      </c>
      <c r="F6738" t="s">
        <v>82</v>
      </c>
      <c r="G6738">
        <v>-292.70519999999999</v>
      </c>
      <c r="H6738" s="1">
        <v>-9.1360410000000008E-6</v>
      </c>
      <c r="I6738">
        <v>-57.010730000000002</v>
      </c>
      <c r="J6738">
        <v>-300.32350000000002</v>
      </c>
      <c r="K6738">
        <v>1.1121700000000001</v>
      </c>
      <c r="L6738">
        <v>-44.060969999999998</v>
      </c>
      <c r="M6738">
        <v>0.26528359999999901</v>
      </c>
      <c r="N6738">
        <v>0</v>
      </c>
      <c r="O6738">
        <v>-0.96407229999999999</v>
      </c>
      <c r="P6738">
        <v>0.24234929999999999</v>
      </c>
      <c r="Q6738">
        <v>-2.139075E-2</v>
      </c>
      <c r="R6738">
        <v>-0.96995339999999997</v>
      </c>
      <c r="S6738">
        <v>1.574341</v>
      </c>
      <c r="T6738">
        <v>-0.2280285</v>
      </c>
      <c r="U6738">
        <v>-2.6971440000000002</v>
      </c>
      <c r="V6738">
        <v>2.3715400000000001E-2</v>
      </c>
      <c r="W6738">
        <v>-7.5047709999999899E-3</v>
      </c>
      <c r="X6738">
        <v>0.99969059999999998</v>
      </c>
      <c r="Y6738">
        <v>-0.2555424</v>
      </c>
      <c r="Z6738">
        <v>7.2733099999999995E-2</v>
      </c>
      <c r="AA6738">
        <v>0.96405810000000003</v>
      </c>
      <c r="AB6738">
        <v>22</v>
      </c>
      <c r="AC6738">
        <v>7.6183000000000298</v>
      </c>
      <c r="AD6738">
        <v>-1.112179136041</v>
      </c>
      <c r="AE6738">
        <v>-12.9497599999999</v>
      </c>
      <c r="AF6738">
        <v>-3.8882965251068802</v>
      </c>
      <c r="AG6738">
        <v>-1.112179136041</v>
      </c>
      <c r="AH6738">
        <v>14.427828340290899</v>
      </c>
      <c r="AI6738">
        <v>94.256683476734594</v>
      </c>
      <c r="AJ6738">
        <v>105.08285850950701</v>
      </c>
      <c r="AK6738">
        <v>14.983925484154801</v>
      </c>
      <c r="AL6738">
        <v>90.429995732851594</v>
      </c>
      <c r="AM6738">
        <v>88.641042018023498</v>
      </c>
      <c r="AN6738">
        <v>1.00000001875664</v>
      </c>
    </row>
    <row r="6739" spans="1:40" x14ac:dyDescent="0.25">
      <c r="A6739" t="str">
        <f>"20190312160820025"</f>
        <v>20190312160820025</v>
      </c>
      <c r="B6739" t="str">
        <f>"1552378100012537"</f>
        <v>1552378100012537</v>
      </c>
      <c r="C6739" t="s">
        <v>40</v>
      </c>
      <c r="D6739">
        <v>6.2680069999999999</v>
      </c>
      <c r="E6739">
        <v>0.4000898</v>
      </c>
      <c r="F6739" t="s">
        <v>82</v>
      </c>
      <c r="G6739">
        <v>-292.49459999999999</v>
      </c>
      <c r="H6739" s="1">
        <v>-9.1752070000000007E-6</v>
      </c>
      <c r="I6739">
        <v>-57.385480000000001</v>
      </c>
      <c r="J6739">
        <v>-300.26299999999998</v>
      </c>
      <c r="K6739">
        <v>1.1121700000000001</v>
      </c>
      <c r="L6739">
        <v>-44.263489999999997</v>
      </c>
      <c r="M6739">
        <v>0.26909749999999999</v>
      </c>
      <c r="N6739">
        <v>0</v>
      </c>
      <c r="O6739">
        <v>-0.96301490000000001</v>
      </c>
      <c r="P6739">
        <v>0.2450068</v>
      </c>
      <c r="Q6739">
        <v>-2.1353130000000001E-2</v>
      </c>
      <c r="R6739">
        <v>-0.9692866</v>
      </c>
      <c r="S6739">
        <v>1.5820920000000001</v>
      </c>
      <c r="T6739">
        <v>-0.22475249999999999</v>
      </c>
      <c r="U6739">
        <v>-2.6926570000000001</v>
      </c>
      <c r="V6739">
        <v>2.4932240000000001E-2</v>
      </c>
      <c r="W6739">
        <v>-7.4625830000000001E-3</v>
      </c>
      <c r="X6739">
        <v>0.99966129999999997</v>
      </c>
      <c r="Y6739">
        <v>-0.2545212</v>
      </c>
      <c r="Z6739">
        <v>7.1641739999999995E-2</v>
      </c>
      <c r="AA6739">
        <v>0.96440990000000004</v>
      </c>
      <c r="AB6739">
        <v>22</v>
      </c>
      <c r="AC6739">
        <v>7.7683999999999802</v>
      </c>
      <c r="AD6739">
        <v>-1.1121791752069901</v>
      </c>
      <c r="AE6739">
        <v>-13.121989999999901</v>
      </c>
      <c r="AF6739">
        <v>-3.9294609172034498</v>
      </c>
      <c r="AG6739">
        <v>-1.1121791752069901</v>
      </c>
      <c r="AH6739">
        <v>14.6505874369126</v>
      </c>
      <c r="AI6739">
        <v>94.1935433331263</v>
      </c>
      <c r="AJ6739">
        <v>105.014039258727</v>
      </c>
      <c r="AK6739">
        <v>15.2091195624275</v>
      </c>
      <c r="AL6739">
        <v>90.427578474293199</v>
      </c>
      <c r="AM6739">
        <v>88.571300059246894</v>
      </c>
      <c r="AN6739">
        <v>1.0000000107270599</v>
      </c>
    </row>
    <row r="6740" spans="1:40" x14ac:dyDescent="0.25">
      <c r="A6740" t="str">
        <f>"20190312160820047"</f>
        <v>20190312160820047</v>
      </c>
      <c r="B6740" t="str">
        <f>"1552378100042781"</f>
        <v>1552378100042781</v>
      </c>
      <c r="C6740" t="s">
        <v>40</v>
      </c>
      <c r="D6740">
        <v>6.2820349999999996</v>
      </c>
      <c r="E6740">
        <v>0.39996340000000002</v>
      </c>
      <c r="F6740" t="s">
        <v>82</v>
      </c>
      <c r="G6740">
        <v>-295.08300000000003</v>
      </c>
      <c r="H6740" s="1">
        <v>-8.6469759999999997E-6</v>
      </c>
      <c r="I6740">
        <v>-53.504530000000003</v>
      </c>
      <c r="J6740">
        <v>-300.2013</v>
      </c>
      <c r="K6740">
        <v>1.1121700000000001</v>
      </c>
      <c r="L6740">
        <v>-44.466859999999997</v>
      </c>
      <c r="M6740">
        <v>0.2729473</v>
      </c>
      <c r="N6740">
        <v>0</v>
      </c>
      <c r="O6740">
        <v>-0.96193059999999997</v>
      </c>
      <c r="P6740">
        <v>0.2474403</v>
      </c>
      <c r="Q6740">
        <v>-2.2213380000000001E-2</v>
      </c>
      <c r="R6740">
        <v>-0.96864870000000003</v>
      </c>
      <c r="S6740">
        <v>1.5160830000000001</v>
      </c>
      <c r="T6740">
        <v>-0.32551400000000003</v>
      </c>
      <c r="U6740">
        <v>-2.7046809999999999</v>
      </c>
      <c r="V6740">
        <v>2.6419680000000001E-2</v>
      </c>
      <c r="W6740">
        <v>-8.3164339999999993E-3</v>
      </c>
      <c r="X6740">
        <v>0.99961630000000001</v>
      </c>
      <c r="Y6740">
        <v>-0.22955159999999999</v>
      </c>
      <c r="Z6740">
        <v>0.1037912</v>
      </c>
      <c r="AA6740">
        <v>0.96774660000000001</v>
      </c>
      <c r="AB6740">
        <v>22</v>
      </c>
      <c r="AC6740">
        <v>5.1183000000000298</v>
      </c>
      <c r="AD6740">
        <v>-1.112178646976</v>
      </c>
      <c r="AE6740">
        <v>-9.0376700000000003</v>
      </c>
      <c r="AF6740">
        <v>-2.4290224695530398</v>
      </c>
      <c r="AG6740">
        <v>-1.112178646976</v>
      </c>
      <c r="AH6740">
        <v>9.9771914431230506</v>
      </c>
      <c r="AI6740">
        <v>96.181524487671993</v>
      </c>
      <c r="AJ6740">
        <v>103.682898887112</v>
      </c>
      <c r="AK6740">
        <v>10.328670804760399</v>
      </c>
      <c r="AL6740">
        <v>90.476502083124103</v>
      </c>
      <c r="AM6740">
        <v>88.486035250107406</v>
      </c>
      <c r="AN6740">
        <v>0.99999995489573301</v>
      </c>
    </row>
    <row r="6741" spans="1:40" x14ac:dyDescent="0.25">
      <c r="A6741" t="str">
        <f>"20190312160820069"</f>
        <v>20190312160820069</v>
      </c>
      <c r="B6741" t="str">
        <f>"1552378100062301"</f>
        <v>1552378100062301</v>
      </c>
      <c r="C6741" t="s">
        <v>40</v>
      </c>
      <c r="D6741">
        <v>5.6779109999999999</v>
      </c>
      <c r="E6741">
        <v>0.39992109999999997</v>
      </c>
      <c r="F6741" t="s">
        <v>82</v>
      </c>
      <c r="G6741">
        <v>-294.94170000000003</v>
      </c>
      <c r="H6741" s="1">
        <v>-8.6647569999999995E-6</v>
      </c>
      <c r="I6741">
        <v>-53.787379999999999</v>
      </c>
      <c r="J6741">
        <v>-300.13909999999998</v>
      </c>
      <c r="K6741">
        <v>1.1121780000000001</v>
      </c>
      <c r="L6741">
        <v>-44.669069999999998</v>
      </c>
      <c r="M6741">
        <v>0.27680329999999997</v>
      </c>
      <c r="N6741">
        <v>0</v>
      </c>
      <c r="O6741">
        <v>-0.96082820000000002</v>
      </c>
      <c r="P6741">
        <v>0.25000099999999997</v>
      </c>
      <c r="Q6741">
        <v>-2.255188E-2</v>
      </c>
      <c r="R6741">
        <v>-0.96798309999999999</v>
      </c>
      <c r="S6741">
        <v>1.523865</v>
      </c>
      <c r="T6741">
        <v>-0.32223190000000002</v>
      </c>
      <c r="U6741">
        <v>-2.7004389999999998</v>
      </c>
      <c r="V6741">
        <v>2.7785250000000001E-2</v>
      </c>
      <c r="W6741">
        <v>-8.6483600000000008E-3</v>
      </c>
      <c r="X6741">
        <v>0.99957649999999998</v>
      </c>
      <c r="Y6741">
        <v>-0.22847229999999999</v>
      </c>
      <c r="Z6741">
        <v>0.10266840000000001</v>
      </c>
      <c r="AA6741">
        <v>0.96812160000000003</v>
      </c>
      <c r="AB6741">
        <v>22</v>
      </c>
      <c r="AC6741">
        <v>5.1973999999999503</v>
      </c>
      <c r="AD6741">
        <v>-1.112186664757</v>
      </c>
      <c r="AE6741">
        <v>-9.1183099999999992</v>
      </c>
      <c r="AF6741">
        <v>-2.4426351461592999</v>
      </c>
      <c r="AG6741">
        <v>-1.112186664757</v>
      </c>
      <c r="AH6741">
        <v>10.0874780686039</v>
      </c>
      <c r="AI6741">
        <v>96.116326302450503</v>
      </c>
      <c r="AJ6741">
        <v>103.611897424755</v>
      </c>
      <c r="AK6741">
        <v>10.4384213087554</v>
      </c>
      <c r="AL6741">
        <v>90.495520706432899</v>
      </c>
      <c r="AM6741">
        <v>88.407757964582899</v>
      </c>
      <c r="AN6741">
        <v>0.99999999680025098</v>
      </c>
    </row>
    <row r="6742" spans="1:40" x14ac:dyDescent="0.25">
      <c r="A6742" t="str">
        <f>"20190312160820091"</f>
        <v>20190312160820091</v>
      </c>
      <c r="B6742" t="str">
        <f>"1552378100081821"</f>
        <v>1552378100081821</v>
      </c>
      <c r="C6742" t="s">
        <v>40</v>
      </c>
      <c r="D6742">
        <v>6.0598879999999999</v>
      </c>
      <c r="E6742">
        <v>0.39766449999999998</v>
      </c>
      <c r="F6742" t="s">
        <v>82</v>
      </c>
      <c r="G6742">
        <v>-294.81490000000002</v>
      </c>
      <c r="H6742" s="1">
        <v>-8.6804340000000004E-6</v>
      </c>
      <c r="I6742">
        <v>-54.043719999999901</v>
      </c>
      <c r="J6742">
        <v>-300.07569999999998</v>
      </c>
      <c r="K6742">
        <v>1.11219</v>
      </c>
      <c r="L6742">
        <v>-44.871859999999998</v>
      </c>
      <c r="M6742">
        <v>0.28070719999999999</v>
      </c>
      <c r="N6742">
        <v>0</v>
      </c>
      <c r="O6742">
        <v>-0.95969499999999996</v>
      </c>
      <c r="P6742">
        <v>0.2527336</v>
      </c>
      <c r="Q6742">
        <v>-2.297213E-2</v>
      </c>
      <c r="R6742">
        <v>-0.96726330000000005</v>
      </c>
      <c r="S6742">
        <v>1.5313110000000001</v>
      </c>
      <c r="T6742">
        <v>-0.31988169999999999</v>
      </c>
      <c r="U6742">
        <v>-2.6962890000000002</v>
      </c>
      <c r="V6742">
        <v>2.9025760000000001E-2</v>
      </c>
      <c r="W6742">
        <v>-9.0618739999999993E-3</v>
      </c>
      <c r="X6742">
        <v>0.99953760000000003</v>
      </c>
      <c r="Y6742">
        <v>-0.227219</v>
      </c>
      <c r="Z6742">
        <v>0.1018372</v>
      </c>
      <c r="AA6742">
        <v>0.96850440000000004</v>
      </c>
      <c r="AB6742">
        <v>21</v>
      </c>
      <c r="AC6742">
        <v>5.2607999999999597</v>
      </c>
      <c r="AD6742">
        <v>-1.1121986804340001</v>
      </c>
      <c r="AE6742">
        <v>-9.1718599999999899</v>
      </c>
      <c r="AF6742">
        <v>-2.4473121582203601</v>
      </c>
      <c r="AG6742">
        <v>-1.1121986804340001</v>
      </c>
      <c r="AH6742">
        <v>10.167408019743799</v>
      </c>
      <c r="AI6742">
        <v>96.070652723626196</v>
      </c>
      <c r="AJ6742">
        <v>103.533740758132</v>
      </c>
      <c r="AK6742">
        <v>10.516772724770799</v>
      </c>
      <c r="AL6742">
        <v>90.519214234165204</v>
      </c>
      <c r="AM6742">
        <v>88.336644553073796</v>
      </c>
      <c r="AN6742">
        <v>1.00000001305886</v>
      </c>
    </row>
    <row r="6743" spans="1:40" x14ac:dyDescent="0.25">
      <c r="A6743" t="str">
        <f>"20190312160820113"</f>
        <v>20190312160820113</v>
      </c>
      <c r="B6743" t="str">
        <f>"1552378100102317"</f>
        <v>1552378100102317</v>
      </c>
      <c r="C6743" t="s">
        <v>40</v>
      </c>
      <c r="D6743">
        <v>9.9310969999999994</v>
      </c>
      <c r="E6743">
        <v>0.39678910000000001</v>
      </c>
      <c r="F6743" t="s">
        <v>82</v>
      </c>
      <c r="G6743">
        <v>-294.13619999999997</v>
      </c>
      <c r="H6743" s="1">
        <v>-8.8032099999999997E-6</v>
      </c>
      <c r="I6743">
        <v>-55.134320000000002</v>
      </c>
      <c r="J6743">
        <v>-300.01299999999998</v>
      </c>
      <c r="K6743">
        <v>1.1122099999999999</v>
      </c>
      <c r="L6743">
        <v>-45.069890000000001</v>
      </c>
      <c r="M6743">
        <v>0.28456510000000002</v>
      </c>
      <c r="N6743">
        <v>0</v>
      </c>
      <c r="O6743">
        <v>-0.95855829999999997</v>
      </c>
      <c r="P6743">
        <v>0.2555772</v>
      </c>
      <c r="Q6743">
        <v>-2.2990219999999999E-2</v>
      </c>
      <c r="R6743">
        <v>-0.96651540000000002</v>
      </c>
      <c r="S6743">
        <v>1.5557859999999999</v>
      </c>
      <c r="T6743">
        <v>-0.291325</v>
      </c>
      <c r="U6743">
        <v>-2.68811</v>
      </c>
      <c r="V6743">
        <v>3.0106770000000001E-2</v>
      </c>
      <c r="W6743">
        <v>-9.0729890000000001E-3</v>
      </c>
      <c r="X6743">
        <v>0.99950550000000005</v>
      </c>
      <c r="Y6743">
        <v>-0.2316609</v>
      </c>
      <c r="Z6743">
        <v>9.2671489999999995E-2</v>
      </c>
      <c r="AA6743">
        <v>0.96837249999999997</v>
      </c>
      <c r="AB6743">
        <v>21</v>
      </c>
      <c r="AC6743">
        <v>5.8768000000000002</v>
      </c>
      <c r="AD6743">
        <v>-1.11221880321</v>
      </c>
      <c r="AE6743">
        <v>-10.0644299999999</v>
      </c>
      <c r="AF6743">
        <v>-2.74453607167283</v>
      </c>
      <c r="AG6743">
        <v>-1.11221880321</v>
      </c>
      <c r="AH6743">
        <v>11.2185730761821</v>
      </c>
      <c r="AI6743">
        <v>95.5006741591951</v>
      </c>
      <c r="AJ6743">
        <v>103.746957941085</v>
      </c>
      <c r="AK6743">
        <v>11.6028397722525</v>
      </c>
      <c r="AL6743">
        <v>90.519851114587993</v>
      </c>
      <c r="AM6743">
        <v>88.274677391567494</v>
      </c>
      <c r="AN6743">
        <v>0.99999999062973799</v>
      </c>
    </row>
    <row r="6744" spans="1:40" x14ac:dyDescent="0.25">
      <c r="A6744" t="str">
        <f>"20190312160820137"</f>
        <v>20190312160820137</v>
      </c>
      <c r="B6744" t="str">
        <f>"1552378100132186"</f>
        <v>1552378100132186</v>
      </c>
      <c r="C6744" t="s">
        <v>40</v>
      </c>
      <c r="D6744">
        <v>9.4404229999999991</v>
      </c>
      <c r="E6744">
        <v>0.395588</v>
      </c>
      <c r="F6744" t="s">
        <v>82</v>
      </c>
      <c r="G6744">
        <v>-293.72989999999999</v>
      </c>
      <c r="H6744" s="1">
        <v>-8.8842319999999996E-6</v>
      </c>
      <c r="I6744">
        <v>-55.802129999999998</v>
      </c>
      <c r="J6744">
        <v>-299.94740000000002</v>
      </c>
      <c r="K6744">
        <v>1.1122399999999999</v>
      </c>
      <c r="L6744">
        <v>-45.273440000000001</v>
      </c>
      <c r="M6744">
        <v>0.28859289999999999</v>
      </c>
      <c r="N6744">
        <v>0</v>
      </c>
      <c r="O6744">
        <v>-0.95735320000000002</v>
      </c>
      <c r="P6744">
        <v>0.25866119999999998</v>
      </c>
      <c r="Q6744">
        <v>-2.3090980000000001E-2</v>
      </c>
      <c r="R6744">
        <v>-0.9656922</v>
      </c>
      <c r="S6744">
        <v>1.5702210000000001</v>
      </c>
      <c r="T6744">
        <v>-0.27795510000000001</v>
      </c>
      <c r="U6744">
        <v>-2.6820979999999999</v>
      </c>
      <c r="V6744">
        <v>3.111908E-2</v>
      </c>
      <c r="W6744">
        <v>-9.1658290000000003E-3</v>
      </c>
      <c r="X6744">
        <v>0.99947359999999996</v>
      </c>
      <c r="Y6744">
        <v>-0.2326076</v>
      </c>
      <c r="Z6744">
        <v>8.8340680000000005E-2</v>
      </c>
      <c r="AA6744">
        <v>0.96855029999999998</v>
      </c>
      <c r="AB6744">
        <v>21</v>
      </c>
      <c r="AC6744">
        <v>6.2175000000000296</v>
      </c>
      <c r="AD6744">
        <v>-1.112248884232</v>
      </c>
      <c r="AE6744">
        <v>-10.528689999999999</v>
      </c>
      <c r="AF6744">
        <v>-2.8901993085830999</v>
      </c>
      <c r="AG6744">
        <v>-1.112248884232</v>
      </c>
      <c r="AH6744">
        <v>11.777671469325</v>
      </c>
      <c r="AI6744">
        <v>95.240273762011</v>
      </c>
      <c r="AJ6744">
        <v>103.787729858994</v>
      </c>
      <c r="AK6744">
        <v>12.178008657541699</v>
      </c>
      <c r="AL6744">
        <v>90.525170700852996</v>
      </c>
      <c r="AM6744">
        <v>88.216645115286298</v>
      </c>
      <c r="AN6744">
        <v>0.99999994332913</v>
      </c>
    </row>
    <row r="6745" spans="1:40" x14ac:dyDescent="0.25">
      <c r="A6745" t="str">
        <f>"20190312160820292"</f>
        <v>20190312160820292</v>
      </c>
      <c r="B6745" t="str">
        <f>"1552378100282039"</f>
        <v>1552378100282039</v>
      </c>
      <c r="C6745" t="s">
        <v>40</v>
      </c>
      <c r="D6745">
        <v>7.2189030000000001</v>
      </c>
      <c r="E6745">
        <v>0.32952700000000001</v>
      </c>
      <c r="F6745" t="s">
        <v>82</v>
      </c>
      <c r="G6745">
        <v>-293.21260000000001</v>
      </c>
      <c r="H6745" s="1">
        <v>-8.9904079999999997E-6</v>
      </c>
      <c r="I6745">
        <v>-56.621780000000001</v>
      </c>
      <c r="J6745">
        <v>-299.46910000000003</v>
      </c>
      <c r="K6745">
        <v>1.112528</v>
      </c>
      <c r="L6745">
        <v>-46.669559999999997</v>
      </c>
      <c r="M6745">
        <v>0.31810310000000003</v>
      </c>
      <c r="N6745">
        <v>0</v>
      </c>
      <c r="O6745">
        <v>-0.94795629999999997</v>
      </c>
      <c r="P6745">
        <v>0.28702709999999998</v>
      </c>
      <c r="Q6745">
        <v>-2.0976430000000001E-2</v>
      </c>
      <c r="R6745">
        <v>-0.95769300000000002</v>
      </c>
      <c r="S6745">
        <v>1.5875549999999901</v>
      </c>
      <c r="T6745">
        <v>-0.26218390000000003</v>
      </c>
      <c r="U6745">
        <v>-2.6750790000000002</v>
      </c>
      <c r="V6745">
        <v>3.2605349999999998E-2</v>
      </c>
      <c r="W6745">
        <v>-7.0108920000000003E-3</v>
      </c>
      <c r="X6745">
        <v>0.99944370000000005</v>
      </c>
      <c r="Y6745">
        <v>-0.20843629999999999</v>
      </c>
      <c r="Z6745">
        <v>8.2459199999999996E-2</v>
      </c>
      <c r="AA6745">
        <v>0.97455360000000002</v>
      </c>
      <c r="AB6745">
        <v>21</v>
      </c>
      <c r="AC6745">
        <v>6.2565000000000097</v>
      </c>
      <c r="AD6745">
        <v>-1.112536990408</v>
      </c>
      <c r="AE6745">
        <v>-9.9522200000000005</v>
      </c>
      <c r="AF6745">
        <v>-2.7407698562430101</v>
      </c>
      <c r="AG6745">
        <v>-1.112536990408</v>
      </c>
      <c r="AH6745">
        <v>11.324135474808999</v>
      </c>
      <c r="AI6745">
        <v>95.454511001239496</v>
      </c>
      <c r="AJ6745">
        <v>103.60560741594099</v>
      </c>
      <c r="AK6745">
        <v>11.704084851527</v>
      </c>
      <c r="AL6745">
        <v>90.401697818856704</v>
      </c>
      <c r="AM6745">
        <v>88.131473923898596</v>
      </c>
      <c r="AN6745">
        <v>0.99999998546247404</v>
      </c>
    </row>
    <row r="6746" spans="1:40" x14ac:dyDescent="0.25">
      <c r="A6746" t="str">
        <f>"20190312160820315"</f>
        <v>20190312160820315</v>
      </c>
      <c r="B6746" t="str">
        <f>"1552378100312296"</f>
        <v>1552378100312296</v>
      </c>
      <c r="C6746" t="s">
        <v>40</v>
      </c>
      <c r="D6746">
        <v>6.0682499999999999</v>
      </c>
      <c r="E6746">
        <v>0.32366240000000002</v>
      </c>
      <c r="F6746" t="s">
        <v>47</v>
      </c>
      <c r="G6746">
        <v>-278.7516</v>
      </c>
      <c r="H6746">
        <v>1.0962960000000001E-2</v>
      </c>
      <c r="I6746">
        <v>-70.383659999999907</v>
      </c>
      <c r="J6746">
        <v>-299.39949999999999</v>
      </c>
      <c r="K6746">
        <v>1.112574</v>
      </c>
      <c r="L6746">
        <v>-46.860469999999999</v>
      </c>
      <c r="M6746">
        <v>0.3224282</v>
      </c>
      <c r="N6746">
        <v>0</v>
      </c>
      <c r="O6746">
        <v>-0.94649399999999995</v>
      </c>
      <c r="P6746">
        <v>0.2911144</v>
      </c>
      <c r="Q6746">
        <v>-2.0191290000000001E-2</v>
      </c>
      <c r="R6746">
        <v>-0.95647559999999998</v>
      </c>
      <c r="S6746">
        <v>2.167084</v>
      </c>
      <c r="T6746">
        <v>-0.1152253</v>
      </c>
      <c r="U6746">
        <v>-2.4805299999999999</v>
      </c>
      <c r="V6746">
        <v>3.2901689999999997E-2</v>
      </c>
      <c r="W6746">
        <v>-6.2171980000000002E-3</v>
      </c>
      <c r="X6746">
        <v>0.99943919999999997</v>
      </c>
      <c r="Y6746">
        <v>-0.37951439999999997</v>
      </c>
      <c r="Z6746">
        <v>3.5317689999999999E-2</v>
      </c>
      <c r="AA6746">
        <v>0.92451150000000004</v>
      </c>
      <c r="AB6746">
        <v>21</v>
      </c>
      <c r="AC6746">
        <v>20.6479</v>
      </c>
      <c r="AD6746">
        <v>-1.1016110400000001</v>
      </c>
      <c r="AE6746">
        <v>-23.5231899999999</v>
      </c>
      <c r="AF6746">
        <v>-11.944908452412699</v>
      </c>
      <c r="AG6746">
        <v>-1.1016110400000001</v>
      </c>
      <c r="AH6746">
        <v>28.888973896433299</v>
      </c>
      <c r="AI6746">
        <v>92.018215745038304</v>
      </c>
      <c r="AJ6746">
        <v>112.46393887277399</v>
      </c>
      <c r="AK6746">
        <v>31.280460316446401</v>
      </c>
      <c r="AL6746">
        <v>90.356221520418799</v>
      </c>
      <c r="AM6746">
        <v>88.114495184507902</v>
      </c>
      <c r="AN6746">
        <v>0.99999994462623198</v>
      </c>
    </row>
    <row r="6747" spans="1:40" x14ac:dyDescent="0.25">
      <c r="A6747" t="str">
        <f>"20190312160820337"</f>
        <v>20190312160820337</v>
      </c>
      <c r="B6747" t="str">
        <f>"1552378100331815"</f>
        <v>1552378100331815</v>
      </c>
      <c r="C6747" t="s">
        <v>40</v>
      </c>
      <c r="D6747">
        <v>6.0393210000000002</v>
      </c>
      <c r="E6747">
        <v>0.32316509999999998</v>
      </c>
      <c r="F6747" t="s">
        <v>109</v>
      </c>
      <c r="G6747">
        <v>-259.66520000000003</v>
      </c>
      <c r="H6747">
        <v>1.3057749999999999</v>
      </c>
      <c r="I6747">
        <v>-90.976820000000004</v>
      </c>
      <c r="J6747">
        <v>-299.32490000000001</v>
      </c>
      <c r="K6747">
        <v>1.1126229999999999</v>
      </c>
      <c r="L6747">
        <v>-47.061579999999999</v>
      </c>
      <c r="M6747">
        <v>0.3270768</v>
      </c>
      <c r="N6747">
        <v>0</v>
      </c>
      <c r="O6747">
        <v>-0.9448974</v>
      </c>
      <c r="P6747">
        <v>0.2957919</v>
      </c>
      <c r="Q6747">
        <v>-1.9493719999999999E-2</v>
      </c>
      <c r="R6747">
        <v>-0.95505340000000005</v>
      </c>
      <c r="S6747">
        <v>2.217346</v>
      </c>
      <c r="T6747">
        <v>1.078224E-2</v>
      </c>
      <c r="U6747">
        <v>-2.461884</v>
      </c>
      <c r="V6747">
        <v>3.2923880000000003E-2</v>
      </c>
      <c r="W6747">
        <v>-5.5120430000000003E-3</v>
      </c>
      <c r="X6747">
        <v>0.99944259999999996</v>
      </c>
      <c r="Y6747">
        <v>-0.38936310000000002</v>
      </c>
      <c r="Z6747">
        <v>-3.2910069999999999E-3</v>
      </c>
      <c r="AA6747">
        <v>0.92107850000000002</v>
      </c>
      <c r="AB6747">
        <v>21</v>
      </c>
      <c r="AC6747">
        <v>39.659700000000001</v>
      </c>
      <c r="AD6747">
        <v>0.19315199999999999</v>
      </c>
      <c r="AE6747">
        <v>-43.915239999999898</v>
      </c>
      <c r="AF6747">
        <v>-23.112636998749</v>
      </c>
      <c r="AG6747">
        <v>0.19315199999999999</v>
      </c>
      <c r="AH6747">
        <v>54.471749605772402</v>
      </c>
      <c r="AI6747">
        <v>89.812974176529494</v>
      </c>
      <c r="AJ6747">
        <v>112.991756336534</v>
      </c>
      <c r="AK6747">
        <v>59.172652482756</v>
      </c>
      <c r="AL6747">
        <v>90.315818419349299</v>
      </c>
      <c r="AM6747">
        <v>88.113230869802294</v>
      </c>
      <c r="AN6747">
        <v>0.99999993759352201</v>
      </c>
    </row>
    <row r="6748" spans="1:40" x14ac:dyDescent="0.25">
      <c r="A6748" t="str">
        <f>"20190312160820359"</f>
        <v>20190312160820359</v>
      </c>
      <c r="B6748" t="str">
        <f>"1552378100352326"</f>
        <v>1552378100352326</v>
      </c>
      <c r="C6748" t="s">
        <v>40</v>
      </c>
      <c r="D6748">
        <v>6.2959930000000002</v>
      </c>
      <c r="E6748">
        <v>0.3236349</v>
      </c>
      <c r="F6748" t="s">
        <v>109</v>
      </c>
      <c r="G6748">
        <v>-259.36680000000001</v>
      </c>
      <c r="H6748">
        <v>2.3514539999999999</v>
      </c>
      <c r="I6748">
        <v>-90.976820000000004</v>
      </c>
      <c r="J6748">
        <v>-299.25310000000002</v>
      </c>
      <c r="K6748">
        <v>1.112662</v>
      </c>
      <c r="L6748">
        <v>-47.252079999999999</v>
      </c>
      <c r="M6748">
        <v>0.33154929999999999</v>
      </c>
      <c r="N6748">
        <v>0</v>
      </c>
      <c r="O6748">
        <v>-0.94333739999999999</v>
      </c>
      <c r="P6748">
        <v>0.30029539999999999</v>
      </c>
      <c r="Q6748">
        <v>-1.9635929999999999E-2</v>
      </c>
      <c r="R6748">
        <v>-0.9536443</v>
      </c>
      <c r="S6748">
        <v>2.2307739999999998</v>
      </c>
      <c r="T6748">
        <v>6.9161890000000004E-2</v>
      </c>
      <c r="U6748">
        <v>-2.4516909999999998</v>
      </c>
      <c r="V6748">
        <v>3.2942599999999898E-2</v>
      </c>
      <c r="W6748">
        <v>-5.6478589999999999E-3</v>
      </c>
      <c r="X6748">
        <v>0.99944129999999998</v>
      </c>
      <c r="Y6748">
        <v>-0.38951590000000003</v>
      </c>
      <c r="Z6748">
        <v>-2.1083580000000001E-2</v>
      </c>
      <c r="AA6748">
        <v>0.9207784</v>
      </c>
      <c r="AB6748">
        <v>21</v>
      </c>
      <c r="AC6748">
        <v>39.886299999999999</v>
      </c>
      <c r="AD6748">
        <v>1.2387919999999999</v>
      </c>
      <c r="AE6748">
        <v>-43.724739999999898</v>
      </c>
      <c r="AF6748">
        <v>-23.1213949412126</v>
      </c>
      <c r="AG6748">
        <v>1.2387919999999999</v>
      </c>
      <c r="AH6748">
        <v>54.452765919662298</v>
      </c>
      <c r="AI6748">
        <v>88.800384726968701</v>
      </c>
      <c r="AJ6748">
        <v>113.006746284427</v>
      </c>
      <c r="AK6748">
        <v>59.171253374830002</v>
      </c>
      <c r="AL6748">
        <v>90.323600200281902</v>
      </c>
      <c r="AM6748">
        <v>88.112156404832206</v>
      </c>
      <c r="AN6748">
        <v>1.0000000126758599</v>
      </c>
    </row>
    <row r="6749" spans="1:40" x14ac:dyDescent="0.25">
      <c r="A6749" t="str">
        <f>"20190312160820381"</f>
        <v>20190312160820381</v>
      </c>
      <c r="B6749" t="str">
        <f>"1552378100371832"</f>
        <v>1552378100371832</v>
      </c>
      <c r="C6749" t="s">
        <v>40</v>
      </c>
      <c r="D6749">
        <v>6.3461439999999998</v>
      </c>
      <c r="E6749">
        <v>0.39869159999999998</v>
      </c>
      <c r="F6749" t="s">
        <v>109</v>
      </c>
      <c r="G6749">
        <v>-259.23779999999999</v>
      </c>
      <c r="H6749">
        <v>3.2376559999999999</v>
      </c>
      <c r="I6749">
        <v>-90.976830000000007</v>
      </c>
      <c r="J6749">
        <v>-299.17950000000002</v>
      </c>
      <c r="K6749">
        <v>1.1126910000000001</v>
      </c>
      <c r="L6749">
        <v>-47.444459999999999</v>
      </c>
      <c r="M6749">
        <v>0.33613730000000003</v>
      </c>
      <c r="N6749">
        <v>0</v>
      </c>
      <c r="O6749">
        <v>-0.9417122</v>
      </c>
      <c r="P6749">
        <v>0.30445349999999999</v>
      </c>
      <c r="Q6749">
        <v>-1.9739670000000001E-2</v>
      </c>
      <c r="R6749">
        <v>-0.95232280000000002</v>
      </c>
      <c r="S6749">
        <v>2.2366329999999999</v>
      </c>
      <c r="T6749">
        <v>0.1187761</v>
      </c>
      <c r="U6749">
        <v>-2.4439700000000002</v>
      </c>
      <c r="V6749">
        <v>3.3447339999999999E-2</v>
      </c>
      <c r="W6749">
        <v>-5.7426990000000004E-3</v>
      </c>
      <c r="X6749">
        <v>0.99942399999999998</v>
      </c>
      <c r="Y6749">
        <v>-0.38737640000000001</v>
      </c>
      <c r="Z6749">
        <v>-3.6174039999999998E-2</v>
      </c>
      <c r="AA6749">
        <v>0.92121169999999997</v>
      </c>
      <c r="AB6749">
        <v>21</v>
      </c>
      <c r="AC6749">
        <v>39.941699999999997</v>
      </c>
      <c r="AD6749">
        <v>2.124965</v>
      </c>
      <c r="AE6749">
        <v>-43.53237</v>
      </c>
      <c r="AF6749">
        <v>-22.953220428963601</v>
      </c>
      <c r="AG6749">
        <v>2.124965</v>
      </c>
      <c r="AH6749">
        <v>54.355706698884099</v>
      </c>
      <c r="AI6749">
        <v>87.937422776948793</v>
      </c>
      <c r="AJ6749">
        <v>112.89326508330601</v>
      </c>
      <c r="AK6749">
        <v>59.041584117018203</v>
      </c>
      <c r="AL6749">
        <v>90.329034218499999</v>
      </c>
      <c r="AM6749">
        <v>88.083219498098401</v>
      </c>
      <c r="AN6749">
        <v>1.00000001746044</v>
      </c>
    </row>
    <row r="6750" spans="1:40" x14ac:dyDescent="0.25">
      <c r="A6750" t="str">
        <f>"20190312160820404"</f>
        <v>20190312160820404</v>
      </c>
      <c r="B6750" t="str">
        <f>"1552378100392328"</f>
        <v>1552378100392328</v>
      </c>
      <c r="C6750" t="s">
        <v>40</v>
      </c>
      <c r="D6750">
        <v>6.3352089999999999</v>
      </c>
      <c r="E6750">
        <v>0.39694079999999998</v>
      </c>
      <c r="F6750" t="s">
        <v>82</v>
      </c>
      <c r="G6750">
        <v>-291.95460000000003</v>
      </c>
      <c r="H6750" s="1">
        <v>-9.2542849999999994E-6</v>
      </c>
      <c r="I6750">
        <v>-58.559269999999998</v>
      </c>
      <c r="J6750">
        <v>-299.10410000000002</v>
      </c>
      <c r="K6750">
        <v>1.112727</v>
      </c>
      <c r="L6750">
        <v>-47.63843</v>
      </c>
      <c r="M6750">
        <v>0.34084239999999999</v>
      </c>
      <c r="N6750">
        <v>0</v>
      </c>
      <c r="O6750">
        <v>-0.94001970000000001</v>
      </c>
      <c r="P6750">
        <v>0.30899219999999999</v>
      </c>
      <c r="Q6750">
        <v>-2.0062219999999999E-2</v>
      </c>
      <c r="R6750">
        <v>-0.95085299999999995</v>
      </c>
      <c r="S6750">
        <v>1.692474</v>
      </c>
      <c r="T6750">
        <v>-0.26065549999999998</v>
      </c>
      <c r="U6750">
        <v>-2.6036990000000002</v>
      </c>
      <c r="V6750">
        <v>3.3678689999999997E-2</v>
      </c>
      <c r="W6750">
        <v>-6.0579269999999899E-3</v>
      </c>
      <c r="X6750">
        <v>0.99941429999999998</v>
      </c>
      <c r="Y6750">
        <v>-0.22463089999999999</v>
      </c>
      <c r="Z6750">
        <v>8.1898319999999997E-2</v>
      </c>
      <c r="AA6750">
        <v>0.97099619999999998</v>
      </c>
      <c r="AB6750">
        <v>21</v>
      </c>
      <c r="AC6750">
        <v>7.1494999999999802</v>
      </c>
      <c r="AD6750">
        <v>-1.1127362542849999</v>
      </c>
      <c r="AE6750">
        <v>-10.920839999999901</v>
      </c>
      <c r="AF6750">
        <v>-2.9770349163345</v>
      </c>
      <c r="AG6750">
        <v>-1.1127362542849999</v>
      </c>
      <c r="AH6750">
        <v>12.612205626584</v>
      </c>
      <c r="AI6750">
        <v>94.907791897867398</v>
      </c>
      <c r="AJ6750">
        <v>103.281221929848</v>
      </c>
      <c r="AK6750">
        <v>13.0064849068421</v>
      </c>
      <c r="AL6750">
        <v>90.347095790805596</v>
      </c>
      <c r="AM6750">
        <v>88.069952702834797</v>
      </c>
      <c r="AN6750">
        <v>0.99999994784207002</v>
      </c>
    </row>
    <row r="6751" spans="1:40" x14ac:dyDescent="0.25">
      <c r="A6751" t="str">
        <f>"20190312160820426"</f>
        <v>20190312160820426</v>
      </c>
      <c r="B6751" t="str">
        <f>"1552378100422583"</f>
        <v>1552378100422583</v>
      </c>
      <c r="C6751" t="s">
        <v>40</v>
      </c>
      <c r="D6751">
        <v>6.3961489999999896</v>
      </c>
      <c r="E6751">
        <v>0.39701799999999998</v>
      </c>
      <c r="F6751" t="s">
        <v>82</v>
      </c>
      <c r="G6751">
        <v>-291.2525</v>
      </c>
      <c r="H6751" s="1">
        <v>-9.4168320000000002E-6</v>
      </c>
      <c r="I6751">
        <v>-59.487369999999999</v>
      </c>
      <c r="J6751">
        <v>-299.02719999999999</v>
      </c>
      <c r="K6751">
        <v>1.11276</v>
      </c>
      <c r="L6751">
        <v>-47.833010000000002</v>
      </c>
      <c r="M6751">
        <v>0.34564879999999998</v>
      </c>
      <c r="N6751">
        <v>0</v>
      </c>
      <c r="O6751">
        <v>-0.93826299999999996</v>
      </c>
      <c r="P6751">
        <v>0.3132337</v>
      </c>
      <c r="Q6751">
        <v>-1.947753E-2</v>
      </c>
      <c r="R6751">
        <v>-0.94947669999999995</v>
      </c>
      <c r="S6751">
        <v>1.717438</v>
      </c>
      <c r="T6751">
        <v>-0.2433989</v>
      </c>
      <c r="U6751">
        <v>-2.5918269999999999</v>
      </c>
      <c r="V6751">
        <v>3.4332670000000003E-2</v>
      </c>
      <c r="W6751">
        <v>-5.4617270000000004E-3</v>
      </c>
      <c r="X6751">
        <v>0.99939549999999999</v>
      </c>
      <c r="Y6751">
        <v>-0.22845489999999999</v>
      </c>
      <c r="Z6751">
        <v>7.6375280000000004E-2</v>
      </c>
      <c r="AA6751">
        <v>0.97055409999999998</v>
      </c>
      <c r="AB6751">
        <v>21</v>
      </c>
      <c r="AC6751">
        <v>7.7746999999999904</v>
      </c>
      <c r="AD6751">
        <v>-1.1127694168319999</v>
      </c>
      <c r="AE6751">
        <v>-11.65436</v>
      </c>
      <c r="AF6751">
        <v>-3.2462270042533299</v>
      </c>
      <c r="AG6751">
        <v>-1.1127694168319999</v>
      </c>
      <c r="AH6751">
        <v>13.5380503184226</v>
      </c>
      <c r="AI6751">
        <v>94.569932506509005</v>
      </c>
      <c r="AJ6751">
        <v>103.484107473104</v>
      </c>
      <c r="AK6751">
        <v>13.966211081117301</v>
      </c>
      <c r="AL6751">
        <v>90.312935473048995</v>
      </c>
      <c r="AM6751">
        <v>88.032466825015305</v>
      </c>
      <c r="AN6751">
        <v>0.99999996405569902</v>
      </c>
    </row>
    <row r="6752" spans="1:40" x14ac:dyDescent="0.25">
      <c r="A6752" t="str">
        <f>"20190312160820448"</f>
        <v>20190312160820448</v>
      </c>
      <c r="B6752" t="str">
        <f>"1552378100442105"</f>
        <v>1552378100442105</v>
      </c>
      <c r="C6752" t="s">
        <v>40</v>
      </c>
      <c r="D6752">
        <v>6.2001980000000003</v>
      </c>
      <c r="E6752">
        <v>0.39696619999999999</v>
      </c>
      <c r="F6752" t="s">
        <v>82</v>
      </c>
      <c r="G6752">
        <v>-290.68279999999999</v>
      </c>
      <c r="H6752" s="1">
        <v>-9.5413800000000001E-6</v>
      </c>
      <c r="I6752">
        <v>-60.314219999999999</v>
      </c>
      <c r="J6752">
        <v>-298.94970000000001</v>
      </c>
      <c r="K6752">
        <v>1.112808</v>
      </c>
      <c r="L6752">
        <v>-48.025939999999999</v>
      </c>
      <c r="M6752">
        <v>0.35050409999999999</v>
      </c>
      <c r="N6752">
        <v>0</v>
      </c>
      <c r="O6752">
        <v>-0.93645979999999995</v>
      </c>
      <c r="P6752">
        <v>0.31832090000000002</v>
      </c>
      <c r="Q6752">
        <v>-1.8190970000000001E-2</v>
      </c>
      <c r="R6752">
        <v>-0.9478086</v>
      </c>
      <c r="S6752">
        <v>1.7280880000000001</v>
      </c>
      <c r="T6752">
        <v>-0.23044999999999999</v>
      </c>
      <c r="U6752">
        <v>-2.5848080000000002</v>
      </c>
      <c r="V6752">
        <v>3.4150239999999998E-2</v>
      </c>
      <c r="W6752">
        <v>-4.167502E-3</v>
      </c>
      <c r="X6752">
        <v>0.99940799999999996</v>
      </c>
      <c r="Y6752">
        <v>-0.22757430000000001</v>
      </c>
      <c r="Z6752">
        <v>7.222845E-2</v>
      </c>
      <c r="AA6752">
        <v>0.97107829999999995</v>
      </c>
      <c r="AB6752">
        <v>21</v>
      </c>
      <c r="AC6752">
        <v>8.2669000000000192</v>
      </c>
      <c r="AD6752">
        <v>-1.1128175413799899</v>
      </c>
      <c r="AE6752">
        <v>-12.288279999999901</v>
      </c>
      <c r="AF6752">
        <v>-3.4155696628210701</v>
      </c>
      <c r="AG6752">
        <v>-1.1128175413799899</v>
      </c>
      <c r="AH6752">
        <v>14.3255518861012</v>
      </c>
      <c r="AI6752">
        <v>94.321203856727806</v>
      </c>
      <c r="AJ6752">
        <v>103.410376592693</v>
      </c>
      <c r="AK6752">
        <v>14.7690864931912</v>
      </c>
      <c r="AL6752">
        <v>90.238780971992497</v>
      </c>
      <c r="AM6752">
        <v>88.042937812283299</v>
      </c>
      <c r="AN6752">
        <v>0.99999997871448798</v>
      </c>
    </row>
    <row r="6753" spans="1:40" x14ac:dyDescent="0.25">
      <c r="A6753" t="str">
        <f>"20190312160820471"</f>
        <v>20190312160820471</v>
      </c>
      <c r="B6753" t="str">
        <f>"1552378100462600"</f>
        <v>1552378100462600</v>
      </c>
      <c r="C6753" t="s">
        <v>40</v>
      </c>
      <c r="D6753">
        <v>5.9108349999999996</v>
      </c>
      <c r="E6753">
        <v>0.39728570000000002</v>
      </c>
      <c r="F6753" t="s">
        <v>82</v>
      </c>
      <c r="G6753">
        <v>-290.59609999999998</v>
      </c>
      <c r="H6753" s="1">
        <v>-9.5673030000000006E-6</v>
      </c>
      <c r="I6753">
        <v>-60.370229999999999</v>
      </c>
      <c r="J6753">
        <v>-298.87139999999999</v>
      </c>
      <c r="K6753">
        <v>1.1128690000000001</v>
      </c>
      <c r="L6753">
        <v>-48.2179</v>
      </c>
      <c r="M6753">
        <v>0.35543160000000001</v>
      </c>
      <c r="N6753">
        <v>0</v>
      </c>
      <c r="O6753">
        <v>-0.93460069999999995</v>
      </c>
      <c r="P6753">
        <v>0.32364340000000003</v>
      </c>
      <c r="Q6753">
        <v>-1.7730659999999999E-2</v>
      </c>
      <c r="R6753">
        <v>-0.9460132</v>
      </c>
      <c r="S6753">
        <v>1.7428279999999901</v>
      </c>
      <c r="T6753">
        <v>-0.23216880000000001</v>
      </c>
      <c r="U6753">
        <v>-2.5754090000000001</v>
      </c>
      <c r="V6753">
        <v>3.3796840000000002E-2</v>
      </c>
      <c r="W6753">
        <v>-3.6995219999999998E-3</v>
      </c>
      <c r="X6753">
        <v>0.99942189999999997</v>
      </c>
      <c r="Y6753">
        <v>-0.22788369999999999</v>
      </c>
      <c r="Z6753">
        <v>7.2663019999999995E-2</v>
      </c>
      <c r="AA6753">
        <v>0.97097330000000004</v>
      </c>
      <c r="AB6753">
        <v>21</v>
      </c>
      <c r="AC6753">
        <v>8.2753000000000103</v>
      </c>
      <c r="AD6753">
        <v>-1.1128785673029999</v>
      </c>
      <c r="AE6753">
        <v>-12.152329999999999</v>
      </c>
      <c r="AF6753">
        <v>-3.3956478256178801</v>
      </c>
      <c r="AG6753">
        <v>-1.1128785673029999</v>
      </c>
      <c r="AH6753">
        <v>14.218769975458599</v>
      </c>
      <c r="AI6753">
        <v>94.353387980580294</v>
      </c>
      <c r="AJ6753">
        <v>103.431488875894</v>
      </c>
      <c r="AK6753">
        <v>14.6609120615393</v>
      </c>
      <c r="AL6753">
        <v>90.211967475344593</v>
      </c>
      <c r="AM6753">
        <v>88.063201666410393</v>
      </c>
      <c r="AN6753">
        <v>1.00000002352831</v>
      </c>
    </row>
    <row r="6754" spans="1:40" x14ac:dyDescent="0.25">
      <c r="A6754" t="str">
        <f>"20190312160820495"</f>
        <v>20190312160820495</v>
      </c>
      <c r="B6754" t="str">
        <f>"1552378100482119"</f>
        <v>1552378100482119</v>
      </c>
      <c r="C6754" t="s">
        <v>40</v>
      </c>
      <c r="D6754">
        <v>8.7669509999999899</v>
      </c>
      <c r="E6754">
        <v>0.39769270000000001</v>
      </c>
      <c r="F6754" t="s">
        <v>82</v>
      </c>
      <c r="G6754">
        <v>-290.55990000000003</v>
      </c>
      <c r="H6754" s="1">
        <v>-9.5804429999999999E-6</v>
      </c>
      <c r="I6754">
        <v>-60.370550000000001</v>
      </c>
      <c r="J6754">
        <v>-298.78789999999998</v>
      </c>
      <c r="K6754">
        <v>1.1129359999999999</v>
      </c>
      <c r="L6754">
        <v>-48.418979999999998</v>
      </c>
      <c r="M6754">
        <v>0.3607107</v>
      </c>
      <c r="N6754">
        <v>0</v>
      </c>
      <c r="O6754">
        <v>-0.93257590000000001</v>
      </c>
      <c r="P6754">
        <v>0.32923239999999998</v>
      </c>
      <c r="Q6754">
        <v>-1.7393889999999999E-2</v>
      </c>
      <c r="R6754">
        <v>-0.9440887</v>
      </c>
      <c r="S6754">
        <v>1.755188</v>
      </c>
      <c r="T6754">
        <v>-0.23501279999999999</v>
      </c>
      <c r="U6754">
        <v>-2.5663450000000001</v>
      </c>
      <c r="V6754">
        <v>3.3538060000000001E-2</v>
      </c>
      <c r="W6754">
        <v>-3.3526739999999999E-3</v>
      </c>
      <c r="X6754">
        <v>0.99943179999999998</v>
      </c>
      <c r="Y6754">
        <v>-0.22712540000000001</v>
      </c>
      <c r="Z6754">
        <v>7.3444289999999995E-2</v>
      </c>
      <c r="AA6754">
        <v>0.97109219999999896</v>
      </c>
      <c r="AB6754">
        <v>21</v>
      </c>
      <c r="AC6754">
        <v>8.22799999999995</v>
      </c>
      <c r="AD6754">
        <v>-1.112945580443</v>
      </c>
      <c r="AE6754">
        <v>-11.95157</v>
      </c>
      <c r="AF6754">
        <v>-3.3428282363947601</v>
      </c>
      <c r="AG6754">
        <v>-1.112945580443</v>
      </c>
      <c r="AH6754">
        <v>14.0324589612969</v>
      </c>
      <c r="AI6754">
        <v>94.411814862398003</v>
      </c>
      <c r="AJ6754">
        <v>103.39932369039001</v>
      </c>
      <c r="AK6754">
        <v>14.468001001643101</v>
      </c>
      <c r="AL6754">
        <v>90.1920944335412</v>
      </c>
      <c r="AM6754">
        <v>88.078039452272506</v>
      </c>
      <c r="AN6754">
        <v>0.99999998237137599</v>
      </c>
    </row>
    <row r="6755" spans="1:40" x14ac:dyDescent="0.25">
      <c r="A6755" t="str">
        <f>"20190312160820515"</f>
        <v>20190312160820515</v>
      </c>
      <c r="B6755" t="str">
        <f>"1552378100512376"</f>
        <v>1552378100512376</v>
      </c>
      <c r="C6755" t="s">
        <v>40</v>
      </c>
      <c r="D6755">
        <v>6.2685890000000004</v>
      </c>
      <c r="E6755">
        <v>0.39756560000000002</v>
      </c>
      <c r="F6755" t="s">
        <v>82</v>
      </c>
      <c r="G6755">
        <v>-290.28230000000002</v>
      </c>
      <c r="H6755" s="1">
        <v>-9.9746109999999994E-6</v>
      </c>
      <c r="I6755">
        <v>-60.726750000000003</v>
      </c>
      <c r="J6755">
        <v>-298.71379999999999</v>
      </c>
      <c r="K6755">
        <v>1.1130040000000001</v>
      </c>
      <c r="L6755">
        <v>-48.594360000000002</v>
      </c>
      <c r="M6755">
        <v>0.36543409999999998</v>
      </c>
      <c r="N6755">
        <v>0</v>
      </c>
      <c r="O6755">
        <v>-0.93073510000000004</v>
      </c>
      <c r="P6755">
        <v>0.33453579999999999</v>
      </c>
      <c r="Q6755">
        <v>-1.7213260000000001E-2</v>
      </c>
      <c r="R6755">
        <v>-0.94222609999999996</v>
      </c>
      <c r="S6755">
        <v>1.7671809999999999</v>
      </c>
      <c r="T6755">
        <v>-0.2312343</v>
      </c>
      <c r="U6755">
        <v>-2.557159</v>
      </c>
      <c r="V6755">
        <v>3.2985750000000001E-2</v>
      </c>
      <c r="W6755">
        <v>-3.1643840000000001E-3</v>
      </c>
      <c r="X6755">
        <v>0.99945079999999997</v>
      </c>
      <c r="Y6755">
        <v>-0.22695509999999999</v>
      </c>
      <c r="Z6755">
        <v>7.2189100000000006E-2</v>
      </c>
      <c r="AA6755">
        <v>0.97122609999999998</v>
      </c>
      <c r="AB6755">
        <v>21</v>
      </c>
      <c r="AC6755">
        <v>8.4314999999999696</v>
      </c>
      <c r="AD6755">
        <v>-1.1130139746109999</v>
      </c>
      <c r="AE6755">
        <v>-12.132389999999999</v>
      </c>
      <c r="AF6755">
        <v>-3.3949615905431401</v>
      </c>
      <c r="AG6755">
        <v>-1.1130139746109999</v>
      </c>
      <c r="AH6755">
        <v>14.2934477155714</v>
      </c>
      <c r="AI6755">
        <v>94.332515133201397</v>
      </c>
      <c r="AJ6755">
        <v>103.361234448847</v>
      </c>
      <c r="AK6755">
        <v>14.733201006798099</v>
      </c>
      <c r="AL6755">
        <v>90.181306152837195</v>
      </c>
      <c r="AM6755">
        <v>88.109703352804303</v>
      </c>
      <c r="AN6755">
        <v>0.99999998732490003</v>
      </c>
    </row>
    <row r="6756" spans="1:40" x14ac:dyDescent="0.25">
      <c r="A6756" t="str">
        <f>"20190312160820538"</f>
        <v>20190312160820538</v>
      </c>
      <c r="B6756" t="str">
        <f>"1552378100531896"</f>
        <v>1552378100531896</v>
      </c>
      <c r="C6756" t="s">
        <v>40</v>
      </c>
      <c r="D6756">
        <v>8.3183240000000005</v>
      </c>
      <c r="E6756">
        <v>0.3976616</v>
      </c>
      <c r="F6756" t="s">
        <v>82</v>
      </c>
      <c r="G6756">
        <v>-290.0258</v>
      </c>
      <c r="H6756" s="1">
        <v>-9.9396640000000006E-6</v>
      </c>
      <c r="I6756">
        <v>-61.007489999999997</v>
      </c>
      <c r="J6756">
        <v>-298.63170000000002</v>
      </c>
      <c r="K6756">
        <v>1.113067</v>
      </c>
      <c r="L6756">
        <v>-48.78528</v>
      </c>
      <c r="M6756">
        <v>0.37068210000000001</v>
      </c>
      <c r="N6756">
        <v>0</v>
      </c>
      <c r="O6756">
        <v>-0.92865710000000001</v>
      </c>
      <c r="P6756">
        <v>0.34024330000000003</v>
      </c>
      <c r="Q6756">
        <v>-1.6805210000000001E-2</v>
      </c>
      <c r="R6756">
        <v>-0.94018740000000001</v>
      </c>
      <c r="S6756">
        <v>1.782562</v>
      </c>
      <c r="T6756">
        <v>-0.2283636</v>
      </c>
      <c r="U6756">
        <v>-2.546875</v>
      </c>
      <c r="V6756">
        <v>3.2566869999999998E-2</v>
      </c>
      <c r="W6756">
        <v>-2.747073E-3</v>
      </c>
      <c r="X6756">
        <v>0.99946579999999996</v>
      </c>
      <c r="Y6756">
        <v>-0.22728029999999999</v>
      </c>
      <c r="Z6756">
        <v>7.1186559999999996E-2</v>
      </c>
      <c r="AA6756">
        <v>0.97122410000000003</v>
      </c>
      <c r="AB6756">
        <v>21</v>
      </c>
      <c r="AC6756">
        <v>8.6059000000000196</v>
      </c>
      <c r="AD6756">
        <v>-1.1130769396639999</v>
      </c>
      <c r="AE6756">
        <v>-12.22221</v>
      </c>
      <c r="AF6756">
        <v>-3.44261743457003</v>
      </c>
      <c r="AG6756">
        <v>-1.1130769396639999</v>
      </c>
      <c r="AH6756">
        <v>14.4614969580775</v>
      </c>
      <c r="AI6756">
        <v>94.2820850753195</v>
      </c>
      <c r="AJ6756">
        <v>103.39026261344</v>
      </c>
      <c r="AK6756">
        <v>14.9072280905238</v>
      </c>
      <c r="AL6756">
        <v>90.157395884295596</v>
      </c>
      <c r="AM6756">
        <v>88.133718788725901</v>
      </c>
      <c r="AN6756">
        <v>1.0000000164006499</v>
      </c>
    </row>
    <row r="6757" spans="1:40" x14ac:dyDescent="0.25">
      <c r="A6757" t="str">
        <f>"20190312160820560"</f>
        <v>20190312160820560</v>
      </c>
      <c r="B6757" t="str">
        <f>"1552378100552392"</f>
        <v>1552378100552392</v>
      </c>
      <c r="C6757" t="s">
        <v>40</v>
      </c>
      <c r="D6757">
        <v>6.2822399999999998</v>
      </c>
      <c r="E6757">
        <v>0.3978795</v>
      </c>
      <c r="F6757" t="s">
        <v>82</v>
      </c>
      <c r="G6757">
        <v>-289.81869999999998</v>
      </c>
      <c r="H6757" s="1">
        <v>-3.4293860000000002E-6</v>
      </c>
      <c r="I6757">
        <v>-61.224179999999997</v>
      </c>
      <c r="J6757">
        <v>-298.55</v>
      </c>
      <c r="K6757">
        <v>1.1131329999999999</v>
      </c>
      <c r="L6757">
        <v>-48.972259999999999</v>
      </c>
      <c r="M6757">
        <v>0.37592969999999998</v>
      </c>
      <c r="N6757">
        <v>0</v>
      </c>
      <c r="O6757">
        <v>-0.92654530000000002</v>
      </c>
      <c r="P6757">
        <v>0.34589160000000002</v>
      </c>
      <c r="Q6757">
        <v>-1.597964E-2</v>
      </c>
      <c r="R6757">
        <v>-0.93813849999999999</v>
      </c>
      <c r="S6757">
        <v>1.7970889999999999</v>
      </c>
      <c r="T6757">
        <v>-0.22696810000000001</v>
      </c>
      <c r="U6757">
        <v>-2.536438</v>
      </c>
      <c r="V6757">
        <v>3.2209189999999999E-2</v>
      </c>
      <c r="W6757">
        <v>-1.9129699999999999E-3</v>
      </c>
      <c r="X6757">
        <v>0.99947929999999996</v>
      </c>
      <c r="Y6757">
        <v>-0.2273818</v>
      </c>
      <c r="Z6757">
        <v>7.0649519999999993E-2</v>
      </c>
      <c r="AA6757">
        <v>0.97123950000000003</v>
      </c>
      <c r="AB6757">
        <v>21</v>
      </c>
      <c r="AC6757">
        <v>8.7313000000000294</v>
      </c>
      <c r="AD6757">
        <v>-1.113136429386</v>
      </c>
      <c r="AE6757">
        <v>-12.25192</v>
      </c>
      <c r="AF6757">
        <v>-3.4654458068384</v>
      </c>
      <c r="AG6757">
        <v>-1.113136429386</v>
      </c>
      <c r="AH6757">
        <v>14.5560257221789</v>
      </c>
      <c r="AI6757">
        <v>94.254584274201093</v>
      </c>
      <c r="AJ6757">
        <v>103.39147483783201</v>
      </c>
      <c r="AK6757">
        <v>15.0042084821324</v>
      </c>
      <c r="AL6757">
        <v>90.109605176239299</v>
      </c>
      <c r="AM6757">
        <v>88.154226701122596</v>
      </c>
      <c r="AN6757">
        <v>0.99999998125158296</v>
      </c>
    </row>
    <row r="6758" spans="1:40" x14ac:dyDescent="0.25">
      <c r="A6758" t="str">
        <f>"20190312160820582"</f>
        <v>20190312160820582</v>
      </c>
      <c r="B6758" t="str">
        <f>"1552378100571912"</f>
        <v>1552378100571912</v>
      </c>
      <c r="C6758" t="s">
        <v>40</v>
      </c>
      <c r="D6758">
        <v>6.2677040000000002</v>
      </c>
      <c r="E6758">
        <v>0.39828570000000002</v>
      </c>
      <c r="F6758" t="s">
        <v>82</v>
      </c>
      <c r="G6758">
        <v>-289.55540000000002</v>
      </c>
      <c r="H6758" s="1">
        <v>-3.519357E-6</v>
      </c>
      <c r="I6758">
        <v>-61.520510000000002</v>
      </c>
      <c r="J6758">
        <v>-298.46730000000002</v>
      </c>
      <c r="K6758">
        <v>1.1131899999999999</v>
      </c>
      <c r="L6758">
        <v>-49.158200000000001</v>
      </c>
      <c r="M6758">
        <v>0.38125890000000001</v>
      </c>
      <c r="N6758">
        <v>0</v>
      </c>
      <c r="O6758">
        <v>-0.92436499999999999</v>
      </c>
      <c r="P6758">
        <v>0.35105890000000001</v>
      </c>
      <c r="Q6758">
        <v>-1.557395E-2</v>
      </c>
      <c r="R6758">
        <v>-0.93622399999999995</v>
      </c>
      <c r="S6758">
        <v>1.810883</v>
      </c>
      <c r="T6758">
        <v>-0.22410759999999999</v>
      </c>
      <c r="U6758">
        <v>-2.5263369999999998</v>
      </c>
      <c r="V6758">
        <v>3.2453389999999999E-2</v>
      </c>
      <c r="W6758">
        <v>-1.494544E-3</v>
      </c>
      <c r="X6758">
        <v>0.99947209999999997</v>
      </c>
      <c r="Y6758">
        <v>-0.2271582</v>
      </c>
      <c r="Z6758">
        <v>6.9652839999999994E-2</v>
      </c>
      <c r="AA6758">
        <v>0.9713638</v>
      </c>
      <c r="AB6758">
        <v>21</v>
      </c>
      <c r="AC6758">
        <v>8.9118999999999993</v>
      </c>
      <c r="AD6758">
        <v>-1.1131935193569999</v>
      </c>
      <c r="AE6758">
        <v>-12.3623099999999</v>
      </c>
      <c r="AF6758">
        <v>-3.5062362932728202</v>
      </c>
      <c r="AG6758">
        <v>-1.1131935193569999</v>
      </c>
      <c r="AH6758">
        <v>14.747754854285199</v>
      </c>
      <c r="AI6758">
        <v>94.199996311288302</v>
      </c>
      <c r="AJ6758">
        <v>103.373620808862</v>
      </c>
      <c r="AK6758">
        <v>15.1996436141738</v>
      </c>
      <c r="AL6758">
        <v>90.085631098164001</v>
      </c>
      <c r="AM6758">
        <v>88.140229027859704</v>
      </c>
      <c r="AN6758">
        <v>0.99999996743133401</v>
      </c>
    </row>
    <row r="6759" spans="1:40" x14ac:dyDescent="0.25">
      <c r="A6759" t="str">
        <f>"20190312160820605"</f>
        <v>20190312160820605</v>
      </c>
      <c r="B6759" t="str">
        <f>"1552378100592408"</f>
        <v>1552378100592408</v>
      </c>
      <c r="C6759" t="s">
        <v>40</v>
      </c>
      <c r="D6759">
        <v>6.2756589999999903</v>
      </c>
      <c r="E6759">
        <v>0.39907769999999998</v>
      </c>
      <c r="F6759" t="s">
        <v>82</v>
      </c>
      <c r="G6759">
        <v>-289.47019999999998</v>
      </c>
      <c r="H6759" s="1">
        <v>-3.5547290000000002E-6</v>
      </c>
      <c r="I6759">
        <v>-61.587989999999998</v>
      </c>
      <c r="J6759">
        <v>-298.38240000000002</v>
      </c>
      <c r="K6759">
        <v>1.113246</v>
      </c>
      <c r="L6759">
        <v>-49.345730000000003</v>
      </c>
      <c r="M6759">
        <v>0.38675130000000002</v>
      </c>
      <c r="N6759">
        <v>0</v>
      </c>
      <c r="O6759">
        <v>-0.92208029999999996</v>
      </c>
      <c r="P6759">
        <v>0.35707329999999998</v>
      </c>
      <c r="Q6759">
        <v>-1.476447E-2</v>
      </c>
      <c r="R6759">
        <v>-0.93395980000000001</v>
      </c>
      <c r="S6759">
        <v>1.8221130000000001</v>
      </c>
      <c r="T6759">
        <v>-0.2254486</v>
      </c>
      <c r="U6759">
        <v>-2.517334</v>
      </c>
      <c r="V6759">
        <v>3.1969570000000003E-2</v>
      </c>
      <c r="W6759">
        <v>-6.7672939999999997E-4</v>
      </c>
      <c r="X6759">
        <v>0.99948859999999995</v>
      </c>
      <c r="Y6759">
        <v>-0.2258424</v>
      </c>
      <c r="Z6759">
        <v>6.9945939999999998E-2</v>
      </c>
      <c r="AA6759">
        <v>0.97164950000000005</v>
      </c>
      <c r="AB6759">
        <v>21</v>
      </c>
      <c r="AC6759">
        <v>8.9122000000000394</v>
      </c>
      <c r="AD6759">
        <v>-1.113249554729</v>
      </c>
      <c r="AE6759">
        <v>-12.24226</v>
      </c>
      <c r="AF6759">
        <v>-3.4646615302209698</v>
      </c>
      <c r="AG6759">
        <v>-1.113249554729</v>
      </c>
      <c r="AH6759">
        <v>14.6573415458962</v>
      </c>
      <c r="AI6759">
        <v>94.227317109065694</v>
      </c>
      <c r="AJ6759">
        <v>103.299306999785</v>
      </c>
      <c r="AK6759">
        <v>15.102346350258101</v>
      </c>
      <c r="AL6759">
        <v>90.038773741977295</v>
      </c>
      <c r="AM6759">
        <v>88.167965958559094</v>
      </c>
      <c r="AN6759">
        <v>0.99999998644931198</v>
      </c>
    </row>
    <row r="6760" spans="1:40" x14ac:dyDescent="0.25">
      <c r="A6760" t="str">
        <f>"20190312160820627"</f>
        <v>20190312160820627</v>
      </c>
      <c r="B6760" t="str">
        <f>"1552378100622664"</f>
        <v>1552378100622664</v>
      </c>
      <c r="C6760" t="s">
        <v>40</v>
      </c>
      <c r="D6760">
        <v>6.2750130000000004</v>
      </c>
      <c r="E6760">
        <v>0.39945049999999999</v>
      </c>
      <c r="F6760" t="s">
        <v>82</v>
      </c>
      <c r="G6760">
        <v>-289.55869999999999</v>
      </c>
      <c r="H6760" s="1">
        <v>-3.54003E-6</v>
      </c>
      <c r="I6760">
        <v>-61.418619999999997</v>
      </c>
      <c r="J6760">
        <v>-298.29680000000002</v>
      </c>
      <c r="K6760">
        <v>1.1133090000000001</v>
      </c>
      <c r="L6760">
        <v>-49.531889999999997</v>
      </c>
      <c r="M6760">
        <v>0.3923201</v>
      </c>
      <c r="N6760">
        <v>0</v>
      </c>
      <c r="O6760">
        <v>-0.91972489999999996</v>
      </c>
      <c r="P6760">
        <v>0.36323850000000002</v>
      </c>
      <c r="Q6760">
        <v>-1.4805230000000001E-2</v>
      </c>
      <c r="R6760">
        <v>-0.93157869999999998</v>
      </c>
      <c r="S6760">
        <v>1.8328249999999999</v>
      </c>
      <c r="T6760">
        <v>-0.23123879999999999</v>
      </c>
      <c r="U6760">
        <v>-2.5077210000000001</v>
      </c>
      <c r="V6760">
        <v>3.1407539999999998E-2</v>
      </c>
      <c r="W6760">
        <v>-7.0850239999999999E-4</v>
      </c>
      <c r="X6760">
        <v>0.99950640000000002</v>
      </c>
      <c r="Y6760">
        <v>-0.22435189999999999</v>
      </c>
      <c r="Z6760">
        <v>7.1617669999999994E-2</v>
      </c>
      <c r="AA6760">
        <v>0.97187299999999999</v>
      </c>
      <c r="AB6760">
        <v>21</v>
      </c>
      <c r="AC6760">
        <v>8.7381000000000295</v>
      </c>
      <c r="AD6760">
        <v>-1.1133125400299999</v>
      </c>
      <c r="AE6760">
        <v>-11.886729999999901</v>
      </c>
      <c r="AF6760">
        <v>-3.3544643332012898</v>
      </c>
      <c r="AG6760">
        <v>-1.1133125400299999</v>
      </c>
      <c r="AH6760">
        <v>14.2807001564363</v>
      </c>
      <c r="AI6760">
        <v>94.340063728084004</v>
      </c>
      <c r="AJ6760">
        <v>103.218847075396</v>
      </c>
      <c r="AK6760">
        <v>14.7115700294886</v>
      </c>
      <c r="AL6760">
        <v>90.040594201113507</v>
      </c>
      <c r="AM6760">
        <v>88.200184060018103</v>
      </c>
      <c r="AN6760">
        <v>0.99999998959273095</v>
      </c>
    </row>
    <row r="6761" spans="1:40" x14ac:dyDescent="0.25">
      <c r="A6761" t="str">
        <f>"20190312160820650"</f>
        <v>20190312160820650</v>
      </c>
      <c r="B6761" t="str">
        <f>"1552378100642184"</f>
        <v>1552378100642184</v>
      </c>
      <c r="C6761" t="s">
        <v>40</v>
      </c>
      <c r="D6761">
        <v>6.0173360000000002</v>
      </c>
      <c r="E6761">
        <v>0.39936139999999998</v>
      </c>
      <c r="F6761" t="s">
        <v>82</v>
      </c>
      <c r="G6761">
        <v>-289.47620000000001</v>
      </c>
      <c r="H6761" s="1">
        <v>-3.5799959999999999E-6</v>
      </c>
      <c r="I6761">
        <v>-61.458530000000003</v>
      </c>
      <c r="J6761">
        <v>-298.20510000000002</v>
      </c>
      <c r="K6761">
        <v>1.1133839999999999</v>
      </c>
      <c r="L6761">
        <v>-49.727600000000002</v>
      </c>
      <c r="M6761">
        <v>0.39830579999999999</v>
      </c>
      <c r="N6761">
        <v>0</v>
      </c>
      <c r="O6761">
        <v>-0.91714819999999997</v>
      </c>
      <c r="P6761">
        <v>0.36892649999999999</v>
      </c>
      <c r="Q6761">
        <v>-1.5219389999999999E-2</v>
      </c>
      <c r="R6761">
        <v>-0.92933429999999995</v>
      </c>
      <c r="S6761">
        <v>1.8464659999999999</v>
      </c>
      <c r="T6761">
        <v>-0.23305609999999999</v>
      </c>
      <c r="U6761">
        <v>-2.4966740000000001</v>
      </c>
      <c r="V6761">
        <v>3.181258E-2</v>
      </c>
      <c r="W6761">
        <v>-1.1037E-3</v>
      </c>
      <c r="X6761">
        <v>0.99949319999999997</v>
      </c>
      <c r="Y6761">
        <v>-0.223466</v>
      </c>
      <c r="Z6761">
        <v>7.2041460000000002E-2</v>
      </c>
      <c r="AA6761">
        <v>0.97204579999999996</v>
      </c>
      <c r="AB6761">
        <v>21</v>
      </c>
      <c r="AC6761">
        <v>8.7289000000000101</v>
      </c>
      <c r="AD6761">
        <v>-1.113387579996</v>
      </c>
      <c r="AE6761">
        <v>-11.730930000000001</v>
      </c>
      <c r="AF6761">
        <v>-3.3143010819066898</v>
      </c>
      <c r="AG6761">
        <v>-1.113387579996</v>
      </c>
      <c r="AH6761">
        <v>14.1550681585255</v>
      </c>
      <c r="AI6761">
        <v>94.379458147723895</v>
      </c>
      <c r="AJ6761">
        <v>103.177974908786</v>
      </c>
      <c r="AK6761">
        <v>14.5804724936238</v>
      </c>
      <c r="AL6761">
        <v>90.063237367367194</v>
      </c>
      <c r="AM6761">
        <v>88.176964657011496</v>
      </c>
      <c r="AN6761">
        <v>0.99999995762309202</v>
      </c>
    </row>
    <row r="6762" spans="1:40" x14ac:dyDescent="0.25">
      <c r="A6762" t="str">
        <f>"20190312160820676"</f>
        <v>20190312160820676</v>
      </c>
      <c r="B6762" t="str">
        <f>"1552378100672441"</f>
        <v>1552378100672441</v>
      </c>
      <c r="C6762" t="s">
        <v>40</v>
      </c>
      <c r="D6762">
        <v>6.2629279999999996</v>
      </c>
      <c r="E6762">
        <v>0.41145779999999899</v>
      </c>
      <c r="F6762" t="s">
        <v>82</v>
      </c>
      <c r="G6762">
        <v>-289.23059999999998</v>
      </c>
      <c r="H6762" s="1">
        <v>-3.665007E-6</v>
      </c>
      <c r="I6762">
        <v>-61.702950000000001</v>
      </c>
      <c r="J6762">
        <v>-298.10899999999998</v>
      </c>
      <c r="K6762">
        <v>1.11347</v>
      </c>
      <c r="L6762">
        <v>-49.92868</v>
      </c>
      <c r="M6762">
        <v>0.40461069999999999</v>
      </c>
      <c r="N6762">
        <v>0</v>
      </c>
      <c r="O6762">
        <v>-0.91438410000000003</v>
      </c>
      <c r="P6762">
        <v>0.37487019999999999</v>
      </c>
      <c r="Q6762">
        <v>-1.5675919999999999E-2</v>
      </c>
      <c r="R6762">
        <v>-0.92694500000000002</v>
      </c>
      <c r="S6762">
        <v>1.8623050000000001</v>
      </c>
      <c r="T6762">
        <v>-0.2310401</v>
      </c>
      <c r="U6762">
        <v>-2.4850159999999999</v>
      </c>
      <c r="V6762">
        <v>3.2294219999999998E-2</v>
      </c>
      <c r="W6762">
        <v>-1.538591E-3</v>
      </c>
      <c r="X6762">
        <v>0.99947719999999995</v>
      </c>
      <c r="Y6762">
        <v>-0.22294549999999999</v>
      </c>
      <c r="Z6762">
        <v>7.1259169999999997E-2</v>
      </c>
      <c r="AA6762">
        <v>0.9722229</v>
      </c>
      <c r="AB6762">
        <v>21</v>
      </c>
      <c r="AC6762">
        <v>8.8784000000000507</v>
      </c>
      <c r="AD6762">
        <v>-1.1134736650070001</v>
      </c>
      <c r="AE6762">
        <v>-11.77427</v>
      </c>
      <c r="AF6762">
        <v>-3.3355765905441301</v>
      </c>
      <c r="AG6762">
        <v>-1.1134736650070001</v>
      </c>
      <c r="AH6762">
        <v>14.278471498352699</v>
      </c>
      <c r="AI6762">
        <v>94.342599745618301</v>
      </c>
      <c r="AJ6762">
        <v>103.148989531068</v>
      </c>
      <c r="AK6762">
        <v>14.7051230230597</v>
      </c>
      <c r="AL6762">
        <v>90.088154807362997</v>
      </c>
      <c r="AM6762">
        <v>88.149353487435604</v>
      </c>
      <c r="AN6762">
        <v>0.999999978613756</v>
      </c>
    </row>
    <row r="6763" spans="1:40" x14ac:dyDescent="0.25">
      <c r="A6763" t="str">
        <f>"20190312160820695"</f>
        <v>20190312160820695</v>
      </c>
      <c r="B6763" t="str">
        <f>"1552378100691960"</f>
        <v>1552378100691960</v>
      </c>
      <c r="C6763" t="s">
        <v>40</v>
      </c>
      <c r="D6763">
        <v>6.2489470000000003</v>
      </c>
      <c r="E6763">
        <v>0.41124430000000001</v>
      </c>
      <c r="F6763" t="s">
        <v>82</v>
      </c>
      <c r="G6763">
        <v>-292.01229999999998</v>
      </c>
      <c r="H6763" s="1">
        <v>-9.2443569999999998E-6</v>
      </c>
      <c r="I6763">
        <v>-58.448569999999997</v>
      </c>
      <c r="J6763">
        <v>-298.03039999999999</v>
      </c>
      <c r="K6763">
        <v>1.1135360000000001</v>
      </c>
      <c r="L6763">
        <v>-50.090060000000001</v>
      </c>
      <c r="M6763">
        <v>0.40979310000000002</v>
      </c>
      <c r="N6763">
        <v>0</v>
      </c>
      <c r="O6763">
        <v>-0.91207309999999997</v>
      </c>
      <c r="P6763">
        <v>0.38001629999999997</v>
      </c>
      <c r="Q6763">
        <v>-1.520849E-2</v>
      </c>
      <c r="R6763">
        <v>-0.92485510000000004</v>
      </c>
      <c r="S6763">
        <v>1.793091</v>
      </c>
      <c r="T6763">
        <v>-0.32748319999999997</v>
      </c>
      <c r="U6763">
        <v>-2.5057680000000002</v>
      </c>
      <c r="V6763">
        <v>3.2410309999999998E-2</v>
      </c>
      <c r="W6763">
        <v>-1.054988E-3</v>
      </c>
      <c r="X6763">
        <v>0.99947410000000003</v>
      </c>
      <c r="Y6763">
        <v>-0.1943107</v>
      </c>
      <c r="Z6763">
        <v>0.10071239999999999</v>
      </c>
      <c r="AA6763">
        <v>0.97575630000000002</v>
      </c>
      <c r="AB6763">
        <v>21</v>
      </c>
      <c r="AC6763">
        <v>6.0180999999999996</v>
      </c>
      <c r="AD6763">
        <v>-1.113545244357</v>
      </c>
      <c r="AE6763">
        <v>-8.3585099999999901</v>
      </c>
      <c r="AF6763">
        <v>-2.0400400289789999</v>
      </c>
      <c r="AG6763">
        <v>-1.113545244357</v>
      </c>
      <c r="AH6763">
        <v>9.9741316333372296</v>
      </c>
      <c r="AI6763">
        <v>96.242135182135399</v>
      </c>
      <c r="AJ6763">
        <v>101.55945116975199</v>
      </c>
      <c r="AK6763">
        <v>10.2413401549897</v>
      </c>
      <c r="AL6763">
        <v>90.060446370512807</v>
      </c>
      <c r="AM6763">
        <v>88.142699750102594</v>
      </c>
      <c r="AN6763">
        <v>1.0000000088823899</v>
      </c>
    </row>
    <row r="6764" spans="1:40" x14ac:dyDescent="0.25">
      <c r="A6764" t="str">
        <f>"20190312160820718"</f>
        <v>20190312160820718</v>
      </c>
      <c r="B6764" t="str">
        <f>"1552378100712457"</f>
        <v>1552378100712457</v>
      </c>
      <c r="C6764" t="s">
        <v>40</v>
      </c>
      <c r="D6764">
        <v>6.2697599999999998</v>
      </c>
      <c r="E6764">
        <v>0.41157870000000002</v>
      </c>
      <c r="F6764" t="s">
        <v>82</v>
      </c>
      <c r="G6764">
        <v>-291.8</v>
      </c>
      <c r="H6764" s="1">
        <v>-9.2977609999999993E-6</v>
      </c>
      <c r="I6764">
        <v>-58.686639999999997</v>
      </c>
      <c r="J6764">
        <v>-297.94029999999998</v>
      </c>
      <c r="K6764">
        <v>1.113604</v>
      </c>
      <c r="L6764">
        <v>-50.271850000000001</v>
      </c>
      <c r="M6764">
        <v>0.41574739999999999</v>
      </c>
      <c r="N6764">
        <v>0</v>
      </c>
      <c r="O6764">
        <v>-0.90937420000000002</v>
      </c>
      <c r="P6764">
        <v>0.38659260000000001</v>
      </c>
      <c r="Q6764">
        <v>-1.4979080000000001E-2</v>
      </c>
      <c r="R6764">
        <v>-0.92212930000000004</v>
      </c>
      <c r="S6764">
        <v>1.8085020000000001</v>
      </c>
      <c r="T6764">
        <v>-0.32322899999999999</v>
      </c>
      <c r="U6764">
        <v>-2.4953310000000002</v>
      </c>
      <c r="V6764">
        <v>3.1827210000000002E-2</v>
      </c>
      <c r="W6764">
        <v>-8.1433619999999999E-4</v>
      </c>
      <c r="X6764">
        <v>0.99949310000000002</v>
      </c>
      <c r="Y6764">
        <v>-0.19388269999999999</v>
      </c>
      <c r="Z6764">
        <v>9.9170930000000004E-2</v>
      </c>
      <c r="AA6764">
        <v>0.97599930000000001</v>
      </c>
      <c r="AB6764">
        <v>21</v>
      </c>
      <c r="AC6764">
        <v>6.1402999999999599</v>
      </c>
      <c r="AD6764">
        <v>-1.113613297761</v>
      </c>
      <c r="AE6764">
        <v>-8.41479</v>
      </c>
      <c r="AF6764">
        <v>-2.0620381490975301</v>
      </c>
      <c r="AG6764">
        <v>-1.113613297761</v>
      </c>
      <c r="AH6764">
        <v>10.090668183988999</v>
      </c>
      <c r="AI6764">
        <v>96.171197491355301</v>
      </c>
      <c r="AJ6764">
        <v>101.549436467815</v>
      </c>
      <c r="AK6764">
        <v>10.359233577087201</v>
      </c>
      <c r="AL6764">
        <v>90.046658030389494</v>
      </c>
      <c r="AM6764">
        <v>88.176126661517699</v>
      </c>
      <c r="AN6764">
        <v>1.0000000456937099</v>
      </c>
    </row>
    <row r="6765" spans="1:40" x14ac:dyDescent="0.25">
      <c r="A6765" t="str">
        <f>"20190312160820738"</f>
        <v>20190312160820738</v>
      </c>
      <c r="B6765" t="str">
        <f>"1552378100731976"</f>
        <v>1552378100731976</v>
      </c>
      <c r="C6765" t="s">
        <v>40</v>
      </c>
      <c r="D6765">
        <v>6.329358</v>
      </c>
      <c r="E6765">
        <v>0.41077570000000002</v>
      </c>
      <c r="F6765" t="s">
        <v>82</v>
      </c>
      <c r="G6765">
        <v>-291.25130000000001</v>
      </c>
      <c r="H6765" s="1">
        <v>-9.4272399999999995E-6</v>
      </c>
      <c r="I6765">
        <v>-59.387790000000003</v>
      </c>
      <c r="J6765">
        <v>-297.8537</v>
      </c>
      <c r="K6765">
        <v>1.1136569999999999</v>
      </c>
      <c r="L6765">
        <v>-50.443730000000002</v>
      </c>
      <c r="M6765">
        <v>0.421483</v>
      </c>
      <c r="N6765">
        <v>0</v>
      </c>
      <c r="O6765">
        <v>-0.90673009999999998</v>
      </c>
      <c r="P6765">
        <v>0.39279789999999998</v>
      </c>
      <c r="Q6765">
        <v>-1.5334E-2</v>
      </c>
      <c r="R6765">
        <v>-0.91949740000000002</v>
      </c>
      <c r="S6765">
        <v>1.822845</v>
      </c>
      <c r="T6765">
        <v>-0.30347160000000001</v>
      </c>
      <c r="U6765">
        <v>-2.4841920000000002</v>
      </c>
      <c r="V6765">
        <v>3.140577E-2</v>
      </c>
      <c r="W6765">
        <v>-1.159092E-3</v>
      </c>
      <c r="X6765">
        <v>0.99950609999999995</v>
      </c>
      <c r="Y6765">
        <v>-0.1938182</v>
      </c>
      <c r="Z6765">
        <v>9.2974669999999995E-2</v>
      </c>
      <c r="AA6765">
        <v>0.97662190000000004</v>
      </c>
      <c r="AB6765">
        <v>21</v>
      </c>
      <c r="AC6765">
        <v>6.6023999999999798</v>
      </c>
      <c r="AD6765">
        <v>-1.1136664272400001</v>
      </c>
      <c r="AE6765">
        <v>-8.9440600000000003</v>
      </c>
      <c r="AF6765">
        <v>-2.1950112919159799</v>
      </c>
      <c r="AG6765">
        <v>-1.1136664272400001</v>
      </c>
      <c r="AH6765">
        <v>10.785460606483401</v>
      </c>
      <c r="AI6765">
        <v>95.777644841604697</v>
      </c>
      <c r="AJ6765">
        <v>101.503491863031</v>
      </c>
      <c r="AK6765">
        <v>11.0627522785609</v>
      </c>
      <c r="AL6765">
        <v>90.066411090891194</v>
      </c>
      <c r="AM6765">
        <v>88.200284883722802</v>
      </c>
      <c r="AN6765">
        <v>1.00000005491038</v>
      </c>
    </row>
    <row r="6766" spans="1:40" x14ac:dyDescent="0.25">
      <c r="A6766" t="str">
        <f>"20190312160820761"</f>
        <v>20190312160820761</v>
      </c>
      <c r="B6766" t="str">
        <f>"1552378100752472"</f>
        <v>1552378100752472</v>
      </c>
      <c r="C6766" t="s">
        <v>40</v>
      </c>
      <c r="D6766">
        <v>6.3345529999999997</v>
      </c>
      <c r="E6766">
        <v>0.41059180000000001</v>
      </c>
      <c r="F6766" t="s">
        <v>82</v>
      </c>
      <c r="G6766">
        <v>-290.78410000000002</v>
      </c>
      <c r="H6766" s="1">
        <v>-9.545311E-6</v>
      </c>
      <c r="I6766">
        <v>-59.906059999999997</v>
      </c>
      <c r="J6766">
        <v>-297.762</v>
      </c>
      <c r="K6766">
        <v>1.1137079999999999</v>
      </c>
      <c r="L6766">
        <v>-50.622190000000003</v>
      </c>
      <c r="M6766">
        <v>0.42755219999999999</v>
      </c>
      <c r="N6766">
        <v>0</v>
      </c>
      <c r="O6766">
        <v>-0.90388389999999996</v>
      </c>
      <c r="P6766">
        <v>0.39998119999999998</v>
      </c>
      <c r="Q6766">
        <v>-1.4973169999999999E-2</v>
      </c>
      <c r="R6766">
        <v>-0.91640109999999997</v>
      </c>
      <c r="S6766">
        <v>1.8451230000000001</v>
      </c>
      <c r="T6766">
        <v>-0.290663</v>
      </c>
      <c r="U6766">
        <v>-2.4696349999999998</v>
      </c>
      <c r="V6766">
        <v>3.0284309999999998E-2</v>
      </c>
      <c r="W6766">
        <v>-7.9481389999999999E-4</v>
      </c>
      <c r="X6766">
        <v>0.99954100000000001</v>
      </c>
      <c r="Y6766">
        <v>-0.1959014</v>
      </c>
      <c r="Z6766">
        <v>8.8870060000000001E-2</v>
      </c>
      <c r="AA6766">
        <v>0.97658829999999996</v>
      </c>
      <c r="AB6766">
        <v>20</v>
      </c>
      <c r="AC6766">
        <v>6.9778999999999698</v>
      </c>
      <c r="AD6766">
        <v>-1.113717545311</v>
      </c>
      <c r="AE6766">
        <v>-9.2838699999999896</v>
      </c>
      <c r="AF6766">
        <v>-2.3167928797967998</v>
      </c>
      <c r="AG6766">
        <v>-1.113717545311</v>
      </c>
      <c r="AH6766">
        <v>11.2723942523539</v>
      </c>
      <c r="AI6766">
        <v>95.527731077788701</v>
      </c>
      <c r="AJ6766">
        <v>101.614156445349</v>
      </c>
      <c r="AK6766">
        <v>11.561780494331799</v>
      </c>
      <c r="AL6766">
        <v>90.045539487176498</v>
      </c>
      <c r="AM6766">
        <v>88.264570946830403</v>
      </c>
      <c r="AN6766">
        <v>0.99999999092115499</v>
      </c>
    </row>
    <row r="6767" spans="1:40" x14ac:dyDescent="0.25">
      <c r="A6767" t="str">
        <f>"20190312160820783"</f>
        <v>20190312160820783</v>
      </c>
      <c r="B6767" t="str">
        <f>"1552378100771992"</f>
        <v>1552378100771992</v>
      </c>
      <c r="C6767" t="s">
        <v>40</v>
      </c>
      <c r="D6767">
        <v>5.9019180000000002</v>
      </c>
      <c r="E6767">
        <v>0.41027439999999998</v>
      </c>
      <c r="F6767" t="s">
        <v>82</v>
      </c>
      <c r="G6767">
        <v>-290.48099999999999</v>
      </c>
      <c r="H6767" s="1">
        <v>-9.6254340000000007E-6</v>
      </c>
      <c r="I6767">
        <v>-60.20729</v>
      </c>
      <c r="J6767">
        <v>-297.66969999999998</v>
      </c>
      <c r="K6767">
        <v>1.113753</v>
      </c>
      <c r="L6767">
        <v>-50.79889</v>
      </c>
      <c r="M6767">
        <v>0.43366949999999999</v>
      </c>
      <c r="N6767">
        <v>0</v>
      </c>
      <c r="O6767">
        <v>-0.9009646</v>
      </c>
      <c r="P6767">
        <v>0.40727380000000002</v>
      </c>
      <c r="Q6767">
        <v>-1.430552E-2</v>
      </c>
      <c r="R6767">
        <v>-0.91319410000000001</v>
      </c>
      <c r="S6767">
        <v>1.8648990000000001</v>
      </c>
      <c r="T6767">
        <v>-0.28525830000000002</v>
      </c>
      <c r="U6767">
        <v>-2.4550480000000001</v>
      </c>
      <c r="V6767">
        <v>2.9090419999999999E-2</v>
      </c>
      <c r="W6767">
        <v>-1.244614E-4</v>
      </c>
      <c r="X6767">
        <v>0.99957669999999998</v>
      </c>
      <c r="Y6767">
        <v>-0.19714119999999999</v>
      </c>
      <c r="Z6767">
        <v>8.7036539999999996E-2</v>
      </c>
      <c r="AA6767">
        <v>0.97650400000000004</v>
      </c>
      <c r="AB6767">
        <v>20</v>
      </c>
      <c r="AC6767">
        <v>7.1886999999999803</v>
      </c>
      <c r="AD6767">
        <v>-1.1137626254340001</v>
      </c>
      <c r="AE6767">
        <v>-9.4084000000000003</v>
      </c>
      <c r="AF6767">
        <v>-2.3758383409521602</v>
      </c>
      <c r="AG6767">
        <v>-1.1137626254340001</v>
      </c>
      <c r="AH6767">
        <v>11.493580786349099</v>
      </c>
      <c r="AI6767">
        <v>95.420952236542803</v>
      </c>
      <c r="AJ6767">
        <v>101.679120154231</v>
      </c>
      <c r="AK6767">
        <v>11.7892949026006</v>
      </c>
      <c r="AL6767">
        <v>90.007131113495404</v>
      </c>
      <c r="AM6767">
        <v>88.333006396795895</v>
      </c>
      <c r="AN6767">
        <v>0.99999992360464995</v>
      </c>
    </row>
    <row r="6768" spans="1:40" x14ac:dyDescent="0.25">
      <c r="A6768" t="str">
        <f>"20190312160820806"</f>
        <v>20190312160820806</v>
      </c>
      <c r="B6768" t="str">
        <f>"1552378100802249"</f>
        <v>1552378100802249</v>
      </c>
      <c r="C6768" t="s">
        <v>40</v>
      </c>
      <c r="D6768">
        <v>6.2152830000000003</v>
      </c>
      <c r="E6768">
        <v>0.41083599999999998</v>
      </c>
      <c r="F6768" t="s">
        <v>82</v>
      </c>
      <c r="G6768">
        <v>-290.05090000000001</v>
      </c>
      <c r="H6768" s="1">
        <v>-9.8814369999999995E-6</v>
      </c>
      <c r="I6768">
        <v>-60.651000000000003</v>
      </c>
      <c r="J6768">
        <v>-297.57350000000002</v>
      </c>
      <c r="K6768">
        <v>1.1138030000000001</v>
      </c>
      <c r="L6768">
        <v>-50.979709999999997</v>
      </c>
      <c r="M6768">
        <v>0.44004090000000001</v>
      </c>
      <c r="N6768">
        <v>0</v>
      </c>
      <c r="O6768">
        <v>-0.8978699</v>
      </c>
      <c r="P6768">
        <v>0.41457909999999998</v>
      </c>
      <c r="Q6768">
        <v>-1.476626E-2</v>
      </c>
      <c r="R6768">
        <v>-0.90989379999999997</v>
      </c>
      <c r="S6768">
        <v>1.8865050000000001</v>
      </c>
      <c r="T6768">
        <v>-0.2757792</v>
      </c>
      <c r="U6768">
        <v>-2.4394840000000002</v>
      </c>
      <c r="V6768">
        <v>2.8161909999999998E-2</v>
      </c>
      <c r="W6768">
        <v>-5.7934070000000004E-4</v>
      </c>
      <c r="X6768">
        <v>0.99960320000000003</v>
      </c>
      <c r="Y6768">
        <v>-0.1987997</v>
      </c>
      <c r="Z6768">
        <v>8.3958840000000007E-2</v>
      </c>
      <c r="AA6768">
        <v>0.97643720000000001</v>
      </c>
      <c r="AB6768">
        <v>20</v>
      </c>
      <c r="AC6768">
        <v>7.5226000000000104</v>
      </c>
      <c r="AD6768">
        <v>-1.1138128814370001</v>
      </c>
      <c r="AE6768">
        <v>-9.6712900000000008</v>
      </c>
      <c r="AF6768">
        <v>-2.47831478253392</v>
      </c>
      <c r="AG6768">
        <v>-1.1138128814370001</v>
      </c>
      <c r="AH6768">
        <v>11.8966624993958</v>
      </c>
      <c r="AI6768">
        <v>95.236886096217901</v>
      </c>
      <c r="AJ6768">
        <v>101.767566229823</v>
      </c>
      <c r="AK6768">
        <v>12.2029997099366</v>
      </c>
      <c r="AL6768">
        <v>90.033193779095001</v>
      </c>
      <c r="AM6768">
        <v>88.386227772120193</v>
      </c>
      <c r="AN6768">
        <v>0.99999999313036703</v>
      </c>
    </row>
    <row r="6769" spans="1:40" x14ac:dyDescent="0.25">
      <c r="A6769" t="str">
        <f>"20190312160820828"</f>
        <v>20190312160820828</v>
      </c>
      <c r="B6769" t="str">
        <f>"1552378100821769"</f>
        <v>1552378100821769</v>
      </c>
      <c r="C6769" t="s">
        <v>40</v>
      </c>
      <c r="D6769">
        <v>5.9929819999999996</v>
      </c>
      <c r="E6769">
        <v>0.41088140000000001</v>
      </c>
      <c r="F6769" t="s">
        <v>82</v>
      </c>
      <c r="G6769">
        <v>-289.82830000000001</v>
      </c>
      <c r="H6769" s="1">
        <v>-3.5050189999999998E-6</v>
      </c>
      <c r="I6769">
        <v>-60.858350000000002</v>
      </c>
      <c r="J6769">
        <v>-297.4785</v>
      </c>
      <c r="K6769">
        <v>1.113858</v>
      </c>
      <c r="L6769">
        <v>-51.155119999999997</v>
      </c>
      <c r="M6769">
        <v>0.44632519999999998</v>
      </c>
      <c r="N6769">
        <v>0</v>
      </c>
      <c r="O6769">
        <v>-0.89476250000000002</v>
      </c>
      <c r="P6769">
        <v>0.42094969999999998</v>
      </c>
      <c r="Q6769">
        <v>-1.468534E-2</v>
      </c>
      <c r="R6769">
        <v>-0.90696529999999997</v>
      </c>
      <c r="S6769">
        <v>1.902069</v>
      </c>
      <c r="T6769">
        <v>-0.2735282</v>
      </c>
      <c r="U6769">
        <v>-2.4259949999999999</v>
      </c>
      <c r="V6769">
        <v>2.8160170000000002E-2</v>
      </c>
      <c r="W6769">
        <v>-4.8408499999999998E-4</v>
      </c>
      <c r="X6769">
        <v>0.99960329999999997</v>
      </c>
      <c r="Y6769">
        <v>-0.19848750000000001</v>
      </c>
      <c r="Z6769">
        <v>8.3082920000000005E-2</v>
      </c>
      <c r="AA6769">
        <v>0.97657559999999999</v>
      </c>
      <c r="AB6769">
        <v>20</v>
      </c>
      <c r="AC6769">
        <v>7.6501999999999803</v>
      </c>
      <c r="AD6769">
        <v>-1.1138615050189999</v>
      </c>
      <c r="AE6769">
        <v>-9.7032299999999907</v>
      </c>
      <c r="AF6769">
        <v>-2.4942907847144702</v>
      </c>
      <c r="AG6769">
        <v>-1.1138615050189999</v>
      </c>
      <c r="AH6769">
        <v>12.000220527172599</v>
      </c>
      <c r="AI6769">
        <v>95.192647335395705</v>
      </c>
      <c r="AJ6769">
        <v>101.741951085652</v>
      </c>
      <c r="AK6769">
        <v>12.307211978017101</v>
      </c>
      <c r="AL6769">
        <v>90.027736028690697</v>
      </c>
      <c r="AM6769">
        <v>88.386327588603294</v>
      </c>
      <c r="AN6769">
        <v>0.99999999344180301</v>
      </c>
    </row>
    <row r="6770" spans="1:40" x14ac:dyDescent="0.25">
      <c r="A6770" t="str">
        <f>"20190312160820850"</f>
        <v>20190312160820850</v>
      </c>
      <c r="B6770" t="str">
        <f>"1552378100842264"</f>
        <v>1552378100842264</v>
      </c>
      <c r="C6770" t="s">
        <v>40</v>
      </c>
      <c r="D6770">
        <v>3.5632630000000001</v>
      </c>
      <c r="E6770">
        <v>0.41088140000000001</v>
      </c>
      <c r="F6770" t="s">
        <v>82</v>
      </c>
      <c r="G6770">
        <v>-289.64550000000003</v>
      </c>
      <c r="H6770" s="1">
        <v>-3.5803970000000002E-6</v>
      </c>
      <c r="I6770">
        <v>-61.00544</v>
      </c>
      <c r="J6770">
        <v>-297.38279999999997</v>
      </c>
      <c r="K6770">
        <v>1.113907</v>
      </c>
      <c r="L6770">
        <v>-51.328490000000002</v>
      </c>
      <c r="M6770">
        <v>0.45263730000000002</v>
      </c>
      <c r="N6770">
        <v>0</v>
      </c>
      <c r="O6770">
        <v>-0.89158570000000004</v>
      </c>
      <c r="P6770">
        <v>0.42713839999999997</v>
      </c>
      <c r="Q6770">
        <v>-1.430909E-2</v>
      </c>
      <c r="R6770">
        <v>-0.90407320000000002</v>
      </c>
      <c r="S6770">
        <v>1.918671</v>
      </c>
      <c r="T6770">
        <v>-0.27283780000000002</v>
      </c>
      <c r="U6770">
        <v>-2.412811</v>
      </c>
      <c r="V6770">
        <v>2.8391690000000001E-2</v>
      </c>
      <c r="W6770" s="1">
        <v>-9.1338699999999993E-5</v>
      </c>
      <c r="X6770">
        <v>0.99959690000000001</v>
      </c>
      <c r="Y6770">
        <v>-0.1982971</v>
      </c>
      <c r="Z6770">
        <v>8.2648899999999997E-2</v>
      </c>
      <c r="AA6770">
        <v>0.97665109999999999</v>
      </c>
      <c r="AB6770">
        <v>20</v>
      </c>
      <c r="AC6770">
        <v>7.7372999999999399</v>
      </c>
      <c r="AD6770">
        <v>-1.113910580397</v>
      </c>
      <c r="AE6770">
        <v>-9.6769499999999908</v>
      </c>
      <c r="AF6770">
        <v>-2.4983683298999599</v>
      </c>
      <c r="AG6770">
        <v>-1.113910580397</v>
      </c>
      <c r="AH6770">
        <v>12.033931250893099</v>
      </c>
      <c r="AI6770">
        <v>95.178656899508198</v>
      </c>
      <c r="AJ6770">
        <v>101.728580843667</v>
      </c>
      <c r="AK6770">
        <v>12.3409133553473</v>
      </c>
      <c r="AL6770">
        <v>90.005233321869298</v>
      </c>
      <c r="AM6770">
        <v>88.373057404441099</v>
      </c>
      <c r="AN6770">
        <v>1.00000002944671</v>
      </c>
    </row>
    <row r="6771" spans="1:40" x14ac:dyDescent="0.25">
      <c r="A6771" t="str">
        <f>"20190312160821119"</f>
        <v>20190312160821119</v>
      </c>
      <c r="B6771" t="str">
        <f>"1552378101112616"</f>
        <v>1552378101112616</v>
      </c>
      <c r="C6771" t="s">
        <v>40</v>
      </c>
      <c r="D6771">
        <v>5.2474990000000004</v>
      </c>
      <c r="E6771">
        <v>0.40787590000000001</v>
      </c>
      <c r="F6771" t="s">
        <v>82</v>
      </c>
      <c r="G6771">
        <v>-289.46129999999999</v>
      </c>
      <c r="H6771" s="1">
        <v>-3.646846E-6</v>
      </c>
      <c r="I6771">
        <v>-61.152850000000001</v>
      </c>
      <c r="J6771">
        <v>-296.12329999999997</v>
      </c>
      <c r="K6771">
        <v>1.114409</v>
      </c>
      <c r="L6771">
        <v>-53.349369999999901</v>
      </c>
      <c r="M6771">
        <v>0.53386840000000002</v>
      </c>
      <c r="N6771">
        <v>0</v>
      </c>
      <c r="O6771">
        <v>-0.84545059999999905</v>
      </c>
      <c r="P6771">
        <v>0.51175909999999902</v>
      </c>
      <c r="Q6771">
        <v>-1.744822E-2</v>
      </c>
      <c r="R6771">
        <v>-0.85895219999999906</v>
      </c>
      <c r="S6771">
        <v>1.934998</v>
      </c>
      <c r="T6771">
        <v>-0.27209660000000002</v>
      </c>
      <c r="U6771">
        <v>-2.3998110000000001</v>
      </c>
      <c r="V6771">
        <v>2.5938719999999998E-2</v>
      </c>
      <c r="W6771">
        <v>-3.0955800000000001E-3</v>
      </c>
      <c r="X6771">
        <v>0.99965879999999996</v>
      </c>
      <c r="Y6771">
        <v>-0.1128914</v>
      </c>
      <c r="Z6771">
        <v>7.7046719999999999E-2</v>
      </c>
      <c r="AA6771">
        <v>0.99061560000000004</v>
      </c>
      <c r="AB6771">
        <v>20</v>
      </c>
      <c r="AC6771">
        <v>6.6619999999999697</v>
      </c>
      <c r="AD6771">
        <v>-1.1144126468460001</v>
      </c>
      <c r="AE6771">
        <v>-7.8034800000000004</v>
      </c>
      <c r="AF6771">
        <v>-1.44940735022912</v>
      </c>
      <c r="AG6771">
        <v>-1.1144126468460001</v>
      </c>
      <c r="AH6771">
        <v>10.0366927618741</v>
      </c>
      <c r="AI6771">
        <v>96.271290487364794</v>
      </c>
      <c r="AJ6771">
        <v>98.217323855830998</v>
      </c>
      <c r="AK6771">
        <v>10.2018576156799</v>
      </c>
      <c r="AL6771">
        <v>90.177363942106894</v>
      </c>
      <c r="AM6771">
        <v>88.513647076274296</v>
      </c>
      <c r="AN6771">
        <v>1.0000000581141</v>
      </c>
    </row>
    <row r="6772" spans="1:40" x14ac:dyDescent="0.25">
      <c r="A6772" t="str">
        <f>"20190312160821140"</f>
        <v>20190312160821140</v>
      </c>
      <c r="B6772" t="str">
        <f>"1552378101132136"</f>
        <v>1552378101132136</v>
      </c>
      <c r="C6772" t="s">
        <v>40</v>
      </c>
      <c r="D6772">
        <v>5.9170600000000002</v>
      </c>
      <c r="E6772">
        <v>0.40880260000000002</v>
      </c>
      <c r="F6772" t="s">
        <v>82</v>
      </c>
      <c r="G6772">
        <v>-288.03980000000001</v>
      </c>
      <c r="H6772" s="1">
        <v>-4.3040629999999996E-6</v>
      </c>
      <c r="I6772">
        <v>-61.479419999999998</v>
      </c>
      <c r="J6772">
        <v>-296.0145</v>
      </c>
      <c r="K6772">
        <v>1.1144320000000001</v>
      </c>
      <c r="L6772">
        <v>-53.503880000000002</v>
      </c>
      <c r="M6772">
        <v>0.54063969999999995</v>
      </c>
      <c r="N6772">
        <v>0</v>
      </c>
      <c r="O6772">
        <v>-0.84113649999999995</v>
      </c>
      <c r="P6772">
        <v>0.51820339999999998</v>
      </c>
      <c r="Q6772">
        <v>-1.742467E-2</v>
      </c>
      <c r="R6772">
        <v>-0.8550799</v>
      </c>
      <c r="S6772">
        <v>2.176971</v>
      </c>
      <c r="T6772">
        <v>-0.30012369999999999</v>
      </c>
      <c r="U6772">
        <v>-2.189514</v>
      </c>
      <c r="V6772">
        <v>2.6448570000000001E-2</v>
      </c>
      <c r="W6772">
        <v>-3.056231E-3</v>
      </c>
      <c r="X6772">
        <v>0.99964549999999996</v>
      </c>
      <c r="Y6772">
        <v>-0.2065553</v>
      </c>
      <c r="Z6772">
        <v>8.6919010000000005E-2</v>
      </c>
      <c r="AA6772">
        <v>0.97456659999999995</v>
      </c>
      <c r="AB6772">
        <v>20</v>
      </c>
      <c r="AC6772">
        <v>7.9746999999999799</v>
      </c>
      <c r="AD6772">
        <v>-1.1144363040630001</v>
      </c>
      <c r="AE6772">
        <v>-7.9755399999999899</v>
      </c>
      <c r="AF6772">
        <v>-2.37298636804453</v>
      </c>
      <c r="AG6772">
        <v>-1.1144363040630001</v>
      </c>
      <c r="AH6772">
        <v>10.9144852185958</v>
      </c>
      <c r="AI6772">
        <v>95.697841494593902</v>
      </c>
      <c r="AJ6772">
        <v>102.26613810788299</v>
      </c>
      <c r="AK6772">
        <v>11.224928514947701</v>
      </c>
      <c r="AL6772">
        <v>90.175109410727202</v>
      </c>
      <c r="AM6772">
        <v>88.484424747967907</v>
      </c>
      <c r="AN6772">
        <v>0.99999999653660998</v>
      </c>
    </row>
    <row r="6773" spans="1:40" x14ac:dyDescent="0.25">
      <c r="A6773" t="str">
        <f>"20190312160821163"</f>
        <v>20190312160821163</v>
      </c>
      <c r="B6773" t="str">
        <f>"1552378101152632"</f>
        <v>1552378101152632</v>
      </c>
      <c r="C6773" t="s">
        <v>40</v>
      </c>
      <c r="D6773">
        <v>5.81175</v>
      </c>
      <c r="E6773">
        <v>0.40775539999999999</v>
      </c>
      <c r="F6773" t="s">
        <v>82</v>
      </c>
      <c r="G6773">
        <v>-287.85079999999999</v>
      </c>
      <c r="H6773" s="1">
        <v>-4.3722859999999997E-6</v>
      </c>
      <c r="I6773">
        <v>-61.630510000000001</v>
      </c>
      <c r="J6773">
        <v>-295.90089999999998</v>
      </c>
      <c r="K6773">
        <v>1.1144510000000001</v>
      </c>
      <c r="L6773">
        <v>-53.662379999999999</v>
      </c>
      <c r="M6773">
        <v>0.54766340000000002</v>
      </c>
      <c r="N6773">
        <v>0</v>
      </c>
      <c r="O6773">
        <v>-0.8365802</v>
      </c>
      <c r="P6773">
        <v>0.52543280000000003</v>
      </c>
      <c r="Q6773">
        <v>-1.8078440000000001E-2</v>
      </c>
      <c r="R6773">
        <v>-0.85064319999999904</v>
      </c>
      <c r="S6773">
        <v>2.1869510000000001</v>
      </c>
      <c r="T6773">
        <v>-0.29854049999999999</v>
      </c>
      <c r="U6773">
        <v>-2.1770019999999999</v>
      </c>
      <c r="V6773">
        <v>2.6345009999999999E-2</v>
      </c>
      <c r="W6773">
        <v>-3.7022259999999999E-3</v>
      </c>
      <c r="X6773">
        <v>0.99964609999999998</v>
      </c>
      <c r="Y6773">
        <v>-0.20343359999999999</v>
      </c>
      <c r="Z6773">
        <v>8.6061819999999997E-2</v>
      </c>
      <c r="AA6773">
        <v>0.97529900000000003</v>
      </c>
      <c r="AB6773">
        <v>20</v>
      </c>
      <c r="AC6773">
        <v>8.0500999999999792</v>
      </c>
      <c r="AD6773">
        <v>-1.114455372286</v>
      </c>
      <c r="AE6773">
        <v>-7.9681299999999897</v>
      </c>
      <c r="AF6773">
        <v>-2.3482035902841898</v>
      </c>
      <c r="AG6773">
        <v>-1.114455372286</v>
      </c>
      <c r="AH6773">
        <v>10.969627856001701</v>
      </c>
      <c r="AI6773">
        <v>95.673376302034399</v>
      </c>
      <c r="AJ6773">
        <v>102.08261679604099</v>
      </c>
      <c r="AK6773">
        <v>11.2733671180091</v>
      </c>
      <c r="AL6773">
        <v>90.212122399499904</v>
      </c>
      <c r="AM6773">
        <v>88.490357172808103</v>
      </c>
      <c r="AN6773">
        <v>1.00000004563723</v>
      </c>
    </row>
    <row r="6774" spans="1:40" x14ac:dyDescent="0.25">
      <c r="A6774" t="str">
        <f>"20190312160821185"</f>
        <v>20190312160821185</v>
      </c>
      <c r="B6774" t="str">
        <f>"1552378101181912"</f>
        <v>1552378101181912</v>
      </c>
      <c r="C6774" t="s">
        <v>40</v>
      </c>
      <c r="D6774">
        <v>5.8728069999999999</v>
      </c>
      <c r="E6774">
        <v>0.40662619999999999</v>
      </c>
      <c r="F6774" t="s">
        <v>82</v>
      </c>
      <c r="G6774">
        <v>-287.80700000000002</v>
      </c>
      <c r="H6774" s="1">
        <v>-4.4101579999999998E-6</v>
      </c>
      <c r="I6774">
        <v>-61.541550000000001</v>
      </c>
      <c r="J6774">
        <v>-295.78460000000001</v>
      </c>
      <c r="K6774">
        <v>1.1144689999999999</v>
      </c>
      <c r="L6774">
        <v>-53.821689999999997</v>
      </c>
      <c r="M6774">
        <v>0.55479499999999904</v>
      </c>
      <c r="N6774">
        <v>0</v>
      </c>
      <c r="O6774">
        <v>-0.83186779999999905</v>
      </c>
      <c r="P6774">
        <v>0.53289180000000003</v>
      </c>
      <c r="Q6774">
        <v>-1.8353919999999999E-2</v>
      </c>
      <c r="R6774">
        <v>-0.84598459999999998</v>
      </c>
      <c r="S6774">
        <v>2.212402</v>
      </c>
      <c r="T6774">
        <v>-0.30462470000000003</v>
      </c>
      <c r="U6774">
        <v>-2.1536870000000001</v>
      </c>
      <c r="V6774">
        <v>2.6101369999999999E-2</v>
      </c>
      <c r="W6774">
        <v>-3.9735200000000004E-3</v>
      </c>
      <c r="X6774">
        <v>0.99965139999999997</v>
      </c>
      <c r="Y6774">
        <v>-0.20584240000000001</v>
      </c>
      <c r="Z6774">
        <v>8.7430419999999995E-2</v>
      </c>
      <c r="AA6774">
        <v>0.97467170000000003</v>
      </c>
      <c r="AB6774">
        <v>20</v>
      </c>
      <c r="AC6774">
        <v>7.97759999999999</v>
      </c>
      <c r="AD6774">
        <v>-1.1144734101580001</v>
      </c>
      <c r="AE6774">
        <v>-7.71985999999999</v>
      </c>
      <c r="AF6774">
        <v>-2.3301184321614601</v>
      </c>
      <c r="AG6774">
        <v>-1.1144734101580001</v>
      </c>
      <c r="AH6774">
        <v>10.740663004474101</v>
      </c>
      <c r="AI6774">
        <v>95.790186559130007</v>
      </c>
      <c r="AJ6774">
        <v>102.24027914453499</v>
      </c>
      <c r="AK6774">
        <v>11.0468703561473</v>
      </c>
      <c r="AL6774">
        <v>90.227666525834806</v>
      </c>
      <c r="AM6774">
        <v>88.504319981849406</v>
      </c>
      <c r="AN6774">
        <v>0.99999999594951305</v>
      </c>
    </row>
    <row r="6775" spans="1:40" x14ac:dyDescent="0.25">
      <c r="A6775" t="str">
        <f>"20190312160821208"</f>
        <v>20190312160821208</v>
      </c>
      <c r="B6775" t="str">
        <f>"1552378101202411"</f>
        <v>1552378101202411</v>
      </c>
      <c r="C6775" t="s">
        <v>40</v>
      </c>
      <c r="D6775">
        <v>5.9991820000000002</v>
      </c>
      <c r="E6775">
        <v>0.40615069999999998</v>
      </c>
      <c r="F6775" t="s">
        <v>82</v>
      </c>
      <c r="G6775">
        <v>-287.69459999999998</v>
      </c>
      <c r="H6775" s="1">
        <v>-4.471541E-6</v>
      </c>
      <c r="I6775">
        <v>-61.514310000000002</v>
      </c>
      <c r="J6775">
        <v>-295.66910000000001</v>
      </c>
      <c r="K6775">
        <v>1.1144889999999901</v>
      </c>
      <c r="L6775">
        <v>-53.977049999999998</v>
      </c>
      <c r="M6775">
        <v>0.56181719999999902</v>
      </c>
      <c r="N6775">
        <v>0</v>
      </c>
      <c r="O6775">
        <v>-0.82714129999999997</v>
      </c>
      <c r="P6775">
        <v>0.54056019999999905</v>
      </c>
      <c r="Q6775">
        <v>-1.893048E-2</v>
      </c>
      <c r="R6775">
        <v>-0.84109249999999902</v>
      </c>
      <c r="S6775">
        <v>2.2390439999999998</v>
      </c>
      <c r="T6775">
        <v>-0.30844890000000003</v>
      </c>
      <c r="U6775">
        <v>-2.1290589999999998</v>
      </c>
      <c r="V6775">
        <v>2.5475950000000001E-2</v>
      </c>
      <c r="W6775">
        <v>-4.5544540000000003E-3</v>
      </c>
      <c r="X6775">
        <v>0.99966509999999997</v>
      </c>
      <c r="Y6775">
        <v>-0.20892040000000001</v>
      </c>
      <c r="Z6775">
        <v>8.8152460000000002E-2</v>
      </c>
      <c r="AA6775">
        <v>0.97395149999999997</v>
      </c>
      <c r="AB6775">
        <v>20</v>
      </c>
      <c r="AC6775">
        <v>7.9745000000000301</v>
      </c>
      <c r="AD6775">
        <v>-1.11449347154099</v>
      </c>
      <c r="AE6775">
        <v>-7.5372599999999901</v>
      </c>
      <c r="AF6775">
        <v>-2.3375956347232898</v>
      </c>
      <c r="AG6775">
        <v>-1.11449347154099</v>
      </c>
      <c r="AH6775">
        <v>10.606239331605501</v>
      </c>
      <c r="AI6775">
        <v>95.858972229163797</v>
      </c>
      <c r="AJ6775">
        <v>102.42917643352899</v>
      </c>
      <c r="AK6775">
        <v>10.9178185462518</v>
      </c>
      <c r="AL6775">
        <v>90.260951884009501</v>
      </c>
      <c r="AM6775">
        <v>88.540162560654906</v>
      </c>
      <c r="AN6775">
        <v>1.00000003961882</v>
      </c>
    </row>
    <row r="6776" spans="1:40" x14ac:dyDescent="0.25">
      <c r="A6776" t="str">
        <f>"20190312160821230"</f>
        <v>20190312160821230</v>
      </c>
      <c r="B6776" t="str">
        <f>"1552378101221928"</f>
        <v>1552378101221928</v>
      </c>
      <c r="C6776" t="s">
        <v>40</v>
      </c>
      <c r="D6776">
        <v>5.8228819999999999</v>
      </c>
      <c r="E6776">
        <v>0.40589900000000001</v>
      </c>
      <c r="F6776" t="s">
        <v>82</v>
      </c>
      <c r="G6776">
        <v>-287.63729999999998</v>
      </c>
      <c r="H6776" s="1">
        <v>-4.5108369999999996E-6</v>
      </c>
      <c r="I6776">
        <v>-61.455530000000003</v>
      </c>
      <c r="J6776">
        <v>-295.55259999999998</v>
      </c>
      <c r="K6776">
        <v>1.1145050000000001</v>
      </c>
      <c r="L6776">
        <v>-54.131010000000003</v>
      </c>
      <c r="M6776">
        <v>0.56883319999999904</v>
      </c>
      <c r="N6776">
        <v>0</v>
      </c>
      <c r="O6776">
        <v>-0.82233239999999996</v>
      </c>
      <c r="P6776">
        <v>0.54834110000000003</v>
      </c>
      <c r="Q6776">
        <v>-1.9536729999999999E-2</v>
      </c>
      <c r="R6776">
        <v>-0.83602679999999996</v>
      </c>
      <c r="S6776">
        <v>2.2618710000000002</v>
      </c>
      <c r="T6776">
        <v>-0.31385730000000001</v>
      </c>
      <c r="U6776">
        <v>-2.1060490000000001</v>
      </c>
      <c r="V6776">
        <v>2.4703639999999999E-2</v>
      </c>
      <c r="W6776">
        <v>-5.1725649999999996E-3</v>
      </c>
      <c r="X6776">
        <v>0.99968140000000005</v>
      </c>
      <c r="Y6776">
        <v>-0.2107106</v>
      </c>
      <c r="Z6776">
        <v>8.9304720000000004E-2</v>
      </c>
      <c r="AA6776">
        <v>0.97346069999999996</v>
      </c>
      <c r="AB6776">
        <v>20</v>
      </c>
      <c r="AC6776">
        <v>7.9153000000000002</v>
      </c>
      <c r="AD6776">
        <v>-1.11450951083699</v>
      </c>
      <c r="AE6776">
        <v>-7.3245199999999997</v>
      </c>
      <c r="AF6776">
        <v>-2.31805207542702</v>
      </c>
      <c r="AG6776">
        <v>-1.11450951083699</v>
      </c>
      <c r="AH6776">
        <v>10.415477853912201</v>
      </c>
      <c r="AI6776">
        <v>95.962898176499294</v>
      </c>
      <c r="AJ6776">
        <v>102.547161485489</v>
      </c>
      <c r="AK6776">
        <v>10.728358485783</v>
      </c>
      <c r="AL6776">
        <v>90.2963674761927</v>
      </c>
      <c r="AM6776">
        <v>88.584422692714696</v>
      </c>
      <c r="AN6776">
        <v>0.99999996338194297</v>
      </c>
    </row>
    <row r="6777" spans="1:40" x14ac:dyDescent="0.25">
      <c r="A6777" t="str">
        <f>"20190312160821253"</f>
        <v>20190312160821253</v>
      </c>
      <c r="B6777" t="str">
        <f>"1552378101242424"</f>
        <v>1552378101242424</v>
      </c>
      <c r="C6777" t="s">
        <v>40</v>
      </c>
      <c r="D6777">
        <v>5.9849290000000002</v>
      </c>
      <c r="E6777">
        <v>0.4059162</v>
      </c>
      <c r="F6777" t="s">
        <v>82</v>
      </c>
      <c r="G6777">
        <v>-287.63589999999999</v>
      </c>
      <c r="H6777" s="1">
        <v>-4.5292889999999999E-6</v>
      </c>
      <c r="I6777">
        <v>-61.355879999999999</v>
      </c>
      <c r="J6777">
        <v>-295.43369999999999</v>
      </c>
      <c r="K6777">
        <v>1.1145160000000001</v>
      </c>
      <c r="L6777">
        <v>-54.284999999999997</v>
      </c>
      <c r="M6777">
        <v>0.57590149999999996</v>
      </c>
      <c r="N6777">
        <v>0</v>
      </c>
      <c r="O6777">
        <v>-0.81739810000000002</v>
      </c>
      <c r="P6777">
        <v>0.55613059999999903</v>
      </c>
      <c r="Q6777">
        <v>-2.0015100000000001E-2</v>
      </c>
      <c r="R6777">
        <v>-0.83085409999999904</v>
      </c>
      <c r="S6777">
        <v>2.2829899999999999</v>
      </c>
      <c r="T6777">
        <v>-0.32140079999999999</v>
      </c>
      <c r="U6777">
        <v>-2.0834959999999998</v>
      </c>
      <c r="V6777">
        <v>2.397842E-2</v>
      </c>
      <c r="W6777">
        <v>-5.6652650000000001E-3</v>
      </c>
      <c r="X6777">
        <v>0.99969640000000004</v>
      </c>
      <c r="Y6777">
        <v>-0.21186079999999999</v>
      </c>
      <c r="Z6777">
        <v>9.1030490000000006E-2</v>
      </c>
      <c r="AA6777">
        <v>0.97305109999999995</v>
      </c>
      <c r="AB6777">
        <v>20</v>
      </c>
      <c r="AC6777">
        <v>7.7977999999999899</v>
      </c>
      <c r="AD6777">
        <v>-1.1145205292889999</v>
      </c>
      <c r="AE6777">
        <v>-7.0708800000000096</v>
      </c>
      <c r="AF6777">
        <v>-2.2764837020969</v>
      </c>
      <c r="AG6777">
        <v>-1.1145205292889999</v>
      </c>
      <c r="AH6777">
        <v>10.157632523119901</v>
      </c>
      <c r="AI6777">
        <v>96.111181257637099</v>
      </c>
      <c r="AJ6777">
        <v>102.632142555508</v>
      </c>
      <c r="AK6777">
        <v>10.4690989359573</v>
      </c>
      <c r="AL6777">
        <v>90.324597518463605</v>
      </c>
      <c r="AM6777">
        <v>88.625983959783696</v>
      </c>
      <c r="AN6777">
        <v>0.99999997601308799</v>
      </c>
    </row>
    <row r="6778" spans="1:40" x14ac:dyDescent="0.25">
      <c r="A6778" t="str">
        <f>"20190312160821275"</f>
        <v>20190312160821275</v>
      </c>
      <c r="B6778" t="str">
        <f>"1552378101272681"</f>
        <v>1552378101272681</v>
      </c>
      <c r="C6778" t="s">
        <v>40</v>
      </c>
      <c r="D6778">
        <v>5.5687439999999997</v>
      </c>
      <c r="E6778">
        <v>0.40595979999999998</v>
      </c>
      <c r="F6778" t="s">
        <v>82</v>
      </c>
      <c r="G6778">
        <v>-287.51670000000001</v>
      </c>
      <c r="H6778" s="1">
        <v>-4.5856499999999999E-6</v>
      </c>
      <c r="I6778">
        <v>-61.376309999999997</v>
      </c>
      <c r="J6778">
        <v>-295.31279999999998</v>
      </c>
      <c r="K6778">
        <v>1.11452</v>
      </c>
      <c r="L6778">
        <v>-54.438780000000001</v>
      </c>
      <c r="M6778">
        <v>0.58300920000000001</v>
      </c>
      <c r="N6778">
        <v>0</v>
      </c>
      <c r="O6778">
        <v>-0.8123437</v>
      </c>
      <c r="P6778">
        <v>0.56352789999999997</v>
      </c>
      <c r="Q6778">
        <v>-2.0730620000000002E-2</v>
      </c>
      <c r="R6778">
        <v>-0.82583680000000004</v>
      </c>
      <c r="S6778">
        <v>2.3021240000000001</v>
      </c>
      <c r="T6778">
        <v>-0.32408049999999999</v>
      </c>
      <c r="U6778">
        <v>-2.0620120000000002</v>
      </c>
      <c r="V6778">
        <v>2.3768890000000001E-2</v>
      </c>
      <c r="W6778">
        <v>-6.389563E-3</v>
      </c>
      <c r="X6778">
        <v>0.99969710000000001</v>
      </c>
      <c r="Y6778">
        <v>-0.2123516</v>
      </c>
      <c r="Z6778">
        <v>9.1358709999999996E-2</v>
      </c>
      <c r="AA6778">
        <v>0.97291329999999998</v>
      </c>
      <c r="AB6778">
        <v>20</v>
      </c>
      <c r="AC6778">
        <v>7.7960999999999601</v>
      </c>
      <c r="AD6778">
        <v>-1.1145245856499999</v>
      </c>
      <c r="AE6778">
        <v>-6.93752999999999</v>
      </c>
      <c r="AF6778">
        <v>-2.2628859436953999</v>
      </c>
      <c r="AG6778">
        <v>-1.1145245856499999</v>
      </c>
      <c r="AH6778">
        <v>10.0670442731798</v>
      </c>
      <c r="AI6778">
        <v>96.164902626634003</v>
      </c>
      <c r="AJ6778">
        <v>102.668470469032</v>
      </c>
      <c r="AK6778">
        <v>10.378256030969499</v>
      </c>
      <c r="AL6778">
        <v>90.366097469592106</v>
      </c>
      <c r="AM6778">
        <v>88.637986898937598</v>
      </c>
      <c r="AN6778">
        <v>1.0000000391977799</v>
      </c>
    </row>
    <row r="6779" spans="1:40" x14ac:dyDescent="0.25">
      <c r="A6779" t="str">
        <f>"20190312160821298"</f>
        <v>20190312160821298</v>
      </c>
      <c r="B6779" t="str">
        <f>"1552378101292200"</f>
        <v>1552378101292200</v>
      </c>
      <c r="C6779" t="s">
        <v>40</v>
      </c>
      <c r="D6779">
        <v>5.8870680000000002</v>
      </c>
      <c r="E6779">
        <v>0.40595979999999998</v>
      </c>
      <c r="F6779" t="s">
        <v>82</v>
      </c>
      <c r="G6779">
        <v>-287.4135</v>
      </c>
      <c r="H6779" s="1">
        <v>-4.635242E-6</v>
      </c>
      <c r="I6779">
        <v>-61.3895699999999</v>
      </c>
      <c r="J6779">
        <v>-295.19119999999998</v>
      </c>
      <c r="K6779">
        <v>1.1145069999999999</v>
      </c>
      <c r="L6779">
        <v>-54.590519999999998</v>
      </c>
      <c r="M6779">
        <v>0.59006550000000002</v>
      </c>
      <c r="N6779">
        <v>0</v>
      </c>
      <c r="O6779">
        <v>-0.80723269999999903</v>
      </c>
      <c r="P6779">
        <v>0.57010550000000004</v>
      </c>
      <c r="Q6779">
        <v>-2.1484940000000001E-2</v>
      </c>
      <c r="R6779">
        <v>-0.82129050000000003</v>
      </c>
      <c r="S6779">
        <v>2.3199770000000002</v>
      </c>
      <c r="T6779">
        <v>-0.3273257</v>
      </c>
      <c r="U6779">
        <v>-2.041382</v>
      </c>
      <c r="V6779">
        <v>2.4492699999999999E-2</v>
      </c>
      <c r="W6779">
        <v>-7.1426739999999999E-3</v>
      </c>
      <c r="X6779">
        <v>0.99967450000000002</v>
      </c>
      <c r="Y6779">
        <v>-0.21237010000000001</v>
      </c>
      <c r="Z6779">
        <v>9.1819490000000004E-2</v>
      </c>
      <c r="AA6779">
        <v>0.97286589999999995</v>
      </c>
      <c r="AB6779">
        <v>20</v>
      </c>
      <c r="AC6779">
        <v>7.7776999999999799</v>
      </c>
      <c r="AD6779">
        <v>-1.1145116352419999</v>
      </c>
      <c r="AE6779">
        <v>-6.7990499999999896</v>
      </c>
      <c r="AF6779">
        <v>-2.2406736972896599</v>
      </c>
      <c r="AG6779">
        <v>-1.1145116352419999</v>
      </c>
      <c r="AH6779">
        <v>9.9628066491345102</v>
      </c>
      <c r="AI6779">
        <v>96.228666012868899</v>
      </c>
      <c r="AJ6779">
        <v>102.675140533404</v>
      </c>
      <c r="AK6779">
        <v>10.2723060279011</v>
      </c>
      <c r="AL6779">
        <v>90.409248551220799</v>
      </c>
      <c r="AM6779">
        <v>88.596495517402204</v>
      </c>
      <c r="AN6779">
        <v>1.0000000080477001</v>
      </c>
    </row>
    <row r="6780" spans="1:40" x14ac:dyDescent="0.25">
      <c r="A6780" t="str">
        <f>"20190312160821319"</f>
        <v>20190312160821319</v>
      </c>
      <c r="B6780" t="str">
        <f>"1552378101312696"</f>
        <v>1552378101312696</v>
      </c>
      <c r="C6780" t="s">
        <v>40</v>
      </c>
      <c r="D6780">
        <v>5.9734949999999998</v>
      </c>
      <c r="E6780">
        <v>0.32619300000000001</v>
      </c>
      <c r="F6780" t="s">
        <v>82</v>
      </c>
      <c r="G6780">
        <v>-287.28739999999999</v>
      </c>
      <c r="H6780" s="1">
        <v>-4.6909460000000003E-6</v>
      </c>
      <c r="I6780">
        <v>-61.4328199999999</v>
      </c>
      <c r="J6780">
        <v>-295.0702</v>
      </c>
      <c r="K6780">
        <v>1.1144909999999999</v>
      </c>
      <c r="L6780">
        <v>-54.738889999999998</v>
      </c>
      <c r="M6780">
        <v>0.59699219999999997</v>
      </c>
      <c r="N6780">
        <v>0</v>
      </c>
      <c r="O6780">
        <v>-0.80212399999999995</v>
      </c>
      <c r="P6780">
        <v>0.57714519999999903</v>
      </c>
      <c r="Q6780">
        <v>-2.1694890000000001E-2</v>
      </c>
      <c r="R6780">
        <v>-0.81635360000000001</v>
      </c>
      <c r="S6780">
        <v>2.3362120000000002</v>
      </c>
      <c r="T6780">
        <v>-0.32942959999999999</v>
      </c>
      <c r="U6780">
        <v>-2.0224609999999998</v>
      </c>
      <c r="V6780">
        <v>2.4502409999999999E-2</v>
      </c>
      <c r="W6780">
        <v>-7.3605780000000004E-3</v>
      </c>
      <c r="X6780">
        <v>0.99967269999999997</v>
      </c>
      <c r="Y6780">
        <v>-0.21178140000000001</v>
      </c>
      <c r="Z6780">
        <v>9.193026E-2</v>
      </c>
      <c r="AA6780">
        <v>0.97298379999999995</v>
      </c>
      <c r="AB6780">
        <v>20</v>
      </c>
      <c r="AC6780">
        <v>7.7827999999999999</v>
      </c>
      <c r="AD6780">
        <v>-1.114495690946</v>
      </c>
      <c r="AE6780">
        <v>-6.6939299999999804</v>
      </c>
      <c r="AF6780">
        <v>-2.2205947388932001</v>
      </c>
      <c r="AG6780">
        <v>-1.114495690946</v>
      </c>
      <c r="AH6780">
        <v>9.8999329967615992</v>
      </c>
      <c r="AI6780">
        <v>96.268618477518501</v>
      </c>
      <c r="AJ6780">
        <v>102.642422440983</v>
      </c>
      <c r="AK6780">
        <v>10.2069493473763</v>
      </c>
      <c r="AL6780">
        <v>90.421733851113402</v>
      </c>
      <c r="AM6780">
        <v>88.595936801113496</v>
      </c>
      <c r="AN6780">
        <v>1.0000000266647899</v>
      </c>
    </row>
    <row r="6781" spans="1:40" x14ac:dyDescent="0.25">
      <c r="A6781" t="str">
        <f>"20190312160821341"</f>
        <v>20190312160821341</v>
      </c>
      <c r="B6781" t="str">
        <f>"1552378101332216"</f>
        <v>1552378101332216</v>
      </c>
      <c r="C6781" t="s">
        <v>40</v>
      </c>
      <c r="D6781">
        <v>5.4379249999999999</v>
      </c>
      <c r="E6781">
        <v>0.316337799999999</v>
      </c>
      <c r="F6781" t="s">
        <v>47</v>
      </c>
      <c r="G6781">
        <v>-276.40320000000003</v>
      </c>
      <c r="H6781" s="1">
        <v>-2.890673E-6</v>
      </c>
      <c r="I6781">
        <v>-65.427199999999999</v>
      </c>
      <c r="J6781">
        <v>-294.94889999999998</v>
      </c>
      <c r="K6781">
        <v>1.114471</v>
      </c>
      <c r="L6781">
        <v>-54.884889999999999</v>
      </c>
      <c r="M6781">
        <v>0.60382340000000001</v>
      </c>
      <c r="N6781">
        <v>0</v>
      </c>
      <c r="O6781">
        <v>-0.79699439999999999</v>
      </c>
      <c r="P6781">
        <v>0.58435599999999999</v>
      </c>
      <c r="Q6781">
        <v>-2.2155299999999999E-2</v>
      </c>
      <c r="R6781">
        <v>-0.811195</v>
      </c>
      <c r="S6781">
        <v>2.8684690000000002</v>
      </c>
      <c r="T6781">
        <v>-0.17125940000000001</v>
      </c>
      <c r="U6781">
        <v>-1.6424259999999999</v>
      </c>
      <c r="V6781">
        <v>2.418271E-2</v>
      </c>
      <c r="W6781">
        <v>-7.8356980000000003E-3</v>
      </c>
      <c r="X6781">
        <v>0.99967680000000003</v>
      </c>
      <c r="Y6781">
        <v>-0.39044970000000001</v>
      </c>
      <c r="Z6781">
        <v>4.7611510000000003E-2</v>
      </c>
      <c r="AA6781">
        <v>0.91939230000000005</v>
      </c>
      <c r="AB6781">
        <v>20</v>
      </c>
      <c r="AC6781">
        <v>18.545699999999901</v>
      </c>
      <c r="AD6781">
        <v>-1.1144738906730001</v>
      </c>
      <c r="AE6781">
        <v>-10.542309999999899</v>
      </c>
      <c r="AF6781">
        <v>-8.3930485253685401</v>
      </c>
      <c r="AG6781">
        <v>-1.1144738906730001</v>
      </c>
      <c r="AH6781">
        <v>19.549067850698101</v>
      </c>
      <c r="AI6781">
        <v>92.998706723188207</v>
      </c>
      <c r="AJ6781">
        <v>113.235415986807</v>
      </c>
      <c r="AK6781">
        <v>21.303787678095699</v>
      </c>
      <c r="AL6781">
        <v>90.448957040290907</v>
      </c>
      <c r="AM6781">
        <v>88.614255081709302</v>
      </c>
      <c r="AN6781">
        <v>0.99999995304216405</v>
      </c>
    </row>
    <row r="6782" spans="1:40" x14ac:dyDescent="0.25">
      <c r="A6782" t="str">
        <f>"20190312160821364"</f>
        <v>20190312160821364</v>
      </c>
      <c r="B6782" t="str">
        <f>"1552378101362472"</f>
        <v>1552378101362472</v>
      </c>
      <c r="C6782" t="s">
        <v>40</v>
      </c>
      <c r="D6782">
        <v>6.0223199999999997</v>
      </c>
      <c r="E6782">
        <v>0.32170320000000002</v>
      </c>
      <c r="F6782" t="s">
        <v>47</v>
      </c>
      <c r="G6782">
        <v>-271.37139999999999</v>
      </c>
      <c r="H6782" s="1">
        <v>-1.3188810000000001E-6</v>
      </c>
      <c r="I6782">
        <v>-67.472430000000003</v>
      </c>
      <c r="J6782">
        <v>-294.82389999999998</v>
      </c>
      <c r="K6782">
        <v>1.1144559999999999</v>
      </c>
      <c r="L6782">
        <v>-55.032809999999998</v>
      </c>
      <c r="M6782">
        <v>0.61075009999999996</v>
      </c>
      <c r="N6782">
        <v>0</v>
      </c>
      <c r="O6782">
        <v>-0.79169919999999905</v>
      </c>
      <c r="P6782">
        <v>0.59139079999999999</v>
      </c>
      <c r="Q6782">
        <v>-2.3047680000000001E-2</v>
      </c>
      <c r="R6782">
        <v>-0.80605579999999999</v>
      </c>
      <c r="S6782">
        <v>2.945557</v>
      </c>
      <c r="T6782">
        <v>-0.13923189999999999</v>
      </c>
      <c r="U6782">
        <v>-1.5725709999999999</v>
      </c>
      <c r="V6782">
        <v>2.4197659999999999E-2</v>
      </c>
      <c r="W6782">
        <v>-8.7457860000000002E-3</v>
      </c>
      <c r="X6782">
        <v>0.99966900000000003</v>
      </c>
      <c r="Y6782">
        <v>-0.41000360000000002</v>
      </c>
      <c r="Z6782">
        <v>3.8452630000000002E-2</v>
      </c>
      <c r="AA6782">
        <v>0.911273</v>
      </c>
      <c r="AB6782">
        <v>20</v>
      </c>
      <c r="AC6782">
        <v>23.452499999999901</v>
      </c>
      <c r="AD6782">
        <v>-1.1144573188810001</v>
      </c>
      <c r="AE6782">
        <v>-12.43962</v>
      </c>
      <c r="AF6782">
        <v>-10.9516051627613</v>
      </c>
      <c r="AG6782">
        <v>-1.1144573188810001</v>
      </c>
      <c r="AH6782">
        <v>24.131903513554001</v>
      </c>
      <c r="AI6782">
        <v>92.4080922047591</v>
      </c>
      <c r="AJ6782">
        <v>114.40962466257599</v>
      </c>
      <c r="AK6782">
        <v>26.524110502410899</v>
      </c>
      <c r="AL6782">
        <v>90.501102983248202</v>
      </c>
      <c r="AM6782">
        <v>88.613387919453601</v>
      </c>
      <c r="AN6782">
        <v>1.0000000625416099</v>
      </c>
    </row>
    <row r="6783" spans="1:40" x14ac:dyDescent="0.25">
      <c r="A6783" t="str">
        <f>"20190312160821386"</f>
        <v>20190312160821386</v>
      </c>
      <c r="B6783" t="str">
        <f>"1552378101381992"</f>
        <v>1552378101381992</v>
      </c>
      <c r="C6783" t="s">
        <v>40</v>
      </c>
      <c r="D6783">
        <v>6.0595129999999999</v>
      </c>
      <c r="E6783">
        <v>0.32338499999999998</v>
      </c>
      <c r="F6783" t="s">
        <v>47</v>
      </c>
      <c r="G6783">
        <v>-273.9597</v>
      </c>
      <c r="H6783" s="1">
        <v>-2.1554679999999999E-6</v>
      </c>
      <c r="I6783">
        <v>-66.241029999999995</v>
      </c>
      <c r="J6783">
        <v>-294.69760000000002</v>
      </c>
      <c r="K6783">
        <v>1.1144259999999999</v>
      </c>
      <c r="L6783">
        <v>-55.179630000000003</v>
      </c>
      <c r="M6783">
        <v>0.61762980000000001</v>
      </c>
      <c r="N6783">
        <v>0</v>
      </c>
      <c r="O6783">
        <v>-0.78634399999999904</v>
      </c>
      <c r="P6783">
        <v>0.59857989999999905</v>
      </c>
      <c r="Q6783">
        <v>-2.3446229999999998E-2</v>
      </c>
      <c r="R6783">
        <v>-0.80071999999999999</v>
      </c>
      <c r="S6783">
        <v>2.9250180000000001</v>
      </c>
      <c r="T6783">
        <v>-0.15623970000000001</v>
      </c>
      <c r="U6783">
        <v>-1.5713200000000001</v>
      </c>
      <c r="V6783">
        <v>2.396554E-2</v>
      </c>
      <c r="W6783">
        <v>-9.1708129999999999E-3</v>
      </c>
      <c r="X6783">
        <v>0.99967070000000002</v>
      </c>
      <c r="Y6783">
        <v>-0.39946809999999999</v>
      </c>
      <c r="Z6783">
        <v>4.3028120000000003E-2</v>
      </c>
      <c r="AA6783">
        <v>0.91573669999999996</v>
      </c>
      <c r="AB6783">
        <v>20</v>
      </c>
      <c r="AC6783">
        <v>20.7379</v>
      </c>
      <c r="AD6783">
        <v>-1.114428155468</v>
      </c>
      <c r="AE6783">
        <v>-11.061400000000001</v>
      </c>
      <c r="AF6783">
        <v>-9.4549474646581295</v>
      </c>
      <c r="AG6783">
        <v>-1.114428155468</v>
      </c>
      <c r="AH6783">
        <v>21.4602769337165</v>
      </c>
      <c r="AI6783">
        <v>92.720762514041098</v>
      </c>
      <c r="AJ6783">
        <v>113.777282258811</v>
      </c>
      <c r="AK6783">
        <v>23.477254263328</v>
      </c>
      <c r="AL6783">
        <v>90.525456255936305</v>
      </c>
      <c r="AM6783">
        <v>88.626686437961098</v>
      </c>
      <c r="AN6783">
        <v>0.99999997967853105</v>
      </c>
    </row>
    <row r="6784" spans="1:40" x14ac:dyDescent="0.25">
      <c r="A6784" t="str">
        <f>"20190312160821409"</f>
        <v>20190312160821409</v>
      </c>
      <c r="B6784" t="str">
        <f>"1552378101402491"</f>
        <v>1552378101402491</v>
      </c>
      <c r="C6784" t="s">
        <v>40</v>
      </c>
      <c r="D6784">
        <v>6.0400900000000002</v>
      </c>
      <c r="E6784">
        <v>0.32314189999999998</v>
      </c>
      <c r="F6784" t="s">
        <v>47</v>
      </c>
      <c r="G6784">
        <v>-274.61720000000003</v>
      </c>
      <c r="H6784" s="1">
        <v>-2.3363750000000001E-6</v>
      </c>
      <c r="I6784">
        <v>-65.827469999999906</v>
      </c>
      <c r="J6784">
        <v>-294.57089999999999</v>
      </c>
      <c r="K6784">
        <v>1.114398</v>
      </c>
      <c r="L6784">
        <v>-55.3245199999999</v>
      </c>
      <c r="M6784">
        <v>0.62441459999999904</v>
      </c>
      <c r="N6784">
        <v>0</v>
      </c>
      <c r="O6784">
        <v>-0.780968</v>
      </c>
      <c r="P6784">
        <v>0.60573129999999997</v>
      </c>
      <c r="Q6784">
        <v>-2.358584E-2</v>
      </c>
      <c r="R6784">
        <v>-0.79531969999999996</v>
      </c>
      <c r="S6784">
        <v>2.928375</v>
      </c>
      <c r="T6784">
        <v>-0.1625192</v>
      </c>
      <c r="U6784">
        <v>-1.5527949999999999</v>
      </c>
      <c r="V6784">
        <v>2.366062E-2</v>
      </c>
      <c r="W6784">
        <v>-9.3421990000000007E-3</v>
      </c>
      <c r="X6784">
        <v>0.99967640000000002</v>
      </c>
      <c r="Y6784">
        <v>-0.39639930000000001</v>
      </c>
      <c r="Z6784">
        <v>4.4584899999999997E-2</v>
      </c>
      <c r="AA6784">
        <v>0.916995</v>
      </c>
      <c r="AB6784">
        <v>20</v>
      </c>
      <c r="AC6784">
        <v>19.953699999999898</v>
      </c>
      <c r="AD6784">
        <v>-1.1144003363749999</v>
      </c>
      <c r="AE6784">
        <v>-10.502949999999901</v>
      </c>
      <c r="AF6784">
        <v>-9.00389621191548</v>
      </c>
      <c r="AG6784">
        <v>-1.1144003363749999</v>
      </c>
      <c r="AH6784">
        <v>20.613521032211501</v>
      </c>
      <c r="AI6784">
        <v>92.836214584866795</v>
      </c>
      <c r="AJ6784">
        <v>113.59549590951001</v>
      </c>
      <c r="AK6784">
        <v>22.521751362851099</v>
      </c>
      <c r="AL6784">
        <v>90.535276358758296</v>
      </c>
      <c r="AM6784">
        <v>88.644160638719697</v>
      </c>
      <c r="AN6784">
        <v>1.00000000316895</v>
      </c>
    </row>
    <row r="6785" spans="1:40" x14ac:dyDescent="0.25">
      <c r="A6785" t="str">
        <f>"20190312160821431"</f>
        <v>20190312160821431</v>
      </c>
      <c r="B6785" t="str">
        <f>"1552378101422008"</f>
        <v>1552378101422008</v>
      </c>
      <c r="C6785" t="s">
        <v>40</v>
      </c>
      <c r="D6785">
        <v>6.055917</v>
      </c>
      <c r="E6785">
        <v>0.32498059999999901</v>
      </c>
      <c r="F6785" t="s">
        <v>47</v>
      </c>
      <c r="G6785">
        <v>-271.81470000000002</v>
      </c>
      <c r="H6785" s="1">
        <v>-1.4322499999999999E-6</v>
      </c>
      <c r="I6785">
        <v>-67.127009999999999</v>
      </c>
      <c r="J6785">
        <v>-294.44389999999999</v>
      </c>
      <c r="K6785">
        <v>1.1143719999999999</v>
      </c>
      <c r="L6785">
        <v>-55.4670699999999</v>
      </c>
      <c r="M6785">
        <v>0.63108819999999999</v>
      </c>
      <c r="N6785">
        <v>0</v>
      </c>
      <c r="O6785">
        <v>-0.77558549999999904</v>
      </c>
      <c r="P6785">
        <v>0.61253959999999996</v>
      </c>
      <c r="Q6785">
        <v>-2.3915720000000001E-2</v>
      </c>
      <c r="R6785">
        <v>-0.79007810000000001</v>
      </c>
      <c r="S6785">
        <v>2.9429630000000002</v>
      </c>
      <c r="T6785">
        <v>-0.14412069999999999</v>
      </c>
      <c r="U6785">
        <v>-1.526367</v>
      </c>
      <c r="V6785">
        <v>2.3643819999999999E-2</v>
      </c>
      <c r="W6785">
        <v>-9.7009699999999997E-3</v>
      </c>
      <c r="X6785">
        <v>0.99967340000000005</v>
      </c>
      <c r="Y6785">
        <v>-0.3971153</v>
      </c>
      <c r="Z6785">
        <v>3.937454E-2</v>
      </c>
      <c r="AA6785">
        <v>0.91692379999999996</v>
      </c>
      <c r="AB6785">
        <v>20</v>
      </c>
      <c r="AC6785">
        <v>22.629199999999901</v>
      </c>
      <c r="AD6785">
        <v>-1.1143734322500001</v>
      </c>
      <c r="AE6785">
        <v>-11.659940000000001</v>
      </c>
      <c r="AF6785">
        <v>-10.173925543204</v>
      </c>
      <c r="AG6785">
        <v>-1.1143734322500001</v>
      </c>
      <c r="AH6785">
        <v>23.281958618938301</v>
      </c>
      <c r="AI6785">
        <v>92.511350806369805</v>
      </c>
      <c r="AJ6785">
        <v>113.604727860596</v>
      </c>
      <c r="AK6785">
        <v>25.432266635892201</v>
      </c>
      <c r="AL6785">
        <v>90.555833343848093</v>
      </c>
      <c r="AM6785">
        <v>88.645118916251107</v>
      </c>
      <c r="AN6785">
        <v>1.0000000228553401</v>
      </c>
    </row>
    <row r="6786" spans="1:40" x14ac:dyDescent="0.25">
      <c r="A6786" t="str">
        <f>"20190312160821453"</f>
        <v>20190312160821453</v>
      </c>
      <c r="B6786" t="str">
        <f>"1552378101442510"</f>
        <v>1552378101442510</v>
      </c>
      <c r="C6786" t="s">
        <v>40</v>
      </c>
      <c r="D6786">
        <v>6.0392489999999999</v>
      </c>
      <c r="E6786">
        <v>0.32656790000000002</v>
      </c>
      <c r="F6786" t="s">
        <v>47</v>
      </c>
      <c r="G6786">
        <v>-272.92290000000003</v>
      </c>
      <c r="H6786" s="1">
        <v>-1.7682029999999999E-6</v>
      </c>
      <c r="I6786">
        <v>-66.49982</v>
      </c>
      <c r="J6786">
        <v>-294.31700000000001</v>
      </c>
      <c r="K6786">
        <v>1.1143479999999999</v>
      </c>
      <c r="L6786">
        <v>-55.607239999999997</v>
      </c>
      <c r="M6786">
        <v>0.63764670000000001</v>
      </c>
      <c r="N6786">
        <v>0</v>
      </c>
      <c r="O6786">
        <v>-0.77020310000000003</v>
      </c>
      <c r="P6786">
        <v>0.61959640000000005</v>
      </c>
      <c r="Q6786">
        <v>-2.4484039999999999E-2</v>
      </c>
      <c r="R6786">
        <v>-0.78453909999999905</v>
      </c>
      <c r="S6786">
        <v>2.9446110000000001</v>
      </c>
      <c r="T6786">
        <v>-0.15247379999999999</v>
      </c>
      <c r="U6786">
        <v>-1.509552</v>
      </c>
      <c r="V6786">
        <v>2.3161359999999999E-2</v>
      </c>
      <c r="W6786">
        <v>-1.0300739999999999E-2</v>
      </c>
      <c r="X6786">
        <v>0.99967870000000003</v>
      </c>
      <c r="Y6786">
        <v>-0.39357350000000002</v>
      </c>
      <c r="Z6786">
        <v>4.1487580000000003E-2</v>
      </c>
      <c r="AA6786">
        <v>0.91835650000000002</v>
      </c>
      <c r="AB6786">
        <v>20</v>
      </c>
      <c r="AC6786">
        <v>21.394099999999899</v>
      </c>
      <c r="AD6786">
        <v>-1.1143497682029999</v>
      </c>
      <c r="AE6786">
        <v>-10.892579999999899</v>
      </c>
      <c r="AF6786">
        <v>-9.5126133874710597</v>
      </c>
      <c r="AG6786">
        <v>-1.1143497682029999</v>
      </c>
      <c r="AH6786">
        <v>21.986142292902201</v>
      </c>
      <c r="AI6786">
        <v>92.663302898338898</v>
      </c>
      <c r="AJ6786">
        <v>113.396400217798</v>
      </c>
      <c r="AK6786">
        <v>23.981702228764501</v>
      </c>
      <c r="AL6786">
        <v>90.590199348539798</v>
      </c>
      <c r="AM6786">
        <v>88.672762756714505</v>
      </c>
      <c r="AN6786">
        <v>1.00000002853764</v>
      </c>
    </row>
    <row r="6787" spans="1:40" x14ac:dyDescent="0.25">
      <c r="A6787" t="str">
        <f>"20190312160821476"</f>
        <v>20190312160821476</v>
      </c>
      <c r="B6787" t="str">
        <f>"1552378101472760"</f>
        <v>1552378101472760</v>
      </c>
      <c r="C6787" t="s">
        <v>40</v>
      </c>
      <c r="D6787">
        <v>6.0710879999999996</v>
      </c>
      <c r="E6787">
        <v>0.32904600000000001</v>
      </c>
      <c r="F6787" t="s">
        <v>47</v>
      </c>
      <c r="G6787">
        <v>-273.6961</v>
      </c>
      <c r="H6787" s="1">
        <v>-1.9961339999999999E-6</v>
      </c>
      <c r="I6787">
        <v>-66.033209999999997</v>
      </c>
      <c r="J6787">
        <v>-294.18560000000002</v>
      </c>
      <c r="K6787">
        <v>1.1143289999999999</v>
      </c>
      <c r="L6787">
        <v>-55.749760000000002</v>
      </c>
      <c r="M6787">
        <v>0.64432419999999901</v>
      </c>
      <c r="N6787">
        <v>0</v>
      </c>
      <c r="O6787">
        <v>-0.76462629999999998</v>
      </c>
      <c r="P6787">
        <v>0.62651230000000002</v>
      </c>
      <c r="Q6787">
        <v>-2.495638E-2</v>
      </c>
      <c r="R6787">
        <v>-0.77901209999999999</v>
      </c>
      <c r="S6787">
        <v>2.9481809999999999</v>
      </c>
      <c r="T6787">
        <v>-0.1593186</v>
      </c>
      <c r="U6787">
        <v>-1.4906010000000001</v>
      </c>
      <c r="V6787">
        <v>2.301137E-2</v>
      </c>
      <c r="W6787">
        <v>-1.0804940000000001E-2</v>
      </c>
      <c r="X6787">
        <v>0.99967680000000003</v>
      </c>
      <c r="Y6787">
        <v>-0.3906307</v>
      </c>
      <c r="Z6787">
        <v>4.3163640000000003E-2</v>
      </c>
      <c r="AA6787">
        <v>0.91953499999999999</v>
      </c>
      <c r="AB6787">
        <v>20</v>
      </c>
      <c r="AC6787">
        <v>20.4895</v>
      </c>
      <c r="AD6787">
        <v>-1.114330996134</v>
      </c>
      <c r="AE6787">
        <v>-10.28345</v>
      </c>
      <c r="AF6787">
        <v>-9.0204949751240004</v>
      </c>
      <c r="AG6787">
        <v>-1.114330996134</v>
      </c>
      <c r="AH6787">
        <v>21.017253176996</v>
      </c>
      <c r="AI6787">
        <v>92.789353602492397</v>
      </c>
      <c r="AJ6787">
        <v>113.22875619157401</v>
      </c>
      <c r="AK6787">
        <v>22.898384097379601</v>
      </c>
      <c r="AL6787">
        <v>90.619089514347394</v>
      </c>
      <c r="AM6787">
        <v>88.681352225093605</v>
      </c>
      <c r="AN6787">
        <v>0.99999998716796001</v>
      </c>
    </row>
    <row r="6788" spans="1:40" x14ac:dyDescent="0.25">
      <c r="A6788" t="str">
        <f>"20190312160821499"</f>
        <v>20190312160821499</v>
      </c>
      <c r="B6788" t="str">
        <f>"1552378101492280"</f>
        <v>1552378101492280</v>
      </c>
      <c r="C6788" t="s">
        <v>40</v>
      </c>
      <c r="D6788">
        <v>6.010078</v>
      </c>
      <c r="E6788">
        <v>0.33061309999999999</v>
      </c>
      <c r="F6788" t="s">
        <v>47</v>
      </c>
      <c r="G6788">
        <v>-274.80329999999998</v>
      </c>
      <c r="H6788" s="1">
        <v>-2.3442100000000002E-6</v>
      </c>
      <c r="I6788">
        <v>-65.462509999999995</v>
      </c>
      <c r="J6788">
        <v>-294.05090000000001</v>
      </c>
      <c r="K6788">
        <v>1.1143110000000001</v>
      </c>
      <c r="L6788">
        <v>-55.8932199999999</v>
      </c>
      <c r="M6788">
        <v>0.65104700000000004</v>
      </c>
      <c r="N6788">
        <v>0</v>
      </c>
      <c r="O6788">
        <v>-0.75891070000000005</v>
      </c>
      <c r="P6788">
        <v>0.63342270000000001</v>
      </c>
      <c r="Q6788">
        <v>-2.564957E-2</v>
      </c>
      <c r="R6788">
        <v>-0.77338079999999998</v>
      </c>
      <c r="S6788">
        <v>2.9460139999999999</v>
      </c>
      <c r="T6788">
        <v>-0.16937269999999999</v>
      </c>
      <c r="U6788">
        <v>-1.4762879999999901</v>
      </c>
      <c r="V6788">
        <v>2.292634E-2</v>
      </c>
      <c r="W6788">
        <v>-1.153361E-2</v>
      </c>
      <c r="X6788">
        <v>0.99967059999999996</v>
      </c>
      <c r="Y6788">
        <v>-0.3856618</v>
      </c>
      <c r="Z6788">
        <v>4.5682059999999997E-2</v>
      </c>
      <c r="AA6788">
        <v>0.92150860000000001</v>
      </c>
      <c r="AB6788">
        <v>19</v>
      </c>
      <c r="AC6788">
        <v>19.247599999999998</v>
      </c>
      <c r="AD6788">
        <v>-1.1143133442099999</v>
      </c>
      <c r="AE6788">
        <v>-9.5692900000000005</v>
      </c>
      <c r="AF6788">
        <v>-8.3555031911320103</v>
      </c>
      <c r="AG6788">
        <v>-1.1143133442099999</v>
      </c>
      <c r="AH6788">
        <v>19.742177435597299</v>
      </c>
      <c r="AI6788">
        <v>92.975530407311595</v>
      </c>
      <c r="AJ6788">
        <v>112.93959189320999</v>
      </c>
      <c r="AK6788">
        <v>21.466478465382</v>
      </c>
      <c r="AL6788">
        <v>90.660841844034593</v>
      </c>
      <c r="AM6788">
        <v>88.686214943696598</v>
      </c>
      <c r="AN6788">
        <v>0.999999974864893</v>
      </c>
    </row>
    <row r="6789" spans="1:40" x14ac:dyDescent="0.25">
      <c r="A6789" t="str">
        <f>"20190312160821520"</f>
        <v>20190312160821520</v>
      </c>
      <c r="B6789" t="str">
        <f>"1552378101512776"</f>
        <v>1552378101512776</v>
      </c>
      <c r="C6789" t="s">
        <v>40</v>
      </c>
      <c r="D6789">
        <v>6.0678859999999997</v>
      </c>
      <c r="E6789">
        <v>0.33198480000000002</v>
      </c>
      <c r="F6789" t="s">
        <v>47</v>
      </c>
      <c r="G6789">
        <v>-275.43180000000001</v>
      </c>
      <c r="H6789" s="1">
        <v>-2.5155630000000001E-6</v>
      </c>
      <c r="I6789">
        <v>-65.094040000000007</v>
      </c>
      <c r="J6789">
        <v>-293.92110000000002</v>
      </c>
      <c r="K6789">
        <v>1.114296</v>
      </c>
      <c r="L6789">
        <v>-56.029169999999901</v>
      </c>
      <c r="M6789">
        <v>0.65741969999999905</v>
      </c>
      <c r="N6789">
        <v>0</v>
      </c>
      <c r="O6789">
        <v>-0.75339780000000001</v>
      </c>
      <c r="P6789">
        <v>0.63968780000000003</v>
      </c>
      <c r="Q6789">
        <v>-2.50177E-2</v>
      </c>
      <c r="R6789">
        <v>-0.76822789999999996</v>
      </c>
      <c r="S6789">
        <v>2.9494319999999998</v>
      </c>
      <c r="T6789">
        <v>-0.17651689999999901</v>
      </c>
      <c r="U6789">
        <v>-1.457489</v>
      </c>
      <c r="V6789">
        <v>2.323219E-2</v>
      </c>
      <c r="W6789">
        <v>-1.092979E-2</v>
      </c>
      <c r="X6789">
        <v>0.99967030000000001</v>
      </c>
      <c r="Y6789">
        <v>-0.38292530000000002</v>
      </c>
      <c r="Z6789">
        <v>4.7400820000000003E-2</v>
      </c>
      <c r="AA6789">
        <v>0.9225624</v>
      </c>
      <c r="AB6789">
        <v>19</v>
      </c>
      <c r="AC6789">
        <v>18.4893</v>
      </c>
      <c r="AD6789">
        <v>-1.1142985155630001</v>
      </c>
      <c r="AE6789">
        <v>-9.0648700000000098</v>
      </c>
      <c r="AF6789">
        <v>-7.9478620235838902</v>
      </c>
      <c r="AG6789">
        <v>-1.1142985155630001</v>
      </c>
      <c r="AH6789">
        <v>18.931062167979199</v>
      </c>
      <c r="AI6789">
        <v>93.106503999086399</v>
      </c>
      <c r="AJ6789">
        <v>112.77421347226201</v>
      </c>
      <c r="AK6789">
        <v>20.561986449163999</v>
      </c>
      <c r="AL6789">
        <v>90.626243337088994</v>
      </c>
      <c r="AM6789">
        <v>88.668694194418805</v>
      </c>
      <c r="AN6789">
        <v>0.99999995183186396</v>
      </c>
    </row>
    <row r="6790" spans="1:40" x14ac:dyDescent="0.25">
      <c r="A6790" t="str">
        <f>"20190312160821543"</f>
        <v>20190312160821543</v>
      </c>
      <c r="B6790" t="str">
        <f>"1552378101532296"</f>
        <v>1552378101532296</v>
      </c>
      <c r="C6790" t="s">
        <v>40</v>
      </c>
      <c r="D6790">
        <v>6.0060010000000004</v>
      </c>
      <c r="E6790">
        <v>0.33305220000000002</v>
      </c>
      <c r="F6790" t="s">
        <v>47</v>
      </c>
      <c r="G6790">
        <v>-275.50650000000002</v>
      </c>
      <c r="H6790" s="1">
        <v>-2.5299999999999999E-6</v>
      </c>
      <c r="I6790">
        <v>-65.011830000000003</v>
      </c>
      <c r="J6790">
        <v>-293.78949999999998</v>
      </c>
      <c r="K6790">
        <v>1.114279</v>
      </c>
      <c r="L6790">
        <v>-56.164790000000004</v>
      </c>
      <c r="M6790">
        <v>0.66378099999999995</v>
      </c>
      <c r="N6790">
        <v>0</v>
      </c>
      <c r="O6790">
        <v>-0.74779969999999996</v>
      </c>
      <c r="P6790">
        <v>0.64625279999999996</v>
      </c>
      <c r="Q6790">
        <v>-2.4997350000000002E-2</v>
      </c>
      <c r="R6790">
        <v>-0.76271409999999995</v>
      </c>
      <c r="S6790">
        <v>2.9529109999999998</v>
      </c>
      <c r="T6790">
        <v>-0.17868519999999999</v>
      </c>
      <c r="U6790">
        <v>-1.4404300000000001</v>
      </c>
      <c r="V6790">
        <v>2.313072E-2</v>
      </c>
      <c r="W6790">
        <v>-1.09383E-2</v>
      </c>
      <c r="X6790">
        <v>0.99967260000000002</v>
      </c>
      <c r="Y6790">
        <v>-0.37979780000000002</v>
      </c>
      <c r="Z6790">
        <v>4.7747409999999997E-2</v>
      </c>
      <c r="AA6790">
        <v>0.92383649999999995</v>
      </c>
      <c r="AB6790">
        <v>19</v>
      </c>
      <c r="AC6790">
        <v>18.282999999999902</v>
      </c>
      <c r="AD6790">
        <v>-1.11428153</v>
      </c>
      <c r="AE6790">
        <v>-8.8470399999999998</v>
      </c>
      <c r="AF6790">
        <v>-7.77686129616907</v>
      </c>
      <c r="AG6790">
        <v>-1.11428153</v>
      </c>
      <c r="AH6790">
        <v>18.697233845436301</v>
      </c>
      <c r="AI6790">
        <v>93.149581590393396</v>
      </c>
      <c r="AJ6790">
        <v>112.58420706721201</v>
      </c>
      <c r="AK6790">
        <v>20.2807235674391</v>
      </c>
      <c r="AL6790">
        <v>90.626730928230501</v>
      </c>
      <c r="AM6790">
        <v>88.674509837516894</v>
      </c>
      <c r="AN6790">
        <v>0.99999999190268396</v>
      </c>
    </row>
    <row r="6791" spans="1:40" x14ac:dyDescent="0.25">
      <c r="A6791" t="str">
        <f>"20190312160821558"</f>
        <v>20190312160821558</v>
      </c>
      <c r="B6791" t="str">
        <f>"1552378101552792"</f>
        <v>1552378101552792</v>
      </c>
      <c r="C6791" t="s">
        <v>40</v>
      </c>
      <c r="D6791">
        <v>6.0122519999999904</v>
      </c>
      <c r="E6791">
        <v>0.33410089999999998</v>
      </c>
      <c r="F6791" t="s">
        <v>47</v>
      </c>
      <c r="G6791">
        <v>-275.84100000000001</v>
      </c>
      <c r="H6791" s="1">
        <v>-2.6129879999999999E-6</v>
      </c>
      <c r="I6791">
        <v>-64.781099999999995</v>
      </c>
      <c r="J6791">
        <v>-293.69920000000002</v>
      </c>
      <c r="K6791">
        <v>1.1142700000000001</v>
      </c>
      <c r="L6791">
        <v>-56.25656</v>
      </c>
      <c r="M6791">
        <v>0.66808639999999997</v>
      </c>
      <c r="N6791">
        <v>0</v>
      </c>
      <c r="O6791">
        <v>-0.7439557</v>
      </c>
      <c r="P6791">
        <v>0.65095539999999996</v>
      </c>
      <c r="Q6791">
        <v>-2.4990539999999999E-2</v>
      </c>
      <c r="R6791">
        <v>-0.75870419999999905</v>
      </c>
      <c r="S6791">
        <v>2.95871</v>
      </c>
      <c r="T6791">
        <v>-0.18368319999999999</v>
      </c>
      <c r="U6791">
        <v>-1.4203490000000001</v>
      </c>
      <c r="V6791">
        <v>2.2721100000000001E-2</v>
      </c>
      <c r="W6791">
        <v>-1.095399E-2</v>
      </c>
      <c r="X6791">
        <v>0.99968179999999995</v>
      </c>
      <c r="Y6791">
        <v>-0.38018160000000001</v>
      </c>
      <c r="Z6791">
        <v>4.8973610000000001E-2</v>
      </c>
      <c r="AA6791">
        <v>0.92361439999999995</v>
      </c>
      <c r="AB6791">
        <v>19</v>
      </c>
      <c r="AC6791">
        <v>17.8582</v>
      </c>
      <c r="AD6791">
        <v>-1.1142726129880001</v>
      </c>
      <c r="AE6791">
        <v>-8.5245399999999893</v>
      </c>
      <c r="AF6791">
        <v>-7.5673095860438702</v>
      </c>
      <c r="AG6791">
        <v>-1.1142726129880001</v>
      </c>
      <c r="AH6791">
        <v>18.216681058747</v>
      </c>
      <c r="AI6791">
        <v>93.233074319033804</v>
      </c>
      <c r="AJ6791">
        <v>112.558267364451</v>
      </c>
      <c r="AK6791">
        <v>19.757359302882499</v>
      </c>
      <c r="AL6791">
        <v>90.627629966773398</v>
      </c>
      <c r="AM6791">
        <v>88.697986658005902</v>
      </c>
      <c r="AN6791">
        <v>0.99999996976668404</v>
      </c>
    </row>
    <row r="6792" spans="1:40" x14ac:dyDescent="0.25">
      <c r="A6792" t="str">
        <f>"20190312160821571"</f>
        <v>20190312160821571</v>
      </c>
      <c r="B6792" t="str">
        <f>"1552378101562553"</f>
        <v>1552378101562553</v>
      </c>
      <c r="C6792" t="s">
        <v>40</v>
      </c>
      <c r="D6792">
        <v>6.0055170000000002</v>
      </c>
      <c r="E6792">
        <v>0.33466309999999999</v>
      </c>
      <c r="F6792" t="s">
        <v>47</v>
      </c>
      <c r="G6792">
        <v>-276.10210000000001</v>
      </c>
      <c r="H6792" s="1">
        <v>-2.6802350000000001E-6</v>
      </c>
      <c r="I6792">
        <v>-64.619500000000002</v>
      </c>
      <c r="J6792">
        <v>-293.62</v>
      </c>
      <c r="K6792">
        <v>1.1142609999999999</v>
      </c>
      <c r="L6792">
        <v>-56.336150000000004</v>
      </c>
      <c r="M6792">
        <v>0.67182580000000003</v>
      </c>
      <c r="N6792">
        <v>0</v>
      </c>
      <c r="O6792">
        <v>-0.74058089999999999</v>
      </c>
      <c r="P6792">
        <v>0.65496739999999998</v>
      </c>
      <c r="Q6792">
        <v>-2.4849570000000001E-2</v>
      </c>
      <c r="R6792">
        <v>-0.75524849999999999</v>
      </c>
      <c r="S6792">
        <v>2.961182</v>
      </c>
      <c r="T6792">
        <v>-0.18750610000000001</v>
      </c>
      <c r="U6792">
        <v>-1.4072880000000001</v>
      </c>
      <c r="V6792">
        <v>2.2460580000000001E-2</v>
      </c>
      <c r="W6792">
        <v>-1.0832929999999999E-2</v>
      </c>
      <c r="X6792">
        <v>0.99968900000000005</v>
      </c>
      <c r="Y6792">
        <v>-0.37908540000000002</v>
      </c>
      <c r="Z6792">
        <v>4.9868259999999998E-2</v>
      </c>
      <c r="AA6792">
        <v>0.92401699999999998</v>
      </c>
      <c r="AB6792">
        <v>19</v>
      </c>
      <c r="AC6792">
        <v>17.517899999999901</v>
      </c>
      <c r="AD6792">
        <v>-1.1142636802349899</v>
      </c>
      <c r="AE6792">
        <v>-8.2833499999999898</v>
      </c>
      <c r="AF6792">
        <v>-7.3847397989809398</v>
      </c>
      <c r="AG6792">
        <v>-1.1142636802349899</v>
      </c>
      <c r="AH6792">
        <v>17.846159830111102</v>
      </c>
      <c r="AI6792">
        <v>93.3018969270383</v>
      </c>
      <c r="AJ6792">
        <v>112.479768651025</v>
      </c>
      <c r="AK6792">
        <v>19.345836402947601</v>
      </c>
      <c r="AL6792">
        <v>90.620693331870996</v>
      </c>
      <c r="AM6792">
        <v>88.712919751230999</v>
      </c>
      <c r="AN6792">
        <v>0.99999996337365904</v>
      </c>
    </row>
    <row r="6793" spans="1:40" x14ac:dyDescent="0.25">
      <c r="A6793" t="str">
        <f>"20190312160821585"</f>
        <v>20190312160821585</v>
      </c>
      <c r="B6793" t="str">
        <f>"1552378101582072"</f>
        <v>1552378101582072</v>
      </c>
      <c r="C6793" t="s">
        <v>40</v>
      </c>
      <c r="D6793">
        <v>5.9508419999999997</v>
      </c>
      <c r="E6793">
        <v>0.33573540000000002</v>
      </c>
      <c r="F6793" t="s">
        <v>47</v>
      </c>
      <c r="G6793">
        <v>-276.14030000000002</v>
      </c>
      <c r="H6793" s="1">
        <v>-2.6848530000000001E-6</v>
      </c>
      <c r="I6793">
        <v>-64.556700000000006</v>
      </c>
      <c r="J6793">
        <v>-293.5403</v>
      </c>
      <c r="K6793">
        <v>1.1142510000000001</v>
      </c>
      <c r="L6793">
        <v>-56.41534</v>
      </c>
      <c r="M6793">
        <v>0.67555269999999901</v>
      </c>
      <c r="N6793">
        <v>0</v>
      </c>
      <c r="O6793">
        <v>-0.73718359999999905</v>
      </c>
      <c r="P6793">
        <v>0.65914519999999999</v>
      </c>
      <c r="Q6793">
        <v>-2.4943650000000001E-2</v>
      </c>
      <c r="R6793">
        <v>-0.7516024</v>
      </c>
      <c r="S6793">
        <v>2.965179</v>
      </c>
      <c r="T6793">
        <v>-0.1890191</v>
      </c>
      <c r="U6793">
        <v>-1.394501</v>
      </c>
      <c r="V6793">
        <v>2.1958410000000001E-2</v>
      </c>
      <c r="W6793">
        <v>-1.095133E-2</v>
      </c>
      <c r="X6793">
        <v>0.99969889999999995</v>
      </c>
      <c r="Y6793">
        <v>-0.37814049999999999</v>
      </c>
      <c r="Z6793">
        <v>5.0124130000000003E-2</v>
      </c>
      <c r="AA6793">
        <v>0.9243903</v>
      </c>
      <c r="AB6793">
        <v>19</v>
      </c>
      <c r="AC6793">
        <v>17.399999999999899</v>
      </c>
      <c r="AD6793">
        <v>-1.114253684853</v>
      </c>
      <c r="AE6793">
        <v>-8.1413600000000006</v>
      </c>
      <c r="AF6793">
        <v>-7.3031989756735696</v>
      </c>
      <c r="AG6793">
        <v>-1.114253684853</v>
      </c>
      <c r="AH6793">
        <v>17.698428736556899</v>
      </c>
      <c r="AI6793">
        <v>93.330719108003905</v>
      </c>
      <c r="AJ6793">
        <v>112.423332266744</v>
      </c>
      <c r="AK6793">
        <v>19.1784424887807</v>
      </c>
      <c r="AL6793">
        <v>90.627477533745406</v>
      </c>
      <c r="AM6793">
        <v>88.741699181741694</v>
      </c>
      <c r="AN6793">
        <v>0.99999999702985298</v>
      </c>
    </row>
    <row r="6794" spans="1:40" x14ac:dyDescent="0.25">
      <c r="A6794" t="str">
        <f>"20190312160821599"</f>
        <v>20190312160821599</v>
      </c>
      <c r="B6794" t="str">
        <f>"1552378101592809"</f>
        <v>1552378101592809</v>
      </c>
      <c r="C6794" t="s">
        <v>40</v>
      </c>
      <c r="D6794">
        <v>6.0354839999999896</v>
      </c>
      <c r="E6794">
        <v>0.33564090000000002</v>
      </c>
      <c r="F6794" t="s">
        <v>47</v>
      </c>
      <c r="G6794">
        <v>-276.34800000000001</v>
      </c>
      <c r="H6794" s="1">
        <v>-2.738933E-6</v>
      </c>
      <c r="I6794">
        <v>-64.432630000000003</v>
      </c>
      <c r="J6794">
        <v>-293.45100000000002</v>
      </c>
      <c r="K6794">
        <v>1.1142459999999901</v>
      </c>
      <c r="L6794">
        <v>-56.503230000000002</v>
      </c>
      <c r="M6794">
        <v>0.67968669999999998</v>
      </c>
      <c r="N6794">
        <v>0</v>
      </c>
      <c r="O6794">
        <v>-0.73337410000000003</v>
      </c>
      <c r="P6794">
        <v>0.66342539999999905</v>
      </c>
      <c r="Q6794">
        <v>-2.5192849999999999E-2</v>
      </c>
      <c r="R6794">
        <v>-0.74781819999999999</v>
      </c>
      <c r="S6794">
        <v>2.9666139999999999</v>
      </c>
      <c r="T6794">
        <v>-0.19227</v>
      </c>
      <c r="U6794">
        <v>-1.3834229999999901</v>
      </c>
      <c r="V6794">
        <v>2.1868439999999999E-2</v>
      </c>
      <c r="W6794">
        <v>-1.122301E-2</v>
      </c>
      <c r="X6794">
        <v>0.99969790000000003</v>
      </c>
      <c r="Y6794">
        <v>-0.37589260000000002</v>
      </c>
      <c r="Z6794">
        <v>5.081107E-2</v>
      </c>
      <c r="AA6794">
        <v>0.92526909999999896</v>
      </c>
      <c r="AB6794">
        <v>19</v>
      </c>
      <c r="AC6794">
        <v>17.102999999999899</v>
      </c>
      <c r="AD6794">
        <v>-1.11424873893299</v>
      </c>
      <c r="AE6794">
        <v>-7.9294000000000002</v>
      </c>
      <c r="AF6794">
        <v>-7.1291577681147</v>
      </c>
      <c r="AG6794">
        <v>-1.11424873893299</v>
      </c>
      <c r="AH6794">
        <v>17.380821445418899</v>
      </c>
      <c r="AI6794">
        <v>93.394372284019894</v>
      </c>
      <c r="AJ6794">
        <v>112.302154132751</v>
      </c>
      <c r="AK6794">
        <v>18.819123115926999</v>
      </c>
      <c r="AL6794">
        <v>90.643044581730905</v>
      </c>
      <c r="AM6794">
        <v>88.746851906081702</v>
      </c>
      <c r="AN6794">
        <v>1.0000000379429499</v>
      </c>
    </row>
    <row r="6795" spans="1:40" x14ac:dyDescent="0.25">
      <c r="A6795" t="str">
        <f>"20190312160821622"</f>
        <v>20190312160821622</v>
      </c>
      <c r="B6795" t="str">
        <f>"1552378101612329"</f>
        <v>1552378101612329</v>
      </c>
      <c r="C6795" t="s">
        <v>40</v>
      </c>
      <c r="D6795">
        <v>6.0401740000000004</v>
      </c>
      <c r="E6795">
        <v>0.313282</v>
      </c>
      <c r="F6795" t="s">
        <v>47</v>
      </c>
      <c r="G6795">
        <v>-276.17689999999999</v>
      </c>
      <c r="H6795" s="1">
        <v>-2.6809929999999998E-6</v>
      </c>
      <c r="I6795">
        <v>-64.434780000000003</v>
      </c>
      <c r="J6795">
        <v>-293.31689999999998</v>
      </c>
      <c r="K6795">
        <v>1.1142319999999999</v>
      </c>
      <c r="L6795">
        <v>-56.633389999999999</v>
      </c>
      <c r="M6795">
        <v>0.68581610000000004</v>
      </c>
      <c r="N6795">
        <v>0</v>
      </c>
      <c r="O6795">
        <v>-0.72764600000000002</v>
      </c>
      <c r="P6795">
        <v>0.67023319999999997</v>
      </c>
      <c r="Q6795">
        <v>-2.4897499999999999E-2</v>
      </c>
      <c r="R6795">
        <v>-0.74173299999999998</v>
      </c>
      <c r="S6795">
        <v>2.974945</v>
      </c>
      <c r="T6795">
        <v>-0.19189539999999999</v>
      </c>
      <c r="U6795">
        <v>-1.3659669999999999</v>
      </c>
      <c r="V6795">
        <v>2.1122200000000001E-2</v>
      </c>
      <c r="W6795">
        <v>-1.096576E-2</v>
      </c>
      <c r="X6795">
        <v>0.99971679999999996</v>
      </c>
      <c r="Y6795">
        <v>-0.37360280000000001</v>
      </c>
      <c r="Z6795">
        <v>5.0392190000000003E-2</v>
      </c>
      <c r="AA6795">
        <v>0.92621900000000001</v>
      </c>
      <c r="AB6795">
        <v>19</v>
      </c>
      <c r="AC6795">
        <v>17.139999999999901</v>
      </c>
      <c r="AD6795">
        <v>-1.1142346809929999</v>
      </c>
      <c r="AE6795">
        <v>-7.8013899999999898</v>
      </c>
      <c r="AF6795">
        <v>-7.0973553471050304</v>
      </c>
      <c r="AG6795">
        <v>-1.1142346809929999</v>
      </c>
      <c r="AH6795">
        <v>17.3723565872634</v>
      </c>
      <c r="AI6795">
        <v>93.397917295400802</v>
      </c>
      <c r="AJ6795">
        <v>112.222128081386</v>
      </c>
      <c r="AK6795">
        <v>18.799275125452098</v>
      </c>
      <c r="AL6795">
        <v>90.628304335931603</v>
      </c>
      <c r="AM6795">
        <v>88.789624339101707</v>
      </c>
      <c r="AN6795">
        <v>1.0000000377137199</v>
      </c>
    </row>
    <row r="6796" spans="1:40" x14ac:dyDescent="0.25">
      <c r="A6796" t="str">
        <f>"20190312160821644"</f>
        <v>20190312160821644</v>
      </c>
      <c r="B6796" t="str">
        <f>"1552378101632824"</f>
        <v>1552378101632824</v>
      </c>
      <c r="C6796" t="s">
        <v>40</v>
      </c>
      <c r="D6796">
        <v>6.0172179999999997</v>
      </c>
      <c r="E6796">
        <v>0.30940879999999998</v>
      </c>
      <c r="F6796" t="s">
        <v>111</v>
      </c>
      <c r="G6796">
        <v>-265.65769999999998</v>
      </c>
      <c r="H6796" s="1">
        <v>-3.0722649999999999E-6</v>
      </c>
      <c r="I6796">
        <v>-67.478259999999906</v>
      </c>
      <c r="J6796">
        <v>-293.17759999999998</v>
      </c>
      <c r="K6796">
        <v>1.114223</v>
      </c>
      <c r="L6796">
        <v>-56.766170000000002</v>
      </c>
      <c r="M6796">
        <v>0.69207730000000001</v>
      </c>
      <c r="N6796">
        <v>0</v>
      </c>
      <c r="O6796">
        <v>-0.72169369999999999</v>
      </c>
      <c r="P6796">
        <v>0.67687449999999905</v>
      </c>
      <c r="Q6796">
        <v>-2.4907510000000001E-2</v>
      </c>
      <c r="R6796">
        <v>-0.73567700000000003</v>
      </c>
      <c r="S6796">
        <v>3.1182859999999999</v>
      </c>
      <c r="T6796">
        <v>-0.1256187</v>
      </c>
      <c r="U6796">
        <v>-1.222656</v>
      </c>
      <c r="V6796">
        <v>2.0771640000000001E-2</v>
      </c>
      <c r="W6796">
        <v>-1.100656E-2</v>
      </c>
      <c r="X6796">
        <v>0.99972369999999999</v>
      </c>
      <c r="Y6796">
        <v>-0.41863630000000002</v>
      </c>
      <c r="Z6796">
        <v>3.274933E-2</v>
      </c>
      <c r="AA6796">
        <v>0.90756329999999996</v>
      </c>
      <c r="AB6796">
        <v>19</v>
      </c>
      <c r="AC6796">
        <v>27.5199</v>
      </c>
      <c r="AD6796">
        <v>-1.1142260722649999</v>
      </c>
      <c r="AE6796">
        <v>-10.7120899999999</v>
      </c>
      <c r="AF6796">
        <v>-12.4308131325062</v>
      </c>
      <c r="AG6796">
        <v>-1.1142260722649999</v>
      </c>
      <c r="AH6796">
        <v>26.741184447555401</v>
      </c>
      <c r="AI6796">
        <v>92.163842409632295</v>
      </c>
      <c r="AJ6796">
        <v>114.931666582392</v>
      </c>
      <c r="AK6796">
        <v>29.510295839479198</v>
      </c>
      <c r="AL6796">
        <v>90.630642142745302</v>
      </c>
      <c r="AM6796">
        <v>88.809715033494498</v>
      </c>
      <c r="AN6796">
        <v>1.0000000408665</v>
      </c>
    </row>
    <row r="6797" spans="1:40" x14ac:dyDescent="0.25">
      <c r="A6797" t="str">
        <f>"20190312160821666"</f>
        <v>20190312160821666</v>
      </c>
      <c r="B6797" t="str">
        <f>"1552378101662107"</f>
        <v>1552378101662107</v>
      </c>
      <c r="C6797" t="s">
        <v>40</v>
      </c>
      <c r="D6797">
        <v>6.0190710000000003</v>
      </c>
      <c r="E6797">
        <v>0.30978610000000001</v>
      </c>
      <c r="F6797" t="s">
        <v>111</v>
      </c>
      <c r="G6797">
        <v>-262.36959999999999</v>
      </c>
      <c r="H6797" s="1">
        <v>-2.0895340000000002E-6</v>
      </c>
      <c r="I6797">
        <v>-68.246359999999996</v>
      </c>
      <c r="J6797">
        <v>-293.04039999999998</v>
      </c>
      <c r="K6797">
        <v>1.1142110000000001</v>
      </c>
      <c r="L6797">
        <v>-56.894869999999997</v>
      </c>
      <c r="M6797">
        <v>0.69814869999999996</v>
      </c>
      <c r="N6797">
        <v>0</v>
      </c>
      <c r="O6797">
        <v>-0.71582250000000003</v>
      </c>
      <c r="P6797">
        <v>0.68329050000000002</v>
      </c>
      <c r="Q6797">
        <v>-2.4996709999999998E-2</v>
      </c>
      <c r="R6797">
        <v>-0.7297188</v>
      </c>
      <c r="S6797">
        <v>3.1515200000000001</v>
      </c>
      <c r="T6797">
        <v>-0.1139801</v>
      </c>
      <c r="U6797">
        <v>-1.174377</v>
      </c>
      <c r="V6797">
        <v>2.046094E-2</v>
      </c>
      <c r="W6797">
        <v>-1.112263E-2</v>
      </c>
      <c r="X6797">
        <v>0.99972879999999997</v>
      </c>
      <c r="Y6797">
        <v>-0.4264771</v>
      </c>
      <c r="Z6797">
        <v>2.9549349999999999E-2</v>
      </c>
      <c r="AA6797">
        <v>0.90401549999999997</v>
      </c>
      <c r="AB6797">
        <v>19</v>
      </c>
      <c r="AC6797">
        <v>30.6707999999999</v>
      </c>
      <c r="AD6797">
        <v>-1.1142130895339999</v>
      </c>
      <c r="AE6797">
        <v>-11.351489999999901</v>
      </c>
      <c r="AF6797">
        <v>-14.0148619361571</v>
      </c>
      <c r="AG6797">
        <v>-1.1142130895339999</v>
      </c>
      <c r="AH6797">
        <v>29.506936769743898</v>
      </c>
      <c r="AI6797">
        <v>91.953551837949902</v>
      </c>
      <c r="AJ6797">
        <v>115.40623988042</v>
      </c>
      <c r="AK6797">
        <v>32.685121132284401</v>
      </c>
      <c r="AL6797">
        <v>90.637292885136105</v>
      </c>
      <c r="AM6797">
        <v>88.827520162292899</v>
      </c>
      <c r="AN6797">
        <v>1.00000001825662</v>
      </c>
    </row>
    <row r="6798" spans="1:40" x14ac:dyDescent="0.25">
      <c r="A6798" t="str">
        <f>"20190312160821681"</f>
        <v>20190312160821681</v>
      </c>
      <c r="B6798" t="str">
        <f>"1552378101672840"</f>
        <v>1552378101672840</v>
      </c>
      <c r="C6798" t="s">
        <v>40</v>
      </c>
      <c r="D6798">
        <v>6.001868</v>
      </c>
      <c r="E6798">
        <v>0.31006640000000002</v>
      </c>
      <c r="F6798" t="s">
        <v>111</v>
      </c>
      <c r="G6798">
        <v>-264.40440000000001</v>
      </c>
      <c r="H6798" s="1">
        <v>-2.6145309999999999E-6</v>
      </c>
      <c r="I6798">
        <v>-67.302229999999994</v>
      </c>
      <c r="J6798">
        <v>-292.94819999999999</v>
      </c>
      <c r="K6798">
        <v>1.114206</v>
      </c>
      <c r="L6798">
        <v>-56.980130000000003</v>
      </c>
      <c r="M6798">
        <v>0.70217589999999996</v>
      </c>
      <c r="N6798">
        <v>0</v>
      </c>
      <c r="O6798">
        <v>-0.71187279999999997</v>
      </c>
      <c r="P6798">
        <v>0.68720579999999998</v>
      </c>
      <c r="Q6798">
        <v>-2.540831E-2</v>
      </c>
      <c r="R6798">
        <v>-0.72601850000000001</v>
      </c>
      <c r="S6798">
        <v>3.1596679999999999</v>
      </c>
      <c r="T6798">
        <v>-0.1229413</v>
      </c>
      <c r="U6798">
        <v>-1.1483460000000001</v>
      </c>
      <c r="V6798">
        <v>2.0717349999999999E-2</v>
      </c>
      <c r="W6798">
        <v>-1.1546570000000001E-2</v>
      </c>
      <c r="X6798">
        <v>0.99971869999999996</v>
      </c>
      <c r="Y6798">
        <v>-0.42860949999999998</v>
      </c>
      <c r="Z6798">
        <v>3.1803789999999998E-2</v>
      </c>
      <c r="AA6798">
        <v>0.90292989999999995</v>
      </c>
      <c r="AB6798">
        <v>19</v>
      </c>
      <c r="AC6798">
        <v>28.543799999999901</v>
      </c>
      <c r="AD6798">
        <v>-1.114208614531</v>
      </c>
      <c r="AE6798">
        <v>-10.322100000000001</v>
      </c>
      <c r="AF6798">
        <v>-13.055249413272399</v>
      </c>
      <c r="AG6798">
        <v>-1.114208614531</v>
      </c>
      <c r="AH6798">
        <v>27.356476703066299</v>
      </c>
      <c r="AI6798">
        <v>92.105131844495304</v>
      </c>
      <c r="AJ6798">
        <v>115.511736669717</v>
      </c>
      <c r="AK6798">
        <v>30.332454824574501</v>
      </c>
      <c r="AL6798">
        <v>90.661584426536606</v>
      </c>
      <c r="AM6798">
        <v>88.812819206085706</v>
      </c>
      <c r="AN6798">
        <v>1.00000000549973</v>
      </c>
    </row>
    <row r="6799" spans="1:40" x14ac:dyDescent="0.25">
      <c r="A6799" t="str">
        <f>"20190312160821695"</f>
        <v>20190312160821695</v>
      </c>
      <c r="B6799" t="str">
        <f>"1552378101692361"</f>
        <v>1552378101692361</v>
      </c>
      <c r="C6799" t="s">
        <v>40</v>
      </c>
      <c r="D6799">
        <v>6.0427629999999999</v>
      </c>
      <c r="E6799">
        <v>0.31078709999999998</v>
      </c>
      <c r="F6799" t="s">
        <v>47</v>
      </c>
      <c r="G6799">
        <v>-264.44389999999999</v>
      </c>
      <c r="H6799" s="1">
        <v>-2.607148E-6</v>
      </c>
      <c r="I6799">
        <v>-67.184929999999994</v>
      </c>
      <c r="J6799">
        <v>-292.86180000000002</v>
      </c>
      <c r="K6799">
        <v>1.1142019999999999</v>
      </c>
      <c r="L6799">
        <v>-57.059359999999998</v>
      </c>
      <c r="M6799">
        <v>0.70591599999999999</v>
      </c>
      <c r="N6799">
        <v>0</v>
      </c>
      <c r="O6799">
        <v>-0.70816469999999998</v>
      </c>
      <c r="P6799">
        <v>0.69082209999999999</v>
      </c>
      <c r="Q6799">
        <v>-2.5867729999999999E-2</v>
      </c>
      <c r="R6799">
        <v>-0.72256260000000005</v>
      </c>
      <c r="S6799">
        <v>3.1641849999999998</v>
      </c>
      <c r="T6799">
        <v>-0.12368510000000001</v>
      </c>
      <c r="U6799">
        <v>-1.1328129999999901</v>
      </c>
      <c r="V6799">
        <v>2.0985340000000002E-2</v>
      </c>
      <c r="W6799">
        <v>-1.201697E-2</v>
      </c>
      <c r="X6799">
        <v>0.99970760000000003</v>
      </c>
      <c r="Y6799">
        <v>-0.42818230000000002</v>
      </c>
      <c r="Z6799">
        <v>3.1893940000000003E-2</v>
      </c>
      <c r="AA6799">
        <v>0.90312939999999997</v>
      </c>
      <c r="AB6799">
        <v>19</v>
      </c>
      <c r="AC6799">
        <v>28.417899999999999</v>
      </c>
      <c r="AD6799">
        <v>-1.1142046071480001</v>
      </c>
      <c r="AE6799">
        <v>-10.12557</v>
      </c>
      <c r="AF6799">
        <v>-12.9602757899326</v>
      </c>
      <c r="AG6799">
        <v>-1.1142046071480001</v>
      </c>
      <c r="AH6799">
        <v>27.1966473476628</v>
      </c>
      <c r="AI6799">
        <v>92.118049649198397</v>
      </c>
      <c r="AJ6799">
        <v>115.479642420273</v>
      </c>
      <c r="AK6799">
        <v>30.147434839648302</v>
      </c>
      <c r="AL6799">
        <v>90.688538209198995</v>
      </c>
      <c r="AM6799">
        <v>88.797453520257903</v>
      </c>
      <c r="AN6799">
        <v>1.0000000387803201</v>
      </c>
    </row>
    <row r="6800" spans="1:40" x14ac:dyDescent="0.25">
      <c r="A6800" t="str">
        <f>"20190312160821710"</f>
        <v>20190312160821710</v>
      </c>
      <c r="B6800" t="str">
        <f>"1552378101702121"</f>
        <v>1552378101702121</v>
      </c>
      <c r="C6800" t="s">
        <v>40</v>
      </c>
      <c r="D6800">
        <v>5.9972279999999998</v>
      </c>
      <c r="E6800">
        <v>0.31122610000000001</v>
      </c>
      <c r="F6800" t="s">
        <v>47</v>
      </c>
      <c r="G6800">
        <v>-265.18509999999998</v>
      </c>
      <c r="H6800" s="1">
        <v>-2.8012520000000001E-6</v>
      </c>
      <c r="I6800">
        <v>-66.857249999999993</v>
      </c>
      <c r="J6800">
        <v>-292.75900000000001</v>
      </c>
      <c r="K6800">
        <v>1.114193</v>
      </c>
      <c r="L6800">
        <v>-57.152160000000002</v>
      </c>
      <c r="M6800">
        <v>0.71030869999999902</v>
      </c>
      <c r="N6800">
        <v>0</v>
      </c>
      <c r="O6800">
        <v>-0.70375900000000002</v>
      </c>
      <c r="P6800">
        <v>0.69460040000000001</v>
      </c>
      <c r="Q6800">
        <v>-2.5768940000000001E-2</v>
      </c>
      <c r="R6800">
        <v>-0.71893430000000003</v>
      </c>
      <c r="S6800">
        <v>3.16568</v>
      </c>
      <c r="T6800">
        <v>-0.12744359999999999</v>
      </c>
      <c r="U6800">
        <v>-1.1206969999999901</v>
      </c>
      <c r="V6800">
        <v>2.1965809999999999E-2</v>
      </c>
      <c r="W6800">
        <v>-1.192638E-2</v>
      </c>
      <c r="X6800">
        <v>0.99968760000000001</v>
      </c>
      <c r="Y6800">
        <v>-0.42572510000000002</v>
      </c>
      <c r="Z6800">
        <v>3.2720119999999998E-2</v>
      </c>
      <c r="AA6800">
        <v>0.90426079999999998</v>
      </c>
      <c r="AB6800">
        <v>19</v>
      </c>
      <c r="AC6800">
        <v>27.573899999999998</v>
      </c>
      <c r="AD6800">
        <v>-1.1141958012519999</v>
      </c>
      <c r="AE6800">
        <v>-9.7050899999999896</v>
      </c>
      <c r="AF6800">
        <v>-12.494774368326899</v>
      </c>
      <c r="AG6800">
        <v>-1.1141958012519999</v>
      </c>
      <c r="AH6800">
        <v>26.380141816164802</v>
      </c>
      <c r="AI6800">
        <v>92.1859770099895</v>
      </c>
      <c r="AJ6800">
        <v>115.344256046665</v>
      </c>
      <c r="AK6800">
        <v>29.210831912834902</v>
      </c>
      <c r="AL6800">
        <v>90.683347427989602</v>
      </c>
      <c r="AM6800">
        <v>88.741261046405498</v>
      </c>
      <c r="AN6800">
        <v>1.0000000164713101</v>
      </c>
    </row>
    <row r="6801" spans="1:40" x14ac:dyDescent="0.25">
      <c r="A6801" t="str">
        <f>"20190312160821733"</f>
        <v>20190312160821733</v>
      </c>
      <c r="B6801" t="str">
        <f>"1552378101722212"</f>
        <v>1552378101722212</v>
      </c>
      <c r="C6801" t="s">
        <v>40</v>
      </c>
      <c r="D6801">
        <v>5.9874010000000002</v>
      </c>
      <c r="E6801">
        <v>0.31178349999999999</v>
      </c>
      <c r="F6801" t="s">
        <v>111</v>
      </c>
      <c r="G6801">
        <v>-265.17250000000001</v>
      </c>
      <c r="H6801" s="1">
        <v>-2.7838680000000001E-6</v>
      </c>
      <c r="I6801">
        <v>-66.783249999999995</v>
      </c>
      <c r="J6801">
        <v>-292.61739999999998</v>
      </c>
      <c r="K6801">
        <v>1.1141829999999999</v>
      </c>
      <c r="L6801">
        <v>-57.278410000000001</v>
      </c>
      <c r="M6801">
        <v>0.71628359999999902</v>
      </c>
      <c r="N6801">
        <v>0</v>
      </c>
      <c r="O6801">
        <v>-0.6976774</v>
      </c>
      <c r="P6801">
        <v>0.69995309999999999</v>
      </c>
      <c r="Q6801">
        <v>-2.544627E-2</v>
      </c>
      <c r="R6801">
        <v>-0.71373580000000003</v>
      </c>
      <c r="S6801">
        <v>3.169098</v>
      </c>
      <c r="T6801">
        <v>-0.12799739999999901</v>
      </c>
      <c r="U6801">
        <v>-1.1064149999999999</v>
      </c>
      <c r="V6801">
        <v>2.302421E-2</v>
      </c>
      <c r="W6801">
        <v>-1.1620449999999999E-2</v>
      </c>
      <c r="X6801">
        <v>0.99966730000000004</v>
      </c>
      <c r="Y6801">
        <v>-0.42194100000000001</v>
      </c>
      <c r="Z6801">
        <v>3.2636270000000002E-2</v>
      </c>
      <c r="AA6801">
        <v>0.9060357</v>
      </c>
      <c r="AB6801">
        <v>19</v>
      </c>
      <c r="AC6801">
        <v>27.444899999999901</v>
      </c>
      <c r="AD6801">
        <v>-1.1141857838679901</v>
      </c>
      <c r="AE6801">
        <v>-9.5048399999999909</v>
      </c>
      <c r="AF6801">
        <v>-12.322527034635</v>
      </c>
      <c r="AG6801">
        <v>-1.1141857838679901</v>
      </c>
      <c r="AH6801">
        <v>26.2534282890241</v>
      </c>
      <c r="AI6801">
        <v>92.200119199460303</v>
      </c>
      <c r="AJ6801">
        <v>115.143872235114</v>
      </c>
      <c r="AK6801">
        <v>29.022897501924501</v>
      </c>
      <c r="AL6801">
        <v>90.665817773061207</v>
      </c>
      <c r="AM6801">
        <v>88.680604165503198</v>
      </c>
      <c r="AN6801">
        <v>0.99999992989680497</v>
      </c>
    </row>
    <row r="6802" spans="1:40" x14ac:dyDescent="0.25">
      <c r="A6802" t="str">
        <f>"20190312160821748"</f>
        <v>20190312160821748</v>
      </c>
      <c r="B6802" t="str">
        <f>"1552378101742696"</f>
        <v>1552378101742696</v>
      </c>
      <c r="C6802" t="s">
        <v>40</v>
      </c>
      <c r="D6802">
        <v>5.994326</v>
      </c>
      <c r="E6802">
        <v>0.31258249999999999</v>
      </c>
      <c r="F6802" t="s">
        <v>47</v>
      </c>
      <c r="G6802">
        <v>-265.44929999999999</v>
      </c>
      <c r="H6802" s="1">
        <v>-2.8405320000000002E-6</v>
      </c>
      <c r="I6802">
        <v>-66.571820000000002</v>
      </c>
      <c r="J6802">
        <v>-292.524</v>
      </c>
      <c r="K6802">
        <v>1.114179</v>
      </c>
      <c r="L6802">
        <v>-57.360230000000001</v>
      </c>
      <c r="M6802">
        <v>0.72016420000000003</v>
      </c>
      <c r="N6802">
        <v>0</v>
      </c>
      <c r="O6802">
        <v>-0.69367109999999998</v>
      </c>
      <c r="P6802">
        <v>0.70353209999999999</v>
      </c>
      <c r="Q6802">
        <v>-2.5587439999999999E-2</v>
      </c>
      <c r="R6802">
        <v>-0.71020280000000002</v>
      </c>
      <c r="S6802">
        <v>3.1741329999999999</v>
      </c>
      <c r="T6802">
        <v>-0.13017380000000001</v>
      </c>
      <c r="U6802">
        <v>-1.085785</v>
      </c>
      <c r="V6802">
        <v>2.357279E-2</v>
      </c>
      <c r="W6802">
        <v>-1.177396E-2</v>
      </c>
      <c r="X6802">
        <v>0.99965280000000001</v>
      </c>
      <c r="Y6802">
        <v>-0.42257099999999997</v>
      </c>
      <c r="Z6802">
        <v>3.3098410000000002E-2</v>
      </c>
      <c r="AA6802">
        <v>0.90572529999999996</v>
      </c>
      <c r="AB6802">
        <v>19</v>
      </c>
      <c r="AC6802">
        <v>27.0747</v>
      </c>
      <c r="AD6802">
        <v>-1.1141818405320001</v>
      </c>
      <c r="AE6802">
        <v>-9.2115899999999993</v>
      </c>
      <c r="AF6802">
        <v>-12.1297862069658</v>
      </c>
      <c r="AG6802">
        <v>-1.1141818405320001</v>
      </c>
      <c r="AH6802">
        <v>25.851187513115701</v>
      </c>
      <c r="AI6802">
        <v>92.234441304896194</v>
      </c>
      <c r="AJ6802">
        <v>115.136712637663</v>
      </c>
      <c r="AK6802">
        <v>28.577211383176301</v>
      </c>
      <c r="AL6802">
        <v>90.674613795489705</v>
      </c>
      <c r="AM6802">
        <v>88.649159869763906</v>
      </c>
      <c r="AN6802">
        <v>1.0000000115551499</v>
      </c>
    </row>
    <row r="6803" spans="1:40" x14ac:dyDescent="0.25">
      <c r="A6803" t="str">
        <f>"20190312160821761"</f>
        <v>20190312160821761</v>
      </c>
      <c r="B6803" t="str">
        <f>"1552378101752456"</f>
        <v>1552378101752456</v>
      </c>
      <c r="C6803" t="s">
        <v>40</v>
      </c>
      <c r="D6803">
        <v>7.8074779999999997</v>
      </c>
      <c r="E6803">
        <v>0.31258249999999999</v>
      </c>
      <c r="F6803" t="s">
        <v>47</v>
      </c>
      <c r="G6803">
        <v>-266.00200000000001</v>
      </c>
      <c r="H6803" s="1">
        <v>-2.9860880000000002E-6</v>
      </c>
      <c r="I6803">
        <v>-66.332030000000003</v>
      </c>
      <c r="J6803">
        <v>-292.44080000000002</v>
      </c>
      <c r="K6803">
        <v>1.114174</v>
      </c>
      <c r="L6803">
        <v>-57.432499999999997</v>
      </c>
      <c r="M6803">
        <v>0.72358990000000001</v>
      </c>
      <c r="N6803">
        <v>0</v>
      </c>
      <c r="O6803">
        <v>-0.69009699999999996</v>
      </c>
      <c r="P6803">
        <v>0.70675889999999997</v>
      </c>
      <c r="Q6803">
        <v>-2.577633E-2</v>
      </c>
      <c r="R6803">
        <v>-0.70698479999999997</v>
      </c>
      <c r="S6803">
        <v>3.1750790000000002</v>
      </c>
      <c r="T6803">
        <v>-0.13338420000000001</v>
      </c>
      <c r="U6803">
        <v>-1.074066</v>
      </c>
      <c r="V6803">
        <v>2.3967019999999999E-2</v>
      </c>
      <c r="W6803">
        <v>-1.197367E-2</v>
      </c>
      <c r="X6803">
        <v>0.99964109999999995</v>
      </c>
      <c r="Y6803">
        <v>-0.42112919999999998</v>
      </c>
      <c r="Z6803">
        <v>3.3807089999999998E-2</v>
      </c>
      <c r="AA6803">
        <v>0.90637040000000002</v>
      </c>
      <c r="AB6803">
        <v>19</v>
      </c>
      <c r="AC6803">
        <v>26.438800000000001</v>
      </c>
      <c r="AD6803">
        <v>-1.114176986088</v>
      </c>
      <c r="AE6803">
        <v>-8.8995300000000004</v>
      </c>
      <c r="AF6803">
        <v>-11.7880075296172</v>
      </c>
      <c r="AG6803">
        <v>-1.114176986088</v>
      </c>
      <c r="AH6803">
        <v>25.234456712098599</v>
      </c>
      <c r="AI6803">
        <v>92.290807729958104</v>
      </c>
      <c r="AJ6803">
        <v>115.03912861312099</v>
      </c>
      <c r="AK6803">
        <v>27.874294922552199</v>
      </c>
      <c r="AL6803">
        <v>90.686057110477293</v>
      </c>
      <c r="AM6803">
        <v>88.626561009390997</v>
      </c>
      <c r="AN6803">
        <v>1.0000000578150701</v>
      </c>
    </row>
    <row r="6804" spans="1:40" x14ac:dyDescent="0.25">
      <c r="A6804" t="str">
        <f>"20190312160821773"</f>
        <v>20190312160821773</v>
      </c>
      <c r="B6804" t="str">
        <f>"1552378101762216"</f>
        <v>1552378101762216</v>
      </c>
      <c r="C6804" t="s">
        <v>40</v>
      </c>
      <c r="D6804">
        <v>6.0129970000000004</v>
      </c>
      <c r="E6804">
        <v>0.30289490000000002</v>
      </c>
      <c r="F6804" t="s">
        <v>47</v>
      </c>
      <c r="G6804">
        <v>-266.0204</v>
      </c>
      <c r="H6804" s="1">
        <v>-2.975312E-6</v>
      </c>
      <c r="I6804">
        <v>-66.235929999999996</v>
      </c>
      <c r="J6804">
        <v>-292.35930000000002</v>
      </c>
      <c r="K6804">
        <v>1.114169</v>
      </c>
      <c r="L6804">
        <v>-57.502780000000001</v>
      </c>
      <c r="M6804">
        <v>0.72691779999999995</v>
      </c>
      <c r="N6804">
        <v>0</v>
      </c>
      <c r="O6804">
        <v>-0.68659110000000001</v>
      </c>
      <c r="P6804">
        <v>0.71010390000000001</v>
      </c>
      <c r="Q6804">
        <v>-2.5692940000000001E-2</v>
      </c>
      <c r="R6804">
        <v>-0.70362809999999998</v>
      </c>
      <c r="S6804">
        <v>3.1799010000000001</v>
      </c>
      <c r="T6804">
        <v>-0.1341</v>
      </c>
      <c r="U6804">
        <v>-1.0595699999999999</v>
      </c>
      <c r="V6804">
        <v>2.406001E-2</v>
      </c>
      <c r="W6804">
        <v>-1.1902889999999999E-2</v>
      </c>
      <c r="X6804">
        <v>0.99963959999999996</v>
      </c>
      <c r="Y6804">
        <v>-0.42087079999999999</v>
      </c>
      <c r="Z6804">
        <v>3.3873639999999997E-2</v>
      </c>
      <c r="AA6804">
        <v>0.90648790000000001</v>
      </c>
      <c r="AB6804">
        <v>19</v>
      </c>
      <c r="AC6804">
        <v>26.338899999999999</v>
      </c>
      <c r="AD6804">
        <v>-1.1141719753120001</v>
      </c>
      <c r="AE6804">
        <v>-8.7331500000000002</v>
      </c>
      <c r="AF6804">
        <v>-11.7179558007964</v>
      </c>
      <c r="AG6804">
        <v>-1.1141719753120001</v>
      </c>
      <c r="AH6804">
        <v>25.104149192148899</v>
      </c>
      <c r="AI6804">
        <v>92.302997940262102</v>
      </c>
      <c r="AJ6804">
        <v>115.021927626645</v>
      </c>
      <c r="AK6804">
        <v>27.726705069330901</v>
      </c>
      <c r="AL6804">
        <v>90.682001502416099</v>
      </c>
      <c r="AM6804">
        <v>88.621232167764205</v>
      </c>
      <c r="AN6804">
        <v>0.99999994637985401</v>
      </c>
    </row>
    <row r="6805" spans="1:40" x14ac:dyDescent="0.25">
      <c r="A6805" t="str">
        <f>"20190312160821786"</f>
        <v>20190312160821786</v>
      </c>
      <c r="B6805" t="str">
        <f>"1552378101782712"</f>
        <v>1552378101782712</v>
      </c>
      <c r="C6805" t="s">
        <v>40</v>
      </c>
      <c r="D6805">
        <v>5.9800570000000004</v>
      </c>
      <c r="E6805">
        <v>0.31805139999999998</v>
      </c>
      <c r="F6805" t="s">
        <v>54</v>
      </c>
      <c r="G6805">
        <v>-213.292</v>
      </c>
      <c r="H6805">
        <v>0.40561629999999999</v>
      </c>
      <c r="I6805">
        <v>-81.815299999999993</v>
      </c>
      <c r="J6805">
        <v>-292.27710000000002</v>
      </c>
      <c r="K6805">
        <v>1.1141589999999999</v>
      </c>
      <c r="L6805">
        <v>-57.572569999999899</v>
      </c>
      <c r="M6805">
        <v>0.73023579999999999</v>
      </c>
      <c r="N6805">
        <v>0</v>
      </c>
      <c r="O6805">
        <v>-0.68306140000000004</v>
      </c>
      <c r="P6805">
        <v>0.71345059999999905</v>
      </c>
      <c r="Q6805">
        <v>-2.5818230000000001E-2</v>
      </c>
      <c r="R6805">
        <v>-0.70023019999999903</v>
      </c>
      <c r="S6805">
        <v>3.2373349999999999</v>
      </c>
      <c r="T6805">
        <v>-2.9010890000000001E-2</v>
      </c>
      <c r="U6805">
        <v>-0.99545289999999997</v>
      </c>
      <c r="V6805">
        <v>2.4135119999999999E-2</v>
      </c>
      <c r="W6805">
        <v>-1.2039619999999999E-2</v>
      </c>
      <c r="X6805">
        <v>0.99963619999999997</v>
      </c>
      <c r="Y6805">
        <v>-0.43827339999999998</v>
      </c>
      <c r="Z6805">
        <v>7.294994E-3</v>
      </c>
      <c r="AA6805">
        <v>0.898812099999999</v>
      </c>
      <c r="AB6805">
        <v>19</v>
      </c>
      <c r="AC6805">
        <v>78.985100000000003</v>
      </c>
      <c r="AD6805">
        <v>-0.70854269999999997</v>
      </c>
      <c r="AE6805">
        <v>-24.242729999999899</v>
      </c>
      <c r="AF6805">
        <v>-36.249411343447598</v>
      </c>
      <c r="AG6805">
        <v>-0.70854269999999997</v>
      </c>
      <c r="AH6805">
        <v>74.238347249609205</v>
      </c>
      <c r="AI6805">
        <v>90.491377747177694</v>
      </c>
      <c r="AJ6805">
        <v>116.025525540031</v>
      </c>
      <c r="AK6805">
        <v>82.618727040894001</v>
      </c>
      <c r="AL6805">
        <v>90.689836083054601</v>
      </c>
      <c r="AM6805">
        <v>88.616924928161595</v>
      </c>
      <c r="AN6805">
        <v>0.99999999440879905</v>
      </c>
    </row>
    <row r="6806" spans="1:40" x14ac:dyDescent="0.25">
      <c r="A6806" t="str">
        <f>"20190312160821800"</f>
        <v>20190312160821800</v>
      </c>
      <c r="B6806" t="str">
        <f>"1552378101792472"</f>
        <v>1552378101792472</v>
      </c>
      <c r="C6806" t="s">
        <v>40</v>
      </c>
      <c r="D6806">
        <v>6.0150829999999997</v>
      </c>
      <c r="E6806">
        <v>0.3185808</v>
      </c>
      <c r="F6806" t="s">
        <v>47</v>
      </c>
      <c r="G6806">
        <v>-266.947</v>
      </c>
      <c r="H6806" s="1">
        <v>-3.2617789999999999E-6</v>
      </c>
      <c r="I6806">
        <v>-66.073210000000003</v>
      </c>
      <c r="J6806">
        <v>-292.19040000000001</v>
      </c>
      <c r="K6806">
        <v>1.1141509999999999</v>
      </c>
      <c r="L6806">
        <v>-57.645719999999997</v>
      </c>
      <c r="M6806">
        <v>0.73370859999999904</v>
      </c>
      <c r="N6806">
        <v>0</v>
      </c>
      <c r="O6806">
        <v>-0.6793302</v>
      </c>
      <c r="P6806">
        <v>0.71716219999999997</v>
      </c>
      <c r="Q6806">
        <v>-2.6020140000000001E-2</v>
      </c>
      <c r="R6806">
        <v>-0.69642079999999995</v>
      </c>
      <c r="S6806">
        <v>3.1592709999999999</v>
      </c>
      <c r="T6806">
        <v>-0.13896269999999999</v>
      </c>
      <c r="U6806">
        <v>-1.0602419999999999</v>
      </c>
      <c r="V6806">
        <v>2.3914620000000001E-2</v>
      </c>
      <c r="W6806">
        <v>-1.225761E-2</v>
      </c>
      <c r="X6806">
        <v>0.9996389</v>
      </c>
      <c r="Y6806">
        <v>-0.40982289999999999</v>
      </c>
      <c r="Z6806">
        <v>3.4869619999999997E-2</v>
      </c>
      <c r="AA6806">
        <v>0.91149840000000004</v>
      </c>
      <c r="AB6806">
        <v>19</v>
      </c>
      <c r="AC6806">
        <v>25.243400000000001</v>
      </c>
      <c r="AD6806">
        <v>-1.1141542617789999</v>
      </c>
      <c r="AE6806">
        <v>-8.4274900000000006</v>
      </c>
      <c r="AF6806">
        <v>-10.9470942215651</v>
      </c>
      <c r="AG6806">
        <v>-1.1141542617789999</v>
      </c>
      <c r="AH6806">
        <v>24.206131283728901</v>
      </c>
      <c r="AI6806">
        <v>92.401486755525198</v>
      </c>
      <c r="AJ6806">
        <v>114.33460843151499</v>
      </c>
      <c r="AK6806">
        <v>26.589791336902</v>
      </c>
      <c r="AL6806">
        <v>90.702326876925198</v>
      </c>
      <c r="AM6806">
        <v>88.629559649574901</v>
      </c>
      <c r="AN6806">
        <v>1.00000004422293</v>
      </c>
    </row>
    <row r="6807" spans="1:40" x14ac:dyDescent="0.25">
      <c r="A6807" t="str">
        <f>"20190312160821822"</f>
        <v>20190312160821822</v>
      </c>
      <c r="B6807" t="str">
        <f>"1552378101811993"</f>
        <v>1552378101811993</v>
      </c>
      <c r="C6807" t="s">
        <v>40</v>
      </c>
      <c r="D6807">
        <v>5.9813409999999996</v>
      </c>
      <c r="E6807">
        <v>0.31823309999999999</v>
      </c>
      <c r="F6807" t="s">
        <v>47</v>
      </c>
      <c r="G6807">
        <v>-267.7903</v>
      </c>
      <c r="H6807" s="1">
        <v>-3.4858460000000002E-6</v>
      </c>
      <c r="I6807">
        <v>-65.718689999999995</v>
      </c>
      <c r="J6807">
        <v>-292.04669999999999</v>
      </c>
      <c r="K6807">
        <v>1.114133</v>
      </c>
      <c r="L6807">
        <v>-57.765259999999998</v>
      </c>
      <c r="M6807">
        <v>0.73939330000000003</v>
      </c>
      <c r="N6807">
        <v>0</v>
      </c>
      <c r="O6807">
        <v>-0.67313900000000004</v>
      </c>
      <c r="P6807">
        <v>0.72361989999999998</v>
      </c>
      <c r="Q6807">
        <v>-2.604772E-2</v>
      </c>
      <c r="R6807">
        <v>-0.68970739999999997</v>
      </c>
      <c r="S6807">
        <v>3.1619869999999999</v>
      </c>
      <c r="T6807">
        <v>-0.1443818</v>
      </c>
      <c r="U6807">
        <v>-1.046173</v>
      </c>
      <c r="V6807">
        <v>2.3003200000000001E-2</v>
      </c>
      <c r="W6807">
        <v>-1.232082E-2</v>
      </c>
      <c r="X6807">
        <v>0.99965950000000003</v>
      </c>
      <c r="Y6807">
        <v>-0.40598230000000002</v>
      </c>
      <c r="Z6807">
        <v>3.5962330000000001E-2</v>
      </c>
      <c r="AA6807">
        <v>0.91317309999999996</v>
      </c>
      <c r="AB6807">
        <v>19</v>
      </c>
      <c r="AC6807">
        <v>24.2563999999999</v>
      </c>
      <c r="AD6807">
        <v>-1.1141364858459999</v>
      </c>
      <c r="AE6807">
        <v>-7.9534300000000098</v>
      </c>
      <c r="AF6807">
        <v>-10.4282988290208</v>
      </c>
      <c r="AG6807">
        <v>-1.1141364858459999</v>
      </c>
      <c r="AH6807">
        <v>23.246613705669201</v>
      </c>
      <c r="AI6807">
        <v>92.503862163751805</v>
      </c>
      <c r="AJ6807">
        <v>114.160733277522</v>
      </c>
      <c r="AK6807">
        <v>25.502857984097801</v>
      </c>
      <c r="AL6807">
        <v>90.705948824509605</v>
      </c>
      <c r="AM6807">
        <v>88.6817974308304</v>
      </c>
      <c r="AN6807">
        <v>1.0000000328779799</v>
      </c>
    </row>
    <row r="6808" spans="1:40" x14ac:dyDescent="0.25">
      <c r="A6808" t="str">
        <f>"20190312160821833"</f>
        <v>20190312160821833</v>
      </c>
      <c r="B6808" t="str">
        <f>"1552378101822728"</f>
        <v>1552378101822728</v>
      </c>
      <c r="C6808" t="s">
        <v>40</v>
      </c>
      <c r="D6808">
        <v>5.9844470000000003</v>
      </c>
      <c r="E6808">
        <v>0.31809530000000003</v>
      </c>
      <c r="F6808" t="s">
        <v>47</v>
      </c>
      <c r="G6808">
        <v>-266.82799999999997</v>
      </c>
      <c r="H6808" s="1">
        <v>-3.1781309999999999E-6</v>
      </c>
      <c r="I6808">
        <v>-65.830060000000003</v>
      </c>
      <c r="J6808">
        <v>-291.96980000000002</v>
      </c>
      <c r="K6808">
        <v>1.1141270000000001</v>
      </c>
      <c r="L6808">
        <v>-57.82855</v>
      </c>
      <c r="M6808">
        <v>0.74240050000000002</v>
      </c>
      <c r="N6808">
        <v>0</v>
      </c>
      <c r="O6808">
        <v>-0.669821</v>
      </c>
      <c r="P6808">
        <v>0.72711099999999995</v>
      </c>
      <c r="Q6808">
        <v>-2.6048950000000001E-2</v>
      </c>
      <c r="R6808">
        <v>-0.68602559999999901</v>
      </c>
      <c r="S6808">
        <v>3.1734619999999998</v>
      </c>
      <c r="T6808">
        <v>-0.14020009999999999</v>
      </c>
      <c r="U6808">
        <v>-1.0148619999999999</v>
      </c>
      <c r="V6808">
        <v>2.2406539999999999E-2</v>
      </c>
      <c r="W6808">
        <v>-1.234358E-2</v>
      </c>
      <c r="X6808">
        <v>0.99967269999999997</v>
      </c>
      <c r="Y6808">
        <v>-0.41106930000000003</v>
      </c>
      <c r="Z6808">
        <v>3.488753E-2</v>
      </c>
      <c r="AA6808">
        <v>0.91093619999999997</v>
      </c>
      <c r="AB6808">
        <v>19</v>
      </c>
      <c r="AC6808">
        <v>25.1418</v>
      </c>
      <c r="AD6808">
        <v>-1.114130178131</v>
      </c>
      <c r="AE6808">
        <v>-8.0015099999999997</v>
      </c>
      <c r="AF6808">
        <v>-10.8817655506982</v>
      </c>
      <c r="AG6808">
        <v>-1.114130178131</v>
      </c>
      <c r="AH6808">
        <v>23.984276103739401</v>
      </c>
      <c r="AI6808">
        <v>92.422294355898202</v>
      </c>
      <c r="AJ6808">
        <v>114.403992790961</v>
      </c>
      <c r="AK6808">
        <v>26.360948537080102</v>
      </c>
      <c r="AL6808">
        <v>90.707253025668194</v>
      </c>
      <c r="AM6808">
        <v>88.715994490690804</v>
      </c>
      <c r="AN6808">
        <v>0.99999996206363795</v>
      </c>
    </row>
    <row r="6809" spans="1:40" x14ac:dyDescent="0.25">
      <c r="A6809" t="str">
        <f>"20190312160821845"</f>
        <v>20190312160821845</v>
      </c>
      <c r="B6809" t="str">
        <f>"1552378101842248"</f>
        <v>1552378101842248</v>
      </c>
      <c r="C6809" t="s">
        <v>40</v>
      </c>
      <c r="D6809">
        <v>5.9109930000000004</v>
      </c>
      <c r="E6809">
        <v>0.31860060000000001</v>
      </c>
      <c r="F6809" t="s">
        <v>47</v>
      </c>
      <c r="G6809">
        <v>-266.65769999999998</v>
      </c>
      <c r="H6809" s="1">
        <v>-3.1101480000000001E-6</v>
      </c>
      <c r="I6809">
        <v>-65.773349999999994</v>
      </c>
      <c r="J6809">
        <v>-291.89519999999999</v>
      </c>
      <c r="K6809">
        <v>1.114123</v>
      </c>
      <c r="L6809">
        <v>-57.889009999999999</v>
      </c>
      <c r="M6809">
        <v>0.74528409999999901</v>
      </c>
      <c r="N6809">
        <v>0</v>
      </c>
      <c r="O6809">
        <v>-0.66661130000000002</v>
      </c>
      <c r="P6809">
        <v>0.73041650000000002</v>
      </c>
      <c r="Q6809">
        <v>-2.5977480000000001E-2</v>
      </c>
      <c r="R6809">
        <v>-0.6825078</v>
      </c>
      <c r="S6809">
        <v>3.1793520000000002</v>
      </c>
      <c r="T6809">
        <v>-0.13994179999999901</v>
      </c>
      <c r="U6809">
        <v>-0.99792479999999995</v>
      </c>
      <c r="V6809">
        <v>2.189265E-2</v>
      </c>
      <c r="W6809">
        <v>-1.2292010000000001E-2</v>
      </c>
      <c r="X6809">
        <v>0.99968480000000004</v>
      </c>
      <c r="Y6809">
        <v>-0.41204180000000001</v>
      </c>
      <c r="Z6809">
        <v>3.4726949999999999E-2</v>
      </c>
      <c r="AA6809">
        <v>0.91050299999999995</v>
      </c>
      <c r="AB6809">
        <v>19</v>
      </c>
      <c r="AC6809">
        <v>25.237500000000001</v>
      </c>
      <c r="AD6809">
        <v>-1.114126110148</v>
      </c>
      <c r="AE6809">
        <v>-7.8843399999999901</v>
      </c>
      <c r="AF6809">
        <v>-10.9291150525577</v>
      </c>
      <c r="AG6809">
        <v>-1.114126110148</v>
      </c>
      <c r="AH6809">
        <v>24.024419033684399</v>
      </c>
      <c r="AI6809">
        <v>92.417139992350698</v>
      </c>
      <c r="AJ6809">
        <v>114.46159197011499</v>
      </c>
      <c r="AK6809">
        <v>26.417031300420799</v>
      </c>
      <c r="AL6809">
        <v>90.704298002781997</v>
      </c>
      <c r="AM6809">
        <v>88.7454485861292</v>
      </c>
      <c r="AN6809">
        <v>1.0000000404924501</v>
      </c>
    </row>
    <row r="6810" spans="1:40" x14ac:dyDescent="0.25">
      <c r="A6810" t="str">
        <f>"20190312160821857"</f>
        <v>20190312160821857</v>
      </c>
      <c r="B6810" t="str">
        <f>"1552378101852010"</f>
        <v>1552378101852010</v>
      </c>
      <c r="C6810" t="s">
        <v>40</v>
      </c>
      <c r="D6810">
        <v>5.9812820000000002</v>
      </c>
      <c r="E6810">
        <v>0.31879069999999998</v>
      </c>
      <c r="F6810" t="s">
        <v>111</v>
      </c>
      <c r="G6810">
        <v>-266.69880000000001</v>
      </c>
      <c r="H6810" s="1">
        <v>-3.1102279999999998E-6</v>
      </c>
      <c r="I6810">
        <v>-65.694999999999993</v>
      </c>
      <c r="J6810">
        <v>-291.81349999999998</v>
      </c>
      <c r="K6810">
        <v>1.1141179999999999</v>
      </c>
      <c r="L6810">
        <v>-57.95496</v>
      </c>
      <c r="M6810">
        <v>0.74842390000000003</v>
      </c>
      <c r="N6810">
        <v>0</v>
      </c>
      <c r="O6810">
        <v>-0.66308440000000002</v>
      </c>
      <c r="P6810">
        <v>0.73381960000000002</v>
      </c>
      <c r="Q6810">
        <v>-2.5866130000000001E-2</v>
      </c>
      <c r="R6810">
        <v>-0.67885180000000001</v>
      </c>
      <c r="S6810">
        <v>3.181305</v>
      </c>
      <c r="T6810">
        <v>-0.14066989999999999</v>
      </c>
      <c r="U6810">
        <v>-0.98559569999999996</v>
      </c>
      <c r="V6810">
        <v>2.16178E-2</v>
      </c>
      <c r="W6810">
        <v>-1.219875E-2</v>
      </c>
      <c r="X6810">
        <v>0.99969189999999997</v>
      </c>
      <c r="Y6810">
        <v>-0.41110920000000001</v>
      </c>
      <c r="Z6810">
        <v>3.4789170000000001E-2</v>
      </c>
      <c r="AA6810">
        <v>0.91092209999999996</v>
      </c>
      <c r="AB6810">
        <v>19</v>
      </c>
      <c r="AC6810">
        <v>25.1146999999999</v>
      </c>
      <c r="AD6810">
        <v>-1.114121110228</v>
      </c>
      <c r="AE6810">
        <v>-7.7400399999999898</v>
      </c>
      <c r="AF6810">
        <v>-10.841831238097001</v>
      </c>
      <c r="AG6810">
        <v>-1.114121110228</v>
      </c>
      <c r="AH6810">
        <v>23.8879721932508</v>
      </c>
      <c r="AI6810">
        <v>92.431884477993407</v>
      </c>
      <c r="AJ6810">
        <v>114.411469618217</v>
      </c>
      <c r="AK6810">
        <v>26.256842650043801</v>
      </c>
      <c r="AL6810">
        <v>90.698954214458396</v>
      </c>
      <c r="AM6810">
        <v>88.761202635008402</v>
      </c>
      <c r="AN6810">
        <v>1.000000016852</v>
      </c>
    </row>
    <row r="6811" spans="1:40" x14ac:dyDescent="0.25">
      <c r="A6811" t="str">
        <f>"20190312160821879"</f>
        <v>20190312160821879</v>
      </c>
      <c r="B6811" t="str">
        <f>"1552378101872507"</f>
        <v>1552378101872507</v>
      </c>
      <c r="C6811" t="s">
        <v>40</v>
      </c>
      <c r="D6811">
        <v>5.985303</v>
      </c>
      <c r="E6811">
        <v>0.32017430000000002</v>
      </c>
      <c r="F6811" t="s">
        <v>111</v>
      </c>
      <c r="G6811">
        <v>-266.33150000000001</v>
      </c>
      <c r="H6811" s="1">
        <v>-2.9899540000000002E-6</v>
      </c>
      <c r="I6811">
        <v>-65.721649999999997</v>
      </c>
      <c r="J6811">
        <v>-291.67410000000001</v>
      </c>
      <c r="K6811">
        <v>1.1141160000000001</v>
      </c>
      <c r="L6811">
        <v>-58.065829999999998</v>
      </c>
      <c r="M6811">
        <v>0.75370769999999998</v>
      </c>
      <c r="N6811">
        <v>0</v>
      </c>
      <c r="O6811">
        <v>-0.65707280000000001</v>
      </c>
      <c r="P6811">
        <v>0.73989019999999905</v>
      </c>
      <c r="Q6811">
        <v>-2.5649749999999999E-2</v>
      </c>
      <c r="R6811">
        <v>-0.67223889999999997</v>
      </c>
      <c r="S6811">
        <v>3.185181</v>
      </c>
      <c r="T6811">
        <v>-0.13926229999999901</v>
      </c>
      <c r="U6811">
        <v>-0.97082520000000005</v>
      </c>
      <c r="V6811">
        <v>2.0640720000000001E-2</v>
      </c>
      <c r="W6811">
        <v>-1.2015140000000001E-2</v>
      </c>
      <c r="X6811">
        <v>0.99971469999999996</v>
      </c>
      <c r="Y6811">
        <v>-0.40800819999999999</v>
      </c>
      <c r="Z6811">
        <v>3.4188250000000003E-2</v>
      </c>
      <c r="AA6811">
        <v>0.91233799999999998</v>
      </c>
      <c r="AB6811">
        <v>19</v>
      </c>
      <c r="AC6811">
        <v>25.342600000000001</v>
      </c>
      <c r="AD6811">
        <v>-1.1141189899539901</v>
      </c>
      <c r="AE6811">
        <v>-7.6558199999999896</v>
      </c>
      <c r="AF6811">
        <v>-10.863422610320001</v>
      </c>
      <c r="AG6811">
        <v>-1.1141189899539901</v>
      </c>
      <c r="AH6811">
        <v>24.0908501524478</v>
      </c>
      <c r="AI6811">
        <v>92.414072329342105</v>
      </c>
      <c r="AJ6811">
        <v>114.27230971304699</v>
      </c>
      <c r="AK6811">
        <v>26.450411584734901</v>
      </c>
      <c r="AL6811">
        <v>90.6884334168805</v>
      </c>
      <c r="AM6811">
        <v>88.817204407624402</v>
      </c>
      <c r="AN6811">
        <v>0.99999994215371202</v>
      </c>
    </row>
    <row r="6812" spans="1:40" x14ac:dyDescent="0.25">
      <c r="A6812" t="str">
        <f>"20190312160821890"</f>
        <v>20190312160821890</v>
      </c>
      <c r="B6812" t="str">
        <f>"1552378101882265"</f>
        <v>1552378101882265</v>
      </c>
      <c r="C6812" t="s">
        <v>40</v>
      </c>
      <c r="D6812">
        <v>5.967638</v>
      </c>
      <c r="E6812">
        <v>0.32063960000000002</v>
      </c>
      <c r="F6812" t="s">
        <v>111</v>
      </c>
      <c r="G6812">
        <v>-267.43470000000002</v>
      </c>
      <c r="H6812" s="1">
        <v>-3.2892120000000001E-6</v>
      </c>
      <c r="I6812">
        <v>-65.292249999999996</v>
      </c>
      <c r="J6812">
        <v>-291.59620000000001</v>
      </c>
      <c r="K6812">
        <v>1.1141129999999999</v>
      </c>
      <c r="L6812">
        <v>-58.127079999999999</v>
      </c>
      <c r="M6812">
        <v>0.75662609999999997</v>
      </c>
      <c r="N6812">
        <v>0</v>
      </c>
      <c r="O6812">
        <v>-0.65371049999999997</v>
      </c>
      <c r="P6812">
        <v>0.74295599999999995</v>
      </c>
      <c r="Q6812">
        <v>-2.581812E-2</v>
      </c>
      <c r="R6812">
        <v>-0.6688423</v>
      </c>
      <c r="S6812">
        <v>3.1864620000000001</v>
      </c>
      <c r="T6812">
        <v>-0.1464599</v>
      </c>
      <c r="U6812">
        <v>-0.94998170000000004</v>
      </c>
      <c r="V6812">
        <v>2.0518040000000001E-2</v>
      </c>
      <c r="W6812">
        <v>-1.2196230000000001E-2</v>
      </c>
      <c r="X6812">
        <v>0.99971509999999997</v>
      </c>
      <c r="Y6812">
        <v>-0.4094296</v>
      </c>
      <c r="Z6812">
        <v>3.5911510000000001E-2</v>
      </c>
      <c r="AA6812">
        <v>0.91163470000000002</v>
      </c>
      <c r="AB6812">
        <v>19</v>
      </c>
      <c r="AC6812">
        <v>24.161499999999901</v>
      </c>
      <c r="AD6812">
        <v>-1.114116289212</v>
      </c>
      <c r="AE6812">
        <v>-7.1651699999999803</v>
      </c>
      <c r="AF6812">
        <v>-10.3539673953731</v>
      </c>
      <c r="AG6812">
        <v>-1.114116289212</v>
      </c>
      <c r="AH6812">
        <v>22.9224311764733</v>
      </c>
      <c r="AI6812">
        <v>92.536239064310905</v>
      </c>
      <c r="AJ6812">
        <v>114.308497301968</v>
      </c>
      <c r="AK6812">
        <v>25.1770480193865</v>
      </c>
      <c r="AL6812">
        <v>90.698809823436704</v>
      </c>
      <c r="AM6812">
        <v>88.824232951949497</v>
      </c>
      <c r="AN6812">
        <v>1.00000000957983</v>
      </c>
    </row>
    <row r="6813" spans="1:40" x14ac:dyDescent="0.25">
      <c r="A6813" t="str">
        <f>"20190312160821903"</f>
        <v>20190312160821903</v>
      </c>
      <c r="B6813" t="str">
        <f>"1552378101892023"</f>
        <v>1552378101892023</v>
      </c>
      <c r="C6813" t="s">
        <v>40</v>
      </c>
      <c r="D6813">
        <v>5.9703239999999997</v>
      </c>
      <c r="E6813">
        <v>0.32114179999999998</v>
      </c>
      <c r="F6813" t="s">
        <v>47</v>
      </c>
      <c r="G6813">
        <v>-267.7106</v>
      </c>
      <c r="H6813" s="1">
        <v>-3.3586330000000002E-6</v>
      </c>
      <c r="I6813">
        <v>-65.154340000000005</v>
      </c>
      <c r="J6813">
        <v>-291.51119999999997</v>
      </c>
      <c r="K6813">
        <v>1.114107</v>
      </c>
      <c r="L6813">
        <v>-58.193119999999901</v>
      </c>
      <c r="M6813">
        <v>0.75978119999999905</v>
      </c>
      <c r="N6813">
        <v>0</v>
      </c>
      <c r="O6813">
        <v>-0.65004079999999997</v>
      </c>
      <c r="P6813">
        <v>0.74626239999999999</v>
      </c>
      <c r="Q6813">
        <v>-2.5561939999999998E-2</v>
      </c>
      <c r="R6813">
        <v>-0.66516129999999996</v>
      </c>
      <c r="S6813">
        <v>3.1882929999999998</v>
      </c>
      <c r="T6813">
        <v>-0.14871409999999999</v>
      </c>
      <c r="U6813">
        <v>-0.93801880000000004</v>
      </c>
      <c r="V6813">
        <v>2.040581E-2</v>
      </c>
      <c r="W6813">
        <v>-1.1952870000000001E-2</v>
      </c>
      <c r="X6813">
        <v>0.99972030000000001</v>
      </c>
      <c r="Y6813">
        <v>-0.40827809999999998</v>
      </c>
      <c r="Z6813">
        <v>3.632527E-2</v>
      </c>
      <c r="AA6813">
        <v>0.91213449999999996</v>
      </c>
      <c r="AB6813">
        <v>19</v>
      </c>
      <c r="AC6813">
        <v>23.8005999999999</v>
      </c>
      <c r="AD6813">
        <v>-1.1141103586329999</v>
      </c>
      <c r="AE6813">
        <v>-6.9612200000000097</v>
      </c>
      <c r="AF6813">
        <v>-10.1627571854398</v>
      </c>
      <c r="AG6813">
        <v>-1.1141103586329999</v>
      </c>
      <c r="AH6813">
        <v>22.5648071803625</v>
      </c>
      <c r="AI6813">
        <v>92.577636224477402</v>
      </c>
      <c r="AJ6813">
        <v>114.245889485673</v>
      </c>
      <c r="AK6813">
        <v>24.7728359012117</v>
      </c>
      <c r="AL6813">
        <v>90.684865330988998</v>
      </c>
      <c r="AM6813">
        <v>88.830668476880504</v>
      </c>
      <c r="AN6813">
        <v>0.99999997320754097</v>
      </c>
    </row>
    <row r="6814" spans="1:40" x14ac:dyDescent="0.25">
      <c r="A6814" t="str">
        <f>"20190312160821923"</f>
        <v>20190312160821923</v>
      </c>
      <c r="B6814" t="str">
        <f>"1552378101912520"</f>
        <v>1552378101912520</v>
      </c>
      <c r="C6814" t="s">
        <v>40</v>
      </c>
      <c r="D6814">
        <v>5.9323449999999998</v>
      </c>
      <c r="E6814">
        <v>0.32176339999999998</v>
      </c>
      <c r="F6814" t="s">
        <v>47</v>
      </c>
      <c r="G6814">
        <v>-267.76190000000003</v>
      </c>
      <c r="H6814" s="1">
        <v>-3.3629579999999999E-6</v>
      </c>
      <c r="I6814">
        <v>-65.080259999999996</v>
      </c>
      <c r="J6814">
        <v>-291.37830000000002</v>
      </c>
      <c r="K6814">
        <v>1.1141019999999999</v>
      </c>
      <c r="L6814">
        <v>-58.295169999999999</v>
      </c>
      <c r="M6814">
        <v>0.76465729999999998</v>
      </c>
      <c r="N6814">
        <v>0</v>
      </c>
      <c r="O6814">
        <v>-0.64429859999999906</v>
      </c>
      <c r="P6814">
        <v>0.7515134</v>
      </c>
      <c r="Q6814">
        <v>-2.6100789999999999E-2</v>
      </c>
      <c r="R6814">
        <v>-0.6592017</v>
      </c>
      <c r="S6814">
        <v>3.190277</v>
      </c>
      <c r="T6814">
        <v>-0.1496603</v>
      </c>
      <c r="U6814">
        <v>-0.92517090000000002</v>
      </c>
      <c r="V6814">
        <v>1.9999980000000001E-2</v>
      </c>
      <c r="W6814">
        <v>-1.251581E-2</v>
      </c>
      <c r="X6814">
        <v>0.99972159999999999</v>
      </c>
      <c r="Y6814">
        <v>-0.40493299999999999</v>
      </c>
      <c r="Z6814">
        <v>3.6297280000000001E-2</v>
      </c>
      <c r="AA6814">
        <v>0.91362560000000004</v>
      </c>
      <c r="AB6814">
        <v>19</v>
      </c>
      <c r="AC6814">
        <v>23.616399999999999</v>
      </c>
      <c r="AD6814">
        <v>-1.114105362958</v>
      </c>
      <c r="AE6814">
        <v>-6.7850899999999896</v>
      </c>
      <c r="AF6814">
        <v>-10.0080655652985</v>
      </c>
      <c r="AG6814">
        <v>-1.114105362958</v>
      </c>
      <c r="AH6814">
        <v>22.386057973794198</v>
      </c>
      <c r="AI6814">
        <v>92.601392151189003</v>
      </c>
      <c r="AJ6814">
        <v>114.08783802564599</v>
      </c>
      <c r="AK6814">
        <v>24.546653513771702</v>
      </c>
      <c r="AL6814">
        <v>90.717121841231304</v>
      </c>
      <c r="AM6814">
        <v>88.853919323489094</v>
      </c>
      <c r="AN6814">
        <v>0.99999996110325695</v>
      </c>
    </row>
    <row r="6815" spans="1:40" x14ac:dyDescent="0.25">
      <c r="A6815" t="str">
        <f>"20190312160821946"</f>
        <v>20190312160821946</v>
      </c>
      <c r="B6815" t="str">
        <f>"1552378101942399"</f>
        <v>1552378101942399</v>
      </c>
      <c r="C6815" t="s">
        <v>40</v>
      </c>
      <c r="D6815">
        <v>6.0120209999999998</v>
      </c>
      <c r="E6815">
        <v>0.32217820000000003</v>
      </c>
      <c r="F6815" t="s">
        <v>111</v>
      </c>
      <c r="G6815">
        <v>-268.15260000000001</v>
      </c>
      <c r="H6815" s="1">
        <v>-3.4576079999999999E-6</v>
      </c>
      <c r="I6815">
        <v>-64.864239999999995</v>
      </c>
      <c r="J6815">
        <v>-291.22930000000002</v>
      </c>
      <c r="K6815">
        <v>1.1140920000000001</v>
      </c>
      <c r="L6815">
        <v>-58.407679999999999</v>
      </c>
      <c r="M6815">
        <v>0.77004130000000004</v>
      </c>
      <c r="N6815">
        <v>0</v>
      </c>
      <c r="O6815">
        <v>-0.63785419999999904</v>
      </c>
      <c r="P6815">
        <v>0.75723090000000004</v>
      </c>
      <c r="Q6815">
        <v>-2.614172E-2</v>
      </c>
      <c r="R6815">
        <v>-0.65262410000000004</v>
      </c>
      <c r="S6815">
        <v>3.1941830000000002</v>
      </c>
      <c r="T6815">
        <v>-0.15322089999999999</v>
      </c>
      <c r="U6815">
        <v>-0.90344239999999998</v>
      </c>
      <c r="V6815">
        <v>1.9680650000000001E-2</v>
      </c>
      <c r="W6815">
        <v>-1.258599E-2</v>
      </c>
      <c r="X6815">
        <v>0.99972709999999998</v>
      </c>
      <c r="Y6815">
        <v>-0.4032596</v>
      </c>
      <c r="Z6815">
        <v>3.6906080000000001E-2</v>
      </c>
      <c r="AA6815">
        <v>0.91434110000000002</v>
      </c>
      <c r="AB6815">
        <v>19</v>
      </c>
      <c r="AC6815">
        <v>23.076699999999999</v>
      </c>
      <c r="AD6815">
        <v>-1.114095457608</v>
      </c>
      <c r="AE6815">
        <v>-6.4565599999999801</v>
      </c>
      <c r="AF6815">
        <v>-9.7275951583175306</v>
      </c>
      <c r="AG6815">
        <v>-1.114095457608</v>
      </c>
      <c r="AH6815">
        <v>21.843093889287001</v>
      </c>
      <c r="AI6815">
        <v>92.667651953949601</v>
      </c>
      <c r="AJ6815">
        <v>114.005304410196</v>
      </c>
      <c r="AK6815">
        <v>23.937169149859699</v>
      </c>
      <c r="AL6815">
        <v>90.721143144423394</v>
      </c>
      <c r="AM6815">
        <v>88.872219677333902</v>
      </c>
      <c r="AN6815">
        <v>1.00000000480155</v>
      </c>
    </row>
    <row r="6816" spans="1:40" x14ac:dyDescent="0.25">
      <c r="A6816" t="str">
        <f>"20190312160821958"</f>
        <v>20190312160821958</v>
      </c>
      <c r="B6816" t="str">
        <f>"1552378101952159"</f>
        <v>1552378101952159</v>
      </c>
      <c r="C6816" t="s">
        <v>40</v>
      </c>
      <c r="D6816">
        <v>7.6006929999999997</v>
      </c>
      <c r="E6816">
        <v>0.29491630000000002</v>
      </c>
      <c r="F6816" t="s">
        <v>111</v>
      </c>
      <c r="G6816">
        <v>-267.99919999999997</v>
      </c>
      <c r="H6816" s="1">
        <v>-3.3909489999999999E-6</v>
      </c>
      <c r="I6816">
        <v>-64.782780000000002</v>
      </c>
      <c r="J6816">
        <v>-291.1499</v>
      </c>
      <c r="K6816">
        <v>1.1140859999999999</v>
      </c>
      <c r="L6816">
        <v>-58.467010000000002</v>
      </c>
      <c r="M6816">
        <v>0.77287890000000004</v>
      </c>
      <c r="N6816">
        <v>0</v>
      </c>
      <c r="O6816">
        <v>-0.63441359999999902</v>
      </c>
      <c r="P6816">
        <v>0.76012179999999996</v>
      </c>
      <c r="Q6816">
        <v>-2.620985E-2</v>
      </c>
      <c r="R6816">
        <v>-0.64925219999999995</v>
      </c>
      <c r="S6816">
        <v>3.1997070000000001</v>
      </c>
      <c r="T6816">
        <v>-0.15345529999999999</v>
      </c>
      <c r="U6816">
        <v>-0.87811280000000003</v>
      </c>
      <c r="V6816">
        <v>1.9698710000000001E-2</v>
      </c>
      <c r="W6816">
        <v>-1.2668459999999999E-2</v>
      </c>
      <c r="X6816">
        <v>0.99972570000000005</v>
      </c>
      <c r="Y6816">
        <v>-0.40630460000000002</v>
      </c>
      <c r="Z6816">
        <v>3.6909749999999998E-2</v>
      </c>
      <c r="AA6816">
        <v>0.91299189999999997</v>
      </c>
      <c r="AB6816">
        <v>19</v>
      </c>
      <c r="AC6816">
        <v>23.150700000000001</v>
      </c>
      <c r="AD6816">
        <v>-1.1140893909489999</v>
      </c>
      <c r="AE6816">
        <v>-6.3157699999999997</v>
      </c>
      <c r="AF6816">
        <v>-9.7855721965496496</v>
      </c>
      <c r="AG6816">
        <v>-1.1140893909489999</v>
      </c>
      <c r="AH6816">
        <v>21.854337111362199</v>
      </c>
      <c r="AI6816">
        <v>92.663865558830807</v>
      </c>
      <c r="AJ6816">
        <v>114.12108820018</v>
      </c>
      <c r="AK6816">
        <v>23.971038128582801</v>
      </c>
      <c r="AL6816">
        <v>90.725868706017806</v>
      </c>
      <c r="AM6816">
        <v>88.871183454059803</v>
      </c>
      <c r="AN6816">
        <v>1.00000000214746</v>
      </c>
    </row>
    <row r="6817" spans="1:40" x14ac:dyDescent="0.25">
      <c r="A6817" t="str">
        <f>"20190312160821979"</f>
        <v>20190312160821979</v>
      </c>
      <c r="B6817" t="str">
        <f>"1552378101972655"</f>
        <v>1552378101972655</v>
      </c>
      <c r="C6817" t="s">
        <v>40</v>
      </c>
      <c r="D6817">
        <v>10.3771</v>
      </c>
      <c r="E6817">
        <v>0.28429219999999999</v>
      </c>
      <c r="F6817" t="s">
        <v>54</v>
      </c>
      <c r="G6817">
        <v>-190.71799999999999</v>
      </c>
      <c r="H6817">
        <v>7.25467</v>
      </c>
      <c r="I6817">
        <v>-80.066119999999998</v>
      </c>
      <c r="J6817">
        <v>-291.00310000000002</v>
      </c>
      <c r="K6817">
        <v>1.1140760000000001</v>
      </c>
      <c r="L6817">
        <v>-58.574979999999996</v>
      </c>
      <c r="M6817">
        <v>0.77805199999999997</v>
      </c>
      <c r="N6817">
        <v>0</v>
      </c>
      <c r="O6817">
        <v>-0.62805889999999998</v>
      </c>
      <c r="P6817">
        <v>0.76509830000000001</v>
      </c>
      <c r="Q6817">
        <v>-2.6222539999999999E-2</v>
      </c>
      <c r="R6817">
        <v>-0.64337929999999999</v>
      </c>
      <c r="S6817">
        <v>3.3402099999999999</v>
      </c>
      <c r="T6817">
        <v>0.20422650000000001</v>
      </c>
      <c r="U6817">
        <v>-0.71835329999999997</v>
      </c>
      <c r="V6817">
        <v>2.0192930000000001E-2</v>
      </c>
      <c r="W6817">
        <v>-1.270138E-2</v>
      </c>
      <c r="X6817">
        <v>0.99971540000000003</v>
      </c>
      <c r="Y6817">
        <v>-0.44874750000000002</v>
      </c>
      <c r="Z6817">
        <v>-4.8518140000000001E-2</v>
      </c>
      <c r="AA6817">
        <v>0.89234049999999998</v>
      </c>
      <c r="AB6817">
        <v>19</v>
      </c>
      <c r="AC6817">
        <v>100.2851</v>
      </c>
      <c r="AD6817">
        <v>6.1405940000000001</v>
      </c>
      <c r="AE6817">
        <v>-21.491139999999898</v>
      </c>
      <c r="AF6817">
        <v>-46.102560569899097</v>
      </c>
      <c r="AG6817">
        <v>6.1405940000000001</v>
      </c>
      <c r="AH6817">
        <v>91.205888348270506</v>
      </c>
      <c r="AI6817">
        <v>86.5614244582721</v>
      </c>
      <c r="AJ6817">
        <v>116.815588878537</v>
      </c>
      <c r="AK6817">
        <v>102.380012967235</v>
      </c>
      <c r="AL6817">
        <v>90.727755050790094</v>
      </c>
      <c r="AM6817">
        <v>88.842858316681202</v>
      </c>
      <c r="AN6817">
        <v>0.99999998023652403</v>
      </c>
    </row>
    <row r="6818" spans="1:40" x14ac:dyDescent="0.25">
      <c r="A6818" t="str">
        <f>"20190312160822000"</f>
        <v>20190312160822000</v>
      </c>
      <c r="B6818" t="str">
        <f>"1552378101992189"</f>
        <v>1552378101992189</v>
      </c>
      <c r="C6818" t="s">
        <v>40</v>
      </c>
      <c r="D6818">
        <v>6.7910760000000003</v>
      </c>
      <c r="E6818">
        <v>0.27880500000000003</v>
      </c>
      <c r="F6818" t="s">
        <v>41</v>
      </c>
      <c r="G6818">
        <v>0</v>
      </c>
      <c r="H6818">
        <v>0</v>
      </c>
      <c r="I6818">
        <v>0</v>
      </c>
      <c r="J6818">
        <v>-290.85579999999999</v>
      </c>
      <c r="K6818">
        <v>1.1140650000000001</v>
      </c>
      <c r="L6818">
        <v>-58.681429999999999</v>
      </c>
      <c r="M6818">
        <v>0.78315840000000003</v>
      </c>
      <c r="N6818">
        <v>0</v>
      </c>
      <c r="O6818">
        <v>-0.62168020000000002</v>
      </c>
      <c r="P6818">
        <v>0.77023090000000005</v>
      </c>
      <c r="Q6818">
        <v>-2.6406900000000001E-2</v>
      </c>
      <c r="R6818">
        <v>-0.63721850000000002</v>
      </c>
      <c r="S6818">
        <v>3.399597</v>
      </c>
      <c r="T6818">
        <v>0.24865209999999999</v>
      </c>
      <c r="U6818">
        <v>-0.63024899999999995</v>
      </c>
      <c r="V6818">
        <v>2.0344910000000001E-2</v>
      </c>
      <c r="W6818">
        <v>-1.290606E-2</v>
      </c>
      <c r="X6818">
        <v>0.99970970000000003</v>
      </c>
      <c r="Y6818">
        <v>-0.46601029999999999</v>
      </c>
      <c r="Z6818">
        <v>-5.8555040000000003E-2</v>
      </c>
      <c r="AA6818">
        <v>0.88283959999999995</v>
      </c>
      <c r="AB6818">
        <v>19</v>
      </c>
      <c r="AC6818">
        <v>3.399597</v>
      </c>
      <c r="AD6818">
        <v>0.24865209999999999</v>
      </c>
      <c r="AE6818">
        <v>-0.63024899999999995</v>
      </c>
      <c r="AF6818">
        <v>-1.6116848947193401</v>
      </c>
      <c r="AG6818">
        <v>0.24865209999999999</v>
      </c>
      <c r="AH6818">
        <v>3.0387896223369002</v>
      </c>
      <c r="AI6818">
        <v>85.865384567301007</v>
      </c>
      <c r="AJ6818">
        <v>117.94016766507799</v>
      </c>
      <c r="AK6818">
        <v>3.44870967689705</v>
      </c>
      <c r="AL6818">
        <v>90.739483310518594</v>
      </c>
      <c r="AM6818">
        <v>88.834144958755601</v>
      </c>
      <c r="AN6818">
        <v>0.99999998301086002</v>
      </c>
    </row>
    <row r="6819" spans="1:40" x14ac:dyDescent="0.25">
      <c r="A6819" t="str">
        <f>"20190312160822012"</f>
        <v>20190312160822012</v>
      </c>
      <c r="B6819" t="str">
        <f>"1552378102002912"</f>
        <v>1552378102002912</v>
      </c>
      <c r="C6819" t="s">
        <v>40</v>
      </c>
      <c r="D6819">
        <v>5.8003660000000004</v>
      </c>
      <c r="E6819">
        <v>0.27550940000000002</v>
      </c>
      <c r="F6819" t="s">
        <v>41</v>
      </c>
      <c r="G6819">
        <v>0</v>
      </c>
      <c r="H6819">
        <v>0</v>
      </c>
      <c r="I6819">
        <v>0</v>
      </c>
      <c r="J6819">
        <v>-290.77460000000002</v>
      </c>
      <c r="K6819">
        <v>1.1140600000000001</v>
      </c>
      <c r="L6819">
        <v>-58.7395</v>
      </c>
      <c r="M6819">
        <v>0.78594119999999901</v>
      </c>
      <c r="N6819">
        <v>0</v>
      </c>
      <c r="O6819">
        <v>-0.61815850000000006</v>
      </c>
      <c r="P6819">
        <v>0.7727811</v>
      </c>
      <c r="Q6819">
        <v>-2.686765E-2</v>
      </c>
      <c r="R6819">
        <v>-0.63410369999999905</v>
      </c>
      <c r="S6819">
        <v>3.4319459999999999</v>
      </c>
      <c r="T6819">
        <v>0.29532459999999899</v>
      </c>
      <c r="U6819">
        <v>-0.57189939999999995</v>
      </c>
      <c r="V6819">
        <v>2.0811179999999999E-2</v>
      </c>
      <c r="W6819">
        <v>-1.337318E-2</v>
      </c>
      <c r="X6819">
        <v>0.99969399999999997</v>
      </c>
      <c r="Y6819">
        <v>-0.47702800000000001</v>
      </c>
      <c r="Z6819">
        <v>-6.9276439999999995E-2</v>
      </c>
      <c r="AA6819">
        <v>0.87615359999999998</v>
      </c>
      <c r="AB6819">
        <v>19</v>
      </c>
      <c r="AC6819">
        <v>3.4319459999999999</v>
      </c>
      <c r="AD6819">
        <v>0.29532459999999899</v>
      </c>
      <c r="AE6819">
        <v>-0.57189939999999995</v>
      </c>
      <c r="AF6819">
        <v>-1.66019347559876</v>
      </c>
      <c r="AG6819">
        <v>0.29532459999999899</v>
      </c>
      <c r="AH6819">
        <v>3.02927612587894</v>
      </c>
      <c r="AI6819">
        <v>85.113508794314399</v>
      </c>
      <c r="AJ6819">
        <v>118.724925422914</v>
      </c>
      <c r="AK6819">
        <v>3.4669832480999898</v>
      </c>
      <c r="AL6819">
        <v>90.766249597791699</v>
      </c>
      <c r="AM6819">
        <v>88.807414492616402</v>
      </c>
      <c r="AN6819">
        <v>1.0000000203961501</v>
      </c>
    </row>
    <row r="6820" spans="1:40" x14ac:dyDescent="0.25">
      <c r="A6820" t="str">
        <f>"20190312160822034"</f>
        <v>20190312160822034</v>
      </c>
      <c r="B6820" t="str">
        <f>"1552378102032820"</f>
        <v>1552378102032820</v>
      </c>
      <c r="C6820" t="s">
        <v>40</v>
      </c>
      <c r="D6820">
        <v>5.9290079999999996</v>
      </c>
      <c r="E6820">
        <v>0.28109099999999998</v>
      </c>
      <c r="F6820" t="s">
        <v>41</v>
      </c>
      <c r="G6820">
        <v>0</v>
      </c>
      <c r="H6820">
        <v>0</v>
      </c>
      <c r="I6820">
        <v>0</v>
      </c>
      <c r="J6820">
        <v>-290.62419999999997</v>
      </c>
      <c r="K6820">
        <v>1.1140490000000001</v>
      </c>
      <c r="L6820">
        <v>-58.845370000000003</v>
      </c>
      <c r="M6820">
        <v>0.79102799999999995</v>
      </c>
      <c r="N6820">
        <v>0</v>
      </c>
      <c r="O6820">
        <v>-0.61163639999999997</v>
      </c>
      <c r="P6820">
        <v>0.77774209999999999</v>
      </c>
      <c r="Q6820">
        <v>-2.8137079999999998E-2</v>
      </c>
      <c r="R6820">
        <v>-0.62795380000000001</v>
      </c>
      <c r="S6820">
        <v>3.4509889999999999</v>
      </c>
      <c r="T6820">
        <v>0.29576960000000002</v>
      </c>
      <c r="U6820">
        <v>-0.53790280000000001</v>
      </c>
      <c r="V6820">
        <v>2.1191109999999999E-2</v>
      </c>
      <c r="W6820">
        <v>-1.465808E-2</v>
      </c>
      <c r="X6820">
        <v>0.999668</v>
      </c>
      <c r="Y6820">
        <v>-0.4789949</v>
      </c>
      <c r="Z6820">
        <v>-6.8754480000000007E-2</v>
      </c>
      <c r="AA6820">
        <v>0.87512089999999998</v>
      </c>
      <c r="AB6820">
        <v>19</v>
      </c>
      <c r="AC6820">
        <v>3.4509889999999999</v>
      </c>
      <c r="AD6820">
        <v>0.29576960000000002</v>
      </c>
      <c r="AE6820">
        <v>-0.53790280000000001</v>
      </c>
      <c r="AF6820">
        <v>-1.67340193048598</v>
      </c>
      <c r="AG6820">
        <v>0.29576960000000002</v>
      </c>
      <c r="AH6820">
        <v>3.03731712975154</v>
      </c>
      <c r="AI6820">
        <v>85.125011900817597</v>
      </c>
      <c r="AJ6820">
        <v>118.852451673362</v>
      </c>
      <c r="AK6820">
        <v>3.4803805860739598</v>
      </c>
      <c r="AL6820">
        <v>90.839876183743101</v>
      </c>
      <c r="AM6820">
        <v>88.785617475534593</v>
      </c>
      <c r="AN6820">
        <v>1.0000000163381499</v>
      </c>
    </row>
    <row r="6821" spans="1:40" x14ac:dyDescent="0.25">
      <c r="A6821" t="str">
        <f>"20190312160822046"</f>
        <v>20190312160822046</v>
      </c>
      <c r="B6821" t="str">
        <f>"1552378102042580"</f>
        <v>1552378102042580</v>
      </c>
      <c r="C6821" t="s">
        <v>40</v>
      </c>
      <c r="D6821">
        <v>5.9655880000000003</v>
      </c>
      <c r="E6821">
        <v>0.28228910000000002</v>
      </c>
      <c r="F6821" t="s">
        <v>41</v>
      </c>
      <c r="G6821">
        <v>0</v>
      </c>
      <c r="H6821">
        <v>0</v>
      </c>
      <c r="I6821">
        <v>0</v>
      </c>
      <c r="J6821">
        <v>-290.54469999999998</v>
      </c>
      <c r="K6821">
        <v>1.114042</v>
      </c>
      <c r="L6821">
        <v>-58.900419999999997</v>
      </c>
      <c r="M6821">
        <v>0.79368169999999905</v>
      </c>
      <c r="N6821">
        <v>0</v>
      </c>
      <c r="O6821">
        <v>-0.60818899999999998</v>
      </c>
      <c r="P6821">
        <v>0.78036589999999995</v>
      </c>
      <c r="Q6821">
        <v>-2.822993E-2</v>
      </c>
      <c r="R6821">
        <v>-0.62468590000000002</v>
      </c>
      <c r="S6821">
        <v>3.4284669999999999</v>
      </c>
      <c r="T6821">
        <v>0.19177649999999999</v>
      </c>
      <c r="U6821">
        <v>-0.53970340000000006</v>
      </c>
      <c r="V6821">
        <v>2.1350190000000002E-2</v>
      </c>
      <c r="W6821">
        <v>-1.4758769999999999E-2</v>
      </c>
      <c r="X6821">
        <v>0.99966310000000003</v>
      </c>
      <c r="Y6821">
        <v>-0.4759024</v>
      </c>
      <c r="Z6821">
        <v>-4.4677550000000003E-2</v>
      </c>
      <c r="AA6821">
        <v>0.87836259999999999</v>
      </c>
      <c r="AB6821">
        <v>19</v>
      </c>
      <c r="AC6821">
        <v>3.4284669999999999</v>
      </c>
      <c r="AD6821">
        <v>0.19177649999999999</v>
      </c>
      <c r="AE6821">
        <v>-0.53970340000000006</v>
      </c>
      <c r="AF6821">
        <v>-1.65190495637076</v>
      </c>
      <c r="AG6821">
        <v>0.19177649999999999</v>
      </c>
      <c r="AH6821">
        <v>3.0403379424932799</v>
      </c>
      <c r="AI6821">
        <v>86.8276398475207</v>
      </c>
      <c r="AJ6821">
        <v>118.516533401392</v>
      </c>
      <c r="AK6821">
        <v>3.4654325870515601</v>
      </c>
      <c r="AL6821">
        <v>90.845645948275404</v>
      </c>
      <c r="AM6821">
        <v>88.776497966626806</v>
      </c>
      <c r="AN6821">
        <v>0.99999998270327894</v>
      </c>
    </row>
    <row r="6822" spans="1:40" x14ac:dyDescent="0.25">
      <c r="A6822" t="str">
        <f>"20190312160822058"</f>
        <v>20190312160822058</v>
      </c>
      <c r="B6822" t="str">
        <f>"1552378102052340"</f>
        <v>1552378102052340</v>
      </c>
      <c r="C6822" t="s">
        <v>40</v>
      </c>
      <c r="D6822">
        <v>6.025182</v>
      </c>
      <c r="E6822">
        <v>0.28337630000000003</v>
      </c>
      <c r="F6822" t="s">
        <v>41</v>
      </c>
      <c r="G6822">
        <v>0</v>
      </c>
      <c r="H6822">
        <v>0</v>
      </c>
      <c r="I6822">
        <v>0</v>
      </c>
      <c r="J6822">
        <v>-290.4674</v>
      </c>
      <c r="K6822">
        <v>1.1140380000000001</v>
      </c>
      <c r="L6822">
        <v>-58.953699999999998</v>
      </c>
      <c r="M6822">
        <v>0.79624349999999999</v>
      </c>
      <c r="N6822">
        <v>0</v>
      </c>
      <c r="O6822">
        <v>-0.60483120000000001</v>
      </c>
      <c r="P6822">
        <v>0.78297320000000004</v>
      </c>
      <c r="Q6822">
        <v>-2.8594870000000001E-2</v>
      </c>
      <c r="R6822">
        <v>-0.62139769999999905</v>
      </c>
      <c r="S6822">
        <v>3.424957</v>
      </c>
      <c r="T6822">
        <v>0.17145920000000001</v>
      </c>
      <c r="U6822">
        <v>-0.53167719999999996</v>
      </c>
      <c r="V6822">
        <v>2.137963E-2</v>
      </c>
      <c r="W6822">
        <v>-1.51324999999999E-2</v>
      </c>
      <c r="X6822">
        <v>0.99965689999999996</v>
      </c>
      <c r="Y6822">
        <v>-0.47436469999999997</v>
      </c>
      <c r="Z6822">
        <v>-3.9834639999999998E-2</v>
      </c>
      <c r="AA6822">
        <v>0.87942670000000001</v>
      </c>
      <c r="AB6822">
        <v>19</v>
      </c>
      <c r="AC6822">
        <v>3.424957</v>
      </c>
      <c r="AD6822">
        <v>0.17145920000000001</v>
      </c>
      <c r="AE6822">
        <v>-0.53167719999999996</v>
      </c>
      <c r="AF6822">
        <v>-1.64429706490744</v>
      </c>
      <c r="AG6822">
        <v>0.17145920000000001</v>
      </c>
      <c r="AH6822">
        <v>3.0414991160496001</v>
      </c>
      <c r="AI6822">
        <v>87.1610132335759</v>
      </c>
      <c r="AJ6822">
        <v>118.39656898330099</v>
      </c>
      <c r="AK6822">
        <v>3.46176659638664</v>
      </c>
      <c r="AL6822">
        <v>90.867061477896996</v>
      </c>
      <c r="AM6822">
        <v>88.774803784324305</v>
      </c>
      <c r="AN6822">
        <v>0.99999999942639795</v>
      </c>
    </row>
    <row r="6823" spans="1:40" x14ac:dyDescent="0.25">
      <c r="A6823" t="str">
        <f>"20190312160822067"</f>
        <v>20190312160822067</v>
      </c>
      <c r="B6823" t="str">
        <f>"1552378102062100"</f>
        <v>1552378102062100</v>
      </c>
      <c r="C6823" t="s">
        <v>40</v>
      </c>
      <c r="D6823">
        <v>5.9628949999999996</v>
      </c>
      <c r="E6823">
        <v>0.28457569999999999</v>
      </c>
      <c r="F6823" t="s">
        <v>41</v>
      </c>
      <c r="G6823">
        <v>0</v>
      </c>
      <c r="H6823">
        <v>0</v>
      </c>
      <c r="I6823">
        <v>0</v>
      </c>
      <c r="J6823">
        <v>-290.39159999999998</v>
      </c>
      <c r="K6823">
        <v>1.114034</v>
      </c>
      <c r="L6823">
        <v>-59.0053699999999</v>
      </c>
      <c r="M6823">
        <v>0.79873349999999999</v>
      </c>
      <c r="N6823">
        <v>0</v>
      </c>
      <c r="O6823">
        <v>-0.60153959999999995</v>
      </c>
      <c r="P6823">
        <v>0.78561259999999999</v>
      </c>
      <c r="Q6823">
        <v>-2.8685700000000001E-2</v>
      </c>
      <c r="R6823">
        <v>-0.61805359999999998</v>
      </c>
      <c r="S6823">
        <v>3.4220579999999998</v>
      </c>
      <c r="T6823">
        <v>0.1523784</v>
      </c>
      <c r="U6823">
        <v>-0.52304079999999997</v>
      </c>
      <c r="V6823">
        <v>2.1246379999999999E-2</v>
      </c>
      <c r="W6823">
        <v>-1.523308E-2</v>
      </c>
      <c r="X6823">
        <v>0.99965820000000005</v>
      </c>
      <c r="Y6823">
        <v>-0.47304249999999998</v>
      </c>
      <c r="Z6823">
        <v>-3.530411E-2</v>
      </c>
      <c r="AA6823">
        <v>0.880332</v>
      </c>
      <c r="AB6823">
        <v>19</v>
      </c>
      <c r="AC6823">
        <v>3.4220579999999998</v>
      </c>
      <c r="AD6823">
        <v>0.1523784</v>
      </c>
      <c r="AE6823">
        <v>-0.52304079999999997</v>
      </c>
      <c r="AF6823">
        <v>-1.63770363619651</v>
      </c>
      <c r="AG6823">
        <v>0.1523784</v>
      </c>
      <c r="AH6823">
        <v>3.0423142004621799</v>
      </c>
      <c r="AI6823">
        <v>87.474755184569304</v>
      </c>
      <c r="AJ6823">
        <v>118.29395838509799</v>
      </c>
      <c r="AK6823">
        <v>3.4584632528236701</v>
      </c>
      <c r="AL6823">
        <v>90.872824963359406</v>
      </c>
      <c r="AM6823">
        <v>88.782439180184795</v>
      </c>
      <c r="AN6823">
        <v>0.99999998610831498</v>
      </c>
    </row>
    <row r="6824" spans="1:40" x14ac:dyDescent="0.25">
      <c r="A6824" t="str">
        <f>"20190312160822079"</f>
        <v>20190312160822079</v>
      </c>
      <c r="B6824" t="str">
        <f>"1552378102072835"</f>
        <v>1552378102072835</v>
      </c>
      <c r="C6824" t="s">
        <v>40</v>
      </c>
      <c r="D6824">
        <v>5.9964849999999998</v>
      </c>
      <c r="E6824">
        <v>0.28557399999999999</v>
      </c>
      <c r="F6824" t="s">
        <v>41</v>
      </c>
      <c r="G6824">
        <v>0</v>
      </c>
      <c r="H6824">
        <v>0</v>
      </c>
      <c r="I6824">
        <v>0</v>
      </c>
      <c r="J6824">
        <v>-290.31400000000002</v>
      </c>
      <c r="K6824">
        <v>1.114031</v>
      </c>
      <c r="L6824">
        <v>-59.057830000000003</v>
      </c>
      <c r="M6824">
        <v>0.80126169999999997</v>
      </c>
      <c r="N6824">
        <v>0</v>
      </c>
      <c r="O6824">
        <v>-0.59816809999999998</v>
      </c>
      <c r="P6824">
        <v>0.78838660000000005</v>
      </c>
      <c r="Q6824">
        <v>-2.8371770000000001E-2</v>
      </c>
      <c r="R6824">
        <v>-0.61452589999999996</v>
      </c>
      <c r="S6824">
        <v>3.4184570000000001</v>
      </c>
      <c r="T6824">
        <v>0.13552690000000001</v>
      </c>
      <c r="U6824">
        <v>-0.51501459999999999</v>
      </c>
      <c r="V6824">
        <v>2.0968199999999999E-2</v>
      </c>
      <c r="W6824">
        <v>-1.493124E-2</v>
      </c>
      <c r="X6824">
        <v>0.99966869999999997</v>
      </c>
      <c r="Y6824">
        <v>-0.4714121</v>
      </c>
      <c r="Z6824">
        <v>-3.1308450000000002E-2</v>
      </c>
      <c r="AA6824">
        <v>0.8813571</v>
      </c>
      <c r="AB6824">
        <v>19</v>
      </c>
      <c r="AC6824">
        <v>3.4184570000000001</v>
      </c>
      <c r="AD6824">
        <v>0.13552690000000001</v>
      </c>
      <c r="AE6824">
        <v>-0.51501459999999999</v>
      </c>
      <c r="AF6824">
        <v>-1.6297881605390601</v>
      </c>
      <c r="AG6824">
        <v>0.13552690000000001</v>
      </c>
      <c r="AH6824">
        <v>3.0427336858807599</v>
      </c>
      <c r="AI6824">
        <v>87.751523579476597</v>
      </c>
      <c r="AJ6824">
        <v>118.174965185037</v>
      </c>
      <c r="AK6824">
        <v>3.45438927627597</v>
      </c>
      <c r="AL6824">
        <v>90.855528775685002</v>
      </c>
      <c r="AM6824">
        <v>88.798388682194897</v>
      </c>
      <c r="AN6824">
        <v>1.00000005854943</v>
      </c>
    </row>
    <row r="6825" spans="1:40" x14ac:dyDescent="0.25">
      <c r="A6825" t="str">
        <f>"20190312160822102"</f>
        <v>20190312160822102</v>
      </c>
      <c r="B6825" t="str">
        <f>"1552378102092356"</f>
        <v>1552378102092356</v>
      </c>
      <c r="C6825" t="s">
        <v>40</v>
      </c>
      <c r="D6825">
        <v>5.9634489999999998</v>
      </c>
      <c r="E6825">
        <v>0.28734470000000001</v>
      </c>
      <c r="F6825" t="s">
        <v>41</v>
      </c>
      <c r="G6825">
        <v>0</v>
      </c>
      <c r="H6825">
        <v>0</v>
      </c>
      <c r="I6825">
        <v>0</v>
      </c>
      <c r="J6825">
        <v>-290.16199999999998</v>
      </c>
      <c r="K6825">
        <v>1.1140239999999999</v>
      </c>
      <c r="L6825">
        <v>-59.159120000000001</v>
      </c>
      <c r="M6825">
        <v>0.80614949999999996</v>
      </c>
      <c r="N6825">
        <v>0</v>
      </c>
      <c r="O6825">
        <v>-0.5915646</v>
      </c>
      <c r="P6825">
        <v>0.79390850000000002</v>
      </c>
      <c r="Q6825">
        <v>-2.8788149999999998E-2</v>
      </c>
      <c r="R6825">
        <v>-0.6073556</v>
      </c>
      <c r="S6825">
        <v>3.4158629999999999</v>
      </c>
      <c r="T6825">
        <v>0.123222499999999</v>
      </c>
      <c r="U6825">
        <v>-0.50518799999999997</v>
      </c>
      <c r="V6825">
        <v>2.013554E-2</v>
      </c>
      <c r="W6825">
        <v>-1.5377190000000001E-2</v>
      </c>
      <c r="X6825">
        <v>0.99967899999999998</v>
      </c>
      <c r="Y6825">
        <v>-0.46667839999999999</v>
      </c>
      <c r="Z6825">
        <v>-2.8227370000000002E-2</v>
      </c>
      <c r="AA6825">
        <v>0.88397649999999905</v>
      </c>
      <c r="AB6825">
        <v>19</v>
      </c>
      <c r="AC6825">
        <v>3.4158629999999999</v>
      </c>
      <c r="AD6825">
        <v>0.123222499999999</v>
      </c>
      <c r="AE6825">
        <v>-0.50518799999999997</v>
      </c>
      <c r="AF6825">
        <v>-1.61153500100445</v>
      </c>
      <c r="AG6825">
        <v>0.123222499999999</v>
      </c>
      <c r="AH6825">
        <v>3.0489309980261798</v>
      </c>
      <c r="AI6825">
        <v>87.953641318170796</v>
      </c>
      <c r="AJ6825">
        <v>117.859021850698</v>
      </c>
      <c r="AK6825">
        <v>3.4508273029367298</v>
      </c>
      <c r="AL6825">
        <v>90.881082812839594</v>
      </c>
      <c r="AM6825">
        <v>88.846104117577397</v>
      </c>
      <c r="AN6825">
        <v>1.0000000004921901</v>
      </c>
    </row>
    <row r="6826" spans="1:40" x14ac:dyDescent="0.25">
      <c r="A6826" t="str">
        <f>"20190312160822115"</f>
        <v>20190312160822115</v>
      </c>
      <c r="B6826" t="str">
        <f>"1552378102112851"</f>
        <v>1552378102112851</v>
      </c>
      <c r="C6826" t="s">
        <v>40</v>
      </c>
      <c r="D6826">
        <v>5.9509220000000003</v>
      </c>
      <c r="E6826">
        <v>0.28922569999999997</v>
      </c>
      <c r="F6826" t="s">
        <v>41</v>
      </c>
      <c r="G6826">
        <v>0</v>
      </c>
      <c r="H6826">
        <v>0</v>
      </c>
      <c r="I6826">
        <v>0</v>
      </c>
      <c r="J6826">
        <v>-290.06920000000002</v>
      </c>
      <c r="K6826">
        <v>1.114012</v>
      </c>
      <c r="L6826">
        <v>-59.220309999999998</v>
      </c>
      <c r="M6826">
        <v>0.80909880000000001</v>
      </c>
      <c r="N6826">
        <v>0</v>
      </c>
      <c r="O6826">
        <v>-0.58752499999999996</v>
      </c>
      <c r="P6826">
        <v>0.79715219999999998</v>
      </c>
      <c r="Q6826">
        <v>-2.915512E-2</v>
      </c>
      <c r="R6826">
        <v>-0.60307429999999995</v>
      </c>
      <c r="S6826">
        <v>3.4120180000000002</v>
      </c>
      <c r="T6826">
        <v>0.10147050000000001</v>
      </c>
      <c r="U6826">
        <v>-0.48428339999999998</v>
      </c>
      <c r="V6826">
        <v>1.976812E-2</v>
      </c>
      <c r="W6826">
        <v>-1.5762000000000002E-2</v>
      </c>
      <c r="X6826">
        <v>0.99968029999999997</v>
      </c>
      <c r="Y6826">
        <v>-0.46761459999999999</v>
      </c>
      <c r="Z6826">
        <v>-2.3208920000000001E-2</v>
      </c>
      <c r="AA6826">
        <v>0.88362770000000002</v>
      </c>
      <c r="AB6826">
        <v>19</v>
      </c>
      <c r="AC6826">
        <v>3.4120180000000002</v>
      </c>
      <c r="AD6826">
        <v>0.10147050000000001</v>
      </c>
      <c r="AE6826">
        <v>-0.48428339999999998</v>
      </c>
      <c r="AF6826">
        <v>-1.6115555516079201</v>
      </c>
      <c r="AG6826">
        <v>0.10147050000000001</v>
      </c>
      <c r="AH6826">
        <v>3.0428145147781702</v>
      </c>
      <c r="AI6826">
        <v>88.312006578633202</v>
      </c>
      <c r="AJ6826">
        <v>117.906885297654</v>
      </c>
      <c r="AK6826">
        <v>3.4447246231931699</v>
      </c>
      <c r="AL6826">
        <v>90.903133510648402</v>
      </c>
      <c r="AM6826">
        <v>88.867155580306701</v>
      </c>
      <c r="AN6826">
        <v>0.99999996071021102</v>
      </c>
    </row>
    <row r="6827" spans="1:40" x14ac:dyDescent="0.25">
      <c r="A6827" t="str">
        <f>"20190312160822136"</f>
        <v>20190312160822136</v>
      </c>
      <c r="B6827" t="str">
        <f>"1552378102132373"</f>
        <v>1552378102132373</v>
      </c>
      <c r="C6827" t="s">
        <v>40</v>
      </c>
      <c r="D6827">
        <v>5.9319649999999999</v>
      </c>
      <c r="E6827">
        <v>0.29052139999999999</v>
      </c>
      <c r="F6827" t="s">
        <v>41</v>
      </c>
      <c r="G6827">
        <v>0</v>
      </c>
      <c r="H6827">
        <v>0</v>
      </c>
      <c r="I6827">
        <v>0</v>
      </c>
      <c r="J6827">
        <v>-289.92129999999997</v>
      </c>
      <c r="K6827">
        <v>1.1140000000000001</v>
      </c>
      <c r="L6827">
        <v>-59.316130000000001</v>
      </c>
      <c r="M6827">
        <v>0.81373090000000003</v>
      </c>
      <c r="N6827">
        <v>0</v>
      </c>
      <c r="O6827">
        <v>-0.58109279999999996</v>
      </c>
      <c r="P6827">
        <v>0.80222230000000005</v>
      </c>
      <c r="Q6827">
        <v>-2.9837019999999999E-2</v>
      </c>
      <c r="R6827">
        <v>-0.59627959999999902</v>
      </c>
      <c r="S6827">
        <v>3.4056090000000001</v>
      </c>
      <c r="T6827">
        <v>8.4129570000000001E-2</v>
      </c>
      <c r="U6827">
        <v>-0.47702030000000001</v>
      </c>
      <c r="V6827">
        <v>1.922099E-2</v>
      </c>
      <c r="W6827">
        <v>-1.6471389999999999E-2</v>
      </c>
      <c r="X6827">
        <v>0.9996796</v>
      </c>
      <c r="Y6827">
        <v>-0.46235019999999999</v>
      </c>
      <c r="Z6827">
        <v>-1.9093180000000001E-2</v>
      </c>
      <c r="AA6827">
        <v>0.88649179999999905</v>
      </c>
      <c r="AB6827">
        <v>19</v>
      </c>
      <c r="AC6827">
        <v>3.4056090000000001</v>
      </c>
      <c r="AD6827">
        <v>8.4129570000000001E-2</v>
      </c>
      <c r="AE6827">
        <v>-0.47702030000000001</v>
      </c>
      <c r="AF6827">
        <v>-1.58999485354659</v>
      </c>
      <c r="AG6827">
        <v>8.4129570000000001E-2</v>
      </c>
      <c r="AH6827">
        <v>3.0468827549288</v>
      </c>
      <c r="AI6827">
        <v>88.597733323754298</v>
      </c>
      <c r="AJ6827">
        <v>117.557495433534</v>
      </c>
      <c r="AK6827">
        <v>3.4378272122280298</v>
      </c>
      <c r="AL6827">
        <v>90.943783782470305</v>
      </c>
      <c r="AM6827">
        <v>88.898501153089597</v>
      </c>
      <c r="AN6827">
        <v>1.00000002790063</v>
      </c>
    </row>
    <row r="6828" spans="1:40" x14ac:dyDescent="0.25">
      <c r="A6828" t="str">
        <f>"20190312160822149"</f>
        <v>20190312160822149</v>
      </c>
      <c r="B6828" t="str">
        <f>"1552378102142132"</f>
        <v>1552378102142132</v>
      </c>
      <c r="C6828" t="s">
        <v>40</v>
      </c>
      <c r="D6828">
        <v>5.9504530000000004</v>
      </c>
      <c r="E6828">
        <v>0.29128009999999999</v>
      </c>
      <c r="F6828" t="s">
        <v>41</v>
      </c>
      <c r="G6828">
        <v>0</v>
      </c>
      <c r="H6828">
        <v>0</v>
      </c>
      <c r="I6828">
        <v>0</v>
      </c>
      <c r="J6828">
        <v>-289.8263</v>
      </c>
      <c r="K6828">
        <v>1.113993</v>
      </c>
      <c r="L6828">
        <v>-59.376739999999998</v>
      </c>
      <c r="M6828">
        <v>0.81666640000000001</v>
      </c>
      <c r="N6828">
        <v>0</v>
      </c>
      <c r="O6828">
        <v>-0.57696040000000004</v>
      </c>
      <c r="P6828">
        <v>0.80540990000000001</v>
      </c>
      <c r="Q6828">
        <v>-3.0213540000000001E-2</v>
      </c>
      <c r="R6828">
        <v>-0.59194799999999903</v>
      </c>
      <c r="S6828">
        <v>3.4034420000000001</v>
      </c>
      <c r="T6828">
        <v>7.0475819999999995E-2</v>
      </c>
      <c r="U6828">
        <v>-0.45578000000000002</v>
      </c>
      <c r="V6828">
        <v>1.8913780000000002E-2</v>
      </c>
      <c r="W6828">
        <v>-1.6863389999999999E-2</v>
      </c>
      <c r="X6828">
        <v>0.99967890000000004</v>
      </c>
      <c r="Y6828">
        <v>-0.4632946</v>
      </c>
      <c r="Z6828">
        <v>-1.5958070000000001E-2</v>
      </c>
      <c r="AA6828">
        <v>0.88606070000000003</v>
      </c>
      <c r="AB6828">
        <v>19</v>
      </c>
      <c r="AC6828">
        <v>3.4034420000000001</v>
      </c>
      <c r="AD6828">
        <v>7.0475819999999995E-2</v>
      </c>
      <c r="AE6828">
        <v>-0.45578000000000002</v>
      </c>
      <c r="AF6828">
        <v>-1.5908983328056201</v>
      </c>
      <c r="AG6828">
        <v>7.0475819999999995E-2</v>
      </c>
      <c r="AH6828">
        <v>3.0414253140794298</v>
      </c>
      <c r="AI6828">
        <v>88.823731365736506</v>
      </c>
      <c r="AJ6828">
        <v>117.613012110901</v>
      </c>
      <c r="AK6828">
        <v>3.43310242894843</v>
      </c>
      <c r="AL6828">
        <v>90.966246870961399</v>
      </c>
      <c r="AM6828">
        <v>88.916101468780198</v>
      </c>
      <c r="AN6828">
        <v>1.00000000405069</v>
      </c>
    </row>
    <row r="6829" spans="1:40" x14ac:dyDescent="0.25">
      <c r="A6829" t="str">
        <f>"20190312160822160"</f>
        <v>20190312160822160</v>
      </c>
      <c r="B6829" t="str">
        <f>"1552378102152867"</f>
        <v>1552378102152867</v>
      </c>
      <c r="C6829" t="s">
        <v>40</v>
      </c>
      <c r="D6829">
        <v>5.9163819999999996</v>
      </c>
      <c r="E6829">
        <v>0.29199000000000003</v>
      </c>
      <c r="F6829" t="s">
        <v>41</v>
      </c>
      <c r="G6829">
        <v>0</v>
      </c>
      <c r="H6829">
        <v>0</v>
      </c>
      <c r="I6829">
        <v>0</v>
      </c>
      <c r="J6829">
        <v>-289.74529999999999</v>
      </c>
      <c r="K6829">
        <v>1.1139870000000001</v>
      </c>
      <c r="L6829">
        <v>-59.427979999999998</v>
      </c>
      <c r="M6829">
        <v>0.81914849999999995</v>
      </c>
      <c r="N6829">
        <v>0</v>
      </c>
      <c r="O6829">
        <v>-0.57343100000000002</v>
      </c>
      <c r="P6829">
        <v>0.80799449999999995</v>
      </c>
      <c r="Q6829">
        <v>-3.0648169999999999E-2</v>
      </c>
      <c r="R6829">
        <v>-0.58839269999999999</v>
      </c>
      <c r="S6829">
        <v>3.4023129999999999</v>
      </c>
      <c r="T6829">
        <v>6.2539819999999996E-2</v>
      </c>
      <c r="U6829">
        <v>-0.44192500000000001</v>
      </c>
      <c r="V6829">
        <v>1.8835890000000001E-2</v>
      </c>
      <c r="W6829">
        <v>-1.730862E-2</v>
      </c>
      <c r="X6829">
        <v>0.99967280000000003</v>
      </c>
      <c r="Y6829">
        <v>-0.46302189999999999</v>
      </c>
      <c r="Z6829">
        <v>-1.4117879999999999E-2</v>
      </c>
      <c r="AA6829">
        <v>0.88623439999999998</v>
      </c>
      <c r="AB6829">
        <v>19</v>
      </c>
      <c r="AC6829">
        <v>3.4023129999999999</v>
      </c>
      <c r="AD6829">
        <v>6.2539819999999996E-2</v>
      </c>
      <c r="AE6829">
        <v>-0.44192500000000001</v>
      </c>
      <c r="AF6829">
        <v>-1.5885988580364301</v>
      </c>
      <c r="AG6829">
        <v>6.2539819999999996E-2</v>
      </c>
      <c r="AH6829">
        <v>3.0396655346866601</v>
      </c>
      <c r="AI6829">
        <v>88.955356385563505</v>
      </c>
      <c r="AJ6829">
        <v>117.59259952136399</v>
      </c>
      <c r="AK6829">
        <v>3.4303242009469401</v>
      </c>
      <c r="AL6829">
        <v>90.991760356654297</v>
      </c>
      <c r="AM6829">
        <v>88.920557494475005</v>
      </c>
      <c r="AN6829">
        <v>1.0000000430691101</v>
      </c>
    </row>
    <row r="6830" spans="1:40" x14ac:dyDescent="0.25">
      <c r="A6830" t="str">
        <f>"20190312160822171"</f>
        <v>20190312160822171</v>
      </c>
      <c r="B6830" t="str">
        <f>"1552378102162628"</f>
        <v>1552378102162628</v>
      </c>
      <c r="C6830" t="s">
        <v>40</v>
      </c>
      <c r="D6830">
        <v>5.937729</v>
      </c>
      <c r="E6830">
        <v>0.29265340000000001</v>
      </c>
      <c r="F6830" t="s">
        <v>41</v>
      </c>
      <c r="G6830">
        <v>0</v>
      </c>
      <c r="H6830">
        <v>0</v>
      </c>
      <c r="I6830">
        <v>0</v>
      </c>
      <c r="J6830">
        <v>-289.66759999999999</v>
      </c>
      <c r="K6830">
        <v>1.1139810000000001</v>
      </c>
      <c r="L6830">
        <v>-59.476649999999999</v>
      </c>
      <c r="M6830">
        <v>0.82150590000000001</v>
      </c>
      <c r="N6830">
        <v>0</v>
      </c>
      <c r="O6830">
        <v>-0.57004869999999996</v>
      </c>
      <c r="P6830">
        <v>0.81054979999999999</v>
      </c>
      <c r="Q6830">
        <v>-3.061697E-2</v>
      </c>
      <c r="R6830">
        <v>-0.58486939999999998</v>
      </c>
      <c r="S6830">
        <v>3.40097</v>
      </c>
      <c r="T6830">
        <v>5.4862500000000002E-2</v>
      </c>
      <c r="U6830">
        <v>-0.43121340000000002</v>
      </c>
      <c r="V6830">
        <v>1.8604240000000001E-2</v>
      </c>
      <c r="W6830">
        <v>-1.7288499999999998E-2</v>
      </c>
      <c r="X6830">
        <v>0.99967740000000005</v>
      </c>
      <c r="Y6830">
        <v>-0.46210590000000001</v>
      </c>
      <c r="Z6830">
        <v>-1.23427E-2</v>
      </c>
      <c r="AA6830">
        <v>0.88673880000000005</v>
      </c>
      <c r="AB6830">
        <v>19</v>
      </c>
      <c r="AC6830">
        <v>3.40097</v>
      </c>
      <c r="AD6830">
        <v>5.4862500000000002E-2</v>
      </c>
      <c r="AE6830">
        <v>-0.43121340000000002</v>
      </c>
      <c r="AF6830">
        <v>-1.5842051579082801</v>
      </c>
      <c r="AG6830">
        <v>5.4862500000000002E-2</v>
      </c>
      <c r="AH6830">
        <v>3.0392134638501598</v>
      </c>
      <c r="AI6830">
        <v>89.082921646516198</v>
      </c>
      <c r="AJ6830">
        <v>117.531002944525</v>
      </c>
      <c r="AK6830">
        <v>3.4277593782378499</v>
      </c>
      <c r="AL6830">
        <v>90.990607478345595</v>
      </c>
      <c r="AM6830">
        <v>88.933834656592694</v>
      </c>
      <c r="AN6830">
        <v>0.99999995702449296</v>
      </c>
    </row>
    <row r="6831" spans="1:40" x14ac:dyDescent="0.25">
      <c r="A6831" t="str">
        <f>"20190312160822182"</f>
        <v>20190312160822182</v>
      </c>
      <c r="B6831" t="str">
        <f>"1552378102172388"</f>
        <v>1552378102172388</v>
      </c>
      <c r="C6831" t="s">
        <v>40</v>
      </c>
      <c r="D6831">
        <v>5.9583370000000002</v>
      </c>
      <c r="E6831">
        <v>0.29339500000000002</v>
      </c>
      <c r="F6831" t="s">
        <v>41</v>
      </c>
      <c r="G6831">
        <v>0</v>
      </c>
      <c r="H6831">
        <v>0</v>
      </c>
      <c r="I6831">
        <v>0</v>
      </c>
      <c r="J6831">
        <v>-289.59570000000002</v>
      </c>
      <c r="K6831">
        <v>1.1139749999999999</v>
      </c>
      <c r="L6831">
        <v>-59.521210000000004</v>
      </c>
      <c r="M6831">
        <v>0.82367179999999995</v>
      </c>
      <c r="N6831">
        <v>0</v>
      </c>
      <c r="O6831">
        <v>-0.56691469999999999</v>
      </c>
      <c r="P6831">
        <v>0.81278479999999997</v>
      </c>
      <c r="Q6831">
        <v>-3.063596E-2</v>
      </c>
      <c r="R6831">
        <v>-0.58175769999999905</v>
      </c>
      <c r="S6831">
        <v>3.39975</v>
      </c>
      <c r="T6831">
        <v>4.9904700000000003E-2</v>
      </c>
      <c r="U6831">
        <v>-0.42037960000000002</v>
      </c>
      <c r="V6831">
        <v>1.8581569999999999E-2</v>
      </c>
      <c r="W6831">
        <v>-1.731721E-2</v>
      </c>
      <c r="X6831">
        <v>0.99967740000000005</v>
      </c>
      <c r="Y6831">
        <v>-0.46149089999999998</v>
      </c>
      <c r="Z6831">
        <v>-1.11935E-2</v>
      </c>
      <c r="AA6831">
        <v>0.88707440000000004</v>
      </c>
      <c r="AB6831">
        <v>19</v>
      </c>
      <c r="AC6831">
        <v>3.39975</v>
      </c>
      <c r="AD6831">
        <v>4.9904700000000003E-2</v>
      </c>
      <c r="AE6831">
        <v>-0.42037960000000002</v>
      </c>
      <c r="AF6831">
        <v>-1.58091429782708</v>
      </c>
      <c r="AG6831">
        <v>4.9904700000000003E-2</v>
      </c>
      <c r="AH6831">
        <v>3.0382148838659102</v>
      </c>
      <c r="AI6831">
        <v>89.165197756502295</v>
      </c>
      <c r="AJ6831">
        <v>117.489905639715</v>
      </c>
      <c r="AK6831">
        <v>3.4252781166936801</v>
      </c>
      <c r="AL6831">
        <v>90.992252611854894</v>
      </c>
      <c r="AM6831">
        <v>88.935133521770496</v>
      </c>
      <c r="AN6831">
        <v>1.0000000322883</v>
      </c>
    </row>
    <row r="6832" spans="1:40" x14ac:dyDescent="0.25">
      <c r="A6832" t="str">
        <f>"20190312160822193"</f>
        <v>20190312160822193</v>
      </c>
      <c r="B6832" t="str">
        <f>"1552378102182148"</f>
        <v>1552378102182148</v>
      </c>
      <c r="C6832" t="s">
        <v>40</v>
      </c>
      <c r="D6832">
        <v>5.9623269999999904</v>
      </c>
      <c r="E6832">
        <v>0.29418630000000001</v>
      </c>
      <c r="F6832" t="s">
        <v>41</v>
      </c>
      <c r="G6832">
        <v>0</v>
      </c>
      <c r="H6832">
        <v>0</v>
      </c>
      <c r="I6832">
        <v>0</v>
      </c>
      <c r="J6832">
        <v>-289.51150000000001</v>
      </c>
      <c r="K6832">
        <v>1.1139709999999901</v>
      </c>
      <c r="L6832">
        <v>-59.573149999999998</v>
      </c>
      <c r="M6832">
        <v>0.82618740000000002</v>
      </c>
      <c r="N6832">
        <v>0</v>
      </c>
      <c r="O6832">
        <v>-0.56324289999999999</v>
      </c>
      <c r="P6832">
        <v>0.81546039999999997</v>
      </c>
      <c r="Q6832">
        <v>-3.104666E-2</v>
      </c>
      <c r="R6832">
        <v>-0.57798019999999894</v>
      </c>
      <c r="S6832">
        <v>3.3979189999999999</v>
      </c>
      <c r="T6832">
        <v>4.4080620000000001E-2</v>
      </c>
      <c r="U6832">
        <v>-0.41180420000000001</v>
      </c>
      <c r="V6832">
        <v>1.8405649999999999E-2</v>
      </c>
      <c r="W6832">
        <v>-1.7741340000000001E-2</v>
      </c>
      <c r="X6832">
        <v>0.99967320000000004</v>
      </c>
      <c r="Y6832">
        <v>-0.45971119999999999</v>
      </c>
      <c r="Z6832">
        <v>-9.8448779999999996E-3</v>
      </c>
      <c r="AA6832">
        <v>0.88801390000000002</v>
      </c>
      <c r="AB6832">
        <v>19</v>
      </c>
      <c r="AC6832">
        <v>3.3979189999999999</v>
      </c>
      <c r="AD6832">
        <v>4.4080620000000001E-2</v>
      </c>
      <c r="AE6832">
        <v>-0.41180420000000001</v>
      </c>
      <c r="AF6832">
        <v>-1.5735005365263599</v>
      </c>
      <c r="AG6832">
        <v>4.4080620000000001E-2</v>
      </c>
      <c r="AH6832">
        <v>3.0390207396058702</v>
      </c>
      <c r="AI6832">
        <v>89.262029327188301</v>
      </c>
      <c r="AJ6832">
        <v>117.373568819825</v>
      </c>
      <c r="AK6832">
        <v>3.4224982242892299</v>
      </c>
      <c r="AL6832">
        <v>91.0165572222366</v>
      </c>
      <c r="AM6832">
        <v>88.945208367935606</v>
      </c>
      <c r="AN6832">
        <v>1.0000000149475701</v>
      </c>
    </row>
    <row r="6833" spans="1:40" x14ac:dyDescent="0.25">
      <c r="A6833" t="str">
        <f>"20190312160822213"</f>
        <v>20190312160822213</v>
      </c>
      <c r="B6833" t="str">
        <f>"1552378102202645"</f>
        <v>1552378102202645</v>
      </c>
      <c r="C6833" t="s">
        <v>40</v>
      </c>
      <c r="D6833">
        <v>5.9307980000000002</v>
      </c>
      <c r="E6833">
        <v>0.31267990000000001</v>
      </c>
      <c r="F6833" t="s">
        <v>41</v>
      </c>
      <c r="G6833">
        <v>0</v>
      </c>
      <c r="H6833">
        <v>0</v>
      </c>
      <c r="I6833">
        <v>0</v>
      </c>
      <c r="J6833">
        <v>-289.37130000000002</v>
      </c>
      <c r="K6833">
        <v>1.113964</v>
      </c>
      <c r="L6833">
        <v>-59.658259999999999</v>
      </c>
      <c r="M6833">
        <v>0.8303258</v>
      </c>
      <c r="N6833">
        <v>0</v>
      </c>
      <c r="O6833">
        <v>-0.55712439999999996</v>
      </c>
      <c r="P6833">
        <v>0.82014959999999903</v>
      </c>
      <c r="Q6833">
        <v>-3.06926E-2</v>
      </c>
      <c r="R6833">
        <v>-0.57132559999999999</v>
      </c>
      <c r="S6833">
        <v>3.3961790000000001</v>
      </c>
      <c r="T6833">
        <v>3.7288429999999997E-2</v>
      </c>
      <c r="U6833">
        <v>-0.40087889999999998</v>
      </c>
      <c r="V6833">
        <v>1.7645279999999999E-2</v>
      </c>
      <c r="W6833">
        <v>-1.741769E-2</v>
      </c>
      <c r="X6833">
        <v>0.99969260000000004</v>
      </c>
      <c r="Y6833">
        <v>-0.4559318</v>
      </c>
      <c r="Z6833">
        <v>-8.2592859999999994E-3</v>
      </c>
      <c r="AA6833">
        <v>0.8899764</v>
      </c>
      <c r="AB6833">
        <v>19</v>
      </c>
      <c r="AC6833">
        <v>3.3961790000000001</v>
      </c>
      <c r="AD6833">
        <v>3.7288429999999997E-2</v>
      </c>
      <c r="AE6833">
        <v>-0.40087889999999998</v>
      </c>
      <c r="AF6833">
        <v>-1.5591824149840801</v>
      </c>
      <c r="AG6833">
        <v>3.7288429999999997E-2</v>
      </c>
      <c r="AH6833">
        <v>3.0431735953024499</v>
      </c>
      <c r="AI6833">
        <v>89.375207306784006</v>
      </c>
      <c r="AJ6833">
        <v>117.128517900459</v>
      </c>
      <c r="AK6833">
        <v>3.4195534447283502</v>
      </c>
      <c r="AL6833">
        <v>90.998010579131702</v>
      </c>
      <c r="AM6833">
        <v>88.988794054831004</v>
      </c>
      <c r="AN6833">
        <v>1.00000001316298</v>
      </c>
    </row>
    <row r="6834" spans="1:40" x14ac:dyDescent="0.25">
      <c r="A6834" t="str">
        <f>"20190312160822225"</f>
        <v>20190312160822225</v>
      </c>
      <c r="B6834" t="str">
        <f>"1552378102212404"</f>
        <v>1552378102212404</v>
      </c>
      <c r="C6834" t="s">
        <v>40</v>
      </c>
      <c r="D6834">
        <v>5.8357830000000002</v>
      </c>
      <c r="E6834">
        <v>0.31310870000000002</v>
      </c>
      <c r="F6834" t="s">
        <v>112</v>
      </c>
      <c r="G6834">
        <v>-241.66409999999999</v>
      </c>
      <c r="H6834" s="1">
        <v>-1.374249E-6</v>
      </c>
      <c r="I6834">
        <v>-66.672060000000002</v>
      </c>
      <c r="J6834">
        <v>-289.2937</v>
      </c>
      <c r="K6834">
        <v>1.113961</v>
      </c>
      <c r="L6834">
        <v>-59.704619999999998</v>
      </c>
      <c r="M6834">
        <v>0.8325863</v>
      </c>
      <c r="N6834">
        <v>0</v>
      </c>
      <c r="O6834">
        <v>-0.55374089999999998</v>
      </c>
      <c r="P6834">
        <v>0.82252619999999899</v>
      </c>
      <c r="Q6834">
        <v>-3.0905309999999998E-2</v>
      </c>
      <c r="R6834">
        <v>-0.56788729999999998</v>
      </c>
      <c r="S6834">
        <v>3.3153990000000002</v>
      </c>
      <c r="T6834">
        <v>-7.7414869999999997E-2</v>
      </c>
      <c r="U6834">
        <v>-0.48742679999999999</v>
      </c>
      <c r="V6834">
        <v>1.7535410000000001E-2</v>
      </c>
      <c r="W6834">
        <v>-1.7644159999999999E-2</v>
      </c>
      <c r="X6834">
        <v>0.99969050000000004</v>
      </c>
      <c r="Y6834">
        <v>-0.42654110000000001</v>
      </c>
      <c r="Z6834">
        <v>1.7099260000000002E-2</v>
      </c>
      <c r="AA6834">
        <v>0.90430650000000001</v>
      </c>
      <c r="AB6834">
        <v>19</v>
      </c>
      <c r="AC6834">
        <v>47.629600000000003</v>
      </c>
      <c r="AD6834">
        <v>-1.1139623742489999</v>
      </c>
      <c r="AE6834">
        <v>-6.9674399999999999</v>
      </c>
      <c r="AF6834">
        <v>-20.564209491334299</v>
      </c>
      <c r="AG6834">
        <v>-1.1139623742489999</v>
      </c>
      <c r="AH6834">
        <v>43.494338392699099</v>
      </c>
      <c r="AI6834">
        <v>91.326396730295201</v>
      </c>
      <c r="AJ6834">
        <v>115.304877298733</v>
      </c>
      <c r="AK6834">
        <v>48.123643839523901</v>
      </c>
      <c r="AL6834">
        <v>91.010988411038895</v>
      </c>
      <c r="AM6834">
        <v>88.995087018269999</v>
      </c>
      <c r="AN6834">
        <v>0.99999995138811004</v>
      </c>
    </row>
    <row r="6835" spans="1:40" x14ac:dyDescent="0.25">
      <c r="A6835" t="str">
        <f>"20190312160822236"</f>
        <v>20190312160822236</v>
      </c>
      <c r="B6835" t="str">
        <f>"1552378102231924"</f>
        <v>1552378102231924</v>
      </c>
      <c r="C6835" t="s">
        <v>40</v>
      </c>
      <c r="D6835">
        <v>5.9062530000000004</v>
      </c>
      <c r="E6835">
        <v>0.31292779999999998</v>
      </c>
      <c r="F6835" t="s">
        <v>112</v>
      </c>
      <c r="G6835">
        <v>-247.03870000000001</v>
      </c>
      <c r="H6835" s="1">
        <v>-3.2246309999999998E-6</v>
      </c>
      <c r="I6835">
        <v>-65.768879999999996</v>
      </c>
      <c r="J6835">
        <v>-289.20949999999999</v>
      </c>
      <c r="K6835">
        <v>1.113958</v>
      </c>
      <c r="L6835">
        <v>-59.754669999999997</v>
      </c>
      <c r="M6835">
        <v>0.83501970000000003</v>
      </c>
      <c r="N6835">
        <v>0</v>
      </c>
      <c r="O6835">
        <v>-0.55006489999999997</v>
      </c>
      <c r="P6835">
        <v>0.82506209999999902</v>
      </c>
      <c r="Q6835">
        <v>-3.1124260000000001E-2</v>
      </c>
      <c r="R6835">
        <v>-0.56418459999999904</v>
      </c>
      <c r="S6835">
        <v>3.3154910000000002</v>
      </c>
      <c r="T6835">
        <v>-8.7406040000000004E-2</v>
      </c>
      <c r="U6835">
        <v>-0.47583009999999898</v>
      </c>
      <c r="V6835">
        <v>1.7456429999999998E-2</v>
      </c>
      <c r="W6835">
        <v>-1.7877250000000001E-2</v>
      </c>
      <c r="X6835">
        <v>0.99968780000000002</v>
      </c>
      <c r="Y6835">
        <v>-0.425589</v>
      </c>
      <c r="Z6835">
        <v>1.922068E-2</v>
      </c>
      <c r="AA6835">
        <v>0.90471239999999997</v>
      </c>
      <c r="AB6835">
        <v>19</v>
      </c>
      <c r="AC6835">
        <v>42.1707999999999</v>
      </c>
      <c r="AD6835">
        <v>-1.113961224631</v>
      </c>
      <c r="AE6835">
        <v>-6.01421000000001</v>
      </c>
      <c r="AF6835">
        <v>-18.163822875443699</v>
      </c>
      <c r="AG6835">
        <v>-1.113961224631</v>
      </c>
      <c r="AH6835">
        <v>38.498615006609697</v>
      </c>
      <c r="AI6835">
        <v>91.499016373270294</v>
      </c>
      <c r="AJ6835">
        <v>115.258153038182</v>
      </c>
      <c r="AK6835">
        <v>42.582962889958999</v>
      </c>
      <c r="AL6835">
        <v>91.024345531550097</v>
      </c>
      <c r="AM6835">
        <v>88.999609552516603</v>
      </c>
      <c r="AN6835">
        <v>1.0000000102423701</v>
      </c>
    </row>
    <row r="6836" spans="1:40" x14ac:dyDescent="0.25">
      <c r="A6836" t="str">
        <f>"20190312160822247"</f>
        <v>20190312160822247</v>
      </c>
      <c r="B6836" t="str">
        <f>"1552378102242661"</f>
        <v>1552378102242661</v>
      </c>
      <c r="C6836" t="s">
        <v>40</v>
      </c>
      <c r="D6836">
        <v>5.9528410000000003</v>
      </c>
      <c r="E6836">
        <v>0.31369160000000001</v>
      </c>
      <c r="F6836" t="s">
        <v>112</v>
      </c>
      <c r="G6836">
        <v>-245.37190000000001</v>
      </c>
      <c r="H6836" s="1">
        <v>-2.6682539999999999E-6</v>
      </c>
      <c r="I6836">
        <v>-65.830060000000003</v>
      </c>
      <c r="J6836">
        <v>-289.1275</v>
      </c>
      <c r="K6836">
        <v>1.1139589999999999</v>
      </c>
      <c r="L6836">
        <v>-59.802759999999999</v>
      </c>
      <c r="M6836">
        <v>0.8373659</v>
      </c>
      <c r="N6836">
        <v>0</v>
      </c>
      <c r="O6836">
        <v>-0.54648680000000005</v>
      </c>
      <c r="P6836">
        <v>0.82745829999999998</v>
      </c>
      <c r="Q6836">
        <v>-3.1436020000000002E-2</v>
      </c>
      <c r="R6836">
        <v>-0.56064669999999905</v>
      </c>
      <c r="S6836">
        <v>3.3184200000000001</v>
      </c>
      <c r="T6836">
        <v>-8.43246E-2</v>
      </c>
      <c r="U6836">
        <v>-0.45989989999999997</v>
      </c>
      <c r="V6836">
        <v>1.7463619999999999E-2</v>
      </c>
      <c r="W6836">
        <v>-1.8200379999999999E-2</v>
      </c>
      <c r="X6836">
        <v>0.99968179999999995</v>
      </c>
      <c r="Y6836">
        <v>-0.4261103</v>
      </c>
      <c r="Z6836">
        <v>1.8469090000000001E-2</v>
      </c>
      <c r="AA6836">
        <v>0.90448269999999997</v>
      </c>
      <c r="AB6836">
        <v>19</v>
      </c>
      <c r="AC6836">
        <v>43.755599999999902</v>
      </c>
      <c r="AD6836">
        <v>-1.1139616682539999</v>
      </c>
      <c r="AE6836">
        <v>-6.0273000000000003</v>
      </c>
      <c r="AF6836">
        <v>-18.854418158171399</v>
      </c>
      <c r="AG6836">
        <v>-1.1139616682539999</v>
      </c>
      <c r="AH6836">
        <v>39.911305883268398</v>
      </c>
      <c r="AI6836">
        <v>91.445644429589507</v>
      </c>
      <c r="AJ6836">
        <v>115.286422690769</v>
      </c>
      <c r="AK6836">
        <v>44.154754353176202</v>
      </c>
      <c r="AL6836">
        <v>91.042862575191805</v>
      </c>
      <c r="AM6836">
        <v>88.999191587370206</v>
      </c>
      <c r="AN6836">
        <v>0.99999996655344303</v>
      </c>
    </row>
    <row r="6837" spans="1:40" x14ac:dyDescent="0.25">
      <c r="A6837" t="str">
        <f>"20190312160822259"</f>
        <v>20190312160822259</v>
      </c>
      <c r="B6837" t="str">
        <f>"1552378102252420"</f>
        <v>1552378102252420</v>
      </c>
      <c r="C6837" t="s">
        <v>40</v>
      </c>
      <c r="D6837">
        <v>5.9614339999999997</v>
      </c>
      <c r="E6837">
        <v>0.31387300000000001</v>
      </c>
      <c r="F6837" t="s">
        <v>112</v>
      </c>
      <c r="G6837">
        <v>-247.08359999999999</v>
      </c>
      <c r="H6837" s="1">
        <v>-3.1947129999999998E-6</v>
      </c>
      <c r="I6837">
        <v>-65.514219999999995</v>
      </c>
      <c r="J6837">
        <v>-289.0471</v>
      </c>
      <c r="K6837">
        <v>1.1139559999999999</v>
      </c>
      <c r="L6837">
        <v>-59.849640000000001</v>
      </c>
      <c r="M6837">
        <v>0.8396498</v>
      </c>
      <c r="N6837">
        <v>0</v>
      </c>
      <c r="O6837">
        <v>-0.5429716</v>
      </c>
      <c r="P6837">
        <v>0.82984650000000004</v>
      </c>
      <c r="Q6837">
        <v>-3.1607160000000002E-2</v>
      </c>
      <c r="R6837">
        <v>-0.55709580000000003</v>
      </c>
      <c r="S6837">
        <v>3.3169249999999999</v>
      </c>
      <c r="T6837">
        <v>-8.7882520000000006E-2</v>
      </c>
      <c r="U6837">
        <v>-0.45059199999999999</v>
      </c>
      <c r="V6837">
        <v>1.7376369999999999E-2</v>
      </c>
      <c r="W6837">
        <v>-1.838296E-2</v>
      </c>
      <c r="X6837">
        <v>0.99968000000000001</v>
      </c>
      <c r="Y6837">
        <v>-0.42472949999999998</v>
      </c>
      <c r="Z6837">
        <v>1.916735E-2</v>
      </c>
      <c r="AA6837">
        <v>0.90511739999999996</v>
      </c>
      <c r="AB6837">
        <v>19</v>
      </c>
      <c r="AC6837">
        <v>41.963500000000003</v>
      </c>
      <c r="AD6837">
        <v>-1.1139591947130001</v>
      </c>
      <c r="AE6837">
        <v>-5.6645799999999902</v>
      </c>
      <c r="AF6837">
        <v>-18.017788755638399</v>
      </c>
      <c r="AG6837">
        <v>-1.1139591947130001</v>
      </c>
      <c r="AH6837">
        <v>38.287110768886798</v>
      </c>
      <c r="AI6837">
        <v>91.507992468652205</v>
      </c>
      <c r="AJ6837">
        <v>115.20152165537399</v>
      </c>
      <c r="AK6837">
        <v>42.329475165176603</v>
      </c>
      <c r="AL6837">
        <v>91.053325368015905</v>
      </c>
      <c r="AM6837">
        <v>89.004188924683305</v>
      </c>
      <c r="AN6837">
        <v>0.99999998692636904</v>
      </c>
    </row>
    <row r="6838" spans="1:40" x14ac:dyDescent="0.25">
      <c r="A6838" t="str">
        <f>"20190312160822270"</f>
        <v>20190312160822270</v>
      </c>
      <c r="B6838" t="str">
        <f>"1552378102262180"</f>
        <v>1552378102262180</v>
      </c>
      <c r="C6838" t="s">
        <v>40</v>
      </c>
      <c r="D6838">
        <v>5.9374520000000004</v>
      </c>
      <c r="E6838">
        <v>0.31387300000000001</v>
      </c>
      <c r="F6838" t="s">
        <v>112</v>
      </c>
      <c r="G6838">
        <v>-246.76509999999999</v>
      </c>
      <c r="H6838" s="1">
        <v>-3.0708190000000002E-6</v>
      </c>
      <c r="I6838">
        <v>-65.426689999999994</v>
      </c>
      <c r="J6838">
        <v>-288.96069999999997</v>
      </c>
      <c r="K6838">
        <v>1.113953</v>
      </c>
      <c r="L6838">
        <v>-59.899410000000003</v>
      </c>
      <c r="M6838">
        <v>0.84207790000000005</v>
      </c>
      <c r="N6838">
        <v>0</v>
      </c>
      <c r="O6838">
        <v>-0.53919830000000002</v>
      </c>
      <c r="P6838">
        <v>0.83226619999999996</v>
      </c>
      <c r="Q6838">
        <v>-3.1540020000000002E-2</v>
      </c>
      <c r="R6838">
        <v>-0.55347840000000004</v>
      </c>
      <c r="S6838">
        <v>3.317993</v>
      </c>
      <c r="T6838">
        <v>-8.7415809999999997E-2</v>
      </c>
      <c r="U6838">
        <v>-0.4376526</v>
      </c>
      <c r="V6838">
        <v>1.750867E-2</v>
      </c>
      <c r="W6838">
        <v>-1.8324750000000001E-2</v>
      </c>
      <c r="X6838">
        <v>0.99967879999999998</v>
      </c>
      <c r="Y6838">
        <v>-0.42417830000000001</v>
      </c>
      <c r="Z6838">
        <v>1.8977919999999999E-2</v>
      </c>
      <c r="AA6838">
        <v>0.90537979999999996</v>
      </c>
      <c r="AB6838">
        <v>19</v>
      </c>
      <c r="AC6838">
        <v>42.195599999999899</v>
      </c>
      <c r="AD6838">
        <v>-1.1139560708189999</v>
      </c>
      <c r="AE6838">
        <v>-5.52728000000001</v>
      </c>
      <c r="AF6838">
        <v>-18.086541185843501</v>
      </c>
      <c r="AG6838">
        <v>-1.1139560708189999</v>
      </c>
      <c r="AH6838">
        <v>38.489183723119503</v>
      </c>
      <c r="AI6838">
        <v>91.500469980783194</v>
      </c>
      <c r="AJ6838">
        <v>115.16940911194401</v>
      </c>
      <c r="AK6838">
        <v>42.541522467666503</v>
      </c>
      <c r="AL6838">
        <v>91.049989577112996</v>
      </c>
      <c r="AM6838">
        <v>88.996607370137696</v>
      </c>
      <c r="AN6838">
        <v>1.00000002657858</v>
      </c>
    </row>
    <row r="6839" spans="1:40" x14ac:dyDescent="0.25">
      <c r="A6839" t="str">
        <f>"20190312160822281"</f>
        <v>20190312160822281</v>
      </c>
      <c r="B6839" t="str">
        <f>"1552378102272916"</f>
        <v>1552378102272916</v>
      </c>
      <c r="C6839" t="s">
        <v>40</v>
      </c>
      <c r="D6839">
        <v>6.4229320000000003</v>
      </c>
      <c r="E6839">
        <v>0.291693599999999</v>
      </c>
      <c r="F6839" t="s">
        <v>112</v>
      </c>
      <c r="G6839">
        <v>-246.46420000000001</v>
      </c>
      <c r="H6839" s="1">
        <v>-2.9489159999999999E-6</v>
      </c>
      <c r="I6839">
        <v>-65.316739999999996</v>
      </c>
      <c r="J6839">
        <v>-288.88350000000003</v>
      </c>
      <c r="K6839">
        <v>1.11395</v>
      </c>
      <c r="L6839">
        <v>-59.943359999999998</v>
      </c>
      <c r="M6839">
        <v>0.84422589999999997</v>
      </c>
      <c r="N6839">
        <v>0</v>
      </c>
      <c r="O6839">
        <v>-0.53582909999999995</v>
      </c>
      <c r="P6839">
        <v>0.83454349999999999</v>
      </c>
      <c r="Q6839">
        <v>-3.1316459999999997E-2</v>
      </c>
      <c r="R6839">
        <v>-0.55005139999999997</v>
      </c>
      <c r="S6839">
        <v>3.3199160000000001</v>
      </c>
      <c r="T6839">
        <v>-8.7024690000000002E-2</v>
      </c>
      <c r="U6839">
        <v>-0.42321779999999998</v>
      </c>
      <c r="V6839">
        <v>1.7385950000000001E-2</v>
      </c>
      <c r="W6839">
        <v>-1.811107E-2</v>
      </c>
      <c r="X6839">
        <v>0.99968480000000004</v>
      </c>
      <c r="Y6839">
        <v>-0.42450300000000002</v>
      </c>
      <c r="Z6839">
        <v>1.8821729999999998E-2</v>
      </c>
      <c r="AA6839">
        <v>0.90523089999999995</v>
      </c>
      <c r="AB6839">
        <v>19</v>
      </c>
      <c r="AC6839">
        <v>42.4193</v>
      </c>
      <c r="AD6839">
        <v>-1.1139529489160001</v>
      </c>
      <c r="AE6839">
        <v>-5.3733799999999903</v>
      </c>
      <c r="AF6839">
        <v>-18.182352816804599</v>
      </c>
      <c r="AG6839">
        <v>-1.1139529489160001</v>
      </c>
      <c r="AH6839">
        <v>38.6677257308816</v>
      </c>
      <c r="AI6839">
        <v>91.493363708690794</v>
      </c>
      <c r="AJ6839">
        <v>115.183866047214</v>
      </c>
      <c r="AK6839">
        <v>42.743793214054399</v>
      </c>
      <c r="AL6839">
        <v>91.037744620274097</v>
      </c>
      <c r="AM6839">
        <v>89.003644804417306</v>
      </c>
      <c r="AN6839">
        <v>0.99999999073249302</v>
      </c>
    </row>
    <row r="6840" spans="1:40" x14ac:dyDescent="0.25">
      <c r="A6840" t="str">
        <f>"20190312160822292"</f>
        <v>20190312160822292</v>
      </c>
      <c r="B6840" t="str">
        <f>"1552378102282677"</f>
        <v>1552378102282677</v>
      </c>
      <c r="C6840" t="s">
        <v>40</v>
      </c>
      <c r="D6840">
        <v>5.997922</v>
      </c>
      <c r="E6840">
        <v>0.28860479999999999</v>
      </c>
      <c r="F6840" t="s">
        <v>113</v>
      </c>
      <c r="G6840">
        <v>-218.67339999999999</v>
      </c>
      <c r="H6840" s="1">
        <v>-3.6936550000000001E-6</v>
      </c>
      <c r="I6840">
        <v>-65.357959999999906</v>
      </c>
      <c r="J6840">
        <v>-288.80279999999999</v>
      </c>
      <c r="K6840">
        <v>1.1139490000000001</v>
      </c>
      <c r="L6840">
        <v>-59.989139999999999</v>
      </c>
      <c r="M6840">
        <v>0.84645840000000006</v>
      </c>
      <c r="N6840">
        <v>0</v>
      </c>
      <c r="O6840">
        <v>-0.53229569999999904</v>
      </c>
      <c r="P6840">
        <v>0.83683909999999995</v>
      </c>
      <c r="Q6840">
        <v>-3.1331480000000002E-2</v>
      </c>
      <c r="R6840">
        <v>-0.54655180000000003</v>
      </c>
      <c r="S6840">
        <v>3.4189449999999999</v>
      </c>
      <c r="T6840">
        <v>-5.4245000000000002E-2</v>
      </c>
      <c r="U6840">
        <v>-0.26367190000000001</v>
      </c>
      <c r="V6840">
        <v>1.7378520000000001E-2</v>
      </c>
      <c r="W6840">
        <v>-1.813507E-2</v>
      </c>
      <c r="X6840">
        <v>0.99968449999999998</v>
      </c>
      <c r="Y6840">
        <v>-0.46555489999999999</v>
      </c>
      <c r="Z6840">
        <v>1.1727700000000001E-2</v>
      </c>
      <c r="AA6840">
        <v>0.88494130000000004</v>
      </c>
      <c r="AB6840">
        <v>19</v>
      </c>
      <c r="AC6840">
        <v>70.129400000000004</v>
      </c>
      <c r="AD6840">
        <v>-1.1139526936549999</v>
      </c>
      <c r="AE6840">
        <v>-5.3688199999999897</v>
      </c>
      <c r="AF6840">
        <v>-32.779651169288599</v>
      </c>
      <c r="AG6840">
        <v>-1.1139526936549999</v>
      </c>
      <c r="AH6840">
        <v>62.209087712684401</v>
      </c>
      <c r="AI6840">
        <v>90.907596706754902</v>
      </c>
      <c r="AJ6840">
        <v>117.78595930637699</v>
      </c>
      <c r="AK6840">
        <v>70.325791964459299</v>
      </c>
      <c r="AL6840">
        <v>91.039119938743696</v>
      </c>
      <c r="AM6840">
        <v>89.004070218764497</v>
      </c>
      <c r="AN6840">
        <v>0.99999999663077199</v>
      </c>
    </row>
    <row r="6841" spans="1:40" x14ac:dyDescent="0.25">
      <c r="A6841" t="str">
        <f>"20190312160822304"</f>
        <v>20190312160822304</v>
      </c>
      <c r="B6841" t="str">
        <f>"1552378102292436"</f>
        <v>1552378102292436</v>
      </c>
      <c r="C6841" t="s">
        <v>40</v>
      </c>
      <c r="D6841">
        <v>6.9067669999999897</v>
      </c>
      <c r="E6841">
        <v>0.28380880000000003</v>
      </c>
      <c r="F6841" t="s">
        <v>82</v>
      </c>
      <c r="G6841">
        <v>-179.97659999999999</v>
      </c>
      <c r="H6841">
        <v>7.8947950000000003E-2</v>
      </c>
      <c r="I6841">
        <v>-67.277479999999997</v>
      </c>
      <c r="J6841">
        <v>-288.72140000000002</v>
      </c>
      <c r="K6841">
        <v>1.113947</v>
      </c>
      <c r="L6841">
        <v>-60.034480000000002</v>
      </c>
      <c r="M6841">
        <v>0.84868209999999999</v>
      </c>
      <c r="N6841">
        <v>0</v>
      </c>
      <c r="O6841">
        <v>-0.52874319999999997</v>
      </c>
      <c r="P6841">
        <v>0.83923199999999998</v>
      </c>
      <c r="Q6841">
        <v>-3.1024119999999999E-2</v>
      </c>
      <c r="R6841">
        <v>-0.54288829999999999</v>
      </c>
      <c r="S6841">
        <v>3.4335019999999998</v>
      </c>
      <c r="T6841">
        <v>-3.2654639999999999E-2</v>
      </c>
      <c r="U6841">
        <v>-0.22994999999999999</v>
      </c>
      <c r="V6841">
        <v>1.718925E-2</v>
      </c>
      <c r="W6841">
        <v>-1.783819E-2</v>
      </c>
      <c r="X6841">
        <v>0.9996931</v>
      </c>
      <c r="Y6841">
        <v>-0.47084740000000003</v>
      </c>
      <c r="Z6841">
        <v>7.0324749999999998E-3</v>
      </c>
      <c r="AA6841">
        <v>0.88218669999999999</v>
      </c>
      <c r="AB6841">
        <v>19</v>
      </c>
      <c r="AC6841">
        <v>108.7448</v>
      </c>
      <c r="AD6841">
        <v>-1.0349990499999999</v>
      </c>
      <c r="AE6841">
        <v>-7.2430000000000003</v>
      </c>
      <c r="AF6841">
        <v>-51.350785922903903</v>
      </c>
      <c r="AG6841">
        <v>-1.0349990499999999</v>
      </c>
      <c r="AH6841">
        <v>96.118922199882803</v>
      </c>
      <c r="AI6841">
        <v>90.544150452899103</v>
      </c>
      <c r="AJ6841">
        <v>118.113014530375</v>
      </c>
      <c r="AK6841">
        <v>108.980831538397</v>
      </c>
      <c r="AL6841">
        <v>91.022107229586993</v>
      </c>
      <c r="AM6841">
        <v>89.014923244396101</v>
      </c>
      <c r="AN6841">
        <v>0.99999998276282398</v>
      </c>
    </row>
    <row r="6842" spans="1:40" x14ac:dyDescent="0.25">
      <c r="A6842" t="str">
        <f>"20190312160822316"</f>
        <v>20190312160822316</v>
      </c>
      <c r="B6842" t="str">
        <f>"1552378102311958"</f>
        <v>1552378102311958</v>
      </c>
      <c r="C6842" t="s">
        <v>40</v>
      </c>
      <c r="D6842">
        <v>5.9519500000000001</v>
      </c>
      <c r="E6842">
        <v>0.2850261</v>
      </c>
      <c r="F6842" t="s">
        <v>52</v>
      </c>
      <c r="G6842">
        <v>-168.45060000000001</v>
      </c>
      <c r="H6842">
        <v>1.1441460000000001</v>
      </c>
      <c r="I6842">
        <v>-66.466560000000001</v>
      </c>
      <c r="J6842">
        <v>-288.62779999999998</v>
      </c>
      <c r="K6842">
        <v>1.1139429999999999</v>
      </c>
      <c r="L6842">
        <v>-60.086460000000002</v>
      </c>
      <c r="M6842">
        <v>0.85122219999999904</v>
      </c>
      <c r="N6842">
        <v>0</v>
      </c>
      <c r="O6842">
        <v>-0.52464440000000001</v>
      </c>
      <c r="P6842">
        <v>0.84183280000000005</v>
      </c>
      <c r="Q6842">
        <v>-3.12337E-2</v>
      </c>
      <c r="R6842">
        <v>-0.53883400000000004</v>
      </c>
      <c r="S6842">
        <v>3.4552</v>
      </c>
      <c r="T6842">
        <v>8.6700920000000003E-4</v>
      </c>
      <c r="U6842">
        <v>-0.1847839</v>
      </c>
      <c r="V6842">
        <v>1.7194709999999998E-2</v>
      </c>
      <c r="W6842">
        <v>-1.8057569999999998E-2</v>
      </c>
      <c r="X6842">
        <v>0.9996891</v>
      </c>
      <c r="Y6842">
        <v>-0.47847780000000001</v>
      </c>
      <c r="Z6842">
        <v>-1.8581580000000001E-4</v>
      </c>
      <c r="AA6842">
        <v>0.87809959999999898</v>
      </c>
      <c r="AB6842">
        <v>19</v>
      </c>
      <c r="AC6842">
        <v>120.177199999999</v>
      </c>
      <c r="AD6842">
        <v>3.0202999999999699E-2</v>
      </c>
      <c r="AE6842">
        <v>-6.3800999999999997</v>
      </c>
      <c r="AF6842">
        <v>-57.624278627448803</v>
      </c>
      <c r="AG6842">
        <v>3.0202999999999699E-2</v>
      </c>
      <c r="AH6842">
        <v>105.65370681653199</v>
      </c>
      <c r="AI6842">
        <v>89.985620642090893</v>
      </c>
      <c r="AJ6842">
        <v>118.608363190494</v>
      </c>
      <c r="AK6842">
        <v>120.346433946457</v>
      </c>
      <c r="AL6842">
        <v>91.034678769278699</v>
      </c>
      <c r="AM6842">
        <v>89.0146064639153</v>
      </c>
      <c r="AN6842">
        <v>1.0000000152725399</v>
      </c>
    </row>
    <row r="6843" spans="1:40" x14ac:dyDescent="0.25">
      <c r="A6843" t="str">
        <f>"20190312160822337"</f>
        <v>20190312160822337</v>
      </c>
      <c r="B6843" t="str">
        <f>"1552378102332452"</f>
        <v>1552378102332452</v>
      </c>
      <c r="C6843" t="s">
        <v>40</v>
      </c>
      <c r="D6843">
        <v>6.3290040000000003</v>
      </c>
      <c r="E6843">
        <v>0.2920546</v>
      </c>
      <c r="F6843" t="s">
        <v>52</v>
      </c>
      <c r="G6843">
        <v>-168.45060000000001</v>
      </c>
      <c r="H6843">
        <v>0.36716080000000001</v>
      </c>
      <c r="I6843">
        <v>-66.17944</v>
      </c>
      <c r="J6843">
        <v>-288.48009999999999</v>
      </c>
      <c r="K6843">
        <v>1.1139380000000001</v>
      </c>
      <c r="L6843">
        <v>-60.166989999999998</v>
      </c>
      <c r="M6843">
        <v>0.85517049999999994</v>
      </c>
      <c r="N6843">
        <v>0</v>
      </c>
      <c r="O6843">
        <v>-0.51818419999999998</v>
      </c>
      <c r="P6843">
        <v>0.84569839999999996</v>
      </c>
      <c r="Q6843">
        <v>-3.1094380000000001E-2</v>
      </c>
      <c r="R6843">
        <v>-0.53275469999999903</v>
      </c>
      <c r="S6843">
        <v>3.4508359999999998</v>
      </c>
      <c r="T6843">
        <v>-2.1444080000000001E-2</v>
      </c>
      <c r="U6843">
        <v>-0.17495729999999901</v>
      </c>
      <c r="V6843">
        <v>1.7557240000000002E-2</v>
      </c>
      <c r="W6843">
        <v>-1.7928619999999999E-2</v>
      </c>
      <c r="X6843">
        <v>0.99968509999999999</v>
      </c>
      <c r="Y6843">
        <v>-0.47423979999999999</v>
      </c>
      <c r="Z6843">
        <v>4.5548230000000004E-3</v>
      </c>
      <c r="AA6843">
        <v>0.8803839</v>
      </c>
      <c r="AB6843">
        <v>19</v>
      </c>
      <c r="AC6843">
        <v>120.029499999999</v>
      </c>
      <c r="AD6843">
        <v>-0.74677719999999903</v>
      </c>
      <c r="AE6843">
        <v>-6.0124499999999896</v>
      </c>
      <c r="AF6843">
        <v>-57.058326449697802</v>
      </c>
      <c r="AG6843">
        <v>-0.74677719999999903</v>
      </c>
      <c r="AH6843">
        <v>105.766074524085</v>
      </c>
      <c r="AI6843">
        <v>90.356034997988601</v>
      </c>
      <c r="AJ6843">
        <v>118.345824774956</v>
      </c>
      <c r="AK6843">
        <v>120.17767185987999</v>
      </c>
      <c r="AL6843">
        <v>91.027289302526896</v>
      </c>
      <c r="AM6843">
        <v>88.993830815609797</v>
      </c>
      <c r="AN6843">
        <v>0.999999995626766</v>
      </c>
    </row>
    <row r="6844" spans="1:40" x14ac:dyDescent="0.25">
      <c r="A6844" t="str">
        <f>"20190312160822350"</f>
        <v>20190312160822350</v>
      </c>
      <c r="B6844" t="str">
        <f>"1552378102342212"</f>
        <v>1552378102342212</v>
      </c>
      <c r="C6844" t="s">
        <v>40</v>
      </c>
      <c r="D6844">
        <v>5.9923950000000001</v>
      </c>
      <c r="E6844">
        <v>0.2808737</v>
      </c>
      <c r="F6844" t="s">
        <v>52</v>
      </c>
      <c r="G6844">
        <v>-157.9383</v>
      </c>
      <c r="H6844">
        <v>22.082879999999999</v>
      </c>
      <c r="I6844">
        <v>-69.010120000000001</v>
      </c>
      <c r="J6844">
        <v>-288.38380000000001</v>
      </c>
      <c r="K6844">
        <v>1.1139319999999999</v>
      </c>
      <c r="L6844">
        <v>-60.21875</v>
      </c>
      <c r="M6844">
        <v>0.85771200000000003</v>
      </c>
      <c r="N6844">
        <v>0</v>
      </c>
      <c r="O6844">
        <v>-0.5139669</v>
      </c>
      <c r="P6844">
        <v>0.84834519999999902</v>
      </c>
      <c r="Q6844">
        <v>-3.1107249999999999E-2</v>
      </c>
      <c r="R6844">
        <v>-0.52852909999999997</v>
      </c>
      <c r="S6844">
        <v>3.4215390000000001</v>
      </c>
      <c r="T6844">
        <v>0.54960120000000001</v>
      </c>
      <c r="U6844">
        <v>-0.23178099999999999</v>
      </c>
      <c r="V6844">
        <v>1.7493229999999999E-2</v>
      </c>
      <c r="W6844">
        <v>-1.7950500000000001E-2</v>
      </c>
      <c r="X6844">
        <v>0.99968579999999996</v>
      </c>
      <c r="Y6844">
        <v>-0.44325389999999998</v>
      </c>
      <c r="Z6844">
        <v>-0.1137777</v>
      </c>
      <c r="AA6844">
        <v>0.88914599999999899</v>
      </c>
      <c r="AB6844">
        <v>19</v>
      </c>
      <c r="AC6844">
        <v>130.44550000000001</v>
      </c>
      <c r="AD6844">
        <v>20.968948000000001</v>
      </c>
      <c r="AE6844">
        <v>-8.7913700000000006</v>
      </c>
      <c r="AF6844">
        <v>-58.016824097740198</v>
      </c>
      <c r="AG6844">
        <v>20.968948000000001</v>
      </c>
      <c r="AH6844">
        <v>113.49350256161701</v>
      </c>
      <c r="AI6844">
        <v>80.657918342072193</v>
      </c>
      <c r="AJ6844">
        <v>117.07569614303701</v>
      </c>
      <c r="AK6844">
        <v>129.17594118998599</v>
      </c>
      <c r="AL6844">
        <v>91.028543166301603</v>
      </c>
      <c r="AM6844">
        <v>88.997499048411399</v>
      </c>
      <c r="AN6844">
        <v>0.99999996613386</v>
      </c>
    </row>
    <row r="6845" spans="1:40" x14ac:dyDescent="0.25">
      <c r="A6845" t="str">
        <f>"20190312160822370"</f>
        <v>20190312160822370</v>
      </c>
      <c r="B6845" t="str">
        <f>"1552378102362708"</f>
        <v>1552378102362708</v>
      </c>
      <c r="C6845" t="s">
        <v>40</v>
      </c>
      <c r="D6845">
        <v>7.3905989999999999</v>
      </c>
      <c r="E6845">
        <v>0.27359509999999998</v>
      </c>
      <c r="F6845" t="s">
        <v>52</v>
      </c>
      <c r="G6845">
        <v>-157.3501</v>
      </c>
      <c r="H6845">
        <v>19.94004</v>
      </c>
      <c r="I6845">
        <v>-65.350519999999904</v>
      </c>
      <c r="J6845">
        <v>-288.23430000000002</v>
      </c>
      <c r="K6845">
        <v>1.113926</v>
      </c>
      <c r="L6845">
        <v>-60.297939999999997</v>
      </c>
      <c r="M6845">
        <v>0.86160119999999896</v>
      </c>
      <c r="N6845">
        <v>0</v>
      </c>
      <c r="O6845">
        <v>-0.50741990000000003</v>
      </c>
      <c r="P6845">
        <v>0.85234189999999999</v>
      </c>
      <c r="Q6845">
        <v>-3.121867E-2</v>
      </c>
      <c r="R6845">
        <v>-0.52205239999999997</v>
      </c>
      <c r="S6845">
        <v>3.46991</v>
      </c>
      <c r="T6845">
        <v>0.49853439999999999</v>
      </c>
      <c r="U6845">
        <v>-0.13589479999999901</v>
      </c>
      <c r="V6845">
        <v>1.7495690000000001E-2</v>
      </c>
      <c r="W6845">
        <v>-1.807334E-2</v>
      </c>
      <c r="X6845">
        <v>0.99968360000000001</v>
      </c>
      <c r="Y6845">
        <v>-0.46383229999999998</v>
      </c>
      <c r="Z6845">
        <v>-0.1027632</v>
      </c>
      <c r="AA6845">
        <v>0.87994280000000002</v>
      </c>
      <c r="AB6845">
        <v>19</v>
      </c>
      <c r="AC6845">
        <v>130.88419999999999</v>
      </c>
      <c r="AD6845">
        <v>18.826114</v>
      </c>
      <c r="AE6845">
        <v>-5.0525799999999803</v>
      </c>
      <c r="AF6845">
        <v>-60.808939728008902</v>
      </c>
      <c r="AG6845">
        <v>18.826114</v>
      </c>
      <c r="AH6845">
        <v>113.008875242847</v>
      </c>
      <c r="AI6845">
        <v>81.654229772814404</v>
      </c>
      <c r="AJ6845">
        <v>118.28424810528701</v>
      </c>
      <c r="AK6845">
        <v>129.70410788729501</v>
      </c>
      <c r="AL6845">
        <v>91.035582463754494</v>
      </c>
      <c r="AM6845">
        <v>88.997355893599604</v>
      </c>
      <c r="AN6845">
        <v>1.00000002244814</v>
      </c>
    </row>
    <row r="6846" spans="1:40" x14ac:dyDescent="0.25">
      <c r="A6846" t="str">
        <f>"20190312160822381"</f>
        <v>20190312160822381</v>
      </c>
      <c r="B6846" t="str">
        <f>"1552378102372469"</f>
        <v>1552378102372469</v>
      </c>
      <c r="C6846" t="s">
        <v>40</v>
      </c>
      <c r="D6846">
        <v>6.0222509999999998</v>
      </c>
      <c r="E6846">
        <v>0.27734419999999999</v>
      </c>
      <c r="F6846" t="s">
        <v>52</v>
      </c>
      <c r="G6846">
        <v>-169.244</v>
      </c>
      <c r="H6846">
        <v>14.144329999999901</v>
      </c>
      <c r="I6846">
        <v>-62.101529999999997</v>
      </c>
      <c r="J6846">
        <v>-288.15359999999998</v>
      </c>
      <c r="K6846">
        <v>1.113917</v>
      </c>
      <c r="L6846">
        <v>-60.340029999999999</v>
      </c>
      <c r="M6846">
        <v>0.86367260000000001</v>
      </c>
      <c r="N6846">
        <v>0</v>
      </c>
      <c r="O6846">
        <v>-0.50388679999999997</v>
      </c>
      <c r="P6846">
        <v>0.85455689999999995</v>
      </c>
      <c r="Q6846">
        <v>-3.0897040000000001E-2</v>
      </c>
      <c r="R6846">
        <v>-0.51843859999999997</v>
      </c>
      <c r="S6846">
        <v>3.5012509999999999</v>
      </c>
      <c r="T6846">
        <v>0.38341449999999999</v>
      </c>
      <c r="U6846">
        <v>-5.3070069999999997E-2</v>
      </c>
      <c r="V6846">
        <v>1.7347769999999998E-2</v>
      </c>
      <c r="W6846">
        <v>-1.7758639999999999E-2</v>
      </c>
      <c r="X6846">
        <v>0.99969180000000002</v>
      </c>
      <c r="Y6846">
        <v>-0.48510140000000002</v>
      </c>
      <c r="Z6846">
        <v>-7.9428570000000004E-2</v>
      </c>
      <c r="AA6846">
        <v>0.87084309999999998</v>
      </c>
      <c r="AB6846">
        <v>19</v>
      </c>
      <c r="AC6846">
        <v>118.909599999999</v>
      </c>
      <c r="AD6846">
        <v>13.0304129999999</v>
      </c>
      <c r="AE6846">
        <v>-1.7614999999999901</v>
      </c>
      <c r="AF6846">
        <v>-57.707695720649397</v>
      </c>
      <c r="AG6846">
        <v>13.0304129999999</v>
      </c>
      <c r="AH6846">
        <v>102.36627051046599</v>
      </c>
      <c r="AI6846">
        <v>83.672551308888103</v>
      </c>
      <c r="AJ6846">
        <v>119.411582373615</v>
      </c>
      <c r="AK6846">
        <v>118.232073256623</v>
      </c>
      <c r="AL6846">
        <v>91.017548605817296</v>
      </c>
      <c r="AM6846">
        <v>89.005839346726404</v>
      </c>
      <c r="AN6846">
        <v>1.00000000470293</v>
      </c>
    </row>
    <row r="6847" spans="1:40" x14ac:dyDescent="0.25">
      <c r="A6847" t="str">
        <f>"20190312160822391"</f>
        <v>20190312160822391</v>
      </c>
      <c r="B6847" t="str">
        <f>"1552378102382228"</f>
        <v>1552378102382228</v>
      </c>
      <c r="C6847" t="s">
        <v>40</v>
      </c>
      <c r="D6847">
        <v>6.0898269999999997</v>
      </c>
      <c r="E6847">
        <v>0.28035860000000001</v>
      </c>
      <c r="F6847" t="s">
        <v>52</v>
      </c>
      <c r="G6847">
        <v>-167.99870000000001</v>
      </c>
      <c r="H6847">
        <v>11.95303</v>
      </c>
      <c r="I6847">
        <v>-62.39443</v>
      </c>
      <c r="J6847">
        <v>-288.07260000000002</v>
      </c>
      <c r="K6847">
        <v>1.1139159999999999</v>
      </c>
      <c r="L6847">
        <v>-60.381959999999999</v>
      </c>
      <c r="M6847">
        <v>0.86573419999999901</v>
      </c>
      <c r="N6847">
        <v>0</v>
      </c>
      <c r="O6847">
        <v>-0.50033620000000001</v>
      </c>
      <c r="P6847">
        <v>0.85670419999999903</v>
      </c>
      <c r="Q6847">
        <v>-3.1028710000000001E-2</v>
      </c>
      <c r="R6847">
        <v>-0.51487429999999901</v>
      </c>
      <c r="S6847">
        <v>3.48584</v>
      </c>
      <c r="T6847">
        <v>0.31445499999999998</v>
      </c>
      <c r="U6847">
        <v>-5.960083E-2</v>
      </c>
      <c r="V6847">
        <v>1.729209E-2</v>
      </c>
      <c r="W6847">
        <v>-1.78963E-2</v>
      </c>
      <c r="X6847">
        <v>0.99969030000000003</v>
      </c>
      <c r="Y6847">
        <v>-0.48167199999999999</v>
      </c>
      <c r="Z6847">
        <v>-6.50535E-2</v>
      </c>
      <c r="AA6847">
        <v>0.87393369999999904</v>
      </c>
      <c r="AB6847">
        <v>19</v>
      </c>
      <c r="AC6847">
        <v>120.07389999999999</v>
      </c>
      <c r="AD6847">
        <v>10.839114</v>
      </c>
      <c r="AE6847">
        <v>-2.01247</v>
      </c>
      <c r="AF6847">
        <v>-57.868531916763601</v>
      </c>
      <c r="AG6847">
        <v>10.839114</v>
      </c>
      <c r="AH6847">
        <v>104.119604990783</v>
      </c>
      <c r="AI6847">
        <v>84.800805055354999</v>
      </c>
      <c r="AJ6847">
        <v>119.06482422379</v>
      </c>
      <c r="AK6847">
        <v>119.612480627831</v>
      </c>
      <c r="AL6847">
        <v>91.025437206495198</v>
      </c>
      <c r="AM6847">
        <v>89.009028115038205</v>
      </c>
      <c r="AN6847">
        <v>0.99999999492217395</v>
      </c>
    </row>
    <row r="6848" spans="1:40" x14ac:dyDescent="0.25">
      <c r="A6848" t="str">
        <f>"20190312160822402"</f>
        <v>20190312160822402</v>
      </c>
      <c r="B6848" t="str">
        <f>"1552378102391988"</f>
        <v>1552378102391988</v>
      </c>
      <c r="C6848" t="s">
        <v>40</v>
      </c>
      <c r="D6848">
        <v>6.4681150000000001</v>
      </c>
      <c r="E6848">
        <v>0.28035860000000001</v>
      </c>
      <c r="F6848" t="s">
        <v>52</v>
      </c>
      <c r="G6848">
        <v>-167.99870000000001</v>
      </c>
      <c r="H6848">
        <v>10.11769</v>
      </c>
      <c r="I6848">
        <v>-62.541339999999998</v>
      </c>
      <c r="J6848">
        <v>-287.99549999999999</v>
      </c>
      <c r="K6848">
        <v>1.1139139999999901</v>
      </c>
      <c r="L6848">
        <v>-60.421300000000002</v>
      </c>
      <c r="M6848">
        <v>0.867676</v>
      </c>
      <c r="N6848">
        <v>0</v>
      </c>
      <c r="O6848">
        <v>-0.4969615</v>
      </c>
      <c r="P6848">
        <v>0.85870930000000001</v>
      </c>
      <c r="Q6848">
        <v>-3.0993570000000002E-2</v>
      </c>
      <c r="R6848">
        <v>-0.51152529999999996</v>
      </c>
      <c r="S6848">
        <v>3.4736630000000002</v>
      </c>
      <c r="T6848">
        <v>0.2604728</v>
      </c>
      <c r="U6848">
        <v>-6.2469480000000001E-2</v>
      </c>
      <c r="V6848">
        <v>1.7280159999999999E-2</v>
      </c>
      <c r="W6848">
        <v>-1.7866119999999999E-2</v>
      </c>
      <c r="X6848">
        <v>0.99969110000000005</v>
      </c>
      <c r="Y6848">
        <v>-0.47868670000000002</v>
      </c>
      <c r="Z6848">
        <v>-5.3772750000000001E-2</v>
      </c>
      <c r="AA6848">
        <v>0.87633760000000005</v>
      </c>
      <c r="AB6848">
        <v>19</v>
      </c>
      <c r="AC6848">
        <v>119.996799999999</v>
      </c>
      <c r="AD6848">
        <v>9.0037760000000002</v>
      </c>
      <c r="AE6848">
        <v>-2.1200399999999999</v>
      </c>
      <c r="AF6848">
        <v>-57.475638341005698</v>
      </c>
      <c r="AG6848">
        <v>9.0037760000000002</v>
      </c>
      <c r="AH6848">
        <v>104.592065800664</v>
      </c>
      <c r="AI6848">
        <v>85.685550357797098</v>
      </c>
      <c r="AJ6848">
        <v>118.78976152196201</v>
      </c>
      <c r="AK6848">
        <v>119.68298631557801</v>
      </c>
      <c r="AL6848">
        <v>91.023707688193994</v>
      </c>
      <c r="AM6848">
        <v>89.009712453385902</v>
      </c>
      <c r="AN6848">
        <v>1.0000000487963401</v>
      </c>
    </row>
    <row r="6849" spans="1:40" x14ac:dyDescent="0.25">
      <c r="A6849" t="str">
        <f>"20190312160822415"</f>
        <v>20190312160822415</v>
      </c>
      <c r="B6849" t="str">
        <f>"1552378102412485"</f>
        <v>1552378102412485</v>
      </c>
      <c r="C6849" t="s">
        <v>40</v>
      </c>
      <c r="D6849">
        <v>6.0029839999999997</v>
      </c>
      <c r="E6849">
        <v>0.3015757</v>
      </c>
      <c r="F6849" t="s">
        <v>52</v>
      </c>
      <c r="G6849">
        <v>-167.99870000000001</v>
      </c>
      <c r="H6849">
        <v>10.118449999999999</v>
      </c>
      <c r="I6849">
        <v>-62.112160000000003</v>
      </c>
      <c r="J6849">
        <v>-287.90609999999998</v>
      </c>
      <c r="K6849">
        <v>1.113917</v>
      </c>
      <c r="L6849">
        <v>-60.466740000000001</v>
      </c>
      <c r="M6849">
        <v>0.86991130000000005</v>
      </c>
      <c r="N6849">
        <v>0</v>
      </c>
      <c r="O6849">
        <v>-0.4930387</v>
      </c>
      <c r="P6849">
        <v>0.86102649999999903</v>
      </c>
      <c r="Q6849">
        <v>-3.073977E-2</v>
      </c>
      <c r="R6849">
        <v>-0.50763130000000001</v>
      </c>
      <c r="S6849">
        <v>3.4738769999999999</v>
      </c>
      <c r="T6849">
        <v>0.26067829999999997</v>
      </c>
      <c r="U6849">
        <v>-4.8950199999999902E-2</v>
      </c>
      <c r="V6849">
        <v>1.7259409999999999E-2</v>
      </c>
      <c r="W6849">
        <v>-1.7618109999999999E-2</v>
      </c>
      <c r="X6849">
        <v>0.99969580000000002</v>
      </c>
      <c r="Y6849">
        <v>-0.47814449999999997</v>
      </c>
      <c r="Z6849">
        <v>-5.3542649999999997E-2</v>
      </c>
      <c r="AA6849">
        <v>0.87664759999999997</v>
      </c>
      <c r="AB6849">
        <v>19</v>
      </c>
      <c r="AC6849">
        <v>119.907399999999</v>
      </c>
      <c r="AD6849">
        <v>9.0045329999999897</v>
      </c>
      <c r="AE6849">
        <v>-1.6454199999999899</v>
      </c>
      <c r="AF6849">
        <v>-57.3689777492012</v>
      </c>
      <c r="AG6849">
        <v>9.0045329999999897</v>
      </c>
      <c r="AH6849">
        <v>104.53942029301101</v>
      </c>
      <c r="AI6849">
        <v>85.681674885865107</v>
      </c>
      <c r="AJ6849">
        <v>118.757029780826</v>
      </c>
      <c r="AK6849">
        <v>119.58583368332199</v>
      </c>
      <c r="AL6849">
        <v>91.0094955861138</v>
      </c>
      <c r="AM6849">
        <v>89.010906002622804</v>
      </c>
      <c r="AN6849">
        <v>0.99999998878558005</v>
      </c>
    </row>
    <row r="6850" spans="1:40" x14ac:dyDescent="0.25">
      <c r="A6850" t="str">
        <f>"20190312160822425"</f>
        <v>20190312160822425</v>
      </c>
      <c r="B6850" t="str">
        <f>"1552378102422245"</f>
        <v>1552378102422245</v>
      </c>
      <c r="C6850" t="s">
        <v>40</v>
      </c>
      <c r="D6850">
        <v>6.2120100000000003</v>
      </c>
      <c r="E6850">
        <v>0.30155330000000002</v>
      </c>
      <c r="F6850" t="s">
        <v>112</v>
      </c>
      <c r="G6850">
        <v>-242.5153</v>
      </c>
      <c r="H6850" s="1">
        <v>-6.5313869999999897E-7</v>
      </c>
      <c r="I6850">
        <v>-62.589590000000001</v>
      </c>
      <c r="J6850">
        <v>-287.82530000000003</v>
      </c>
      <c r="K6850">
        <v>1.113917</v>
      </c>
      <c r="L6850">
        <v>-60.50705</v>
      </c>
      <c r="M6850">
        <v>0.87190710000000005</v>
      </c>
      <c r="N6850">
        <v>0</v>
      </c>
      <c r="O6850">
        <v>-0.4895003</v>
      </c>
      <c r="P6850">
        <v>0.86321479999999995</v>
      </c>
      <c r="Q6850">
        <v>-3.0600280000000001E-2</v>
      </c>
      <c r="R6850">
        <v>-0.50390869999999999</v>
      </c>
      <c r="S6850">
        <v>3.3878170000000001</v>
      </c>
      <c r="T6850">
        <v>-8.3139060000000001E-2</v>
      </c>
      <c r="U6850">
        <v>-0.15844730000000001</v>
      </c>
      <c r="V6850">
        <v>1.7000970000000001E-2</v>
      </c>
      <c r="W6850">
        <v>-1.7488190000000001E-2</v>
      </c>
      <c r="X6850">
        <v>0.99970250000000005</v>
      </c>
      <c r="Y6850">
        <v>-0.44799899999999998</v>
      </c>
      <c r="Z6850">
        <v>1.7054E-2</v>
      </c>
      <c r="AA6850">
        <v>0.89387139999999998</v>
      </c>
      <c r="AB6850">
        <v>19</v>
      </c>
      <c r="AC6850">
        <v>45.31</v>
      </c>
      <c r="AD6850">
        <v>-1.1139176531387001</v>
      </c>
      <c r="AE6850">
        <v>-2.0825399999999998</v>
      </c>
      <c r="AF6850">
        <v>-20.352907298486802</v>
      </c>
      <c r="AG6850">
        <v>-1.1139176531387001</v>
      </c>
      <c r="AH6850">
        <v>40.504479450255999</v>
      </c>
      <c r="AI6850">
        <v>91.407660337409894</v>
      </c>
      <c r="AJ6850">
        <v>116.678857674889</v>
      </c>
      <c r="AK6850">
        <v>45.344178276543801</v>
      </c>
      <c r="AL6850">
        <v>91.002050580977198</v>
      </c>
      <c r="AM6850">
        <v>89.025720210157999</v>
      </c>
      <c r="AN6850">
        <v>0.99999997913833305</v>
      </c>
    </row>
    <row r="6851" spans="1:40" x14ac:dyDescent="0.25">
      <c r="A6851" t="str">
        <f>"20190312160822436"</f>
        <v>20190312160822436</v>
      </c>
      <c r="B6851" t="str">
        <f>"1552378102432004"</f>
        <v>1552378102432004</v>
      </c>
      <c r="C6851" t="s">
        <v>40</v>
      </c>
      <c r="D6851">
        <v>5.9900469999999997</v>
      </c>
      <c r="E6851">
        <v>0.30203429999999998</v>
      </c>
      <c r="F6851" t="s">
        <v>112</v>
      </c>
      <c r="G6851">
        <v>-242.7722</v>
      </c>
      <c r="H6851" s="1">
        <v>-7.1731029999999999E-7</v>
      </c>
      <c r="I6851">
        <v>-62.416440000000001</v>
      </c>
      <c r="J6851">
        <v>-287.74020000000002</v>
      </c>
      <c r="K6851">
        <v>1.1139139999999901</v>
      </c>
      <c r="L6851">
        <v>-60.549320000000002</v>
      </c>
      <c r="M6851">
        <v>0.87399169999999904</v>
      </c>
      <c r="N6851">
        <v>0</v>
      </c>
      <c r="O6851">
        <v>-0.4857689</v>
      </c>
      <c r="P6851">
        <v>0.86541959999999996</v>
      </c>
      <c r="Q6851">
        <v>-3.0308979999999999E-2</v>
      </c>
      <c r="R6851">
        <v>-0.50013059999999998</v>
      </c>
      <c r="S6851">
        <v>3.3885800000000001</v>
      </c>
      <c r="T6851">
        <v>-8.3781240000000007E-2</v>
      </c>
      <c r="U6851">
        <v>-0.14361570000000001</v>
      </c>
      <c r="V6851">
        <v>1.6896270000000001E-2</v>
      </c>
      <c r="W6851">
        <v>-1.720578E-2</v>
      </c>
      <c r="X6851">
        <v>0.99970919999999996</v>
      </c>
      <c r="Y6851">
        <v>-0.44808870000000001</v>
      </c>
      <c r="Z6851">
        <v>1.7106329999999999E-2</v>
      </c>
      <c r="AA6851">
        <v>0.89382539999999999</v>
      </c>
      <c r="AB6851">
        <v>19</v>
      </c>
      <c r="AC6851">
        <v>44.968000000000004</v>
      </c>
      <c r="AD6851">
        <v>-1.1139147173102999</v>
      </c>
      <c r="AE6851">
        <v>-1.8671199999999999</v>
      </c>
      <c r="AF6851">
        <v>-20.201522648041301</v>
      </c>
      <c r="AG6851">
        <v>-1.1139147173102999</v>
      </c>
      <c r="AH6851">
        <v>40.1873899394296</v>
      </c>
      <c r="AI6851">
        <v>91.418646367323404</v>
      </c>
      <c r="AJ6851">
        <v>116.68790439915</v>
      </c>
      <c r="AK6851">
        <v>44.992984269111702</v>
      </c>
      <c r="AL6851">
        <v>90.985867220180296</v>
      </c>
      <c r="AM6851">
        <v>89.031725627342794</v>
      </c>
      <c r="AN6851">
        <v>1.0000000036849801</v>
      </c>
    </row>
    <row r="6852" spans="1:40" x14ac:dyDescent="0.25">
      <c r="A6852" t="str">
        <f>"20190312160822448"</f>
        <v>20190312160822448</v>
      </c>
      <c r="B6852" t="str">
        <f>"1552378102442743"</f>
        <v>1552378102442743</v>
      </c>
      <c r="C6852" t="s">
        <v>40</v>
      </c>
      <c r="D6852">
        <v>6.0106820000000001</v>
      </c>
      <c r="E6852">
        <v>0.30282550000000003</v>
      </c>
      <c r="F6852" t="s">
        <v>114</v>
      </c>
      <c r="G6852">
        <v>-238.9554</v>
      </c>
      <c r="H6852" s="1">
        <v>-3.2893570000000001E-6</v>
      </c>
      <c r="I6852">
        <v>-62.456800000000001</v>
      </c>
      <c r="J6852">
        <v>-287.65370000000001</v>
      </c>
      <c r="K6852">
        <v>1.113915</v>
      </c>
      <c r="L6852">
        <v>-60.591669999999901</v>
      </c>
      <c r="M6852">
        <v>0.87608730000000001</v>
      </c>
      <c r="N6852">
        <v>0</v>
      </c>
      <c r="O6852">
        <v>-0.4819794</v>
      </c>
      <c r="P6852">
        <v>0.86764240000000004</v>
      </c>
      <c r="Q6852">
        <v>-3.018171E-2</v>
      </c>
      <c r="R6852">
        <v>-0.4962722</v>
      </c>
      <c r="S6852">
        <v>3.3872680000000002</v>
      </c>
      <c r="T6852">
        <v>-7.7342389999999997E-2</v>
      </c>
      <c r="U6852">
        <v>-0.13244629999999999</v>
      </c>
      <c r="V6852">
        <v>1.6770879999999998E-2</v>
      </c>
      <c r="W6852">
        <v>-1.708952E-2</v>
      </c>
      <c r="X6852">
        <v>0.99971330000000003</v>
      </c>
      <c r="Y6852">
        <v>-0.44718639999999998</v>
      </c>
      <c r="Z6852">
        <v>1.571444E-2</v>
      </c>
      <c r="AA6852">
        <v>0.89430270000000001</v>
      </c>
      <c r="AB6852">
        <v>19</v>
      </c>
      <c r="AC6852">
        <v>48.698300000000003</v>
      </c>
      <c r="AD6852">
        <v>-1.1139182893570001</v>
      </c>
      <c r="AE6852">
        <v>-1.86513</v>
      </c>
      <c r="AF6852">
        <v>-21.827979321307001</v>
      </c>
      <c r="AG6852">
        <v>-1.1139182893570001</v>
      </c>
      <c r="AH6852">
        <v>43.543802854948197</v>
      </c>
      <c r="AI6852">
        <v>91.310071553167006</v>
      </c>
      <c r="AJ6852">
        <v>116.624051466228</v>
      </c>
      <c r="AK6852">
        <v>48.721291672916102</v>
      </c>
      <c r="AL6852">
        <v>90.979205038738996</v>
      </c>
      <c r="AM6852">
        <v>89.038913938779402</v>
      </c>
      <c r="AN6852">
        <v>0.99999999815334695</v>
      </c>
    </row>
    <row r="6853" spans="1:40" x14ac:dyDescent="0.25">
      <c r="A6853" t="str">
        <f>"20190312160822460"</f>
        <v>20190312160822460</v>
      </c>
      <c r="B6853" t="str">
        <f>"1552378102452501"</f>
        <v>1552378102452501</v>
      </c>
      <c r="C6853" t="s">
        <v>40</v>
      </c>
      <c r="D6853">
        <v>6.077197</v>
      </c>
      <c r="E6853">
        <v>0.30404229999999999</v>
      </c>
      <c r="F6853" t="s">
        <v>114</v>
      </c>
      <c r="G6853">
        <v>-238.05760000000001</v>
      </c>
      <c r="H6853" s="1">
        <v>-2.9724160000000001E-6</v>
      </c>
      <c r="I6853">
        <v>-62.392359999999996</v>
      </c>
      <c r="J6853">
        <v>-287.56630000000001</v>
      </c>
      <c r="K6853">
        <v>1.113907</v>
      </c>
      <c r="L6853">
        <v>-60.634120000000003</v>
      </c>
      <c r="M6853">
        <v>0.87818629999999998</v>
      </c>
      <c r="N6853">
        <v>0</v>
      </c>
      <c r="O6853">
        <v>-0.47814440000000002</v>
      </c>
      <c r="P6853">
        <v>0.86997119999999994</v>
      </c>
      <c r="Q6853">
        <v>-2.9646309999999999E-2</v>
      </c>
      <c r="R6853">
        <v>-0.49221090000000001</v>
      </c>
      <c r="S6853">
        <v>3.384735</v>
      </c>
      <c r="T6853">
        <v>-7.6020359999999995E-2</v>
      </c>
      <c r="U6853">
        <v>-0.1228943</v>
      </c>
      <c r="V6853">
        <v>1.6454280000000002E-2</v>
      </c>
      <c r="W6853">
        <v>-1.6567080000000001E-2</v>
      </c>
      <c r="X6853">
        <v>0.99972740000000004</v>
      </c>
      <c r="Y6853">
        <v>-0.44577830000000002</v>
      </c>
      <c r="Z6853">
        <v>1.5367749999999999E-2</v>
      </c>
      <c r="AA6853">
        <v>0.89501149999999996</v>
      </c>
      <c r="AB6853">
        <v>19</v>
      </c>
      <c r="AC6853">
        <v>49.508699999999997</v>
      </c>
      <c r="AD6853">
        <v>-1.113909972416</v>
      </c>
      <c r="AE6853">
        <v>-1.75824</v>
      </c>
      <c r="AF6853">
        <v>-22.1189077337757</v>
      </c>
      <c r="AG6853">
        <v>-1.113909972416</v>
      </c>
      <c r="AH6853">
        <v>44.299853206242098</v>
      </c>
      <c r="AI6853">
        <v>91.288735432488096</v>
      </c>
      <c r="AJ6853">
        <v>116.53294726886899</v>
      </c>
      <c r="AK6853">
        <v>49.527405230402799</v>
      </c>
      <c r="AL6853">
        <v>90.949267149448005</v>
      </c>
      <c r="AM6853">
        <v>89.057067272250094</v>
      </c>
      <c r="AN6853">
        <v>1.0000000428903999</v>
      </c>
    </row>
    <row r="6854" spans="1:40" x14ac:dyDescent="0.25">
      <c r="A6854" t="str">
        <f>"20190312160822471"</f>
        <v>20190312160822471</v>
      </c>
      <c r="B6854" t="str">
        <f>"1552378102462260"</f>
        <v>1552378102462260</v>
      </c>
      <c r="C6854" t="s">
        <v>40</v>
      </c>
      <c r="D6854">
        <v>5.9930760000000003</v>
      </c>
      <c r="E6854">
        <v>0.30481950000000002</v>
      </c>
      <c r="F6854" t="s">
        <v>114</v>
      </c>
      <c r="G6854">
        <v>-238.8235</v>
      </c>
      <c r="H6854" s="1">
        <v>-3.2162159999999998E-6</v>
      </c>
      <c r="I6854">
        <v>-62.297359999999998</v>
      </c>
      <c r="J6854">
        <v>-287.48520000000002</v>
      </c>
      <c r="K6854">
        <v>1.1139049999999999</v>
      </c>
      <c r="L6854">
        <v>-60.673099999999998</v>
      </c>
      <c r="M6854">
        <v>0.88011159999999999</v>
      </c>
      <c r="N6854">
        <v>0</v>
      </c>
      <c r="O6854">
        <v>-0.4745915</v>
      </c>
      <c r="P6854">
        <v>0.87204349999999997</v>
      </c>
      <c r="Q6854">
        <v>-2.985266E-2</v>
      </c>
      <c r="R6854">
        <v>-0.4885176</v>
      </c>
      <c r="S6854">
        <v>3.380493</v>
      </c>
      <c r="T6854">
        <v>-7.7253939999999993E-2</v>
      </c>
      <c r="U6854">
        <v>-0.115356399999999</v>
      </c>
      <c r="V6854">
        <v>1.6260810000000001E-2</v>
      </c>
      <c r="W6854">
        <v>-1.6784690000000001E-2</v>
      </c>
      <c r="X6854">
        <v>0.99972689999999997</v>
      </c>
      <c r="Y6854">
        <v>-0.4441061</v>
      </c>
      <c r="Z6854">
        <v>1.554726E-2</v>
      </c>
      <c r="AA6854">
        <v>0.89583930000000001</v>
      </c>
      <c r="AB6854">
        <v>19</v>
      </c>
      <c r="AC6854">
        <v>48.661700000000003</v>
      </c>
      <c r="AD6854">
        <v>-1.1139082162159999</v>
      </c>
      <c r="AE6854">
        <v>-1.62425999999999</v>
      </c>
      <c r="AF6854">
        <v>-21.655368134918099</v>
      </c>
      <c r="AG6854">
        <v>-1.1139082162159999</v>
      </c>
      <c r="AH6854">
        <v>43.579406401575497</v>
      </c>
      <c r="AI6854">
        <v>91.311276830240104</v>
      </c>
      <c r="AJ6854">
        <v>116.42358401520799</v>
      </c>
      <c r="AK6854">
        <v>48.676076494379203</v>
      </c>
      <c r="AL6854">
        <v>90.961737051835698</v>
      </c>
      <c r="AM6854">
        <v>89.068151875666103</v>
      </c>
      <c r="AN6854">
        <v>1.0000000071719299</v>
      </c>
    </row>
    <row r="6855" spans="1:40" x14ac:dyDescent="0.25">
      <c r="A6855" t="str">
        <f>"20190312160822481"</f>
        <v>20190312160822481</v>
      </c>
      <c r="B6855" t="str">
        <f>"1552378102472021"</f>
        <v>1552378102472021</v>
      </c>
      <c r="C6855" t="s">
        <v>40</v>
      </c>
      <c r="D6855">
        <v>6.0033640000000004</v>
      </c>
      <c r="E6855">
        <v>0.30536390000000002</v>
      </c>
      <c r="F6855" t="s">
        <v>114</v>
      </c>
      <c r="G6855">
        <v>-239.5232</v>
      </c>
      <c r="H6855" s="1">
        <v>-3.4342099999999999E-6</v>
      </c>
      <c r="I6855">
        <v>-62.184010000000001</v>
      </c>
      <c r="J6855">
        <v>-287.4074</v>
      </c>
      <c r="K6855">
        <v>1.1139019999999999</v>
      </c>
      <c r="L6855">
        <v>-60.709989999999998</v>
      </c>
      <c r="M6855">
        <v>0.881939899999999</v>
      </c>
      <c r="N6855">
        <v>0</v>
      </c>
      <c r="O6855">
        <v>-0.47118559999999998</v>
      </c>
      <c r="P6855">
        <v>0.87394309999999997</v>
      </c>
      <c r="Q6855">
        <v>-2.949191E-2</v>
      </c>
      <c r="R6855">
        <v>-0.48513279999999998</v>
      </c>
      <c r="S6855">
        <v>3.377869</v>
      </c>
      <c r="T6855">
        <v>-7.8450320000000004E-2</v>
      </c>
      <c r="U6855">
        <v>-0.1064148</v>
      </c>
      <c r="V6855">
        <v>1.6240049999999999E-2</v>
      </c>
      <c r="W6855">
        <v>-1.643213E-2</v>
      </c>
      <c r="X6855">
        <v>0.99973310000000004</v>
      </c>
      <c r="Y6855">
        <v>-0.44298100000000001</v>
      </c>
      <c r="Z6855">
        <v>1.5718920000000001E-2</v>
      </c>
      <c r="AA6855">
        <v>0.896393199999999</v>
      </c>
      <c r="AB6855">
        <v>19</v>
      </c>
      <c r="AC6855">
        <v>47.8841999999999</v>
      </c>
      <c r="AD6855">
        <v>-1.1139054342100001</v>
      </c>
      <c r="AE6855">
        <v>-1.4740199999999899</v>
      </c>
      <c r="AF6855">
        <v>-21.252625147883698</v>
      </c>
      <c r="AG6855">
        <v>-1.1139054342100001</v>
      </c>
      <c r="AH6855">
        <v>42.9058936425063</v>
      </c>
      <c r="AI6855">
        <v>91.332690948249194</v>
      </c>
      <c r="AJ6855">
        <v>116.350646920899</v>
      </c>
      <c r="AK6855">
        <v>47.893951290897697</v>
      </c>
      <c r="AL6855">
        <v>90.941534060085303</v>
      </c>
      <c r="AM6855">
        <v>89.069347117305099</v>
      </c>
      <c r="AN6855">
        <v>1.00000001267797</v>
      </c>
    </row>
    <row r="6856" spans="1:40" x14ac:dyDescent="0.25">
      <c r="A6856" t="str">
        <f>"20190312160822604"</f>
        <v>20190312160822604</v>
      </c>
      <c r="B6856" t="str">
        <f>"1552378102602804"</f>
        <v>1552378102602804</v>
      </c>
      <c r="C6856" t="s">
        <v>40</v>
      </c>
      <c r="D6856">
        <v>5.9877500000000001</v>
      </c>
      <c r="E6856">
        <v>0.30412309999999998</v>
      </c>
      <c r="F6856" t="s">
        <v>114</v>
      </c>
      <c r="G6856">
        <v>-239.40969999999999</v>
      </c>
      <c r="H6856" s="1">
        <v>-3.3787669999999999E-6</v>
      </c>
      <c r="I6856">
        <v>-62.08914</v>
      </c>
      <c r="J6856">
        <v>-286.47669999999999</v>
      </c>
      <c r="K6856">
        <v>1.113809</v>
      </c>
      <c r="L6856">
        <v>-61.12473</v>
      </c>
      <c r="M6856">
        <v>0.90241229999999995</v>
      </c>
      <c r="N6856">
        <v>0</v>
      </c>
      <c r="O6856">
        <v>-0.43068319999999999</v>
      </c>
      <c r="P6856">
        <v>0.89627670000000004</v>
      </c>
      <c r="Q6856">
        <v>-2.742841E-2</v>
      </c>
      <c r="R6856">
        <v>-0.44264700000000001</v>
      </c>
      <c r="S6856">
        <v>3.3762210000000001</v>
      </c>
      <c r="T6856">
        <v>-7.8353640000000002E-2</v>
      </c>
      <c r="U6856">
        <v>-9.7015379999999998E-2</v>
      </c>
      <c r="V6856">
        <v>1.3585989999999999E-2</v>
      </c>
      <c r="W6856">
        <v>-1.447698E-2</v>
      </c>
      <c r="X6856">
        <v>0.99980290000000005</v>
      </c>
      <c r="Y6856">
        <v>-0.4044007</v>
      </c>
      <c r="Z6856">
        <v>1.441198E-2</v>
      </c>
      <c r="AA6856">
        <v>0.91446830000000001</v>
      </c>
      <c r="AB6856">
        <v>19</v>
      </c>
      <c r="AC6856">
        <v>47.067</v>
      </c>
      <c r="AD6856">
        <v>-1.113812378767</v>
      </c>
      <c r="AE6856">
        <v>-0.964409999999993</v>
      </c>
      <c r="AF6856">
        <v>-19.391407286532399</v>
      </c>
      <c r="AG6856">
        <v>-1.113812378767</v>
      </c>
      <c r="AH6856">
        <v>42.868716155522897</v>
      </c>
      <c r="AI6856">
        <v>91.356091320216905</v>
      </c>
      <c r="AJ6856">
        <v>114.33933320194301</v>
      </c>
      <c r="AK6856">
        <v>47.063723603111498</v>
      </c>
      <c r="AL6856">
        <v>90.829498830235295</v>
      </c>
      <c r="AM6856">
        <v>89.221474572062505</v>
      </c>
      <c r="AN6856">
        <v>1.0000000004613001</v>
      </c>
    </row>
    <row r="6857" spans="1:40" x14ac:dyDescent="0.25">
      <c r="A6857" t="str">
        <f>"20190312160822617"</f>
        <v>20190312160822617</v>
      </c>
      <c r="B6857" t="str">
        <f>"1552378102612564"</f>
        <v>1552378102612564</v>
      </c>
      <c r="C6857" t="s">
        <v>40</v>
      </c>
      <c r="D6857">
        <v>5.9174579999999999</v>
      </c>
      <c r="E6857">
        <v>0.30092950000000002</v>
      </c>
      <c r="F6857" t="s">
        <v>52</v>
      </c>
      <c r="G6857">
        <v>-157.3501</v>
      </c>
      <c r="H6857">
        <v>5.4538089999999997</v>
      </c>
      <c r="I6857">
        <v>-58.709229999999998</v>
      </c>
      <c r="J6857">
        <v>-286.38459999999998</v>
      </c>
      <c r="K6857">
        <v>1.1137969999999999</v>
      </c>
      <c r="L6857">
        <v>-61.163179999999997</v>
      </c>
      <c r="M6857">
        <v>0.90429660000000001</v>
      </c>
      <c r="N6857">
        <v>0</v>
      </c>
      <c r="O6857">
        <v>-0.42671239999999999</v>
      </c>
      <c r="P6857">
        <v>0.89817429999999998</v>
      </c>
      <c r="Q6857">
        <v>-2.7524130000000001E-2</v>
      </c>
      <c r="R6857">
        <v>-0.43877699999999997</v>
      </c>
      <c r="S6857">
        <v>3.3818969999999999</v>
      </c>
      <c r="T6857">
        <v>0.1136664</v>
      </c>
      <c r="U6857">
        <v>6.3262940000000004E-2</v>
      </c>
      <c r="V6857">
        <v>1.3670460000000001E-2</v>
      </c>
      <c r="W6857">
        <v>-1.4578789999999999E-2</v>
      </c>
      <c r="X6857">
        <v>0.99980029999999998</v>
      </c>
      <c r="Y6857">
        <v>-0.44310739999999998</v>
      </c>
      <c r="Z6857">
        <v>-2.1435719999999998E-2</v>
      </c>
      <c r="AA6857">
        <v>0.89621219999999902</v>
      </c>
      <c r="AB6857">
        <v>19</v>
      </c>
      <c r="AC6857">
        <v>129.03449999999901</v>
      </c>
      <c r="AD6857">
        <v>4.3400119999999998</v>
      </c>
      <c r="AE6857">
        <v>2.4539499999999901</v>
      </c>
      <c r="AF6857">
        <v>-57.219714563753698</v>
      </c>
      <c r="AG6857">
        <v>4.3400119999999998</v>
      </c>
      <c r="AH6857">
        <v>115.517188001703</v>
      </c>
      <c r="AI6857">
        <v>88.071782367273201</v>
      </c>
      <c r="AJ6857">
        <v>116.350827861269</v>
      </c>
      <c r="AK6857">
        <v>128.985085039854</v>
      </c>
      <c r="AL6857">
        <v>90.835332703519597</v>
      </c>
      <c r="AM6857">
        <v>89.216632705808394</v>
      </c>
      <c r="AN6857">
        <v>1.0000000312372801</v>
      </c>
    </row>
    <row r="6858" spans="1:40" x14ac:dyDescent="0.25">
      <c r="A6858" t="str">
        <f>"20190312160822628"</f>
        <v>20190312160822628</v>
      </c>
      <c r="B6858" t="str">
        <f>"1552378102622324"</f>
        <v>1552378102622324</v>
      </c>
      <c r="C6858" t="s">
        <v>40</v>
      </c>
      <c r="D6858">
        <v>6.0173610000000002</v>
      </c>
      <c r="E6858">
        <v>0.30119109999999899</v>
      </c>
      <c r="F6858" t="s">
        <v>52</v>
      </c>
      <c r="G6858">
        <v>-161.8852</v>
      </c>
      <c r="H6858">
        <v>6.6740880000000002</v>
      </c>
      <c r="I6858">
        <v>-57.550569999999901</v>
      </c>
      <c r="J6858">
        <v>-286.29649999999998</v>
      </c>
      <c r="K6858">
        <v>1.1137889999999999</v>
      </c>
      <c r="L6858">
        <v>-61.19943</v>
      </c>
      <c r="M6858">
        <v>0.90607669999999996</v>
      </c>
      <c r="N6858">
        <v>0</v>
      </c>
      <c r="O6858">
        <v>-0.42291970000000001</v>
      </c>
      <c r="P6858">
        <v>0.89986350000000004</v>
      </c>
      <c r="Q6858">
        <v>-2.7636770000000001E-2</v>
      </c>
      <c r="R6858">
        <v>-0.43529499999999999</v>
      </c>
      <c r="S6858">
        <v>3.3928530000000001</v>
      </c>
      <c r="T6858">
        <v>0.1515281</v>
      </c>
      <c r="U6858">
        <v>9.8449709999999996E-2</v>
      </c>
      <c r="V6858">
        <v>1.398958E-2</v>
      </c>
      <c r="W6858">
        <v>-1.469469E-2</v>
      </c>
      <c r="X6858">
        <v>0.99979419999999997</v>
      </c>
      <c r="Y6858">
        <v>-0.44820939999999998</v>
      </c>
      <c r="Z6858">
        <v>-2.8441879999999999E-2</v>
      </c>
      <c r="AA6858">
        <v>0.89347600000000005</v>
      </c>
      <c r="AB6858">
        <v>19</v>
      </c>
      <c r="AC6858">
        <v>124.411299999999</v>
      </c>
      <c r="AD6858">
        <v>5.5602989999999997</v>
      </c>
      <c r="AE6858">
        <v>3.6488600000000102</v>
      </c>
      <c r="AF6858">
        <v>-55.815328537754397</v>
      </c>
      <c r="AG6858">
        <v>5.5602989999999997</v>
      </c>
      <c r="AH6858">
        <v>110.970652030392</v>
      </c>
      <c r="AI6858">
        <v>87.436989998480499</v>
      </c>
      <c r="AJ6858">
        <v>116.701197097397</v>
      </c>
      <c r="AK6858">
        <v>124.341278088965</v>
      </c>
      <c r="AL6858">
        <v>90.841973986273203</v>
      </c>
      <c r="AM6858">
        <v>89.198343432913006</v>
      </c>
      <c r="AN6858">
        <v>1.0000000423082001</v>
      </c>
    </row>
    <row r="6859" spans="1:40" x14ac:dyDescent="0.25">
      <c r="A6859" t="str">
        <f>"20190312160822639"</f>
        <v>20190312160822639</v>
      </c>
      <c r="B6859" t="str">
        <f>"1552378102632085"</f>
        <v>1552378102632085</v>
      </c>
      <c r="C6859" t="s">
        <v>40</v>
      </c>
      <c r="D6859">
        <v>7.3815999999999997</v>
      </c>
      <c r="E6859">
        <v>0.29544599999999999</v>
      </c>
      <c r="F6859" t="s">
        <v>52</v>
      </c>
      <c r="G6859">
        <v>-169.244</v>
      </c>
      <c r="H6859">
        <v>7.1516789999999997</v>
      </c>
      <c r="I6859">
        <v>-57.462510000000002</v>
      </c>
      <c r="J6859">
        <v>-286.2047</v>
      </c>
      <c r="K6859">
        <v>1.1137809999999999</v>
      </c>
      <c r="L6859">
        <v>-61.236820000000002</v>
      </c>
      <c r="M6859">
        <v>0.90790839999999995</v>
      </c>
      <c r="N6859">
        <v>0</v>
      </c>
      <c r="O6859">
        <v>-0.4189736</v>
      </c>
      <c r="P6859">
        <v>0.90165010000000001</v>
      </c>
      <c r="Q6859">
        <v>-2.7649139999999999E-2</v>
      </c>
      <c r="R6859">
        <v>-0.43158200000000002</v>
      </c>
      <c r="S6859">
        <v>3.3915709999999999</v>
      </c>
      <c r="T6859">
        <v>0.17494579999999901</v>
      </c>
      <c r="U6859">
        <v>0.10827639999999999</v>
      </c>
      <c r="V6859">
        <v>1.421802E-2</v>
      </c>
      <c r="W6859">
        <v>-1.4711129999999999E-2</v>
      </c>
      <c r="X6859">
        <v>0.99979070000000003</v>
      </c>
      <c r="Y6859">
        <v>-0.4466406</v>
      </c>
      <c r="Z6859">
        <v>-3.2617569999999999E-2</v>
      </c>
      <c r="AA6859">
        <v>0.89411870000000004</v>
      </c>
      <c r="AB6859">
        <v>19</v>
      </c>
      <c r="AC6859">
        <v>116.96069999999899</v>
      </c>
      <c r="AD6859">
        <v>6.0378980000000002</v>
      </c>
      <c r="AE6859">
        <v>3.7743099999999998</v>
      </c>
      <c r="AF6859">
        <v>-52.295238884153697</v>
      </c>
      <c r="AG6859">
        <v>6.0378980000000002</v>
      </c>
      <c r="AH6859">
        <v>104.339045694288</v>
      </c>
      <c r="AI6859">
        <v>87.038511303076007</v>
      </c>
      <c r="AJ6859">
        <v>116.62025219015899</v>
      </c>
      <c r="AK6859">
        <v>116.866952893467</v>
      </c>
      <c r="AL6859">
        <v>90.842916060759805</v>
      </c>
      <c r="AM6859">
        <v>89.185251843725297</v>
      </c>
      <c r="AN6859">
        <v>1.0000000066225401</v>
      </c>
    </row>
    <row r="6860" spans="1:40" x14ac:dyDescent="0.25">
      <c r="A6860" t="str">
        <f>"20190312160822651"</f>
        <v>20190312160822651</v>
      </c>
      <c r="B6860" t="str">
        <f>"1552378102642821"</f>
        <v>1552378102642821</v>
      </c>
      <c r="C6860" t="s">
        <v>40</v>
      </c>
      <c r="D6860">
        <v>5.8015829999999999</v>
      </c>
      <c r="E6860">
        <v>0.29544599999999999</v>
      </c>
      <c r="F6860" t="s">
        <v>52</v>
      </c>
      <c r="G6860">
        <v>-169.244</v>
      </c>
      <c r="H6860">
        <v>8.013496</v>
      </c>
      <c r="I6860">
        <v>-55.679209999999998</v>
      </c>
      <c r="J6860">
        <v>-286.11430000000001</v>
      </c>
      <c r="K6860">
        <v>1.1137709999999901</v>
      </c>
      <c r="L6860">
        <v>-61.27319</v>
      </c>
      <c r="M6860">
        <v>0.9096881</v>
      </c>
      <c r="N6860">
        <v>0</v>
      </c>
      <c r="O6860">
        <v>-0.41509509999999999</v>
      </c>
      <c r="P6860">
        <v>0.90325719999999998</v>
      </c>
      <c r="Q6860">
        <v>-2.7572220000000001E-2</v>
      </c>
      <c r="R6860">
        <v>-0.42821310000000001</v>
      </c>
      <c r="S6860">
        <v>3.4109799999999999</v>
      </c>
      <c r="T6860">
        <v>0.20121900000000001</v>
      </c>
      <c r="U6860">
        <v>0.1620789</v>
      </c>
      <c r="V6860">
        <v>1.4750330000000001E-2</v>
      </c>
      <c r="W6860">
        <v>-1.4634889999999999E-2</v>
      </c>
      <c r="X6860">
        <v>0.99978409999999995</v>
      </c>
      <c r="Y6860">
        <v>-0.4563564</v>
      </c>
      <c r="Z6860">
        <v>-3.7377569999999999E-2</v>
      </c>
      <c r="AA6860">
        <v>0.88901169999999996</v>
      </c>
      <c r="AB6860">
        <v>19</v>
      </c>
      <c r="AC6860">
        <v>116.8703</v>
      </c>
      <c r="AD6860">
        <v>6.8997250000000001</v>
      </c>
      <c r="AE6860">
        <v>5.5939800000000002</v>
      </c>
      <c r="AF6860">
        <v>-53.419687004050402</v>
      </c>
      <c r="AG6860">
        <v>6.8997250000000001</v>
      </c>
      <c r="AH6860">
        <v>103.641587294654</v>
      </c>
      <c r="AI6860">
        <v>86.613471017873195</v>
      </c>
      <c r="AJ6860">
        <v>117.267807155222</v>
      </c>
      <c r="AK6860">
        <v>116.802601775995</v>
      </c>
      <c r="AL6860">
        <v>90.838547366282199</v>
      </c>
      <c r="AM6860">
        <v>89.154747165349804</v>
      </c>
      <c r="AN6860">
        <v>0.99999999942661499</v>
      </c>
    </row>
    <row r="6861" spans="1:40" x14ac:dyDescent="0.25">
      <c r="A6861" t="str">
        <f>"20190312160822663"</f>
        <v>20190312160822663</v>
      </c>
      <c r="B6861" t="str">
        <f>"1552378102652582"</f>
        <v>1552378102652582</v>
      </c>
      <c r="C6861" t="s">
        <v>40</v>
      </c>
      <c r="D6861">
        <v>5.9699070000000001</v>
      </c>
      <c r="E6861">
        <v>0.34017009999999998</v>
      </c>
      <c r="F6861" t="s">
        <v>52</v>
      </c>
      <c r="G6861">
        <v>-169.244</v>
      </c>
      <c r="H6861">
        <v>7.9997740000000004</v>
      </c>
      <c r="I6861">
        <v>-55.278599999999997</v>
      </c>
      <c r="J6861">
        <v>-286.02999999999997</v>
      </c>
      <c r="K6861">
        <v>1.113764</v>
      </c>
      <c r="L6861">
        <v>-61.306609999999999</v>
      </c>
      <c r="M6861">
        <v>0.91132789999999997</v>
      </c>
      <c r="N6861">
        <v>0</v>
      </c>
      <c r="O6861">
        <v>-0.41148269999999998</v>
      </c>
      <c r="P6861">
        <v>0.90484390000000003</v>
      </c>
      <c r="Q6861">
        <v>-2.732356E-2</v>
      </c>
      <c r="R6861">
        <v>-0.42486600000000002</v>
      </c>
      <c r="S6861">
        <v>3.4103699999999999</v>
      </c>
      <c r="T6861">
        <v>0.20093829999999999</v>
      </c>
      <c r="U6861">
        <v>0.17492679999999999</v>
      </c>
      <c r="V6861">
        <v>1.500961E-2</v>
      </c>
      <c r="W6861">
        <v>-1.438877E-2</v>
      </c>
      <c r="X6861">
        <v>0.9997838</v>
      </c>
      <c r="Y6861">
        <v>-0.45618700000000001</v>
      </c>
      <c r="Z6861">
        <v>-3.713081E-2</v>
      </c>
      <c r="AA6861">
        <v>0.88910900000000004</v>
      </c>
      <c r="AB6861">
        <v>19</v>
      </c>
      <c r="AC6861">
        <v>116.78599999999901</v>
      </c>
      <c r="AD6861">
        <v>6.8860099999999997</v>
      </c>
      <c r="AE6861">
        <v>6.0280100000000001</v>
      </c>
      <c r="AF6861">
        <v>-53.368242412819797</v>
      </c>
      <c r="AG6861">
        <v>6.8860099999999997</v>
      </c>
      <c r="AH6861">
        <v>103.59919932335301</v>
      </c>
      <c r="AI6861">
        <v>86.618414930675598</v>
      </c>
      <c r="AJ6861">
        <v>117.254872914473</v>
      </c>
      <c r="AK6861">
        <v>116.74065501098301</v>
      </c>
      <c r="AL6861">
        <v>90.8244442550332</v>
      </c>
      <c r="AM6861">
        <v>89.139891340287804</v>
      </c>
      <c r="AN6861">
        <v>0.99999998591845196</v>
      </c>
    </row>
    <row r="6862" spans="1:40" x14ac:dyDescent="0.25">
      <c r="A6862" t="str">
        <f>"20190312160822675"</f>
        <v>20190312160822675</v>
      </c>
      <c r="B6862" t="str">
        <f>"1552378102672100"</f>
        <v>1552378102672100</v>
      </c>
      <c r="C6862" t="s">
        <v>40</v>
      </c>
      <c r="D6862">
        <v>5.9240469999999998</v>
      </c>
      <c r="E6862">
        <v>0.33936490000000002</v>
      </c>
      <c r="F6862" t="s">
        <v>112</v>
      </c>
      <c r="G6862">
        <v>-242.1318</v>
      </c>
      <c r="H6862" s="1">
        <v>-5.7516040000000004E-7</v>
      </c>
      <c r="I6862">
        <v>-62.914819999999999</v>
      </c>
      <c r="J6862">
        <v>-285.93759999999997</v>
      </c>
      <c r="K6862">
        <v>1.1137570000000001</v>
      </c>
      <c r="L6862">
        <v>-61.343020000000003</v>
      </c>
      <c r="M6862">
        <v>0.91310559999999996</v>
      </c>
      <c r="N6862">
        <v>0</v>
      </c>
      <c r="O6862">
        <v>-0.40752240000000001</v>
      </c>
      <c r="P6862">
        <v>0.90649389999999996</v>
      </c>
      <c r="Q6862">
        <v>-2.7510139999999999E-2</v>
      </c>
      <c r="R6862">
        <v>-0.42132199999999997</v>
      </c>
      <c r="S6862">
        <v>3.256958</v>
      </c>
      <c r="T6862">
        <v>-8.2634089999999993E-2</v>
      </c>
      <c r="U6862">
        <v>-0.1193237</v>
      </c>
      <c r="V6862">
        <v>1.5441399999999999E-2</v>
      </c>
      <c r="W6862">
        <v>-1.457664E-2</v>
      </c>
      <c r="X6862">
        <v>0.99977450000000001</v>
      </c>
      <c r="Y6862">
        <v>-0.37360500000000002</v>
      </c>
      <c r="Z6862">
        <v>1.4818609999999999E-2</v>
      </c>
      <c r="AA6862">
        <v>0.92746949999999995</v>
      </c>
      <c r="AB6862">
        <v>19</v>
      </c>
      <c r="AC6862">
        <v>43.805799999999898</v>
      </c>
      <c r="AD6862">
        <v>-1.1137575751604001</v>
      </c>
      <c r="AE6862">
        <v>-1.5718000000000001</v>
      </c>
      <c r="AF6862">
        <v>-16.407376378407498</v>
      </c>
      <c r="AG6862">
        <v>-1.1137575751604001</v>
      </c>
      <c r="AH6862">
        <v>40.616968840748498</v>
      </c>
      <c r="AI6862">
        <v>91.456428047348595</v>
      </c>
      <c r="AJ6862">
        <v>111.996429475266</v>
      </c>
      <c r="AK6862">
        <v>43.819865510625299</v>
      </c>
      <c r="AL6862">
        <v>90.835209544748196</v>
      </c>
      <c r="AM6862">
        <v>89.115143753972106</v>
      </c>
      <c r="AN6862">
        <v>0.99999998305894899</v>
      </c>
    </row>
    <row r="6863" spans="1:40" x14ac:dyDescent="0.25">
      <c r="A6863" t="str">
        <f>"20190312160822687"</f>
        <v>20190312160822687</v>
      </c>
      <c r="B6863" t="str">
        <f>"1552378102682837"</f>
        <v>1552378102682837</v>
      </c>
      <c r="C6863" t="s">
        <v>40</v>
      </c>
      <c r="D6863">
        <v>5.9925050000000004</v>
      </c>
      <c r="E6863">
        <v>0.33937590000000001</v>
      </c>
      <c r="F6863" t="s">
        <v>115</v>
      </c>
      <c r="G6863">
        <v>-250.02070000000001</v>
      </c>
      <c r="H6863" s="1">
        <v>3.9724150000000002E-7</v>
      </c>
      <c r="I6863">
        <v>-62.442140000000002</v>
      </c>
      <c r="J6863">
        <v>-285.83929999999998</v>
      </c>
      <c r="K6863">
        <v>1.11375</v>
      </c>
      <c r="L6863">
        <v>-61.381010000000003</v>
      </c>
      <c r="M6863">
        <v>0.91497039999999996</v>
      </c>
      <c r="N6863">
        <v>0</v>
      </c>
      <c r="O6863">
        <v>-0.40331869999999997</v>
      </c>
      <c r="P6863">
        <v>0.90838390000000002</v>
      </c>
      <c r="Q6863">
        <v>-2.7580339999999998E-2</v>
      </c>
      <c r="R6863">
        <v>-0.41722710000000002</v>
      </c>
      <c r="S6863">
        <v>3.2600099999999999</v>
      </c>
      <c r="T6863">
        <v>-0.10109029999999999</v>
      </c>
      <c r="U6863">
        <v>-9.9761959999999997E-2</v>
      </c>
      <c r="V6863">
        <v>1.552924E-2</v>
      </c>
      <c r="W6863">
        <v>-1.4651300000000001E-2</v>
      </c>
      <c r="X6863">
        <v>0.99977210000000005</v>
      </c>
      <c r="Y6863">
        <v>-0.37480999999999998</v>
      </c>
      <c r="Z6863">
        <v>1.8013660000000001E-2</v>
      </c>
      <c r="AA6863">
        <v>0.92692660000000004</v>
      </c>
      <c r="AB6863">
        <v>19</v>
      </c>
      <c r="AC6863">
        <v>35.818599999999897</v>
      </c>
      <c r="AD6863">
        <v>-1.1137496027584901</v>
      </c>
      <c r="AE6863">
        <v>-1.0611299999999999</v>
      </c>
      <c r="AF6863">
        <v>-13.463502593111199</v>
      </c>
      <c r="AG6863">
        <v>-1.1137496027584901</v>
      </c>
      <c r="AH6863">
        <v>33.171598010504702</v>
      </c>
      <c r="AI6863">
        <v>91.781928868725004</v>
      </c>
      <c r="AJ6863">
        <v>112.09097441583199</v>
      </c>
      <c r="AK6863">
        <v>35.817052570289498</v>
      </c>
      <c r="AL6863">
        <v>90.8394876610502</v>
      </c>
      <c r="AM6863">
        <v>89.110108829042503</v>
      </c>
      <c r="AN6863">
        <v>1.00000003491253</v>
      </c>
    </row>
    <row r="6864" spans="1:40" x14ac:dyDescent="0.25">
      <c r="A6864" t="str">
        <f>"20190312160822698"</f>
        <v>20190312160822698</v>
      </c>
      <c r="B6864" t="str">
        <f>"1552378102692596"</f>
        <v>1552378102692596</v>
      </c>
      <c r="C6864" t="s">
        <v>40</v>
      </c>
      <c r="D6864">
        <v>6.0473030000000003</v>
      </c>
      <c r="E6864">
        <v>0.34019189999999999</v>
      </c>
      <c r="F6864" t="s">
        <v>115</v>
      </c>
      <c r="G6864">
        <v>-251.05930000000001</v>
      </c>
      <c r="H6864" s="1">
        <v>-1.3847169999999999E-8</v>
      </c>
      <c r="I6864">
        <v>-62.287010000000002</v>
      </c>
      <c r="J6864">
        <v>-285.75409999999999</v>
      </c>
      <c r="K6864">
        <v>1.113745</v>
      </c>
      <c r="L6864">
        <v>-61.413670000000003</v>
      </c>
      <c r="M6864">
        <v>0.91656850000000001</v>
      </c>
      <c r="N6864">
        <v>0</v>
      </c>
      <c r="O6864">
        <v>-0.39967370000000002</v>
      </c>
      <c r="P6864">
        <v>0.90999010000000002</v>
      </c>
      <c r="Q6864">
        <v>-2.7600659999999999E-2</v>
      </c>
      <c r="R6864">
        <v>-0.41371049999999998</v>
      </c>
      <c r="S6864">
        <v>3.260345</v>
      </c>
      <c r="T6864">
        <v>-0.1044052</v>
      </c>
      <c r="U6864">
        <v>-8.4930420000000006E-2</v>
      </c>
      <c r="V6864">
        <v>1.5641970000000002E-2</v>
      </c>
      <c r="W6864">
        <v>-1.4674899999999999E-2</v>
      </c>
      <c r="X6864">
        <v>0.99977000000000005</v>
      </c>
      <c r="Y6864">
        <v>-0.37531360000000002</v>
      </c>
      <c r="Z6864">
        <v>1.8506109999999999E-2</v>
      </c>
      <c r="AA6864">
        <v>0.92671309999999996</v>
      </c>
      <c r="AB6864">
        <v>19</v>
      </c>
      <c r="AC6864">
        <v>34.694799999999901</v>
      </c>
      <c r="AD6864">
        <v>-1.1137450138471601</v>
      </c>
      <c r="AE6864">
        <v>-0.87333999999999801</v>
      </c>
      <c r="AF6864">
        <v>-13.0537457404776</v>
      </c>
      <c r="AG6864">
        <v>-1.1137450138471601</v>
      </c>
      <c r="AH6864">
        <v>32.1187571845484</v>
      </c>
      <c r="AI6864">
        <v>91.839942139043004</v>
      </c>
      <c r="AJ6864">
        <v>112.117870246935</v>
      </c>
      <c r="AK6864">
        <v>34.687970088964398</v>
      </c>
      <c r="AL6864">
        <v>90.840839983847602</v>
      </c>
      <c r="AM6864">
        <v>89.103648090676003</v>
      </c>
      <c r="AN6864">
        <v>1.0000000384077401</v>
      </c>
    </row>
    <row r="6865" spans="1:40" x14ac:dyDescent="0.25">
      <c r="A6865" t="str">
        <f>"20190312160822709"</f>
        <v>20190312160822709</v>
      </c>
      <c r="B6865" t="str">
        <f>"1552378102702357"</f>
        <v>1552378102702357</v>
      </c>
      <c r="C6865" t="s">
        <v>40</v>
      </c>
      <c r="D6865">
        <v>5.9865389999999996</v>
      </c>
      <c r="E6865">
        <v>0.34053090000000003</v>
      </c>
      <c r="F6865" t="s">
        <v>115</v>
      </c>
      <c r="G6865">
        <v>-250.08199999999999</v>
      </c>
      <c r="H6865" s="1">
        <v>4.0850030000000001E-7</v>
      </c>
      <c r="I6865">
        <v>-62.273090000000003</v>
      </c>
      <c r="J6865">
        <v>-285.67149999999998</v>
      </c>
      <c r="K6865">
        <v>1.11374</v>
      </c>
      <c r="L6865">
        <v>-61.444920000000003</v>
      </c>
      <c r="M6865">
        <v>0.91809790000000002</v>
      </c>
      <c r="N6865">
        <v>0</v>
      </c>
      <c r="O6865">
        <v>-0.396148</v>
      </c>
      <c r="P6865">
        <v>0.91149000000000002</v>
      </c>
      <c r="Q6865">
        <v>-2.7532729999999998E-2</v>
      </c>
      <c r="R6865">
        <v>-0.41039979999999998</v>
      </c>
      <c r="S6865">
        <v>3.2579349999999998</v>
      </c>
      <c r="T6865">
        <v>-0.1017185</v>
      </c>
      <c r="U6865">
        <v>-7.8491210000000006E-2</v>
      </c>
      <c r="V6865">
        <v>1.5848729999999998E-2</v>
      </c>
      <c r="W6865">
        <v>-1.4608889999999999E-2</v>
      </c>
      <c r="X6865">
        <v>0.99976770000000004</v>
      </c>
      <c r="Y6865">
        <v>-0.3735851</v>
      </c>
      <c r="Z6865">
        <v>1.791591E-2</v>
      </c>
      <c r="AA6865">
        <v>0.92742290000000005</v>
      </c>
      <c r="AB6865">
        <v>19</v>
      </c>
      <c r="AC6865">
        <v>35.589499999999902</v>
      </c>
      <c r="AD6865">
        <v>-1.1137395914996999</v>
      </c>
      <c r="AE6865">
        <v>-0.82817000000000696</v>
      </c>
      <c r="AF6865">
        <v>-13.3264116463205</v>
      </c>
      <c r="AG6865">
        <v>-1.1137395914996999</v>
      </c>
      <c r="AH6865">
        <v>32.973139587240397</v>
      </c>
      <c r="AI6865">
        <v>91.793700026404807</v>
      </c>
      <c r="AJ6865">
        <v>112.006570206417</v>
      </c>
      <c r="AK6865">
        <v>35.581759336554803</v>
      </c>
      <c r="AL6865">
        <v>90.837057492874706</v>
      </c>
      <c r="AM6865">
        <v>89.091799739268595</v>
      </c>
      <c r="AN6865">
        <v>1.00000002793646</v>
      </c>
    </row>
    <row r="6866" spans="1:40" x14ac:dyDescent="0.25">
      <c r="A6866" t="str">
        <f>"20190312160822719"</f>
        <v>20190312160822719</v>
      </c>
      <c r="B6866" t="str">
        <f>"1552378102712118"</f>
        <v>1552378102712118</v>
      </c>
      <c r="C6866" t="s">
        <v>40</v>
      </c>
      <c r="D6866">
        <v>6.0266330000000004</v>
      </c>
      <c r="E6866">
        <v>0.34315289999999998</v>
      </c>
      <c r="F6866" t="s">
        <v>112</v>
      </c>
      <c r="G6866">
        <v>-248.7861</v>
      </c>
      <c r="H6866" s="1">
        <v>-3.1913499999999999E-6</v>
      </c>
      <c r="I6866">
        <v>-62.228999999999999</v>
      </c>
      <c r="J6866">
        <v>-285.59050000000002</v>
      </c>
      <c r="K6866">
        <v>1.1137319999999999</v>
      </c>
      <c r="L6866">
        <v>-61.475160000000002</v>
      </c>
      <c r="M6866">
        <v>0.91958280000000003</v>
      </c>
      <c r="N6866">
        <v>0</v>
      </c>
      <c r="O6866">
        <v>-0.3926888</v>
      </c>
      <c r="P6866">
        <v>0.91302070000000002</v>
      </c>
      <c r="Q6866">
        <v>-2.7578559999999998E-2</v>
      </c>
      <c r="R6866">
        <v>-0.40698000000000001</v>
      </c>
      <c r="S6866">
        <v>3.2571720000000002</v>
      </c>
      <c r="T6866">
        <v>-9.8349329999999999E-2</v>
      </c>
      <c r="U6866">
        <v>-6.9244379999999994E-2</v>
      </c>
      <c r="V6866">
        <v>1.586566E-2</v>
      </c>
      <c r="W6866">
        <v>-1.465817E-2</v>
      </c>
      <c r="X6866">
        <v>0.99976670000000001</v>
      </c>
      <c r="Y6866">
        <v>-0.37274489999999999</v>
      </c>
      <c r="Z6866">
        <v>1.7219160000000001E-2</v>
      </c>
      <c r="AA6866">
        <v>0.92777410000000005</v>
      </c>
      <c r="AB6866">
        <v>19</v>
      </c>
      <c r="AC6866">
        <v>36.804400000000001</v>
      </c>
      <c r="AD6866">
        <v>-1.11373519135</v>
      </c>
      <c r="AE6866">
        <v>-0.75384000000000295</v>
      </c>
      <c r="AF6866">
        <v>-13.747994686418901</v>
      </c>
      <c r="AG6866">
        <v>-1.11373519135</v>
      </c>
      <c r="AH6866">
        <v>34.112275885388897</v>
      </c>
      <c r="AI6866">
        <v>91.734516354962906</v>
      </c>
      <c r="AJ6866">
        <v>111.95051486615</v>
      </c>
      <c r="AK6866">
        <v>36.795313968699098</v>
      </c>
      <c r="AL6866">
        <v>90.839881339713003</v>
      </c>
      <c r="AM6866">
        <v>89.090828831124497</v>
      </c>
      <c r="AN6866">
        <v>1.0000000177719299</v>
      </c>
    </row>
    <row r="6867" spans="1:40" x14ac:dyDescent="0.25">
      <c r="A6867" t="str">
        <f>"20190312160822839"</f>
        <v>20190312160822839</v>
      </c>
      <c r="B6867" t="str">
        <f>"1552378102832165"</f>
        <v>1552378102832165</v>
      </c>
      <c r="C6867" t="s">
        <v>40</v>
      </c>
      <c r="D6867">
        <v>9.5811340000000005</v>
      </c>
      <c r="E6867">
        <v>0.34315289999999998</v>
      </c>
      <c r="F6867" t="s">
        <v>115</v>
      </c>
      <c r="G6867">
        <v>-250.79</v>
      </c>
      <c r="H6867" s="1">
        <v>1.0166600000000001E-7</v>
      </c>
      <c r="I6867">
        <v>-62.28716</v>
      </c>
      <c r="J6867">
        <v>-284.65339999999998</v>
      </c>
      <c r="K6867">
        <v>1.113726</v>
      </c>
      <c r="L6867">
        <v>-61.800840000000001</v>
      </c>
      <c r="M6867">
        <v>0.93567350000000005</v>
      </c>
      <c r="N6867">
        <v>0</v>
      </c>
      <c r="O6867">
        <v>-0.35263830000000002</v>
      </c>
      <c r="P6867">
        <v>0.93031960000000002</v>
      </c>
      <c r="Q6867">
        <v>-2.6204720000000001E-2</v>
      </c>
      <c r="R6867">
        <v>-0.365813</v>
      </c>
      <c r="S6867">
        <v>3.2488709999999998</v>
      </c>
      <c r="T6867">
        <v>-0.1039747</v>
      </c>
      <c r="U6867">
        <v>-7.5805659999999997E-2</v>
      </c>
      <c r="V6867">
        <v>1.434879E-2</v>
      </c>
      <c r="W6867">
        <v>-1.3358119999999999E-2</v>
      </c>
      <c r="X6867">
        <v>0.99980780000000002</v>
      </c>
      <c r="Y6867">
        <v>-0.33040009999999997</v>
      </c>
      <c r="Z6867">
        <v>1.636812E-2</v>
      </c>
      <c r="AA6867">
        <v>0.94369899999999995</v>
      </c>
      <c r="AB6867">
        <v>19</v>
      </c>
      <c r="AC6867">
        <v>33.863399999999899</v>
      </c>
      <c r="AD6867">
        <v>-1.1137258983339999</v>
      </c>
      <c r="AE6867">
        <v>-0.48631999999999898</v>
      </c>
      <c r="AF6867">
        <v>-11.4750121085478</v>
      </c>
      <c r="AG6867">
        <v>-1.1137258983339999</v>
      </c>
      <c r="AH6867">
        <v>31.8247342723038</v>
      </c>
      <c r="AI6867">
        <v>91.8855506467373</v>
      </c>
      <c r="AJ6867">
        <v>109.827731240528</v>
      </c>
      <c r="AK6867">
        <v>33.848633647027498</v>
      </c>
      <c r="AL6867">
        <v>90.765386675644294</v>
      </c>
      <c r="AM6867">
        <v>89.177773296464807</v>
      </c>
      <c r="AN6867">
        <v>0.99999998204261897</v>
      </c>
    </row>
    <row r="6868" spans="1:40" x14ac:dyDescent="0.25">
      <c r="A6868" t="str">
        <f>"20190312160822849"</f>
        <v>20190312160822849</v>
      </c>
      <c r="B6868" t="str">
        <f>"1552378102841924"</f>
        <v>1552378102841924</v>
      </c>
      <c r="C6868" t="s">
        <v>40</v>
      </c>
      <c r="D6868">
        <v>5.7487269999999997</v>
      </c>
      <c r="E6868">
        <v>0.36250749999999998</v>
      </c>
      <c r="F6868" t="s">
        <v>112</v>
      </c>
      <c r="G6868">
        <v>-248.58799999999999</v>
      </c>
      <c r="H6868" s="1">
        <v>-2.8438510000000001E-6</v>
      </c>
      <c r="I6868">
        <v>-61.031829999999999</v>
      </c>
      <c r="J6868">
        <v>-284.57080000000002</v>
      </c>
      <c r="K6868">
        <v>1.1137220000000001</v>
      </c>
      <c r="L6868">
        <v>-61.827419999999996</v>
      </c>
      <c r="M6868">
        <v>0.93699909999999997</v>
      </c>
      <c r="N6868">
        <v>0</v>
      </c>
      <c r="O6868">
        <v>-0.3491013</v>
      </c>
      <c r="P6868">
        <v>0.93163609999999997</v>
      </c>
      <c r="Q6868">
        <v>-2.631373E-2</v>
      </c>
      <c r="R6868">
        <v>-0.36243920000000002</v>
      </c>
      <c r="S6868">
        <v>3.2491150000000002</v>
      </c>
      <c r="T6868">
        <v>-0.10033540000000001</v>
      </c>
      <c r="U6868">
        <v>6.9274899999999903E-2</v>
      </c>
      <c r="V6868">
        <v>1.4504680000000001E-2</v>
      </c>
      <c r="W6868">
        <v>-1.347055E-2</v>
      </c>
      <c r="X6868">
        <v>0.99980409999999997</v>
      </c>
      <c r="Y6868">
        <v>-0.36868780000000001</v>
      </c>
      <c r="Z6868">
        <v>1.630324E-2</v>
      </c>
      <c r="AA6868">
        <v>0.92941030000000002</v>
      </c>
      <c r="AB6868">
        <v>19</v>
      </c>
      <c r="AC6868">
        <v>35.982799999999997</v>
      </c>
      <c r="AD6868">
        <v>-1.1137248438509999</v>
      </c>
      <c r="AE6868">
        <v>0.79558999999999003</v>
      </c>
      <c r="AF6868">
        <v>-13.2954496877874</v>
      </c>
      <c r="AG6868">
        <v>-1.1137248438509999</v>
      </c>
      <c r="AH6868">
        <v>33.408811254077001</v>
      </c>
      <c r="AI6868">
        <v>91.7740925928412</v>
      </c>
      <c r="AJ6868">
        <v>111.70069431604399</v>
      </c>
      <c r="AK6868">
        <v>35.9744080540436</v>
      </c>
      <c r="AL6868">
        <v>90.771828975239302</v>
      </c>
      <c r="AM6868">
        <v>89.168838524602805</v>
      </c>
      <c r="AN6868">
        <v>1.000000039918</v>
      </c>
    </row>
    <row r="6869" spans="1:40" x14ac:dyDescent="0.25">
      <c r="A6869" t="str">
        <f>"20190312160822861"</f>
        <v>20190312160822861</v>
      </c>
      <c r="B6869" t="str">
        <f>"1552378102852661"</f>
        <v>1552378102852661</v>
      </c>
      <c r="C6869" t="s">
        <v>40</v>
      </c>
      <c r="D6869">
        <v>5.8585520000000004</v>
      </c>
      <c r="E6869">
        <v>0.36474430000000002</v>
      </c>
      <c r="F6869" t="s">
        <v>115</v>
      </c>
      <c r="G6869">
        <v>-255.2791</v>
      </c>
      <c r="H6869" s="1">
        <v>-1.8479740000000001E-6</v>
      </c>
      <c r="I6869">
        <v>-62.394399999999997</v>
      </c>
      <c r="J6869">
        <v>-284.48419999999999</v>
      </c>
      <c r="K6869">
        <v>1.113723</v>
      </c>
      <c r="L6869">
        <v>-61.85483</v>
      </c>
      <c r="M6869">
        <v>0.93837289999999995</v>
      </c>
      <c r="N6869">
        <v>0</v>
      </c>
      <c r="O6869">
        <v>-0.345391</v>
      </c>
      <c r="P6869">
        <v>0.93311900000000003</v>
      </c>
      <c r="Q6869">
        <v>-2.5949799999999999E-2</v>
      </c>
      <c r="R6869">
        <v>-0.35863020000000001</v>
      </c>
      <c r="S6869">
        <v>3.1926570000000001</v>
      </c>
      <c r="T6869">
        <v>-0.12139030000000001</v>
      </c>
      <c r="U6869">
        <v>-6.1798100000000002E-2</v>
      </c>
      <c r="V6869">
        <v>1.436927E-2</v>
      </c>
      <c r="W6869">
        <v>-1.311271E-2</v>
      </c>
      <c r="X6869">
        <v>0.9998108</v>
      </c>
      <c r="Y6869">
        <v>-0.3267159</v>
      </c>
      <c r="Z6869">
        <v>1.9116350000000001E-2</v>
      </c>
      <c r="AA6869">
        <v>0.94492920000000002</v>
      </c>
      <c r="AB6869">
        <v>19</v>
      </c>
      <c r="AC6869">
        <v>29.205099999999899</v>
      </c>
      <c r="AD6869">
        <v>-1.1137248479740001</v>
      </c>
      <c r="AE6869">
        <v>-0.53956999999999</v>
      </c>
      <c r="AF6869">
        <v>-9.5677247993146395</v>
      </c>
      <c r="AG6869">
        <v>-1.1137248479740001</v>
      </c>
      <c r="AH6869">
        <v>27.553806942877401</v>
      </c>
      <c r="AI6869">
        <v>92.186692441266601</v>
      </c>
      <c r="AJ6869">
        <v>109.148936738986</v>
      </c>
      <c r="AK6869">
        <v>29.188936567092899</v>
      </c>
      <c r="AL6869">
        <v>90.7513244522614</v>
      </c>
      <c r="AM6869">
        <v>89.176602365680793</v>
      </c>
      <c r="AN6869">
        <v>1.0000000274402501</v>
      </c>
    </row>
    <row r="6870" spans="1:40" x14ac:dyDescent="0.25">
      <c r="A6870" t="str">
        <f>"20190312160822872"</f>
        <v>20190312160822872</v>
      </c>
      <c r="B6870" t="str">
        <f>"1552378102862421"</f>
        <v>1552378102862421</v>
      </c>
      <c r="C6870" t="s">
        <v>40</v>
      </c>
      <c r="D6870">
        <v>5.8445529999999897</v>
      </c>
      <c r="E6870">
        <v>0.36609380000000002</v>
      </c>
      <c r="F6870" t="s">
        <v>115</v>
      </c>
      <c r="G6870">
        <v>-257.5265</v>
      </c>
      <c r="H6870" s="1">
        <v>-2.8140559999999999E-6</v>
      </c>
      <c r="I6870">
        <v>-62.403210000000001</v>
      </c>
      <c r="J6870">
        <v>-284.39789999999999</v>
      </c>
      <c r="K6870">
        <v>1.1137239999999999</v>
      </c>
      <c r="L6870">
        <v>-61.881959999999999</v>
      </c>
      <c r="M6870">
        <v>0.93972809999999996</v>
      </c>
      <c r="N6870">
        <v>0</v>
      </c>
      <c r="O6870">
        <v>-0.34168720000000002</v>
      </c>
      <c r="P6870">
        <v>0.93443690000000001</v>
      </c>
      <c r="Q6870">
        <v>-2.604822E-2</v>
      </c>
      <c r="R6870">
        <v>-0.35517500000000002</v>
      </c>
      <c r="S6870">
        <v>3.1864319999999999</v>
      </c>
      <c r="T6870">
        <v>-0.13164329999999999</v>
      </c>
      <c r="U6870">
        <v>-6.4819340000000003E-2</v>
      </c>
      <c r="V6870">
        <v>1.4615080000000001E-2</v>
      </c>
      <c r="W6870">
        <v>-1.3213539999999999E-2</v>
      </c>
      <c r="X6870">
        <v>0.99980590000000003</v>
      </c>
      <c r="Y6870">
        <v>-0.32197429999999999</v>
      </c>
      <c r="Z6870">
        <v>2.0526229999999999E-2</v>
      </c>
      <c r="AA6870">
        <v>0.94652590000000003</v>
      </c>
      <c r="AB6870">
        <v>19</v>
      </c>
      <c r="AC6870">
        <v>26.871399999999898</v>
      </c>
      <c r="AD6870">
        <v>-1.1137268140559999</v>
      </c>
      <c r="AE6870">
        <v>-0.521249999999994</v>
      </c>
      <c r="AF6870">
        <v>-8.6775788519723296</v>
      </c>
      <c r="AG6870">
        <v>-1.1137268140559999</v>
      </c>
      <c r="AH6870">
        <v>25.388364760819002</v>
      </c>
      <c r="AI6870">
        <v>92.376978127110206</v>
      </c>
      <c r="AJ6870">
        <v>108.870096291541</v>
      </c>
      <c r="AK6870">
        <v>26.853488178948702</v>
      </c>
      <c r="AL6870">
        <v>90.757102093308404</v>
      </c>
      <c r="AM6870">
        <v>89.162514680143602</v>
      </c>
      <c r="AN6870">
        <v>1.00000001793877</v>
      </c>
    </row>
    <row r="6871" spans="1:40" x14ac:dyDescent="0.25">
      <c r="A6871" t="str">
        <f>"20190312160822883"</f>
        <v>20190312160822883</v>
      </c>
      <c r="B6871" t="str">
        <f>"1552378102872181"</f>
        <v>1552378102872181</v>
      </c>
      <c r="C6871" t="s">
        <v>40</v>
      </c>
      <c r="D6871">
        <v>5.8195610000000002</v>
      </c>
      <c r="E6871">
        <v>0.36695090000000002</v>
      </c>
      <c r="F6871" t="s">
        <v>115</v>
      </c>
      <c r="G6871">
        <v>-258.50450000000001</v>
      </c>
      <c r="H6871" s="1">
        <v>-3.1857580000000002E-6</v>
      </c>
      <c r="I6871">
        <v>-62.392650000000003</v>
      </c>
      <c r="J6871">
        <v>-284.31029999999998</v>
      </c>
      <c r="K6871">
        <v>1.1137220000000001</v>
      </c>
      <c r="L6871">
        <v>-61.908869999999901</v>
      </c>
      <c r="M6871">
        <v>0.94108570000000002</v>
      </c>
      <c r="N6871">
        <v>0</v>
      </c>
      <c r="O6871">
        <v>-0.33793050000000002</v>
      </c>
      <c r="P6871">
        <v>0.93579889999999999</v>
      </c>
      <c r="Q6871">
        <v>-2.5799559999999999E-2</v>
      </c>
      <c r="R6871">
        <v>-0.35158909999999999</v>
      </c>
      <c r="S6871">
        <v>3.1827999999999999</v>
      </c>
      <c r="T6871">
        <v>-0.13689889999999999</v>
      </c>
      <c r="U6871">
        <v>-6.2774659999999996E-2</v>
      </c>
      <c r="V6871">
        <v>1.477031E-2</v>
      </c>
      <c r="W6871">
        <v>-1.2968189999999999E-2</v>
      </c>
      <c r="X6871">
        <v>0.9998068</v>
      </c>
      <c r="Y6871">
        <v>-0.31873649999999998</v>
      </c>
      <c r="Z6871">
        <v>2.1146720000000001E-2</v>
      </c>
      <c r="AA6871">
        <v>0.94760750000000005</v>
      </c>
      <c r="AB6871">
        <v>19</v>
      </c>
      <c r="AC6871">
        <v>25.805799999999898</v>
      </c>
      <c r="AD6871">
        <v>-1.1137251857579999</v>
      </c>
      <c r="AE6871">
        <v>-0.48378000000000998</v>
      </c>
      <c r="AF6871">
        <v>-8.2505903649744603</v>
      </c>
      <c r="AG6871">
        <v>-1.1137251857579999</v>
      </c>
      <c r="AH6871">
        <v>24.4054760090564</v>
      </c>
      <c r="AI6871">
        <v>92.475395497491903</v>
      </c>
      <c r="AJ6871">
        <v>108.678496798246</v>
      </c>
      <c r="AK6871">
        <v>25.7864282984021</v>
      </c>
      <c r="AL6871">
        <v>90.743043392580105</v>
      </c>
      <c r="AM6871">
        <v>89.153621612123601</v>
      </c>
      <c r="AN6871">
        <v>0.99999998666780598</v>
      </c>
    </row>
    <row r="6872" spans="1:40" x14ac:dyDescent="0.25">
      <c r="A6872" t="str">
        <f>"20190312160822894"</f>
        <v>20190312160822894</v>
      </c>
      <c r="B6872" t="str">
        <f>"1552378102892677"</f>
        <v>1552378102892677</v>
      </c>
      <c r="C6872" t="s">
        <v>40</v>
      </c>
      <c r="D6872">
        <v>5.7439739999999997</v>
      </c>
      <c r="E6872">
        <v>0.36880499999999999</v>
      </c>
      <c r="F6872" t="s">
        <v>115</v>
      </c>
      <c r="G6872">
        <v>-259.46069999999997</v>
      </c>
      <c r="H6872" s="1">
        <v>-3.5055059999999999E-6</v>
      </c>
      <c r="I6872">
        <v>-62.350439999999999</v>
      </c>
      <c r="J6872">
        <v>-284.22160000000002</v>
      </c>
      <c r="K6872">
        <v>1.113723</v>
      </c>
      <c r="L6872">
        <v>-61.935940000000002</v>
      </c>
      <c r="M6872">
        <v>0.94244269999999997</v>
      </c>
      <c r="N6872">
        <v>0</v>
      </c>
      <c r="O6872">
        <v>-0.33412750000000002</v>
      </c>
      <c r="P6872">
        <v>0.93715939999999998</v>
      </c>
      <c r="Q6872">
        <v>-2.5592759999999999E-2</v>
      </c>
      <c r="R6872">
        <v>-0.34796280000000002</v>
      </c>
      <c r="S6872">
        <v>3.1806640000000002</v>
      </c>
      <c r="T6872">
        <v>-0.14255319999999999</v>
      </c>
      <c r="U6872">
        <v>-5.6518550000000001E-2</v>
      </c>
      <c r="V6872">
        <v>1.4932040000000001E-2</v>
      </c>
      <c r="W6872">
        <v>-1.276471E-2</v>
      </c>
      <c r="X6872">
        <v>0.999807</v>
      </c>
      <c r="Y6872">
        <v>-0.31671389999999999</v>
      </c>
      <c r="Z6872">
        <v>2.1828259999999999E-2</v>
      </c>
      <c r="AA6872">
        <v>0.9482699</v>
      </c>
      <c r="AB6872">
        <v>19</v>
      </c>
      <c r="AC6872">
        <v>24.760899999999999</v>
      </c>
      <c r="AD6872">
        <v>-1.1137265055059999</v>
      </c>
      <c r="AE6872">
        <v>-0.41449999999999598</v>
      </c>
      <c r="AF6872">
        <v>-7.8673757725716102</v>
      </c>
      <c r="AG6872">
        <v>-1.1137265055059999</v>
      </c>
      <c r="AH6872">
        <v>23.428724039082699</v>
      </c>
      <c r="AI6872">
        <v>92.580225703262698</v>
      </c>
      <c r="AJ6872">
        <v>108.562073694208</v>
      </c>
      <c r="AK6872">
        <v>24.739464391441501</v>
      </c>
      <c r="AL6872">
        <v>90.731383893925496</v>
      </c>
      <c r="AM6872">
        <v>89.144355590753506</v>
      </c>
      <c r="AN6872">
        <v>0.99999997044447198</v>
      </c>
    </row>
    <row r="6873" spans="1:40" x14ac:dyDescent="0.25">
      <c r="A6873" t="str">
        <f>"20190312160822905"</f>
        <v>20190312160822905</v>
      </c>
      <c r="B6873" t="str">
        <f>"1552378102902436"</f>
        <v>1552378102902436</v>
      </c>
      <c r="C6873" t="s">
        <v>40</v>
      </c>
      <c r="D6873">
        <v>6.0387019999999998</v>
      </c>
      <c r="E6873">
        <v>0.36971080000000001</v>
      </c>
      <c r="F6873" t="s">
        <v>111</v>
      </c>
      <c r="G6873">
        <v>-260.57170000000002</v>
      </c>
      <c r="H6873" s="1">
        <v>2.2228670000000001E-7</v>
      </c>
      <c r="I6873">
        <v>-62.364960000000004</v>
      </c>
      <c r="J6873">
        <v>-284.13150000000002</v>
      </c>
      <c r="K6873">
        <v>1.113723</v>
      </c>
      <c r="L6873">
        <v>-61.962829999999997</v>
      </c>
      <c r="M6873">
        <v>0.94380379999999997</v>
      </c>
      <c r="N6873">
        <v>0</v>
      </c>
      <c r="O6873">
        <v>-0.33026299999999997</v>
      </c>
      <c r="P6873">
        <v>0.93846339999999995</v>
      </c>
      <c r="Q6873">
        <v>-2.53794E-2</v>
      </c>
      <c r="R6873">
        <v>-0.34444530000000001</v>
      </c>
      <c r="S6873">
        <v>3.175659</v>
      </c>
      <c r="T6873">
        <v>-0.14954819999999999</v>
      </c>
      <c r="U6873">
        <v>-5.7617189999999999E-2</v>
      </c>
      <c r="V6873">
        <v>1.527484E-2</v>
      </c>
      <c r="W6873">
        <v>-1.2552890000000001E-2</v>
      </c>
      <c r="X6873">
        <v>0.99980460000000004</v>
      </c>
      <c r="Y6873">
        <v>-0.31241249999999998</v>
      </c>
      <c r="Z6873">
        <v>2.2659390000000001E-2</v>
      </c>
      <c r="AA6873">
        <v>0.94967630000000003</v>
      </c>
      <c r="AB6873">
        <v>19</v>
      </c>
      <c r="AC6873">
        <v>23.559799999999999</v>
      </c>
      <c r="AD6873">
        <v>-1.1137227777133001</v>
      </c>
      <c r="AE6873">
        <v>-0.40212999999999199</v>
      </c>
      <c r="AF6873">
        <v>-7.3854940754755098</v>
      </c>
      <c r="AG6873">
        <v>-1.1137227777133001</v>
      </c>
      <c r="AH6873">
        <v>22.320571079961098</v>
      </c>
      <c r="AI6873">
        <v>92.712123613141699</v>
      </c>
      <c r="AJ6873">
        <v>108.30849372330501</v>
      </c>
      <c r="AK6873">
        <v>23.537072768296401</v>
      </c>
      <c r="AL6873">
        <v>90.719246459572801</v>
      </c>
      <c r="AM6873">
        <v>89.1247131874741</v>
      </c>
      <c r="AN6873">
        <v>1.00000006698276</v>
      </c>
    </row>
    <row r="6874" spans="1:40" x14ac:dyDescent="0.25">
      <c r="A6874" t="str">
        <f>"20190312160822918"</f>
        <v>20190312160822918</v>
      </c>
      <c r="B6874" t="str">
        <f>"1552378102912202"</f>
        <v>1552378102912202</v>
      </c>
      <c r="C6874" t="s">
        <v>40</v>
      </c>
      <c r="D6874">
        <v>6.0309189999999999</v>
      </c>
      <c r="E6874">
        <v>0.37072270000000002</v>
      </c>
      <c r="F6874" t="s">
        <v>47</v>
      </c>
      <c r="G6874">
        <v>-260.44450000000001</v>
      </c>
      <c r="H6874" s="1">
        <v>2.795559E-7</v>
      </c>
      <c r="I6874">
        <v>-62.354790000000001</v>
      </c>
      <c r="J6874">
        <v>-284.03930000000003</v>
      </c>
      <c r="K6874">
        <v>1.1137239999999999</v>
      </c>
      <c r="L6874">
        <v>-61.990110000000001</v>
      </c>
      <c r="M6874">
        <v>0.94517989999999996</v>
      </c>
      <c r="N6874">
        <v>0</v>
      </c>
      <c r="O6874">
        <v>-0.32630399999999998</v>
      </c>
      <c r="P6874">
        <v>0.93989250000000002</v>
      </c>
      <c r="Q6874">
        <v>-2.5114750000000002E-2</v>
      </c>
      <c r="R6874">
        <v>-0.34054630000000002</v>
      </c>
      <c r="S6874">
        <v>3.1734010000000001</v>
      </c>
      <c r="T6874">
        <v>-0.1492078</v>
      </c>
      <c r="U6874">
        <v>-5.2520749999999998E-2</v>
      </c>
      <c r="V6874">
        <v>1.5309939999999999E-2</v>
      </c>
      <c r="W6874">
        <v>-1.229269E-2</v>
      </c>
      <c r="X6874">
        <v>0.99980720000000001</v>
      </c>
      <c r="Y6874">
        <v>-0.3099518</v>
      </c>
      <c r="Z6874">
        <v>2.2389940000000001E-2</v>
      </c>
      <c r="AA6874">
        <v>0.95048860000000002</v>
      </c>
      <c r="AB6874">
        <v>19</v>
      </c>
      <c r="AC6874">
        <v>23.594799999999999</v>
      </c>
      <c r="AD6874">
        <v>-1.1137237204441</v>
      </c>
      <c r="AE6874">
        <v>-0.364680000000007</v>
      </c>
      <c r="AF6874">
        <v>-7.3386334092119601</v>
      </c>
      <c r="AG6874">
        <v>-1.1137237204441</v>
      </c>
      <c r="AH6874">
        <v>22.372294059548299</v>
      </c>
      <c r="AI6874">
        <v>92.708162140136494</v>
      </c>
      <c r="AJ6874">
        <v>108.160695044683</v>
      </c>
      <c r="AK6874">
        <v>23.571496819828401</v>
      </c>
      <c r="AL6874">
        <v>90.704337015921894</v>
      </c>
      <c r="AM6874">
        <v>89.122704464100494</v>
      </c>
      <c r="AN6874">
        <v>0.99999997083103898</v>
      </c>
    </row>
    <row r="6875" spans="1:40" x14ac:dyDescent="0.25">
      <c r="A6875" t="str">
        <f>"20190312160822928"</f>
        <v>20190312160822928</v>
      </c>
      <c r="B6875" t="str">
        <f>"1552378102921956"</f>
        <v>1552378102921956</v>
      </c>
      <c r="C6875" t="s">
        <v>40</v>
      </c>
      <c r="D6875">
        <v>6.0492710000000001</v>
      </c>
      <c r="E6875">
        <v>0.37184119999999998</v>
      </c>
      <c r="F6875" t="s">
        <v>47</v>
      </c>
      <c r="G6875">
        <v>-260.40390000000002</v>
      </c>
      <c r="H6875" s="1">
        <v>3.0105200000000001E-7</v>
      </c>
      <c r="I6875">
        <v>-62.339440000000003</v>
      </c>
      <c r="J6875">
        <v>-283.94979999999998</v>
      </c>
      <c r="K6875">
        <v>1.1137239999999999</v>
      </c>
      <c r="L6875">
        <v>-62.016109999999998</v>
      </c>
      <c r="M6875">
        <v>0.94649669999999997</v>
      </c>
      <c r="N6875">
        <v>0</v>
      </c>
      <c r="O6875">
        <v>-0.32246439999999998</v>
      </c>
      <c r="P6875">
        <v>0.94127000000000005</v>
      </c>
      <c r="Q6875">
        <v>-2.517575E-2</v>
      </c>
      <c r="R6875">
        <v>-0.3367153</v>
      </c>
      <c r="S6875">
        <v>3.1708980000000002</v>
      </c>
      <c r="T6875">
        <v>-0.149416299999999</v>
      </c>
      <c r="U6875">
        <v>-4.6875E-2</v>
      </c>
      <c r="V6875">
        <v>1.5297669999999999E-2</v>
      </c>
      <c r="W6875">
        <v>-1.235821E-2</v>
      </c>
      <c r="X6875">
        <v>0.99980659999999999</v>
      </c>
      <c r="Y6875">
        <v>-0.30777500000000002</v>
      </c>
      <c r="Z6875">
        <v>2.2216240000000002E-2</v>
      </c>
      <c r="AA6875">
        <v>0.95119980000000004</v>
      </c>
      <c r="AB6875">
        <v>19</v>
      </c>
      <c r="AC6875">
        <v>23.5458999999999</v>
      </c>
      <c r="AD6875">
        <v>-1.1137236989479999</v>
      </c>
      <c r="AE6875">
        <v>-0.323330000000005</v>
      </c>
      <c r="AF6875">
        <v>-7.2710049647323602</v>
      </c>
      <c r="AG6875">
        <v>-1.1137236989479999</v>
      </c>
      <c r="AH6875">
        <v>22.342201635747902</v>
      </c>
      <c r="AI6875">
        <v>92.713871495515406</v>
      </c>
      <c r="AJ6875">
        <v>108.026864979915</v>
      </c>
      <c r="AK6875">
        <v>23.521944384067702</v>
      </c>
      <c r="AL6875">
        <v>90.708091306594596</v>
      </c>
      <c r="AM6875">
        <v>89.123406928199898</v>
      </c>
      <c r="AN6875">
        <v>0.99999999073269596</v>
      </c>
    </row>
    <row r="6876" spans="1:40" x14ac:dyDescent="0.25">
      <c r="A6876" t="str">
        <f>"20190312160822940"</f>
        <v>20190312160822940</v>
      </c>
      <c r="B6876" t="str">
        <f>"1552378102932692"</f>
        <v>1552378102932692</v>
      </c>
      <c r="C6876" t="s">
        <v>40</v>
      </c>
      <c r="D6876">
        <v>7.5694759999999999</v>
      </c>
      <c r="E6876">
        <v>0.37184119999999998</v>
      </c>
      <c r="F6876" t="s">
        <v>47</v>
      </c>
      <c r="G6876">
        <v>-261.01830000000001</v>
      </c>
      <c r="H6876" s="1">
        <v>4.2418609999999999E-8</v>
      </c>
      <c r="I6876">
        <v>-62.320889999999999</v>
      </c>
      <c r="J6876">
        <v>-283.86090000000002</v>
      </c>
      <c r="K6876">
        <v>1.1137220000000001</v>
      </c>
      <c r="L6876">
        <v>-62.041559999999997</v>
      </c>
      <c r="M6876">
        <v>0.94778600000000002</v>
      </c>
      <c r="N6876">
        <v>0</v>
      </c>
      <c r="O6876">
        <v>-0.31865520000000003</v>
      </c>
      <c r="P6876">
        <v>0.94261930000000005</v>
      </c>
      <c r="Q6876">
        <v>-2.5395040000000001E-2</v>
      </c>
      <c r="R6876">
        <v>-0.33290199999999998</v>
      </c>
      <c r="S6876">
        <v>3.167999</v>
      </c>
      <c r="T6876">
        <v>-0.1538619</v>
      </c>
      <c r="U6876">
        <v>-4.2114260000000001E-2</v>
      </c>
      <c r="V6876">
        <v>1.527537E-2</v>
      </c>
      <c r="W6876">
        <v>-1.2582019999999999E-2</v>
      </c>
      <c r="X6876">
        <v>0.99980409999999997</v>
      </c>
      <c r="Y6876">
        <v>-0.30532859999999901</v>
      </c>
      <c r="Z6876">
        <v>2.2662270000000002E-2</v>
      </c>
      <c r="AA6876">
        <v>0.95197739999999997</v>
      </c>
      <c r="AB6876">
        <v>19</v>
      </c>
      <c r="AC6876">
        <v>22.842600000000001</v>
      </c>
      <c r="AD6876">
        <v>-1.1137219575813899</v>
      </c>
      <c r="AE6876">
        <v>-0.27933000000000802</v>
      </c>
      <c r="AF6876">
        <v>-6.99809811145174</v>
      </c>
      <c r="AG6876">
        <v>-1.1137219575813899</v>
      </c>
      <c r="AH6876">
        <v>21.6891006307137</v>
      </c>
      <c r="AI6876">
        <v>92.797738167301006</v>
      </c>
      <c r="AJ6876">
        <v>107.882558425759</v>
      </c>
      <c r="AK6876">
        <v>22.817336390243401</v>
      </c>
      <c r="AL6876">
        <v>90.720915707973305</v>
      </c>
      <c r="AM6876">
        <v>89.124682384187807</v>
      </c>
      <c r="AN6876">
        <v>0.99999994126636105</v>
      </c>
    </row>
    <row r="6877" spans="1:40" x14ac:dyDescent="0.25">
      <c r="A6877" t="str">
        <f>"20190312160822951"</f>
        <v>20190312160822951</v>
      </c>
      <c r="B6877" t="str">
        <f>"1552378102942453"</f>
        <v>1552378102942453</v>
      </c>
      <c r="C6877" t="s">
        <v>40</v>
      </c>
      <c r="D6877">
        <v>7.5409439999999996</v>
      </c>
      <c r="E6877">
        <v>0.30983139999999998</v>
      </c>
      <c r="F6877" t="s">
        <v>47</v>
      </c>
      <c r="G6877">
        <v>-261.03109999999998</v>
      </c>
      <c r="H6877" s="1">
        <v>5.5112419999999999E-8</v>
      </c>
      <c r="I6877">
        <v>-62.252609999999997</v>
      </c>
      <c r="J6877">
        <v>-283.77300000000002</v>
      </c>
      <c r="K6877">
        <v>1.1137140000000001</v>
      </c>
      <c r="L6877">
        <v>-62.066380000000002</v>
      </c>
      <c r="M6877">
        <v>0.94904469999999996</v>
      </c>
      <c r="N6877">
        <v>0</v>
      </c>
      <c r="O6877">
        <v>-0.31488749999999999</v>
      </c>
      <c r="P6877">
        <v>0.94398910000000003</v>
      </c>
      <c r="Q6877">
        <v>-2.5218589999999999E-2</v>
      </c>
      <c r="R6877">
        <v>-0.32901239999999998</v>
      </c>
      <c r="S6877">
        <v>3.1681520000000001</v>
      </c>
      <c r="T6877">
        <v>-0.15455379999999999</v>
      </c>
      <c r="U6877">
        <v>-2.9296880000000001E-2</v>
      </c>
      <c r="V6877">
        <v>1.512119E-2</v>
      </c>
      <c r="W6877">
        <v>-1.2411119999999999E-2</v>
      </c>
      <c r="X6877">
        <v>0.99980860000000005</v>
      </c>
      <c r="Y6877">
        <v>-0.30539549999999999</v>
      </c>
      <c r="Z6877">
        <v>2.2591590000000002E-2</v>
      </c>
      <c r="AA6877">
        <v>0.95195759999999996</v>
      </c>
      <c r="AB6877">
        <v>19</v>
      </c>
      <c r="AC6877">
        <v>22.741899999999902</v>
      </c>
      <c r="AD6877">
        <v>-1.1137139448875799</v>
      </c>
      <c r="AE6877">
        <v>-0.18622999999999401</v>
      </c>
      <c r="AF6877">
        <v>-6.9682478740591902</v>
      </c>
      <c r="AG6877">
        <v>-1.1137139448875799</v>
      </c>
      <c r="AH6877">
        <v>21.591674235669899</v>
      </c>
      <c r="AI6877">
        <v>92.810261608179104</v>
      </c>
      <c r="AJ6877">
        <v>107.886367444313</v>
      </c>
      <c r="AK6877">
        <v>22.715572488595999</v>
      </c>
      <c r="AL6877">
        <v>90.711123079648303</v>
      </c>
      <c r="AM6877">
        <v>89.133519836436804</v>
      </c>
      <c r="AN6877">
        <v>0.999999961460314</v>
      </c>
    </row>
    <row r="6878" spans="1:40" x14ac:dyDescent="0.25">
      <c r="A6878" t="str">
        <f>"20190312160822962"</f>
        <v>20190312160822962</v>
      </c>
      <c r="B6878" t="str">
        <f>"1552378102952212"</f>
        <v>1552378102952212</v>
      </c>
      <c r="C6878" t="s">
        <v>40</v>
      </c>
      <c r="D6878">
        <v>6.1083980000000002</v>
      </c>
      <c r="E6878">
        <v>0.30983139999999998</v>
      </c>
      <c r="F6878" t="s">
        <v>52</v>
      </c>
      <c r="G6878">
        <v>-157.3501</v>
      </c>
      <c r="H6878">
        <v>17.040289999999999</v>
      </c>
      <c r="I6878">
        <v>-46.185119999999998</v>
      </c>
      <c r="J6878">
        <v>-283.68360000000001</v>
      </c>
      <c r="K6878">
        <v>1.1137109999999999</v>
      </c>
      <c r="L6878">
        <v>-62.091160000000002</v>
      </c>
      <c r="M6878">
        <v>0.9503064</v>
      </c>
      <c r="N6878">
        <v>0</v>
      </c>
      <c r="O6878">
        <v>-0.31105860000000002</v>
      </c>
      <c r="P6878">
        <v>0.945496</v>
      </c>
      <c r="Q6878">
        <v>-2.5523290000000001E-2</v>
      </c>
      <c r="R6878">
        <v>-0.32463170000000002</v>
      </c>
      <c r="S6878">
        <v>3.3352659999999998</v>
      </c>
      <c r="T6878">
        <v>0.42017100000000002</v>
      </c>
      <c r="U6878">
        <v>0.41897580000000001</v>
      </c>
      <c r="V6878">
        <v>1.452207E-2</v>
      </c>
      <c r="W6878">
        <v>-1.272588E-2</v>
      </c>
      <c r="X6878">
        <v>0.99981359999999997</v>
      </c>
      <c r="Y6878">
        <v>-0.42141840000000003</v>
      </c>
      <c r="Z6878">
        <v>-6.4916150000000006E-2</v>
      </c>
      <c r="AA6878">
        <v>0.90453989999999995</v>
      </c>
      <c r="AB6878">
        <v>19</v>
      </c>
      <c r="AC6878">
        <v>126.3335</v>
      </c>
      <c r="AD6878">
        <v>15.926578999999901</v>
      </c>
      <c r="AE6878">
        <v>15.9060399999999</v>
      </c>
      <c r="AF6878">
        <v>-53.578850026106501</v>
      </c>
      <c r="AG6878">
        <v>15.926578999999901</v>
      </c>
      <c r="AH6878">
        <v>113.34377854702301</v>
      </c>
      <c r="AI6878">
        <v>82.760089028965098</v>
      </c>
      <c r="AJ6878">
        <v>115.300616199063</v>
      </c>
      <c r="AK6878">
        <v>126.377059722403</v>
      </c>
      <c r="AL6878">
        <v>90.729158869747295</v>
      </c>
      <c r="AM6878">
        <v>89.167850071584098</v>
      </c>
      <c r="AN6878">
        <v>1.0000000366419</v>
      </c>
    </row>
    <row r="6879" spans="1:40" x14ac:dyDescent="0.25">
      <c r="A6879" t="str">
        <f>"20190312160822974"</f>
        <v>20190312160822974</v>
      </c>
      <c r="B6879" t="str">
        <f>"1552378102972708"</f>
        <v>1552378102972708</v>
      </c>
      <c r="C6879" t="s">
        <v>40</v>
      </c>
      <c r="D6879">
        <v>6.1238159999999997</v>
      </c>
      <c r="E6879">
        <v>0.38540390000000002</v>
      </c>
      <c r="F6879" t="s">
        <v>52</v>
      </c>
      <c r="G6879">
        <v>-157.3501</v>
      </c>
      <c r="H6879">
        <v>17.001670000000001</v>
      </c>
      <c r="I6879">
        <v>-45.62688</v>
      </c>
      <c r="J6879">
        <v>-283.58819999999997</v>
      </c>
      <c r="K6879">
        <v>1.113704</v>
      </c>
      <c r="L6879">
        <v>-62.117339999999999</v>
      </c>
      <c r="M6879">
        <v>0.95163240000000004</v>
      </c>
      <c r="N6879">
        <v>0</v>
      </c>
      <c r="O6879">
        <v>-0.30697859999999899</v>
      </c>
      <c r="P6879">
        <v>0.94691950000000003</v>
      </c>
      <c r="Q6879">
        <v>-2.5590020000000002E-2</v>
      </c>
      <c r="R6879">
        <v>-0.32045099999999999</v>
      </c>
      <c r="S6879">
        <v>3.3333740000000001</v>
      </c>
      <c r="T6879">
        <v>0.41921130000000001</v>
      </c>
      <c r="U6879">
        <v>0.43441770000000002</v>
      </c>
      <c r="V6879">
        <v>1.4395160000000001E-2</v>
      </c>
      <c r="W6879">
        <v>-1.279833E-2</v>
      </c>
      <c r="X6879">
        <v>0.99981450000000005</v>
      </c>
      <c r="Y6879">
        <v>-0.42177510000000001</v>
      </c>
      <c r="Z6879">
        <v>-6.432156E-2</v>
      </c>
      <c r="AA6879">
        <v>0.90441609999999995</v>
      </c>
      <c r="AB6879">
        <v>19</v>
      </c>
      <c r="AC6879">
        <v>126.23809999999899</v>
      </c>
      <c r="AD6879">
        <v>15.887966</v>
      </c>
      <c r="AE6879">
        <v>16.490459999999999</v>
      </c>
      <c r="AF6879">
        <v>-53.614597481950298</v>
      </c>
      <c r="AG6879">
        <v>15.887966</v>
      </c>
      <c r="AH6879">
        <v>113.314460909009</v>
      </c>
      <c r="AI6879">
        <v>82.776816543408501</v>
      </c>
      <c r="AJ6879">
        <v>115.321114212157</v>
      </c>
      <c r="AK6879">
        <v>126.361068283978</v>
      </c>
      <c r="AL6879">
        <v>90.733310294606</v>
      </c>
      <c r="AM6879">
        <v>89.175122056389995</v>
      </c>
      <c r="AN6879">
        <v>1.0000000261462301</v>
      </c>
    </row>
    <row r="6880" spans="1:40" x14ac:dyDescent="0.25">
      <c r="A6880" t="str">
        <f>"20190312160822986"</f>
        <v>20190312160822986</v>
      </c>
      <c r="B6880" t="str">
        <f>"1552378102982468"</f>
        <v>1552378102982468</v>
      </c>
      <c r="C6880" t="s">
        <v>40</v>
      </c>
      <c r="D6880">
        <v>6.1327239999999996</v>
      </c>
      <c r="E6880">
        <v>0.38707409999999998</v>
      </c>
      <c r="F6880" t="s">
        <v>47</v>
      </c>
      <c r="G6880">
        <v>-260.9083</v>
      </c>
      <c r="H6880" s="1">
        <v>-2.9948180000000002E-8</v>
      </c>
      <c r="I6880">
        <v>-62.770209999999999</v>
      </c>
      <c r="J6880">
        <v>-283.49329999999998</v>
      </c>
      <c r="K6880">
        <v>1.1136969999999999</v>
      </c>
      <c r="L6880">
        <v>-62.14273</v>
      </c>
      <c r="M6880">
        <v>0.95292849999999996</v>
      </c>
      <c r="N6880">
        <v>0</v>
      </c>
      <c r="O6880">
        <v>-0.30293140000000002</v>
      </c>
      <c r="P6880">
        <v>0.94838370000000005</v>
      </c>
      <c r="Q6880">
        <v>-2.528534E-2</v>
      </c>
      <c r="R6880">
        <v>-0.31611610000000001</v>
      </c>
      <c r="S6880">
        <v>3.1334840000000002</v>
      </c>
      <c r="T6880">
        <v>-0.15387110000000001</v>
      </c>
      <c r="U6880">
        <v>-9.0209960000000006E-2</v>
      </c>
      <c r="V6880">
        <v>1.4065100000000001E-2</v>
      </c>
      <c r="W6880">
        <v>-1.250429E-2</v>
      </c>
      <c r="X6880">
        <v>0.99982289999999996</v>
      </c>
      <c r="Y6880">
        <v>-0.27472029999999997</v>
      </c>
      <c r="Z6880">
        <v>2.1409310000000001E-2</v>
      </c>
      <c r="AA6880">
        <v>0.96128579999999997</v>
      </c>
      <c r="AB6880">
        <v>19</v>
      </c>
      <c r="AC6880">
        <v>22.584999999999901</v>
      </c>
      <c r="AD6880">
        <v>-1.1136970299481801</v>
      </c>
      <c r="AE6880">
        <v>-0.62747999999999104</v>
      </c>
      <c r="AF6880">
        <v>-6.2291260347288002</v>
      </c>
      <c r="AG6880">
        <v>-1.1136970299481801</v>
      </c>
      <c r="AH6880">
        <v>21.6610783341226</v>
      </c>
      <c r="AI6880">
        <v>92.828804346426793</v>
      </c>
      <c r="AJ6880">
        <v>106.04376925509899</v>
      </c>
      <c r="AK6880">
        <v>22.5664495840184</v>
      </c>
      <c r="AL6880">
        <v>90.716461708686793</v>
      </c>
      <c r="AM6880">
        <v>89.194039549506698</v>
      </c>
      <c r="AN6880">
        <v>1.0000000078354101</v>
      </c>
    </row>
    <row r="6881" spans="1:40" x14ac:dyDescent="0.25">
      <c r="A6881" t="str">
        <f>"20190312160822999"</f>
        <v>20190312160822999</v>
      </c>
      <c r="B6881" t="str">
        <f>"1552378102992229"</f>
        <v>1552378102992229</v>
      </c>
      <c r="C6881" t="s">
        <v>40</v>
      </c>
      <c r="D6881">
        <v>6.1183579999999997</v>
      </c>
      <c r="E6881">
        <v>0.3879763</v>
      </c>
      <c r="F6881" t="s">
        <v>47</v>
      </c>
      <c r="G6881">
        <v>-261.51670000000001</v>
      </c>
      <c r="H6881" s="1">
        <v>-2.88668E-7</v>
      </c>
      <c r="I6881">
        <v>-62.761760000000002</v>
      </c>
      <c r="J6881">
        <v>-283.39659999999998</v>
      </c>
      <c r="K6881">
        <v>1.113685</v>
      </c>
      <c r="L6881">
        <v>-62.168300000000002</v>
      </c>
      <c r="M6881">
        <v>0.95422980000000002</v>
      </c>
      <c r="N6881">
        <v>0</v>
      </c>
      <c r="O6881">
        <v>-0.2988075</v>
      </c>
      <c r="P6881">
        <v>0.94983779999999995</v>
      </c>
      <c r="Q6881">
        <v>-2.5470300000000001E-2</v>
      </c>
      <c r="R6881">
        <v>-0.31170490000000001</v>
      </c>
      <c r="S6881">
        <v>3.1297000000000001</v>
      </c>
      <c r="T6881">
        <v>-0.15860179999999999</v>
      </c>
      <c r="U6881">
        <v>-8.8165279999999999E-2</v>
      </c>
      <c r="V6881">
        <v>1.3745250000000001E-2</v>
      </c>
      <c r="W6881">
        <v>-1.270112E-2</v>
      </c>
      <c r="X6881">
        <v>0.99982490000000002</v>
      </c>
      <c r="Y6881">
        <v>-0.27111990000000002</v>
      </c>
      <c r="Z6881">
        <v>2.180203E-2</v>
      </c>
      <c r="AA6881">
        <v>0.9622986</v>
      </c>
      <c r="AB6881">
        <v>19</v>
      </c>
      <c r="AC6881">
        <v>21.8798999999999</v>
      </c>
      <c r="AD6881">
        <v>-1.113685288668</v>
      </c>
      <c r="AE6881">
        <v>-0.59345999999999299</v>
      </c>
      <c r="AF6881">
        <v>-5.9566363689711102</v>
      </c>
      <c r="AG6881">
        <v>-1.113685288668</v>
      </c>
      <c r="AH6881">
        <v>21.0030881527241</v>
      </c>
      <c r="AI6881">
        <v>92.920294698414907</v>
      </c>
      <c r="AJ6881">
        <v>105.833741845042</v>
      </c>
      <c r="AK6881">
        <v>21.859815271530699</v>
      </c>
      <c r="AL6881">
        <v>90.727740108824406</v>
      </c>
      <c r="AM6881">
        <v>89.212366881282094</v>
      </c>
      <c r="AN6881">
        <v>1.00000004050341</v>
      </c>
    </row>
    <row r="6882" spans="1:40" x14ac:dyDescent="0.25">
      <c r="A6882" t="str">
        <f>"20190312160823008"</f>
        <v>20190312160823008</v>
      </c>
      <c r="B6882" t="str">
        <f>"1552378103001990"</f>
        <v>1552378103001990</v>
      </c>
      <c r="C6882" t="s">
        <v>40</v>
      </c>
      <c r="D6882">
        <v>6.1478409999999997</v>
      </c>
      <c r="E6882">
        <v>0.38868900000000001</v>
      </c>
      <c r="F6882" t="s">
        <v>47</v>
      </c>
      <c r="G6882">
        <v>-262.41379999999998</v>
      </c>
      <c r="H6882" s="1">
        <v>-6.5848369999999903E-7</v>
      </c>
      <c r="I6882">
        <v>-62.705260000000003</v>
      </c>
      <c r="J6882">
        <v>-283.31369999999998</v>
      </c>
      <c r="K6882">
        <v>1.1136710000000001</v>
      </c>
      <c r="L6882">
        <v>-62.189880000000002</v>
      </c>
      <c r="M6882">
        <v>0.95532609999999996</v>
      </c>
      <c r="N6882">
        <v>0</v>
      </c>
      <c r="O6882">
        <v>-0.29528389999999999</v>
      </c>
      <c r="P6882">
        <v>0.95102969999999998</v>
      </c>
      <c r="Q6882">
        <v>-2.5194560000000001E-2</v>
      </c>
      <c r="R6882">
        <v>-0.30807210000000002</v>
      </c>
      <c r="S6882">
        <v>3.1276549999999999</v>
      </c>
      <c r="T6882">
        <v>-0.1660036</v>
      </c>
      <c r="U6882">
        <v>-8.0047610000000005E-2</v>
      </c>
      <c r="V6882">
        <v>1.36084E-2</v>
      </c>
      <c r="W6882">
        <v>-1.243578E-2</v>
      </c>
      <c r="X6882">
        <v>0.99983010000000005</v>
      </c>
      <c r="Y6882">
        <v>-0.26998250000000001</v>
      </c>
      <c r="Z6882">
        <v>2.2625309999999999E-2</v>
      </c>
      <c r="AA6882">
        <v>0.96259939999999999</v>
      </c>
      <c r="AB6882">
        <v>19</v>
      </c>
      <c r="AC6882">
        <v>20.899899999999999</v>
      </c>
      <c r="AD6882">
        <v>-1.1136716584837001</v>
      </c>
      <c r="AE6882">
        <v>-0.51537999999999295</v>
      </c>
      <c r="AF6882">
        <v>-5.6634299179117402</v>
      </c>
      <c r="AG6882">
        <v>-1.1136716584837001</v>
      </c>
      <c r="AH6882">
        <v>20.063075227181599</v>
      </c>
      <c r="AI6882">
        <v>93.057888227453503</v>
      </c>
      <c r="AJ6882">
        <v>105.76337806564899</v>
      </c>
      <c r="AK6882">
        <v>20.876821850309401</v>
      </c>
      <c r="AL6882">
        <v>90.712536051682505</v>
      </c>
      <c r="AM6882">
        <v>89.220211769806099</v>
      </c>
      <c r="AN6882">
        <v>1.00000003302038</v>
      </c>
    </row>
    <row r="6883" spans="1:40" x14ac:dyDescent="0.25">
      <c r="A6883" t="str">
        <f>"20190312160823030"</f>
        <v>20190312160823030</v>
      </c>
      <c r="B6883" t="str">
        <f>"1552378103022484"</f>
        <v>1552378103022484</v>
      </c>
      <c r="C6883" t="s">
        <v>40</v>
      </c>
      <c r="D6883">
        <v>6.1540460000000001</v>
      </c>
      <c r="E6883">
        <v>0.39067489999999999</v>
      </c>
      <c r="F6883" t="s">
        <v>47</v>
      </c>
      <c r="G6883">
        <v>-262.16730000000001</v>
      </c>
      <c r="H6883" s="1">
        <v>-5.4779339999999996E-7</v>
      </c>
      <c r="I6883">
        <v>-62.686680000000003</v>
      </c>
      <c r="J6883">
        <v>-283.14749999999998</v>
      </c>
      <c r="K6883">
        <v>1.113639</v>
      </c>
      <c r="L6883">
        <v>-62.23218</v>
      </c>
      <c r="M6883">
        <v>0.95747389999999999</v>
      </c>
      <c r="N6883">
        <v>0</v>
      </c>
      <c r="O6883">
        <v>-0.28824429999999901</v>
      </c>
      <c r="P6883">
        <v>0.9532948</v>
      </c>
      <c r="Q6883">
        <v>-2.528524E-2</v>
      </c>
      <c r="R6883">
        <v>-0.30098160000000002</v>
      </c>
      <c r="S6883">
        <v>3.1262819999999998</v>
      </c>
      <c r="T6883">
        <v>-0.1646445</v>
      </c>
      <c r="U6883">
        <v>-7.3455809999999996E-2</v>
      </c>
      <c r="V6883">
        <v>1.352327E-2</v>
      </c>
      <c r="W6883">
        <v>-1.25466E-2</v>
      </c>
      <c r="X6883">
        <v>0.99982979999999999</v>
      </c>
      <c r="Y6883">
        <v>-0.26493879999999997</v>
      </c>
      <c r="Z6883">
        <v>2.1962160000000001E-2</v>
      </c>
      <c r="AA6883">
        <v>0.96401510000000001</v>
      </c>
      <c r="AB6883">
        <v>19</v>
      </c>
      <c r="AC6883">
        <v>20.9801999999999</v>
      </c>
      <c r="AD6883">
        <v>-1.11363954779339</v>
      </c>
      <c r="AE6883">
        <v>-0.45449999999999502</v>
      </c>
      <c r="AF6883">
        <v>-5.59693508473371</v>
      </c>
      <c r="AG6883">
        <v>-1.11363954779339</v>
      </c>
      <c r="AH6883">
        <v>20.163822371223901</v>
      </c>
      <c r="AI6883">
        <v>93.046264668172796</v>
      </c>
      <c r="AJ6883">
        <v>105.513224363479</v>
      </c>
      <c r="AK6883">
        <v>20.955801297096802</v>
      </c>
      <c r="AL6883">
        <v>90.718886115885894</v>
      </c>
      <c r="AM6883">
        <v>89.225089057947599</v>
      </c>
      <c r="AN6883">
        <v>0.99999996248554501</v>
      </c>
    </row>
    <row r="6884" spans="1:40" x14ac:dyDescent="0.25">
      <c r="A6884" t="str">
        <f>"20190312160823041"</f>
        <v>20190312160823041</v>
      </c>
      <c r="B6884" t="str">
        <f>"1552378103032245"</f>
        <v>1552378103032245</v>
      </c>
      <c r="C6884" t="s">
        <v>40</v>
      </c>
      <c r="D6884">
        <v>6.2009879999999997</v>
      </c>
      <c r="E6884">
        <v>0.39179269999999999</v>
      </c>
      <c r="F6884" t="s">
        <v>47</v>
      </c>
      <c r="G6884">
        <v>-262.86250000000001</v>
      </c>
      <c r="H6884" s="1">
        <v>-8.3723889999999998E-7</v>
      </c>
      <c r="I6884">
        <v>-62.653480000000002</v>
      </c>
      <c r="J6884">
        <v>-283.06009999999998</v>
      </c>
      <c r="K6884">
        <v>1.1136189999999999</v>
      </c>
      <c r="L6884">
        <v>-62.25385</v>
      </c>
      <c r="M6884">
        <v>0.95857490000000001</v>
      </c>
      <c r="N6884">
        <v>0</v>
      </c>
      <c r="O6884">
        <v>-0.28456209999999998</v>
      </c>
      <c r="P6884">
        <v>0.95436279999999996</v>
      </c>
      <c r="Q6884">
        <v>-2.5253930000000001E-2</v>
      </c>
      <c r="R6884">
        <v>-0.2975814</v>
      </c>
      <c r="S6884">
        <v>3.1219480000000002</v>
      </c>
      <c r="T6884">
        <v>-0.17139409999999999</v>
      </c>
      <c r="U6884">
        <v>-6.4849850000000001E-2</v>
      </c>
      <c r="V6884">
        <v>1.380085E-2</v>
      </c>
      <c r="W6884">
        <v>-1.252403E-2</v>
      </c>
      <c r="X6884">
        <v>0.99982629999999995</v>
      </c>
      <c r="Y6884">
        <v>-0.26379920000000001</v>
      </c>
      <c r="Z6884">
        <v>2.2668819999999999E-2</v>
      </c>
      <c r="AA6884">
        <v>0.96431120000000004</v>
      </c>
      <c r="AB6884">
        <v>19</v>
      </c>
      <c r="AC6884">
        <v>20.197599999999898</v>
      </c>
      <c r="AD6884">
        <v>-1.1136198372388999</v>
      </c>
      <c r="AE6884">
        <v>-0.39963000000000098</v>
      </c>
      <c r="AF6884">
        <v>-5.3485682422382501</v>
      </c>
      <c r="AG6884">
        <v>-1.1136198372388999</v>
      </c>
      <c r="AH6884">
        <v>19.4171709960901</v>
      </c>
      <c r="AI6884">
        <v>93.164831292843004</v>
      </c>
      <c r="AJ6884">
        <v>105.400516390638</v>
      </c>
      <c r="AK6884">
        <v>20.171114517427501</v>
      </c>
      <c r="AL6884">
        <v>90.717592841309298</v>
      </c>
      <c r="AM6884">
        <v>89.209182389745607</v>
      </c>
      <c r="AN6884">
        <v>0.999999972479926</v>
      </c>
    </row>
    <row r="6885" spans="1:40" x14ac:dyDescent="0.25">
      <c r="A6885" t="str">
        <f>"20190312160823050"</f>
        <v>20190312160823050</v>
      </c>
      <c r="B6885" t="str">
        <f>"1552378103042005"</f>
        <v>1552378103042005</v>
      </c>
      <c r="C6885" t="s">
        <v>40</v>
      </c>
      <c r="D6885">
        <v>6.1762739999999896</v>
      </c>
      <c r="E6885">
        <v>0.39255659999999998</v>
      </c>
      <c r="F6885" t="s">
        <v>47</v>
      </c>
      <c r="G6885">
        <v>-263.4785</v>
      </c>
      <c r="H6885" s="1">
        <v>-1.098433E-6</v>
      </c>
      <c r="I6885">
        <v>-62.64208</v>
      </c>
      <c r="J6885">
        <v>-282.97500000000002</v>
      </c>
      <c r="K6885">
        <v>1.11359599999999</v>
      </c>
      <c r="L6885">
        <v>-62.27478</v>
      </c>
      <c r="M6885">
        <v>0.95963010000000004</v>
      </c>
      <c r="N6885">
        <v>0</v>
      </c>
      <c r="O6885">
        <v>-0.2809837</v>
      </c>
      <c r="P6885">
        <v>0.95534600000000003</v>
      </c>
      <c r="Q6885">
        <v>-2.5521619999999998E-2</v>
      </c>
      <c r="R6885">
        <v>-0.29438619999999999</v>
      </c>
      <c r="S6885">
        <v>3.119507</v>
      </c>
      <c r="T6885">
        <v>-0.17740819999999999</v>
      </c>
      <c r="U6885">
        <v>-6.1859129999999998E-2</v>
      </c>
      <c r="V6885">
        <v>1.418963E-2</v>
      </c>
      <c r="W6885">
        <v>-1.279987E-2</v>
      </c>
      <c r="X6885">
        <v>0.99981739999999997</v>
      </c>
      <c r="Y6885">
        <v>-0.26105879999999998</v>
      </c>
      <c r="Z6885">
        <v>2.3207709999999999E-2</v>
      </c>
      <c r="AA6885">
        <v>0.96504389999999995</v>
      </c>
      <c r="AB6885">
        <v>19</v>
      </c>
      <c r="AC6885">
        <v>19.496500000000001</v>
      </c>
      <c r="AD6885">
        <v>-1.1135970984329899</v>
      </c>
      <c r="AE6885">
        <v>-0.36730000000000002</v>
      </c>
      <c r="AF6885">
        <v>-5.1094687111839301</v>
      </c>
      <c r="AG6885">
        <v>-1.1135970984329899</v>
      </c>
      <c r="AH6885">
        <v>18.7529633507311</v>
      </c>
      <c r="AI6885">
        <v>93.279114166547799</v>
      </c>
      <c r="AJ6885">
        <v>105.240967599456</v>
      </c>
      <c r="AK6885">
        <v>19.4684463540897</v>
      </c>
      <c r="AL6885">
        <v>90.733398550782894</v>
      </c>
      <c r="AM6885">
        <v>89.186900194514394</v>
      </c>
      <c r="AN6885">
        <v>1.00000000780715</v>
      </c>
    </row>
    <row r="6886" spans="1:40" x14ac:dyDescent="0.25">
      <c r="A6886" t="str">
        <f>"20190312160823062"</f>
        <v>20190312160823062</v>
      </c>
      <c r="B6886" t="str">
        <f>"1552378103052741"</f>
        <v>1552378103052741</v>
      </c>
      <c r="C6886" t="s">
        <v>40</v>
      </c>
      <c r="D6886">
        <v>6.1821219999999997</v>
      </c>
      <c r="E6886">
        <v>0.39333170000000001</v>
      </c>
      <c r="F6886" t="s">
        <v>47</v>
      </c>
      <c r="G6886">
        <v>-263.66849999999999</v>
      </c>
      <c r="H6886" s="1">
        <v>-1.17642E-6</v>
      </c>
      <c r="I6886">
        <v>-62.628860000000003</v>
      </c>
      <c r="J6886">
        <v>-282.8845</v>
      </c>
      <c r="K6886">
        <v>1.1135710000000001</v>
      </c>
      <c r="L6886">
        <v>-62.296509999999998</v>
      </c>
      <c r="M6886">
        <v>0.96072959999999996</v>
      </c>
      <c r="N6886">
        <v>0</v>
      </c>
      <c r="O6886">
        <v>-0.27720119999999998</v>
      </c>
      <c r="P6886">
        <v>0.95641140000000002</v>
      </c>
      <c r="Q6886">
        <v>-2.565454E-2</v>
      </c>
      <c r="R6886">
        <v>-0.29089389999999998</v>
      </c>
      <c r="S6886">
        <v>3.117737</v>
      </c>
      <c r="T6886">
        <v>-0.1798303</v>
      </c>
      <c r="U6886">
        <v>-5.7189940000000002E-2</v>
      </c>
      <c r="V6886">
        <v>1.4477189999999999E-2</v>
      </c>
      <c r="W6886">
        <v>-1.2946330000000001E-2</v>
      </c>
      <c r="X6886">
        <v>0.99981140000000002</v>
      </c>
      <c r="Y6886">
        <v>-0.25867489999999999</v>
      </c>
      <c r="Z6886">
        <v>2.325895E-2</v>
      </c>
      <c r="AA6886">
        <v>0.9656844</v>
      </c>
      <c r="AB6886">
        <v>19</v>
      </c>
      <c r="AC6886">
        <v>19.216000000000001</v>
      </c>
      <c r="AD6886">
        <v>-1.1135721764199999</v>
      </c>
      <c r="AE6886">
        <v>-0.33234999999999798</v>
      </c>
      <c r="AF6886">
        <v>-4.9910396752526296</v>
      </c>
      <c r="AG6886">
        <v>-1.1135721764199999</v>
      </c>
      <c r="AH6886">
        <v>18.492890070190001</v>
      </c>
      <c r="AI6886">
        <v>93.327209050135096</v>
      </c>
      <c r="AJ6886">
        <v>105.103682103354</v>
      </c>
      <c r="AK6886">
        <v>19.186909682910802</v>
      </c>
      <c r="AL6886">
        <v>90.741790779887694</v>
      </c>
      <c r="AM6886">
        <v>89.170419619605795</v>
      </c>
      <c r="AN6886">
        <v>1.0000000160303599</v>
      </c>
    </row>
    <row r="6887" spans="1:40" x14ac:dyDescent="0.25">
      <c r="A6887" t="str">
        <f>"20190312160823073"</f>
        <v>20190312160823073</v>
      </c>
      <c r="B6887" t="str">
        <f>"1552378103062501"</f>
        <v>1552378103062501</v>
      </c>
      <c r="C6887" t="s">
        <v>40</v>
      </c>
      <c r="D6887">
        <v>6.2269639999999997</v>
      </c>
      <c r="E6887">
        <v>0.39431890000000003</v>
      </c>
      <c r="F6887" t="s">
        <v>47</v>
      </c>
      <c r="G6887">
        <v>-264.02050000000003</v>
      </c>
      <c r="H6887" s="1">
        <v>-1.3218819999999999E-6</v>
      </c>
      <c r="I6887">
        <v>-62.607919999999901</v>
      </c>
      <c r="J6887">
        <v>-282.79750000000001</v>
      </c>
      <c r="K6887">
        <v>1.1135459999999999</v>
      </c>
      <c r="L6887">
        <v>-62.317259999999997</v>
      </c>
      <c r="M6887">
        <v>0.96176919999999999</v>
      </c>
      <c r="N6887">
        <v>0</v>
      </c>
      <c r="O6887">
        <v>-0.27357320000000002</v>
      </c>
      <c r="P6887">
        <v>0.95733710000000005</v>
      </c>
      <c r="Q6887">
        <v>-2.5858200000000001E-2</v>
      </c>
      <c r="R6887">
        <v>-0.28781459999999998</v>
      </c>
      <c r="S6887">
        <v>3.1161500000000002</v>
      </c>
      <c r="T6887">
        <v>-0.183952</v>
      </c>
      <c r="U6887">
        <v>-5.1452640000000001E-2</v>
      </c>
      <c r="V6887">
        <v>1.503616E-2</v>
      </c>
      <c r="W6887">
        <v>-1.316146E-2</v>
      </c>
      <c r="X6887">
        <v>0.99980029999999998</v>
      </c>
      <c r="Y6887">
        <v>-0.25676529999999997</v>
      </c>
      <c r="Z6887">
        <v>2.3541079999999999E-2</v>
      </c>
      <c r="AA6887">
        <v>0.96618709999999997</v>
      </c>
      <c r="AB6887">
        <v>19</v>
      </c>
      <c r="AC6887">
        <v>18.776999999999902</v>
      </c>
      <c r="AD6887">
        <v>-1.113547321882</v>
      </c>
      <c r="AE6887">
        <v>-0.29065999999999498</v>
      </c>
      <c r="AF6887">
        <v>-4.8406988433207196</v>
      </c>
      <c r="AG6887">
        <v>-1.113547321882</v>
      </c>
      <c r="AH6887">
        <v>18.0765287145591</v>
      </c>
      <c r="AI6887">
        <v>93.405380251434806</v>
      </c>
      <c r="AJ6887">
        <v>104.991445885961</v>
      </c>
      <c r="AK6887">
        <v>18.746552837737301</v>
      </c>
      <c r="AL6887">
        <v>90.754117902036199</v>
      </c>
      <c r="AM6887">
        <v>89.138384369436196</v>
      </c>
      <c r="AN6887">
        <v>0.99999997500848303</v>
      </c>
    </row>
    <row r="6888" spans="1:40" x14ac:dyDescent="0.25">
      <c r="A6888" t="str">
        <f>"20190312160823084"</f>
        <v>20190312160823084</v>
      </c>
      <c r="B6888" t="str">
        <f>"1552378103072261"</f>
        <v>1552378103072261</v>
      </c>
      <c r="C6888" t="s">
        <v>40</v>
      </c>
      <c r="D6888">
        <v>6.1678139999999999</v>
      </c>
      <c r="E6888">
        <v>0.39501760000000002</v>
      </c>
      <c r="F6888" t="s">
        <v>47</v>
      </c>
      <c r="G6888">
        <v>-264.33980000000003</v>
      </c>
      <c r="H6888" s="1">
        <v>-1.4584770000000001E-6</v>
      </c>
      <c r="I6888">
        <v>-62.6066199999999</v>
      </c>
      <c r="J6888">
        <v>-282.70839999999998</v>
      </c>
      <c r="K6888">
        <v>1.113521</v>
      </c>
      <c r="L6888">
        <v>-62.337919999999997</v>
      </c>
      <c r="M6888">
        <v>0.96280969999999999</v>
      </c>
      <c r="N6888">
        <v>0</v>
      </c>
      <c r="O6888">
        <v>-0.26988959999999901</v>
      </c>
      <c r="P6888">
        <v>0.95829660000000005</v>
      </c>
      <c r="Q6888">
        <v>-2.6096060000000001E-2</v>
      </c>
      <c r="R6888">
        <v>-0.28458149999999999</v>
      </c>
      <c r="S6888">
        <v>3.113953</v>
      </c>
      <c r="T6888">
        <v>-0.187863</v>
      </c>
      <c r="U6888">
        <v>-4.8828129999999997E-2</v>
      </c>
      <c r="V6888">
        <v>1.5491929999999999E-2</v>
      </c>
      <c r="W6888">
        <v>-1.341794E-2</v>
      </c>
      <c r="X6888">
        <v>0.99978999999999996</v>
      </c>
      <c r="Y6888">
        <v>-0.25383929999999999</v>
      </c>
      <c r="Z6888">
        <v>2.3754819999999999E-2</v>
      </c>
      <c r="AA6888">
        <v>0.9669546</v>
      </c>
      <c r="AB6888">
        <v>19</v>
      </c>
      <c r="AC6888">
        <v>18.368599999999901</v>
      </c>
      <c r="AD6888">
        <v>-1.113522458477</v>
      </c>
      <c r="AE6888">
        <v>-0.268699999999995</v>
      </c>
      <c r="AF6888">
        <v>-4.6819541938429001</v>
      </c>
      <c r="AG6888">
        <v>-1.113522458477</v>
      </c>
      <c r="AH6888">
        <v>17.6943693407433</v>
      </c>
      <c r="AI6888">
        <v>93.481423674076197</v>
      </c>
      <c r="AJ6888">
        <v>104.82088328725099</v>
      </c>
      <c r="AK6888">
        <v>18.3371571871273</v>
      </c>
      <c r="AL6888">
        <v>90.768814369918402</v>
      </c>
      <c r="AM6888">
        <v>89.112262398938299</v>
      </c>
      <c r="AN6888">
        <v>1.0000000425544799</v>
      </c>
    </row>
    <row r="6889" spans="1:40" x14ac:dyDescent="0.25">
      <c r="A6889" t="str">
        <f>"20190312160823096"</f>
        <v>20190312160823096</v>
      </c>
      <c r="B6889" t="str">
        <f>"1552378103092757"</f>
        <v>1552378103092757</v>
      </c>
      <c r="C6889" t="s">
        <v>40</v>
      </c>
      <c r="D6889">
        <v>6.1884769999999998</v>
      </c>
      <c r="E6889">
        <v>0.3963719</v>
      </c>
      <c r="F6889" t="s">
        <v>47</v>
      </c>
      <c r="G6889">
        <v>-264.50630000000001</v>
      </c>
      <c r="H6889" s="1">
        <v>-1.5261460000000001E-6</v>
      </c>
      <c r="I6889">
        <v>-62.592350000000003</v>
      </c>
      <c r="J6889">
        <v>-282.6123</v>
      </c>
      <c r="K6889">
        <v>1.11348799999999</v>
      </c>
      <c r="L6889">
        <v>-62.360050000000001</v>
      </c>
      <c r="M6889">
        <v>0.96391269999999996</v>
      </c>
      <c r="N6889">
        <v>0</v>
      </c>
      <c r="O6889">
        <v>-0.2659242</v>
      </c>
      <c r="P6889">
        <v>0.95938210000000002</v>
      </c>
      <c r="Q6889">
        <v>-2.619776E-2</v>
      </c>
      <c r="R6889">
        <v>-0.28089130000000001</v>
      </c>
      <c r="S6889">
        <v>3.112457</v>
      </c>
      <c r="T6889">
        <v>-0.1904062</v>
      </c>
      <c r="U6889">
        <v>-4.3518069999999999E-2</v>
      </c>
      <c r="V6889">
        <v>1.5760389999999999E-2</v>
      </c>
      <c r="W6889">
        <v>-1.354263E-2</v>
      </c>
      <c r="X6889">
        <v>0.99978409999999995</v>
      </c>
      <c r="Y6889">
        <v>-0.25148480000000001</v>
      </c>
      <c r="Z6889">
        <v>2.3781460000000001E-2</v>
      </c>
      <c r="AA6889">
        <v>0.96756900000000001</v>
      </c>
      <c r="AB6889">
        <v>19</v>
      </c>
      <c r="AC6889">
        <v>18.105999999999899</v>
      </c>
      <c r="AD6889">
        <v>-1.1134895261459901</v>
      </c>
      <c r="AE6889">
        <v>-0.232300000000002</v>
      </c>
      <c r="AF6889">
        <v>-4.5739700809280004</v>
      </c>
      <c r="AG6889">
        <v>-1.1134895261459901</v>
      </c>
      <c r="AH6889">
        <v>17.4497642925656</v>
      </c>
      <c r="AI6889">
        <v>93.532148954855003</v>
      </c>
      <c r="AJ6889">
        <v>104.688049478865</v>
      </c>
      <c r="AK6889">
        <v>18.073608801015901</v>
      </c>
      <c r="AL6889">
        <v>90.775959247332295</v>
      </c>
      <c r="AM6889">
        <v>89.096875971860996</v>
      </c>
      <c r="AN6889">
        <v>1.00000001966653</v>
      </c>
    </row>
    <row r="6890" spans="1:40" x14ac:dyDescent="0.25">
      <c r="A6890" t="str">
        <f>"20190312160823107"</f>
        <v>20190312160823107</v>
      </c>
      <c r="B6890" t="str">
        <f>"1552378103102524"</f>
        <v>1552378103102524</v>
      </c>
      <c r="C6890" t="s">
        <v>40</v>
      </c>
      <c r="D6890">
        <v>6.2184970000000002</v>
      </c>
      <c r="E6890">
        <v>0.3960475</v>
      </c>
      <c r="F6890" t="s">
        <v>47</v>
      </c>
      <c r="G6890">
        <v>-264.64609999999999</v>
      </c>
      <c r="H6890" s="1">
        <v>-1.5886529999999999E-6</v>
      </c>
      <c r="I6890">
        <v>-62.601900000000001</v>
      </c>
      <c r="J6890">
        <v>-282.52080000000001</v>
      </c>
      <c r="K6890">
        <v>1.113456</v>
      </c>
      <c r="L6890">
        <v>-62.380650000000003</v>
      </c>
      <c r="M6890">
        <v>0.96493810000000002</v>
      </c>
      <c r="N6890">
        <v>0</v>
      </c>
      <c r="O6890">
        <v>-0.262181099999999</v>
      </c>
      <c r="P6890">
        <v>0.96031120000000003</v>
      </c>
      <c r="Q6890">
        <v>-2.6150159999999999E-2</v>
      </c>
      <c r="R6890">
        <v>-0.27770319999999998</v>
      </c>
      <c r="S6890">
        <v>3.109467</v>
      </c>
      <c r="T6890">
        <v>-0.192715</v>
      </c>
      <c r="U6890">
        <v>-4.1870119999999997E-2</v>
      </c>
      <c r="V6890">
        <v>1.6318409999999998E-2</v>
      </c>
      <c r="W6890">
        <v>-1.3516449999999999E-2</v>
      </c>
      <c r="X6890">
        <v>0.99977550000000004</v>
      </c>
      <c r="Y6890">
        <v>-0.2482153</v>
      </c>
      <c r="Z6890">
        <v>2.37664E-2</v>
      </c>
      <c r="AA6890">
        <v>0.96841330000000003</v>
      </c>
      <c r="AB6890">
        <v>19</v>
      </c>
      <c r="AC6890">
        <v>17.874700000000001</v>
      </c>
      <c r="AD6890">
        <v>-1.113457588653</v>
      </c>
      <c r="AE6890">
        <v>-0.221249999999997</v>
      </c>
      <c r="AF6890">
        <v>-4.45597578475547</v>
      </c>
      <c r="AG6890">
        <v>-1.113457588653</v>
      </c>
      <c r="AH6890">
        <v>17.2404440706541</v>
      </c>
      <c r="AI6890">
        <v>93.578004769435097</v>
      </c>
      <c r="AJ6890">
        <v>104.491569835896</v>
      </c>
      <c r="AK6890">
        <v>17.841760556329799</v>
      </c>
      <c r="AL6890">
        <v>90.774459108100402</v>
      </c>
      <c r="AM6890">
        <v>89.064897063778801</v>
      </c>
      <c r="AN6890">
        <v>1.00000001766289</v>
      </c>
    </row>
    <row r="6891" spans="1:40" x14ac:dyDescent="0.25">
      <c r="A6891" t="str">
        <f>"20190312160823119"</f>
        <v>20190312160823119</v>
      </c>
      <c r="B6891" t="str">
        <f>"1552378103112277"</f>
        <v>1552378103112277</v>
      </c>
      <c r="C6891" t="s">
        <v>40</v>
      </c>
      <c r="D6891">
        <v>6.1858810000000002</v>
      </c>
      <c r="E6891">
        <v>0.3960475</v>
      </c>
      <c r="F6891" t="s">
        <v>47</v>
      </c>
      <c r="G6891">
        <v>-264.39679999999998</v>
      </c>
      <c r="H6891" s="1">
        <v>-1.4679439999999999E-6</v>
      </c>
      <c r="I6891">
        <v>-62.550220000000003</v>
      </c>
      <c r="J6891">
        <v>-282.42880000000002</v>
      </c>
      <c r="K6891">
        <v>1.113426</v>
      </c>
      <c r="L6891">
        <v>-62.401029999999999</v>
      </c>
      <c r="M6891">
        <v>0.96594829999999998</v>
      </c>
      <c r="N6891">
        <v>0</v>
      </c>
      <c r="O6891">
        <v>-0.25843529999999998</v>
      </c>
      <c r="P6891">
        <v>0.96133440000000003</v>
      </c>
      <c r="Q6891">
        <v>-2.6280169999999999E-2</v>
      </c>
      <c r="R6891">
        <v>-0.27412779999999998</v>
      </c>
      <c r="S6891">
        <v>3.110382</v>
      </c>
      <c r="T6891">
        <v>-0.19108820000000001</v>
      </c>
      <c r="U6891">
        <v>-2.9113770000000001E-2</v>
      </c>
      <c r="V6891">
        <v>1.6478550000000002E-2</v>
      </c>
      <c r="W6891">
        <v>-1.3670989999999999E-2</v>
      </c>
      <c r="X6891">
        <v>0.99977079999999996</v>
      </c>
      <c r="Y6891">
        <v>-0.2484557</v>
      </c>
      <c r="Z6891">
        <v>2.3345729999999999E-2</v>
      </c>
      <c r="AA6891">
        <v>0.9683619</v>
      </c>
      <c r="AB6891">
        <v>19</v>
      </c>
      <c r="AC6891">
        <v>18.032</v>
      </c>
      <c r="AD6891">
        <v>-1.1134274679439999</v>
      </c>
      <c r="AE6891">
        <v>-0.14918999999999</v>
      </c>
      <c r="AF6891">
        <v>-4.4991926747414404</v>
      </c>
      <c r="AG6891">
        <v>-1.1134274679439999</v>
      </c>
      <c r="AH6891">
        <v>17.391584543534101</v>
      </c>
      <c r="AI6891">
        <v>93.546689611349706</v>
      </c>
      <c r="AJ6891">
        <v>104.50439431328699</v>
      </c>
      <c r="AK6891">
        <v>17.998601845302201</v>
      </c>
      <c r="AL6891">
        <v>90.783314394089501</v>
      </c>
      <c r="AM6891">
        <v>89.055717687361906</v>
      </c>
      <c r="AN6891">
        <v>1.0000000455551601</v>
      </c>
    </row>
    <row r="6892" spans="1:40" x14ac:dyDescent="0.25">
      <c r="A6892" t="str">
        <f>"20190312160823129"</f>
        <v>20190312160823129</v>
      </c>
      <c r="B6892" t="str">
        <f>"1552378103122037"</f>
        <v>1552378103122037</v>
      </c>
      <c r="C6892" t="s">
        <v>40</v>
      </c>
      <c r="D6892">
        <v>6.1473370000000003</v>
      </c>
      <c r="E6892">
        <v>0.37025350000000001</v>
      </c>
      <c r="F6892" t="s">
        <v>47</v>
      </c>
      <c r="G6892">
        <v>-264.3408</v>
      </c>
      <c r="H6892" s="1">
        <v>-1.431401E-6</v>
      </c>
      <c r="I6892">
        <v>-62.503189999999996</v>
      </c>
      <c r="J6892">
        <v>-282.33980000000003</v>
      </c>
      <c r="K6892">
        <v>1.1133949999999999</v>
      </c>
      <c r="L6892">
        <v>-62.420439999999999</v>
      </c>
      <c r="M6892">
        <v>0.9669046</v>
      </c>
      <c r="N6892">
        <v>0</v>
      </c>
      <c r="O6892">
        <v>-0.25483529999999999</v>
      </c>
      <c r="P6892">
        <v>0.96229390000000004</v>
      </c>
      <c r="Q6892">
        <v>-2.6114769999999999E-2</v>
      </c>
      <c r="R6892">
        <v>-0.2707562</v>
      </c>
      <c r="S6892">
        <v>3.1104430000000001</v>
      </c>
      <c r="T6892">
        <v>-0.1914669</v>
      </c>
      <c r="U6892">
        <v>-1.7578130000000001E-2</v>
      </c>
      <c r="V6892">
        <v>1.6694770000000001E-2</v>
      </c>
      <c r="W6892">
        <v>-1.3527859999999999E-2</v>
      </c>
      <c r="X6892">
        <v>0.99976909999999997</v>
      </c>
      <c r="Y6892">
        <v>-0.2484422</v>
      </c>
      <c r="Z6892">
        <v>2.3177730000000001E-2</v>
      </c>
      <c r="AA6892">
        <v>0.96836940000000005</v>
      </c>
      <c r="AB6892">
        <v>19</v>
      </c>
      <c r="AC6892">
        <v>17.998999999999999</v>
      </c>
      <c r="AD6892">
        <v>-1.1133964314010001</v>
      </c>
      <c r="AE6892">
        <v>-8.2750000000004306E-2</v>
      </c>
      <c r="AF6892">
        <v>-4.4899368900295</v>
      </c>
      <c r="AG6892">
        <v>-1.1133964314010001</v>
      </c>
      <c r="AH6892">
        <v>17.359325163196502</v>
      </c>
      <c r="AI6892">
        <v>93.553209931848997</v>
      </c>
      <c r="AJ6892">
        <v>104.50157822169101</v>
      </c>
      <c r="AK6892">
        <v>17.9651149456799</v>
      </c>
      <c r="AL6892">
        <v>90.775112937386496</v>
      </c>
      <c r="AM6892">
        <v>89.043328137152301</v>
      </c>
      <c r="AN6892">
        <v>0.99999998582817096</v>
      </c>
    </row>
    <row r="6893" spans="1:40" x14ac:dyDescent="0.25">
      <c r="A6893" t="str">
        <f>"20190312160823142"</f>
        <v>20190312160823142</v>
      </c>
      <c r="B6893" t="str">
        <f>"1552378103132773"</f>
        <v>1552378103132773</v>
      </c>
      <c r="C6893" t="s">
        <v>40</v>
      </c>
      <c r="D6893">
        <v>6.170757</v>
      </c>
      <c r="E6893">
        <v>0.36900100000000002</v>
      </c>
      <c r="F6893" t="s">
        <v>115</v>
      </c>
      <c r="G6893">
        <v>-252.14449999999999</v>
      </c>
      <c r="H6893" s="1">
        <v>-1.116707E-7</v>
      </c>
      <c r="I6893">
        <v>-60.633389999999999</v>
      </c>
      <c r="J6893">
        <v>-282.24790000000002</v>
      </c>
      <c r="K6893">
        <v>1.1133649999999999</v>
      </c>
      <c r="L6893">
        <v>-62.440119999999901</v>
      </c>
      <c r="M6893">
        <v>0.9678717</v>
      </c>
      <c r="N6893">
        <v>0</v>
      </c>
      <c r="O6893">
        <v>-0.25113829999999998</v>
      </c>
      <c r="P6893">
        <v>0.96328570000000002</v>
      </c>
      <c r="Q6893">
        <v>-2.6303750000000001E-2</v>
      </c>
      <c r="R6893">
        <v>-0.26718700000000001</v>
      </c>
      <c r="S6893">
        <v>3.1671140000000002</v>
      </c>
      <c r="T6893">
        <v>-0.1167811</v>
      </c>
      <c r="U6893">
        <v>0.18743899999999999</v>
      </c>
      <c r="V6893">
        <v>1.6811840000000002E-2</v>
      </c>
      <c r="W6893">
        <v>-1.3741110000000001E-2</v>
      </c>
      <c r="X6893">
        <v>0.99976430000000005</v>
      </c>
      <c r="Y6893">
        <v>-0.30752770000000001</v>
      </c>
      <c r="Z6893">
        <v>1.485445E-2</v>
      </c>
      <c r="AA6893">
        <v>0.95142320000000002</v>
      </c>
      <c r="AB6893">
        <v>19</v>
      </c>
      <c r="AC6893">
        <v>30.103400000000001</v>
      </c>
      <c r="AD6893">
        <v>-1.1133651116707</v>
      </c>
      <c r="AE6893">
        <v>1.80672999999998</v>
      </c>
      <c r="AF6893">
        <v>-9.2968448439513693</v>
      </c>
      <c r="AG6893">
        <v>-1.1133651116707</v>
      </c>
      <c r="AH6893">
        <v>28.645654755241601</v>
      </c>
      <c r="AI6893">
        <v>92.117179615266195</v>
      </c>
      <c r="AJ6893">
        <v>107.98065327855601</v>
      </c>
      <c r="AK6893">
        <v>30.1370941246977</v>
      </c>
      <c r="AL6893">
        <v>90.787332343307199</v>
      </c>
      <c r="AM6893">
        <v>89.036616230091894</v>
      </c>
      <c r="AN6893">
        <v>1.00000005581135</v>
      </c>
    </row>
    <row r="6894" spans="1:40" x14ac:dyDescent="0.25">
      <c r="A6894" t="str">
        <f>"20190312160823155"</f>
        <v>20190312160823155</v>
      </c>
      <c r="B6894" t="str">
        <f>"1552378103152293"</f>
        <v>1552378103152293</v>
      </c>
      <c r="C6894" t="s">
        <v>40</v>
      </c>
      <c r="D6894">
        <v>6.1188330000000004</v>
      </c>
      <c r="E6894">
        <v>0.36876530000000002</v>
      </c>
      <c r="F6894" t="s">
        <v>115</v>
      </c>
      <c r="G6894">
        <v>-251.7475</v>
      </c>
      <c r="H6894" s="1">
        <v>1.034639E-7</v>
      </c>
      <c r="I6894">
        <v>-60.431730000000002</v>
      </c>
      <c r="J6894">
        <v>-282.14519999999999</v>
      </c>
      <c r="K6894">
        <v>1.1133309999999901</v>
      </c>
      <c r="L6894">
        <v>-62.461820000000003</v>
      </c>
      <c r="M6894">
        <v>0.96892990000000001</v>
      </c>
      <c r="N6894">
        <v>0</v>
      </c>
      <c r="O6894">
        <v>-0.24702540000000001</v>
      </c>
      <c r="P6894">
        <v>0.96442099999999997</v>
      </c>
      <c r="Q6894">
        <v>-2.6109500000000001E-2</v>
      </c>
      <c r="R6894">
        <v>-0.2630788</v>
      </c>
      <c r="S6894">
        <v>3.169098</v>
      </c>
      <c r="T6894">
        <v>-0.1156826</v>
      </c>
      <c r="U6894">
        <v>0.20867920000000001</v>
      </c>
      <c r="V6894">
        <v>1.6792939999999999E-2</v>
      </c>
      <c r="W6894">
        <v>-1.3575230000000001E-2</v>
      </c>
      <c r="X6894">
        <v>0.99976679999999996</v>
      </c>
      <c r="Y6894">
        <v>-0.30981150000000002</v>
      </c>
      <c r="Z6894">
        <v>1.4599229999999999E-2</v>
      </c>
      <c r="AA6894">
        <v>0.95068589999999997</v>
      </c>
      <c r="AB6894">
        <v>19</v>
      </c>
      <c r="AC6894">
        <v>30.397699999999901</v>
      </c>
      <c r="AD6894">
        <v>-1.1133308965361</v>
      </c>
      <c r="AE6894">
        <v>2.0300899999999902</v>
      </c>
      <c r="AF6894">
        <v>-9.4641062890372591</v>
      </c>
      <c r="AG6894">
        <v>-1.1133308965361</v>
      </c>
      <c r="AH6894">
        <v>28.915360426947899</v>
      </c>
      <c r="AI6894">
        <v>92.095683438908296</v>
      </c>
      <c r="AJ6894">
        <v>108.1234664382</v>
      </c>
      <c r="AK6894">
        <v>30.4451454612337</v>
      </c>
      <c r="AL6894">
        <v>90.777827298473099</v>
      </c>
      <c r="AM6894">
        <v>89.037701475631195</v>
      </c>
      <c r="AN6894">
        <v>0.99999997204281699</v>
      </c>
    </row>
    <row r="6895" spans="1:40" x14ac:dyDescent="0.25">
      <c r="A6895" t="str">
        <f>"20190312160823167"</f>
        <v>20190312160823167</v>
      </c>
      <c r="B6895" t="str">
        <f>"1552378103162054"</f>
        <v>1552378103162054</v>
      </c>
      <c r="C6895" t="s">
        <v>40</v>
      </c>
      <c r="D6895">
        <v>6.1381829999999997</v>
      </c>
      <c r="E6895">
        <v>0.36887959999999997</v>
      </c>
      <c r="F6895" t="s">
        <v>115</v>
      </c>
      <c r="G6895">
        <v>-251.37559999999999</v>
      </c>
      <c r="H6895" s="1">
        <v>2.52394E-7</v>
      </c>
      <c r="I6895">
        <v>-60.28725</v>
      </c>
      <c r="J6895">
        <v>-282.0367</v>
      </c>
      <c r="K6895">
        <v>1.113294</v>
      </c>
      <c r="L6895">
        <v>-62.48413</v>
      </c>
      <c r="M6895">
        <v>0.97001709999999997</v>
      </c>
      <c r="N6895">
        <v>0</v>
      </c>
      <c r="O6895">
        <v>-0.2427231</v>
      </c>
      <c r="P6895">
        <v>0.96567060000000005</v>
      </c>
      <c r="Q6895">
        <v>-2.5894839999999999E-2</v>
      </c>
      <c r="R6895">
        <v>-0.25847589999999998</v>
      </c>
      <c r="S6895">
        <v>3.1686709999999998</v>
      </c>
      <c r="T6895">
        <v>-0.1146513</v>
      </c>
      <c r="U6895">
        <v>0.223938</v>
      </c>
      <c r="V6895">
        <v>1.6457240000000001E-2</v>
      </c>
      <c r="W6895">
        <v>-1.3401150000000001E-2</v>
      </c>
      <c r="X6895">
        <v>0.99977479999999996</v>
      </c>
      <c r="Y6895">
        <v>-0.31016670000000002</v>
      </c>
      <c r="Z6895">
        <v>1.432407E-2</v>
      </c>
      <c r="AA6895">
        <v>0.95057429999999998</v>
      </c>
      <c r="AB6895">
        <v>19</v>
      </c>
      <c r="AC6895">
        <v>30.661100000000001</v>
      </c>
      <c r="AD6895">
        <v>-1.1132937476060001</v>
      </c>
      <c r="AE6895">
        <v>2.1968800000000002</v>
      </c>
      <c r="AF6895">
        <v>-9.5613563776039605</v>
      </c>
      <c r="AG6895">
        <v>-1.1132937476060001</v>
      </c>
      <c r="AH6895">
        <v>29.172518263000299</v>
      </c>
      <c r="AI6895">
        <v>92.0768815907891</v>
      </c>
      <c r="AJ6895">
        <v>108.14666955431299</v>
      </c>
      <c r="AK6895">
        <v>30.7196155664925</v>
      </c>
      <c r="AL6895">
        <v>90.767852288402906</v>
      </c>
      <c r="AM6895">
        <v>89.056942381492803</v>
      </c>
      <c r="AN6895">
        <v>1.0000000411423799</v>
      </c>
    </row>
    <row r="6896" spans="1:40" x14ac:dyDescent="0.25">
      <c r="A6896" t="str">
        <f>"20190312160823180"</f>
        <v>20190312160823180</v>
      </c>
      <c r="B6896" t="str">
        <f>"1552378103172788"</f>
        <v>1552378103172788</v>
      </c>
      <c r="C6896" t="s">
        <v>40</v>
      </c>
      <c r="D6896">
        <v>6.1601569999999999</v>
      </c>
      <c r="E6896">
        <v>0.36903999999999998</v>
      </c>
      <c r="F6896" t="s">
        <v>115</v>
      </c>
      <c r="G6896">
        <v>-251.41380000000001</v>
      </c>
      <c r="H6896" s="1">
        <v>2.124534E-7</v>
      </c>
      <c r="I6896">
        <v>-60.180660000000003</v>
      </c>
      <c r="J6896">
        <v>-281.93680000000001</v>
      </c>
      <c r="K6896">
        <v>1.113262</v>
      </c>
      <c r="L6896">
        <v>-62.504330000000003</v>
      </c>
      <c r="M6896">
        <v>0.97099440000000004</v>
      </c>
      <c r="N6896">
        <v>0</v>
      </c>
      <c r="O6896">
        <v>-0.23878540000000001</v>
      </c>
      <c r="P6896">
        <v>0.9668525</v>
      </c>
      <c r="Q6896">
        <v>-2.591883E-2</v>
      </c>
      <c r="R6896">
        <v>-0.25401699999999999</v>
      </c>
      <c r="S6896">
        <v>3.1673580000000001</v>
      </c>
      <c r="T6896">
        <v>-0.115149</v>
      </c>
      <c r="U6896">
        <v>0.23825070000000001</v>
      </c>
      <c r="V6896">
        <v>1.5900190000000002E-2</v>
      </c>
      <c r="W6896">
        <v>-1.346718E-2</v>
      </c>
      <c r="X6896">
        <v>0.99978290000000003</v>
      </c>
      <c r="Y6896">
        <v>-0.31060910000000003</v>
      </c>
      <c r="Z6896">
        <v>1.4258730000000001E-2</v>
      </c>
      <c r="AA6896">
        <v>0.95043080000000002</v>
      </c>
      <c r="AB6896">
        <v>19</v>
      </c>
      <c r="AC6896">
        <v>30.523</v>
      </c>
      <c r="AD6896">
        <v>-1.1132617875466</v>
      </c>
      <c r="AE6896">
        <v>2.3236699999999999</v>
      </c>
      <c r="AF6896">
        <v>-9.5328317968140706</v>
      </c>
      <c r="AG6896">
        <v>-1.1132617875466</v>
      </c>
      <c r="AH6896">
        <v>29.0465883444481</v>
      </c>
      <c r="AI6896">
        <v>92.085547190128693</v>
      </c>
      <c r="AJ6896">
        <v>108.16937561941501</v>
      </c>
      <c r="AK6896">
        <v>30.591151144175502</v>
      </c>
      <c r="AL6896">
        <v>90.771635890911199</v>
      </c>
      <c r="AM6896">
        <v>89.088865206838307</v>
      </c>
      <c r="AN6896">
        <v>1.0000000140557901</v>
      </c>
    </row>
    <row r="6897" spans="1:40" x14ac:dyDescent="0.25">
      <c r="A6897" t="str">
        <f>"20190312160823191"</f>
        <v>20190312160823191</v>
      </c>
      <c r="B6897" t="str">
        <f>"1552378103182549"</f>
        <v>1552378103182549</v>
      </c>
      <c r="C6897" t="s">
        <v>40</v>
      </c>
      <c r="D6897">
        <v>6.1955929999999997</v>
      </c>
      <c r="E6897">
        <v>0.36955070000000001</v>
      </c>
      <c r="F6897" t="s">
        <v>115</v>
      </c>
      <c r="G6897">
        <v>-251.0513</v>
      </c>
      <c r="H6897" s="1">
        <v>3.390312E-7</v>
      </c>
      <c r="I6897">
        <v>-60.049930000000003</v>
      </c>
      <c r="J6897">
        <v>-281.83859999999999</v>
      </c>
      <c r="K6897">
        <v>1.1132340000000001</v>
      </c>
      <c r="L6897">
        <v>-62.523859999999999</v>
      </c>
      <c r="M6897">
        <v>0.97193410000000002</v>
      </c>
      <c r="N6897">
        <v>0</v>
      </c>
      <c r="O6897">
        <v>-0.23493249999999999</v>
      </c>
      <c r="P6897">
        <v>0.96788909999999995</v>
      </c>
      <c r="Q6897">
        <v>-2.600976E-2</v>
      </c>
      <c r="R6897">
        <v>-0.25002809999999998</v>
      </c>
      <c r="S6897">
        <v>3.1658940000000002</v>
      </c>
      <c r="T6897">
        <v>-0.1141139</v>
      </c>
      <c r="U6897">
        <v>0.2515869</v>
      </c>
      <c r="V6897">
        <v>1.5744040000000001E-2</v>
      </c>
      <c r="W6897">
        <v>-1.3598819999999999E-2</v>
      </c>
      <c r="X6897">
        <v>0.99978359999999999</v>
      </c>
      <c r="Y6897">
        <v>-0.31086069999999999</v>
      </c>
      <c r="Z6897">
        <v>1.4004259999999999E-2</v>
      </c>
      <c r="AA6897">
        <v>0.95035230000000004</v>
      </c>
      <c r="AB6897">
        <v>19</v>
      </c>
      <c r="AC6897">
        <v>30.787299999999899</v>
      </c>
      <c r="AD6897">
        <v>-1.1132336609688001</v>
      </c>
      <c r="AE6897">
        <v>2.47392999999999</v>
      </c>
      <c r="AF6897">
        <v>-9.6256567039805194</v>
      </c>
      <c r="AG6897">
        <v>-1.1132336609688001</v>
      </c>
      <c r="AH6897">
        <v>29.306162270430899</v>
      </c>
      <c r="AI6897">
        <v>92.066879298503807</v>
      </c>
      <c r="AJ6897">
        <v>108.182850237548</v>
      </c>
      <c r="AK6897">
        <v>30.8665466676728</v>
      </c>
      <c r="AL6897">
        <v>90.779178989642702</v>
      </c>
      <c r="AM6897">
        <v>89.097812276495404</v>
      </c>
      <c r="AN6897">
        <v>1.0000000247649301</v>
      </c>
    </row>
    <row r="6898" spans="1:40" x14ac:dyDescent="0.25">
      <c r="A6898" t="str">
        <f>"20190312160823202"</f>
        <v>20190312160823202</v>
      </c>
      <c r="B6898" t="str">
        <f>"1552378103192309"</f>
        <v>1552378103192309</v>
      </c>
      <c r="C6898" t="s">
        <v>40</v>
      </c>
      <c r="D6898">
        <v>6.1945110000000003</v>
      </c>
      <c r="E6898">
        <v>0.37005179999999999</v>
      </c>
      <c r="F6898" t="s">
        <v>115</v>
      </c>
      <c r="G6898">
        <v>-251.6686</v>
      </c>
      <c r="H6898" s="1">
        <v>7.1441999999999999E-8</v>
      </c>
      <c r="I6898">
        <v>-60.037399999999998</v>
      </c>
      <c r="J6898">
        <v>-281.7586</v>
      </c>
      <c r="K6898">
        <v>1.113211</v>
      </c>
      <c r="L6898">
        <v>-62.539369999999998</v>
      </c>
      <c r="M6898">
        <v>0.97268069999999895</v>
      </c>
      <c r="N6898">
        <v>0</v>
      </c>
      <c r="O6898">
        <v>-0.2318238</v>
      </c>
      <c r="P6898">
        <v>0.96877259999999998</v>
      </c>
      <c r="Q6898">
        <v>-2.6129090000000001E-2</v>
      </c>
      <c r="R6898">
        <v>-0.2465707</v>
      </c>
      <c r="S6898">
        <v>3.1637569999999999</v>
      </c>
      <c r="T6898">
        <v>-0.1167387</v>
      </c>
      <c r="U6898">
        <v>0.26074219999999998</v>
      </c>
      <c r="V6898">
        <v>1.537227E-2</v>
      </c>
      <c r="W6898">
        <v>-1.375476E-2</v>
      </c>
      <c r="X6898">
        <v>0.99978719999999999</v>
      </c>
      <c r="Y6898">
        <v>-0.31059059999999999</v>
      </c>
      <c r="Z6898">
        <v>1.421732E-2</v>
      </c>
      <c r="AA6898">
        <v>0.95043750000000005</v>
      </c>
      <c r="AB6898">
        <v>19</v>
      </c>
      <c r="AC6898">
        <v>30.09</v>
      </c>
      <c r="AD6898">
        <v>-1.1132109285580001</v>
      </c>
      <c r="AE6898">
        <v>2.50197</v>
      </c>
      <c r="AF6898">
        <v>-9.3971281534290299</v>
      </c>
      <c r="AG6898">
        <v>-1.1132109285580001</v>
      </c>
      <c r="AH6898">
        <v>28.651151871912202</v>
      </c>
      <c r="AI6898">
        <v>92.114338362061602</v>
      </c>
      <c r="AJ6898">
        <v>108.158678588949</v>
      </c>
      <c r="AK6898">
        <v>30.173394898333999</v>
      </c>
      <c r="AL6898">
        <v>90.788114570082698</v>
      </c>
      <c r="AM6898">
        <v>89.119115751969105</v>
      </c>
      <c r="AN6898">
        <v>0.99999997269572405</v>
      </c>
    </row>
    <row r="6899" spans="1:40" x14ac:dyDescent="0.25">
      <c r="A6899" t="str">
        <f>"20190312160823211"</f>
        <v>20190312160823211</v>
      </c>
      <c r="B6899" t="str">
        <f>"1552378103202070"</f>
        <v>1552378103202070</v>
      </c>
      <c r="C6899" t="s">
        <v>40</v>
      </c>
      <c r="D6899">
        <v>6.16899</v>
      </c>
      <c r="E6899">
        <v>0.37062020000000001</v>
      </c>
      <c r="F6899" t="s">
        <v>115</v>
      </c>
      <c r="G6899">
        <v>-252.06299999999999</v>
      </c>
      <c r="H6899" s="1">
        <v>-1.015623E-7</v>
      </c>
      <c r="I6899">
        <v>-60.020240000000001</v>
      </c>
      <c r="J6899">
        <v>-281.67450000000002</v>
      </c>
      <c r="K6899">
        <v>1.1131850000000001</v>
      </c>
      <c r="L6899">
        <v>-62.555570000000003</v>
      </c>
      <c r="M6899">
        <v>0.97345219999999999</v>
      </c>
      <c r="N6899">
        <v>0</v>
      </c>
      <c r="O6899">
        <v>-0.2285654</v>
      </c>
      <c r="P6899">
        <v>0.96966240000000004</v>
      </c>
      <c r="Q6899">
        <v>-2.6323220000000001E-2</v>
      </c>
      <c r="R6899">
        <v>-0.24302760000000001</v>
      </c>
      <c r="S6899">
        <v>3.1617739999999999</v>
      </c>
      <c r="T6899">
        <v>-0.1185271</v>
      </c>
      <c r="U6899">
        <v>0.26821899999999999</v>
      </c>
      <c r="V6899">
        <v>1.5068059999999999E-2</v>
      </c>
      <c r="W6899">
        <v>-1.3986810000000001E-2</v>
      </c>
      <c r="X6899">
        <v>0.99978860000000003</v>
      </c>
      <c r="Y6899">
        <v>-0.3096795</v>
      </c>
      <c r="Z6899">
        <v>1.430617E-2</v>
      </c>
      <c r="AA6899">
        <v>0.95073339999999995</v>
      </c>
      <c r="AB6899">
        <v>19</v>
      </c>
      <c r="AC6899">
        <v>29.611499999999999</v>
      </c>
      <c r="AD6899">
        <v>-1.1131851015623</v>
      </c>
      <c r="AE6899">
        <v>2.5353299999999899</v>
      </c>
      <c r="AF6899">
        <v>-9.2239328603428206</v>
      </c>
      <c r="AG6899">
        <v>-1.1131851015623</v>
      </c>
      <c r="AH6899">
        <v>28.2084160613521</v>
      </c>
      <c r="AI6899">
        <v>92.148072262985195</v>
      </c>
      <c r="AJ6899">
        <v>108.10734253557401</v>
      </c>
      <c r="AK6899">
        <v>29.699071621395799</v>
      </c>
      <c r="AL6899">
        <v>90.801411344696405</v>
      </c>
      <c r="AM6899">
        <v>89.136546580362193</v>
      </c>
      <c r="AN6899">
        <v>0.999999960988049</v>
      </c>
    </row>
    <row r="6900" spans="1:40" x14ac:dyDescent="0.25">
      <c r="A6900" t="str">
        <f>"20190312160823221"</f>
        <v>20190312160823221</v>
      </c>
      <c r="B6900" t="str">
        <f>"1552378103212804"</f>
        <v>1552378103212804</v>
      </c>
      <c r="C6900" t="s">
        <v>40</v>
      </c>
      <c r="D6900">
        <v>6.1621189999999997</v>
      </c>
      <c r="E6900">
        <v>0.37126140000000002</v>
      </c>
      <c r="F6900" t="s">
        <v>115</v>
      </c>
      <c r="G6900">
        <v>-252.50970000000001</v>
      </c>
      <c r="H6900" s="1">
        <v>-2.9475060000000002E-7</v>
      </c>
      <c r="I6900">
        <v>-60.013030000000001</v>
      </c>
      <c r="J6900">
        <v>-281.60140000000001</v>
      </c>
      <c r="K6900">
        <v>1.1131580000000001</v>
      </c>
      <c r="L6900">
        <v>-62.569270000000003</v>
      </c>
      <c r="M6900">
        <v>0.97410640000000004</v>
      </c>
      <c r="N6900">
        <v>0</v>
      </c>
      <c r="O6900">
        <v>-0.22576180000000001</v>
      </c>
      <c r="P6900">
        <v>0.9704583</v>
      </c>
      <c r="Q6900">
        <v>-2.653552E-2</v>
      </c>
      <c r="R6900">
        <v>-0.2398054</v>
      </c>
      <c r="S6900">
        <v>3.159637</v>
      </c>
      <c r="T6900">
        <v>-0.12059930000000001</v>
      </c>
      <c r="U6900">
        <v>0.27545170000000002</v>
      </c>
      <c r="V6900">
        <v>1.462867E-2</v>
      </c>
      <c r="W6900">
        <v>-1.4234399999999999E-2</v>
      </c>
      <c r="X6900">
        <v>0.99979169999999995</v>
      </c>
      <c r="Y6900">
        <v>-0.30914550000000002</v>
      </c>
      <c r="Z6900">
        <v>1.4449750000000001E-2</v>
      </c>
      <c r="AA6900">
        <v>0.950905</v>
      </c>
      <c r="AB6900">
        <v>19</v>
      </c>
      <c r="AC6900">
        <v>29.091699999999999</v>
      </c>
      <c r="AD6900">
        <v>-1.1131582947506</v>
      </c>
      <c r="AE6900">
        <v>2.5562399999999799</v>
      </c>
      <c r="AF6900">
        <v>-9.0453741413579802</v>
      </c>
      <c r="AG6900">
        <v>-1.1131582947506</v>
      </c>
      <c r="AH6900">
        <v>27.7230901272358</v>
      </c>
      <c r="AI6900">
        <v>92.186049832584303</v>
      </c>
      <c r="AJ6900">
        <v>108.070252758758</v>
      </c>
      <c r="AK6900">
        <v>29.182659936153101</v>
      </c>
      <c r="AL6900">
        <v>90.815598563721096</v>
      </c>
      <c r="AM6900">
        <v>89.161724141741601</v>
      </c>
      <c r="AN6900">
        <v>1.0000000297591001</v>
      </c>
    </row>
    <row r="6901" spans="1:40" x14ac:dyDescent="0.25">
      <c r="A6901" t="str">
        <f>"20190312160823231"</f>
        <v>20190312160823231</v>
      </c>
      <c r="B6901" t="str">
        <f>"1552378103222566"</f>
        <v>1552378103222566</v>
      </c>
      <c r="C6901" t="s">
        <v>40</v>
      </c>
      <c r="D6901">
        <v>6.1611459999999996</v>
      </c>
      <c r="E6901">
        <v>0.37199589999999999</v>
      </c>
      <c r="F6901" t="s">
        <v>115</v>
      </c>
      <c r="G6901">
        <v>-252.99170000000001</v>
      </c>
      <c r="H6901" s="1">
        <v>-4.9951590000000002E-7</v>
      </c>
      <c r="I6901">
        <v>-60.022210000000001</v>
      </c>
      <c r="J6901">
        <v>-281.51819999999998</v>
      </c>
      <c r="K6901">
        <v>1.113129</v>
      </c>
      <c r="L6901">
        <v>-62.584809999999997</v>
      </c>
      <c r="M6901">
        <v>0.97483940000000002</v>
      </c>
      <c r="N6901">
        <v>0</v>
      </c>
      <c r="O6901">
        <v>-0.22257779999999999</v>
      </c>
      <c r="P6901">
        <v>0.97130090000000002</v>
      </c>
      <c r="Q6901">
        <v>-2.6460770000000002E-2</v>
      </c>
      <c r="R6901">
        <v>-0.23637859999999999</v>
      </c>
      <c r="S6901">
        <v>3.15741</v>
      </c>
      <c r="T6901">
        <v>-0.12284970000000001</v>
      </c>
      <c r="U6901">
        <v>0.2810974</v>
      </c>
      <c r="V6901">
        <v>1.4365040000000001E-2</v>
      </c>
      <c r="W6901">
        <v>-1.419777E-2</v>
      </c>
      <c r="X6901">
        <v>0.99979600000000002</v>
      </c>
      <c r="Y6901">
        <v>-0.30777169999999998</v>
      </c>
      <c r="Z6901">
        <v>1.458038E-2</v>
      </c>
      <c r="AA6901">
        <v>0.95134850000000004</v>
      </c>
      <c r="AB6901">
        <v>19</v>
      </c>
      <c r="AC6901">
        <v>28.526499999999899</v>
      </c>
      <c r="AD6901">
        <v>-1.11312949951589</v>
      </c>
      <c r="AE6901">
        <v>2.56259999999999</v>
      </c>
      <c r="AF6901">
        <v>-8.8347961634274395</v>
      </c>
      <c r="AG6901">
        <v>-1.11312949951589</v>
      </c>
      <c r="AH6901">
        <v>27.1993012130518</v>
      </c>
      <c r="AI6901">
        <v>92.229003910336104</v>
      </c>
      <c r="AJ6901">
        <v>107.994679069005</v>
      </c>
      <c r="AK6901">
        <v>28.619829961240601</v>
      </c>
      <c r="AL6901">
        <v>90.813499642603404</v>
      </c>
      <c r="AM6901">
        <v>89.176832539139198</v>
      </c>
      <c r="AN6901">
        <v>0.99999998633158704</v>
      </c>
    </row>
    <row r="6902" spans="1:40" x14ac:dyDescent="0.25">
      <c r="A6902" t="str">
        <f>"20190312160823241"</f>
        <v>20190312160823241</v>
      </c>
      <c r="B6902" t="str">
        <f>"1552378103232325"</f>
        <v>1552378103232325</v>
      </c>
      <c r="C6902" t="s">
        <v>40</v>
      </c>
      <c r="D6902">
        <v>6.1920479999999998</v>
      </c>
      <c r="E6902">
        <v>0.37276090000000001</v>
      </c>
      <c r="F6902" t="s">
        <v>115</v>
      </c>
      <c r="G6902">
        <v>-253.58860000000001</v>
      </c>
      <c r="H6902" s="1">
        <v>-7.5022319999999896E-7</v>
      </c>
      <c r="I6902">
        <v>-60.046410000000002</v>
      </c>
      <c r="J6902">
        <v>-281.43729999999999</v>
      </c>
      <c r="K6902">
        <v>1.113102</v>
      </c>
      <c r="L6902">
        <v>-62.599519999999998</v>
      </c>
      <c r="M6902">
        <v>0.97553440000000002</v>
      </c>
      <c r="N6902">
        <v>0</v>
      </c>
      <c r="O6902">
        <v>-0.2195125</v>
      </c>
      <c r="P6902">
        <v>0.97214009999999995</v>
      </c>
      <c r="Q6902">
        <v>-2.6389269999999999E-2</v>
      </c>
      <c r="R6902">
        <v>-0.23291039999999999</v>
      </c>
      <c r="S6902">
        <v>3.1549990000000001</v>
      </c>
      <c r="T6902">
        <v>-0.12574179999999999</v>
      </c>
      <c r="U6902">
        <v>0.28674319999999998</v>
      </c>
      <c r="V6902">
        <v>1.393807E-2</v>
      </c>
      <c r="W6902">
        <v>-1.4164990000000001E-2</v>
      </c>
      <c r="X6902">
        <v>0.99980250000000004</v>
      </c>
      <c r="Y6902">
        <v>-0.3065177</v>
      </c>
      <c r="Z6902">
        <v>1.4788880000000001E-2</v>
      </c>
      <c r="AA6902">
        <v>0.95174999999999998</v>
      </c>
      <c r="AB6902">
        <v>19</v>
      </c>
      <c r="AC6902">
        <v>27.848699999999901</v>
      </c>
      <c r="AD6902">
        <v>-1.1131027502232</v>
      </c>
      <c r="AE6902">
        <v>2.5531100000000002</v>
      </c>
      <c r="AF6902">
        <v>-8.5908063460441699</v>
      </c>
      <c r="AG6902">
        <v>-1.1131027502232</v>
      </c>
      <c r="AH6902">
        <v>26.566791102452399</v>
      </c>
      <c r="AI6902">
        <v>92.282932537036302</v>
      </c>
      <c r="AJ6902">
        <v>107.919462012426</v>
      </c>
      <c r="AK6902">
        <v>27.943431086556501</v>
      </c>
      <c r="AL6902">
        <v>90.811621304903994</v>
      </c>
      <c r="AM6902">
        <v>89.2013014000092</v>
      </c>
      <c r="AN6902">
        <v>0.99999997787163697</v>
      </c>
    </row>
    <row r="6903" spans="1:40" x14ac:dyDescent="0.25">
      <c r="A6903" t="str">
        <f>"20190312160823251"</f>
        <v>20190312160823251</v>
      </c>
      <c r="B6903" t="str">
        <f>"1552378103242085"</f>
        <v>1552378103242085</v>
      </c>
      <c r="C6903" t="s">
        <v>40</v>
      </c>
      <c r="D6903">
        <v>6.120787</v>
      </c>
      <c r="E6903">
        <v>0.37276090000000001</v>
      </c>
      <c r="F6903" t="s">
        <v>115</v>
      </c>
      <c r="G6903">
        <v>-253.75389999999999</v>
      </c>
      <c r="H6903" s="1">
        <v>-8.2375369999999897E-7</v>
      </c>
      <c r="I6903">
        <v>-60.034599999999998</v>
      </c>
      <c r="J6903">
        <v>-281.34699999999998</v>
      </c>
      <c r="K6903">
        <v>1.113067</v>
      </c>
      <c r="L6903">
        <v>-62.615839999999999</v>
      </c>
      <c r="M6903">
        <v>0.97629739999999998</v>
      </c>
      <c r="N6903">
        <v>0</v>
      </c>
      <c r="O6903">
        <v>-0.21609709999999999</v>
      </c>
      <c r="P6903">
        <v>0.97302949999999999</v>
      </c>
      <c r="Q6903">
        <v>-2.6337340000000001E-2</v>
      </c>
      <c r="R6903">
        <v>-0.22917280000000001</v>
      </c>
      <c r="S6903">
        <v>3.1524960000000002</v>
      </c>
      <c r="T6903">
        <v>-0.12675629999999999</v>
      </c>
      <c r="U6903">
        <v>0.2920837</v>
      </c>
      <c r="V6903">
        <v>1.359366E-2</v>
      </c>
      <c r="W6903">
        <v>-1.415513E-2</v>
      </c>
      <c r="X6903">
        <v>0.99980740000000001</v>
      </c>
      <c r="Y6903">
        <v>-0.30485000000000001</v>
      </c>
      <c r="Z6903">
        <v>1.4750559999999999E-2</v>
      </c>
      <c r="AA6903">
        <v>0.95228610000000002</v>
      </c>
      <c r="AB6903">
        <v>19</v>
      </c>
      <c r="AC6903">
        <v>27.5931</v>
      </c>
      <c r="AD6903">
        <v>-1.1130678237536999</v>
      </c>
      <c r="AE6903">
        <v>2.5812400000000002</v>
      </c>
      <c r="AF6903">
        <v>-8.46980114650788</v>
      </c>
      <c r="AG6903">
        <v>-1.1130678237536999</v>
      </c>
      <c r="AH6903">
        <v>26.340701940550002</v>
      </c>
      <c r="AI6903">
        <v>92.303656215307001</v>
      </c>
      <c r="AJ6903">
        <v>107.825092891146</v>
      </c>
      <c r="AK6903">
        <v>27.691316873030001</v>
      </c>
      <c r="AL6903">
        <v>90.811056296996895</v>
      </c>
      <c r="AM6903">
        <v>89.221038613578202</v>
      </c>
      <c r="AN6903">
        <v>0.999999996196136</v>
      </c>
    </row>
    <row r="6904" spans="1:40" x14ac:dyDescent="0.25">
      <c r="A6904" t="str">
        <f>"20190312160823263"</f>
        <v>20190312160823263</v>
      </c>
      <c r="B6904" t="str">
        <f>"1552378103252820"</f>
        <v>1552378103252820</v>
      </c>
      <c r="C6904" t="s">
        <v>40</v>
      </c>
      <c r="D6904">
        <v>5.7335799999999999</v>
      </c>
      <c r="E6904">
        <v>0.39104820000000001</v>
      </c>
      <c r="F6904" t="s">
        <v>115</v>
      </c>
      <c r="G6904">
        <v>-253.68879999999999</v>
      </c>
      <c r="H6904" s="1">
        <v>-8.1540519999999997E-7</v>
      </c>
      <c r="I6904">
        <v>-59.946019999999997</v>
      </c>
      <c r="J6904">
        <v>-281.25490000000002</v>
      </c>
      <c r="K6904">
        <v>1.113035</v>
      </c>
      <c r="L6904">
        <v>-62.632019999999997</v>
      </c>
      <c r="M6904">
        <v>0.97705220000000004</v>
      </c>
      <c r="N6904">
        <v>0</v>
      </c>
      <c r="O6904">
        <v>-0.2126604</v>
      </c>
      <c r="P6904">
        <v>0.97389139999999996</v>
      </c>
      <c r="Q6904">
        <v>-2.6438360000000001E-2</v>
      </c>
      <c r="R6904">
        <v>-0.22547039999999999</v>
      </c>
      <c r="S6904">
        <v>3.151367</v>
      </c>
      <c r="T6904">
        <v>-0.12682280000000001</v>
      </c>
      <c r="U6904">
        <v>0.3041992</v>
      </c>
      <c r="V6904">
        <v>1.331017E-2</v>
      </c>
      <c r="W6904">
        <v>-1.42994E-2</v>
      </c>
      <c r="X6904">
        <v>0.99980910000000001</v>
      </c>
      <c r="Y6904">
        <v>-0.30516090000000001</v>
      </c>
      <c r="Z6904">
        <v>1.463186E-2</v>
      </c>
      <c r="AA6904">
        <v>0.95218840000000005</v>
      </c>
      <c r="AB6904">
        <v>19</v>
      </c>
      <c r="AC6904">
        <v>27.566099999999999</v>
      </c>
      <c r="AD6904">
        <v>-1.1130358154052</v>
      </c>
      <c r="AE6904">
        <v>2.6859999999999999</v>
      </c>
      <c r="AF6904">
        <v>-8.4735090662216006</v>
      </c>
      <c r="AG6904">
        <v>-1.1130358154052</v>
      </c>
      <c r="AH6904">
        <v>26.321709691141201</v>
      </c>
      <c r="AI6904">
        <v>92.305000056569497</v>
      </c>
      <c r="AJ6904">
        <v>107.84445328952199</v>
      </c>
      <c r="AK6904">
        <v>27.674385371430201</v>
      </c>
      <c r="AL6904">
        <v>90.819323246040895</v>
      </c>
      <c r="AM6904">
        <v>89.237282879318499</v>
      </c>
      <c r="AN6904">
        <v>0.99999993495429695</v>
      </c>
    </row>
    <row r="6905" spans="1:40" x14ac:dyDescent="0.25">
      <c r="A6905" t="str">
        <f>"20190312160823275"</f>
        <v>20190312160823275</v>
      </c>
      <c r="B6905" t="str">
        <f>"1552378103272341"</f>
        <v>1552378103272341</v>
      </c>
      <c r="C6905" t="s">
        <v>40</v>
      </c>
      <c r="D6905">
        <v>6.1697600000000001</v>
      </c>
      <c r="E6905">
        <v>0.38751989999999997</v>
      </c>
      <c r="F6905" t="s">
        <v>115</v>
      </c>
      <c r="G6905">
        <v>-258.2466</v>
      </c>
      <c r="H6905" s="1">
        <v>-2.8862590000000001E-6</v>
      </c>
      <c r="I6905">
        <v>-61.338500000000003</v>
      </c>
      <c r="J6905">
        <v>-281.16489999999999</v>
      </c>
      <c r="K6905">
        <v>1.1130009999999999</v>
      </c>
      <c r="L6905">
        <v>-62.647669999999998</v>
      </c>
      <c r="M6905">
        <v>0.97777570000000003</v>
      </c>
      <c r="N6905">
        <v>0</v>
      </c>
      <c r="O6905">
        <v>-0.20931069999999999</v>
      </c>
      <c r="P6905">
        <v>0.97472250000000005</v>
      </c>
      <c r="Q6905">
        <v>-2.6218249999999999E-2</v>
      </c>
      <c r="R6905">
        <v>-0.2218762</v>
      </c>
      <c r="S6905">
        <v>3.1169129999999998</v>
      </c>
      <c r="T6905">
        <v>-0.15078269999999999</v>
      </c>
      <c r="U6905">
        <v>0.1752319</v>
      </c>
      <c r="V6905">
        <v>1.3044490000000001E-2</v>
      </c>
      <c r="W6905">
        <v>-1.412148E-2</v>
      </c>
      <c r="X6905">
        <v>0.99981520000000002</v>
      </c>
      <c r="Y6905">
        <v>-0.2633334</v>
      </c>
      <c r="Z6905">
        <v>1.6431339999999999E-2</v>
      </c>
      <c r="AA6905">
        <v>0.96456489999999995</v>
      </c>
      <c r="AB6905">
        <v>19</v>
      </c>
      <c r="AC6905">
        <v>22.918299999999899</v>
      </c>
      <c r="AD6905">
        <v>-1.1130038862589999</v>
      </c>
      <c r="AE6905">
        <v>1.30916999999999</v>
      </c>
      <c r="AF6905">
        <v>-6.0633032024498998</v>
      </c>
      <c r="AG6905">
        <v>-1.1130038862589999</v>
      </c>
      <c r="AH6905">
        <v>22.084607964959201</v>
      </c>
      <c r="AI6905">
        <v>92.782323803387897</v>
      </c>
      <c r="AJ6905">
        <v>105.35221562958399</v>
      </c>
      <c r="AK6905">
        <v>22.928853707536401</v>
      </c>
      <c r="AL6905">
        <v>90.8091280945373</v>
      </c>
      <c r="AM6905">
        <v>89.252510044178507</v>
      </c>
      <c r="AN6905">
        <v>1.0000000045338899</v>
      </c>
    </row>
    <row r="6906" spans="1:40" x14ac:dyDescent="0.25">
      <c r="A6906" t="str">
        <f>"20190312160823286"</f>
        <v>20190312160823286</v>
      </c>
      <c r="B6906" t="str">
        <f>"1552378103282101"</f>
        <v>1552378103282101</v>
      </c>
      <c r="C6906" t="s">
        <v>40</v>
      </c>
      <c r="D6906">
        <v>5.9939200000000001</v>
      </c>
      <c r="E6906">
        <v>0.38467109999999999</v>
      </c>
      <c r="F6906" t="s">
        <v>115</v>
      </c>
      <c r="G6906">
        <v>-258.86320000000001</v>
      </c>
      <c r="H6906" s="1">
        <v>-3.1012379999999998E-6</v>
      </c>
      <c r="I6906">
        <v>-61.115789999999997</v>
      </c>
      <c r="J6906">
        <v>-281.07089999999999</v>
      </c>
      <c r="K6906">
        <v>1.112959</v>
      </c>
      <c r="L6906">
        <v>-62.663569999999901</v>
      </c>
      <c r="M6906">
        <v>0.97850879999999996</v>
      </c>
      <c r="N6906">
        <v>0</v>
      </c>
      <c r="O6906">
        <v>-0.2058593</v>
      </c>
      <c r="P6906">
        <v>0.97558869999999998</v>
      </c>
      <c r="Q6906">
        <v>-2.637105E-2</v>
      </c>
      <c r="R6906">
        <v>-0.21801719999999999</v>
      </c>
      <c r="S6906">
        <v>3.1224370000000001</v>
      </c>
      <c r="T6906">
        <v>-0.15583029999999901</v>
      </c>
      <c r="U6906">
        <v>0.21447749999999999</v>
      </c>
      <c r="V6906">
        <v>1.261759E-2</v>
      </c>
      <c r="W6906">
        <v>-1.432249E-2</v>
      </c>
      <c r="X6906">
        <v>0.99981779999999998</v>
      </c>
      <c r="Y6906">
        <v>-0.27185860000000001</v>
      </c>
      <c r="Z6906">
        <v>1.699022E-2</v>
      </c>
      <c r="AA6906">
        <v>0.96218720000000002</v>
      </c>
      <c r="AB6906">
        <v>19</v>
      </c>
      <c r="AC6906">
        <v>22.2076999999999</v>
      </c>
      <c r="AD6906">
        <v>-1.112962101238</v>
      </c>
      <c r="AE6906">
        <v>1.5477799999999799</v>
      </c>
      <c r="AF6906">
        <v>-6.0714361293849803</v>
      </c>
      <c r="AG6906">
        <v>-1.112962101238</v>
      </c>
      <c r="AH6906">
        <v>21.359941797687</v>
      </c>
      <c r="AI6906">
        <v>92.869248037782796</v>
      </c>
      <c r="AJ6906">
        <v>105.867484414326</v>
      </c>
      <c r="AK6906">
        <v>22.233941056694601</v>
      </c>
      <c r="AL6906">
        <v>90.820646299894605</v>
      </c>
      <c r="AM6906">
        <v>89.276971984580399</v>
      </c>
      <c r="AN6906">
        <v>0.99999998524702405</v>
      </c>
    </row>
    <row r="6907" spans="1:40" x14ac:dyDescent="0.25">
      <c r="A6907" t="str">
        <f>"20190312160823297"</f>
        <v>20190312160823297</v>
      </c>
      <c r="B6907" t="str">
        <f>"1552378103292837"</f>
        <v>1552378103292837</v>
      </c>
      <c r="C6907" t="s">
        <v>40</v>
      </c>
      <c r="D6907">
        <v>6.204472</v>
      </c>
      <c r="E6907">
        <v>0.38338460000000002</v>
      </c>
      <c r="F6907" t="s">
        <v>115</v>
      </c>
      <c r="G6907">
        <v>-254.5043</v>
      </c>
      <c r="H6907" s="1">
        <v>-1.1077669999999999E-6</v>
      </c>
      <c r="I6907">
        <v>-60.560270000000003</v>
      </c>
      <c r="J6907">
        <v>-280.97710000000001</v>
      </c>
      <c r="K6907">
        <v>1.1129199999999999</v>
      </c>
      <c r="L6907">
        <v>-62.679229999999997</v>
      </c>
      <c r="M6907">
        <v>0.97922410000000004</v>
      </c>
      <c r="N6907">
        <v>0</v>
      </c>
      <c r="O6907">
        <v>-0.20243159999999999</v>
      </c>
      <c r="P6907">
        <v>0.97637859999999999</v>
      </c>
      <c r="Q6907">
        <v>-2.6331630000000002E-2</v>
      </c>
      <c r="R6907">
        <v>-0.2144568</v>
      </c>
      <c r="S6907">
        <v>3.1268919999999998</v>
      </c>
      <c r="T6907">
        <v>-0.13099539999999901</v>
      </c>
      <c r="U6907">
        <v>0.24755859999999999</v>
      </c>
      <c r="V6907">
        <v>1.24701E-2</v>
      </c>
      <c r="W6907">
        <v>-1.4328769999999999E-2</v>
      </c>
      <c r="X6907">
        <v>0.99981960000000003</v>
      </c>
      <c r="Y6907">
        <v>-0.27868490000000001</v>
      </c>
      <c r="Z6907">
        <v>1.426269E-2</v>
      </c>
      <c r="AA6907">
        <v>0.96027669999999998</v>
      </c>
      <c r="AB6907">
        <v>19</v>
      </c>
      <c r="AC6907">
        <v>26.472799999999999</v>
      </c>
      <c r="AD6907">
        <v>-1.112921107767</v>
      </c>
      <c r="AE6907">
        <v>2.11896</v>
      </c>
      <c r="AF6907">
        <v>-7.42136152970214</v>
      </c>
      <c r="AG6907">
        <v>-1.112921107767</v>
      </c>
      <c r="AH6907">
        <v>25.450969484704501</v>
      </c>
      <c r="AI6907">
        <v>92.403850306272602</v>
      </c>
      <c r="AJ6907">
        <v>106.256391488296</v>
      </c>
      <c r="AK6907">
        <v>26.534261777144199</v>
      </c>
      <c r="AL6907">
        <v>90.821006121851994</v>
      </c>
      <c r="AM6907">
        <v>89.285424035198901</v>
      </c>
      <c r="AN6907">
        <v>1.00000002479394</v>
      </c>
    </row>
    <row r="6908" spans="1:40" x14ac:dyDescent="0.25">
      <c r="A6908" t="str">
        <f>"20190312160823308"</f>
        <v>20190312160823308</v>
      </c>
      <c r="B6908" t="str">
        <f>"1552378103302597"</f>
        <v>1552378103302597</v>
      </c>
      <c r="C6908" t="s">
        <v>40</v>
      </c>
      <c r="D6908">
        <v>6.2013339999999904</v>
      </c>
      <c r="E6908">
        <v>0.38305879999999998</v>
      </c>
      <c r="F6908" t="s">
        <v>115</v>
      </c>
      <c r="G6908">
        <v>-250.98140000000001</v>
      </c>
      <c r="H6908" s="1">
        <v>3.8180250000000001E-7</v>
      </c>
      <c r="I6908">
        <v>-60.107750000000003</v>
      </c>
      <c r="J6908">
        <v>-280.88200000000001</v>
      </c>
      <c r="K6908">
        <v>1.1128830000000001</v>
      </c>
      <c r="L6908">
        <v>-62.694789999999998</v>
      </c>
      <c r="M6908">
        <v>0.97992990000000002</v>
      </c>
      <c r="N6908">
        <v>0</v>
      </c>
      <c r="O6908">
        <v>-0.19899030000000001</v>
      </c>
      <c r="P6908">
        <v>0.97713190000000005</v>
      </c>
      <c r="Q6908">
        <v>-2.6361800000000001E-2</v>
      </c>
      <c r="R6908">
        <v>-0.2109943</v>
      </c>
      <c r="S6908">
        <v>3.1283569999999998</v>
      </c>
      <c r="T6908">
        <v>-0.1160704</v>
      </c>
      <c r="U6908">
        <v>0.2681885</v>
      </c>
      <c r="V6908">
        <v>1.2438080000000001E-2</v>
      </c>
      <c r="W6908">
        <v>-1.4404699999999999E-2</v>
      </c>
      <c r="X6908">
        <v>0.99981889999999995</v>
      </c>
      <c r="Y6908">
        <v>-0.28165509999999999</v>
      </c>
      <c r="Z6908">
        <v>1.2559799999999999E-2</v>
      </c>
      <c r="AA6908">
        <v>0.95943350000000005</v>
      </c>
      <c r="AB6908">
        <v>19</v>
      </c>
      <c r="AC6908">
        <v>29.900600000000001</v>
      </c>
      <c r="AD6908">
        <v>-1.1128826181975</v>
      </c>
      <c r="AE6908">
        <v>2.58704</v>
      </c>
      <c r="AF6908">
        <v>-8.4739906334504997</v>
      </c>
      <c r="AG6908">
        <v>-1.1128826181975</v>
      </c>
      <c r="AH6908">
        <v>28.748186431210499</v>
      </c>
      <c r="AI6908">
        <v>92.126521867347805</v>
      </c>
      <c r="AJ6908">
        <v>106.42372955589801</v>
      </c>
      <c r="AK6908">
        <v>29.991753000805499</v>
      </c>
      <c r="AL6908">
        <v>90.825357045755794</v>
      </c>
      <c r="AM6908">
        <v>89.287258193458499</v>
      </c>
      <c r="AN6908">
        <v>1.0000000170066901</v>
      </c>
    </row>
    <row r="6909" spans="1:40" x14ac:dyDescent="0.25">
      <c r="A6909" t="str">
        <f>"20190312160823320"</f>
        <v>20190312160823320</v>
      </c>
      <c r="B6909" t="str">
        <f>"1552378103312357"</f>
        <v>1552378103312357</v>
      </c>
      <c r="C6909" t="s">
        <v>40</v>
      </c>
      <c r="D6909">
        <v>6.162299</v>
      </c>
      <c r="E6909">
        <v>0.38281730000000003</v>
      </c>
      <c r="F6909" t="s">
        <v>112</v>
      </c>
      <c r="G6909">
        <v>-249.77180000000001</v>
      </c>
      <c r="H6909" s="1">
        <v>-3.265918E-6</v>
      </c>
      <c r="I6909">
        <v>-59.894759999999998</v>
      </c>
      <c r="J6909">
        <v>-280.7937</v>
      </c>
      <c r="K6909">
        <v>1.1128530000000001</v>
      </c>
      <c r="L6909">
        <v>-62.708950000000002</v>
      </c>
      <c r="M6909">
        <v>0.98056779999999999</v>
      </c>
      <c r="N6909">
        <v>0</v>
      </c>
      <c r="O6909">
        <v>-0.1958241</v>
      </c>
      <c r="P6909">
        <v>0.97778200000000004</v>
      </c>
      <c r="Q6909">
        <v>-2.634742E-2</v>
      </c>
      <c r="R6909">
        <v>-0.20796190000000001</v>
      </c>
      <c r="S6909">
        <v>3.1279910000000002</v>
      </c>
      <c r="T6909">
        <v>-0.11189540000000001</v>
      </c>
      <c r="U6909">
        <v>0.28152470000000002</v>
      </c>
      <c r="V6909">
        <v>1.256493E-2</v>
      </c>
      <c r="W6909">
        <v>-1.443144E-2</v>
      </c>
      <c r="X6909">
        <v>0.99981690000000001</v>
      </c>
      <c r="Y6909">
        <v>-0.2826494</v>
      </c>
      <c r="Z6909">
        <v>1.2014179999999999E-2</v>
      </c>
      <c r="AA6909">
        <v>0.959148</v>
      </c>
      <c r="AB6909">
        <v>19</v>
      </c>
      <c r="AC6909">
        <v>31.021899999999899</v>
      </c>
      <c r="AD6909">
        <v>-1.1128562659179999</v>
      </c>
      <c r="AE6909">
        <v>2.81419</v>
      </c>
      <c r="AF6909">
        <v>-8.8236944997383198</v>
      </c>
      <c r="AG6909">
        <v>-1.1128562659179999</v>
      </c>
      <c r="AH6909">
        <v>29.831999536793301</v>
      </c>
      <c r="AI6909">
        <v>92.048719290555496</v>
      </c>
      <c r="AJ6909">
        <v>106.477138081595</v>
      </c>
      <c r="AK6909">
        <v>31.129475261503199</v>
      </c>
      <c r="AL6909">
        <v>90.826889317531297</v>
      </c>
      <c r="AM6909">
        <v>89.2799886035707</v>
      </c>
      <c r="AN6909">
        <v>0.99999998872599405</v>
      </c>
    </row>
    <row r="6910" spans="1:40" x14ac:dyDescent="0.25">
      <c r="A6910" t="str">
        <f>"20190312160823330"</f>
        <v>20190312160823330</v>
      </c>
      <c r="B6910" t="str">
        <f>"1552378103322117"</f>
        <v>1552378103322117</v>
      </c>
      <c r="C6910" t="s">
        <v>40</v>
      </c>
      <c r="D6910">
        <v>6.2164000000000001</v>
      </c>
      <c r="E6910">
        <v>0.38308360000000002</v>
      </c>
      <c r="F6910" t="s">
        <v>112</v>
      </c>
      <c r="G6910">
        <v>-248.43620000000001</v>
      </c>
      <c r="H6910" s="1">
        <v>-2.7313610000000002E-6</v>
      </c>
      <c r="I6910">
        <v>-59.678469999999997</v>
      </c>
      <c r="J6910">
        <v>-280.70359999999999</v>
      </c>
      <c r="K6910">
        <v>1.112819</v>
      </c>
      <c r="L6910">
        <v>-62.723179999999999</v>
      </c>
      <c r="M6910">
        <v>0.98120309999999999</v>
      </c>
      <c r="N6910">
        <v>0</v>
      </c>
      <c r="O6910">
        <v>-0.1926185</v>
      </c>
      <c r="P6910">
        <v>0.97843639999999998</v>
      </c>
      <c r="Q6910">
        <v>-2.639501E-2</v>
      </c>
      <c r="R6910">
        <v>-0.2048556</v>
      </c>
      <c r="S6910">
        <v>3.1275330000000001</v>
      </c>
      <c r="T6910">
        <v>-0.1075639</v>
      </c>
      <c r="U6910">
        <v>0.29290769999999999</v>
      </c>
      <c r="V6910">
        <v>1.265691E-2</v>
      </c>
      <c r="W6910">
        <v>-1.452118E-2</v>
      </c>
      <c r="X6910">
        <v>0.99981450000000005</v>
      </c>
      <c r="Y6910">
        <v>-0.28301379999999998</v>
      </c>
      <c r="Z6910">
        <v>1.144712E-2</v>
      </c>
      <c r="AA6910">
        <v>0.9590476</v>
      </c>
      <c r="AB6910">
        <v>19</v>
      </c>
      <c r="AC6910">
        <v>32.267399999999903</v>
      </c>
      <c r="AD6910">
        <v>-1.112821731361</v>
      </c>
      <c r="AE6910">
        <v>3.0447099999999998</v>
      </c>
      <c r="AF6910">
        <v>-9.19257780448131</v>
      </c>
      <c r="AG6910">
        <v>-1.112821731361</v>
      </c>
      <c r="AH6910">
        <v>31.039966228781299</v>
      </c>
      <c r="AI6910">
        <v>91.968793362773098</v>
      </c>
      <c r="AJ6910">
        <v>106.496811203937</v>
      </c>
      <c r="AK6910">
        <v>32.391686624520098</v>
      </c>
      <c r="AL6910">
        <v>90.832031530179805</v>
      </c>
      <c r="AM6910">
        <v>89.274716670289905</v>
      </c>
      <c r="AN6910">
        <v>1.0000000482247899</v>
      </c>
    </row>
    <row r="6911" spans="1:40" x14ac:dyDescent="0.25">
      <c r="A6911" t="str">
        <f>"20190312160823341"</f>
        <v>20190312160823341</v>
      </c>
      <c r="B6911" t="str">
        <f>"1552378103332853"</f>
        <v>1552378103332853</v>
      </c>
      <c r="C6911" t="s">
        <v>40</v>
      </c>
      <c r="D6911">
        <v>6.2071389999999997</v>
      </c>
      <c r="E6911">
        <v>0.38325120000000001</v>
      </c>
      <c r="F6911" t="s">
        <v>112</v>
      </c>
      <c r="G6911">
        <v>-248.238</v>
      </c>
      <c r="H6911" s="1">
        <v>-2.6600949999999998E-6</v>
      </c>
      <c r="I6911">
        <v>-59.600720000000003</v>
      </c>
      <c r="J6911">
        <v>-280.61509999999998</v>
      </c>
      <c r="K6911">
        <v>1.1127849999999999</v>
      </c>
      <c r="L6911">
        <v>-62.736849999999997</v>
      </c>
      <c r="M6911">
        <v>0.98180849999999997</v>
      </c>
      <c r="N6911">
        <v>0</v>
      </c>
      <c r="O6911">
        <v>-0.18951170000000001</v>
      </c>
      <c r="P6911">
        <v>0.97909690000000005</v>
      </c>
      <c r="Q6911">
        <v>-2.6466090000000001E-2</v>
      </c>
      <c r="R6911">
        <v>-0.20166680000000001</v>
      </c>
      <c r="S6911">
        <v>3.12616</v>
      </c>
      <c r="T6911">
        <v>-0.107155</v>
      </c>
      <c r="U6911">
        <v>0.30065920000000002</v>
      </c>
      <c r="V6911">
        <v>1.256472E-2</v>
      </c>
      <c r="W6911">
        <v>-1.463616E-2</v>
      </c>
      <c r="X6911">
        <v>0.99981390000000003</v>
      </c>
      <c r="Y6911">
        <v>-0.28237780000000001</v>
      </c>
      <c r="Z6911">
        <v>1.1291590000000001E-2</v>
      </c>
      <c r="AA6911">
        <v>0.9592368</v>
      </c>
      <c r="AB6911">
        <v>19</v>
      </c>
      <c r="AC6911">
        <v>32.377099999999899</v>
      </c>
      <c r="AD6911">
        <v>-1.112787660095</v>
      </c>
      <c r="AE6911">
        <v>3.1361300000000001</v>
      </c>
      <c r="AF6911">
        <v>-9.2047791650034494</v>
      </c>
      <c r="AG6911">
        <v>-1.112787660095</v>
      </c>
      <c r="AH6911">
        <v>31.159456097246998</v>
      </c>
      <c r="AI6911">
        <v>91.961586014491601</v>
      </c>
      <c r="AJ6911">
        <v>106.45760694719</v>
      </c>
      <c r="AK6911">
        <v>32.509659489591797</v>
      </c>
      <c r="AL6911">
        <v>90.838620171105006</v>
      </c>
      <c r="AM6911">
        <v>89.279998475814807</v>
      </c>
      <c r="AN6911">
        <v>0.99999996200071595</v>
      </c>
    </row>
    <row r="6912" spans="1:40" x14ac:dyDescent="0.25">
      <c r="A6912" t="str">
        <f>"20190312160823353"</f>
        <v>20190312160823353</v>
      </c>
      <c r="B6912" t="str">
        <f>"1552378103342613"</f>
        <v>1552378103342613</v>
      </c>
      <c r="C6912" t="s">
        <v>40</v>
      </c>
      <c r="D6912">
        <v>6.20303</v>
      </c>
      <c r="E6912">
        <v>0.38326710000000003</v>
      </c>
      <c r="F6912" t="s">
        <v>112</v>
      </c>
      <c r="G6912">
        <v>-247.5471</v>
      </c>
      <c r="H6912" s="1">
        <v>-2.3882709999999999E-6</v>
      </c>
      <c r="I6912">
        <v>-59.462179999999996</v>
      </c>
      <c r="J6912">
        <v>-280.51850000000002</v>
      </c>
      <c r="K6912">
        <v>1.1127479999999901</v>
      </c>
      <c r="L6912">
        <v>-62.751559999999998</v>
      </c>
      <c r="M6912">
        <v>0.98245389999999999</v>
      </c>
      <c r="N6912">
        <v>0</v>
      </c>
      <c r="O6912">
        <v>-0.18613930000000001</v>
      </c>
      <c r="P6912">
        <v>0.97973560000000004</v>
      </c>
      <c r="Q6912">
        <v>-2.6217190000000001E-2</v>
      </c>
      <c r="R6912">
        <v>-0.19857340000000001</v>
      </c>
      <c r="S6912">
        <v>3.124908</v>
      </c>
      <c r="T6912">
        <v>-0.1051576</v>
      </c>
      <c r="U6912">
        <v>0.30944820000000001</v>
      </c>
      <c r="V6912">
        <v>1.283576E-2</v>
      </c>
      <c r="W6912">
        <v>-1.443257E-2</v>
      </c>
      <c r="X6912">
        <v>0.99981339999999996</v>
      </c>
      <c r="Y6912">
        <v>-0.28180519999999998</v>
      </c>
      <c r="Z6912">
        <v>1.0962799999999899E-2</v>
      </c>
      <c r="AA6912">
        <v>0.95940899999999996</v>
      </c>
      <c r="AB6912">
        <v>19</v>
      </c>
      <c r="AC6912">
        <v>32.971400000000003</v>
      </c>
      <c r="AD6912">
        <v>-1.1127503882709999</v>
      </c>
      <c r="AE6912">
        <v>3.2893799999999902</v>
      </c>
      <c r="AF6912">
        <v>-9.3590221982744595</v>
      </c>
      <c r="AG6912">
        <v>-1.1127503882709999</v>
      </c>
      <c r="AH6912">
        <v>31.7469636082498</v>
      </c>
      <c r="AI6912">
        <v>91.925565863588403</v>
      </c>
      <c r="AJ6912">
        <v>106.425545663287</v>
      </c>
      <c r="AK6912">
        <v>33.116449209991202</v>
      </c>
      <c r="AL6912">
        <v>90.826954104407505</v>
      </c>
      <c r="AM6912">
        <v>89.264468275302505</v>
      </c>
      <c r="AN6912">
        <v>0.99999994531556902</v>
      </c>
    </row>
    <row r="6913" spans="1:40" x14ac:dyDescent="0.25">
      <c r="A6913" t="str">
        <f>"20190312160823366"</f>
        <v>20190312160823366</v>
      </c>
      <c r="B6913" t="str">
        <f>"1552378103362132"</f>
        <v>1552378103362132</v>
      </c>
      <c r="C6913" t="s">
        <v>40</v>
      </c>
      <c r="D6913">
        <v>6.1692339999999897</v>
      </c>
      <c r="E6913">
        <v>0.3837449</v>
      </c>
      <c r="F6913" t="s">
        <v>112</v>
      </c>
      <c r="G6913">
        <v>-246.33009999999999</v>
      </c>
      <c r="H6913" s="1">
        <v>-1.9019890000000001E-6</v>
      </c>
      <c r="I6913">
        <v>-59.26041</v>
      </c>
      <c r="J6913">
        <v>-280.42329999999998</v>
      </c>
      <c r="K6913">
        <v>1.1127039999999999</v>
      </c>
      <c r="L6913">
        <v>-62.765630000000002</v>
      </c>
      <c r="M6913">
        <v>0.98306570000000004</v>
      </c>
      <c r="N6913">
        <v>0</v>
      </c>
      <c r="O6913">
        <v>-0.18288399999999999</v>
      </c>
      <c r="P6913">
        <v>0.98031120000000005</v>
      </c>
      <c r="Q6913">
        <v>-2.599139E-2</v>
      </c>
      <c r="R6913">
        <v>-0.195741</v>
      </c>
      <c r="S6913">
        <v>3.123993</v>
      </c>
      <c r="T6913">
        <v>-0.1016784</v>
      </c>
      <c r="U6913">
        <v>0.31900020000000001</v>
      </c>
      <c r="V6913">
        <v>1.3254419999999999E-2</v>
      </c>
      <c r="W6913">
        <v>-1.425361E-2</v>
      </c>
      <c r="X6913">
        <v>0.99981059999999999</v>
      </c>
      <c r="Y6913">
        <v>-0.28157779999999999</v>
      </c>
      <c r="Z6913">
        <v>1.049372E-2</v>
      </c>
      <c r="AA6913">
        <v>0.95948100000000003</v>
      </c>
      <c r="AB6913">
        <v>19</v>
      </c>
      <c r="AC6913">
        <v>34.093200000000003</v>
      </c>
      <c r="AD6913">
        <v>-1.112705901989</v>
      </c>
      <c r="AE6913">
        <v>3.50522</v>
      </c>
      <c r="AF6913">
        <v>-9.6714230867816209</v>
      </c>
      <c r="AG6913">
        <v>-1.112705901989</v>
      </c>
      <c r="AH6913">
        <v>32.842413274629699</v>
      </c>
      <c r="AI6913">
        <v>91.861472549552104</v>
      </c>
      <c r="AJ6913">
        <v>106.408629487523</v>
      </c>
      <c r="AK6913">
        <v>34.2549069280509</v>
      </c>
      <c r="AL6913">
        <v>90.816699318546398</v>
      </c>
      <c r="AM6913">
        <v>89.240478304539806</v>
      </c>
      <c r="AN6913">
        <v>1.00000004045996</v>
      </c>
    </row>
    <row r="6914" spans="1:40" x14ac:dyDescent="0.25">
      <c r="A6914" t="str">
        <f>"20190312160823376"</f>
        <v>20190312160823376</v>
      </c>
      <c r="B6914" t="str">
        <f>"1552378103372870"</f>
        <v>1552378103372870</v>
      </c>
      <c r="C6914" t="s">
        <v>40</v>
      </c>
      <c r="D6914">
        <v>6.200672</v>
      </c>
      <c r="E6914">
        <v>0.38481270000000001</v>
      </c>
      <c r="F6914" t="s">
        <v>112</v>
      </c>
      <c r="G6914">
        <v>-244.25550000000001</v>
      </c>
      <c r="H6914" s="1">
        <v>-1.056034E-6</v>
      </c>
      <c r="I6914">
        <v>-59.012160000000002</v>
      </c>
      <c r="J6914">
        <v>-280.32709999999997</v>
      </c>
      <c r="K6914">
        <v>1.1126579999999999</v>
      </c>
      <c r="L6914">
        <v>-62.779719999999998</v>
      </c>
      <c r="M6914">
        <v>0.98366849999999995</v>
      </c>
      <c r="N6914">
        <v>0</v>
      </c>
      <c r="O6914">
        <v>-0.17961649999999901</v>
      </c>
      <c r="P6914">
        <v>0.98087469999999999</v>
      </c>
      <c r="Q6914">
        <v>-2.607286E-2</v>
      </c>
      <c r="R6914">
        <v>-0.19288659999999999</v>
      </c>
      <c r="S6914">
        <v>3.1224059999999998</v>
      </c>
      <c r="T6914">
        <v>-9.6060989999999999E-2</v>
      </c>
      <c r="U6914">
        <v>0.32403559999999998</v>
      </c>
      <c r="V6914">
        <v>1.366617E-2</v>
      </c>
      <c r="W6914">
        <v>-1.4382809999999999E-2</v>
      </c>
      <c r="X6914">
        <v>0.9998032</v>
      </c>
      <c r="Y6914">
        <v>-0.27999770000000002</v>
      </c>
      <c r="Z6914">
        <v>9.7949839999999996E-3</v>
      </c>
      <c r="AA6914">
        <v>0.95995070000000005</v>
      </c>
      <c r="AB6914">
        <v>19</v>
      </c>
      <c r="AC6914">
        <v>36.071599999999897</v>
      </c>
      <c r="AD6914">
        <v>-1.1126590560339999</v>
      </c>
      <c r="AE6914">
        <v>3.76756</v>
      </c>
      <c r="AF6914">
        <v>-10.176190281544701</v>
      </c>
      <c r="AG6914">
        <v>-1.1126590560339999</v>
      </c>
      <c r="AH6914">
        <v>34.775385794786899</v>
      </c>
      <c r="AI6914">
        <v>91.758876670525595</v>
      </c>
      <c r="AJ6914">
        <v>106.310860574291</v>
      </c>
      <c r="AK6914">
        <v>36.250797453262201</v>
      </c>
      <c r="AL6914">
        <v>90.824102697150593</v>
      </c>
      <c r="AM6914">
        <v>89.216880779075098</v>
      </c>
      <c r="AN6914">
        <v>1.0000000340780999</v>
      </c>
    </row>
    <row r="6915" spans="1:40" x14ac:dyDescent="0.25">
      <c r="A6915" t="str">
        <f>"20190312160823388"</f>
        <v>20190312160823388</v>
      </c>
      <c r="B6915" t="str">
        <f>"1552378103382629"</f>
        <v>1552378103382629</v>
      </c>
      <c r="C6915" t="s">
        <v>40</v>
      </c>
      <c r="D6915">
        <v>6.1682829999999997</v>
      </c>
      <c r="E6915">
        <v>0.38565959999999999</v>
      </c>
      <c r="F6915" t="s">
        <v>112</v>
      </c>
      <c r="G6915">
        <v>-246.15350000000001</v>
      </c>
      <c r="H6915" s="1">
        <v>-1.8335019999999999E-6</v>
      </c>
      <c r="I6915">
        <v>-59.219459999999998</v>
      </c>
      <c r="J6915">
        <v>-280.22859999999997</v>
      </c>
      <c r="K6915">
        <v>1.112606</v>
      </c>
      <c r="L6915">
        <v>-62.793759999999999</v>
      </c>
      <c r="M6915">
        <v>0.98426329999999995</v>
      </c>
      <c r="N6915">
        <v>0</v>
      </c>
      <c r="O6915">
        <v>-0.1763313</v>
      </c>
      <c r="P6915">
        <v>0.98144849999999995</v>
      </c>
      <c r="Q6915">
        <v>-2.6130480000000001E-2</v>
      </c>
      <c r="R6915">
        <v>-0.18993789999999999</v>
      </c>
      <c r="S6915">
        <v>3.11972</v>
      </c>
      <c r="T6915">
        <v>-0.101575</v>
      </c>
      <c r="U6915">
        <v>0.32501219999999997</v>
      </c>
      <c r="V6915">
        <v>1.399893E-2</v>
      </c>
      <c r="W6915">
        <v>-1.449077E-2</v>
      </c>
      <c r="X6915">
        <v>0.99979700000000005</v>
      </c>
      <c r="Y6915">
        <v>-0.27715099999999998</v>
      </c>
      <c r="Z6915">
        <v>1.021364E-2</v>
      </c>
      <c r="AA6915">
        <v>0.96077210000000002</v>
      </c>
      <c r="AB6915">
        <v>19</v>
      </c>
      <c r="AC6915">
        <v>34.0750999999999</v>
      </c>
      <c r="AD6915">
        <v>-1.112607833502</v>
      </c>
      <c r="AE6915">
        <v>3.5743</v>
      </c>
      <c r="AF6915">
        <v>-9.5171566160872398</v>
      </c>
      <c r="AG6915">
        <v>-1.112607833502</v>
      </c>
      <c r="AH6915">
        <v>32.876129771414398</v>
      </c>
      <c r="AI6915">
        <v>91.861899461403993</v>
      </c>
      <c r="AJ6915">
        <v>106.14495338214699</v>
      </c>
      <c r="AK6915">
        <v>34.244037072068302</v>
      </c>
      <c r="AL6915">
        <v>90.830289024936107</v>
      </c>
      <c r="AM6915">
        <v>89.197809958360807</v>
      </c>
      <c r="AN6915">
        <v>0.99999999683266805</v>
      </c>
    </row>
    <row r="6916" spans="1:40" x14ac:dyDescent="0.25">
      <c r="A6916" t="str">
        <f>"20190312160823400"</f>
        <v>20190312160823400</v>
      </c>
      <c r="B6916" t="str">
        <f>"1552378103392389"</f>
        <v>1552378103392389</v>
      </c>
      <c r="C6916" t="s">
        <v>40</v>
      </c>
      <c r="D6916">
        <v>6.1884940000000004</v>
      </c>
      <c r="E6916">
        <v>0.38671030000000001</v>
      </c>
      <c r="F6916" t="s">
        <v>112</v>
      </c>
      <c r="G6916">
        <v>-247.6234</v>
      </c>
      <c r="H6916" s="1">
        <v>-2.43862E-6</v>
      </c>
      <c r="I6916">
        <v>-59.363019999999999</v>
      </c>
      <c r="J6916">
        <v>-280.125</v>
      </c>
      <c r="K6916">
        <v>1.112554</v>
      </c>
      <c r="L6916">
        <v>-62.80829</v>
      </c>
      <c r="M6916">
        <v>0.98486819999999997</v>
      </c>
      <c r="N6916">
        <v>0</v>
      </c>
      <c r="O6916">
        <v>-0.17292479999999999</v>
      </c>
      <c r="P6916">
        <v>0.98202730000000005</v>
      </c>
      <c r="Q6916">
        <v>-2.6583740000000002E-2</v>
      </c>
      <c r="R6916">
        <v>-0.18685879999999999</v>
      </c>
      <c r="S6916">
        <v>3.11734</v>
      </c>
      <c r="T6916">
        <v>-0.1063752</v>
      </c>
      <c r="U6916">
        <v>0.32800289999999999</v>
      </c>
      <c r="V6916">
        <v>1.432656E-2</v>
      </c>
      <c r="W6916">
        <v>-1.499673E-2</v>
      </c>
      <c r="X6916">
        <v>0.99978489999999998</v>
      </c>
      <c r="Y6916">
        <v>-0.27479310000000001</v>
      </c>
      <c r="Z6916">
        <v>1.054857E-2</v>
      </c>
      <c r="AA6916">
        <v>0.96144549999999995</v>
      </c>
      <c r="AB6916">
        <v>19</v>
      </c>
      <c r="AC6916">
        <v>32.501600000000003</v>
      </c>
      <c r="AD6916">
        <v>-1.11255643862</v>
      </c>
      <c r="AE6916">
        <v>3.4452699999999998</v>
      </c>
      <c r="AF6916">
        <v>-9.0036301121398097</v>
      </c>
      <c r="AG6916">
        <v>-1.11255643862</v>
      </c>
      <c r="AH6916">
        <v>31.379726977794501</v>
      </c>
      <c r="AI6916">
        <v>91.951858955741002</v>
      </c>
      <c r="AJ6916">
        <v>106.009512094367</v>
      </c>
      <c r="AK6916">
        <v>32.664819029443102</v>
      </c>
      <c r="AL6916">
        <v>90.859281547204603</v>
      </c>
      <c r="AM6916">
        <v>89.179028163269805</v>
      </c>
      <c r="AN6916">
        <v>0.99999999925006799</v>
      </c>
    </row>
    <row r="6917" spans="1:40" x14ac:dyDescent="0.25">
      <c r="A6917" t="str">
        <f>"20190312160823410"</f>
        <v>20190312160823410</v>
      </c>
      <c r="B6917" t="str">
        <f>"1552378103402149"</f>
        <v>1552378103402149</v>
      </c>
      <c r="C6917" t="s">
        <v>40</v>
      </c>
      <c r="D6917">
        <v>6.1492610000000001</v>
      </c>
      <c r="E6917">
        <v>0.38770290000000002</v>
      </c>
      <c r="F6917" t="s">
        <v>112</v>
      </c>
      <c r="G6917">
        <v>-249.6857</v>
      </c>
      <c r="H6917" s="1">
        <v>-3.2840869999999999E-6</v>
      </c>
      <c r="I6917">
        <v>-59.584119999999999</v>
      </c>
      <c r="J6917">
        <v>-280.04129999999998</v>
      </c>
      <c r="K6917">
        <v>1.1125080000000001</v>
      </c>
      <c r="L6917">
        <v>-62.819819999999901</v>
      </c>
      <c r="M6917">
        <v>0.98534359999999999</v>
      </c>
      <c r="N6917">
        <v>0</v>
      </c>
      <c r="O6917">
        <v>-0.17019819999999999</v>
      </c>
      <c r="P6917">
        <v>0.98243670000000005</v>
      </c>
      <c r="Q6917">
        <v>-2.679316E-2</v>
      </c>
      <c r="R6917">
        <v>-0.18466369999999999</v>
      </c>
      <c r="S6917">
        <v>3.1145939999999999</v>
      </c>
      <c r="T6917">
        <v>-0.1138382</v>
      </c>
      <c r="U6917">
        <v>0.32989499999999999</v>
      </c>
      <c r="V6917">
        <v>1.486088E-2</v>
      </c>
      <c r="W6917">
        <v>-1.524652E-2</v>
      </c>
      <c r="X6917">
        <v>0.99977329999999998</v>
      </c>
      <c r="Y6917">
        <v>-0.27276250000000002</v>
      </c>
      <c r="Z6917">
        <v>1.1162109999999999E-2</v>
      </c>
      <c r="AA6917">
        <v>0.9620166</v>
      </c>
      <c r="AB6917">
        <v>19</v>
      </c>
      <c r="AC6917">
        <v>30.3555999999999</v>
      </c>
      <c r="AD6917">
        <v>-1.112511284087</v>
      </c>
      <c r="AE6917">
        <v>3.2356999999999898</v>
      </c>
      <c r="AF6917">
        <v>-8.3442084448735994</v>
      </c>
      <c r="AG6917">
        <v>-1.112511284087</v>
      </c>
      <c r="AH6917">
        <v>29.322959452779202</v>
      </c>
      <c r="AI6917">
        <v>92.089866927076201</v>
      </c>
      <c r="AJ6917">
        <v>105.884354243486</v>
      </c>
      <c r="AK6917">
        <v>30.5073670938358</v>
      </c>
      <c r="AL6917">
        <v>90.873595116253199</v>
      </c>
      <c r="AM6917">
        <v>89.148403940302003</v>
      </c>
      <c r="AN6917">
        <v>0.99999997675968699</v>
      </c>
    </row>
    <row r="6918" spans="1:40" x14ac:dyDescent="0.25">
      <c r="A6918" t="str">
        <f>"20190312160823420"</f>
        <v>20190312160823420</v>
      </c>
      <c r="B6918" t="str">
        <f>"1552378103411909"</f>
        <v>1552378103411909</v>
      </c>
      <c r="C6918" t="s">
        <v>40</v>
      </c>
      <c r="D6918">
        <v>6.1350300000000004</v>
      </c>
      <c r="E6918">
        <v>0.38847739999999997</v>
      </c>
      <c r="F6918" t="s">
        <v>115</v>
      </c>
      <c r="G6918">
        <v>-251.54910000000001</v>
      </c>
      <c r="H6918" s="1">
        <v>7.1194899999999899E-8</v>
      </c>
      <c r="I6918">
        <v>-59.804459999999999</v>
      </c>
      <c r="J6918">
        <v>-279.96019999999999</v>
      </c>
      <c r="K6918">
        <v>1.112463</v>
      </c>
      <c r="L6918">
        <v>-62.830750000000002</v>
      </c>
      <c r="M6918">
        <v>0.98578849999999996</v>
      </c>
      <c r="N6918">
        <v>0</v>
      </c>
      <c r="O6918">
        <v>-0.1676039</v>
      </c>
      <c r="P6918">
        <v>0.98286890000000005</v>
      </c>
      <c r="Q6918">
        <v>-2.7000509999999998E-2</v>
      </c>
      <c r="R6918">
        <v>-0.1823168</v>
      </c>
      <c r="S6918">
        <v>3.1122740000000002</v>
      </c>
      <c r="T6918">
        <v>-0.1215224</v>
      </c>
      <c r="U6918">
        <v>0.32937620000000001</v>
      </c>
      <c r="V6918">
        <v>1.510626E-2</v>
      </c>
      <c r="W6918">
        <v>-1.549406E-2</v>
      </c>
      <c r="X6918">
        <v>0.99976580000000004</v>
      </c>
      <c r="Y6918">
        <v>-0.27010820000000002</v>
      </c>
      <c r="Z6918">
        <v>1.177194E-2</v>
      </c>
      <c r="AA6918">
        <v>0.962758</v>
      </c>
      <c r="AB6918">
        <v>19</v>
      </c>
      <c r="AC6918">
        <v>28.411099999999902</v>
      </c>
      <c r="AD6918">
        <v>-1.1124629288051</v>
      </c>
      <c r="AE6918">
        <v>3.0262899999999999</v>
      </c>
      <c r="AF6918">
        <v>-7.7338719491179102</v>
      </c>
      <c r="AG6918">
        <v>-1.1124629288051</v>
      </c>
      <c r="AH6918">
        <v>27.4602754645923</v>
      </c>
      <c r="AI6918">
        <v>92.233099846829404</v>
      </c>
      <c r="AJ6918">
        <v>105.729265702696</v>
      </c>
      <c r="AK6918">
        <v>28.5502552998149</v>
      </c>
      <c r="AL6918">
        <v>90.887779804466405</v>
      </c>
      <c r="AM6918">
        <v>89.1343381789369</v>
      </c>
      <c r="AN6918">
        <v>0.99999995991805402</v>
      </c>
    </row>
    <row r="6919" spans="1:40" x14ac:dyDescent="0.25">
      <c r="A6919" t="str">
        <f>"20190312160823431"</f>
        <v>20190312160823431</v>
      </c>
      <c r="B6919" t="str">
        <f>"1552378103422645"</f>
        <v>1552378103422645</v>
      </c>
      <c r="C6919" t="s">
        <v>40</v>
      </c>
      <c r="D6919">
        <v>6.1762059999999996</v>
      </c>
      <c r="E6919">
        <v>0.38937509999999997</v>
      </c>
      <c r="F6919" t="s">
        <v>115</v>
      </c>
      <c r="G6919">
        <v>-252.5164</v>
      </c>
      <c r="H6919" s="1">
        <v>-3.201008E-7</v>
      </c>
      <c r="I6919">
        <v>-59.911439999999999</v>
      </c>
      <c r="J6919">
        <v>-279.86709999999999</v>
      </c>
      <c r="K6919">
        <v>1.112412</v>
      </c>
      <c r="L6919">
        <v>-62.843139999999998</v>
      </c>
      <c r="M6919">
        <v>0.98628720000000003</v>
      </c>
      <c r="N6919">
        <v>0</v>
      </c>
      <c r="O6919">
        <v>-0.16464790000000001</v>
      </c>
      <c r="P6919">
        <v>0.98337470000000005</v>
      </c>
      <c r="Q6919">
        <v>-2.686813E-2</v>
      </c>
      <c r="R6919">
        <v>-0.179591</v>
      </c>
      <c r="S6919">
        <v>3.1101679999999998</v>
      </c>
      <c r="T6919">
        <v>-0.12607399999999999</v>
      </c>
      <c r="U6919">
        <v>0.330841099999999</v>
      </c>
      <c r="V6919">
        <v>1.532823E-2</v>
      </c>
      <c r="W6919">
        <v>-1.5407550000000001E-2</v>
      </c>
      <c r="X6919">
        <v>0.99976379999999998</v>
      </c>
      <c r="Y6919">
        <v>-0.26771640000000002</v>
      </c>
      <c r="Z6919">
        <v>1.205345E-2</v>
      </c>
      <c r="AA6919">
        <v>0.96342240000000001</v>
      </c>
      <c r="AB6919">
        <v>19</v>
      </c>
      <c r="AC6919">
        <v>27.3506999999999</v>
      </c>
      <c r="AD6919">
        <v>-1.1124123201008</v>
      </c>
      <c r="AE6919">
        <v>2.9317000000000002</v>
      </c>
      <c r="AF6919">
        <v>-7.3831344972285597</v>
      </c>
      <c r="AG6919">
        <v>-1.1124123201008</v>
      </c>
      <c r="AH6919">
        <v>26.451391573714801</v>
      </c>
      <c r="AI6919">
        <v>92.3195919973749</v>
      </c>
      <c r="AJ6919">
        <v>105.595525438663</v>
      </c>
      <c r="AK6919">
        <v>27.484982305980601</v>
      </c>
      <c r="AL6919">
        <v>90.8828225179073</v>
      </c>
      <c r="AM6919">
        <v>89.121618445083499</v>
      </c>
      <c r="AN6919">
        <v>1.0000000015111801</v>
      </c>
    </row>
    <row r="6920" spans="1:40" x14ac:dyDescent="0.25">
      <c r="A6920" t="str">
        <f>"20190312160823442"</f>
        <v>20190312160823442</v>
      </c>
      <c r="B6920" t="str">
        <f>"1552378103431984"</f>
        <v>1552378103431984</v>
      </c>
      <c r="C6920" t="s">
        <v>40</v>
      </c>
      <c r="D6920">
        <v>6.1616939999999998</v>
      </c>
      <c r="E6920">
        <v>0.39020379999999999</v>
      </c>
      <c r="F6920" t="s">
        <v>115</v>
      </c>
      <c r="G6920">
        <v>-253.3321</v>
      </c>
      <c r="H6920" s="1">
        <v>-6.4967749999999896E-7</v>
      </c>
      <c r="I6920">
        <v>-60.003579999999999</v>
      </c>
      <c r="J6920">
        <v>-279.7817</v>
      </c>
      <c r="K6920">
        <v>1.1123620000000001</v>
      </c>
      <c r="L6920">
        <v>-62.85425</v>
      </c>
      <c r="M6920">
        <v>0.98672629999999995</v>
      </c>
      <c r="N6920">
        <v>0</v>
      </c>
      <c r="O6920">
        <v>-0.1619987</v>
      </c>
      <c r="P6920">
        <v>0.98386899999999999</v>
      </c>
      <c r="Q6920">
        <v>-2.6790359999999999E-2</v>
      </c>
      <c r="R6920">
        <v>-0.17687420000000001</v>
      </c>
      <c r="S6920">
        <v>3.1078800000000002</v>
      </c>
      <c r="T6920">
        <v>-0.1302904</v>
      </c>
      <c r="U6920">
        <v>0.332580599999999</v>
      </c>
      <c r="V6920">
        <v>1.524957E-2</v>
      </c>
      <c r="W6920">
        <v>-1.537378E-2</v>
      </c>
      <c r="X6920">
        <v>0.99976549999999997</v>
      </c>
      <c r="Y6920">
        <v>-0.26571600000000001</v>
      </c>
      <c r="Z6920">
        <v>1.231321E-2</v>
      </c>
      <c r="AA6920">
        <v>0.96397270000000002</v>
      </c>
      <c r="AB6920">
        <v>19</v>
      </c>
      <c r="AC6920">
        <v>26.4496</v>
      </c>
      <c r="AD6920">
        <v>-1.1123626496774901</v>
      </c>
      <c r="AE6920">
        <v>2.8506699999999898</v>
      </c>
      <c r="AF6920">
        <v>-7.08569627895577</v>
      </c>
      <c r="AG6920">
        <v>-1.1123626496774901</v>
      </c>
      <c r="AH6920">
        <v>25.593599620786499</v>
      </c>
      <c r="AI6920">
        <v>92.398539846937297</v>
      </c>
      <c r="AJ6920">
        <v>105.47497434018</v>
      </c>
      <c r="AK6920">
        <v>26.579630997648</v>
      </c>
      <c r="AL6920">
        <v>90.880887430292802</v>
      </c>
      <c r="AM6920">
        <v>89.126126827593495</v>
      </c>
      <c r="AN6920">
        <v>0.99999997874346103</v>
      </c>
    </row>
    <row r="6921" spans="1:40" x14ac:dyDescent="0.25">
      <c r="A6921" t="str">
        <f>"20190312160823452"</f>
        <v>20190312160823452</v>
      </c>
      <c r="B6921" t="str">
        <f>"1552378103442720"</f>
        <v>1552378103442720</v>
      </c>
      <c r="C6921" t="s">
        <v>40</v>
      </c>
      <c r="D6921">
        <v>6.1549370000000003</v>
      </c>
      <c r="E6921">
        <v>0.39096809999999999</v>
      </c>
      <c r="F6921" t="s">
        <v>115</v>
      </c>
      <c r="G6921">
        <v>-253.964</v>
      </c>
      <c r="H6921" s="1">
        <v>-9.0593160000000005E-7</v>
      </c>
      <c r="I6921">
        <v>-60.070540000000001</v>
      </c>
      <c r="J6921">
        <v>-279.68889999999999</v>
      </c>
      <c r="K6921">
        <v>1.112311</v>
      </c>
      <c r="L6921">
        <v>-62.866210000000002</v>
      </c>
      <c r="M6921">
        <v>0.98719259999999998</v>
      </c>
      <c r="N6921">
        <v>0</v>
      </c>
      <c r="O6921">
        <v>-0.15913540000000001</v>
      </c>
      <c r="P6921">
        <v>0.98437569999999996</v>
      </c>
      <c r="Q6921">
        <v>-2.6958679999999999E-2</v>
      </c>
      <c r="R6921">
        <v>-0.17400560000000001</v>
      </c>
      <c r="S6921">
        <v>3.1057739999999998</v>
      </c>
      <c r="T6921">
        <v>-0.13381299999999999</v>
      </c>
      <c r="U6921">
        <v>0.33486939999999998</v>
      </c>
      <c r="V6921">
        <v>1.523648E-2</v>
      </c>
      <c r="W6921">
        <v>-1.5589260000000001E-2</v>
      </c>
      <c r="X6921">
        <v>0.99976240000000005</v>
      </c>
      <c r="Y6921">
        <v>-0.26367380000000001</v>
      </c>
      <c r="Z6921">
        <v>1.248782E-2</v>
      </c>
      <c r="AA6921">
        <v>0.96453109999999997</v>
      </c>
      <c r="AB6921">
        <v>19</v>
      </c>
      <c r="AC6921">
        <v>25.724899999999899</v>
      </c>
      <c r="AD6921">
        <v>-1.1123119059316</v>
      </c>
      <c r="AE6921">
        <v>2.7956699999999901</v>
      </c>
      <c r="AF6921">
        <v>-6.8413998909467404</v>
      </c>
      <c r="AG6921">
        <v>-1.1123119059316</v>
      </c>
      <c r="AH6921">
        <v>24.906100944416799</v>
      </c>
      <c r="AI6921">
        <v>92.465922497480406</v>
      </c>
      <c r="AJ6921">
        <v>105.359615158268</v>
      </c>
      <c r="AK6921">
        <v>25.852579261988598</v>
      </c>
      <c r="AL6921">
        <v>90.893234971761103</v>
      </c>
      <c r="AM6921">
        <v>89.126874124013099</v>
      </c>
      <c r="AN6921">
        <v>1.00000001590194</v>
      </c>
    </row>
    <row r="6922" spans="1:40" x14ac:dyDescent="0.25">
      <c r="A6922" t="str">
        <f>"20190312160823465"</f>
        <v>20190312160823465</v>
      </c>
      <c r="B6922" t="str">
        <f>"1552378103462239"</f>
        <v>1552378103462239</v>
      </c>
      <c r="C6922" t="s">
        <v>40</v>
      </c>
      <c r="D6922">
        <v>6.1241599999999998</v>
      </c>
      <c r="E6922">
        <v>0.39243159999999999</v>
      </c>
      <c r="F6922" t="s">
        <v>115</v>
      </c>
      <c r="G6922">
        <v>-254.4119</v>
      </c>
      <c r="H6922" s="1">
        <v>-1.0886189999999999E-6</v>
      </c>
      <c r="I6922">
        <v>-60.113329999999998</v>
      </c>
      <c r="J6922">
        <v>-279.59010000000001</v>
      </c>
      <c r="K6922">
        <v>1.1122529999999999</v>
      </c>
      <c r="L6922">
        <v>-62.878540000000001</v>
      </c>
      <c r="M6922">
        <v>0.98766529999999997</v>
      </c>
      <c r="N6922">
        <v>0</v>
      </c>
      <c r="O6922">
        <v>-0.1561787</v>
      </c>
      <c r="P6922">
        <v>0.98485080000000003</v>
      </c>
      <c r="Q6922">
        <v>-2.7258899999999999E-2</v>
      </c>
      <c r="R6922">
        <v>-0.17124929999999999</v>
      </c>
      <c r="S6922">
        <v>3.1036380000000001</v>
      </c>
      <c r="T6922">
        <v>-0.13657529999999901</v>
      </c>
      <c r="U6922">
        <v>0.3380127</v>
      </c>
      <c r="V6922">
        <v>1.5432939999999999E-2</v>
      </c>
      <c r="W6922">
        <v>-1.594069E-2</v>
      </c>
      <c r="X6922">
        <v>0.99975380000000003</v>
      </c>
      <c r="Y6922">
        <v>-0.26180940000000003</v>
      </c>
      <c r="Z6922">
        <v>1.258365E-2</v>
      </c>
      <c r="AA6922">
        <v>0.96503760000000005</v>
      </c>
      <c r="AB6922">
        <v>19</v>
      </c>
      <c r="AC6922">
        <v>25.1782</v>
      </c>
      <c r="AD6922">
        <v>-1.112254088619</v>
      </c>
      <c r="AE6922">
        <v>2.76520999999999</v>
      </c>
      <c r="AF6922">
        <v>-6.6509941369440799</v>
      </c>
      <c r="AG6922">
        <v>-1.112254088619</v>
      </c>
      <c r="AH6922">
        <v>24.390271381856898</v>
      </c>
      <c r="AI6922">
        <v>92.519156222938406</v>
      </c>
      <c r="AJ6922">
        <v>105.253155087271</v>
      </c>
      <c r="AK6922">
        <v>25.305299252289899</v>
      </c>
      <c r="AL6922">
        <v>90.913372971067005</v>
      </c>
      <c r="AM6922">
        <v>89.115610161942797</v>
      </c>
      <c r="AN6922">
        <v>0.99999997092457904</v>
      </c>
    </row>
    <row r="6923" spans="1:40" x14ac:dyDescent="0.25">
      <c r="A6923" t="str">
        <f>"20190312160823476"</f>
        <v>20190312160823476</v>
      </c>
      <c r="B6923" t="str">
        <f>"1552378103472000"</f>
        <v>1552378103472000</v>
      </c>
      <c r="C6923" t="s">
        <v>40</v>
      </c>
      <c r="D6923">
        <v>6.1489549999999999</v>
      </c>
      <c r="E6923">
        <v>0.39243159999999999</v>
      </c>
      <c r="F6923" t="s">
        <v>115</v>
      </c>
      <c r="G6923">
        <v>-255.68629999999999</v>
      </c>
      <c r="H6923" s="1">
        <v>-1.5960090000000001E-6</v>
      </c>
      <c r="I6923">
        <v>-60.291150000000002</v>
      </c>
      <c r="J6923">
        <v>-279.49529999999999</v>
      </c>
      <c r="K6923">
        <v>1.112198</v>
      </c>
      <c r="L6923">
        <v>-62.890320000000003</v>
      </c>
      <c r="M6923">
        <v>0.9881067</v>
      </c>
      <c r="N6923">
        <v>0</v>
      </c>
      <c r="O6923">
        <v>-0.15336379999999999</v>
      </c>
      <c r="P6923">
        <v>0.98531120000000005</v>
      </c>
      <c r="Q6923">
        <v>-2.7658539999999999E-2</v>
      </c>
      <c r="R6923">
        <v>-0.16851459999999999</v>
      </c>
      <c r="S6923">
        <v>3.1004939999999999</v>
      </c>
      <c r="T6923">
        <v>-0.14426710000000001</v>
      </c>
      <c r="U6923">
        <v>0.33560180000000001</v>
      </c>
      <c r="V6923">
        <v>1.5508940000000001E-2</v>
      </c>
      <c r="W6923">
        <v>-1.6390890000000002E-2</v>
      </c>
      <c r="X6923">
        <v>0.99974540000000001</v>
      </c>
      <c r="Y6923">
        <v>-0.25838109999999997</v>
      </c>
      <c r="Z6923">
        <v>1.309608E-2</v>
      </c>
      <c r="AA6923">
        <v>0.96595430000000004</v>
      </c>
      <c r="AB6923">
        <v>19</v>
      </c>
      <c r="AC6923">
        <v>23.809000000000001</v>
      </c>
      <c r="AD6923">
        <v>-1.1121995960089901</v>
      </c>
      <c r="AE6923">
        <v>2.5991699999999902</v>
      </c>
      <c r="AF6923">
        <v>-6.2066994272366802</v>
      </c>
      <c r="AG6923">
        <v>-1.1121995960089901</v>
      </c>
      <c r="AH6923">
        <v>23.0788875720114</v>
      </c>
      <c r="AI6923">
        <v>92.664489037806007</v>
      </c>
      <c r="AJ6923">
        <v>105.052636910161</v>
      </c>
      <c r="AK6923">
        <v>23.924781237933299</v>
      </c>
      <c r="AL6923">
        <v>90.9391708507668</v>
      </c>
      <c r="AM6923">
        <v>89.111248186974095</v>
      </c>
      <c r="AN6923">
        <v>1.00000002665803</v>
      </c>
    </row>
    <row r="6924" spans="1:40" x14ac:dyDescent="0.25">
      <c r="A6924" t="str">
        <f>"20190312160823487"</f>
        <v>20190312160823487</v>
      </c>
      <c r="B6924" t="str">
        <f>"1552378103482737"</f>
        <v>1552378103482737</v>
      </c>
      <c r="C6924" t="s">
        <v>40</v>
      </c>
      <c r="D6924">
        <v>6.1395099999999996</v>
      </c>
      <c r="E6924">
        <v>0.3939821</v>
      </c>
      <c r="F6924" t="s">
        <v>115</v>
      </c>
      <c r="G6924">
        <v>-255.66919999999999</v>
      </c>
      <c r="H6924" s="1">
        <v>-1.599006E-6</v>
      </c>
      <c r="I6924">
        <v>-60.24438</v>
      </c>
      <c r="J6924">
        <v>-279.3997</v>
      </c>
      <c r="K6924">
        <v>1.112139</v>
      </c>
      <c r="L6924">
        <v>-62.901820000000001</v>
      </c>
      <c r="M6924">
        <v>0.98853120000000005</v>
      </c>
      <c r="N6924">
        <v>0</v>
      </c>
      <c r="O6924">
        <v>-0.15060770000000001</v>
      </c>
      <c r="P6924">
        <v>0.98576589999999997</v>
      </c>
      <c r="Q6924">
        <v>-2.7446910000000001E-2</v>
      </c>
      <c r="R6924">
        <v>-0.1658702</v>
      </c>
      <c r="S6924">
        <v>3.0995180000000002</v>
      </c>
      <c r="T6924">
        <v>-0.14468499999999901</v>
      </c>
      <c r="U6924">
        <v>0.34420780000000001</v>
      </c>
      <c r="V6924">
        <v>1.5610399999999899E-2</v>
      </c>
      <c r="W6924">
        <v>-1.6232380000000001E-2</v>
      </c>
      <c r="X6924">
        <v>0.99974640000000004</v>
      </c>
      <c r="Y6924">
        <v>-0.2583703</v>
      </c>
      <c r="Z6924">
        <v>1.300863E-2</v>
      </c>
      <c r="AA6924">
        <v>0.96595839999999999</v>
      </c>
      <c r="AB6924">
        <v>19</v>
      </c>
      <c r="AC6924">
        <v>23.730499999999999</v>
      </c>
      <c r="AD6924">
        <v>-1.112140599006</v>
      </c>
      <c r="AE6924">
        <v>2.6574399999999798</v>
      </c>
      <c r="AF6924">
        <v>-6.1879183365122596</v>
      </c>
      <c r="AG6924">
        <v>-1.112140599006</v>
      </c>
      <c r="AH6924">
        <v>23.009619650810698</v>
      </c>
      <c r="AI6924">
        <v>92.672361456275596</v>
      </c>
      <c r="AJ6924">
        <v>105.0522825851</v>
      </c>
      <c r="AK6924">
        <v>23.853087567991601</v>
      </c>
      <c r="AL6924">
        <v>90.930087695162101</v>
      </c>
      <c r="AM6924">
        <v>89.105435779547904</v>
      </c>
      <c r="AN6924">
        <v>1.0000000195307901</v>
      </c>
    </row>
    <row r="6925" spans="1:40" x14ac:dyDescent="0.25">
      <c r="A6925" t="str">
        <f>"20190312160823499"</f>
        <v>20190312160823499</v>
      </c>
      <c r="B6925" t="str">
        <f>"1552378103492498"</f>
        <v>1552378103492498</v>
      </c>
      <c r="C6925" t="s">
        <v>40</v>
      </c>
      <c r="D6925">
        <v>6.1366969999999998</v>
      </c>
      <c r="E6925">
        <v>0.39460109999999998</v>
      </c>
      <c r="F6925" t="s">
        <v>115</v>
      </c>
      <c r="G6925">
        <v>-256.21690000000001</v>
      </c>
      <c r="H6925" s="1">
        <v>-1.8102639999999999E-6</v>
      </c>
      <c r="I6925">
        <v>-60.351790000000001</v>
      </c>
      <c r="J6925">
        <v>-279.30489999999998</v>
      </c>
      <c r="K6925">
        <v>1.112082</v>
      </c>
      <c r="L6925">
        <v>-62.9131199999999</v>
      </c>
      <c r="M6925">
        <v>0.98893850000000005</v>
      </c>
      <c r="N6925">
        <v>0</v>
      </c>
      <c r="O6925">
        <v>-0.14791319999999999</v>
      </c>
      <c r="P6925">
        <v>0.98621979999999998</v>
      </c>
      <c r="Q6925">
        <v>-2.709949E-2</v>
      </c>
      <c r="R6925">
        <v>-0.16320680000000001</v>
      </c>
      <c r="S6925">
        <v>3.0964969999999998</v>
      </c>
      <c r="T6925">
        <v>-0.1485475</v>
      </c>
      <c r="U6925">
        <v>0.34060669999999998</v>
      </c>
      <c r="V6925">
        <v>1.56291E-2</v>
      </c>
      <c r="W6925">
        <v>-1.5938810000000001E-2</v>
      </c>
      <c r="X6925">
        <v>0.99975080000000005</v>
      </c>
      <c r="Y6925">
        <v>-0.2547121</v>
      </c>
      <c r="Z6925">
        <v>1.315348E-2</v>
      </c>
      <c r="AA6925">
        <v>0.96692750000000005</v>
      </c>
      <c r="AB6925">
        <v>19</v>
      </c>
      <c r="AC6925">
        <v>23.087999999999901</v>
      </c>
      <c r="AD6925">
        <v>-1.112083810264</v>
      </c>
      <c r="AE6925">
        <v>2.5613299999999901</v>
      </c>
      <c r="AF6925">
        <v>-5.9347799016195104</v>
      </c>
      <c r="AG6925">
        <v>-1.112083810264</v>
      </c>
      <c r="AH6925">
        <v>22.4037844895443</v>
      </c>
      <c r="AI6925">
        <v>92.747128118621404</v>
      </c>
      <c r="AJ6925">
        <v>104.836914863468</v>
      </c>
      <c r="AK6925">
        <v>23.203187331391899</v>
      </c>
      <c r="AL6925">
        <v>90.913265225473197</v>
      </c>
      <c r="AM6925">
        <v>89.104368279363499</v>
      </c>
      <c r="AN6925">
        <v>0.99999998826583203</v>
      </c>
    </row>
    <row r="6926" spans="1:40" x14ac:dyDescent="0.25">
      <c r="A6926" t="str">
        <f>"20190312160823510"</f>
        <v>20190312160823510</v>
      </c>
      <c r="B6926" t="str">
        <f>"1552378103502256"</f>
        <v>1552378103502256</v>
      </c>
      <c r="C6926" t="s">
        <v>40</v>
      </c>
      <c r="D6926">
        <v>6.1133629999999997</v>
      </c>
      <c r="E6926">
        <v>0.3952754</v>
      </c>
      <c r="F6926" t="s">
        <v>115</v>
      </c>
      <c r="G6926">
        <v>-256.10550000000001</v>
      </c>
      <c r="H6926" s="1">
        <v>-1.7665029999999901E-6</v>
      </c>
      <c r="I6926">
        <v>-60.333530000000003</v>
      </c>
      <c r="J6926">
        <v>-279.20999999999998</v>
      </c>
      <c r="K6926">
        <v>1.112026</v>
      </c>
      <c r="L6926">
        <v>-62.924219999999998</v>
      </c>
      <c r="M6926">
        <v>0.98933150000000003</v>
      </c>
      <c r="N6926">
        <v>0</v>
      </c>
      <c r="O6926">
        <v>-0.14526520000000001</v>
      </c>
      <c r="P6926">
        <v>0.98663290000000003</v>
      </c>
      <c r="Q6926">
        <v>-2.7059779999999999E-2</v>
      </c>
      <c r="R6926">
        <v>-0.1606967</v>
      </c>
      <c r="S6926">
        <v>3.0947879999999999</v>
      </c>
      <c r="T6926">
        <v>-0.14835139999999999</v>
      </c>
      <c r="U6926">
        <v>0.34411619999999998</v>
      </c>
      <c r="V6926">
        <v>1.5759499999999999E-2</v>
      </c>
      <c r="W6926">
        <v>-1.5953459999999999E-2</v>
      </c>
      <c r="X6926">
        <v>0.99974850000000004</v>
      </c>
      <c r="Y6926">
        <v>-0.25326989999999999</v>
      </c>
      <c r="Z6926">
        <v>1.2982280000000001E-2</v>
      </c>
      <c r="AA6926">
        <v>0.96730850000000002</v>
      </c>
      <c r="AB6926">
        <v>19</v>
      </c>
      <c r="AC6926">
        <v>23.104499999999899</v>
      </c>
      <c r="AD6926">
        <v>-1.1120277665030001</v>
      </c>
      <c r="AE6926">
        <v>2.5906899999999902</v>
      </c>
      <c r="AF6926">
        <v>-5.9061778367732796</v>
      </c>
      <c r="AG6926">
        <v>-1.1120277665030001</v>
      </c>
      <c r="AH6926">
        <v>22.431716567436599</v>
      </c>
      <c r="AI6926">
        <v>92.744660173507995</v>
      </c>
      <c r="AJ6926">
        <v>104.750954801574</v>
      </c>
      <c r="AK6926">
        <v>23.222864822301201</v>
      </c>
      <c r="AL6926">
        <v>90.914104733014497</v>
      </c>
      <c r="AM6926">
        <v>89.096894811284301</v>
      </c>
      <c r="AN6926">
        <v>0.99999996898923504</v>
      </c>
    </row>
    <row r="6927" spans="1:40" x14ac:dyDescent="0.25">
      <c r="A6927" t="str">
        <f>"20190312160823521"</f>
        <v>20190312160823521</v>
      </c>
      <c r="B6927" t="str">
        <f>"1552378103512018"</f>
        <v>1552378103512018</v>
      </c>
      <c r="C6927" t="s">
        <v>40</v>
      </c>
      <c r="D6927">
        <v>6.0424569999999997</v>
      </c>
      <c r="E6927">
        <v>0.39597199999999999</v>
      </c>
      <c r="F6927" t="s">
        <v>115</v>
      </c>
      <c r="G6927">
        <v>-256.30689999999998</v>
      </c>
      <c r="H6927" s="1">
        <v>-1.847741E-6</v>
      </c>
      <c r="I6927">
        <v>-60.35689</v>
      </c>
      <c r="J6927">
        <v>-279.11709999999999</v>
      </c>
      <c r="K6927">
        <v>1.111974</v>
      </c>
      <c r="L6927">
        <v>-62.934840000000001</v>
      </c>
      <c r="M6927">
        <v>0.98970060000000004</v>
      </c>
      <c r="N6927">
        <v>0</v>
      </c>
      <c r="O6927">
        <v>-0.1427329</v>
      </c>
      <c r="P6927">
        <v>0.98701170000000005</v>
      </c>
      <c r="Q6927">
        <v>-2.687548E-2</v>
      </c>
      <c r="R6927">
        <v>-0.1583849</v>
      </c>
      <c r="S6927">
        <v>3.0929869999999999</v>
      </c>
      <c r="T6927">
        <v>-0.150176</v>
      </c>
      <c r="U6927">
        <v>0.34671020000000002</v>
      </c>
      <c r="V6927">
        <v>1.5972340000000002E-2</v>
      </c>
      <c r="W6927">
        <v>-1.5822389999999999E-2</v>
      </c>
      <c r="X6927">
        <v>0.99974719999999995</v>
      </c>
      <c r="Y6927">
        <v>-0.2516504</v>
      </c>
      <c r="Z6927">
        <v>1.298766E-2</v>
      </c>
      <c r="AA6927">
        <v>0.96773109999999996</v>
      </c>
      <c r="AB6927">
        <v>19</v>
      </c>
      <c r="AC6927">
        <v>22.810199999999998</v>
      </c>
      <c r="AD6927">
        <v>-1.111975847741</v>
      </c>
      <c r="AE6927">
        <v>2.57795</v>
      </c>
      <c r="AF6927">
        <v>-5.7939178151848196</v>
      </c>
      <c r="AG6927">
        <v>-1.111975847741</v>
      </c>
      <c r="AH6927">
        <v>22.156652796377902</v>
      </c>
      <c r="AI6927">
        <v>92.779775923935603</v>
      </c>
      <c r="AJ6927">
        <v>104.654575002629</v>
      </c>
      <c r="AK6927">
        <v>22.9286553699583</v>
      </c>
      <c r="AL6927">
        <v>90.906594031661001</v>
      </c>
      <c r="AM6927">
        <v>89.084698791175796</v>
      </c>
      <c r="AN6927">
        <v>0.99999996378911304</v>
      </c>
    </row>
    <row r="6928" spans="1:40" x14ac:dyDescent="0.25">
      <c r="A6928" t="str">
        <f>"20190312160823531"</f>
        <v>20190312160823531</v>
      </c>
      <c r="B6928" t="str">
        <f>"1552378103522754"</f>
        <v>1552378103522754</v>
      </c>
      <c r="C6928" t="s">
        <v>40</v>
      </c>
      <c r="D6928">
        <v>6.098007</v>
      </c>
      <c r="E6928">
        <v>0.39660849999999997</v>
      </c>
      <c r="F6928" t="s">
        <v>115</v>
      </c>
      <c r="G6928">
        <v>-256.47059999999999</v>
      </c>
      <c r="H6928" s="1">
        <v>-1.9124979999999998E-6</v>
      </c>
      <c r="I6928">
        <v>-60.381450000000001</v>
      </c>
      <c r="J6928">
        <v>-279.02760000000001</v>
      </c>
      <c r="K6928">
        <v>1.1119190000000001</v>
      </c>
      <c r="L6928">
        <v>-62.944980000000001</v>
      </c>
      <c r="M6928">
        <v>0.99004570000000003</v>
      </c>
      <c r="N6928">
        <v>0</v>
      </c>
      <c r="O6928">
        <v>-0.1403228</v>
      </c>
      <c r="P6928">
        <v>0.98740640000000002</v>
      </c>
      <c r="Q6928">
        <v>-2.6799190000000001E-2</v>
      </c>
      <c r="R6928">
        <v>-0.1559178</v>
      </c>
      <c r="S6928">
        <v>3.091278</v>
      </c>
      <c r="T6928">
        <v>-0.1517857</v>
      </c>
      <c r="U6928">
        <v>0.3485413</v>
      </c>
      <c r="V6928">
        <v>1.5905989999999998E-2</v>
      </c>
      <c r="W6928">
        <v>-1.5799170000000001E-2</v>
      </c>
      <c r="X6928">
        <v>0.99974859999999999</v>
      </c>
      <c r="Y6928">
        <v>-0.24991369999999999</v>
      </c>
      <c r="Z6928">
        <v>1.2973599999999899E-2</v>
      </c>
      <c r="AA6928">
        <v>0.96818119999999996</v>
      </c>
      <c r="AB6928">
        <v>19</v>
      </c>
      <c r="AC6928">
        <v>22.556999999999999</v>
      </c>
      <c r="AD6928">
        <v>-1.1119209124980001</v>
      </c>
      <c r="AE6928">
        <v>2.5635300000000001</v>
      </c>
      <c r="AF6928">
        <v>-5.68996305205994</v>
      </c>
      <c r="AG6928">
        <v>-1.1119209124980001</v>
      </c>
      <c r="AH6928">
        <v>21.921459547342401</v>
      </c>
      <c r="AI6928">
        <v>92.810739290558999</v>
      </c>
      <c r="AJ6928">
        <v>104.55067086367499</v>
      </c>
      <c r="AK6928">
        <v>22.675150194325699</v>
      </c>
      <c r="AL6928">
        <v>90.905263479965399</v>
      </c>
      <c r="AM6928">
        <v>89.088501637327496</v>
      </c>
      <c r="AN6928">
        <v>0.99999993874626203</v>
      </c>
    </row>
    <row r="6929" spans="1:40" x14ac:dyDescent="0.25">
      <c r="A6929" t="str">
        <f>"20190312160823544"</f>
        <v>20190312160823544</v>
      </c>
      <c r="B6929" t="str">
        <f>"1552378103532512"</f>
        <v>1552378103532512</v>
      </c>
      <c r="C6929" t="s">
        <v>40</v>
      </c>
      <c r="D6929">
        <v>6.1022030000000003</v>
      </c>
      <c r="E6929">
        <v>0.39731159999999999</v>
      </c>
      <c r="F6929" t="s">
        <v>115</v>
      </c>
      <c r="G6929">
        <v>-256.63839999999999</v>
      </c>
      <c r="H6929" s="1">
        <v>-1.9875539999999998E-6</v>
      </c>
      <c r="I6929">
        <v>-60.399520000000003</v>
      </c>
      <c r="J6929">
        <v>-278.93110000000001</v>
      </c>
      <c r="K6929">
        <v>1.111858</v>
      </c>
      <c r="L6929">
        <v>-62.955660000000002</v>
      </c>
      <c r="M6929">
        <v>0.99040010000000001</v>
      </c>
      <c r="N6929">
        <v>0</v>
      </c>
      <c r="O6929">
        <v>-0.13780339999999999</v>
      </c>
      <c r="P6929">
        <v>0.98774150000000005</v>
      </c>
      <c r="Q6929">
        <v>-2.6651359999999999E-2</v>
      </c>
      <c r="R6929">
        <v>-0.15380650000000001</v>
      </c>
      <c r="S6929">
        <v>3.089569</v>
      </c>
      <c r="T6929">
        <v>-0.1534382</v>
      </c>
      <c r="U6929">
        <v>0.35125729999999999</v>
      </c>
      <c r="V6929">
        <v>1.6308949999999999E-2</v>
      </c>
      <c r="W6929">
        <v>-1.570479E-2</v>
      </c>
      <c r="X6929">
        <v>0.99974359999999995</v>
      </c>
      <c r="Y6929">
        <v>-0.24834429999999999</v>
      </c>
      <c r="Z6929">
        <v>1.2958290000000001E-2</v>
      </c>
      <c r="AA6929">
        <v>0.96858509999999998</v>
      </c>
      <c r="AB6929">
        <v>19</v>
      </c>
      <c r="AC6929">
        <v>22.2927</v>
      </c>
      <c r="AD6929">
        <v>-1.1118599875540001</v>
      </c>
      <c r="AE6929">
        <v>2.5561399999999899</v>
      </c>
      <c r="AF6929">
        <v>-5.5902158490204101</v>
      </c>
      <c r="AG6929">
        <v>-1.1118599875540001</v>
      </c>
      <c r="AH6929">
        <v>21.674510898379602</v>
      </c>
      <c r="AI6929">
        <v>92.843687860611695</v>
      </c>
      <c r="AJ6929">
        <v>104.462347249902</v>
      </c>
      <c r="AK6929">
        <v>22.411407107866701</v>
      </c>
      <c r="AL6929">
        <v>90.899855228222705</v>
      </c>
      <c r="AM6929">
        <v>89.065409244403298</v>
      </c>
      <c r="AN6929">
        <v>0.99999994401000103</v>
      </c>
    </row>
    <row r="6930" spans="1:40" x14ac:dyDescent="0.25">
      <c r="A6930" t="str">
        <f>"20190312160823554"</f>
        <v>20190312160823554</v>
      </c>
      <c r="B6930" t="str">
        <f>"1552378103542273"</f>
        <v>1552378103542273</v>
      </c>
      <c r="C6930" t="s">
        <v>40</v>
      </c>
      <c r="D6930">
        <v>6.0818620000000001</v>
      </c>
      <c r="E6930">
        <v>0.39795659999999999</v>
      </c>
      <c r="F6930" t="s">
        <v>115</v>
      </c>
      <c r="G6930">
        <v>-256.78570000000002</v>
      </c>
      <c r="H6930" s="1">
        <v>-2.0570789999999998E-6</v>
      </c>
      <c r="I6930">
        <v>-60.428040000000003</v>
      </c>
      <c r="J6930">
        <v>-278.8372</v>
      </c>
      <c r="K6930">
        <v>1.1117939999999999</v>
      </c>
      <c r="L6930">
        <v>-62.965940000000003</v>
      </c>
      <c r="M6930">
        <v>0.99073580000000006</v>
      </c>
      <c r="N6930">
        <v>0</v>
      </c>
      <c r="O6930">
        <v>-0.1353732</v>
      </c>
      <c r="P6930">
        <v>0.98807140000000004</v>
      </c>
      <c r="Q6930">
        <v>-2.6871240000000001E-2</v>
      </c>
      <c r="R6930">
        <v>-0.15163370000000001</v>
      </c>
      <c r="S6930">
        <v>3.0879210000000001</v>
      </c>
      <c r="T6930">
        <v>-0.15503620000000001</v>
      </c>
      <c r="U6930">
        <v>0.35244750000000002</v>
      </c>
      <c r="V6930">
        <v>1.65633E-2</v>
      </c>
      <c r="W6930">
        <v>-1.5977129999999999E-2</v>
      </c>
      <c r="X6930">
        <v>0.99973520000000005</v>
      </c>
      <c r="Y6930">
        <v>-0.2463892</v>
      </c>
      <c r="Z6930">
        <v>1.292973E-2</v>
      </c>
      <c r="AA6930">
        <v>0.96908470000000002</v>
      </c>
      <c r="AB6930">
        <v>19</v>
      </c>
      <c r="AC6930">
        <v>22.051499999999901</v>
      </c>
      <c r="AD6930">
        <v>-1.111796057079</v>
      </c>
      <c r="AE6930">
        <v>2.5379</v>
      </c>
      <c r="AF6930">
        <v>-5.4861279732940504</v>
      </c>
      <c r="AG6930">
        <v>-1.111796057079</v>
      </c>
      <c r="AH6930">
        <v>21.451085746865701</v>
      </c>
      <c r="AI6930">
        <v>92.874589432255505</v>
      </c>
      <c r="AJ6930">
        <v>104.345924862769</v>
      </c>
      <c r="AK6930">
        <v>22.169410689760799</v>
      </c>
      <c r="AL6930">
        <v>90.915461031235495</v>
      </c>
      <c r="AM6930">
        <v>89.050828290667297</v>
      </c>
      <c r="AN6930">
        <v>1.00000004085448</v>
      </c>
    </row>
    <row r="6931" spans="1:40" x14ac:dyDescent="0.25">
      <c r="A6931" t="str">
        <f>"20190312160823565"</f>
        <v>20190312160823565</v>
      </c>
      <c r="B6931" t="str">
        <f>"1552378103562768"</f>
        <v>1552378103562768</v>
      </c>
      <c r="C6931" t="s">
        <v>40</v>
      </c>
      <c r="D6931">
        <v>6.043107</v>
      </c>
      <c r="E6931">
        <v>0.3986325</v>
      </c>
      <c r="F6931" t="s">
        <v>115</v>
      </c>
      <c r="G6931">
        <v>-256.98649999999998</v>
      </c>
      <c r="H6931" s="1">
        <v>-2.1499400000000002E-6</v>
      </c>
      <c r="I6931">
        <v>-60.45834</v>
      </c>
      <c r="J6931">
        <v>-278.74299999999999</v>
      </c>
      <c r="K6931">
        <v>1.111729</v>
      </c>
      <c r="L6931">
        <v>-62.976010000000002</v>
      </c>
      <c r="M6931">
        <v>0.99105279999999996</v>
      </c>
      <c r="N6931">
        <v>0</v>
      </c>
      <c r="O6931">
        <v>-0.13303679999999901</v>
      </c>
      <c r="P6931">
        <v>0.98835700000000004</v>
      </c>
      <c r="Q6931">
        <v>-2.7091130000000001E-2</v>
      </c>
      <c r="R6931">
        <v>-0.14972179999999999</v>
      </c>
      <c r="S6931">
        <v>3.0863040000000002</v>
      </c>
      <c r="T6931">
        <v>-0.1570358</v>
      </c>
      <c r="U6931">
        <v>0.35418699999999997</v>
      </c>
      <c r="V6931">
        <v>1.6986500000000002E-2</v>
      </c>
      <c r="W6931">
        <v>-1.624809E-2</v>
      </c>
      <c r="X6931">
        <v>0.99972369999999999</v>
      </c>
      <c r="Y6931">
        <v>-0.24469260000000001</v>
      </c>
      <c r="Z6931">
        <v>1.2941680000000001E-2</v>
      </c>
      <c r="AA6931">
        <v>0.9695144</v>
      </c>
      <c r="AB6931">
        <v>19</v>
      </c>
      <c r="AC6931">
        <v>21.756499999999999</v>
      </c>
      <c r="AD6931">
        <v>-1.11173114994</v>
      </c>
      <c r="AE6931">
        <v>2.5176699999999901</v>
      </c>
      <c r="AF6931">
        <v>-5.3760187056037596</v>
      </c>
      <c r="AG6931">
        <v>-1.11173114994</v>
      </c>
      <c r="AH6931">
        <v>21.173568567896499</v>
      </c>
      <c r="AI6931">
        <v>92.913317818407407</v>
      </c>
      <c r="AJ6931">
        <v>104.246485134401</v>
      </c>
      <c r="AK6931">
        <v>21.873672055056598</v>
      </c>
      <c r="AL6931">
        <v>90.930987940391901</v>
      </c>
      <c r="AM6931">
        <v>89.026569926126598</v>
      </c>
      <c r="AN6931">
        <v>1.0000000089762899</v>
      </c>
    </row>
    <row r="6932" spans="1:40" x14ac:dyDescent="0.25">
      <c r="A6932" t="str">
        <f>"20190312160823578"</f>
        <v>20190312160823578</v>
      </c>
      <c r="B6932" t="str">
        <f>"1552378103572529"</f>
        <v>1552378103572529</v>
      </c>
      <c r="C6932" t="s">
        <v>40</v>
      </c>
      <c r="D6932">
        <v>6.0715539999999999</v>
      </c>
      <c r="E6932">
        <v>0.42011480000000001</v>
      </c>
      <c r="F6932" t="s">
        <v>115</v>
      </c>
      <c r="G6932">
        <v>-257.26929999999999</v>
      </c>
      <c r="H6932" s="1">
        <v>-2.281781E-6</v>
      </c>
      <c r="I6932">
        <v>-60.505519999999997</v>
      </c>
      <c r="J6932">
        <v>-278.63729999999998</v>
      </c>
      <c r="K6932">
        <v>1.111659</v>
      </c>
      <c r="L6932">
        <v>-62.98715</v>
      </c>
      <c r="M6932">
        <v>0.99139739999999998</v>
      </c>
      <c r="N6932">
        <v>0</v>
      </c>
      <c r="O6932">
        <v>-0.13044790000000001</v>
      </c>
      <c r="P6932">
        <v>0.98871500000000001</v>
      </c>
      <c r="Q6932">
        <v>-2.694773E-2</v>
      </c>
      <c r="R6932">
        <v>-0.14736399999999999</v>
      </c>
      <c r="S6932">
        <v>3.0847169999999999</v>
      </c>
      <c r="T6932">
        <v>-0.1597015</v>
      </c>
      <c r="U6932">
        <v>0.35488890000000001</v>
      </c>
      <c r="V6932">
        <v>1.7209720000000001E-2</v>
      </c>
      <c r="W6932">
        <v>-1.6162670000000001E-2</v>
      </c>
      <c r="X6932">
        <v>0.99972119999999998</v>
      </c>
      <c r="Y6932">
        <v>-0.24242330000000001</v>
      </c>
      <c r="Z6932">
        <v>1.2976E-2</v>
      </c>
      <c r="AA6932">
        <v>0.97008380000000005</v>
      </c>
      <c r="AB6932">
        <v>19</v>
      </c>
      <c r="AC6932">
        <v>21.367999999999899</v>
      </c>
      <c r="AD6932">
        <v>-1.1116612817810001</v>
      </c>
      <c r="AE6932">
        <v>2.48163</v>
      </c>
      <c r="AF6932">
        <v>-5.2340151881177199</v>
      </c>
      <c r="AG6932">
        <v>-1.1116612817810001</v>
      </c>
      <c r="AH6932">
        <v>20.806087580225402</v>
      </c>
      <c r="AI6932">
        <v>92.966142267957196</v>
      </c>
      <c r="AJ6932">
        <v>104.120428935493</v>
      </c>
      <c r="AK6932">
        <v>21.483109323160601</v>
      </c>
      <c r="AL6932">
        <v>90.926093154165898</v>
      </c>
      <c r="AM6932">
        <v>89.013778102770999</v>
      </c>
      <c r="AN6932">
        <v>0.99999994204672105</v>
      </c>
    </row>
    <row r="6933" spans="1:40" x14ac:dyDescent="0.25">
      <c r="A6933" t="str">
        <f>"20190312160823589"</f>
        <v>20190312160823589</v>
      </c>
      <c r="B6933" t="str">
        <f>"1552378103582288"</f>
        <v>1552378103582288</v>
      </c>
      <c r="C6933" t="s">
        <v>40</v>
      </c>
      <c r="D6933">
        <v>6.0577360000000002</v>
      </c>
      <c r="E6933">
        <v>0.42070210000000002</v>
      </c>
      <c r="F6933" t="s">
        <v>47</v>
      </c>
      <c r="G6933">
        <v>-264.24770000000001</v>
      </c>
      <c r="H6933" s="1">
        <v>-1.274132E-6</v>
      </c>
      <c r="I6933">
        <v>-62.062159999999999</v>
      </c>
      <c r="J6933">
        <v>-278.5421</v>
      </c>
      <c r="K6933">
        <v>1.1115969999999999</v>
      </c>
      <c r="L6933">
        <v>-62.997039999999998</v>
      </c>
      <c r="M6933">
        <v>0.99169309999999999</v>
      </c>
      <c r="N6933">
        <v>0</v>
      </c>
      <c r="O6933">
        <v>-0.12818589999999999</v>
      </c>
      <c r="P6933">
        <v>0.98899979999999998</v>
      </c>
      <c r="Q6933">
        <v>-2.730981E-2</v>
      </c>
      <c r="R6933">
        <v>-0.14537449999999999</v>
      </c>
      <c r="S6933">
        <v>3.0570979999999999</v>
      </c>
      <c r="T6933">
        <v>-0.2361751</v>
      </c>
      <c r="U6933">
        <v>0.1965027</v>
      </c>
      <c r="V6933">
        <v>1.748009E-2</v>
      </c>
      <c r="W6933">
        <v>-1.6575739999999999E-2</v>
      </c>
      <c r="X6933">
        <v>0.99970979999999998</v>
      </c>
      <c r="Y6933">
        <v>-0.19059860000000001</v>
      </c>
      <c r="Z6933">
        <v>1.7212129999999999E-2</v>
      </c>
      <c r="AA6933">
        <v>0.98151710000000003</v>
      </c>
      <c r="AB6933">
        <v>19</v>
      </c>
      <c r="AC6933">
        <v>14.2943999999999</v>
      </c>
      <c r="AD6933">
        <v>-1.1115982741320001</v>
      </c>
      <c r="AE6933">
        <v>0.93488000000000604</v>
      </c>
      <c r="AF6933">
        <v>-2.74309298883141</v>
      </c>
      <c r="AG6933">
        <v>-1.1115982741320001</v>
      </c>
      <c r="AH6933">
        <v>13.972478491696499</v>
      </c>
      <c r="AI6933">
        <v>94.463803771187401</v>
      </c>
      <c r="AJ6933">
        <v>101.10711405123</v>
      </c>
      <c r="AK6933">
        <v>14.282519563065501</v>
      </c>
      <c r="AL6933">
        <v>90.949763443122393</v>
      </c>
      <c r="AM6933">
        <v>88.998275965250997</v>
      </c>
      <c r="AN6933">
        <v>0.999999996459497</v>
      </c>
    </row>
    <row r="6934" spans="1:40" x14ac:dyDescent="0.25">
      <c r="A6934" t="str">
        <f>"20190312160823600"</f>
        <v>20190312160823600</v>
      </c>
      <c r="B6934" t="str">
        <f>"1552378103592048"</f>
        <v>1552378103592048</v>
      </c>
      <c r="C6934" t="s">
        <v>40</v>
      </c>
      <c r="D6934">
        <v>6.0774970000000001</v>
      </c>
      <c r="E6934">
        <v>0.42100979999999999</v>
      </c>
      <c r="F6934" t="s">
        <v>47</v>
      </c>
      <c r="G6934">
        <v>-263.65249999999997</v>
      </c>
      <c r="H6934" s="1">
        <v>-1.011449E-6</v>
      </c>
      <c r="I6934">
        <v>-62.03454</v>
      </c>
      <c r="J6934">
        <v>-278.44850000000002</v>
      </c>
      <c r="K6934">
        <v>1.111534</v>
      </c>
      <c r="L6934">
        <v>-63.00656</v>
      </c>
      <c r="M6934">
        <v>0.99197159999999995</v>
      </c>
      <c r="N6934">
        <v>0</v>
      </c>
      <c r="O6934">
        <v>-0.12601699999999999</v>
      </c>
      <c r="P6934">
        <v>0.98925750000000001</v>
      </c>
      <c r="Q6934">
        <v>-2.7362299999999999E-2</v>
      </c>
      <c r="R6934">
        <v>-0.1436016</v>
      </c>
      <c r="S6934">
        <v>3.0560909999999999</v>
      </c>
      <c r="T6934">
        <v>-0.22815569999999999</v>
      </c>
      <c r="U6934">
        <v>0.1975403</v>
      </c>
      <c r="V6934">
        <v>1.787246E-2</v>
      </c>
      <c r="W6934">
        <v>-1.6677529999999999E-2</v>
      </c>
      <c r="X6934">
        <v>0.99970119999999896</v>
      </c>
      <c r="Y6934">
        <v>-0.18887789999999999</v>
      </c>
      <c r="Z6934">
        <v>1.6409710000000001E-2</v>
      </c>
      <c r="AA6934">
        <v>0.9818635</v>
      </c>
      <c r="AB6934">
        <v>19</v>
      </c>
      <c r="AC6934">
        <v>14.795999999999999</v>
      </c>
      <c r="AD6934">
        <v>-1.1115350114489999</v>
      </c>
      <c r="AE6934">
        <v>0.97202</v>
      </c>
      <c r="AF6934">
        <v>-2.8131143559775502</v>
      </c>
      <c r="AG6934">
        <v>-1.1115350114489999</v>
      </c>
      <c r="AH6934">
        <v>14.474200486432499</v>
      </c>
      <c r="AI6934">
        <v>94.311012681778806</v>
      </c>
      <c r="AJ6934">
        <v>100.998530668123</v>
      </c>
      <c r="AK6934">
        <v>14.7868726302396</v>
      </c>
      <c r="AL6934">
        <v>90.955596357600001</v>
      </c>
      <c r="AM6934">
        <v>88.975786513864506</v>
      </c>
      <c r="AN6934">
        <v>1.0000000270573901</v>
      </c>
    </row>
    <row r="6935" spans="1:40" x14ac:dyDescent="0.25">
      <c r="A6935" t="str">
        <f>"20190312160823611"</f>
        <v>20190312160823611</v>
      </c>
      <c r="B6935" t="str">
        <f>"1552378103602784"</f>
        <v>1552378103602784</v>
      </c>
      <c r="C6935" t="s">
        <v>40</v>
      </c>
      <c r="D6935">
        <v>6.0820970000000001</v>
      </c>
      <c r="E6935">
        <v>0.42152420000000002</v>
      </c>
      <c r="F6935" t="s">
        <v>111</v>
      </c>
      <c r="G6935">
        <v>-263.56290000000001</v>
      </c>
      <c r="H6935" s="1">
        <v>-9.715815999999999E-7</v>
      </c>
      <c r="I6935">
        <v>-62.029220000000002</v>
      </c>
      <c r="J6935">
        <v>-278.35449999999997</v>
      </c>
      <c r="K6935">
        <v>1.111472</v>
      </c>
      <c r="L6935">
        <v>-63.016019999999997</v>
      </c>
      <c r="M6935">
        <v>0.99224100000000004</v>
      </c>
      <c r="N6935">
        <v>0</v>
      </c>
      <c r="O6935">
        <v>-0.12388250000000001</v>
      </c>
      <c r="P6935">
        <v>0.98953650000000004</v>
      </c>
      <c r="Q6935">
        <v>-2.7310729999999998E-2</v>
      </c>
      <c r="R6935">
        <v>-0.1416761</v>
      </c>
      <c r="S6935">
        <v>3.0553889999999999</v>
      </c>
      <c r="T6935">
        <v>-0.2281513</v>
      </c>
      <c r="U6935">
        <v>0.20059199999999999</v>
      </c>
      <c r="V6935">
        <v>1.8075250000000001E-2</v>
      </c>
      <c r="W6935">
        <v>-1.667625E-2</v>
      </c>
      <c r="X6935">
        <v>0.99969759999999996</v>
      </c>
      <c r="Y6935">
        <v>-0.18776499999999999</v>
      </c>
      <c r="Z6935">
        <v>1.621293E-2</v>
      </c>
      <c r="AA6935">
        <v>0.98208019999999996</v>
      </c>
      <c r="AB6935">
        <v>19</v>
      </c>
      <c r="AC6935">
        <v>14.791599999999899</v>
      </c>
      <c r="AD6935">
        <v>-1.1114729715816001</v>
      </c>
      <c r="AE6935">
        <v>0.98680000000000201</v>
      </c>
      <c r="AF6935">
        <v>-2.7960025083829398</v>
      </c>
      <c r="AG6935">
        <v>-1.1114729715816001</v>
      </c>
      <c r="AH6935">
        <v>14.4740287645275</v>
      </c>
      <c r="AI6935">
        <v>94.311770361294805</v>
      </c>
      <c r="AJ6935">
        <v>100.93337150329999</v>
      </c>
      <c r="AK6935">
        <v>14.7834539560215</v>
      </c>
      <c r="AL6935">
        <v>90.955522985244201</v>
      </c>
      <c r="AM6935">
        <v>88.964164056451594</v>
      </c>
      <c r="AN6935">
        <v>1.00000005171119</v>
      </c>
    </row>
    <row r="6936" spans="1:40" x14ac:dyDescent="0.25">
      <c r="A6936" t="str">
        <f>"20190312160823622"</f>
        <v>20190312160823622</v>
      </c>
      <c r="B6936" t="str">
        <f>"1552378103612544"</f>
        <v>1552378103612544</v>
      </c>
      <c r="C6936" t="s">
        <v>40</v>
      </c>
      <c r="D6936">
        <v>6.0606970000000002</v>
      </c>
      <c r="E6936">
        <v>0.42123060000000001</v>
      </c>
      <c r="F6936" t="s">
        <v>111</v>
      </c>
      <c r="G6936">
        <v>-263.55239999999998</v>
      </c>
      <c r="H6936" s="1">
        <v>-9.6851750000000008E-7</v>
      </c>
      <c r="I6936">
        <v>-62.034689999999998</v>
      </c>
      <c r="J6936">
        <v>-278.26490000000001</v>
      </c>
      <c r="K6936">
        <v>1.11141</v>
      </c>
      <c r="L6936">
        <v>-63.024900000000002</v>
      </c>
      <c r="M6936">
        <v>0.99248369999999997</v>
      </c>
      <c r="N6936">
        <v>0</v>
      </c>
      <c r="O6936">
        <v>-0.1219248</v>
      </c>
      <c r="P6936">
        <v>0.98975670000000004</v>
      </c>
      <c r="Q6936">
        <v>-2.7390069999999999E-2</v>
      </c>
      <c r="R6936">
        <v>-0.14011370000000001</v>
      </c>
      <c r="S6936">
        <v>3.054443</v>
      </c>
      <c r="T6936">
        <v>-0.22935349999999999</v>
      </c>
      <c r="U6936">
        <v>0.2024841</v>
      </c>
      <c r="V6936">
        <v>1.8467669999999999E-2</v>
      </c>
      <c r="W6936">
        <v>-1.6803559999999999E-2</v>
      </c>
      <c r="X6936">
        <v>0.99968829999999997</v>
      </c>
      <c r="Y6936">
        <v>-0.1864526</v>
      </c>
      <c r="Z6936">
        <v>1.6107659999999999E-2</v>
      </c>
      <c r="AA6936">
        <v>0.98233190000000004</v>
      </c>
      <c r="AB6936">
        <v>19</v>
      </c>
      <c r="AC6936">
        <v>14.7125</v>
      </c>
      <c r="AD6936">
        <v>-1.1114109685175</v>
      </c>
      <c r="AE6936">
        <v>0.99020999999999704</v>
      </c>
      <c r="AF6936">
        <v>-2.7610541088507299</v>
      </c>
      <c r="AG6936">
        <v>-1.1114109685175</v>
      </c>
      <c r="AH6936">
        <v>14.4001797504551</v>
      </c>
      <c r="AI6936">
        <v>94.334708567142997</v>
      </c>
      <c r="AJ6936">
        <v>100.854017854408</v>
      </c>
      <c r="AK6936">
        <v>14.7045513695032</v>
      </c>
      <c r="AL6936">
        <v>90.962818328853402</v>
      </c>
      <c r="AM6936">
        <v>88.941670913030805</v>
      </c>
      <c r="AN6936">
        <v>1.0000000558103901</v>
      </c>
    </row>
    <row r="6937" spans="1:40" x14ac:dyDescent="0.25">
      <c r="A6937" t="str">
        <f>"20190312160823633"</f>
        <v>20190312160823633</v>
      </c>
      <c r="B6937" t="str">
        <f>"1552378103622304"</f>
        <v>1552378103622304</v>
      </c>
      <c r="C6937" t="s">
        <v>40</v>
      </c>
      <c r="D6937">
        <v>6.0701809999999998</v>
      </c>
      <c r="E6937">
        <v>0.4212726</v>
      </c>
      <c r="F6937" t="s">
        <v>47</v>
      </c>
      <c r="G6937">
        <v>-263.38830000000002</v>
      </c>
      <c r="H6937" s="1">
        <v>-8.9004909999999997E-7</v>
      </c>
      <c r="I6937">
        <v>-62.004280000000001</v>
      </c>
      <c r="J6937">
        <v>-278.16460000000001</v>
      </c>
      <c r="K6937">
        <v>1.111337</v>
      </c>
      <c r="L6937">
        <v>-63.034730000000003</v>
      </c>
      <c r="M6937">
        <v>0.9927473</v>
      </c>
      <c r="N6937">
        <v>0</v>
      </c>
      <c r="O6937">
        <v>-0.1197646</v>
      </c>
      <c r="P6937">
        <v>0.9900447</v>
      </c>
      <c r="Q6937">
        <v>-2.7244549999999999E-2</v>
      </c>
      <c r="R6937">
        <v>-0.13809199999999999</v>
      </c>
      <c r="S6937">
        <v>3.0543819999999999</v>
      </c>
      <c r="T6937">
        <v>-0.22818840000000001</v>
      </c>
      <c r="U6937">
        <v>0.20953369999999999</v>
      </c>
      <c r="V6937">
        <v>1.859825E-2</v>
      </c>
      <c r="W6937">
        <v>-1.6713390000000002E-2</v>
      </c>
      <c r="X6937">
        <v>0.99968729999999995</v>
      </c>
      <c r="Y6937">
        <v>-0.18658749999999999</v>
      </c>
      <c r="Z6937">
        <v>1.5870059999999998E-2</v>
      </c>
      <c r="AA6937">
        <v>0.98231020000000002</v>
      </c>
      <c r="AB6937">
        <v>19</v>
      </c>
      <c r="AC6937">
        <v>14.7762999999999</v>
      </c>
      <c r="AD6937">
        <v>-1.1113378900491</v>
      </c>
      <c r="AE6937">
        <v>1.0304500000000001</v>
      </c>
      <c r="AF6937">
        <v>-2.7771731370850001</v>
      </c>
      <c r="AG6937">
        <v>-1.1113378900491</v>
      </c>
      <c r="AH6937">
        <v>14.4650868209021</v>
      </c>
      <c r="AI6937">
        <v>94.314846988420896</v>
      </c>
      <c r="AJ6937">
        <v>100.868053427313</v>
      </c>
      <c r="AK6937">
        <v>14.7711373724383</v>
      </c>
      <c r="AL6937">
        <v>90.957651330001397</v>
      </c>
      <c r="AM6937">
        <v>88.934188402745804</v>
      </c>
      <c r="AN6937">
        <v>0.99999996504482103</v>
      </c>
    </row>
    <row r="6938" spans="1:40" x14ac:dyDescent="0.25">
      <c r="A6938" t="str">
        <f>"20190312160823644"</f>
        <v>20190312160823644</v>
      </c>
      <c r="B6938" t="str">
        <f>"1552378103632064"</f>
        <v>1552378103632064</v>
      </c>
      <c r="C6938" t="s">
        <v>40</v>
      </c>
      <c r="D6938">
        <v>6.0709330000000001</v>
      </c>
      <c r="E6938">
        <v>0.42169440000000002</v>
      </c>
      <c r="F6938" t="s">
        <v>111</v>
      </c>
      <c r="G6938">
        <v>-263.06189999999998</v>
      </c>
      <c r="H6938" s="1">
        <v>-7.4109189999999898E-7</v>
      </c>
      <c r="I6938">
        <v>-61.970689999999998</v>
      </c>
      <c r="J6938">
        <v>-278.07510000000002</v>
      </c>
      <c r="K6938">
        <v>1.1112709999999999</v>
      </c>
      <c r="L6938">
        <v>-63.043300000000002</v>
      </c>
      <c r="M6938">
        <v>0.99296580000000001</v>
      </c>
      <c r="N6938">
        <v>0</v>
      </c>
      <c r="O6938">
        <v>-0.11794350000000001</v>
      </c>
      <c r="P6938">
        <v>0.99024880000000004</v>
      </c>
      <c r="Q6938">
        <v>-2.762179E-2</v>
      </c>
      <c r="R6938">
        <v>-0.13654459999999999</v>
      </c>
      <c r="S6938">
        <v>3.0539550000000002</v>
      </c>
      <c r="T6938">
        <v>-0.22472629999999999</v>
      </c>
      <c r="U6938">
        <v>0.2151489</v>
      </c>
      <c r="V6938">
        <v>1.8870109999999999E-2</v>
      </c>
      <c r="W6938">
        <v>-1.7139459999999999E-2</v>
      </c>
      <c r="X6938">
        <v>0.99967499999999998</v>
      </c>
      <c r="Y6938">
        <v>-0.18662280000000001</v>
      </c>
      <c r="Z6938">
        <v>1.549942E-2</v>
      </c>
      <c r="AA6938">
        <v>0.98230930000000005</v>
      </c>
      <c r="AB6938">
        <v>19</v>
      </c>
      <c r="AC6938">
        <v>15.013199999999999</v>
      </c>
      <c r="AD6938">
        <v>-1.1112717410919</v>
      </c>
      <c r="AE6938">
        <v>1.0726099999999901</v>
      </c>
      <c r="AF6938">
        <v>-2.8205528307973702</v>
      </c>
      <c r="AG6938">
        <v>-1.1112717410919</v>
      </c>
      <c r="AH6938">
        <v>14.7017464155421</v>
      </c>
      <c r="AI6938">
        <v>94.245503061595201</v>
      </c>
      <c r="AJ6938">
        <v>100.86032193214</v>
      </c>
      <c r="AK6938">
        <v>15.0110556198014</v>
      </c>
      <c r="AL6938">
        <v>90.982066832956406</v>
      </c>
      <c r="AM6938">
        <v>88.918599267782398</v>
      </c>
      <c r="AN6938">
        <v>0.99999997388275097</v>
      </c>
    </row>
    <row r="6939" spans="1:40" x14ac:dyDescent="0.25">
      <c r="A6939" t="str">
        <f>"20190312160823655"</f>
        <v>20190312160823655</v>
      </c>
      <c r="B6939" t="str">
        <f>"1552378103642801"</f>
        <v>1552378103642801</v>
      </c>
      <c r="C6939" t="s">
        <v>40</v>
      </c>
      <c r="D6939">
        <v>6.0416470000000002</v>
      </c>
      <c r="E6939">
        <v>0.42176619999999998</v>
      </c>
      <c r="F6939" t="s">
        <v>111</v>
      </c>
      <c r="G6939">
        <v>-263.05529999999999</v>
      </c>
      <c r="H6939" s="1">
        <v>-7.4014209999999995E-7</v>
      </c>
      <c r="I6939">
        <v>-61.9777699999999</v>
      </c>
      <c r="J6939">
        <v>-277.98270000000002</v>
      </c>
      <c r="K6939">
        <v>1.111199</v>
      </c>
      <c r="L6939">
        <v>-63.052149999999997</v>
      </c>
      <c r="M6939">
        <v>0.99318600000000001</v>
      </c>
      <c r="N6939">
        <v>0</v>
      </c>
      <c r="O6939">
        <v>-0.11607870000000001</v>
      </c>
      <c r="P6939">
        <v>0.99044100000000002</v>
      </c>
      <c r="Q6939">
        <v>-2.809685E-2</v>
      </c>
      <c r="R6939">
        <v>-0.13504530000000001</v>
      </c>
      <c r="S6939">
        <v>3.0531619999999999</v>
      </c>
      <c r="T6939">
        <v>-0.22589490000000001</v>
      </c>
      <c r="U6939">
        <v>0.21658330000000001</v>
      </c>
      <c r="V6939">
        <v>1.9235059999999998E-2</v>
      </c>
      <c r="W6939">
        <v>-1.7664349999999999E-2</v>
      </c>
      <c r="X6939">
        <v>0.99965890000000002</v>
      </c>
      <c r="Y6939">
        <v>-0.185255</v>
      </c>
      <c r="Z6939">
        <v>1.539597E-2</v>
      </c>
      <c r="AA6939">
        <v>0.9825699</v>
      </c>
      <c r="AB6939">
        <v>19</v>
      </c>
      <c r="AC6939">
        <v>14.9274</v>
      </c>
      <c r="AD6939">
        <v>-1.1111997401421001</v>
      </c>
      <c r="AE6939">
        <v>1.0743799999999999</v>
      </c>
      <c r="AF6939">
        <v>-2.7846115917224599</v>
      </c>
      <c r="AG6939">
        <v>-1.1111997401421001</v>
      </c>
      <c r="AH6939">
        <v>14.6211573978005</v>
      </c>
      <c r="AI6939">
        <v>94.269640308670205</v>
      </c>
      <c r="AJ6939">
        <v>100.782895797864</v>
      </c>
      <c r="AK6939">
        <v>14.9253834198825</v>
      </c>
      <c r="AL6939">
        <v>91.012145377827906</v>
      </c>
      <c r="AM6939">
        <v>88.897672221456105</v>
      </c>
      <c r="AN6939">
        <v>0.99999996657166701</v>
      </c>
    </row>
    <row r="6940" spans="1:40" x14ac:dyDescent="0.25">
      <c r="A6940" t="str">
        <f>"20190312160823666"</f>
        <v>20190312160823666</v>
      </c>
      <c r="B6940" t="str">
        <f>"1552378103662321"</f>
        <v>1552378103662321</v>
      </c>
      <c r="C6940" t="s">
        <v>40</v>
      </c>
      <c r="D6940">
        <v>6.0664730000000002</v>
      </c>
      <c r="E6940">
        <v>0.4216995</v>
      </c>
      <c r="F6940" t="s">
        <v>111</v>
      </c>
      <c r="G6940">
        <v>-262.96089999999998</v>
      </c>
      <c r="H6940" s="1">
        <v>-6.9682609999999996E-7</v>
      </c>
      <c r="I6940">
        <v>-61.967210000000001</v>
      </c>
      <c r="J6940">
        <v>-277.88049999999998</v>
      </c>
      <c r="K6940">
        <v>1.111116</v>
      </c>
      <c r="L6940">
        <v>-63.061770000000003</v>
      </c>
      <c r="M6940">
        <v>0.99341109999999999</v>
      </c>
      <c r="N6940">
        <v>0</v>
      </c>
      <c r="O6940">
        <v>-0.1141419</v>
      </c>
      <c r="P6940">
        <v>0.99068279999999997</v>
      </c>
      <c r="Q6940">
        <v>-2.8475239999999999E-2</v>
      </c>
      <c r="R6940">
        <v>-0.13317970000000001</v>
      </c>
      <c r="S6940">
        <v>3.0526119999999999</v>
      </c>
      <c r="T6940">
        <v>-0.2258085</v>
      </c>
      <c r="U6940">
        <v>0.22045899999999999</v>
      </c>
      <c r="V6940">
        <v>1.9301289999999999E-2</v>
      </c>
      <c r="W6940">
        <v>-1.8098840000000001E-2</v>
      </c>
      <c r="X6940">
        <v>0.99964989999999998</v>
      </c>
      <c r="Y6940">
        <v>-0.18460019999999999</v>
      </c>
      <c r="Z6940">
        <v>1.522568E-2</v>
      </c>
      <c r="AA6940">
        <v>0.98269580000000001</v>
      </c>
      <c r="AB6940">
        <v>19</v>
      </c>
      <c r="AC6940">
        <v>14.919600000000001</v>
      </c>
      <c r="AD6940">
        <v>-1.1111166968260999</v>
      </c>
      <c r="AE6940">
        <v>1.09456</v>
      </c>
      <c r="AF6940">
        <v>-2.7751380539402</v>
      </c>
      <c r="AG6940">
        <v>-1.1111166968260999</v>
      </c>
      <c r="AH6940">
        <v>14.6165063134865</v>
      </c>
      <c r="AI6940">
        <v>94.271134718812704</v>
      </c>
      <c r="AJ6940">
        <v>100.750407199702</v>
      </c>
      <c r="AK6940">
        <v>14.9190558797996</v>
      </c>
      <c r="AL6940">
        <v>91.037043752646696</v>
      </c>
      <c r="AM6940">
        <v>88.893867680801904</v>
      </c>
      <c r="AN6940">
        <v>1.0000000151874999</v>
      </c>
    </row>
    <row r="6941" spans="1:40" x14ac:dyDescent="0.25">
      <c r="A6941" t="str">
        <f>"20190312160823677"</f>
        <v>20190312160823677</v>
      </c>
      <c r="B6941" t="str">
        <f>"1552378103672080"</f>
        <v>1552378103672080</v>
      </c>
      <c r="C6941" t="s">
        <v>40</v>
      </c>
      <c r="D6941">
        <v>6.0267759999999999</v>
      </c>
      <c r="E6941">
        <v>0.42152010000000001</v>
      </c>
      <c r="F6941" t="s">
        <v>47</v>
      </c>
      <c r="G6941">
        <v>-262.3571</v>
      </c>
      <c r="H6941" s="1">
        <v>-4.2273280000000002E-7</v>
      </c>
      <c r="I6941">
        <v>-61.910559999999997</v>
      </c>
      <c r="J6941">
        <v>-277.78460000000001</v>
      </c>
      <c r="K6941">
        <v>1.1110340000000001</v>
      </c>
      <c r="L6941">
        <v>-63.070680000000003</v>
      </c>
      <c r="M6941">
        <v>0.99361449999999996</v>
      </c>
      <c r="N6941">
        <v>0</v>
      </c>
      <c r="O6941">
        <v>-0.1123624</v>
      </c>
      <c r="P6941">
        <v>0.99085659999999998</v>
      </c>
      <c r="Q6941">
        <v>-2.8454610000000002E-2</v>
      </c>
      <c r="R6941">
        <v>-0.13188629999999901</v>
      </c>
      <c r="S6941">
        <v>3.052368</v>
      </c>
      <c r="T6941">
        <v>-0.2184787</v>
      </c>
      <c r="U6941">
        <v>0.22634889999999999</v>
      </c>
      <c r="V6941">
        <v>1.9783160000000001E-2</v>
      </c>
      <c r="W6941">
        <v>-1.812822E-2</v>
      </c>
      <c r="X6941">
        <v>0.99963990000000003</v>
      </c>
      <c r="Y6941">
        <v>-0.1847876</v>
      </c>
      <c r="Z6941">
        <v>1.461309E-2</v>
      </c>
      <c r="AA6941">
        <v>0.98266980000000004</v>
      </c>
      <c r="AB6941">
        <v>19</v>
      </c>
      <c r="AC6941">
        <v>15.4275</v>
      </c>
      <c r="AD6941">
        <v>-1.1110344227328</v>
      </c>
      <c r="AE6941">
        <v>1.16012</v>
      </c>
      <c r="AF6941">
        <v>-2.8715253301896602</v>
      </c>
      <c r="AG6941">
        <v>-1.1110344227328</v>
      </c>
      <c r="AH6941">
        <v>15.121446677881</v>
      </c>
      <c r="AI6941">
        <v>94.128682830821703</v>
      </c>
      <c r="AJ6941">
        <v>100.75230028457599</v>
      </c>
      <c r="AK6941">
        <v>15.431727215137601</v>
      </c>
      <c r="AL6941">
        <v>91.038727428149798</v>
      </c>
      <c r="AM6941">
        <v>88.866248107126793</v>
      </c>
      <c r="AN6941">
        <v>0.99999996772598099</v>
      </c>
    </row>
    <row r="6942" spans="1:40" x14ac:dyDescent="0.25">
      <c r="A6942" t="str">
        <f>"20190312160823688"</f>
        <v>20190312160823688</v>
      </c>
      <c r="B6942" t="str">
        <f>"1552378103682817"</f>
        <v>1552378103682817</v>
      </c>
      <c r="C6942" t="s">
        <v>40</v>
      </c>
      <c r="D6942">
        <v>6.0129849999999996</v>
      </c>
      <c r="E6942">
        <v>0.42153000000000002</v>
      </c>
      <c r="F6942" t="s">
        <v>111</v>
      </c>
      <c r="G6942">
        <v>-261.92790000000002</v>
      </c>
      <c r="H6942" s="1">
        <v>-2.2733510000000001E-7</v>
      </c>
      <c r="I6942">
        <v>-61.868259999999999</v>
      </c>
      <c r="J6942">
        <v>-277.68549999999999</v>
      </c>
      <c r="K6942">
        <v>1.1109560000000001</v>
      </c>
      <c r="L6942">
        <v>-63.079799999999999</v>
      </c>
      <c r="M6942">
        <v>0.99381240000000004</v>
      </c>
      <c r="N6942">
        <v>0</v>
      </c>
      <c r="O6942">
        <v>-0.1106024</v>
      </c>
      <c r="P6942">
        <v>0.9911122</v>
      </c>
      <c r="Q6942">
        <v>-2.8253070000000002E-2</v>
      </c>
      <c r="R6942">
        <v>-0.129996</v>
      </c>
      <c r="S6942">
        <v>3.0523380000000002</v>
      </c>
      <c r="T6942">
        <v>-0.213868</v>
      </c>
      <c r="U6942">
        <v>0.23144529999999999</v>
      </c>
      <c r="V6942">
        <v>1.9642440000000001E-2</v>
      </c>
      <c r="W6942">
        <v>-1.7979220000000001E-2</v>
      </c>
      <c r="X6942">
        <v>0.99964540000000002</v>
      </c>
      <c r="Y6942">
        <v>-0.1847155</v>
      </c>
      <c r="Z6942">
        <v>1.41797E-2</v>
      </c>
      <c r="AA6942">
        <v>0.9826897</v>
      </c>
      <c r="AB6942">
        <v>19</v>
      </c>
      <c r="AC6942">
        <v>15.757599999999901</v>
      </c>
      <c r="AD6942">
        <v>-1.1109562273350999</v>
      </c>
      <c r="AE6942">
        <v>1.2115399999999901</v>
      </c>
      <c r="AF6942">
        <v>-2.93253417888074</v>
      </c>
      <c r="AG6942">
        <v>-1.1109562273350999</v>
      </c>
      <c r="AH6942">
        <v>15.4505585491967</v>
      </c>
      <c r="AI6942">
        <v>94.040820035239605</v>
      </c>
      <c r="AJ6942">
        <v>100.746971813135</v>
      </c>
      <c r="AK6942">
        <v>15.765587205414</v>
      </c>
      <c r="AL6942">
        <v>91.030188930029098</v>
      </c>
      <c r="AM6942">
        <v>88.874316730237794</v>
      </c>
      <c r="AN6942">
        <v>1.00000000177106</v>
      </c>
    </row>
    <row r="6943" spans="1:40" x14ac:dyDescent="0.25">
      <c r="A6943" t="str">
        <f>"20190312160823700"</f>
        <v>20190312160823700</v>
      </c>
      <c r="B6943" t="str">
        <f>"1552378103692576"</f>
        <v>1552378103692576</v>
      </c>
      <c r="C6943" t="s">
        <v>40</v>
      </c>
      <c r="D6943">
        <v>6.0499619999999998</v>
      </c>
      <c r="E6943">
        <v>0.42166520000000002</v>
      </c>
      <c r="F6943" t="s">
        <v>47</v>
      </c>
      <c r="G6943">
        <v>-261.50389999999999</v>
      </c>
      <c r="H6943" s="1">
        <v>-3.3597980000000001E-8</v>
      </c>
      <c r="I6943">
        <v>-61.8236699999999</v>
      </c>
      <c r="J6943">
        <v>-277.58780000000002</v>
      </c>
      <c r="K6943">
        <v>1.110881</v>
      </c>
      <c r="L6943">
        <v>-63.088679999999997</v>
      </c>
      <c r="M6943">
        <v>0.99399709999999997</v>
      </c>
      <c r="N6943">
        <v>0</v>
      </c>
      <c r="O6943">
        <v>-0.1089348</v>
      </c>
      <c r="P6943">
        <v>0.99132299999999995</v>
      </c>
      <c r="Q6943">
        <v>-2.8115810000000001E-2</v>
      </c>
      <c r="R6943">
        <v>-0.12840689999999999</v>
      </c>
      <c r="S6943">
        <v>3.0520019999999999</v>
      </c>
      <c r="T6943">
        <v>-0.20953749999999999</v>
      </c>
      <c r="U6943">
        <v>0.23690800000000001</v>
      </c>
      <c r="V6943">
        <v>1.9713479999999999E-2</v>
      </c>
      <c r="W6943">
        <v>-1.7890639999999999E-2</v>
      </c>
      <c r="X6943">
        <v>0.99964560000000002</v>
      </c>
      <c r="Y6943">
        <v>-0.18485589999999999</v>
      </c>
      <c r="Z6943">
        <v>1.3784920000000001E-2</v>
      </c>
      <c r="AA6943">
        <v>0.98266889999999996</v>
      </c>
      <c r="AB6943">
        <v>19</v>
      </c>
      <c r="AC6943">
        <v>16.0839</v>
      </c>
      <c r="AD6943">
        <v>-1.11088103359798</v>
      </c>
      <c r="AE6943">
        <v>1.26501000000001</v>
      </c>
      <c r="AF6943">
        <v>-2.9954660236824702</v>
      </c>
      <c r="AG6943">
        <v>-1.11088103359798</v>
      </c>
      <c r="AH6943">
        <v>15.7755697623285</v>
      </c>
      <c r="AI6943">
        <v>93.957513606612494</v>
      </c>
      <c r="AJ6943">
        <v>100.751333941024</v>
      </c>
      <c r="AK6943">
        <v>16.095821653334099</v>
      </c>
      <c r="AL6943">
        <v>91.025112844025003</v>
      </c>
      <c r="AM6943">
        <v>88.870246797371294</v>
      </c>
      <c r="AN6943">
        <v>1.0000000109463401</v>
      </c>
    </row>
    <row r="6944" spans="1:40" x14ac:dyDescent="0.25">
      <c r="A6944" t="str">
        <f>"20190312160823711"</f>
        <v>20190312160823711</v>
      </c>
      <c r="B6944" t="str">
        <f>"1552378103702336"</f>
        <v>1552378103702336</v>
      </c>
      <c r="C6944" t="s">
        <v>40</v>
      </c>
      <c r="D6944">
        <v>6.0358320000000001</v>
      </c>
      <c r="E6944">
        <v>0.42166360000000003</v>
      </c>
      <c r="F6944" t="s">
        <v>47</v>
      </c>
      <c r="G6944">
        <v>-261.12119999999999</v>
      </c>
      <c r="H6944" s="1">
        <v>1.392153E-7</v>
      </c>
      <c r="I6944">
        <v>-61.7913</v>
      </c>
      <c r="J6944">
        <v>-277.49770000000001</v>
      </c>
      <c r="K6944">
        <v>1.1108100000000001</v>
      </c>
      <c r="L6944">
        <v>-63.096829999999997</v>
      </c>
      <c r="M6944">
        <v>0.99416020000000005</v>
      </c>
      <c r="N6944">
        <v>0</v>
      </c>
      <c r="O6944">
        <v>-0.1074402</v>
      </c>
      <c r="P6944">
        <v>0.99151239999999996</v>
      </c>
      <c r="Q6944">
        <v>-2.790685E-2</v>
      </c>
      <c r="R6944">
        <v>-0.12698329999999999</v>
      </c>
      <c r="S6944">
        <v>3.0515750000000001</v>
      </c>
      <c r="T6944">
        <v>-0.20586660000000001</v>
      </c>
      <c r="U6944">
        <v>0.24041750000000001</v>
      </c>
      <c r="V6944">
        <v>1.9776970000000001E-2</v>
      </c>
      <c r="W6944">
        <v>-1.7725040000000001E-2</v>
      </c>
      <c r="X6944">
        <v>0.99964730000000002</v>
      </c>
      <c r="Y6944">
        <v>-0.18454019999999999</v>
      </c>
      <c r="Z6944">
        <v>1.3434410000000001E-2</v>
      </c>
      <c r="AA6944">
        <v>0.98273310000000003</v>
      </c>
      <c r="AB6944">
        <v>20</v>
      </c>
      <c r="AC6944">
        <v>16.3765</v>
      </c>
      <c r="AD6944">
        <v>-1.1108098607846999</v>
      </c>
      <c r="AE6944">
        <v>1.3055300000000001</v>
      </c>
      <c r="AF6944">
        <v>-3.0436416133120998</v>
      </c>
      <c r="AG6944">
        <v>-1.1108098607846999</v>
      </c>
      <c r="AH6944">
        <v>16.067962853341001</v>
      </c>
      <c r="AI6944">
        <v>93.885796239100799</v>
      </c>
      <c r="AJ6944">
        <v>100.72605552841701</v>
      </c>
      <c r="AK6944">
        <v>16.391372214474501</v>
      </c>
      <c r="AL6944">
        <v>91.015623154122196</v>
      </c>
      <c r="AM6944">
        <v>88.866611144814598</v>
      </c>
      <c r="AN6944">
        <v>1.00000001499133</v>
      </c>
    </row>
    <row r="6945" spans="1:40" x14ac:dyDescent="0.25">
      <c r="A6945" t="str">
        <f>"20190312160823721"</f>
        <v>20190312160823721</v>
      </c>
      <c r="B6945" t="str">
        <f>"1552378103712096"</f>
        <v>1552378103712096</v>
      </c>
      <c r="C6945" t="s">
        <v>40</v>
      </c>
      <c r="D6945">
        <v>6.0378480000000003</v>
      </c>
      <c r="E6945">
        <v>0.4216453</v>
      </c>
      <c r="F6945" t="s">
        <v>47</v>
      </c>
      <c r="G6945">
        <v>-260.8383</v>
      </c>
      <c r="H6945" s="1">
        <v>2.687083E-7</v>
      </c>
      <c r="I6945">
        <v>-61.760660000000001</v>
      </c>
      <c r="J6945">
        <v>-277.4051</v>
      </c>
      <c r="K6945">
        <v>1.110744</v>
      </c>
      <c r="L6945">
        <v>-63.1051</v>
      </c>
      <c r="M6945">
        <v>0.9943168</v>
      </c>
      <c r="N6945">
        <v>0</v>
      </c>
      <c r="O6945">
        <v>-0.10598580000000001</v>
      </c>
      <c r="P6945">
        <v>0.99168129999999999</v>
      </c>
      <c r="Q6945">
        <v>-2.7743159999999999E-2</v>
      </c>
      <c r="R6945">
        <v>-0.12569259999999999</v>
      </c>
      <c r="S6945">
        <v>3.0513309999999998</v>
      </c>
      <c r="T6945">
        <v>-0.2034559</v>
      </c>
      <c r="U6945">
        <v>0.24472050000000001</v>
      </c>
      <c r="V6945">
        <v>1.993462E-2</v>
      </c>
      <c r="W6945">
        <v>-1.7604519999999999E-2</v>
      </c>
      <c r="X6945">
        <v>0.99964629999999999</v>
      </c>
      <c r="Y6945">
        <v>-0.18450449999999999</v>
      </c>
      <c r="Z6945">
        <v>1.318019E-2</v>
      </c>
      <c r="AA6945">
        <v>0.98274329999999999</v>
      </c>
      <c r="AB6945">
        <v>20</v>
      </c>
      <c r="AC6945">
        <v>16.566800000000001</v>
      </c>
      <c r="AD6945">
        <v>-1.1107437312916999</v>
      </c>
      <c r="AE6945">
        <v>1.3444400000000001</v>
      </c>
      <c r="AF6945">
        <v>-3.0790507541847001</v>
      </c>
      <c r="AG6945">
        <v>-1.1107437312916999</v>
      </c>
      <c r="AH6945">
        <v>16.258374935393999</v>
      </c>
      <c r="AI6945">
        <v>93.8402246577526</v>
      </c>
      <c r="AJ6945">
        <v>100.723812615531</v>
      </c>
      <c r="AK6945">
        <v>16.5846031222727</v>
      </c>
      <c r="AL6945">
        <v>91.008716787569497</v>
      </c>
      <c r="AM6945">
        <v>88.857577699242597</v>
      </c>
      <c r="AN6945">
        <v>1.0000000166513301</v>
      </c>
    </row>
    <row r="6946" spans="1:40" x14ac:dyDescent="0.25">
      <c r="A6946" t="str">
        <f>"20190312160823733"</f>
        <v>20190312160823733</v>
      </c>
      <c r="B6946" t="str">
        <f>"1552378103722834"</f>
        <v>1552378103722834</v>
      </c>
      <c r="C6946" t="s">
        <v>40</v>
      </c>
      <c r="D6946">
        <v>6.0779920000000001</v>
      </c>
      <c r="E6946">
        <v>0.42176829999999998</v>
      </c>
      <c r="F6946" t="s">
        <v>47</v>
      </c>
      <c r="G6946">
        <v>-260.42200000000003</v>
      </c>
      <c r="H6946" s="1">
        <v>4.5790580000000001E-7</v>
      </c>
      <c r="I6946">
        <v>-61.720790000000001</v>
      </c>
      <c r="J6946">
        <v>-277.30860000000001</v>
      </c>
      <c r="K6946">
        <v>1.1106750000000001</v>
      </c>
      <c r="L6946">
        <v>-63.113709999999998</v>
      </c>
      <c r="M6946">
        <v>0.99447410000000003</v>
      </c>
      <c r="N6946">
        <v>0</v>
      </c>
      <c r="O6946">
        <v>-0.1045025</v>
      </c>
      <c r="P6946">
        <v>0.99181710000000001</v>
      </c>
      <c r="Q6946">
        <v>-2.7709259999999999E-2</v>
      </c>
      <c r="R6946">
        <v>-0.12462529999999999</v>
      </c>
      <c r="S6946">
        <v>3.0511170000000001</v>
      </c>
      <c r="T6946">
        <v>-0.1995517</v>
      </c>
      <c r="U6946">
        <v>0.24868770000000001</v>
      </c>
      <c r="V6946">
        <v>2.0347009999999999E-2</v>
      </c>
      <c r="W6946">
        <v>-1.7614399999999999E-2</v>
      </c>
      <c r="X6946">
        <v>0.99963780000000002</v>
      </c>
      <c r="Y6946">
        <v>-0.18434139999999999</v>
      </c>
      <c r="Z6946">
        <v>1.2826290000000001E-2</v>
      </c>
      <c r="AA6946">
        <v>0.9827785</v>
      </c>
      <c r="AB6946">
        <v>20</v>
      </c>
      <c r="AC6946">
        <v>16.886599999999898</v>
      </c>
      <c r="AD6946">
        <v>-1.1106745420941999</v>
      </c>
      <c r="AE6946">
        <v>1.3929199999999899</v>
      </c>
      <c r="AF6946">
        <v>-3.1365957653423999</v>
      </c>
      <c r="AG6946">
        <v>-1.1106745420941999</v>
      </c>
      <c r="AH6946">
        <v>16.5773299339332</v>
      </c>
      <c r="AI6946">
        <v>93.766436278771195</v>
      </c>
      <c r="AJ6946">
        <v>100.714271412374</v>
      </c>
      <c r="AK6946">
        <v>16.907977367860902</v>
      </c>
      <c r="AL6946">
        <v>91.009282974916999</v>
      </c>
      <c r="AM6946">
        <v>88.833940811660995</v>
      </c>
      <c r="AN6946">
        <v>0.99999999954607</v>
      </c>
    </row>
    <row r="6947" spans="1:40" x14ac:dyDescent="0.25">
      <c r="A6947" t="str">
        <f>"20190312160823743"</f>
        <v>20190312160823743</v>
      </c>
      <c r="B6947" t="str">
        <f>"1552378103732213"</f>
        <v>1552378103732213</v>
      </c>
      <c r="C6947" t="s">
        <v>40</v>
      </c>
      <c r="D6947">
        <v>6.1211880000000001</v>
      </c>
      <c r="E6947">
        <v>0.42176829999999998</v>
      </c>
      <c r="F6947" t="s">
        <v>47</v>
      </c>
      <c r="G6947">
        <v>-260.25790000000001</v>
      </c>
      <c r="H6947" s="1">
        <v>5.3092159999999997E-7</v>
      </c>
      <c r="I6947">
        <v>-61.710920000000002</v>
      </c>
      <c r="J6947">
        <v>-277.21379999999999</v>
      </c>
      <c r="K6947">
        <v>1.110611</v>
      </c>
      <c r="L6947">
        <v>-63.122010000000003</v>
      </c>
      <c r="M6947">
        <v>0.99461560000000004</v>
      </c>
      <c r="N6947">
        <v>0</v>
      </c>
      <c r="O6947">
        <v>-0.1031507</v>
      </c>
      <c r="P6947">
        <v>0.99190579999999995</v>
      </c>
      <c r="Q6947">
        <v>-2.7857570000000002E-2</v>
      </c>
      <c r="R6947">
        <v>-0.1238823</v>
      </c>
      <c r="S6947">
        <v>3.0507200000000001</v>
      </c>
      <c r="T6947">
        <v>-0.1987228</v>
      </c>
      <c r="U6947">
        <v>0.25097659999999999</v>
      </c>
      <c r="V6947">
        <v>2.0955350000000001E-2</v>
      </c>
      <c r="W6947">
        <v>-1.7806510000000001E-2</v>
      </c>
      <c r="X6947">
        <v>0.9996218</v>
      </c>
      <c r="Y6947">
        <v>-0.18375739999999999</v>
      </c>
      <c r="Z6947">
        <v>1.266783E-2</v>
      </c>
      <c r="AA6947">
        <v>0.98289000000000004</v>
      </c>
      <c r="AB6947">
        <v>20</v>
      </c>
      <c r="AC6947">
        <v>16.9558999999999</v>
      </c>
      <c r="AD6947">
        <v>-1.11061046907839</v>
      </c>
      <c r="AE6947">
        <v>1.41109</v>
      </c>
      <c r="AF6947">
        <v>-3.1392866463734999</v>
      </c>
      <c r="AG6947">
        <v>-1.11061046907839</v>
      </c>
      <c r="AH6947">
        <v>16.648944864643799</v>
      </c>
      <c r="AI6947">
        <v>93.750510519507699</v>
      </c>
      <c r="AJ6947">
        <v>100.678187267404</v>
      </c>
      <c r="AK6947">
        <v>16.978690802534601</v>
      </c>
      <c r="AL6947">
        <v>91.020291823160505</v>
      </c>
      <c r="AM6947">
        <v>88.799068527424296</v>
      </c>
      <c r="AN6947">
        <v>0.99999997076362002</v>
      </c>
    </row>
    <row r="6948" spans="1:40" x14ac:dyDescent="0.25">
      <c r="A6948" t="str">
        <f>"20190312160823756"</f>
        <v>20190312160823756</v>
      </c>
      <c r="B6948" t="str">
        <f>"1552378103742936"</f>
        <v>1552378103742936</v>
      </c>
      <c r="C6948" t="s">
        <v>40</v>
      </c>
      <c r="D6948">
        <v>6.1389149999999999</v>
      </c>
      <c r="E6948">
        <v>0.44042029999999899</v>
      </c>
      <c r="F6948" t="s">
        <v>47</v>
      </c>
      <c r="G6948">
        <v>-260.17439999999999</v>
      </c>
      <c r="H6948" s="1">
        <v>5.6790830000000003E-7</v>
      </c>
      <c r="I6948">
        <v>-61.706609999999998</v>
      </c>
      <c r="J6948">
        <v>-277.11110000000002</v>
      </c>
      <c r="K6948">
        <v>1.110541</v>
      </c>
      <c r="L6948">
        <v>-63.130980000000001</v>
      </c>
      <c r="M6948">
        <v>0.99476390000000003</v>
      </c>
      <c r="N6948">
        <v>0</v>
      </c>
      <c r="O6948">
        <v>-0.1017151</v>
      </c>
      <c r="P6948">
        <v>0.9919964</v>
      </c>
      <c r="Q6948">
        <v>-2.8003299999999998E-2</v>
      </c>
      <c r="R6948">
        <v>-0.1231218</v>
      </c>
      <c r="S6948">
        <v>3.0505680000000002</v>
      </c>
      <c r="T6948">
        <v>-0.1988326</v>
      </c>
      <c r="U6948">
        <v>0.25338749999999999</v>
      </c>
      <c r="V6948">
        <v>2.1629539999999999E-2</v>
      </c>
      <c r="W6948">
        <v>-1.7999879999999999E-2</v>
      </c>
      <c r="X6948">
        <v>0.99960400000000005</v>
      </c>
      <c r="Y6948">
        <v>-0.18311810000000001</v>
      </c>
      <c r="Z6948">
        <v>1.256118E-2</v>
      </c>
      <c r="AA6948">
        <v>0.98301059999999996</v>
      </c>
      <c r="AB6948">
        <v>20</v>
      </c>
      <c r="AC6948">
        <v>16.936699999999998</v>
      </c>
      <c r="AD6948">
        <v>-1.1105404320917001</v>
      </c>
      <c r="AE6948">
        <v>1.4243700000000099</v>
      </c>
      <c r="AF6948">
        <v>-3.12643762887383</v>
      </c>
      <c r="AG6948">
        <v>-1.1105404320917001</v>
      </c>
      <c r="AH6948">
        <v>16.632953157889101</v>
      </c>
      <c r="AI6948">
        <v>93.754272452177005</v>
      </c>
      <c r="AJ6948">
        <v>100.64547261349399</v>
      </c>
      <c r="AK6948">
        <v>16.9606321536398</v>
      </c>
      <c r="AL6948">
        <v>91.031372859663904</v>
      </c>
      <c r="AM6948">
        <v>88.7604211313527</v>
      </c>
      <c r="AN6948">
        <v>0.99999999474831203</v>
      </c>
    </row>
    <row r="6949" spans="1:40" x14ac:dyDescent="0.25">
      <c r="A6949" t="str">
        <f>"20190312160823767"</f>
        <v>20190312160823767</v>
      </c>
      <c r="B6949" t="str">
        <f>"1552378103762456"</f>
        <v>1552378103762456</v>
      </c>
      <c r="C6949" t="s">
        <v>40</v>
      </c>
      <c r="D6949">
        <v>6.0406750000000002</v>
      </c>
      <c r="E6949">
        <v>0.44786300000000001</v>
      </c>
      <c r="F6949" t="s">
        <v>111</v>
      </c>
      <c r="G6949">
        <v>-264.15679999999998</v>
      </c>
      <c r="H6949" s="1">
        <v>-1.3935559999999999E-6</v>
      </c>
      <c r="I6949">
        <v>-62.657519999999998</v>
      </c>
      <c r="J6949">
        <v>-277.00569999999999</v>
      </c>
      <c r="K6949">
        <v>1.1104689999999999</v>
      </c>
      <c r="L6949">
        <v>-63.14011</v>
      </c>
      <c r="M6949">
        <v>0.99490259999999997</v>
      </c>
      <c r="N6949">
        <v>0</v>
      </c>
      <c r="O6949">
        <v>-0.1003527</v>
      </c>
      <c r="P6949">
        <v>0.9920696</v>
      </c>
      <c r="Q6949">
        <v>-2.8073029999999999E-2</v>
      </c>
      <c r="R6949">
        <v>-0.1225142</v>
      </c>
      <c r="S6949">
        <v>3.0306090000000001</v>
      </c>
      <c r="T6949">
        <v>-0.2598066</v>
      </c>
      <c r="U6949">
        <v>0.11074829999999999</v>
      </c>
      <c r="V6949">
        <v>2.2383759999999999E-2</v>
      </c>
      <c r="W6949">
        <v>-1.8118349999999998E-2</v>
      </c>
      <c r="X6949">
        <v>0.99958530000000001</v>
      </c>
      <c r="Y6949">
        <v>-0.13576050000000001</v>
      </c>
      <c r="Z6949">
        <v>1.438449E-2</v>
      </c>
      <c r="AA6949">
        <v>0.9906372</v>
      </c>
      <c r="AB6949">
        <v>20</v>
      </c>
      <c r="AC6949">
        <v>12.8489</v>
      </c>
      <c r="AD6949">
        <v>-1.1104703935560001</v>
      </c>
      <c r="AE6949">
        <v>0.48259000000000102</v>
      </c>
      <c r="AF6949">
        <v>-1.7565370165004199</v>
      </c>
      <c r="AG6949">
        <v>-1.1104703935560001</v>
      </c>
      <c r="AH6949">
        <v>12.641310634040799</v>
      </c>
      <c r="AI6949">
        <v>94.972702744047297</v>
      </c>
      <c r="AJ6949">
        <v>97.910717448875701</v>
      </c>
      <c r="AK6949">
        <v>12.8109836207691</v>
      </c>
      <c r="AL6949">
        <v>91.038161751218993</v>
      </c>
      <c r="AM6949">
        <v>88.717187343889705</v>
      </c>
      <c r="AN6949">
        <v>1.0000000396472699</v>
      </c>
    </row>
    <row r="6950" spans="1:40" x14ac:dyDescent="0.25">
      <c r="A6950" t="str">
        <f>"20190312160823780"</f>
        <v>20190312160823780</v>
      </c>
      <c r="B6950" t="str">
        <f>"1552378103772216"</f>
        <v>1552378103772216</v>
      </c>
      <c r="C6950" t="s">
        <v>40</v>
      </c>
      <c r="D6950">
        <v>6.0399849999999997</v>
      </c>
      <c r="E6950">
        <v>0.45011489999999998</v>
      </c>
      <c r="F6950" t="s">
        <v>47</v>
      </c>
      <c r="G6950">
        <v>-262.17849999999999</v>
      </c>
      <c r="H6950" s="1">
        <v>-6.0545759999999905E-7</v>
      </c>
      <c r="I6950">
        <v>-62.885219999999997</v>
      </c>
      <c r="J6950">
        <v>-276.89999999999998</v>
      </c>
      <c r="K6950">
        <v>1.110403</v>
      </c>
      <c r="L6950">
        <v>-63.149169999999998</v>
      </c>
      <c r="M6950">
        <v>0.99503509999999995</v>
      </c>
      <c r="N6950">
        <v>0</v>
      </c>
      <c r="O6950">
        <v>-9.9036739999999998E-2</v>
      </c>
      <c r="P6950">
        <v>0.99217960000000005</v>
      </c>
      <c r="Q6950">
        <v>-2.798142E-2</v>
      </c>
      <c r="R6950">
        <v>-0.1216415</v>
      </c>
      <c r="S6950">
        <v>3.023987</v>
      </c>
      <c r="T6950">
        <v>-0.2264796</v>
      </c>
      <c r="U6950">
        <v>5.1971440000000001E-2</v>
      </c>
      <c r="V6950">
        <v>2.282329E-2</v>
      </c>
      <c r="W6950">
        <v>-1.807574E-2</v>
      </c>
      <c r="X6950">
        <v>0.99957609999999997</v>
      </c>
      <c r="Y6950">
        <v>-0.115526</v>
      </c>
      <c r="Z6950">
        <v>1.1718930000000001E-2</v>
      </c>
      <c r="AA6950">
        <v>0.99323530000000004</v>
      </c>
      <c r="AB6950">
        <v>20</v>
      </c>
      <c r="AC6950">
        <v>14.721499999999899</v>
      </c>
      <c r="AD6950">
        <v>-1.1104036054576001</v>
      </c>
      <c r="AE6950">
        <v>0.26395000000000102</v>
      </c>
      <c r="AF6950">
        <v>-1.71096121392375</v>
      </c>
      <c r="AG6950">
        <v>-1.1104036054576001</v>
      </c>
      <c r="AH6950">
        <v>14.540279593810901</v>
      </c>
      <c r="AI6950">
        <v>94.337245481679901</v>
      </c>
      <c r="AJ6950">
        <v>96.711158610662295</v>
      </c>
      <c r="AK6950">
        <v>14.682646733772399</v>
      </c>
      <c r="AL6950">
        <v>91.035720011762507</v>
      </c>
      <c r="AM6950">
        <v>88.691994524080599</v>
      </c>
      <c r="AN6950">
        <v>1.00000000731709</v>
      </c>
    </row>
    <row r="6951" spans="1:40" x14ac:dyDescent="0.25">
      <c r="A6951" t="str">
        <f>"20190312160823791"</f>
        <v>20190312160823791</v>
      </c>
      <c r="B6951" t="str">
        <f>"1552378103782951"</f>
        <v>1552378103782951</v>
      </c>
      <c r="C6951" t="s">
        <v>40</v>
      </c>
      <c r="D6951">
        <v>6.1707890000000001</v>
      </c>
      <c r="E6951">
        <v>0.4519224</v>
      </c>
      <c r="F6951" t="s">
        <v>47</v>
      </c>
      <c r="G6951">
        <v>-262.30340000000001</v>
      </c>
      <c r="H6951" s="1">
        <v>-6.8177769999999998E-7</v>
      </c>
      <c r="I6951">
        <v>-62.970730000000003</v>
      </c>
      <c r="J6951">
        <v>-276.79259999999999</v>
      </c>
      <c r="K6951">
        <v>1.1103379999999901</v>
      </c>
      <c r="L6951">
        <v>-63.158360000000002</v>
      </c>
      <c r="M6951">
        <v>0.99516199999999999</v>
      </c>
      <c r="N6951">
        <v>0</v>
      </c>
      <c r="O6951">
        <v>-9.7757070000000001E-2</v>
      </c>
      <c r="P6951">
        <v>0.99223890000000003</v>
      </c>
      <c r="Q6951">
        <v>-2.8233109999999999E-2</v>
      </c>
      <c r="R6951">
        <v>-0.12109839999999999</v>
      </c>
      <c r="S6951">
        <v>3.0216980000000002</v>
      </c>
      <c r="T6951">
        <v>-0.2298684</v>
      </c>
      <c r="U6951">
        <v>3.6926269999999997E-2</v>
      </c>
      <c r="V6951">
        <v>2.3560210000000002E-2</v>
      </c>
      <c r="W6951">
        <v>-1.837592E-2</v>
      </c>
      <c r="X6951">
        <v>0.99955349999999998</v>
      </c>
      <c r="Y6951">
        <v>-0.1093177</v>
      </c>
      <c r="Z6951">
        <v>1.157006E-2</v>
      </c>
      <c r="AA6951">
        <v>0.99393949999999998</v>
      </c>
      <c r="AB6951">
        <v>20</v>
      </c>
      <c r="AC6951">
        <v>14.489199999999901</v>
      </c>
      <c r="AD6951">
        <v>-1.1103386817776999</v>
      </c>
      <c r="AE6951">
        <v>0.187629999999991</v>
      </c>
      <c r="AF6951">
        <v>-1.593862690705</v>
      </c>
      <c r="AG6951">
        <v>-1.1103386817776999</v>
      </c>
      <c r="AH6951">
        <v>14.317386867643799</v>
      </c>
      <c r="AI6951">
        <v>94.4073952232647</v>
      </c>
      <c r="AJ6951">
        <v>96.352216294544306</v>
      </c>
      <c r="AK6951">
        <v>14.4485576090782</v>
      </c>
      <c r="AL6951">
        <v>91.052921946295797</v>
      </c>
      <c r="AM6951">
        <v>88.6497464234087</v>
      </c>
      <c r="AN6951">
        <v>0.99999997864667001</v>
      </c>
    </row>
    <row r="6952" spans="1:40" x14ac:dyDescent="0.25">
      <c r="A6952" t="str">
        <f>"20190312160823801"</f>
        <v>20190312160823801</v>
      </c>
      <c r="B6952" t="str">
        <f>"1552378103792712"</f>
        <v>1552378103792712</v>
      </c>
      <c r="C6952" t="s">
        <v>40</v>
      </c>
      <c r="D6952">
        <v>6.0492569999999999</v>
      </c>
      <c r="E6952">
        <v>0.45305790000000001</v>
      </c>
      <c r="F6952" t="s">
        <v>111</v>
      </c>
      <c r="G6952">
        <v>-262.77190000000002</v>
      </c>
      <c r="H6952" s="1">
        <v>-9.0230829999999996E-7</v>
      </c>
      <c r="I6952">
        <v>-63.044220000000003</v>
      </c>
      <c r="J6952">
        <v>-276.70769999999999</v>
      </c>
      <c r="K6952">
        <v>1.1102890000000001</v>
      </c>
      <c r="L6952">
        <v>-63.165559999999999</v>
      </c>
      <c r="M6952">
        <v>0.99525540000000001</v>
      </c>
      <c r="N6952">
        <v>0</v>
      </c>
      <c r="O6952">
        <v>-9.6806310000000007E-2</v>
      </c>
      <c r="P6952">
        <v>0.99229020000000001</v>
      </c>
      <c r="Q6952">
        <v>-2.7973870000000001E-2</v>
      </c>
      <c r="R6952">
        <v>-0.1207386</v>
      </c>
      <c r="S6952">
        <v>3.0196529999999999</v>
      </c>
      <c r="T6952">
        <v>-0.23913380000000001</v>
      </c>
      <c r="U6952">
        <v>2.4566649999999999E-2</v>
      </c>
      <c r="V6952">
        <v>2.414937E-2</v>
      </c>
      <c r="W6952">
        <v>-1.8153229999999999E-2</v>
      </c>
      <c r="X6952">
        <v>0.99954350000000003</v>
      </c>
      <c r="Y6952">
        <v>-0.1042759</v>
      </c>
      <c r="Z6952">
        <v>1.176873E-2</v>
      </c>
      <c r="AA6952">
        <v>0.9944788</v>
      </c>
      <c r="AB6952">
        <v>20</v>
      </c>
      <c r="AC6952">
        <v>13.935799999999899</v>
      </c>
      <c r="AD6952">
        <v>-1.1102899023082999</v>
      </c>
      <c r="AE6952">
        <v>0.121340000000003</v>
      </c>
      <c r="AF6952">
        <v>-1.4606368312393001</v>
      </c>
      <c r="AG6952">
        <v>-1.1102899023082999</v>
      </c>
      <c r="AH6952">
        <v>13.771186359368199</v>
      </c>
      <c r="AI6952">
        <v>94.583851102517301</v>
      </c>
      <c r="AJ6952">
        <v>96.054424185078602</v>
      </c>
      <c r="AK6952">
        <v>13.8928678596029</v>
      </c>
      <c r="AL6952">
        <v>91.040160629002997</v>
      </c>
      <c r="AM6952">
        <v>88.615980346881997</v>
      </c>
      <c r="AN6952">
        <v>0.99999997011153896</v>
      </c>
    </row>
    <row r="6953" spans="1:40" x14ac:dyDescent="0.25">
      <c r="A6953" t="str">
        <f>"20190312160823811"</f>
        <v>20190312160823811</v>
      </c>
      <c r="B6953" t="str">
        <f>"1552378103802473"</f>
        <v>1552378103802473</v>
      </c>
      <c r="C6953" t="s">
        <v>40</v>
      </c>
      <c r="D6953">
        <v>6.0723789999999997</v>
      </c>
      <c r="E6953">
        <v>0.45403520000000003</v>
      </c>
      <c r="F6953" t="s">
        <v>111</v>
      </c>
      <c r="G6953">
        <v>-262.61149999999998</v>
      </c>
      <c r="H6953" s="1">
        <v>-8.4511479999999997E-7</v>
      </c>
      <c r="I6953">
        <v>-63.087820000000001</v>
      </c>
      <c r="J6953">
        <v>-276.62150000000003</v>
      </c>
      <c r="K6953">
        <v>1.1102350000000001</v>
      </c>
      <c r="L6953">
        <v>-63.172820000000002</v>
      </c>
      <c r="M6953">
        <v>0.99534739999999999</v>
      </c>
      <c r="N6953">
        <v>0</v>
      </c>
      <c r="O6953">
        <v>-9.5858769999999996E-2</v>
      </c>
      <c r="P6953">
        <v>0.99238199999999999</v>
      </c>
      <c r="Q6953">
        <v>-2.7798360000000001E-2</v>
      </c>
      <c r="R6953">
        <v>-0.1200234</v>
      </c>
      <c r="S6953">
        <v>3.0186160000000002</v>
      </c>
      <c r="T6953">
        <v>-0.2377619</v>
      </c>
      <c r="U6953">
        <v>1.663208E-2</v>
      </c>
      <c r="V6953">
        <v>2.4377630000000001E-2</v>
      </c>
      <c r="W6953">
        <v>-1.8015110000000001E-2</v>
      </c>
      <c r="X6953">
        <v>0.99954050000000005</v>
      </c>
      <c r="Y6953">
        <v>-0.10073799999999999</v>
      </c>
      <c r="Z6953">
        <v>1.1491899999999999E-2</v>
      </c>
      <c r="AA6953">
        <v>0.99484660000000003</v>
      </c>
      <c r="AB6953">
        <v>20</v>
      </c>
      <c r="AC6953">
        <v>14.01</v>
      </c>
      <c r="AD6953">
        <v>-1.1102358451148</v>
      </c>
      <c r="AE6953">
        <v>8.5000000000000797E-2</v>
      </c>
      <c r="AF6953">
        <v>-1.4187441873981499</v>
      </c>
      <c r="AG6953">
        <v>-1.1102358451148</v>
      </c>
      <c r="AH6953">
        <v>13.850352747663401</v>
      </c>
      <c r="AI6953">
        <v>94.559239972156206</v>
      </c>
      <c r="AJ6953">
        <v>95.848625108132197</v>
      </c>
      <c r="AK6953">
        <v>13.9670229446279</v>
      </c>
      <c r="AL6953">
        <v>91.032245598007094</v>
      </c>
      <c r="AM6953">
        <v>88.602899553224006</v>
      </c>
      <c r="AN6953">
        <v>1.00000001208648</v>
      </c>
    </row>
    <row r="6954" spans="1:40" x14ac:dyDescent="0.25">
      <c r="A6954" t="str">
        <f>"20190312160823822"</f>
        <v>20190312160823822</v>
      </c>
      <c r="B6954" t="str">
        <f>"1552378103812232"</f>
        <v>1552378103812232</v>
      </c>
      <c r="C6954" t="s">
        <v>40</v>
      </c>
      <c r="D6954">
        <v>6.093629</v>
      </c>
      <c r="E6954">
        <v>0.4548912</v>
      </c>
      <c r="F6954" t="s">
        <v>47</v>
      </c>
      <c r="G6954">
        <v>-262.54199999999997</v>
      </c>
      <c r="H6954" s="1">
        <v>-8.2416359999999997E-7</v>
      </c>
      <c r="I6954">
        <v>-63.121209999999998</v>
      </c>
      <c r="J6954">
        <v>-276.52199999999999</v>
      </c>
      <c r="K6954">
        <v>1.110182</v>
      </c>
      <c r="L6954">
        <v>-63.181150000000002</v>
      </c>
      <c r="M6954">
        <v>0.9954461</v>
      </c>
      <c r="N6954">
        <v>0</v>
      </c>
      <c r="O6954">
        <v>-9.483221E-2</v>
      </c>
      <c r="P6954">
        <v>0.99253150000000001</v>
      </c>
      <c r="Q6954">
        <v>-2.7342829999999999E-2</v>
      </c>
      <c r="R6954">
        <v>-0.11888650000000001</v>
      </c>
      <c r="S6954">
        <v>3.0177</v>
      </c>
      <c r="T6954">
        <v>-0.23795910000000001</v>
      </c>
      <c r="U6954">
        <v>1.1047360000000001E-2</v>
      </c>
      <c r="V6954">
        <v>2.425942E-2</v>
      </c>
      <c r="W6954">
        <v>-1.7602650000000001E-2</v>
      </c>
      <c r="X6954">
        <v>0.99955070000000001</v>
      </c>
      <c r="Y6954">
        <v>-9.7882730000000001E-2</v>
      </c>
      <c r="Z6954">
        <v>1.131181E-2</v>
      </c>
      <c r="AA6954">
        <v>0.99513359999999995</v>
      </c>
      <c r="AB6954">
        <v>20</v>
      </c>
      <c r="AC6954">
        <v>13.979999999999899</v>
      </c>
      <c r="AD6954">
        <v>-1.1101828241636</v>
      </c>
      <c r="AE6954">
        <v>5.9940000000004497E-2</v>
      </c>
      <c r="AF6954">
        <v>-1.3768040144934499</v>
      </c>
      <c r="AG6954">
        <v>-1.1101828241636</v>
      </c>
      <c r="AH6954">
        <v>13.824127980068999</v>
      </c>
      <c r="AI6954">
        <v>94.568926790179802</v>
      </c>
      <c r="AJ6954">
        <v>95.687576090033005</v>
      </c>
      <c r="AK6954">
        <v>13.9368077265463</v>
      </c>
      <c r="AL6954">
        <v>91.008609657457498</v>
      </c>
      <c r="AM6954">
        <v>88.6096857744582</v>
      </c>
      <c r="AN6954">
        <v>0.99999998730812401</v>
      </c>
    </row>
    <row r="6955" spans="1:40" x14ac:dyDescent="0.25">
      <c r="A6955" t="str">
        <f>"20190312160823833"</f>
        <v>20190312160823833</v>
      </c>
      <c r="B6955" t="str">
        <f>"1552378103822968"</f>
        <v>1552378103822968</v>
      </c>
      <c r="C6955" t="s">
        <v>40</v>
      </c>
      <c r="D6955">
        <v>6.080832</v>
      </c>
      <c r="E6955">
        <v>0.45556210000000003</v>
      </c>
      <c r="F6955" t="s">
        <v>47</v>
      </c>
      <c r="G6955">
        <v>-262.45679999999999</v>
      </c>
      <c r="H6955" s="1">
        <v>-7.9394259999999998E-7</v>
      </c>
      <c r="I6955">
        <v>-63.144950000000001</v>
      </c>
      <c r="J6955">
        <v>-276.4316</v>
      </c>
      <c r="K6955">
        <v>1.110134</v>
      </c>
      <c r="L6955">
        <v>-63.188690000000001</v>
      </c>
      <c r="M6955">
        <v>0.995533</v>
      </c>
      <c r="N6955">
        <v>0</v>
      </c>
      <c r="O6955">
        <v>-9.3918760000000004E-2</v>
      </c>
      <c r="P6955">
        <v>0.99261659999999996</v>
      </c>
      <c r="Q6955">
        <v>-2.715331E-2</v>
      </c>
      <c r="R6955">
        <v>-0.1182173</v>
      </c>
      <c r="S6955">
        <v>3.016937</v>
      </c>
      <c r="T6955">
        <v>-0.2381308</v>
      </c>
      <c r="U6955">
        <v>7.7514649999999999E-3</v>
      </c>
      <c r="V6955">
        <v>2.4499960000000001E-2</v>
      </c>
      <c r="W6955">
        <v>-1.7451330000000001E-2</v>
      </c>
      <c r="X6955">
        <v>0.99954750000000003</v>
      </c>
      <c r="Y6955">
        <v>-9.5891039999999997E-2</v>
      </c>
      <c r="Z6955">
        <v>1.117249E-2</v>
      </c>
      <c r="AA6955">
        <v>0.99532909999999997</v>
      </c>
      <c r="AB6955">
        <v>20</v>
      </c>
      <c r="AC6955">
        <v>13.9748</v>
      </c>
      <c r="AD6955">
        <v>-1.1101347939426001</v>
      </c>
      <c r="AE6955">
        <v>4.3739999999999599E-2</v>
      </c>
      <c r="AF6955">
        <v>-1.34759989637801</v>
      </c>
      <c r="AG6955">
        <v>-1.1101347939426001</v>
      </c>
      <c r="AH6955">
        <v>13.8216952725949</v>
      </c>
      <c r="AI6955">
        <v>94.570461318915207</v>
      </c>
      <c r="AJ6955">
        <v>95.5686738706884</v>
      </c>
      <c r="AK6955">
        <v>13.9315356278449</v>
      </c>
      <c r="AL6955">
        <v>90.9999383144349</v>
      </c>
      <c r="AM6955">
        <v>88.595901357109895</v>
      </c>
      <c r="AN6955">
        <v>1.0000000008575101</v>
      </c>
    </row>
    <row r="6956" spans="1:40" x14ac:dyDescent="0.25">
      <c r="A6956" t="str">
        <f>"20190312160823844"</f>
        <v>20190312160823844</v>
      </c>
      <c r="B6956" t="str">
        <f>"1552378103832324"</f>
        <v>1552378103832324</v>
      </c>
      <c r="C6956" t="s">
        <v>40</v>
      </c>
      <c r="D6956">
        <v>6.1536169999999997</v>
      </c>
      <c r="E6956">
        <v>0.45605040000000002</v>
      </c>
      <c r="F6956" t="s">
        <v>47</v>
      </c>
      <c r="G6956">
        <v>-262.27530000000002</v>
      </c>
      <c r="H6956" s="1">
        <v>-7.2226830000000005E-7</v>
      </c>
      <c r="I6956">
        <v>-63.168140000000001</v>
      </c>
      <c r="J6956">
        <v>-276.33280000000002</v>
      </c>
      <c r="K6956">
        <v>1.1100950000000001</v>
      </c>
      <c r="L6956">
        <v>-63.196899999999999</v>
      </c>
      <c r="M6956">
        <v>0.99562019999999996</v>
      </c>
      <c r="N6956">
        <v>0</v>
      </c>
      <c r="O6956">
        <v>-9.2996110000000007E-2</v>
      </c>
      <c r="P6956">
        <v>0.99273960000000006</v>
      </c>
      <c r="Q6956">
        <v>-2.705954E-2</v>
      </c>
      <c r="R6956">
        <v>-0.11720270000000001</v>
      </c>
      <c r="S6956">
        <v>3.0163880000000001</v>
      </c>
      <c r="T6956">
        <v>-0.23654520000000001</v>
      </c>
      <c r="U6956">
        <v>4.3640140000000003E-3</v>
      </c>
      <c r="V6956">
        <v>2.4402569999999998E-2</v>
      </c>
      <c r="W6956">
        <v>-1.7398739999999999E-2</v>
      </c>
      <c r="X6956">
        <v>0.99955079999999996</v>
      </c>
      <c r="Y6956">
        <v>-9.3867690000000004E-2</v>
      </c>
      <c r="Z6956">
        <v>1.094902E-2</v>
      </c>
      <c r="AA6956">
        <v>0.99552450000000003</v>
      </c>
      <c r="AB6956">
        <v>20</v>
      </c>
      <c r="AC6956">
        <v>14.057499999999999</v>
      </c>
      <c r="AD6956">
        <v>-1.1100957222682999</v>
      </c>
      <c r="AE6956">
        <v>2.8759999999998301E-2</v>
      </c>
      <c r="AF6956">
        <v>-1.3277088736978899</v>
      </c>
      <c r="AG6956">
        <v>-1.1100957222682999</v>
      </c>
      <c r="AH6956">
        <v>13.9071766091398</v>
      </c>
      <c r="AI6956">
        <v>94.543205084545505</v>
      </c>
      <c r="AJ6956">
        <v>95.453461595932694</v>
      </c>
      <c r="AK6956">
        <v>14.014445568901399</v>
      </c>
      <c r="AL6956">
        <v>90.996924671020395</v>
      </c>
      <c r="AM6956">
        <v>88.601485195896501</v>
      </c>
      <c r="AN6956">
        <v>1.0000000016784101</v>
      </c>
    </row>
    <row r="6957" spans="1:40" x14ac:dyDescent="0.25">
      <c r="A6957" t="str">
        <f>"20190312160823856"</f>
        <v>20190312160823856</v>
      </c>
      <c r="B6957" t="str">
        <f>"1552378103852806"</f>
        <v>1552378103852806</v>
      </c>
      <c r="C6957" t="s">
        <v>40</v>
      </c>
      <c r="D6957">
        <v>6.1176339999999998</v>
      </c>
      <c r="E6957">
        <v>0.45666319999999999</v>
      </c>
      <c r="F6957" t="s">
        <v>47</v>
      </c>
      <c r="G6957">
        <v>-261.81349999999998</v>
      </c>
      <c r="H6957" s="1">
        <v>-5.2745330000000003E-7</v>
      </c>
      <c r="I6957">
        <v>-63.180529999999997</v>
      </c>
      <c r="J6957">
        <v>-276.23270000000002</v>
      </c>
      <c r="K6957">
        <v>1.1100490000000001</v>
      </c>
      <c r="L6957">
        <v>-63.205199999999998</v>
      </c>
      <c r="M6957">
        <v>0.99570570000000003</v>
      </c>
      <c r="N6957">
        <v>0</v>
      </c>
      <c r="O6957">
        <v>-9.2079069999999999E-2</v>
      </c>
      <c r="P6957">
        <v>0.99283560000000004</v>
      </c>
      <c r="Q6957">
        <v>-2.6900779999999999E-2</v>
      </c>
      <c r="R6957">
        <v>-0.1164227</v>
      </c>
      <c r="S6957">
        <v>3.0160520000000002</v>
      </c>
      <c r="T6957">
        <v>-0.23059730000000001</v>
      </c>
      <c r="U6957">
        <v>3.3874510000000001E-3</v>
      </c>
      <c r="V6957">
        <v>2.4535649999999999E-2</v>
      </c>
      <c r="W6957">
        <v>-1.7281060000000001E-2</v>
      </c>
      <c r="X6957">
        <v>0.99954960000000004</v>
      </c>
      <c r="Y6957">
        <v>-9.2662969999999997E-2</v>
      </c>
      <c r="Z6957">
        <v>1.0559900000000001E-2</v>
      </c>
      <c r="AA6957">
        <v>0.99564149999999996</v>
      </c>
      <c r="AB6957">
        <v>20</v>
      </c>
      <c r="AC6957">
        <v>14.4192</v>
      </c>
      <c r="AD6957">
        <v>-1.1100495274533</v>
      </c>
      <c r="AE6957">
        <v>2.4669999999993301E-2</v>
      </c>
      <c r="AF6957">
        <v>-1.3443650951263899</v>
      </c>
      <c r="AG6957">
        <v>-1.1100495274533</v>
      </c>
      <c r="AH6957">
        <v>14.2710874219822</v>
      </c>
      <c r="AI6957">
        <v>94.428162473941001</v>
      </c>
      <c r="AJ6957">
        <v>95.381496490604405</v>
      </c>
      <c r="AK6957">
        <v>14.377185526668701</v>
      </c>
      <c r="AL6957">
        <v>90.990181073644294</v>
      </c>
      <c r="AM6957">
        <v>88.593859728212394</v>
      </c>
      <c r="AN6957">
        <v>1.0000000180079001</v>
      </c>
    </row>
    <row r="6958" spans="1:40" x14ac:dyDescent="0.25">
      <c r="A6958" t="str">
        <f>"20190312160823867"</f>
        <v>20190312160823867</v>
      </c>
      <c r="B6958" t="str">
        <f>"1552378103862567"</f>
        <v>1552378103862567</v>
      </c>
      <c r="C6958" t="s">
        <v>40</v>
      </c>
      <c r="D6958">
        <v>6.2921959999999997</v>
      </c>
      <c r="E6958">
        <v>0.45703490000000002</v>
      </c>
      <c r="F6958" t="s">
        <v>47</v>
      </c>
      <c r="G6958">
        <v>-261.02289999999999</v>
      </c>
      <c r="H6958" s="1">
        <v>-1.9416029999999999E-7</v>
      </c>
      <c r="I6958">
        <v>-63.202669999999998</v>
      </c>
      <c r="J6958">
        <v>-276.12939999999998</v>
      </c>
      <c r="K6958">
        <v>1.1100030000000001</v>
      </c>
      <c r="L6958">
        <v>-63.213650000000001</v>
      </c>
      <c r="M6958">
        <v>0.99578679999999997</v>
      </c>
      <c r="N6958">
        <v>0</v>
      </c>
      <c r="O6958">
        <v>-9.1201569999999996E-2</v>
      </c>
      <c r="P6958">
        <v>0.99293379999999998</v>
      </c>
      <c r="Q6958">
        <v>-2.6834879999999998E-2</v>
      </c>
      <c r="R6958">
        <v>-0.1155984</v>
      </c>
      <c r="S6958">
        <v>3.015717</v>
      </c>
      <c r="T6958">
        <v>-0.2200944</v>
      </c>
      <c r="U6958">
        <v>4.8828130000000002E-4</v>
      </c>
      <c r="V6958">
        <v>2.4584620000000001E-2</v>
      </c>
      <c r="W6958">
        <v>-1.725751E-2</v>
      </c>
      <c r="X6958">
        <v>0.99954880000000002</v>
      </c>
      <c r="Y6958">
        <v>-9.0883169999999999E-2</v>
      </c>
      <c r="Z6958">
        <v>9.9526749999999994E-3</v>
      </c>
      <c r="AA6958">
        <v>0.99581180000000002</v>
      </c>
      <c r="AB6958">
        <v>20</v>
      </c>
      <c r="AC6958">
        <v>15.106499999999899</v>
      </c>
      <c r="AD6958">
        <v>-1.1100031941602999</v>
      </c>
      <c r="AE6958">
        <v>1.0980000000003501E-2</v>
      </c>
      <c r="AF6958">
        <v>-1.3812757600180301</v>
      </c>
      <c r="AG6958">
        <v>-1.1100031941602999</v>
      </c>
      <c r="AH6958">
        <v>14.9617559120201</v>
      </c>
      <c r="AI6958">
        <v>94.2250629122059</v>
      </c>
      <c r="AJ6958">
        <v>95.274619684974795</v>
      </c>
      <c r="AK6958">
        <v>15.066325689667201</v>
      </c>
      <c r="AL6958">
        <v>90.988831560395099</v>
      </c>
      <c r="AM6958">
        <v>88.5910532560993</v>
      </c>
      <c r="AN6958">
        <v>1.0000000143866901</v>
      </c>
    </row>
    <row r="6959" spans="1:40" x14ac:dyDescent="0.25">
      <c r="A6959" t="str">
        <f>"20190312160823879"</f>
        <v>20190312160823879</v>
      </c>
      <c r="B6959" t="str">
        <f>"1552378103872325"</f>
        <v>1552378103872325</v>
      </c>
      <c r="C6959" t="s">
        <v>40</v>
      </c>
      <c r="D6959">
        <v>6.2278060000000002</v>
      </c>
      <c r="E6959">
        <v>0.45727240000000002</v>
      </c>
      <c r="F6959" t="s">
        <v>111</v>
      </c>
      <c r="G6959">
        <v>-261.15179999999998</v>
      </c>
      <c r="H6959" s="1">
        <v>-2.5199239999999999E-7</v>
      </c>
      <c r="I6959">
        <v>-63.212220000000002</v>
      </c>
      <c r="J6959">
        <v>-276.02769999999998</v>
      </c>
      <c r="K6959">
        <v>1.109966</v>
      </c>
      <c r="L6959">
        <v>-63.221980000000002</v>
      </c>
      <c r="M6959">
        <v>0.99586359999999996</v>
      </c>
      <c r="N6959">
        <v>0</v>
      </c>
      <c r="O6959">
        <v>-9.0362910000000005E-2</v>
      </c>
      <c r="P6959">
        <v>0.99300920000000004</v>
      </c>
      <c r="Q6959">
        <v>-2.670057E-2</v>
      </c>
      <c r="R6959">
        <v>-0.1149782</v>
      </c>
      <c r="S6959">
        <v>3.0153500000000002</v>
      </c>
      <c r="T6959">
        <v>-0.22346940000000001</v>
      </c>
      <c r="U6959">
        <v>2.7465820000000001E-4</v>
      </c>
      <c r="V6959">
        <v>2.4800180000000002E-2</v>
      </c>
      <c r="W6959">
        <v>-1.7164929999999998E-2</v>
      </c>
      <c r="X6959">
        <v>0.99954500000000002</v>
      </c>
      <c r="Y6959">
        <v>-8.9963669999999996E-2</v>
      </c>
      <c r="Z6959">
        <v>1.001019E-2</v>
      </c>
      <c r="AA6959">
        <v>0.99589470000000002</v>
      </c>
      <c r="AB6959">
        <v>20</v>
      </c>
      <c r="AC6959">
        <v>14.8759</v>
      </c>
      <c r="AD6959">
        <v>-1.1099662519923901</v>
      </c>
      <c r="AE6959">
        <v>9.7600000000070894E-3</v>
      </c>
      <c r="AF6959">
        <v>-1.3465137441833499</v>
      </c>
      <c r="AG6959">
        <v>-1.1099662519923901</v>
      </c>
      <c r="AH6959">
        <v>14.7321340103101</v>
      </c>
      <c r="AI6959">
        <v>94.290888884890805</v>
      </c>
      <c r="AJ6959">
        <v>95.222311395774597</v>
      </c>
      <c r="AK6959">
        <v>14.8351237555192</v>
      </c>
      <c r="AL6959">
        <v>90.983526399239594</v>
      </c>
      <c r="AM6959">
        <v>88.578699137601205</v>
      </c>
      <c r="AN6959">
        <v>0.99999994538746695</v>
      </c>
    </row>
    <row r="6960" spans="1:40" x14ac:dyDescent="0.25">
      <c r="A6960" t="str">
        <f>"20190312160823889"</f>
        <v>20190312160823889</v>
      </c>
      <c r="B6960" t="str">
        <f>"1552378103882085"</f>
        <v>1552378103882085</v>
      </c>
      <c r="C6960" t="s">
        <v>40</v>
      </c>
      <c r="D6960">
        <v>6.1697899999999999</v>
      </c>
      <c r="E6960">
        <v>0.45762560000000002</v>
      </c>
      <c r="F6960" t="s">
        <v>111</v>
      </c>
      <c r="G6960">
        <v>-260.5951</v>
      </c>
      <c r="H6960" s="1">
        <v>-1.561864E-8</v>
      </c>
      <c r="I6960">
        <v>-63.221449999999997</v>
      </c>
      <c r="J6960">
        <v>-275.9228</v>
      </c>
      <c r="K6960">
        <v>1.1099289999999999</v>
      </c>
      <c r="L6960">
        <v>-63.230530000000002</v>
      </c>
      <c r="M6960">
        <v>0.99593869999999896</v>
      </c>
      <c r="N6960">
        <v>0</v>
      </c>
      <c r="O6960">
        <v>-8.9535779999999995E-2</v>
      </c>
      <c r="P6960">
        <v>0.99306609999999995</v>
      </c>
      <c r="Q6960">
        <v>-2.6678489999999999E-2</v>
      </c>
      <c r="R6960">
        <v>-0.11449040000000001</v>
      </c>
      <c r="S6960">
        <v>3.0152890000000001</v>
      </c>
      <c r="T6960">
        <v>-0.21686920000000001</v>
      </c>
      <c r="U6960" s="1">
        <v>9.1552730000000004E-5</v>
      </c>
      <c r="V6960">
        <v>2.5137929999999999E-2</v>
      </c>
      <c r="W6960">
        <v>-1.7186239999999998E-2</v>
      </c>
      <c r="X6960">
        <v>0.99953630000000004</v>
      </c>
      <c r="Y6960">
        <v>-8.9108999999999994E-2</v>
      </c>
      <c r="Z6960">
        <v>9.6255709999999994E-3</v>
      </c>
      <c r="AA6960">
        <v>0.99597539999999996</v>
      </c>
      <c r="AB6960">
        <v>20</v>
      </c>
      <c r="AC6960">
        <v>15.327699999999901</v>
      </c>
      <c r="AD6960">
        <v>-1.1099290156186301</v>
      </c>
      <c r="AE6960">
        <v>9.0800000000044196E-3</v>
      </c>
      <c r="AF6960">
        <v>-1.3742762203682599</v>
      </c>
      <c r="AG6960">
        <v>-1.1099290156186301</v>
      </c>
      <c r="AH6960">
        <v>15.185690464855799</v>
      </c>
      <c r="AI6960">
        <v>94.163387121168697</v>
      </c>
      <c r="AJ6960">
        <v>95.1710733380459</v>
      </c>
      <c r="AK6960">
        <v>15.288092505083601</v>
      </c>
      <c r="AL6960">
        <v>90.984747450760906</v>
      </c>
      <c r="AM6960">
        <v>88.559338218874004</v>
      </c>
      <c r="AN6960">
        <v>1.0000000486938501</v>
      </c>
    </row>
    <row r="6961" spans="1:40" x14ac:dyDescent="0.25">
      <c r="A6961" t="str">
        <f>"20190312160823900"</f>
        <v>20190312160823900</v>
      </c>
      <c r="B6961" t="str">
        <f>"1552378103892824"</f>
        <v>1552378103892824</v>
      </c>
      <c r="C6961" t="s">
        <v>40</v>
      </c>
      <c r="D6961">
        <v>6.3642500000000002</v>
      </c>
      <c r="E6961">
        <v>0.4576595</v>
      </c>
      <c r="F6961" t="s">
        <v>47</v>
      </c>
      <c r="G6961">
        <v>-260.44900000000001</v>
      </c>
      <c r="H6961" s="1">
        <v>4.2875289999999998E-8</v>
      </c>
      <c r="I6961">
        <v>-63.23704</v>
      </c>
      <c r="J6961">
        <v>-275.8365</v>
      </c>
      <c r="K6961">
        <v>1.109901</v>
      </c>
      <c r="L6961">
        <v>-63.237520000000004</v>
      </c>
      <c r="M6961">
        <v>0.99599720000000003</v>
      </c>
      <c r="N6961">
        <v>0</v>
      </c>
      <c r="O6961">
        <v>-8.8886919999999994E-2</v>
      </c>
      <c r="P6961">
        <v>0.99312480000000003</v>
      </c>
      <c r="Q6961">
        <v>-2.6563170000000001E-2</v>
      </c>
      <c r="R6961">
        <v>-0.1140072</v>
      </c>
      <c r="S6961">
        <v>3.0149539999999999</v>
      </c>
      <c r="T6961">
        <v>-0.21626200000000001</v>
      </c>
      <c r="U6961">
        <v>-1.2817379999999999E-3</v>
      </c>
      <c r="V6961">
        <v>2.530139E-2</v>
      </c>
      <c r="W6961">
        <v>-1.7106110000000001E-2</v>
      </c>
      <c r="X6961">
        <v>0.99953349999999996</v>
      </c>
      <c r="Y6961">
        <v>-8.8013350000000004E-2</v>
      </c>
      <c r="Z6961">
        <v>9.5141289999999996E-3</v>
      </c>
      <c r="AA6961">
        <v>0.99607380000000001</v>
      </c>
      <c r="AB6961">
        <v>20</v>
      </c>
      <c r="AC6961">
        <v>15.3874999999999</v>
      </c>
      <c r="AD6961">
        <v>-1.10990095712471</v>
      </c>
      <c r="AE6961">
        <v>4.7999999999603899E-4</v>
      </c>
      <c r="AF6961">
        <v>-1.3612042452609401</v>
      </c>
      <c r="AG6961">
        <v>-1.10990095712471</v>
      </c>
      <c r="AH6961">
        <v>15.2472166036952</v>
      </c>
      <c r="AI6961">
        <v>94.1469915781407</v>
      </c>
      <c r="AJ6961">
        <v>95.101589712718194</v>
      </c>
      <c r="AK6961">
        <v>15.348041285191499</v>
      </c>
      <c r="AL6961">
        <v>90.980155714372103</v>
      </c>
      <c r="AM6961">
        <v>88.549970207007306</v>
      </c>
      <c r="AN6961">
        <v>0.99999999847875698</v>
      </c>
    </row>
    <row r="6962" spans="1:40" x14ac:dyDescent="0.25">
      <c r="A6962" t="str">
        <f>"20190312160823911"</f>
        <v>20190312160823911</v>
      </c>
      <c r="B6962" t="str">
        <f>"1552378103902583"</f>
        <v>1552378103902583</v>
      </c>
      <c r="C6962" t="s">
        <v>40</v>
      </c>
      <c r="D6962">
        <v>6.2086870000000003</v>
      </c>
      <c r="E6962">
        <v>0.4577119</v>
      </c>
      <c r="F6962" t="s">
        <v>115</v>
      </c>
      <c r="G6962">
        <v>-259.69540000000001</v>
      </c>
      <c r="H6962" s="1">
        <v>-3.7042890000000002E-6</v>
      </c>
      <c r="I6962">
        <v>-63.2399699999999</v>
      </c>
      <c r="J6962">
        <v>-275.73570000000001</v>
      </c>
      <c r="K6962">
        <v>1.109866</v>
      </c>
      <c r="L6962">
        <v>-63.245669999999997</v>
      </c>
      <c r="M6962">
        <v>0.99606320000000004</v>
      </c>
      <c r="N6962">
        <v>0</v>
      </c>
      <c r="O6962">
        <v>-8.8147470000000006E-2</v>
      </c>
      <c r="P6962">
        <v>0.99315299999999995</v>
      </c>
      <c r="Q6962">
        <v>-2.666872E-2</v>
      </c>
      <c r="R6962">
        <v>-0.11373709999999999</v>
      </c>
      <c r="S6962">
        <v>3.0151370000000002</v>
      </c>
      <c r="T6962">
        <v>-0.2073286</v>
      </c>
      <c r="U6962">
        <v>-4.577637E-4</v>
      </c>
      <c r="V6962">
        <v>2.5770959999999999E-2</v>
      </c>
      <c r="W6962">
        <v>-1.7252150000000001E-2</v>
      </c>
      <c r="X6962">
        <v>0.99951900000000005</v>
      </c>
      <c r="Y6962">
        <v>-8.7585549999999998E-2</v>
      </c>
      <c r="Z6962">
        <v>9.0561970000000002E-3</v>
      </c>
      <c r="AA6962">
        <v>0.99611590000000005</v>
      </c>
      <c r="AB6962">
        <v>20</v>
      </c>
      <c r="AC6962">
        <v>16.040299999999998</v>
      </c>
      <c r="AD6962">
        <v>-1.109869704289</v>
      </c>
      <c r="AE6962">
        <v>5.7000000000044697E-3</v>
      </c>
      <c r="AF6962">
        <v>-1.41288762015673</v>
      </c>
      <c r="AG6962">
        <v>-1.109869704289</v>
      </c>
      <c r="AH6962">
        <v>15.901225225184801</v>
      </c>
      <c r="AI6962">
        <v>93.977023145123297</v>
      </c>
      <c r="AJ6962">
        <v>95.0776250890124</v>
      </c>
      <c r="AK6962">
        <v>16.002406876771499</v>
      </c>
      <c r="AL6962">
        <v>90.988524418366396</v>
      </c>
      <c r="AM6962">
        <v>88.5230494126358</v>
      </c>
      <c r="AN6962">
        <v>1.00000000520997</v>
      </c>
    </row>
    <row r="6963" spans="1:40" x14ac:dyDescent="0.25">
      <c r="A6963" t="str">
        <f>"20190312160823923"</f>
        <v>20190312160823923</v>
      </c>
      <c r="B6963" t="str">
        <f>"1552378103912342"</f>
        <v>1552378103912342</v>
      </c>
      <c r="C6963" t="s">
        <v>40</v>
      </c>
      <c r="D6963">
        <v>6.156447</v>
      </c>
      <c r="E6963">
        <v>0.45755449999999998</v>
      </c>
      <c r="F6963" t="s">
        <v>115</v>
      </c>
      <c r="G6963">
        <v>-259.0181</v>
      </c>
      <c r="H6963" s="1">
        <v>-3.4748799999999998E-6</v>
      </c>
      <c r="I6963">
        <v>-63.24803</v>
      </c>
      <c r="J6963">
        <v>-275.63929999999999</v>
      </c>
      <c r="K6963">
        <v>1.1098380000000001</v>
      </c>
      <c r="L6963">
        <v>-63.253390000000003</v>
      </c>
      <c r="M6963">
        <v>0.99612259999999997</v>
      </c>
      <c r="N6963">
        <v>0</v>
      </c>
      <c r="O6963">
        <v>-8.7479029999999999E-2</v>
      </c>
      <c r="P6963">
        <v>0.99318410000000001</v>
      </c>
      <c r="Q6963">
        <v>-2.6754670000000001E-2</v>
      </c>
      <c r="R6963">
        <v>-0.1134447</v>
      </c>
      <c r="S6963">
        <v>3.0152589999999999</v>
      </c>
      <c r="T6963">
        <v>-0.2001811</v>
      </c>
      <c r="U6963">
        <v>-4.2724609999999998E-4</v>
      </c>
      <c r="V6963">
        <v>2.6146880000000001E-2</v>
      </c>
      <c r="W6963">
        <v>-1.7376269999999999E-2</v>
      </c>
      <c r="X6963">
        <v>0.99950709999999998</v>
      </c>
      <c r="Y6963">
        <v>-8.6958060000000004E-2</v>
      </c>
      <c r="Z6963">
        <v>8.6793289999999995E-3</v>
      </c>
      <c r="AA6963">
        <v>0.99617420000000001</v>
      </c>
      <c r="AB6963">
        <v>20</v>
      </c>
      <c r="AC6963">
        <v>16.621199999999899</v>
      </c>
      <c r="AD6963">
        <v>-1.1098414748799901</v>
      </c>
      <c r="AE6963">
        <v>5.3599999999960303E-3</v>
      </c>
      <c r="AF6963">
        <v>-1.4529312729250701</v>
      </c>
      <c r="AG6963">
        <v>-1.1098414748799901</v>
      </c>
      <c r="AH6963">
        <v>16.483512697518002</v>
      </c>
      <c r="AI6963">
        <v>93.837101357793003</v>
      </c>
      <c r="AJ6963">
        <v>95.037290089666001</v>
      </c>
      <c r="AK6963">
        <v>16.584599730848101</v>
      </c>
      <c r="AL6963">
        <v>90.995637023428998</v>
      </c>
      <c r="AM6963">
        <v>88.501497111062903</v>
      </c>
      <c r="AN6963">
        <v>1.00000001852162</v>
      </c>
    </row>
    <row r="6964" spans="1:40" x14ac:dyDescent="0.25">
      <c r="A6964" t="str">
        <f>"20190312160823934"</f>
        <v>20190312160823934</v>
      </c>
      <c r="B6964" t="str">
        <f>"1552378103922102"</f>
        <v>1552378103922102</v>
      </c>
      <c r="C6964" t="s">
        <v>40</v>
      </c>
      <c r="D6964">
        <v>6.3510710000000001</v>
      </c>
      <c r="E6964">
        <v>0.45742290000000002</v>
      </c>
      <c r="F6964" t="s">
        <v>115</v>
      </c>
      <c r="G6964">
        <v>-258.38580000000002</v>
      </c>
      <c r="H6964" s="1">
        <v>-3.2593240000000001E-6</v>
      </c>
      <c r="I6964">
        <v>-63.245350000000002</v>
      </c>
      <c r="J6964">
        <v>-275.53449999999998</v>
      </c>
      <c r="K6964">
        <v>1.1098079999999999</v>
      </c>
      <c r="L6964">
        <v>-63.261780000000002</v>
      </c>
      <c r="M6964">
        <v>0.9961854</v>
      </c>
      <c r="N6964">
        <v>0</v>
      </c>
      <c r="O6964">
        <v>-8.6764569999999999E-2</v>
      </c>
      <c r="P6964">
        <v>0.99317829999999996</v>
      </c>
      <c r="Q6964">
        <v>-2.7087489999999999E-2</v>
      </c>
      <c r="R6964">
        <v>-0.1134155</v>
      </c>
      <c r="S6964">
        <v>3.015533</v>
      </c>
      <c r="T6964">
        <v>-0.19397500000000001</v>
      </c>
      <c r="U6964">
        <v>1.403809E-3</v>
      </c>
      <c r="V6964">
        <v>2.683458E-2</v>
      </c>
      <c r="W6964">
        <v>-1.7750129999999999E-2</v>
      </c>
      <c r="X6964">
        <v>0.99948230000000005</v>
      </c>
      <c r="Y6964">
        <v>-8.6873560000000002E-2</v>
      </c>
      <c r="Z6964">
        <v>8.3615870000000002E-3</v>
      </c>
      <c r="AA6964">
        <v>0.99618419999999996</v>
      </c>
      <c r="AB6964">
        <v>20</v>
      </c>
      <c r="AC6964">
        <v>17.148699999999899</v>
      </c>
      <c r="AD6964">
        <v>-1.1098112593239999</v>
      </c>
      <c r="AE6964">
        <v>1.6429999999999698E-2</v>
      </c>
      <c r="AF6964">
        <v>-1.4980577337407299</v>
      </c>
      <c r="AG6964">
        <v>-1.1098112593239999</v>
      </c>
      <c r="AH6964">
        <v>17.011350107845999</v>
      </c>
      <c r="AI6964">
        <v>93.718306753273296</v>
      </c>
      <c r="AJ6964">
        <v>95.032612708899507</v>
      </c>
      <c r="AK6964">
        <v>17.113208071447499</v>
      </c>
      <c r="AL6964">
        <v>91.017060931491301</v>
      </c>
      <c r="AM6964">
        <v>88.462064905196499</v>
      </c>
      <c r="AN6964">
        <v>1.00000001490604</v>
      </c>
    </row>
    <row r="6965" spans="1:40" x14ac:dyDescent="0.25">
      <c r="A6965" t="str">
        <f>"20190312160823945"</f>
        <v>20190312160823945</v>
      </c>
      <c r="B6965" t="str">
        <f>"1552378103932490"</f>
        <v>1552378103932490</v>
      </c>
      <c r="C6965" t="s">
        <v>40</v>
      </c>
      <c r="D6965">
        <v>6.2132540000000001</v>
      </c>
      <c r="E6965">
        <v>0.45729300000000001</v>
      </c>
      <c r="F6965" t="s">
        <v>115</v>
      </c>
      <c r="G6965">
        <v>-257.83929999999998</v>
      </c>
      <c r="H6965" s="1">
        <v>-3.0737220000000001E-6</v>
      </c>
      <c r="I6965">
        <v>-63.248170000000002</v>
      </c>
      <c r="J6965">
        <v>-275.43920000000003</v>
      </c>
      <c r="K6965">
        <v>1.109785</v>
      </c>
      <c r="L6965">
        <v>-63.269350000000003</v>
      </c>
      <c r="M6965">
        <v>0.99623839999999997</v>
      </c>
      <c r="N6965">
        <v>0</v>
      </c>
      <c r="O6965">
        <v>-8.6158789999999999E-2</v>
      </c>
      <c r="P6965">
        <v>0.99318890000000004</v>
      </c>
      <c r="Q6965">
        <v>-2.771879E-2</v>
      </c>
      <c r="R6965">
        <v>-0.1131711</v>
      </c>
      <c r="S6965">
        <v>3.0156860000000001</v>
      </c>
      <c r="T6965">
        <v>-0.18913759999999999</v>
      </c>
      <c r="U6965">
        <v>2.319336E-3</v>
      </c>
      <c r="V6965">
        <v>2.7197969999999998E-2</v>
      </c>
      <c r="W6965">
        <v>-1.8417409999999999E-2</v>
      </c>
      <c r="X6965">
        <v>0.99946040000000003</v>
      </c>
      <c r="Y6965">
        <v>-8.6589579999999999E-2</v>
      </c>
      <c r="Z6965">
        <v>8.1063339999999998E-3</v>
      </c>
      <c r="AA6965">
        <v>0.99621110000000002</v>
      </c>
      <c r="AB6965">
        <v>20</v>
      </c>
      <c r="AC6965">
        <v>17.599900000000002</v>
      </c>
      <c r="AD6965">
        <v>-1.1097880737220001</v>
      </c>
      <c r="AE6965">
        <v>2.1180000000008099E-2</v>
      </c>
      <c r="AF6965">
        <v>-1.53146303803702</v>
      </c>
      <c r="AG6965">
        <v>-1.1097880737220001</v>
      </c>
      <c r="AH6965">
        <v>17.4631871156157</v>
      </c>
      <c r="AI6965">
        <v>93.622399702309906</v>
      </c>
      <c r="AJ6965">
        <v>95.011826108969402</v>
      </c>
      <c r="AK6965">
        <v>17.5653042342128</v>
      </c>
      <c r="AL6965">
        <v>91.055299516603199</v>
      </c>
      <c r="AM6965">
        <v>88.4412144785246</v>
      </c>
      <c r="AN6965">
        <v>1.0000000108656899</v>
      </c>
    </row>
    <row r="6966" spans="1:40" x14ac:dyDescent="0.25">
      <c r="A6966" t="str">
        <f>"20190312160823956"</f>
        <v>20190312160823956</v>
      </c>
      <c r="B6966" t="str">
        <f>"1552378103952974"</f>
        <v>1552378103952974</v>
      </c>
      <c r="C6966" t="s">
        <v>40</v>
      </c>
      <c r="D6966">
        <v>6.1875339999999897</v>
      </c>
      <c r="E6966">
        <v>0.45720309999999997</v>
      </c>
      <c r="F6966" t="s">
        <v>115</v>
      </c>
      <c r="G6966">
        <v>-257.35230000000001</v>
      </c>
      <c r="H6966" s="1">
        <v>-2.9077729999999998E-6</v>
      </c>
      <c r="I6966">
        <v>-63.246470000000002</v>
      </c>
      <c r="J6966">
        <v>-275.33929999999998</v>
      </c>
      <c r="K6966">
        <v>1.109761</v>
      </c>
      <c r="L6966">
        <v>-63.277279999999998</v>
      </c>
      <c r="M6966">
        <v>0.99629290000000004</v>
      </c>
      <c r="N6966">
        <v>0</v>
      </c>
      <c r="O6966">
        <v>-8.5529649999999999E-2</v>
      </c>
      <c r="P6966">
        <v>0.99320750000000002</v>
      </c>
      <c r="Q6966">
        <v>-2.777787E-2</v>
      </c>
      <c r="R6966">
        <v>-0.1129933</v>
      </c>
      <c r="S6966">
        <v>3.0158390000000002</v>
      </c>
      <c r="T6966">
        <v>-0.18504709999999999</v>
      </c>
      <c r="U6966">
        <v>3.8146970000000001E-3</v>
      </c>
      <c r="V6966">
        <v>2.764966E-2</v>
      </c>
      <c r="W6966">
        <v>-1.8513959999999999E-2</v>
      </c>
      <c r="X6966">
        <v>0.99944619999999995</v>
      </c>
      <c r="Y6966">
        <v>-8.6470279999999997E-2</v>
      </c>
      <c r="Z6966">
        <v>7.8888580000000003E-3</v>
      </c>
      <c r="AA6966">
        <v>0.99622319999999998</v>
      </c>
      <c r="AB6966">
        <v>20</v>
      </c>
      <c r="AC6966">
        <v>17.986999999999899</v>
      </c>
      <c r="AD6966">
        <v>-1.1097639077729999</v>
      </c>
      <c r="AE6966">
        <v>3.08100000000095E-2</v>
      </c>
      <c r="AF6966">
        <v>-1.5632337207478899</v>
      </c>
      <c r="AG6966">
        <v>-1.1097639077729999</v>
      </c>
      <c r="AH6966">
        <v>17.8504974776924</v>
      </c>
      <c r="AI6966">
        <v>93.543966210758896</v>
      </c>
      <c r="AJ6966">
        <v>95.004833942328503</v>
      </c>
      <c r="AK6966">
        <v>17.953148353360799</v>
      </c>
      <c r="AL6966">
        <v>91.0608323911095</v>
      </c>
      <c r="AM6966">
        <v>88.415317553086695</v>
      </c>
      <c r="AN6966">
        <v>0.99999998855371797</v>
      </c>
    </row>
    <row r="6967" spans="1:40" x14ac:dyDescent="0.25">
      <c r="A6967" t="str">
        <f>"20190312160823968"</f>
        <v>20190312160823968</v>
      </c>
      <c r="B6967" t="str">
        <f>"1552378103962734"</f>
        <v>1552378103962734</v>
      </c>
      <c r="C6967" t="s">
        <v>40</v>
      </c>
      <c r="D6967">
        <v>6.2898269999999998</v>
      </c>
      <c r="E6967">
        <v>0.45717340000000001</v>
      </c>
      <c r="F6967" t="s">
        <v>115</v>
      </c>
      <c r="G6967">
        <v>-256.22109999999998</v>
      </c>
      <c r="H6967" s="1">
        <v>-2.4418730000000002E-6</v>
      </c>
      <c r="I6967">
        <v>-63.247880000000002</v>
      </c>
      <c r="J6967">
        <v>-275.2242</v>
      </c>
      <c r="K6967">
        <v>1.1097399999999999</v>
      </c>
      <c r="L6967">
        <v>-63.286349999999999</v>
      </c>
      <c r="M6967">
        <v>0.99635220000000002</v>
      </c>
      <c r="N6967">
        <v>0</v>
      </c>
      <c r="O6967">
        <v>-8.4840269999999995E-2</v>
      </c>
      <c r="P6967">
        <v>0.99329109999999998</v>
      </c>
      <c r="Q6967">
        <v>-2.7684460000000001E-2</v>
      </c>
      <c r="R6967">
        <v>-0.1122778</v>
      </c>
      <c r="S6967">
        <v>3.0161440000000002</v>
      </c>
      <c r="T6967">
        <v>-0.1750796</v>
      </c>
      <c r="U6967">
        <v>4.6386719999999999E-3</v>
      </c>
      <c r="V6967">
        <v>2.7620430000000001E-2</v>
      </c>
      <c r="W6967">
        <v>-1.8463500000000001E-2</v>
      </c>
      <c r="X6967">
        <v>0.99944789999999994</v>
      </c>
      <c r="Y6967">
        <v>-8.6088659999999997E-2</v>
      </c>
      <c r="Z6967">
        <v>7.4129749999999996E-3</v>
      </c>
      <c r="AA6967">
        <v>0.99625989999999998</v>
      </c>
      <c r="AB6967">
        <v>20</v>
      </c>
      <c r="AC6967">
        <v>19.0031</v>
      </c>
      <c r="AD6967">
        <v>-1.109742441873</v>
      </c>
      <c r="AE6967">
        <v>3.8469999999996597E-2</v>
      </c>
      <c r="AF6967">
        <v>-1.6450174626826799</v>
      </c>
      <c r="AG6967">
        <v>-1.109742441873</v>
      </c>
      <c r="AH6967">
        <v>18.866973608677402</v>
      </c>
      <c r="AI6967">
        <v>93.353526290329597</v>
      </c>
      <c r="AJ6967">
        <v>94.983035571864093</v>
      </c>
      <c r="AK6967">
        <v>18.971038555924</v>
      </c>
      <c r="AL6967">
        <v>91.057940795842697</v>
      </c>
      <c r="AM6967">
        <v>88.416994647793302</v>
      </c>
      <c r="AN6967">
        <v>0.99999994690002103</v>
      </c>
    </row>
    <row r="6968" spans="1:40" x14ac:dyDescent="0.25">
      <c r="A6968" t="str">
        <f>"20190312160823980"</f>
        <v>20190312160823980</v>
      </c>
      <c r="B6968" t="str">
        <f>"1552378103972494"</f>
        <v>1552378103972494</v>
      </c>
      <c r="C6968" t="s">
        <v>40</v>
      </c>
      <c r="D6968">
        <v>6.1371359999999999</v>
      </c>
      <c r="E6968">
        <v>0.45736830000000001</v>
      </c>
      <c r="F6968" t="s">
        <v>115</v>
      </c>
      <c r="G6968">
        <v>-255.6148</v>
      </c>
      <c r="H6968" s="1">
        <v>-2.1805059999999999E-6</v>
      </c>
      <c r="I6968">
        <v>-63.242100000000001</v>
      </c>
      <c r="J6968">
        <v>-275.12439999999998</v>
      </c>
      <c r="K6968">
        <v>1.1097300000000001</v>
      </c>
      <c r="L6968">
        <v>-63.29419</v>
      </c>
      <c r="M6968">
        <v>0.99640200000000001</v>
      </c>
      <c r="N6968">
        <v>0</v>
      </c>
      <c r="O6968">
        <v>-8.4258879999999994E-2</v>
      </c>
      <c r="P6968">
        <v>0.99335560000000001</v>
      </c>
      <c r="Q6968">
        <v>-2.7709879999999999E-2</v>
      </c>
      <c r="R6968">
        <v>-0.11170140000000001</v>
      </c>
      <c r="S6968">
        <v>3.0162659999999999</v>
      </c>
      <c r="T6968">
        <v>-0.17069719999999999</v>
      </c>
      <c r="U6968">
        <v>6.8054200000000004E-3</v>
      </c>
      <c r="V6968">
        <v>2.7622959999999998E-2</v>
      </c>
      <c r="W6968">
        <v>-1.8525610000000001E-2</v>
      </c>
      <c r="X6968">
        <v>0.99944670000000002</v>
      </c>
      <c r="Y6968">
        <v>-8.6237820000000007E-2</v>
      </c>
      <c r="Z6968">
        <v>7.1988859999999998E-3</v>
      </c>
      <c r="AA6968">
        <v>0.99624849999999998</v>
      </c>
      <c r="AB6968">
        <v>20</v>
      </c>
      <c r="AC6968">
        <v>19.509599999999899</v>
      </c>
      <c r="AD6968">
        <v>-1.1097321805060001</v>
      </c>
      <c r="AE6968">
        <v>5.2089999999999699E-2</v>
      </c>
      <c r="AF6968">
        <v>-1.6903613213214701</v>
      </c>
      <c r="AG6968">
        <v>-1.1097321805060001</v>
      </c>
      <c r="AH6968">
        <v>19.373145723444502</v>
      </c>
      <c r="AI6968">
        <v>93.266051449558702</v>
      </c>
      <c r="AJ6968">
        <v>94.986588724067801</v>
      </c>
      <c r="AK6968">
        <v>19.478388078352001</v>
      </c>
      <c r="AL6968">
        <v>91.061500025239397</v>
      </c>
      <c r="AM6968">
        <v>88.416847820226707</v>
      </c>
      <c r="AN6968">
        <v>0.99999996614296105</v>
      </c>
    </row>
    <row r="6969" spans="1:40" x14ac:dyDescent="0.25">
      <c r="A6969" t="str">
        <f>"20190312160824004"</f>
        <v>20190312160824004</v>
      </c>
      <c r="B6969" t="str">
        <f>"1552378103992992"</f>
        <v>1552378103992992</v>
      </c>
      <c r="C6969" t="s">
        <v>40</v>
      </c>
      <c r="D6969">
        <v>6.2315329999999998</v>
      </c>
      <c r="E6969">
        <v>0.45758729999999997</v>
      </c>
      <c r="F6969" t="s">
        <v>115</v>
      </c>
      <c r="G6969">
        <v>-255.89060000000001</v>
      </c>
      <c r="H6969" s="1">
        <v>-2.3003339999999999E-6</v>
      </c>
      <c r="I6969">
        <v>-63.248840000000001</v>
      </c>
      <c r="J6969">
        <v>-274.9101</v>
      </c>
      <c r="K6969">
        <v>1.109701</v>
      </c>
      <c r="L6969">
        <v>-63.3108199999999</v>
      </c>
      <c r="M6969">
        <v>0.99650229999999995</v>
      </c>
      <c r="N6969">
        <v>0</v>
      </c>
      <c r="O6969">
        <v>-8.306972E-2</v>
      </c>
      <c r="P6969">
        <v>0.99357890000000004</v>
      </c>
      <c r="Q6969">
        <v>-2.7399090000000001E-2</v>
      </c>
      <c r="R6969">
        <v>-0.1097742</v>
      </c>
      <c r="S6969">
        <v>3.0160520000000002</v>
      </c>
      <c r="T6969">
        <v>-0.1740177</v>
      </c>
      <c r="U6969">
        <v>7.1105959999999899E-3</v>
      </c>
      <c r="V6969">
        <v>2.6875280000000001E-2</v>
      </c>
      <c r="W6969">
        <v>-1.829275E-2</v>
      </c>
      <c r="X6969">
        <v>0.99947140000000001</v>
      </c>
      <c r="Y6969">
        <v>-8.5142830000000003E-2</v>
      </c>
      <c r="Z6969">
        <v>7.2392709999999898E-3</v>
      </c>
      <c r="AA6969">
        <v>0.99634250000000002</v>
      </c>
      <c r="AB6969">
        <v>20</v>
      </c>
      <c r="AC6969">
        <v>19.019499999999901</v>
      </c>
      <c r="AD6969">
        <v>-1.109703300334</v>
      </c>
      <c r="AE6969">
        <v>6.1979999999991202E-2</v>
      </c>
      <c r="AF6969">
        <v>-1.6362056303124199</v>
      </c>
      <c r="AG6969">
        <v>-1.109703300334</v>
      </c>
      <c r="AH6969">
        <v>18.884323904656402</v>
      </c>
      <c r="AI6969">
        <v>93.350491956882607</v>
      </c>
      <c r="AJ6969">
        <v>94.951945174365406</v>
      </c>
      <c r="AK6969">
        <v>18.987530108347901</v>
      </c>
      <c r="AL6969">
        <v>91.048155840672607</v>
      </c>
      <c r="AM6969">
        <v>88.4597166525717</v>
      </c>
      <c r="AN6969">
        <v>0.99999999239780002</v>
      </c>
    </row>
    <row r="6970" spans="1:40" x14ac:dyDescent="0.25">
      <c r="A6970" t="str">
        <f>"20190312160824025"</f>
        <v>20190312160824025</v>
      </c>
      <c r="B6970" t="str">
        <f>"1552378104012510"</f>
        <v>1552378104012510</v>
      </c>
      <c r="C6970" t="s">
        <v>40</v>
      </c>
      <c r="D6970">
        <v>6.3927120000000004</v>
      </c>
      <c r="E6970">
        <v>0.45744859999999998</v>
      </c>
      <c r="F6970" t="s">
        <v>115</v>
      </c>
      <c r="G6970">
        <v>-255.34</v>
      </c>
      <c r="H6970" s="1">
        <v>-2.0618759999999999E-6</v>
      </c>
      <c r="I6970">
        <v>-63.23874</v>
      </c>
      <c r="J6970">
        <v>-274.72660000000002</v>
      </c>
      <c r="K6970">
        <v>1.1096680000000001</v>
      </c>
      <c r="L6970">
        <v>-63.324979999999996</v>
      </c>
      <c r="M6970">
        <v>0.99658259999999999</v>
      </c>
      <c r="N6970">
        <v>0</v>
      </c>
      <c r="O6970">
        <v>-8.2109059999999998E-2</v>
      </c>
      <c r="P6970">
        <v>0.99381200000000003</v>
      </c>
      <c r="Q6970">
        <v>-2.734251E-2</v>
      </c>
      <c r="R6970">
        <v>-0.107659199999999</v>
      </c>
      <c r="S6970">
        <v>3.0158999999999998</v>
      </c>
      <c r="T6970">
        <v>-0.17101369999999999</v>
      </c>
      <c r="U6970">
        <v>1.1108399999999999E-2</v>
      </c>
      <c r="V6970">
        <v>2.5710819999999999E-2</v>
      </c>
      <c r="W6970">
        <v>-1.83042E-2</v>
      </c>
      <c r="X6970">
        <v>0.9995018</v>
      </c>
      <c r="Y6970">
        <v>-8.551359E-2</v>
      </c>
      <c r="Z6970">
        <v>7.0711209999999997E-3</v>
      </c>
      <c r="AA6970">
        <v>0.99631190000000003</v>
      </c>
      <c r="AB6970">
        <v>20</v>
      </c>
      <c r="AC6970">
        <v>19.386600000000001</v>
      </c>
      <c r="AD6970">
        <v>-1.109670061876</v>
      </c>
      <c r="AE6970">
        <v>8.6240000000003605E-2</v>
      </c>
      <c r="AF6970">
        <v>-1.6723499057123601</v>
      </c>
      <c r="AG6970">
        <v>-1.109670061876</v>
      </c>
      <c r="AH6970">
        <v>19.2509806897339</v>
      </c>
      <c r="AI6970">
        <v>93.286656873607498</v>
      </c>
      <c r="AJ6970">
        <v>94.964871411223996</v>
      </c>
      <c r="AK6970">
        <v>19.355319149264101</v>
      </c>
      <c r="AL6970">
        <v>91.048812011647001</v>
      </c>
      <c r="AM6970">
        <v>88.526469208354101</v>
      </c>
      <c r="AN6970">
        <v>0.99999996910297495</v>
      </c>
    </row>
    <row r="6971" spans="1:40" x14ac:dyDescent="0.25">
      <c r="A6971" t="str">
        <f>"20190312160824035"</f>
        <v>20190312160824035</v>
      </c>
      <c r="B6971" t="str">
        <f>"1552378104032759"</f>
        <v>1552378104032759</v>
      </c>
      <c r="C6971" t="s">
        <v>40</v>
      </c>
      <c r="D6971">
        <v>6.3395359999999998</v>
      </c>
      <c r="E6971">
        <v>0.45736840000000001</v>
      </c>
      <c r="F6971" t="s">
        <v>115</v>
      </c>
      <c r="G6971">
        <v>-254.20580000000001</v>
      </c>
      <c r="H6971" s="1">
        <v>-1.566938E-6</v>
      </c>
      <c r="I6971">
        <v>-63.201030000000003</v>
      </c>
      <c r="J6971">
        <v>-274.62209999999999</v>
      </c>
      <c r="K6971">
        <v>1.1096520000000001</v>
      </c>
      <c r="L6971">
        <v>-63.333010000000002</v>
      </c>
      <c r="M6971">
        <v>0.99662640000000002</v>
      </c>
      <c r="N6971">
        <v>0</v>
      </c>
      <c r="O6971">
        <v>-8.1580319999999998E-2</v>
      </c>
      <c r="P6971">
        <v>0.99394830000000001</v>
      </c>
      <c r="Q6971">
        <v>-2.750967E-2</v>
      </c>
      <c r="R6971">
        <v>-0.1063492</v>
      </c>
      <c r="S6971">
        <v>3.0161739999999999</v>
      </c>
      <c r="T6971">
        <v>-0.1631013</v>
      </c>
      <c r="U6971">
        <v>1.8218990000000001E-2</v>
      </c>
      <c r="V6971">
        <v>2.4924160000000001E-2</v>
      </c>
      <c r="W6971">
        <v>-1.8510840000000001E-2</v>
      </c>
      <c r="X6971">
        <v>0.99951800000000002</v>
      </c>
      <c r="Y6971">
        <v>-8.7355669999999996E-2</v>
      </c>
      <c r="Z6971">
        <v>6.7651660000000004E-3</v>
      </c>
      <c r="AA6971">
        <v>0.99615419999999999</v>
      </c>
      <c r="AB6971">
        <v>20</v>
      </c>
      <c r="AC6971">
        <v>20.4162999999999</v>
      </c>
      <c r="AD6971">
        <v>-1.1096535669380001</v>
      </c>
      <c r="AE6971">
        <v>0.13197999999999099</v>
      </c>
      <c r="AF6971">
        <v>-1.7918822265448999</v>
      </c>
      <c r="AG6971">
        <v>-1.1096535669380001</v>
      </c>
      <c r="AH6971">
        <v>20.277576025194101</v>
      </c>
      <c r="AI6971">
        <v>93.120148899192202</v>
      </c>
      <c r="AJ6971">
        <v>95.049977192109594</v>
      </c>
      <c r="AK6971">
        <v>20.386815896798399</v>
      </c>
      <c r="AL6971">
        <v>91.060653533901302</v>
      </c>
      <c r="AM6971">
        <v>88.5715581979576</v>
      </c>
      <c r="AN6971">
        <v>1.0000000486366001</v>
      </c>
    </row>
    <row r="6972" spans="1:40" x14ac:dyDescent="0.25">
      <c r="A6972" t="str">
        <f>"20190312160824047"</f>
        <v>20190312160824047</v>
      </c>
      <c r="B6972" t="str">
        <f>"1552378104042512"</f>
        <v>1552378104042512</v>
      </c>
      <c r="C6972" t="s">
        <v>40</v>
      </c>
      <c r="D6972">
        <v>6.4231819999999997</v>
      </c>
      <c r="E6972">
        <v>0.4573931</v>
      </c>
      <c r="F6972" t="s">
        <v>115</v>
      </c>
      <c r="G6972">
        <v>-253.2885</v>
      </c>
      <c r="H6972" s="1">
        <v>-1.167431E-6</v>
      </c>
      <c r="I6972">
        <v>-63.174149999999997</v>
      </c>
      <c r="J6972">
        <v>-274.51859999999999</v>
      </c>
      <c r="K6972">
        <v>1.1096410000000001</v>
      </c>
      <c r="L6972">
        <v>-63.340879999999999</v>
      </c>
      <c r="M6972">
        <v>0.99666790000000005</v>
      </c>
      <c r="N6972">
        <v>0</v>
      </c>
      <c r="O6972">
        <v>-8.1076239999999994E-2</v>
      </c>
      <c r="P6972">
        <v>0.99404570000000003</v>
      </c>
      <c r="Q6972">
        <v>-2.7514440000000001E-2</v>
      </c>
      <c r="R6972">
        <v>-0.105433399999999</v>
      </c>
      <c r="S6972">
        <v>3.0162960000000001</v>
      </c>
      <c r="T6972">
        <v>-0.15689049999999999</v>
      </c>
      <c r="U6972">
        <v>2.2460939999999999E-2</v>
      </c>
      <c r="V6972">
        <v>2.4508740000000001E-2</v>
      </c>
      <c r="W6972">
        <v>-1.8554060000000001E-2</v>
      </c>
      <c r="X6972">
        <v>0.99952739999999995</v>
      </c>
      <c r="Y6972">
        <v>-8.8270280000000007E-2</v>
      </c>
      <c r="Z6972">
        <v>6.5053019999999897E-3</v>
      </c>
      <c r="AA6972">
        <v>0.9960753</v>
      </c>
      <c r="AB6972">
        <v>20</v>
      </c>
      <c r="AC6972">
        <v>21.2301</v>
      </c>
      <c r="AD6972">
        <v>-1.109642167431</v>
      </c>
      <c r="AE6972">
        <v>0.16673000000000801</v>
      </c>
      <c r="AF6972">
        <v>-1.88236429989431</v>
      </c>
      <c r="AG6972">
        <v>-1.109642167431</v>
      </c>
      <c r="AH6972">
        <v>21.089075185002901</v>
      </c>
      <c r="AI6972">
        <v>93.000044905026797</v>
      </c>
      <c r="AJ6972">
        <v>95.1005781087255</v>
      </c>
      <c r="AK6972">
        <v>21.201973805661599</v>
      </c>
      <c r="AL6972">
        <v>91.063130358456604</v>
      </c>
      <c r="AM6972">
        <v>88.595370140199506</v>
      </c>
      <c r="AN6972">
        <v>0.99999997741481494</v>
      </c>
    </row>
    <row r="6973" spans="1:40" x14ac:dyDescent="0.25">
      <c r="A6973" t="str">
        <f>"20190312160824058"</f>
        <v>20190312160824058</v>
      </c>
      <c r="B6973" t="str">
        <f>"1552378104052271"</f>
        <v>1552378104052271</v>
      </c>
      <c r="C6973" t="s">
        <v>40</v>
      </c>
      <c r="D6973">
        <v>6.4098850000000001</v>
      </c>
      <c r="E6973">
        <v>0.45760859999999898</v>
      </c>
      <c r="F6973" t="s">
        <v>115</v>
      </c>
      <c r="G6973">
        <v>-252.7175</v>
      </c>
      <c r="H6973" s="1">
        <v>-9.1952700000000005E-7</v>
      </c>
      <c r="I6973">
        <v>-63.160899999999998</v>
      </c>
      <c r="J6973">
        <v>-274.42520000000002</v>
      </c>
      <c r="K6973">
        <v>1.1096299999999999</v>
      </c>
      <c r="L6973">
        <v>-63.34796</v>
      </c>
      <c r="M6973">
        <v>0.99670479999999995</v>
      </c>
      <c r="N6973">
        <v>0</v>
      </c>
      <c r="O6973">
        <v>-8.0626169999999997E-2</v>
      </c>
      <c r="P6973">
        <v>0.9941295</v>
      </c>
      <c r="Q6973">
        <v>-2.76419E-2</v>
      </c>
      <c r="R6973">
        <v>-0.1046073</v>
      </c>
      <c r="S6973">
        <v>3.016327</v>
      </c>
      <c r="T6973">
        <v>-0.1535262</v>
      </c>
      <c r="U6973">
        <v>2.4902339999999999E-2</v>
      </c>
      <c r="V6973">
        <v>2.412976E-2</v>
      </c>
      <c r="W6973">
        <v>-1.8716050000000001E-2</v>
      </c>
      <c r="X6973">
        <v>0.99953360000000002</v>
      </c>
      <c r="Y6973">
        <v>-8.8636339999999994E-2</v>
      </c>
      <c r="Z6973">
        <v>6.3524019999999896E-3</v>
      </c>
      <c r="AA6973">
        <v>0.99604380000000003</v>
      </c>
      <c r="AB6973">
        <v>20</v>
      </c>
      <c r="AC6973">
        <v>21.707699999999999</v>
      </c>
      <c r="AD6973">
        <v>-1.109630919527</v>
      </c>
      <c r="AE6973">
        <v>0.187060000000002</v>
      </c>
      <c r="AF6973">
        <v>-1.931681781962</v>
      </c>
      <c r="AG6973">
        <v>-1.109630919527</v>
      </c>
      <c r="AH6973">
        <v>21.565595104997801</v>
      </c>
      <c r="AI6973">
        <v>92.933760708800705</v>
      </c>
      <c r="AJ6973">
        <v>95.118459941903794</v>
      </c>
      <c r="AK6973">
        <v>21.680349801537801</v>
      </c>
      <c r="AL6973">
        <v>91.072413314744296</v>
      </c>
      <c r="AM6973">
        <v>88.617090083279706</v>
      </c>
      <c r="AN6973">
        <v>0.99999997668710905</v>
      </c>
    </row>
    <row r="6974" spans="1:40" x14ac:dyDescent="0.25">
      <c r="A6974" t="str">
        <f>"20190312160824068"</f>
        <v>20190312160824068</v>
      </c>
      <c r="B6974" t="str">
        <f>"1552378104062034"</f>
        <v>1552378104062034</v>
      </c>
      <c r="C6974" t="s">
        <v>40</v>
      </c>
      <c r="D6974">
        <v>6.236065</v>
      </c>
      <c r="E6974">
        <v>0.45758599999999999</v>
      </c>
      <c r="F6974" t="s">
        <v>115</v>
      </c>
      <c r="G6974">
        <v>-253.21770000000001</v>
      </c>
      <c r="H6974" s="1">
        <v>-1.135247E-6</v>
      </c>
      <c r="I6974">
        <v>-63.165990000000001</v>
      </c>
      <c r="J6974">
        <v>-274.3193</v>
      </c>
      <c r="K6974">
        <v>1.1096189999999999</v>
      </c>
      <c r="L6974">
        <v>-63.355989999999998</v>
      </c>
      <c r="M6974">
        <v>0.9967452</v>
      </c>
      <c r="N6974">
        <v>0</v>
      </c>
      <c r="O6974">
        <v>-8.0128630000000006E-2</v>
      </c>
      <c r="P6974">
        <v>0.99419840000000004</v>
      </c>
      <c r="Q6974">
        <v>-2.7792089999999998E-2</v>
      </c>
      <c r="R6974">
        <v>-0.10391110000000001</v>
      </c>
      <c r="S6974">
        <v>3.016022</v>
      </c>
      <c r="T6974">
        <v>-0.1578059</v>
      </c>
      <c r="U6974">
        <v>2.5878910000000001E-2</v>
      </c>
      <c r="V6974">
        <v>2.392913E-2</v>
      </c>
      <c r="W6974">
        <v>-1.8904790000000001E-2</v>
      </c>
      <c r="X6974">
        <v>0.9995349</v>
      </c>
      <c r="Y6974">
        <v>-8.845095E-2</v>
      </c>
      <c r="Z6974">
        <v>6.4991049999999998E-3</v>
      </c>
      <c r="AA6974">
        <v>0.99605940000000004</v>
      </c>
      <c r="AB6974">
        <v>20</v>
      </c>
      <c r="AC6974">
        <v>21.101599999999902</v>
      </c>
      <c r="AD6974">
        <v>-1.1096201352470001</v>
      </c>
      <c r="AE6974">
        <v>0.190000000000004</v>
      </c>
      <c r="AF6974">
        <v>-1.87511306542209</v>
      </c>
      <c r="AG6974">
        <v>-1.1096201352470001</v>
      </c>
      <c r="AH6974">
        <v>20.960563812174598</v>
      </c>
      <c r="AI6974">
        <v>93.0182909951575</v>
      </c>
      <c r="AJ6974">
        <v>95.112020506716206</v>
      </c>
      <c r="AK6974">
        <v>21.073503296246301</v>
      </c>
      <c r="AL6974">
        <v>91.083229203082297</v>
      </c>
      <c r="AM6974">
        <v>88.628585839382694</v>
      </c>
      <c r="AN6974">
        <v>1.00000000533275</v>
      </c>
    </row>
    <row r="6975" spans="1:40" x14ac:dyDescent="0.25">
      <c r="A6975" t="str">
        <f>"20190312160824080"</f>
        <v>20190312160824080</v>
      </c>
      <c r="B6975" t="str">
        <f>"1552378104072767"</f>
        <v>1552378104072767</v>
      </c>
      <c r="C6975" t="s">
        <v>40</v>
      </c>
      <c r="D6975">
        <v>6.1933179999999997</v>
      </c>
      <c r="E6975">
        <v>0.45779750000000002</v>
      </c>
      <c r="F6975" t="s">
        <v>115</v>
      </c>
      <c r="G6975">
        <v>-252.79179999999999</v>
      </c>
      <c r="H6975" s="1">
        <v>-9.501631E-7</v>
      </c>
      <c r="I6975">
        <v>-63.155380000000001</v>
      </c>
      <c r="J6975">
        <v>-274.21879999999999</v>
      </c>
      <c r="K6975">
        <v>1.109607</v>
      </c>
      <c r="L6975">
        <v>-63.363529999999997</v>
      </c>
      <c r="M6975">
        <v>0.99678270000000002</v>
      </c>
      <c r="N6975">
        <v>0</v>
      </c>
      <c r="O6975">
        <v>-7.9662769999999994E-2</v>
      </c>
      <c r="P6975">
        <v>0.99426440000000005</v>
      </c>
      <c r="Q6975">
        <v>-2.771639E-2</v>
      </c>
      <c r="R6975">
        <v>-0.1032956</v>
      </c>
      <c r="S6975">
        <v>3.0161129999999998</v>
      </c>
      <c r="T6975">
        <v>-0.15546309999999999</v>
      </c>
      <c r="U6975">
        <v>2.810669E-2</v>
      </c>
      <c r="V6975">
        <v>2.3777159999999999E-2</v>
      </c>
      <c r="W6975">
        <v>-1.8866020000000001E-2</v>
      </c>
      <c r="X6975">
        <v>0.99953930000000002</v>
      </c>
      <c r="Y6975">
        <v>-8.8727840000000002E-2</v>
      </c>
      <c r="Z6975">
        <v>6.3857489999999996E-3</v>
      </c>
      <c r="AA6975">
        <v>0.99603549999999996</v>
      </c>
      <c r="AB6975">
        <v>20</v>
      </c>
      <c r="AC6975">
        <v>21.4269999999999</v>
      </c>
      <c r="AD6975">
        <v>-1.1096079501631</v>
      </c>
      <c r="AE6975">
        <v>0.208149999999996</v>
      </c>
      <c r="AF6975">
        <v>-1.9093693010061099</v>
      </c>
      <c r="AG6975">
        <v>-1.1096079501631</v>
      </c>
      <c r="AH6975">
        <v>21.285238405252802</v>
      </c>
      <c r="AI6975">
        <v>92.972237525084196</v>
      </c>
      <c r="AJ6975">
        <v>95.125936225601706</v>
      </c>
      <c r="AK6975">
        <v>21.399492865466101</v>
      </c>
      <c r="AL6975">
        <v>91.081007405358207</v>
      </c>
      <c r="AM6975">
        <v>88.637298168740799</v>
      </c>
      <c r="AN6975">
        <v>1.00000004614639</v>
      </c>
    </row>
    <row r="6976" spans="1:40" x14ac:dyDescent="0.25">
      <c r="A6976" t="str">
        <f>"20190312160824091"</f>
        <v>20190312160824091</v>
      </c>
      <c r="B6976" t="str">
        <f>"1552378104082526"</f>
        <v>1552378104082526</v>
      </c>
      <c r="C6976" t="s">
        <v>40</v>
      </c>
      <c r="D6976">
        <v>6.198404</v>
      </c>
      <c r="E6976">
        <v>0.45798670000000002</v>
      </c>
      <c r="F6976" t="s">
        <v>115</v>
      </c>
      <c r="G6976">
        <v>-253.02549999999999</v>
      </c>
      <c r="H6976" s="1">
        <v>-1.0523690000000001E-6</v>
      </c>
      <c r="I6976">
        <v>-63.164079999999998</v>
      </c>
      <c r="J6976">
        <v>-274.11489999999998</v>
      </c>
      <c r="K6976">
        <v>1.1096010000000001</v>
      </c>
      <c r="L6976">
        <v>-63.371310000000001</v>
      </c>
      <c r="M6976">
        <v>0.99682099999999996</v>
      </c>
      <c r="N6976">
        <v>0</v>
      </c>
      <c r="O6976">
        <v>-7.9187480000000005E-2</v>
      </c>
      <c r="P6976">
        <v>0.99433510000000003</v>
      </c>
      <c r="Q6976">
        <v>-2.7530599999999999E-2</v>
      </c>
      <c r="R6976">
        <v>-0.10266409999999999</v>
      </c>
      <c r="S6976">
        <v>3.0158079999999998</v>
      </c>
      <c r="T6976">
        <v>-0.1578975</v>
      </c>
      <c r="U6976">
        <v>2.838135E-2</v>
      </c>
      <c r="V6976">
        <v>2.3618440000000001E-2</v>
      </c>
      <c r="W6976">
        <v>-1.8718789999999999E-2</v>
      </c>
      <c r="X6976">
        <v>0.99954580000000004</v>
      </c>
      <c r="Y6976">
        <v>-8.8338630000000001E-2</v>
      </c>
      <c r="Z6976">
        <v>6.4512669999999897E-3</v>
      </c>
      <c r="AA6976">
        <v>0.9960696</v>
      </c>
      <c r="AB6976">
        <v>20</v>
      </c>
      <c r="AC6976">
        <v>21.089399999999898</v>
      </c>
      <c r="AD6976">
        <v>-1.109602052369</v>
      </c>
      <c r="AE6976">
        <v>0.207229999999995</v>
      </c>
      <c r="AF6976">
        <v>-1.8714798987646799</v>
      </c>
      <c r="AG6976">
        <v>-1.109602052369</v>
      </c>
      <c r="AH6976">
        <v>20.948772101642799</v>
      </c>
      <c r="AI6976">
        <v>93.019970575379006</v>
      </c>
      <c r="AJ6976">
        <v>95.1050246819199</v>
      </c>
      <c r="AK6976">
        <v>21.061450716716301</v>
      </c>
      <c r="AL6976">
        <v>91.072570291537005</v>
      </c>
      <c r="AM6976">
        <v>88.646400034311995</v>
      </c>
      <c r="AN6976">
        <v>1.00000001505236</v>
      </c>
    </row>
    <row r="6977" spans="1:40" x14ac:dyDescent="0.25">
      <c r="A6977" t="str">
        <f>"20190312160824102"</f>
        <v>20190312160824102</v>
      </c>
      <c r="B6977" t="str">
        <f>"1552378104092287"</f>
        <v>1552378104092287</v>
      </c>
      <c r="C6977" t="s">
        <v>40</v>
      </c>
      <c r="D6977">
        <v>6.1847620000000001</v>
      </c>
      <c r="E6977">
        <v>0.4581865</v>
      </c>
      <c r="F6977" t="s">
        <v>115</v>
      </c>
      <c r="G6977">
        <v>-253.17339999999999</v>
      </c>
      <c r="H6977" s="1">
        <v>-1.11728E-6</v>
      </c>
      <c r="I6977">
        <v>-63.1706199999999</v>
      </c>
      <c r="J6977">
        <v>-274.0204</v>
      </c>
      <c r="K6977">
        <v>1.109599</v>
      </c>
      <c r="L6977">
        <v>-63.378329999999998</v>
      </c>
      <c r="M6977">
        <v>0.99685520000000005</v>
      </c>
      <c r="N6977">
        <v>0</v>
      </c>
      <c r="O6977">
        <v>-7.8760940000000002E-2</v>
      </c>
      <c r="P6977">
        <v>0.99438040000000005</v>
      </c>
      <c r="Q6977">
        <v>-2.7301559999999999E-2</v>
      </c>
      <c r="R6977">
        <v>-0.1022869</v>
      </c>
      <c r="S6977">
        <v>3.0156559999999999</v>
      </c>
      <c r="T6977">
        <v>-0.15978729999999999</v>
      </c>
      <c r="U6977">
        <v>2.8900149999999999E-2</v>
      </c>
      <c r="V6977">
        <v>2.3666300000000001E-2</v>
      </c>
      <c r="W6977">
        <v>-1.8525929999999999E-2</v>
      </c>
      <c r="X6977">
        <v>0.99954829999999995</v>
      </c>
      <c r="Y6977">
        <v>-8.8079599999999994E-2</v>
      </c>
      <c r="Z6977">
        <v>6.4993079999999996E-3</v>
      </c>
      <c r="AA6977">
        <v>0.99609230000000004</v>
      </c>
      <c r="AB6977">
        <v>20</v>
      </c>
      <c r="AC6977">
        <v>20.847000000000001</v>
      </c>
      <c r="AD6977">
        <v>-1.1096001172799901</v>
      </c>
      <c r="AE6977">
        <v>0.207710000000012</v>
      </c>
      <c r="AF6977">
        <v>-1.8438337140447301</v>
      </c>
      <c r="AG6977">
        <v>-1.1096001172799901</v>
      </c>
      <c r="AH6977">
        <v>20.707216821147</v>
      </c>
      <c r="AI6977">
        <v>93.055206726929796</v>
      </c>
      <c r="AJ6977">
        <v>95.088371200215207</v>
      </c>
      <c r="AK6977">
        <v>20.818735880531001</v>
      </c>
      <c r="AL6977">
        <v>91.061518269832504</v>
      </c>
      <c r="AM6977">
        <v>88.643661537365901</v>
      </c>
      <c r="AN6977">
        <v>1.0000000539354701</v>
      </c>
    </row>
    <row r="6978" spans="1:40" x14ac:dyDescent="0.25">
      <c r="A6978" t="str">
        <f>"20190312160824112"</f>
        <v>20190312160824112</v>
      </c>
      <c r="B6978" t="str">
        <f>"1552378104103023"</f>
        <v>1552378104103023</v>
      </c>
      <c r="C6978" t="s">
        <v>40</v>
      </c>
      <c r="D6978">
        <v>6.3329190000000004</v>
      </c>
      <c r="E6978">
        <v>0.45839869999999999</v>
      </c>
      <c r="F6978" t="s">
        <v>115</v>
      </c>
      <c r="G6978">
        <v>-253.3442</v>
      </c>
      <c r="H6978" s="1">
        <v>-1.1933169999999999E-6</v>
      </c>
      <c r="I6978">
        <v>-63.183100000000003</v>
      </c>
      <c r="J6978">
        <v>-273.9135</v>
      </c>
      <c r="K6978">
        <v>1.1095999999999999</v>
      </c>
      <c r="L6978">
        <v>-63.38626</v>
      </c>
      <c r="M6978">
        <v>0.99689329999999998</v>
      </c>
      <c r="N6978">
        <v>0</v>
      </c>
      <c r="O6978">
        <v>-7.8279989999999994E-2</v>
      </c>
      <c r="P6978">
        <v>0.99447759999999996</v>
      </c>
      <c r="Q6978">
        <v>-2.7073380000000001E-2</v>
      </c>
      <c r="R6978">
        <v>-0.1013969</v>
      </c>
      <c r="S6978">
        <v>3.0154719999999999</v>
      </c>
      <c r="T6978">
        <v>-0.16182729999999901</v>
      </c>
      <c r="U6978">
        <v>2.8472899999999999E-2</v>
      </c>
      <c r="V6978">
        <v>2.3253590000000001E-2</v>
      </c>
      <c r="W6978">
        <v>-1.8339609999999999E-2</v>
      </c>
      <c r="X6978">
        <v>0.99956140000000004</v>
      </c>
      <c r="Y6978">
        <v>-8.7454019999999993E-2</v>
      </c>
      <c r="Z6978">
        <v>6.540054E-3</v>
      </c>
      <c r="AA6978">
        <v>0.99614709999999995</v>
      </c>
      <c r="AB6978">
        <v>21</v>
      </c>
      <c r="AC6978">
        <v>20.569299999999998</v>
      </c>
      <c r="AD6978">
        <v>-1.109601193317</v>
      </c>
      <c r="AE6978">
        <v>0.20315999999999601</v>
      </c>
      <c r="AF6978">
        <v>-1.8075029771767701</v>
      </c>
      <c r="AG6978">
        <v>-1.109601193317</v>
      </c>
      <c r="AH6978">
        <v>20.430824403415102</v>
      </c>
      <c r="AI6978">
        <v>93.096617417448897</v>
      </c>
      <c r="AJ6978">
        <v>95.055761011722794</v>
      </c>
      <c r="AK6978">
        <v>20.540615074137701</v>
      </c>
      <c r="AL6978">
        <v>91.050841130245601</v>
      </c>
      <c r="AM6978">
        <v>88.667323199019407</v>
      </c>
      <c r="AN6978">
        <v>1.0000000315563899</v>
      </c>
    </row>
    <row r="6979" spans="1:40" x14ac:dyDescent="0.25">
      <c r="A6979" t="str">
        <f>"20190312160824123"</f>
        <v>20190312160824123</v>
      </c>
      <c r="B6979" t="str">
        <f>"1552378104112783"</f>
        <v>1552378104112783</v>
      </c>
      <c r="C6979" t="s">
        <v>40</v>
      </c>
      <c r="D6979">
        <v>6.315448</v>
      </c>
      <c r="E6979">
        <v>0.45858959999999999</v>
      </c>
      <c r="F6979" t="s">
        <v>115</v>
      </c>
      <c r="G6979">
        <v>-253.1121</v>
      </c>
      <c r="H6979" s="1">
        <v>-1.09377E-6</v>
      </c>
      <c r="I6979">
        <v>-63.183309999999999</v>
      </c>
      <c r="J6979">
        <v>-273.8184</v>
      </c>
      <c r="K6979">
        <v>1.1096010000000001</v>
      </c>
      <c r="L6979">
        <v>-63.393250000000002</v>
      </c>
      <c r="M6979">
        <v>0.99692700000000001</v>
      </c>
      <c r="N6979">
        <v>0</v>
      </c>
      <c r="O6979">
        <v>-7.7855679999999997E-2</v>
      </c>
      <c r="P6979">
        <v>0.99452779999999996</v>
      </c>
      <c r="Q6979">
        <v>-2.7012069999999999E-2</v>
      </c>
      <c r="R6979">
        <v>-0.1009232</v>
      </c>
      <c r="S6979">
        <v>3.0152890000000001</v>
      </c>
      <c r="T6979">
        <v>-0.16084309999999999</v>
      </c>
      <c r="U6979">
        <v>2.9418949999999999E-2</v>
      </c>
      <c r="V6979">
        <v>2.320291E-2</v>
      </c>
      <c r="W6979">
        <v>-1.8314830000000001E-2</v>
      </c>
      <c r="X6979">
        <v>0.99956299999999998</v>
      </c>
      <c r="Y6979">
        <v>-8.7346690000000005E-2</v>
      </c>
      <c r="Z6979">
        <v>6.475298E-3</v>
      </c>
      <c r="AA6979">
        <v>0.99615690000000001</v>
      </c>
      <c r="AB6979">
        <v>21</v>
      </c>
      <c r="AC6979">
        <v>20.706299999999999</v>
      </c>
      <c r="AD6979">
        <v>-1.10960209377</v>
      </c>
      <c r="AE6979">
        <v>0.20994000000000301</v>
      </c>
      <c r="AF6979">
        <v>-1.8162511948303699</v>
      </c>
      <c r="AG6979">
        <v>-1.10960209377</v>
      </c>
      <c r="AH6979">
        <v>20.568040688219899</v>
      </c>
      <c r="AI6979">
        <v>93.076045536700704</v>
      </c>
      <c r="AJ6979">
        <v>95.046387403096503</v>
      </c>
      <c r="AK6979">
        <v>20.6778694009197</v>
      </c>
      <c r="AL6979">
        <v>91.049421136014303</v>
      </c>
      <c r="AM6979">
        <v>88.670228783131805</v>
      </c>
      <c r="AN6979">
        <v>0.99999999949969798</v>
      </c>
    </row>
    <row r="6980" spans="1:40" x14ac:dyDescent="0.25">
      <c r="A6980" t="str">
        <f>"20190312160824135"</f>
        <v>20190312160824135</v>
      </c>
      <c r="B6980" t="str">
        <f>"1552378104122543"</f>
        <v>1552378104122543</v>
      </c>
      <c r="C6980" t="s">
        <v>40</v>
      </c>
      <c r="D6980">
        <v>6.3608460000000004</v>
      </c>
      <c r="E6980">
        <v>0.45878229999999998</v>
      </c>
      <c r="F6980" t="s">
        <v>115</v>
      </c>
      <c r="G6980">
        <v>-253.05410000000001</v>
      </c>
      <c r="H6980" s="1">
        <v>-1.070664E-6</v>
      </c>
      <c r="I6980">
        <v>-63.191279999999999</v>
      </c>
      <c r="J6980">
        <v>-273.71440000000001</v>
      </c>
      <c r="K6980">
        <v>1.1095999999999999</v>
      </c>
      <c r="L6980">
        <v>-63.400880000000001</v>
      </c>
      <c r="M6980">
        <v>0.9969633</v>
      </c>
      <c r="N6980">
        <v>0</v>
      </c>
      <c r="O6980">
        <v>-7.7392119999999995E-2</v>
      </c>
      <c r="P6980">
        <v>0.99457850000000003</v>
      </c>
      <c r="Q6980">
        <v>-2.6907859999999999E-2</v>
      </c>
      <c r="R6980">
        <v>-0.100451</v>
      </c>
      <c r="S6980">
        <v>3.0150760000000001</v>
      </c>
      <c r="T6980">
        <v>-0.1611196</v>
      </c>
      <c r="U6980">
        <v>2.9327389999999998E-2</v>
      </c>
      <c r="V6980">
        <v>2.3193020000000002E-2</v>
      </c>
      <c r="W6980">
        <v>-1.8250430000000002E-2</v>
      </c>
      <c r="X6980">
        <v>0.99956440000000002</v>
      </c>
      <c r="Y6980">
        <v>-8.6854420000000002E-2</v>
      </c>
      <c r="Z6980">
        <v>6.4490240000000002E-3</v>
      </c>
      <c r="AA6980">
        <v>0.99620010000000003</v>
      </c>
      <c r="AB6980">
        <v>21</v>
      </c>
      <c r="AC6980">
        <v>20.660299999999999</v>
      </c>
      <c r="AD6980">
        <v>-1.1096010706639901</v>
      </c>
      <c r="AE6980">
        <v>0.20960000000000101</v>
      </c>
      <c r="AF6980">
        <v>-1.8027759461313799</v>
      </c>
      <c r="AG6980">
        <v>-1.1096010706639901</v>
      </c>
      <c r="AH6980">
        <v>20.5229167083749</v>
      </c>
      <c r="AI6980">
        <v>93.082917359500499</v>
      </c>
      <c r="AJ6980">
        <v>95.020095544871197</v>
      </c>
      <c r="AK6980">
        <v>20.6318037472941</v>
      </c>
      <c r="AL6980">
        <v>91.045730678763405</v>
      </c>
      <c r="AM6980">
        <v>88.670797241978505</v>
      </c>
      <c r="AN6980">
        <v>0.99999999205963197</v>
      </c>
    </row>
    <row r="6981" spans="1:40" x14ac:dyDescent="0.25">
      <c r="A6981" t="str">
        <f>"20190312160824145"</f>
        <v>20190312160824145</v>
      </c>
      <c r="B6981" t="str">
        <f>"1552378104142589"</f>
        <v>1552378104142589</v>
      </c>
      <c r="C6981" t="s">
        <v>40</v>
      </c>
      <c r="D6981">
        <v>6.2185079999999999</v>
      </c>
      <c r="E6981">
        <v>0.4591884</v>
      </c>
      <c r="F6981" t="s">
        <v>115</v>
      </c>
      <c r="G6981">
        <v>-253.227</v>
      </c>
      <c r="H6981" s="1">
        <v>-1.1472039999999999E-6</v>
      </c>
      <c r="I6981">
        <v>-63.201790000000003</v>
      </c>
      <c r="J6981">
        <v>-273.61130000000003</v>
      </c>
      <c r="K6981">
        <v>1.109602</v>
      </c>
      <c r="L6981">
        <v>-63.408329999999999</v>
      </c>
      <c r="M6981">
        <v>0.99699919999999997</v>
      </c>
      <c r="N6981">
        <v>0</v>
      </c>
      <c r="O6981">
        <v>-7.693295E-2</v>
      </c>
      <c r="P6981">
        <v>0.99464589999999997</v>
      </c>
      <c r="Q6981">
        <v>-2.676748E-2</v>
      </c>
      <c r="R6981">
        <v>-9.9816790000000002E-2</v>
      </c>
      <c r="S6981">
        <v>3.0148929999999998</v>
      </c>
      <c r="T6981">
        <v>-0.1632875</v>
      </c>
      <c r="U6981">
        <v>2.9296880000000001E-2</v>
      </c>
      <c r="V6981">
        <v>2.301626E-2</v>
      </c>
      <c r="W6981">
        <v>-1.8148870000000001E-2</v>
      </c>
      <c r="X6981">
        <v>0.99957039999999997</v>
      </c>
      <c r="Y6981">
        <v>-8.6381089999999994E-2</v>
      </c>
      <c r="Z6981">
        <v>6.4984600000000002E-3</v>
      </c>
      <c r="AA6981">
        <v>0.99624100000000004</v>
      </c>
      <c r="AB6981">
        <v>21</v>
      </c>
      <c r="AC6981">
        <v>20.3843</v>
      </c>
      <c r="AD6981">
        <v>-1.109603147204</v>
      </c>
      <c r="AE6981">
        <v>0.206540000000003</v>
      </c>
      <c r="AF6981">
        <v>-1.7689690569517</v>
      </c>
      <c r="AG6981">
        <v>-1.109603147204</v>
      </c>
      <c r="AH6981">
        <v>20.248001280762601</v>
      </c>
      <c r="AI6981">
        <v>93.124828153237104</v>
      </c>
      <c r="AJ6981">
        <v>94.992975158188102</v>
      </c>
      <c r="AK6981">
        <v>20.3553930577256</v>
      </c>
      <c r="AL6981">
        <v>91.039910687732601</v>
      </c>
      <c r="AM6981">
        <v>88.680931761964601</v>
      </c>
      <c r="AN6981">
        <v>1.00000005713141</v>
      </c>
    </row>
    <row r="6982" spans="1:40" x14ac:dyDescent="0.25">
      <c r="A6982" t="str">
        <f>"20190312160824158"</f>
        <v>20190312160824158</v>
      </c>
      <c r="B6982" t="str">
        <f>"1552378104152349"</f>
        <v>1552378104152349</v>
      </c>
      <c r="C6982" t="s">
        <v>40</v>
      </c>
      <c r="D6982">
        <v>6.3245449999999996</v>
      </c>
      <c r="E6982">
        <v>0.45945710000000001</v>
      </c>
      <c r="F6982" t="s">
        <v>115</v>
      </c>
      <c r="G6982">
        <v>-253.47669999999999</v>
      </c>
      <c r="H6982" s="1">
        <v>-1.258466E-6</v>
      </c>
      <c r="I6982">
        <v>-63.220590000000001</v>
      </c>
      <c r="J6982">
        <v>-273.50529999999998</v>
      </c>
      <c r="K6982">
        <v>1.109605</v>
      </c>
      <c r="L6982">
        <v>-63.416020000000003</v>
      </c>
      <c r="M6982">
        <v>0.99703600000000003</v>
      </c>
      <c r="N6982">
        <v>0</v>
      </c>
      <c r="O6982">
        <v>-7.646008E-2</v>
      </c>
      <c r="P6982">
        <v>0.99470049999999999</v>
      </c>
      <c r="Q6982">
        <v>-2.6728979999999999E-2</v>
      </c>
      <c r="R6982">
        <v>-9.9280889999999997E-2</v>
      </c>
      <c r="S6982">
        <v>3.014465</v>
      </c>
      <c r="T6982">
        <v>-0.16612460000000001</v>
      </c>
      <c r="U6982">
        <v>2.810669E-2</v>
      </c>
      <c r="V6982">
        <v>2.2952190000000001E-2</v>
      </c>
      <c r="W6982">
        <v>-1.8149709999999999E-2</v>
      </c>
      <c r="X6982">
        <v>0.99957180000000001</v>
      </c>
      <c r="Y6982">
        <v>-8.551019E-2</v>
      </c>
      <c r="Z6982">
        <v>6.5621639999999997E-3</v>
      </c>
      <c r="AA6982">
        <v>0.99631570000000003</v>
      </c>
      <c r="AB6982">
        <v>21</v>
      </c>
      <c r="AC6982">
        <v>20.028599999999901</v>
      </c>
      <c r="AD6982">
        <v>-1.109606258466</v>
      </c>
      <c r="AE6982">
        <v>0.195429999999994</v>
      </c>
      <c r="AF6982">
        <v>-1.72102038434445</v>
      </c>
      <c r="AG6982">
        <v>-1.109606258466</v>
      </c>
      <c r="AH6982">
        <v>19.893967357740301</v>
      </c>
      <c r="AI6982">
        <v>93.1805677518078</v>
      </c>
      <c r="AJ6982">
        <v>94.944328694812498</v>
      </c>
      <c r="AK6982">
        <v>19.999076839769199</v>
      </c>
      <c r="AL6982">
        <v>91.039958884390103</v>
      </c>
      <c r="AM6982">
        <v>88.684604181228906</v>
      </c>
      <c r="AN6982">
        <v>0.99999999917705995</v>
      </c>
    </row>
    <row r="6983" spans="1:40" x14ac:dyDescent="0.25">
      <c r="A6983" t="str">
        <f>"20190312160824168"</f>
        <v>20190312160824168</v>
      </c>
      <c r="B6983" t="str">
        <f>"1552378104162109"</f>
        <v>1552378104162109</v>
      </c>
      <c r="C6983" t="s">
        <v>40</v>
      </c>
      <c r="D6983">
        <v>6.251989</v>
      </c>
      <c r="E6983">
        <v>0.45976440000000002</v>
      </c>
      <c r="F6983" t="s">
        <v>115</v>
      </c>
      <c r="G6983">
        <v>-253.29300000000001</v>
      </c>
      <c r="H6983" s="1">
        <v>-1.1820930000000001E-6</v>
      </c>
      <c r="I6983">
        <v>-63.231439999999999</v>
      </c>
      <c r="J6983">
        <v>-273.3999</v>
      </c>
      <c r="K6983">
        <v>1.10961</v>
      </c>
      <c r="L6983">
        <v>-63.423580000000001</v>
      </c>
      <c r="M6983">
        <v>0.99707230000000002</v>
      </c>
      <c r="N6983">
        <v>0</v>
      </c>
      <c r="O6983">
        <v>-7.5988040000000007E-2</v>
      </c>
      <c r="P6983">
        <v>0.99477850000000001</v>
      </c>
      <c r="Q6983">
        <v>-2.6562929999999998E-2</v>
      </c>
      <c r="R6983">
        <v>-9.8540900000000001E-2</v>
      </c>
      <c r="S6983">
        <v>3.0142820000000001</v>
      </c>
      <c r="T6983">
        <v>-0.16547679999999901</v>
      </c>
      <c r="U6983">
        <v>2.752686E-2</v>
      </c>
      <c r="V6983">
        <v>2.2682020000000001E-2</v>
      </c>
      <c r="W6983">
        <v>-1.8021769999999999E-2</v>
      </c>
      <c r="X6983">
        <v>0.99958029999999998</v>
      </c>
      <c r="Y6983">
        <v>-8.4850919999999996E-2</v>
      </c>
      <c r="Z6983">
        <v>6.4930810000000004E-3</v>
      </c>
      <c r="AA6983">
        <v>0.99637249999999999</v>
      </c>
      <c r="AB6983">
        <v>21</v>
      </c>
      <c r="AC6983">
        <v>20.1069</v>
      </c>
      <c r="AD6983">
        <v>-1.1096111820929999</v>
      </c>
      <c r="AE6983">
        <v>0.192140000000002</v>
      </c>
      <c r="AF6983">
        <v>-1.7143035047141599</v>
      </c>
      <c r="AG6983">
        <v>-1.1096111820929999</v>
      </c>
      <c r="AH6983">
        <v>19.973338164151599</v>
      </c>
      <c r="AI6983">
        <v>93.168152423054394</v>
      </c>
      <c r="AJ6983">
        <v>94.905650880570704</v>
      </c>
      <c r="AK6983">
        <v>20.0774577798399</v>
      </c>
      <c r="AL6983">
        <v>91.032627244586195</v>
      </c>
      <c r="AM6983">
        <v>88.700093398083993</v>
      </c>
      <c r="AN6983">
        <v>1.0000000171866501</v>
      </c>
    </row>
    <row r="6984" spans="1:40" x14ac:dyDescent="0.25">
      <c r="A6984" t="str">
        <f>"20190312160824181"</f>
        <v>20190312160824181</v>
      </c>
      <c r="B6984" t="str">
        <f>"1552378104172844"</f>
        <v>1552378104172844</v>
      </c>
      <c r="C6984" t="s">
        <v>40</v>
      </c>
      <c r="D6984">
        <v>6.4861800000000001</v>
      </c>
      <c r="E6984">
        <v>0.45982440000000002</v>
      </c>
      <c r="F6984" t="s">
        <v>115</v>
      </c>
      <c r="G6984">
        <v>-252.94710000000001</v>
      </c>
      <c r="H6984" s="1">
        <v>-1.0352770000000001E-6</v>
      </c>
      <c r="I6984">
        <v>-63.23845</v>
      </c>
      <c r="J6984">
        <v>-273.28910000000002</v>
      </c>
      <c r="K6984">
        <v>1.1096170000000001</v>
      </c>
      <c r="L6984">
        <v>-63.431460000000001</v>
      </c>
      <c r="M6984">
        <v>0.99711059999999996</v>
      </c>
      <c r="N6984">
        <v>0</v>
      </c>
      <c r="O6984">
        <v>-7.5489650000000005E-2</v>
      </c>
      <c r="P6984">
        <v>0.99485579999999996</v>
      </c>
      <c r="Q6984">
        <v>-2.659798E-2</v>
      </c>
      <c r="R6984">
        <v>-9.7747239999999999E-2</v>
      </c>
      <c r="S6984">
        <v>3.0140989999999999</v>
      </c>
      <c r="T6984">
        <v>-0.163522</v>
      </c>
      <c r="U6984">
        <v>2.7282710000000002E-2</v>
      </c>
      <c r="V6984">
        <v>2.2384999999999999E-2</v>
      </c>
      <c r="W6984">
        <v>-1.8095300000000002E-2</v>
      </c>
      <c r="X6984">
        <v>0.99958559999999996</v>
      </c>
      <c r="Y6984">
        <v>-8.4279939999999998E-2</v>
      </c>
      <c r="Z6984">
        <v>6.3744359999999998E-3</v>
      </c>
      <c r="AA6984">
        <v>0.99642180000000002</v>
      </c>
      <c r="AB6984">
        <v>21</v>
      </c>
      <c r="AC6984">
        <v>20.341999999999999</v>
      </c>
      <c r="AD6984">
        <v>-1.109618035277</v>
      </c>
      <c r="AE6984">
        <v>0.19300999999999299</v>
      </c>
      <c r="AF6984">
        <v>-1.72299846938894</v>
      </c>
      <c r="AG6984">
        <v>-1.109618035277</v>
      </c>
      <c r="AH6984">
        <v>20.209253699944298</v>
      </c>
      <c r="AI6984">
        <v>93.131413607358994</v>
      </c>
      <c r="AJ6984">
        <v>94.873133012491394</v>
      </c>
      <c r="AK6984">
        <v>20.312900113436399</v>
      </c>
      <c r="AL6984">
        <v>91.036840960051094</v>
      </c>
      <c r="AM6984">
        <v>88.717116688169</v>
      </c>
      <c r="AN6984">
        <v>0.99999994991722296</v>
      </c>
    </row>
    <row r="6985" spans="1:40" x14ac:dyDescent="0.25">
      <c r="A6985" t="str">
        <f>"20190312160824192"</f>
        <v>20190312160824192</v>
      </c>
      <c r="B6985" t="str">
        <f>"1552378104182605"</f>
        <v>1552378104182605</v>
      </c>
      <c r="C6985" t="s">
        <v>40</v>
      </c>
      <c r="D6985">
        <v>6.3134639999999997</v>
      </c>
      <c r="E6985">
        <v>0.45982980000000001</v>
      </c>
      <c r="F6985" t="s">
        <v>115</v>
      </c>
      <c r="G6985">
        <v>-252.61269999999999</v>
      </c>
      <c r="H6985" s="1">
        <v>-8.9029699999999999E-7</v>
      </c>
      <c r="I6985">
        <v>-63.231740000000002</v>
      </c>
      <c r="J6985">
        <v>-273.18200000000002</v>
      </c>
      <c r="K6985">
        <v>1.109621</v>
      </c>
      <c r="L6985">
        <v>-63.439059999999998</v>
      </c>
      <c r="M6985">
        <v>0.99714729999999996</v>
      </c>
      <c r="N6985">
        <v>0</v>
      </c>
      <c r="O6985">
        <v>-7.5005349999999998E-2</v>
      </c>
      <c r="P6985">
        <v>0.99495169999999999</v>
      </c>
      <c r="Q6985">
        <v>-2.6318609999999999E-2</v>
      </c>
      <c r="R6985">
        <v>-9.6843529999999997E-2</v>
      </c>
      <c r="S6985">
        <v>3.0140380000000002</v>
      </c>
      <c r="T6985">
        <v>-0.1617507</v>
      </c>
      <c r="U6985">
        <v>2.9113770000000001E-2</v>
      </c>
      <c r="V6985">
        <v>2.1961919999999999E-2</v>
      </c>
      <c r="W6985">
        <v>-1.7852070000000001E-2</v>
      </c>
      <c r="X6985">
        <v>0.99959940000000003</v>
      </c>
      <c r="Y6985">
        <v>-8.4406990000000001E-2</v>
      </c>
      <c r="Z6985">
        <v>6.283103E-3</v>
      </c>
      <c r="AA6985">
        <v>0.99641159999999995</v>
      </c>
      <c r="AB6985">
        <v>21</v>
      </c>
      <c r="AC6985">
        <v>20.569299999999998</v>
      </c>
      <c r="AD6985">
        <v>-1.1096218902970001</v>
      </c>
      <c r="AE6985">
        <v>0.20731999999999501</v>
      </c>
      <c r="AF6985">
        <v>-1.7445223828288401</v>
      </c>
      <c r="AG6985">
        <v>-1.1096218902970001</v>
      </c>
      <c r="AH6985">
        <v>20.436338002687201</v>
      </c>
      <c r="AI6985">
        <v>93.096669127186104</v>
      </c>
      <c r="AJ6985">
        <v>94.8791539423366</v>
      </c>
      <c r="AK6985">
        <v>20.540655540748801</v>
      </c>
      <c r="AL6985">
        <v>91.022902612833306</v>
      </c>
      <c r="AM6985">
        <v>88.741372879181498</v>
      </c>
      <c r="AN6985">
        <v>0.99999999140686502</v>
      </c>
    </row>
    <row r="6986" spans="1:40" x14ac:dyDescent="0.25">
      <c r="A6986" t="str">
        <f>"20190312160824204"</f>
        <v>20190312160824204</v>
      </c>
      <c r="B6986" t="str">
        <f>"1552378104192365"</f>
        <v>1552378104192365</v>
      </c>
      <c r="C6986" t="s">
        <v>40</v>
      </c>
      <c r="D6986">
        <v>6.140841</v>
      </c>
      <c r="E6986">
        <v>0.45991130000000002</v>
      </c>
      <c r="F6986" t="s">
        <v>115</v>
      </c>
      <c r="G6986">
        <v>-252.15950000000001</v>
      </c>
      <c r="H6986" s="1">
        <v>-6.9295649999999898E-7</v>
      </c>
      <c r="I6986">
        <v>-63.21855</v>
      </c>
      <c r="J6986">
        <v>-273.08100000000002</v>
      </c>
      <c r="K6986">
        <v>1.1096220000000001</v>
      </c>
      <c r="L6986">
        <v>-63.44614</v>
      </c>
      <c r="M6986">
        <v>0.99718209999999996</v>
      </c>
      <c r="N6986">
        <v>0</v>
      </c>
      <c r="O6986">
        <v>-7.4545020000000004E-2</v>
      </c>
      <c r="P6986">
        <v>0.99500929999999999</v>
      </c>
      <c r="Q6986">
        <v>-2.634189E-2</v>
      </c>
      <c r="R6986">
        <v>-9.6241199999999999E-2</v>
      </c>
      <c r="S6986">
        <v>3.0141300000000002</v>
      </c>
      <c r="T6986">
        <v>-0.1590934</v>
      </c>
      <c r="U6986">
        <v>3.1616209999999999E-2</v>
      </c>
      <c r="V6986">
        <v>2.1818919999999999E-2</v>
      </c>
      <c r="W6986">
        <v>-1.7908480000000001E-2</v>
      </c>
      <c r="X6986">
        <v>0.99960150000000003</v>
      </c>
      <c r="Y6986">
        <v>-8.4781480000000006E-2</v>
      </c>
      <c r="Z6986">
        <v>6.1654860000000004E-3</v>
      </c>
      <c r="AA6986">
        <v>0.9963805</v>
      </c>
      <c r="AB6986">
        <v>21</v>
      </c>
      <c r="AC6986">
        <v>20.921499999999899</v>
      </c>
      <c r="AD6986">
        <v>-1.1096226929564901</v>
      </c>
      <c r="AE6986">
        <v>0.22758999999999899</v>
      </c>
      <c r="AF6986">
        <v>-1.7815946673891301</v>
      </c>
      <c r="AG6986">
        <v>-1.1096226929564901</v>
      </c>
      <c r="AH6986">
        <v>20.787849944496202</v>
      </c>
      <c r="AI6986">
        <v>93.044319874945899</v>
      </c>
      <c r="AJ6986">
        <v>94.8984876570278</v>
      </c>
      <c r="AK6986">
        <v>20.8935408055811</v>
      </c>
      <c r="AL6986">
        <v>91.026135207693002</v>
      </c>
      <c r="AM6986">
        <v>88.749568156325395</v>
      </c>
      <c r="AN6986">
        <v>0.99999996886406195</v>
      </c>
    </row>
    <row r="6987" spans="1:40" x14ac:dyDescent="0.25">
      <c r="A6987" t="str">
        <f>"20190312160824214"</f>
        <v>20190312160824214</v>
      </c>
      <c r="B6987" t="str">
        <f>"1552378104202125"</f>
        <v>1552378104202125</v>
      </c>
      <c r="C6987" t="s">
        <v>40</v>
      </c>
      <c r="D6987">
        <v>6.1586749999999997</v>
      </c>
      <c r="E6987">
        <v>0.46013979999999999</v>
      </c>
      <c r="F6987" t="s">
        <v>115</v>
      </c>
      <c r="G6987">
        <v>-251.81450000000001</v>
      </c>
      <c r="H6987" s="1">
        <v>-5.4425619999999996E-7</v>
      </c>
      <c r="I6987">
        <v>-63.215310000000002</v>
      </c>
      <c r="J6987">
        <v>-272.97770000000003</v>
      </c>
      <c r="K6987">
        <v>1.1096280000000001</v>
      </c>
      <c r="L6987">
        <v>-63.4533699999999</v>
      </c>
      <c r="M6987">
        <v>0.99721749999999998</v>
      </c>
      <c r="N6987">
        <v>0</v>
      </c>
      <c r="O6987">
        <v>-7.4073260000000002E-2</v>
      </c>
      <c r="P6987">
        <v>0.99507920000000005</v>
      </c>
      <c r="Q6987">
        <v>-2.651009E-2</v>
      </c>
      <c r="R6987">
        <v>-9.5471020000000004E-2</v>
      </c>
      <c r="S6987">
        <v>3.0140380000000002</v>
      </c>
      <c r="T6987">
        <v>-0.15726379999999901</v>
      </c>
      <c r="U6987">
        <v>3.2714840000000002E-2</v>
      </c>
      <c r="V6987">
        <v>2.151904E-2</v>
      </c>
      <c r="W6987">
        <v>-1.8110609999999999E-2</v>
      </c>
      <c r="X6987">
        <v>0.99960439999999995</v>
      </c>
      <c r="Y6987">
        <v>-8.4679379999999999E-2</v>
      </c>
      <c r="Z6987">
        <v>6.0676489999999996E-3</v>
      </c>
      <c r="AA6987">
        <v>0.99638970000000004</v>
      </c>
      <c r="AB6987">
        <v>21</v>
      </c>
      <c r="AC6987">
        <v>21.1632</v>
      </c>
      <c r="AD6987">
        <v>-1.1096285442561999</v>
      </c>
      <c r="AE6987">
        <v>0.238059999999997</v>
      </c>
      <c r="AF6987">
        <v>-1.8001402007565499</v>
      </c>
      <c r="AG6987">
        <v>-1.1096285442561999</v>
      </c>
      <c r="AH6987">
        <v>21.029616435511699</v>
      </c>
      <c r="AI6987">
        <v>93.009427882412893</v>
      </c>
      <c r="AJ6987">
        <v>94.892605674228193</v>
      </c>
      <c r="AK6987">
        <v>21.135670031332101</v>
      </c>
      <c r="AL6987">
        <v>91.037718240011401</v>
      </c>
      <c r="AM6987">
        <v>88.7667523674872</v>
      </c>
      <c r="AN6987">
        <v>1.00000000988822</v>
      </c>
    </row>
    <row r="6988" spans="1:40" x14ac:dyDescent="0.25">
      <c r="A6988" t="str">
        <f>"20190312160824225"</f>
        <v>20190312160824225</v>
      </c>
      <c r="B6988" t="str">
        <f>"1552378104212860"</f>
        <v>1552378104212860</v>
      </c>
      <c r="C6988" t="s">
        <v>40</v>
      </c>
      <c r="D6988">
        <v>6.3148790000000004</v>
      </c>
      <c r="E6988">
        <v>0.46035979999999999</v>
      </c>
      <c r="F6988" t="s">
        <v>115</v>
      </c>
      <c r="G6988">
        <v>-252.09139999999999</v>
      </c>
      <c r="H6988" s="1">
        <v>-6.6460289999999999E-7</v>
      </c>
      <c r="I6988">
        <v>-63.2224199999999</v>
      </c>
      <c r="J6988">
        <v>-272.87360000000001</v>
      </c>
      <c r="K6988">
        <v>1.109629</v>
      </c>
      <c r="L6988">
        <v>-63.460540000000002</v>
      </c>
      <c r="M6988">
        <v>0.99725350000000001</v>
      </c>
      <c r="N6988">
        <v>0</v>
      </c>
      <c r="O6988">
        <v>-7.3593989999999998E-2</v>
      </c>
      <c r="P6988">
        <v>0.99511240000000001</v>
      </c>
      <c r="Q6988">
        <v>-2.649019E-2</v>
      </c>
      <c r="R6988">
        <v>-9.5133190000000006E-2</v>
      </c>
      <c r="S6988">
        <v>3.013763</v>
      </c>
      <c r="T6988">
        <v>-0.16011259999999999</v>
      </c>
      <c r="U6988">
        <v>3.3325199999999902E-2</v>
      </c>
      <c r="V6988">
        <v>2.1660180000000001E-2</v>
      </c>
      <c r="W6988">
        <v>-1.8123790000000001E-2</v>
      </c>
      <c r="X6988">
        <v>0.99960110000000002</v>
      </c>
      <c r="Y6988">
        <v>-8.4396360000000004E-2</v>
      </c>
      <c r="Z6988">
        <v>6.1450630000000001E-3</v>
      </c>
      <c r="AA6988">
        <v>0.99641329999999995</v>
      </c>
      <c r="AB6988">
        <v>21</v>
      </c>
      <c r="AC6988">
        <v>20.7822</v>
      </c>
      <c r="AD6988">
        <v>-1.10962966460289</v>
      </c>
      <c r="AE6988">
        <v>0.23812000000000899</v>
      </c>
      <c r="AF6988">
        <v>-1.7619499402311201</v>
      </c>
      <c r="AG6988">
        <v>-1.10962966460289</v>
      </c>
      <c r="AH6988">
        <v>20.649455287613701</v>
      </c>
      <c r="AI6988">
        <v>93.064801543551496</v>
      </c>
      <c r="AJ6988">
        <v>94.877046841496593</v>
      </c>
      <c r="AK6988">
        <v>20.754174261088</v>
      </c>
      <c r="AL6988">
        <v>91.038473535581005</v>
      </c>
      <c r="AM6988">
        <v>88.758662116082803</v>
      </c>
      <c r="AN6988">
        <v>0.99999999714140297</v>
      </c>
    </row>
    <row r="6989" spans="1:40" x14ac:dyDescent="0.25">
      <c r="A6989" t="str">
        <f>"20190312160824235"</f>
        <v>20190312160824235</v>
      </c>
      <c r="B6989" t="str">
        <f>"1552378104232381"</f>
        <v>1552378104232381</v>
      </c>
      <c r="C6989" t="s">
        <v>40</v>
      </c>
      <c r="D6989">
        <v>6.1994550000000004</v>
      </c>
      <c r="E6989">
        <v>0.46086009999999999</v>
      </c>
      <c r="F6989" t="s">
        <v>115</v>
      </c>
      <c r="G6989">
        <v>-251.9393</v>
      </c>
      <c r="H6989" s="1">
        <v>-6.0189630000000003E-7</v>
      </c>
      <c r="I6989">
        <v>-63.233919999999998</v>
      </c>
      <c r="J6989">
        <v>-272.78219999999999</v>
      </c>
      <c r="K6989">
        <v>1.1096330000000001</v>
      </c>
      <c r="L6989">
        <v>-63.466859999999997</v>
      </c>
      <c r="M6989">
        <v>0.99728479999999997</v>
      </c>
      <c r="N6989">
        <v>0</v>
      </c>
      <c r="O6989">
        <v>-7.3171849999999997E-2</v>
      </c>
      <c r="P6989">
        <v>0.99515089999999995</v>
      </c>
      <c r="Q6989">
        <v>-2.676502E-2</v>
      </c>
      <c r="R6989">
        <v>-9.4650910000000005E-2</v>
      </c>
      <c r="S6989">
        <v>3.013611</v>
      </c>
      <c r="T6989">
        <v>-0.15973699999999999</v>
      </c>
      <c r="U6989">
        <v>3.2623289999999999E-2</v>
      </c>
      <c r="V6989">
        <v>2.160014E-2</v>
      </c>
      <c r="W6989">
        <v>-1.842771E-2</v>
      </c>
      <c r="X6989">
        <v>0.99959679999999995</v>
      </c>
      <c r="Y6989">
        <v>-8.3745609999999998E-2</v>
      </c>
      <c r="Z6989">
        <v>6.0914219999999896E-3</v>
      </c>
      <c r="AA6989">
        <v>0.99646849999999998</v>
      </c>
      <c r="AB6989">
        <v>21</v>
      </c>
      <c r="AC6989">
        <v>20.842899999999901</v>
      </c>
      <c r="AD6989">
        <v>-1.1096336018963</v>
      </c>
      <c r="AE6989">
        <v>0.23293999999999901</v>
      </c>
      <c r="AF6989">
        <v>-1.75251512699954</v>
      </c>
      <c r="AG6989">
        <v>-1.1096336018963</v>
      </c>
      <c r="AH6989">
        <v>20.711284060573401</v>
      </c>
      <c r="AI6989">
        <v>93.055863223526302</v>
      </c>
      <c r="AJ6989">
        <v>94.836643490345097</v>
      </c>
      <c r="AK6989">
        <v>20.814895710490099</v>
      </c>
      <c r="AL6989">
        <v>91.0558898227588</v>
      </c>
      <c r="AM6989">
        <v>88.762096593367801</v>
      </c>
      <c r="AN6989">
        <v>0.99999995455705004</v>
      </c>
    </row>
    <row r="6990" spans="1:40" x14ac:dyDescent="0.25">
      <c r="A6990" t="str">
        <f>"20190312160824260"</f>
        <v>20190312160824260</v>
      </c>
      <c r="B6990" t="str">
        <f>"1552378104252878"</f>
        <v>1552378104252878</v>
      </c>
      <c r="C6990" t="s">
        <v>40</v>
      </c>
      <c r="D6990">
        <v>6.369027</v>
      </c>
      <c r="E6990">
        <v>0.4609799</v>
      </c>
      <c r="F6990" t="s">
        <v>115</v>
      </c>
      <c r="G6990">
        <v>-251.6901</v>
      </c>
      <c r="H6990" s="1">
        <v>-5.0005749999999998E-7</v>
      </c>
      <c r="I6990">
        <v>-63.256659999999997</v>
      </c>
      <c r="J6990">
        <v>-272.54950000000002</v>
      </c>
      <c r="K6990">
        <v>1.1096360000000001</v>
      </c>
      <c r="L6990">
        <v>-63.482700000000001</v>
      </c>
      <c r="M6990">
        <v>0.99736389999999997</v>
      </c>
      <c r="N6990">
        <v>0</v>
      </c>
      <c r="O6990">
        <v>-7.2091150000000007E-2</v>
      </c>
      <c r="P6990">
        <v>0.99523059999999997</v>
      </c>
      <c r="Q6990">
        <v>-2.6504630000000001E-2</v>
      </c>
      <c r="R6990">
        <v>-9.3882320000000005E-2</v>
      </c>
      <c r="S6990">
        <v>3.013245</v>
      </c>
      <c r="T6990">
        <v>-0.15852379999999999</v>
      </c>
      <c r="U6990">
        <v>3.0029299999999998E-2</v>
      </c>
      <c r="V6990">
        <v>2.1911179999999999E-2</v>
      </c>
      <c r="W6990">
        <v>-1.8234429999999999E-2</v>
      </c>
      <c r="X6990">
        <v>0.99959359999999997</v>
      </c>
      <c r="Y6990">
        <v>-8.1816639999999996E-2</v>
      </c>
      <c r="Z6990">
        <v>5.9385339999999997E-3</v>
      </c>
      <c r="AA6990">
        <v>0.99662969999999895</v>
      </c>
      <c r="AB6990">
        <v>21</v>
      </c>
      <c r="AC6990">
        <v>20.859400000000001</v>
      </c>
      <c r="AD6990">
        <v>-1.1096365000574999</v>
      </c>
      <c r="AE6990">
        <v>0.22604000000000399</v>
      </c>
      <c r="AF6990">
        <v>-1.72440200459543</v>
      </c>
      <c r="AG6990">
        <v>-1.1096365000574999</v>
      </c>
      <c r="AH6990">
        <v>20.730169471455799</v>
      </c>
      <c r="AI6990">
        <v>93.053456420463903</v>
      </c>
      <c r="AJ6990">
        <v>94.755099372986393</v>
      </c>
      <c r="AK6990">
        <v>20.831341333456901</v>
      </c>
      <c r="AL6990">
        <v>91.044813806619004</v>
      </c>
      <c r="AM6990">
        <v>88.744272548331693</v>
      </c>
      <c r="AN6990">
        <v>0.99999997970368804</v>
      </c>
    </row>
    <row r="6991" spans="1:40" x14ac:dyDescent="0.25">
      <c r="A6991" t="str">
        <f>"20190312160824270"</f>
        <v>20190312160824270</v>
      </c>
      <c r="B6991" t="str">
        <f>"1552378104262637"</f>
        <v>1552378104262637</v>
      </c>
      <c r="C6991" t="s">
        <v>40</v>
      </c>
      <c r="D6991">
        <v>6.3747980000000002</v>
      </c>
      <c r="E6991">
        <v>0.46099950000000001</v>
      </c>
      <c r="F6991" t="s">
        <v>115</v>
      </c>
      <c r="G6991">
        <v>-250.8502</v>
      </c>
      <c r="H6991" s="1">
        <v>-1.399095E-7</v>
      </c>
      <c r="I6991">
        <v>-63.257429999999999</v>
      </c>
      <c r="J6991">
        <v>-272.45119999999997</v>
      </c>
      <c r="K6991">
        <v>1.1096410000000001</v>
      </c>
      <c r="L6991">
        <v>-63.489289999999997</v>
      </c>
      <c r="M6991">
        <v>0.99739710000000004</v>
      </c>
      <c r="N6991">
        <v>0</v>
      </c>
      <c r="O6991">
        <v>-7.1633269999999999E-2</v>
      </c>
      <c r="P6991">
        <v>0.99527279999999996</v>
      </c>
      <c r="Q6991">
        <v>-2.5951729999999999E-2</v>
      </c>
      <c r="R6991">
        <v>-9.358909E-2</v>
      </c>
      <c r="S6991">
        <v>3.0132140000000001</v>
      </c>
      <c r="T6991">
        <v>-0.15408620000000001</v>
      </c>
      <c r="U6991">
        <v>3.1280519999999999E-2</v>
      </c>
      <c r="V6991">
        <v>2.2074099999999999E-2</v>
      </c>
      <c r="W6991">
        <v>-1.770745E-2</v>
      </c>
      <c r="X6991">
        <v>0.99959949999999997</v>
      </c>
      <c r="Y6991">
        <v>-8.1785369999999996E-2</v>
      </c>
      <c r="Z6991">
        <v>5.7484179999999999E-3</v>
      </c>
      <c r="AA6991">
        <v>0.9966334</v>
      </c>
      <c r="AB6991">
        <v>21</v>
      </c>
      <c r="AC6991">
        <v>21.6009999999999</v>
      </c>
      <c r="AD6991">
        <v>-1.1096411399095001</v>
      </c>
      <c r="AE6991">
        <v>0.23185999999999701</v>
      </c>
      <c r="AF6991">
        <v>-1.77398619228502</v>
      </c>
      <c r="AG6991">
        <v>-1.1096411399095001</v>
      </c>
      <c r="AH6991">
        <v>21.4722387879421</v>
      </c>
      <c r="AI6991">
        <v>92.948269391013397</v>
      </c>
      <c r="AJ6991">
        <v>94.722917199533498</v>
      </c>
      <c r="AK6991">
        <v>21.5739511688565</v>
      </c>
      <c r="AL6991">
        <v>91.014615188496904</v>
      </c>
      <c r="AM6991">
        <v>88.734946107504399</v>
      </c>
      <c r="AN6991">
        <v>0.99999999003828099</v>
      </c>
    </row>
    <row r="6992" spans="1:40" x14ac:dyDescent="0.25">
      <c r="A6992" t="str">
        <f>"20190312160824281"</f>
        <v>20190312160824281</v>
      </c>
      <c r="B6992" t="str">
        <f>"1552378104272398"</f>
        <v>1552378104272398</v>
      </c>
      <c r="C6992" t="s">
        <v>40</v>
      </c>
      <c r="D6992">
        <v>6.2978719999999999</v>
      </c>
      <c r="E6992">
        <v>0.46106930000000002</v>
      </c>
      <c r="F6992" t="s">
        <v>115</v>
      </c>
      <c r="G6992">
        <v>-250.24029999999999</v>
      </c>
      <c r="H6992" s="1">
        <v>1.224745E-7</v>
      </c>
      <c r="I6992">
        <v>-63.253999999999998</v>
      </c>
      <c r="J6992">
        <v>-272.35340000000002</v>
      </c>
      <c r="K6992">
        <v>1.109642</v>
      </c>
      <c r="L6992">
        <v>-63.495820000000002</v>
      </c>
      <c r="M6992">
        <v>0.99743000000000004</v>
      </c>
      <c r="N6992">
        <v>0</v>
      </c>
      <c r="O6992">
        <v>-7.1176959999999997E-2</v>
      </c>
      <c r="P6992">
        <v>0.99531910000000001</v>
      </c>
      <c r="Q6992">
        <v>-2.5729559999999999E-2</v>
      </c>
      <c r="R6992">
        <v>-9.3154269999999997E-2</v>
      </c>
      <c r="S6992">
        <v>3.0133670000000001</v>
      </c>
      <c r="T6992">
        <v>-0.1505456</v>
      </c>
      <c r="U6992">
        <v>3.1921390000000001E-2</v>
      </c>
      <c r="V6992">
        <v>2.2094289999999999E-2</v>
      </c>
      <c r="W6992">
        <v>-1.7509219999999999E-2</v>
      </c>
      <c r="X6992">
        <v>0.99960260000000001</v>
      </c>
      <c r="Y6992">
        <v>-8.1550780000000003E-2</v>
      </c>
      <c r="Z6992">
        <v>5.5876119999999996E-3</v>
      </c>
      <c r="AA6992">
        <v>0.99665349999999997</v>
      </c>
      <c r="AB6992">
        <v>21</v>
      </c>
      <c r="AC6992">
        <v>22.113099999999999</v>
      </c>
      <c r="AD6992">
        <v>-1.1096418775254999</v>
      </c>
      <c r="AE6992">
        <v>0.24181999999999701</v>
      </c>
      <c r="AF6992">
        <v>-1.8106440121121401</v>
      </c>
      <c r="AG6992">
        <v>-1.1096418775254999</v>
      </c>
      <c r="AH6992">
        <v>21.984446680845899</v>
      </c>
      <c r="AI6992">
        <v>92.879758243384401</v>
      </c>
      <c r="AJ6992">
        <v>94.708266860907898</v>
      </c>
      <c r="AK6992">
        <v>22.086775063325</v>
      </c>
      <c r="AL6992">
        <v>91.003255630504299</v>
      </c>
      <c r="AM6992">
        <v>88.733793332354793</v>
      </c>
      <c r="AN6992">
        <v>1.00000004418118</v>
      </c>
    </row>
    <row r="6993" spans="1:40" x14ac:dyDescent="0.25">
      <c r="A6993" t="str">
        <f>"20190312160824290"</f>
        <v>20190312160824290</v>
      </c>
      <c r="B6993" t="str">
        <f>"1552378104282157"</f>
        <v>1552378104282157</v>
      </c>
      <c r="C6993" t="s">
        <v>40</v>
      </c>
      <c r="D6993">
        <v>5.6953680000000002</v>
      </c>
      <c r="E6993">
        <v>0.46107140000000002</v>
      </c>
      <c r="F6993" t="s">
        <v>112</v>
      </c>
      <c r="G6993">
        <v>-249.8407</v>
      </c>
      <c r="H6993" s="1">
        <v>-3.7316829999999999E-6</v>
      </c>
      <c r="I6993">
        <v>-63.252020000000002</v>
      </c>
      <c r="J6993">
        <v>-272.25729999999999</v>
      </c>
      <c r="K6993">
        <v>1.1096429999999999</v>
      </c>
      <c r="L6993">
        <v>-63.502200000000002</v>
      </c>
      <c r="M6993">
        <v>0.99746219999999997</v>
      </c>
      <c r="N6993">
        <v>0</v>
      </c>
      <c r="O6993">
        <v>-7.0728159999999998E-2</v>
      </c>
      <c r="P6993">
        <v>0.99536259999999999</v>
      </c>
      <c r="Q6993">
        <v>-2.5691619999999998E-2</v>
      </c>
      <c r="R6993">
        <v>-9.2700130000000006E-2</v>
      </c>
      <c r="S6993">
        <v>3.013306</v>
      </c>
      <c r="T6993">
        <v>-0.14852460000000001</v>
      </c>
      <c r="U6993">
        <v>3.2623289999999999E-2</v>
      </c>
      <c r="V6993">
        <v>2.2087989999999998E-2</v>
      </c>
      <c r="W6993">
        <v>-1.7493829999999998E-2</v>
      </c>
      <c r="X6993">
        <v>0.99960300000000002</v>
      </c>
      <c r="Y6993">
        <v>-8.1340510000000005E-2</v>
      </c>
      <c r="Z6993">
        <v>5.4855569999999899E-3</v>
      </c>
      <c r="AA6993">
        <v>0.99667130000000004</v>
      </c>
      <c r="AB6993">
        <v>21</v>
      </c>
      <c r="AC6993">
        <v>22.416599999999899</v>
      </c>
      <c r="AD6993">
        <v>-1.1096467316830001</v>
      </c>
      <c r="AE6993">
        <v>0.25018000000000701</v>
      </c>
      <c r="AF6993">
        <v>-1.8306060677459699</v>
      </c>
      <c r="AG6993">
        <v>-1.1096467316830001</v>
      </c>
      <c r="AH6993">
        <v>22.288154167183102</v>
      </c>
      <c r="AI6993">
        <v>92.840647108007303</v>
      </c>
      <c r="AJ6993">
        <v>94.695368661542702</v>
      </c>
      <c r="AK6993">
        <v>22.390717956879399</v>
      </c>
      <c r="AL6993">
        <v>91.002373722122101</v>
      </c>
      <c r="AM6993">
        <v>88.7341547693634</v>
      </c>
      <c r="AN6993">
        <v>1.0000000354996501</v>
      </c>
    </row>
    <row r="6994" spans="1:40" x14ac:dyDescent="0.25">
      <c r="A6994" t="str">
        <f>"20190312160824302"</f>
        <v>20190312160824302</v>
      </c>
      <c r="B6994" t="str">
        <f>"1552378104292895"</f>
        <v>1552378104292895</v>
      </c>
      <c r="C6994" t="s">
        <v>40</v>
      </c>
      <c r="D6994">
        <v>6.3249219999999999</v>
      </c>
      <c r="E6994">
        <v>0.46115309999999998</v>
      </c>
      <c r="F6994" t="s">
        <v>112</v>
      </c>
      <c r="G6994">
        <v>-249.3192</v>
      </c>
      <c r="H6994" s="1">
        <v>-3.5529159999999999E-6</v>
      </c>
      <c r="I6994">
        <v>-63.244509999999998</v>
      </c>
      <c r="J6994">
        <v>-272.15159999999997</v>
      </c>
      <c r="K6994">
        <v>1.1096410000000001</v>
      </c>
      <c r="L6994">
        <v>-63.509189999999997</v>
      </c>
      <c r="M6994">
        <v>0.99749730000000003</v>
      </c>
      <c r="N6994">
        <v>0</v>
      </c>
      <c r="O6994">
        <v>-7.0234290000000005E-2</v>
      </c>
      <c r="P6994">
        <v>0.99540810000000002</v>
      </c>
      <c r="Q6994">
        <v>-2.5294029999999999E-2</v>
      </c>
      <c r="R6994">
        <v>-9.2320849999999996E-2</v>
      </c>
      <c r="S6994">
        <v>3.0133670000000001</v>
      </c>
      <c r="T6994">
        <v>-0.14577390000000001</v>
      </c>
      <c r="U6994">
        <v>3.3843989999999997E-2</v>
      </c>
      <c r="V6994">
        <v>2.2200899999999999E-2</v>
      </c>
      <c r="W6994">
        <v>-1.7120750000000001E-2</v>
      </c>
      <c r="X6994">
        <v>0.99960689999999996</v>
      </c>
      <c r="Y6994">
        <v>-8.1257979999999994E-2</v>
      </c>
      <c r="Z6994">
        <v>5.35814E-3</v>
      </c>
      <c r="AA6994">
        <v>0.99667870000000003</v>
      </c>
      <c r="AB6994">
        <v>21</v>
      </c>
      <c r="AC6994">
        <v>22.8323999999999</v>
      </c>
      <c r="AD6994">
        <v>-1.1096445529159999</v>
      </c>
      <c r="AE6994">
        <v>0.26468000000000502</v>
      </c>
      <c r="AF6994">
        <v>-1.86329652527384</v>
      </c>
      <c r="AG6994">
        <v>-1.1096445529159999</v>
      </c>
      <c r="AH6994">
        <v>22.7038046471732</v>
      </c>
      <c r="AI6994">
        <v>92.788733766311196</v>
      </c>
      <c r="AJ6994">
        <v>94.691737904508898</v>
      </c>
      <c r="AK6994">
        <v>22.807146477188098</v>
      </c>
      <c r="AL6994">
        <v>90.980994668236903</v>
      </c>
      <c r="AM6994">
        <v>88.727691070529602</v>
      </c>
      <c r="AN6994">
        <v>0.99999997728449097</v>
      </c>
    </row>
    <row r="6995" spans="1:40" x14ac:dyDescent="0.25">
      <c r="A6995" t="str">
        <f>"20190312160824325"</f>
        <v>20190312160824325</v>
      </c>
      <c r="B6995" t="str">
        <f>"1552378104322173"</f>
        <v>1552378104322173</v>
      </c>
      <c r="C6995" t="s">
        <v>40</v>
      </c>
      <c r="D6995">
        <v>6.1724579999999998</v>
      </c>
      <c r="E6995">
        <v>0.4609318</v>
      </c>
      <c r="F6995" t="s">
        <v>112</v>
      </c>
      <c r="G6995">
        <v>-248.7628</v>
      </c>
      <c r="H6995" s="1">
        <v>-3.3632919999999998E-6</v>
      </c>
      <c r="I6995">
        <v>-63.243119999999998</v>
      </c>
      <c r="J6995">
        <v>-271.94009999999997</v>
      </c>
      <c r="K6995">
        <v>1.1096440000000001</v>
      </c>
      <c r="L6995">
        <v>-63.522950000000002</v>
      </c>
      <c r="M6995">
        <v>0.99756679999999998</v>
      </c>
      <c r="N6995">
        <v>0</v>
      </c>
      <c r="O6995">
        <v>-6.9245609999999999E-2</v>
      </c>
      <c r="P6995">
        <v>0.99550780000000005</v>
      </c>
      <c r="Q6995">
        <v>-2.5356710000000001E-2</v>
      </c>
      <c r="R6995">
        <v>-9.122181E-2</v>
      </c>
      <c r="S6995">
        <v>3.0133969999999999</v>
      </c>
      <c r="T6995">
        <v>-0.1429657</v>
      </c>
      <c r="U6995">
        <v>3.4271240000000001E-2</v>
      </c>
      <c r="V6995">
        <v>2.2088739999999999E-2</v>
      </c>
      <c r="W6995">
        <v>-1.7233120000000001E-2</v>
      </c>
      <c r="X6995">
        <v>0.99960749999999998</v>
      </c>
      <c r="Y6995">
        <v>-8.0420060000000002E-2</v>
      </c>
      <c r="Z6995">
        <v>5.188313E-3</v>
      </c>
      <c r="AA6995">
        <v>0.99674759999999996</v>
      </c>
      <c r="AB6995">
        <v>21</v>
      </c>
      <c r="AC6995">
        <v>23.177299999999899</v>
      </c>
      <c r="AD6995">
        <v>-1.1096473632920001</v>
      </c>
      <c r="AE6995">
        <v>0.27983000000000302</v>
      </c>
      <c r="AF6995">
        <v>-1.8798288901742899</v>
      </c>
      <c r="AG6995">
        <v>-1.1096473632920001</v>
      </c>
      <c r="AH6995">
        <v>23.0494596250544</v>
      </c>
      <c r="AI6995">
        <v>92.747099224135994</v>
      </c>
      <c r="AJ6995">
        <v>94.662513203813504</v>
      </c>
      <c r="AK6995">
        <v>23.152595166291999</v>
      </c>
      <c r="AL6995">
        <v>90.987433899547796</v>
      </c>
      <c r="AM6995">
        <v>88.734117498321993</v>
      </c>
      <c r="AN6995">
        <v>1.00000002345798</v>
      </c>
    </row>
    <row r="6996" spans="1:40" x14ac:dyDescent="0.25">
      <c r="A6996" t="str">
        <f>"20190312160824335"</f>
        <v>20190312160824335</v>
      </c>
      <c r="B6996" t="str">
        <f>"1552378104332911"</f>
        <v>1552378104332911</v>
      </c>
      <c r="C6996" t="s">
        <v>40</v>
      </c>
      <c r="D6996">
        <v>6.2061129999999904</v>
      </c>
      <c r="E6996">
        <v>0.46061750000000001</v>
      </c>
      <c r="F6996" t="s">
        <v>112</v>
      </c>
      <c r="G6996">
        <v>-248.06299999999999</v>
      </c>
      <c r="H6996" s="1">
        <v>-3.1197629999999998E-6</v>
      </c>
      <c r="I6996">
        <v>-63.21266</v>
      </c>
      <c r="J6996">
        <v>-271.83390000000003</v>
      </c>
      <c r="K6996">
        <v>1.1096440000000001</v>
      </c>
      <c r="L6996">
        <v>-63.529789999999998</v>
      </c>
      <c r="M6996">
        <v>0.99760139999999997</v>
      </c>
      <c r="N6996">
        <v>0</v>
      </c>
      <c r="O6996">
        <v>-6.8749710000000006E-2</v>
      </c>
      <c r="P6996">
        <v>0.99555249999999995</v>
      </c>
      <c r="Q6996">
        <v>-2.5467790000000001E-2</v>
      </c>
      <c r="R6996">
        <v>-9.0702060000000001E-2</v>
      </c>
      <c r="S6996">
        <v>3.01355</v>
      </c>
      <c r="T6996">
        <v>-0.140049799999999</v>
      </c>
      <c r="U6996">
        <v>3.9154050000000003E-2</v>
      </c>
      <c r="V6996">
        <v>2.206427E-2</v>
      </c>
      <c r="W6996">
        <v>-1.7368930000000001E-2</v>
      </c>
      <c r="X6996">
        <v>0.99960570000000004</v>
      </c>
      <c r="Y6996">
        <v>-8.1544839999999993E-2</v>
      </c>
      <c r="Z6996">
        <v>5.0854709999999899E-3</v>
      </c>
      <c r="AA6996">
        <v>0.99665669999999995</v>
      </c>
      <c r="AB6996">
        <v>21</v>
      </c>
      <c r="AC6996">
        <v>23.770900000000001</v>
      </c>
      <c r="AD6996">
        <v>-1.109647119763</v>
      </c>
      <c r="AE6996">
        <v>0.31713000000000502</v>
      </c>
      <c r="AF6996">
        <v>-1.9464344035574099</v>
      </c>
      <c r="AG6996">
        <v>-1.109647119763</v>
      </c>
      <c r="AH6996">
        <v>23.641341811807699</v>
      </c>
      <c r="AI6996">
        <v>92.678255162611194</v>
      </c>
      <c r="AJ6996">
        <v>94.7066495297599</v>
      </c>
      <c r="AK6996">
        <v>23.747272817746399</v>
      </c>
      <c r="AL6996">
        <v>90.995216393924196</v>
      </c>
      <c r="AM6996">
        <v>88.735517116554007</v>
      </c>
      <c r="AN6996">
        <v>1.00000003360623</v>
      </c>
    </row>
    <row r="6997" spans="1:40" x14ac:dyDescent="0.25">
      <c r="A6997" t="str">
        <f>"20190312160824347"</f>
        <v>20190312160824347</v>
      </c>
      <c r="B6997" t="str">
        <f>"1552378104342669"</f>
        <v>1552378104342669</v>
      </c>
      <c r="C6997" t="s">
        <v>40</v>
      </c>
      <c r="D6997">
        <v>6.3219570000000003</v>
      </c>
      <c r="E6997">
        <v>0.46061750000000001</v>
      </c>
      <c r="F6997" t="s">
        <v>112</v>
      </c>
      <c r="G6997">
        <v>-248.19159999999999</v>
      </c>
      <c r="H6997" s="1">
        <v>-3.1595380000000002E-6</v>
      </c>
      <c r="I6997">
        <v>-63.190240000000003</v>
      </c>
      <c r="J6997">
        <v>-271.72269999999997</v>
      </c>
      <c r="K6997">
        <v>1.1096440000000001</v>
      </c>
      <c r="L6997">
        <v>-63.536900000000003</v>
      </c>
      <c r="M6997">
        <v>0.9976372</v>
      </c>
      <c r="N6997">
        <v>0</v>
      </c>
      <c r="O6997">
        <v>-6.8229499999999998E-2</v>
      </c>
      <c r="P6997">
        <v>0.99561040000000001</v>
      </c>
      <c r="Q6997">
        <v>-2.5570559999999999E-2</v>
      </c>
      <c r="R6997">
        <v>-9.0035450000000003E-2</v>
      </c>
      <c r="S6997">
        <v>3.0137330000000002</v>
      </c>
      <c r="T6997">
        <v>-0.14144860000000001</v>
      </c>
      <c r="U6997">
        <v>4.3273930000000002E-2</v>
      </c>
      <c r="V6997">
        <v>2.191678E-2</v>
      </c>
      <c r="W6997">
        <v>-1.7496270000000001E-2</v>
      </c>
      <c r="X6997">
        <v>0.99960669999999996</v>
      </c>
      <c r="Y6997">
        <v>-8.2382910000000004E-2</v>
      </c>
      <c r="Z6997">
        <v>5.1311769999999998E-3</v>
      </c>
      <c r="AA6997">
        <v>0.99658749999999996</v>
      </c>
      <c r="AB6997">
        <v>21</v>
      </c>
      <c r="AC6997">
        <v>23.531099999999899</v>
      </c>
      <c r="AD6997">
        <v>-1.109647159538</v>
      </c>
      <c r="AE6997">
        <v>0.34666000000000002</v>
      </c>
      <c r="AF6997">
        <v>-1.9470903832027799</v>
      </c>
      <c r="AG6997">
        <v>-1.109647159538</v>
      </c>
      <c r="AH6997">
        <v>23.400581918376801</v>
      </c>
      <c r="AI6997">
        <v>92.7055757328921</v>
      </c>
      <c r="AJ6997">
        <v>94.756448702905899</v>
      </c>
      <c r="AK6997">
        <v>23.5076521987564</v>
      </c>
      <c r="AL6997">
        <v>91.002513571089096</v>
      </c>
      <c r="AM6997">
        <v>88.743968171147102</v>
      </c>
      <c r="AN6997">
        <v>1.0000000096971799</v>
      </c>
    </row>
    <row r="6998" spans="1:40" x14ac:dyDescent="0.25">
      <c r="A6998" t="str">
        <f>"20190312160824359"</f>
        <v>20190312160824359</v>
      </c>
      <c r="B6998" t="str">
        <f>"1552378104352430"</f>
        <v>1552378104352430</v>
      </c>
      <c r="C6998" t="s">
        <v>40</v>
      </c>
      <c r="D6998">
        <v>6.2039499999999999</v>
      </c>
      <c r="E6998">
        <v>0.46008719999999997</v>
      </c>
      <c r="F6998" t="s">
        <v>112</v>
      </c>
      <c r="G6998">
        <v>-248.10820000000001</v>
      </c>
      <c r="H6998" s="1">
        <v>-3.1296469999999999E-6</v>
      </c>
      <c r="I6998">
        <v>-63.181739999999998</v>
      </c>
      <c r="J6998">
        <v>-271.60950000000003</v>
      </c>
      <c r="K6998">
        <v>1.109645</v>
      </c>
      <c r="L6998">
        <v>-63.544069999999998</v>
      </c>
      <c r="M6998">
        <v>0.99767349999999999</v>
      </c>
      <c r="N6998">
        <v>0</v>
      </c>
      <c r="O6998">
        <v>-6.7700239999999995E-2</v>
      </c>
      <c r="P6998">
        <v>0.99567090000000003</v>
      </c>
      <c r="Q6998">
        <v>-2.5625430000000001E-2</v>
      </c>
      <c r="R6998">
        <v>-8.9347209999999996E-2</v>
      </c>
      <c r="S6998">
        <v>3.0137330000000002</v>
      </c>
      <c r="T6998">
        <v>-0.14161499999999999</v>
      </c>
      <c r="U6998">
        <v>4.5318600000000001E-2</v>
      </c>
      <c r="V6998">
        <v>2.1756629999999999E-2</v>
      </c>
      <c r="W6998">
        <v>-1.757475E-2</v>
      </c>
      <c r="X6998">
        <v>0.99960879999999996</v>
      </c>
      <c r="Y6998">
        <v>-8.2530249999999999E-2</v>
      </c>
      <c r="Z6998">
        <v>5.11584E-3</v>
      </c>
      <c r="AA6998">
        <v>0.9965754</v>
      </c>
      <c r="AB6998">
        <v>21</v>
      </c>
      <c r="AC6998">
        <v>23.501300000000001</v>
      </c>
      <c r="AD6998">
        <v>-1.109648129647</v>
      </c>
      <c r="AE6998">
        <v>0.36232999999999199</v>
      </c>
      <c r="AF6998">
        <v>-1.94825104546967</v>
      </c>
      <c r="AG6998">
        <v>-1.109648129647</v>
      </c>
      <c r="AH6998">
        <v>23.3707568034771</v>
      </c>
      <c r="AI6998">
        <v>92.7089908701289</v>
      </c>
      <c r="AJ6998">
        <v>94.765316703651393</v>
      </c>
      <c r="AK6998">
        <v>23.478059431628399</v>
      </c>
      <c r="AL6998">
        <v>91.007010857257299</v>
      </c>
      <c r="AM6998">
        <v>88.753145940584403</v>
      </c>
      <c r="AN6998">
        <v>0.99999998791197897</v>
      </c>
    </row>
    <row r="6999" spans="1:40" x14ac:dyDescent="0.25">
      <c r="A6999" t="str">
        <f>"20190312160824369"</f>
        <v>20190312160824369</v>
      </c>
      <c r="B6999" t="str">
        <f>"1552378104362189"</f>
        <v>1552378104362189</v>
      </c>
      <c r="C6999" t="s">
        <v>40</v>
      </c>
      <c r="D6999">
        <v>6.1642910000000004</v>
      </c>
      <c r="E6999">
        <v>0.45977050000000003</v>
      </c>
      <c r="F6999" t="s">
        <v>112</v>
      </c>
      <c r="G6999">
        <v>-248.1019</v>
      </c>
      <c r="H6999" s="1">
        <v>-3.1202990000000002E-6</v>
      </c>
      <c r="I6999">
        <v>-63.141039999999997</v>
      </c>
      <c r="J6999">
        <v>-271.50259999999997</v>
      </c>
      <c r="K6999">
        <v>1.1096509999999999</v>
      </c>
      <c r="L6999">
        <v>-63.550750000000001</v>
      </c>
      <c r="M6999">
        <v>0.99770740000000002</v>
      </c>
      <c r="N6999">
        <v>0</v>
      </c>
      <c r="O6999">
        <v>-6.7200070000000001E-2</v>
      </c>
      <c r="P6999">
        <v>0.99569609999999997</v>
      </c>
      <c r="Q6999">
        <v>-2.5845569999999998E-2</v>
      </c>
      <c r="R6999">
        <v>-8.9003150000000003E-2</v>
      </c>
      <c r="S6999">
        <v>3.014008</v>
      </c>
      <c r="T6999">
        <v>-0.1422727</v>
      </c>
      <c r="U6999">
        <v>5.1666259999999999E-2</v>
      </c>
      <c r="V6999">
        <v>2.191299E-2</v>
      </c>
      <c r="W6999">
        <v>-1.781518E-2</v>
      </c>
      <c r="X6999">
        <v>0.99960110000000002</v>
      </c>
      <c r="Y6999">
        <v>-8.412472E-2</v>
      </c>
      <c r="Z6999">
        <v>5.1531199999999997E-3</v>
      </c>
      <c r="AA6999">
        <v>0.99644189999999999</v>
      </c>
      <c r="AB6999">
        <v>21</v>
      </c>
      <c r="AC6999">
        <v>23.400699999999901</v>
      </c>
      <c r="AD6999">
        <v>-1.109654120299</v>
      </c>
      <c r="AE6999">
        <v>0.40970999999999602</v>
      </c>
      <c r="AF6999">
        <v>-1.9769188828931701</v>
      </c>
      <c r="AG6999">
        <v>-1.109654120299</v>
      </c>
      <c r="AH6999">
        <v>23.2679614283294</v>
      </c>
      <c r="AI6999">
        <v>92.720592284855897</v>
      </c>
      <c r="AJ6999">
        <v>94.856365695644598</v>
      </c>
      <c r="AK6999">
        <v>23.3781429879805</v>
      </c>
      <c r="AL6999">
        <v>91.020788667948807</v>
      </c>
      <c r="AM6999">
        <v>88.7441782701124</v>
      </c>
      <c r="AN6999">
        <v>0.99999995944519005</v>
      </c>
    </row>
    <row r="7000" spans="1:40" x14ac:dyDescent="0.25">
      <c r="A7000" t="str">
        <f>"20190312160824382"</f>
        <v>20190312160824382</v>
      </c>
      <c r="B7000" t="str">
        <f>"1552378104372925"</f>
        <v>1552378104372925</v>
      </c>
      <c r="C7000" t="s">
        <v>40</v>
      </c>
      <c r="D7000">
        <v>6.3407030000000004</v>
      </c>
      <c r="E7000">
        <v>0.45955689999999999</v>
      </c>
      <c r="F7000" t="s">
        <v>112</v>
      </c>
      <c r="G7000">
        <v>-248.3349</v>
      </c>
      <c r="H7000" s="1">
        <v>-3.1968110000000001E-6</v>
      </c>
      <c r="I7000">
        <v>-63.125419999999998</v>
      </c>
      <c r="J7000">
        <v>-271.39460000000003</v>
      </c>
      <c r="K7000">
        <v>1.1096490000000001</v>
      </c>
      <c r="L7000">
        <v>-63.557499999999997</v>
      </c>
      <c r="M7000">
        <v>0.99774149999999995</v>
      </c>
      <c r="N7000">
        <v>0</v>
      </c>
      <c r="O7000">
        <v>-6.6694900000000001E-2</v>
      </c>
      <c r="P7000">
        <v>0.9957608</v>
      </c>
      <c r="Q7000">
        <v>-2.5895319999999999E-2</v>
      </c>
      <c r="R7000">
        <v>-8.8260889999999995E-2</v>
      </c>
      <c r="S7000">
        <v>3.01416</v>
      </c>
      <c r="T7000">
        <v>-0.1443682</v>
      </c>
      <c r="U7000">
        <v>5.5328370000000002E-2</v>
      </c>
      <c r="V7000">
        <v>2.1674390000000002E-2</v>
      </c>
      <c r="W7000">
        <v>-1.7885680000000001E-2</v>
      </c>
      <c r="X7000">
        <v>0.99960510000000002</v>
      </c>
      <c r="Y7000">
        <v>-8.4824369999999996E-2</v>
      </c>
      <c r="Z7000">
        <v>5.2212409999999997E-3</v>
      </c>
      <c r="AA7000">
        <v>0.9963822</v>
      </c>
      <c r="AB7000">
        <v>21</v>
      </c>
      <c r="AC7000">
        <v>23.059699999999999</v>
      </c>
      <c r="AD7000">
        <v>-1.10965219681099</v>
      </c>
      <c r="AE7000">
        <v>0.43207999999999902</v>
      </c>
      <c r="AF7000">
        <v>-1.9645836166856301</v>
      </c>
      <c r="AG7000">
        <v>-1.10965219681099</v>
      </c>
      <c r="AH7000">
        <v>22.926463682019101</v>
      </c>
      <c r="AI7000">
        <v>92.760879546322002</v>
      </c>
      <c r="AJ7000">
        <v>94.897748204401495</v>
      </c>
      <c r="AK7000">
        <v>23.0372232212951</v>
      </c>
      <c r="AL7000">
        <v>91.024828605956301</v>
      </c>
      <c r="AM7000">
        <v>88.757852969675099</v>
      </c>
      <c r="AN7000">
        <v>1.0000000163384699</v>
      </c>
    </row>
    <row r="7001" spans="1:40" x14ac:dyDescent="0.25">
      <c r="A7001" t="str">
        <f>"20190312160824393"</f>
        <v>20190312160824393</v>
      </c>
      <c r="B7001" t="str">
        <f>"1552378104382685"</f>
        <v>1552378104382685</v>
      </c>
      <c r="C7001" t="s">
        <v>40</v>
      </c>
      <c r="D7001">
        <v>6.3173279999999998</v>
      </c>
      <c r="E7001">
        <v>0.45934469999999999</v>
      </c>
      <c r="F7001" t="s">
        <v>112</v>
      </c>
      <c r="G7001">
        <v>-248.6069</v>
      </c>
      <c r="H7001" s="1">
        <v>-3.286469E-6</v>
      </c>
      <c r="I7001">
        <v>-63.108930000000001</v>
      </c>
      <c r="J7001">
        <v>-271.28480000000002</v>
      </c>
      <c r="K7001">
        <v>1.109648</v>
      </c>
      <c r="L7001">
        <v>-63.564300000000003</v>
      </c>
      <c r="M7001">
        <v>0.99777590000000005</v>
      </c>
      <c r="N7001">
        <v>0</v>
      </c>
      <c r="O7001">
        <v>-6.6181030000000002E-2</v>
      </c>
      <c r="P7001">
        <v>0.99578449999999996</v>
      </c>
      <c r="Q7001">
        <v>-2.5894919999999998E-2</v>
      </c>
      <c r="R7001">
        <v>-8.7994459999999997E-2</v>
      </c>
      <c r="S7001">
        <v>3.014221</v>
      </c>
      <c r="T7001">
        <v>-0.14677860000000001</v>
      </c>
      <c r="U7001">
        <v>5.9326169999999998E-2</v>
      </c>
      <c r="V7001">
        <v>2.192185E-2</v>
      </c>
      <c r="W7001">
        <v>-1.790572E-2</v>
      </c>
      <c r="X7001">
        <v>0.99959929999999997</v>
      </c>
      <c r="Y7001">
        <v>-8.5625660000000006E-2</v>
      </c>
      <c r="Z7001">
        <v>5.3026970000000003E-3</v>
      </c>
      <c r="AA7001">
        <v>0.99631329999999996</v>
      </c>
      <c r="AB7001">
        <v>21</v>
      </c>
      <c r="AC7001">
        <v>22.677900000000001</v>
      </c>
      <c r="AD7001">
        <v>-1.109651286469</v>
      </c>
      <c r="AE7001">
        <v>0.455369999999995</v>
      </c>
      <c r="AF7001">
        <v>-1.9505975879235899</v>
      </c>
      <c r="AG7001">
        <v>-1.109651286469</v>
      </c>
      <c r="AH7001">
        <v>22.5440865841522</v>
      </c>
      <c r="AI7001">
        <v>92.8074314744768</v>
      </c>
      <c r="AJ7001">
        <v>94.945126563438805</v>
      </c>
      <c r="AK7001">
        <v>22.655506987073299</v>
      </c>
      <c r="AL7001">
        <v>91.025977043334805</v>
      </c>
      <c r="AM7001">
        <v>88.743668409384796</v>
      </c>
      <c r="AN7001">
        <v>0.99999997143831498</v>
      </c>
    </row>
    <row r="7002" spans="1:40" x14ac:dyDescent="0.25">
      <c r="A7002" t="str">
        <f>"20190312160824405"</f>
        <v>20190312160824405</v>
      </c>
      <c r="B7002" t="str">
        <f>"1552378104392446"</f>
        <v>1552378104392446</v>
      </c>
      <c r="C7002" t="s">
        <v>40</v>
      </c>
      <c r="D7002">
        <v>6.257517</v>
      </c>
      <c r="E7002">
        <v>0.45906710000000001</v>
      </c>
      <c r="F7002" t="s">
        <v>112</v>
      </c>
      <c r="G7002">
        <v>-248.81780000000001</v>
      </c>
      <c r="H7002" s="1">
        <v>-3.3571349999999999E-6</v>
      </c>
      <c r="I7002">
        <v>-63.102730000000001</v>
      </c>
      <c r="J7002">
        <v>-271.17829999999998</v>
      </c>
      <c r="K7002">
        <v>1.1096469999999901</v>
      </c>
      <c r="L7002">
        <v>-63.570830000000001</v>
      </c>
      <c r="M7002">
        <v>0.9978091</v>
      </c>
      <c r="N7002">
        <v>0</v>
      </c>
      <c r="O7002">
        <v>-6.568301E-2</v>
      </c>
      <c r="P7002">
        <v>0.99580290000000005</v>
      </c>
      <c r="Q7002">
        <v>-2.5928400000000001E-2</v>
      </c>
      <c r="R7002">
        <v>-8.7775489999999998E-2</v>
      </c>
      <c r="S7002">
        <v>3.0143430000000002</v>
      </c>
      <c r="T7002">
        <v>-0.14887979999999901</v>
      </c>
      <c r="U7002">
        <v>6.1920169999999997E-2</v>
      </c>
      <c r="V7002">
        <v>2.22013E-2</v>
      </c>
      <c r="W7002">
        <v>-1.7959559999999999E-2</v>
      </c>
      <c r="X7002">
        <v>0.99959219999999904</v>
      </c>
      <c r="Y7002">
        <v>-8.5979600000000003E-2</v>
      </c>
      <c r="Z7002">
        <v>5.3624600000000003E-3</v>
      </c>
      <c r="AA7002">
        <v>0.99628249999999996</v>
      </c>
      <c r="AB7002">
        <v>21</v>
      </c>
      <c r="AC7002">
        <v>22.360499999999899</v>
      </c>
      <c r="AD7002">
        <v>-1.1096503571349901</v>
      </c>
      <c r="AE7002">
        <v>0.46809999999999902</v>
      </c>
      <c r="AF7002">
        <v>-1.9310865358407401</v>
      </c>
      <c r="AG7002">
        <v>-1.1096503571349901</v>
      </c>
      <c r="AH7002">
        <v>22.2267496089814</v>
      </c>
      <c r="AI7002">
        <v>92.847358550719207</v>
      </c>
      <c r="AJ7002">
        <v>94.965457105854497</v>
      </c>
      <c r="AK7002">
        <v>22.3380575991815</v>
      </c>
      <c r="AL7002">
        <v>91.02906230987</v>
      </c>
      <c r="AM7002">
        <v>88.727649449751297</v>
      </c>
      <c r="AN7002">
        <v>1.0000000049089599</v>
      </c>
    </row>
    <row r="7003" spans="1:40" x14ac:dyDescent="0.25">
      <c r="A7003" t="str">
        <f>"20190312160824418"</f>
        <v>20190312160824418</v>
      </c>
      <c r="B7003" t="str">
        <f>"1552378104412941"</f>
        <v>1552378104412941</v>
      </c>
      <c r="C7003" t="s">
        <v>40</v>
      </c>
      <c r="D7003">
        <v>6.2999450000000001</v>
      </c>
      <c r="E7003">
        <v>0.45862520000000001</v>
      </c>
      <c r="F7003" t="s">
        <v>112</v>
      </c>
      <c r="G7003">
        <v>-248.65690000000001</v>
      </c>
      <c r="H7003" s="1">
        <v>-3.299566E-6</v>
      </c>
      <c r="I7003">
        <v>-63.086959999999998</v>
      </c>
      <c r="J7003">
        <v>-271.04489999999998</v>
      </c>
      <c r="K7003">
        <v>1.109639</v>
      </c>
      <c r="L7003">
        <v>-63.578919999999997</v>
      </c>
      <c r="M7003">
        <v>0.99785020000000002</v>
      </c>
      <c r="N7003">
        <v>0</v>
      </c>
      <c r="O7003">
        <v>-6.5058019999999994E-2</v>
      </c>
      <c r="P7003">
        <v>0.99581909999999896</v>
      </c>
      <c r="Q7003">
        <v>-2.6267470000000001E-2</v>
      </c>
      <c r="R7003">
        <v>-8.7491280000000005E-2</v>
      </c>
      <c r="S7003">
        <v>3.0144959999999998</v>
      </c>
      <c r="T7003">
        <v>-0.14852650000000001</v>
      </c>
      <c r="U7003">
        <v>6.4758300000000005E-2</v>
      </c>
      <c r="V7003">
        <v>2.2543250000000001E-2</v>
      </c>
      <c r="W7003">
        <v>-1.8324779999999999E-2</v>
      </c>
      <c r="X7003">
        <v>0.99957790000000002</v>
      </c>
      <c r="Y7003">
        <v>-8.6293389999999998E-2</v>
      </c>
      <c r="Z7003">
        <v>5.326445E-3</v>
      </c>
      <c r="AA7003">
        <v>0.99625549999999996</v>
      </c>
      <c r="AB7003">
        <v>22</v>
      </c>
      <c r="AC7003">
        <v>22.387999999999899</v>
      </c>
      <c r="AD7003">
        <v>-1.109642299566</v>
      </c>
      <c r="AE7003">
        <v>0.49195999999999801</v>
      </c>
      <c r="AF7003">
        <v>-1.9427119566739399</v>
      </c>
      <c r="AG7003">
        <v>-1.109642299566</v>
      </c>
      <c r="AH7003">
        <v>22.253918022338201</v>
      </c>
      <c r="AI7003">
        <v>92.843765315675299</v>
      </c>
      <c r="AJ7003">
        <v>94.9891315563208</v>
      </c>
      <c r="AK7003">
        <v>22.366097181326399</v>
      </c>
      <c r="AL7003">
        <v>91.049991337915102</v>
      </c>
      <c r="AM7003">
        <v>88.708040502246703</v>
      </c>
      <c r="AN7003">
        <v>0.99999998692550995</v>
      </c>
    </row>
    <row r="7004" spans="1:40" x14ac:dyDescent="0.25">
      <c r="A7004" t="str">
        <f>"20190312160824430"</f>
        <v>20190312160824430</v>
      </c>
      <c r="B7004" t="str">
        <f>"1552378104422701"</f>
        <v>1552378104422701</v>
      </c>
      <c r="C7004" t="s">
        <v>40</v>
      </c>
      <c r="D7004">
        <v>6.1740589999999997</v>
      </c>
      <c r="E7004">
        <v>0.4584683</v>
      </c>
      <c r="F7004" t="s">
        <v>112</v>
      </c>
      <c r="G7004">
        <v>-248.83529999999999</v>
      </c>
      <c r="H7004" s="1">
        <v>-3.3570819999999999E-6</v>
      </c>
      <c r="I7004">
        <v>-63.068950000000001</v>
      </c>
      <c r="J7004">
        <v>-270.92140000000001</v>
      </c>
      <c r="K7004">
        <v>1.1096360000000001</v>
      </c>
      <c r="L7004">
        <v>-63.586359999999999</v>
      </c>
      <c r="M7004">
        <v>0.997888</v>
      </c>
      <c r="N7004">
        <v>0</v>
      </c>
      <c r="O7004">
        <v>-6.4479519999999999E-2</v>
      </c>
      <c r="P7004">
        <v>0.99581710000000001</v>
      </c>
      <c r="Q7004">
        <v>-2.6506080000000001E-2</v>
      </c>
      <c r="R7004">
        <v>-8.7440970000000007E-2</v>
      </c>
      <c r="S7004">
        <v>3.0147089999999999</v>
      </c>
      <c r="T7004">
        <v>-0.15062149999999999</v>
      </c>
      <c r="U7004">
        <v>6.9213869999999997E-2</v>
      </c>
      <c r="V7004">
        <v>2.3073179999999999E-2</v>
      </c>
      <c r="W7004">
        <v>-1.8588460000000001E-2</v>
      </c>
      <c r="X7004">
        <v>0.99956100000000003</v>
      </c>
      <c r="Y7004">
        <v>-8.7180380000000002E-2</v>
      </c>
      <c r="Z7004">
        <v>5.3943430000000002E-3</v>
      </c>
      <c r="AA7004">
        <v>0.99617789999999995</v>
      </c>
      <c r="AB7004">
        <v>22</v>
      </c>
      <c r="AC7004">
        <v>22.086099999999998</v>
      </c>
      <c r="AD7004">
        <v>-1.109639357082</v>
      </c>
      <c r="AE7004">
        <v>0.51740999999999804</v>
      </c>
      <c r="AF7004">
        <v>-1.9355952748499801</v>
      </c>
      <c r="AG7004">
        <v>-1.109639357082</v>
      </c>
      <c r="AH7004">
        <v>21.9513937156668</v>
      </c>
      <c r="AI7004">
        <v>92.882663297461605</v>
      </c>
      <c r="AJ7004">
        <v>95.039103776960204</v>
      </c>
      <c r="AK7004">
        <v>22.064485369729798</v>
      </c>
      <c r="AL7004">
        <v>91.065101598527093</v>
      </c>
      <c r="AM7004">
        <v>88.677658386854205</v>
      </c>
      <c r="AN7004">
        <v>1.00000004760074</v>
      </c>
    </row>
    <row r="7005" spans="1:40" x14ac:dyDescent="0.25">
      <c r="A7005" t="str">
        <f>"20190312160824451"</f>
        <v>20190312160824451</v>
      </c>
      <c r="B7005" t="str">
        <f>"1552378104442221"</f>
        <v>1552378104442221</v>
      </c>
      <c r="C7005" t="s">
        <v>40</v>
      </c>
      <c r="D7005">
        <v>6.2920769999999999</v>
      </c>
      <c r="E7005">
        <v>0.4582794</v>
      </c>
      <c r="F7005" t="s">
        <v>112</v>
      </c>
      <c r="G7005">
        <v>-249.1251</v>
      </c>
      <c r="H7005" s="1">
        <v>-3.4567420000000002E-6</v>
      </c>
      <c r="I7005">
        <v>-63.074860000000001</v>
      </c>
      <c r="J7005">
        <v>-270.71839999999997</v>
      </c>
      <c r="K7005">
        <v>1.109632</v>
      </c>
      <c r="L7005">
        <v>-63.598390000000002</v>
      </c>
      <c r="M7005">
        <v>0.99794939999999999</v>
      </c>
      <c r="N7005">
        <v>0</v>
      </c>
      <c r="O7005">
        <v>-6.3527260000000002E-2</v>
      </c>
      <c r="P7005">
        <v>0.99581489999999995</v>
      </c>
      <c r="Q7005">
        <v>-2.6535980000000001E-2</v>
      </c>
      <c r="R7005">
        <v>-8.7459019999999998E-2</v>
      </c>
      <c r="S7005">
        <v>3.0147400000000002</v>
      </c>
      <c r="T7005">
        <v>-0.15347859999999999</v>
      </c>
      <c r="U7005">
        <v>7.0739750000000004E-2</v>
      </c>
      <c r="V7005">
        <v>2.4045219999999999E-2</v>
      </c>
      <c r="W7005">
        <v>-1.8659289999999999E-2</v>
      </c>
      <c r="X7005">
        <v>0.99953669999999994</v>
      </c>
      <c r="Y7005">
        <v>-8.6728029999999998E-2</v>
      </c>
      <c r="Z7005">
        <v>5.4365689999999996E-3</v>
      </c>
      <c r="AA7005">
        <v>0.99621720000000002</v>
      </c>
      <c r="AB7005">
        <v>22</v>
      </c>
      <c r="AC7005">
        <v>21.5932999999999</v>
      </c>
      <c r="AD7005">
        <v>-1.1096354567419999</v>
      </c>
      <c r="AE7005">
        <v>0.52353000000000005</v>
      </c>
      <c r="AF7005">
        <v>-1.8892915145572799</v>
      </c>
      <c r="AG7005">
        <v>-1.1096354567419999</v>
      </c>
      <c r="AH7005">
        <v>21.459785623266701</v>
      </c>
      <c r="AI7005">
        <v>92.9486101959953</v>
      </c>
      <c r="AJ7005">
        <v>95.0312735798218</v>
      </c>
      <c r="AK7005">
        <v>21.571349338194</v>
      </c>
      <c r="AL7005">
        <v>91.069160636615095</v>
      </c>
      <c r="AM7005">
        <v>88.621937588309706</v>
      </c>
      <c r="AN7005">
        <v>0.99999997817752095</v>
      </c>
    </row>
    <row r="7006" spans="1:40" x14ac:dyDescent="0.25">
      <c r="A7006" t="str">
        <f>"20190312160824460"</f>
        <v>20190312160824460</v>
      </c>
      <c r="B7006" t="str">
        <f>"1552378104452959"</f>
        <v>1552378104452959</v>
      </c>
      <c r="C7006" t="s">
        <v>40</v>
      </c>
      <c r="D7006">
        <v>6.1240410000000001</v>
      </c>
      <c r="E7006">
        <v>0.45799620000000002</v>
      </c>
      <c r="F7006" t="s">
        <v>112</v>
      </c>
      <c r="G7006">
        <v>-248.82050000000001</v>
      </c>
      <c r="H7006" s="1">
        <v>-3.3529000000000001E-6</v>
      </c>
      <c r="I7006">
        <v>-63.073659999999997</v>
      </c>
      <c r="J7006">
        <v>-270.6336</v>
      </c>
      <c r="K7006">
        <v>1.1096299999999999</v>
      </c>
      <c r="L7006">
        <v>-63.603360000000002</v>
      </c>
      <c r="M7006">
        <v>0.99797480000000005</v>
      </c>
      <c r="N7006">
        <v>0</v>
      </c>
      <c r="O7006">
        <v>-6.312856E-2</v>
      </c>
      <c r="P7006">
        <v>0.99582309999999996</v>
      </c>
      <c r="Q7006">
        <v>-2.6417449999999999E-2</v>
      </c>
      <c r="R7006">
        <v>-8.7399809999999994E-2</v>
      </c>
      <c r="S7006">
        <v>3.0148619999999999</v>
      </c>
      <c r="T7006">
        <v>-0.15277289999999999</v>
      </c>
      <c r="U7006">
        <v>7.2235110000000005E-2</v>
      </c>
      <c r="V7006">
        <v>2.4384840000000001E-2</v>
      </c>
      <c r="W7006">
        <v>-1.8556840000000002E-2</v>
      </c>
      <c r="X7006">
        <v>0.99953040000000004</v>
      </c>
      <c r="Y7006">
        <v>-8.6825120000000006E-2</v>
      </c>
      <c r="Z7006">
        <v>5.393658E-3</v>
      </c>
      <c r="AA7006">
        <v>0.99620900000000001</v>
      </c>
      <c r="AB7006">
        <v>22</v>
      </c>
      <c r="AC7006">
        <v>21.813099999999899</v>
      </c>
      <c r="AD7006">
        <v>-1.1096333529</v>
      </c>
      <c r="AE7006">
        <v>0.52969999999999795</v>
      </c>
      <c r="AF7006">
        <v>-1.9007991327654501</v>
      </c>
      <c r="AG7006">
        <v>-1.1096333529</v>
      </c>
      <c r="AH7006">
        <v>21.6800789748523</v>
      </c>
      <c r="AI7006">
        <v>92.918788042054302</v>
      </c>
      <c r="AJ7006">
        <v>95.010590325506101</v>
      </c>
      <c r="AK7006">
        <v>21.7915155020669</v>
      </c>
      <c r="AL7006">
        <v>91.063289645596399</v>
      </c>
      <c r="AM7006">
        <v>88.602472390587593</v>
      </c>
      <c r="AN7006">
        <v>0.99999999862838496</v>
      </c>
    </row>
    <row r="7007" spans="1:40" x14ac:dyDescent="0.25">
      <c r="A7007" t="str">
        <f>"20190312160824470"</f>
        <v>20190312160824470</v>
      </c>
      <c r="B7007" t="str">
        <f>"1552378104462717"</f>
        <v>1552378104462717</v>
      </c>
      <c r="C7007" t="s">
        <v>40</v>
      </c>
      <c r="D7007">
        <v>6.1627330000000002</v>
      </c>
      <c r="E7007">
        <v>0.45772780000000002</v>
      </c>
      <c r="F7007" t="s">
        <v>112</v>
      </c>
      <c r="G7007">
        <v>-248.80719999999999</v>
      </c>
      <c r="H7007" s="1">
        <v>-3.3464179999999999E-6</v>
      </c>
      <c r="I7007">
        <v>-63.062710000000003</v>
      </c>
      <c r="J7007">
        <v>-270.53410000000002</v>
      </c>
      <c r="K7007">
        <v>1.109629</v>
      </c>
      <c r="L7007">
        <v>-63.609189999999998</v>
      </c>
      <c r="M7007">
        <v>0.99800440000000001</v>
      </c>
      <c r="N7007">
        <v>0</v>
      </c>
      <c r="O7007">
        <v>-6.266012E-2</v>
      </c>
      <c r="P7007">
        <v>0.99583350000000004</v>
      </c>
      <c r="Q7007">
        <v>-2.6503809999999999E-2</v>
      </c>
      <c r="R7007">
        <v>-8.7255750000000007E-2</v>
      </c>
      <c r="S7007">
        <v>3.0150760000000001</v>
      </c>
      <c r="T7007">
        <v>-0.15328320000000001</v>
      </c>
      <c r="U7007">
        <v>7.4676510000000001E-2</v>
      </c>
      <c r="V7007">
        <v>2.4709729999999999E-2</v>
      </c>
      <c r="W7007">
        <v>-1.8661759999999999E-2</v>
      </c>
      <c r="X7007">
        <v>0.99952050000000003</v>
      </c>
      <c r="Y7007">
        <v>-8.7160920000000003E-2</v>
      </c>
      <c r="Z7007">
        <v>5.3959949999999998E-3</v>
      </c>
      <c r="AA7007">
        <v>0.99617960000000005</v>
      </c>
      <c r="AB7007">
        <v>22</v>
      </c>
      <c r="AC7007">
        <v>21.726900000000001</v>
      </c>
      <c r="AD7007">
        <v>-1.109632346418</v>
      </c>
      <c r="AE7007">
        <v>0.54648000000000896</v>
      </c>
      <c r="AF7007">
        <v>-1.90190004785684</v>
      </c>
      <c r="AG7007">
        <v>-1.109632346418</v>
      </c>
      <c r="AH7007">
        <v>21.593671009343701</v>
      </c>
      <c r="AI7007">
        <v>92.930342221362295</v>
      </c>
      <c r="AJ7007">
        <v>95.033436381493004</v>
      </c>
      <c r="AK7007">
        <v>21.705647546111699</v>
      </c>
      <c r="AL7007">
        <v>91.069302125369703</v>
      </c>
      <c r="AM7007">
        <v>88.583846024283503</v>
      </c>
      <c r="AN7007">
        <v>1.0000000309816</v>
      </c>
    </row>
    <row r="7008" spans="1:40" x14ac:dyDescent="0.25">
      <c r="A7008" t="str">
        <f>"20190312160824482"</f>
        <v>20190312160824482</v>
      </c>
      <c r="B7008" t="str">
        <f>"1552378104472478"</f>
        <v>1552378104472478</v>
      </c>
      <c r="C7008" t="s">
        <v>40</v>
      </c>
      <c r="D7008">
        <v>6.1193200000000001</v>
      </c>
      <c r="E7008">
        <v>0.45746019999999998</v>
      </c>
      <c r="F7008" t="s">
        <v>112</v>
      </c>
      <c r="G7008">
        <v>-248.8425</v>
      </c>
      <c r="H7008" s="1">
        <v>-3.3567450000000002E-6</v>
      </c>
      <c r="I7008">
        <v>-63.053249999999998</v>
      </c>
      <c r="J7008">
        <v>-270.42570000000001</v>
      </c>
      <c r="K7008">
        <v>1.1096280000000001</v>
      </c>
      <c r="L7008">
        <v>-63.615419999999901</v>
      </c>
      <c r="M7008">
        <v>0.99803660000000005</v>
      </c>
      <c r="N7008">
        <v>0</v>
      </c>
      <c r="O7008">
        <v>-6.214828E-2</v>
      </c>
      <c r="P7008">
        <v>0.99586339999999995</v>
      </c>
      <c r="Q7008">
        <v>-2.6399949999999998E-2</v>
      </c>
      <c r="R7008">
        <v>-8.694317E-2</v>
      </c>
      <c r="S7008">
        <v>3.015228</v>
      </c>
      <c r="T7008">
        <v>-0.15424389999999999</v>
      </c>
      <c r="U7008">
        <v>7.7270510000000001E-2</v>
      </c>
      <c r="V7008">
        <v>2.49085E-2</v>
      </c>
      <c r="W7008">
        <v>-1.8576470000000001E-2</v>
      </c>
      <c r="X7008">
        <v>0.99951710000000005</v>
      </c>
      <c r="Y7008">
        <v>-8.7503029999999996E-2</v>
      </c>
      <c r="Z7008">
        <v>5.4120660000000001E-3</v>
      </c>
      <c r="AA7008">
        <v>0.99614950000000002</v>
      </c>
      <c r="AB7008">
        <v>22</v>
      </c>
      <c r="AC7008">
        <v>21.583200000000001</v>
      </c>
      <c r="AD7008">
        <v>-1.109631356745</v>
      </c>
      <c r="AE7008">
        <v>0.56216999999999395</v>
      </c>
      <c r="AF7008">
        <v>-1.8974706328636699</v>
      </c>
      <c r="AG7008">
        <v>-1.109631356745</v>
      </c>
      <c r="AH7008">
        <v>21.449879292395501</v>
      </c>
      <c r="AI7008">
        <v>92.949849875708694</v>
      </c>
      <c r="AJ7008">
        <v>95.055263984193004</v>
      </c>
      <c r="AK7008">
        <v>21.562212275385601</v>
      </c>
      <c r="AL7008">
        <v>91.064414579850407</v>
      </c>
      <c r="AM7008">
        <v>88.572454040174804</v>
      </c>
      <c r="AN7008">
        <v>0.99999997590115997</v>
      </c>
    </row>
    <row r="7009" spans="1:40" x14ac:dyDescent="0.25">
      <c r="A7009" t="str">
        <f>"20190312160824492"</f>
        <v>20190312160824492</v>
      </c>
      <c r="B7009" t="str">
        <f>"1552378104482237"</f>
        <v>1552378104482237</v>
      </c>
      <c r="C7009" t="s">
        <v>40</v>
      </c>
      <c r="D7009">
        <v>6.2777629999999904</v>
      </c>
      <c r="E7009">
        <v>0.45719670000000001</v>
      </c>
      <c r="F7009" t="s">
        <v>112</v>
      </c>
      <c r="G7009">
        <v>-248.8544</v>
      </c>
      <c r="H7009" s="1">
        <v>-3.3585300000000001E-6</v>
      </c>
      <c r="I7009">
        <v>-63.040520000000001</v>
      </c>
      <c r="J7009">
        <v>-270.32029999999997</v>
      </c>
      <c r="K7009">
        <v>1.1096280000000001</v>
      </c>
      <c r="L7009">
        <v>-63.621459999999999</v>
      </c>
      <c r="M7009">
        <v>0.99806760000000005</v>
      </c>
      <c r="N7009">
        <v>0</v>
      </c>
      <c r="O7009">
        <v>-6.1650150000000001E-2</v>
      </c>
      <c r="P7009">
        <v>0.99587899999999996</v>
      </c>
      <c r="Q7009">
        <v>-2.6589310000000001E-2</v>
      </c>
      <c r="R7009">
        <v>-8.670899E-2</v>
      </c>
      <c r="S7009">
        <v>3.0153500000000002</v>
      </c>
      <c r="T7009">
        <v>-0.1551099</v>
      </c>
      <c r="U7009">
        <v>8.0352779999999999E-2</v>
      </c>
      <c r="V7009">
        <v>2.5172949999999999E-2</v>
      </c>
      <c r="W7009">
        <v>-1.8783069999999999E-2</v>
      </c>
      <c r="X7009">
        <v>0.99950669999999997</v>
      </c>
      <c r="Y7009">
        <v>-8.8020150000000005E-2</v>
      </c>
      <c r="Z7009">
        <v>5.4298549999999999E-3</v>
      </c>
      <c r="AA7009">
        <v>0.99610390000000004</v>
      </c>
      <c r="AB7009">
        <v>22</v>
      </c>
      <c r="AC7009">
        <v>21.465899999999898</v>
      </c>
      <c r="AD7009">
        <v>-1.1096313585299999</v>
      </c>
      <c r="AE7009">
        <v>0.58094000000000501</v>
      </c>
      <c r="AF7009">
        <v>-1.8981822571415701</v>
      </c>
      <c r="AG7009">
        <v>-1.1096313585299999</v>
      </c>
      <c r="AH7009">
        <v>21.332288272900001</v>
      </c>
      <c r="AI7009">
        <v>92.965945743618803</v>
      </c>
      <c r="AJ7009">
        <v>95.084881101414496</v>
      </c>
      <c r="AK7009">
        <v>21.445300198208201</v>
      </c>
      <c r="AL7009">
        <v>91.076253861032498</v>
      </c>
      <c r="AM7009">
        <v>88.557289354508001</v>
      </c>
      <c r="AN7009">
        <v>1.0000000622376</v>
      </c>
    </row>
    <row r="7010" spans="1:40" x14ac:dyDescent="0.25">
      <c r="A7010" t="str">
        <f>"20190312160824503"</f>
        <v>20190312160824503</v>
      </c>
      <c r="B7010" t="str">
        <f>"1552378104491997"</f>
        <v>1552378104491997</v>
      </c>
      <c r="C7010" t="s">
        <v>40</v>
      </c>
      <c r="D7010">
        <v>6.3264389999999997</v>
      </c>
      <c r="E7010">
        <v>0.45691330000000002</v>
      </c>
      <c r="F7010" t="s">
        <v>112</v>
      </c>
      <c r="G7010">
        <v>-249.03620000000001</v>
      </c>
      <c r="H7010" s="1">
        <v>-3.4191609999999998E-6</v>
      </c>
      <c r="I7010">
        <v>-63.033569999999997</v>
      </c>
      <c r="J7010">
        <v>-270.21519999999998</v>
      </c>
      <c r="K7010">
        <v>1.109629</v>
      </c>
      <c r="L7010">
        <v>-63.627409999999998</v>
      </c>
      <c r="M7010">
        <v>0.99809859999999995</v>
      </c>
      <c r="N7010">
        <v>0</v>
      </c>
      <c r="O7010">
        <v>-6.1149509999999997E-2</v>
      </c>
      <c r="P7010">
        <v>0.99589649999999996</v>
      </c>
      <c r="Q7010">
        <v>-2.7060890000000001E-2</v>
      </c>
      <c r="R7010">
        <v>-8.6361889999999997E-2</v>
      </c>
      <c r="S7010">
        <v>3.0154719999999999</v>
      </c>
      <c r="T7010">
        <v>-0.15720880000000001</v>
      </c>
      <c r="U7010">
        <v>8.3282469999999997E-2</v>
      </c>
      <c r="V7010">
        <v>2.5327530000000001E-2</v>
      </c>
      <c r="W7010">
        <v>-1.9272439999999998E-2</v>
      </c>
      <c r="X7010">
        <v>0.99949339999999998</v>
      </c>
      <c r="Y7010">
        <v>-8.8481169999999998E-2</v>
      </c>
      <c r="Z7010">
        <v>5.4889149999999996E-3</v>
      </c>
      <c r="AA7010">
        <v>0.99606280000000003</v>
      </c>
      <c r="AB7010">
        <v>22</v>
      </c>
      <c r="AC7010">
        <v>21.178999999999899</v>
      </c>
      <c r="AD7010">
        <v>-1.1096324191609901</v>
      </c>
      <c r="AE7010">
        <v>0.59384000000000003</v>
      </c>
      <c r="AF7010">
        <v>-1.8826889268095801</v>
      </c>
      <c r="AG7010">
        <v>-1.1096324191609901</v>
      </c>
      <c r="AH7010">
        <v>21.045324801213599</v>
      </c>
      <c r="AI7010">
        <v>93.006190339009393</v>
      </c>
      <c r="AJ7010">
        <v>95.112002194840798</v>
      </c>
      <c r="AK7010">
        <v>21.158485240899498</v>
      </c>
      <c r="AL7010">
        <v>91.1042978591326</v>
      </c>
      <c r="AM7010">
        <v>88.548414545988194</v>
      </c>
      <c r="AN7010">
        <v>0.999999983681507</v>
      </c>
    </row>
    <row r="7011" spans="1:40" x14ac:dyDescent="0.25">
      <c r="A7011" t="str">
        <f>"20190312160824514"</f>
        <v>20190312160824514</v>
      </c>
      <c r="B7011" t="str">
        <f>"1552378104502733"</f>
        <v>1552378104502733</v>
      </c>
      <c r="C7011" t="s">
        <v>40</v>
      </c>
      <c r="D7011">
        <v>6.1838150000000001</v>
      </c>
      <c r="E7011">
        <v>0.45669670000000001</v>
      </c>
      <c r="F7011" t="s">
        <v>112</v>
      </c>
      <c r="G7011">
        <v>-249.50389999999999</v>
      </c>
      <c r="H7011" s="1">
        <v>-3.578075E-6</v>
      </c>
      <c r="I7011">
        <v>-63.032069999999997</v>
      </c>
      <c r="J7011">
        <v>-270.10899999999998</v>
      </c>
      <c r="K7011">
        <v>1.1096299999999999</v>
      </c>
      <c r="L7011">
        <v>-63.633389999999999</v>
      </c>
      <c r="M7011">
        <v>0.9981295</v>
      </c>
      <c r="N7011">
        <v>0</v>
      </c>
      <c r="O7011">
        <v>-6.0643740000000002E-2</v>
      </c>
      <c r="P7011">
        <v>0.99590489999999998</v>
      </c>
      <c r="Q7011">
        <v>-2.734601E-2</v>
      </c>
      <c r="R7011">
        <v>-8.6175230000000005E-2</v>
      </c>
      <c r="S7011">
        <v>3.0154719999999999</v>
      </c>
      <c r="T7011">
        <v>-0.1615576</v>
      </c>
      <c r="U7011">
        <v>8.6669919999999998E-2</v>
      </c>
      <c r="V7011">
        <v>2.5647639999999999E-2</v>
      </c>
      <c r="W7011">
        <v>-1.9575309999999999E-2</v>
      </c>
      <c r="X7011">
        <v>0.99947940000000002</v>
      </c>
      <c r="Y7011">
        <v>-8.9082949999999994E-2</v>
      </c>
      <c r="Z7011">
        <v>5.6295340000000003E-3</v>
      </c>
      <c r="AA7011">
        <v>0.99600829999999996</v>
      </c>
      <c r="AB7011">
        <v>22</v>
      </c>
      <c r="AC7011">
        <v>20.6051</v>
      </c>
      <c r="AD7011">
        <v>-1.109633578075</v>
      </c>
      <c r="AE7011">
        <v>0.60132000000000796</v>
      </c>
      <c r="AF7011">
        <v>-1.84447632955078</v>
      </c>
      <c r="AG7011">
        <v>-1.109633578075</v>
      </c>
      <c r="AH7011">
        <v>20.471388024064801</v>
      </c>
      <c r="AI7011">
        <v>93.090137916744098</v>
      </c>
      <c r="AJ7011">
        <v>95.148459899191494</v>
      </c>
      <c r="AK7011">
        <v>20.584244150312799</v>
      </c>
      <c r="AL7011">
        <v>91.121654251822804</v>
      </c>
      <c r="AM7011">
        <v>88.530055642275997</v>
      </c>
      <c r="AN7011">
        <v>1.00000003261176</v>
      </c>
    </row>
    <row r="7012" spans="1:40" x14ac:dyDescent="0.25">
      <c r="A7012" t="str">
        <f>"20190312160824525"</f>
        <v>20190312160824525</v>
      </c>
      <c r="B7012" t="str">
        <f>"1552378104522253"</f>
        <v>1552378104522253</v>
      </c>
      <c r="C7012" t="s">
        <v>40</v>
      </c>
      <c r="D7012">
        <v>6.1463109999999999</v>
      </c>
      <c r="E7012">
        <v>0.4562618</v>
      </c>
      <c r="F7012" t="s">
        <v>112</v>
      </c>
      <c r="G7012">
        <v>-249.63079999999999</v>
      </c>
      <c r="H7012" s="1">
        <v>-3.620727E-6</v>
      </c>
      <c r="I7012">
        <v>-63.029020000000003</v>
      </c>
      <c r="J7012">
        <v>-269.99669999999998</v>
      </c>
      <c r="K7012">
        <v>1.109631</v>
      </c>
      <c r="L7012">
        <v>-63.639620000000001</v>
      </c>
      <c r="M7012">
        <v>0.99816229999999995</v>
      </c>
      <c r="N7012">
        <v>0</v>
      </c>
      <c r="O7012">
        <v>-6.0103749999999997E-2</v>
      </c>
      <c r="P7012">
        <v>0.99592449999999999</v>
      </c>
      <c r="Q7012">
        <v>-2.748592E-2</v>
      </c>
      <c r="R7012">
        <v>-8.5900130000000005E-2</v>
      </c>
      <c r="S7012">
        <v>3.0155639999999999</v>
      </c>
      <c r="T7012">
        <v>-0.16340160000000001</v>
      </c>
      <c r="U7012">
        <v>8.8989260000000001E-2</v>
      </c>
      <c r="V7012">
        <v>2.5913309999999998E-2</v>
      </c>
      <c r="W7012">
        <v>-1.973476E-2</v>
      </c>
      <c r="X7012">
        <v>0.99946939999999995</v>
      </c>
      <c r="Y7012">
        <v>-8.9304199999999903E-2</v>
      </c>
      <c r="Z7012">
        <v>5.6702619999999997E-3</v>
      </c>
      <c r="AA7012">
        <v>0.99598819999999999</v>
      </c>
      <c r="AB7012">
        <v>22</v>
      </c>
      <c r="AC7012">
        <v>20.3658999999999</v>
      </c>
      <c r="AD7012">
        <v>-1.109634620727</v>
      </c>
      <c r="AE7012">
        <v>0.61059999999999703</v>
      </c>
      <c r="AF7012">
        <v>-1.8281772032639101</v>
      </c>
      <c r="AG7012">
        <v>-1.109634620727</v>
      </c>
      <c r="AH7012">
        <v>20.232370546430001</v>
      </c>
      <c r="AI7012">
        <v>93.126502269468205</v>
      </c>
      <c r="AJ7012">
        <v>95.163169032680202</v>
      </c>
      <c r="AK7012">
        <v>20.345081440144099</v>
      </c>
      <c r="AL7012">
        <v>91.130791841939796</v>
      </c>
      <c r="AM7012">
        <v>88.514821217141403</v>
      </c>
      <c r="AN7012">
        <v>1.00000002096188</v>
      </c>
    </row>
    <row r="7013" spans="1:40" x14ac:dyDescent="0.25">
      <c r="A7013" t="str">
        <f>"20190312160824537"</f>
        <v>20190312160824537</v>
      </c>
      <c r="B7013" t="str">
        <f>"1552378104532013"</f>
        <v>1552378104532013</v>
      </c>
      <c r="C7013" t="s">
        <v>40</v>
      </c>
      <c r="D7013">
        <v>6.1599490000000001</v>
      </c>
      <c r="E7013">
        <v>0.4560594</v>
      </c>
      <c r="F7013" t="s">
        <v>112</v>
      </c>
      <c r="G7013">
        <v>-249.70660000000001</v>
      </c>
      <c r="H7013" s="1">
        <v>-3.6433669999999999E-6</v>
      </c>
      <c r="I7013">
        <v>-63.011270000000003</v>
      </c>
      <c r="J7013">
        <v>-269.88209999999998</v>
      </c>
      <c r="K7013">
        <v>1.109634</v>
      </c>
      <c r="L7013">
        <v>-63.645940000000003</v>
      </c>
      <c r="M7013">
        <v>0.99819559999999996</v>
      </c>
      <c r="N7013">
        <v>0</v>
      </c>
      <c r="O7013">
        <v>-5.9550869999999999E-2</v>
      </c>
      <c r="P7013">
        <v>0.99593730000000003</v>
      </c>
      <c r="Q7013">
        <v>-2.739074E-2</v>
      </c>
      <c r="R7013">
        <v>-8.578189E-2</v>
      </c>
      <c r="S7013">
        <v>3.0157780000000001</v>
      </c>
      <c r="T7013">
        <v>-0.16492809999999999</v>
      </c>
      <c r="U7013">
        <v>9.3383789999999994E-2</v>
      </c>
      <c r="V7013">
        <v>2.6348219999999999E-2</v>
      </c>
      <c r="W7013">
        <v>-1.9658990000000001E-2</v>
      </c>
      <c r="X7013">
        <v>0.99945949999999995</v>
      </c>
      <c r="Y7013">
        <v>-9.0195839999999999E-2</v>
      </c>
      <c r="Z7013">
        <v>5.7168360000000003E-3</v>
      </c>
      <c r="AA7013">
        <v>0.99590769999999995</v>
      </c>
      <c r="AB7013">
        <v>22</v>
      </c>
      <c r="AC7013">
        <v>20.1754999999999</v>
      </c>
      <c r="AD7013">
        <v>-1.1096376433670001</v>
      </c>
      <c r="AE7013">
        <v>0.63467000000000695</v>
      </c>
      <c r="AF7013">
        <v>-1.8295190563097401</v>
      </c>
      <c r="AG7013">
        <v>-1.1096376433670001</v>
      </c>
      <c r="AH7013">
        <v>20.041332109857599</v>
      </c>
      <c r="AI7013">
        <v>93.155990014392998</v>
      </c>
      <c r="AJ7013">
        <v>95.215920222796896</v>
      </c>
      <c r="AK7013">
        <v>20.155233276114298</v>
      </c>
      <c r="AL7013">
        <v>91.126449723890701</v>
      </c>
      <c r="AM7013">
        <v>88.489891560451198</v>
      </c>
      <c r="AN7013">
        <v>0.99999999836261899</v>
      </c>
    </row>
    <row r="7014" spans="1:40" x14ac:dyDescent="0.25">
      <c r="A7014" t="str">
        <f>"20190312160824549"</f>
        <v>20190312160824549</v>
      </c>
      <c r="B7014" t="str">
        <f>"1552378104542749"</f>
        <v>1552378104542749</v>
      </c>
      <c r="C7014" t="s">
        <v>40</v>
      </c>
      <c r="D7014">
        <v>6.232189</v>
      </c>
      <c r="E7014">
        <v>0.45588790000000001</v>
      </c>
      <c r="F7014" t="s">
        <v>112</v>
      </c>
      <c r="G7014">
        <v>-249.59479999999999</v>
      </c>
      <c r="H7014" s="1">
        <v>-3.6040300000000001E-6</v>
      </c>
      <c r="I7014">
        <v>-63.003959999999999</v>
      </c>
      <c r="J7014">
        <v>-269.76089999999999</v>
      </c>
      <c r="K7014">
        <v>1.1096349999999999</v>
      </c>
      <c r="L7014">
        <v>-63.652529999999999</v>
      </c>
      <c r="M7014">
        <v>0.99823079999999997</v>
      </c>
      <c r="N7014">
        <v>0</v>
      </c>
      <c r="O7014">
        <v>-5.8961989999999999E-2</v>
      </c>
      <c r="P7014">
        <v>0.99597519999999995</v>
      </c>
      <c r="Q7014">
        <v>-2.700201E-2</v>
      </c>
      <c r="R7014">
        <v>-8.5464390000000001E-2</v>
      </c>
      <c r="S7014">
        <v>3.01593</v>
      </c>
      <c r="T7014">
        <v>-0.16496</v>
      </c>
      <c r="U7014">
        <v>9.5428470000000001E-2</v>
      </c>
      <c r="V7014">
        <v>2.66184E-2</v>
      </c>
      <c r="W7014">
        <v>-1.9290109999999999E-2</v>
      </c>
      <c r="X7014">
        <v>0.99945949999999995</v>
      </c>
      <c r="Y7014">
        <v>-9.0281970000000003E-2</v>
      </c>
      <c r="Z7014">
        <v>5.6878099999999997E-3</v>
      </c>
      <c r="AA7014">
        <v>0.99590000000000001</v>
      </c>
      <c r="AB7014">
        <v>22</v>
      </c>
      <c r="AC7014">
        <v>20.1661</v>
      </c>
      <c r="AD7014">
        <v>-1.1096386040299999</v>
      </c>
      <c r="AE7014">
        <v>0.64857000000000598</v>
      </c>
      <c r="AF7014">
        <v>-1.8309719005409399</v>
      </c>
      <c r="AG7014">
        <v>-1.1096386040299999</v>
      </c>
      <c r="AH7014">
        <v>20.032181763716</v>
      </c>
      <c r="AI7014">
        <v>93.1573988217352</v>
      </c>
      <c r="AJ7014">
        <v>95.222410617559404</v>
      </c>
      <c r="AK7014">
        <v>20.146266704942601</v>
      </c>
      <c r="AL7014">
        <v>91.105310479105995</v>
      </c>
      <c r="AM7014">
        <v>88.474413882534506</v>
      </c>
      <c r="AN7014">
        <v>0.99999996985131001</v>
      </c>
    </row>
    <row r="7015" spans="1:40" x14ac:dyDescent="0.25">
      <c r="A7015" t="str">
        <f>"20190312160824559"</f>
        <v>20190312160824559</v>
      </c>
      <c r="B7015" t="str">
        <f>"1552378104552509"</f>
        <v>1552378104552509</v>
      </c>
      <c r="C7015" t="s">
        <v>40</v>
      </c>
      <c r="D7015">
        <v>6.1489459999999996</v>
      </c>
      <c r="E7015">
        <v>0.45568059999999999</v>
      </c>
      <c r="F7015" t="s">
        <v>112</v>
      </c>
      <c r="G7015">
        <v>-249.3673</v>
      </c>
      <c r="H7015" s="1">
        <v>-3.5244219999999998E-6</v>
      </c>
      <c r="I7015">
        <v>-62.991729999999997</v>
      </c>
      <c r="J7015">
        <v>-269.66039999999998</v>
      </c>
      <c r="K7015">
        <v>1.109642</v>
      </c>
      <c r="L7015">
        <v>-63.65793</v>
      </c>
      <c r="M7015">
        <v>0.99825969999999997</v>
      </c>
      <c r="N7015">
        <v>0</v>
      </c>
      <c r="O7015">
        <v>-5.8470040000000001E-2</v>
      </c>
      <c r="P7015">
        <v>0.99602400000000002</v>
      </c>
      <c r="Q7015">
        <v>-2.6773020000000002E-2</v>
      </c>
      <c r="R7015">
        <v>-8.4966769999999997E-2</v>
      </c>
      <c r="S7015">
        <v>3.0160520000000002</v>
      </c>
      <c r="T7015">
        <v>-0.16410659999999999</v>
      </c>
      <c r="U7015">
        <v>9.7717289999999998E-2</v>
      </c>
      <c r="V7015">
        <v>2.6611059999999999E-2</v>
      </c>
      <c r="W7015">
        <v>-1.907671E-2</v>
      </c>
      <c r="X7015">
        <v>0.99946380000000001</v>
      </c>
      <c r="Y7015">
        <v>-9.0547550000000004E-2</v>
      </c>
      <c r="Z7015">
        <v>5.6386469999999897E-3</v>
      </c>
      <c r="AA7015">
        <v>0.99587619999999999</v>
      </c>
      <c r="AB7015">
        <v>22</v>
      </c>
      <c r="AC7015">
        <v>20.2930999999999</v>
      </c>
      <c r="AD7015">
        <v>-1.109645524422</v>
      </c>
      <c r="AE7015">
        <v>0.66620000000000301</v>
      </c>
      <c r="AF7015">
        <v>-1.84611948187861</v>
      </c>
      <c r="AG7015">
        <v>-1.109645524422</v>
      </c>
      <c r="AH7015">
        <v>20.159214661227001</v>
      </c>
      <c r="AI7015">
        <v>93.137512100220803</v>
      </c>
      <c r="AJ7015">
        <v>95.232378722811603</v>
      </c>
      <c r="AK7015">
        <v>20.273958816389801</v>
      </c>
      <c r="AL7015">
        <v>91.093081299577605</v>
      </c>
      <c r="AM7015">
        <v>88.474840921451502</v>
      </c>
      <c r="AN7015">
        <v>0.99999997844459299</v>
      </c>
    </row>
    <row r="7016" spans="1:40" x14ac:dyDescent="0.25">
      <c r="A7016" t="str">
        <f>"20190312160824570"</f>
        <v>20190312160824570</v>
      </c>
      <c r="B7016" t="str">
        <f>"1552378104562269"</f>
        <v>1552378104562269</v>
      </c>
      <c r="C7016" t="s">
        <v>40</v>
      </c>
      <c r="D7016">
        <v>6.1276950000000001</v>
      </c>
      <c r="E7016">
        <v>0.45548929999999999</v>
      </c>
      <c r="F7016" t="s">
        <v>112</v>
      </c>
      <c r="G7016">
        <v>-249.24549999999999</v>
      </c>
      <c r="H7016" s="1">
        <v>-3.4799989999999999E-6</v>
      </c>
      <c r="I7016">
        <v>-62.974980000000002</v>
      </c>
      <c r="J7016">
        <v>-269.5521</v>
      </c>
      <c r="K7016">
        <v>1.1096490000000001</v>
      </c>
      <c r="L7016">
        <v>-63.663730000000001</v>
      </c>
      <c r="M7016">
        <v>0.99829109999999999</v>
      </c>
      <c r="N7016">
        <v>0</v>
      </c>
      <c r="O7016">
        <v>-5.7936609999999999E-2</v>
      </c>
      <c r="P7016">
        <v>0.99607069999999998</v>
      </c>
      <c r="Q7016">
        <v>-2.6194909999999998E-2</v>
      </c>
      <c r="R7016">
        <v>-8.4598880000000001E-2</v>
      </c>
      <c r="S7016">
        <v>3.0161440000000002</v>
      </c>
      <c r="T7016">
        <v>-0.16394149999999999</v>
      </c>
      <c r="U7016">
        <v>0.1008911</v>
      </c>
      <c r="V7016">
        <v>2.677467E-2</v>
      </c>
      <c r="W7016">
        <v>-1.8514079999999999E-2</v>
      </c>
      <c r="X7016">
        <v>0.99947010000000003</v>
      </c>
      <c r="Y7016">
        <v>-9.1061699999999995E-2</v>
      </c>
      <c r="Z7016">
        <v>5.6177550000000003E-3</v>
      </c>
      <c r="AA7016">
        <v>0.99582939999999998</v>
      </c>
      <c r="AB7016">
        <v>22</v>
      </c>
      <c r="AC7016">
        <v>20.3066</v>
      </c>
      <c r="AD7016">
        <v>-1.109652479999</v>
      </c>
      <c r="AE7016">
        <v>0.68875000000000597</v>
      </c>
      <c r="AF7016">
        <v>-1.85857936812026</v>
      </c>
      <c r="AG7016">
        <v>-1.109652479999</v>
      </c>
      <c r="AH7016">
        <v>20.172416309485701</v>
      </c>
      <c r="AI7016">
        <v>93.135323528500194</v>
      </c>
      <c r="AJ7016">
        <v>95.264067372454306</v>
      </c>
      <c r="AK7016">
        <v>20.2882238172092</v>
      </c>
      <c r="AL7016">
        <v>91.060839184072904</v>
      </c>
      <c r="AM7016">
        <v>88.465478083076206</v>
      </c>
      <c r="AN7016">
        <v>1.0000000674529299</v>
      </c>
    </row>
    <row r="7017" spans="1:40" x14ac:dyDescent="0.25">
      <c r="A7017" t="str">
        <f>"20190312160824581"</f>
        <v>20190312160824581</v>
      </c>
      <c r="B7017" t="str">
        <f>"1552378104572029"</f>
        <v>1552378104572029</v>
      </c>
      <c r="C7017" t="s">
        <v>40</v>
      </c>
      <c r="D7017">
        <v>6.1206430000000003</v>
      </c>
      <c r="E7017">
        <v>0.45531199999999999</v>
      </c>
      <c r="F7017" t="s">
        <v>112</v>
      </c>
      <c r="G7017">
        <v>-249.01179999999999</v>
      </c>
      <c r="H7017" s="1">
        <v>-3.3976190000000002E-6</v>
      </c>
      <c r="I7017">
        <v>-62.958759999999998</v>
      </c>
      <c r="J7017">
        <v>-269.44209999999998</v>
      </c>
      <c r="K7017">
        <v>1.109653</v>
      </c>
      <c r="L7017">
        <v>-63.669530000000002</v>
      </c>
      <c r="M7017">
        <v>0.99832279999999995</v>
      </c>
      <c r="N7017">
        <v>0</v>
      </c>
      <c r="O7017">
        <v>-5.7388019999999998E-2</v>
      </c>
      <c r="P7017">
        <v>0.99614029999999998</v>
      </c>
      <c r="Q7017">
        <v>-2.584407E-2</v>
      </c>
      <c r="R7017">
        <v>-8.3884920000000002E-2</v>
      </c>
      <c r="S7017">
        <v>3.016327</v>
      </c>
      <c r="T7017">
        <v>-0.16295219999999999</v>
      </c>
      <c r="U7017">
        <v>0.1035156</v>
      </c>
      <c r="V7017">
        <v>2.660676E-2</v>
      </c>
      <c r="W7017">
        <v>-1.8177970000000002E-2</v>
      </c>
      <c r="X7017">
        <v>0.9994807</v>
      </c>
      <c r="Y7017">
        <v>-9.1380920000000004E-2</v>
      </c>
      <c r="Z7017">
        <v>5.5625319999999898E-3</v>
      </c>
      <c r="AA7017">
        <v>0.99580049999999998</v>
      </c>
      <c r="AB7017">
        <v>22</v>
      </c>
      <c r="AC7017">
        <v>20.4302999999999</v>
      </c>
      <c r="AD7017">
        <v>-1.1096563976189999</v>
      </c>
      <c r="AE7017">
        <v>0.71077000000000301</v>
      </c>
      <c r="AF7017">
        <v>-1.8765579089528801</v>
      </c>
      <c r="AG7017">
        <v>-1.1096563976189999</v>
      </c>
      <c r="AH7017">
        <v>20.29603531611</v>
      </c>
      <c r="AI7017">
        <v>93.116183244924002</v>
      </c>
      <c r="AJ7017">
        <v>95.2825108627693</v>
      </c>
      <c r="AK7017">
        <v>20.412786592212601</v>
      </c>
      <c r="AL7017">
        <v>91.041578314878905</v>
      </c>
      <c r="AM7017">
        <v>88.4751130231232</v>
      </c>
      <c r="AN7017">
        <v>1.00000001397175</v>
      </c>
    </row>
    <row r="7018" spans="1:40" x14ac:dyDescent="0.25">
      <c r="A7018" t="str">
        <f>"20190312160824593"</f>
        <v>20190312160824593</v>
      </c>
      <c r="B7018" t="str">
        <f>"1552378104582767"</f>
        <v>1552378104582767</v>
      </c>
      <c r="C7018" t="s">
        <v>40</v>
      </c>
      <c r="D7018">
        <v>6.2573589999999903</v>
      </c>
      <c r="E7018">
        <v>0.45515450000000002</v>
      </c>
      <c r="F7018" t="s">
        <v>112</v>
      </c>
      <c r="G7018">
        <v>-248.83699999999999</v>
      </c>
      <c r="H7018" s="1">
        <v>-3.3343879999999999E-6</v>
      </c>
      <c r="I7018">
        <v>-62.937759999999997</v>
      </c>
      <c r="J7018">
        <v>-269.32659999999998</v>
      </c>
      <c r="K7018">
        <v>1.109661</v>
      </c>
      <c r="L7018">
        <v>-63.675569999999901</v>
      </c>
      <c r="M7018">
        <v>0.99835600000000002</v>
      </c>
      <c r="N7018">
        <v>0</v>
      </c>
      <c r="O7018">
        <v>-5.6808440000000002E-2</v>
      </c>
      <c r="P7018">
        <v>0.99620160000000002</v>
      </c>
      <c r="Q7018">
        <v>-2.5513439999999998E-2</v>
      </c>
      <c r="R7018">
        <v>-8.3255220000000005E-2</v>
      </c>
      <c r="S7018">
        <v>3.0164179999999998</v>
      </c>
      <c r="T7018">
        <v>-0.16244410000000001</v>
      </c>
      <c r="U7018">
        <v>0.1071167</v>
      </c>
      <c r="V7018">
        <v>2.655482E-2</v>
      </c>
      <c r="W7018">
        <v>-1.7861950000000001E-2</v>
      </c>
      <c r="X7018">
        <v>0.99948780000000004</v>
      </c>
      <c r="Y7018">
        <v>-9.1990479999999999E-2</v>
      </c>
      <c r="Z7018">
        <v>5.5301949999999999E-3</v>
      </c>
      <c r="AA7018">
        <v>0.99574450000000003</v>
      </c>
      <c r="AB7018">
        <v>22</v>
      </c>
      <c r="AC7018">
        <v>20.4895999999999</v>
      </c>
      <c r="AD7018">
        <v>-1.1096643343879999</v>
      </c>
      <c r="AE7018">
        <v>0.73780999999999597</v>
      </c>
      <c r="AF7018">
        <v>-1.8950833296052101</v>
      </c>
      <c r="AG7018">
        <v>-1.1096643343879999</v>
      </c>
      <c r="AH7018">
        <v>20.3549699021892</v>
      </c>
      <c r="AI7018">
        <v>93.107017460975499</v>
      </c>
      <c r="AJ7018">
        <v>95.319004469107099</v>
      </c>
      <c r="AK7018">
        <v>20.4730919863167</v>
      </c>
      <c r="AL7018">
        <v>91.023468740757707</v>
      </c>
      <c r="AM7018">
        <v>88.478099213737195</v>
      </c>
      <c r="AN7018">
        <v>1.0000000350359299</v>
      </c>
    </row>
    <row r="7019" spans="1:40" x14ac:dyDescent="0.25">
      <c r="A7019" t="str">
        <f>"20190312160824627"</f>
        <v>20190312160824627</v>
      </c>
      <c r="B7019" t="str">
        <f>"1552378104622782"</f>
        <v>1552378104622782</v>
      </c>
      <c r="C7019" t="s">
        <v>40</v>
      </c>
      <c r="D7019">
        <v>6.3556280000000003</v>
      </c>
      <c r="E7019">
        <v>0.4114969</v>
      </c>
      <c r="F7019" t="s">
        <v>112</v>
      </c>
      <c r="G7019">
        <v>-248.48750000000001</v>
      </c>
      <c r="H7019" s="1">
        <v>-3.2112229999999998E-6</v>
      </c>
      <c r="I7019">
        <v>-62.913800000000002</v>
      </c>
      <c r="J7019">
        <v>-268.98540000000003</v>
      </c>
      <c r="K7019">
        <v>1.109691</v>
      </c>
      <c r="L7019">
        <v>-63.6928699999999</v>
      </c>
      <c r="M7019">
        <v>0.99845499999999998</v>
      </c>
      <c r="N7019">
        <v>0</v>
      </c>
      <c r="O7019">
        <v>-5.5049550000000003E-2</v>
      </c>
      <c r="P7019">
        <v>0.99638000000000004</v>
      </c>
      <c r="Q7019">
        <v>-2.469267E-2</v>
      </c>
      <c r="R7019">
        <v>-8.1349729999999995E-2</v>
      </c>
      <c r="S7019">
        <v>3.0165410000000001</v>
      </c>
      <c r="T7019">
        <v>-0.16062860000000001</v>
      </c>
      <c r="U7019">
        <v>0.11026</v>
      </c>
      <c r="V7019">
        <v>2.640292E-2</v>
      </c>
      <c r="W7019">
        <v>-1.7077760000000001E-2</v>
      </c>
      <c r="X7019">
        <v>0.99950550000000005</v>
      </c>
      <c r="Y7019">
        <v>-9.127934E-2</v>
      </c>
      <c r="Z7019">
        <v>5.3557539999999999E-3</v>
      </c>
      <c r="AA7019">
        <v>0.99581090000000005</v>
      </c>
      <c r="AB7019">
        <v>22</v>
      </c>
      <c r="AC7019">
        <v>20.497900000000001</v>
      </c>
      <c r="AD7019">
        <v>-1.1096942112229999</v>
      </c>
      <c r="AE7019">
        <v>0.77906999999999005</v>
      </c>
      <c r="AF7019">
        <v>-1.9007582625632</v>
      </c>
      <c r="AG7019">
        <v>-1.1096942112229999</v>
      </c>
      <c r="AH7019">
        <v>20.3643290966391</v>
      </c>
      <c r="AI7019">
        <v>93.105608193231902</v>
      </c>
      <c r="AJ7019">
        <v>95.332403070721099</v>
      </c>
      <c r="AK7019">
        <v>20.4829246635178</v>
      </c>
      <c r="AL7019">
        <v>90.978531136008897</v>
      </c>
      <c r="AM7019">
        <v>88.486827579925802</v>
      </c>
      <c r="AN7019">
        <v>1.00000000430069</v>
      </c>
    </row>
    <row r="7020" spans="1:40" x14ac:dyDescent="0.25">
      <c r="A7020" t="str">
        <f>"20190312160824639"</f>
        <v>20190312160824639</v>
      </c>
      <c r="B7020" t="str">
        <f>"1552378104632542"</f>
        <v>1552378104632542</v>
      </c>
      <c r="C7020" t="s">
        <v>40</v>
      </c>
      <c r="D7020">
        <v>6.3154769999999996</v>
      </c>
      <c r="E7020">
        <v>0.40381899999999998</v>
      </c>
      <c r="F7020" t="s">
        <v>115</v>
      </c>
      <c r="G7020">
        <v>-253.48159999999999</v>
      </c>
      <c r="H7020" s="1">
        <v>-8.3785329999999996E-7</v>
      </c>
      <c r="I7020">
        <v>-61.319519999999997</v>
      </c>
      <c r="J7020">
        <v>-268.87490000000003</v>
      </c>
      <c r="K7020">
        <v>1.1096999999999999</v>
      </c>
      <c r="L7020">
        <v>-63.698390000000003</v>
      </c>
      <c r="M7020">
        <v>0.99848680000000001</v>
      </c>
      <c r="N7020">
        <v>0</v>
      </c>
      <c r="O7020">
        <v>-5.4468429999999998E-2</v>
      </c>
      <c r="P7020">
        <v>0.99642540000000002</v>
      </c>
      <c r="Q7020">
        <v>-2.432397E-2</v>
      </c>
      <c r="R7020">
        <v>-8.0900070000000004E-2</v>
      </c>
      <c r="S7020">
        <v>3.0435490000000001</v>
      </c>
      <c r="T7020">
        <v>-0.21784310000000001</v>
      </c>
      <c r="U7020">
        <v>0.46591189999999999</v>
      </c>
      <c r="V7020">
        <v>2.6532759999999999E-2</v>
      </c>
      <c r="W7020">
        <v>-1.6719169999999998E-2</v>
      </c>
      <c r="X7020">
        <v>0.99950810000000001</v>
      </c>
      <c r="Y7020">
        <v>-0.2042891</v>
      </c>
      <c r="Z7020">
        <v>1.113341E-2</v>
      </c>
      <c r="AA7020">
        <v>0.97884729999999998</v>
      </c>
      <c r="AB7020">
        <v>22</v>
      </c>
      <c r="AC7020">
        <v>15.3933</v>
      </c>
      <c r="AD7020">
        <v>-1.1097008378533</v>
      </c>
      <c r="AE7020">
        <v>2.37887</v>
      </c>
      <c r="AF7020">
        <v>-3.1975812047109802</v>
      </c>
      <c r="AG7020">
        <v>-1.1097008378533</v>
      </c>
      <c r="AH7020">
        <v>15.163902370588101</v>
      </c>
      <c r="AI7020">
        <v>94.095716976605502</v>
      </c>
      <c r="AJ7020">
        <v>101.90740092701201</v>
      </c>
      <c r="AK7020">
        <v>15.537049160473799</v>
      </c>
      <c r="AL7020">
        <v>90.957982531587206</v>
      </c>
      <c r="AM7020">
        <v>88.479393784699695</v>
      </c>
      <c r="AN7020">
        <v>0.99999997998215795</v>
      </c>
    </row>
    <row r="7021" spans="1:40" x14ac:dyDescent="0.25">
      <c r="A7021" t="str">
        <f>"20190312160824649"</f>
        <v>20190312160824649</v>
      </c>
      <c r="B7021" t="str">
        <f>"1552378104642301"</f>
        <v>1552378104642301</v>
      </c>
      <c r="C7021" t="s">
        <v>40</v>
      </c>
      <c r="D7021">
        <v>6.3254519999999896</v>
      </c>
      <c r="E7021">
        <v>0.39969830000000001</v>
      </c>
      <c r="F7021" t="s">
        <v>112</v>
      </c>
      <c r="G7021">
        <v>-249.19630000000001</v>
      </c>
      <c r="H7021" s="1">
        <v>-2.9471320000000002E-6</v>
      </c>
      <c r="I7021">
        <v>-60.3003</v>
      </c>
      <c r="J7021">
        <v>-268.76330000000002</v>
      </c>
      <c r="K7021">
        <v>1.109704</v>
      </c>
      <c r="L7021">
        <v>-63.703859999999999</v>
      </c>
      <c r="M7021">
        <v>0.99851920000000005</v>
      </c>
      <c r="N7021">
        <v>0</v>
      </c>
      <c r="O7021">
        <v>-5.3875859999999998E-2</v>
      </c>
      <c r="P7021">
        <v>0.99647030000000003</v>
      </c>
      <c r="Q7021">
        <v>-2.4067140000000001E-2</v>
      </c>
      <c r="R7021">
        <v>-8.0424369999999995E-2</v>
      </c>
      <c r="S7021">
        <v>3.049347</v>
      </c>
      <c r="T7021">
        <v>-0.17195679999999999</v>
      </c>
      <c r="U7021">
        <v>0.52655030000000003</v>
      </c>
      <c r="V7021">
        <v>2.6648580000000002E-2</v>
      </c>
      <c r="W7021">
        <v>-1.6471779999999998E-2</v>
      </c>
      <c r="X7021">
        <v>0.99950919999999999</v>
      </c>
      <c r="Y7021">
        <v>-0.2225753</v>
      </c>
      <c r="Z7021">
        <v>9.2406780000000004E-3</v>
      </c>
      <c r="AA7021">
        <v>0.97487170000000001</v>
      </c>
      <c r="AB7021">
        <v>22</v>
      </c>
      <c r="AC7021">
        <v>19.567</v>
      </c>
      <c r="AD7021">
        <v>-1.109706947132</v>
      </c>
      <c r="AE7021">
        <v>3.4035599999999899</v>
      </c>
      <c r="AF7021">
        <v>-4.4389772572418202</v>
      </c>
      <c r="AG7021">
        <v>-1.109706947132</v>
      </c>
      <c r="AH7021">
        <v>19.294967665974401</v>
      </c>
      <c r="AI7021">
        <v>93.20799428542</v>
      </c>
      <c r="AJ7021">
        <v>102.95596462152901</v>
      </c>
      <c r="AK7021">
        <v>19.830071755538899</v>
      </c>
      <c r="AL7021">
        <v>90.943806106580695</v>
      </c>
      <c r="AM7021">
        <v>88.4727608973445</v>
      </c>
      <c r="AN7021">
        <v>1.0000000536185101</v>
      </c>
    </row>
    <row r="7022" spans="1:40" x14ac:dyDescent="0.25">
      <c r="A7022" t="str">
        <f>"20190312160824660"</f>
        <v>20190312160824660</v>
      </c>
      <c r="B7022" t="str">
        <f>"1552378104652062"</f>
        <v>1552378104652062</v>
      </c>
      <c r="C7022" t="s">
        <v>40</v>
      </c>
      <c r="D7022">
        <v>6.3288929999999999</v>
      </c>
      <c r="E7022">
        <v>0.39746160000000003</v>
      </c>
      <c r="F7022" t="s">
        <v>112</v>
      </c>
      <c r="G7022">
        <v>-245.58529999999999</v>
      </c>
      <c r="H7022" s="1">
        <v>-1.5482630000000001E-6</v>
      </c>
      <c r="I7022">
        <v>-59.453249999999997</v>
      </c>
      <c r="J7022">
        <v>-268.65530000000001</v>
      </c>
      <c r="K7022">
        <v>1.109715</v>
      </c>
      <c r="L7022">
        <v>-63.709049999999998</v>
      </c>
      <c r="M7022">
        <v>0.99855020000000005</v>
      </c>
      <c r="N7022">
        <v>0</v>
      </c>
      <c r="O7022">
        <v>-5.3297740000000003E-2</v>
      </c>
      <c r="P7022">
        <v>0.99649670000000001</v>
      </c>
      <c r="Q7022">
        <v>-2.4121730000000001E-2</v>
      </c>
      <c r="R7022">
        <v>-8.0078549999999998E-2</v>
      </c>
      <c r="S7022">
        <v>3.0523069999999999</v>
      </c>
      <c r="T7022">
        <v>-0.14613709999999999</v>
      </c>
      <c r="U7022">
        <v>0.55975339999999996</v>
      </c>
      <c r="V7022">
        <v>2.6880859999999999E-2</v>
      </c>
      <c r="W7022">
        <v>-1.6534630000000002E-2</v>
      </c>
      <c r="X7022">
        <v>0.99950190000000005</v>
      </c>
      <c r="Y7022">
        <v>-0.2322304</v>
      </c>
      <c r="Z7022">
        <v>8.0417619999999992E-3</v>
      </c>
      <c r="AA7022">
        <v>0.97262760000000004</v>
      </c>
      <c r="AB7022">
        <v>22</v>
      </c>
      <c r="AC7022">
        <v>23.07</v>
      </c>
      <c r="AD7022">
        <v>-1.109716548263</v>
      </c>
      <c r="AE7022">
        <v>4.2557999999999998</v>
      </c>
      <c r="AF7022">
        <v>-5.4671309302126403</v>
      </c>
      <c r="AG7022">
        <v>-1.109716548263</v>
      </c>
      <c r="AH7022">
        <v>22.7594488876389</v>
      </c>
      <c r="AI7022">
        <v>92.714351548490896</v>
      </c>
      <c r="AJ7022">
        <v>103.50730879421999</v>
      </c>
      <c r="AK7022">
        <v>23.433171042234601</v>
      </c>
      <c r="AL7022">
        <v>90.947407676648993</v>
      </c>
      <c r="AM7022">
        <v>88.459443993354498</v>
      </c>
      <c r="AN7022">
        <v>1.0000000113635901</v>
      </c>
    </row>
    <row r="7023" spans="1:40" x14ac:dyDescent="0.25">
      <c r="A7023" t="str">
        <f>"20190312160824671"</f>
        <v>20190312160824671</v>
      </c>
      <c r="B7023" t="str">
        <f>"1552378104662797"</f>
        <v>1552378104662797</v>
      </c>
      <c r="C7023" t="s">
        <v>40</v>
      </c>
      <c r="D7023">
        <v>6.2849250000000003</v>
      </c>
      <c r="E7023">
        <v>0.3962812</v>
      </c>
      <c r="F7023" t="s">
        <v>112</v>
      </c>
      <c r="G7023">
        <v>-243.9068</v>
      </c>
      <c r="H7023" s="1">
        <v>-9.0460430000000002E-7</v>
      </c>
      <c r="I7023">
        <v>-59.022370000000002</v>
      </c>
      <c r="J7023">
        <v>-268.53399999999999</v>
      </c>
      <c r="K7023">
        <v>1.1097239999999999</v>
      </c>
      <c r="L7023">
        <v>-63.714840000000002</v>
      </c>
      <c r="M7023">
        <v>0.99858499999999994</v>
      </c>
      <c r="N7023">
        <v>0</v>
      </c>
      <c r="O7023">
        <v>-5.2644740000000002E-2</v>
      </c>
      <c r="P7023">
        <v>0.99654310000000002</v>
      </c>
      <c r="Q7023">
        <v>-2.3954159999999999E-2</v>
      </c>
      <c r="R7023">
        <v>-7.9549690000000006E-2</v>
      </c>
      <c r="S7023">
        <v>3.0537109999999998</v>
      </c>
      <c r="T7023">
        <v>-0.1369271</v>
      </c>
      <c r="U7023">
        <v>0.57827759999999995</v>
      </c>
      <c r="V7023">
        <v>2.7003989999999999E-2</v>
      </c>
      <c r="W7023">
        <v>-1.6375939999999999E-2</v>
      </c>
      <c r="X7023">
        <v>0.99950119999999998</v>
      </c>
      <c r="Y7023">
        <v>-0.23724909999999999</v>
      </c>
      <c r="Z7023">
        <v>7.6104290000000002E-3</v>
      </c>
      <c r="AA7023">
        <v>0.97141900000000003</v>
      </c>
      <c r="AB7023">
        <v>23</v>
      </c>
      <c r="AC7023">
        <v>24.627199999999899</v>
      </c>
      <c r="AD7023">
        <v>-1.1097249046042901</v>
      </c>
      <c r="AE7023">
        <v>4.6924700000000001</v>
      </c>
      <c r="AF7023">
        <v>-5.9707928975607496</v>
      </c>
      <c r="AG7023">
        <v>-1.1097249046042901</v>
      </c>
      <c r="AH7023">
        <v>24.2983976404042</v>
      </c>
      <c r="AI7023">
        <v>92.539478880275695</v>
      </c>
      <c r="AJ7023">
        <v>103.805635083971</v>
      </c>
      <c r="AK7023">
        <v>25.0458376797555</v>
      </c>
      <c r="AL7023">
        <v>90.938314172174799</v>
      </c>
      <c r="AM7023">
        <v>88.452389689926505</v>
      </c>
      <c r="AN7023">
        <v>1.00000001784412</v>
      </c>
    </row>
    <row r="7024" spans="1:40" x14ac:dyDescent="0.25">
      <c r="A7024" t="str">
        <f>"20190312160824682"</f>
        <v>20190312160824682</v>
      </c>
      <c r="B7024" t="str">
        <f>"1552378104672558"</f>
        <v>1552378104672558</v>
      </c>
      <c r="C7024" t="s">
        <v>40</v>
      </c>
      <c r="D7024">
        <v>6.2519720000000003</v>
      </c>
      <c r="E7024">
        <v>0.39549319999999999</v>
      </c>
      <c r="F7024" t="s">
        <v>112</v>
      </c>
      <c r="G7024">
        <v>-242.47970000000001</v>
      </c>
      <c r="H7024" s="1">
        <v>-3.512686E-7</v>
      </c>
      <c r="I7024">
        <v>-58.690460000000002</v>
      </c>
      <c r="J7024">
        <v>-268.43430000000001</v>
      </c>
      <c r="K7024">
        <v>1.1097379999999999</v>
      </c>
      <c r="L7024">
        <v>-63.71951</v>
      </c>
      <c r="M7024">
        <v>0.99861339999999998</v>
      </c>
      <c r="N7024">
        <v>0</v>
      </c>
      <c r="O7024">
        <v>-5.2102759999999998E-2</v>
      </c>
      <c r="P7024">
        <v>0.99658720000000001</v>
      </c>
      <c r="Q7024">
        <v>-2.3838399999999999E-2</v>
      </c>
      <c r="R7024">
        <v>-7.903085E-2</v>
      </c>
      <c r="S7024">
        <v>3.0542910000000001</v>
      </c>
      <c r="T7024">
        <v>-0.13009039999999999</v>
      </c>
      <c r="U7024">
        <v>0.58898930000000005</v>
      </c>
      <c r="V7024">
        <v>2.7026020000000001E-2</v>
      </c>
      <c r="W7024">
        <v>-1.6266679999999999E-2</v>
      </c>
      <c r="X7024">
        <v>0.99950240000000001</v>
      </c>
      <c r="Y7024">
        <v>-0.23999980000000001</v>
      </c>
      <c r="Z7024">
        <v>7.2622549999999996E-3</v>
      </c>
      <c r="AA7024">
        <v>0.97074570000000004</v>
      </c>
      <c r="AB7024">
        <v>23</v>
      </c>
      <c r="AC7024">
        <v>25.954599999999999</v>
      </c>
      <c r="AD7024">
        <v>-1.1097383512686001</v>
      </c>
      <c r="AE7024">
        <v>5.0290499999999998</v>
      </c>
      <c r="AF7024">
        <v>-6.3633511277818702</v>
      </c>
      <c r="AG7024">
        <v>-1.1097383512686001</v>
      </c>
      <c r="AH7024">
        <v>25.612181157033799</v>
      </c>
      <c r="AI7024">
        <v>92.407877292747202</v>
      </c>
      <c r="AJ7024">
        <v>103.95263854470601</v>
      </c>
      <c r="AK7024">
        <v>26.4141549250479</v>
      </c>
      <c r="AL7024">
        <v>90.932053190932294</v>
      </c>
      <c r="AM7024">
        <v>88.4511296145497</v>
      </c>
      <c r="AN7024">
        <v>1.00000002912051</v>
      </c>
    </row>
    <row r="7025" spans="1:40" x14ac:dyDescent="0.25">
      <c r="A7025" t="str">
        <f>"20190312160824693"</f>
        <v>20190312160824693</v>
      </c>
      <c r="B7025" t="str">
        <f>"1552378104682317"</f>
        <v>1552378104682317</v>
      </c>
      <c r="C7025" t="s">
        <v>40</v>
      </c>
      <c r="D7025">
        <v>6.2409730000000003</v>
      </c>
      <c r="E7025">
        <v>0.39473439999999999</v>
      </c>
      <c r="F7025" t="s">
        <v>112</v>
      </c>
      <c r="G7025">
        <v>-241.8074</v>
      </c>
      <c r="H7025" s="1">
        <v>-9.8710639999999994E-8</v>
      </c>
      <c r="I7025">
        <v>-58.517659999999999</v>
      </c>
      <c r="J7025">
        <v>-268.32339999999999</v>
      </c>
      <c r="K7025">
        <v>1.1097429999999999</v>
      </c>
      <c r="L7025">
        <v>-63.724670000000003</v>
      </c>
      <c r="M7025">
        <v>0.9986448</v>
      </c>
      <c r="N7025">
        <v>0</v>
      </c>
      <c r="O7025">
        <v>-5.14989E-2</v>
      </c>
      <c r="P7025">
        <v>0.99663360000000001</v>
      </c>
      <c r="Q7025">
        <v>-2.351164E-2</v>
      </c>
      <c r="R7025">
        <v>-7.8539999999999999E-2</v>
      </c>
      <c r="S7025">
        <v>3.0545960000000001</v>
      </c>
      <c r="T7025">
        <v>-0.12730730000000001</v>
      </c>
      <c r="U7025">
        <v>0.59674069999999901</v>
      </c>
      <c r="V7025">
        <v>2.713749E-2</v>
      </c>
      <c r="W7025">
        <v>-1.5946809999999999E-2</v>
      </c>
      <c r="X7025">
        <v>0.99950450000000002</v>
      </c>
      <c r="Y7025">
        <v>-0.2417784</v>
      </c>
      <c r="Z7025">
        <v>7.1164030000000003E-3</v>
      </c>
      <c r="AA7025">
        <v>0.97030539999999998</v>
      </c>
      <c r="AB7025">
        <v>23</v>
      </c>
      <c r="AC7025">
        <v>26.515999999999899</v>
      </c>
      <c r="AD7025">
        <v>-1.10974309871064</v>
      </c>
      <c r="AE7025">
        <v>5.2070099999999897</v>
      </c>
      <c r="AF7025">
        <v>-6.5546288972645499</v>
      </c>
      <c r="AG7025">
        <v>-1.10974309871064</v>
      </c>
      <c r="AH7025">
        <v>26.1685155627078</v>
      </c>
      <c r="AI7025">
        <v>92.355634352106605</v>
      </c>
      <c r="AJ7025">
        <v>104.06199932518599</v>
      </c>
      <c r="AK7025">
        <v>26.9997388224714</v>
      </c>
      <c r="AL7025">
        <v>90.9137236439921</v>
      </c>
      <c r="AM7025">
        <v>88.444747628176103</v>
      </c>
      <c r="AN7025">
        <v>0.99999999481646296</v>
      </c>
    </row>
    <row r="7026" spans="1:40" x14ac:dyDescent="0.25">
      <c r="A7026" t="str">
        <f>"20190312160824705"</f>
        <v>20190312160824705</v>
      </c>
      <c r="B7026" t="str">
        <f>"1552378104702817"</f>
        <v>1552378104702817</v>
      </c>
      <c r="C7026" t="s">
        <v>40</v>
      </c>
      <c r="D7026">
        <v>6.2251989999999999</v>
      </c>
      <c r="E7026">
        <v>0.39374150000000002</v>
      </c>
      <c r="F7026" t="s">
        <v>112</v>
      </c>
      <c r="G7026">
        <v>-240.45519999999999</v>
      </c>
      <c r="H7026" s="1">
        <v>2.80485799999999E-7</v>
      </c>
      <c r="I7026">
        <v>-58.213459999999998</v>
      </c>
      <c r="J7026">
        <v>-268.20589999999999</v>
      </c>
      <c r="K7026">
        <v>1.109747</v>
      </c>
      <c r="L7026">
        <v>-63.730040000000002</v>
      </c>
      <c r="M7026">
        <v>0.99867790000000001</v>
      </c>
      <c r="N7026">
        <v>0</v>
      </c>
      <c r="O7026">
        <v>-5.0855360000000002E-2</v>
      </c>
      <c r="P7026">
        <v>0.99668040000000002</v>
      </c>
      <c r="Q7026">
        <v>-2.3249369999999998E-2</v>
      </c>
      <c r="R7026">
        <v>-7.8024579999999996E-2</v>
      </c>
      <c r="S7026">
        <v>3.0548709999999999</v>
      </c>
      <c r="T7026">
        <v>-0.1216487</v>
      </c>
      <c r="U7026">
        <v>0.60412600000000005</v>
      </c>
      <c r="V7026">
        <v>2.7264139999999999E-2</v>
      </c>
      <c r="W7026">
        <v>-1.5690880000000001E-2</v>
      </c>
      <c r="X7026">
        <v>0.99950510000000004</v>
      </c>
      <c r="Y7026">
        <v>-0.24341570000000001</v>
      </c>
      <c r="Z7026">
        <v>6.8050649999999999E-3</v>
      </c>
      <c r="AA7026">
        <v>0.96989820000000004</v>
      </c>
      <c r="AB7026">
        <v>23</v>
      </c>
      <c r="AC7026">
        <v>27.750699999999899</v>
      </c>
      <c r="AD7026">
        <v>-1.1097467195141999</v>
      </c>
      <c r="AE7026">
        <v>5.5165800000000003</v>
      </c>
      <c r="AF7026">
        <v>-6.9101222903603201</v>
      </c>
      <c r="AG7026">
        <v>-1.1097467195141999</v>
      </c>
      <c r="AH7026">
        <v>27.392093966973601</v>
      </c>
      <c r="AI7026">
        <v>92.249577559538295</v>
      </c>
      <c r="AJ7026">
        <v>104.158428892232</v>
      </c>
      <c r="AK7026">
        <v>28.272038125057801</v>
      </c>
      <c r="AL7026">
        <v>90.899058103432395</v>
      </c>
      <c r="AM7026">
        <v>88.437493830818497</v>
      </c>
      <c r="AN7026">
        <v>0.99999999098556103</v>
      </c>
    </row>
    <row r="7027" spans="1:40" x14ac:dyDescent="0.25">
      <c r="A7027" t="str">
        <f>"20190312160824716"</f>
        <v>20190312160824716</v>
      </c>
      <c r="B7027" t="str">
        <f>"1552378104712574"</f>
        <v>1552378104712574</v>
      </c>
      <c r="C7027" t="s">
        <v>40</v>
      </c>
      <c r="D7027">
        <v>6.2546249999999999</v>
      </c>
      <c r="E7027">
        <v>0.3935631</v>
      </c>
      <c r="F7027" t="s">
        <v>114</v>
      </c>
      <c r="G7027">
        <v>-239.72239999999999</v>
      </c>
      <c r="H7027" s="1">
        <v>-3.578924E-6</v>
      </c>
      <c r="I7027">
        <v>-58.010750000000002</v>
      </c>
      <c r="J7027">
        <v>-268.08920000000001</v>
      </c>
      <c r="K7027">
        <v>1.109748</v>
      </c>
      <c r="L7027">
        <v>-63.735320000000002</v>
      </c>
      <c r="M7027">
        <v>0.99871019999999999</v>
      </c>
      <c r="N7027">
        <v>0</v>
      </c>
      <c r="O7027">
        <v>-5.0215160000000002E-2</v>
      </c>
      <c r="P7027">
        <v>0.99673500000000004</v>
      </c>
      <c r="Q7027">
        <v>-2.3087750000000001E-2</v>
      </c>
      <c r="R7027">
        <v>-7.7369469999999996E-2</v>
      </c>
      <c r="S7027">
        <v>3.055237</v>
      </c>
      <c r="T7027">
        <v>-0.11903560000000001</v>
      </c>
      <c r="U7027">
        <v>0.61346440000000002</v>
      </c>
      <c r="V7027">
        <v>2.7247609999999998E-2</v>
      </c>
      <c r="W7027">
        <v>-1.553557E-2</v>
      </c>
      <c r="X7027">
        <v>0.99950799999999995</v>
      </c>
      <c r="Y7027">
        <v>-0.24563109999999999</v>
      </c>
      <c r="Z7027">
        <v>6.6742750000000003E-3</v>
      </c>
      <c r="AA7027">
        <v>0.96934039999999999</v>
      </c>
      <c r="AB7027">
        <v>23</v>
      </c>
      <c r="AC7027">
        <v>28.366800000000001</v>
      </c>
      <c r="AD7027">
        <v>-1.109751578924</v>
      </c>
      <c r="AE7027">
        <v>5.7245699999999902</v>
      </c>
      <c r="AF7027">
        <v>-7.1313438026424301</v>
      </c>
      <c r="AG7027">
        <v>-1.109751578924</v>
      </c>
      <c r="AH7027">
        <v>28.002362490925599</v>
      </c>
      <c r="AI7027">
        <v>92.199352338602594</v>
      </c>
      <c r="AJ7027">
        <v>104.28776293517301</v>
      </c>
      <c r="AK7027">
        <v>28.917467352304701</v>
      </c>
      <c r="AL7027">
        <v>90.890158390410093</v>
      </c>
      <c r="AM7027">
        <v>88.438445223407399</v>
      </c>
      <c r="AN7027">
        <v>1.0000000141249601</v>
      </c>
    </row>
    <row r="7028" spans="1:40" x14ac:dyDescent="0.25">
      <c r="A7028" t="str">
        <f>"20190312160824727"</f>
        <v>20190312160824727</v>
      </c>
      <c r="B7028" t="str">
        <f>"1552378104722333"</f>
        <v>1552378104722333</v>
      </c>
      <c r="C7028" t="s">
        <v>40</v>
      </c>
      <c r="D7028">
        <v>6.2574500000000004</v>
      </c>
      <c r="E7028">
        <v>0.39333489999999999</v>
      </c>
      <c r="F7028" t="s">
        <v>114</v>
      </c>
      <c r="G7028">
        <v>-239.51</v>
      </c>
      <c r="H7028" s="1">
        <v>-3.4960949999999999E-6</v>
      </c>
      <c r="I7028">
        <v>-57.964080000000003</v>
      </c>
      <c r="J7028">
        <v>-267.98059999999998</v>
      </c>
      <c r="K7028">
        <v>1.1097509999999999</v>
      </c>
      <c r="L7028">
        <v>-63.740139999999997</v>
      </c>
      <c r="M7028">
        <v>0.99874019999999997</v>
      </c>
      <c r="N7028">
        <v>0</v>
      </c>
      <c r="O7028">
        <v>-4.9617179999999997E-2</v>
      </c>
      <c r="P7028">
        <v>0.99677519999999997</v>
      </c>
      <c r="Q7028">
        <v>-2.2988729999999999E-2</v>
      </c>
      <c r="R7028">
        <v>-7.6881550000000007E-2</v>
      </c>
      <c r="S7028">
        <v>3.0549930000000001</v>
      </c>
      <c r="T7028">
        <v>-0.11862739999999999</v>
      </c>
      <c r="U7028">
        <v>0.61691280000000004</v>
      </c>
      <c r="V7028">
        <v>2.7356680000000001E-2</v>
      </c>
      <c r="W7028">
        <v>-1.544156E-2</v>
      </c>
      <c r="X7028">
        <v>0.99950649999999996</v>
      </c>
      <c r="Y7028">
        <v>-0.2461188</v>
      </c>
      <c r="Z7028">
        <v>6.6375610000000002E-3</v>
      </c>
      <c r="AA7028">
        <v>0.96921690000000005</v>
      </c>
      <c r="AB7028">
        <v>23</v>
      </c>
      <c r="AC7028">
        <v>28.470599999999902</v>
      </c>
      <c r="AD7028">
        <v>-1.1097544960950001</v>
      </c>
      <c r="AE7028">
        <v>5.7760600000000002</v>
      </c>
      <c r="AF7028">
        <v>-7.17115099511292</v>
      </c>
      <c r="AG7028">
        <v>-1.1097544960950001</v>
      </c>
      <c r="AH7028">
        <v>28.1079134398714</v>
      </c>
      <c r="AI7028">
        <v>92.190866204986406</v>
      </c>
      <c r="AJ7028">
        <v>104.31250519998601</v>
      </c>
      <c r="AK7028">
        <v>29.029498093828899</v>
      </c>
      <c r="AL7028">
        <v>90.884771348139296</v>
      </c>
      <c r="AM7028">
        <v>88.432195206546794</v>
      </c>
      <c r="AN7028">
        <v>1.00000003662905</v>
      </c>
    </row>
    <row r="7029" spans="1:40" x14ac:dyDescent="0.25">
      <c r="A7029" t="str">
        <f>"20190312160824738"</f>
        <v>20190312160824738</v>
      </c>
      <c r="B7029" t="str">
        <f>"1552378104732093"</f>
        <v>1552378104732093</v>
      </c>
      <c r="C7029" t="s">
        <v>40</v>
      </c>
      <c r="D7029">
        <v>6.2506059999999897</v>
      </c>
      <c r="E7029">
        <v>0.39319369999999998</v>
      </c>
      <c r="F7029" t="s">
        <v>114</v>
      </c>
      <c r="G7029">
        <v>-239.1336</v>
      </c>
      <c r="H7029" s="1">
        <v>-3.3489339999999999E-6</v>
      </c>
      <c r="I7029">
        <v>-57.883420000000001</v>
      </c>
      <c r="J7029">
        <v>-267.86450000000002</v>
      </c>
      <c r="K7029">
        <v>1.109753</v>
      </c>
      <c r="L7029">
        <v>-63.745240000000003</v>
      </c>
      <c r="M7029">
        <v>0.99877169999999904</v>
      </c>
      <c r="N7029">
        <v>0</v>
      </c>
      <c r="O7029">
        <v>-4.8978189999999998E-2</v>
      </c>
      <c r="P7029">
        <v>0.99683180000000005</v>
      </c>
      <c r="Q7029">
        <v>-2.2897500000000001E-2</v>
      </c>
      <c r="R7029">
        <v>-7.6171950000000002E-2</v>
      </c>
      <c r="S7029">
        <v>3.05484</v>
      </c>
      <c r="T7029">
        <v>-0.11752079999999999</v>
      </c>
      <c r="U7029">
        <v>0.62020869999999995</v>
      </c>
      <c r="V7029">
        <v>2.7284360000000001E-2</v>
      </c>
      <c r="W7029">
        <v>-1.535566E-2</v>
      </c>
      <c r="X7029">
        <v>0.9995098</v>
      </c>
      <c r="Y7029">
        <v>-0.24651680000000001</v>
      </c>
      <c r="Z7029">
        <v>6.5585359999999898E-3</v>
      </c>
      <c r="AA7029">
        <v>0.96911630000000004</v>
      </c>
      <c r="AB7029">
        <v>23</v>
      </c>
      <c r="AC7029">
        <v>28.730899999999998</v>
      </c>
      <c r="AD7029">
        <v>-1.1097563489340001</v>
      </c>
      <c r="AE7029">
        <v>5.8618199999999998</v>
      </c>
      <c r="AF7029">
        <v>-7.25162480945521</v>
      </c>
      <c r="AG7029">
        <v>-1.1097563489340001</v>
      </c>
      <c r="AH7029">
        <v>28.368673740035501</v>
      </c>
      <c r="AI7029">
        <v>92.170495509174401</v>
      </c>
      <c r="AJ7029">
        <v>104.338947709598</v>
      </c>
      <c r="AK7029">
        <v>29.3018646386145</v>
      </c>
      <c r="AL7029">
        <v>90.879849057404996</v>
      </c>
      <c r="AM7029">
        <v>88.436342948141998</v>
      </c>
      <c r="AN7029">
        <v>1.0000000364453401</v>
      </c>
    </row>
    <row r="7030" spans="1:40" x14ac:dyDescent="0.25">
      <c r="A7030" t="str">
        <f>"20190312160824749"</f>
        <v>20190312160824749</v>
      </c>
      <c r="B7030" t="str">
        <f>"1552378104742832"</f>
        <v>1552378104742832</v>
      </c>
      <c r="C7030" t="s">
        <v>40</v>
      </c>
      <c r="D7030">
        <v>6.2729549999999996</v>
      </c>
      <c r="E7030">
        <v>0.39314159999999998</v>
      </c>
      <c r="F7030" t="s">
        <v>114</v>
      </c>
      <c r="G7030">
        <v>-239.0275</v>
      </c>
      <c r="H7030" s="1">
        <v>-3.3078400000000002E-6</v>
      </c>
      <c r="I7030">
        <v>-57.858569999999901</v>
      </c>
      <c r="J7030">
        <v>-267.7466</v>
      </c>
      <c r="K7030">
        <v>1.109756</v>
      </c>
      <c r="L7030">
        <v>-63.750340000000001</v>
      </c>
      <c r="M7030">
        <v>0.99880340000000001</v>
      </c>
      <c r="N7030">
        <v>0</v>
      </c>
      <c r="O7030">
        <v>-4.8328959999999997E-2</v>
      </c>
      <c r="P7030">
        <v>0.99688639999999995</v>
      </c>
      <c r="Q7030">
        <v>-2.2843780000000001E-2</v>
      </c>
      <c r="R7030">
        <v>-7.5472300000000006E-2</v>
      </c>
      <c r="S7030">
        <v>3.054535</v>
      </c>
      <c r="T7030">
        <v>-0.1175501</v>
      </c>
      <c r="U7030">
        <v>0.62353519999999996</v>
      </c>
      <c r="V7030">
        <v>2.72324E-2</v>
      </c>
      <c r="W7030">
        <v>-1.5306790000000001E-2</v>
      </c>
      <c r="X7030">
        <v>0.99951199999999996</v>
      </c>
      <c r="Y7030">
        <v>-0.24691920000000001</v>
      </c>
      <c r="Z7030">
        <v>6.5430210000000004E-3</v>
      </c>
      <c r="AA7030">
        <v>0.96901400000000004</v>
      </c>
      <c r="AB7030">
        <v>23</v>
      </c>
      <c r="AC7030">
        <v>28.719100000000001</v>
      </c>
      <c r="AD7030">
        <v>-1.1097593078400001</v>
      </c>
      <c r="AE7030">
        <v>5.8917700000000002</v>
      </c>
      <c r="AF7030">
        <v>-7.2624817626684202</v>
      </c>
      <c r="AG7030">
        <v>-1.1097593078400001</v>
      </c>
      <c r="AH7030">
        <v>28.360151087989799</v>
      </c>
      <c r="AI7030">
        <v>92.170913537127603</v>
      </c>
      <c r="AJ7030">
        <v>104.363665264118</v>
      </c>
      <c r="AK7030">
        <v>29.296303125275699</v>
      </c>
      <c r="AL7030">
        <v>90.877048654389199</v>
      </c>
      <c r="AM7030">
        <v>88.439322716760401</v>
      </c>
      <c r="AN7030">
        <v>1.00000006978692</v>
      </c>
    </row>
    <row r="7031" spans="1:40" x14ac:dyDescent="0.25">
      <c r="A7031" t="str">
        <f>"20190312160824760"</f>
        <v>20190312160824760</v>
      </c>
      <c r="B7031" t="str">
        <f>"1552378104752590"</f>
        <v>1552378104752590</v>
      </c>
      <c r="C7031" t="s">
        <v>40</v>
      </c>
      <c r="D7031">
        <v>6.2994969999999997</v>
      </c>
      <c r="E7031">
        <v>0.39307199999999998</v>
      </c>
      <c r="F7031" t="s">
        <v>114</v>
      </c>
      <c r="G7031">
        <v>-238.51840000000001</v>
      </c>
      <c r="H7031" s="1">
        <v>-3.1070129999999998E-6</v>
      </c>
      <c r="I7031">
        <v>-57.75929</v>
      </c>
      <c r="J7031">
        <v>-267.63900000000001</v>
      </c>
      <c r="K7031">
        <v>1.109758</v>
      </c>
      <c r="L7031">
        <v>-63.75488</v>
      </c>
      <c r="M7031">
        <v>0.99883189999999999</v>
      </c>
      <c r="N7031">
        <v>0</v>
      </c>
      <c r="O7031">
        <v>-4.7736359999999999E-2</v>
      </c>
      <c r="P7031">
        <v>0.99692709999999995</v>
      </c>
      <c r="Q7031">
        <v>-2.2608130000000001E-2</v>
      </c>
      <c r="R7031">
        <v>-7.5001269999999995E-2</v>
      </c>
      <c r="S7031">
        <v>3.0541079999999998</v>
      </c>
      <c r="T7031">
        <v>-0.11596040000000001</v>
      </c>
      <c r="U7031">
        <v>0.62600710000000004</v>
      </c>
      <c r="V7031">
        <v>2.7352629999999999E-2</v>
      </c>
      <c r="W7031">
        <v>-1.5074840000000001E-2</v>
      </c>
      <c r="X7031">
        <v>0.99951219999999996</v>
      </c>
      <c r="Y7031">
        <v>-0.2471296</v>
      </c>
      <c r="Z7031">
        <v>6.4366229999999998E-3</v>
      </c>
      <c r="AA7031">
        <v>0.96896110000000002</v>
      </c>
      <c r="AB7031">
        <v>23</v>
      </c>
      <c r="AC7031">
        <v>29.1206</v>
      </c>
      <c r="AD7031">
        <v>-1.109761107013</v>
      </c>
      <c r="AE7031">
        <v>5.99559</v>
      </c>
      <c r="AF7031">
        <v>-7.36863855305592</v>
      </c>
      <c r="AG7031">
        <v>-1.109761107013</v>
      </c>
      <c r="AH7031">
        <v>28.761112780105101</v>
      </c>
      <c r="AI7031">
        <v>92.140618255739497</v>
      </c>
      <c r="AJ7031">
        <v>104.370167889567</v>
      </c>
      <c r="AK7031">
        <v>29.710772662287798</v>
      </c>
      <c r="AL7031">
        <v>90.863757402063499</v>
      </c>
      <c r="AM7031">
        <v>88.432436130328099</v>
      </c>
      <c r="AN7031">
        <v>1.0000000275588901</v>
      </c>
    </row>
    <row r="7032" spans="1:40" x14ac:dyDescent="0.25">
      <c r="A7032" t="str">
        <f>"20190312160824771"</f>
        <v>20190312160824771</v>
      </c>
      <c r="B7032" t="str">
        <f>"1552378104762350"</f>
        <v>1552378104762350</v>
      </c>
      <c r="C7032" t="s">
        <v>40</v>
      </c>
      <c r="D7032">
        <v>6.3037470000000004</v>
      </c>
      <c r="E7032">
        <v>0.39307379999999997</v>
      </c>
      <c r="F7032" t="s">
        <v>114</v>
      </c>
      <c r="G7032">
        <v>-238.2055</v>
      </c>
      <c r="H7032" s="1">
        <v>-2.9830909999999998E-6</v>
      </c>
      <c r="I7032">
        <v>-57.701230000000002</v>
      </c>
      <c r="J7032">
        <v>-267.52420000000001</v>
      </c>
      <c r="K7032">
        <v>1.109758</v>
      </c>
      <c r="L7032">
        <v>-63.759740000000001</v>
      </c>
      <c r="M7032">
        <v>0.99886200000000003</v>
      </c>
      <c r="N7032">
        <v>0</v>
      </c>
      <c r="O7032">
        <v>-4.7104890000000003E-2</v>
      </c>
      <c r="P7032">
        <v>0.9969713</v>
      </c>
      <c r="Q7032">
        <v>-2.234941E-2</v>
      </c>
      <c r="R7032">
        <v>-7.4490029999999999E-2</v>
      </c>
      <c r="S7032">
        <v>3.053833</v>
      </c>
      <c r="T7032">
        <v>-0.1151417</v>
      </c>
      <c r="U7032">
        <v>0.62808229999999998</v>
      </c>
      <c r="V7032">
        <v>2.7471280000000001E-2</v>
      </c>
      <c r="W7032">
        <v>-1.4819769999999999E-2</v>
      </c>
      <c r="X7032">
        <v>0.99951270000000003</v>
      </c>
      <c r="Y7032">
        <v>-0.24716920000000001</v>
      </c>
      <c r="Z7032">
        <v>6.3685019999999998E-3</v>
      </c>
      <c r="AA7032">
        <v>0.96895140000000002</v>
      </c>
      <c r="AB7032">
        <v>23</v>
      </c>
      <c r="AC7032">
        <v>29.3187</v>
      </c>
      <c r="AD7032">
        <v>-1.109760983091</v>
      </c>
      <c r="AE7032">
        <v>6.0585099999999903</v>
      </c>
      <c r="AF7032">
        <v>-7.4226777672281496</v>
      </c>
      <c r="AG7032">
        <v>-1.109760983091</v>
      </c>
      <c r="AH7032">
        <v>28.9609650478919</v>
      </c>
      <c r="AI7032">
        <v>92.125809730854698</v>
      </c>
      <c r="AJ7032">
        <v>104.375434292677</v>
      </c>
      <c r="AK7032">
        <v>29.917640468140299</v>
      </c>
      <c r="AL7032">
        <v>90.849141386392702</v>
      </c>
      <c r="AM7032">
        <v>88.425640567378395</v>
      </c>
      <c r="AN7032">
        <v>0.99999996713449002</v>
      </c>
    </row>
    <row r="7033" spans="1:40" x14ac:dyDescent="0.25">
      <c r="A7033" t="str">
        <f>"20190312160824782"</f>
        <v>20190312160824782</v>
      </c>
      <c r="B7033" t="str">
        <f>"1552378104772110"</f>
        <v>1552378104772110</v>
      </c>
      <c r="C7033" t="s">
        <v>40</v>
      </c>
      <c r="D7033">
        <v>6.2757839999999998</v>
      </c>
      <c r="E7033">
        <v>0.39307170000000002</v>
      </c>
      <c r="F7033" t="s">
        <v>114</v>
      </c>
      <c r="G7033">
        <v>-238.12970000000001</v>
      </c>
      <c r="H7033" s="1">
        <v>-2.951109E-6</v>
      </c>
      <c r="I7033">
        <v>-57.698279999999997</v>
      </c>
      <c r="J7033">
        <v>-267.41410000000002</v>
      </c>
      <c r="K7033">
        <v>1.1097549999999901</v>
      </c>
      <c r="L7033">
        <v>-63.764279999999999</v>
      </c>
      <c r="M7033">
        <v>0.99889030000000001</v>
      </c>
      <c r="N7033">
        <v>0</v>
      </c>
      <c r="O7033">
        <v>-4.6500970000000003E-2</v>
      </c>
      <c r="P7033">
        <v>0.99699769999999999</v>
      </c>
      <c r="Q7033">
        <v>-2.2397400000000001E-2</v>
      </c>
      <c r="R7033">
        <v>-7.4122309999999997E-2</v>
      </c>
      <c r="S7033">
        <v>3.0535580000000002</v>
      </c>
      <c r="T7033">
        <v>-0.1152841</v>
      </c>
      <c r="U7033">
        <v>0.62966919999999904</v>
      </c>
      <c r="V7033">
        <v>2.7707059999999999E-2</v>
      </c>
      <c r="W7033">
        <v>-1.4870609999999999E-2</v>
      </c>
      <c r="X7033">
        <v>0.99950550000000005</v>
      </c>
      <c r="Y7033">
        <v>-0.24708369999999999</v>
      </c>
      <c r="Z7033">
        <v>6.3524159999999996E-3</v>
      </c>
      <c r="AA7033">
        <v>0.96897330000000004</v>
      </c>
      <c r="AB7033">
        <v>23</v>
      </c>
      <c r="AC7033">
        <v>29.284400000000002</v>
      </c>
      <c r="AD7033">
        <v>-1.1097579511090001</v>
      </c>
      <c r="AE7033">
        <v>6.0659999999999998</v>
      </c>
      <c r="AF7033">
        <v>-7.41102364820759</v>
      </c>
      <c r="AG7033">
        <v>-1.1097579511090001</v>
      </c>
      <c r="AH7033">
        <v>28.930798826427601</v>
      </c>
      <c r="AI7033">
        <v>92.128087784429894</v>
      </c>
      <c r="AJ7033">
        <v>104.368144544427</v>
      </c>
      <c r="AK7033">
        <v>29.885547593436598</v>
      </c>
      <c r="AL7033">
        <v>90.852054571059597</v>
      </c>
      <c r="AM7033">
        <v>88.412123639777207</v>
      </c>
      <c r="AN7033">
        <v>1.0000000303729299</v>
      </c>
    </row>
    <row r="7034" spans="1:40" x14ac:dyDescent="0.25">
      <c r="A7034" t="str">
        <f>"20190312160824793"</f>
        <v>20190312160824793</v>
      </c>
      <c r="B7034" t="str">
        <f>"1552378104782845"</f>
        <v>1552378104782845</v>
      </c>
      <c r="C7034" t="s">
        <v>40</v>
      </c>
      <c r="D7034">
        <v>6.2503710000000003</v>
      </c>
      <c r="E7034">
        <v>0.39303480000000002</v>
      </c>
      <c r="F7034" t="s">
        <v>114</v>
      </c>
      <c r="G7034">
        <v>-238.5651</v>
      </c>
      <c r="H7034" s="1">
        <v>-3.1192210000000001E-6</v>
      </c>
      <c r="I7034">
        <v>-57.803530000000002</v>
      </c>
      <c r="J7034">
        <v>-267.29730000000001</v>
      </c>
      <c r="K7034">
        <v>1.1097549999999901</v>
      </c>
      <c r="L7034">
        <v>-63.7690699999999</v>
      </c>
      <c r="M7034">
        <v>0.99892000000000003</v>
      </c>
      <c r="N7034">
        <v>0</v>
      </c>
      <c r="O7034">
        <v>-4.5860570000000003E-2</v>
      </c>
      <c r="P7034">
        <v>0.99704459999999995</v>
      </c>
      <c r="Q7034">
        <v>-2.231731E-2</v>
      </c>
      <c r="R7034">
        <v>-7.3515709999999998E-2</v>
      </c>
      <c r="S7034">
        <v>3.0532840000000001</v>
      </c>
      <c r="T7034">
        <v>-0.1174531</v>
      </c>
      <c r="U7034">
        <v>0.63085939999999996</v>
      </c>
      <c r="V7034">
        <v>2.7739429999999999E-2</v>
      </c>
      <c r="W7034">
        <v>-1.479376E-2</v>
      </c>
      <c r="X7034">
        <v>0.99950570000000005</v>
      </c>
      <c r="Y7034">
        <v>-0.2468349</v>
      </c>
      <c r="Z7034">
        <v>6.4430319999999996E-3</v>
      </c>
      <c r="AA7034">
        <v>0.96903609999999896</v>
      </c>
      <c r="AB7034">
        <v>23</v>
      </c>
      <c r="AC7034">
        <v>28.732199999999999</v>
      </c>
      <c r="AD7034">
        <v>-1.10975811922099</v>
      </c>
      <c r="AE7034">
        <v>5.9655399999999901</v>
      </c>
      <c r="AF7034">
        <v>-7.2665822496572696</v>
      </c>
      <c r="AG7034">
        <v>-1.10975811922099</v>
      </c>
      <c r="AH7034">
        <v>28.387777556047599</v>
      </c>
      <c r="AI7034">
        <v>92.168855085766694</v>
      </c>
      <c r="AJ7034">
        <v>104.358031810966</v>
      </c>
      <c r="AK7034">
        <v>29.324063416345499</v>
      </c>
      <c r="AL7034">
        <v>90.847650942191706</v>
      </c>
      <c r="AM7034">
        <v>88.410269802223496</v>
      </c>
      <c r="AN7034">
        <v>0.999999987822076</v>
      </c>
    </row>
    <row r="7035" spans="1:40" x14ac:dyDescent="0.25">
      <c r="A7035" t="str">
        <f>"20190312160824807"</f>
        <v>20190312160824807</v>
      </c>
      <c r="B7035" t="str">
        <f>"1552378104802365"</f>
        <v>1552378104802365</v>
      </c>
      <c r="C7035" t="s">
        <v>40</v>
      </c>
      <c r="D7035">
        <v>6.2734110000000003</v>
      </c>
      <c r="E7035">
        <v>0.3924069</v>
      </c>
      <c r="F7035" t="s">
        <v>114</v>
      </c>
      <c r="G7035">
        <v>-238.70930000000001</v>
      </c>
      <c r="H7035" s="1">
        <v>-3.1745939999999999E-6</v>
      </c>
      <c r="I7035">
        <v>-57.840169999999901</v>
      </c>
      <c r="J7035">
        <v>-267.18</v>
      </c>
      <c r="K7035">
        <v>1.1097549999999901</v>
      </c>
      <c r="L7035">
        <v>-63.773710000000001</v>
      </c>
      <c r="M7035">
        <v>0.99894919999999998</v>
      </c>
      <c r="N7035">
        <v>0</v>
      </c>
      <c r="O7035">
        <v>-4.5219090000000003E-2</v>
      </c>
      <c r="P7035">
        <v>0.99707699999999999</v>
      </c>
      <c r="Q7035">
        <v>-2.2408319999999999E-2</v>
      </c>
      <c r="R7035">
        <v>-7.3043570000000002E-2</v>
      </c>
      <c r="S7035">
        <v>3.0529480000000002</v>
      </c>
      <c r="T7035">
        <v>-0.1185124</v>
      </c>
      <c r="U7035">
        <v>0.63314820000000005</v>
      </c>
      <c r="V7035">
        <v>2.7908369999999998E-2</v>
      </c>
      <c r="W7035">
        <v>-1.4887040000000001E-2</v>
      </c>
      <c r="X7035">
        <v>0.99949960000000004</v>
      </c>
      <c r="Y7035">
        <v>-0.24692710000000001</v>
      </c>
      <c r="Z7035">
        <v>6.478414E-3</v>
      </c>
      <c r="AA7035">
        <v>0.9690124</v>
      </c>
      <c r="AB7035">
        <v>23</v>
      </c>
      <c r="AC7035">
        <v>28.470699999999901</v>
      </c>
      <c r="AD7035">
        <v>-1.10975817459399</v>
      </c>
      <c r="AE7035">
        <v>5.9335399999999998</v>
      </c>
      <c r="AF7035">
        <v>-7.2044347495494998</v>
      </c>
      <c r="AG7035">
        <v>-1.10975817459399</v>
      </c>
      <c r="AH7035">
        <v>28.1322949368165</v>
      </c>
      <c r="AI7035">
        <v>92.188471834461396</v>
      </c>
      <c r="AJ7035">
        <v>104.36424344483601</v>
      </c>
      <c r="AK7035">
        <v>29.061339640123698</v>
      </c>
      <c r="AL7035">
        <v>90.852996091512395</v>
      </c>
      <c r="AM7035">
        <v>88.400583209013803</v>
      </c>
      <c r="AN7035">
        <v>0.99999997573808896</v>
      </c>
    </row>
    <row r="7036" spans="1:40" x14ac:dyDescent="0.25">
      <c r="A7036" t="str">
        <f>"20190312160824818"</f>
        <v>20190312160824818</v>
      </c>
      <c r="B7036" t="str">
        <f>"1552378104813101"</f>
        <v>1552378104813101</v>
      </c>
      <c r="C7036" t="s">
        <v>40</v>
      </c>
      <c r="D7036">
        <v>6.2860019999999999</v>
      </c>
      <c r="E7036">
        <v>0.39204539999999999</v>
      </c>
      <c r="F7036" t="s">
        <v>114</v>
      </c>
      <c r="G7036">
        <v>-237.6343</v>
      </c>
      <c r="H7036" s="1">
        <v>-2.758412E-6</v>
      </c>
      <c r="I7036">
        <v>-57.58643</v>
      </c>
      <c r="J7036">
        <v>-267.05950000000001</v>
      </c>
      <c r="K7036">
        <v>1.1097589999999999</v>
      </c>
      <c r="L7036">
        <v>-63.778530000000003</v>
      </c>
      <c r="M7036">
        <v>0.9989789</v>
      </c>
      <c r="N7036">
        <v>0</v>
      </c>
      <c r="O7036">
        <v>-4.4561290000000003E-2</v>
      </c>
      <c r="P7036">
        <v>0.99711209999999995</v>
      </c>
      <c r="Q7036">
        <v>-2.2440290000000002E-2</v>
      </c>
      <c r="R7036">
        <v>-7.2552099999999994E-2</v>
      </c>
      <c r="S7036">
        <v>3.0530400000000002</v>
      </c>
      <c r="T7036">
        <v>-0.1146744</v>
      </c>
      <c r="U7036">
        <v>0.63934329999999995</v>
      </c>
      <c r="V7036">
        <v>2.8074060000000001E-2</v>
      </c>
      <c r="W7036">
        <v>-1.4921159999999999E-2</v>
      </c>
      <c r="X7036">
        <v>0.99949449999999995</v>
      </c>
      <c r="Y7036">
        <v>-0.2481807</v>
      </c>
      <c r="Z7036">
        <v>6.2661230000000002E-3</v>
      </c>
      <c r="AA7036">
        <v>0.96869349999999999</v>
      </c>
      <c r="AB7036">
        <v>23</v>
      </c>
      <c r="AC7036">
        <v>29.4252</v>
      </c>
      <c r="AD7036">
        <v>-1.1097617584120001</v>
      </c>
      <c r="AE7036">
        <v>6.1920999999999902</v>
      </c>
      <c r="AF7036">
        <v>-7.4870120700912404</v>
      </c>
      <c r="AG7036">
        <v>-1.1097617584120001</v>
      </c>
      <c r="AH7036">
        <v>29.0804234625442</v>
      </c>
      <c r="AI7036">
        <v>92.116495739906</v>
      </c>
      <c r="AJ7036">
        <v>104.437753411505</v>
      </c>
      <c r="AK7036">
        <v>30.049258720624302</v>
      </c>
      <c r="AL7036">
        <v>90.854951198860604</v>
      </c>
      <c r="AM7036">
        <v>88.391084356667093</v>
      </c>
      <c r="AN7036">
        <v>1.0000000246954299</v>
      </c>
    </row>
    <row r="7037" spans="1:40" x14ac:dyDescent="0.25">
      <c r="A7037" t="str">
        <f>"20190312160824828"</f>
        <v>20190312160824828</v>
      </c>
      <c r="B7037" t="str">
        <f>"1552378104822862"</f>
        <v>1552378104822862</v>
      </c>
      <c r="C7037" t="s">
        <v>40</v>
      </c>
      <c r="D7037">
        <v>6.2976660000000004</v>
      </c>
      <c r="E7037">
        <v>0.39180569999999998</v>
      </c>
      <c r="F7037" t="s">
        <v>114</v>
      </c>
      <c r="G7037">
        <v>-237.00819999999999</v>
      </c>
      <c r="H7037" s="1">
        <v>-2.5151849999999999E-6</v>
      </c>
      <c r="I7037">
        <v>-57.443480000000001</v>
      </c>
      <c r="J7037">
        <v>-266.9366</v>
      </c>
      <c r="K7037">
        <v>1.109761</v>
      </c>
      <c r="L7037">
        <v>-63.783259999999999</v>
      </c>
      <c r="M7037">
        <v>0.99900840000000002</v>
      </c>
      <c r="N7037">
        <v>0</v>
      </c>
      <c r="O7037">
        <v>-4.3891920000000001E-2</v>
      </c>
      <c r="P7037">
        <v>0.99714449999999999</v>
      </c>
      <c r="Q7037">
        <v>-2.234916E-2</v>
      </c>
      <c r="R7037">
        <v>-7.2133559999999999E-2</v>
      </c>
      <c r="S7037">
        <v>3.0529790000000001</v>
      </c>
      <c r="T7037">
        <v>-0.1127431</v>
      </c>
      <c r="U7037">
        <v>0.64358519999999997</v>
      </c>
      <c r="V7037">
        <v>2.8324149999999999E-2</v>
      </c>
      <c r="W7037">
        <v>-1.4831509999999999E-2</v>
      </c>
      <c r="X7037">
        <v>0.99948879999999996</v>
      </c>
      <c r="Y7037">
        <v>-0.2488312</v>
      </c>
      <c r="Z7037">
        <v>6.1473219999999898E-3</v>
      </c>
      <c r="AA7037">
        <v>0.96852740000000004</v>
      </c>
      <c r="AB7037">
        <v>23</v>
      </c>
      <c r="AC7037">
        <v>29.9284</v>
      </c>
      <c r="AD7037">
        <v>-1.109763515185</v>
      </c>
      <c r="AE7037">
        <v>6.3397799999999904</v>
      </c>
      <c r="AF7037">
        <v>-7.6372713925550499</v>
      </c>
      <c r="AG7037">
        <v>-1.109763515185</v>
      </c>
      <c r="AH7037">
        <v>29.5823549776464</v>
      </c>
      <c r="AI7037">
        <v>92.080262463174193</v>
      </c>
      <c r="AJ7037">
        <v>104.47595094062</v>
      </c>
      <c r="AK7037">
        <v>30.572458445578999</v>
      </c>
      <c r="AL7037">
        <v>90.849814045569801</v>
      </c>
      <c r="AM7037">
        <v>88.376750158540005</v>
      </c>
      <c r="AN7037">
        <v>1.0000000462437699</v>
      </c>
    </row>
    <row r="7038" spans="1:40" x14ac:dyDescent="0.25">
      <c r="A7038" t="str">
        <f>"20190312160824839"</f>
        <v>20190312160824839</v>
      </c>
      <c r="B7038" t="str">
        <f>"1552378104832622"</f>
        <v>1552378104832622</v>
      </c>
      <c r="C7038" t="s">
        <v>40</v>
      </c>
      <c r="D7038">
        <v>6.248475</v>
      </c>
      <c r="E7038">
        <v>0.39153250000000001</v>
      </c>
      <c r="F7038" t="s">
        <v>114</v>
      </c>
      <c r="G7038">
        <v>-236.48400000000001</v>
      </c>
      <c r="H7038" s="1">
        <v>-2.3101499999999998E-6</v>
      </c>
      <c r="I7038">
        <v>-57.331699999999998</v>
      </c>
      <c r="J7038">
        <v>-266.8272</v>
      </c>
      <c r="K7038">
        <v>1.1097619999999999</v>
      </c>
      <c r="L7038">
        <v>-63.787410000000001</v>
      </c>
      <c r="M7038">
        <v>0.99903450000000005</v>
      </c>
      <c r="N7038">
        <v>0</v>
      </c>
      <c r="O7038">
        <v>-4.3296460000000002E-2</v>
      </c>
      <c r="P7038">
        <v>0.99718580000000001</v>
      </c>
      <c r="Q7038">
        <v>-2.2142789999999999E-2</v>
      </c>
      <c r="R7038">
        <v>-7.1627189999999993E-2</v>
      </c>
      <c r="S7038">
        <v>3.0528559999999998</v>
      </c>
      <c r="T7038">
        <v>-0.11125309999999999</v>
      </c>
      <c r="U7038">
        <v>0.64675899999999997</v>
      </c>
      <c r="V7038">
        <v>2.8411559999999999E-2</v>
      </c>
      <c r="W7038">
        <v>-1.4626449999999999E-2</v>
      </c>
      <c r="X7038">
        <v>0.99948930000000002</v>
      </c>
      <c r="Y7038">
        <v>-0.2492308</v>
      </c>
      <c r="Z7038">
        <v>6.0514430000000001E-3</v>
      </c>
      <c r="AA7038">
        <v>0.96842519999999999</v>
      </c>
      <c r="AB7038">
        <v>23</v>
      </c>
      <c r="AC7038">
        <v>30.3432</v>
      </c>
      <c r="AD7038">
        <v>-1.1097643101500001</v>
      </c>
      <c r="AE7038">
        <v>6.4557099999999901</v>
      </c>
      <c r="AF7038">
        <v>-7.7535232586929004</v>
      </c>
      <c r="AG7038">
        <v>-1.1097643101500001</v>
      </c>
      <c r="AH7038">
        <v>29.996840190406498</v>
      </c>
      <c r="AI7038">
        <v>92.051391402002395</v>
      </c>
      <c r="AJ7038">
        <v>104.492503522205</v>
      </c>
      <c r="AK7038">
        <v>31.002566364027999</v>
      </c>
      <c r="AL7038">
        <v>90.838063733217396</v>
      </c>
      <c r="AM7038">
        <v>88.371744220280505</v>
      </c>
      <c r="AN7038">
        <v>1.0000000052978599</v>
      </c>
    </row>
    <row r="7039" spans="1:40" x14ac:dyDescent="0.25">
      <c r="A7039" t="str">
        <f>"20190312160824852"</f>
        <v>20190312160824852</v>
      </c>
      <c r="B7039" t="str">
        <f>"1552378104842382"</f>
        <v>1552378104842382</v>
      </c>
      <c r="C7039" t="s">
        <v>40</v>
      </c>
      <c r="D7039">
        <v>6.2966709999999999</v>
      </c>
      <c r="E7039">
        <v>0.3911422</v>
      </c>
      <c r="F7039" t="s">
        <v>114</v>
      </c>
      <c r="G7039">
        <v>-235.7089</v>
      </c>
      <c r="H7039" s="1">
        <v>-2.0084440000000001E-6</v>
      </c>
      <c r="I7039">
        <v>-57.157919999999997</v>
      </c>
      <c r="J7039">
        <v>-266.69389999999999</v>
      </c>
      <c r="K7039">
        <v>1.1097600000000001</v>
      </c>
      <c r="L7039">
        <v>-63.792450000000002</v>
      </c>
      <c r="M7039">
        <v>0.9990656</v>
      </c>
      <c r="N7039">
        <v>0</v>
      </c>
      <c r="O7039">
        <v>-4.2571779999999997E-2</v>
      </c>
      <c r="P7039">
        <v>0.9972396</v>
      </c>
      <c r="Q7039">
        <v>-2.2091900000000001E-2</v>
      </c>
      <c r="R7039">
        <v>-7.0887270000000002E-2</v>
      </c>
      <c r="S7039">
        <v>3.052765</v>
      </c>
      <c r="T7039">
        <v>-0.10886989999999901</v>
      </c>
      <c r="U7039">
        <v>0.6503601</v>
      </c>
      <c r="V7039">
        <v>2.839502E-2</v>
      </c>
      <c r="W7039">
        <v>-1.4577120000000001E-2</v>
      </c>
      <c r="X7039">
        <v>0.99949049999999995</v>
      </c>
      <c r="Y7039">
        <v>-0.24963540000000001</v>
      </c>
      <c r="Z7039">
        <v>5.9028989999999996E-3</v>
      </c>
      <c r="AA7039">
        <v>0.96832189999999996</v>
      </c>
      <c r="AB7039">
        <v>23</v>
      </c>
      <c r="AC7039">
        <v>30.9849999999999</v>
      </c>
      <c r="AD7039">
        <v>-1.1097620084440001</v>
      </c>
      <c r="AE7039">
        <v>6.6345299999999998</v>
      </c>
      <c r="AF7039">
        <v>-7.9379018273959403</v>
      </c>
      <c r="AG7039">
        <v>-1.1097620084440001</v>
      </c>
      <c r="AH7039">
        <v>30.636878249147099</v>
      </c>
      <c r="AI7039">
        <v>92.008265949639707</v>
      </c>
      <c r="AJ7039">
        <v>104.525705963428</v>
      </c>
      <c r="AK7039">
        <v>31.667967506454001</v>
      </c>
      <c r="AL7039">
        <v>90.835237023307997</v>
      </c>
      <c r="AM7039">
        <v>88.3726935643259</v>
      </c>
      <c r="AN7039">
        <v>1.00000001458927</v>
      </c>
    </row>
    <row r="7040" spans="1:40" x14ac:dyDescent="0.25">
      <c r="A7040" t="str">
        <f>"20190312160824860"</f>
        <v>20190312160824860</v>
      </c>
      <c r="B7040" t="str">
        <f>"1552378104852142"</f>
        <v>1552378104852142</v>
      </c>
      <c r="C7040" t="s">
        <v>40</v>
      </c>
      <c r="D7040">
        <v>6.246461</v>
      </c>
      <c r="E7040">
        <v>0.39081779999999999</v>
      </c>
      <c r="F7040" t="s">
        <v>114</v>
      </c>
      <c r="G7040">
        <v>-234.75460000000001</v>
      </c>
      <c r="H7040" s="1">
        <v>-1.63907999999999E-6</v>
      </c>
      <c r="I7040">
        <v>-56.93233</v>
      </c>
      <c r="J7040">
        <v>-266.60169999999999</v>
      </c>
      <c r="K7040">
        <v>1.109761</v>
      </c>
      <c r="L7040">
        <v>-63.795839999999998</v>
      </c>
      <c r="M7040">
        <v>0.99908669999999999</v>
      </c>
      <c r="N7040">
        <v>0</v>
      </c>
      <c r="O7040">
        <v>-4.2071089999999998E-2</v>
      </c>
      <c r="P7040">
        <v>0.99725839999999999</v>
      </c>
      <c r="Q7040">
        <v>-2.2029770000000001E-2</v>
      </c>
      <c r="R7040">
        <v>-7.064281E-2</v>
      </c>
      <c r="S7040">
        <v>3.0525509999999998</v>
      </c>
      <c r="T7040">
        <v>-0.1060637</v>
      </c>
      <c r="U7040">
        <v>0.65563959999999999</v>
      </c>
      <c r="V7040">
        <v>2.8650599999999998E-2</v>
      </c>
      <c r="W7040">
        <v>-1.451532E-2</v>
      </c>
      <c r="X7040">
        <v>0.99948409999999999</v>
      </c>
      <c r="Y7040">
        <v>-0.250774</v>
      </c>
      <c r="Z7040">
        <v>5.7525459999999999E-3</v>
      </c>
      <c r="AA7040">
        <v>0.96802860000000002</v>
      </c>
      <c r="AB7040">
        <v>23</v>
      </c>
      <c r="AC7040">
        <v>31.847099999999902</v>
      </c>
      <c r="AD7040">
        <v>-1.1097626390799999</v>
      </c>
      <c r="AE7040">
        <v>6.86350999999999</v>
      </c>
      <c r="AF7040">
        <v>-8.1878113891154296</v>
      </c>
      <c r="AG7040">
        <v>-1.1097626390799999</v>
      </c>
      <c r="AH7040">
        <v>31.493593428539999</v>
      </c>
      <c r="AI7040">
        <v>91.953258399186097</v>
      </c>
      <c r="AJ7040">
        <v>104.573325123236</v>
      </c>
      <c r="AK7040">
        <v>32.559457235970598</v>
      </c>
      <c r="AL7040">
        <v>90.831695774350905</v>
      </c>
      <c r="AM7040">
        <v>88.358043858086006</v>
      </c>
      <c r="AN7040">
        <v>1.00000000877393</v>
      </c>
    </row>
    <row r="7041" spans="1:40" x14ac:dyDescent="0.25">
      <c r="A7041" t="str">
        <f>"20190312160824871"</f>
        <v>20190312160824871</v>
      </c>
      <c r="B7041" t="str">
        <f>"1552378104862878"</f>
        <v>1552378104862878</v>
      </c>
      <c r="C7041" t="s">
        <v>40</v>
      </c>
      <c r="D7041">
        <v>6.2404799999999998</v>
      </c>
      <c r="E7041">
        <v>0.39046690000000001</v>
      </c>
      <c r="F7041" t="s">
        <v>114</v>
      </c>
      <c r="G7041">
        <v>-234.00460000000001</v>
      </c>
      <c r="H7041" s="1">
        <v>-1.347943E-6</v>
      </c>
      <c r="I7041">
        <v>-56.759709999999998</v>
      </c>
      <c r="J7041">
        <v>-266.48480000000001</v>
      </c>
      <c r="K7041">
        <v>1.1097619999999999</v>
      </c>
      <c r="L7041">
        <v>-63.800080000000001</v>
      </c>
      <c r="M7041">
        <v>0.99911329999999998</v>
      </c>
      <c r="N7041">
        <v>0</v>
      </c>
      <c r="O7041">
        <v>-4.1436649999999998E-2</v>
      </c>
      <c r="P7041">
        <v>0.99731329999999996</v>
      </c>
      <c r="Q7041">
        <v>-2.1823780000000001E-2</v>
      </c>
      <c r="R7041">
        <v>-6.9928089999999998E-2</v>
      </c>
      <c r="S7041">
        <v>3.0526119999999999</v>
      </c>
      <c r="T7041">
        <v>-0.1039257</v>
      </c>
      <c r="U7041">
        <v>0.65890499999999996</v>
      </c>
      <c r="V7041">
        <v>2.8568420000000001E-2</v>
      </c>
      <c r="W7041">
        <v>-1.4310299999999899E-2</v>
      </c>
      <c r="X7041">
        <v>0.99948939999999997</v>
      </c>
      <c r="Y7041">
        <v>-0.25115179999999998</v>
      </c>
      <c r="Z7041">
        <v>5.620898E-3</v>
      </c>
      <c r="AA7041">
        <v>0.9679314</v>
      </c>
      <c r="AB7041">
        <v>23</v>
      </c>
      <c r="AC7041">
        <v>32.480200000000004</v>
      </c>
      <c r="AD7041">
        <v>-1.109763347943</v>
      </c>
      <c r="AE7041">
        <v>7.0403700000000002</v>
      </c>
      <c r="AF7041">
        <v>-8.3708973028037796</v>
      </c>
      <c r="AG7041">
        <v>-1.109763347943</v>
      </c>
      <c r="AH7041">
        <v>32.124745046859303</v>
      </c>
      <c r="AI7041">
        <v>91.914637197141801</v>
      </c>
      <c r="AJ7041">
        <v>104.605057287647</v>
      </c>
      <c r="AK7041">
        <v>33.2160012745098</v>
      </c>
      <c r="AL7041">
        <v>90.819947780640007</v>
      </c>
      <c r="AM7041">
        <v>88.362759675982502</v>
      </c>
      <c r="AN7041">
        <v>1.0000000000098701</v>
      </c>
    </row>
    <row r="7042" spans="1:40" x14ac:dyDescent="0.25">
      <c r="A7042" t="str">
        <f>"20190312160824883"</f>
        <v>20190312160824883</v>
      </c>
      <c r="B7042" t="str">
        <f>"1552378104872638"</f>
        <v>1552378104872638</v>
      </c>
      <c r="C7042" t="s">
        <v>40</v>
      </c>
      <c r="D7042">
        <v>6.13042</v>
      </c>
      <c r="E7042">
        <v>0.39030189999999998</v>
      </c>
      <c r="F7042" t="s">
        <v>114</v>
      </c>
      <c r="G7042">
        <v>-232.59549999999999</v>
      </c>
      <c r="H7042" s="1">
        <v>-9.2208229999999999E-7</v>
      </c>
      <c r="I7042">
        <v>-56.431130000000003</v>
      </c>
      <c r="J7042">
        <v>-266.37130000000002</v>
      </c>
      <c r="K7042">
        <v>1.1097629999999901</v>
      </c>
      <c r="L7042">
        <v>-63.804110000000001</v>
      </c>
      <c r="M7042">
        <v>0.99913870000000005</v>
      </c>
      <c r="N7042">
        <v>0</v>
      </c>
      <c r="O7042">
        <v>-4.0821410000000002E-2</v>
      </c>
      <c r="P7042">
        <v>0.99735410000000002</v>
      </c>
      <c r="Q7042">
        <v>-2.164847E-2</v>
      </c>
      <c r="R7042">
        <v>-6.9398909999999994E-2</v>
      </c>
      <c r="S7042">
        <v>3.05246</v>
      </c>
      <c r="T7042">
        <v>-9.9957939999999995E-2</v>
      </c>
      <c r="U7042">
        <v>0.66372679999999995</v>
      </c>
      <c r="V7042">
        <v>2.865345E-2</v>
      </c>
      <c r="W7042">
        <v>-1.413528E-2</v>
      </c>
      <c r="X7042">
        <v>0.99948950000000003</v>
      </c>
      <c r="Y7042">
        <v>-0.25203819999999999</v>
      </c>
      <c r="Z7042">
        <v>5.4001930000000002E-3</v>
      </c>
      <c r="AA7042">
        <v>0.96770219999999996</v>
      </c>
      <c r="AB7042">
        <v>23</v>
      </c>
      <c r="AC7042">
        <v>33.775799999999997</v>
      </c>
      <c r="AD7042">
        <v>-1.1097639220822999</v>
      </c>
      <c r="AE7042">
        <v>7.3729799999999903</v>
      </c>
      <c r="AF7042">
        <v>-8.7366451937149296</v>
      </c>
      <c r="AG7042">
        <v>-1.1097639220822999</v>
      </c>
      <c r="AH7042">
        <v>33.4122310032825</v>
      </c>
      <c r="AI7042">
        <v>91.840505371639793</v>
      </c>
      <c r="AJ7042">
        <v>104.65364004882299</v>
      </c>
      <c r="AK7042">
        <v>34.553403968644403</v>
      </c>
      <c r="AL7042">
        <v>90.809918823676895</v>
      </c>
      <c r="AM7042">
        <v>88.357889482095302</v>
      </c>
      <c r="AN7042">
        <v>1.00000004347391</v>
      </c>
    </row>
    <row r="7043" spans="1:40" x14ac:dyDescent="0.25">
      <c r="A7043" t="str">
        <f>"20190312160824895"</f>
        <v>20190312160824895</v>
      </c>
      <c r="B7043" t="str">
        <f>"1552378104882398"</f>
        <v>1552378104882398</v>
      </c>
      <c r="C7043" t="s">
        <v>40</v>
      </c>
      <c r="D7043">
        <v>6.252154</v>
      </c>
      <c r="E7043">
        <v>0.3901403</v>
      </c>
      <c r="F7043" t="s">
        <v>114</v>
      </c>
      <c r="G7043">
        <v>-231.98849999999999</v>
      </c>
      <c r="H7043" s="1">
        <v>-7.5176059999999996E-7</v>
      </c>
      <c r="I7043">
        <v>-56.294939999999997</v>
      </c>
      <c r="J7043">
        <v>-266.25560000000002</v>
      </c>
      <c r="K7043">
        <v>1.1097649999999999</v>
      </c>
      <c r="L7043">
        <v>-63.808230000000002</v>
      </c>
      <c r="M7043">
        <v>0.99916400000000005</v>
      </c>
      <c r="N7043">
        <v>0</v>
      </c>
      <c r="O7043">
        <v>-4.0194239999999999E-2</v>
      </c>
      <c r="P7043">
        <v>0.99740450000000003</v>
      </c>
      <c r="Q7043">
        <v>-2.177569E-2</v>
      </c>
      <c r="R7043">
        <v>-6.8629389999999998E-2</v>
      </c>
      <c r="S7043">
        <v>3.052216</v>
      </c>
      <c r="T7043">
        <v>-9.8515510000000001E-2</v>
      </c>
      <c r="U7043">
        <v>0.66659550000000001</v>
      </c>
      <c r="V7043">
        <v>2.8510029999999999E-2</v>
      </c>
      <c r="W7043">
        <v>-1.4263140000000001E-2</v>
      </c>
      <c r="X7043">
        <v>0.99949180000000004</v>
      </c>
      <c r="Y7043">
        <v>-0.25231949999999997</v>
      </c>
      <c r="Z7043">
        <v>5.3066550000000004E-3</v>
      </c>
      <c r="AA7043">
        <v>0.96762939999999997</v>
      </c>
      <c r="AB7043">
        <v>23</v>
      </c>
      <c r="AC7043">
        <v>34.267099999999999</v>
      </c>
      <c r="AD7043">
        <v>-1.1097657517606001</v>
      </c>
      <c r="AE7043">
        <v>7.5132899999999898</v>
      </c>
      <c r="AF7043">
        <v>-8.8757142990895392</v>
      </c>
      <c r="AG7043">
        <v>-1.1097657517606001</v>
      </c>
      <c r="AH7043">
        <v>33.903479130779999</v>
      </c>
      <c r="AI7043">
        <v>91.813719105236501</v>
      </c>
      <c r="AJ7043">
        <v>104.67043341005601</v>
      </c>
      <c r="AK7043">
        <v>35.0635962433131</v>
      </c>
      <c r="AL7043">
        <v>90.817245387973301</v>
      </c>
      <c r="AM7043">
        <v>88.366108080026905</v>
      </c>
      <c r="AN7043">
        <v>1.00000005862024</v>
      </c>
    </row>
    <row r="7044" spans="1:40" x14ac:dyDescent="0.25">
      <c r="A7044" t="str">
        <f>"20190312160824904"</f>
        <v>20190312160824904</v>
      </c>
      <c r="B7044" t="str">
        <f>"1552378104902893"</f>
        <v>1552378104902893</v>
      </c>
      <c r="C7044" t="s">
        <v>40</v>
      </c>
      <c r="D7044">
        <v>5.6883049999999997</v>
      </c>
      <c r="E7044">
        <v>0.39051330000000001</v>
      </c>
      <c r="F7044" t="s">
        <v>114</v>
      </c>
      <c r="G7044">
        <v>-231.53129999999999</v>
      </c>
      <c r="H7044" s="1">
        <v>-6.2621209999999999E-7</v>
      </c>
      <c r="I7044">
        <v>-56.182090000000002</v>
      </c>
      <c r="J7044">
        <v>-266.13869999999997</v>
      </c>
      <c r="K7044">
        <v>1.109766</v>
      </c>
      <c r="L7044">
        <v>-63.81223</v>
      </c>
      <c r="M7044">
        <v>0.99918929999999995</v>
      </c>
      <c r="N7044">
        <v>0</v>
      </c>
      <c r="O7044">
        <v>-3.9560520000000002E-2</v>
      </c>
      <c r="P7044">
        <v>0.99744359999999999</v>
      </c>
      <c r="Q7044">
        <v>-2.176838E-2</v>
      </c>
      <c r="R7044">
        <v>-6.8061919999999998E-2</v>
      </c>
      <c r="S7044">
        <v>3.0517880000000002</v>
      </c>
      <c r="T7044">
        <v>-9.7533110000000006E-2</v>
      </c>
      <c r="U7044">
        <v>0.67022709999999996</v>
      </c>
      <c r="V7044">
        <v>2.8575239999999998E-2</v>
      </c>
      <c r="W7044">
        <v>-1.4255729999999999E-2</v>
      </c>
      <c r="X7044">
        <v>0.99948999999999999</v>
      </c>
      <c r="Y7044">
        <v>-0.2528358</v>
      </c>
      <c r="Z7044">
        <v>5.241936E-3</v>
      </c>
      <c r="AA7044">
        <v>0.96749499999999999</v>
      </c>
      <c r="AB7044">
        <v>23</v>
      </c>
      <c r="AC7044">
        <v>34.607399999999899</v>
      </c>
      <c r="AD7044">
        <v>-1.1097666262121</v>
      </c>
      <c r="AE7044">
        <v>7.6301399999999999</v>
      </c>
      <c r="AF7044">
        <v>-8.98448091204944</v>
      </c>
      <c r="AG7044">
        <v>-1.1097666262121</v>
      </c>
      <c r="AH7044">
        <v>34.244864264434099</v>
      </c>
      <c r="AI7044">
        <v>91.795402343363804</v>
      </c>
      <c r="AJ7044">
        <v>104.70079670264199</v>
      </c>
      <c r="AK7044">
        <v>35.421225384127403</v>
      </c>
      <c r="AL7044">
        <v>90.816820818620499</v>
      </c>
      <c r="AM7044">
        <v>88.362370020911001</v>
      </c>
      <c r="AN7044">
        <v>1.0000000151394399</v>
      </c>
    </row>
    <row r="7045" spans="1:40" x14ac:dyDescent="0.25">
      <c r="A7045" t="str">
        <f>"20190312160824929"</f>
        <v>20190312160824929</v>
      </c>
      <c r="B7045" t="str">
        <f>"1552378104922413"</f>
        <v>1552378104922413</v>
      </c>
      <c r="C7045" t="s">
        <v>40</v>
      </c>
      <c r="D7045">
        <v>6.4658709999999999</v>
      </c>
      <c r="E7045">
        <v>0.43992140000000002</v>
      </c>
      <c r="F7045" t="s">
        <v>114</v>
      </c>
      <c r="G7045">
        <v>-231.5797</v>
      </c>
      <c r="H7045" s="1">
        <v>-6.2853080000000002E-7</v>
      </c>
      <c r="I7045">
        <v>-56.235280000000003</v>
      </c>
      <c r="J7045">
        <v>-265.88560000000001</v>
      </c>
      <c r="K7045">
        <v>1.1097709999999901</v>
      </c>
      <c r="L7045">
        <v>-63.820709999999998</v>
      </c>
      <c r="M7045">
        <v>0.99924279999999999</v>
      </c>
      <c r="N7045">
        <v>0</v>
      </c>
      <c r="O7045">
        <v>-3.8189239999999999E-2</v>
      </c>
      <c r="P7045">
        <v>0.99753150000000002</v>
      </c>
      <c r="Q7045">
        <v>-2.150007E-2</v>
      </c>
      <c r="R7045">
        <v>-6.6849839999999994E-2</v>
      </c>
      <c r="S7045">
        <v>3.0512700000000001</v>
      </c>
      <c r="T7045">
        <v>-9.7983120000000007E-2</v>
      </c>
      <c r="U7045">
        <v>0.66897580000000001</v>
      </c>
      <c r="V7045">
        <v>2.873177E-2</v>
      </c>
      <c r="W7045">
        <v>-1.3986510000000001E-2</v>
      </c>
      <c r="X7045">
        <v>0.99948930000000002</v>
      </c>
      <c r="Y7045">
        <v>-0.25116379999999999</v>
      </c>
      <c r="Z7045">
        <v>5.1971120000000003E-3</v>
      </c>
      <c r="AA7045">
        <v>0.96793059999999997</v>
      </c>
      <c r="AB7045">
        <v>23</v>
      </c>
      <c r="AC7045">
        <v>34.305900000000001</v>
      </c>
      <c r="AD7045">
        <v>-1.1097716285307999</v>
      </c>
      <c r="AE7045">
        <v>7.5854299999999899</v>
      </c>
      <c r="AF7045">
        <v>-8.8811881045786301</v>
      </c>
      <c r="AG7045">
        <v>-1.1097716285307999</v>
      </c>
      <c r="AH7045">
        <v>33.957304312781197</v>
      </c>
      <c r="AI7045">
        <v>91.810968175232802</v>
      </c>
      <c r="AJ7045">
        <v>104.656825304195</v>
      </c>
      <c r="AK7045">
        <v>35.117027371450902</v>
      </c>
      <c r="AL7045">
        <v>90.801394123862394</v>
      </c>
      <c r="AM7045">
        <v>88.353403152294106</v>
      </c>
      <c r="AN7045">
        <v>0.99999999894190095</v>
      </c>
    </row>
    <row r="7046" spans="1:40" x14ac:dyDescent="0.25">
      <c r="A7046" t="str">
        <f>"20190312160824939"</f>
        <v>20190312160824939</v>
      </c>
      <c r="B7046" t="str">
        <f>"1552378104932174"</f>
        <v>1552378104932174</v>
      </c>
      <c r="C7046" t="s">
        <v>40</v>
      </c>
      <c r="D7046">
        <v>6.0883729999999998</v>
      </c>
      <c r="E7046">
        <v>0.45142579999999999</v>
      </c>
      <c r="F7046" t="s">
        <v>116</v>
      </c>
      <c r="G7046">
        <v>-220.7139</v>
      </c>
      <c r="H7046" s="1">
        <v>4.1243310000000002E-7</v>
      </c>
      <c r="I7046">
        <v>-59.664380000000001</v>
      </c>
      <c r="J7046">
        <v>-265.78140000000002</v>
      </c>
      <c r="K7046">
        <v>1.109774</v>
      </c>
      <c r="L7046">
        <v>-63.824100000000001</v>
      </c>
      <c r="M7046">
        <v>0.99926400000000004</v>
      </c>
      <c r="N7046">
        <v>0</v>
      </c>
      <c r="O7046">
        <v>-3.7624539999999998E-2</v>
      </c>
      <c r="P7046">
        <v>0.99756400000000001</v>
      </c>
      <c r="Q7046">
        <v>-2.1679319999999998E-2</v>
      </c>
      <c r="R7046">
        <v>-6.6301230000000003E-2</v>
      </c>
      <c r="S7046">
        <v>3.0245060000000001</v>
      </c>
      <c r="T7046">
        <v>-7.4305529999999995E-2</v>
      </c>
      <c r="U7046">
        <v>0.27828979999999998</v>
      </c>
      <c r="V7046">
        <v>2.8747620000000002E-2</v>
      </c>
      <c r="W7046">
        <v>-1.4165240000000001E-2</v>
      </c>
      <c r="X7046">
        <v>0.99948630000000005</v>
      </c>
      <c r="Y7046">
        <v>-0.12897719999999999</v>
      </c>
      <c r="Z7046">
        <v>2.5032959999999999E-3</v>
      </c>
      <c r="AA7046">
        <v>0.99164439999999998</v>
      </c>
      <c r="AB7046">
        <v>23</v>
      </c>
      <c r="AC7046">
        <v>45.067500000000003</v>
      </c>
      <c r="AD7046">
        <v>-1.1097735875668999</v>
      </c>
      <c r="AE7046">
        <v>4.1597200000000001</v>
      </c>
      <c r="AF7046">
        <v>-5.8489491402861304</v>
      </c>
      <c r="AG7046">
        <v>-1.1097735875668999</v>
      </c>
      <c r="AH7046">
        <v>44.852108596795503</v>
      </c>
      <c r="AI7046">
        <v>91.405482278703104</v>
      </c>
      <c r="AJ7046">
        <v>97.429742551688406</v>
      </c>
      <c r="AK7046">
        <v>45.245479874127298</v>
      </c>
      <c r="AL7046">
        <v>90.811635635227901</v>
      </c>
      <c r="AM7046">
        <v>88.352490358461395</v>
      </c>
      <c r="AN7046">
        <v>0.99999997178380495</v>
      </c>
    </row>
    <row r="7047" spans="1:40" x14ac:dyDescent="0.25">
      <c r="A7047" t="str">
        <f>"20190312160824950"</f>
        <v>20190312160824950</v>
      </c>
      <c r="B7047" t="str">
        <f>"1552378104942911"</f>
        <v>1552378104942911</v>
      </c>
      <c r="C7047" t="s">
        <v>40</v>
      </c>
      <c r="D7047">
        <v>6.0817560000000004</v>
      </c>
      <c r="E7047">
        <v>0.45703009999999999</v>
      </c>
      <c r="F7047" t="s">
        <v>113</v>
      </c>
      <c r="G7047">
        <v>-216.57859999999999</v>
      </c>
      <c r="H7047" s="1">
        <v>-1.890826E-6</v>
      </c>
      <c r="I7047">
        <v>-60.75806</v>
      </c>
      <c r="J7047">
        <v>-265.65929999999997</v>
      </c>
      <c r="K7047">
        <v>1.1097729999999999</v>
      </c>
      <c r="L7047">
        <v>-63.827969999999901</v>
      </c>
      <c r="M7047">
        <v>0.99928870000000003</v>
      </c>
      <c r="N7047">
        <v>0</v>
      </c>
      <c r="O7047">
        <v>-3.6963040000000003E-2</v>
      </c>
      <c r="P7047">
        <v>0.99760510000000002</v>
      </c>
      <c r="Q7047">
        <v>-2.128176E-2</v>
      </c>
      <c r="R7047">
        <v>-6.5812300000000004E-2</v>
      </c>
      <c r="S7047">
        <v>3.0183110000000002</v>
      </c>
      <c r="T7047">
        <v>-6.8078280000000005E-2</v>
      </c>
      <c r="U7047">
        <v>0.18807979999999999</v>
      </c>
      <c r="V7047">
        <v>2.8918449999999998E-2</v>
      </c>
      <c r="W7047">
        <v>-1.376664E-2</v>
      </c>
      <c r="X7047">
        <v>0.99948700000000001</v>
      </c>
      <c r="Y7047">
        <v>-9.9007880000000006E-2</v>
      </c>
      <c r="Z7047">
        <v>1.9482550000000001E-3</v>
      </c>
      <c r="AA7047">
        <v>0.99508479999999999</v>
      </c>
      <c r="AB7047">
        <v>24</v>
      </c>
      <c r="AC7047">
        <v>49.080699999999901</v>
      </c>
      <c r="AD7047">
        <v>-1.1097748908259999</v>
      </c>
      <c r="AE7047">
        <v>3.0699099999999899</v>
      </c>
      <c r="AF7047">
        <v>-4.8795494951532996</v>
      </c>
      <c r="AG7047">
        <v>-1.1097748908259999</v>
      </c>
      <c r="AH7047">
        <v>48.908773613733104</v>
      </c>
      <c r="AI7047">
        <v>91.293439831427406</v>
      </c>
      <c r="AJ7047">
        <v>95.697453827816702</v>
      </c>
      <c r="AK7047">
        <v>49.164110283654601</v>
      </c>
      <c r="AL7047">
        <v>90.788795263095096</v>
      </c>
      <c r="AM7047">
        <v>88.342706792764403</v>
      </c>
      <c r="AN7047">
        <v>1.00000003014814</v>
      </c>
    </row>
    <row r="7048" spans="1:40" x14ac:dyDescent="0.25">
      <c r="A7048" t="str">
        <f>"20190312160824961"</f>
        <v>20190312160824961</v>
      </c>
      <c r="B7048" t="str">
        <f>"1552378104952669"</f>
        <v>1552378104952669</v>
      </c>
      <c r="C7048" t="s">
        <v>40</v>
      </c>
      <c r="D7048">
        <v>6.0267650000000001</v>
      </c>
      <c r="E7048">
        <v>0.46215030000000001</v>
      </c>
      <c r="F7048" t="s">
        <v>113</v>
      </c>
      <c r="G7048">
        <v>-210.93530000000001</v>
      </c>
      <c r="H7048" s="1">
        <v>4.1177879999999999E-7</v>
      </c>
      <c r="I7048">
        <v>-61.202759999999998</v>
      </c>
      <c r="J7048">
        <v>-265.55160000000001</v>
      </c>
      <c r="K7048">
        <v>1.1097729999999999</v>
      </c>
      <c r="L7048">
        <v>-63.831359999999997</v>
      </c>
      <c r="M7048">
        <v>0.99931029999999998</v>
      </c>
      <c r="N7048">
        <v>0</v>
      </c>
      <c r="O7048">
        <v>-3.6379389999999998E-2</v>
      </c>
      <c r="P7048">
        <v>0.99763809999999997</v>
      </c>
      <c r="Q7048">
        <v>-2.112735E-2</v>
      </c>
      <c r="R7048">
        <v>-6.5362190000000001E-2</v>
      </c>
      <c r="S7048">
        <v>3.0154420000000002</v>
      </c>
      <c r="T7048">
        <v>-6.1151499999999998E-2</v>
      </c>
      <c r="U7048">
        <v>0.14465329999999901</v>
      </c>
      <c r="V7048">
        <v>2.9050590000000001E-2</v>
      </c>
      <c r="W7048">
        <v>-1.3611180000000001E-2</v>
      </c>
      <c r="X7048">
        <v>0.99948530000000002</v>
      </c>
      <c r="Y7048">
        <v>-8.4197899999999895E-2</v>
      </c>
      <c r="Z7048">
        <v>1.5904789999999999E-3</v>
      </c>
      <c r="AA7048">
        <v>0.99644779999999999</v>
      </c>
      <c r="AB7048">
        <v>24</v>
      </c>
      <c r="AC7048">
        <v>54.616300000000003</v>
      </c>
      <c r="AD7048">
        <v>-1.1097725882212</v>
      </c>
      <c r="AE7048">
        <v>2.6285999999999898</v>
      </c>
      <c r="AF7048">
        <v>-4.6119229172225102</v>
      </c>
      <c r="AG7048">
        <v>-1.1097725882212</v>
      </c>
      <c r="AH7048">
        <v>54.462080949970797</v>
      </c>
      <c r="AI7048">
        <v>91.163191264657698</v>
      </c>
      <c r="AJ7048">
        <v>94.840336490268101</v>
      </c>
      <c r="AK7048">
        <v>54.668269495139</v>
      </c>
      <c r="AL7048">
        <v>90.779887224619003</v>
      </c>
      <c r="AM7048">
        <v>88.335135377307594</v>
      </c>
      <c r="AN7048">
        <v>1.0000000329582099</v>
      </c>
    </row>
    <row r="7049" spans="1:40" x14ac:dyDescent="0.25">
      <c r="A7049" t="str">
        <f>"20190312160824972"</f>
        <v>20190312160824972</v>
      </c>
      <c r="B7049" t="str">
        <f>"1552378104962430"</f>
        <v>1552378104962430</v>
      </c>
      <c r="C7049" t="s">
        <v>40</v>
      </c>
      <c r="D7049">
        <v>6.088851</v>
      </c>
      <c r="E7049">
        <v>0.46442270000000002</v>
      </c>
      <c r="F7049" t="s">
        <v>114</v>
      </c>
      <c r="G7049">
        <v>-232.1575</v>
      </c>
      <c r="H7049" s="1">
        <v>-5.1458950000000004E-7</v>
      </c>
      <c r="I7049">
        <v>-62.64573</v>
      </c>
      <c r="J7049">
        <v>-265.43299999999999</v>
      </c>
      <c r="K7049">
        <v>1.109774</v>
      </c>
      <c r="L7049">
        <v>-63.835019999999901</v>
      </c>
      <c r="M7049">
        <v>0.99933340000000004</v>
      </c>
      <c r="N7049">
        <v>0</v>
      </c>
      <c r="O7049">
        <v>-3.57366E-2</v>
      </c>
      <c r="P7049">
        <v>0.99767260000000002</v>
      </c>
      <c r="Q7049">
        <v>-2.1232279999999999E-2</v>
      </c>
      <c r="R7049">
        <v>-6.4798969999999997E-2</v>
      </c>
      <c r="S7049">
        <v>3.0119929999999999</v>
      </c>
      <c r="T7049">
        <v>-0.1000965</v>
      </c>
      <c r="U7049">
        <v>0.1069336</v>
      </c>
      <c r="V7049">
        <v>2.9129720000000001E-2</v>
      </c>
      <c r="W7049">
        <v>-1.371503E-2</v>
      </c>
      <c r="X7049">
        <v>0.99948159999999997</v>
      </c>
      <c r="Y7049">
        <v>-7.1113759999999998E-2</v>
      </c>
      <c r="Z7049">
        <v>2.3679030000000002E-3</v>
      </c>
      <c r="AA7049">
        <v>0.99746539999999995</v>
      </c>
      <c r="AB7049">
        <v>24</v>
      </c>
      <c r="AC7049">
        <v>33.275499999999901</v>
      </c>
      <c r="AD7049">
        <v>-1.1097745145894999</v>
      </c>
      <c r="AE7049">
        <v>1.18928999999998</v>
      </c>
      <c r="AF7049">
        <v>-2.37507819544326</v>
      </c>
      <c r="AG7049">
        <v>-1.1097745145894999</v>
      </c>
      <c r="AH7049">
        <v>33.174888303776903</v>
      </c>
      <c r="AI7049">
        <v>91.911070318733195</v>
      </c>
      <c r="AJ7049">
        <v>94.094970008284903</v>
      </c>
      <c r="AK7049">
        <v>33.278308398651802</v>
      </c>
      <c r="AL7049">
        <v>90.7858379287335</v>
      </c>
      <c r="AM7049">
        <v>88.330596890405999</v>
      </c>
      <c r="AN7049">
        <v>1.00000005568686</v>
      </c>
    </row>
    <row r="7050" spans="1:40" x14ac:dyDescent="0.25">
      <c r="A7050" t="str">
        <f>"20190312160824984"</f>
        <v>20190312160824984</v>
      </c>
      <c r="B7050" t="str">
        <f>"1552378104972190"</f>
        <v>1552378104972190</v>
      </c>
      <c r="C7050" t="s">
        <v>40</v>
      </c>
      <c r="D7050">
        <v>6.107399</v>
      </c>
      <c r="E7050">
        <v>0.46689910000000001</v>
      </c>
      <c r="F7050" t="s">
        <v>116</v>
      </c>
      <c r="G7050">
        <v>-229.654</v>
      </c>
      <c r="H7050" s="1">
        <v>-3.6120980000000001E-6</v>
      </c>
      <c r="I7050">
        <v>-62.763379999999998</v>
      </c>
      <c r="J7050">
        <v>-265.30610000000001</v>
      </c>
      <c r="K7050">
        <v>1.1097790000000001</v>
      </c>
      <c r="L7050">
        <v>-63.838810000000002</v>
      </c>
      <c r="M7050">
        <v>0.99935779999999996</v>
      </c>
      <c r="N7050">
        <v>0</v>
      </c>
      <c r="O7050">
        <v>-3.5048999999999997E-2</v>
      </c>
      <c r="P7050">
        <v>0.99770340000000002</v>
      </c>
      <c r="Q7050">
        <v>-2.1268430000000001E-2</v>
      </c>
      <c r="R7050">
        <v>-6.4308989999999996E-2</v>
      </c>
      <c r="S7050">
        <v>3.010834</v>
      </c>
      <c r="T7050">
        <v>-9.3388680000000002E-2</v>
      </c>
      <c r="U7050">
        <v>9.017944E-2</v>
      </c>
      <c r="V7050">
        <v>2.9326680000000001E-2</v>
      </c>
      <c r="W7050">
        <v>-1.374946E-2</v>
      </c>
      <c r="X7050">
        <v>0.99947529999999996</v>
      </c>
      <c r="Y7050">
        <v>-6.4906060000000002E-2</v>
      </c>
      <c r="Z7050">
        <v>2.0927810000000002E-3</v>
      </c>
      <c r="AA7050">
        <v>0.99788920000000003</v>
      </c>
      <c r="AB7050">
        <v>24</v>
      </c>
      <c r="AC7050">
        <v>35.652099999999898</v>
      </c>
      <c r="AD7050">
        <v>-1.1097826120980001</v>
      </c>
      <c r="AE7050">
        <v>1.0754299999999899</v>
      </c>
      <c r="AF7050">
        <v>-2.3221263773403802</v>
      </c>
      <c r="AG7050">
        <v>-1.1097826120980001</v>
      </c>
      <c r="AH7050">
        <v>35.558077149733101</v>
      </c>
      <c r="AI7050">
        <v>91.783847858974795</v>
      </c>
      <c r="AJ7050">
        <v>93.736405185814206</v>
      </c>
      <c r="AK7050">
        <v>35.651097303516899</v>
      </c>
      <c r="AL7050">
        <v>90.787810861225097</v>
      </c>
      <c r="AM7050">
        <v>88.319305120124596</v>
      </c>
      <c r="AN7050">
        <v>0.99999998856010097</v>
      </c>
    </row>
    <row r="7051" spans="1:40" x14ac:dyDescent="0.25">
      <c r="A7051" t="str">
        <f>"20190312160824996"</f>
        <v>20190312160824996</v>
      </c>
      <c r="B7051" t="str">
        <f>"1552378104992686"</f>
        <v>1552378104992686</v>
      </c>
      <c r="C7051" t="s">
        <v>40</v>
      </c>
      <c r="D7051">
        <v>6.0337730000000001</v>
      </c>
      <c r="E7051">
        <v>0.46997679999999997</v>
      </c>
      <c r="F7051" t="s">
        <v>114</v>
      </c>
      <c r="G7051">
        <v>-236.5307</v>
      </c>
      <c r="H7051" s="1">
        <v>-2.5227380000000002E-6</v>
      </c>
      <c r="I7051">
        <v>-63.142150000000001</v>
      </c>
      <c r="J7051">
        <v>-265.17880000000002</v>
      </c>
      <c r="K7051">
        <v>1.109783</v>
      </c>
      <c r="L7051">
        <v>-63.842559999999999</v>
      </c>
      <c r="M7051">
        <v>0.99938159999999998</v>
      </c>
      <c r="N7051">
        <v>0</v>
      </c>
      <c r="O7051">
        <v>-3.4359599999999997E-2</v>
      </c>
      <c r="P7051">
        <v>0.9977471</v>
      </c>
      <c r="Q7051">
        <v>-2.1454190000000001E-2</v>
      </c>
      <c r="R7051">
        <v>-6.3564170000000003E-2</v>
      </c>
      <c r="S7051">
        <v>3.009125</v>
      </c>
      <c r="T7051">
        <v>-0.1160529</v>
      </c>
      <c r="U7051">
        <v>7.2845460000000001E-2</v>
      </c>
      <c r="V7051">
        <v>2.927051E-2</v>
      </c>
      <c r="W7051">
        <v>-1.3933859999999999E-2</v>
      </c>
      <c r="X7051">
        <v>0.99947439999999999</v>
      </c>
      <c r="Y7051">
        <v>-5.8468329999999999E-2</v>
      </c>
      <c r="Z7051">
        <v>2.4513289999999999E-3</v>
      </c>
      <c r="AA7051">
        <v>0.99828620000000001</v>
      </c>
      <c r="AB7051">
        <v>24</v>
      </c>
      <c r="AC7051">
        <v>28.648099999999999</v>
      </c>
      <c r="AD7051">
        <v>-1.109785522738</v>
      </c>
      <c r="AE7051">
        <v>0.70040999999999698</v>
      </c>
      <c r="AF7051">
        <v>-1.6818387628443101</v>
      </c>
      <c r="AG7051">
        <v>-1.109785522738</v>
      </c>
      <c r="AH7051">
        <v>28.564276794051999</v>
      </c>
      <c r="AI7051">
        <v>92.221106263493397</v>
      </c>
      <c r="AJ7051">
        <v>93.369633340365496</v>
      </c>
      <c r="AK7051">
        <v>28.635259983068099</v>
      </c>
      <c r="AL7051">
        <v>90.798377209636897</v>
      </c>
      <c r="AM7051">
        <v>88.322520839334501</v>
      </c>
      <c r="AN7051">
        <v>0.999999995732759</v>
      </c>
    </row>
    <row r="7052" spans="1:40" x14ac:dyDescent="0.25">
      <c r="A7052" t="str">
        <f>"20190312160825007"</f>
        <v>20190312160825007</v>
      </c>
      <c r="B7052" t="str">
        <f>"1552378105002445"</f>
        <v>1552378105002445</v>
      </c>
      <c r="C7052" t="s">
        <v>40</v>
      </c>
      <c r="D7052">
        <v>6.0481280000000002</v>
      </c>
      <c r="E7052">
        <v>0.47118189999999999</v>
      </c>
      <c r="F7052" t="s">
        <v>112</v>
      </c>
      <c r="G7052">
        <v>-243.11799999999999</v>
      </c>
      <c r="H7052" s="1">
        <v>-1.143517E-6</v>
      </c>
      <c r="I7052">
        <v>-63.460740000000001</v>
      </c>
      <c r="J7052">
        <v>-265.06229999999999</v>
      </c>
      <c r="K7052">
        <v>1.109785</v>
      </c>
      <c r="L7052">
        <v>-63.845889999999997</v>
      </c>
      <c r="M7052">
        <v>0.99940320000000005</v>
      </c>
      <c r="N7052">
        <v>0</v>
      </c>
      <c r="O7052">
        <v>-3.3728269999999998E-2</v>
      </c>
      <c r="P7052">
        <v>0.99777760000000004</v>
      </c>
      <c r="Q7052">
        <v>-2.1598050000000001E-2</v>
      </c>
      <c r="R7052">
        <v>-6.3036739999999994E-2</v>
      </c>
      <c r="S7052">
        <v>3.0068359999999998</v>
      </c>
      <c r="T7052">
        <v>-0.15126110000000001</v>
      </c>
      <c r="U7052">
        <v>5.2032469999999997E-2</v>
      </c>
      <c r="V7052">
        <v>2.937414E-2</v>
      </c>
      <c r="W7052">
        <v>-1.4076089999999999E-2</v>
      </c>
      <c r="X7052">
        <v>0.99946939999999995</v>
      </c>
      <c r="Y7052">
        <v>-5.090944E-2</v>
      </c>
      <c r="Z7052">
        <v>2.9750689999999999E-3</v>
      </c>
      <c r="AA7052">
        <v>0.9986988</v>
      </c>
      <c r="AB7052">
        <v>24</v>
      </c>
      <c r="AC7052">
        <v>21.944299999999998</v>
      </c>
      <c r="AD7052">
        <v>-1.109786143517</v>
      </c>
      <c r="AE7052">
        <v>0.38515000000000299</v>
      </c>
      <c r="AF7052">
        <v>-1.12222538636418</v>
      </c>
      <c r="AG7052">
        <v>-1.109786143517</v>
      </c>
      <c r="AH7052">
        <v>21.8629233562488</v>
      </c>
      <c r="AI7052">
        <v>92.902088792589097</v>
      </c>
      <c r="AJ7052">
        <v>92.938417493327805</v>
      </c>
      <c r="AK7052">
        <v>21.9198182652902</v>
      </c>
      <c r="AL7052">
        <v>90.806527160892202</v>
      </c>
      <c r="AM7052">
        <v>88.316576847357993</v>
      </c>
      <c r="AN7052">
        <v>1.0000000289733899</v>
      </c>
    </row>
    <row r="7053" spans="1:40" x14ac:dyDescent="0.25">
      <c r="A7053" t="str">
        <f>"20190312160825019"</f>
        <v>20190312160825019</v>
      </c>
      <c r="B7053" t="str">
        <f>"1552378105012206"</f>
        <v>1552378105012206</v>
      </c>
      <c r="C7053" t="s">
        <v>40</v>
      </c>
      <c r="D7053">
        <v>6.0148960000000002</v>
      </c>
      <c r="E7053">
        <v>0.47142640000000002</v>
      </c>
      <c r="F7053" t="s">
        <v>112</v>
      </c>
      <c r="G7053">
        <v>-244.18729999999999</v>
      </c>
      <c r="H7053" s="1">
        <v>-1.622604E-6</v>
      </c>
      <c r="I7053">
        <v>-63.537260000000003</v>
      </c>
      <c r="J7053">
        <v>-264.94630000000001</v>
      </c>
      <c r="K7053">
        <v>1.1097859999999999</v>
      </c>
      <c r="L7053">
        <v>-63.849150000000002</v>
      </c>
      <c r="M7053">
        <v>0.99942419999999998</v>
      </c>
      <c r="N7053">
        <v>0</v>
      </c>
      <c r="O7053">
        <v>-3.3100150000000002E-2</v>
      </c>
      <c r="P7053">
        <v>0.99780539999999995</v>
      </c>
      <c r="Q7053">
        <v>-2.152627E-2</v>
      </c>
      <c r="R7053">
        <v>-6.2621689999999994E-2</v>
      </c>
      <c r="S7053">
        <v>3.0060419999999999</v>
      </c>
      <c r="T7053">
        <v>-0.15981199999999901</v>
      </c>
      <c r="U7053">
        <v>4.4433590000000002E-2</v>
      </c>
      <c r="V7053">
        <v>2.9586210000000002E-2</v>
      </c>
      <c r="W7053">
        <v>-1.400242E-2</v>
      </c>
      <c r="X7053">
        <v>0.99946420000000002</v>
      </c>
      <c r="Y7053">
        <v>-4.7755010000000001E-2</v>
      </c>
      <c r="Z7053">
        <v>3.026749E-3</v>
      </c>
      <c r="AA7053">
        <v>0.99885449999999998</v>
      </c>
      <c r="AB7053">
        <v>24</v>
      </c>
      <c r="AC7053">
        <v>20.759</v>
      </c>
      <c r="AD7053">
        <v>-1.109787622604</v>
      </c>
      <c r="AE7053">
        <v>0.311890000000005</v>
      </c>
      <c r="AF7053">
        <v>-0.99601821239468302</v>
      </c>
      <c r="AG7053">
        <v>-1.109787622604</v>
      </c>
      <c r="AH7053">
        <v>20.6782147341527</v>
      </c>
      <c r="AI7053">
        <v>93.068532640866593</v>
      </c>
      <c r="AJ7053">
        <v>92.757663926368494</v>
      </c>
      <c r="AK7053">
        <v>20.731913694553999</v>
      </c>
      <c r="AL7053">
        <v>90.802305748559206</v>
      </c>
      <c r="AM7053">
        <v>88.304421431896003</v>
      </c>
      <c r="AN7053">
        <v>1.00000004933482</v>
      </c>
    </row>
    <row r="7054" spans="1:40" x14ac:dyDescent="0.25">
      <c r="A7054" t="str">
        <f>"20190312160825030"</f>
        <v>20190312160825030</v>
      </c>
      <c r="B7054" t="str">
        <f>"1552378105022941"</f>
        <v>1552378105022941</v>
      </c>
      <c r="C7054" t="s">
        <v>40</v>
      </c>
      <c r="D7054">
        <v>6.0477489999999996</v>
      </c>
      <c r="E7054">
        <v>0.47168690000000002</v>
      </c>
      <c r="F7054" t="s">
        <v>112</v>
      </c>
      <c r="G7054">
        <v>-242.62389999999999</v>
      </c>
      <c r="H7054" s="1">
        <v>-9.4936879999999997E-7</v>
      </c>
      <c r="I7054">
        <v>-63.527749999999997</v>
      </c>
      <c r="J7054">
        <v>-264.81779999999998</v>
      </c>
      <c r="K7054">
        <v>1.1097889999999999</v>
      </c>
      <c r="L7054">
        <v>-63.852690000000003</v>
      </c>
      <c r="M7054">
        <v>0.99944710000000003</v>
      </c>
      <c r="N7054">
        <v>0</v>
      </c>
      <c r="O7054">
        <v>-3.240432E-2</v>
      </c>
      <c r="P7054">
        <v>0.99784329999999999</v>
      </c>
      <c r="Q7054">
        <v>-2.1676959999999999E-2</v>
      </c>
      <c r="R7054">
        <v>-6.1961429999999998E-2</v>
      </c>
      <c r="S7054">
        <v>3.0061040000000001</v>
      </c>
      <c r="T7054">
        <v>-0.14945240000000001</v>
      </c>
      <c r="U7054">
        <v>4.3273930000000002E-2</v>
      </c>
      <c r="V7054">
        <v>2.9621439999999999E-2</v>
      </c>
      <c r="W7054">
        <v>-1.415132E-2</v>
      </c>
      <c r="X7054">
        <v>0.99946100000000004</v>
      </c>
      <c r="Y7054">
        <v>-4.6690500000000003E-2</v>
      </c>
      <c r="Z7054">
        <v>2.7697379999999999E-3</v>
      </c>
      <c r="AA7054">
        <v>0.9989055</v>
      </c>
      <c r="AB7054">
        <v>24</v>
      </c>
      <c r="AC7054">
        <v>22.1938999999999</v>
      </c>
      <c r="AD7054">
        <v>-1.1097899493687999</v>
      </c>
      <c r="AE7054">
        <v>0.324940000000005</v>
      </c>
      <c r="AF7054">
        <v>-1.0413642269288399</v>
      </c>
      <c r="AG7054">
        <v>-1.1097899493687999</v>
      </c>
      <c r="AH7054">
        <v>22.116425625732901</v>
      </c>
      <c r="AI7054">
        <v>92.869487085358003</v>
      </c>
      <c r="AJ7054">
        <v>92.695812637802007</v>
      </c>
      <c r="AK7054">
        <v>22.168724718472699</v>
      </c>
      <c r="AL7054">
        <v>90.810837983198198</v>
      </c>
      <c r="AM7054">
        <v>88.302398157723999</v>
      </c>
      <c r="AN7054">
        <v>0.99999999004320805</v>
      </c>
    </row>
    <row r="7055" spans="1:40" x14ac:dyDescent="0.25">
      <c r="A7055" t="str">
        <f>"20190312160825041"</f>
        <v>20190312160825041</v>
      </c>
      <c r="B7055" t="str">
        <f>"1552378105032703"</f>
        <v>1552378105032703</v>
      </c>
      <c r="C7055" t="s">
        <v>40</v>
      </c>
      <c r="D7055">
        <v>6.0689080000000004</v>
      </c>
      <c r="E7055">
        <v>0.471883</v>
      </c>
      <c r="F7055" t="s">
        <v>112</v>
      </c>
      <c r="G7055">
        <v>-241.2672</v>
      </c>
      <c r="H7055" s="1">
        <v>-3.6440019999999999E-7</v>
      </c>
      <c r="I7055">
        <v>-63.5167199999999</v>
      </c>
      <c r="J7055">
        <v>-264.69929999999999</v>
      </c>
      <c r="K7055">
        <v>1.109791</v>
      </c>
      <c r="L7055">
        <v>-63.855829999999997</v>
      </c>
      <c r="M7055">
        <v>0.99946760000000001</v>
      </c>
      <c r="N7055">
        <v>0</v>
      </c>
      <c r="O7055">
        <v>-3.176213E-2</v>
      </c>
      <c r="P7055">
        <v>0.99786540000000001</v>
      </c>
      <c r="Q7055">
        <v>-2.1886639999999999E-2</v>
      </c>
      <c r="R7055">
        <v>-6.1527829999999999E-2</v>
      </c>
      <c r="S7055">
        <v>3.0060730000000002</v>
      </c>
      <c r="T7055">
        <v>-0.14165659999999999</v>
      </c>
      <c r="U7055">
        <v>4.2877199999999997E-2</v>
      </c>
      <c r="V7055">
        <v>2.9829979999999999E-2</v>
      </c>
      <c r="W7055">
        <v>-1.4358869999999999E-2</v>
      </c>
      <c r="X7055">
        <v>0.99945189999999995</v>
      </c>
      <c r="Y7055">
        <v>-4.5928459999999997E-2</v>
      </c>
      <c r="Z7055">
        <v>2.5772730000000002E-3</v>
      </c>
      <c r="AA7055">
        <v>0.99894139999999998</v>
      </c>
      <c r="AB7055">
        <v>24</v>
      </c>
      <c r="AC7055">
        <v>23.432099999999899</v>
      </c>
      <c r="AD7055">
        <v>-1.1097913644002</v>
      </c>
      <c r="AE7055">
        <v>0.33911000000001201</v>
      </c>
      <c r="AF7055">
        <v>-1.08078914789203</v>
      </c>
      <c r="AG7055">
        <v>-1.1097913644002</v>
      </c>
      <c r="AH7055">
        <v>23.3571228730254</v>
      </c>
      <c r="AI7055">
        <v>92.717405072989095</v>
      </c>
      <c r="AJ7055">
        <v>92.649321043349104</v>
      </c>
      <c r="AK7055">
        <v>23.4084371746664</v>
      </c>
      <c r="AL7055">
        <v>90.822730879307898</v>
      </c>
      <c r="AM7055">
        <v>88.290438261666793</v>
      </c>
      <c r="AN7055">
        <v>1.00000005263404</v>
      </c>
    </row>
    <row r="7056" spans="1:40" x14ac:dyDescent="0.25">
      <c r="A7056" t="str">
        <f>"20190312160825062"</f>
        <v>20190312160825062</v>
      </c>
      <c r="B7056" t="str">
        <f>"1552378105052223"</f>
        <v>1552378105052223</v>
      </c>
      <c r="C7056" t="s">
        <v>40</v>
      </c>
      <c r="D7056">
        <v>6.2307889999999997</v>
      </c>
      <c r="E7056">
        <v>0.47215269999999998</v>
      </c>
      <c r="F7056" t="s">
        <v>114</v>
      </c>
      <c r="G7056">
        <v>-239.86510000000001</v>
      </c>
      <c r="H7056" s="1">
        <v>-3.7851559999999998E-6</v>
      </c>
      <c r="I7056">
        <v>-63.506599999999999</v>
      </c>
      <c r="J7056">
        <v>-264.47149999999999</v>
      </c>
      <c r="K7056">
        <v>1.1097939999999999</v>
      </c>
      <c r="L7056">
        <v>-63.861690000000003</v>
      </c>
      <c r="M7056">
        <v>0.99950609999999995</v>
      </c>
      <c r="N7056">
        <v>0</v>
      </c>
      <c r="O7056">
        <v>-3.0529379999999998E-2</v>
      </c>
      <c r="P7056">
        <v>0.99790199999999996</v>
      </c>
      <c r="Q7056">
        <v>-2.191688E-2</v>
      </c>
      <c r="R7056">
        <v>-6.0920960000000003E-2</v>
      </c>
      <c r="S7056">
        <v>3.0060730000000002</v>
      </c>
      <c r="T7056">
        <v>-0.13433589999999901</v>
      </c>
      <c r="U7056">
        <v>4.2266850000000002E-2</v>
      </c>
      <c r="V7056">
        <v>3.0455070000000001E-2</v>
      </c>
      <c r="W7056">
        <v>-1.4384279999999999E-2</v>
      </c>
      <c r="X7056">
        <v>0.9994326</v>
      </c>
      <c r="Y7056">
        <v>-4.4504889999999998E-2</v>
      </c>
      <c r="Z7056">
        <v>2.3573819999999999E-3</v>
      </c>
      <c r="AA7056">
        <v>0.99900639999999996</v>
      </c>
      <c r="AB7056">
        <v>24</v>
      </c>
      <c r="AC7056">
        <v>24.606399999999901</v>
      </c>
      <c r="AD7056">
        <v>-1.1097977851559999</v>
      </c>
      <c r="AE7056">
        <v>0.35509000000000401</v>
      </c>
      <c r="AF7056">
        <v>-1.10391834844662</v>
      </c>
      <c r="AG7056">
        <v>-1.1097977851559999</v>
      </c>
      <c r="AH7056">
        <v>24.534191778969799</v>
      </c>
      <c r="AI7056">
        <v>92.587379852799401</v>
      </c>
      <c r="AJ7056">
        <v>92.576291498939099</v>
      </c>
      <c r="AK7056">
        <v>24.5840772267589</v>
      </c>
      <c r="AL7056">
        <v>90.824186983167394</v>
      </c>
      <c r="AM7056">
        <v>88.254602483699401</v>
      </c>
      <c r="AN7056">
        <v>0.99999997037129096</v>
      </c>
    </row>
    <row r="7057" spans="1:40" x14ac:dyDescent="0.25">
      <c r="A7057" t="str">
        <f>"20190312160825072"</f>
        <v>20190312160825072</v>
      </c>
      <c r="B7057" t="str">
        <f>"1552378105062959"</f>
        <v>1552378105062959</v>
      </c>
      <c r="C7057" t="s">
        <v>40</v>
      </c>
      <c r="D7057">
        <v>6.1566939999999999</v>
      </c>
      <c r="E7057">
        <v>0.47229880000000002</v>
      </c>
      <c r="F7057" t="s">
        <v>114</v>
      </c>
      <c r="G7057">
        <v>-238.3631</v>
      </c>
      <c r="H7057" s="1">
        <v>-3.2727489999999999E-6</v>
      </c>
      <c r="I7057">
        <v>-63.499310000000001</v>
      </c>
      <c r="J7057">
        <v>-264.35899999999998</v>
      </c>
      <c r="K7057">
        <v>1.1097950000000001</v>
      </c>
      <c r="L7057">
        <v>-63.864530000000002</v>
      </c>
      <c r="M7057">
        <v>0.99952439999999998</v>
      </c>
      <c r="N7057">
        <v>0</v>
      </c>
      <c r="O7057">
        <v>-2.9920100000000002E-2</v>
      </c>
      <c r="P7057">
        <v>0.99794269999999996</v>
      </c>
      <c r="Q7057">
        <v>-2.1598530000000001E-2</v>
      </c>
      <c r="R7057">
        <v>-6.036801E-2</v>
      </c>
      <c r="S7057">
        <v>3.0060419999999999</v>
      </c>
      <c r="T7057">
        <v>-0.1277789</v>
      </c>
      <c r="U7057">
        <v>4.1717530000000003E-2</v>
      </c>
      <c r="V7057">
        <v>3.0509479999999999E-2</v>
      </c>
      <c r="W7057">
        <v>-1.4063839999999999E-2</v>
      </c>
      <c r="X7057">
        <v>0.99943550000000003</v>
      </c>
      <c r="Y7057">
        <v>-4.3721900000000001E-2</v>
      </c>
      <c r="Z7057">
        <v>2.1999350000000001E-3</v>
      </c>
      <c r="AA7057">
        <v>0.99904130000000002</v>
      </c>
      <c r="AB7057">
        <v>24</v>
      </c>
      <c r="AC7057">
        <v>25.995899999999999</v>
      </c>
      <c r="AD7057">
        <v>-1.1097982727489999</v>
      </c>
      <c r="AE7057">
        <v>0.36522000000000698</v>
      </c>
      <c r="AF7057">
        <v>-1.1407993452685301</v>
      </c>
      <c r="AG7057">
        <v>-1.1097982727489999</v>
      </c>
      <c r="AH7057">
        <v>25.926090940912101</v>
      </c>
      <c r="AI7057">
        <v>92.448753486978802</v>
      </c>
      <c r="AJ7057">
        <v>92.519502540149901</v>
      </c>
      <c r="AK7057">
        <v>25.974896858867499</v>
      </c>
      <c r="AL7057">
        <v>90.805825266209595</v>
      </c>
      <c r="AM7057">
        <v>88.251491219778998</v>
      </c>
      <c r="AN7057">
        <v>0.99999996931283197</v>
      </c>
    </row>
    <row r="7058" spans="1:40" x14ac:dyDescent="0.25">
      <c r="A7058" t="str">
        <f>"20190312160825084"</f>
        <v>20190312160825084</v>
      </c>
      <c r="B7058" t="str">
        <f>"1552378105072718"</f>
        <v>1552378105072718</v>
      </c>
      <c r="C7058" t="s">
        <v>40</v>
      </c>
      <c r="D7058">
        <v>6.0229109999999997</v>
      </c>
      <c r="E7058">
        <v>0.4725047</v>
      </c>
      <c r="F7058" t="s">
        <v>114</v>
      </c>
      <c r="G7058">
        <v>-236.72559999999999</v>
      </c>
      <c r="H7058" s="1">
        <v>-2.6959439999999998E-6</v>
      </c>
      <c r="I7058">
        <v>-63.478740000000002</v>
      </c>
      <c r="J7058">
        <v>-264.24020000000002</v>
      </c>
      <c r="K7058">
        <v>1.1097969999999999</v>
      </c>
      <c r="L7058">
        <v>-63.867400000000004</v>
      </c>
      <c r="M7058">
        <v>0.99954339999999997</v>
      </c>
      <c r="N7058">
        <v>0</v>
      </c>
      <c r="O7058">
        <v>-2.927695E-2</v>
      </c>
      <c r="P7058">
        <v>0.99797559999999996</v>
      </c>
      <c r="Q7058">
        <v>-2.1682989999999999E-2</v>
      </c>
      <c r="R7058">
        <v>-5.9788479999999998E-2</v>
      </c>
      <c r="S7058">
        <v>3.0061040000000001</v>
      </c>
      <c r="T7058">
        <v>-0.12072960000000001</v>
      </c>
      <c r="U7058">
        <v>4.196167E-2</v>
      </c>
      <c r="V7058">
        <v>3.0572660000000002E-2</v>
      </c>
      <c r="W7058">
        <v>-1.414818E-2</v>
      </c>
      <c r="X7058">
        <v>0.9994324</v>
      </c>
      <c r="Y7058">
        <v>-4.316801E-2</v>
      </c>
      <c r="Z7058">
        <v>2.041696E-3</v>
      </c>
      <c r="AA7058">
        <v>0.9990658</v>
      </c>
      <c r="AB7058">
        <v>24</v>
      </c>
      <c r="AC7058">
        <v>27.514600000000002</v>
      </c>
      <c r="AD7058">
        <v>-1.109799695944</v>
      </c>
      <c r="AE7058">
        <v>0.388660000000001</v>
      </c>
      <c r="AF7058">
        <v>-1.19212036954505</v>
      </c>
      <c r="AG7058">
        <v>-1.109799695944</v>
      </c>
      <c r="AH7058">
        <v>27.446781326952401</v>
      </c>
      <c r="AI7058">
        <v>92.313292112497095</v>
      </c>
      <c r="AJ7058">
        <v>92.487015218033903</v>
      </c>
      <c r="AK7058">
        <v>27.495065221783801</v>
      </c>
      <c r="AL7058">
        <v>90.810658056184494</v>
      </c>
      <c r="AM7058">
        <v>88.247867175624293</v>
      </c>
      <c r="AN7058">
        <v>0.99999999035327403</v>
      </c>
    </row>
    <row r="7059" spans="1:40" x14ac:dyDescent="0.25">
      <c r="A7059" t="str">
        <f>"20190312160825096"</f>
        <v>20190312160825096</v>
      </c>
      <c r="B7059" t="str">
        <f>"1552378105082478"</f>
        <v>1552378105082478</v>
      </c>
      <c r="C7059" t="s">
        <v>40</v>
      </c>
      <c r="D7059">
        <v>6.0105139999999997</v>
      </c>
      <c r="E7059">
        <v>0.47302319999999998</v>
      </c>
      <c r="F7059" t="s">
        <v>114</v>
      </c>
      <c r="G7059">
        <v>-235.67500000000001</v>
      </c>
      <c r="H7059" s="1">
        <v>-2.2427670000000001E-6</v>
      </c>
      <c r="I7059">
        <v>-63.469470000000001</v>
      </c>
      <c r="J7059">
        <v>-264.11559999999997</v>
      </c>
      <c r="K7059">
        <v>1.1097969999999999</v>
      </c>
      <c r="L7059">
        <v>-63.870359999999998</v>
      </c>
      <c r="M7059">
        <v>0.99956290000000003</v>
      </c>
      <c r="N7059">
        <v>0</v>
      </c>
      <c r="O7059">
        <v>-2.8602929999999999E-2</v>
      </c>
      <c r="P7059">
        <v>0.99800390000000005</v>
      </c>
      <c r="Q7059">
        <v>-2.1880569999999998E-2</v>
      </c>
      <c r="R7059">
        <v>-5.9238930000000002E-2</v>
      </c>
      <c r="S7059">
        <v>3.0060730000000002</v>
      </c>
      <c r="T7059">
        <v>-0.1167904</v>
      </c>
      <c r="U7059">
        <v>4.1870119999999997E-2</v>
      </c>
      <c r="V7059">
        <v>3.0696749999999998E-2</v>
      </c>
      <c r="W7059">
        <v>-1.4346050000000001E-2</v>
      </c>
      <c r="X7059">
        <v>0.99942580000000003</v>
      </c>
      <c r="Y7059">
        <v>-4.2468800000000001E-2</v>
      </c>
      <c r="Z7059">
        <v>1.935403E-3</v>
      </c>
      <c r="AA7059">
        <v>0.99909590000000004</v>
      </c>
      <c r="AB7059">
        <v>24</v>
      </c>
      <c r="AC7059">
        <v>28.4405999999999</v>
      </c>
      <c r="AD7059">
        <v>-1.10979924276699</v>
      </c>
      <c r="AE7059">
        <v>0.40089000000000402</v>
      </c>
      <c r="AF7059">
        <v>-1.21238746601724</v>
      </c>
      <c r="AG7059">
        <v>-1.10979924276699</v>
      </c>
      <c r="AH7059">
        <v>28.374299336423402</v>
      </c>
      <c r="AI7059">
        <v>92.237818757912194</v>
      </c>
      <c r="AJ7059">
        <v>92.446666829095093</v>
      </c>
      <c r="AK7059">
        <v>28.421864832553801</v>
      </c>
      <c r="AL7059">
        <v>90.821996303005207</v>
      </c>
      <c r="AM7059">
        <v>88.240748371739699</v>
      </c>
      <c r="AN7059">
        <v>1.0000000146584</v>
      </c>
    </row>
    <row r="7060" spans="1:40" x14ac:dyDescent="0.25">
      <c r="A7060" t="str">
        <f>"20190312160825106"</f>
        <v>20190312160825106</v>
      </c>
      <c r="B7060" t="str">
        <f>"1552378105102974"</f>
        <v>1552378105102974</v>
      </c>
      <c r="C7060" t="s">
        <v>40</v>
      </c>
      <c r="D7060">
        <v>5.9807699999999997</v>
      </c>
      <c r="E7060">
        <v>0.47391680000000003</v>
      </c>
      <c r="F7060" t="s">
        <v>114</v>
      </c>
      <c r="G7060">
        <v>-237.33519999999999</v>
      </c>
      <c r="H7060" s="1">
        <v>-2.9260949999999999E-6</v>
      </c>
      <c r="I7060">
        <v>-63.517090000000003</v>
      </c>
      <c r="J7060">
        <v>-263.99079999999998</v>
      </c>
      <c r="K7060">
        <v>1.109796</v>
      </c>
      <c r="L7060">
        <v>-63.873199999999997</v>
      </c>
      <c r="M7060">
        <v>0.99958210000000003</v>
      </c>
      <c r="N7060">
        <v>0</v>
      </c>
      <c r="O7060">
        <v>-2.7927359999999998E-2</v>
      </c>
      <c r="P7060">
        <v>0.99804619999999999</v>
      </c>
      <c r="Q7060">
        <v>-2.1783879999999999E-2</v>
      </c>
      <c r="R7060">
        <v>-5.8558800000000001E-2</v>
      </c>
      <c r="S7060">
        <v>3.005646</v>
      </c>
      <c r="T7060">
        <v>-0.12455620000000001</v>
      </c>
      <c r="U7060">
        <v>3.9642330000000003E-2</v>
      </c>
      <c r="V7060">
        <v>3.0691300000000001E-2</v>
      </c>
      <c r="W7060">
        <v>-1.4251720000000001E-2</v>
      </c>
      <c r="X7060">
        <v>0.99942730000000002</v>
      </c>
      <c r="Y7060">
        <v>-4.1049519999999999E-2</v>
      </c>
      <c r="Z7060">
        <v>2.0069160000000001E-3</v>
      </c>
      <c r="AA7060">
        <v>0.99915509999999996</v>
      </c>
      <c r="AB7060">
        <v>24</v>
      </c>
      <c r="AC7060">
        <v>26.6556</v>
      </c>
      <c r="AD7060">
        <v>-1.1097989260950001</v>
      </c>
      <c r="AE7060">
        <v>0.35610999999999299</v>
      </c>
      <c r="AF7060">
        <v>-1.09850848781882</v>
      </c>
      <c r="AG7060">
        <v>-1.1097989260950001</v>
      </c>
      <c r="AH7060">
        <v>26.589174237035898</v>
      </c>
      <c r="AI7060">
        <v>92.388032210874798</v>
      </c>
      <c r="AJ7060">
        <v>92.365779635594706</v>
      </c>
      <c r="AK7060">
        <v>26.634987538229201</v>
      </c>
      <c r="AL7060">
        <v>90.816591053445194</v>
      </c>
      <c r="AM7060">
        <v>88.241063156985803</v>
      </c>
      <c r="AN7060">
        <v>0.99999999770196901</v>
      </c>
    </row>
    <row r="7061" spans="1:40" x14ac:dyDescent="0.25">
      <c r="A7061" t="str">
        <f>"20190312160825118"</f>
        <v>20190312160825118</v>
      </c>
      <c r="B7061" t="str">
        <f>"1552378105112734"</f>
        <v>1552378105112734</v>
      </c>
      <c r="C7061" t="s">
        <v>40</v>
      </c>
      <c r="D7061">
        <v>6.0201269999999996</v>
      </c>
      <c r="E7061">
        <v>0.47399200000000002</v>
      </c>
      <c r="F7061" t="s">
        <v>114</v>
      </c>
      <c r="G7061">
        <v>-239.2852</v>
      </c>
      <c r="H7061" s="1">
        <v>-3.601639E-6</v>
      </c>
      <c r="I7061">
        <v>-63.584600000000002</v>
      </c>
      <c r="J7061">
        <v>-263.86860000000001</v>
      </c>
      <c r="K7061">
        <v>1.1097870000000001</v>
      </c>
      <c r="L7061">
        <v>-63.875950000000003</v>
      </c>
      <c r="M7061">
        <v>0.99960020000000005</v>
      </c>
      <c r="N7061">
        <v>0</v>
      </c>
      <c r="O7061">
        <v>-2.726632E-2</v>
      </c>
      <c r="P7061">
        <v>0.99807239999999997</v>
      </c>
      <c r="Q7061">
        <v>-2.1995239999999999E-2</v>
      </c>
      <c r="R7061">
        <v>-5.8031399999999997E-2</v>
      </c>
      <c r="S7061">
        <v>3.0049739999999998</v>
      </c>
      <c r="T7061">
        <v>-0.1349862</v>
      </c>
      <c r="U7061">
        <v>3.5095210000000002E-2</v>
      </c>
      <c r="V7061">
        <v>3.0824500000000001E-2</v>
      </c>
      <c r="W7061">
        <v>-1.446534E-2</v>
      </c>
      <c r="X7061">
        <v>0.99942010000000003</v>
      </c>
      <c r="Y7061">
        <v>-3.8872440000000001E-2</v>
      </c>
      <c r="Z7061">
        <v>2.0967609999999999E-3</v>
      </c>
      <c r="AA7061">
        <v>0.99924199999999996</v>
      </c>
      <c r="AB7061">
        <v>24</v>
      </c>
      <c r="AC7061">
        <v>24.583400000000001</v>
      </c>
      <c r="AD7061">
        <v>-1.109790601639</v>
      </c>
      <c r="AE7061">
        <v>0.291350000000001</v>
      </c>
      <c r="AF7061">
        <v>-0.95960391644110399</v>
      </c>
      <c r="AG7061">
        <v>-1.109790601639</v>
      </c>
      <c r="AH7061">
        <v>24.5163585999098</v>
      </c>
      <c r="AI7061">
        <v>92.589878309348904</v>
      </c>
      <c r="AJ7061">
        <v>92.241491207538004</v>
      </c>
      <c r="AK7061">
        <v>24.560218114978198</v>
      </c>
      <c r="AL7061">
        <v>90.828831866023805</v>
      </c>
      <c r="AM7061">
        <v>88.233421492966599</v>
      </c>
      <c r="AN7061">
        <v>0.99999996607278696</v>
      </c>
    </row>
    <row r="7062" spans="1:40" x14ac:dyDescent="0.25">
      <c r="A7062" t="str">
        <f>"20190312160825129"</f>
        <v>20190312160825129</v>
      </c>
      <c r="B7062" t="str">
        <f>"1552378105122494"</f>
        <v>1552378105122494</v>
      </c>
      <c r="C7062" t="s">
        <v>40</v>
      </c>
      <c r="D7062">
        <v>5.9976739999999999</v>
      </c>
      <c r="E7062">
        <v>0.47410330000000001</v>
      </c>
      <c r="F7062" t="s">
        <v>114</v>
      </c>
      <c r="G7062">
        <v>-238.56309999999999</v>
      </c>
      <c r="H7062" s="1">
        <v>-3.353931E-6</v>
      </c>
      <c r="I7062">
        <v>-63.573399999999999</v>
      </c>
      <c r="J7062">
        <v>-263.7491</v>
      </c>
      <c r="K7062">
        <v>1.109788</v>
      </c>
      <c r="L7062">
        <v>-63.878540000000001</v>
      </c>
      <c r="M7062">
        <v>0.99961770000000005</v>
      </c>
      <c r="N7062">
        <v>0</v>
      </c>
      <c r="O7062">
        <v>-2.661995E-2</v>
      </c>
      <c r="P7062">
        <v>0.99809650000000005</v>
      </c>
      <c r="Q7062">
        <v>-2.2302269999999999E-2</v>
      </c>
      <c r="R7062">
        <v>-5.7498210000000001E-2</v>
      </c>
      <c r="S7062">
        <v>3.0049739999999998</v>
      </c>
      <c r="T7062">
        <v>-0.1317854</v>
      </c>
      <c r="U7062">
        <v>3.5919189999999997E-2</v>
      </c>
      <c r="V7062">
        <v>3.0937659999999999E-2</v>
      </c>
      <c r="W7062">
        <v>-1.4774839999999999E-2</v>
      </c>
      <c r="X7062">
        <v>0.99941210000000003</v>
      </c>
      <c r="Y7062">
        <v>-3.8504370000000003E-2</v>
      </c>
      <c r="Z7062">
        <v>2.0106939999999999E-3</v>
      </c>
      <c r="AA7062">
        <v>0.99925640000000004</v>
      </c>
      <c r="AB7062">
        <v>24</v>
      </c>
      <c r="AC7062">
        <v>25.186</v>
      </c>
      <c r="AD7062">
        <v>-1.109791353931</v>
      </c>
      <c r="AE7062">
        <v>0.30514000000000102</v>
      </c>
      <c r="AF7062">
        <v>-0.97361053376988105</v>
      </c>
      <c r="AG7062">
        <v>-1.109791353931</v>
      </c>
      <c r="AH7062">
        <v>25.120184509422799</v>
      </c>
      <c r="AI7062">
        <v>92.527745241280698</v>
      </c>
      <c r="AJ7062">
        <v>92.219564390242496</v>
      </c>
      <c r="AK7062">
        <v>25.163529643278899</v>
      </c>
      <c r="AL7062">
        <v>90.846566785555297</v>
      </c>
      <c r="AM7062">
        <v>88.226926144665697</v>
      </c>
      <c r="AN7062">
        <v>0.99999999016485497</v>
      </c>
    </row>
    <row r="7063" spans="1:40" x14ac:dyDescent="0.25">
      <c r="A7063" t="str">
        <f>"20190312160825141"</f>
        <v>20190312160825141</v>
      </c>
      <c r="B7063" t="str">
        <f>"1552378105132254"</f>
        <v>1552378105132254</v>
      </c>
      <c r="C7063" t="s">
        <v>40</v>
      </c>
      <c r="D7063">
        <v>5.9654259999999999</v>
      </c>
      <c r="E7063">
        <v>0.47452109999999897</v>
      </c>
      <c r="F7063" t="s">
        <v>114</v>
      </c>
      <c r="G7063">
        <v>-237.93440000000001</v>
      </c>
      <c r="H7063" s="1">
        <v>-3.138427E-6</v>
      </c>
      <c r="I7063">
        <v>-63.564660000000003</v>
      </c>
      <c r="J7063">
        <v>-263.63</v>
      </c>
      <c r="K7063">
        <v>1.109788</v>
      </c>
      <c r="L7063">
        <v>-63.881039999999999</v>
      </c>
      <c r="M7063">
        <v>0.99963469999999999</v>
      </c>
      <c r="N7063">
        <v>0</v>
      </c>
      <c r="O7063">
        <v>-2.5975729999999999E-2</v>
      </c>
      <c r="P7063">
        <v>0.99811859999999997</v>
      </c>
      <c r="Q7063">
        <v>-2.2359810000000001E-2</v>
      </c>
      <c r="R7063">
        <v>-5.7090540000000002E-2</v>
      </c>
      <c r="S7063">
        <v>3.0049440000000001</v>
      </c>
      <c r="T7063">
        <v>-0.1291842</v>
      </c>
      <c r="U7063">
        <v>3.6529539999999999E-2</v>
      </c>
      <c r="V7063">
        <v>3.117377E-2</v>
      </c>
      <c r="W7063">
        <v>-1.483421E-2</v>
      </c>
      <c r="X7063">
        <v>0.99940390000000001</v>
      </c>
      <c r="Y7063">
        <v>-3.8066870000000003E-2</v>
      </c>
      <c r="Z7063">
        <v>1.933986E-3</v>
      </c>
      <c r="AA7063">
        <v>0.99927330000000003</v>
      </c>
      <c r="AB7063">
        <v>24</v>
      </c>
      <c r="AC7063">
        <v>25.695599999999899</v>
      </c>
      <c r="AD7063">
        <v>-1.1097911384270001</v>
      </c>
      <c r="AE7063">
        <v>0.31638000000000899</v>
      </c>
      <c r="AF7063">
        <v>-0.981922434895935</v>
      </c>
      <c r="AG7063">
        <v>-1.1097911384270001</v>
      </c>
      <c r="AH7063">
        <v>25.630906840858302</v>
      </c>
      <c r="AI7063">
        <v>92.477482868536299</v>
      </c>
      <c r="AJ7063">
        <v>92.193933765430998</v>
      </c>
      <c r="AK7063">
        <v>25.673706267772101</v>
      </c>
      <c r="AL7063">
        <v>90.849968794947003</v>
      </c>
      <c r="AM7063">
        <v>88.213388488756195</v>
      </c>
      <c r="AN7063">
        <v>1.00000000652877</v>
      </c>
    </row>
    <row r="7064" spans="1:40" x14ac:dyDescent="0.25">
      <c r="A7064" t="str">
        <f>"20190312160825150"</f>
        <v>20190312160825150</v>
      </c>
      <c r="B7064" t="str">
        <f>"1552378105142990"</f>
        <v>1552378105142990</v>
      </c>
      <c r="C7064" t="s">
        <v>40</v>
      </c>
      <c r="D7064">
        <v>5.9649640000000002</v>
      </c>
      <c r="E7064">
        <v>0.4748811</v>
      </c>
      <c r="F7064" t="s">
        <v>114</v>
      </c>
      <c r="G7064">
        <v>-238.68430000000001</v>
      </c>
      <c r="H7064" s="1">
        <v>-3.3987810000000001E-6</v>
      </c>
      <c r="I7064">
        <v>-63.593649999999997</v>
      </c>
      <c r="J7064">
        <v>-263.512</v>
      </c>
      <c r="K7064">
        <v>1.109791</v>
      </c>
      <c r="L7064">
        <v>-63.883420000000001</v>
      </c>
      <c r="M7064">
        <v>0.99965110000000001</v>
      </c>
      <c r="N7064">
        <v>0</v>
      </c>
      <c r="O7064">
        <v>-2.5337829999999999E-2</v>
      </c>
      <c r="P7064">
        <v>0.99814049999999999</v>
      </c>
      <c r="Q7064">
        <v>-2.2183230000000002E-2</v>
      </c>
      <c r="R7064">
        <v>-5.677633E-2</v>
      </c>
      <c r="S7064">
        <v>3.0046080000000002</v>
      </c>
      <c r="T7064">
        <v>-0.13367009999999999</v>
      </c>
      <c r="U7064">
        <v>3.4606930000000001E-2</v>
      </c>
      <c r="V7064">
        <v>3.1496540000000003E-2</v>
      </c>
      <c r="W7064">
        <v>-1.465897E-2</v>
      </c>
      <c r="X7064">
        <v>0.99939639999999996</v>
      </c>
      <c r="Y7064">
        <v>-3.6788899999999999E-2</v>
      </c>
      <c r="Z7064">
        <v>1.944533E-3</v>
      </c>
      <c r="AA7064">
        <v>0.99932120000000002</v>
      </c>
      <c r="AB7064">
        <v>24</v>
      </c>
      <c r="AC7064">
        <v>24.8277</v>
      </c>
      <c r="AD7064">
        <v>-1.1097943987809999</v>
      </c>
      <c r="AE7064">
        <v>0.28976999999999697</v>
      </c>
      <c r="AF7064">
        <v>-0.91694264491706201</v>
      </c>
      <c r="AG7064">
        <v>-1.1097943987809999</v>
      </c>
      <c r="AH7064">
        <v>24.7629147122869</v>
      </c>
      <c r="AI7064">
        <v>92.564340833841698</v>
      </c>
      <c r="AJ7064">
        <v>92.120628858658705</v>
      </c>
      <c r="AK7064">
        <v>24.804724801328199</v>
      </c>
      <c r="AL7064">
        <v>90.839927161847996</v>
      </c>
      <c r="AM7064">
        <v>88.194888735374803</v>
      </c>
      <c r="AN7064">
        <v>1.0000000408831899</v>
      </c>
    </row>
    <row r="7065" spans="1:40" x14ac:dyDescent="0.25">
      <c r="A7065" t="str">
        <f>"20190312160825162"</f>
        <v>20190312160825162</v>
      </c>
      <c r="B7065" t="str">
        <f>"1552378105152751"</f>
        <v>1552378105152751</v>
      </c>
      <c r="C7065" t="s">
        <v>40</v>
      </c>
      <c r="D7065">
        <v>5.9574819999999997</v>
      </c>
      <c r="E7065">
        <v>0.47522940000000002</v>
      </c>
      <c r="F7065" t="s">
        <v>114</v>
      </c>
      <c r="G7065">
        <v>-239.2277</v>
      </c>
      <c r="H7065" s="1">
        <v>-3.5879169999999998E-6</v>
      </c>
      <c r="I7065">
        <v>-63.617449999999998</v>
      </c>
      <c r="J7065">
        <v>-263.392</v>
      </c>
      <c r="K7065">
        <v>1.1097900000000001</v>
      </c>
      <c r="L7065">
        <v>-63.885770000000001</v>
      </c>
      <c r="M7065">
        <v>0.99966750000000004</v>
      </c>
      <c r="N7065">
        <v>0</v>
      </c>
      <c r="O7065">
        <v>-2.468967E-2</v>
      </c>
      <c r="P7065">
        <v>0.99817140000000004</v>
      </c>
      <c r="Q7065">
        <v>-2.1937140000000001E-2</v>
      </c>
      <c r="R7065">
        <v>-5.6328540000000003E-2</v>
      </c>
      <c r="S7065">
        <v>3.0043639999999998</v>
      </c>
      <c r="T7065">
        <v>-0.1372999</v>
      </c>
      <c r="U7065">
        <v>3.2897950000000002E-2</v>
      </c>
      <c r="V7065">
        <v>3.1695719999999997E-2</v>
      </c>
      <c r="W7065">
        <v>-1.44142E-2</v>
      </c>
      <c r="X7065">
        <v>0.99939359999999999</v>
      </c>
      <c r="Y7065">
        <v>-3.5572050000000001E-2</v>
      </c>
      <c r="Z7065">
        <v>1.9400590000000001E-3</v>
      </c>
      <c r="AA7065">
        <v>0.99936519999999995</v>
      </c>
      <c r="AB7065">
        <v>24</v>
      </c>
      <c r="AC7065">
        <v>24.164300000000001</v>
      </c>
      <c r="AD7065">
        <v>-1.109793587917</v>
      </c>
      <c r="AE7065">
        <v>0.26831999999999501</v>
      </c>
      <c r="AF7065">
        <v>-0.86304311186518801</v>
      </c>
      <c r="AG7065">
        <v>-1.109793587917</v>
      </c>
      <c r="AH7065">
        <v>24.099482026197499</v>
      </c>
      <c r="AI7065">
        <v>92.634950773853404</v>
      </c>
      <c r="AJ7065">
        <v>92.050982054061194</v>
      </c>
      <c r="AK7065">
        <v>24.140453996388299</v>
      </c>
      <c r="AL7065">
        <v>90.825901444573105</v>
      </c>
      <c r="AM7065">
        <v>88.1834759857786</v>
      </c>
      <c r="AN7065">
        <v>0.99999997777445804</v>
      </c>
    </row>
    <row r="7066" spans="1:40" x14ac:dyDescent="0.25">
      <c r="A7066" t="str">
        <f>"20190312160825173"</f>
        <v>20190312160825173</v>
      </c>
      <c r="B7066" t="str">
        <f>"1552378105162510"</f>
        <v>1552378105162510</v>
      </c>
      <c r="C7066" t="s">
        <v>40</v>
      </c>
      <c r="D7066">
        <v>5.932188</v>
      </c>
      <c r="E7066">
        <v>0.4756206</v>
      </c>
      <c r="F7066" t="s">
        <v>114</v>
      </c>
      <c r="G7066">
        <v>-239.60980000000001</v>
      </c>
      <c r="H7066" s="1">
        <v>-3.7211240000000001E-6</v>
      </c>
      <c r="I7066">
        <v>-63.635429999999999</v>
      </c>
      <c r="J7066">
        <v>-263.26929999999999</v>
      </c>
      <c r="K7066">
        <v>1.109791</v>
      </c>
      <c r="L7066">
        <v>-63.888150000000003</v>
      </c>
      <c r="M7066">
        <v>0.99968349999999995</v>
      </c>
      <c r="N7066">
        <v>0</v>
      </c>
      <c r="O7066">
        <v>-2.402673E-2</v>
      </c>
      <c r="P7066">
        <v>0.99820940000000002</v>
      </c>
      <c r="Q7066">
        <v>-2.1962679999999998E-2</v>
      </c>
      <c r="R7066">
        <v>-5.5641110000000001E-2</v>
      </c>
      <c r="S7066">
        <v>3.0042110000000002</v>
      </c>
      <c r="T7066">
        <v>-0.14019079999999901</v>
      </c>
      <c r="U7066">
        <v>3.1616209999999999E-2</v>
      </c>
      <c r="V7066">
        <v>3.1670280000000002E-2</v>
      </c>
      <c r="W7066">
        <v>-1.444146E-2</v>
      </c>
      <c r="X7066">
        <v>0.99939409999999895</v>
      </c>
      <c r="Y7066">
        <v>-3.448275E-2</v>
      </c>
      <c r="Z7066">
        <v>1.924652E-3</v>
      </c>
      <c r="AA7066">
        <v>0.99940340000000005</v>
      </c>
      <c r="AB7066">
        <v>24</v>
      </c>
      <c r="AC7066">
        <v>23.659499999999898</v>
      </c>
      <c r="AD7066">
        <v>-1.109794721124</v>
      </c>
      <c r="AE7066">
        <v>0.252719999999996</v>
      </c>
      <c r="AF7066">
        <v>-0.81932075292504203</v>
      </c>
      <c r="AG7066">
        <v>-1.109794721124</v>
      </c>
      <c r="AH7066">
        <v>23.594688758613501</v>
      </c>
      <c r="AI7066">
        <v>92.691347474724694</v>
      </c>
      <c r="AJ7066">
        <v>91.988785143302493</v>
      </c>
      <c r="AK7066">
        <v>23.6349797637961</v>
      </c>
      <c r="AL7066">
        <v>90.8274634181642</v>
      </c>
      <c r="AM7066">
        <v>88.184933917958404</v>
      </c>
      <c r="AN7066">
        <v>1.0000000647584999</v>
      </c>
    </row>
    <row r="7067" spans="1:40" x14ac:dyDescent="0.25">
      <c r="A7067" t="str">
        <f>"20190312160825184"</f>
        <v>20190312160825184</v>
      </c>
      <c r="B7067" t="str">
        <f>"1552378105172270"</f>
        <v>1552378105172270</v>
      </c>
      <c r="C7067" t="s">
        <v>40</v>
      </c>
      <c r="D7067">
        <v>6.0680059999999996</v>
      </c>
      <c r="E7067">
        <v>0.47574749999999999</v>
      </c>
      <c r="F7067" t="s">
        <v>112</v>
      </c>
      <c r="G7067">
        <v>-240.18989999999999</v>
      </c>
      <c r="H7067" s="1">
        <v>6.174952E-8</v>
      </c>
      <c r="I7067">
        <v>-63.651980000000002</v>
      </c>
      <c r="J7067">
        <v>-263.14940000000001</v>
      </c>
      <c r="K7067">
        <v>1.1097980000000001</v>
      </c>
      <c r="L7067">
        <v>-63.890349999999998</v>
      </c>
      <c r="M7067">
        <v>0.999699</v>
      </c>
      <c r="N7067">
        <v>0</v>
      </c>
      <c r="O7067">
        <v>-2.3378220000000002E-2</v>
      </c>
      <c r="P7067">
        <v>0.99824800000000002</v>
      </c>
      <c r="Q7067">
        <v>-2.1876639999999999E-2</v>
      </c>
      <c r="R7067">
        <v>-5.4980929999999997E-2</v>
      </c>
      <c r="S7067">
        <v>3.0039060000000002</v>
      </c>
      <c r="T7067">
        <v>-0.14444509999999999</v>
      </c>
      <c r="U7067">
        <v>3.07312E-2</v>
      </c>
      <c r="V7067">
        <v>3.1657400000000002E-2</v>
      </c>
      <c r="W7067">
        <v>-1.435672E-2</v>
      </c>
      <c r="X7067">
        <v>0.9993957</v>
      </c>
      <c r="Y7067">
        <v>-3.3538970000000001E-2</v>
      </c>
      <c r="Z7067">
        <v>1.929355E-3</v>
      </c>
      <c r="AA7067">
        <v>0.99943550000000003</v>
      </c>
      <c r="AB7067">
        <v>24</v>
      </c>
      <c r="AC7067">
        <v>22.959499999999998</v>
      </c>
      <c r="AD7067">
        <v>-1.1097979382504799</v>
      </c>
      <c r="AE7067">
        <v>0.238369999999996</v>
      </c>
      <c r="AF7067">
        <v>-0.77326542195481696</v>
      </c>
      <c r="AG7067">
        <v>-1.1097979382504799</v>
      </c>
      <c r="AH7067">
        <v>22.894165711599701</v>
      </c>
      <c r="AI7067">
        <v>92.773669452310202</v>
      </c>
      <c r="AJ7067">
        <v>91.934467043812901</v>
      </c>
      <c r="AK7067">
        <v>22.934088482142101</v>
      </c>
      <c r="AL7067">
        <v>90.822607694553497</v>
      </c>
      <c r="AM7067">
        <v>88.185674497254098</v>
      </c>
      <c r="AN7067">
        <v>1.0000000357812</v>
      </c>
    </row>
    <row r="7068" spans="1:40" x14ac:dyDescent="0.25">
      <c r="A7068" t="str">
        <f>"20190312160825196"</f>
        <v>20190312160825196</v>
      </c>
      <c r="B7068" t="str">
        <f>"1552378105192767"</f>
        <v>1552378105192767</v>
      </c>
      <c r="C7068" t="s">
        <v>40</v>
      </c>
      <c r="D7068">
        <v>5.9603510000000002</v>
      </c>
      <c r="E7068">
        <v>0.47613060000000001</v>
      </c>
      <c r="F7068" t="s">
        <v>114</v>
      </c>
      <c r="G7068">
        <v>-239.5557</v>
      </c>
      <c r="H7068" s="1">
        <v>-3.7038890000000001E-6</v>
      </c>
      <c r="I7068">
        <v>-63.641959999999997</v>
      </c>
      <c r="J7068">
        <v>-263.01769999999999</v>
      </c>
      <c r="K7068">
        <v>1.1097999999999999</v>
      </c>
      <c r="L7068">
        <v>-63.892699999999998</v>
      </c>
      <c r="M7068">
        <v>0.99971540000000003</v>
      </c>
      <c r="N7068">
        <v>0</v>
      </c>
      <c r="O7068">
        <v>-2.2666889999999999E-2</v>
      </c>
      <c r="P7068">
        <v>0.9982896</v>
      </c>
      <c r="Q7068">
        <v>-2.1794230000000001E-2</v>
      </c>
      <c r="R7068">
        <v>-5.4250989999999999E-2</v>
      </c>
      <c r="S7068">
        <v>3.003876</v>
      </c>
      <c r="T7068">
        <v>-0.1412967</v>
      </c>
      <c r="U7068">
        <v>3.1616209999999999E-2</v>
      </c>
      <c r="V7068">
        <v>3.1637680000000001E-2</v>
      </c>
      <c r="W7068">
        <v>-1.4276260000000001E-2</v>
      </c>
      <c r="X7068">
        <v>0.99939750000000005</v>
      </c>
      <c r="Y7068">
        <v>-3.3126419999999997E-2</v>
      </c>
      <c r="Z7068">
        <v>1.844233E-3</v>
      </c>
      <c r="AA7068">
        <v>0.99944949999999999</v>
      </c>
      <c r="AB7068">
        <v>24</v>
      </c>
      <c r="AC7068">
        <v>23.4619999999999</v>
      </c>
      <c r="AD7068">
        <v>-1.1098037038889901</v>
      </c>
      <c r="AE7068">
        <v>0.25074000000000002</v>
      </c>
      <c r="AF7068">
        <v>-0.78075412641263198</v>
      </c>
      <c r="AG7068">
        <v>-1.1098037038889901</v>
      </c>
      <c r="AH7068">
        <v>23.397941170467099</v>
      </c>
      <c r="AI7068">
        <v>92.714091593974203</v>
      </c>
      <c r="AJ7068">
        <v>91.911164916057004</v>
      </c>
      <c r="AK7068">
        <v>23.4372543674321</v>
      </c>
      <c r="AL7068">
        <v>90.817997185036504</v>
      </c>
      <c r="AM7068">
        <v>88.186807184200305</v>
      </c>
      <c r="AN7068">
        <v>1.0000000587008</v>
      </c>
    </row>
    <row r="7069" spans="1:40" x14ac:dyDescent="0.25">
      <c r="A7069" t="str">
        <f>"20190312160825207"</f>
        <v>20190312160825207</v>
      </c>
      <c r="B7069" t="str">
        <f>"1552378105202526"</f>
        <v>1552378105202526</v>
      </c>
      <c r="C7069" t="s">
        <v>40</v>
      </c>
      <c r="D7069">
        <v>6.0697349999999997</v>
      </c>
      <c r="E7069">
        <v>0.47630729999999999</v>
      </c>
      <c r="F7069" t="s">
        <v>114</v>
      </c>
      <c r="G7069">
        <v>-239.3176</v>
      </c>
      <c r="H7069" s="1">
        <v>-3.6244049999999999E-6</v>
      </c>
      <c r="I7069">
        <v>-63.650640000000003</v>
      </c>
      <c r="J7069">
        <v>-262.8965</v>
      </c>
      <c r="K7069">
        <v>1.109802</v>
      </c>
      <c r="L7069">
        <v>-63.894739999999999</v>
      </c>
      <c r="M7069">
        <v>0.99972989999999995</v>
      </c>
      <c r="N7069">
        <v>0</v>
      </c>
      <c r="O7069">
        <v>-2.2012170000000001E-2</v>
      </c>
      <c r="P7069">
        <v>0.99833510000000003</v>
      </c>
      <c r="Q7069">
        <v>-2.1853350000000001E-2</v>
      </c>
      <c r="R7069">
        <v>-5.3379679999999999E-2</v>
      </c>
      <c r="S7069">
        <v>3.0037229999999999</v>
      </c>
      <c r="T7069">
        <v>-0.14065520000000001</v>
      </c>
      <c r="U7069">
        <v>3.067017E-2</v>
      </c>
      <c r="V7069">
        <v>3.1420219999999999E-2</v>
      </c>
      <c r="W7069">
        <v>-1.4339340000000001E-2</v>
      </c>
      <c r="X7069">
        <v>0.99940340000000005</v>
      </c>
      <c r="Y7069">
        <v>-3.2159989999999999E-2</v>
      </c>
      <c r="Z7069">
        <v>1.782711E-3</v>
      </c>
      <c r="AA7069">
        <v>0.99948110000000001</v>
      </c>
      <c r="AB7069">
        <v>25</v>
      </c>
      <c r="AC7069">
        <v>23.578900000000001</v>
      </c>
      <c r="AD7069">
        <v>-1.1098056244050001</v>
      </c>
      <c r="AE7069">
        <v>0.24410000000000301</v>
      </c>
      <c r="AF7069">
        <v>-0.76139144946624904</v>
      </c>
      <c r="AG7069">
        <v>-1.1098056244050001</v>
      </c>
      <c r="AH7069">
        <v>23.515722758651101</v>
      </c>
      <c r="AI7069">
        <v>92.700610260144003</v>
      </c>
      <c r="AJ7069">
        <v>91.854473379289303</v>
      </c>
      <c r="AK7069">
        <v>23.5542056186368</v>
      </c>
      <c r="AL7069">
        <v>90.821611819663005</v>
      </c>
      <c r="AM7069">
        <v>88.199272463670795</v>
      </c>
      <c r="AN7069">
        <v>1.00000000141402</v>
      </c>
    </row>
    <row r="7070" spans="1:40" x14ac:dyDescent="0.25">
      <c r="A7070" t="str">
        <f>"20190312160825220"</f>
        <v>20190312160825220</v>
      </c>
      <c r="B7070" t="str">
        <f>"1552378105212285"</f>
        <v>1552378105212285</v>
      </c>
      <c r="C7070" t="s">
        <v>40</v>
      </c>
      <c r="D7070">
        <v>5.9736589999999996</v>
      </c>
      <c r="E7070">
        <v>0.47638390000000003</v>
      </c>
      <c r="F7070" t="s">
        <v>114</v>
      </c>
      <c r="G7070">
        <v>-238.77099999999999</v>
      </c>
      <c r="H7070" s="1">
        <v>-3.4364560000000001E-6</v>
      </c>
      <c r="I7070">
        <v>-63.639760000000003</v>
      </c>
      <c r="J7070">
        <v>-262.7704</v>
      </c>
      <c r="K7070">
        <v>1.109804</v>
      </c>
      <c r="L7070">
        <v>-63.896790000000003</v>
      </c>
      <c r="M7070">
        <v>0.99974470000000004</v>
      </c>
      <c r="N7070">
        <v>0</v>
      </c>
      <c r="O7070">
        <v>-2.1331220000000001E-2</v>
      </c>
      <c r="P7070">
        <v>0.99838780000000005</v>
      </c>
      <c r="Q7070">
        <v>-2.1873030000000002E-2</v>
      </c>
      <c r="R7070">
        <v>-5.2377100000000003E-2</v>
      </c>
      <c r="S7070">
        <v>3.0036619999999998</v>
      </c>
      <c r="T7070">
        <v>-0.13817209999999999</v>
      </c>
      <c r="U7070">
        <v>3.1738280000000001E-2</v>
      </c>
      <c r="V7070">
        <v>3.109758E-2</v>
      </c>
      <c r="W7070">
        <v>-1.4364089999999999E-2</v>
      </c>
      <c r="X7070">
        <v>0.99941310000000005</v>
      </c>
      <c r="Y7070">
        <v>-3.1837940000000002E-2</v>
      </c>
      <c r="Z7070">
        <v>1.712601E-3</v>
      </c>
      <c r="AA7070">
        <v>0.99949160000000004</v>
      </c>
      <c r="AB7070">
        <v>25</v>
      </c>
      <c r="AC7070">
        <v>23.999400000000001</v>
      </c>
      <c r="AD7070">
        <v>-1.109807436456</v>
      </c>
      <c r="AE7070">
        <v>0.25703000000000698</v>
      </c>
      <c r="AF7070">
        <v>-0.76728161694181896</v>
      </c>
      <c r="AG7070">
        <v>-1.109807436456</v>
      </c>
      <c r="AH7070">
        <v>23.937273795603701</v>
      </c>
      <c r="AI7070">
        <v>92.653151274027906</v>
      </c>
      <c r="AJ7070">
        <v>91.835921323537605</v>
      </c>
      <c r="AK7070">
        <v>23.975267889877799</v>
      </c>
      <c r="AL7070">
        <v>90.823030065821996</v>
      </c>
      <c r="AM7070">
        <v>88.217768618285604</v>
      </c>
      <c r="AN7070">
        <v>0.99999996550749604</v>
      </c>
    </row>
    <row r="7071" spans="1:40" x14ac:dyDescent="0.25">
      <c r="A7071" t="str">
        <f>"20190312160825229"</f>
        <v>20190312160825229</v>
      </c>
      <c r="B7071" t="str">
        <f>"1552378105222046"</f>
        <v>1552378105222046</v>
      </c>
      <c r="C7071" t="s">
        <v>40</v>
      </c>
      <c r="D7071">
        <v>6.0704760000000002</v>
      </c>
      <c r="E7071">
        <v>0.47650389999999998</v>
      </c>
      <c r="F7071" t="s">
        <v>114</v>
      </c>
      <c r="G7071">
        <v>-238.23079999999999</v>
      </c>
      <c r="H7071" s="1">
        <v>-3.248948E-6</v>
      </c>
      <c r="I7071">
        <v>-63.618980000000001</v>
      </c>
      <c r="J7071">
        <v>-262.64819999999997</v>
      </c>
      <c r="K7071">
        <v>1.109801</v>
      </c>
      <c r="L7071">
        <v>-63.898769999999899</v>
      </c>
      <c r="M7071">
        <v>0.99975879999999995</v>
      </c>
      <c r="N7071">
        <v>0</v>
      </c>
      <c r="O7071">
        <v>-2.0670899999999999E-2</v>
      </c>
      <c r="P7071">
        <v>0.99843349999999997</v>
      </c>
      <c r="Q7071">
        <v>-2.1587370000000002E-2</v>
      </c>
      <c r="R7071">
        <v>-5.1619329999999998E-2</v>
      </c>
      <c r="S7071">
        <v>3.0036320000000001</v>
      </c>
      <c r="T7071">
        <v>-0.1358396</v>
      </c>
      <c r="U7071">
        <v>3.3996579999999998E-2</v>
      </c>
      <c r="V7071">
        <v>3.0998620000000001E-2</v>
      </c>
      <c r="W7071">
        <v>-1.408391E-2</v>
      </c>
      <c r="X7071">
        <v>0.99942019999999998</v>
      </c>
      <c r="Y7071">
        <v>-3.193174E-2</v>
      </c>
      <c r="Z7071">
        <v>1.656006E-3</v>
      </c>
      <c r="AA7071">
        <v>0.99948870000000001</v>
      </c>
      <c r="AB7071">
        <v>25</v>
      </c>
      <c r="AC7071">
        <v>24.417399999999901</v>
      </c>
      <c r="AD7071">
        <v>-1.109804248948</v>
      </c>
      <c r="AE7071">
        <v>0.279789999999984</v>
      </c>
      <c r="AF7071">
        <v>-0.78285670934916995</v>
      </c>
      <c r="AG7071">
        <v>-1.109804248948</v>
      </c>
      <c r="AH7071">
        <v>24.3560900164643</v>
      </c>
      <c r="AI7071">
        <v>92.607577563896896</v>
      </c>
      <c r="AJ7071">
        <v>91.840974817413894</v>
      </c>
      <c r="AK7071">
        <v>24.393926518469002</v>
      </c>
      <c r="AL7071">
        <v>90.806975278799001</v>
      </c>
      <c r="AM7071">
        <v>88.223449080985603</v>
      </c>
      <c r="AN7071">
        <v>1.00000000356541</v>
      </c>
    </row>
    <row r="7072" spans="1:40" x14ac:dyDescent="0.25">
      <c r="A7072" t="str">
        <f>"20190312160825241"</f>
        <v>20190312160825241</v>
      </c>
      <c r="B7072" t="str">
        <f>"1552378105232782"</f>
        <v>1552378105232782</v>
      </c>
      <c r="C7072" t="s">
        <v>40</v>
      </c>
      <c r="D7072">
        <v>5.933039</v>
      </c>
      <c r="E7072">
        <v>0.47682429999999898</v>
      </c>
      <c r="F7072" t="s">
        <v>114</v>
      </c>
      <c r="G7072">
        <v>-237.56450000000001</v>
      </c>
      <c r="H7072" s="1">
        <v>-3.0195399999999999E-6</v>
      </c>
      <c r="I7072">
        <v>-63.604100000000003</v>
      </c>
      <c r="J7072">
        <v>-262.52350000000001</v>
      </c>
      <c r="K7072">
        <v>1.109802</v>
      </c>
      <c r="L7072">
        <v>-63.900599999999997</v>
      </c>
      <c r="M7072">
        <v>0.99977240000000001</v>
      </c>
      <c r="N7072">
        <v>0</v>
      </c>
      <c r="O7072">
        <v>-1.999805E-2</v>
      </c>
      <c r="P7072">
        <v>0.99848440000000005</v>
      </c>
      <c r="Q7072">
        <v>-2.2085810000000001E-2</v>
      </c>
      <c r="R7072">
        <v>-5.0410990000000003E-2</v>
      </c>
      <c r="S7072">
        <v>3.0036619999999998</v>
      </c>
      <c r="T7072">
        <v>-0.13289400000000001</v>
      </c>
      <c r="U7072">
        <v>3.5278320000000002E-2</v>
      </c>
      <c r="V7072">
        <v>3.0463049999999998E-2</v>
      </c>
      <c r="W7072">
        <v>-1.458888E-2</v>
      </c>
      <c r="X7072">
        <v>0.99942940000000002</v>
      </c>
      <c r="Y7072">
        <v>-3.1688620000000001E-2</v>
      </c>
      <c r="Z7072">
        <v>1.584986E-3</v>
      </c>
      <c r="AA7072">
        <v>0.99949650000000001</v>
      </c>
      <c r="AB7072">
        <v>25</v>
      </c>
      <c r="AC7072">
        <v>24.959</v>
      </c>
      <c r="AD7072">
        <v>-1.10980501954</v>
      </c>
      <c r="AE7072">
        <v>0.29649999999999399</v>
      </c>
      <c r="AF7072">
        <v>-0.79401615013604998</v>
      </c>
      <c r="AG7072">
        <v>-1.10980501954</v>
      </c>
      <c r="AH7072">
        <v>24.8988570534014</v>
      </c>
      <c r="AI7072">
        <v>92.550833563194502</v>
      </c>
      <c r="AJ7072">
        <v>91.826524082348101</v>
      </c>
      <c r="AK7072">
        <v>24.9362228774485</v>
      </c>
      <c r="AL7072">
        <v>90.835910922899302</v>
      </c>
      <c r="AM7072">
        <v>88.254139841856698</v>
      </c>
      <c r="AN7072">
        <v>0.999999979209658</v>
      </c>
    </row>
    <row r="7073" spans="1:40" x14ac:dyDescent="0.25">
      <c r="A7073" t="str">
        <f>"20190312160825253"</f>
        <v>20190312160825253</v>
      </c>
      <c r="B7073" t="str">
        <f>"1552378105242542"</f>
        <v>1552378105242542</v>
      </c>
      <c r="C7073" t="s">
        <v>40</v>
      </c>
      <c r="D7073">
        <v>5.9686500000000002</v>
      </c>
      <c r="E7073">
        <v>0.47706939999999998</v>
      </c>
      <c r="F7073" t="s">
        <v>114</v>
      </c>
      <c r="G7073">
        <v>-238.3244</v>
      </c>
      <c r="H7073" s="1">
        <v>-3.2785399999999999E-6</v>
      </c>
      <c r="I7073">
        <v>-63.606209999999997</v>
      </c>
      <c r="J7073">
        <v>-262.39659999999998</v>
      </c>
      <c r="K7073">
        <v>1.1098030000000001</v>
      </c>
      <c r="L7073">
        <v>-63.902470000000001</v>
      </c>
      <c r="M7073">
        <v>0.99978579999999995</v>
      </c>
      <c r="N7073">
        <v>0</v>
      </c>
      <c r="O7073">
        <v>-1.931341E-2</v>
      </c>
      <c r="P7073">
        <v>0.99852730000000001</v>
      </c>
      <c r="Q7073">
        <v>-2.23748E-2</v>
      </c>
      <c r="R7073">
        <v>-4.9423790000000002E-2</v>
      </c>
      <c r="S7073">
        <v>3.0033259999999999</v>
      </c>
      <c r="T7073">
        <v>-0.1377369</v>
      </c>
      <c r="U7073">
        <v>3.6529539999999999E-2</v>
      </c>
      <c r="V7073">
        <v>3.0160280000000001E-2</v>
      </c>
      <c r="W7073">
        <v>-1.4884090000000001E-2</v>
      </c>
      <c r="X7073">
        <v>0.99943419999999905</v>
      </c>
      <c r="Y7073">
        <v>-3.1419059999999999E-2</v>
      </c>
      <c r="Z7073">
        <v>1.6053090000000001E-3</v>
      </c>
      <c r="AA7073">
        <v>0.99950499999999998</v>
      </c>
      <c r="AB7073">
        <v>25</v>
      </c>
      <c r="AC7073">
        <v>24.072199999999899</v>
      </c>
      <c r="AD7073">
        <v>-1.10980627854</v>
      </c>
      <c r="AE7073">
        <v>0.29625999999999603</v>
      </c>
      <c r="AF7073">
        <v>-0.75951975158692397</v>
      </c>
      <c r="AG7073">
        <v>-1.10980627854</v>
      </c>
      <c r="AH7073">
        <v>24.010960060259301</v>
      </c>
      <c r="AI7073">
        <v>92.645053376481798</v>
      </c>
      <c r="AJ7073">
        <v>91.811788050371405</v>
      </c>
      <c r="AK7073">
        <v>24.048591294383598</v>
      </c>
      <c r="AL7073">
        <v>90.8528270727126</v>
      </c>
      <c r="AM7073">
        <v>88.271489534119596</v>
      </c>
      <c r="AN7073">
        <v>0.99999994937722103</v>
      </c>
    </row>
    <row r="7074" spans="1:40" x14ac:dyDescent="0.25">
      <c r="A7074" t="str">
        <f>"20190312160825264"</f>
        <v>20190312160825264</v>
      </c>
      <c r="B7074" t="str">
        <f>"1552378105252302"</f>
        <v>1552378105252302</v>
      </c>
      <c r="C7074" t="s">
        <v>40</v>
      </c>
      <c r="D7074">
        <v>5.9607720000000004</v>
      </c>
      <c r="E7074">
        <v>0.47730430000000001</v>
      </c>
      <c r="F7074" t="s">
        <v>114</v>
      </c>
      <c r="G7074">
        <v>-238.50839999999999</v>
      </c>
      <c r="H7074" s="1">
        <v>-3.3405110000000001E-6</v>
      </c>
      <c r="I7074">
        <v>-63.602620000000002</v>
      </c>
      <c r="J7074">
        <v>-262.2817</v>
      </c>
      <c r="K7074">
        <v>1.109807</v>
      </c>
      <c r="L7074">
        <v>-63.904049999999998</v>
      </c>
      <c r="M7074">
        <v>0.99979770000000001</v>
      </c>
      <c r="N7074">
        <v>0</v>
      </c>
      <c r="O7074">
        <v>-1.869326E-2</v>
      </c>
      <c r="P7074">
        <v>0.9985638</v>
      </c>
      <c r="Q7074">
        <v>-2.2407920000000001E-2</v>
      </c>
      <c r="R7074">
        <v>-4.8664890000000002E-2</v>
      </c>
      <c r="S7074">
        <v>3.0032040000000002</v>
      </c>
      <c r="T7074">
        <v>-0.1395237</v>
      </c>
      <c r="U7074">
        <v>3.7689210000000001E-2</v>
      </c>
      <c r="V7074">
        <v>3.0020979999999999E-2</v>
      </c>
      <c r="W7074">
        <v>-1.4921810000000001E-2</v>
      </c>
      <c r="X7074">
        <v>0.99943789999999999</v>
      </c>
      <c r="Y7074">
        <v>-3.1185000000000001E-2</v>
      </c>
      <c r="Z7074">
        <v>1.5919479999999999E-3</v>
      </c>
      <c r="AA7074">
        <v>0.99951239999999997</v>
      </c>
      <c r="AB7074">
        <v>25</v>
      </c>
      <c r="AC7074">
        <v>23.773299999999999</v>
      </c>
      <c r="AD7074">
        <v>-1.109810340511</v>
      </c>
      <c r="AE7074">
        <v>0.30143000000000297</v>
      </c>
      <c r="AF7074">
        <v>-0.744168541643772</v>
      </c>
      <c r="AG7074">
        <v>-1.109810340511</v>
      </c>
      <c r="AH7074">
        <v>23.711843794479499</v>
      </c>
      <c r="AI7074">
        <v>92.678402173383205</v>
      </c>
      <c r="AJ7074">
        <v>91.797571151256804</v>
      </c>
      <c r="AK7074">
        <v>23.7494631927561</v>
      </c>
      <c r="AL7074">
        <v>90.854988451154597</v>
      </c>
      <c r="AM7074">
        <v>88.279474487927402</v>
      </c>
      <c r="AN7074">
        <v>1.00000001780512</v>
      </c>
    </row>
    <row r="7075" spans="1:40" x14ac:dyDescent="0.25">
      <c r="A7075" t="str">
        <f>"20190312160825273"</f>
        <v>20190312160825273</v>
      </c>
      <c r="B7075" t="str">
        <f>"1552378105262062"</f>
        <v>1552378105262062</v>
      </c>
      <c r="C7075" t="s">
        <v>40</v>
      </c>
      <c r="D7075">
        <v>6.026694</v>
      </c>
      <c r="E7075">
        <v>0.47743249999999998</v>
      </c>
      <c r="F7075" t="s">
        <v>114</v>
      </c>
      <c r="G7075">
        <v>-238.76949999999999</v>
      </c>
      <c r="H7075" s="1">
        <v>-3.429794E-6</v>
      </c>
      <c r="I7075">
        <v>-63.605080000000001</v>
      </c>
      <c r="J7075">
        <v>-262.16390000000001</v>
      </c>
      <c r="K7075">
        <v>1.10981</v>
      </c>
      <c r="L7075">
        <v>-63.905610000000003</v>
      </c>
      <c r="M7075">
        <v>0.99980939999999996</v>
      </c>
      <c r="N7075">
        <v>0</v>
      </c>
      <c r="O7075">
        <v>-1.805762E-2</v>
      </c>
      <c r="P7075">
        <v>0.99860890000000002</v>
      </c>
      <c r="Q7075">
        <v>-2.2096890000000001E-2</v>
      </c>
      <c r="R7075">
        <v>-4.7879989999999997E-2</v>
      </c>
      <c r="S7075">
        <v>3.0029910000000002</v>
      </c>
      <c r="T7075">
        <v>-0.14174539999999999</v>
      </c>
      <c r="U7075">
        <v>3.8177490000000001E-2</v>
      </c>
      <c r="V7075">
        <v>2.987006E-2</v>
      </c>
      <c r="W7075">
        <v>-1.4615400000000001E-2</v>
      </c>
      <c r="X7075">
        <v>0.99944690000000003</v>
      </c>
      <c r="Y7075">
        <v>-3.0712420000000001E-2</v>
      </c>
      <c r="Z7075">
        <v>1.5762529999999999E-3</v>
      </c>
      <c r="AA7075">
        <v>0.99952700000000005</v>
      </c>
      <c r="AB7075">
        <v>25</v>
      </c>
      <c r="AC7075">
        <v>23.394400000000001</v>
      </c>
      <c r="AD7075">
        <v>-1.1098134297940001</v>
      </c>
      <c r="AE7075">
        <v>0.30052999999998697</v>
      </c>
      <c r="AF7075">
        <v>-0.72131677177123898</v>
      </c>
      <c r="AG7075">
        <v>-1.1098134297940001</v>
      </c>
      <c r="AH7075">
        <v>23.332657145794698</v>
      </c>
      <c r="AI7075">
        <v>92.721912089057895</v>
      </c>
      <c r="AJ7075">
        <v>91.770704814506402</v>
      </c>
      <c r="AK7075">
        <v>23.370170585971199</v>
      </c>
      <c r="AL7075">
        <v>90.837430578277093</v>
      </c>
      <c r="AM7075">
        <v>88.288134076242798</v>
      </c>
      <c r="AN7075">
        <v>0.99999996816058601</v>
      </c>
    </row>
    <row r="7076" spans="1:40" x14ac:dyDescent="0.25">
      <c r="A7076" t="str">
        <f>"20190312160825285"</f>
        <v>20190312160825285</v>
      </c>
      <c r="B7076" t="str">
        <f>"1552378105272798"</f>
        <v>1552378105272798</v>
      </c>
      <c r="C7076" t="s">
        <v>40</v>
      </c>
      <c r="D7076">
        <v>5.9520010000000001</v>
      </c>
      <c r="E7076">
        <v>0.47751769999999999</v>
      </c>
      <c r="F7076" t="s">
        <v>114</v>
      </c>
      <c r="G7076">
        <v>-238.2123</v>
      </c>
      <c r="H7076" s="1">
        <v>-3.237649E-6</v>
      </c>
      <c r="I7076">
        <v>-63.590820000000001</v>
      </c>
      <c r="J7076">
        <v>-262.03530000000001</v>
      </c>
      <c r="K7076">
        <v>1.1098129999999999</v>
      </c>
      <c r="L7076">
        <v>-63.907200000000003</v>
      </c>
      <c r="M7076">
        <v>0.99982179999999998</v>
      </c>
      <c r="N7076">
        <v>0</v>
      </c>
      <c r="O7076">
        <v>-1.7363679999999999E-2</v>
      </c>
      <c r="P7076">
        <v>0.99865000000000004</v>
      </c>
      <c r="Q7076">
        <v>-2.156636E-2</v>
      </c>
      <c r="R7076">
        <v>-4.725654E-2</v>
      </c>
      <c r="S7076">
        <v>3.0029910000000002</v>
      </c>
      <c r="T7076">
        <v>-0.13914560000000001</v>
      </c>
      <c r="U7076">
        <v>3.9459229999999998E-2</v>
      </c>
      <c r="V7076">
        <v>2.993848E-2</v>
      </c>
      <c r="W7076">
        <v>-1.4088639999999999E-2</v>
      </c>
      <c r="X7076">
        <v>0.99945249999999997</v>
      </c>
      <c r="Y7076">
        <v>-3.044823E-2</v>
      </c>
      <c r="Z7076">
        <v>1.5091179999999901E-3</v>
      </c>
      <c r="AA7076">
        <v>0.99953519999999896</v>
      </c>
      <c r="AB7076">
        <v>25</v>
      </c>
      <c r="AC7076">
        <v>23.823</v>
      </c>
      <c r="AD7076">
        <v>-1.1098162376489999</v>
      </c>
      <c r="AE7076">
        <v>0.31638000000000899</v>
      </c>
      <c r="AF7076">
        <v>-0.72841802924406795</v>
      </c>
      <c r="AG7076">
        <v>-1.1098162376489999</v>
      </c>
      <c r="AH7076">
        <v>23.7623534818824</v>
      </c>
      <c r="AI7076">
        <v>92.672791697165493</v>
      </c>
      <c r="AJ7076">
        <v>91.755811498942293</v>
      </c>
      <c r="AK7076">
        <v>23.799406041004499</v>
      </c>
      <c r="AL7076">
        <v>90.807246276384802</v>
      </c>
      <c r="AM7076">
        <v>88.284224845833094</v>
      </c>
      <c r="AN7076">
        <v>1.0000000510589999</v>
      </c>
    </row>
    <row r="7077" spans="1:40" x14ac:dyDescent="0.25">
      <c r="A7077" t="str">
        <f>"20190312160825297"</f>
        <v>20190312160825297</v>
      </c>
      <c r="B7077" t="str">
        <f>"1552378105292317"</f>
        <v>1552378105292317</v>
      </c>
      <c r="C7077" t="s">
        <v>40</v>
      </c>
      <c r="D7077">
        <v>5.9832460000000003</v>
      </c>
      <c r="E7077">
        <v>0.47779189999999999</v>
      </c>
      <c r="F7077" t="s">
        <v>114</v>
      </c>
      <c r="G7077">
        <v>-237.49279999999999</v>
      </c>
      <c r="H7077" s="1">
        <v>-2.989987E-6</v>
      </c>
      <c r="I7077">
        <v>-63.574919999999999</v>
      </c>
      <c r="J7077">
        <v>-261.91019999999997</v>
      </c>
      <c r="K7077">
        <v>1.1098140000000001</v>
      </c>
      <c r="L7077">
        <v>-63.908659999999998</v>
      </c>
      <c r="M7077">
        <v>0.99983330000000004</v>
      </c>
      <c r="N7077">
        <v>0</v>
      </c>
      <c r="O7077">
        <v>-1.668917E-2</v>
      </c>
      <c r="P7077">
        <v>0.99869200000000002</v>
      </c>
      <c r="Q7077">
        <v>-2.122141E-2</v>
      </c>
      <c r="R7077">
        <v>-4.6518629999999998E-2</v>
      </c>
      <c r="S7077">
        <v>3.0029910000000002</v>
      </c>
      <c r="T7077">
        <v>-0.135796</v>
      </c>
      <c r="U7077">
        <v>4.0649409999999997E-2</v>
      </c>
      <c r="V7077">
        <v>2.987362E-2</v>
      </c>
      <c r="W7077">
        <v>-1.3747469999999999E-2</v>
      </c>
      <c r="X7077">
        <v>0.99945910000000004</v>
      </c>
      <c r="Y7077">
        <v>-3.0173410000000001E-2</v>
      </c>
      <c r="Z7077">
        <v>1.436129E-3</v>
      </c>
      <c r="AA7077">
        <v>0.99954370000000003</v>
      </c>
      <c r="AB7077">
        <v>25</v>
      </c>
      <c r="AC7077">
        <v>24.417399999999901</v>
      </c>
      <c r="AD7077">
        <v>-1.1098169899869901</v>
      </c>
      <c r="AE7077">
        <v>0.33373999999999798</v>
      </c>
      <c r="AF7077">
        <v>-0.73968302403151298</v>
      </c>
      <c r="AG7077">
        <v>-1.1098169899869901</v>
      </c>
      <c r="AH7077">
        <v>24.358117699282399</v>
      </c>
      <c r="AI7077">
        <v>92.607535012740897</v>
      </c>
      <c r="AJ7077">
        <v>91.739366562990298</v>
      </c>
      <c r="AK7077">
        <v>24.394604374316</v>
      </c>
      <c r="AL7077">
        <v>90.787696854864606</v>
      </c>
      <c r="AM7077">
        <v>88.287951058656304</v>
      </c>
      <c r="AN7077">
        <v>0.99999995933805597</v>
      </c>
    </row>
    <row r="7078" spans="1:40" x14ac:dyDescent="0.25">
      <c r="A7078" t="str">
        <f>"20190312160825307"</f>
        <v>20190312160825307</v>
      </c>
      <c r="B7078" t="str">
        <f>"1552378105302078"</f>
        <v>1552378105302078</v>
      </c>
      <c r="C7078" t="s">
        <v>40</v>
      </c>
      <c r="D7078">
        <v>5.9213250000000004</v>
      </c>
      <c r="E7078">
        <v>0.47802020000000001</v>
      </c>
      <c r="F7078" t="s">
        <v>114</v>
      </c>
      <c r="G7078">
        <v>-237.2259</v>
      </c>
      <c r="H7078" s="1">
        <v>-2.8991279999999998E-6</v>
      </c>
      <c r="I7078">
        <v>-63.574710000000003</v>
      </c>
      <c r="J7078">
        <v>-261.78280000000001</v>
      </c>
      <c r="K7078">
        <v>1.1098170000000001</v>
      </c>
      <c r="L7078">
        <v>-63.9101</v>
      </c>
      <c r="M7078">
        <v>0.99984459999999997</v>
      </c>
      <c r="N7078">
        <v>0</v>
      </c>
      <c r="O7078">
        <v>-1.6001680000000001E-2</v>
      </c>
      <c r="P7078">
        <v>0.99873199999999995</v>
      </c>
      <c r="Q7078">
        <v>-2.105075E-2</v>
      </c>
      <c r="R7078">
        <v>-4.573058E-2</v>
      </c>
      <c r="S7078">
        <v>3.0029599999999999</v>
      </c>
      <c r="T7078">
        <v>-0.13501450000000001</v>
      </c>
      <c r="U7078">
        <v>4.0618899999999999E-2</v>
      </c>
      <c r="V7078">
        <v>2.977196E-2</v>
      </c>
      <c r="W7078">
        <v>-1.358031E-2</v>
      </c>
      <c r="X7078">
        <v>0.99946449999999998</v>
      </c>
      <c r="Y7078">
        <v>-2.9478029999999999E-2</v>
      </c>
      <c r="Z7078">
        <v>1.3813720000000001E-3</v>
      </c>
      <c r="AA7078">
        <v>0.99956449999999997</v>
      </c>
      <c r="AB7078">
        <v>25</v>
      </c>
      <c r="AC7078">
        <v>24.556899999999999</v>
      </c>
      <c r="AD7078">
        <v>-1.1098198991279999</v>
      </c>
      <c r="AE7078">
        <v>0.33539000000000302</v>
      </c>
      <c r="AF7078">
        <v>-0.726825214056115</v>
      </c>
      <c r="AG7078">
        <v>-1.1098198991279999</v>
      </c>
      <c r="AH7078">
        <v>24.498360639514001</v>
      </c>
      <c r="AI7078">
        <v>92.592689422900804</v>
      </c>
      <c r="AJ7078">
        <v>91.699371063543893</v>
      </c>
      <c r="AK7078">
        <v>24.534254607058699</v>
      </c>
      <c r="AL7078">
        <v>90.778118334532394</v>
      </c>
      <c r="AM7078">
        <v>88.293782928714407</v>
      </c>
      <c r="AN7078">
        <v>1.00000004059109</v>
      </c>
    </row>
    <row r="7079" spans="1:40" x14ac:dyDescent="0.25">
      <c r="A7079" t="str">
        <f>"20190312160825319"</f>
        <v>20190312160825319</v>
      </c>
      <c r="B7079" t="str">
        <f>"1552378105312815"</f>
        <v>1552378105312815</v>
      </c>
      <c r="C7079" t="s">
        <v>40</v>
      </c>
      <c r="D7079">
        <v>5.9336200000000003</v>
      </c>
      <c r="E7079">
        <v>0.4782245</v>
      </c>
      <c r="F7079" t="s">
        <v>114</v>
      </c>
      <c r="G7079">
        <v>-237.48150000000001</v>
      </c>
      <c r="H7079" s="1">
        <v>-2.9864400000000002E-6</v>
      </c>
      <c r="I7079">
        <v>-63.576619999999998</v>
      </c>
      <c r="J7079">
        <v>-261.65499999999997</v>
      </c>
      <c r="K7079">
        <v>1.109823</v>
      </c>
      <c r="L7079">
        <v>-63.911409999999997</v>
      </c>
      <c r="M7079">
        <v>0.9998553</v>
      </c>
      <c r="N7079">
        <v>0</v>
      </c>
      <c r="O7079">
        <v>-1.53131E-2</v>
      </c>
      <c r="P7079">
        <v>0.99876430000000005</v>
      </c>
      <c r="Q7079">
        <v>-2.1038680000000001E-2</v>
      </c>
      <c r="R7079">
        <v>-4.5028279999999997E-2</v>
      </c>
      <c r="S7079">
        <v>3.0028079999999999</v>
      </c>
      <c r="T7079">
        <v>-0.13713590000000001</v>
      </c>
      <c r="U7079">
        <v>4.1198730000000003E-2</v>
      </c>
      <c r="V7079">
        <v>2.9757490000000001E-2</v>
      </c>
      <c r="W7079">
        <v>-1.3571440000000001E-2</v>
      </c>
      <c r="X7079">
        <v>0.99946500000000005</v>
      </c>
      <c r="Y7079">
        <v>-2.898309E-2</v>
      </c>
      <c r="Z7079">
        <v>1.360399E-3</v>
      </c>
      <c r="AA7079">
        <v>0.999579</v>
      </c>
      <c r="AB7079">
        <v>25</v>
      </c>
      <c r="AC7079">
        <v>24.173499999999901</v>
      </c>
      <c r="AD7079">
        <v>-1.10982598644</v>
      </c>
      <c r="AE7079">
        <v>0.33478999999999798</v>
      </c>
      <c r="AF7079">
        <v>-0.70344967382458201</v>
      </c>
      <c r="AG7079">
        <v>-1.10982598644</v>
      </c>
      <c r="AH7079">
        <v>24.114719219496202</v>
      </c>
      <c r="AI7079">
        <v>92.633931803517299</v>
      </c>
      <c r="AJ7079">
        <v>91.670899441637999</v>
      </c>
      <c r="AK7079">
        <v>24.150491469096799</v>
      </c>
      <c r="AL7079">
        <v>90.777610114106295</v>
      </c>
      <c r="AM7079">
        <v>88.294612560460905</v>
      </c>
      <c r="AN7079">
        <v>0.99999998920988598</v>
      </c>
    </row>
    <row r="7080" spans="1:40" x14ac:dyDescent="0.25">
      <c r="A7080" t="str">
        <f>"20190312160825329"</f>
        <v>20190312160825329</v>
      </c>
      <c r="B7080" t="str">
        <f>"1552378105322574"</f>
        <v>1552378105322574</v>
      </c>
      <c r="C7080" t="s">
        <v>40</v>
      </c>
      <c r="D7080">
        <v>5.9763799999999998</v>
      </c>
      <c r="E7080">
        <v>0.47828690000000001</v>
      </c>
      <c r="F7080" t="s">
        <v>114</v>
      </c>
      <c r="G7080">
        <v>-237.75810000000001</v>
      </c>
      <c r="H7080" s="1">
        <v>-3.0808860000000001E-6</v>
      </c>
      <c r="I7080">
        <v>-63.578360000000004</v>
      </c>
      <c r="J7080">
        <v>-261.53660000000002</v>
      </c>
      <c r="K7080">
        <v>1.1098250000000001</v>
      </c>
      <c r="L7080">
        <v>-63.912570000000002</v>
      </c>
      <c r="M7080">
        <v>0.99986489999999995</v>
      </c>
      <c r="N7080">
        <v>0</v>
      </c>
      <c r="O7080">
        <v>-1.4674599999999999E-2</v>
      </c>
      <c r="P7080">
        <v>0.99879519999999999</v>
      </c>
      <c r="Q7080">
        <v>-2.1055859999999999E-2</v>
      </c>
      <c r="R7080">
        <v>-4.4325639999999999E-2</v>
      </c>
      <c r="S7080">
        <v>3.0026250000000001</v>
      </c>
      <c r="T7080">
        <v>-0.13944889999999999</v>
      </c>
      <c r="U7080">
        <v>4.1839599999999998E-2</v>
      </c>
      <c r="V7080">
        <v>2.969277E-2</v>
      </c>
      <c r="W7080">
        <v>-1.3591539999999999E-2</v>
      </c>
      <c r="X7080">
        <v>0.99946670000000004</v>
      </c>
      <c r="Y7080">
        <v>-2.8558480000000001E-2</v>
      </c>
      <c r="Z7080">
        <v>1.3439120000000001E-3</v>
      </c>
      <c r="AA7080">
        <v>0.99959120000000001</v>
      </c>
      <c r="AB7080">
        <v>25</v>
      </c>
      <c r="AC7080">
        <v>23.778500000000001</v>
      </c>
      <c r="AD7080">
        <v>-1.1098280808859999</v>
      </c>
      <c r="AE7080">
        <v>0.33420999999999801</v>
      </c>
      <c r="AF7080">
        <v>-0.68163894940970005</v>
      </c>
      <c r="AG7080">
        <v>-1.1098280808859999</v>
      </c>
      <c r="AH7080">
        <v>23.7193742518017</v>
      </c>
      <c r="AI7080">
        <v>92.677808306125598</v>
      </c>
      <c r="AJ7080">
        <v>91.646092710267098</v>
      </c>
      <c r="AK7080">
        <v>23.755106081082999</v>
      </c>
      <c r="AL7080">
        <v>90.778761827923404</v>
      </c>
      <c r="AM7080">
        <v>88.298322342095503</v>
      </c>
      <c r="AN7080">
        <v>1.0000000374793601</v>
      </c>
    </row>
    <row r="7081" spans="1:40" x14ac:dyDescent="0.25">
      <c r="A7081" t="str">
        <f>"20190312160825341"</f>
        <v>20190312160825341</v>
      </c>
      <c r="B7081" t="str">
        <f>"1552378105332335"</f>
        <v>1552378105332335</v>
      </c>
      <c r="C7081" t="s">
        <v>40</v>
      </c>
      <c r="D7081">
        <v>5.8912809999999904</v>
      </c>
      <c r="E7081">
        <v>0.478215</v>
      </c>
      <c r="F7081" t="s">
        <v>114</v>
      </c>
      <c r="G7081">
        <v>-237.3296</v>
      </c>
      <c r="H7081" s="1">
        <v>-2.9323950000000002E-6</v>
      </c>
      <c r="I7081">
        <v>-63.563389999999998</v>
      </c>
      <c r="J7081">
        <v>-261.41230000000002</v>
      </c>
      <c r="K7081">
        <v>1.109826</v>
      </c>
      <c r="L7081">
        <v>-63.913699999999999</v>
      </c>
      <c r="M7081">
        <v>0.99987459999999995</v>
      </c>
      <c r="N7081">
        <v>0</v>
      </c>
      <c r="O7081">
        <v>-1.4005109999999999E-2</v>
      </c>
      <c r="P7081">
        <v>0.99882320000000002</v>
      </c>
      <c r="Q7081">
        <v>-2.1082170000000001E-2</v>
      </c>
      <c r="R7081">
        <v>-4.3681820000000003E-2</v>
      </c>
      <c r="S7081">
        <v>3.0026549999999999</v>
      </c>
      <c r="T7081">
        <v>-0.13766410000000001</v>
      </c>
      <c r="U7081">
        <v>4.330444E-2</v>
      </c>
      <c r="V7081">
        <v>2.971789E-2</v>
      </c>
      <c r="W7081">
        <v>-1.3620230000000001E-2</v>
      </c>
      <c r="X7081">
        <v>0.99946550000000001</v>
      </c>
      <c r="Y7081">
        <v>-2.837866E-2</v>
      </c>
      <c r="Z7081">
        <v>1.291915E-3</v>
      </c>
      <c r="AA7081">
        <v>0.99959640000000005</v>
      </c>
      <c r="AB7081">
        <v>25</v>
      </c>
      <c r="AC7081">
        <v>24.082699999999999</v>
      </c>
      <c r="AD7081">
        <v>-1.1098289323949999</v>
      </c>
      <c r="AE7081">
        <v>0.35030999999999302</v>
      </c>
      <c r="AF7081">
        <v>-0.68610890869264096</v>
      </c>
      <c r="AG7081">
        <v>-1.1098289323949999</v>
      </c>
      <c r="AH7081">
        <v>24.0244207877601</v>
      </c>
      <c r="AI7081">
        <v>92.643871324874596</v>
      </c>
      <c r="AJ7081">
        <v>91.635854735634496</v>
      </c>
      <c r="AK7081">
        <v>24.059826680197201</v>
      </c>
      <c r="AL7081">
        <v>90.780405844968101</v>
      </c>
      <c r="AM7081">
        <v>88.296881531446303</v>
      </c>
      <c r="AN7081">
        <v>0.99999997467077695</v>
      </c>
    </row>
    <row r="7082" spans="1:40" x14ac:dyDescent="0.25">
      <c r="A7082" t="str">
        <f>"20190312160825351"</f>
        <v>20190312160825351</v>
      </c>
      <c r="B7082" t="str">
        <f>"1552378105342095"</f>
        <v>1552378105342095</v>
      </c>
      <c r="C7082" t="s">
        <v>40</v>
      </c>
      <c r="D7082">
        <v>5.8575619999999997</v>
      </c>
      <c r="E7082">
        <v>0.478215</v>
      </c>
      <c r="F7082" t="s">
        <v>114</v>
      </c>
      <c r="G7082">
        <v>-237.5103</v>
      </c>
      <c r="H7082" s="1">
        <v>-2.9911270000000002E-6</v>
      </c>
      <c r="I7082">
        <v>-63.547780000000003</v>
      </c>
      <c r="J7082">
        <v>-261.28590000000003</v>
      </c>
      <c r="K7082">
        <v>1.1098239999999999</v>
      </c>
      <c r="L7082">
        <v>-63.914760000000001</v>
      </c>
      <c r="M7082">
        <v>0.99988390000000005</v>
      </c>
      <c r="N7082">
        <v>0</v>
      </c>
      <c r="O7082">
        <v>-1.332464E-2</v>
      </c>
      <c r="P7082">
        <v>0.99885400000000002</v>
      </c>
      <c r="Q7082">
        <v>-2.0946099999999999E-2</v>
      </c>
      <c r="R7082">
        <v>-4.3034559999999999E-2</v>
      </c>
      <c r="S7082">
        <v>3.0025940000000002</v>
      </c>
      <c r="T7082">
        <v>-0.13941819999999999</v>
      </c>
      <c r="U7082">
        <v>4.5959470000000002E-2</v>
      </c>
      <c r="V7082">
        <v>2.9750329999999998E-2</v>
      </c>
      <c r="W7082">
        <v>-1.348629E-2</v>
      </c>
      <c r="X7082">
        <v>0.99946639999999998</v>
      </c>
      <c r="Y7082">
        <v>-2.8581740000000001E-2</v>
      </c>
      <c r="Z7082">
        <v>1.2815140000000001E-3</v>
      </c>
      <c r="AA7082">
        <v>0.9995906</v>
      </c>
      <c r="AB7082">
        <v>25</v>
      </c>
      <c r="AC7082">
        <v>23.775600000000001</v>
      </c>
      <c r="AD7082">
        <v>-1.109826991127</v>
      </c>
      <c r="AE7082">
        <v>0.36697999999999797</v>
      </c>
      <c r="AF7082">
        <v>-0.68227110342899</v>
      </c>
      <c r="AG7082">
        <v>-1.109826991127</v>
      </c>
      <c r="AH7082">
        <v>23.7169334070581</v>
      </c>
      <c r="AI7082">
        <v>92.678078592669294</v>
      </c>
      <c r="AJ7082">
        <v>91.647787932881002</v>
      </c>
      <c r="AK7082">
        <v>23.7526870068133</v>
      </c>
      <c r="AL7082">
        <v>90.772730905434301</v>
      </c>
      <c r="AM7082">
        <v>88.295025041227007</v>
      </c>
      <c r="AN7082">
        <v>1.00000002344101</v>
      </c>
    </row>
    <row r="7083" spans="1:40" x14ac:dyDescent="0.25">
      <c r="A7083" t="str">
        <f>"20190312160825363"</f>
        <v>20190312160825363</v>
      </c>
      <c r="B7083" t="str">
        <f>"1552378105352830"</f>
        <v>1552378105352830</v>
      </c>
      <c r="C7083" t="s">
        <v>40</v>
      </c>
      <c r="D7083">
        <v>4.9550999999999998</v>
      </c>
      <c r="E7083">
        <v>0.41816740000000002</v>
      </c>
      <c r="F7083" t="s">
        <v>114</v>
      </c>
      <c r="G7083">
        <v>-237.3152</v>
      </c>
      <c r="H7083" s="1">
        <v>-2.9220480000000002E-6</v>
      </c>
      <c r="I7083">
        <v>-63.532690000000002</v>
      </c>
      <c r="J7083">
        <v>-261.16489999999999</v>
      </c>
      <c r="K7083">
        <v>1.1098239999999999</v>
      </c>
      <c r="L7083">
        <v>-63.915709999999997</v>
      </c>
      <c r="M7083">
        <v>0.99989240000000001</v>
      </c>
      <c r="N7083">
        <v>0</v>
      </c>
      <c r="O7083">
        <v>-1.2672549999999999E-2</v>
      </c>
      <c r="P7083">
        <v>0.99888750000000004</v>
      </c>
      <c r="Q7083">
        <v>-2.0896029999999999E-2</v>
      </c>
      <c r="R7083">
        <v>-4.2277990000000001E-2</v>
      </c>
      <c r="S7083">
        <v>3.0025940000000002</v>
      </c>
      <c r="T7083">
        <v>-0.13901769999999999</v>
      </c>
      <c r="U7083">
        <v>4.7851560000000001E-2</v>
      </c>
      <c r="V7083">
        <v>2.9645020000000001E-2</v>
      </c>
      <c r="W7083">
        <v>-1.3438169999999999E-2</v>
      </c>
      <c r="X7083">
        <v>0.99947019999999998</v>
      </c>
      <c r="Y7083">
        <v>-2.856057E-2</v>
      </c>
      <c r="Z7083">
        <v>1.247167E-3</v>
      </c>
      <c r="AA7083">
        <v>0.99959129999999996</v>
      </c>
      <c r="AB7083">
        <v>25</v>
      </c>
      <c r="AC7083">
        <v>23.849699999999899</v>
      </c>
      <c r="AD7083">
        <v>-1.1098269220479999</v>
      </c>
      <c r="AE7083">
        <v>0.38301999999999398</v>
      </c>
      <c r="AF7083">
        <v>-0.68375376725897496</v>
      </c>
      <c r="AG7083">
        <v>-1.1098269220479999</v>
      </c>
      <c r="AH7083">
        <v>23.791425348294201</v>
      </c>
      <c r="AI7083">
        <v>92.669707527392504</v>
      </c>
      <c r="AJ7083">
        <v>91.646199161162301</v>
      </c>
      <c r="AK7083">
        <v>23.827109667657901</v>
      </c>
      <c r="AL7083">
        <v>90.769973565229293</v>
      </c>
      <c r="AM7083">
        <v>88.301063211383607</v>
      </c>
      <c r="AN7083">
        <v>1.00000004615589</v>
      </c>
    </row>
    <row r="7084" spans="1:40" x14ac:dyDescent="0.25">
      <c r="A7084" t="str">
        <f>"20190312160825374"</f>
        <v>20190312160825374</v>
      </c>
      <c r="B7084" t="str">
        <f>"1552378105362591"</f>
        <v>1552378105362591</v>
      </c>
      <c r="C7084" t="s">
        <v>40</v>
      </c>
      <c r="D7084">
        <v>5.938612</v>
      </c>
      <c r="E7084">
        <v>0.40698499999999999</v>
      </c>
      <c r="F7084" t="s">
        <v>114</v>
      </c>
      <c r="G7084">
        <v>-235.6344</v>
      </c>
      <c r="H7084" s="1">
        <v>-1.5698349999999999E-6</v>
      </c>
      <c r="I7084">
        <v>-59.450429999999997</v>
      </c>
      <c r="J7084">
        <v>-261.04289999999997</v>
      </c>
      <c r="K7084">
        <v>1.1098250000000001</v>
      </c>
      <c r="L7084">
        <v>-63.916629999999998</v>
      </c>
      <c r="M7084">
        <v>0.99990060000000003</v>
      </c>
      <c r="N7084">
        <v>0</v>
      </c>
      <c r="O7084">
        <v>-1.201522E-2</v>
      </c>
      <c r="P7084">
        <v>0.99890970000000001</v>
      </c>
      <c r="Q7084">
        <v>-2.0803990000000001E-2</v>
      </c>
      <c r="R7084">
        <v>-4.1798170000000003E-2</v>
      </c>
      <c r="S7084">
        <v>3.0230100000000002</v>
      </c>
      <c r="T7084">
        <v>-0.1314119</v>
      </c>
      <c r="U7084">
        <v>0.52871699999999999</v>
      </c>
      <c r="V7084">
        <v>2.9821650000000002E-2</v>
      </c>
      <c r="W7084">
        <v>-1.334747E-2</v>
      </c>
      <c r="X7084">
        <v>0.99946610000000002</v>
      </c>
      <c r="Y7084">
        <v>-0.18392620000000001</v>
      </c>
      <c r="Z7084">
        <v>4.4840180000000002E-3</v>
      </c>
      <c r="AA7084">
        <v>0.98292979999999996</v>
      </c>
      <c r="AB7084">
        <v>25</v>
      </c>
      <c r="AC7084">
        <v>25.408499999999901</v>
      </c>
      <c r="AD7084">
        <v>-1.1098265698350001</v>
      </c>
      <c r="AE7084">
        <v>4.4661999999999997</v>
      </c>
      <c r="AF7084">
        <v>-4.7623608955231198</v>
      </c>
      <c r="AG7084">
        <v>-1.1098265698350001</v>
      </c>
      <c r="AH7084">
        <v>25.306167729278702</v>
      </c>
      <c r="AI7084">
        <v>92.467887567453801</v>
      </c>
      <c r="AJ7084">
        <v>100.65782702865501</v>
      </c>
      <c r="AK7084">
        <v>25.774287991265801</v>
      </c>
      <c r="AL7084">
        <v>90.764776418602906</v>
      </c>
      <c r="AM7084">
        <v>88.290939639919003</v>
      </c>
      <c r="AN7084">
        <v>0.99999998540666601</v>
      </c>
    </row>
    <row r="7085" spans="1:40" x14ac:dyDescent="0.25">
      <c r="A7085" t="str">
        <f>"20190312160825385"</f>
        <v>20190312160825385</v>
      </c>
      <c r="B7085" t="str">
        <f>"1552378105382110"</f>
        <v>1552378105382110</v>
      </c>
      <c r="C7085" t="s">
        <v>40</v>
      </c>
      <c r="D7085">
        <v>6.096616</v>
      </c>
      <c r="E7085">
        <v>0.39636759999999999</v>
      </c>
      <c r="F7085" t="s">
        <v>114</v>
      </c>
      <c r="G7085">
        <v>-231.7961</v>
      </c>
      <c r="H7085" s="1">
        <v>-2.4881659999999998E-7</v>
      </c>
      <c r="I7085">
        <v>-57.939039999999999</v>
      </c>
      <c r="J7085">
        <v>-260.91320000000002</v>
      </c>
      <c r="K7085">
        <v>1.1098220000000001</v>
      </c>
      <c r="L7085">
        <v>-63.9174199999999</v>
      </c>
      <c r="M7085">
        <v>0.99990869999999998</v>
      </c>
      <c r="N7085">
        <v>0</v>
      </c>
      <c r="O7085">
        <v>-1.1317229999999999E-2</v>
      </c>
      <c r="P7085">
        <v>0.99895029999999996</v>
      </c>
      <c r="Q7085">
        <v>-2.066861E-2</v>
      </c>
      <c r="R7085">
        <v>-4.08846E-2</v>
      </c>
      <c r="S7085">
        <v>3.0267940000000002</v>
      </c>
      <c r="T7085">
        <v>-0.114857399999999</v>
      </c>
      <c r="U7085">
        <v>0.6186218</v>
      </c>
      <c r="V7085">
        <v>2.9605079999999999E-2</v>
      </c>
      <c r="W7085">
        <v>-1.321373E-2</v>
      </c>
      <c r="X7085">
        <v>0.99947430000000004</v>
      </c>
      <c r="Y7085">
        <v>-0.21116409999999999</v>
      </c>
      <c r="Z7085">
        <v>4.3891770000000002E-3</v>
      </c>
      <c r="AA7085">
        <v>0.9774408</v>
      </c>
      <c r="AB7085">
        <v>25</v>
      </c>
      <c r="AC7085">
        <v>29.117100000000001</v>
      </c>
      <c r="AD7085">
        <v>-1.1098222488166001</v>
      </c>
      <c r="AE7085">
        <v>5.97837999999998</v>
      </c>
      <c r="AF7085">
        <v>-6.2987502578022401</v>
      </c>
      <c r="AG7085">
        <v>-1.1098222488166001</v>
      </c>
      <c r="AH7085">
        <v>29.007137324875298</v>
      </c>
      <c r="AI7085">
        <v>92.141233847799498</v>
      </c>
      <c r="AJ7085">
        <v>102.251289038839</v>
      </c>
      <c r="AK7085">
        <v>29.703871397821299</v>
      </c>
      <c r="AL7085">
        <v>90.7571130168362</v>
      </c>
      <c r="AM7085">
        <v>88.303357763879603</v>
      </c>
      <c r="AN7085">
        <v>0.99999996989140405</v>
      </c>
    </row>
    <row r="7086" spans="1:40" x14ac:dyDescent="0.25">
      <c r="A7086" t="str">
        <f>"20190312160825397"</f>
        <v>20190312160825397</v>
      </c>
      <c r="B7086" t="str">
        <f>"1552378105392845"</f>
        <v>1552378105392845</v>
      </c>
      <c r="C7086" t="s">
        <v>40</v>
      </c>
      <c r="D7086">
        <v>6.0812780000000002</v>
      </c>
      <c r="E7086">
        <v>0.39410099999999998</v>
      </c>
      <c r="F7086" t="s">
        <v>116</v>
      </c>
      <c r="G7086">
        <v>-227.62350000000001</v>
      </c>
      <c r="H7086" s="1">
        <v>-3.3210719999999999E-6</v>
      </c>
      <c r="I7086">
        <v>-56.165660000000003</v>
      </c>
      <c r="J7086">
        <v>-260.78160000000003</v>
      </c>
      <c r="K7086">
        <v>1.1098250000000001</v>
      </c>
      <c r="L7086">
        <v>-63.918210000000002</v>
      </c>
      <c r="M7086">
        <v>0.99991640000000004</v>
      </c>
      <c r="N7086">
        <v>0</v>
      </c>
      <c r="O7086">
        <v>-1.0609E-2</v>
      </c>
      <c r="P7086">
        <v>0.9989825</v>
      </c>
      <c r="Q7086">
        <v>-2.0741369999999999E-2</v>
      </c>
      <c r="R7086">
        <v>-4.005011E-2</v>
      </c>
      <c r="S7086">
        <v>3.0299070000000001</v>
      </c>
      <c r="T7086">
        <v>-0.1010122</v>
      </c>
      <c r="U7086">
        <v>0.70553589999999999</v>
      </c>
      <c r="V7086">
        <v>2.947837E-2</v>
      </c>
      <c r="W7086">
        <v>-1.3287810000000001E-2</v>
      </c>
      <c r="X7086">
        <v>0.99947710000000001</v>
      </c>
      <c r="Y7086">
        <v>-0.23697940000000001</v>
      </c>
      <c r="Z7086">
        <v>4.2461069999999998E-3</v>
      </c>
      <c r="AA7086">
        <v>0.97150539999999996</v>
      </c>
      <c r="AB7086">
        <v>25</v>
      </c>
      <c r="AC7086">
        <v>33.158099999999997</v>
      </c>
      <c r="AD7086">
        <v>-1.1098283210719999</v>
      </c>
      <c r="AE7086">
        <v>7.7525499999999896</v>
      </c>
      <c r="AF7086">
        <v>-8.0952985265759398</v>
      </c>
      <c r="AG7086">
        <v>-1.1098283210719999</v>
      </c>
      <c r="AH7086">
        <v>33.038889972591399</v>
      </c>
      <c r="AI7086">
        <v>91.868695603843705</v>
      </c>
      <c r="AJ7086">
        <v>103.767561182885</v>
      </c>
      <c r="AK7086">
        <v>34.034303691388097</v>
      </c>
      <c r="AL7086">
        <v>90.761357832879995</v>
      </c>
      <c r="AM7086">
        <v>88.310619920345204</v>
      </c>
      <c r="AN7086">
        <v>1.00000000680843</v>
      </c>
    </row>
    <row r="7087" spans="1:40" x14ac:dyDescent="0.25">
      <c r="A7087" t="str">
        <f>"20190312160825408"</f>
        <v>20190312160825408</v>
      </c>
      <c r="B7087" t="str">
        <f>"1552378105402606"</f>
        <v>1552378105402606</v>
      </c>
      <c r="C7087" t="s">
        <v>40</v>
      </c>
      <c r="D7087">
        <v>6.0340939999999996</v>
      </c>
      <c r="E7087">
        <v>0.39257979999999998</v>
      </c>
      <c r="F7087" t="s">
        <v>116</v>
      </c>
      <c r="G7087">
        <v>-225.70359999999999</v>
      </c>
      <c r="H7087" s="1">
        <v>-2.6412889999999999E-6</v>
      </c>
      <c r="I7087">
        <v>-55.515050000000002</v>
      </c>
      <c r="J7087">
        <v>-260.65249999999997</v>
      </c>
      <c r="K7087">
        <v>1.1098269999999999</v>
      </c>
      <c r="L7087">
        <v>-63.918849999999999</v>
      </c>
      <c r="M7087">
        <v>0.99992360000000002</v>
      </c>
      <c r="N7087">
        <v>0</v>
      </c>
      <c r="O7087">
        <v>-9.9142310000000008E-3</v>
      </c>
      <c r="P7087">
        <v>0.99901410000000002</v>
      </c>
      <c r="Q7087">
        <v>-2.0805569999999999E-2</v>
      </c>
      <c r="R7087">
        <v>-3.922113E-2</v>
      </c>
      <c r="S7087">
        <v>3.030151</v>
      </c>
      <c r="T7087">
        <v>-9.5870380000000005E-2</v>
      </c>
      <c r="U7087">
        <v>0.72589110000000001</v>
      </c>
      <c r="V7087">
        <v>2.934399E-2</v>
      </c>
      <c r="W7087">
        <v>-1.335282E-2</v>
      </c>
      <c r="X7087">
        <v>0.99948020000000004</v>
      </c>
      <c r="Y7087">
        <v>-0.24247550000000001</v>
      </c>
      <c r="Z7087">
        <v>4.0907230000000001E-3</v>
      </c>
      <c r="AA7087">
        <v>0.97014889999999998</v>
      </c>
      <c r="AB7087">
        <v>25</v>
      </c>
      <c r="AC7087">
        <v>34.948899999999902</v>
      </c>
      <c r="AD7087">
        <v>-1.1098296412890001</v>
      </c>
      <c r="AE7087">
        <v>8.4037999999999897</v>
      </c>
      <c r="AF7087">
        <v>-8.7415544659199895</v>
      </c>
      <c r="AG7087">
        <v>-1.1098296412890001</v>
      </c>
      <c r="AH7087">
        <v>34.830658415607303</v>
      </c>
      <c r="AI7087">
        <v>91.7701700543806</v>
      </c>
      <c r="AJ7087">
        <v>104.088700325831</v>
      </c>
      <c r="AK7087">
        <v>35.928001085198801</v>
      </c>
      <c r="AL7087">
        <v>90.765082952742603</v>
      </c>
      <c r="AM7087">
        <v>88.318321903436001</v>
      </c>
      <c r="AN7087">
        <v>1.0000000188715501</v>
      </c>
    </row>
    <row r="7088" spans="1:40" x14ac:dyDescent="0.25">
      <c r="A7088" t="str">
        <f>"20190312160825420"</f>
        <v>20190312160825420</v>
      </c>
      <c r="B7088" t="str">
        <f>"1552378105412366"</f>
        <v>1552378105412366</v>
      </c>
      <c r="C7088" t="s">
        <v>40</v>
      </c>
      <c r="D7088">
        <v>6.0943750000000003</v>
      </c>
      <c r="E7088">
        <v>0.39189000000000002</v>
      </c>
      <c r="F7088" t="s">
        <v>116</v>
      </c>
      <c r="G7088">
        <v>-224.87260000000001</v>
      </c>
      <c r="H7088" s="1">
        <v>-2.3933910000000002E-6</v>
      </c>
      <c r="I7088">
        <v>-55.175490000000003</v>
      </c>
      <c r="J7088">
        <v>-260.52390000000003</v>
      </c>
      <c r="K7088">
        <v>1.1098300000000001</v>
      </c>
      <c r="L7088">
        <v>-63.919400000000003</v>
      </c>
      <c r="M7088">
        <v>0.99993010000000004</v>
      </c>
      <c r="N7088">
        <v>0</v>
      </c>
      <c r="O7088">
        <v>-9.2214959999999992E-3</v>
      </c>
      <c r="P7088">
        <v>0.99904250000000006</v>
      </c>
      <c r="Q7088">
        <v>-2.075024E-2</v>
      </c>
      <c r="R7088">
        <v>-3.8514880000000001E-2</v>
      </c>
      <c r="S7088">
        <v>3.03009</v>
      </c>
      <c r="T7088">
        <v>-9.3988059999999998E-2</v>
      </c>
      <c r="U7088">
        <v>0.740448</v>
      </c>
      <c r="V7088">
        <v>2.9329709999999998E-2</v>
      </c>
      <c r="W7088">
        <v>-1.3297750000000001E-2</v>
      </c>
      <c r="X7088">
        <v>0.99948130000000002</v>
      </c>
      <c r="Y7088">
        <v>-0.2462124</v>
      </c>
      <c r="Z7088">
        <v>4.0442120000000002E-3</v>
      </c>
      <c r="AA7088">
        <v>0.9692075</v>
      </c>
      <c r="AB7088">
        <v>25</v>
      </c>
      <c r="AC7088">
        <v>35.651299999999999</v>
      </c>
      <c r="AD7088">
        <v>-1.1098323933909999</v>
      </c>
      <c r="AE7088">
        <v>8.7439099999999996</v>
      </c>
      <c r="AF7088">
        <v>-9.0640200687778005</v>
      </c>
      <c r="AG7088">
        <v>-1.1098323933909999</v>
      </c>
      <c r="AH7088">
        <v>35.536665737740996</v>
      </c>
      <c r="AI7088">
        <v>91.733343275599097</v>
      </c>
      <c r="AJ7088">
        <v>104.308837340812</v>
      </c>
      <c r="AK7088">
        <v>36.691181495075398</v>
      </c>
      <c r="AL7088">
        <v>90.761927434687905</v>
      </c>
      <c r="AM7088">
        <v>88.319141656862499</v>
      </c>
      <c r="AN7088">
        <v>0.999999965546717</v>
      </c>
    </row>
    <row r="7089" spans="1:40" x14ac:dyDescent="0.25">
      <c r="A7089" t="str">
        <f>"20190312160825430"</f>
        <v>20190312160825430</v>
      </c>
      <c r="B7089" t="str">
        <f>"1552378105422126"</f>
        <v>1552378105422126</v>
      </c>
      <c r="C7089" t="s">
        <v>40</v>
      </c>
      <c r="D7089">
        <v>5.964639</v>
      </c>
      <c r="E7089">
        <v>0.39134269999999999</v>
      </c>
      <c r="F7089" t="s">
        <v>116</v>
      </c>
      <c r="G7089">
        <v>-224.96299999999999</v>
      </c>
      <c r="H7089" s="1">
        <v>-2.4356520000000002E-6</v>
      </c>
      <c r="I7089">
        <v>-55.138339999999999</v>
      </c>
      <c r="J7089">
        <v>-260.40039999999999</v>
      </c>
      <c r="K7089">
        <v>1.109831</v>
      </c>
      <c r="L7089">
        <v>-63.919890000000002</v>
      </c>
      <c r="M7089">
        <v>0.99993609999999999</v>
      </c>
      <c r="N7089">
        <v>0</v>
      </c>
      <c r="O7089">
        <v>-8.5573719999999902E-3</v>
      </c>
      <c r="P7089">
        <v>0.99907990000000002</v>
      </c>
      <c r="Q7089">
        <v>-2.079895E-2</v>
      </c>
      <c r="R7089">
        <v>-3.750705E-2</v>
      </c>
      <c r="S7089">
        <v>3.0297550000000002</v>
      </c>
      <c r="T7089">
        <v>-9.4556689999999999E-2</v>
      </c>
      <c r="U7089">
        <v>0.74813839999999998</v>
      </c>
      <c r="V7089">
        <v>2.8985670000000002E-2</v>
      </c>
      <c r="W7089">
        <v>-1.334715E-2</v>
      </c>
      <c r="X7089">
        <v>0.99949069999999995</v>
      </c>
      <c r="Y7089">
        <v>-0.2479113</v>
      </c>
      <c r="Z7089">
        <v>4.0735809999999997E-3</v>
      </c>
      <c r="AA7089">
        <v>0.96877409999999997</v>
      </c>
      <c r="AB7089">
        <v>25</v>
      </c>
      <c r="AC7089">
        <v>35.437399999999997</v>
      </c>
      <c r="AD7089">
        <v>-1.1098334356520001</v>
      </c>
      <c r="AE7089">
        <v>8.7815499999999993</v>
      </c>
      <c r="AF7089">
        <v>-9.0761006850642101</v>
      </c>
      <c r="AG7089">
        <v>-1.1098334356520001</v>
      </c>
      <c r="AH7089">
        <v>35.3283071411512</v>
      </c>
      <c r="AI7089">
        <v>91.742788798600202</v>
      </c>
      <c r="AJ7089">
        <v>104.408114086759</v>
      </c>
      <c r="AK7089">
        <v>36.492418655932198</v>
      </c>
      <c r="AL7089">
        <v>90.764758080770406</v>
      </c>
      <c r="AM7089">
        <v>88.3388627701991</v>
      </c>
      <c r="AN7089">
        <v>0.99999998743247998</v>
      </c>
    </row>
    <row r="7090" spans="1:40" x14ac:dyDescent="0.25">
      <c r="A7090" t="str">
        <f>"20190312160825442"</f>
        <v>20190312160825442</v>
      </c>
      <c r="B7090" t="str">
        <f>"1552378105432862"</f>
        <v>1552378105432862</v>
      </c>
      <c r="C7090" t="s">
        <v>40</v>
      </c>
      <c r="D7090">
        <v>6.1020099999999999</v>
      </c>
      <c r="E7090">
        <v>0.39112619999999998</v>
      </c>
      <c r="F7090" t="s">
        <v>116</v>
      </c>
      <c r="G7090">
        <v>-225.32149999999999</v>
      </c>
      <c r="H7090" s="1">
        <v>-2.553793E-6</v>
      </c>
      <c r="I7090">
        <v>-55.169409999999999</v>
      </c>
      <c r="J7090">
        <v>-260.27010000000001</v>
      </c>
      <c r="K7090">
        <v>1.109834</v>
      </c>
      <c r="L7090">
        <v>-63.920259999999999</v>
      </c>
      <c r="M7090">
        <v>0.99994190000000005</v>
      </c>
      <c r="N7090">
        <v>0</v>
      </c>
      <c r="O7090">
        <v>-7.8566490000000003E-3</v>
      </c>
      <c r="P7090">
        <v>0.99911019999999995</v>
      </c>
      <c r="Q7090">
        <v>-2.0882950000000001E-2</v>
      </c>
      <c r="R7090">
        <v>-3.6642609999999999E-2</v>
      </c>
      <c r="S7090">
        <v>3.0291139999999999</v>
      </c>
      <c r="T7090">
        <v>-9.5835690000000001E-2</v>
      </c>
      <c r="U7090">
        <v>0.75561519999999904</v>
      </c>
      <c r="V7090">
        <v>2.8821490000000002E-2</v>
      </c>
      <c r="W7090">
        <v>-1.3431149999999999E-2</v>
      </c>
      <c r="X7090">
        <v>0.99949429999999995</v>
      </c>
      <c r="Y7090">
        <v>-0.24952869999999999</v>
      </c>
      <c r="Z7090">
        <v>4.1316460000000001E-3</v>
      </c>
      <c r="AA7090">
        <v>0.96835859999999996</v>
      </c>
      <c r="AB7090">
        <v>25</v>
      </c>
      <c r="AC7090">
        <v>34.948599999999999</v>
      </c>
      <c r="AD7090">
        <v>-1.1098365537929999</v>
      </c>
      <c r="AE7090">
        <v>8.7508499999999998</v>
      </c>
      <c r="AF7090">
        <v>-9.0166098302448994</v>
      </c>
      <c r="AG7090">
        <v>-1.1098365537929999</v>
      </c>
      <c r="AH7090">
        <v>34.845699773250701</v>
      </c>
      <c r="AI7090">
        <v>91.766125953610398</v>
      </c>
      <c r="AJ7090">
        <v>104.50755024002</v>
      </c>
      <c r="AK7090">
        <v>36.010467682252198</v>
      </c>
      <c r="AL7090">
        <v>90.7695713751054</v>
      </c>
      <c r="AM7090">
        <v>88.348272466486605</v>
      </c>
      <c r="AN7090">
        <v>0.99999996490431498</v>
      </c>
    </row>
    <row r="7091" spans="1:40" x14ac:dyDescent="0.25">
      <c r="A7091" t="str">
        <f>"20190312160825453"</f>
        <v>20190312160825453</v>
      </c>
      <c r="B7091" t="str">
        <f>"1552378105442622"</f>
        <v>1552378105442622</v>
      </c>
      <c r="C7091" t="s">
        <v>40</v>
      </c>
      <c r="D7091">
        <v>6.1226219999999998</v>
      </c>
      <c r="E7091">
        <v>0.39091599999999999</v>
      </c>
      <c r="F7091" t="s">
        <v>116</v>
      </c>
      <c r="G7091">
        <v>-226.0916</v>
      </c>
      <c r="H7091" s="1">
        <v>-2.8459979999999999E-6</v>
      </c>
      <c r="I7091">
        <v>-55.342039999999997</v>
      </c>
      <c r="J7091">
        <v>-260.14120000000003</v>
      </c>
      <c r="K7091">
        <v>1.1098410000000001</v>
      </c>
      <c r="L7091">
        <v>-63.920560000000002</v>
      </c>
      <c r="M7091">
        <v>0.99994700000000003</v>
      </c>
      <c r="N7091">
        <v>0</v>
      </c>
      <c r="O7091">
        <v>-7.1627230000000002E-3</v>
      </c>
      <c r="P7091">
        <v>0.9991466</v>
      </c>
      <c r="Q7091">
        <v>-2.0583520000000001E-2</v>
      </c>
      <c r="R7091">
        <v>-3.5811339999999997E-2</v>
      </c>
      <c r="S7091">
        <v>3.0285030000000002</v>
      </c>
      <c r="T7091">
        <v>-9.8340750000000005E-2</v>
      </c>
      <c r="U7091">
        <v>0.76010129999999998</v>
      </c>
      <c r="V7091">
        <v>2.8682969999999999E-2</v>
      </c>
      <c r="W7091">
        <v>-1.3131510000000001E-2</v>
      </c>
      <c r="X7091">
        <v>0.99950229999999995</v>
      </c>
      <c r="Y7091">
        <v>-0.25024590000000002</v>
      </c>
      <c r="Z7091">
        <v>4.2289390000000001E-3</v>
      </c>
      <c r="AA7091">
        <v>0.96817310000000001</v>
      </c>
      <c r="AB7091">
        <v>25</v>
      </c>
      <c r="AC7091">
        <v>34.049599999999998</v>
      </c>
      <c r="AD7091">
        <v>-1.109843845998</v>
      </c>
      <c r="AE7091">
        <v>8.5785199999999904</v>
      </c>
      <c r="AF7091">
        <v>-8.8133897293786294</v>
      </c>
      <c r="AG7091">
        <v>-1.109843845998</v>
      </c>
      <c r="AH7091">
        <v>33.953359289137303</v>
      </c>
      <c r="AI7091">
        <v>91.812164905159406</v>
      </c>
      <c r="AJ7091">
        <v>104.551320414538</v>
      </c>
      <c r="AK7091">
        <v>35.096127975912999</v>
      </c>
      <c r="AL7091">
        <v>90.752401727402003</v>
      </c>
      <c r="AM7091">
        <v>88.356219677451094</v>
      </c>
      <c r="AN7091">
        <v>0.99999999851409505</v>
      </c>
    </row>
    <row r="7092" spans="1:40" x14ac:dyDescent="0.25">
      <c r="A7092" t="str">
        <f>"20190312160825464"</f>
        <v>20190312160825464</v>
      </c>
      <c r="B7092" t="str">
        <f>"1552378105452382"</f>
        <v>1552378105452382</v>
      </c>
      <c r="C7092" t="s">
        <v>40</v>
      </c>
      <c r="D7092">
        <v>5.9939999999999998</v>
      </c>
      <c r="E7092">
        <v>0.39079029999999998</v>
      </c>
      <c r="F7092" t="s">
        <v>116</v>
      </c>
      <c r="G7092">
        <v>-227.01220000000001</v>
      </c>
      <c r="H7092" s="1">
        <v>-3.1934880000000001E-6</v>
      </c>
      <c r="I7092">
        <v>-55.55659</v>
      </c>
      <c r="J7092">
        <v>-260.02710000000002</v>
      </c>
      <c r="K7092">
        <v>1.109842</v>
      </c>
      <c r="L7092">
        <v>-63.920749999999998</v>
      </c>
      <c r="M7092">
        <v>0.99995120000000004</v>
      </c>
      <c r="N7092">
        <v>0</v>
      </c>
      <c r="O7092">
        <v>-6.5489069999999996E-3</v>
      </c>
      <c r="P7092">
        <v>0.9991797</v>
      </c>
      <c r="Q7092">
        <v>-2.03962E-2</v>
      </c>
      <c r="R7092">
        <v>-3.4988829999999999E-2</v>
      </c>
      <c r="S7092">
        <v>3.027863</v>
      </c>
      <c r="T7092">
        <v>-0.1014355</v>
      </c>
      <c r="U7092">
        <v>0.76443479999999997</v>
      </c>
      <c r="V7092">
        <v>2.847307E-2</v>
      </c>
      <c r="W7092">
        <v>-1.294385E-2</v>
      </c>
      <c r="X7092">
        <v>0.99951080000000003</v>
      </c>
      <c r="Y7092">
        <v>-0.25099470000000002</v>
      </c>
      <c r="Z7092">
        <v>4.3541980000000001E-3</v>
      </c>
      <c r="AA7092">
        <v>0.96797869999999997</v>
      </c>
      <c r="AB7092">
        <v>25</v>
      </c>
      <c r="AC7092">
        <v>33.014899999999997</v>
      </c>
      <c r="AD7092">
        <v>-1.109845193488</v>
      </c>
      <c r="AE7092">
        <v>8.3641599999999894</v>
      </c>
      <c r="AF7092">
        <v>-8.5710963068458295</v>
      </c>
      <c r="AG7092">
        <v>-1.109845193488</v>
      </c>
      <c r="AH7092">
        <v>32.924451527803498</v>
      </c>
      <c r="AI7092">
        <v>91.868416555022193</v>
      </c>
      <c r="AJ7092">
        <v>104.591719548784</v>
      </c>
      <c r="AK7092">
        <v>34.039902418506102</v>
      </c>
      <c r="AL7092">
        <v>90.741648649890706</v>
      </c>
      <c r="AM7092">
        <v>88.368256090634702</v>
      </c>
      <c r="AN7092">
        <v>1.00000004914234</v>
      </c>
    </row>
    <row r="7093" spans="1:40" x14ac:dyDescent="0.25">
      <c r="A7093" t="str">
        <f>"20190312160825475"</f>
        <v>20190312160825475</v>
      </c>
      <c r="B7093" t="str">
        <f>"1552378105472877"</f>
        <v>1552378105472877</v>
      </c>
      <c r="C7093" t="s">
        <v>40</v>
      </c>
      <c r="D7093">
        <v>6.1084480000000001</v>
      </c>
      <c r="E7093">
        <v>0.39048050000000001</v>
      </c>
      <c r="F7093" t="s">
        <v>116</v>
      </c>
      <c r="G7093">
        <v>-227.26900000000001</v>
      </c>
      <c r="H7093" s="1">
        <v>-3.2917749999999999E-6</v>
      </c>
      <c r="I7093">
        <v>-55.610349999999997</v>
      </c>
      <c r="J7093">
        <v>-259.89530000000002</v>
      </c>
      <c r="K7093">
        <v>1.1098440000000001</v>
      </c>
      <c r="L7093">
        <v>-63.920900000000003</v>
      </c>
      <c r="M7093">
        <v>0.9999557</v>
      </c>
      <c r="N7093">
        <v>0</v>
      </c>
      <c r="O7093">
        <v>-5.8400800000000001E-3</v>
      </c>
      <c r="P7093">
        <v>0.99922639999999996</v>
      </c>
      <c r="Q7093">
        <v>-2.0240060000000001E-2</v>
      </c>
      <c r="R7093">
        <v>-3.3722820000000001E-2</v>
      </c>
      <c r="S7093">
        <v>3.0272220000000001</v>
      </c>
      <c r="T7093">
        <v>-0.1025623</v>
      </c>
      <c r="U7093">
        <v>0.76797490000000002</v>
      </c>
      <c r="V7093">
        <v>2.7915180000000001E-2</v>
      </c>
      <c r="W7093">
        <v>-1.2787949999999999E-2</v>
      </c>
      <c r="X7093">
        <v>0.99952850000000004</v>
      </c>
      <c r="Y7093">
        <v>-0.25141809999999998</v>
      </c>
      <c r="Z7093">
        <v>4.3862349999999996E-3</v>
      </c>
      <c r="AA7093">
        <v>0.96786859999999997</v>
      </c>
      <c r="AB7093">
        <v>26</v>
      </c>
      <c r="AC7093">
        <v>32.626300000000001</v>
      </c>
      <c r="AD7093">
        <v>-1.109847291775</v>
      </c>
      <c r="AE7093">
        <v>8.3105499999999992</v>
      </c>
      <c r="AF7093">
        <v>-8.4917261359240204</v>
      </c>
      <c r="AG7093">
        <v>-1.109847291775</v>
      </c>
      <c r="AH7093">
        <v>32.541846411489203</v>
      </c>
      <c r="AI7093">
        <v>91.890085256771897</v>
      </c>
      <c r="AJ7093">
        <v>104.625075611047</v>
      </c>
      <c r="AK7093">
        <v>33.6498579736609</v>
      </c>
      <c r="AL7093">
        <v>90.732715530792504</v>
      </c>
      <c r="AM7093">
        <v>88.400239365799806</v>
      </c>
      <c r="AN7093">
        <v>1.0000000056259399</v>
      </c>
    </row>
    <row r="7094" spans="1:40" x14ac:dyDescent="0.25">
      <c r="A7094" t="str">
        <f>"20190312160825486"</f>
        <v>20190312160825486</v>
      </c>
      <c r="B7094" t="str">
        <f>"1552378105482638"</f>
        <v>1552378105482638</v>
      </c>
      <c r="C7094" t="s">
        <v>40</v>
      </c>
      <c r="D7094">
        <v>6.101375</v>
      </c>
      <c r="E7094">
        <v>0.39058700000000002</v>
      </c>
      <c r="F7094" t="s">
        <v>116</v>
      </c>
      <c r="G7094">
        <v>-227.61070000000001</v>
      </c>
      <c r="H7094" s="1">
        <v>-3.427285E-6</v>
      </c>
      <c r="I7094">
        <v>-55.660449999999997</v>
      </c>
      <c r="J7094">
        <v>-259.767</v>
      </c>
      <c r="K7094">
        <v>1.10985</v>
      </c>
      <c r="L7094">
        <v>-63.920929999999998</v>
      </c>
      <c r="M7094">
        <v>0.9999595</v>
      </c>
      <c r="N7094">
        <v>0</v>
      </c>
      <c r="O7094">
        <v>-5.1504469999999998E-3</v>
      </c>
      <c r="P7094">
        <v>0.99925509999999995</v>
      </c>
      <c r="Q7094">
        <v>-2.044172E-2</v>
      </c>
      <c r="R7094">
        <v>-3.2734520000000003E-2</v>
      </c>
      <c r="S7094">
        <v>3.0263059999999999</v>
      </c>
      <c r="T7094">
        <v>-0.1040354</v>
      </c>
      <c r="U7094">
        <v>0.77432250000000002</v>
      </c>
      <c r="V7094">
        <v>2.7616450000000001E-2</v>
      </c>
      <c r="W7094">
        <v>-1.298916E-2</v>
      </c>
      <c r="X7094">
        <v>0.99953420000000004</v>
      </c>
      <c r="Y7094">
        <v>-0.25272230000000001</v>
      </c>
      <c r="Z7094">
        <v>4.44809E-3</v>
      </c>
      <c r="AA7094">
        <v>0.96752859999999996</v>
      </c>
      <c r="AB7094">
        <v>26</v>
      </c>
      <c r="AC7094">
        <v>32.156299999999902</v>
      </c>
      <c r="AD7094">
        <v>-1.109853427285</v>
      </c>
      <c r="AE7094">
        <v>8.2604799999999994</v>
      </c>
      <c r="AF7094">
        <v>-8.4165887558439501</v>
      </c>
      <c r="AG7094">
        <v>-1.109853427285</v>
      </c>
      <c r="AH7094">
        <v>32.0774806888017</v>
      </c>
      <c r="AI7094">
        <v>91.916763840264494</v>
      </c>
      <c r="AJ7094">
        <v>104.70203750409</v>
      </c>
      <c r="AK7094">
        <v>33.181855105697501</v>
      </c>
      <c r="AL7094">
        <v>90.7442449750517</v>
      </c>
      <c r="AM7094">
        <v>88.4173592247042</v>
      </c>
      <c r="AN7094">
        <v>1.0000000017788699</v>
      </c>
    </row>
    <row r="7095" spans="1:40" x14ac:dyDescent="0.25">
      <c r="A7095" t="str">
        <f>"20190312160825498"</f>
        <v>20190312160825498</v>
      </c>
      <c r="B7095" t="str">
        <f>"1552378105492399"</f>
        <v>1552378105492399</v>
      </c>
      <c r="C7095" t="s">
        <v>40</v>
      </c>
      <c r="D7095">
        <v>6.1280710000000003</v>
      </c>
      <c r="E7095">
        <v>0.39070060000000001</v>
      </c>
      <c r="F7095" t="s">
        <v>116</v>
      </c>
      <c r="G7095">
        <v>-228.16560000000001</v>
      </c>
      <c r="H7095" s="1">
        <v>-3.6322059999999999E-6</v>
      </c>
      <c r="I7095">
        <v>-55.810189999999999</v>
      </c>
      <c r="J7095">
        <v>-259.63350000000003</v>
      </c>
      <c r="K7095">
        <v>1.1098520000000001</v>
      </c>
      <c r="L7095">
        <v>-63.920900000000003</v>
      </c>
      <c r="M7095">
        <v>0.99996289999999999</v>
      </c>
      <c r="N7095">
        <v>0</v>
      </c>
      <c r="O7095">
        <v>-4.4331570000000001E-3</v>
      </c>
      <c r="P7095">
        <v>0.99929330000000005</v>
      </c>
      <c r="Q7095">
        <v>-2.034207E-2</v>
      </c>
      <c r="R7095">
        <v>-3.1609970000000001E-2</v>
      </c>
      <c r="S7095">
        <v>3.0255130000000001</v>
      </c>
      <c r="T7095">
        <v>-0.10625709999999999</v>
      </c>
      <c r="U7095">
        <v>0.77651979999999998</v>
      </c>
      <c r="V7095">
        <v>2.7208610000000001E-2</v>
      </c>
      <c r="W7095">
        <v>-1.2889070000000001E-2</v>
      </c>
      <c r="X7095">
        <v>0.99954670000000001</v>
      </c>
      <c r="Y7095">
        <v>-0.25274269999999999</v>
      </c>
      <c r="Z7095">
        <v>4.519337E-3</v>
      </c>
      <c r="AA7095">
        <v>0.96752300000000002</v>
      </c>
      <c r="AB7095">
        <v>26</v>
      </c>
      <c r="AC7095">
        <v>31.4679</v>
      </c>
      <c r="AD7095">
        <v>-1.109855632206</v>
      </c>
      <c r="AE7095">
        <v>8.1107099999999903</v>
      </c>
      <c r="AF7095">
        <v>-8.2405241298492307</v>
      </c>
      <c r="AG7095">
        <v>-1.109855632206</v>
      </c>
      <c r="AH7095">
        <v>31.395013200238701</v>
      </c>
      <c r="AI7095">
        <v>91.958356443063494</v>
      </c>
      <c r="AJ7095">
        <v>104.7071653732</v>
      </c>
      <c r="AK7095">
        <v>32.477451736583802</v>
      </c>
      <c r="AL7095">
        <v>90.738509746151493</v>
      </c>
      <c r="AM7095">
        <v>88.440739544183103</v>
      </c>
      <c r="AN7095">
        <v>1.0000000210322399</v>
      </c>
    </row>
    <row r="7096" spans="1:40" x14ac:dyDescent="0.25">
      <c r="A7096" t="str">
        <f>"20190312160825508"</f>
        <v>20190312160825508</v>
      </c>
      <c r="B7096" t="str">
        <f>"1552378105502158"</f>
        <v>1552378105502158</v>
      </c>
      <c r="C7096" t="s">
        <v>40</v>
      </c>
      <c r="D7096">
        <v>6.1356679999999999</v>
      </c>
      <c r="E7096">
        <v>0.3907619</v>
      </c>
      <c r="F7096" t="s">
        <v>116</v>
      </c>
      <c r="G7096">
        <v>-228.6917</v>
      </c>
      <c r="H7096" s="1">
        <v>-3.826894E-6</v>
      </c>
      <c r="I7096">
        <v>-55.95044</v>
      </c>
      <c r="J7096">
        <v>-259.50439999999998</v>
      </c>
      <c r="K7096">
        <v>1.1098539999999999</v>
      </c>
      <c r="L7096">
        <v>-63.920720000000003</v>
      </c>
      <c r="M7096">
        <v>0.99996569999999996</v>
      </c>
      <c r="N7096">
        <v>0</v>
      </c>
      <c r="O7096">
        <v>-3.7393529999999999E-3</v>
      </c>
      <c r="P7096">
        <v>0.99932430000000005</v>
      </c>
      <c r="Q7096">
        <v>-2.0064909999999998E-2</v>
      </c>
      <c r="R7096">
        <v>-3.0796199999999999E-2</v>
      </c>
      <c r="S7096">
        <v>3.0245669999999998</v>
      </c>
      <c r="T7096">
        <v>-0.1084886</v>
      </c>
      <c r="U7096">
        <v>0.77911379999999997</v>
      </c>
      <c r="V7096">
        <v>2.7087719999999999E-2</v>
      </c>
      <c r="W7096">
        <v>-1.2610639999999999E-2</v>
      </c>
      <c r="X7096">
        <v>0.99955349999999998</v>
      </c>
      <c r="Y7096">
        <v>-0.25291649999999999</v>
      </c>
      <c r="Z7096">
        <v>4.5936830000000003E-3</v>
      </c>
      <c r="AA7096">
        <v>0.96747720000000004</v>
      </c>
      <c r="AB7096">
        <v>26</v>
      </c>
      <c r="AC7096">
        <v>30.8126999999999</v>
      </c>
      <c r="AD7096">
        <v>-1.109857826894</v>
      </c>
      <c r="AE7096">
        <v>7.97027999999999</v>
      </c>
      <c r="AF7096">
        <v>-8.0756267027264208</v>
      </c>
      <c r="AG7096">
        <v>-1.109857826894</v>
      </c>
      <c r="AH7096">
        <v>30.745292575523699</v>
      </c>
      <c r="AI7096">
        <v>91.999621798675904</v>
      </c>
      <c r="AJ7096">
        <v>104.716998736318</v>
      </c>
      <c r="AK7096">
        <v>31.807554866607699</v>
      </c>
      <c r="AL7096">
        <v>90.7225556109981</v>
      </c>
      <c r="AM7096">
        <v>88.4476746194334</v>
      </c>
      <c r="AN7096">
        <v>0.99999998608912799</v>
      </c>
    </row>
    <row r="7097" spans="1:40" x14ac:dyDescent="0.25">
      <c r="A7097" t="str">
        <f>"20190312160825520"</f>
        <v>20190312160825520</v>
      </c>
      <c r="B7097" t="str">
        <f>"1552378105512894"</f>
        <v>1552378105512894</v>
      </c>
      <c r="C7097" t="s">
        <v>40</v>
      </c>
      <c r="D7097">
        <v>6.1580750000000002</v>
      </c>
      <c r="E7097">
        <v>0.39069959999999998</v>
      </c>
      <c r="F7097" t="s">
        <v>116</v>
      </c>
      <c r="G7097">
        <v>-228.7604</v>
      </c>
      <c r="H7097" s="1">
        <v>-3.8501879999999997E-6</v>
      </c>
      <c r="I7097">
        <v>-55.978520000000003</v>
      </c>
      <c r="J7097">
        <v>-259.37540000000001</v>
      </c>
      <c r="K7097">
        <v>1.109856</v>
      </c>
      <c r="L7097">
        <v>-63.920499999999997</v>
      </c>
      <c r="M7097">
        <v>0.99996810000000003</v>
      </c>
      <c r="N7097">
        <v>0</v>
      </c>
      <c r="O7097">
        <v>-3.0462649999999998E-3</v>
      </c>
      <c r="P7097">
        <v>0.99935640000000003</v>
      </c>
      <c r="Q7097">
        <v>-1.991391E-2</v>
      </c>
      <c r="R7097">
        <v>-2.9840120000000001E-2</v>
      </c>
      <c r="S7097">
        <v>3.0239560000000001</v>
      </c>
      <c r="T7097">
        <v>-0.10916480000000001</v>
      </c>
      <c r="U7097">
        <v>0.78118900000000002</v>
      </c>
      <c r="V7097">
        <v>2.6823779999999998E-2</v>
      </c>
      <c r="W7097">
        <v>-1.2458520000000001E-2</v>
      </c>
      <c r="X7097">
        <v>0.99956259999999997</v>
      </c>
      <c r="Y7097">
        <v>-0.25291419999999998</v>
      </c>
      <c r="Z7097">
        <v>4.5981579999999998E-3</v>
      </c>
      <c r="AA7097">
        <v>0.96747780000000005</v>
      </c>
      <c r="AB7097">
        <v>26</v>
      </c>
      <c r="AC7097">
        <v>30.614999999999998</v>
      </c>
      <c r="AD7097">
        <v>-1.1098598501879999</v>
      </c>
      <c r="AE7097">
        <v>7.94198</v>
      </c>
      <c r="AF7097">
        <v>-8.02532507832451</v>
      </c>
      <c r="AG7097">
        <v>-1.1098598501879999</v>
      </c>
      <c r="AH7097">
        <v>30.5530422998817</v>
      </c>
      <c r="AI7097">
        <v>92.012194305571796</v>
      </c>
      <c r="AJ7097">
        <v>104.717341271118</v>
      </c>
      <c r="AK7097">
        <v>31.608954827361899</v>
      </c>
      <c r="AL7097">
        <v>90.713839038914898</v>
      </c>
      <c r="AM7097">
        <v>88.462807015619006</v>
      </c>
      <c r="AN7097">
        <v>1.0000000606064099</v>
      </c>
    </row>
    <row r="7098" spans="1:40" x14ac:dyDescent="0.25">
      <c r="A7098" t="str">
        <f>"20190312160825530"</f>
        <v>20190312160825530</v>
      </c>
      <c r="B7098" t="str">
        <f>"1552378105522654"</f>
        <v>1552378105522654</v>
      </c>
      <c r="C7098" t="s">
        <v>40</v>
      </c>
      <c r="D7098">
        <v>6.1527810000000001</v>
      </c>
      <c r="E7098">
        <v>0.39068720000000001</v>
      </c>
      <c r="F7098" t="s">
        <v>116</v>
      </c>
      <c r="G7098">
        <v>-228.41659999999999</v>
      </c>
      <c r="H7098" s="1">
        <v>-3.7230760000000002E-6</v>
      </c>
      <c r="I7098">
        <v>-55.886339999999997</v>
      </c>
      <c r="J7098">
        <v>-259.25110000000001</v>
      </c>
      <c r="K7098">
        <v>1.109861</v>
      </c>
      <c r="L7098">
        <v>-63.920229999999997</v>
      </c>
      <c r="M7098">
        <v>0.99996989999999997</v>
      </c>
      <c r="N7098">
        <v>0</v>
      </c>
      <c r="O7098">
        <v>-2.3789269999999999E-3</v>
      </c>
      <c r="P7098">
        <v>0.99938150000000003</v>
      </c>
      <c r="Q7098">
        <v>-1.9833429999999999E-2</v>
      </c>
      <c r="R7098">
        <v>-2.904443E-2</v>
      </c>
      <c r="S7098">
        <v>3.0231629999999998</v>
      </c>
      <c r="T7098">
        <v>-0.10837910000000001</v>
      </c>
      <c r="U7098">
        <v>0.78454590000000002</v>
      </c>
      <c r="V7098">
        <v>2.669506E-2</v>
      </c>
      <c r="W7098">
        <v>-1.237661E-2</v>
      </c>
      <c r="X7098">
        <v>0.99956699999999998</v>
      </c>
      <c r="Y7098">
        <v>-0.25333909999999998</v>
      </c>
      <c r="Z7098">
        <v>4.5495759999999996E-3</v>
      </c>
      <c r="AA7098">
        <v>0.96736679999999997</v>
      </c>
      <c r="AB7098">
        <v>26</v>
      </c>
      <c r="AC7098">
        <v>30.834499999999998</v>
      </c>
      <c r="AD7098">
        <v>-1.1098647230759999</v>
      </c>
      <c r="AE7098">
        <v>8.0338899999999995</v>
      </c>
      <c r="AF7098">
        <v>-8.09739832060691</v>
      </c>
      <c r="AG7098">
        <v>-1.1098647230759999</v>
      </c>
      <c r="AH7098">
        <v>30.777959580248801</v>
      </c>
      <c r="AI7098">
        <v>91.997303243112796</v>
      </c>
      <c r="AJ7098">
        <v>104.739968055159</v>
      </c>
      <c r="AK7098">
        <v>31.844661329483898</v>
      </c>
      <c r="AL7098">
        <v>90.709145625068402</v>
      </c>
      <c r="AM7098">
        <v>88.470186802336897</v>
      </c>
      <c r="AN7098">
        <v>0.99999999709624698</v>
      </c>
    </row>
    <row r="7099" spans="1:40" x14ac:dyDescent="0.25">
      <c r="A7099" t="str">
        <f>"20190312160825542"</f>
        <v>20190312160825542</v>
      </c>
      <c r="B7099" t="str">
        <f>"1552378105532414"</f>
        <v>1552378105532414</v>
      </c>
      <c r="C7099" t="s">
        <v>40</v>
      </c>
      <c r="D7099">
        <v>6.1614139999999997</v>
      </c>
      <c r="E7099">
        <v>0.39062819999999998</v>
      </c>
      <c r="F7099" t="s">
        <v>116</v>
      </c>
      <c r="G7099">
        <v>-228.37139999999999</v>
      </c>
      <c r="H7099" s="1">
        <v>-3.7053860000000002E-6</v>
      </c>
      <c r="I7099">
        <v>-55.878700000000002</v>
      </c>
      <c r="J7099">
        <v>-259.12740000000002</v>
      </c>
      <c r="K7099">
        <v>1.1098629999999901</v>
      </c>
      <c r="L7099">
        <v>-63.919829999999997</v>
      </c>
      <c r="M7099">
        <v>0.99997119999999995</v>
      </c>
      <c r="N7099">
        <v>0</v>
      </c>
      <c r="O7099">
        <v>-1.715046E-3</v>
      </c>
      <c r="P7099">
        <v>0.99941020000000003</v>
      </c>
      <c r="Q7099">
        <v>-1.943663E-2</v>
      </c>
      <c r="R7099">
        <v>-2.831185E-2</v>
      </c>
      <c r="S7099">
        <v>3.0225219999999999</v>
      </c>
      <c r="T7099">
        <v>-0.1086342</v>
      </c>
      <c r="U7099">
        <v>0.78710939999999996</v>
      </c>
      <c r="V7099">
        <v>2.662523E-2</v>
      </c>
      <c r="W7099">
        <v>-1.1978040000000001E-2</v>
      </c>
      <c r="X7099">
        <v>0.99957370000000001</v>
      </c>
      <c r="Y7099">
        <v>-0.25351479999999998</v>
      </c>
      <c r="Z7099">
        <v>4.5403750000000001E-3</v>
      </c>
      <c r="AA7099">
        <v>0.96732090000000004</v>
      </c>
      <c r="AB7099">
        <v>26</v>
      </c>
      <c r="AC7099">
        <v>30.756</v>
      </c>
      <c r="AD7099">
        <v>-1.1098667053860001</v>
      </c>
      <c r="AE7099">
        <v>8.0411300000000008</v>
      </c>
      <c r="AF7099">
        <v>-8.0840140101512201</v>
      </c>
      <c r="AG7099">
        <v>-1.1098667053860001</v>
      </c>
      <c r="AH7099">
        <v>30.704737646840801</v>
      </c>
      <c r="AI7099">
        <v>92.001971651148096</v>
      </c>
      <c r="AJ7099">
        <v>104.750228985025</v>
      </c>
      <c r="AK7099">
        <v>31.770489460840299</v>
      </c>
      <c r="AL7099">
        <v>90.686307565054307</v>
      </c>
      <c r="AM7099">
        <v>88.474196876849604</v>
      </c>
      <c r="AN7099">
        <v>0.999999979023242</v>
      </c>
    </row>
    <row r="7100" spans="1:40" x14ac:dyDescent="0.25">
      <c r="A7100" t="str">
        <f>"20190312160825552"</f>
        <v>20190312160825552</v>
      </c>
      <c r="B7100" t="str">
        <f>"1552378105542175"</f>
        <v>1552378105542175</v>
      </c>
      <c r="C7100" t="s">
        <v>40</v>
      </c>
      <c r="D7100">
        <v>6.1908349999999999</v>
      </c>
      <c r="E7100">
        <v>0.39071420000000001</v>
      </c>
      <c r="F7100" t="s">
        <v>116</v>
      </c>
      <c r="G7100">
        <v>-228.18729999999999</v>
      </c>
      <c r="H7100" s="1">
        <v>-3.636485E-6</v>
      </c>
      <c r="I7100">
        <v>-55.833060000000003</v>
      </c>
      <c r="J7100">
        <v>-258.99759999999998</v>
      </c>
      <c r="K7100">
        <v>1.109866</v>
      </c>
      <c r="L7100">
        <v>-63.919339999999998</v>
      </c>
      <c r="M7100">
        <v>0.99997199999999997</v>
      </c>
      <c r="N7100">
        <v>0</v>
      </c>
      <c r="O7100">
        <v>-1.0179060000000001E-3</v>
      </c>
      <c r="P7100">
        <v>0.99943910000000002</v>
      </c>
      <c r="Q7100">
        <v>-1.9138390000000002E-2</v>
      </c>
      <c r="R7100">
        <v>-2.747877E-2</v>
      </c>
      <c r="S7100">
        <v>3.0220030000000002</v>
      </c>
      <c r="T7100">
        <v>-0.1084036</v>
      </c>
      <c r="U7100">
        <v>0.789856</v>
      </c>
      <c r="V7100">
        <v>2.6488330000000001E-2</v>
      </c>
      <c r="W7100">
        <v>-1.1678050000000001E-2</v>
      </c>
      <c r="X7100">
        <v>0.99958089999999999</v>
      </c>
      <c r="Y7100">
        <v>-0.25370510000000002</v>
      </c>
      <c r="Z7100">
        <v>4.5097480000000001E-3</v>
      </c>
      <c r="AA7100">
        <v>0.96727110000000005</v>
      </c>
      <c r="AB7100">
        <v>26</v>
      </c>
      <c r="AC7100">
        <v>30.810299999999899</v>
      </c>
      <c r="AD7100">
        <v>-1.109869636485</v>
      </c>
      <c r="AE7100">
        <v>8.0862800000000092</v>
      </c>
      <c r="AF7100">
        <v>-8.10779571520135</v>
      </c>
      <c r="AG7100">
        <v>-1.109869636485</v>
      </c>
      <c r="AH7100">
        <v>30.764704074473801</v>
      </c>
      <c r="AI7100">
        <v>91.997950082650902</v>
      </c>
      <c r="AJ7100">
        <v>104.76415023177201</v>
      </c>
      <c r="AK7100">
        <v>31.834496678279301</v>
      </c>
      <c r="AL7100">
        <v>90.669118192547799</v>
      </c>
      <c r="AM7100">
        <v>88.482049407970393</v>
      </c>
      <c r="AN7100">
        <v>0.9999999920614</v>
      </c>
    </row>
    <row r="7101" spans="1:40" x14ac:dyDescent="0.25">
      <c r="A7101" t="str">
        <f>"20190312160825564"</f>
        <v>20190312160825564</v>
      </c>
      <c r="B7101" t="str">
        <f>"1552378105552911"</f>
        <v>1552378105552911</v>
      </c>
      <c r="C7101" t="s">
        <v>40</v>
      </c>
      <c r="D7101">
        <v>6.1552150000000001</v>
      </c>
      <c r="E7101">
        <v>0.39073049999999998</v>
      </c>
      <c r="F7101" t="s">
        <v>116</v>
      </c>
      <c r="G7101">
        <v>-228.46430000000001</v>
      </c>
      <c r="H7101" s="1">
        <v>-3.736634E-6</v>
      </c>
      <c r="I7101">
        <v>-55.91751</v>
      </c>
      <c r="J7101">
        <v>-258.87079999999997</v>
      </c>
      <c r="K7101">
        <v>1.109869</v>
      </c>
      <c r="L7101">
        <v>-63.918759999999999</v>
      </c>
      <c r="M7101">
        <v>0.99997259999999999</v>
      </c>
      <c r="N7101">
        <v>0</v>
      </c>
      <c r="O7101">
        <v>-3.3852939999999998E-4</v>
      </c>
      <c r="P7101">
        <v>0.99946579999999996</v>
      </c>
      <c r="Q7101">
        <v>-1.8804600000000001E-2</v>
      </c>
      <c r="R7101">
        <v>-2.67336E-2</v>
      </c>
      <c r="S7101">
        <v>3.0213779999999999</v>
      </c>
      <c r="T7101">
        <v>-0.10982550000000001</v>
      </c>
      <c r="U7101">
        <v>0.79180909999999904</v>
      </c>
      <c r="V7101">
        <v>2.642137E-2</v>
      </c>
      <c r="W7101">
        <v>-1.134218E-2</v>
      </c>
      <c r="X7101">
        <v>0.99958650000000004</v>
      </c>
      <c r="Y7101">
        <v>-0.25367840000000003</v>
      </c>
      <c r="Z7101">
        <v>4.5446569999999997E-3</v>
      </c>
      <c r="AA7101">
        <v>0.96727790000000002</v>
      </c>
      <c r="AB7101">
        <v>26</v>
      </c>
      <c r="AC7101">
        <v>30.406499999999902</v>
      </c>
      <c r="AD7101">
        <v>-1.109872736634</v>
      </c>
      <c r="AE7101">
        <v>8.00124999999999</v>
      </c>
      <c r="AF7101">
        <v>-8.0015729304224408</v>
      </c>
      <c r="AG7101">
        <v>-1.109872736634</v>
      </c>
      <c r="AH7101">
        <v>30.365951929110999</v>
      </c>
      <c r="AI7101">
        <v>92.024188862712194</v>
      </c>
      <c r="AJ7101">
        <v>104.762148091509</v>
      </c>
      <c r="AK7101">
        <v>31.422094510288101</v>
      </c>
      <c r="AL7101">
        <v>90.649873009736993</v>
      </c>
      <c r="AM7101">
        <v>88.485893334006704</v>
      </c>
      <c r="AN7101">
        <v>0.99999995241103801</v>
      </c>
    </row>
    <row r="7102" spans="1:40" x14ac:dyDescent="0.25">
      <c r="A7102" t="str">
        <f>"20190312160825575"</f>
        <v>20190312160825575</v>
      </c>
      <c r="B7102" t="str">
        <f>"1552378105572430"</f>
        <v>1552378105572430</v>
      </c>
      <c r="C7102" t="s">
        <v>40</v>
      </c>
      <c r="D7102">
        <v>6.162846</v>
      </c>
      <c r="E7102">
        <v>0.3907215</v>
      </c>
      <c r="F7102" t="s">
        <v>116</v>
      </c>
      <c r="G7102">
        <v>-228.50299999999999</v>
      </c>
      <c r="H7102" s="1">
        <v>-3.7489479999999999E-6</v>
      </c>
      <c r="I7102">
        <v>-55.936900000000001</v>
      </c>
      <c r="J7102">
        <v>-258.73770000000002</v>
      </c>
      <c r="K7102">
        <v>1.1098680000000001</v>
      </c>
      <c r="L7102">
        <v>-63.918120000000002</v>
      </c>
      <c r="M7102">
        <v>0.99997250000000004</v>
      </c>
      <c r="N7102">
        <v>0</v>
      </c>
      <c r="O7102">
        <v>3.758357E-4</v>
      </c>
      <c r="P7102">
        <v>0.9994866</v>
      </c>
      <c r="Q7102">
        <v>-1.902355E-2</v>
      </c>
      <c r="R7102">
        <v>-2.5780239999999999E-2</v>
      </c>
      <c r="S7102">
        <v>3.0207670000000002</v>
      </c>
      <c r="T7102">
        <v>-0.11040170000000001</v>
      </c>
      <c r="U7102">
        <v>0.79397580000000001</v>
      </c>
      <c r="V7102">
        <v>2.6182500000000001E-2</v>
      </c>
      <c r="W7102">
        <v>-1.155934E-2</v>
      </c>
      <c r="X7102">
        <v>0.99959030000000004</v>
      </c>
      <c r="Y7102">
        <v>-0.2536833</v>
      </c>
      <c r="Z7102">
        <v>4.5433929999999997E-3</v>
      </c>
      <c r="AA7102">
        <v>0.96727669999999999</v>
      </c>
      <c r="AB7102">
        <v>26</v>
      </c>
      <c r="AC7102">
        <v>30.2347</v>
      </c>
      <c r="AD7102">
        <v>-1.1098717489479999</v>
      </c>
      <c r="AE7102">
        <v>7.9812199999999898</v>
      </c>
      <c r="AF7102">
        <v>-7.9598285714417596</v>
      </c>
      <c r="AG7102">
        <v>-1.1098717489479999</v>
      </c>
      <c r="AH7102">
        <v>30.199654017364299</v>
      </c>
      <c r="AI7102">
        <v>92.035289687987103</v>
      </c>
      <c r="AJ7102">
        <v>104.76583084179001</v>
      </c>
      <c r="AK7102">
        <v>31.250756614110301</v>
      </c>
      <c r="AL7102">
        <v>90.662316176083195</v>
      </c>
      <c r="AM7102">
        <v>88.499581466511998</v>
      </c>
      <c r="AN7102">
        <v>0.99999995475078596</v>
      </c>
    </row>
    <row r="7103" spans="1:40" x14ac:dyDescent="0.25">
      <c r="A7103" t="str">
        <f>"20190312160825587"</f>
        <v>20190312160825587</v>
      </c>
      <c r="B7103" t="str">
        <f>"1552378105582194"</f>
        <v>1552378105582194</v>
      </c>
      <c r="C7103" t="s">
        <v>40</v>
      </c>
      <c r="D7103">
        <v>6.1599339999999998</v>
      </c>
      <c r="E7103">
        <v>0.39062210000000003</v>
      </c>
      <c r="F7103" t="s">
        <v>116</v>
      </c>
      <c r="G7103">
        <v>-229.1687</v>
      </c>
      <c r="H7103" s="1">
        <v>-3.9950720000000002E-6</v>
      </c>
      <c r="I7103">
        <v>-56.11544</v>
      </c>
      <c r="J7103">
        <v>-258.60640000000001</v>
      </c>
      <c r="K7103">
        <v>1.109869</v>
      </c>
      <c r="L7103">
        <v>-63.91733</v>
      </c>
      <c r="M7103">
        <v>0.99997199999999997</v>
      </c>
      <c r="N7103">
        <v>0</v>
      </c>
      <c r="O7103">
        <v>1.0799480000000001E-3</v>
      </c>
      <c r="P7103">
        <v>0.99950130000000004</v>
      </c>
      <c r="Q7103">
        <v>-1.9144959999999999E-2</v>
      </c>
      <c r="R7103">
        <v>-2.5114640000000001E-2</v>
      </c>
      <c r="S7103">
        <v>3.019943</v>
      </c>
      <c r="T7103">
        <v>-0.1133537</v>
      </c>
      <c r="U7103">
        <v>0.79690550000000004</v>
      </c>
      <c r="V7103">
        <v>2.6220960000000001E-2</v>
      </c>
      <c r="W7103">
        <v>-1.1678279999999999E-2</v>
      </c>
      <c r="X7103">
        <v>0.99958800000000003</v>
      </c>
      <c r="Y7103">
        <v>-0.2539362</v>
      </c>
      <c r="Z7103">
        <v>4.644151E-3</v>
      </c>
      <c r="AA7103">
        <v>0.96720980000000001</v>
      </c>
      <c r="AB7103">
        <v>26</v>
      </c>
      <c r="AC7103">
        <v>29.4377</v>
      </c>
      <c r="AD7103">
        <v>-1.1098729950720001</v>
      </c>
      <c r="AE7103">
        <v>7.8018900000000002</v>
      </c>
      <c r="AF7103">
        <v>-7.7597869941673903</v>
      </c>
      <c r="AG7103">
        <v>-1.1098729950720001</v>
      </c>
      <c r="AH7103">
        <v>29.407050822720699</v>
      </c>
      <c r="AI7103">
        <v>92.089945566783697</v>
      </c>
      <c r="AJ7103">
        <v>104.781984729611</v>
      </c>
      <c r="AK7103">
        <v>30.433875046568101</v>
      </c>
      <c r="AL7103">
        <v>90.669131335813503</v>
      </c>
      <c r="AM7103">
        <v>88.497375025437094</v>
      </c>
      <c r="AN7103">
        <v>1.00000004535553</v>
      </c>
    </row>
    <row r="7104" spans="1:40" x14ac:dyDescent="0.25">
      <c r="A7104" t="str">
        <f>"20190312160825598"</f>
        <v>20190312160825598</v>
      </c>
      <c r="B7104" t="str">
        <f>"1552378105592927"</f>
        <v>1552378105592927</v>
      </c>
      <c r="C7104" t="s">
        <v>40</v>
      </c>
      <c r="D7104">
        <v>6.1084079999999998</v>
      </c>
      <c r="E7104">
        <v>0.39049980000000001</v>
      </c>
      <c r="F7104" t="s">
        <v>116</v>
      </c>
      <c r="G7104">
        <v>-229.1292</v>
      </c>
      <c r="H7104" s="1">
        <v>-3.9794070000000004E-6</v>
      </c>
      <c r="I7104">
        <v>-56.109549999999999</v>
      </c>
      <c r="J7104">
        <v>-258.47219999999999</v>
      </c>
      <c r="K7104">
        <v>1.1098709999999901</v>
      </c>
      <c r="L7104">
        <v>-63.916469999999997</v>
      </c>
      <c r="M7104">
        <v>0.9999711</v>
      </c>
      <c r="N7104">
        <v>0</v>
      </c>
      <c r="O7104">
        <v>1.798605E-3</v>
      </c>
      <c r="P7104">
        <v>0.99952050000000003</v>
      </c>
      <c r="Q7104">
        <v>-1.9349060000000001E-2</v>
      </c>
      <c r="R7104">
        <v>-2.4178390000000001E-2</v>
      </c>
      <c r="S7104">
        <v>3.0194399999999999</v>
      </c>
      <c r="T7104">
        <v>-0.11368780000000001</v>
      </c>
      <c r="U7104">
        <v>0.79977419999999899</v>
      </c>
      <c r="V7104">
        <v>2.6003680000000001E-2</v>
      </c>
      <c r="W7104">
        <v>-1.188034E-2</v>
      </c>
      <c r="X7104">
        <v>0.99959120000000001</v>
      </c>
      <c r="Y7104">
        <v>-0.25413920000000001</v>
      </c>
      <c r="Z7104">
        <v>4.6351869999999998E-3</v>
      </c>
      <c r="AA7104">
        <v>0.96715649999999997</v>
      </c>
      <c r="AB7104">
        <v>26</v>
      </c>
      <c r="AC7104">
        <v>29.3429999999999</v>
      </c>
      <c r="AD7104">
        <v>-1.10987497940699</v>
      </c>
      <c r="AE7104">
        <v>7.8069199999999901</v>
      </c>
      <c r="AF7104">
        <v>-7.7437830623666599</v>
      </c>
      <c r="AG7104">
        <v>-1.10987497940699</v>
      </c>
      <c r="AH7104">
        <v>29.317823188821599</v>
      </c>
      <c r="AI7104">
        <v>92.0961713581884</v>
      </c>
      <c r="AJ7104">
        <v>104.795761884168</v>
      </c>
      <c r="AK7104">
        <v>30.3435784824058</v>
      </c>
      <c r="AL7104">
        <v>90.680709388362104</v>
      </c>
      <c r="AM7104">
        <v>88.509825658678196</v>
      </c>
      <c r="AN7104">
        <v>0.99999995048474699</v>
      </c>
    </row>
    <row r="7105" spans="1:40" x14ac:dyDescent="0.25">
      <c r="A7105" t="str">
        <f>"20190312160825609"</f>
        <v>20190312160825609</v>
      </c>
      <c r="B7105" t="str">
        <f>"1552378105602687"</f>
        <v>1552378105602687</v>
      </c>
      <c r="C7105" t="s">
        <v>40</v>
      </c>
      <c r="D7105">
        <v>5.7834839999999996</v>
      </c>
      <c r="E7105">
        <v>0.39049980000000001</v>
      </c>
      <c r="F7105" t="s">
        <v>116</v>
      </c>
      <c r="G7105">
        <v>-228.6249</v>
      </c>
      <c r="H7105" s="1">
        <v>-3.7934349999999999E-6</v>
      </c>
      <c r="I7105">
        <v>-55.972230000000003</v>
      </c>
      <c r="J7105">
        <v>-258.33999999999997</v>
      </c>
      <c r="K7105">
        <v>1.109872</v>
      </c>
      <c r="L7105">
        <v>-63.915500000000002</v>
      </c>
      <c r="M7105">
        <v>0.99996949999999996</v>
      </c>
      <c r="N7105">
        <v>0</v>
      </c>
      <c r="O7105">
        <v>2.5069490000000001E-3</v>
      </c>
      <c r="P7105">
        <v>0.99953599999999998</v>
      </c>
      <c r="Q7105">
        <v>-1.958673E-2</v>
      </c>
      <c r="R7105">
        <v>-2.332234E-2</v>
      </c>
      <c r="S7105">
        <v>3.018707</v>
      </c>
      <c r="T7105">
        <v>-0.1122508</v>
      </c>
      <c r="U7105">
        <v>0.80346680000000004</v>
      </c>
      <c r="V7105">
        <v>2.5856339999999998E-2</v>
      </c>
      <c r="W7105">
        <v>-1.211574E-2</v>
      </c>
      <c r="X7105">
        <v>0.99959219999999904</v>
      </c>
      <c r="Y7105">
        <v>-0.2546216</v>
      </c>
      <c r="Z7105">
        <v>4.5599439999999998E-3</v>
      </c>
      <c r="AA7105">
        <v>0.96702999999999995</v>
      </c>
      <c r="AB7105">
        <v>26</v>
      </c>
      <c r="AC7105">
        <v>29.7150999999999</v>
      </c>
      <c r="AD7105">
        <v>-1.1098757934350001</v>
      </c>
      <c r="AE7105">
        <v>7.9432699999999903</v>
      </c>
      <c r="AF7105">
        <v>-7.8585167663167796</v>
      </c>
      <c r="AG7105">
        <v>-1.1098757934350001</v>
      </c>
      <c r="AH7105">
        <v>29.696255239421401</v>
      </c>
      <c r="AI7105">
        <v>92.069229602829196</v>
      </c>
      <c r="AJ7105">
        <v>104.82241097579001</v>
      </c>
      <c r="AK7105">
        <v>30.738504929293399</v>
      </c>
      <c r="AL7105">
        <v>90.694197784078796</v>
      </c>
      <c r="AM7105">
        <v>88.518266873752097</v>
      </c>
      <c r="AN7105">
        <v>0.99999995388739005</v>
      </c>
    </row>
    <row r="7106" spans="1:40" x14ac:dyDescent="0.25">
      <c r="A7106" t="str">
        <f>"20190312160825622"</f>
        <v>20190312160825622</v>
      </c>
      <c r="B7106" t="str">
        <f>"1552378105612448"</f>
        <v>1552378105612448</v>
      </c>
      <c r="C7106" t="s">
        <v>40</v>
      </c>
      <c r="D7106">
        <v>5.754569</v>
      </c>
      <c r="E7106">
        <v>0.3768377</v>
      </c>
      <c r="F7106" t="s">
        <v>116</v>
      </c>
      <c r="G7106">
        <v>-228.6516</v>
      </c>
      <c r="H7106" s="1">
        <v>-3.8018249999999998E-6</v>
      </c>
      <c r="I7106">
        <v>-55.986150000000002</v>
      </c>
      <c r="J7106">
        <v>-258.2056</v>
      </c>
      <c r="K7106">
        <v>1.1098749999999999</v>
      </c>
      <c r="L7106">
        <v>-63.914430000000003</v>
      </c>
      <c r="M7106">
        <v>0.9999673</v>
      </c>
      <c r="N7106">
        <v>0</v>
      </c>
      <c r="O7106">
        <v>3.2269159999999998E-3</v>
      </c>
      <c r="P7106">
        <v>0.99955459999999996</v>
      </c>
      <c r="Q7106">
        <v>-1.9748140000000001E-2</v>
      </c>
      <c r="R7106">
        <v>-2.2378329999999998E-2</v>
      </c>
      <c r="S7106">
        <v>3.0179900000000002</v>
      </c>
      <c r="T7106">
        <v>-0.11282499999999999</v>
      </c>
      <c r="U7106">
        <v>0.80606080000000002</v>
      </c>
      <c r="V7106">
        <v>2.5632499999999999E-2</v>
      </c>
      <c r="W7106">
        <v>-1.227489E-2</v>
      </c>
      <c r="X7106">
        <v>0.99959609999999999</v>
      </c>
      <c r="Y7106">
        <v>-0.25475720000000002</v>
      </c>
      <c r="Z7106">
        <v>4.5598590000000003E-3</v>
      </c>
      <c r="AA7106">
        <v>0.96699429999999997</v>
      </c>
      <c r="AB7106">
        <v>26</v>
      </c>
      <c r="AC7106">
        <v>29.553999999999998</v>
      </c>
      <c r="AD7106">
        <v>-1.1098788018250001</v>
      </c>
      <c r="AE7106">
        <v>7.92828</v>
      </c>
      <c r="AF7106">
        <v>-7.8225761126873099</v>
      </c>
      <c r="AG7106">
        <v>-1.1098788018250001</v>
      </c>
      <c r="AH7106">
        <v>29.540565909281401</v>
      </c>
      <c r="AI7106">
        <v>92.080039724920894</v>
      </c>
      <c r="AJ7106">
        <v>104.831943876895</v>
      </c>
      <c r="AK7106">
        <v>30.578907145843601</v>
      </c>
      <c r="AL7106">
        <v>90.7033170320545</v>
      </c>
      <c r="AM7106">
        <v>88.531094416831806</v>
      </c>
      <c r="AN7106">
        <v>1.0000000305579799</v>
      </c>
    </row>
    <row r="7107" spans="1:40" x14ac:dyDescent="0.25">
      <c r="A7107" t="str">
        <f>"20190312160825632"</f>
        <v>20190312160825632</v>
      </c>
      <c r="B7107" t="str">
        <f>"1552378105622207"</f>
        <v>1552378105622207</v>
      </c>
      <c r="C7107" t="s">
        <v>40</v>
      </c>
      <c r="D7107">
        <v>5.5864339999999997</v>
      </c>
      <c r="E7107">
        <v>0.37656610000000001</v>
      </c>
      <c r="F7107" t="s">
        <v>112</v>
      </c>
      <c r="G7107">
        <v>-242.47989999999999</v>
      </c>
      <c r="H7107" s="1">
        <v>-2.7716350000000002E-7</v>
      </c>
      <c r="I7107">
        <v>-59.108890000000002</v>
      </c>
      <c r="J7107">
        <v>-258.06540000000001</v>
      </c>
      <c r="K7107">
        <v>1.1098779999999999</v>
      </c>
      <c r="L7107">
        <v>-63.913240000000002</v>
      </c>
      <c r="M7107">
        <v>0.99996470000000004</v>
      </c>
      <c r="N7107">
        <v>0</v>
      </c>
      <c r="O7107">
        <v>3.9768019999999998E-3</v>
      </c>
      <c r="P7107">
        <v>0.99956920000000005</v>
      </c>
      <c r="Q7107">
        <v>-1.9964719999999998E-2</v>
      </c>
      <c r="R7107">
        <v>-2.152834E-2</v>
      </c>
      <c r="S7107">
        <v>3.017776</v>
      </c>
      <c r="T7107">
        <v>-0.21298719999999999</v>
      </c>
      <c r="U7107">
        <v>0.92218020000000001</v>
      </c>
      <c r="V7107">
        <v>2.5532329999999999E-2</v>
      </c>
      <c r="W7107">
        <v>-1.248876E-2</v>
      </c>
      <c r="X7107">
        <v>0.99959600000000004</v>
      </c>
      <c r="Y7107">
        <v>-0.28779110000000002</v>
      </c>
      <c r="Z7107">
        <v>9.6435749999999997E-3</v>
      </c>
      <c r="AA7107">
        <v>0.95764459999999996</v>
      </c>
      <c r="AB7107">
        <v>26</v>
      </c>
      <c r="AC7107">
        <v>15.5855</v>
      </c>
      <c r="AD7107">
        <v>-1.1098782771635001</v>
      </c>
      <c r="AE7107">
        <v>4.8043500000000003</v>
      </c>
      <c r="AF7107">
        <v>-4.7204688031053701</v>
      </c>
      <c r="AG7107">
        <v>-1.1098782771635001</v>
      </c>
      <c r="AH7107">
        <v>15.5325501144491</v>
      </c>
      <c r="AI7107">
        <v>93.911082804201499</v>
      </c>
      <c r="AJ7107">
        <v>106.904455062911</v>
      </c>
      <c r="AK7107">
        <v>16.271901197127601</v>
      </c>
      <c r="AL7107">
        <v>90.715571829832101</v>
      </c>
      <c r="AM7107">
        <v>88.536832149548502</v>
      </c>
      <c r="AN7107">
        <v>1.0000000161087801</v>
      </c>
    </row>
    <row r="7108" spans="1:40" x14ac:dyDescent="0.25">
      <c r="A7108" t="str">
        <f>"20190312160825644"</f>
        <v>20190312160825644</v>
      </c>
      <c r="B7108" t="str">
        <f>"1552378105632942"</f>
        <v>1552378105632942</v>
      </c>
      <c r="C7108" t="s">
        <v>40</v>
      </c>
      <c r="D7108">
        <v>4.7419560000000001</v>
      </c>
      <c r="E7108">
        <v>0.37656610000000001</v>
      </c>
      <c r="F7108" t="s">
        <v>112</v>
      </c>
      <c r="G7108">
        <v>-246.16980000000001</v>
      </c>
      <c r="H7108" s="1">
        <v>-1.6585540000000001E-6</v>
      </c>
      <c r="I7108">
        <v>-60.245109999999997</v>
      </c>
      <c r="J7108">
        <v>-257.9402</v>
      </c>
      <c r="K7108">
        <v>1.1098790000000001</v>
      </c>
      <c r="L7108">
        <v>-63.912019999999998</v>
      </c>
      <c r="M7108">
        <v>0.99996169999999995</v>
      </c>
      <c r="N7108">
        <v>0</v>
      </c>
      <c r="O7108">
        <v>4.6451469999999996E-3</v>
      </c>
      <c r="P7108">
        <v>0.99959209999999998</v>
      </c>
      <c r="Q7108">
        <v>-1.9606620000000002E-2</v>
      </c>
      <c r="R7108">
        <v>-2.0766699999999999E-2</v>
      </c>
      <c r="S7108">
        <v>3.0156710000000002</v>
      </c>
      <c r="T7108">
        <v>-0.28136809999999901</v>
      </c>
      <c r="U7108">
        <v>0.92990110000000004</v>
      </c>
      <c r="V7108">
        <v>2.5438180000000001E-2</v>
      </c>
      <c r="W7108">
        <v>-1.2128079999999999E-2</v>
      </c>
      <c r="X7108">
        <v>0.99960289999999996</v>
      </c>
      <c r="Y7108">
        <v>-0.2890953</v>
      </c>
      <c r="Z7108">
        <v>1.2731070000000001E-2</v>
      </c>
      <c r="AA7108">
        <v>0.9572157</v>
      </c>
      <c r="AB7108">
        <v>26</v>
      </c>
      <c r="AC7108">
        <v>11.770399999999899</v>
      </c>
      <c r="AD7108">
        <v>-1.109880658554</v>
      </c>
      <c r="AE7108">
        <v>3.6669100000000001</v>
      </c>
      <c r="AF7108">
        <v>-3.5831529952851899</v>
      </c>
      <c r="AG7108">
        <v>-1.109880658554</v>
      </c>
      <c r="AH7108">
        <v>11.692541231063499</v>
      </c>
      <c r="AI7108">
        <v>95.185743302460494</v>
      </c>
      <c r="AJ7108">
        <v>107.037565662118</v>
      </c>
      <c r="AK7108">
        <v>12.279508984644901</v>
      </c>
      <c r="AL7108">
        <v>90.694904782158602</v>
      </c>
      <c r="AM7108">
        <v>88.542235280080106</v>
      </c>
      <c r="AN7108">
        <v>1.0000000745073001</v>
      </c>
    </row>
    <row r="7109" spans="1:40" x14ac:dyDescent="0.25">
      <c r="A7109" t="str">
        <f>"20190312160825700"</f>
        <v>20190312160825700</v>
      </c>
      <c r="B7109" t="str">
        <f>"1552378105692220"</f>
        <v>1552378105692220</v>
      </c>
      <c r="C7109" t="s">
        <v>40</v>
      </c>
      <c r="D7109">
        <v>5.7478129999999998</v>
      </c>
      <c r="E7109">
        <v>0.37553779999999998</v>
      </c>
      <c r="F7109" t="s">
        <v>112</v>
      </c>
      <c r="G7109">
        <v>-245.99080000000001</v>
      </c>
      <c r="H7109" s="1">
        <v>-1.58669999999999E-6</v>
      </c>
      <c r="I7109">
        <v>-60.217370000000003</v>
      </c>
      <c r="J7109">
        <v>-257.28890000000001</v>
      </c>
      <c r="K7109">
        <v>1.109882</v>
      </c>
      <c r="L7109">
        <v>-63.904629999999997</v>
      </c>
      <c r="M7109">
        <v>0.99993960000000004</v>
      </c>
      <c r="N7109">
        <v>0</v>
      </c>
      <c r="O7109">
        <v>8.0986449999999998E-3</v>
      </c>
      <c r="P7109">
        <v>0.99966960000000005</v>
      </c>
      <c r="Q7109">
        <v>-2.0293579999999999E-2</v>
      </c>
      <c r="R7109">
        <v>-1.5781380000000001E-2</v>
      </c>
      <c r="S7109">
        <v>3.0150600000000001</v>
      </c>
      <c r="T7109">
        <v>-0.2800454</v>
      </c>
      <c r="U7109">
        <v>0.93222050000000001</v>
      </c>
      <c r="V7109">
        <v>2.3907100000000001E-2</v>
      </c>
      <c r="W7109">
        <v>-1.280416E-2</v>
      </c>
      <c r="X7109">
        <v>0.99963219999999997</v>
      </c>
      <c r="Y7109">
        <v>-0.28655029999999998</v>
      </c>
      <c r="Z7109">
        <v>1.224457E-2</v>
      </c>
      <c r="AA7109">
        <v>0.95798700000000003</v>
      </c>
      <c r="AB7109">
        <v>26</v>
      </c>
      <c r="AC7109">
        <v>11.2981</v>
      </c>
      <c r="AD7109">
        <v>-1.1098835867000001</v>
      </c>
      <c r="AE7109">
        <v>3.6872600000000002</v>
      </c>
      <c r="AF7109">
        <v>-3.5645492503962002</v>
      </c>
      <c r="AG7109">
        <v>-1.1098835867000001</v>
      </c>
      <c r="AH7109">
        <v>11.2296533760572</v>
      </c>
      <c r="AI7109">
        <v>95.381559666766606</v>
      </c>
      <c r="AJ7109">
        <v>107.61063074764201</v>
      </c>
      <c r="AK7109">
        <v>11.8339751512719</v>
      </c>
      <c r="AL7109">
        <v>90.733644364094701</v>
      </c>
      <c r="AM7109">
        <v>88.629981244072496</v>
      </c>
      <c r="AN7109">
        <v>1.00000001561027</v>
      </c>
    </row>
    <row r="7110" spans="1:40" x14ac:dyDescent="0.25">
      <c r="A7110" t="str">
        <f>"20190312160825709"</f>
        <v>20190312160825709</v>
      </c>
      <c r="B7110" t="str">
        <f>"1552378105702956"</f>
        <v>1552378105702956</v>
      </c>
      <c r="C7110" t="s">
        <v>40</v>
      </c>
      <c r="D7110">
        <v>5.7219610000000003</v>
      </c>
      <c r="E7110">
        <v>0.37480920000000001</v>
      </c>
      <c r="F7110" t="s">
        <v>112</v>
      </c>
      <c r="G7110">
        <v>-244.66409999999999</v>
      </c>
      <c r="H7110" s="1">
        <v>-1.0735599999999999E-6</v>
      </c>
      <c r="I7110">
        <v>-59.901519999999998</v>
      </c>
      <c r="J7110">
        <v>-257.16269999999997</v>
      </c>
      <c r="K7110">
        <v>1.109882</v>
      </c>
      <c r="L7110">
        <v>-63.902920000000002</v>
      </c>
      <c r="M7110">
        <v>0.99993410000000005</v>
      </c>
      <c r="N7110">
        <v>0</v>
      </c>
      <c r="O7110">
        <v>8.7593970000000004E-3</v>
      </c>
      <c r="P7110">
        <v>0.99968000000000001</v>
      </c>
      <c r="Q7110">
        <v>-2.0419699999999999E-2</v>
      </c>
      <c r="R7110">
        <v>-1.4934660000000001E-2</v>
      </c>
      <c r="S7110">
        <v>3.0106809999999999</v>
      </c>
      <c r="T7110">
        <v>-0.264677</v>
      </c>
      <c r="U7110">
        <v>0.95462040000000004</v>
      </c>
      <c r="V7110">
        <v>2.3721409999999998E-2</v>
      </c>
      <c r="W7110">
        <v>-1.292799E-2</v>
      </c>
      <c r="X7110">
        <v>0.99963500000000005</v>
      </c>
      <c r="Y7110">
        <v>-0.29289120000000002</v>
      </c>
      <c r="Z7110">
        <v>1.179359E-2</v>
      </c>
      <c r="AA7110">
        <v>0.95607299999999995</v>
      </c>
      <c r="AB7110">
        <v>26</v>
      </c>
      <c r="AC7110">
        <v>12.4985999999999</v>
      </c>
      <c r="AD7110">
        <v>-1.10988307356</v>
      </c>
      <c r="AE7110">
        <v>4.0013999999999896</v>
      </c>
      <c r="AF7110">
        <v>-3.86412527880442</v>
      </c>
      <c r="AG7110">
        <v>-1.10988307356</v>
      </c>
      <c r="AH7110">
        <v>12.444164941594201</v>
      </c>
      <c r="AI7110">
        <v>94.868536843027101</v>
      </c>
      <c r="AJ7110">
        <v>107.250459226784</v>
      </c>
      <c r="AK7110">
        <v>13.0774823915337</v>
      </c>
      <c r="AL7110">
        <v>90.740739909812802</v>
      </c>
      <c r="AM7110">
        <v>88.640622181170301</v>
      </c>
      <c r="AN7110">
        <v>0.99999998572141402</v>
      </c>
    </row>
    <row r="7111" spans="1:40" x14ac:dyDescent="0.25">
      <c r="A7111" t="str">
        <f>"20190312160825721"</f>
        <v>20190312160825721</v>
      </c>
      <c r="B7111" t="str">
        <f>"1552378105712716"</f>
        <v>1552378105712716</v>
      </c>
      <c r="C7111" t="s">
        <v>40</v>
      </c>
      <c r="D7111">
        <v>6.0353940000000001</v>
      </c>
      <c r="E7111">
        <v>0.37603730000000002</v>
      </c>
      <c r="F7111" t="s">
        <v>112</v>
      </c>
      <c r="G7111">
        <v>-243.73159999999999</v>
      </c>
      <c r="H7111" s="1">
        <v>-7.2533890000000004E-7</v>
      </c>
      <c r="I7111">
        <v>-59.609270000000002</v>
      </c>
      <c r="J7111">
        <v>-257.02719999999999</v>
      </c>
      <c r="K7111">
        <v>1.1098779999999999</v>
      </c>
      <c r="L7111">
        <v>-63.901000000000003</v>
      </c>
      <c r="M7111">
        <v>0.99992749999999997</v>
      </c>
      <c r="N7111">
        <v>0</v>
      </c>
      <c r="O7111">
        <v>9.461143E-3</v>
      </c>
      <c r="P7111">
        <v>0.99969370000000002</v>
      </c>
      <c r="Q7111">
        <v>-2.034936E-2</v>
      </c>
      <c r="R7111">
        <v>-1.4094819999999999E-2</v>
      </c>
      <c r="S7111">
        <v>3.010284</v>
      </c>
      <c r="T7111">
        <v>-0.24875510000000001</v>
      </c>
      <c r="U7111">
        <v>0.96231080000000002</v>
      </c>
      <c r="V7111">
        <v>2.3582760000000001E-2</v>
      </c>
      <c r="W7111">
        <v>-1.2855129999999999E-2</v>
      </c>
      <c r="X7111">
        <v>0.99963919999999995</v>
      </c>
      <c r="Y7111">
        <v>-0.2945874</v>
      </c>
      <c r="Z7111">
        <v>1.109549E-2</v>
      </c>
      <c r="AA7111">
        <v>0.95556010000000002</v>
      </c>
      <c r="AB7111">
        <v>26</v>
      </c>
      <c r="AC7111">
        <v>13.2956</v>
      </c>
      <c r="AD7111">
        <v>-1.1098787253389</v>
      </c>
      <c r="AE7111">
        <v>4.2917300000000003</v>
      </c>
      <c r="AF7111">
        <v>-4.13961824832933</v>
      </c>
      <c r="AG7111">
        <v>-1.1098787253389</v>
      </c>
      <c r="AH7111">
        <v>13.2519791731987</v>
      </c>
      <c r="AI7111">
        <v>94.570637632253195</v>
      </c>
      <c r="AJ7111">
        <v>107.347622733425</v>
      </c>
      <c r="AK7111">
        <v>13.9277859702737</v>
      </c>
      <c r="AL7111">
        <v>90.736565007176495</v>
      </c>
      <c r="AM7111">
        <v>88.648570371143407</v>
      </c>
      <c r="AN7111">
        <v>0.99999996555658599</v>
      </c>
    </row>
    <row r="7112" spans="1:40" x14ac:dyDescent="0.25">
      <c r="A7112" t="str">
        <f>"20190312160825732"</f>
        <v>20190312160825732</v>
      </c>
      <c r="B7112" t="str">
        <f>"1552378105722476"</f>
        <v>1552378105722476</v>
      </c>
      <c r="C7112" t="s">
        <v>40</v>
      </c>
      <c r="D7112">
        <v>8.2491289999999999</v>
      </c>
      <c r="E7112">
        <v>0.37603730000000002</v>
      </c>
      <c r="F7112" t="s">
        <v>112</v>
      </c>
      <c r="G7112">
        <v>-243.1867</v>
      </c>
      <c r="H7112" s="1">
        <v>-5.091849E-7</v>
      </c>
      <c r="I7112">
        <v>-59.510100000000001</v>
      </c>
      <c r="J7112">
        <v>-256.89749999999998</v>
      </c>
      <c r="K7112">
        <v>1.109872</v>
      </c>
      <c r="L7112">
        <v>-63.89911</v>
      </c>
      <c r="M7112">
        <v>0.99992110000000001</v>
      </c>
      <c r="N7112">
        <v>0</v>
      </c>
      <c r="O7112">
        <v>1.0129630000000001E-2</v>
      </c>
      <c r="P7112">
        <v>0.9997047</v>
      </c>
      <c r="Q7112">
        <v>-2.0357340000000002E-2</v>
      </c>
      <c r="R7112">
        <v>-1.328703E-2</v>
      </c>
      <c r="S7112">
        <v>3.0094759999999998</v>
      </c>
      <c r="T7112">
        <v>-0.24133109999999999</v>
      </c>
      <c r="U7112">
        <v>0.95474239999999999</v>
      </c>
      <c r="V7112">
        <v>2.3443249999999999E-2</v>
      </c>
      <c r="W7112">
        <v>-1.2860750000000001E-2</v>
      </c>
      <c r="X7112">
        <v>0.99964240000000004</v>
      </c>
      <c r="Y7112">
        <v>-0.29190060000000001</v>
      </c>
      <c r="Z7112">
        <v>1.06149E-2</v>
      </c>
      <c r="AA7112">
        <v>0.95638970000000001</v>
      </c>
      <c r="AB7112">
        <v>27</v>
      </c>
      <c r="AC7112">
        <v>13.7107999999999</v>
      </c>
      <c r="AD7112">
        <v>-1.1098725091849</v>
      </c>
      <c r="AE7112">
        <v>4.3890099999999901</v>
      </c>
      <c r="AF7112">
        <v>-4.2247850221830303</v>
      </c>
      <c r="AG7112">
        <v>-1.1098725091849</v>
      </c>
      <c r="AH7112">
        <v>13.673287630564101</v>
      </c>
      <c r="AI7112">
        <v>94.434598042496603</v>
      </c>
      <c r="AJ7112">
        <v>107.170151206981</v>
      </c>
      <c r="AK7112">
        <v>14.3540732929174</v>
      </c>
      <c r="AL7112">
        <v>90.736887042859806</v>
      </c>
      <c r="AM7112">
        <v>88.656566467782596</v>
      </c>
      <c r="AN7112">
        <v>0.99999995636944095</v>
      </c>
    </row>
    <row r="7113" spans="1:40" x14ac:dyDescent="0.25">
      <c r="A7113" t="str">
        <f>"20190312160825743"</f>
        <v>20190312160825743</v>
      </c>
      <c r="B7113" t="str">
        <f>"1552378105732236"</f>
        <v>1552378105732236</v>
      </c>
      <c r="C7113" t="s">
        <v>40</v>
      </c>
      <c r="D7113">
        <v>6.3458180000000004</v>
      </c>
      <c r="E7113">
        <v>0.37750610000000001</v>
      </c>
      <c r="F7113" t="s">
        <v>112</v>
      </c>
      <c r="G7113">
        <v>-243.08</v>
      </c>
      <c r="H7113" s="1">
        <v>-4.6456550000000002E-7</v>
      </c>
      <c r="I7113">
        <v>-59.50365</v>
      </c>
      <c r="J7113">
        <v>-256.76859999999999</v>
      </c>
      <c r="K7113">
        <v>1.109866</v>
      </c>
      <c r="L7113">
        <v>-63.897129999999997</v>
      </c>
      <c r="M7113">
        <v>0.99991419999999998</v>
      </c>
      <c r="N7113">
        <v>0</v>
      </c>
      <c r="O7113">
        <v>1.07811E-2</v>
      </c>
      <c r="P7113">
        <v>0.9997239</v>
      </c>
      <c r="Q7113">
        <v>-2.0090460000000001E-2</v>
      </c>
      <c r="R7113">
        <v>-1.219547E-2</v>
      </c>
      <c r="S7113">
        <v>3.0086520000000001</v>
      </c>
      <c r="T7113">
        <v>-0.24166579999999999</v>
      </c>
      <c r="U7113">
        <v>0.95706179999999996</v>
      </c>
      <c r="V7113">
        <v>2.300226E-2</v>
      </c>
      <c r="W7113">
        <v>-1.2592239999999999E-2</v>
      </c>
      <c r="X7113">
        <v>0.99965610000000005</v>
      </c>
      <c r="Y7113">
        <v>-0.292022</v>
      </c>
      <c r="Z7113">
        <v>1.0584939999999999E-2</v>
      </c>
      <c r="AA7113">
        <v>0.95635309999999996</v>
      </c>
      <c r="AB7113">
        <v>27</v>
      </c>
      <c r="AC7113">
        <v>13.6885999999999</v>
      </c>
      <c r="AD7113">
        <v>-1.1098664645655001</v>
      </c>
      <c r="AE7113">
        <v>4.3934800000000003</v>
      </c>
      <c r="AF7113">
        <v>-4.2204885260726703</v>
      </c>
      <c r="AG7113">
        <v>-1.1098664645655001</v>
      </c>
      <c r="AH7113">
        <v>13.6537964187642</v>
      </c>
      <c r="AI7113">
        <v>94.440721449959497</v>
      </c>
      <c r="AJ7113">
        <v>107.17676230087901</v>
      </c>
      <c r="AK7113">
        <v>14.334241647640001</v>
      </c>
      <c r="AL7113">
        <v>90.721501279671898</v>
      </c>
      <c r="AM7113">
        <v>88.681846797030602</v>
      </c>
      <c r="AN7113">
        <v>0.99999999337026702</v>
      </c>
    </row>
    <row r="7114" spans="1:40" x14ac:dyDescent="0.25">
      <c r="A7114" t="str">
        <f>"20190312160825754"</f>
        <v>20190312160825754</v>
      </c>
      <c r="B7114" t="str">
        <f>"1552378105742664"</f>
        <v>1552378105742664</v>
      </c>
      <c r="C7114" t="s">
        <v>40</v>
      </c>
      <c r="D7114">
        <v>6.0804879999999999</v>
      </c>
      <c r="E7114">
        <v>0.37893510000000002</v>
      </c>
      <c r="F7114" t="s">
        <v>112</v>
      </c>
      <c r="G7114">
        <v>-241.66210000000001</v>
      </c>
      <c r="H7114" s="1">
        <v>7.8755419999999994E-8</v>
      </c>
      <c r="I7114">
        <v>-59.137410000000003</v>
      </c>
      <c r="J7114">
        <v>-256.63909999999998</v>
      </c>
      <c r="K7114">
        <v>1.109858</v>
      </c>
      <c r="L7114">
        <v>-63.89508</v>
      </c>
      <c r="M7114">
        <v>0.99990690000000004</v>
      </c>
      <c r="N7114">
        <v>0</v>
      </c>
      <c r="O7114">
        <v>1.143371E-2</v>
      </c>
      <c r="P7114">
        <v>0.99973780000000001</v>
      </c>
      <c r="Q7114">
        <v>-2.005411E-2</v>
      </c>
      <c r="R7114">
        <v>-1.1056450000000001E-2</v>
      </c>
      <c r="S7114">
        <v>3.0079500000000001</v>
      </c>
      <c r="T7114">
        <v>-0.22099179999999999</v>
      </c>
      <c r="U7114">
        <v>0.94772339999999999</v>
      </c>
      <c r="V7114">
        <v>2.2515540000000001E-2</v>
      </c>
      <c r="W7114">
        <v>-1.255437E-2</v>
      </c>
      <c r="X7114">
        <v>0.99966759999999999</v>
      </c>
      <c r="Y7114">
        <v>-0.28890480000000002</v>
      </c>
      <c r="Z7114">
        <v>9.5299779999999997E-3</v>
      </c>
      <c r="AA7114">
        <v>0.95731040000000001</v>
      </c>
      <c r="AB7114">
        <v>27</v>
      </c>
      <c r="AC7114">
        <v>14.976999999999901</v>
      </c>
      <c r="AD7114">
        <v>-1.10985792124458</v>
      </c>
      <c r="AE7114">
        <v>4.7576700000000098</v>
      </c>
      <c r="AF7114">
        <v>-4.5633492423720901</v>
      </c>
      <c r="AG7114">
        <v>-1.10985792124458</v>
      </c>
      <c r="AH7114">
        <v>14.9558195420947</v>
      </c>
      <c r="AI7114">
        <v>94.059964515902806</v>
      </c>
      <c r="AJ7114">
        <v>106.968099693463</v>
      </c>
      <c r="AK7114">
        <v>15.675856566354099</v>
      </c>
      <c r="AL7114">
        <v>90.719331358142895</v>
      </c>
      <c r="AM7114">
        <v>88.709743777975106</v>
      </c>
      <c r="AN7114">
        <v>0.99999993611867199</v>
      </c>
    </row>
    <row r="7115" spans="1:40" x14ac:dyDescent="0.25">
      <c r="A7115" t="str">
        <f>"20190312160825765"</f>
        <v>20190312160825765</v>
      </c>
      <c r="B7115" t="str">
        <f>"1552378105762169"</f>
        <v>1552378105762169</v>
      </c>
      <c r="C7115" t="s">
        <v>40</v>
      </c>
      <c r="D7115">
        <v>6.0497750000000003</v>
      </c>
      <c r="E7115">
        <v>0.38046210000000003</v>
      </c>
      <c r="F7115" t="s">
        <v>112</v>
      </c>
      <c r="G7115">
        <v>-241.69810000000001</v>
      </c>
      <c r="H7115" s="1">
        <v>7.8962559999999996E-8</v>
      </c>
      <c r="I7115">
        <v>-59.225589999999997</v>
      </c>
      <c r="J7115">
        <v>-256.50029999999998</v>
      </c>
      <c r="K7115">
        <v>1.109847</v>
      </c>
      <c r="L7115">
        <v>-63.892760000000003</v>
      </c>
      <c r="M7115">
        <v>0.99989899999999998</v>
      </c>
      <c r="N7115">
        <v>0</v>
      </c>
      <c r="O7115">
        <v>1.211167E-2</v>
      </c>
      <c r="P7115">
        <v>0.99974850000000004</v>
      </c>
      <c r="Q7115">
        <v>-2.0137800000000001E-2</v>
      </c>
      <c r="R7115">
        <v>-9.8951649999999992E-3</v>
      </c>
      <c r="S7115">
        <v>3.0066989999999998</v>
      </c>
      <c r="T7115">
        <v>-0.22334560000000001</v>
      </c>
      <c r="U7115">
        <v>0.93966669999999997</v>
      </c>
      <c r="V7115">
        <v>2.203194E-2</v>
      </c>
      <c r="W7115">
        <v>-1.2636659999999999E-2</v>
      </c>
      <c r="X7115">
        <v>0.99967740000000005</v>
      </c>
      <c r="Y7115">
        <v>-0.28602680000000003</v>
      </c>
      <c r="Z7115">
        <v>9.4854429999999997E-3</v>
      </c>
      <c r="AA7115">
        <v>0.95817459999999999</v>
      </c>
      <c r="AB7115">
        <v>27</v>
      </c>
      <c r="AC7115">
        <v>14.8021999999999</v>
      </c>
      <c r="AD7115">
        <v>-1.10984692103744</v>
      </c>
      <c r="AE7115">
        <v>4.6671699999999898</v>
      </c>
      <c r="AF7115">
        <v>-4.4647133624502597</v>
      </c>
      <c r="AG7115">
        <v>-1.10984692103744</v>
      </c>
      <c r="AH7115">
        <v>14.7820560947009</v>
      </c>
      <c r="AI7115">
        <v>94.110999265371603</v>
      </c>
      <c r="AJ7115">
        <v>106.806207331287</v>
      </c>
      <c r="AK7115">
        <v>15.4814278406051</v>
      </c>
      <c r="AL7115">
        <v>90.724046557513901</v>
      </c>
      <c r="AM7115">
        <v>88.737459849204399</v>
      </c>
      <c r="AN7115">
        <v>0.99999999781343896</v>
      </c>
    </row>
    <row r="7116" spans="1:40" x14ac:dyDescent="0.25">
      <c r="A7116" t="str">
        <f>"20190312160825776"</f>
        <v>20190312160825776</v>
      </c>
      <c r="B7116" t="str">
        <f>"1552378105772904"</f>
        <v>1552378105772904</v>
      </c>
      <c r="C7116" t="s">
        <v>40</v>
      </c>
      <c r="D7116">
        <v>6.0643789999999997</v>
      </c>
      <c r="E7116">
        <v>0.3812198</v>
      </c>
      <c r="F7116" t="s">
        <v>112</v>
      </c>
      <c r="G7116">
        <v>-241.10980000000001</v>
      </c>
      <c r="H7116" s="1">
        <v>3.0078950000000002E-7</v>
      </c>
      <c r="I7116">
        <v>-59.126930000000002</v>
      </c>
      <c r="J7116">
        <v>-256.36799999999999</v>
      </c>
      <c r="K7116">
        <v>1.109829</v>
      </c>
      <c r="L7116">
        <v>-63.890529999999998</v>
      </c>
      <c r="M7116">
        <v>0.99989099999999997</v>
      </c>
      <c r="N7116">
        <v>0</v>
      </c>
      <c r="O7116">
        <v>1.2753219999999999E-2</v>
      </c>
      <c r="P7116">
        <v>0.99975630000000004</v>
      </c>
      <c r="Q7116">
        <v>-2.0202669999999999E-2</v>
      </c>
      <c r="R7116">
        <v>-8.9102560000000001E-3</v>
      </c>
      <c r="S7116">
        <v>3.0055689999999999</v>
      </c>
      <c r="T7116">
        <v>-0.21673890000000001</v>
      </c>
      <c r="U7116">
        <v>0.93069460000000004</v>
      </c>
      <c r="V7116">
        <v>2.1688289999999999E-2</v>
      </c>
      <c r="W7116">
        <v>-1.269998E-2</v>
      </c>
      <c r="X7116">
        <v>0.99968409999999996</v>
      </c>
      <c r="Y7116">
        <v>-0.28295300000000001</v>
      </c>
      <c r="Z7116">
        <v>9.0595450000000004E-3</v>
      </c>
      <c r="AA7116">
        <v>0.95909100000000003</v>
      </c>
      <c r="AB7116">
        <v>27</v>
      </c>
      <c r="AC7116">
        <v>15.258199999999899</v>
      </c>
      <c r="AD7116">
        <v>-1.1098286992105</v>
      </c>
      <c r="AE7116">
        <v>4.7636000000000003</v>
      </c>
      <c r="AF7116">
        <v>-4.5466975852846403</v>
      </c>
      <c r="AG7116">
        <v>-1.1098286992105</v>
      </c>
      <c r="AH7116">
        <v>15.244223606208999</v>
      </c>
      <c r="AI7116">
        <v>93.990843661668706</v>
      </c>
      <c r="AJ7116">
        <v>106.6075837467</v>
      </c>
      <c r="AK7116">
        <v>15.9464896459918</v>
      </c>
      <c r="AL7116">
        <v>90.727674826320893</v>
      </c>
      <c r="AM7116">
        <v>88.757154811104002</v>
      </c>
      <c r="AN7116">
        <v>0.99999998560396697</v>
      </c>
    </row>
    <row r="7117" spans="1:40" x14ac:dyDescent="0.25">
      <c r="A7117" t="str">
        <f>"20190312160825787"</f>
        <v>20190312160825787</v>
      </c>
      <c r="B7117" t="str">
        <f>"1552378105782664"</f>
        <v>1552378105782664</v>
      </c>
      <c r="C7117" t="s">
        <v>40</v>
      </c>
      <c r="D7117">
        <v>6.0652239999999997</v>
      </c>
      <c r="E7117">
        <v>0.3816831</v>
      </c>
      <c r="F7117" t="s">
        <v>112</v>
      </c>
      <c r="G7117">
        <v>-240.86760000000001</v>
      </c>
      <c r="H7117" s="1">
        <v>3.7762960000000001E-7</v>
      </c>
      <c r="I7117">
        <v>-59.10595</v>
      </c>
      <c r="J7117">
        <v>-256.2287</v>
      </c>
      <c r="K7117">
        <v>1.1098129999999999</v>
      </c>
      <c r="L7117">
        <v>-63.888060000000003</v>
      </c>
      <c r="M7117">
        <v>0.99988220000000005</v>
      </c>
      <c r="N7117">
        <v>0</v>
      </c>
      <c r="O7117">
        <v>1.341198E-2</v>
      </c>
      <c r="P7117">
        <v>0.99975840000000005</v>
      </c>
      <c r="Q7117">
        <v>-2.0436320000000001E-2</v>
      </c>
      <c r="R7117">
        <v>-8.0822910000000001E-3</v>
      </c>
      <c r="S7117">
        <v>3.0046840000000001</v>
      </c>
      <c r="T7117">
        <v>-0.21513570000000001</v>
      </c>
      <c r="U7117">
        <v>0.9274597</v>
      </c>
      <c r="V7117">
        <v>2.151906E-2</v>
      </c>
      <c r="W7117">
        <v>-1.293182E-2</v>
      </c>
      <c r="X7117">
        <v>0.99968480000000004</v>
      </c>
      <c r="Y7117">
        <v>-0.281472099999999</v>
      </c>
      <c r="Z7117">
        <v>8.8988650000000006E-3</v>
      </c>
      <c r="AA7117">
        <v>0.95952809999999999</v>
      </c>
      <c r="AB7117">
        <v>27</v>
      </c>
      <c r="AC7117">
        <v>15.361099999999899</v>
      </c>
      <c r="AD7117">
        <v>-1.1098126223703999</v>
      </c>
      <c r="AE7117">
        <v>4.7821099999999896</v>
      </c>
      <c r="AF7117">
        <v>-4.5539806640602398</v>
      </c>
      <c r="AG7117">
        <v>-1.1098126223703999</v>
      </c>
      <c r="AH7117">
        <v>15.3508088946712</v>
      </c>
      <c r="AI7117">
        <v>93.964889305128096</v>
      </c>
      <c r="AJ7117">
        <v>106.523549626791</v>
      </c>
      <c r="AK7117">
        <v>16.0504753096636</v>
      </c>
      <c r="AL7117">
        <v>90.740959359949002</v>
      </c>
      <c r="AM7117">
        <v>88.766850375486001</v>
      </c>
      <c r="AN7117">
        <v>1.00000000063141</v>
      </c>
    </row>
    <row r="7118" spans="1:40" x14ac:dyDescent="0.25">
      <c r="A7118" t="str">
        <f>"20190312160825800"</f>
        <v>20190312160825800</v>
      </c>
      <c r="B7118" t="str">
        <f>"1552378105792424"</f>
        <v>1552378105792424</v>
      </c>
      <c r="C7118" t="s">
        <v>40</v>
      </c>
      <c r="D7118">
        <v>5.7992739999999996</v>
      </c>
      <c r="E7118">
        <v>0.38199620000000001</v>
      </c>
      <c r="F7118" t="s">
        <v>112</v>
      </c>
      <c r="G7118">
        <v>-240.6482</v>
      </c>
      <c r="H7118" s="1">
        <v>4.4647629999999998E-7</v>
      </c>
      <c r="I7118">
        <v>-59.084110000000003</v>
      </c>
      <c r="J7118">
        <v>-256.09379999999999</v>
      </c>
      <c r="K7118">
        <v>1.1097969999999999</v>
      </c>
      <c r="L7118">
        <v>-63.885620000000003</v>
      </c>
      <c r="M7118">
        <v>0.99987360000000003</v>
      </c>
      <c r="N7118">
        <v>0</v>
      </c>
      <c r="O7118">
        <v>1.403741E-2</v>
      </c>
      <c r="P7118">
        <v>0.99976500000000001</v>
      </c>
      <c r="Q7118">
        <v>-2.0506839999999998E-2</v>
      </c>
      <c r="R7118">
        <v>-7.0319220000000003E-3</v>
      </c>
      <c r="S7118">
        <v>3.003876</v>
      </c>
      <c r="T7118">
        <v>-0.21396899999999999</v>
      </c>
      <c r="U7118">
        <v>0.92617799999999995</v>
      </c>
      <c r="V7118">
        <v>2.1093649999999999E-2</v>
      </c>
      <c r="W7118">
        <v>-1.300106E-2</v>
      </c>
      <c r="X7118">
        <v>0.99969300000000005</v>
      </c>
      <c r="Y7118">
        <v>-0.28058070000000002</v>
      </c>
      <c r="Z7118">
        <v>8.7791039999999994E-3</v>
      </c>
      <c r="AA7118">
        <v>0.95979029999999999</v>
      </c>
      <c r="AB7118">
        <v>27</v>
      </c>
      <c r="AC7118">
        <v>15.445599999999899</v>
      </c>
      <c r="AD7118">
        <v>-1.1097965535237</v>
      </c>
      <c r="AE7118">
        <v>4.8015099999999897</v>
      </c>
      <c r="AF7118">
        <v>-4.56273437681664</v>
      </c>
      <c r="AG7118">
        <v>-1.1097965535237</v>
      </c>
      <c r="AH7118">
        <v>15.4387986003308</v>
      </c>
      <c r="AI7118">
        <v>93.943509342174593</v>
      </c>
      <c r="AJ7118">
        <v>106.464353424224</v>
      </c>
      <c r="AK7118">
        <v>16.137121664199402</v>
      </c>
      <c r="AL7118">
        <v>90.744926829935196</v>
      </c>
      <c r="AM7118">
        <v>88.791231099569401</v>
      </c>
      <c r="AN7118">
        <v>1.00000003194022</v>
      </c>
    </row>
    <row r="7119" spans="1:40" x14ac:dyDescent="0.25">
      <c r="A7119" t="str">
        <f>"20190312160825809"</f>
        <v>20190312160825809</v>
      </c>
      <c r="B7119" t="str">
        <f>"1552378105802184"</f>
        <v>1552378105802184</v>
      </c>
      <c r="C7119" t="s">
        <v>40</v>
      </c>
      <c r="D7119">
        <v>6.0631820000000003</v>
      </c>
      <c r="E7119">
        <v>0.38236759999999997</v>
      </c>
      <c r="F7119" t="s">
        <v>112</v>
      </c>
      <c r="G7119">
        <v>-241.3964</v>
      </c>
      <c r="H7119" s="1">
        <v>2.2986420000000001E-7</v>
      </c>
      <c r="I7119">
        <v>-59.34675</v>
      </c>
      <c r="J7119">
        <v>-255.96799999999999</v>
      </c>
      <c r="K7119">
        <v>1.1097859999999999</v>
      </c>
      <c r="L7119">
        <v>-63.883270000000003</v>
      </c>
      <c r="M7119">
        <v>0.99986549999999996</v>
      </c>
      <c r="N7119">
        <v>0</v>
      </c>
      <c r="O7119">
        <v>1.460968E-2</v>
      </c>
      <c r="P7119">
        <v>0.99977020000000005</v>
      </c>
      <c r="Q7119">
        <v>-2.0548250000000001E-2</v>
      </c>
      <c r="R7119">
        <v>-6.1487159999999898E-3</v>
      </c>
      <c r="S7119">
        <v>3.0025789999999999</v>
      </c>
      <c r="T7119">
        <v>-0.22672339999999999</v>
      </c>
      <c r="U7119">
        <v>0.92724609999999996</v>
      </c>
      <c r="V7119">
        <v>2.0782309999999998E-2</v>
      </c>
      <c r="W7119">
        <v>-1.304106E-2</v>
      </c>
      <c r="X7119">
        <v>0.999699</v>
      </c>
      <c r="Y7119">
        <v>-0.28038590000000002</v>
      </c>
      <c r="Z7119">
        <v>9.2551189999999992E-3</v>
      </c>
      <c r="AA7119">
        <v>0.95984270000000005</v>
      </c>
      <c r="AB7119">
        <v>27</v>
      </c>
      <c r="AC7119">
        <v>14.571599999999901</v>
      </c>
      <c r="AD7119">
        <v>-1.1097857701358</v>
      </c>
      <c r="AE7119">
        <v>4.5365199999999897</v>
      </c>
      <c r="AF7119">
        <v>-4.3004031638925904</v>
      </c>
      <c r="AG7119">
        <v>-1.1097857701358</v>
      </c>
      <c r="AH7119">
        <v>14.5593346495956</v>
      </c>
      <c r="AI7119">
        <v>94.181045718642906</v>
      </c>
      <c r="AJ7119">
        <v>106.455604723029</v>
      </c>
      <c r="AK7119">
        <v>15.221672617243099</v>
      </c>
      <c r="AL7119">
        <v>90.747218855214797</v>
      </c>
      <c r="AM7119">
        <v>88.809074367058699</v>
      </c>
      <c r="AN7119">
        <v>1.0000000321279201</v>
      </c>
    </row>
    <row r="7120" spans="1:40" x14ac:dyDescent="0.25">
      <c r="A7120" t="str">
        <f>"20190312160825822"</f>
        <v>20190312160825822</v>
      </c>
      <c r="B7120" t="str">
        <f>"1552378105812921"</f>
        <v>1552378105812921</v>
      </c>
      <c r="C7120" t="s">
        <v>40</v>
      </c>
      <c r="D7120">
        <v>6.015193</v>
      </c>
      <c r="E7120">
        <v>0.38260670000000002</v>
      </c>
      <c r="F7120" t="s">
        <v>112</v>
      </c>
      <c r="G7120">
        <v>-241.17449999999999</v>
      </c>
      <c r="H7120" s="1">
        <v>3.1941010000000002E-7</v>
      </c>
      <c r="I7120">
        <v>-59.315019999999997</v>
      </c>
      <c r="J7120">
        <v>-255.82400000000001</v>
      </c>
      <c r="K7120">
        <v>1.1097680000000001</v>
      </c>
      <c r="L7120">
        <v>-63.880490000000002</v>
      </c>
      <c r="M7120">
        <v>0.99985599999999997</v>
      </c>
      <c r="N7120">
        <v>0</v>
      </c>
      <c r="O7120">
        <v>1.524468E-2</v>
      </c>
      <c r="P7120">
        <v>0.99977490000000002</v>
      </c>
      <c r="Q7120">
        <v>-2.054661E-2</v>
      </c>
      <c r="R7120">
        <v>-5.3135489999999999E-3</v>
      </c>
      <c r="S7120">
        <v>3.00177</v>
      </c>
      <c r="T7120">
        <v>-0.2251889</v>
      </c>
      <c r="U7120">
        <v>0.92694089999999996</v>
      </c>
      <c r="V7120">
        <v>2.0581619999999998E-2</v>
      </c>
      <c r="W7120">
        <v>-1.303751E-2</v>
      </c>
      <c r="X7120">
        <v>0.99970320000000001</v>
      </c>
      <c r="Y7120">
        <v>-0.27977229999999997</v>
      </c>
      <c r="Z7120">
        <v>9.1262380000000001E-3</v>
      </c>
      <c r="AA7120">
        <v>0.96002299999999996</v>
      </c>
      <c r="AB7120">
        <v>27</v>
      </c>
      <c r="AC7120">
        <v>14.6495</v>
      </c>
      <c r="AD7120">
        <v>-1.1097676805898999</v>
      </c>
      <c r="AE7120">
        <v>4.5654700000000004</v>
      </c>
      <c r="AF7120">
        <v>-4.3190146532589004</v>
      </c>
      <c r="AG7120">
        <v>-1.1097676805898999</v>
      </c>
      <c r="AH7120">
        <v>14.6408163282335</v>
      </c>
      <c r="AI7120">
        <v>94.158210157902801</v>
      </c>
      <c r="AJ7120">
        <v>106.435965032418</v>
      </c>
      <c r="AK7120">
        <v>15.304867677867</v>
      </c>
      <c r="AL7120">
        <v>90.747015436572099</v>
      </c>
      <c r="AM7120">
        <v>88.820576551998897</v>
      </c>
      <c r="AN7120">
        <v>1.0000000339195301</v>
      </c>
    </row>
    <row r="7121" spans="1:40" x14ac:dyDescent="0.25">
      <c r="A7121" t="str">
        <f>"20190312160825832"</f>
        <v>20190312160825832</v>
      </c>
      <c r="B7121" t="str">
        <f>"1552378105822681"</f>
        <v>1552378105822681</v>
      </c>
      <c r="C7121" t="s">
        <v>40</v>
      </c>
      <c r="D7121">
        <v>6.045922</v>
      </c>
      <c r="E7121">
        <v>0.38293569999999999</v>
      </c>
      <c r="F7121" t="s">
        <v>112</v>
      </c>
      <c r="G7121">
        <v>-240.82230000000001</v>
      </c>
      <c r="H7121" s="1">
        <v>4.3003120000000001E-7</v>
      </c>
      <c r="I7121">
        <v>-59.244979999999998</v>
      </c>
      <c r="J7121">
        <v>-255.69579999999999</v>
      </c>
      <c r="K7121">
        <v>1.10975</v>
      </c>
      <c r="L7121">
        <v>-63.877989999999997</v>
      </c>
      <c r="M7121">
        <v>0.99984740000000005</v>
      </c>
      <c r="N7121">
        <v>0</v>
      </c>
      <c r="O7121">
        <v>1.5801619999999999E-2</v>
      </c>
      <c r="P7121">
        <v>0.99978460000000002</v>
      </c>
      <c r="Q7121">
        <v>-2.0283860000000001E-2</v>
      </c>
      <c r="R7121">
        <v>-4.4229220000000001E-3</v>
      </c>
      <c r="S7121">
        <v>3.0010379999999999</v>
      </c>
      <c r="T7121">
        <v>-0.2220056</v>
      </c>
      <c r="U7121">
        <v>0.92730710000000005</v>
      </c>
      <c r="V7121">
        <v>2.0247000000000001E-2</v>
      </c>
      <c r="W7121">
        <v>-1.277329E-2</v>
      </c>
      <c r="X7121">
        <v>0.99971339999999997</v>
      </c>
      <c r="Y7121">
        <v>-0.2794316</v>
      </c>
      <c r="Z7121">
        <v>8.9470360000000002E-3</v>
      </c>
      <c r="AA7121">
        <v>0.96012390000000003</v>
      </c>
      <c r="AB7121">
        <v>27</v>
      </c>
      <c r="AC7121">
        <v>14.8734999999999</v>
      </c>
      <c r="AD7121">
        <v>-1.1097495699688</v>
      </c>
      <c r="AE7121">
        <v>4.6330099999999899</v>
      </c>
      <c r="AF7121">
        <v>-4.3751970351922598</v>
      </c>
      <c r="AG7121">
        <v>-1.1097495699688</v>
      </c>
      <c r="AH7121">
        <v>14.8693970787034</v>
      </c>
      <c r="AI7121">
        <v>94.095277212176001</v>
      </c>
      <c r="AJ7121">
        <v>106.396083203233</v>
      </c>
      <c r="AK7121">
        <v>15.539397114719501</v>
      </c>
      <c r="AL7121">
        <v>90.731875517465497</v>
      </c>
      <c r="AM7121">
        <v>88.839758398602001</v>
      </c>
      <c r="AN7121">
        <v>0.999999990042992</v>
      </c>
    </row>
    <row r="7122" spans="1:40" x14ac:dyDescent="0.25">
      <c r="A7122" t="str">
        <f>"20190312160825844"</f>
        <v>20190312160825844</v>
      </c>
      <c r="B7122" t="str">
        <f>"1552378105832440"</f>
        <v>1552378105832440</v>
      </c>
      <c r="C7122" t="s">
        <v>40</v>
      </c>
      <c r="D7122">
        <v>6.0624830000000003</v>
      </c>
      <c r="E7122">
        <v>0.38332050000000001</v>
      </c>
      <c r="F7122" t="s">
        <v>112</v>
      </c>
      <c r="G7122">
        <v>-240.50319999999999</v>
      </c>
      <c r="H7122" s="1">
        <v>5.2204349999999997E-7</v>
      </c>
      <c r="I7122">
        <v>-59.182659999999998</v>
      </c>
      <c r="J7122">
        <v>-255.56039999999999</v>
      </c>
      <c r="K7122">
        <v>1.109731</v>
      </c>
      <c r="L7122">
        <v>-63.875239999999998</v>
      </c>
      <c r="M7122">
        <v>0.99983829999999996</v>
      </c>
      <c r="N7122">
        <v>0</v>
      </c>
      <c r="O7122">
        <v>1.6363010000000001E-2</v>
      </c>
      <c r="P7122">
        <v>0.99979079999999998</v>
      </c>
      <c r="Q7122">
        <v>-2.0134039999999999E-2</v>
      </c>
      <c r="R7122">
        <v>-3.6364169999999999E-3</v>
      </c>
      <c r="S7122">
        <v>3.000305</v>
      </c>
      <c r="T7122">
        <v>-0.21915889999999999</v>
      </c>
      <c r="U7122">
        <v>0.92724609999999996</v>
      </c>
      <c r="V7122">
        <v>2.0021029999999999E-2</v>
      </c>
      <c r="W7122">
        <v>-1.2621739999999999E-2</v>
      </c>
      <c r="X7122">
        <v>0.99971989999999999</v>
      </c>
      <c r="Y7122">
        <v>-0.27895979999999998</v>
      </c>
      <c r="Z7122">
        <v>8.7778909999999995E-3</v>
      </c>
      <c r="AA7122">
        <v>0.96026270000000002</v>
      </c>
      <c r="AB7122">
        <v>27</v>
      </c>
      <c r="AC7122">
        <v>15.0571999999999</v>
      </c>
      <c r="AD7122">
        <v>-1.1097304779565</v>
      </c>
      <c r="AE7122">
        <v>4.6925800000000004</v>
      </c>
      <c r="AF7122">
        <v>-4.4236623299665396</v>
      </c>
      <c r="AG7122">
        <v>-1.1097304779565</v>
      </c>
      <c r="AH7122">
        <v>15.057422036762</v>
      </c>
      <c r="AI7122">
        <v>94.044737064048803</v>
      </c>
      <c r="AJ7122">
        <v>106.372058579126</v>
      </c>
      <c r="AK7122">
        <v>15.732966933685301</v>
      </c>
      <c r="AL7122">
        <v>90.723191624442293</v>
      </c>
      <c r="AM7122">
        <v>88.852711444200494</v>
      </c>
      <c r="AN7122">
        <v>1.0000000142094401</v>
      </c>
    </row>
    <row r="7123" spans="1:40" x14ac:dyDescent="0.25">
      <c r="A7123" t="str">
        <f>"20190312160825856"</f>
        <v>20190312160825856</v>
      </c>
      <c r="B7123" t="str">
        <f>"1552378105852514"</f>
        <v>1552378105852514</v>
      </c>
      <c r="C7123" t="s">
        <v>40</v>
      </c>
      <c r="D7123">
        <v>6.0957489999999996</v>
      </c>
      <c r="E7123">
        <v>0.3841407</v>
      </c>
      <c r="F7123" t="s">
        <v>112</v>
      </c>
      <c r="G7123">
        <v>-240.31129999999999</v>
      </c>
      <c r="H7123" s="1">
        <v>5.8287290000000002E-7</v>
      </c>
      <c r="I7123">
        <v>-59.165869999999998</v>
      </c>
      <c r="J7123">
        <v>-255.42310000000001</v>
      </c>
      <c r="K7123">
        <v>1.1097109999999999</v>
      </c>
      <c r="L7123">
        <v>-63.8724699999999</v>
      </c>
      <c r="M7123">
        <v>0.99982890000000002</v>
      </c>
      <c r="N7123">
        <v>0</v>
      </c>
      <c r="O7123">
        <v>1.6925409999999998E-2</v>
      </c>
      <c r="P7123">
        <v>0.99979669999999998</v>
      </c>
      <c r="Q7123">
        <v>-1.998546E-2</v>
      </c>
      <c r="R7123">
        <v>-2.7005750000000002E-3</v>
      </c>
      <c r="S7123">
        <v>2.999619</v>
      </c>
      <c r="T7123">
        <v>-0.2182933</v>
      </c>
      <c r="U7123">
        <v>0.92636110000000005</v>
      </c>
      <c r="V7123">
        <v>1.9646799999999999E-2</v>
      </c>
      <c r="W7123">
        <v>-1.2471650000000001E-2</v>
      </c>
      <c r="X7123">
        <v>0.99972919999999998</v>
      </c>
      <c r="Y7123">
        <v>-0.2782308</v>
      </c>
      <c r="Z7123">
        <v>8.6798029999999998E-3</v>
      </c>
      <c r="AA7123">
        <v>0.96047499999999997</v>
      </c>
      <c r="AB7123">
        <v>27</v>
      </c>
      <c r="AC7123">
        <v>15.111800000000001</v>
      </c>
      <c r="AD7123">
        <v>-1.1097104171270999</v>
      </c>
      <c r="AE7123">
        <v>4.7065999999999901</v>
      </c>
      <c r="AF7123">
        <v>-4.4283769585614001</v>
      </c>
      <c r="AG7123">
        <v>-1.1097104171270999</v>
      </c>
      <c r="AH7123">
        <v>15.114998768353299</v>
      </c>
      <c r="AI7123">
        <v>94.030183693658699</v>
      </c>
      <c r="AJ7123">
        <v>106.329475485679</v>
      </c>
      <c r="AK7123">
        <v>15.7894004783057</v>
      </c>
      <c r="AL7123">
        <v>90.714591429880699</v>
      </c>
      <c r="AM7123">
        <v>88.874161282951405</v>
      </c>
      <c r="AN7123">
        <v>1.0000000060683001</v>
      </c>
    </row>
    <row r="7124" spans="1:40" x14ac:dyDescent="0.25">
      <c r="A7124" t="str">
        <f>"20190312160825867"</f>
        <v>20190312160825867</v>
      </c>
      <c r="B7124" t="str">
        <f>"1552378105862274"</f>
        <v>1552378105862274</v>
      </c>
      <c r="C7124" t="s">
        <v>40</v>
      </c>
      <c r="D7124">
        <v>6.1300379999999999</v>
      </c>
      <c r="E7124">
        <v>0.38448949999999998</v>
      </c>
      <c r="F7124" t="s">
        <v>112</v>
      </c>
      <c r="G7124">
        <v>-240.27930000000001</v>
      </c>
      <c r="H7124" s="1">
        <v>6.063138E-7</v>
      </c>
      <c r="I7124">
        <v>-59.212960000000002</v>
      </c>
      <c r="J7124">
        <v>-255.28540000000001</v>
      </c>
      <c r="K7124">
        <v>1.1096900000000001</v>
      </c>
      <c r="L7124">
        <v>-63.869570000000003</v>
      </c>
      <c r="M7124">
        <v>0.99981960000000003</v>
      </c>
      <c r="N7124">
        <v>0</v>
      </c>
      <c r="O7124">
        <v>1.746139E-2</v>
      </c>
      <c r="P7124">
        <v>0.99979879999999999</v>
      </c>
      <c r="Q7124">
        <v>-1.9988760000000001E-2</v>
      </c>
      <c r="R7124">
        <v>-1.770249E-3</v>
      </c>
      <c r="S7124">
        <v>2.9987029999999999</v>
      </c>
      <c r="T7124">
        <v>-0.21973870000000001</v>
      </c>
      <c r="U7124">
        <v>0.92263790000000001</v>
      </c>
      <c r="V7124">
        <v>1.9251730000000002E-2</v>
      </c>
      <c r="W7124">
        <v>-1.247351E-2</v>
      </c>
      <c r="X7124">
        <v>0.99973679999999998</v>
      </c>
      <c r="Y7124">
        <v>-0.27670539999999999</v>
      </c>
      <c r="Z7124">
        <v>8.6483819999999996E-3</v>
      </c>
      <c r="AA7124">
        <v>0.96091590000000005</v>
      </c>
      <c r="AB7124">
        <v>27</v>
      </c>
      <c r="AC7124">
        <v>15.0061</v>
      </c>
      <c r="AD7124">
        <v>-1.1096893936862</v>
      </c>
      <c r="AE7124">
        <v>4.6566099999999997</v>
      </c>
      <c r="AF7124">
        <v>-4.3720568346112696</v>
      </c>
      <c r="AG7124">
        <v>-1.1096893936862</v>
      </c>
      <c r="AH7124">
        <v>15.0102517443568</v>
      </c>
      <c r="AI7124">
        <v>94.059996870564603</v>
      </c>
      <c r="AJ7124">
        <v>106.23933019078601</v>
      </c>
      <c r="AK7124">
        <v>15.6733515542942</v>
      </c>
      <c r="AL7124">
        <v>90.714698053099298</v>
      </c>
      <c r="AM7124">
        <v>88.896803075944604</v>
      </c>
      <c r="AN7124">
        <v>0.99999994341697396</v>
      </c>
    </row>
    <row r="7125" spans="1:40" x14ac:dyDescent="0.25">
      <c r="A7125" t="str">
        <f>"20190312160825878"</f>
        <v>20190312160825878</v>
      </c>
      <c r="B7125" t="str">
        <f>"1552378105872035"</f>
        <v>1552378105872035</v>
      </c>
      <c r="C7125" t="s">
        <v>40</v>
      </c>
      <c r="D7125">
        <v>6.130185</v>
      </c>
      <c r="E7125">
        <v>0.38491619999999999</v>
      </c>
      <c r="F7125" t="s">
        <v>112</v>
      </c>
      <c r="G7125">
        <v>-240.20820000000001</v>
      </c>
      <c r="H7125" s="1">
        <v>6.3486159999999999E-7</v>
      </c>
      <c r="I7125">
        <v>-59.229390000000002</v>
      </c>
      <c r="J7125">
        <v>-255.14760000000001</v>
      </c>
      <c r="K7125">
        <v>1.1096699999999999</v>
      </c>
      <c r="L7125">
        <v>-63.866579999999999</v>
      </c>
      <c r="M7125">
        <v>0.99981030000000004</v>
      </c>
      <c r="N7125">
        <v>0</v>
      </c>
      <c r="O7125">
        <v>1.7987050000000001E-2</v>
      </c>
      <c r="P7125">
        <v>0.99980250000000004</v>
      </c>
      <c r="Q7125">
        <v>-1.9851219999999999E-2</v>
      </c>
      <c r="R7125">
        <v>-1.0896040000000001E-3</v>
      </c>
      <c r="S7125">
        <v>2.997833</v>
      </c>
      <c r="T7125">
        <v>-0.22064230000000001</v>
      </c>
      <c r="U7125">
        <v>0.92260739999999997</v>
      </c>
      <c r="V7125">
        <v>1.9095899999999999E-2</v>
      </c>
      <c r="W7125">
        <v>-1.2334049999999999E-2</v>
      </c>
      <c r="X7125">
        <v>0.99974160000000001</v>
      </c>
      <c r="Y7125">
        <v>-0.27626650000000003</v>
      </c>
      <c r="Z7125">
        <v>8.6327909999999904E-3</v>
      </c>
      <c r="AA7125">
        <v>0.96104230000000002</v>
      </c>
      <c r="AB7125">
        <v>27</v>
      </c>
      <c r="AC7125">
        <v>14.939399999999999</v>
      </c>
      <c r="AD7125">
        <v>-1.1096693651384</v>
      </c>
      <c r="AE7125">
        <v>4.6371900000000004</v>
      </c>
      <c r="AF7125">
        <v>-4.3458466177548498</v>
      </c>
      <c r="AG7125">
        <v>-1.1096693651384</v>
      </c>
      <c r="AH7125">
        <v>14.9451849950711</v>
      </c>
      <c r="AI7125">
        <v>94.078069561215997</v>
      </c>
      <c r="AJ7125">
        <v>106.213677220371</v>
      </c>
      <c r="AK7125">
        <v>15.603727229796</v>
      </c>
      <c r="AL7125">
        <v>90.706706911187396</v>
      </c>
      <c r="AM7125">
        <v>88.905735796615801</v>
      </c>
      <c r="AN7125">
        <v>1.00000002447838</v>
      </c>
    </row>
    <row r="7126" spans="1:40" x14ac:dyDescent="0.25">
      <c r="A7126" t="str">
        <f>"20190312160825888"</f>
        <v>20190312160825888</v>
      </c>
      <c r="B7126" t="str">
        <f>"1552378105882770"</f>
        <v>1552378105882770</v>
      </c>
      <c r="C7126" t="s">
        <v>40</v>
      </c>
      <c r="D7126">
        <v>6.1068660000000001</v>
      </c>
      <c r="E7126">
        <v>0.38523980000000002</v>
      </c>
      <c r="F7126" t="s">
        <v>112</v>
      </c>
      <c r="G7126">
        <v>-240.12180000000001</v>
      </c>
      <c r="H7126" s="1">
        <v>6.6922089999999999E-7</v>
      </c>
      <c r="I7126">
        <v>-59.247999999999998</v>
      </c>
      <c r="J7126">
        <v>-255.01439999999999</v>
      </c>
      <c r="K7126">
        <v>1.1096509999999999</v>
      </c>
      <c r="L7126">
        <v>-63.863680000000002</v>
      </c>
      <c r="M7126">
        <v>0.99980139999999995</v>
      </c>
      <c r="N7126">
        <v>0</v>
      </c>
      <c r="O7126">
        <v>1.8477319999999998E-2</v>
      </c>
      <c r="P7126">
        <v>0.99980429999999998</v>
      </c>
      <c r="Q7126">
        <v>-1.9788460000000001E-2</v>
      </c>
      <c r="R7126">
        <v>-5.1218529999999996E-4</v>
      </c>
      <c r="S7126">
        <v>2.997223</v>
      </c>
      <c r="T7126">
        <v>-0.2213483</v>
      </c>
      <c r="U7126">
        <v>0.92126459999999999</v>
      </c>
      <c r="V7126">
        <v>1.900814E-2</v>
      </c>
      <c r="W7126">
        <v>-1.226929E-2</v>
      </c>
      <c r="X7126">
        <v>0.99974410000000002</v>
      </c>
      <c r="Y7126">
        <v>-0.27545579999999997</v>
      </c>
      <c r="Z7126">
        <v>8.5980650000000002E-3</v>
      </c>
      <c r="AA7126">
        <v>0.96127530000000005</v>
      </c>
      <c r="AB7126">
        <v>27</v>
      </c>
      <c r="AC7126">
        <v>14.8925999999999</v>
      </c>
      <c r="AD7126">
        <v>-1.1096503307790999</v>
      </c>
      <c r="AE7126">
        <v>4.6156799999999896</v>
      </c>
      <c r="AF7126">
        <v>-4.3178381755155497</v>
      </c>
      <c r="AG7126">
        <v>-1.1096503307790999</v>
      </c>
      <c r="AH7126">
        <v>14.899874079796399</v>
      </c>
      <c r="AI7126">
        <v>94.091445727151395</v>
      </c>
      <c r="AJ7126">
        <v>106.161072685194</v>
      </c>
      <c r="AK7126">
        <v>15.552533490088599</v>
      </c>
      <c r="AL7126">
        <v>90.702996134229295</v>
      </c>
      <c r="AM7126">
        <v>88.910766271083304</v>
      </c>
      <c r="AN7126">
        <v>1.00000005517408</v>
      </c>
    </row>
    <row r="7127" spans="1:40" x14ac:dyDescent="0.25">
      <c r="A7127" t="str">
        <f>"20190312160825900"</f>
        <v>20190312160825900</v>
      </c>
      <c r="B7127" t="str">
        <f>"1552378105892531"</f>
        <v>1552378105892531</v>
      </c>
      <c r="C7127" t="s">
        <v>40</v>
      </c>
      <c r="D7127">
        <v>6.1425359999999998</v>
      </c>
      <c r="E7127">
        <v>0.38571499999999997</v>
      </c>
      <c r="F7127" t="s">
        <v>112</v>
      </c>
      <c r="G7127">
        <v>-240.0206</v>
      </c>
      <c r="H7127" s="1">
        <v>7.0633719999999997E-7</v>
      </c>
      <c r="I7127">
        <v>-59.25808</v>
      </c>
      <c r="J7127">
        <v>-254.87780000000001</v>
      </c>
      <c r="K7127">
        <v>1.109629</v>
      </c>
      <c r="L7127">
        <v>-63.860689999999998</v>
      </c>
      <c r="M7127">
        <v>0.99979229999999997</v>
      </c>
      <c r="N7127">
        <v>0</v>
      </c>
      <c r="O7127">
        <v>1.8963649999999999E-2</v>
      </c>
      <c r="P7127">
        <v>0.99981140000000002</v>
      </c>
      <c r="Q7127">
        <v>-1.9439809999999998E-2</v>
      </c>
      <c r="R7127">
        <v>2.3836220000000001E-4</v>
      </c>
      <c r="S7127">
        <v>2.9966740000000001</v>
      </c>
      <c r="T7127">
        <v>-0.22177659999999999</v>
      </c>
      <c r="U7127">
        <v>0.92047120000000004</v>
      </c>
      <c r="V7127">
        <v>1.8742669999999999E-2</v>
      </c>
      <c r="W7127">
        <v>-1.191878E-2</v>
      </c>
      <c r="X7127">
        <v>0.99975329999999996</v>
      </c>
      <c r="Y7127">
        <v>-0.27480520000000003</v>
      </c>
      <c r="Z7127">
        <v>8.5579049999999993E-3</v>
      </c>
      <c r="AA7127">
        <v>0.96146180000000003</v>
      </c>
      <c r="AB7127">
        <v>27</v>
      </c>
      <c r="AC7127">
        <v>14.857200000000001</v>
      </c>
      <c r="AD7127">
        <v>-1.1096282936627999</v>
      </c>
      <c r="AE7127">
        <v>4.6026099999999897</v>
      </c>
      <c r="AF7127">
        <v>-4.2981518737244402</v>
      </c>
      <c r="AG7127">
        <v>-1.1096282936627999</v>
      </c>
      <c r="AH7127">
        <v>14.866150291595099</v>
      </c>
      <c r="AI7127">
        <v>94.101342263477406</v>
      </c>
      <c r="AJ7127">
        <v>106.125818809747</v>
      </c>
      <c r="AK7127">
        <v>15.514761002735099</v>
      </c>
      <c r="AL7127">
        <v>90.682911958369402</v>
      </c>
      <c r="AM7127">
        <v>88.925984934675697</v>
      </c>
      <c r="AN7127">
        <v>1.0000000029281499</v>
      </c>
    </row>
    <row r="7128" spans="1:40" x14ac:dyDescent="0.25">
      <c r="A7128" t="str">
        <f>"20190312160825911"</f>
        <v>20190312160825911</v>
      </c>
      <c r="B7128" t="str">
        <f>"1552378105902291"</f>
        <v>1552378105902291</v>
      </c>
      <c r="C7128" t="s">
        <v>40</v>
      </c>
      <c r="D7128">
        <v>6.1039050000000001</v>
      </c>
      <c r="E7128">
        <v>0.3861134</v>
      </c>
      <c r="F7128" t="s">
        <v>114</v>
      </c>
      <c r="G7128">
        <v>-239.9014</v>
      </c>
      <c r="H7128" s="1">
        <v>-3.4328770000000002E-6</v>
      </c>
      <c r="I7128">
        <v>-59.267060000000001</v>
      </c>
      <c r="J7128">
        <v>-254.7483</v>
      </c>
      <c r="K7128">
        <v>1.1096060000000001</v>
      </c>
      <c r="L7128">
        <v>-63.857729999999997</v>
      </c>
      <c r="M7128">
        <v>0.99978350000000005</v>
      </c>
      <c r="N7128">
        <v>0</v>
      </c>
      <c r="O7128">
        <v>1.9413099999999999E-2</v>
      </c>
      <c r="P7128">
        <v>0.99981350000000002</v>
      </c>
      <c r="Q7128">
        <v>-1.9293910000000001E-2</v>
      </c>
      <c r="R7128">
        <v>7.6057499999999999E-4</v>
      </c>
      <c r="S7128">
        <v>2.9960330000000002</v>
      </c>
      <c r="T7128">
        <v>-0.2219825</v>
      </c>
      <c r="U7128">
        <v>0.91894529999999996</v>
      </c>
      <c r="V7128">
        <v>1.8669430000000001E-2</v>
      </c>
      <c r="W7128">
        <v>-1.17708E-2</v>
      </c>
      <c r="X7128">
        <v>0.99975639999999999</v>
      </c>
      <c r="Y7128">
        <v>-0.27398479999999997</v>
      </c>
      <c r="Z7128">
        <v>8.5060629999999995E-3</v>
      </c>
      <c r="AA7128">
        <v>0.96169640000000001</v>
      </c>
      <c r="AB7128">
        <v>27</v>
      </c>
      <c r="AC7128">
        <v>14.8469</v>
      </c>
      <c r="AD7128">
        <v>-1.1096094328770001</v>
      </c>
      <c r="AE7128">
        <v>4.5906700000000003</v>
      </c>
      <c r="AF7128">
        <v>-4.2797534627504801</v>
      </c>
      <c r="AG7128">
        <v>-1.1096094328770001</v>
      </c>
      <c r="AH7128">
        <v>14.857477534862699</v>
      </c>
      <c r="AI7128">
        <v>94.104824081410996</v>
      </c>
      <c r="AJ7128">
        <v>106.069249052014</v>
      </c>
      <c r="AK7128">
        <v>15.501359988543101</v>
      </c>
      <c r="AL7128">
        <v>90.674432750005707</v>
      </c>
      <c r="AM7128">
        <v>88.930184160593299</v>
      </c>
      <c r="AN7128">
        <v>0.99999997934506202</v>
      </c>
    </row>
    <row r="7129" spans="1:40" x14ac:dyDescent="0.25">
      <c r="A7129" t="str">
        <f>"20190312160825921"</f>
        <v>20190312160825921</v>
      </c>
      <c r="B7129" t="str">
        <f>"1552378105913027"</f>
        <v>1552378105913027</v>
      </c>
      <c r="C7129" t="s">
        <v>40</v>
      </c>
      <c r="D7129">
        <v>6.108835</v>
      </c>
      <c r="E7129">
        <v>0.38648589999999999</v>
      </c>
      <c r="F7129" t="s">
        <v>114</v>
      </c>
      <c r="G7129">
        <v>-239.8048</v>
      </c>
      <c r="H7129" s="1">
        <v>-3.388876E-6</v>
      </c>
      <c r="I7129">
        <v>-59.281399999999998</v>
      </c>
      <c r="J7129">
        <v>-254.61789999999999</v>
      </c>
      <c r="K7129">
        <v>1.109588</v>
      </c>
      <c r="L7129">
        <v>-63.854770000000002</v>
      </c>
      <c r="M7129">
        <v>0.99977510000000003</v>
      </c>
      <c r="N7129">
        <v>0</v>
      </c>
      <c r="O7129">
        <v>1.9844589999999999E-2</v>
      </c>
      <c r="P7129">
        <v>0.99981660000000006</v>
      </c>
      <c r="Q7129">
        <v>-1.911655E-2</v>
      </c>
      <c r="R7129">
        <v>1.3326270000000001E-3</v>
      </c>
      <c r="S7129">
        <v>2.9955750000000001</v>
      </c>
      <c r="T7129">
        <v>-0.2224323</v>
      </c>
      <c r="U7129">
        <v>0.91735840000000002</v>
      </c>
      <c r="V7129">
        <v>1.8527849999999998E-2</v>
      </c>
      <c r="W7129">
        <v>-1.159146E-2</v>
      </c>
      <c r="X7129">
        <v>0.99976120000000002</v>
      </c>
      <c r="Y7129">
        <v>-0.27314549999999999</v>
      </c>
      <c r="Z7129">
        <v>8.4634859999999992E-3</v>
      </c>
      <c r="AA7129">
        <v>0.96193550000000005</v>
      </c>
      <c r="AB7129">
        <v>27</v>
      </c>
      <c r="AC7129">
        <v>14.813099999999899</v>
      </c>
      <c r="AD7129">
        <v>-1.1095913888760001</v>
      </c>
      <c r="AE7129">
        <v>4.5733699999999899</v>
      </c>
      <c r="AF7129">
        <v>-4.2566957243547598</v>
      </c>
      <c r="AG7129">
        <v>-1.1095913888760001</v>
      </c>
      <c r="AH7129">
        <v>14.8249989082074</v>
      </c>
      <c r="AI7129">
        <v>94.114726016942797</v>
      </c>
      <c r="AJ7129">
        <v>106.02033825205</v>
      </c>
      <c r="AK7129">
        <v>15.4638689909206</v>
      </c>
      <c r="AL7129">
        <v>90.664156576582201</v>
      </c>
      <c r="AM7129">
        <v>88.938300362750297</v>
      </c>
      <c r="AN7129">
        <v>1.00000005009799</v>
      </c>
    </row>
    <row r="7130" spans="1:40" x14ac:dyDescent="0.25">
      <c r="A7130" t="str">
        <f>"20190312160825932"</f>
        <v>20190312160825932</v>
      </c>
      <c r="B7130" t="str">
        <f>"1552378105922787"</f>
        <v>1552378105922787</v>
      </c>
      <c r="C7130" t="s">
        <v>40</v>
      </c>
      <c r="D7130">
        <v>6.0768230000000001</v>
      </c>
      <c r="E7130">
        <v>0.38673269999999998</v>
      </c>
      <c r="F7130" t="s">
        <v>114</v>
      </c>
      <c r="G7130">
        <v>-239.71610000000001</v>
      </c>
      <c r="H7130" s="1">
        <v>-3.3482239999999998E-6</v>
      </c>
      <c r="I7130">
        <v>-59.296199999999999</v>
      </c>
      <c r="J7130">
        <v>-254.47749999999999</v>
      </c>
      <c r="K7130">
        <v>1.109564</v>
      </c>
      <c r="L7130">
        <v>-63.851529999999997</v>
      </c>
      <c r="M7130">
        <v>0.99976580000000004</v>
      </c>
      <c r="N7130">
        <v>0</v>
      </c>
      <c r="O7130">
        <v>2.0300510000000001E-2</v>
      </c>
      <c r="P7130">
        <v>0.99982700000000002</v>
      </c>
      <c r="Q7130">
        <v>-1.849406E-2</v>
      </c>
      <c r="R7130">
        <v>2.038134E-3</v>
      </c>
      <c r="S7130">
        <v>2.9950559999999999</v>
      </c>
      <c r="T7130">
        <v>-0.22301280000000001</v>
      </c>
      <c r="U7130">
        <v>0.91619870000000003</v>
      </c>
      <c r="V7130">
        <v>1.8277129999999999E-2</v>
      </c>
      <c r="W7130">
        <v>-1.096693E-2</v>
      </c>
      <c r="X7130">
        <v>0.99977280000000002</v>
      </c>
      <c r="Y7130">
        <v>-0.2724123</v>
      </c>
      <c r="Z7130">
        <v>8.4276430000000003E-3</v>
      </c>
      <c r="AA7130">
        <v>0.96214370000000005</v>
      </c>
      <c r="AB7130">
        <v>27</v>
      </c>
      <c r="AC7130">
        <v>14.761399999999901</v>
      </c>
      <c r="AD7130">
        <v>-1.109567348224</v>
      </c>
      <c r="AE7130">
        <v>4.5553299999999997</v>
      </c>
      <c r="AF7130">
        <v>-4.2328823693252096</v>
      </c>
      <c r="AG7130">
        <v>-1.109567348224</v>
      </c>
      <c r="AH7130">
        <v>14.7746171554474</v>
      </c>
      <c r="AI7130">
        <v>94.129309611206693</v>
      </c>
      <c r="AJ7130">
        <v>105.986844906904</v>
      </c>
      <c r="AK7130">
        <v>15.409015054273601</v>
      </c>
      <c r="AL7130">
        <v>90.628371406428201</v>
      </c>
      <c r="AM7130">
        <v>88.952676274257996</v>
      </c>
      <c r="AN7130">
        <v>0.99999998932724998</v>
      </c>
    </row>
    <row r="7131" spans="1:40" x14ac:dyDescent="0.25">
      <c r="A7131" t="str">
        <f>"20190312160825945"</f>
        <v>20190312160825945</v>
      </c>
      <c r="B7131" t="str">
        <f>"1552378105942306"</f>
        <v>1552378105942306</v>
      </c>
      <c r="C7131" t="s">
        <v>40</v>
      </c>
      <c r="D7131">
        <v>6.0084479999999996</v>
      </c>
      <c r="E7131">
        <v>0.38722479999999998</v>
      </c>
      <c r="F7131" t="s">
        <v>114</v>
      </c>
      <c r="G7131">
        <v>-239.447</v>
      </c>
      <c r="H7131" s="1">
        <v>-3.240487E-6</v>
      </c>
      <c r="I7131">
        <v>-59.252699999999997</v>
      </c>
      <c r="J7131">
        <v>-254.33969999999999</v>
      </c>
      <c r="K7131">
        <v>1.109545</v>
      </c>
      <c r="L7131">
        <v>-63.848239999999997</v>
      </c>
      <c r="M7131">
        <v>0.99975729999999996</v>
      </c>
      <c r="N7131">
        <v>0</v>
      </c>
      <c r="O7131">
        <v>2.0719000000000001E-2</v>
      </c>
      <c r="P7131">
        <v>0.99983010000000005</v>
      </c>
      <c r="Q7131">
        <v>-1.818235E-2</v>
      </c>
      <c r="R7131">
        <v>3.106466E-3</v>
      </c>
      <c r="S7131">
        <v>2.994583</v>
      </c>
      <c r="T7131">
        <v>-0.22106300000000001</v>
      </c>
      <c r="U7131">
        <v>0.91622919999999997</v>
      </c>
      <c r="V7131">
        <v>1.7626329999999999E-2</v>
      </c>
      <c r="W7131">
        <v>-1.065376E-2</v>
      </c>
      <c r="X7131">
        <v>0.99978789999999995</v>
      </c>
      <c r="Y7131">
        <v>-0.27207389999999998</v>
      </c>
      <c r="Z7131">
        <v>8.3130840000000001E-3</v>
      </c>
      <c r="AA7131">
        <v>0.96224050000000005</v>
      </c>
      <c r="AB7131">
        <v>27</v>
      </c>
      <c r="AC7131">
        <v>14.8926999999999</v>
      </c>
      <c r="AD7131">
        <v>-1.1095482404870001</v>
      </c>
      <c r="AE7131">
        <v>4.5955399999999997</v>
      </c>
      <c r="AF7131">
        <v>-4.2643707439810896</v>
      </c>
      <c r="AG7131">
        <v>-1.1095482404870001</v>
      </c>
      <c r="AH7131">
        <v>14.9091596339081</v>
      </c>
      <c r="AI7131">
        <v>94.092613848887893</v>
      </c>
      <c r="AJ7131">
        <v>105.96177669871599</v>
      </c>
      <c r="AK7131">
        <v>15.5466715450428</v>
      </c>
      <c r="AL7131">
        <v>90.610427021113296</v>
      </c>
      <c r="AM7131">
        <v>88.989976070746295</v>
      </c>
      <c r="AN7131">
        <v>1.0000000175489001</v>
      </c>
    </row>
    <row r="7132" spans="1:40" x14ac:dyDescent="0.25">
      <c r="A7132" t="str">
        <f>"20190312160825955"</f>
        <v>20190312160825955</v>
      </c>
      <c r="B7132" t="str">
        <f>"1552378105953043"</f>
        <v>1552378105953043</v>
      </c>
      <c r="C7132" t="s">
        <v>40</v>
      </c>
      <c r="D7132">
        <v>5.9853129999999997</v>
      </c>
      <c r="E7132">
        <v>0.38751760000000002</v>
      </c>
      <c r="F7132" t="s">
        <v>114</v>
      </c>
      <c r="G7132">
        <v>-239.321</v>
      </c>
      <c r="H7132" s="1">
        <v>-3.1859420000000002E-6</v>
      </c>
      <c r="I7132">
        <v>-59.255409999999998</v>
      </c>
      <c r="J7132">
        <v>-254.20439999999999</v>
      </c>
      <c r="K7132">
        <v>1.1095250000000001</v>
      </c>
      <c r="L7132">
        <v>-63.845030000000001</v>
      </c>
      <c r="M7132">
        <v>0.99974870000000005</v>
      </c>
      <c r="N7132">
        <v>0</v>
      </c>
      <c r="O7132">
        <v>2.112348E-2</v>
      </c>
      <c r="P7132">
        <v>0.99982939999999998</v>
      </c>
      <c r="Q7132">
        <v>-1.8068520000000001E-2</v>
      </c>
      <c r="R7132">
        <v>3.8234440000000001E-3</v>
      </c>
      <c r="S7132">
        <v>2.993652</v>
      </c>
      <c r="T7132">
        <v>-0.2211641</v>
      </c>
      <c r="U7132">
        <v>0.91546629999999996</v>
      </c>
      <c r="V7132">
        <v>1.7313470000000001E-2</v>
      </c>
      <c r="W7132">
        <v>-1.053804E-2</v>
      </c>
      <c r="X7132">
        <v>0.99979459999999998</v>
      </c>
      <c r="Y7132">
        <v>-0.27154539999999999</v>
      </c>
      <c r="Z7132">
        <v>8.2714569999999994E-3</v>
      </c>
      <c r="AA7132">
        <v>0.96239010000000003</v>
      </c>
      <c r="AB7132">
        <v>27</v>
      </c>
      <c r="AC7132">
        <v>14.8833999999999</v>
      </c>
      <c r="AD7132">
        <v>-1.1095281859420001</v>
      </c>
      <c r="AE7132">
        <v>4.58962</v>
      </c>
      <c r="AF7132">
        <v>-4.2526165255265997</v>
      </c>
      <c r="AG7132">
        <v>-1.1095281859420001</v>
      </c>
      <c r="AH7132">
        <v>14.9014083403406</v>
      </c>
      <c r="AI7132">
        <v>94.095351643273801</v>
      </c>
      <c r="AJ7132">
        <v>105.927873761672</v>
      </c>
      <c r="AK7132">
        <v>15.536015275293501</v>
      </c>
      <c r="AL7132">
        <v>90.603796377276495</v>
      </c>
      <c r="AM7132">
        <v>89.007906605457805</v>
      </c>
      <c r="AN7132">
        <v>1.0000000243598199</v>
      </c>
    </row>
    <row r="7133" spans="1:40" x14ac:dyDescent="0.25">
      <c r="A7133" t="str">
        <f>"20190312160825966"</f>
        <v>20190312160825966</v>
      </c>
      <c r="B7133" t="str">
        <f>"1552378105962803"</f>
        <v>1552378105962803</v>
      </c>
      <c r="C7133" t="s">
        <v>40</v>
      </c>
      <c r="D7133">
        <v>6.0955879999999896</v>
      </c>
      <c r="E7133">
        <v>0.38769559999999997</v>
      </c>
      <c r="F7133" t="s">
        <v>114</v>
      </c>
      <c r="G7133">
        <v>-239.4836</v>
      </c>
      <c r="H7133" s="1">
        <v>-3.240294E-6</v>
      </c>
      <c r="I7133">
        <v>-59.34225</v>
      </c>
      <c r="J7133">
        <v>-254.06270000000001</v>
      </c>
      <c r="K7133">
        <v>1.109499</v>
      </c>
      <c r="L7133">
        <v>-63.841610000000003</v>
      </c>
      <c r="M7133">
        <v>0.99974030000000003</v>
      </c>
      <c r="N7133">
        <v>0</v>
      </c>
      <c r="O7133">
        <v>2.1518579999999999E-2</v>
      </c>
      <c r="P7133">
        <v>0.99983359999999999</v>
      </c>
      <c r="Q7133">
        <v>-1.7552930000000001E-2</v>
      </c>
      <c r="R7133">
        <v>4.9727549999999997E-3</v>
      </c>
      <c r="S7133">
        <v>2.99295</v>
      </c>
      <c r="T7133">
        <v>-0.2255827</v>
      </c>
      <c r="U7133">
        <v>0.91546629999999996</v>
      </c>
      <c r="V7133">
        <v>1.6558030000000001E-2</v>
      </c>
      <c r="W7133">
        <v>-1.002101E-2</v>
      </c>
      <c r="X7133">
        <v>0.9998127</v>
      </c>
      <c r="Y7133">
        <v>-0.27120480000000002</v>
      </c>
      <c r="Z7133">
        <v>8.3966070000000004E-3</v>
      </c>
      <c r="AA7133">
        <v>0.96248509999999998</v>
      </c>
      <c r="AB7133">
        <v>27</v>
      </c>
      <c r="AC7133">
        <v>14.5791</v>
      </c>
      <c r="AD7133">
        <v>-1.109502240294</v>
      </c>
      <c r="AE7133">
        <v>4.4993599999999896</v>
      </c>
      <c r="AF7133">
        <v>-4.1625764305215203</v>
      </c>
      <c r="AG7133">
        <v>-1.109502240294</v>
      </c>
      <c r="AH7133">
        <v>14.595367608378099</v>
      </c>
      <c r="AI7133">
        <v>94.181028981350195</v>
      </c>
      <c r="AJ7133">
        <v>105.918068319329</v>
      </c>
      <c r="AK7133">
        <v>15.217844570925401</v>
      </c>
      <c r="AL7133">
        <v>90.574171182591698</v>
      </c>
      <c r="AM7133">
        <v>89.051203774285199</v>
      </c>
      <c r="AN7133">
        <v>1.00000001204009</v>
      </c>
    </row>
    <row r="7134" spans="1:40" x14ac:dyDescent="0.25">
      <c r="A7134" t="str">
        <f>"20190312160825979"</f>
        <v>20190312160825979</v>
      </c>
      <c r="B7134" t="str">
        <f>"1552378105972562"</f>
        <v>1552378105972562</v>
      </c>
      <c r="C7134" t="s">
        <v>40</v>
      </c>
      <c r="D7134">
        <v>6.1538779999999997</v>
      </c>
      <c r="E7134">
        <v>0.3879861</v>
      </c>
      <c r="F7134" t="s">
        <v>114</v>
      </c>
      <c r="G7134">
        <v>-239.2338</v>
      </c>
      <c r="H7134" s="1">
        <v>-3.1416129999999998E-6</v>
      </c>
      <c r="I7134">
        <v>-59.294519999999999</v>
      </c>
      <c r="J7134">
        <v>-253.92160000000001</v>
      </c>
      <c r="K7134">
        <v>1.1094710000000001</v>
      </c>
      <c r="L7134">
        <v>-63.838200000000001</v>
      </c>
      <c r="M7134">
        <v>0.99973199999999995</v>
      </c>
      <c r="N7134">
        <v>0</v>
      </c>
      <c r="O7134">
        <v>2.189992E-2</v>
      </c>
      <c r="P7134">
        <v>0.99983120000000003</v>
      </c>
      <c r="Q7134">
        <v>-1.751436E-2</v>
      </c>
      <c r="R7134">
        <v>5.5774519999999897E-3</v>
      </c>
      <c r="S7134">
        <v>2.9920040000000001</v>
      </c>
      <c r="T7134">
        <v>-0.2238629</v>
      </c>
      <c r="U7134">
        <v>0.91744999999999999</v>
      </c>
      <c r="V7134">
        <v>1.6334129999999999E-2</v>
      </c>
      <c r="W7134">
        <v>-9.9802710000000006E-3</v>
      </c>
      <c r="X7134">
        <v>0.99981679999999995</v>
      </c>
      <c r="Y7134">
        <v>-0.27151589999999998</v>
      </c>
      <c r="Z7134">
        <v>8.3180479999999998E-3</v>
      </c>
      <c r="AA7134">
        <v>0.96239799999999998</v>
      </c>
      <c r="AB7134">
        <v>27</v>
      </c>
      <c r="AC7134">
        <v>14.687799999999999</v>
      </c>
      <c r="AD7134">
        <v>-1.1094741416129901</v>
      </c>
      <c r="AE7134">
        <v>4.5436800000000002</v>
      </c>
      <c r="AF7134">
        <v>-4.1990529068675597</v>
      </c>
      <c r="AG7134">
        <v>-1.1094741416129901</v>
      </c>
      <c r="AH7134">
        <v>14.7071983515314</v>
      </c>
      <c r="AI7134">
        <v>94.148904044436904</v>
      </c>
      <c r="AJ7134">
        <v>105.934576523498</v>
      </c>
      <c r="AK7134">
        <v>15.335079443448199</v>
      </c>
      <c r="AL7134">
        <v>90.571836887666095</v>
      </c>
      <c r="AM7134">
        <v>89.064035069201793</v>
      </c>
      <c r="AN7134">
        <v>1.0000000215871601</v>
      </c>
    </row>
    <row r="7135" spans="1:40" x14ac:dyDescent="0.25">
      <c r="A7135" t="str">
        <f>"20190312160825991"</f>
        <v>20190312160825991</v>
      </c>
      <c r="B7135" t="str">
        <f>"1552378105982323"</f>
        <v>1552378105982323</v>
      </c>
      <c r="C7135" t="s">
        <v>40</v>
      </c>
      <c r="D7135">
        <v>6.1636600000000001</v>
      </c>
      <c r="E7135">
        <v>0.38827699999999998</v>
      </c>
      <c r="F7135" t="s">
        <v>114</v>
      </c>
      <c r="G7135">
        <v>-239.1534</v>
      </c>
      <c r="H7135" s="1">
        <v>-3.1040799999999999E-6</v>
      </c>
      <c r="I7135">
        <v>-59.31156</v>
      </c>
      <c r="J7135">
        <v>-253.7655</v>
      </c>
      <c r="K7135">
        <v>1.1094440000000001</v>
      </c>
      <c r="L7135">
        <v>-63.834350000000001</v>
      </c>
      <c r="M7135">
        <v>0.99972300000000003</v>
      </c>
      <c r="N7135">
        <v>0</v>
      </c>
      <c r="O7135">
        <v>2.2301609999999999E-2</v>
      </c>
      <c r="P7135">
        <v>0.99983</v>
      </c>
      <c r="Q7135">
        <v>-1.726455E-2</v>
      </c>
      <c r="R7135">
        <v>6.4720680000000001E-3</v>
      </c>
      <c r="S7135">
        <v>2.9914399999999999</v>
      </c>
      <c r="T7135">
        <v>-0.22473470000000001</v>
      </c>
      <c r="U7135">
        <v>0.91690059999999995</v>
      </c>
      <c r="V7135">
        <v>1.5840590000000002E-2</v>
      </c>
      <c r="W7135">
        <v>-9.7282259999999995E-3</v>
      </c>
      <c r="X7135">
        <v>0.99982720000000003</v>
      </c>
      <c r="Y7135">
        <v>-0.27101579999999997</v>
      </c>
      <c r="Z7135">
        <v>8.3043270000000002E-3</v>
      </c>
      <c r="AA7135">
        <v>0.96253909999999998</v>
      </c>
      <c r="AB7135">
        <v>27</v>
      </c>
      <c r="AC7135">
        <v>14.6120999999999</v>
      </c>
      <c r="AD7135">
        <v>-1.10944710408</v>
      </c>
      <c r="AE7135">
        <v>4.5227899999999996</v>
      </c>
      <c r="AF7135">
        <v>-4.17382468893123</v>
      </c>
      <c r="AG7135">
        <v>-1.10944710408</v>
      </c>
      <c r="AH7135">
        <v>14.632355531187599</v>
      </c>
      <c r="AI7135">
        <v>94.170238534133205</v>
      </c>
      <c r="AJ7135">
        <v>105.920600775482</v>
      </c>
      <c r="AK7135">
        <v>15.2563925553114</v>
      </c>
      <c r="AL7135">
        <v>90.557395086094502</v>
      </c>
      <c r="AM7135">
        <v>89.092320128603106</v>
      </c>
      <c r="AN7135">
        <v>0.99999999626624703</v>
      </c>
    </row>
    <row r="7136" spans="1:40" x14ac:dyDescent="0.25">
      <c r="A7136" t="str">
        <f>"20190312160826001"</f>
        <v>20190312160826001</v>
      </c>
      <c r="B7136" t="str">
        <f>"1552378105993058"</f>
        <v>1552378105993058</v>
      </c>
      <c r="C7136" t="s">
        <v>40</v>
      </c>
      <c r="D7136">
        <v>6.0265579999999996</v>
      </c>
      <c r="E7136">
        <v>0.38855529999999999</v>
      </c>
      <c r="F7136" t="s">
        <v>114</v>
      </c>
      <c r="G7136">
        <v>-238.99459999999999</v>
      </c>
      <c r="H7136" s="1">
        <v>-3.0373070000000001E-6</v>
      </c>
      <c r="I7136">
        <v>-59.304090000000002</v>
      </c>
      <c r="J7136">
        <v>-253.63759999999999</v>
      </c>
      <c r="K7136">
        <v>1.109424</v>
      </c>
      <c r="L7136">
        <v>-63.831150000000001</v>
      </c>
      <c r="M7136">
        <v>0.9997161</v>
      </c>
      <c r="N7136">
        <v>0</v>
      </c>
      <c r="O7136">
        <v>2.2608980000000001E-2</v>
      </c>
      <c r="P7136">
        <v>0.99982349999999998</v>
      </c>
      <c r="Q7136">
        <v>-1.7363190000000001E-2</v>
      </c>
      <c r="R7136">
        <v>7.1941180000000002E-3</v>
      </c>
      <c r="S7136">
        <v>2.9906769999999998</v>
      </c>
      <c r="T7136">
        <v>-0.22463140000000001</v>
      </c>
      <c r="U7136">
        <v>0.9172363</v>
      </c>
      <c r="V7136">
        <v>1.542547E-2</v>
      </c>
      <c r="W7136">
        <v>-9.8250790000000005E-3</v>
      </c>
      <c r="X7136">
        <v>0.99983270000000002</v>
      </c>
      <c r="Y7136">
        <v>-0.27088879999999999</v>
      </c>
      <c r="Z7136">
        <v>8.2752559999999999E-3</v>
      </c>
      <c r="AA7136">
        <v>0.96257510000000002</v>
      </c>
      <c r="AB7136">
        <v>27</v>
      </c>
      <c r="AC7136">
        <v>14.642999999999899</v>
      </c>
      <c r="AD7136">
        <v>-1.1094270373070001</v>
      </c>
      <c r="AE7136">
        <v>4.5270599999999899</v>
      </c>
      <c r="AF7136">
        <v>-4.1729656884829298</v>
      </c>
      <c r="AG7136">
        <v>-1.1094270373070001</v>
      </c>
      <c r="AH7136">
        <v>14.6647752977217</v>
      </c>
      <c r="AI7136">
        <v>94.161729784131097</v>
      </c>
      <c r="AJ7136">
        <v>105.884078361709</v>
      </c>
      <c r="AK7136">
        <v>15.2872530403939</v>
      </c>
      <c r="AL7136">
        <v>90.562944644034005</v>
      </c>
      <c r="AM7136">
        <v>89.116107910066205</v>
      </c>
      <c r="AN7136">
        <v>0.99999995264568198</v>
      </c>
    </row>
    <row r="7137" spans="1:40" x14ac:dyDescent="0.25">
      <c r="A7137" t="str">
        <f>"20190312160826011"</f>
        <v>20190312160826011</v>
      </c>
      <c r="B7137" t="str">
        <f>"1552378106002819"</f>
        <v>1552378106002819</v>
      </c>
      <c r="C7137" t="s">
        <v>40</v>
      </c>
      <c r="D7137">
        <v>6.0078189999999996</v>
      </c>
      <c r="E7137">
        <v>0.38878639999999998</v>
      </c>
      <c r="F7137" t="s">
        <v>114</v>
      </c>
      <c r="G7137">
        <v>-239.16130000000001</v>
      </c>
      <c r="H7137" s="1">
        <v>-3.0936380000000001E-6</v>
      </c>
      <c r="I7137">
        <v>-59.38973</v>
      </c>
      <c r="J7137">
        <v>-253.51329999999999</v>
      </c>
      <c r="K7137">
        <v>1.1094079999999999</v>
      </c>
      <c r="L7137">
        <v>-63.828029999999998</v>
      </c>
      <c r="M7137">
        <v>0.99970950000000003</v>
      </c>
      <c r="N7137">
        <v>0</v>
      </c>
      <c r="O7137">
        <v>2.2900090000000001E-2</v>
      </c>
      <c r="P7137">
        <v>0.9998245</v>
      </c>
      <c r="Q7137">
        <v>-1.71329E-2</v>
      </c>
      <c r="R7137">
        <v>7.600641E-3</v>
      </c>
      <c r="S7137">
        <v>2.98996</v>
      </c>
      <c r="T7137">
        <v>-0.2291436</v>
      </c>
      <c r="U7137">
        <v>0.91732789999999997</v>
      </c>
      <c r="V7137">
        <v>1.530924E-2</v>
      </c>
      <c r="W7137">
        <v>-9.5926729999999995E-3</v>
      </c>
      <c r="X7137">
        <v>0.99983679999999997</v>
      </c>
      <c r="Y7137">
        <v>-0.27067550000000001</v>
      </c>
      <c r="Z7137">
        <v>8.4132100000000008E-3</v>
      </c>
      <c r="AA7137">
        <v>0.96263390000000004</v>
      </c>
      <c r="AB7137">
        <v>28</v>
      </c>
      <c r="AC7137">
        <v>14.351999999999901</v>
      </c>
      <c r="AD7137">
        <v>-1.1094110936379999</v>
      </c>
      <c r="AE7137">
        <v>4.4382999999999901</v>
      </c>
      <c r="AF7137">
        <v>-4.0861796605947598</v>
      </c>
      <c r="AG7137">
        <v>-1.1094110936379999</v>
      </c>
      <c r="AH7137">
        <v>14.371497924115101</v>
      </c>
      <c r="AI7137">
        <v>94.246547446429901</v>
      </c>
      <c r="AJ7137">
        <v>105.871789238464</v>
      </c>
      <c r="AK7137">
        <v>14.982243149014399</v>
      </c>
      <c r="AL7137">
        <v>90.549628101597307</v>
      </c>
      <c r="AM7137">
        <v>89.122770536417306</v>
      </c>
      <c r="AN7137">
        <v>1.0000000094194501</v>
      </c>
    </row>
    <row r="7138" spans="1:40" x14ac:dyDescent="0.25">
      <c r="A7138" t="str">
        <f>"20190312160826023"</f>
        <v>20190312160826023</v>
      </c>
      <c r="B7138" t="str">
        <f>"1552378106012579"</f>
        <v>1552378106012579</v>
      </c>
      <c r="C7138" t="s">
        <v>40</v>
      </c>
      <c r="D7138">
        <v>6.1703549999999998</v>
      </c>
      <c r="E7138">
        <v>0.38906089999999999</v>
      </c>
      <c r="F7138" t="s">
        <v>114</v>
      </c>
      <c r="G7138">
        <v>-239.24369999999999</v>
      </c>
      <c r="H7138" s="1">
        <v>-3.1179880000000001E-6</v>
      </c>
      <c r="I7138">
        <v>-59.451630000000002</v>
      </c>
      <c r="J7138">
        <v>-253.37430000000001</v>
      </c>
      <c r="K7138">
        <v>1.109383</v>
      </c>
      <c r="L7138">
        <v>-63.8245199999999</v>
      </c>
      <c r="M7138">
        <v>0.9997026</v>
      </c>
      <c r="N7138">
        <v>0</v>
      </c>
      <c r="O7138">
        <v>2.3196999999999999E-2</v>
      </c>
      <c r="P7138">
        <v>0.99982020000000005</v>
      </c>
      <c r="Q7138">
        <v>-1.7184080000000001E-2</v>
      </c>
      <c r="R7138">
        <v>8.0289509999999994E-3</v>
      </c>
      <c r="S7138">
        <v>2.9895779999999998</v>
      </c>
      <c r="T7138">
        <v>-0.23242860000000001</v>
      </c>
      <c r="U7138">
        <v>0.91687010000000002</v>
      </c>
      <c r="V7138">
        <v>1.5177329999999999E-2</v>
      </c>
      <c r="W7138">
        <v>-9.6415370000000004E-3</v>
      </c>
      <c r="X7138">
        <v>0.99983840000000002</v>
      </c>
      <c r="Y7138">
        <v>-0.27027190000000001</v>
      </c>
      <c r="Z7138">
        <v>8.4968999999999999E-3</v>
      </c>
      <c r="AA7138">
        <v>0.96274660000000001</v>
      </c>
      <c r="AB7138">
        <v>28</v>
      </c>
      <c r="AC7138">
        <v>14.130599999999999</v>
      </c>
      <c r="AD7138">
        <v>-1.109386117988</v>
      </c>
      <c r="AE7138">
        <v>4.3728899999999902</v>
      </c>
      <c r="AF7138">
        <v>-4.0212964654133696</v>
      </c>
      <c r="AG7138">
        <v>-1.109386117988</v>
      </c>
      <c r="AH7138">
        <v>14.1486514239269</v>
      </c>
      <c r="AI7138">
        <v>94.313206547444693</v>
      </c>
      <c r="AJ7138">
        <v>105.866085480395</v>
      </c>
      <c r="AK7138">
        <v>14.750793196886701</v>
      </c>
      <c r="AL7138">
        <v>90.552427899465897</v>
      </c>
      <c r="AM7138">
        <v>89.130329291231703</v>
      </c>
      <c r="AN7138">
        <v>1.0000000683481001</v>
      </c>
    </row>
    <row r="7139" spans="1:40" x14ac:dyDescent="0.25">
      <c r="A7139" t="str">
        <f>"20190312160826034"</f>
        <v>20190312160826034</v>
      </c>
      <c r="B7139" t="str">
        <f>"1552378106022338"</f>
        <v>1552378106022338</v>
      </c>
      <c r="C7139" t="s">
        <v>40</v>
      </c>
      <c r="D7139">
        <v>5.9948119999999996</v>
      </c>
      <c r="E7139">
        <v>0.38930110000000001</v>
      </c>
      <c r="F7139" t="s">
        <v>114</v>
      </c>
      <c r="G7139">
        <v>-239.1643</v>
      </c>
      <c r="H7139" s="1">
        <v>-3.0806030000000001E-6</v>
      </c>
      <c r="I7139">
        <v>-59.470469999999999</v>
      </c>
      <c r="J7139">
        <v>-253.24010000000001</v>
      </c>
      <c r="K7139">
        <v>1.1093580000000001</v>
      </c>
      <c r="L7139">
        <v>-63.821109999999997</v>
      </c>
      <c r="M7139">
        <v>0.99969609999999998</v>
      </c>
      <c r="N7139">
        <v>0</v>
      </c>
      <c r="O7139">
        <v>2.3476500000000001E-2</v>
      </c>
      <c r="P7139">
        <v>0.99982159999999998</v>
      </c>
      <c r="Q7139">
        <v>-1.6854830000000001E-2</v>
      </c>
      <c r="R7139">
        <v>8.5300410000000004E-3</v>
      </c>
      <c r="S7139">
        <v>2.989166</v>
      </c>
      <c r="T7139">
        <v>-0.2333672</v>
      </c>
      <c r="U7139">
        <v>0.91589359999999997</v>
      </c>
      <c r="V7139">
        <v>1.4955120000000001E-2</v>
      </c>
      <c r="W7139">
        <v>-9.3100890000000006E-3</v>
      </c>
      <c r="X7139">
        <v>0.99984479999999998</v>
      </c>
      <c r="Y7139">
        <v>-0.26974890000000001</v>
      </c>
      <c r="Z7139">
        <v>8.4914459999999997E-3</v>
      </c>
      <c r="AA7139">
        <v>0.9628932</v>
      </c>
      <c r="AB7139">
        <v>28</v>
      </c>
      <c r="AC7139">
        <v>14.075799999999999</v>
      </c>
      <c r="AD7139">
        <v>-1.1093610806029901</v>
      </c>
      <c r="AE7139">
        <v>4.3506399999999896</v>
      </c>
      <c r="AF7139">
        <v>-3.9963223278686599</v>
      </c>
      <c r="AG7139">
        <v>-1.1093610806029901</v>
      </c>
      <c r="AH7139">
        <v>14.094148934717399</v>
      </c>
      <c r="AI7139">
        <v>94.330487713019195</v>
      </c>
      <c r="AJ7139">
        <v>105.830407918003</v>
      </c>
      <c r="AK7139">
        <v>14.691708830131899</v>
      </c>
      <c r="AL7139">
        <v>90.533436524307405</v>
      </c>
      <c r="AM7139">
        <v>89.143065637840706</v>
      </c>
      <c r="AN7139">
        <v>0.99999997872922097</v>
      </c>
    </row>
    <row r="7140" spans="1:40" x14ac:dyDescent="0.25">
      <c r="A7140" t="str">
        <f>"20190312160826045"</f>
        <v>20190312160826045</v>
      </c>
      <c r="B7140" t="str">
        <f>"1552378106033074"</f>
        <v>1552378106033074</v>
      </c>
      <c r="C7140" t="s">
        <v>40</v>
      </c>
      <c r="D7140">
        <v>6.1993689999999999</v>
      </c>
      <c r="E7140">
        <v>0.38954509999999998</v>
      </c>
      <c r="F7140" t="s">
        <v>114</v>
      </c>
      <c r="G7140">
        <v>-239.20359999999999</v>
      </c>
      <c r="H7140" s="1">
        <v>-3.088563E-6</v>
      </c>
      <c r="I7140">
        <v>-59.520580000000002</v>
      </c>
      <c r="J7140">
        <v>-253.0984</v>
      </c>
      <c r="K7140">
        <v>1.1093249999999999</v>
      </c>
      <c r="L7140">
        <v>-63.817500000000003</v>
      </c>
      <c r="M7140">
        <v>0.99969010000000003</v>
      </c>
      <c r="N7140">
        <v>0</v>
      </c>
      <c r="O7140">
        <v>2.373279E-2</v>
      </c>
      <c r="P7140">
        <v>0.99982800000000005</v>
      </c>
      <c r="Q7140">
        <v>-1.631428E-2</v>
      </c>
      <c r="R7140">
        <v>8.8332730000000009E-3</v>
      </c>
      <c r="S7140">
        <v>2.9887239999999999</v>
      </c>
      <c r="T7140">
        <v>-0.2362117</v>
      </c>
      <c r="U7140">
        <v>0.91567989999999999</v>
      </c>
      <c r="V7140">
        <v>1.4907159999999999E-2</v>
      </c>
      <c r="W7140">
        <v>-8.7670339999999999E-3</v>
      </c>
      <c r="X7140">
        <v>0.99985049999999998</v>
      </c>
      <c r="Y7140">
        <v>-0.26946369999999997</v>
      </c>
      <c r="Z7140">
        <v>8.5652109999999997E-3</v>
      </c>
      <c r="AA7140">
        <v>0.96297250000000001</v>
      </c>
      <c r="AB7140">
        <v>28</v>
      </c>
      <c r="AC7140">
        <v>13.8948</v>
      </c>
      <c r="AD7140">
        <v>-1.1093280885629999</v>
      </c>
      <c r="AE7140">
        <v>4.2969200000000001</v>
      </c>
      <c r="AF7140">
        <v>-3.9429988500666702</v>
      </c>
      <c r="AG7140">
        <v>-1.1093280885629999</v>
      </c>
      <c r="AH7140">
        <v>13.9119316940243</v>
      </c>
      <c r="AI7140">
        <v>94.386994642849899</v>
      </c>
      <c r="AJ7140">
        <v>105.82409228215499</v>
      </c>
      <c r="AK7140">
        <v>14.5024029801581</v>
      </c>
      <c r="AL7140">
        <v>90.502320455199197</v>
      </c>
      <c r="AM7140">
        <v>89.145818226073303</v>
      </c>
      <c r="AN7140">
        <v>1.0000000533273301</v>
      </c>
    </row>
    <row r="7141" spans="1:40" x14ac:dyDescent="0.25">
      <c r="A7141" t="str">
        <f>"20190312160826057"</f>
        <v>20190312160826057</v>
      </c>
      <c r="B7141" t="str">
        <f>"1552378106052596"</f>
        <v>1552378106052596</v>
      </c>
      <c r="C7141" t="s">
        <v>40</v>
      </c>
      <c r="D7141">
        <v>6.1681299999999997</v>
      </c>
      <c r="E7141">
        <v>0.38989550000000001</v>
      </c>
      <c r="F7141" t="s">
        <v>114</v>
      </c>
      <c r="G7141">
        <v>-238.9873</v>
      </c>
      <c r="H7141" s="1">
        <v>-2.999584E-6</v>
      </c>
      <c r="I7141">
        <v>-59.499090000000002</v>
      </c>
      <c r="J7141">
        <v>-252.95</v>
      </c>
      <c r="K7141">
        <v>1.109294</v>
      </c>
      <c r="L7141">
        <v>-63.813690000000001</v>
      </c>
      <c r="M7141">
        <v>0.99968389999999996</v>
      </c>
      <c r="N7141">
        <v>0</v>
      </c>
      <c r="O7141">
        <v>2.3989179999999999E-2</v>
      </c>
      <c r="P7141">
        <v>0.99982649999999995</v>
      </c>
      <c r="Q7141">
        <v>-1.6161099999999901E-2</v>
      </c>
      <c r="R7141">
        <v>9.260786E-3</v>
      </c>
      <c r="S7141">
        <v>2.9885860000000002</v>
      </c>
      <c r="T7141">
        <v>-0.23494370000000001</v>
      </c>
      <c r="U7141">
        <v>0.91458130000000004</v>
      </c>
      <c r="V7141">
        <v>1.4735399999999999E-2</v>
      </c>
      <c r="W7141">
        <v>-8.6113919999999903E-3</v>
      </c>
      <c r="X7141">
        <v>0.99985429999999997</v>
      </c>
      <c r="Y7141">
        <v>-0.26891510000000002</v>
      </c>
      <c r="Z7141">
        <v>8.4794959999999996E-3</v>
      </c>
      <c r="AA7141">
        <v>0.96312660000000005</v>
      </c>
      <c r="AB7141">
        <v>28</v>
      </c>
      <c r="AC7141">
        <v>13.9626999999999</v>
      </c>
      <c r="AD7141">
        <v>-1.1092969995839901</v>
      </c>
      <c r="AE7141">
        <v>4.3145999999999898</v>
      </c>
      <c r="AF7141">
        <v>-3.9556040996037898</v>
      </c>
      <c r="AG7141">
        <v>-1.1092969995839901</v>
      </c>
      <c r="AH7141">
        <v>13.9816304028313</v>
      </c>
      <c r="AI7141">
        <v>94.365671152003699</v>
      </c>
      <c r="AJ7141">
        <v>105.79697030897201</v>
      </c>
      <c r="AK7141">
        <v>14.572691321353901</v>
      </c>
      <c r="AL7141">
        <v>90.493402537965906</v>
      </c>
      <c r="AM7141">
        <v>89.1556618668087</v>
      </c>
      <c r="AN7141">
        <v>0.99999995465691205</v>
      </c>
    </row>
    <row r="7142" spans="1:40" x14ac:dyDescent="0.25">
      <c r="A7142" t="str">
        <f>"20190312160826068"</f>
        <v>20190312160826068</v>
      </c>
      <c r="B7142" t="str">
        <f>"1552378106062354"</f>
        <v>1552378106062354</v>
      </c>
      <c r="C7142" t="s">
        <v>40</v>
      </c>
      <c r="D7142">
        <v>6.1690199999999997</v>
      </c>
      <c r="E7142">
        <v>0.39004230000000001</v>
      </c>
      <c r="F7142" t="s">
        <v>114</v>
      </c>
      <c r="G7142">
        <v>-238.78980000000001</v>
      </c>
      <c r="H7142" s="1">
        <v>-2.9169040000000001E-6</v>
      </c>
      <c r="I7142">
        <v>-59.487459999999999</v>
      </c>
      <c r="J7142">
        <v>-252.8141</v>
      </c>
      <c r="K7142">
        <v>1.1092599999999999</v>
      </c>
      <c r="L7142">
        <v>-63.810180000000003</v>
      </c>
      <c r="M7142">
        <v>0.99967890000000004</v>
      </c>
      <c r="N7142">
        <v>0</v>
      </c>
      <c r="O7142">
        <v>2.41946E-2</v>
      </c>
      <c r="P7142">
        <v>0.99982859999999996</v>
      </c>
      <c r="Q7142">
        <v>-1.5919559999999999E-2</v>
      </c>
      <c r="R7142">
        <v>9.4460599999999992E-3</v>
      </c>
      <c r="S7142">
        <v>2.9882659999999999</v>
      </c>
      <c r="T7142">
        <v>-0.234098</v>
      </c>
      <c r="U7142">
        <v>0.91296390000000005</v>
      </c>
      <c r="V7142">
        <v>1.475485E-2</v>
      </c>
      <c r="W7142">
        <v>-8.3675880000000005E-3</v>
      </c>
      <c r="X7142">
        <v>0.99985610000000003</v>
      </c>
      <c r="Y7142">
        <v>-0.26827640000000003</v>
      </c>
      <c r="Z7142">
        <v>8.4104660000000001E-3</v>
      </c>
      <c r="AA7142">
        <v>0.96330530000000003</v>
      </c>
      <c r="AB7142">
        <v>28</v>
      </c>
      <c r="AC7142">
        <v>14.024299999999901</v>
      </c>
      <c r="AD7142">
        <v>-1.109262916904</v>
      </c>
      <c r="AE7142">
        <v>4.3227200000000003</v>
      </c>
      <c r="AF7142">
        <v>-3.9595105489806102</v>
      </c>
      <c r="AG7142">
        <v>-1.109262916904</v>
      </c>
      <c r="AH7142">
        <v>14.0445426099252</v>
      </c>
      <c r="AI7142">
        <v>94.347177561812799</v>
      </c>
      <c r="AJ7142">
        <v>105.744482057204</v>
      </c>
      <c r="AK7142">
        <v>14.634116479251899</v>
      </c>
      <c r="AL7142">
        <v>90.479433085625701</v>
      </c>
      <c r="AM7142">
        <v>89.154549065662806</v>
      </c>
      <c r="AN7142">
        <v>0.99999997141733399</v>
      </c>
    </row>
    <row r="7143" spans="1:40" x14ac:dyDescent="0.25">
      <c r="A7143" t="str">
        <f>"20190312160826079"</f>
        <v>20190312160826079</v>
      </c>
      <c r="B7143" t="str">
        <f>"1552378106073090"</f>
        <v>1552378106073090</v>
      </c>
      <c r="C7143" t="s">
        <v>40</v>
      </c>
      <c r="D7143">
        <v>6.2029339999999999</v>
      </c>
      <c r="E7143">
        <v>0.3902504</v>
      </c>
      <c r="F7143" t="s">
        <v>114</v>
      </c>
      <c r="G7143">
        <v>-238.6164</v>
      </c>
      <c r="H7143" s="1">
        <v>-2.8446580000000002E-6</v>
      </c>
      <c r="I7143">
        <v>-59.475340000000003</v>
      </c>
      <c r="J7143">
        <v>-252.67310000000001</v>
      </c>
      <c r="K7143">
        <v>1.1092299999999999</v>
      </c>
      <c r="L7143">
        <v>-63.806579999999997</v>
      </c>
      <c r="M7143">
        <v>0.99967410000000001</v>
      </c>
      <c r="N7143">
        <v>0</v>
      </c>
      <c r="O7143">
        <v>2.438881E-2</v>
      </c>
      <c r="P7143">
        <v>0.99983040000000001</v>
      </c>
      <c r="Q7143">
        <v>-1.569547E-2</v>
      </c>
      <c r="R7143">
        <v>9.6457409999999993E-3</v>
      </c>
      <c r="S7143">
        <v>2.9881440000000001</v>
      </c>
      <c r="T7143">
        <v>-0.23346210000000001</v>
      </c>
      <c r="U7143">
        <v>0.912323</v>
      </c>
      <c r="V7143">
        <v>1.474862E-2</v>
      </c>
      <c r="W7143">
        <v>-8.1411239999999996E-3</v>
      </c>
      <c r="X7143">
        <v>0.99985809999999997</v>
      </c>
      <c r="Y7143">
        <v>-0.2679164</v>
      </c>
      <c r="Z7143">
        <v>8.3597540000000005E-3</v>
      </c>
      <c r="AA7143">
        <v>0.96340590000000004</v>
      </c>
      <c r="AB7143">
        <v>28</v>
      </c>
      <c r="AC7143">
        <v>14.056699999999999</v>
      </c>
      <c r="AD7143">
        <v>-1.109232844658</v>
      </c>
      <c r="AE7143">
        <v>4.3312400000000002</v>
      </c>
      <c r="AF7143">
        <v>-3.9645689260739898</v>
      </c>
      <c r="AG7143">
        <v>-1.109232844658</v>
      </c>
      <c r="AH7143">
        <v>14.0780924496871</v>
      </c>
      <c r="AI7143">
        <v>94.337092646691303</v>
      </c>
      <c r="AJ7143">
        <v>105.727891223152</v>
      </c>
      <c r="AK7143">
        <v>14.66768186508</v>
      </c>
      <c r="AL7143">
        <v>90.466457193798902</v>
      </c>
      <c r="AM7143">
        <v>89.154907682230402</v>
      </c>
      <c r="AN7143">
        <v>1.0000000099137401</v>
      </c>
    </row>
    <row r="7144" spans="1:40" x14ac:dyDescent="0.25">
      <c r="A7144" t="str">
        <f>"20190312160826090"</f>
        <v>20190312160826090</v>
      </c>
      <c r="B7144" t="str">
        <f>"1552378106082850"</f>
        <v>1552378106082850</v>
      </c>
      <c r="C7144" t="s">
        <v>40</v>
      </c>
      <c r="D7144">
        <v>6.1890479999999997</v>
      </c>
      <c r="E7144">
        <v>0.39040750000000002</v>
      </c>
      <c r="F7144" t="s">
        <v>114</v>
      </c>
      <c r="G7144">
        <v>-238.47890000000001</v>
      </c>
      <c r="H7144" s="1">
        <v>-2.7852349999999999E-6</v>
      </c>
      <c r="I7144">
        <v>-59.477910000000001</v>
      </c>
      <c r="J7144">
        <v>-252.5273</v>
      </c>
      <c r="K7144">
        <v>1.1091959999999901</v>
      </c>
      <c r="L7144">
        <v>-63.80283</v>
      </c>
      <c r="M7144">
        <v>0.99966969999999999</v>
      </c>
      <c r="N7144">
        <v>0</v>
      </c>
      <c r="O7144">
        <v>2.4568880000000001E-2</v>
      </c>
      <c r="P7144">
        <v>0.99982749999999998</v>
      </c>
      <c r="Q7144">
        <v>-1.561915E-2</v>
      </c>
      <c r="R7144">
        <v>1.005604E-2</v>
      </c>
      <c r="S7144">
        <v>2.9880520000000002</v>
      </c>
      <c r="T7144">
        <v>-0.23350670000000001</v>
      </c>
      <c r="U7144">
        <v>0.91122440000000005</v>
      </c>
      <c r="V7144">
        <v>1.451769E-2</v>
      </c>
      <c r="W7144">
        <v>-8.0624459999999992E-3</v>
      </c>
      <c r="X7144">
        <v>0.99986209999999998</v>
      </c>
      <c r="Y7144">
        <v>-0.26742850000000001</v>
      </c>
      <c r="Z7144">
        <v>8.3296989999999994E-3</v>
      </c>
      <c r="AA7144">
        <v>0.96354169999999995</v>
      </c>
      <c r="AB7144">
        <v>28</v>
      </c>
      <c r="AC7144">
        <v>14.0483999999999</v>
      </c>
      <c r="AD7144">
        <v>-1.10919878523499</v>
      </c>
      <c r="AE7144">
        <v>4.3249200000000103</v>
      </c>
      <c r="AF7144">
        <v>-3.9559249604440998</v>
      </c>
      <c r="AG7144">
        <v>-1.10919878523499</v>
      </c>
      <c r="AH7144">
        <v>14.0703002228576</v>
      </c>
      <c r="AI7144">
        <v>94.339869329706204</v>
      </c>
      <c r="AJ7144">
        <v>105.703554736226</v>
      </c>
      <c r="AK7144">
        <v>14.657865212887501</v>
      </c>
      <c r="AL7144">
        <v>90.461949136504998</v>
      </c>
      <c r="AM7144">
        <v>89.168141367953098</v>
      </c>
      <c r="AN7144">
        <v>0.99999999268742401</v>
      </c>
    </row>
    <row r="7145" spans="1:40" x14ac:dyDescent="0.25">
      <c r="A7145" t="str">
        <f>"20190312160826101"</f>
        <v>20190312160826101</v>
      </c>
      <c r="B7145" t="str">
        <f>"1552378106092611"</f>
        <v>1552378106092611</v>
      </c>
      <c r="C7145" t="s">
        <v>40</v>
      </c>
      <c r="D7145">
        <v>6.2164830000000002</v>
      </c>
      <c r="E7145">
        <v>0.39061639999999997</v>
      </c>
      <c r="F7145" t="s">
        <v>114</v>
      </c>
      <c r="G7145">
        <v>-238.31039999999999</v>
      </c>
      <c r="H7145" s="1">
        <v>-2.7149399999999999E-6</v>
      </c>
      <c r="I7145">
        <v>-59.466639999999998</v>
      </c>
      <c r="J7145">
        <v>-252.39760000000001</v>
      </c>
      <c r="K7145">
        <v>1.109167</v>
      </c>
      <c r="L7145">
        <v>-63.799500000000002</v>
      </c>
      <c r="M7145">
        <v>0.99966639999999996</v>
      </c>
      <c r="N7145">
        <v>0</v>
      </c>
      <c r="O7145">
        <v>2.470081E-2</v>
      </c>
      <c r="P7145">
        <v>0.99982570000000004</v>
      </c>
      <c r="Q7145">
        <v>-1.5726509999999999E-2</v>
      </c>
      <c r="R7145">
        <v>1.00635E-2</v>
      </c>
      <c r="S7145">
        <v>2.9877319999999998</v>
      </c>
      <c r="T7145">
        <v>-0.23310259999999999</v>
      </c>
      <c r="U7145">
        <v>0.91125489999999998</v>
      </c>
      <c r="V7145">
        <v>1.464154E-2</v>
      </c>
      <c r="W7145">
        <v>-8.1675350000000001E-3</v>
      </c>
      <c r="X7145">
        <v>0.99985950000000001</v>
      </c>
      <c r="Y7145">
        <v>-0.26734210000000003</v>
      </c>
      <c r="Z7145">
        <v>8.302841E-3</v>
      </c>
      <c r="AA7145">
        <v>0.96356589999999998</v>
      </c>
      <c r="AB7145">
        <v>28</v>
      </c>
      <c r="AC7145">
        <v>14.087199999999999</v>
      </c>
      <c r="AD7145">
        <v>-1.1091697149399999</v>
      </c>
      <c r="AE7145">
        <v>4.3328599999999904</v>
      </c>
      <c r="AF7145">
        <v>-3.9611286203271701</v>
      </c>
      <c r="AG7145">
        <v>-1.1091697149399999</v>
      </c>
      <c r="AH7145">
        <v>14.1100166895071</v>
      </c>
      <c r="AI7145">
        <v>94.328061495251802</v>
      </c>
      <c r="AJ7145">
        <v>105.68111322623</v>
      </c>
      <c r="AK7145">
        <v>14.6973932512362</v>
      </c>
      <c r="AL7145">
        <v>90.467970463453099</v>
      </c>
      <c r="AM7145">
        <v>89.161043634392499</v>
      </c>
      <c r="AN7145">
        <v>1.00000005153089</v>
      </c>
    </row>
    <row r="7146" spans="1:40" x14ac:dyDescent="0.25">
      <c r="A7146" t="str">
        <f>"20190312160826112"</f>
        <v>20190312160826112</v>
      </c>
      <c r="B7146" t="str">
        <f>"1552378106102370"</f>
        <v>1552378106102370</v>
      </c>
      <c r="C7146" t="s">
        <v>40</v>
      </c>
      <c r="D7146">
        <v>6.2159680000000002</v>
      </c>
      <c r="E7146">
        <v>0.39079560000000002</v>
      </c>
      <c r="F7146" t="s">
        <v>114</v>
      </c>
      <c r="G7146">
        <v>-238.22069999999999</v>
      </c>
      <c r="H7146" s="1">
        <v>-2.6736320000000002E-6</v>
      </c>
      <c r="I7146">
        <v>-59.482700000000001</v>
      </c>
      <c r="J7146">
        <v>-252.2621</v>
      </c>
      <c r="K7146">
        <v>1.109138</v>
      </c>
      <c r="L7146">
        <v>-63.795990000000003</v>
      </c>
      <c r="M7146">
        <v>0.99966330000000003</v>
      </c>
      <c r="N7146">
        <v>0</v>
      </c>
      <c r="O7146">
        <v>2.482736E-2</v>
      </c>
      <c r="P7146">
        <v>0.99982389999999999</v>
      </c>
      <c r="Q7146">
        <v>-1.563604E-2</v>
      </c>
      <c r="R7146">
        <v>1.038157E-2</v>
      </c>
      <c r="S7146">
        <v>2.9877009999999999</v>
      </c>
      <c r="T7146">
        <v>-0.23375180000000001</v>
      </c>
      <c r="U7146">
        <v>0.90972900000000001</v>
      </c>
      <c r="V7146">
        <v>1.444958E-2</v>
      </c>
      <c r="W7146">
        <v>-8.0748139999999996E-3</v>
      </c>
      <c r="X7146">
        <v>0.99986299999999995</v>
      </c>
      <c r="Y7146">
        <v>-0.26677060000000002</v>
      </c>
      <c r="Z7146">
        <v>8.2951039999999993E-3</v>
      </c>
      <c r="AA7146">
        <v>0.96372440000000004</v>
      </c>
      <c r="AB7146">
        <v>28</v>
      </c>
      <c r="AC7146">
        <v>14.041399999999999</v>
      </c>
      <c r="AD7146">
        <v>-1.109140673632</v>
      </c>
      <c r="AE7146">
        <v>4.3132900000000003</v>
      </c>
      <c r="AF7146">
        <v>-3.9408705632544998</v>
      </c>
      <c r="AG7146">
        <v>-1.109140673632</v>
      </c>
      <c r="AH7146">
        <v>14.0639759969116</v>
      </c>
      <c r="AI7146">
        <v>94.342649201055593</v>
      </c>
      <c r="AJ7146">
        <v>105.653417763828</v>
      </c>
      <c r="AK7146">
        <v>14.647732748515599</v>
      </c>
      <c r="AL7146">
        <v>90.462657787677401</v>
      </c>
      <c r="AM7146">
        <v>89.172044248071899</v>
      </c>
      <c r="AN7146">
        <v>1.00000000587615</v>
      </c>
    </row>
    <row r="7147" spans="1:40" x14ac:dyDescent="0.25">
      <c r="A7147" t="str">
        <f>"20190312160826122"</f>
        <v>20190312160826122</v>
      </c>
      <c r="B7147" t="str">
        <f>"1552378106113107"</f>
        <v>1552378106113107</v>
      </c>
      <c r="C7147" t="s">
        <v>40</v>
      </c>
      <c r="D7147">
        <v>6.2819649999999996</v>
      </c>
      <c r="E7147">
        <v>0.39119930000000003</v>
      </c>
      <c r="F7147" t="s">
        <v>114</v>
      </c>
      <c r="G7147">
        <v>-238.0686</v>
      </c>
      <c r="H7147" s="1">
        <v>-2.609526E-6</v>
      </c>
      <c r="I7147">
        <v>-59.476120000000002</v>
      </c>
      <c r="J7147">
        <v>-252.1277</v>
      </c>
      <c r="K7147">
        <v>1.1091059999999999</v>
      </c>
      <c r="L7147">
        <v>-63.792540000000002</v>
      </c>
      <c r="M7147">
        <v>0.99966089999999996</v>
      </c>
      <c r="N7147">
        <v>0</v>
      </c>
      <c r="O7147">
        <v>2.4916290000000001E-2</v>
      </c>
      <c r="P7147">
        <v>0.99982950000000004</v>
      </c>
      <c r="Q7147">
        <v>-1.53652999999999E-2</v>
      </c>
      <c r="R7147">
        <v>1.023285E-2</v>
      </c>
      <c r="S7147">
        <v>2.987473</v>
      </c>
      <c r="T7147">
        <v>-0.23345350000000001</v>
      </c>
      <c r="U7147">
        <v>0.90924070000000001</v>
      </c>
      <c r="V7147">
        <v>1.4686370000000001E-2</v>
      </c>
      <c r="W7147">
        <v>-7.8016759999999996E-3</v>
      </c>
      <c r="X7147">
        <v>0.99986169999999996</v>
      </c>
      <c r="Y7147">
        <v>-0.26656370000000001</v>
      </c>
      <c r="Z7147">
        <v>8.2706780000000001E-3</v>
      </c>
      <c r="AA7147">
        <v>0.96378180000000002</v>
      </c>
      <c r="AB7147">
        <v>28</v>
      </c>
      <c r="AC7147">
        <v>14.059100000000001</v>
      </c>
      <c r="AD7147">
        <v>-1.1091086095260001</v>
      </c>
      <c r="AE7147">
        <v>4.3164199999999999</v>
      </c>
      <c r="AF7147">
        <v>-3.9423475845313298</v>
      </c>
      <c r="AG7147">
        <v>-1.1091086095260001</v>
      </c>
      <c r="AH7147">
        <v>14.082196441121701</v>
      </c>
      <c r="AI7147">
        <v>94.3372160790599</v>
      </c>
      <c r="AJ7147">
        <v>105.639728338186</v>
      </c>
      <c r="AK7147">
        <v>14.6656224890499</v>
      </c>
      <c r="AL7147">
        <v>90.447007648258307</v>
      </c>
      <c r="AM7147">
        <v>89.158477107444497</v>
      </c>
      <c r="AN7147">
        <v>0.99999998736953699</v>
      </c>
    </row>
    <row r="7148" spans="1:40" x14ac:dyDescent="0.25">
      <c r="A7148" t="str">
        <f>"20190312160826134"</f>
        <v>20190312160826134</v>
      </c>
      <c r="B7148" t="str">
        <f>"1552378106122880"</f>
        <v>1552378106122880</v>
      </c>
      <c r="C7148" t="s">
        <v>40</v>
      </c>
      <c r="D7148">
        <v>5.9070400000000003</v>
      </c>
      <c r="E7148">
        <v>0.39152009999999998</v>
      </c>
      <c r="F7148" t="s">
        <v>114</v>
      </c>
      <c r="G7148">
        <v>-238.0061</v>
      </c>
      <c r="H7148" s="1">
        <v>-2.576239E-6</v>
      </c>
      <c r="I7148">
        <v>-59.512540000000001</v>
      </c>
      <c r="J7148">
        <v>-251.98750000000001</v>
      </c>
      <c r="K7148">
        <v>1.1090739999999999</v>
      </c>
      <c r="L7148">
        <v>-63.788939999999997</v>
      </c>
      <c r="M7148">
        <v>0.99965890000000002</v>
      </c>
      <c r="N7148">
        <v>0</v>
      </c>
      <c r="O7148">
        <v>2.5001019999999999E-2</v>
      </c>
      <c r="P7148">
        <v>0.99983160000000004</v>
      </c>
      <c r="Q7148">
        <v>-1.510746E-2</v>
      </c>
      <c r="R7148">
        <v>1.0435170000000001E-2</v>
      </c>
      <c r="S7148">
        <v>2.9876559999999999</v>
      </c>
      <c r="T7148">
        <v>-0.2346491</v>
      </c>
      <c r="U7148">
        <v>0.90548709999999999</v>
      </c>
      <c r="V7148">
        <v>1.456823E-2</v>
      </c>
      <c r="W7148">
        <v>-7.5414519999999997E-3</v>
      </c>
      <c r="X7148">
        <v>0.99986540000000002</v>
      </c>
      <c r="Y7148">
        <v>-0.26535320000000001</v>
      </c>
      <c r="Z7148">
        <v>8.2609899999999993E-3</v>
      </c>
      <c r="AA7148">
        <v>0.96411590000000003</v>
      </c>
      <c r="AB7148">
        <v>28</v>
      </c>
      <c r="AC7148">
        <v>13.981400000000001</v>
      </c>
      <c r="AD7148">
        <v>-1.10907657623899</v>
      </c>
      <c r="AE7148">
        <v>4.2763999999999998</v>
      </c>
      <c r="AF7148">
        <v>-3.90304524535558</v>
      </c>
      <c r="AG7148">
        <v>-1.10907657623899</v>
      </c>
      <c r="AH7148">
        <v>14.003369273845999</v>
      </c>
      <c r="AI7148">
        <v>94.362797253706404</v>
      </c>
      <c r="AJ7148">
        <v>105.574316344945</v>
      </c>
      <c r="AK7148">
        <v>14.579374611379899</v>
      </c>
      <c r="AL7148">
        <v>90.432097483099</v>
      </c>
      <c r="AM7148">
        <v>89.165248607114506</v>
      </c>
      <c r="AN7148">
        <v>0.99999996247037903</v>
      </c>
    </row>
    <row r="7149" spans="1:40" x14ac:dyDescent="0.25">
      <c r="A7149" t="str">
        <f>"20190312160826145"</f>
        <v>20190312160826145</v>
      </c>
      <c r="B7149" t="str">
        <f>"1552378106132627"</f>
        <v>1552378106132627</v>
      </c>
      <c r="C7149" t="s">
        <v>40</v>
      </c>
      <c r="D7149">
        <v>6.0074529999999999</v>
      </c>
      <c r="E7149">
        <v>0.39152009999999998</v>
      </c>
      <c r="F7149" t="s">
        <v>114</v>
      </c>
      <c r="G7149">
        <v>-237.72540000000001</v>
      </c>
      <c r="H7149" s="1">
        <v>-2.4622610000000001E-6</v>
      </c>
      <c r="I7149">
        <v>-59.476309999999998</v>
      </c>
      <c r="J7149">
        <v>-251.84389999999999</v>
      </c>
      <c r="K7149">
        <v>1.1090370000000001</v>
      </c>
      <c r="L7149">
        <v>-63.78528</v>
      </c>
      <c r="M7149">
        <v>0.99965760000000004</v>
      </c>
      <c r="N7149">
        <v>0</v>
      </c>
      <c r="O7149">
        <v>2.505133E-2</v>
      </c>
      <c r="P7149">
        <v>0.99983630000000001</v>
      </c>
      <c r="Q7149">
        <v>-1.475189E-2</v>
      </c>
      <c r="R7149">
        <v>1.049485E-2</v>
      </c>
      <c r="S7149">
        <v>2.9875790000000002</v>
      </c>
      <c r="T7149">
        <v>-0.23232520000000001</v>
      </c>
      <c r="U7149">
        <v>0.90338130000000005</v>
      </c>
      <c r="V7149">
        <v>1.455822E-2</v>
      </c>
      <c r="W7149">
        <v>-7.183259E-3</v>
      </c>
      <c r="X7149">
        <v>0.99986819999999998</v>
      </c>
      <c r="Y7149">
        <v>-0.26470399999999999</v>
      </c>
      <c r="Z7149">
        <v>8.1519479999999991E-3</v>
      </c>
      <c r="AA7149">
        <v>0.96429529999999997</v>
      </c>
      <c r="AB7149">
        <v>28</v>
      </c>
      <c r="AC7149">
        <v>14.1184999999999</v>
      </c>
      <c r="AD7149">
        <v>-1.109039462261</v>
      </c>
      <c r="AE7149">
        <v>4.3089700000000004</v>
      </c>
      <c r="AF7149">
        <v>-3.9317270338952102</v>
      </c>
      <c r="AG7149">
        <v>-1.109039462261</v>
      </c>
      <c r="AH7149">
        <v>14.142189463034899</v>
      </c>
      <c r="AI7149">
        <v>94.320777880775907</v>
      </c>
      <c r="AJ7149">
        <v>105.536676645821</v>
      </c>
      <c r="AK7149">
        <v>14.7203929569251</v>
      </c>
      <c r="AL7149">
        <v>90.411573971953999</v>
      </c>
      <c r="AM7149">
        <v>89.1658244290889</v>
      </c>
      <c r="AN7149">
        <v>0.99999997917533401</v>
      </c>
    </row>
    <row r="7150" spans="1:40" x14ac:dyDescent="0.25">
      <c r="A7150" t="str">
        <f>"20190312160826157"</f>
        <v>20190312160826157</v>
      </c>
      <c r="B7150" t="str">
        <f>"1552378106153123"</f>
        <v>1552378106153123</v>
      </c>
      <c r="C7150" t="s">
        <v>40</v>
      </c>
      <c r="D7150">
        <v>6.1491769999999999</v>
      </c>
      <c r="E7150">
        <v>0.44698909999999997</v>
      </c>
      <c r="F7150" t="s">
        <v>114</v>
      </c>
      <c r="G7150">
        <v>-237.5532</v>
      </c>
      <c r="H7150" s="1">
        <v>-2.3906259999999999E-6</v>
      </c>
      <c r="I7150">
        <v>-59.463729999999998</v>
      </c>
      <c r="J7150">
        <v>-251.70429999999999</v>
      </c>
      <c r="K7150">
        <v>1.1090070000000001</v>
      </c>
      <c r="L7150">
        <v>-63.781739999999999</v>
      </c>
      <c r="M7150">
        <v>0.99965649999999995</v>
      </c>
      <c r="N7150">
        <v>0</v>
      </c>
      <c r="O7150">
        <v>2.5093000000000001E-2</v>
      </c>
      <c r="P7150">
        <v>0.99983770000000005</v>
      </c>
      <c r="Q7150">
        <v>-1.4518730000000001E-2</v>
      </c>
      <c r="R7150">
        <v>1.066347E-2</v>
      </c>
      <c r="S7150">
        <v>2.9875949999999998</v>
      </c>
      <c r="T7150">
        <v>-0.2318538</v>
      </c>
      <c r="U7150">
        <v>0.90344239999999998</v>
      </c>
      <c r="V7150">
        <v>1.443097E-2</v>
      </c>
      <c r="W7150">
        <v>-6.9475250000000004E-3</v>
      </c>
      <c r="X7150">
        <v>0.99987170000000003</v>
      </c>
      <c r="Y7150">
        <v>-0.26468340000000001</v>
      </c>
      <c r="Z7150">
        <v>8.1314590000000006E-3</v>
      </c>
      <c r="AA7150">
        <v>0.96430110000000002</v>
      </c>
      <c r="AB7150">
        <v>28</v>
      </c>
      <c r="AC7150">
        <v>14.1510999999999</v>
      </c>
      <c r="AD7150">
        <v>-1.1090093906259999</v>
      </c>
      <c r="AE7150">
        <v>4.3180099999999904</v>
      </c>
      <c r="AF7150">
        <v>-3.9394126332038901</v>
      </c>
      <c r="AG7150">
        <v>-1.1090093906259999</v>
      </c>
      <c r="AH7150">
        <v>14.175353354414799</v>
      </c>
      <c r="AI7150">
        <v>94.310710868802801</v>
      </c>
      <c r="AJ7150">
        <v>105.530919411108</v>
      </c>
      <c r="AK7150">
        <v>14.754305013983601</v>
      </c>
      <c r="AL7150">
        <v>90.3980670753769</v>
      </c>
      <c r="AM7150">
        <v>89.173117640105204</v>
      </c>
      <c r="AN7150">
        <v>0.99999996872982699</v>
      </c>
    </row>
    <row r="7151" spans="1:40" x14ac:dyDescent="0.25">
      <c r="A7151" t="str">
        <f>"20190312160826167"</f>
        <v>20190312160826167</v>
      </c>
      <c r="B7151" t="str">
        <f>"1552378106162882"</f>
        <v>1552378106162882</v>
      </c>
      <c r="C7151" t="s">
        <v>40</v>
      </c>
      <c r="D7151">
        <v>6.0525219999999997</v>
      </c>
      <c r="E7151">
        <v>0.44971840000000002</v>
      </c>
      <c r="F7151" t="s">
        <v>116</v>
      </c>
      <c r="G7151">
        <v>-222.4948</v>
      </c>
      <c r="H7151" s="1">
        <v>-4.234398E-7</v>
      </c>
      <c r="I7151">
        <v>-59.320160000000001</v>
      </c>
      <c r="J7151">
        <v>-251.5608</v>
      </c>
      <c r="K7151">
        <v>1.108978</v>
      </c>
      <c r="L7151">
        <v>-63.77805</v>
      </c>
      <c r="M7151">
        <v>0.99965599999999999</v>
      </c>
      <c r="N7151">
        <v>0</v>
      </c>
      <c r="O7151">
        <v>2.5113719999999999E-2</v>
      </c>
      <c r="P7151">
        <v>0.99983739999999999</v>
      </c>
      <c r="Q7151">
        <v>-1.4619750000000001E-2</v>
      </c>
      <c r="R7151">
        <v>1.056259E-2</v>
      </c>
      <c r="S7151">
        <v>2.9939420000000001</v>
      </c>
      <c r="T7151">
        <v>-0.11367190000000001</v>
      </c>
      <c r="U7151">
        <v>0.45730589999999999</v>
      </c>
      <c r="V7151">
        <v>1.4551990000000001E-2</v>
      </c>
      <c r="W7151">
        <v>-7.0457339999999997E-3</v>
      </c>
      <c r="X7151">
        <v>0.99986929999999996</v>
      </c>
      <c r="Y7151">
        <v>-0.1260474</v>
      </c>
      <c r="Z7151">
        <v>1.4310340000000001E-3</v>
      </c>
      <c r="AA7151">
        <v>0.99202319999999999</v>
      </c>
      <c r="AB7151">
        <v>28</v>
      </c>
      <c r="AC7151">
        <v>29.065999999999999</v>
      </c>
      <c r="AD7151">
        <v>-1.1089784234397999</v>
      </c>
      <c r="AE7151">
        <v>4.4578899999999999</v>
      </c>
      <c r="AF7151">
        <v>-3.7212151226418202</v>
      </c>
      <c r="AG7151">
        <v>-1.1089784234397999</v>
      </c>
      <c r="AH7151">
        <v>29.127362882002199</v>
      </c>
      <c r="AI7151">
        <v>92.162831056487306</v>
      </c>
      <c r="AJ7151">
        <v>97.280479301183604</v>
      </c>
      <c r="AK7151">
        <v>29.385039451946898</v>
      </c>
      <c r="AL7151">
        <v>90.403694157865104</v>
      </c>
      <c r="AM7151">
        <v>89.166182270404093</v>
      </c>
      <c r="AN7151">
        <v>1.0000000099315201</v>
      </c>
    </row>
    <row r="7152" spans="1:40" x14ac:dyDescent="0.25">
      <c r="A7152" t="str">
        <f>"20190312160826180"</f>
        <v>20190312160826180</v>
      </c>
      <c r="B7152" t="str">
        <f>"1552378106172643"</f>
        <v>1552378106172643</v>
      </c>
      <c r="C7152" t="s">
        <v>40</v>
      </c>
      <c r="D7152">
        <v>6.0670299999999999</v>
      </c>
      <c r="E7152">
        <v>0.45090580000000002</v>
      </c>
      <c r="F7152" t="s">
        <v>116</v>
      </c>
      <c r="G7152">
        <v>-223.0112</v>
      </c>
      <c r="H7152" s="1">
        <v>-5.7710119999999996E-7</v>
      </c>
      <c r="I7152">
        <v>-59.62715</v>
      </c>
      <c r="J7152">
        <v>-251.4076</v>
      </c>
      <c r="K7152">
        <v>1.1089519999999999</v>
      </c>
      <c r="L7152">
        <v>-63.7742</v>
      </c>
      <c r="M7152">
        <v>0.99965570000000004</v>
      </c>
      <c r="N7152">
        <v>0</v>
      </c>
      <c r="O7152">
        <v>2.5119120000000002E-2</v>
      </c>
      <c r="P7152">
        <v>0.9998378</v>
      </c>
      <c r="Q7152">
        <v>-1.4855520000000001E-2</v>
      </c>
      <c r="R7152">
        <v>1.017877E-2</v>
      </c>
      <c r="S7152">
        <v>2.994202</v>
      </c>
      <c r="T7152">
        <v>-0.1163064</v>
      </c>
      <c r="U7152">
        <v>0.43533329999999998</v>
      </c>
      <c r="V7152">
        <v>1.494068E-2</v>
      </c>
      <c r="W7152">
        <v>-7.2784850000000003E-3</v>
      </c>
      <c r="X7152">
        <v>0.99986189999999997</v>
      </c>
      <c r="Y7152">
        <v>-0.1189062</v>
      </c>
      <c r="Z7152">
        <v>1.3266879999999999E-3</v>
      </c>
      <c r="AA7152">
        <v>0.99290460000000003</v>
      </c>
      <c r="AB7152">
        <v>28</v>
      </c>
      <c r="AC7152">
        <v>28.3964</v>
      </c>
      <c r="AD7152">
        <v>-1.1089525771012001</v>
      </c>
      <c r="AE7152">
        <v>4.1470500000000001</v>
      </c>
      <c r="AF7152">
        <v>-3.4273104446648501</v>
      </c>
      <c r="AG7152">
        <v>-1.1089525771012001</v>
      </c>
      <c r="AH7152">
        <v>28.4491308531891</v>
      </c>
      <c r="AI7152">
        <v>92.216261672263599</v>
      </c>
      <c r="AJ7152">
        <v>96.869405331965893</v>
      </c>
      <c r="AK7152">
        <v>28.676284260765801</v>
      </c>
      <c r="AL7152">
        <v>90.417030149895098</v>
      </c>
      <c r="AM7152">
        <v>89.143907571687606</v>
      </c>
      <c r="AN7152">
        <v>1.0000000096671799</v>
      </c>
    </row>
    <row r="7153" spans="1:40" x14ac:dyDescent="0.25">
      <c r="A7153" t="str">
        <f>"20190312160826190"</f>
        <v>20190312160826190</v>
      </c>
      <c r="B7153" t="str">
        <f>"1552378106182404"</f>
        <v>1552378106182404</v>
      </c>
      <c r="C7153" t="s">
        <v>40</v>
      </c>
      <c r="D7153">
        <v>6.1757559999999998</v>
      </c>
      <c r="E7153">
        <v>0.4517005</v>
      </c>
      <c r="F7153" t="s">
        <v>116</v>
      </c>
      <c r="G7153">
        <v>-223.00069999999999</v>
      </c>
      <c r="H7153" s="1">
        <v>-5.4663509999999898E-7</v>
      </c>
      <c r="I7153">
        <v>-59.744540000000001</v>
      </c>
      <c r="J7153">
        <v>-251.27770000000001</v>
      </c>
      <c r="K7153">
        <v>1.1089329999999999</v>
      </c>
      <c r="L7153">
        <v>-63.770940000000003</v>
      </c>
      <c r="M7153">
        <v>0.99965599999999999</v>
      </c>
      <c r="N7153">
        <v>0</v>
      </c>
      <c r="O7153">
        <v>2.5110270000000001E-2</v>
      </c>
      <c r="P7153">
        <v>0.99983929999999999</v>
      </c>
      <c r="Q7153">
        <v>-1.4936029999999999E-2</v>
      </c>
      <c r="R7153">
        <v>9.9158630000000005E-3</v>
      </c>
      <c r="S7153">
        <v>2.9944310000000001</v>
      </c>
      <c r="T7153">
        <v>-0.1168969</v>
      </c>
      <c r="U7153">
        <v>0.42477419999999999</v>
      </c>
      <c r="V7153">
        <v>1.51942E-2</v>
      </c>
      <c r="W7153">
        <v>-7.3563980000000001E-3</v>
      </c>
      <c r="X7153">
        <v>0.99985749999999995</v>
      </c>
      <c r="Y7153">
        <v>-0.11547490000000001</v>
      </c>
      <c r="Z7153">
        <v>1.267364E-3</v>
      </c>
      <c r="AA7153">
        <v>0.99330960000000001</v>
      </c>
      <c r="AB7153">
        <v>28</v>
      </c>
      <c r="AC7153">
        <v>28.277000000000001</v>
      </c>
      <c r="AD7153">
        <v>-1.1089335466351</v>
      </c>
      <c r="AE7153">
        <v>4.0263999999999998</v>
      </c>
      <c r="AF7153">
        <v>-3.3100772912153098</v>
      </c>
      <c r="AG7153">
        <v>-1.1089335466351</v>
      </c>
      <c r="AH7153">
        <v>28.326491081505399</v>
      </c>
      <c r="AI7153">
        <v>92.226750530223896</v>
      </c>
      <c r="AJ7153">
        <v>96.665041038341698</v>
      </c>
      <c r="AK7153">
        <v>28.540785593169598</v>
      </c>
      <c r="AL7153">
        <v>90.421494359387594</v>
      </c>
      <c r="AM7153">
        <v>89.129379407144896</v>
      </c>
      <c r="AN7153">
        <v>1.0000000003057099</v>
      </c>
    </row>
    <row r="7154" spans="1:40" x14ac:dyDescent="0.25">
      <c r="A7154" t="str">
        <f>"20190312160826201"</f>
        <v>20190312160826201</v>
      </c>
      <c r="B7154" t="str">
        <f>"1552378106193139"</f>
        <v>1552378106193139</v>
      </c>
      <c r="C7154" t="s">
        <v>40</v>
      </c>
      <c r="D7154">
        <v>6.1857059999999997</v>
      </c>
      <c r="E7154">
        <v>0.45227610000000001</v>
      </c>
      <c r="F7154" t="s">
        <v>116</v>
      </c>
      <c r="G7154">
        <v>-222.44049999999999</v>
      </c>
      <c r="H7154" s="1">
        <v>-3.0527129999999998E-7</v>
      </c>
      <c r="I7154">
        <v>-59.749229999999997</v>
      </c>
      <c r="J7154">
        <v>-251.1388</v>
      </c>
      <c r="K7154">
        <v>1.1089150000000001</v>
      </c>
      <c r="L7154">
        <v>-63.76746</v>
      </c>
      <c r="M7154">
        <v>0.99965669999999995</v>
      </c>
      <c r="N7154">
        <v>0</v>
      </c>
      <c r="O7154">
        <v>2.5079400000000002E-2</v>
      </c>
      <c r="P7154">
        <v>0.99984490000000004</v>
      </c>
      <c r="Q7154">
        <v>-1.4864530000000001E-2</v>
      </c>
      <c r="R7154">
        <v>9.4340989999999996E-3</v>
      </c>
      <c r="S7154">
        <v>2.9945979999999999</v>
      </c>
      <c r="T7154">
        <v>-0.11515690000000001</v>
      </c>
      <c r="U7154">
        <v>0.41763309999999998</v>
      </c>
      <c r="V7154">
        <v>1.5644809999999999E-2</v>
      </c>
      <c r="W7154">
        <v>-7.2821769999999999E-3</v>
      </c>
      <c r="X7154">
        <v>0.99985109999999999</v>
      </c>
      <c r="Y7154">
        <v>-0.113178399999999</v>
      </c>
      <c r="Z7154">
        <v>1.205895E-3</v>
      </c>
      <c r="AA7154">
        <v>0.99357399999999996</v>
      </c>
      <c r="AB7154">
        <v>28</v>
      </c>
      <c r="AC7154">
        <v>28.6983</v>
      </c>
      <c r="AD7154">
        <v>-1.1089153052712999</v>
      </c>
      <c r="AE7154">
        <v>4.0182299999999902</v>
      </c>
      <c r="AF7154">
        <v>-3.2923879081143701</v>
      </c>
      <c r="AG7154">
        <v>-1.1089153052712999</v>
      </c>
      <c r="AH7154">
        <v>28.747952665333401</v>
      </c>
      <c r="AI7154">
        <v>92.194683921302101</v>
      </c>
      <c r="AJ7154">
        <v>96.533391006382899</v>
      </c>
      <c r="AK7154">
        <v>28.957111280996401</v>
      </c>
      <c r="AL7154">
        <v>90.417241692973704</v>
      </c>
      <c r="AM7154">
        <v>89.1035580793626</v>
      </c>
      <c r="AN7154">
        <v>1.0000000061765</v>
      </c>
    </row>
    <row r="7155" spans="1:40" x14ac:dyDescent="0.25">
      <c r="A7155" t="str">
        <f>"20190312160826211"</f>
        <v>20190312160826211</v>
      </c>
      <c r="B7155" t="str">
        <f>"1552378106202899"</f>
        <v>1552378106202899</v>
      </c>
      <c r="C7155" t="s">
        <v>40</v>
      </c>
      <c r="D7155">
        <v>6.1643549999999996</v>
      </c>
      <c r="E7155">
        <v>0.45250570000000001</v>
      </c>
      <c r="F7155" t="s">
        <v>116</v>
      </c>
      <c r="G7155">
        <v>-221.89869999999999</v>
      </c>
      <c r="H7155" s="1">
        <v>-7.2825970000000003E-8</v>
      </c>
      <c r="I7155">
        <v>-59.749270000000003</v>
      </c>
      <c r="J7155">
        <v>-251.00049999999999</v>
      </c>
      <c r="K7155">
        <v>1.108889</v>
      </c>
      <c r="L7155">
        <v>-63.764009999999999</v>
      </c>
      <c r="M7155">
        <v>0.99965780000000004</v>
      </c>
      <c r="N7155">
        <v>0</v>
      </c>
      <c r="O7155">
        <v>2.5038709999999999E-2</v>
      </c>
      <c r="P7155">
        <v>0.9998534</v>
      </c>
      <c r="Q7155">
        <v>-1.460385E-2</v>
      </c>
      <c r="R7155">
        <v>8.9462859999999995E-3</v>
      </c>
      <c r="S7155">
        <v>2.994904</v>
      </c>
      <c r="T7155">
        <v>-0.1135799</v>
      </c>
      <c r="U7155">
        <v>0.41156009999999998</v>
      </c>
      <c r="V7155">
        <v>1.6091419999999999E-2</v>
      </c>
      <c r="W7155">
        <v>-7.0188119999999897E-3</v>
      </c>
      <c r="X7155">
        <v>0.99984589999999995</v>
      </c>
      <c r="Y7155">
        <v>-0.111231</v>
      </c>
      <c r="Z7155">
        <v>1.1542239999999999E-3</v>
      </c>
      <c r="AA7155">
        <v>0.99379390000000001</v>
      </c>
      <c r="AB7155">
        <v>28</v>
      </c>
      <c r="AC7155">
        <v>29.101800000000001</v>
      </c>
      <c r="AD7155">
        <v>-1.1088890728259699</v>
      </c>
      <c r="AE7155">
        <v>4.0147399999999998</v>
      </c>
      <c r="AF7155">
        <v>-3.28011535722269</v>
      </c>
      <c r="AG7155">
        <v>-1.1088890728259699</v>
      </c>
      <c r="AH7155">
        <v>29.151667529027101</v>
      </c>
      <c r="AI7155">
        <v>92.164754627347307</v>
      </c>
      <c r="AJ7155">
        <v>96.419859565498797</v>
      </c>
      <c r="AK7155">
        <v>29.356575267824699</v>
      </c>
      <c r="AL7155">
        <v>90.402151602479805</v>
      </c>
      <c r="AM7155">
        <v>89.077967050949695</v>
      </c>
      <c r="AN7155">
        <v>1.0000000106331499</v>
      </c>
    </row>
    <row r="7156" spans="1:40" x14ac:dyDescent="0.25">
      <c r="A7156" t="str">
        <f>"20190312160826223"</f>
        <v>20190312160826223</v>
      </c>
      <c r="B7156" t="str">
        <f>"1552378106212660"</f>
        <v>1552378106212660</v>
      </c>
      <c r="C7156" t="s">
        <v>40</v>
      </c>
      <c r="D7156">
        <v>6.2594399999999997</v>
      </c>
      <c r="E7156">
        <v>0.45275720000000003</v>
      </c>
      <c r="F7156" t="s">
        <v>116</v>
      </c>
      <c r="G7156">
        <v>-221.648</v>
      </c>
      <c r="H7156" s="1">
        <v>3.7733909999999997E-8</v>
      </c>
      <c r="I7156">
        <v>-59.762990000000002</v>
      </c>
      <c r="J7156">
        <v>-250.85980000000001</v>
      </c>
      <c r="K7156">
        <v>1.108865</v>
      </c>
      <c r="L7156">
        <v>-63.760530000000003</v>
      </c>
      <c r="M7156">
        <v>0.99965939999999998</v>
      </c>
      <c r="N7156">
        <v>0</v>
      </c>
      <c r="O7156">
        <v>2.496986E-2</v>
      </c>
      <c r="P7156">
        <v>0.9998629</v>
      </c>
      <c r="Q7156">
        <v>-1.413005E-2</v>
      </c>
      <c r="R7156">
        <v>8.6423079999999996E-3</v>
      </c>
      <c r="S7156">
        <v>2.9951319999999999</v>
      </c>
      <c r="T7156">
        <v>-0.113151</v>
      </c>
      <c r="U7156">
        <v>0.40826420000000002</v>
      </c>
      <c r="V7156">
        <v>1.6326380000000001E-2</v>
      </c>
      <c r="W7156">
        <v>-6.5422419999999898E-3</v>
      </c>
      <c r="X7156">
        <v>0.99984530000000005</v>
      </c>
      <c r="Y7156">
        <v>-0.1102167</v>
      </c>
      <c r="Z7156">
        <v>1.1333859999999999E-3</v>
      </c>
      <c r="AA7156">
        <v>0.99390690000000004</v>
      </c>
      <c r="AB7156">
        <v>28</v>
      </c>
      <c r="AC7156">
        <v>29.2118</v>
      </c>
      <c r="AD7156">
        <v>-1.10886496226609</v>
      </c>
      <c r="AE7156">
        <v>3.9975399999999999</v>
      </c>
      <c r="AF7156">
        <v>-3.2622437219904601</v>
      </c>
      <c r="AG7156">
        <v>-1.10886496226609</v>
      </c>
      <c r="AH7156">
        <v>29.2611243093314</v>
      </c>
      <c r="AI7156">
        <v>92.156863655377407</v>
      </c>
      <c r="AJ7156">
        <v>96.361482004437207</v>
      </c>
      <c r="AK7156">
        <v>29.4632858223986</v>
      </c>
      <c r="AL7156">
        <v>90.374845533725093</v>
      </c>
      <c r="AM7156">
        <v>89.064505736139594</v>
      </c>
      <c r="AN7156">
        <v>0.99999998777318999</v>
      </c>
    </row>
    <row r="7157" spans="1:40" x14ac:dyDescent="0.25">
      <c r="A7157" t="str">
        <f>"20190312160826236"</f>
        <v>20190312160826236</v>
      </c>
      <c r="B7157" t="str">
        <f>"1552378106222419"</f>
        <v>1552378106222419</v>
      </c>
      <c r="C7157" t="s">
        <v>40</v>
      </c>
      <c r="D7157">
        <v>6.2815190000000003</v>
      </c>
      <c r="E7157">
        <v>0.45290229999999998</v>
      </c>
      <c r="F7157" t="s">
        <v>116</v>
      </c>
      <c r="G7157">
        <v>-221.52809999999999</v>
      </c>
      <c r="H7157" s="1">
        <v>9.5215109999999998E-8</v>
      </c>
      <c r="I7157">
        <v>-59.790370000000003</v>
      </c>
      <c r="J7157">
        <v>-250.70670000000001</v>
      </c>
      <c r="K7157">
        <v>1.1088359999999999</v>
      </c>
      <c r="L7157">
        <v>-63.756740000000001</v>
      </c>
      <c r="M7157">
        <v>0.99966160000000004</v>
      </c>
      <c r="N7157">
        <v>0</v>
      </c>
      <c r="O7157">
        <v>2.4885540000000001E-2</v>
      </c>
      <c r="P7157">
        <v>0.99986830000000004</v>
      </c>
      <c r="Q7157">
        <v>-1.3867350000000001E-2</v>
      </c>
      <c r="R7157">
        <v>8.4333069999999993E-3</v>
      </c>
      <c r="S7157">
        <v>2.9952999999999999</v>
      </c>
      <c r="T7157">
        <v>-0.1132354</v>
      </c>
      <c r="U7157">
        <v>0.40542600000000001</v>
      </c>
      <c r="V7157">
        <v>1.645075E-2</v>
      </c>
      <c r="W7157">
        <v>-6.2765119999999997E-3</v>
      </c>
      <c r="X7157">
        <v>0.99984499999999998</v>
      </c>
      <c r="Y7157">
        <v>-0.1093688</v>
      </c>
      <c r="Z7157">
        <v>1.1214560000000001E-3</v>
      </c>
      <c r="AA7157">
        <v>0.99400060000000001</v>
      </c>
      <c r="AB7157">
        <v>28</v>
      </c>
      <c r="AC7157">
        <v>29.178599999999999</v>
      </c>
      <c r="AD7157">
        <v>-1.1088359047848899</v>
      </c>
      <c r="AE7157">
        <v>3.96637</v>
      </c>
      <c r="AF7157">
        <v>-3.23440935869057</v>
      </c>
      <c r="AG7157">
        <v>-1.1088359047848899</v>
      </c>
      <c r="AH7157">
        <v>29.226829645667198</v>
      </c>
      <c r="AI7157">
        <v>92.159530054741694</v>
      </c>
      <c r="AJ7157">
        <v>96.314985040470305</v>
      </c>
      <c r="AK7157">
        <v>29.4261531991556</v>
      </c>
      <c r="AL7157">
        <v>90.359620000634706</v>
      </c>
      <c r="AM7157">
        <v>89.057380389006596</v>
      </c>
      <c r="AN7157">
        <v>1.0000000229017201</v>
      </c>
    </row>
    <row r="7158" spans="1:40" x14ac:dyDescent="0.25">
      <c r="A7158" t="str">
        <f>"20190312160826247"</f>
        <v>20190312160826247</v>
      </c>
      <c r="B7158" t="str">
        <f>"1552378106242916"</f>
        <v>1552378106242916</v>
      </c>
      <c r="C7158" t="s">
        <v>40</v>
      </c>
      <c r="D7158">
        <v>6.1663810000000003</v>
      </c>
      <c r="E7158">
        <v>0.45302999999999999</v>
      </c>
      <c r="F7158" t="s">
        <v>116</v>
      </c>
      <c r="G7158">
        <v>-220.84790000000001</v>
      </c>
      <c r="H7158" s="1">
        <v>3.7461180000000001E-7</v>
      </c>
      <c r="I7158">
        <v>-59.734279999999998</v>
      </c>
      <c r="J7158">
        <v>-250.553</v>
      </c>
      <c r="K7158">
        <v>1.1088070000000001</v>
      </c>
      <c r="L7158">
        <v>-63.7530199999999</v>
      </c>
      <c r="M7158">
        <v>0.9996642</v>
      </c>
      <c r="N7158">
        <v>0</v>
      </c>
      <c r="O7158">
        <v>2.4771520000000002E-2</v>
      </c>
      <c r="P7158">
        <v>0.99986799999999998</v>
      </c>
      <c r="Q7158">
        <v>-1.385392E-2</v>
      </c>
      <c r="R7158">
        <v>8.4856340000000006E-3</v>
      </c>
      <c r="S7158">
        <v>2.995438</v>
      </c>
      <c r="T7158">
        <v>-0.1112387</v>
      </c>
      <c r="U7158">
        <v>0.4035339</v>
      </c>
      <c r="V7158">
        <v>1.6284070000000001E-2</v>
      </c>
      <c r="W7158">
        <v>-6.2599329999999996E-3</v>
      </c>
      <c r="X7158">
        <v>0.99984779999999995</v>
      </c>
      <c r="Y7158">
        <v>-0.10886179999999999</v>
      </c>
      <c r="Z7158">
        <v>1.0965320000000001E-3</v>
      </c>
      <c r="AA7158">
        <v>0.9940563</v>
      </c>
      <c r="AB7158">
        <v>28</v>
      </c>
      <c r="AC7158">
        <v>29.705099999999899</v>
      </c>
      <c r="AD7158">
        <v>-1.1088066253882001</v>
      </c>
      <c r="AE7158">
        <v>4.0187399999999798</v>
      </c>
      <c r="AF7158">
        <v>-3.2771609164972899</v>
      </c>
      <c r="AG7158">
        <v>-1.1088066253882001</v>
      </c>
      <c r="AH7158">
        <v>29.754824596120301</v>
      </c>
      <c r="AI7158">
        <v>92.121310685868906</v>
      </c>
      <c r="AJ7158">
        <v>96.285156407544093</v>
      </c>
      <c r="AK7158">
        <v>29.9552803784409</v>
      </c>
      <c r="AL7158">
        <v>90.358670086912696</v>
      </c>
      <c r="AM7158">
        <v>89.066931983646001</v>
      </c>
      <c r="AN7158">
        <v>0.99999999043088394</v>
      </c>
    </row>
    <row r="7159" spans="1:40" x14ac:dyDescent="0.25">
      <c r="A7159" t="str">
        <f>"20190312160826259"</f>
        <v>20190312160826259</v>
      </c>
      <c r="B7159" t="str">
        <f>"1552378106252675"</f>
        <v>1552378106252675</v>
      </c>
      <c r="C7159" t="s">
        <v>40</v>
      </c>
      <c r="D7159">
        <v>6.3823650000000001</v>
      </c>
      <c r="E7159">
        <v>0.46052549999999998</v>
      </c>
      <c r="F7159" t="s">
        <v>116</v>
      </c>
      <c r="G7159">
        <v>-220.44399999999999</v>
      </c>
      <c r="H7159" s="1">
        <v>5.1718480000000002E-7</v>
      </c>
      <c r="I7159">
        <v>-59.706060000000001</v>
      </c>
      <c r="J7159">
        <v>-250.4118</v>
      </c>
      <c r="K7159">
        <v>1.108779</v>
      </c>
      <c r="L7159">
        <v>-63.749600000000001</v>
      </c>
      <c r="M7159">
        <v>0.99966719999999998</v>
      </c>
      <c r="N7159">
        <v>0</v>
      </c>
      <c r="O7159">
        <v>2.465519E-2</v>
      </c>
      <c r="P7159">
        <v>0.9998688</v>
      </c>
      <c r="Q7159">
        <v>-1.405291E-2</v>
      </c>
      <c r="R7159">
        <v>8.0872940000000001E-3</v>
      </c>
      <c r="S7159">
        <v>2.995438</v>
      </c>
      <c r="T7159">
        <v>-0.1103113</v>
      </c>
      <c r="U7159">
        <v>0.40261839999999999</v>
      </c>
      <c r="V7159">
        <v>1.6565389999999999E-2</v>
      </c>
      <c r="W7159">
        <v>-6.4561669999999996E-3</v>
      </c>
      <c r="X7159">
        <v>0.99984189999999995</v>
      </c>
      <c r="Y7159">
        <v>-0.10868</v>
      </c>
      <c r="Z7159">
        <v>1.088344E-3</v>
      </c>
      <c r="AA7159">
        <v>0.99407619999999997</v>
      </c>
      <c r="AB7159">
        <v>28</v>
      </c>
      <c r="AC7159">
        <v>29.967799999999901</v>
      </c>
      <c r="AD7159">
        <v>-1.1087784828151901</v>
      </c>
      <c r="AE7159">
        <v>4.0435400000000001</v>
      </c>
      <c r="AF7159">
        <v>-3.2989923392384801</v>
      </c>
      <c r="AG7159">
        <v>-1.1087784828151901</v>
      </c>
      <c r="AH7159">
        <v>30.0180291216728</v>
      </c>
      <c r="AI7159">
        <v>92.1027284797823</v>
      </c>
      <c r="AJ7159">
        <v>96.271657978981295</v>
      </c>
      <c r="AK7159">
        <v>30.2191133643577</v>
      </c>
      <c r="AL7159">
        <v>90.369913705696504</v>
      </c>
      <c r="AM7159">
        <v>89.050809830523093</v>
      </c>
      <c r="AN7159">
        <v>0.99999995961689603</v>
      </c>
    </row>
    <row r="7160" spans="1:40" x14ac:dyDescent="0.25">
      <c r="A7160" t="str">
        <f>"20190312160826270"</f>
        <v>20190312160826270</v>
      </c>
      <c r="B7160" t="str">
        <f>"1552378106262436"</f>
        <v>1552378106262436</v>
      </c>
      <c r="C7160" t="s">
        <v>40</v>
      </c>
      <c r="D7160">
        <v>6.3584949999999996</v>
      </c>
      <c r="E7160">
        <v>0.46061299999999999</v>
      </c>
      <c r="F7160" t="s">
        <v>112</v>
      </c>
      <c r="G7160">
        <v>-240.10390000000001</v>
      </c>
      <c r="H7160" s="1">
        <v>3.9240279999999999E-7</v>
      </c>
      <c r="I7160">
        <v>-62.547919999999998</v>
      </c>
      <c r="J7160">
        <v>-250.26490000000001</v>
      </c>
      <c r="K7160">
        <v>1.108749</v>
      </c>
      <c r="L7160">
        <v>-63.746090000000002</v>
      </c>
      <c r="M7160">
        <v>0.99967050000000002</v>
      </c>
      <c r="N7160">
        <v>0</v>
      </c>
      <c r="O7160">
        <v>2.4518229999999998E-2</v>
      </c>
      <c r="P7160">
        <v>0.99986759999999997</v>
      </c>
      <c r="Q7160">
        <v>-1.405707E-2</v>
      </c>
      <c r="R7160">
        <v>8.1993840000000005E-3</v>
      </c>
      <c r="S7160">
        <v>2.9930270000000001</v>
      </c>
      <c r="T7160">
        <v>-0.321949599999999</v>
      </c>
      <c r="U7160">
        <v>0.34890749999999998</v>
      </c>
      <c r="V7160">
        <v>1.6316130000000002E-2</v>
      </c>
      <c r="W7160">
        <v>-6.4571059999999998E-3</v>
      </c>
      <c r="X7160">
        <v>0.99984600000000001</v>
      </c>
      <c r="Y7160">
        <v>-9.1022279999999997E-2</v>
      </c>
      <c r="Z7160">
        <v>2.245159E-3</v>
      </c>
      <c r="AA7160">
        <v>0.99584629999999996</v>
      </c>
      <c r="AB7160">
        <v>29</v>
      </c>
      <c r="AC7160">
        <v>10.161</v>
      </c>
      <c r="AD7160">
        <v>-1.1087486075972</v>
      </c>
      <c r="AE7160">
        <v>1.19817</v>
      </c>
      <c r="AF7160">
        <v>-0.93766146950903395</v>
      </c>
      <c r="AG7160">
        <v>-1.1087486075972</v>
      </c>
      <c r="AH7160">
        <v>10.069077295452599</v>
      </c>
      <c r="AI7160">
        <v>96.256909676840394</v>
      </c>
      <c r="AJ7160">
        <v>95.320204652963994</v>
      </c>
      <c r="AK7160">
        <v>10.173241867175401</v>
      </c>
      <c r="AL7160">
        <v>90.369967504819599</v>
      </c>
      <c r="AM7160">
        <v>89.065093606692699</v>
      </c>
      <c r="AN7160">
        <v>0.999999967016035</v>
      </c>
    </row>
    <row r="7161" spans="1:40" x14ac:dyDescent="0.25">
      <c r="A7161" t="str">
        <f>"20190312160826281"</f>
        <v>20190312160826281</v>
      </c>
      <c r="B7161" t="str">
        <f>"1552378106272195"</f>
        <v>1552378106272195</v>
      </c>
      <c r="C7161" t="s">
        <v>40</v>
      </c>
      <c r="D7161">
        <v>6.1859840000000004</v>
      </c>
      <c r="E7161">
        <v>0.46027449999999998</v>
      </c>
      <c r="F7161" t="s">
        <v>114</v>
      </c>
      <c r="G7161">
        <v>-239.9983</v>
      </c>
      <c r="H7161" s="1">
        <v>-3.6608499999999999E-6</v>
      </c>
      <c r="I7161">
        <v>-62.550249999999998</v>
      </c>
      <c r="J7161">
        <v>-250.12569999999999</v>
      </c>
      <c r="K7161">
        <v>1.108722</v>
      </c>
      <c r="L7161">
        <v>-63.742829999999998</v>
      </c>
      <c r="M7161">
        <v>0.99967410000000001</v>
      </c>
      <c r="N7161">
        <v>0</v>
      </c>
      <c r="O7161">
        <v>2.437193E-2</v>
      </c>
      <c r="P7161">
        <v>0.99986640000000004</v>
      </c>
      <c r="Q7161">
        <v>-1.427526E-2</v>
      </c>
      <c r="R7161">
        <v>7.9779550000000001E-3</v>
      </c>
      <c r="S7161">
        <v>2.9929809999999999</v>
      </c>
      <c r="T7161">
        <v>-0.3232315</v>
      </c>
      <c r="U7161">
        <v>0.34860229999999998</v>
      </c>
      <c r="V7161">
        <v>1.6390439999999999E-2</v>
      </c>
      <c r="W7161">
        <v>-6.6724030000000004E-3</v>
      </c>
      <c r="X7161">
        <v>0.99984340000000005</v>
      </c>
      <c r="Y7161">
        <v>-9.1065469999999996E-2</v>
      </c>
      <c r="Z7161">
        <v>2.2720990000000001E-3</v>
      </c>
      <c r="AA7161">
        <v>0.99584229999999996</v>
      </c>
      <c r="AB7161">
        <v>29</v>
      </c>
      <c r="AC7161">
        <v>10.1273999999999</v>
      </c>
      <c r="AD7161">
        <v>-1.10872566085</v>
      </c>
      <c r="AE7161">
        <v>1.19258</v>
      </c>
      <c r="AF7161">
        <v>-0.93434895641538895</v>
      </c>
      <c r="AG7161">
        <v>-1.10872566085</v>
      </c>
      <c r="AH7161">
        <v>10.0348314852108</v>
      </c>
      <c r="AI7161">
        <v>96.277970556569997</v>
      </c>
      <c r="AJ7161">
        <v>95.319505881162002</v>
      </c>
      <c r="AK7161">
        <v>10.139039574829599</v>
      </c>
      <c r="AL7161">
        <v>90.382303369425998</v>
      </c>
      <c r="AM7161">
        <v>89.0608339986142</v>
      </c>
      <c r="AN7161">
        <v>0.99999999600437395</v>
      </c>
    </row>
    <row r="7162" spans="1:40" x14ac:dyDescent="0.25">
      <c r="A7162" t="str">
        <f>"20190312160826293"</f>
        <v>20190312160826293</v>
      </c>
      <c r="B7162" t="str">
        <f>"1552378106282930"</f>
        <v>1552378106282930</v>
      </c>
      <c r="C7162" t="s">
        <v>40</v>
      </c>
      <c r="D7162">
        <v>6.311515</v>
      </c>
      <c r="E7162">
        <v>0.46027449999999998</v>
      </c>
      <c r="F7162" t="s">
        <v>114</v>
      </c>
      <c r="G7162">
        <v>-239.8965</v>
      </c>
      <c r="H7162" s="1">
        <v>-3.6250489999999999E-6</v>
      </c>
      <c r="I7162">
        <v>-62.543819999999997</v>
      </c>
      <c r="J7162">
        <v>-249.9727</v>
      </c>
      <c r="K7162">
        <v>1.1086929999999999</v>
      </c>
      <c r="L7162">
        <v>-63.739199999999997</v>
      </c>
      <c r="M7162">
        <v>0.99967819999999996</v>
      </c>
      <c r="N7162">
        <v>0</v>
      </c>
      <c r="O7162">
        <v>2.420164E-2</v>
      </c>
      <c r="P7162">
        <v>0.99986569999999997</v>
      </c>
      <c r="Q7162">
        <v>-1.430091E-2</v>
      </c>
      <c r="R7162">
        <v>8.023545E-3</v>
      </c>
      <c r="S7162">
        <v>2.992966</v>
      </c>
      <c r="T7162">
        <v>-0.32440069999999999</v>
      </c>
      <c r="U7162">
        <v>0.35079959999999999</v>
      </c>
      <c r="V7162">
        <v>1.6174089999999999E-2</v>
      </c>
      <c r="W7162">
        <v>-6.6946540000000004E-3</v>
      </c>
      <c r="X7162">
        <v>0.99984680000000004</v>
      </c>
      <c r="Y7162">
        <v>-9.1948080000000001E-2</v>
      </c>
      <c r="Z7162">
        <v>2.346047E-3</v>
      </c>
      <c r="AA7162">
        <v>0.99576100000000001</v>
      </c>
      <c r="AB7162">
        <v>29</v>
      </c>
      <c r="AC7162">
        <v>10.0762</v>
      </c>
      <c r="AD7162">
        <v>-1.108696625049</v>
      </c>
      <c r="AE7162">
        <v>1.1953799999999899</v>
      </c>
      <c r="AF7162">
        <v>-0.93994043871288901</v>
      </c>
      <c r="AG7162">
        <v>-1.108696625049</v>
      </c>
      <c r="AH7162">
        <v>9.9829940799002301</v>
      </c>
      <c r="AI7162">
        <v>96.3095368702852</v>
      </c>
      <c r="AJ7162">
        <v>95.378779185356294</v>
      </c>
      <c r="AK7162">
        <v>10.0882539140351</v>
      </c>
      <c r="AL7162">
        <v>90.383578276507095</v>
      </c>
      <c r="AM7162">
        <v>89.073231745940504</v>
      </c>
      <c r="AN7162">
        <v>1.0000000215248701</v>
      </c>
    </row>
    <row r="7163" spans="1:40" x14ac:dyDescent="0.25">
      <c r="A7163" t="str">
        <f>"20190312160826304"</f>
        <v>20190312160826304</v>
      </c>
      <c r="B7163" t="str">
        <f>"1552378106292692"</f>
        <v>1552378106292692</v>
      </c>
      <c r="C7163" t="s">
        <v>40</v>
      </c>
      <c r="D7163">
        <v>6.171799</v>
      </c>
      <c r="E7163">
        <v>0.46028419999999998</v>
      </c>
      <c r="F7163" t="s">
        <v>114</v>
      </c>
      <c r="G7163">
        <v>-239.74340000000001</v>
      </c>
      <c r="H7163" s="1">
        <v>-3.5722150000000001E-6</v>
      </c>
      <c r="I7163">
        <v>-62.539639999999999</v>
      </c>
      <c r="J7163">
        <v>-249.82990000000001</v>
      </c>
      <c r="K7163">
        <v>1.1086670000000001</v>
      </c>
      <c r="L7163">
        <v>-63.735930000000003</v>
      </c>
      <c r="M7163">
        <v>0.99968250000000003</v>
      </c>
      <c r="N7163">
        <v>0</v>
      </c>
      <c r="O7163">
        <v>2.4019660000000002E-2</v>
      </c>
      <c r="P7163">
        <v>0.99986679999999994</v>
      </c>
      <c r="Q7163">
        <v>-1.4300139999999999E-2</v>
      </c>
      <c r="R7163">
        <v>7.8813110000000002E-3</v>
      </c>
      <c r="S7163">
        <v>2.9929350000000001</v>
      </c>
      <c r="T7163">
        <v>-0.32438729999999999</v>
      </c>
      <c r="U7163">
        <v>0.35095209999999999</v>
      </c>
      <c r="V7163">
        <v>1.613382E-2</v>
      </c>
      <c r="W7163">
        <v>-6.6906669999999904E-3</v>
      </c>
      <c r="X7163">
        <v>0.9998475</v>
      </c>
      <c r="Y7163">
        <v>-9.2178250000000003E-2</v>
      </c>
      <c r="Z7163">
        <v>2.3779449999999998E-3</v>
      </c>
      <c r="AA7163">
        <v>0.99573970000000001</v>
      </c>
      <c r="AB7163">
        <v>29</v>
      </c>
      <c r="AC7163">
        <v>10.086499999999999</v>
      </c>
      <c r="AD7163">
        <v>-1.1086705722149901</v>
      </c>
      <c r="AE7163">
        <v>1.1962899999999901</v>
      </c>
      <c r="AF7163">
        <v>-0.94243533947663305</v>
      </c>
      <c r="AG7163">
        <v>-1.1086705722149901</v>
      </c>
      <c r="AH7163">
        <v>9.9932653035041703</v>
      </c>
      <c r="AI7163">
        <v>96.302867857176906</v>
      </c>
      <c r="AJ7163">
        <v>95.387461765608506</v>
      </c>
      <c r="AK7163">
        <v>10.0986477427926</v>
      </c>
      <c r="AL7163">
        <v>90.383349824424698</v>
      </c>
      <c r="AM7163">
        <v>89.075539445412602</v>
      </c>
      <c r="AN7163">
        <v>1.0000000442144701</v>
      </c>
    </row>
    <row r="7164" spans="1:40" x14ac:dyDescent="0.25">
      <c r="A7164" t="str">
        <f>"20190312160826315"</f>
        <v>20190312160826315</v>
      </c>
      <c r="B7164" t="str">
        <f>"1552378106302451"</f>
        <v>1552378106302451</v>
      </c>
      <c r="C7164" t="s">
        <v>40</v>
      </c>
      <c r="D7164">
        <v>6.3999709999999999</v>
      </c>
      <c r="E7164">
        <v>0.4604916</v>
      </c>
      <c r="F7164" t="s">
        <v>114</v>
      </c>
      <c r="G7164">
        <v>-239.60329999999999</v>
      </c>
      <c r="H7164" s="1">
        <v>-3.5242699999999901E-6</v>
      </c>
      <c r="I7164">
        <v>-62.537970000000001</v>
      </c>
      <c r="J7164">
        <v>-249.6969</v>
      </c>
      <c r="K7164">
        <v>1.108646</v>
      </c>
      <c r="L7164">
        <v>-63.732909999999997</v>
      </c>
      <c r="M7164">
        <v>0.99968659999999998</v>
      </c>
      <c r="N7164">
        <v>0</v>
      </c>
      <c r="O7164">
        <v>2.3847409999999999E-2</v>
      </c>
      <c r="P7164">
        <v>0.99987170000000003</v>
      </c>
      <c r="Q7164">
        <v>-1.3976010000000001E-2</v>
      </c>
      <c r="R7164">
        <v>7.8276449999999994E-3</v>
      </c>
      <c r="S7164">
        <v>2.9929809999999999</v>
      </c>
      <c r="T7164">
        <v>-0.32447150000000002</v>
      </c>
      <c r="U7164">
        <v>0.35058590000000001</v>
      </c>
      <c r="V7164">
        <v>1.6015350000000001E-2</v>
      </c>
      <c r="W7164">
        <v>-6.3634440000000002E-3</v>
      </c>
      <c r="X7164">
        <v>0.9998515</v>
      </c>
      <c r="Y7164">
        <v>-9.2226370000000002E-2</v>
      </c>
      <c r="Z7164">
        <v>2.39967E-3</v>
      </c>
      <c r="AA7164">
        <v>0.99573520000000004</v>
      </c>
      <c r="AB7164">
        <v>29</v>
      </c>
      <c r="AC7164">
        <v>10.0936</v>
      </c>
      <c r="AD7164">
        <v>-1.1086495242700001</v>
      </c>
      <c r="AE7164">
        <v>1.1949399999999999</v>
      </c>
      <c r="AF7164">
        <v>-0.94267161575967695</v>
      </c>
      <c r="AG7164">
        <v>-1.1086495242700001</v>
      </c>
      <c r="AH7164">
        <v>10.0002494443112</v>
      </c>
      <c r="AI7164">
        <v>96.298407391472907</v>
      </c>
      <c r="AJ7164">
        <v>95.385063105366996</v>
      </c>
      <c r="AK7164">
        <v>10.1055787806176</v>
      </c>
      <c r="AL7164">
        <v>90.364600943793306</v>
      </c>
      <c r="AM7164">
        <v>89.082330228044498</v>
      </c>
      <c r="AN7164">
        <v>1.0000000034537</v>
      </c>
    </row>
    <row r="7165" spans="1:40" x14ac:dyDescent="0.25">
      <c r="A7165" t="str">
        <f>"20190312160826323"</f>
        <v>20190312160826323</v>
      </c>
      <c r="B7165" t="str">
        <f>"1552378106312211"</f>
        <v>1552378106312211</v>
      </c>
      <c r="C7165" t="s">
        <v>40</v>
      </c>
      <c r="D7165">
        <v>6.2034659999999997</v>
      </c>
      <c r="E7165">
        <v>0.4604647</v>
      </c>
      <c r="F7165" t="s">
        <v>114</v>
      </c>
      <c r="G7165">
        <v>-239.42150000000001</v>
      </c>
      <c r="H7165" s="1">
        <v>-3.4619549999999999E-6</v>
      </c>
      <c r="I7165">
        <v>-62.5355699999999</v>
      </c>
      <c r="J7165">
        <v>-249.5677</v>
      </c>
      <c r="K7165">
        <v>1.1086290000000001</v>
      </c>
      <c r="L7165">
        <v>-63.729979999999998</v>
      </c>
      <c r="M7165">
        <v>0.99969090000000005</v>
      </c>
      <c r="N7165">
        <v>0</v>
      </c>
      <c r="O7165">
        <v>2.3660469999999999E-2</v>
      </c>
      <c r="P7165">
        <v>0.99987590000000004</v>
      </c>
      <c r="Q7165">
        <v>-1.361452E-2</v>
      </c>
      <c r="R7165">
        <v>7.9214309999999996E-3</v>
      </c>
      <c r="S7165">
        <v>2.9931179999999999</v>
      </c>
      <c r="T7165">
        <v>-0.322938</v>
      </c>
      <c r="U7165">
        <v>0.34875489999999998</v>
      </c>
      <c r="V7165">
        <v>1.5734629999999999E-2</v>
      </c>
      <c r="W7165">
        <v>-5.998743E-3</v>
      </c>
      <c r="X7165">
        <v>0.99985820000000003</v>
      </c>
      <c r="Y7165">
        <v>-9.1811359999999995E-2</v>
      </c>
      <c r="Z7165">
        <v>2.386142E-3</v>
      </c>
      <c r="AA7165">
        <v>0.99577360000000004</v>
      </c>
      <c r="AB7165">
        <v>29</v>
      </c>
      <c r="AC7165">
        <v>10.146199999999901</v>
      </c>
      <c r="AD7165">
        <v>-1.1086324619550001</v>
      </c>
      <c r="AE7165">
        <v>1.19441000000001</v>
      </c>
      <c r="AF7165">
        <v>-0.94290131272362399</v>
      </c>
      <c r="AG7165">
        <v>-1.1086324619550001</v>
      </c>
      <c r="AH7165">
        <v>10.0532354429756</v>
      </c>
      <c r="AI7165">
        <v>96.265654998955597</v>
      </c>
      <c r="AJ7165">
        <v>95.358144131176005</v>
      </c>
      <c r="AK7165">
        <v>10.1580348342156</v>
      </c>
      <c r="AL7165">
        <v>90.343704720486301</v>
      </c>
      <c r="AM7165">
        <v>89.098418674281504</v>
      </c>
      <c r="AN7165">
        <v>0.99999999180302801</v>
      </c>
    </row>
    <row r="7166" spans="1:40" x14ac:dyDescent="0.25">
      <c r="A7166" t="str">
        <f>"20190312160826335"</f>
        <v>20190312160826335</v>
      </c>
      <c r="B7166" t="str">
        <f>"1552378106322947"</f>
        <v>1552378106322947</v>
      </c>
      <c r="C7166" t="s">
        <v>40</v>
      </c>
      <c r="D7166">
        <v>6.3725009999999997</v>
      </c>
      <c r="E7166">
        <v>0.4604647</v>
      </c>
      <c r="F7166" t="s">
        <v>114</v>
      </c>
      <c r="G7166">
        <v>-239.17670000000001</v>
      </c>
      <c r="H7166" s="1">
        <v>-3.375482E-6</v>
      </c>
      <c r="I7166">
        <v>-62.517650000000003</v>
      </c>
      <c r="J7166">
        <v>-249.4308</v>
      </c>
      <c r="K7166">
        <v>1.1086119999999999</v>
      </c>
      <c r="L7166">
        <v>-63.726930000000003</v>
      </c>
      <c r="M7166">
        <v>0.99969569999999996</v>
      </c>
      <c r="N7166">
        <v>0</v>
      </c>
      <c r="O7166">
        <v>2.3460350000000001E-2</v>
      </c>
      <c r="P7166">
        <v>0.99987599999999999</v>
      </c>
      <c r="Q7166">
        <v>-1.35689E-2</v>
      </c>
      <c r="R7166">
        <v>8.0264640000000005E-3</v>
      </c>
      <c r="S7166">
        <v>2.993271</v>
      </c>
      <c r="T7166">
        <v>-0.3193589</v>
      </c>
      <c r="U7166">
        <v>0.34921259999999998</v>
      </c>
      <c r="V7166">
        <v>1.5429129999999999E-2</v>
      </c>
      <c r="W7166">
        <v>-5.9497049999999996E-3</v>
      </c>
      <c r="X7166">
        <v>0.99986330000000001</v>
      </c>
      <c r="Y7166">
        <v>-9.2160629999999993E-2</v>
      </c>
      <c r="Z7166">
        <v>2.3994250000000002E-3</v>
      </c>
      <c r="AA7166">
        <v>0.99574119999999999</v>
      </c>
      <c r="AB7166">
        <v>29</v>
      </c>
      <c r="AC7166">
        <v>10.2540999999999</v>
      </c>
      <c r="AD7166">
        <v>-1.1086153754820001</v>
      </c>
      <c r="AE7166">
        <v>1.2092799999999899</v>
      </c>
      <c r="AF7166">
        <v>-0.95733881789846398</v>
      </c>
      <c r="AG7166">
        <v>-1.1086153754820001</v>
      </c>
      <c r="AH7166">
        <v>10.162491487572501</v>
      </c>
      <c r="AI7166">
        <v>96.198489648914304</v>
      </c>
      <c r="AJ7166">
        <v>95.381561935490694</v>
      </c>
      <c r="AK7166">
        <v>10.267509868414701</v>
      </c>
      <c r="AL7166">
        <v>90.340894984183095</v>
      </c>
      <c r="AM7166">
        <v>89.115925275265397</v>
      </c>
      <c r="AN7166">
        <v>1.00000003786451</v>
      </c>
    </row>
    <row r="7167" spans="1:40" x14ac:dyDescent="0.25">
      <c r="A7167" t="str">
        <f>"20190312160826347"</f>
        <v>20190312160826347</v>
      </c>
      <c r="B7167" t="str">
        <f>"1552378106342468"</f>
        <v>1552378106342468</v>
      </c>
      <c r="C7167" t="s">
        <v>40</v>
      </c>
      <c r="D7167">
        <v>6.2334420000000001</v>
      </c>
      <c r="E7167">
        <v>0.46061220000000003</v>
      </c>
      <c r="F7167" t="s">
        <v>114</v>
      </c>
      <c r="G7167">
        <v>-239.0359</v>
      </c>
      <c r="H7167" s="1">
        <v>-3.3267199999999898E-6</v>
      </c>
      <c r="I7167">
        <v>-62.51296</v>
      </c>
      <c r="J7167">
        <v>-249.274</v>
      </c>
      <c r="K7167">
        <v>1.1085959999999999</v>
      </c>
      <c r="L7167">
        <v>-63.723480000000002</v>
      </c>
      <c r="M7167">
        <v>0.99970139999999996</v>
      </c>
      <c r="N7167">
        <v>0</v>
      </c>
      <c r="O7167">
        <v>2.3213919999999999E-2</v>
      </c>
      <c r="P7167">
        <v>0.99988160000000004</v>
      </c>
      <c r="Q7167">
        <v>-1.312195E-2</v>
      </c>
      <c r="R7167">
        <v>8.0558190000000005E-3</v>
      </c>
      <c r="S7167">
        <v>2.9932400000000001</v>
      </c>
      <c r="T7167">
        <v>-0.31922879999999998</v>
      </c>
      <c r="U7167">
        <v>0.34954829999999998</v>
      </c>
      <c r="V7167">
        <v>1.5153750000000001E-2</v>
      </c>
      <c r="W7167">
        <v>-5.4985930000000004E-3</v>
      </c>
      <c r="X7167">
        <v>0.99987009999999998</v>
      </c>
      <c r="Y7167">
        <v>-9.2514390000000002E-2</v>
      </c>
      <c r="Z7167">
        <v>2.4433060000000001E-3</v>
      </c>
      <c r="AA7167">
        <v>0.99570829999999999</v>
      </c>
      <c r="AB7167">
        <v>29</v>
      </c>
      <c r="AC7167">
        <v>10.238099999999999</v>
      </c>
      <c r="AD7167">
        <v>-1.1085993267199901</v>
      </c>
      <c r="AE7167">
        <v>1.21052</v>
      </c>
      <c r="AF7167">
        <v>-0.961403437905616</v>
      </c>
      <c r="AG7167">
        <v>-1.1085993267199901</v>
      </c>
      <c r="AH7167">
        <v>10.146120164608501</v>
      </c>
      <c r="AI7167">
        <v>96.208005283203903</v>
      </c>
      <c r="AJ7167">
        <v>95.412944043577497</v>
      </c>
      <c r="AK7167">
        <v>10.251684906994299</v>
      </c>
      <c r="AL7167">
        <v>90.315047745937505</v>
      </c>
      <c r="AM7167">
        <v>89.131707758364399</v>
      </c>
      <c r="AN7167">
        <v>1.00000004376902</v>
      </c>
    </row>
    <row r="7168" spans="1:40" x14ac:dyDescent="0.25">
      <c r="A7168" t="str">
        <f>"20190312160826358"</f>
        <v>20190312160826358</v>
      </c>
      <c r="B7168" t="str">
        <f>"1552378106352226"</f>
        <v>1552378106352226</v>
      </c>
      <c r="C7168" t="s">
        <v>40</v>
      </c>
      <c r="D7168">
        <v>6.2217859999999998</v>
      </c>
      <c r="E7168">
        <v>0.4605533</v>
      </c>
      <c r="F7168" t="s">
        <v>114</v>
      </c>
      <c r="G7168">
        <v>-238.89400000000001</v>
      </c>
      <c r="H7168" s="1">
        <v>-3.2788190000000002E-6</v>
      </c>
      <c r="I7168">
        <v>-62.5152</v>
      </c>
      <c r="J7168">
        <v>-249.13319999999999</v>
      </c>
      <c r="K7168">
        <v>1.1085830000000001</v>
      </c>
      <c r="L7168">
        <v>-63.720399999999998</v>
      </c>
      <c r="M7168">
        <v>0.99970650000000005</v>
      </c>
      <c r="N7168">
        <v>0</v>
      </c>
      <c r="O7168">
        <v>2.2988160000000001E-2</v>
      </c>
      <c r="P7168">
        <v>0.99988279999999996</v>
      </c>
      <c r="Q7168">
        <v>-1.301955E-2</v>
      </c>
      <c r="R7168">
        <v>8.0513519999999995E-3</v>
      </c>
      <c r="S7168">
        <v>2.9933320000000001</v>
      </c>
      <c r="T7168">
        <v>-0.31969209999999998</v>
      </c>
      <c r="U7168">
        <v>0.34841919999999998</v>
      </c>
      <c r="V7168">
        <v>1.49322999999999E-2</v>
      </c>
      <c r="W7168">
        <v>-5.3924639999999996E-3</v>
      </c>
      <c r="X7168">
        <v>0.99987400000000004</v>
      </c>
      <c r="Y7168">
        <v>-9.2363609999999999E-2</v>
      </c>
      <c r="Z7168">
        <v>2.4627519999999999E-3</v>
      </c>
      <c r="AA7168">
        <v>0.99572229999999995</v>
      </c>
      <c r="AB7168">
        <v>29</v>
      </c>
      <c r="AC7168">
        <v>10.239199999999901</v>
      </c>
      <c r="AD7168">
        <v>-1.108586278819</v>
      </c>
      <c r="AE7168">
        <v>1.2051999999999901</v>
      </c>
      <c r="AF7168">
        <v>-0.95841311199708801</v>
      </c>
      <c r="AG7168">
        <v>-1.108586278819</v>
      </c>
      <c r="AH7168">
        <v>10.146882319533001</v>
      </c>
      <c r="AI7168">
        <v>96.207644441199704</v>
      </c>
      <c r="AJ7168">
        <v>95.395804362657501</v>
      </c>
      <c r="AK7168">
        <v>10.252157823467501</v>
      </c>
      <c r="AL7168">
        <v>90.308966915254999</v>
      </c>
      <c r="AM7168">
        <v>89.144398022171998</v>
      </c>
      <c r="AN7168">
        <v>1.0000000340636399</v>
      </c>
    </row>
    <row r="7169" spans="1:40" x14ac:dyDescent="0.25">
      <c r="A7169" t="str">
        <f>"20190312160826369"</f>
        <v>20190312160826369</v>
      </c>
      <c r="B7169" t="str">
        <f>"1552378106362963"</f>
        <v>1552378106362963</v>
      </c>
      <c r="C7169" t="s">
        <v>40</v>
      </c>
      <c r="D7169">
        <v>6.3400499999999997</v>
      </c>
      <c r="E7169">
        <v>0.4605533</v>
      </c>
      <c r="F7169" t="s">
        <v>114</v>
      </c>
      <c r="G7169">
        <v>-238.6824</v>
      </c>
      <c r="H7169" s="1">
        <v>-3.2045879999999999E-6</v>
      </c>
      <c r="I7169">
        <v>-62.502519999999997</v>
      </c>
      <c r="J7169">
        <v>-248.9836</v>
      </c>
      <c r="K7169">
        <v>1.1085700000000001</v>
      </c>
      <c r="L7169">
        <v>-63.717190000000002</v>
      </c>
      <c r="M7169">
        <v>0.99971220000000005</v>
      </c>
      <c r="N7169">
        <v>0</v>
      </c>
      <c r="O7169">
        <v>2.2739809999999999E-2</v>
      </c>
      <c r="P7169">
        <v>0.99988540000000004</v>
      </c>
      <c r="Q7169">
        <v>-1.2969929999999999E-2</v>
      </c>
      <c r="R7169">
        <v>7.8145739999999995E-3</v>
      </c>
      <c r="S7169">
        <v>2.9934080000000001</v>
      </c>
      <c r="T7169">
        <v>-0.317530599999999</v>
      </c>
      <c r="U7169">
        <v>0.34881590000000001</v>
      </c>
      <c r="V7169">
        <v>1.4920660000000001E-2</v>
      </c>
      <c r="W7169">
        <v>-5.3390169999999997E-3</v>
      </c>
      <c r="X7169">
        <v>0.99987440000000005</v>
      </c>
      <c r="Y7169">
        <v>-9.2740020000000006E-2</v>
      </c>
      <c r="Z7169">
        <v>2.492115E-3</v>
      </c>
      <c r="AA7169">
        <v>0.99568719999999999</v>
      </c>
      <c r="AB7169">
        <v>29</v>
      </c>
      <c r="AC7169">
        <v>10.3011999999999</v>
      </c>
      <c r="AD7169">
        <v>-1.1085732045879999</v>
      </c>
      <c r="AE7169">
        <v>1.2146699999999999</v>
      </c>
      <c r="AF7169">
        <v>-0.96903306037206105</v>
      </c>
      <c r="AG7169">
        <v>-1.1085732045879999</v>
      </c>
      <c r="AH7169">
        <v>10.2095411351549</v>
      </c>
      <c r="AI7169">
        <v>96.169504350051099</v>
      </c>
      <c r="AJ7169">
        <v>95.421955085419199</v>
      </c>
      <c r="AK7169">
        <v>10.3151679488239</v>
      </c>
      <c r="AL7169">
        <v>90.305904602278005</v>
      </c>
      <c r="AM7169">
        <v>89.145065222441303</v>
      </c>
      <c r="AN7169">
        <v>0.99999997348636005</v>
      </c>
    </row>
    <row r="7170" spans="1:40" x14ac:dyDescent="0.25">
      <c r="A7170" t="str">
        <f>"20190312160826380"</f>
        <v>20190312160826380</v>
      </c>
      <c r="B7170" t="str">
        <f>"1552378106372722"</f>
        <v>1552378106372722</v>
      </c>
      <c r="C7170" t="s">
        <v>40</v>
      </c>
      <c r="D7170">
        <v>6.2480339999999996</v>
      </c>
      <c r="E7170">
        <v>0.46059060000000002</v>
      </c>
      <c r="F7170" t="s">
        <v>114</v>
      </c>
      <c r="G7170">
        <v>-238.52699999999999</v>
      </c>
      <c r="H7170" s="1">
        <v>-3.1514180000000001E-6</v>
      </c>
      <c r="I7170">
        <v>-62.500920000000001</v>
      </c>
      <c r="J7170">
        <v>-248.84049999999999</v>
      </c>
      <c r="K7170">
        <v>1.1085579999999999</v>
      </c>
      <c r="L7170">
        <v>-63.714170000000003</v>
      </c>
      <c r="M7170">
        <v>0.99971770000000004</v>
      </c>
      <c r="N7170">
        <v>0</v>
      </c>
      <c r="O7170">
        <v>2.2497400000000001E-2</v>
      </c>
      <c r="P7170">
        <v>0.99988390000000005</v>
      </c>
      <c r="Q7170">
        <v>-1.3152250000000001E-2</v>
      </c>
      <c r="R7170">
        <v>7.7131190000000001E-3</v>
      </c>
      <c r="S7170">
        <v>2.993484</v>
      </c>
      <c r="T7170">
        <v>-0.31735930000000001</v>
      </c>
      <c r="U7170">
        <v>0.34817500000000001</v>
      </c>
      <c r="V7170">
        <v>1.4779169999999999E-2</v>
      </c>
      <c r="W7170">
        <v>-5.5175379999999998E-3</v>
      </c>
      <c r="X7170">
        <v>0.99987550000000003</v>
      </c>
      <c r="Y7170">
        <v>-9.2767160000000001E-2</v>
      </c>
      <c r="Z7170">
        <v>2.5176959999999998E-3</v>
      </c>
      <c r="AA7170">
        <v>0.99568460000000003</v>
      </c>
      <c r="AB7170">
        <v>29</v>
      </c>
      <c r="AC7170">
        <v>10.3134999999999</v>
      </c>
      <c r="AD7170">
        <v>-1.1085611514179901</v>
      </c>
      <c r="AE7170">
        <v>1.2132499999999999</v>
      </c>
      <c r="AF7170">
        <v>-0.96985706772353397</v>
      </c>
      <c r="AG7170">
        <v>-1.1085611514179901</v>
      </c>
      <c r="AH7170">
        <v>10.2217025291248</v>
      </c>
      <c r="AI7170">
        <v>96.162172712636504</v>
      </c>
      <c r="AJ7170">
        <v>95.420120261817402</v>
      </c>
      <c r="AK7170">
        <v>10.327281014485999</v>
      </c>
      <c r="AL7170">
        <v>90.316133263294603</v>
      </c>
      <c r="AM7170">
        <v>89.153172164116199</v>
      </c>
      <c r="AN7170">
        <v>0.99999994129585801</v>
      </c>
    </row>
    <row r="7171" spans="1:40" x14ac:dyDescent="0.25">
      <c r="A7171" t="str">
        <f>"20190312160826391"</f>
        <v>20190312160826391</v>
      </c>
      <c r="B7171" t="str">
        <f>"1552378106382483"</f>
        <v>1552378106382483</v>
      </c>
      <c r="C7171" t="s">
        <v>40</v>
      </c>
      <c r="D7171">
        <v>6.1847830000000004</v>
      </c>
      <c r="E7171">
        <v>0.46059060000000002</v>
      </c>
      <c r="F7171" t="s">
        <v>114</v>
      </c>
      <c r="G7171">
        <v>-238.36959999999999</v>
      </c>
      <c r="H7171" s="1">
        <v>-3.0973969999999999E-6</v>
      </c>
      <c r="I7171">
        <v>-62.498469999999998</v>
      </c>
      <c r="J7171">
        <v>-248.70240000000001</v>
      </c>
      <c r="K7171">
        <v>1.1085499999999999</v>
      </c>
      <c r="L7171">
        <v>-63.711269999999899</v>
      </c>
      <c r="M7171">
        <v>0.99972289999999997</v>
      </c>
      <c r="N7171">
        <v>0</v>
      </c>
      <c r="O7171">
        <v>2.2260430000000001E-2</v>
      </c>
      <c r="P7171">
        <v>0.99989039999999996</v>
      </c>
      <c r="Q7171">
        <v>-1.277613E-2</v>
      </c>
      <c r="R7171">
        <v>7.4855360000000001E-3</v>
      </c>
      <c r="S7171">
        <v>2.9935149999999999</v>
      </c>
      <c r="T7171">
        <v>-0.3169228</v>
      </c>
      <c r="U7171">
        <v>0.34753420000000002</v>
      </c>
      <c r="V7171">
        <v>1.4770200000000001E-2</v>
      </c>
      <c r="W7171">
        <v>-5.1378170000000003E-3</v>
      </c>
      <c r="X7171">
        <v>0.99987769999999998</v>
      </c>
      <c r="Y7171">
        <v>-9.2791289999999998E-2</v>
      </c>
      <c r="Z7171">
        <v>2.5404410000000001E-3</v>
      </c>
      <c r="AA7171">
        <v>0.99568239999999997</v>
      </c>
      <c r="AB7171">
        <v>29</v>
      </c>
      <c r="AC7171">
        <v>10.332800000000001</v>
      </c>
      <c r="AD7171">
        <v>-1.1085530973969999</v>
      </c>
      <c r="AE7171">
        <v>1.2127999999999901</v>
      </c>
      <c r="AF7171">
        <v>-0.97145065733191005</v>
      </c>
      <c r="AG7171">
        <v>-1.1085530973969999</v>
      </c>
      <c r="AH7171">
        <v>10.2409655635647</v>
      </c>
      <c r="AI7171">
        <v>96.150639501330403</v>
      </c>
      <c r="AJ7171">
        <v>95.418822053106695</v>
      </c>
      <c r="AK7171">
        <v>10.346496123011701</v>
      </c>
      <c r="AL7171">
        <v>90.294376529416695</v>
      </c>
      <c r="AM7171">
        <v>89.153687920893105</v>
      </c>
      <c r="AN7171">
        <v>0.99999998546442703</v>
      </c>
    </row>
    <row r="7172" spans="1:40" x14ac:dyDescent="0.25">
      <c r="A7172" t="str">
        <f>"20190312160826402"</f>
        <v>20190312160826402</v>
      </c>
      <c r="B7172" t="str">
        <f>"1552378106392243"</f>
        <v>1552378106392243</v>
      </c>
      <c r="C7172" t="s">
        <v>40</v>
      </c>
      <c r="D7172">
        <v>6.2585230000000003</v>
      </c>
      <c r="E7172">
        <v>0.45346560000000002</v>
      </c>
      <c r="F7172" t="s">
        <v>114</v>
      </c>
      <c r="G7172">
        <v>-238.19139999999999</v>
      </c>
      <c r="H7172" s="1">
        <v>-3.0358740000000001E-6</v>
      </c>
      <c r="I7172">
        <v>-62.493360000000003</v>
      </c>
      <c r="J7172">
        <v>-248.55959999999999</v>
      </c>
      <c r="K7172">
        <v>1.1085430000000001</v>
      </c>
      <c r="L7172">
        <v>-63.708309999999997</v>
      </c>
      <c r="M7172">
        <v>0.99972839999999996</v>
      </c>
      <c r="N7172">
        <v>0</v>
      </c>
      <c r="O7172">
        <v>2.2012090000000002E-2</v>
      </c>
      <c r="P7172">
        <v>0.99989680000000003</v>
      </c>
      <c r="Q7172">
        <v>-1.2494720000000001E-2</v>
      </c>
      <c r="R7172">
        <v>7.0815100000000001E-3</v>
      </c>
      <c r="S7172">
        <v>2.9936980000000002</v>
      </c>
      <c r="T7172">
        <v>-0.31573440000000003</v>
      </c>
      <c r="U7172">
        <v>0.34686280000000003</v>
      </c>
      <c r="V7172">
        <v>1.492624E-2</v>
      </c>
      <c r="W7172">
        <v>-4.8527709999999996E-3</v>
      </c>
      <c r="X7172">
        <v>0.99987680000000001</v>
      </c>
      <c r="Y7172">
        <v>-9.2812779999999998E-2</v>
      </c>
      <c r="Z7172">
        <v>2.5579829999999998E-3</v>
      </c>
      <c r="AA7172">
        <v>0.99568029999999996</v>
      </c>
      <c r="AB7172">
        <v>29</v>
      </c>
      <c r="AC7172">
        <v>10.3682</v>
      </c>
      <c r="AD7172">
        <v>-1.108546035874</v>
      </c>
      <c r="AE7172">
        <v>1.21495</v>
      </c>
      <c r="AF7172">
        <v>-0.97542371172303899</v>
      </c>
      <c r="AG7172">
        <v>-1.108546035874</v>
      </c>
      <c r="AH7172">
        <v>10.276547614567599</v>
      </c>
      <c r="AI7172">
        <v>96.129433579844701</v>
      </c>
      <c r="AJ7172">
        <v>95.422125095739503</v>
      </c>
      <c r="AK7172">
        <v>10.382088258414999</v>
      </c>
      <c r="AL7172">
        <v>90.278044394496007</v>
      </c>
      <c r="AM7172">
        <v>89.144747595603107</v>
      </c>
      <c r="AN7172">
        <v>0.99999997860257706</v>
      </c>
    </row>
    <row r="7173" spans="1:40" x14ac:dyDescent="0.25">
      <c r="A7173" t="str">
        <f>"20190312160826413"</f>
        <v>20190312160826413</v>
      </c>
      <c r="B7173" t="str">
        <f>"1552378106402979"</f>
        <v>1552378106402979</v>
      </c>
      <c r="C7173" t="s">
        <v>40</v>
      </c>
      <c r="D7173">
        <v>6.4744719999999996</v>
      </c>
      <c r="E7173">
        <v>0.4532639</v>
      </c>
      <c r="F7173" t="s">
        <v>113</v>
      </c>
      <c r="G7173">
        <v>-218.29</v>
      </c>
      <c r="H7173" s="1">
        <v>-2.6438719999999999E-6</v>
      </c>
      <c r="I7173">
        <v>-59.715899999999998</v>
      </c>
      <c r="J7173">
        <v>-248.41370000000001</v>
      </c>
      <c r="K7173">
        <v>1.108536</v>
      </c>
      <c r="L7173">
        <v>-63.705350000000003</v>
      </c>
      <c r="M7173">
        <v>0.99973409999999996</v>
      </c>
      <c r="N7173">
        <v>0</v>
      </c>
      <c r="O7173">
        <v>2.1757080000000002E-2</v>
      </c>
      <c r="P7173">
        <v>0.99989969999999995</v>
      </c>
      <c r="Q7173">
        <v>-1.2368769999999999E-2</v>
      </c>
      <c r="R7173">
        <v>6.9140759999999999E-3</v>
      </c>
      <c r="S7173">
        <v>2.9961549999999999</v>
      </c>
      <c r="T7173">
        <v>-0.1097263</v>
      </c>
      <c r="U7173">
        <v>0.39517210000000003</v>
      </c>
      <c r="V7173">
        <v>1.4838570000000001E-2</v>
      </c>
      <c r="W7173">
        <v>-4.7228289999999996E-3</v>
      </c>
      <c r="X7173">
        <v>0.99987879999999996</v>
      </c>
      <c r="Y7173">
        <v>-0.1091013</v>
      </c>
      <c r="Z7173">
        <v>1.1957109999999999E-3</v>
      </c>
      <c r="AA7173">
        <v>0.99402990000000002</v>
      </c>
      <c r="AB7173">
        <v>29</v>
      </c>
      <c r="AC7173">
        <v>30.123699999999999</v>
      </c>
      <c r="AD7173">
        <v>-1.108538643872</v>
      </c>
      <c r="AE7173">
        <v>3.9894500000000002</v>
      </c>
      <c r="AF7173">
        <v>-3.3286527267746502</v>
      </c>
      <c r="AG7173">
        <v>-1.108538643872</v>
      </c>
      <c r="AH7173">
        <v>30.1632270456303</v>
      </c>
      <c r="AI7173">
        <v>92.092059939666299</v>
      </c>
      <c r="AJ7173">
        <v>96.297375413005398</v>
      </c>
      <c r="AK7173">
        <v>30.366577889295701</v>
      </c>
      <c r="AL7173">
        <v>90.270599161094907</v>
      </c>
      <c r="AM7173">
        <v>89.1497719232149</v>
      </c>
      <c r="AN7173">
        <v>1.00000005148142</v>
      </c>
    </row>
    <row r="7174" spans="1:40" x14ac:dyDescent="0.25">
      <c r="A7174" t="str">
        <f>"20190312160826424"</f>
        <v>20190312160826424</v>
      </c>
      <c r="B7174" t="str">
        <f>"1552378106412738"</f>
        <v>1552378106412738</v>
      </c>
      <c r="C7174" t="s">
        <v>40</v>
      </c>
      <c r="D7174">
        <v>6.2276429999999996</v>
      </c>
      <c r="E7174">
        <v>0.4532639</v>
      </c>
      <c r="F7174" t="s">
        <v>113</v>
      </c>
      <c r="G7174">
        <v>-218.2353</v>
      </c>
      <c r="H7174" s="1">
        <v>-2.620731E-6</v>
      </c>
      <c r="I7174">
        <v>-59.713940000000001</v>
      </c>
      <c r="J7174">
        <v>-248.273</v>
      </c>
      <c r="K7174">
        <v>1.108533</v>
      </c>
      <c r="L7174">
        <v>-63.702509999999997</v>
      </c>
      <c r="M7174">
        <v>0.99973920000000005</v>
      </c>
      <c r="N7174">
        <v>0</v>
      </c>
      <c r="O7174">
        <v>2.1509899999999998E-2</v>
      </c>
      <c r="P7174">
        <v>0.99990710000000005</v>
      </c>
      <c r="Q7174">
        <v>-1.183997E-2</v>
      </c>
      <c r="R7174">
        <v>6.7611030000000001E-3</v>
      </c>
      <c r="S7174">
        <v>2.9961850000000001</v>
      </c>
      <c r="T7174">
        <v>-0.11005819999999999</v>
      </c>
      <c r="U7174">
        <v>0.39627079999999998</v>
      </c>
      <c r="V7174">
        <v>1.474494E-2</v>
      </c>
      <c r="W7174">
        <v>-4.1900610000000001E-3</v>
      </c>
      <c r="X7174">
        <v>0.99988250000000001</v>
      </c>
      <c r="Y7174">
        <v>-0.1097031</v>
      </c>
      <c r="Z7174">
        <v>1.219316E-3</v>
      </c>
      <c r="AA7174">
        <v>0.99396370000000001</v>
      </c>
      <c r="AB7174">
        <v>29</v>
      </c>
      <c r="AC7174">
        <v>30.037700000000001</v>
      </c>
      <c r="AD7174">
        <v>-1.108535620731</v>
      </c>
      <c r="AE7174">
        <v>3.98856999999999</v>
      </c>
      <c r="AF7174">
        <v>-3.3370539909063601</v>
      </c>
      <c r="AG7174">
        <v>-1.108535620731</v>
      </c>
      <c r="AH7174">
        <v>30.076293078163101</v>
      </c>
      <c r="AI7174">
        <v>92.097958720526407</v>
      </c>
      <c r="AJ7174">
        <v>96.331241170993707</v>
      </c>
      <c r="AK7174">
        <v>30.281152320943999</v>
      </c>
      <c r="AL7174">
        <v>90.240073515645193</v>
      </c>
      <c r="AM7174">
        <v>89.155139129302697</v>
      </c>
      <c r="AN7174">
        <v>0.999999991836518</v>
      </c>
    </row>
    <row r="7175" spans="1:40" x14ac:dyDescent="0.25">
      <c r="A7175" t="str">
        <f>"20190312160826436"</f>
        <v>20190312160826436</v>
      </c>
      <c r="B7175" t="str">
        <f>"1552378106422500"</f>
        <v>1552378106422500</v>
      </c>
      <c r="C7175" t="s">
        <v>40</v>
      </c>
      <c r="D7175">
        <v>6.4962669999999996</v>
      </c>
      <c r="E7175">
        <v>0.45323989999999997</v>
      </c>
      <c r="F7175" t="s">
        <v>113</v>
      </c>
      <c r="G7175">
        <v>-217.66579999999999</v>
      </c>
      <c r="H7175" s="1">
        <v>-2.3861720000000002E-6</v>
      </c>
      <c r="I7175">
        <v>-59.658920000000002</v>
      </c>
      <c r="J7175">
        <v>-248.12530000000001</v>
      </c>
      <c r="K7175">
        <v>1.10853</v>
      </c>
      <c r="L7175">
        <v>-63.699550000000002</v>
      </c>
      <c r="M7175">
        <v>0.99974499999999999</v>
      </c>
      <c r="N7175">
        <v>0</v>
      </c>
      <c r="O7175">
        <v>2.1249850000000001E-2</v>
      </c>
      <c r="P7175">
        <v>0.99991260000000004</v>
      </c>
      <c r="Q7175">
        <v>-1.160925E-2</v>
      </c>
      <c r="R7175">
        <v>6.3713069999999997E-3</v>
      </c>
      <c r="S7175">
        <v>2.9963069999999998</v>
      </c>
      <c r="T7175">
        <v>-0.1085204</v>
      </c>
      <c r="U7175">
        <v>0.39584350000000001</v>
      </c>
      <c r="V7175">
        <v>1.487486E-2</v>
      </c>
      <c r="W7175">
        <v>-3.9554270000000001E-3</v>
      </c>
      <c r="X7175">
        <v>0.99988160000000004</v>
      </c>
      <c r="Y7175">
        <v>-0.1098184</v>
      </c>
      <c r="Z7175">
        <v>1.2136989999999999E-3</v>
      </c>
      <c r="AA7175">
        <v>0.99395089999999997</v>
      </c>
      <c r="AB7175">
        <v>29</v>
      </c>
      <c r="AC7175">
        <v>30.459499999999998</v>
      </c>
      <c r="AD7175">
        <v>-1.108532386172</v>
      </c>
      <c r="AE7175">
        <v>4.0406300000000002</v>
      </c>
      <c r="AF7175">
        <v>-3.3880290235325501</v>
      </c>
      <c r="AG7175">
        <v>-1.108532386172</v>
      </c>
      <c r="AH7175">
        <v>30.498790014203301</v>
      </c>
      <c r="AI7175">
        <v>92.068884835037494</v>
      </c>
      <c r="AJ7175">
        <v>96.338845565276003</v>
      </c>
      <c r="AK7175">
        <v>30.706412637199399</v>
      </c>
      <c r="AL7175">
        <v>90.226629850529505</v>
      </c>
      <c r="AM7175">
        <v>89.147695252734593</v>
      </c>
      <c r="AN7175">
        <v>1.00000006044066</v>
      </c>
    </row>
    <row r="7176" spans="1:40" x14ac:dyDescent="0.25">
      <c r="A7176" t="str">
        <f>"20190312160826448"</f>
        <v>20190312160826448</v>
      </c>
      <c r="B7176" t="str">
        <f>"1552378106442994"</f>
        <v>1552378106442994</v>
      </c>
      <c r="C7176" t="s">
        <v>40</v>
      </c>
      <c r="D7176">
        <v>6.4711080000000001</v>
      </c>
      <c r="E7176">
        <v>0.45345010000000002</v>
      </c>
      <c r="F7176" t="s">
        <v>113</v>
      </c>
      <c r="G7176">
        <v>-217.3843</v>
      </c>
      <c r="H7176" s="1">
        <v>-2.2672769999999999E-6</v>
      </c>
      <c r="I7176">
        <v>-59.648539999999997</v>
      </c>
      <c r="J7176">
        <v>-247.96209999999999</v>
      </c>
      <c r="K7176">
        <v>1.1085229999999999</v>
      </c>
      <c r="L7176">
        <v>-63.696379999999998</v>
      </c>
      <c r="M7176">
        <v>0.99975080000000005</v>
      </c>
      <c r="N7176">
        <v>0</v>
      </c>
      <c r="O7176">
        <v>2.0963099999999998E-2</v>
      </c>
      <c r="P7176">
        <v>0.9999188</v>
      </c>
      <c r="Q7176">
        <v>-1.127536E-2</v>
      </c>
      <c r="R7176">
        <v>5.97095E-3</v>
      </c>
      <c r="S7176">
        <v>2.9964750000000002</v>
      </c>
      <c r="T7176">
        <v>-0.1080542</v>
      </c>
      <c r="U7176">
        <v>0.39486690000000002</v>
      </c>
      <c r="V7176">
        <v>1.498855E-2</v>
      </c>
      <c r="W7176">
        <v>-3.617173E-3</v>
      </c>
      <c r="X7176">
        <v>0.99988109999999997</v>
      </c>
      <c r="Y7176">
        <v>-0.10977820000000001</v>
      </c>
      <c r="Z7176">
        <v>1.2180069999999999E-3</v>
      </c>
      <c r="AA7176">
        <v>0.99395540000000004</v>
      </c>
      <c r="AB7176">
        <v>29</v>
      </c>
      <c r="AC7176">
        <v>30.5778</v>
      </c>
      <c r="AD7176">
        <v>-1.1085252672769901</v>
      </c>
      <c r="AE7176">
        <v>4.0478399999999999</v>
      </c>
      <c r="AF7176">
        <v>-3.4015326015438001</v>
      </c>
      <c r="AG7176">
        <v>-1.1085252672769901</v>
      </c>
      <c r="AH7176">
        <v>30.616393227690999</v>
      </c>
      <c r="AI7176">
        <v>92.060928266525906</v>
      </c>
      <c r="AJ7176">
        <v>96.339657747509406</v>
      </c>
      <c r="AK7176">
        <v>30.824710648766199</v>
      </c>
      <c r="AL7176">
        <v>90.207249203302993</v>
      </c>
      <c r="AM7176">
        <v>89.141181547345795</v>
      </c>
      <c r="AN7176">
        <v>0.99999997735441104</v>
      </c>
    </row>
    <row r="7177" spans="1:40" x14ac:dyDescent="0.25">
      <c r="A7177" t="str">
        <f>"20190312160826460"</f>
        <v>20190312160826460</v>
      </c>
      <c r="B7177" t="str">
        <f>"1552378106452756"</f>
        <v>1552378106452756</v>
      </c>
      <c r="C7177" t="s">
        <v>40</v>
      </c>
      <c r="D7177">
        <v>6.2801600000000004</v>
      </c>
      <c r="E7177">
        <v>0.45339790000000002</v>
      </c>
      <c r="F7177" t="s">
        <v>113</v>
      </c>
      <c r="G7177">
        <v>-216.3228</v>
      </c>
      <c r="H7177" s="1">
        <v>-1.82801E-6</v>
      </c>
      <c r="I7177">
        <v>-59.557589999999998</v>
      </c>
      <c r="J7177">
        <v>-247.81559999999999</v>
      </c>
      <c r="K7177">
        <v>1.1085199999999999</v>
      </c>
      <c r="L7177">
        <v>-63.693570000000001</v>
      </c>
      <c r="M7177">
        <v>0.99975630000000004</v>
      </c>
      <c r="N7177">
        <v>0</v>
      </c>
      <c r="O7177">
        <v>2.0705810000000002E-2</v>
      </c>
      <c r="P7177">
        <v>0.99992349999999997</v>
      </c>
      <c r="Q7177">
        <v>-1.113099E-2</v>
      </c>
      <c r="R7177">
        <v>5.4114949999999997E-3</v>
      </c>
      <c r="S7177">
        <v>2.9967039999999998</v>
      </c>
      <c r="T7177">
        <v>-0.1049933</v>
      </c>
      <c r="U7177">
        <v>0.39199830000000002</v>
      </c>
      <c r="V7177">
        <v>1.529108E-2</v>
      </c>
      <c r="W7177">
        <v>-3.469083E-3</v>
      </c>
      <c r="X7177">
        <v>0.99987709999999996</v>
      </c>
      <c r="Y7177">
        <v>-0.1090922</v>
      </c>
      <c r="Z7177">
        <v>1.180513E-3</v>
      </c>
      <c r="AA7177">
        <v>0.994031</v>
      </c>
      <c r="AB7177">
        <v>29</v>
      </c>
      <c r="AC7177">
        <v>31.4927999999999</v>
      </c>
      <c r="AD7177">
        <v>-1.10852182801</v>
      </c>
      <c r="AE7177">
        <v>4.1359799999999796</v>
      </c>
      <c r="AF7177">
        <v>-3.4787531568767802</v>
      </c>
      <c r="AG7177">
        <v>-1.10852182801</v>
      </c>
      <c r="AH7177">
        <v>31.533282422446501</v>
      </c>
      <c r="AI7177">
        <v>92.001217095179399</v>
      </c>
      <c r="AJ7177">
        <v>96.295415896513205</v>
      </c>
      <c r="AK7177">
        <v>31.743951305775202</v>
      </c>
      <c r="AL7177">
        <v>90.198764206718806</v>
      </c>
      <c r="AM7177">
        <v>89.123846263226795</v>
      </c>
      <c r="AN7177">
        <v>1.0000000333844099</v>
      </c>
    </row>
    <row r="7178" spans="1:40" x14ac:dyDescent="0.25">
      <c r="A7178" t="str">
        <f>"20190312160826471"</f>
        <v>20190312160826471</v>
      </c>
      <c r="B7178" t="str">
        <f>"1552378106462516"</f>
        <v>1552378106462516</v>
      </c>
      <c r="C7178" t="s">
        <v>40</v>
      </c>
      <c r="D7178">
        <v>6.2810329999999999</v>
      </c>
      <c r="E7178">
        <v>0.45347199999999999</v>
      </c>
      <c r="F7178" t="s">
        <v>113</v>
      </c>
      <c r="G7178">
        <v>-216.75880000000001</v>
      </c>
      <c r="H7178" s="1">
        <v>-1.9997979999999998E-6</v>
      </c>
      <c r="I7178">
        <v>-59.643599999999999</v>
      </c>
      <c r="J7178">
        <v>-247.6574</v>
      </c>
      <c r="K7178">
        <v>1.1085179999999999</v>
      </c>
      <c r="L7178">
        <v>-63.690550000000002</v>
      </c>
      <c r="M7178">
        <v>0.99976180000000003</v>
      </c>
      <c r="N7178">
        <v>0</v>
      </c>
      <c r="O7178">
        <v>2.0428789999999999E-2</v>
      </c>
      <c r="P7178">
        <v>0.99992720000000002</v>
      </c>
      <c r="Q7178">
        <v>-1.1061339999999999E-2</v>
      </c>
      <c r="R7178">
        <v>4.8360110000000003E-3</v>
      </c>
      <c r="S7178">
        <v>2.996918</v>
      </c>
      <c r="T7178">
        <v>-0.1069702</v>
      </c>
      <c r="U7178">
        <v>0.39080809999999999</v>
      </c>
      <c r="V7178">
        <v>1.5589459999999999E-2</v>
      </c>
      <c r="W7178">
        <v>-3.3953500000000001E-3</v>
      </c>
      <c r="X7178">
        <v>0.99987269999999995</v>
      </c>
      <c r="Y7178">
        <v>-0.1089683</v>
      </c>
      <c r="Z7178">
        <v>1.2103039999999999E-3</v>
      </c>
      <c r="AA7178">
        <v>0.9940445</v>
      </c>
      <c r="AB7178">
        <v>29</v>
      </c>
      <c r="AC7178">
        <v>30.898599999999899</v>
      </c>
      <c r="AD7178">
        <v>-1.108519999798</v>
      </c>
      <c r="AE7178">
        <v>4.0469499999999998</v>
      </c>
      <c r="AF7178">
        <v>-3.4105501016636599</v>
      </c>
      <c r="AG7178">
        <v>-1.108519999798</v>
      </c>
      <c r="AH7178">
        <v>30.935682601252399</v>
      </c>
      <c r="AI7178">
        <v>92.039856218058205</v>
      </c>
      <c r="AJ7178">
        <v>96.291251521719602</v>
      </c>
      <c r="AK7178">
        <v>31.142850328628199</v>
      </c>
      <c r="AL7178">
        <v>90.194539601106499</v>
      </c>
      <c r="AM7178">
        <v>89.106748393393204</v>
      </c>
      <c r="AN7178">
        <v>0.999999987935001</v>
      </c>
    </row>
    <row r="7179" spans="1:40" x14ac:dyDescent="0.25">
      <c r="A7179" t="str">
        <f>"20190312160826491"</f>
        <v>20190312160826491</v>
      </c>
      <c r="B7179" t="str">
        <f>"1552378106483011"</f>
        <v>1552378106483011</v>
      </c>
      <c r="C7179" t="s">
        <v>40</v>
      </c>
      <c r="D7179">
        <v>6.2325589999999904</v>
      </c>
      <c r="E7179">
        <v>0.45623140000000001</v>
      </c>
      <c r="F7179" t="s">
        <v>113</v>
      </c>
      <c r="G7179">
        <v>-216.6575</v>
      </c>
      <c r="H7179" s="1">
        <v>-1.9513580000000002E-6</v>
      </c>
      <c r="I7179">
        <v>-59.671689999999998</v>
      </c>
      <c r="J7179">
        <v>-247.3929</v>
      </c>
      <c r="K7179">
        <v>1.108517</v>
      </c>
      <c r="L7179">
        <v>-63.685580000000002</v>
      </c>
      <c r="M7179">
        <v>0.99977119999999997</v>
      </c>
      <c r="N7179">
        <v>0</v>
      </c>
      <c r="O7179">
        <v>1.9967809999999999E-2</v>
      </c>
      <c r="P7179">
        <v>0.99993089999999996</v>
      </c>
      <c r="Q7179">
        <v>-1.095582E-2</v>
      </c>
      <c r="R7179">
        <v>4.2897159999999998E-3</v>
      </c>
      <c r="S7179">
        <v>2.9971619999999999</v>
      </c>
      <c r="T7179">
        <v>-0.10717500000000001</v>
      </c>
      <c r="U7179">
        <v>0.3885498</v>
      </c>
      <c r="V7179">
        <v>1.5675000000000001E-2</v>
      </c>
      <c r="W7179">
        <v>-3.2826119999999999E-3</v>
      </c>
      <c r="X7179">
        <v>0.99987170000000003</v>
      </c>
      <c r="Y7179">
        <v>-0.108679399999999</v>
      </c>
      <c r="Z7179">
        <v>1.223834E-3</v>
      </c>
      <c r="AA7179">
        <v>0.99407610000000002</v>
      </c>
      <c r="AB7179">
        <v>29</v>
      </c>
      <c r="AC7179">
        <v>30.735399999999998</v>
      </c>
      <c r="AD7179">
        <v>-1.108518951358</v>
      </c>
      <c r="AE7179">
        <v>4.0138899999999902</v>
      </c>
      <c r="AF7179">
        <v>-3.3950108412479301</v>
      </c>
      <c r="AG7179">
        <v>-1.108518951358</v>
      </c>
      <c r="AH7179">
        <v>30.770068342645899</v>
      </c>
      <c r="AI7179">
        <v>92.050804351732097</v>
      </c>
      <c r="AJ7179">
        <v>96.296253859512007</v>
      </c>
      <c r="AK7179">
        <v>30.976636658759599</v>
      </c>
      <c r="AL7179">
        <v>90.188080160784693</v>
      </c>
      <c r="AM7179">
        <v>89.101846988134696</v>
      </c>
      <c r="AN7179">
        <v>0.99999994881371501</v>
      </c>
    </row>
    <row r="7180" spans="1:40" x14ac:dyDescent="0.25">
      <c r="A7180" t="str">
        <f>"20190312160826502"</f>
        <v>20190312160826502</v>
      </c>
      <c r="B7180" t="str">
        <f>"1552378106492771"</f>
        <v>1552378106492771</v>
      </c>
      <c r="C7180" t="s">
        <v>40</v>
      </c>
      <c r="D7180">
        <v>6.7275499999999999</v>
      </c>
      <c r="E7180">
        <v>0.45623140000000001</v>
      </c>
      <c r="F7180" t="s">
        <v>113</v>
      </c>
      <c r="G7180">
        <v>-212.2843</v>
      </c>
      <c r="H7180" s="1">
        <v>-1.2032810000000001E-7</v>
      </c>
      <c r="I7180">
        <v>-59.417789999999997</v>
      </c>
      <c r="J7180">
        <v>-247.24590000000001</v>
      </c>
      <c r="K7180">
        <v>1.108514</v>
      </c>
      <c r="L7180">
        <v>-63.68289</v>
      </c>
      <c r="M7180">
        <v>0.99977609999999995</v>
      </c>
      <c r="N7180">
        <v>0</v>
      </c>
      <c r="O7180">
        <v>1.9712790000000001E-2</v>
      </c>
      <c r="P7180">
        <v>0.99993350000000003</v>
      </c>
      <c r="Q7180">
        <v>-1.0825639999999999E-2</v>
      </c>
      <c r="R7180">
        <v>3.9857870000000002E-3</v>
      </c>
      <c r="S7180">
        <v>2.9975890000000001</v>
      </c>
      <c r="T7180">
        <v>-9.464562E-2</v>
      </c>
      <c r="U7180">
        <v>0.36437989999999998</v>
      </c>
      <c r="V7180">
        <v>1.5723850000000001E-2</v>
      </c>
      <c r="W7180">
        <v>-3.1483769999999999E-3</v>
      </c>
      <c r="X7180">
        <v>0.99987139999999997</v>
      </c>
      <c r="Y7180">
        <v>-0.10103669999999999</v>
      </c>
      <c r="Z7180">
        <v>9.6904339999999997E-4</v>
      </c>
      <c r="AA7180">
        <v>0.99488220000000005</v>
      </c>
      <c r="AB7180">
        <v>29</v>
      </c>
      <c r="AC7180">
        <v>34.961599999999997</v>
      </c>
      <c r="AD7180">
        <v>-1.1085141203280999</v>
      </c>
      <c r="AE7180">
        <v>4.2650999999999897</v>
      </c>
      <c r="AF7180">
        <v>-3.57152227547417</v>
      </c>
      <c r="AG7180">
        <v>-1.1085141203280999</v>
      </c>
      <c r="AH7180">
        <v>35.0042114740166</v>
      </c>
      <c r="AI7180">
        <v>91.804475725018705</v>
      </c>
      <c r="AJ7180">
        <v>95.825797661328593</v>
      </c>
      <c r="AK7180">
        <v>35.203400344808301</v>
      </c>
      <c r="AL7180">
        <v>90.180389015289293</v>
      </c>
      <c r="AM7180">
        <v>89.099048149831106</v>
      </c>
      <c r="AN7180">
        <v>0.99999998413725799</v>
      </c>
    </row>
    <row r="7181" spans="1:40" x14ac:dyDescent="0.25">
      <c r="A7181" t="str">
        <f>"20190312160826513"</f>
        <v>20190312160826513</v>
      </c>
      <c r="B7181" t="str">
        <f>"1552378106502531"</f>
        <v>1552378106502531</v>
      </c>
      <c r="C7181" t="s">
        <v>40</v>
      </c>
      <c r="D7181">
        <v>6.3700299999999999</v>
      </c>
      <c r="E7181">
        <v>0.48878290000000002</v>
      </c>
      <c r="F7181" t="s">
        <v>113</v>
      </c>
      <c r="G7181">
        <v>-212.0273</v>
      </c>
      <c r="H7181" s="1">
        <v>-1.101853E-8</v>
      </c>
      <c r="I7181">
        <v>-59.412309999999998</v>
      </c>
      <c r="J7181">
        <v>-247.1001</v>
      </c>
      <c r="K7181">
        <v>1.108509</v>
      </c>
      <c r="L7181">
        <v>-63.680239999999998</v>
      </c>
      <c r="M7181">
        <v>0.99978109999999998</v>
      </c>
      <c r="N7181">
        <v>0</v>
      </c>
      <c r="O7181">
        <v>1.946022E-2</v>
      </c>
      <c r="P7181">
        <v>0.99993310000000002</v>
      </c>
      <c r="Q7181">
        <v>-1.097762E-2</v>
      </c>
      <c r="R7181">
        <v>3.6581270000000002E-3</v>
      </c>
      <c r="S7181">
        <v>2.9977109999999998</v>
      </c>
      <c r="T7181">
        <v>-9.4353560000000003E-2</v>
      </c>
      <c r="U7181">
        <v>0.36349490000000001</v>
      </c>
      <c r="V7181">
        <v>1.579879E-2</v>
      </c>
      <c r="W7181">
        <v>-3.296382E-3</v>
      </c>
      <c r="X7181">
        <v>0.99986980000000003</v>
      </c>
      <c r="Y7181">
        <v>-0.1009939</v>
      </c>
      <c r="Z7181">
        <v>9.7327410000000003E-4</v>
      </c>
      <c r="AA7181">
        <v>0.99488659999999995</v>
      </c>
      <c r="AB7181">
        <v>29</v>
      </c>
      <c r="AC7181">
        <v>35.072800000000001</v>
      </c>
      <c r="AD7181">
        <v>-1.1085090110185301</v>
      </c>
      <c r="AE7181">
        <v>4.2679299999999998</v>
      </c>
      <c r="AF7181">
        <v>-3.5810521430677298</v>
      </c>
      <c r="AG7181">
        <v>-1.1085090110185301</v>
      </c>
      <c r="AH7181">
        <v>35.114649811462399</v>
      </c>
      <c r="AI7181">
        <v>91.798804939521105</v>
      </c>
      <c r="AJ7181">
        <v>95.822990541339806</v>
      </c>
      <c r="AK7181">
        <v>35.314180693604001</v>
      </c>
      <c r="AL7181">
        <v>90.188869110297105</v>
      </c>
      <c r="AM7181">
        <v>89.094753470325401</v>
      </c>
      <c r="AN7181">
        <v>1.0000000424258899</v>
      </c>
    </row>
    <row r="7182" spans="1:40" x14ac:dyDescent="0.25">
      <c r="A7182" t="str">
        <f>"20190312160826525"</f>
        <v>20190312160826525</v>
      </c>
      <c r="B7182" t="str">
        <f>"1552378106512291"</f>
        <v>1552378106512291</v>
      </c>
      <c r="C7182" t="s">
        <v>40</v>
      </c>
      <c r="D7182">
        <v>6.3673270000000004</v>
      </c>
      <c r="E7182">
        <v>0.4898054</v>
      </c>
      <c r="F7182" t="s">
        <v>52</v>
      </c>
      <c r="G7182">
        <v>-157.3501</v>
      </c>
      <c r="H7182">
        <v>0.62689019999999995</v>
      </c>
      <c r="I7182">
        <v>-60.691679999999998</v>
      </c>
      <c r="J7182">
        <v>-246.9529</v>
      </c>
      <c r="K7182">
        <v>1.108508</v>
      </c>
      <c r="L7182">
        <v>-63.6776699999999</v>
      </c>
      <c r="M7182">
        <v>0.99978590000000001</v>
      </c>
      <c r="N7182">
        <v>0</v>
      </c>
      <c r="O7182">
        <v>1.9206399999999998E-2</v>
      </c>
      <c r="P7182">
        <v>0.9999323</v>
      </c>
      <c r="Q7182">
        <v>-1.1160359999999999E-2</v>
      </c>
      <c r="R7182">
        <v>3.3200489999999998E-3</v>
      </c>
      <c r="S7182">
        <v>2.9996489999999998</v>
      </c>
      <c r="T7182">
        <v>-1.6097429999999999E-2</v>
      </c>
      <c r="U7182">
        <v>9.9884029999999999E-2</v>
      </c>
      <c r="V7182">
        <v>1.5882670000000002E-2</v>
      </c>
      <c r="W7182">
        <v>-3.4751069999999998E-3</v>
      </c>
      <c r="X7182">
        <v>0.99986779999999997</v>
      </c>
      <c r="Y7182">
        <v>-1.407774E-2</v>
      </c>
      <c r="Z7182" s="1">
        <v>-6.5267779999999997E-5</v>
      </c>
      <c r="AA7182">
        <v>0.99990089999999998</v>
      </c>
      <c r="AB7182">
        <v>29</v>
      </c>
      <c r="AC7182">
        <v>89.602800000000002</v>
      </c>
      <c r="AD7182">
        <v>-0.48161779999999998</v>
      </c>
      <c r="AE7182">
        <v>2.9859899999999802</v>
      </c>
      <c r="AF7182">
        <v>-1.26440446351758</v>
      </c>
      <c r="AG7182">
        <v>-0.48161779999999998</v>
      </c>
      <c r="AH7182">
        <v>89.641035771254707</v>
      </c>
      <c r="AI7182">
        <v>90.307801632871005</v>
      </c>
      <c r="AJ7182">
        <v>90.808114663499794</v>
      </c>
      <c r="AK7182">
        <v>89.651246329853194</v>
      </c>
      <c r="AL7182">
        <v>90.199109369884695</v>
      </c>
      <c r="AM7182">
        <v>89.089946260609906</v>
      </c>
      <c r="AN7182">
        <v>0.99999997652591399</v>
      </c>
    </row>
    <row r="7183" spans="1:40" x14ac:dyDescent="0.25">
      <c r="A7183" t="str">
        <f>"20190312160826537"</f>
        <v>20190312160826537</v>
      </c>
      <c r="B7183" t="str">
        <f>"1552378106532787"</f>
        <v>1552378106532787</v>
      </c>
      <c r="C7183" t="s">
        <v>40</v>
      </c>
      <c r="D7183">
        <v>6.2525620000000002</v>
      </c>
      <c r="E7183">
        <v>0.49153530000000001</v>
      </c>
      <c r="F7183" t="s">
        <v>52</v>
      </c>
      <c r="G7183">
        <v>-157.3501</v>
      </c>
      <c r="H7183">
        <v>0.36652230000000002</v>
      </c>
      <c r="I7183">
        <v>-60.958350000000003</v>
      </c>
      <c r="J7183">
        <v>-246.79499999999999</v>
      </c>
      <c r="K7183">
        <v>1.108506</v>
      </c>
      <c r="L7183">
        <v>-63.674869999999999</v>
      </c>
      <c r="M7183">
        <v>0.99979110000000004</v>
      </c>
      <c r="N7183">
        <v>0</v>
      </c>
      <c r="O7183">
        <v>1.8934039999999999E-2</v>
      </c>
      <c r="P7183">
        <v>0.99993279999999995</v>
      </c>
      <c r="Q7183">
        <v>-1.116967E-2</v>
      </c>
      <c r="R7183">
        <v>3.1721990000000001E-3</v>
      </c>
      <c r="S7183">
        <v>2.999619</v>
      </c>
      <c r="T7183">
        <v>-2.4840000000000001E-2</v>
      </c>
      <c r="U7183">
        <v>9.1033939999999994E-2</v>
      </c>
      <c r="V7183">
        <v>1.575814E-2</v>
      </c>
      <c r="W7183">
        <v>-3.4798450000000001E-3</v>
      </c>
      <c r="X7183">
        <v>0.99986980000000003</v>
      </c>
      <c r="Y7183">
        <v>-1.1403480000000001E-2</v>
      </c>
      <c r="Z7183">
        <v>-1.095366E-4</v>
      </c>
      <c r="AA7183">
        <v>0.99993500000000002</v>
      </c>
      <c r="AB7183">
        <v>29</v>
      </c>
      <c r="AC7183">
        <v>89.444899999999905</v>
      </c>
      <c r="AD7183">
        <v>-0.74198369999999902</v>
      </c>
      <c r="AE7183">
        <v>2.7165199999999898</v>
      </c>
      <c r="AF7183">
        <v>-1.02235921092187</v>
      </c>
      <c r="AG7183">
        <v>-0.74198369999999902</v>
      </c>
      <c r="AH7183">
        <v>89.474149520862696</v>
      </c>
      <c r="AI7183">
        <v>90.4750957171631</v>
      </c>
      <c r="AJ7183">
        <v>90.654650747395294</v>
      </c>
      <c r="AK7183">
        <v>89.4830665022658</v>
      </c>
      <c r="AL7183">
        <v>90.199380829744499</v>
      </c>
      <c r="AM7183">
        <v>89.097082267119006</v>
      </c>
      <c r="AN7183">
        <v>1.0000000226247601</v>
      </c>
    </row>
    <row r="7184" spans="1:40" x14ac:dyDescent="0.25">
      <c r="A7184" t="str">
        <f>"20190312160826548"</f>
        <v>20190312160826548</v>
      </c>
      <c r="B7184" t="str">
        <f>"1552378106542547"</f>
        <v>1552378106542547</v>
      </c>
      <c r="C7184" t="s">
        <v>40</v>
      </c>
      <c r="D7184">
        <v>6.3274439999999998</v>
      </c>
      <c r="E7184">
        <v>0.49224679999999998</v>
      </c>
      <c r="F7184" t="s">
        <v>52</v>
      </c>
      <c r="G7184">
        <v>-157.3501</v>
      </c>
      <c r="H7184">
        <v>1.070198</v>
      </c>
      <c r="I7184">
        <v>-61.411949999999997</v>
      </c>
      <c r="J7184">
        <v>-246.64590000000001</v>
      </c>
      <c r="K7184">
        <v>1.1085069999999999</v>
      </c>
      <c r="L7184">
        <v>-63.6723</v>
      </c>
      <c r="M7184">
        <v>0.99979589999999996</v>
      </c>
      <c r="N7184">
        <v>0</v>
      </c>
      <c r="O7184">
        <v>1.8677829999999999E-2</v>
      </c>
      <c r="P7184">
        <v>0.99993790000000005</v>
      </c>
      <c r="Q7184">
        <v>-1.070932E-2</v>
      </c>
      <c r="R7184">
        <v>3.0874520000000001E-3</v>
      </c>
      <c r="S7184">
        <v>2.9999539999999998</v>
      </c>
      <c r="T7184">
        <v>-1.285553E-3</v>
      </c>
      <c r="U7184">
        <v>7.5897220000000001E-2</v>
      </c>
      <c r="V7184">
        <v>1.558727E-2</v>
      </c>
      <c r="W7184">
        <v>-3.0151050000000001E-3</v>
      </c>
      <c r="X7184">
        <v>0.99987389999999998</v>
      </c>
      <c r="Y7184">
        <v>-6.6145450000000003E-3</v>
      </c>
      <c r="Z7184" s="1">
        <v>-6.5850179999999997E-6</v>
      </c>
      <c r="AA7184">
        <v>0.99997809999999998</v>
      </c>
      <c r="AB7184">
        <v>30</v>
      </c>
      <c r="AC7184">
        <v>89.2958</v>
      </c>
      <c r="AD7184">
        <v>-3.8308999999999899E-2</v>
      </c>
      <c r="AE7184">
        <v>2.2603499999999999</v>
      </c>
      <c r="AF7184">
        <v>-0.59205433534152097</v>
      </c>
      <c r="AG7184">
        <v>-3.8308999999999899E-2</v>
      </c>
      <c r="AH7184">
        <v>89.322425046951906</v>
      </c>
      <c r="AI7184">
        <v>90.024572728144506</v>
      </c>
      <c r="AJ7184">
        <v>90.379767095123697</v>
      </c>
      <c r="AK7184">
        <v>89.324395392209794</v>
      </c>
      <c r="AL7184">
        <v>90.172753064285999</v>
      </c>
      <c r="AM7184">
        <v>89.106874928343601</v>
      </c>
      <c r="AN7184">
        <v>0.999999934872709</v>
      </c>
    </row>
    <row r="7185" spans="1:40" x14ac:dyDescent="0.25">
      <c r="A7185" t="str">
        <f>"20190312160826560"</f>
        <v>20190312160826560</v>
      </c>
      <c r="B7185" t="str">
        <f>"1552378106552307"</f>
        <v>1552378106552307</v>
      </c>
      <c r="C7185" t="s">
        <v>40</v>
      </c>
      <c r="D7185">
        <v>6.340109</v>
      </c>
      <c r="E7185">
        <v>0.4930292</v>
      </c>
      <c r="F7185" t="s">
        <v>52</v>
      </c>
      <c r="G7185">
        <v>-157.3501</v>
      </c>
      <c r="H7185">
        <v>1.268167</v>
      </c>
      <c r="I7185">
        <v>-61.595799999999997</v>
      </c>
      <c r="J7185">
        <v>-246.4932</v>
      </c>
      <c r="K7185">
        <v>1.108506</v>
      </c>
      <c r="L7185">
        <v>-63.669710000000002</v>
      </c>
      <c r="M7185">
        <v>0.99980080000000005</v>
      </c>
      <c r="N7185">
        <v>0</v>
      </c>
      <c r="O7185">
        <v>1.8415419999999998E-2</v>
      </c>
      <c r="P7185">
        <v>0.99993690000000002</v>
      </c>
      <c r="Q7185">
        <v>-1.0898969999999999E-2</v>
      </c>
      <c r="R7185">
        <v>2.7637709999999999E-3</v>
      </c>
      <c r="S7185">
        <v>3.0000309999999999</v>
      </c>
      <c r="T7185">
        <v>5.3633450000000003E-3</v>
      </c>
      <c r="U7185">
        <v>6.9763179999999994E-2</v>
      </c>
      <c r="V7185">
        <v>1.56483E-2</v>
      </c>
      <c r="W7185">
        <v>-3.200544E-3</v>
      </c>
      <c r="X7185">
        <v>0.99987239999999999</v>
      </c>
      <c r="Y7185">
        <v>-4.832963E-3</v>
      </c>
      <c r="Z7185" s="1">
        <v>2.859626E-5</v>
      </c>
      <c r="AA7185">
        <v>0.99998830000000005</v>
      </c>
      <c r="AB7185">
        <v>30</v>
      </c>
      <c r="AC7185">
        <v>89.143100000000004</v>
      </c>
      <c r="AD7185">
        <v>0.159661</v>
      </c>
      <c r="AE7185">
        <v>2.0739099999999899</v>
      </c>
      <c r="AF7185">
        <v>-0.43190065731230398</v>
      </c>
      <c r="AG7185">
        <v>0.159661</v>
      </c>
      <c r="AH7185">
        <v>89.165889549174906</v>
      </c>
      <c r="AI7185">
        <v>89.897407131705293</v>
      </c>
      <c r="AJ7185">
        <v>90.277526433342999</v>
      </c>
      <c r="AK7185">
        <v>89.167078503830993</v>
      </c>
      <c r="AL7185">
        <v>90.183377982923005</v>
      </c>
      <c r="AM7185">
        <v>89.103377234067594</v>
      </c>
      <c r="AN7185">
        <v>0.999999964528272</v>
      </c>
    </row>
    <row r="7186" spans="1:40" x14ac:dyDescent="0.25">
      <c r="A7186" t="str">
        <f>"20190312160826569"</f>
        <v>20190312160826569</v>
      </c>
      <c r="B7186" t="str">
        <f>"1552378106563043"</f>
        <v>1552378106563043</v>
      </c>
      <c r="C7186" t="s">
        <v>40</v>
      </c>
      <c r="D7186">
        <v>6.3460669999999997</v>
      </c>
      <c r="E7186">
        <v>0.49358740000000001</v>
      </c>
      <c r="F7186" t="s">
        <v>52</v>
      </c>
      <c r="G7186">
        <v>-157.3501</v>
      </c>
      <c r="H7186">
        <v>1.3422769999999999</v>
      </c>
      <c r="I7186">
        <v>-61.81353</v>
      </c>
      <c r="J7186">
        <v>-246.3511</v>
      </c>
      <c r="K7186">
        <v>1.1085050000000001</v>
      </c>
      <c r="L7186">
        <v>-63.667299999999997</v>
      </c>
      <c r="M7186">
        <v>0.99980519999999995</v>
      </c>
      <c r="N7186">
        <v>0</v>
      </c>
      <c r="O7186">
        <v>1.817156E-2</v>
      </c>
      <c r="P7186">
        <v>0.99993650000000001</v>
      </c>
      <c r="Q7186">
        <v>-1.0962100000000001E-2</v>
      </c>
      <c r="R7186">
        <v>2.6634520000000002E-3</v>
      </c>
      <c r="S7186">
        <v>3.0001069999999999</v>
      </c>
      <c r="T7186">
        <v>7.8668590000000004E-3</v>
      </c>
      <c r="U7186">
        <v>6.2469480000000001E-2</v>
      </c>
      <c r="V7186">
        <v>1.5504520000000001E-2</v>
      </c>
      <c r="W7186">
        <v>-3.2595279999999998E-3</v>
      </c>
      <c r="X7186">
        <v>0.9998745</v>
      </c>
      <c r="Y7186">
        <v>-2.6463630000000001E-3</v>
      </c>
      <c r="Z7186" s="1">
        <v>4.4172029999999897E-5</v>
      </c>
      <c r="AA7186">
        <v>0.99999649999999995</v>
      </c>
      <c r="AB7186">
        <v>30</v>
      </c>
      <c r="AC7186">
        <v>89.001000000000005</v>
      </c>
      <c r="AD7186">
        <v>0.23377200000000001</v>
      </c>
      <c r="AE7186">
        <v>1.8537699999999899</v>
      </c>
      <c r="AF7186">
        <v>-0.236127253665774</v>
      </c>
      <c r="AG7186">
        <v>0.23377200000000001</v>
      </c>
      <c r="AH7186">
        <v>89.019376601769096</v>
      </c>
      <c r="AI7186">
        <v>89.849537577435299</v>
      </c>
      <c r="AJ7186">
        <v>90.151978859542893</v>
      </c>
      <c r="AK7186">
        <v>89.019996719812994</v>
      </c>
      <c r="AL7186">
        <v>90.1867575254673</v>
      </c>
      <c r="AM7186">
        <v>89.111616139060104</v>
      </c>
      <c r="AN7186">
        <v>1.0000000152067301</v>
      </c>
    </row>
    <row r="7187" spans="1:40" x14ac:dyDescent="0.25">
      <c r="A7187" t="str">
        <f>"20190312160826581"</f>
        <v>20190312160826581</v>
      </c>
      <c r="B7187" t="str">
        <f>"1552378106572803"</f>
        <v>1552378106572803</v>
      </c>
      <c r="C7187" t="s">
        <v>40</v>
      </c>
      <c r="D7187">
        <v>6.2937269999999996</v>
      </c>
      <c r="E7187">
        <v>0.49411309999999897</v>
      </c>
      <c r="F7187" t="s">
        <v>52</v>
      </c>
      <c r="G7187">
        <v>-157.3501</v>
      </c>
      <c r="H7187">
        <v>1.4022300000000001</v>
      </c>
      <c r="I7187">
        <v>-61.958030000000001</v>
      </c>
      <c r="J7187">
        <v>-246.20570000000001</v>
      </c>
      <c r="K7187">
        <v>1.108506</v>
      </c>
      <c r="L7187">
        <v>-63.66489</v>
      </c>
      <c r="M7187">
        <v>0.99980950000000002</v>
      </c>
      <c r="N7187">
        <v>0</v>
      </c>
      <c r="O7187">
        <v>1.7922270000000001E-2</v>
      </c>
      <c r="P7187">
        <v>0.99993799999999999</v>
      </c>
      <c r="Q7187">
        <v>-1.082552E-2</v>
      </c>
      <c r="R7187">
        <v>2.6266229999999998E-3</v>
      </c>
      <c r="S7187">
        <v>3.0001220000000002</v>
      </c>
      <c r="T7187">
        <v>9.9004509999999993E-3</v>
      </c>
      <c r="U7187">
        <v>5.7617189999999999E-2</v>
      </c>
      <c r="V7187">
        <v>1.529222E-2</v>
      </c>
      <c r="W7187">
        <v>-3.1186199999999999E-3</v>
      </c>
      <c r="X7187">
        <v>0.99987820000000005</v>
      </c>
      <c r="Y7187">
        <v>-1.278915E-3</v>
      </c>
      <c r="Z7187" s="1">
        <v>5.7024990000000003E-5</v>
      </c>
      <c r="AA7187">
        <v>0.99999919999999998</v>
      </c>
      <c r="AB7187">
        <v>30</v>
      </c>
      <c r="AC7187">
        <v>88.855599999999995</v>
      </c>
      <c r="AD7187">
        <v>0.29372399999999899</v>
      </c>
      <c r="AE7187">
        <v>1.7068599999999901</v>
      </c>
      <c r="AF7187">
        <v>-0.114042950706899</v>
      </c>
      <c r="AG7187">
        <v>0.29372399999999899</v>
      </c>
      <c r="AH7187">
        <v>88.870948413279294</v>
      </c>
      <c r="AI7187">
        <v>89.810634738246705</v>
      </c>
      <c r="AJ7187">
        <v>90.073524321375601</v>
      </c>
      <c r="AK7187">
        <v>88.8715069719116</v>
      </c>
      <c r="AL7187">
        <v>90.178684054206002</v>
      </c>
      <c r="AM7187">
        <v>89.123781917093197</v>
      </c>
      <c r="AN7187">
        <v>0.99999999630923597</v>
      </c>
    </row>
    <row r="7188" spans="1:40" x14ac:dyDescent="0.25">
      <c r="A7188" t="str">
        <f>"20190312160826591"</f>
        <v>20190312160826591</v>
      </c>
      <c r="B7188" t="str">
        <f>"1552378106582564"</f>
        <v>1552378106582564</v>
      </c>
      <c r="C7188" t="s">
        <v>40</v>
      </c>
      <c r="D7188">
        <v>6.399858</v>
      </c>
      <c r="E7188">
        <v>0.49453439999999999</v>
      </c>
      <c r="F7188" t="s">
        <v>52</v>
      </c>
      <c r="G7188">
        <v>-157.3501</v>
      </c>
      <c r="H7188">
        <v>1.450034</v>
      </c>
      <c r="I7188">
        <v>-62.087679999999999</v>
      </c>
      <c r="J7188">
        <v>-246.06639999999999</v>
      </c>
      <c r="K7188">
        <v>1.1085039999999999</v>
      </c>
      <c r="L7188">
        <v>-63.662599999999998</v>
      </c>
      <c r="M7188">
        <v>0.99981390000000003</v>
      </c>
      <c r="N7188">
        <v>0</v>
      </c>
      <c r="O7188">
        <v>1.768335E-2</v>
      </c>
      <c r="P7188">
        <v>0.99993810000000005</v>
      </c>
      <c r="Q7188">
        <v>-1.083595E-2</v>
      </c>
      <c r="R7188">
        <v>2.5403510000000002E-3</v>
      </c>
      <c r="S7188">
        <v>3.0001370000000001</v>
      </c>
      <c r="T7188">
        <v>1.1530759999999999E-2</v>
      </c>
      <c r="U7188">
        <v>5.3253170000000002E-2</v>
      </c>
      <c r="V7188">
        <v>1.5139659999999999E-2</v>
      </c>
      <c r="W7188">
        <v>-3.124969E-3</v>
      </c>
      <c r="X7188">
        <v>0.99988049999999995</v>
      </c>
      <c r="Y7188" s="1">
        <v>-6.3708219999999996E-5</v>
      </c>
      <c r="Z7188" s="1">
        <v>6.7833050000000003E-5</v>
      </c>
      <c r="AA7188">
        <v>1</v>
      </c>
      <c r="AB7188">
        <v>30</v>
      </c>
      <c r="AC7188">
        <v>88.716299999999904</v>
      </c>
      <c r="AD7188">
        <v>0.341529999999999</v>
      </c>
      <c r="AE7188">
        <v>1.5749199999999901</v>
      </c>
      <c r="AF7188">
        <v>-5.8256106877638799E-3</v>
      </c>
      <c r="AG7188">
        <v>0.341529999999999</v>
      </c>
      <c r="AH7188">
        <v>88.728963391110796</v>
      </c>
      <c r="AI7188">
        <v>89.779461743405193</v>
      </c>
      <c r="AJ7188">
        <v>90.003761825814905</v>
      </c>
      <c r="AK7188">
        <v>88.729620877921704</v>
      </c>
      <c r="AL7188">
        <v>90.179047827206503</v>
      </c>
      <c r="AM7188">
        <v>89.132523997080895</v>
      </c>
      <c r="AN7188">
        <v>0.99999999450820798</v>
      </c>
    </row>
    <row r="7189" spans="1:40" x14ac:dyDescent="0.25">
      <c r="A7189" t="str">
        <f>"20190312160826604"</f>
        <v>20190312160826604</v>
      </c>
      <c r="B7189" t="str">
        <f>"1552378106592323"</f>
        <v>1552378106592323</v>
      </c>
      <c r="C7189" t="s">
        <v>40</v>
      </c>
      <c r="D7189">
        <v>6.2963930000000001</v>
      </c>
      <c r="E7189">
        <v>0.49482300000000001</v>
      </c>
      <c r="F7189" t="s">
        <v>52</v>
      </c>
      <c r="G7189">
        <v>-157.3501</v>
      </c>
      <c r="H7189">
        <v>1.485697</v>
      </c>
      <c r="I7189">
        <v>-62.196179999999998</v>
      </c>
      <c r="J7189">
        <v>-245.91059999999999</v>
      </c>
      <c r="K7189">
        <v>1.108501</v>
      </c>
      <c r="L7189">
        <v>-63.660130000000002</v>
      </c>
      <c r="M7189">
        <v>0.9998186</v>
      </c>
      <c r="N7189">
        <v>0</v>
      </c>
      <c r="O7189">
        <v>1.741612E-2</v>
      </c>
      <c r="P7189">
        <v>0.99993909999999997</v>
      </c>
      <c r="Q7189">
        <v>-1.08241E-2</v>
      </c>
      <c r="R7189">
        <v>2.2396880000000001E-3</v>
      </c>
      <c r="S7189">
        <v>3.0001980000000001</v>
      </c>
      <c r="T7189">
        <v>1.275516E-2</v>
      </c>
      <c r="U7189">
        <v>4.9591059999999999E-2</v>
      </c>
      <c r="V7189">
        <v>1.5172929999999999E-2</v>
      </c>
      <c r="W7189">
        <v>-3.1087889999999998E-3</v>
      </c>
      <c r="X7189">
        <v>0.99988010000000005</v>
      </c>
      <c r="Y7189">
        <v>8.8959849999999997E-4</v>
      </c>
      <c r="Z7189" s="1">
        <v>7.5925800000000004E-5</v>
      </c>
      <c r="AA7189">
        <v>0.99999959999999999</v>
      </c>
      <c r="AB7189">
        <v>30</v>
      </c>
      <c r="AC7189">
        <v>88.560499999999905</v>
      </c>
      <c r="AD7189">
        <v>0.37719599999999998</v>
      </c>
      <c r="AE7189">
        <v>1.4639499999999901</v>
      </c>
      <c r="AF7189">
        <v>7.8696767741193302E-2</v>
      </c>
      <c r="AG7189">
        <v>0.37719599999999998</v>
      </c>
      <c r="AH7189">
        <v>88.570957829116296</v>
      </c>
      <c r="AI7189">
        <v>89.755996771441602</v>
      </c>
      <c r="AJ7189">
        <v>89.949091761262906</v>
      </c>
      <c r="AK7189">
        <v>88.571795966722803</v>
      </c>
      <c r="AL7189">
        <v>90.178120767390894</v>
      </c>
      <c r="AM7189">
        <v>89.130617628876706</v>
      </c>
      <c r="AN7189">
        <v>1.0000000483749101</v>
      </c>
    </row>
    <row r="7190" spans="1:40" x14ac:dyDescent="0.25">
      <c r="A7190" t="str">
        <f>"20190312160826614"</f>
        <v>20190312160826614</v>
      </c>
      <c r="B7190" t="str">
        <f>"1552378106603059"</f>
        <v>1552378106603059</v>
      </c>
      <c r="C7190" t="s">
        <v>40</v>
      </c>
      <c r="D7190">
        <v>6.2937250000000002</v>
      </c>
      <c r="E7190">
        <v>0.49504599999999999</v>
      </c>
      <c r="F7190" t="s">
        <v>52</v>
      </c>
      <c r="G7190">
        <v>-157.3501</v>
      </c>
      <c r="H7190">
        <v>1.4863759999999999</v>
      </c>
      <c r="I7190">
        <v>-62.28998</v>
      </c>
      <c r="J7190">
        <v>-245.7637</v>
      </c>
      <c r="K7190">
        <v>1.1084969999999901</v>
      </c>
      <c r="L7190">
        <v>-63.657809999999998</v>
      </c>
      <c r="M7190">
        <v>0.99982280000000001</v>
      </c>
      <c r="N7190">
        <v>0</v>
      </c>
      <c r="O7190">
        <v>1.7164269999999999E-2</v>
      </c>
      <c r="P7190">
        <v>0.9999363</v>
      </c>
      <c r="Q7190">
        <v>-1.1116869999999999E-2</v>
      </c>
      <c r="R7190">
        <v>2.0161649999999999E-3</v>
      </c>
      <c r="S7190">
        <v>3.0002140000000002</v>
      </c>
      <c r="T7190">
        <v>1.2800809999999999E-2</v>
      </c>
      <c r="U7190">
        <v>4.6417239999999999E-2</v>
      </c>
      <c r="V7190">
        <v>1.514425E-2</v>
      </c>
      <c r="W7190">
        <v>-3.3974420000000001E-3</v>
      </c>
      <c r="X7190">
        <v>0.99987950000000003</v>
      </c>
      <c r="Y7190">
        <v>1.695378E-3</v>
      </c>
      <c r="Z7190" s="1">
        <v>7.6842550000000005E-5</v>
      </c>
      <c r="AA7190">
        <v>0.99999859999999896</v>
      </c>
      <c r="AB7190">
        <v>30</v>
      </c>
      <c r="AC7190">
        <v>88.413600000000002</v>
      </c>
      <c r="AD7190">
        <v>0.37787900000000002</v>
      </c>
      <c r="AE7190">
        <v>1.3678299999999901</v>
      </c>
      <c r="AF7190">
        <v>0.14996902367443701</v>
      </c>
      <c r="AG7190">
        <v>0.37787900000000002</v>
      </c>
      <c r="AH7190">
        <v>88.422438079407598</v>
      </c>
      <c r="AI7190">
        <v>89.755144628526693</v>
      </c>
      <c r="AJ7190">
        <v>89.9028234907138</v>
      </c>
      <c r="AK7190">
        <v>88.423372697230704</v>
      </c>
      <c r="AL7190">
        <v>90.194659471424899</v>
      </c>
      <c r="AM7190">
        <v>89.132260170616604</v>
      </c>
      <c r="AN7190">
        <v>0.99999995272022602</v>
      </c>
    </row>
    <row r="7191" spans="1:40" x14ac:dyDescent="0.25">
      <c r="A7191" t="str">
        <f>"20190312160826625"</f>
        <v>20190312160826625</v>
      </c>
      <c r="B7191" t="str">
        <f>"1552378106612819"</f>
        <v>1552378106612819</v>
      </c>
      <c r="C7191" t="s">
        <v>40</v>
      </c>
      <c r="D7191">
        <v>6.2961879999999999</v>
      </c>
      <c r="E7191">
        <v>0.49504920000000002</v>
      </c>
      <c r="F7191" t="s">
        <v>52</v>
      </c>
      <c r="G7191">
        <v>-157.3501</v>
      </c>
      <c r="H7191">
        <v>1.458091</v>
      </c>
      <c r="I7191">
        <v>-62.361870000000003</v>
      </c>
      <c r="J7191">
        <v>-245.61240000000001</v>
      </c>
      <c r="K7191">
        <v>1.1084940000000001</v>
      </c>
      <c r="L7191">
        <v>-63.655459999999998</v>
      </c>
      <c r="M7191">
        <v>0.99982709999999997</v>
      </c>
      <c r="N7191">
        <v>0</v>
      </c>
      <c r="O7191">
        <v>1.6904969999999998E-2</v>
      </c>
      <c r="P7191">
        <v>0.99993929999999998</v>
      </c>
      <c r="Q7191">
        <v>-1.0915619999999999E-2</v>
      </c>
      <c r="R7191">
        <v>1.6152510000000001E-3</v>
      </c>
      <c r="S7191">
        <v>3.0002140000000002</v>
      </c>
      <c r="T7191">
        <v>1.18624E-2</v>
      </c>
      <c r="U7191">
        <v>4.397583E-2</v>
      </c>
      <c r="V7191">
        <v>1.528614E-2</v>
      </c>
      <c r="W7191">
        <v>-3.1921269999999999E-3</v>
      </c>
      <c r="X7191">
        <v>0.99987800000000004</v>
      </c>
      <c r="Y7191">
        <v>2.24961E-3</v>
      </c>
      <c r="Z7191" s="1">
        <v>7.1280480000000002E-5</v>
      </c>
      <c r="AA7191">
        <v>0.99999749999999998</v>
      </c>
      <c r="AB7191">
        <v>30</v>
      </c>
      <c r="AC7191">
        <v>88.262299999999996</v>
      </c>
      <c r="AD7191">
        <v>0.34959699999999899</v>
      </c>
      <c r="AE7191">
        <v>1.29359</v>
      </c>
      <c r="AF7191">
        <v>0.198708039194023</v>
      </c>
      <c r="AG7191">
        <v>0.34959699999999899</v>
      </c>
      <c r="AH7191">
        <v>88.270170845645097</v>
      </c>
      <c r="AI7191">
        <v>89.773079886942199</v>
      </c>
      <c r="AJ7191">
        <v>89.871019703934707</v>
      </c>
      <c r="AK7191">
        <v>88.271086795545003</v>
      </c>
      <c r="AL7191">
        <v>90.182895727208802</v>
      </c>
      <c r="AM7191">
        <v>89.124130061257205</v>
      </c>
      <c r="AN7191">
        <v>0.99999993531743903</v>
      </c>
    </row>
    <row r="7192" spans="1:40" x14ac:dyDescent="0.25">
      <c r="A7192" t="str">
        <f>"20190312160826639"</f>
        <v>20190312160826639</v>
      </c>
      <c r="B7192" t="str">
        <f>"1552378106632339"</f>
        <v>1552378106632339</v>
      </c>
      <c r="C7192" t="s">
        <v>40</v>
      </c>
      <c r="D7192">
        <v>6.7365839999999997</v>
      </c>
      <c r="E7192">
        <v>0.49477769999999999</v>
      </c>
      <c r="F7192" t="s">
        <v>52</v>
      </c>
      <c r="G7192">
        <v>-157.3501</v>
      </c>
      <c r="H7192">
        <v>1.53901</v>
      </c>
      <c r="I7192">
        <v>-62.400370000000002</v>
      </c>
      <c r="J7192">
        <v>-245.44919999999999</v>
      </c>
      <c r="K7192">
        <v>1.108492</v>
      </c>
      <c r="L7192">
        <v>-63.652949999999997</v>
      </c>
      <c r="M7192">
        <v>0.99983180000000005</v>
      </c>
      <c r="N7192">
        <v>0</v>
      </c>
      <c r="O7192">
        <v>1.6625279999999999E-2</v>
      </c>
      <c r="P7192">
        <v>0.99993659999999995</v>
      </c>
      <c r="Q7192">
        <v>-1.118881E-2</v>
      </c>
      <c r="R7192">
        <v>1.2738669999999999E-3</v>
      </c>
      <c r="S7192">
        <v>3.0002589999999998</v>
      </c>
      <c r="T7192">
        <v>1.463366E-2</v>
      </c>
      <c r="U7192">
        <v>4.2663569999999998E-2</v>
      </c>
      <c r="V7192">
        <v>1.534746E-2</v>
      </c>
      <c r="W7192">
        <v>-3.4608529999999998E-3</v>
      </c>
      <c r="X7192">
        <v>0.99987630000000005</v>
      </c>
      <c r="Y7192">
        <v>2.4073079999999999E-3</v>
      </c>
      <c r="Z7192" s="1">
        <v>8.6952279999999996E-5</v>
      </c>
      <c r="AA7192">
        <v>0.99999709999999997</v>
      </c>
      <c r="AB7192">
        <v>30</v>
      </c>
      <c r="AC7192">
        <v>88.099099999999893</v>
      </c>
      <c r="AD7192">
        <v>0.43051800000000001</v>
      </c>
      <c r="AE7192">
        <v>1.25258</v>
      </c>
      <c r="AF7192">
        <v>0.21230418671884399</v>
      </c>
      <c r="AG7192">
        <v>0.43051800000000001</v>
      </c>
      <c r="AH7192">
        <v>88.105644689640997</v>
      </c>
      <c r="AI7192">
        <v>89.720033868870004</v>
      </c>
      <c r="AJ7192">
        <v>89.861937218989098</v>
      </c>
      <c r="AK7192">
        <v>88.106952307938201</v>
      </c>
      <c r="AL7192">
        <v>90.198292652642195</v>
      </c>
      <c r="AM7192">
        <v>89.120615584835093</v>
      </c>
      <c r="AN7192">
        <v>1.00000006866681</v>
      </c>
    </row>
    <row r="7193" spans="1:40" x14ac:dyDescent="0.25">
      <c r="A7193" t="str">
        <f>"20190312160826649"</f>
        <v>20190312160826649</v>
      </c>
      <c r="B7193" t="str">
        <f>"1552378106643074"</f>
        <v>1552378106643074</v>
      </c>
      <c r="C7193" t="s">
        <v>40</v>
      </c>
      <c r="D7193">
        <v>6.5434340000000004</v>
      </c>
      <c r="E7193">
        <v>0.49477769999999999</v>
      </c>
      <c r="F7193" t="s">
        <v>52</v>
      </c>
      <c r="G7193">
        <v>-157.3501</v>
      </c>
      <c r="H7193">
        <v>1.4954540000000001</v>
      </c>
      <c r="I7193">
        <v>-62.366129999999998</v>
      </c>
      <c r="J7193">
        <v>-245.29580000000001</v>
      </c>
      <c r="K7193">
        <v>1.1084909999999999</v>
      </c>
      <c r="L7193">
        <v>-63.650669999999998</v>
      </c>
      <c r="M7193">
        <v>0.99983619999999995</v>
      </c>
      <c r="N7193">
        <v>0</v>
      </c>
      <c r="O7193">
        <v>1.6362640000000001E-2</v>
      </c>
      <c r="P7193">
        <v>0.99993670000000001</v>
      </c>
      <c r="Q7193">
        <v>-1.1223230000000001E-2</v>
      </c>
      <c r="R7193">
        <v>1.010256E-3</v>
      </c>
      <c r="S7193">
        <v>3.0002589999999998</v>
      </c>
      <c r="T7193">
        <v>1.317751E-2</v>
      </c>
      <c r="U7193">
        <v>4.3823239999999999E-2</v>
      </c>
      <c r="V7193">
        <v>1.5348280000000001E-2</v>
      </c>
      <c r="W7193">
        <v>-3.4909960000000001E-3</v>
      </c>
      <c r="X7193">
        <v>0.99987610000000005</v>
      </c>
      <c r="Y7193">
        <v>1.7582330000000001E-3</v>
      </c>
      <c r="Z7193" s="1">
        <v>7.5721119999999997E-5</v>
      </c>
      <c r="AA7193">
        <v>0.99999850000000001</v>
      </c>
      <c r="AB7193">
        <v>30</v>
      </c>
      <c r="AC7193">
        <v>87.945700000000002</v>
      </c>
      <c r="AD7193">
        <v>0.386963</v>
      </c>
      <c r="AE7193">
        <v>1.28453999999999</v>
      </c>
      <c r="AF7193">
        <v>0.15469587043831601</v>
      </c>
      <c r="AG7193">
        <v>0.386963</v>
      </c>
      <c r="AH7193">
        <v>87.953242058820393</v>
      </c>
      <c r="AI7193">
        <v>89.747920953664106</v>
      </c>
      <c r="AJ7193">
        <v>89.899225871189898</v>
      </c>
      <c r="AK7193">
        <v>87.954229345911202</v>
      </c>
      <c r="AL7193">
        <v>90.200019746163605</v>
      </c>
      <c r="AM7193">
        <v>89.120568431671501</v>
      </c>
      <c r="AN7193">
        <v>0.99999998605161999</v>
      </c>
    </row>
    <row r="7194" spans="1:40" x14ac:dyDescent="0.25">
      <c r="A7194" t="str">
        <f>"20190312160826661"</f>
        <v>20190312160826661</v>
      </c>
      <c r="B7194" t="str">
        <f>"1552378106652835"</f>
        <v>1552378106652835</v>
      </c>
      <c r="C7194" t="s">
        <v>40</v>
      </c>
      <c r="D7194">
        <v>6.3959869999999999</v>
      </c>
      <c r="E7194">
        <v>0.49505890000000002</v>
      </c>
      <c r="F7194" t="s">
        <v>52</v>
      </c>
      <c r="G7194">
        <v>-157.3501</v>
      </c>
      <c r="H7194">
        <v>1.4916940000000001</v>
      </c>
      <c r="I7194">
        <v>-62.388460000000002</v>
      </c>
      <c r="J7194">
        <v>-245.1437</v>
      </c>
      <c r="K7194">
        <v>1.1084909999999999</v>
      </c>
      <c r="L7194">
        <v>-63.648409999999998</v>
      </c>
      <c r="M7194">
        <v>0.99984030000000002</v>
      </c>
      <c r="N7194">
        <v>0</v>
      </c>
      <c r="O7194">
        <v>1.6102080000000001E-2</v>
      </c>
      <c r="P7194">
        <v>0.9999382</v>
      </c>
      <c r="Q7194">
        <v>-1.1102300000000001E-2</v>
      </c>
      <c r="R7194">
        <v>5.9228410000000003E-4</v>
      </c>
      <c r="S7194">
        <v>3.0002900000000001</v>
      </c>
      <c r="T7194">
        <v>1.307237E-2</v>
      </c>
      <c r="U7194">
        <v>4.3060300000000003E-2</v>
      </c>
      <c r="V7194">
        <v>1.550587E-2</v>
      </c>
      <c r="W7194">
        <v>-3.366033E-3</v>
      </c>
      <c r="X7194">
        <v>0.99987409999999999</v>
      </c>
      <c r="Y7194">
        <v>1.752029E-3</v>
      </c>
      <c r="Z7194" s="1">
        <v>7.3967829999999995E-5</v>
      </c>
      <c r="AA7194">
        <v>0.99999850000000001</v>
      </c>
      <c r="AB7194">
        <v>30</v>
      </c>
      <c r="AC7194">
        <v>87.793599999999998</v>
      </c>
      <c r="AD7194">
        <v>0.38320300000000002</v>
      </c>
      <c r="AE7194">
        <v>1.2599499999999999</v>
      </c>
      <c r="AF7194">
        <v>0.15391247805993399</v>
      </c>
      <c r="AG7194">
        <v>0.38320300000000002</v>
      </c>
      <c r="AH7194">
        <v>87.800833169304894</v>
      </c>
      <c r="AI7194">
        <v>89.749936980513397</v>
      </c>
      <c r="AJ7194">
        <v>89.899562156119998</v>
      </c>
      <c r="AK7194">
        <v>87.801804302726197</v>
      </c>
      <c r="AL7194">
        <v>90.192859850910494</v>
      </c>
      <c r="AM7194">
        <v>89.111538443275094</v>
      </c>
      <c r="AN7194">
        <v>0.99999998901671106</v>
      </c>
    </row>
    <row r="7195" spans="1:40" x14ac:dyDescent="0.25">
      <c r="A7195" t="str">
        <f>"20190312160826673"</f>
        <v>20190312160826673</v>
      </c>
      <c r="B7195" t="str">
        <f>"1552378106662596"</f>
        <v>1552378106662596</v>
      </c>
      <c r="C7195" t="s">
        <v>40</v>
      </c>
      <c r="D7195">
        <v>6.4011290000000001</v>
      </c>
      <c r="E7195">
        <v>0.49518630000000002</v>
      </c>
      <c r="F7195" t="s">
        <v>52</v>
      </c>
      <c r="G7195">
        <v>-157.3501</v>
      </c>
      <c r="H7195">
        <v>1.5142409999999999</v>
      </c>
      <c r="I7195">
        <v>-62.49288</v>
      </c>
      <c r="J7195">
        <v>-244.98249999999999</v>
      </c>
      <c r="K7195">
        <v>1.10849</v>
      </c>
      <c r="L7195">
        <v>-63.646059999999999</v>
      </c>
      <c r="M7195">
        <v>0.99984470000000003</v>
      </c>
      <c r="N7195">
        <v>0</v>
      </c>
      <c r="O7195">
        <v>1.5825789999999999E-2</v>
      </c>
      <c r="P7195">
        <v>0.99993750000000003</v>
      </c>
      <c r="Q7195">
        <v>-1.1184960000000001E-2</v>
      </c>
      <c r="R7195">
        <v>4.2765099999999998E-4</v>
      </c>
      <c r="S7195">
        <v>3.0003199999999999</v>
      </c>
      <c r="T7195">
        <v>1.386571E-2</v>
      </c>
      <c r="U7195">
        <v>3.9489749999999997E-2</v>
      </c>
      <c r="V7195">
        <v>1.5394049999999999E-2</v>
      </c>
      <c r="W7195">
        <v>-3.4441210000000001E-3</v>
      </c>
      <c r="X7195">
        <v>0.99987550000000003</v>
      </c>
      <c r="Y7195">
        <v>2.665639E-3</v>
      </c>
      <c r="Z7195" s="1">
        <v>7.9291110000000005E-5</v>
      </c>
      <c r="AA7195">
        <v>0.99999640000000001</v>
      </c>
      <c r="AB7195">
        <v>30</v>
      </c>
      <c r="AC7195">
        <v>87.632399999999905</v>
      </c>
      <c r="AD7195">
        <v>0.40575099999999997</v>
      </c>
      <c r="AE7195">
        <v>1.1531799999999901</v>
      </c>
      <c r="AF7195">
        <v>0.23385306582133</v>
      </c>
      <c r="AG7195">
        <v>0.40575099999999997</v>
      </c>
      <c r="AH7195">
        <v>87.637796694429994</v>
      </c>
      <c r="AI7195">
        <v>89.734731225142696</v>
      </c>
      <c r="AJ7195">
        <v>89.8471120634957</v>
      </c>
      <c r="AK7195">
        <v>87.639047978538898</v>
      </c>
      <c r="AL7195">
        <v>90.197334001943204</v>
      </c>
      <c r="AM7195">
        <v>89.117945769362194</v>
      </c>
      <c r="AN7195">
        <v>0.99999992712255503</v>
      </c>
    </row>
    <row r="7196" spans="1:40" x14ac:dyDescent="0.25">
      <c r="A7196" t="str">
        <f>"20190312160826685"</f>
        <v>20190312160826685</v>
      </c>
      <c r="B7196" t="str">
        <f>"1552378106672356"</f>
        <v>1552378106672356</v>
      </c>
      <c r="C7196" t="s">
        <v>40</v>
      </c>
      <c r="D7196">
        <v>6.3989609999999999</v>
      </c>
      <c r="E7196">
        <v>0.49534050000000002</v>
      </c>
      <c r="F7196" t="s">
        <v>52</v>
      </c>
      <c r="G7196">
        <v>-157.3501</v>
      </c>
      <c r="H7196">
        <v>1.59717</v>
      </c>
      <c r="I7196">
        <v>-62.539020000000001</v>
      </c>
      <c r="J7196">
        <v>-244.82089999999999</v>
      </c>
      <c r="K7196">
        <v>1.10849</v>
      </c>
      <c r="L7196">
        <v>-63.643770000000004</v>
      </c>
      <c r="M7196">
        <v>0.99984910000000005</v>
      </c>
      <c r="N7196">
        <v>0</v>
      </c>
      <c r="O7196">
        <v>1.554908E-2</v>
      </c>
      <c r="P7196">
        <v>0.99993920000000003</v>
      </c>
      <c r="Q7196">
        <v>-1.1034250000000001E-2</v>
      </c>
      <c r="R7196" s="1">
        <v>-6.3869799999999996E-5</v>
      </c>
      <c r="S7196">
        <v>3.0003660000000001</v>
      </c>
      <c r="T7196">
        <v>1.6730789999999999E-2</v>
      </c>
      <c r="U7196">
        <v>3.7902829999999998E-2</v>
      </c>
      <c r="V7196">
        <v>1.5609029999999999E-2</v>
      </c>
      <c r="W7196">
        <v>-3.2891639999999998E-3</v>
      </c>
      <c r="X7196">
        <v>0.99987269999999995</v>
      </c>
      <c r="Y7196">
        <v>2.9178160000000002E-3</v>
      </c>
      <c r="Z7196" s="1">
        <v>9.4834079999999999E-5</v>
      </c>
      <c r="AA7196">
        <v>0.99999579999999999</v>
      </c>
      <c r="AB7196">
        <v>30</v>
      </c>
      <c r="AC7196">
        <v>87.470799999999997</v>
      </c>
      <c r="AD7196">
        <v>0.48868</v>
      </c>
      <c r="AE7196">
        <v>1.1047499999999999</v>
      </c>
      <c r="AF7196">
        <v>0.25550686599303502</v>
      </c>
      <c r="AG7196">
        <v>0.48868</v>
      </c>
      <c r="AH7196">
        <v>87.474673177530207</v>
      </c>
      <c r="AI7196">
        <v>89.679920029382998</v>
      </c>
      <c r="AJ7196">
        <v>89.832643862585499</v>
      </c>
      <c r="AK7196">
        <v>87.476411331379495</v>
      </c>
      <c r="AL7196">
        <v>90.188455566757199</v>
      </c>
      <c r="AM7196">
        <v>89.105627245117006</v>
      </c>
      <c r="AN7196">
        <v>0.99999993831132294</v>
      </c>
    </row>
    <row r="7197" spans="1:40" x14ac:dyDescent="0.25">
      <c r="A7197" t="str">
        <f>"20190312160826697"</f>
        <v>20190312160826697</v>
      </c>
      <c r="B7197" t="str">
        <f>"1552378106692852"</f>
        <v>1552378106692852</v>
      </c>
      <c r="C7197" t="s">
        <v>40</v>
      </c>
      <c r="D7197">
        <v>6.3994160000000004</v>
      </c>
      <c r="E7197">
        <v>0.49558049999999998</v>
      </c>
      <c r="F7197" t="s">
        <v>52</v>
      </c>
      <c r="G7197">
        <v>-157.3501</v>
      </c>
      <c r="H7197">
        <v>1.616816</v>
      </c>
      <c r="I7197">
        <v>-62.61795</v>
      </c>
      <c r="J7197">
        <v>-244.6558</v>
      </c>
      <c r="K7197">
        <v>1.1084889999999901</v>
      </c>
      <c r="L7197">
        <v>-63.641480000000001</v>
      </c>
      <c r="M7197">
        <v>0.9998534</v>
      </c>
      <c r="N7197">
        <v>0</v>
      </c>
      <c r="O7197">
        <v>1.526652E-2</v>
      </c>
      <c r="P7197">
        <v>0.99993860000000001</v>
      </c>
      <c r="Q7197">
        <v>-1.10913E-2</v>
      </c>
      <c r="R7197">
        <v>-1.8408110000000001E-4</v>
      </c>
      <c r="S7197">
        <v>3.000381</v>
      </c>
      <c r="T7197">
        <v>1.743567E-2</v>
      </c>
      <c r="U7197">
        <v>3.5186769999999999E-2</v>
      </c>
      <c r="V7197">
        <v>1.5446649999999999E-2</v>
      </c>
      <c r="W7197">
        <v>-3.3414310000000002E-3</v>
      </c>
      <c r="X7197">
        <v>0.99987510000000002</v>
      </c>
      <c r="Y7197">
        <v>3.5403560000000001E-3</v>
      </c>
      <c r="Z7197" s="1">
        <v>9.8996709999999994E-5</v>
      </c>
      <c r="AA7197">
        <v>0.99999369999999999</v>
      </c>
      <c r="AB7197">
        <v>30</v>
      </c>
      <c r="AC7197">
        <v>87.305700000000002</v>
      </c>
      <c r="AD7197">
        <v>0.50832699999999997</v>
      </c>
      <c r="AE7197">
        <v>1.0235300000000001</v>
      </c>
      <c r="AF7197">
        <v>0.30947307688974202</v>
      </c>
      <c r="AG7197">
        <v>0.50832699999999997</v>
      </c>
      <c r="AH7197">
        <v>87.3081916326407</v>
      </c>
      <c r="AI7197">
        <v>89.666417559208099</v>
      </c>
      <c r="AJ7197">
        <v>89.796909928073902</v>
      </c>
      <c r="AK7197">
        <v>87.310219883391397</v>
      </c>
      <c r="AL7197">
        <v>90.191450252035096</v>
      </c>
      <c r="AM7197">
        <v>89.114931998816203</v>
      </c>
      <c r="AN7197">
        <v>0.99999998987868</v>
      </c>
    </row>
    <row r="7198" spans="1:40" x14ac:dyDescent="0.25">
      <c r="A7198" t="str">
        <f>"20190312160826708"</f>
        <v>20190312160826708</v>
      </c>
      <c r="B7198" t="str">
        <f>"1552378106702611"</f>
        <v>1552378106702611</v>
      </c>
      <c r="C7198" t="s">
        <v>40</v>
      </c>
      <c r="D7198">
        <v>6.396712</v>
      </c>
      <c r="E7198">
        <v>0.49565609999999999</v>
      </c>
      <c r="F7198" t="s">
        <v>52</v>
      </c>
      <c r="G7198">
        <v>-157.3501</v>
      </c>
      <c r="H7198">
        <v>1.659327</v>
      </c>
      <c r="I7198">
        <v>-62.685099999999998</v>
      </c>
      <c r="J7198">
        <v>-244.4966</v>
      </c>
      <c r="K7198">
        <v>1.108487</v>
      </c>
      <c r="L7198">
        <v>-63.639279999999999</v>
      </c>
      <c r="M7198">
        <v>0.99985740000000001</v>
      </c>
      <c r="N7198">
        <v>0</v>
      </c>
      <c r="O7198">
        <v>1.4994159999999999E-2</v>
      </c>
      <c r="P7198">
        <v>0.9999363</v>
      </c>
      <c r="Q7198">
        <v>-1.127153E-2</v>
      </c>
      <c r="R7198">
        <v>-4.768493E-4</v>
      </c>
      <c r="S7198">
        <v>3.000397</v>
      </c>
      <c r="T7198">
        <v>1.8929720000000001E-2</v>
      </c>
      <c r="U7198">
        <v>3.2867430000000003E-2</v>
      </c>
      <c r="V7198">
        <v>1.546675E-2</v>
      </c>
      <c r="W7198">
        <v>-3.5172710000000002E-3</v>
      </c>
      <c r="X7198">
        <v>0.99987420000000005</v>
      </c>
      <c r="Y7198">
        <v>4.0408650000000003E-3</v>
      </c>
      <c r="Z7198">
        <v>1.0734030000000001E-4</v>
      </c>
      <c r="AA7198">
        <v>0.99999179999999999</v>
      </c>
      <c r="AB7198">
        <v>30</v>
      </c>
      <c r="AC7198">
        <v>87.146500000000003</v>
      </c>
      <c r="AD7198">
        <v>0.55084</v>
      </c>
      <c r="AE7198">
        <v>0.95418000000000702</v>
      </c>
      <c r="AF7198">
        <v>0.35264118545550799</v>
      </c>
      <c r="AG7198">
        <v>0.55084</v>
      </c>
      <c r="AH7198">
        <v>87.147528667584893</v>
      </c>
      <c r="AI7198">
        <v>89.6378540046274</v>
      </c>
      <c r="AJ7198">
        <v>89.768154741267793</v>
      </c>
      <c r="AK7198">
        <v>87.149982979796405</v>
      </c>
      <c r="AL7198">
        <v>90.2015251984798</v>
      </c>
      <c r="AM7198">
        <v>89.113779687395393</v>
      </c>
      <c r="AN7198">
        <v>1.0000000036882399</v>
      </c>
    </row>
    <row r="7199" spans="1:40" x14ac:dyDescent="0.25">
      <c r="A7199" t="str">
        <f>"20190312160826718"</f>
        <v>20190312160826718</v>
      </c>
      <c r="B7199" t="str">
        <f>"1552378106712372"</f>
        <v>1552378106712372</v>
      </c>
      <c r="C7199" t="s">
        <v>40</v>
      </c>
      <c r="D7199">
        <v>6.3486799999999999</v>
      </c>
      <c r="E7199">
        <v>0.49582209999999899</v>
      </c>
      <c r="F7199" t="s">
        <v>52</v>
      </c>
      <c r="G7199">
        <v>-157.3501</v>
      </c>
      <c r="H7199">
        <v>1.640584</v>
      </c>
      <c r="I7199">
        <v>-62.726309999999998</v>
      </c>
      <c r="J7199">
        <v>-244.37389999999999</v>
      </c>
      <c r="K7199">
        <v>1.1084860000000001</v>
      </c>
      <c r="L7199">
        <v>-63.637630000000001</v>
      </c>
      <c r="M7199">
        <v>0.99986059999999999</v>
      </c>
      <c r="N7199">
        <v>0</v>
      </c>
      <c r="O7199">
        <v>1.478398E-2</v>
      </c>
      <c r="P7199">
        <v>0.99993670000000001</v>
      </c>
      <c r="Q7199">
        <v>-1.1259109999999999E-2</v>
      </c>
      <c r="R7199">
        <v>-5.6211979999999998E-4</v>
      </c>
      <c r="S7199">
        <v>3.0004119999999999</v>
      </c>
      <c r="T7199">
        <v>1.8319129999999999E-2</v>
      </c>
      <c r="U7199">
        <v>3.143311E-2</v>
      </c>
      <c r="V7199">
        <v>1.534166E-2</v>
      </c>
      <c r="W7199">
        <v>-3.5013000000000002E-3</v>
      </c>
      <c r="X7199">
        <v>0.99987619999999999</v>
      </c>
      <c r="Y7199">
        <v>4.3087109999999998E-3</v>
      </c>
      <c r="Z7199">
        <v>1.034123E-4</v>
      </c>
      <c r="AA7199">
        <v>0.99999070000000001</v>
      </c>
      <c r="AB7199">
        <v>30</v>
      </c>
      <c r="AC7199">
        <v>87.023799999999994</v>
      </c>
      <c r="AD7199">
        <v>0.53209799999999996</v>
      </c>
      <c r="AE7199">
        <v>0.91132000000000302</v>
      </c>
      <c r="AF7199">
        <v>0.37536242675396703</v>
      </c>
      <c r="AG7199">
        <v>0.53209799999999996</v>
      </c>
      <c r="AH7199">
        <v>87.024508897308195</v>
      </c>
      <c r="AI7199">
        <v>89.649681376221295</v>
      </c>
      <c r="AJ7199">
        <v>89.752867901916701</v>
      </c>
      <c r="AK7199">
        <v>87.026945103517704</v>
      </c>
      <c r="AL7199">
        <v>90.200610118585402</v>
      </c>
      <c r="AM7199">
        <v>89.120947775310299</v>
      </c>
      <c r="AN7199">
        <v>1.00000002047984</v>
      </c>
    </row>
    <row r="7200" spans="1:40" x14ac:dyDescent="0.25">
      <c r="A7200" t="str">
        <f>"20190312160826727"</f>
        <v>20190312160826727</v>
      </c>
      <c r="B7200" t="str">
        <f>"1552378106723107"</f>
        <v>1552378106723107</v>
      </c>
      <c r="C7200" t="s">
        <v>40</v>
      </c>
      <c r="D7200">
        <v>6.5987739999999997</v>
      </c>
      <c r="E7200">
        <v>0.49580679999999999</v>
      </c>
      <c r="F7200" t="s">
        <v>52</v>
      </c>
      <c r="G7200">
        <v>-157.3501</v>
      </c>
      <c r="H7200">
        <v>1.6421779999999999</v>
      </c>
      <c r="I7200">
        <v>-62.771970000000003</v>
      </c>
      <c r="J7200">
        <v>-244.25450000000001</v>
      </c>
      <c r="K7200">
        <v>1.1084849999999999</v>
      </c>
      <c r="L7200">
        <v>-63.63608</v>
      </c>
      <c r="M7200">
        <v>0.99986359999999996</v>
      </c>
      <c r="N7200">
        <v>0</v>
      </c>
      <c r="O7200">
        <v>1.457963E-2</v>
      </c>
      <c r="P7200">
        <v>0.99993180000000004</v>
      </c>
      <c r="Q7200">
        <v>-1.1669550000000001E-2</v>
      </c>
      <c r="R7200">
        <v>-7.2961070000000002E-4</v>
      </c>
      <c r="S7200">
        <v>3.0004119999999999</v>
      </c>
      <c r="T7200">
        <v>1.8399950000000002E-2</v>
      </c>
      <c r="U7200">
        <v>2.9846190000000002E-2</v>
      </c>
      <c r="V7200">
        <v>1.530454E-2</v>
      </c>
      <c r="W7200">
        <v>-3.9084269999999999E-3</v>
      </c>
      <c r="X7200">
        <v>0.99987519999999996</v>
      </c>
      <c r="Y7200">
        <v>4.6331740000000003E-3</v>
      </c>
      <c r="Z7200">
        <v>1.0361079999999999E-4</v>
      </c>
      <c r="AA7200">
        <v>0.99998929999999997</v>
      </c>
      <c r="AB7200">
        <v>30</v>
      </c>
      <c r="AC7200">
        <v>86.904399999999995</v>
      </c>
      <c r="AD7200">
        <v>0.53369299999999997</v>
      </c>
      <c r="AE7200">
        <v>0.86411000000001004</v>
      </c>
      <c r="AF7200">
        <v>0.40303879867132297</v>
      </c>
      <c r="AG7200">
        <v>0.53369299999999997</v>
      </c>
      <c r="AH7200">
        <v>86.904484124602902</v>
      </c>
      <c r="AI7200">
        <v>89.648146542308098</v>
      </c>
      <c r="AJ7200">
        <v>89.734280033788593</v>
      </c>
      <c r="AK7200">
        <v>86.907057420297207</v>
      </c>
      <c r="AL7200">
        <v>90.223936950695006</v>
      </c>
      <c r="AM7200">
        <v>89.123073481640404</v>
      </c>
      <c r="AN7200">
        <v>0.99999996016063197</v>
      </c>
    </row>
    <row r="7201" spans="1:40" x14ac:dyDescent="0.25">
      <c r="A7201" t="str">
        <f>"20190312160826737"</f>
        <v>20190312160826737</v>
      </c>
      <c r="B7201" t="str">
        <f>"1552378106732867"</f>
        <v>1552378106732867</v>
      </c>
      <c r="C7201" t="s">
        <v>40</v>
      </c>
      <c r="D7201">
        <v>6.2463100000000003</v>
      </c>
      <c r="E7201">
        <v>0.49576340000000002</v>
      </c>
      <c r="F7201" t="s">
        <v>52</v>
      </c>
      <c r="G7201">
        <v>-157.3501</v>
      </c>
      <c r="H7201">
        <v>1.6004700000000001</v>
      </c>
      <c r="I7201">
        <v>-62.783099999999997</v>
      </c>
      <c r="J7201">
        <v>-244.1114</v>
      </c>
      <c r="K7201">
        <v>1.108482</v>
      </c>
      <c r="L7201">
        <v>-63.6342199999999</v>
      </c>
      <c r="M7201">
        <v>0.99986699999999995</v>
      </c>
      <c r="N7201">
        <v>0</v>
      </c>
      <c r="O7201">
        <v>1.433487E-2</v>
      </c>
      <c r="P7201">
        <v>0.99993310000000002</v>
      </c>
      <c r="Q7201">
        <v>-1.1550049999999999E-2</v>
      </c>
      <c r="R7201">
        <v>-7.8521929999999997E-4</v>
      </c>
      <c r="S7201">
        <v>3.0004119999999999</v>
      </c>
      <c r="T7201">
        <v>1.6985299999999998E-2</v>
      </c>
      <c r="U7201">
        <v>2.944946E-2</v>
      </c>
      <c r="V7201">
        <v>1.511552E-2</v>
      </c>
      <c r="W7201">
        <v>-3.7847200000000001E-3</v>
      </c>
      <c r="X7201">
        <v>0.99987859999999995</v>
      </c>
      <c r="Y7201">
        <v>4.520652E-3</v>
      </c>
      <c r="Z7201" s="1">
        <v>9.3941129999999996E-5</v>
      </c>
      <c r="AA7201">
        <v>0.99998969999999998</v>
      </c>
      <c r="AB7201">
        <v>30</v>
      </c>
      <c r="AC7201">
        <v>86.761300000000006</v>
      </c>
      <c r="AD7201">
        <v>0.49198799999999998</v>
      </c>
      <c r="AE7201">
        <v>0.85111999999999399</v>
      </c>
      <c r="AF7201">
        <v>0.39270440770657</v>
      </c>
      <c r="AG7201">
        <v>0.49198799999999998</v>
      </c>
      <c r="AH7201">
        <v>86.761796230570496</v>
      </c>
      <c r="AI7201">
        <v>89.675107635781998</v>
      </c>
      <c r="AJ7201">
        <v>89.740667523218903</v>
      </c>
      <c r="AK7201">
        <v>86.764079860844504</v>
      </c>
      <c r="AL7201">
        <v>90.216848998406803</v>
      </c>
      <c r="AM7201">
        <v>89.133905320415295</v>
      </c>
      <c r="AN7201">
        <v>1.0000000088941501</v>
      </c>
    </row>
    <row r="7202" spans="1:40" x14ac:dyDescent="0.25">
      <c r="A7202" t="str">
        <f>"20190312160826749"</f>
        <v>20190312160826749</v>
      </c>
      <c r="B7202" t="str">
        <f>"1552378106742627"</f>
        <v>1552378106742627</v>
      </c>
      <c r="C7202" t="s">
        <v>40</v>
      </c>
      <c r="D7202">
        <v>6.2997759999999996</v>
      </c>
      <c r="E7202">
        <v>0.49585469999999998</v>
      </c>
      <c r="F7202" t="s">
        <v>52</v>
      </c>
      <c r="G7202">
        <v>-157.3501</v>
      </c>
      <c r="H7202">
        <v>1.6007400000000001</v>
      </c>
      <c r="I7202">
        <v>-62.777340000000002</v>
      </c>
      <c r="J7202">
        <v>-243.95060000000001</v>
      </c>
      <c r="K7202">
        <v>1.1084769999999999</v>
      </c>
      <c r="L7202">
        <v>-63.632170000000002</v>
      </c>
      <c r="M7202">
        <v>0.99987099999999995</v>
      </c>
      <c r="N7202">
        <v>0</v>
      </c>
      <c r="O7202">
        <v>1.405971E-2</v>
      </c>
      <c r="P7202">
        <v>0.99992939999999997</v>
      </c>
      <c r="Q7202">
        <v>-1.183849E-2</v>
      </c>
      <c r="R7202">
        <v>-1.0864270000000001E-3</v>
      </c>
      <c r="S7202">
        <v>3.0004119999999999</v>
      </c>
      <c r="T7202">
        <v>1.702273E-2</v>
      </c>
      <c r="U7202">
        <v>2.963257E-2</v>
      </c>
      <c r="V7202">
        <v>1.514129E-2</v>
      </c>
      <c r="W7202">
        <v>-4.0686589999999996E-3</v>
      </c>
      <c r="X7202">
        <v>0.99987709999999996</v>
      </c>
      <c r="Y7202">
        <v>4.1844439999999998E-3</v>
      </c>
      <c r="Z7202" s="1">
        <v>9.1633480000000001E-5</v>
      </c>
      <c r="AA7202">
        <v>0.99999119999999997</v>
      </c>
      <c r="AB7202">
        <v>30</v>
      </c>
      <c r="AC7202">
        <v>86.600499999999997</v>
      </c>
      <c r="AD7202">
        <v>0.49226300000000001</v>
      </c>
      <c r="AE7202">
        <v>0.85482999999999199</v>
      </c>
      <c r="AF7202">
        <v>0.36285740780054898</v>
      </c>
      <c r="AG7202">
        <v>0.49226300000000001</v>
      </c>
      <c r="AH7202">
        <v>86.601160770766299</v>
      </c>
      <c r="AI7202">
        <v>89.674322598833697</v>
      </c>
      <c r="AJ7202">
        <v>89.759933051886094</v>
      </c>
      <c r="AK7202">
        <v>86.603320001046598</v>
      </c>
      <c r="AL7202">
        <v>90.233117628917</v>
      </c>
      <c r="AM7202">
        <v>89.132427665562503</v>
      </c>
      <c r="AN7202">
        <v>1.00000001387666</v>
      </c>
    </row>
    <row r="7203" spans="1:40" x14ac:dyDescent="0.25">
      <c r="A7203" t="str">
        <f>"20190312160826760"</f>
        <v>20190312160826760</v>
      </c>
      <c r="B7203" t="str">
        <f>"1552378106752387"</f>
        <v>1552378106752387</v>
      </c>
      <c r="C7203" t="s">
        <v>40</v>
      </c>
      <c r="D7203">
        <v>6.2485689999999998</v>
      </c>
      <c r="E7203">
        <v>0.49582209999999899</v>
      </c>
      <c r="F7203" t="s">
        <v>52</v>
      </c>
      <c r="G7203">
        <v>-157.3501</v>
      </c>
      <c r="H7203">
        <v>1.5649029999999999</v>
      </c>
      <c r="I7203">
        <v>-62.822690000000001</v>
      </c>
      <c r="J7203">
        <v>-243.8057</v>
      </c>
      <c r="K7203">
        <v>1.1084750000000001</v>
      </c>
      <c r="L7203">
        <v>-63.630400000000002</v>
      </c>
      <c r="M7203">
        <v>0.99987420000000005</v>
      </c>
      <c r="N7203">
        <v>0</v>
      </c>
      <c r="O7203">
        <v>1.3812079999999999E-2</v>
      </c>
      <c r="P7203">
        <v>0.99992780000000003</v>
      </c>
      <c r="Q7203">
        <v>-1.196725E-2</v>
      </c>
      <c r="R7203">
        <v>-1.0978989999999901E-3</v>
      </c>
      <c r="S7203">
        <v>3.0004270000000002</v>
      </c>
      <c r="T7203">
        <v>1.5812989999999999E-2</v>
      </c>
      <c r="U7203">
        <v>2.8045649999999998E-2</v>
      </c>
      <c r="V7203">
        <v>1.490489E-2</v>
      </c>
      <c r="W7203">
        <v>-4.1930550000000002E-3</v>
      </c>
      <c r="X7203">
        <v>0.99988010000000005</v>
      </c>
      <c r="Y7203">
        <v>4.4657259999999997E-3</v>
      </c>
      <c r="Z7203" s="1">
        <v>8.4557700000000005E-5</v>
      </c>
      <c r="AA7203">
        <v>0.99999000000000005</v>
      </c>
      <c r="AB7203">
        <v>30</v>
      </c>
      <c r="AC7203">
        <v>86.455600000000004</v>
      </c>
      <c r="AD7203">
        <v>0.456428</v>
      </c>
      <c r="AE7203">
        <v>0.80771000000000004</v>
      </c>
      <c r="AF7203">
        <v>0.38652425444219402</v>
      </c>
      <c r="AG7203">
        <v>0.456428</v>
      </c>
      <c r="AH7203">
        <v>86.456099438867398</v>
      </c>
      <c r="AI7203">
        <v>89.697524015908797</v>
      </c>
      <c r="AJ7203">
        <v>89.743846171015093</v>
      </c>
      <c r="AK7203">
        <v>86.458168253218105</v>
      </c>
      <c r="AL7203">
        <v>90.240245064542293</v>
      </c>
      <c r="AM7203">
        <v>89.145973557252702</v>
      </c>
      <c r="AN7203">
        <v>0.99999997591607703</v>
      </c>
    </row>
    <row r="7204" spans="1:40" x14ac:dyDescent="0.25">
      <c r="A7204" t="str">
        <f>"20190312160826770"</f>
        <v>20190312160826770</v>
      </c>
      <c r="B7204" t="str">
        <f>"1552378106762147"</f>
        <v>1552378106762147</v>
      </c>
      <c r="C7204" t="s">
        <v>40</v>
      </c>
      <c r="D7204">
        <v>6.296964</v>
      </c>
      <c r="E7204">
        <v>0.49588690000000002</v>
      </c>
      <c r="F7204" t="s">
        <v>52</v>
      </c>
      <c r="G7204">
        <v>-157.3501</v>
      </c>
      <c r="H7204">
        <v>1.5394730000000001</v>
      </c>
      <c r="I7204">
        <v>-62.814360000000001</v>
      </c>
      <c r="J7204">
        <v>-243.66</v>
      </c>
      <c r="K7204">
        <v>1.108471</v>
      </c>
      <c r="L7204">
        <v>-63.628599999999999</v>
      </c>
      <c r="M7204">
        <v>0.99987780000000004</v>
      </c>
      <c r="N7204">
        <v>0</v>
      </c>
      <c r="O7204">
        <v>1.3562909999999999E-2</v>
      </c>
      <c r="P7204">
        <v>0.99992979999999998</v>
      </c>
      <c r="Q7204">
        <v>-1.1793919999999999E-2</v>
      </c>
      <c r="R7204">
        <v>-1.342359E-3</v>
      </c>
      <c r="S7204">
        <v>3.0004270000000002</v>
      </c>
      <c r="T7204">
        <v>1.495695E-2</v>
      </c>
      <c r="U7204">
        <v>2.8320310000000001E-2</v>
      </c>
      <c r="V7204">
        <v>1.4900139999999999E-2</v>
      </c>
      <c r="W7204">
        <v>-4.0155820000000002E-3</v>
      </c>
      <c r="X7204">
        <v>0.99988089999999996</v>
      </c>
      <c r="Y7204">
        <v>4.125025E-3</v>
      </c>
      <c r="Z7204" s="1">
        <v>7.7888999999999999E-5</v>
      </c>
      <c r="AA7204">
        <v>0.99999150000000003</v>
      </c>
      <c r="AB7204">
        <v>30</v>
      </c>
      <c r="AC7204">
        <v>86.309899999999999</v>
      </c>
      <c r="AD7204">
        <v>0.431001999999999</v>
      </c>
      <c r="AE7204">
        <v>0.81423999999999797</v>
      </c>
      <c r="AF7204">
        <v>0.35647478922639397</v>
      </c>
      <c r="AG7204">
        <v>0.431001999999999</v>
      </c>
      <c r="AH7204">
        <v>86.310852382301306</v>
      </c>
      <c r="AI7204">
        <v>89.713892529043505</v>
      </c>
      <c r="AJ7204">
        <v>89.763362494639196</v>
      </c>
      <c r="AK7204">
        <v>86.3126646324788</v>
      </c>
      <c r="AL7204">
        <v>90.230076524595702</v>
      </c>
      <c r="AM7204">
        <v>89.146246367374602</v>
      </c>
      <c r="AN7204">
        <v>0.99999997662781304</v>
      </c>
    </row>
    <row r="7205" spans="1:40" x14ac:dyDescent="0.25">
      <c r="A7205" t="str">
        <f>"20190312160826781"</f>
        <v>20190312160826781</v>
      </c>
      <c r="B7205" t="str">
        <f>"1552378106772889"</f>
        <v>1552378106772889</v>
      </c>
      <c r="C7205" t="s">
        <v>40</v>
      </c>
      <c r="D7205">
        <v>6.5847309999999997</v>
      </c>
      <c r="E7205">
        <v>0.4959887</v>
      </c>
      <c r="F7205" t="s">
        <v>52</v>
      </c>
      <c r="G7205">
        <v>-157.3501</v>
      </c>
      <c r="H7205">
        <v>1.540651</v>
      </c>
      <c r="I7205">
        <v>-62.850810000000003</v>
      </c>
      <c r="J7205">
        <v>-243.5121</v>
      </c>
      <c r="K7205">
        <v>1.1084750000000001</v>
      </c>
      <c r="L7205">
        <v>-63.626829999999998</v>
      </c>
      <c r="M7205">
        <v>0.99988100000000002</v>
      </c>
      <c r="N7205">
        <v>0</v>
      </c>
      <c r="O7205">
        <v>1.331004E-2</v>
      </c>
      <c r="P7205">
        <v>0.99992910000000002</v>
      </c>
      <c r="Q7205">
        <v>-1.183822E-2</v>
      </c>
      <c r="R7205">
        <v>-1.3262079999999999E-3</v>
      </c>
      <c r="S7205">
        <v>3.0004270000000002</v>
      </c>
      <c r="T7205">
        <v>1.502335E-2</v>
      </c>
      <c r="U7205">
        <v>2.7038570000000001E-2</v>
      </c>
      <c r="V7205">
        <v>1.463129E-2</v>
      </c>
      <c r="W7205">
        <v>-4.0554359999999999E-3</v>
      </c>
      <c r="X7205">
        <v>0.99988469999999996</v>
      </c>
      <c r="Y7205">
        <v>4.2992769999999998E-3</v>
      </c>
      <c r="Z7205" s="1">
        <v>7.7405209999999996E-5</v>
      </c>
      <c r="AA7205">
        <v>0.99999079999999996</v>
      </c>
      <c r="AB7205">
        <v>30</v>
      </c>
      <c r="AC7205">
        <v>86.162000000000006</v>
      </c>
      <c r="AD7205">
        <v>0.43217599999999901</v>
      </c>
      <c r="AE7205">
        <v>0.77602000000000904</v>
      </c>
      <c r="AF7205">
        <v>0.37089396332291602</v>
      </c>
      <c r="AG7205">
        <v>0.43217599999999901</v>
      </c>
      <c r="AH7205">
        <v>86.162528692082702</v>
      </c>
      <c r="AI7205">
        <v>89.712619579230306</v>
      </c>
      <c r="AJ7205">
        <v>89.753366947152799</v>
      </c>
      <c r="AK7205">
        <v>86.164410803074503</v>
      </c>
      <c r="AL7205">
        <v>90.232360011418393</v>
      </c>
      <c r="AM7205">
        <v>89.161651999143501</v>
      </c>
      <c r="AN7205">
        <v>0.99999996725115103</v>
      </c>
    </row>
    <row r="7206" spans="1:40" x14ac:dyDescent="0.25">
      <c r="A7206" t="str">
        <f>"20190312160826792"</f>
        <v>20190312160826792</v>
      </c>
      <c r="B7206" t="str">
        <f>"1552378106782644"</f>
        <v>1552378106782644</v>
      </c>
      <c r="C7206" t="s">
        <v>40</v>
      </c>
      <c r="D7206">
        <v>6.2946400000000002</v>
      </c>
      <c r="E7206">
        <v>0.49603580000000003</v>
      </c>
      <c r="F7206" t="s">
        <v>52</v>
      </c>
      <c r="G7206">
        <v>-157.3501</v>
      </c>
      <c r="H7206">
        <v>1.5258210000000001</v>
      </c>
      <c r="I7206">
        <v>-62.872280000000003</v>
      </c>
      <c r="J7206">
        <v>-243.3596</v>
      </c>
      <c r="K7206">
        <v>1.108474</v>
      </c>
      <c r="L7206">
        <v>-63.625030000000002</v>
      </c>
      <c r="M7206">
        <v>0.99988449999999995</v>
      </c>
      <c r="N7206">
        <v>0</v>
      </c>
      <c r="O7206">
        <v>1.304925E-2</v>
      </c>
      <c r="P7206">
        <v>0.99992749999999997</v>
      </c>
      <c r="Q7206">
        <v>-1.1967230000000001E-2</v>
      </c>
      <c r="R7206">
        <v>-1.425211E-3</v>
      </c>
      <c r="S7206">
        <v>3.0004270000000002</v>
      </c>
      <c r="T7206">
        <v>1.453257E-2</v>
      </c>
      <c r="U7206">
        <v>2.6275630000000001E-2</v>
      </c>
      <c r="V7206">
        <v>1.446944E-2</v>
      </c>
      <c r="W7206">
        <v>-4.1800159999999999E-3</v>
      </c>
      <c r="X7206">
        <v>0.99988659999999996</v>
      </c>
      <c r="Y7206">
        <v>4.2927219999999997E-3</v>
      </c>
      <c r="Z7206" s="1">
        <v>7.3597749999999897E-5</v>
      </c>
      <c r="AA7206">
        <v>0.99999079999999996</v>
      </c>
      <c r="AB7206">
        <v>30</v>
      </c>
      <c r="AC7206">
        <v>86.009500000000003</v>
      </c>
      <c r="AD7206">
        <v>0.41734699999999902</v>
      </c>
      <c r="AE7206">
        <v>0.75274999999999803</v>
      </c>
      <c r="AF7206">
        <v>0.36969892803148402</v>
      </c>
      <c r="AG7206">
        <v>0.41734699999999902</v>
      </c>
      <c r="AH7206">
        <v>86.009974426110304</v>
      </c>
      <c r="AI7206">
        <v>89.721987905517295</v>
      </c>
      <c r="AJ7206">
        <v>89.753725565456506</v>
      </c>
      <c r="AK7206">
        <v>86.011781498792004</v>
      </c>
      <c r="AL7206">
        <v>90.239497966542004</v>
      </c>
      <c r="AM7206">
        <v>89.170926002029702</v>
      </c>
      <c r="AN7206">
        <v>1.0000000250436101</v>
      </c>
    </row>
    <row r="7207" spans="1:40" x14ac:dyDescent="0.25">
      <c r="A7207" t="str">
        <f>"20190312160826805"</f>
        <v>20190312160826805</v>
      </c>
      <c r="B7207" t="str">
        <f>"1552378106792403"</f>
        <v>1552378106792403</v>
      </c>
      <c r="C7207" t="s">
        <v>40</v>
      </c>
      <c r="D7207">
        <v>6.2972449999999904</v>
      </c>
      <c r="E7207">
        <v>0.49605199999999999</v>
      </c>
      <c r="F7207" t="s">
        <v>52</v>
      </c>
      <c r="G7207">
        <v>-157.3501</v>
      </c>
      <c r="H7207">
        <v>1.507509</v>
      </c>
      <c r="I7207">
        <v>-62.890180000000001</v>
      </c>
      <c r="J7207">
        <v>-243.20490000000001</v>
      </c>
      <c r="K7207">
        <v>1.108474</v>
      </c>
      <c r="L7207">
        <v>-63.623260000000002</v>
      </c>
      <c r="M7207">
        <v>0.99988779999999999</v>
      </c>
      <c r="N7207">
        <v>0</v>
      </c>
      <c r="O7207">
        <v>1.2785110000000001E-2</v>
      </c>
      <c r="P7207">
        <v>0.99992720000000002</v>
      </c>
      <c r="Q7207">
        <v>-1.195032E-2</v>
      </c>
      <c r="R7207">
        <v>-1.662539E-3</v>
      </c>
      <c r="S7207">
        <v>3.0004119999999999</v>
      </c>
      <c r="T7207">
        <v>1.391947E-2</v>
      </c>
      <c r="U7207">
        <v>2.5634770000000001E-2</v>
      </c>
      <c r="V7207">
        <v>1.444256E-2</v>
      </c>
      <c r="W7207">
        <v>-4.1587320000000001E-3</v>
      </c>
      <c r="X7207">
        <v>0.99988699999999997</v>
      </c>
      <c r="Y7207">
        <v>4.2421159999999998E-3</v>
      </c>
      <c r="Z7207" s="1">
        <v>6.9150679999999994E-5</v>
      </c>
      <c r="AA7207">
        <v>0.99999099999999996</v>
      </c>
      <c r="AB7207">
        <v>30</v>
      </c>
      <c r="AC7207">
        <v>85.854799999999997</v>
      </c>
      <c r="AD7207">
        <v>0.39903499999999997</v>
      </c>
      <c r="AE7207">
        <v>0.73307999999998597</v>
      </c>
      <c r="AF7207">
        <v>0.36466854636898799</v>
      </c>
      <c r="AG7207">
        <v>0.39903499999999997</v>
      </c>
      <c r="AH7207">
        <v>85.855300702013494</v>
      </c>
      <c r="AI7207">
        <v>89.733707175479296</v>
      </c>
      <c r="AJ7207">
        <v>89.756638870183195</v>
      </c>
      <c r="AK7207">
        <v>85.857002455903896</v>
      </c>
      <c r="AL7207">
        <v>90.238278491035899</v>
      </c>
      <c r="AM7207">
        <v>89.172466296368</v>
      </c>
      <c r="AN7207">
        <v>0.99999994768009903</v>
      </c>
    </row>
    <row r="7208" spans="1:40" x14ac:dyDescent="0.25">
      <c r="A7208" t="str">
        <f>"20190312160826816"</f>
        <v>20190312160826816</v>
      </c>
      <c r="B7208" t="str">
        <f>"1552378106803139"</f>
        <v>1552378106803139</v>
      </c>
      <c r="C7208" t="s">
        <v>40</v>
      </c>
      <c r="D7208">
        <v>6.2927900000000001</v>
      </c>
      <c r="E7208">
        <v>0.49613350000000001</v>
      </c>
      <c r="F7208" t="s">
        <v>52</v>
      </c>
      <c r="G7208">
        <v>-157.3501</v>
      </c>
      <c r="H7208">
        <v>1.505676</v>
      </c>
      <c r="I7208">
        <v>-62.913310000000003</v>
      </c>
      <c r="J7208">
        <v>-243.05170000000001</v>
      </c>
      <c r="K7208">
        <v>1.108474</v>
      </c>
      <c r="L7208">
        <v>-63.621549999999999</v>
      </c>
      <c r="M7208">
        <v>0.99989110000000003</v>
      </c>
      <c r="N7208">
        <v>0</v>
      </c>
      <c r="O7208">
        <v>1.252342E-2</v>
      </c>
      <c r="P7208">
        <v>0.99993220000000005</v>
      </c>
      <c r="Q7208">
        <v>-1.151699E-2</v>
      </c>
      <c r="R7208">
        <v>-1.7331779999999999E-3</v>
      </c>
      <c r="S7208">
        <v>3.0004119999999999</v>
      </c>
      <c r="T7208">
        <v>1.3880490000000001E-2</v>
      </c>
      <c r="U7208">
        <v>2.4810789999999999E-2</v>
      </c>
      <c r="V7208">
        <v>1.425212E-2</v>
      </c>
      <c r="W7208">
        <v>-3.7208380000000002E-3</v>
      </c>
      <c r="X7208">
        <v>0.99989150000000004</v>
      </c>
      <c r="Y7208">
        <v>4.2549980000000003E-3</v>
      </c>
      <c r="Z7208" s="1">
        <v>6.7776379999999996E-5</v>
      </c>
      <c r="AA7208">
        <v>0.99999090000000002</v>
      </c>
      <c r="AB7208">
        <v>30</v>
      </c>
      <c r="AC7208">
        <v>85.701599999999999</v>
      </c>
      <c r="AD7208">
        <v>0.397202</v>
      </c>
      <c r="AE7208">
        <v>0.70824000000000298</v>
      </c>
      <c r="AF7208">
        <v>0.36511754417291398</v>
      </c>
      <c r="AG7208">
        <v>0.397202</v>
      </c>
      <c r="AH7208">
        <v>85.701907837252094</v>
      </c>
      <c r="AI7208">
        <v>89.734455984526406</v>
      </c>
      <c r="AJ7208">
        <v>89.755903126661096</v>
      </c>
      <c r="AK7208">
        <v>85.703606033787807</v>
      </c>
      <c r="AL7208">
        <v>90.213188807777101</v>
      </c>
      <c r="AM7208">
        <v>89.183380366049306</v>
      </c>
      <c r="AN7208">
        <v>0.99999998966608294</v>
      </c>
    </row>
    <row r="7209" spans="1:40" x14ac:dyDescent="0.25">
      <c r="A7209" t="str">
        <f>"20190312160826826"</f>
        <v>20190312160826826</v>
      </c>
      <c r="B7209" t="str">
        <f>"1552378106822660"</f>
        <v>1552378106822660</v>
      </c>
      <c r="C7209" t="s">
        <v>40</v>
      </c>
      <c r="D7209">
        <v>6.294937</v>
      </c>
      <c r="E7209">
        <v>0.49621169999999998</v>
      </c>
      <c r="F7209" t="s">
        <v>52</v>
      </c>
      <c r="G7209">
        <v>-157.3501</v>
      </c>
      <c r="H7209">
        <v>1.547757</v>
      </c>
      <c r="I7209">
        <v>-62.937269999999998</v>
      </c>
      <c r="J7209">
        <v>-242.89580000000001</v>
      </c>
      <c r="K7209">
        <v>1.1084719999999999</v>
      </c>
      <c r="L7209">
        <v>-63.619840000000003</v>
      </c>
      <c r="M7209">
        <v>0.99989430000000001</v>
      </c>
      <c r="N7209">
        <v>0</v>
      </c>
      <c r="O7209">
        <v>1.225702E-2</v>
      </c>
      <c r="P7209">
        <v>0.99993509999999997</v>
      </c>
      <c r="Q7209">
        <v>-1.1245379999999999E-2</v>
      </c>
      <c r="R7209">
        <v>-1.8695610000000001E-3</v>
      </c>
      <c r="S7209">
        <v>3.0004119999999999</v>
      </c>
      <c r="T7209">
        <v>1.5378589999999999E-2</v>
      </c>
      <c r="U7209">
        <v>2.39563E-2</v>
      </c>
      <c r="V7209">
        <v>1.4122310000000001E-2</v>
      </c>
      <c r="W7209">
        <v>-3.4446899999999998E-3</v>
      </c>
      <c r="X7209">
        <v>0.99989430000000001</v>
      </c>
      <c r="Y7209">
        <v>4.2733069999999996E-3</v>
      </c>
      <c r="Z7209" s="1">
        <v>7.3773010000000001E-5</v>
      </c>
      <c r="AA7209">
        <v>0.99999090000000002</v>
      </c>
      <c r="AB7209">
        <v>30</v>
      </c>
      <c r="AC7209">
        <v>85.545699999999997</v>
      </c>
      <c r="AD7209">
        <v>0.43928499999999998</v>
      </c>
      <c r="AE7209">
        <v>0.68257000000000501</v>
      </c>
      <c r="AF7209">
        <v>0.366039044828323</v>
      </c>
      <c r="AG7209">
        <v>0.43928499999999998</v>
      </c>
      <c r="AH7209">
        <v>85.545384319401407</v>
      </c>
      <c r="AI7209">
        <v>89.705785121254095</v>
      </c>
      <c r="AJ7209">
        <v>89.754839322078197</v>
      </c>
      <c r="AK7209">
        <v>85.547295306442294</v>
      </c>
      <c r="AL7209">
        <v>90.197366597274097</v>
      </c>
      <c r="AM7209">
        <v>89.190819506693501</v>
      </c>
      <c r="AN7209">
        <v>0.99999995835070998</v>
      </c>
    </row>
    <row r="7210" spans="1:40" x14ac:dyDescent="0.25">
      <c r="A7210" t="str">
        <f>"20190312160826839"</f>
        <v>20190312160826839</v>
      </c>
      <c r="B7210" t="str">
        <f>"1552378106832418"</f>
        <v>1552378106832418</v>
      </c>
      <c r="C7210" t="s">
        <v>40</v>
      </c>
      <c r="D7210">
        <v>6.5482469999999999</v>
      </c>
      <c r="E7210">
        <v>0.49629709999999999</v>
      </c>
      <c r="F7210" t="s">
        <v>52</v>
      </c>
      <c r="G7210">
        <v>-157.3501</v>
      </c>
      <c r="H7210">
        <v>1.5811820000000001</v>
      </c>
      <c r="I7210">
        <v>-62.9664</v>
      </c>
      <c r="J7210">
        <v>-242.7337</v>
      </c>
      <c r="K7210">
        <v>1.1084719999999999</v>
      </c>
      <c r="L7210">
        <v>-63.618130000000001</v>
      </c>
      <c r="M7210">
        <v>0.9998977</v>
      </c>
      <c r="N7210">
        <v>0</v>
      </c>
      <c r="O7210">
        <v>1.1980009999999999E-2</v>
      </c>
      <c r="P7210">
        <v>0.99993509999999997</v>
      </c>
      <c r="Q7210">
        <v>-1.1238919999999999E-2</v>
      </c>
      <c r="R7210">
        <v>-1.9581870000000001E-3</v>
      </c>
      <c r="S7210">
        <v>3.0004119999999999</v>
      </c>
      <c r="T7210">
        <v>1.6579030000000002E-2</v>
      </c>
      <c r="U7210">
        <v>2.29187E-2</v>
      </c>
      <c r="V7210">
        <v>1.3933869999999999E-2</v>
      </c>
      <c r="W7210">
        <v>-3.4334399999999998E-3</v>
      </c>
      <c r="X7210">
        <v>0.99989700000000004</v>
      </c>
      <c r="Y7210">
        <v>4.3420330000000004E-3</v>
      </c>
      <c r="Z7210" s="1">
        <v>7.8191060000000001E-5</v>
      </c>
      <c r="AA7210">
        <v>0.99999059999999995</v>
      </c>
      <c r="AB7210">
        <v>30</v>
      </c>
      <c r="AC7210">
        <v>85.383600000000001</v>
      </c>
      <c r="AD7210">
        <v>0.47271000000000002</v>
      </c>
      <c r="AE7210">
        <v>0.65173000000000703</v>
      </c>
      <c r="AF7210">
        <v>0.37123301183486601</v>
      </c>
      <c r="AG7210">
        <v>0.47271000000000002</v>
      </c>
      <c r="AH7210">
        <v>85.382663334313506</v>
      </c>
      <c r="AI7210">
        <v>89.6827956148461</v>
      </c>
      <c r="AJ7210">
        <v>89.750886773320801</v>
      </c>
      <c r="AK7210">
        <v>85.384778893863199</v>
      </c>
      <c r="AL7210">
        <v>90.196722012458395</v>
      </c>
      <c r="AM7210">
        <v>89.201617495346596</v>
      </c>
      <c r="AN7210">
        <v>0.99999997592620504</v>
      </c>
    </row>
    <row r="7211" spans="1:40" x14ac:dyDescent="0.25">
      <c r="A7211" t="str">
        <f>"20190312160826849"</f>
        <v>20190312160826849</v>
      </c>
      <c r="B7211" t="str">
        <f>"1552378106842179"</f>
        <v>1552378106842179</v>
      </c>
      <c r="C7211" t="s">
        <v>40</v>
      </c>
      <c r="D7211">
        <v>6.3414679999999999</v>
      </c>
      <c r="E7211">
        <v>0.49643039999999999</v>
      </c>
      <c r="F7211" t="s">
        <v>52</v>
      </c>
      <c r="G7211">
        <v>-157.3501</v>
      </c>
      <c r="H7211">
        <v>1.5790930000000001</v>
      </c>
      <c r="I7211">
        <v>-62.994590000000002</v>
      </c>
      <c r="J7211">
        <v>-242.577</v>
      </c>
      <c r="K7211">
        <v>1.1084719999999999</v>
      </c>
      <c r="L7211">
        <v>-63.616489999999999</v>
      </c>
      <c r="M7211">
        <v>0.99990089999999998</v>
      </c>
      <c r="N7211">
        <v>0</v>
      </c>
      <c r="O7211">
        <v>1.171236E-2</v>
      </c>
      <c r="P7211">
        <v>0.99993600000000005</v>
      </c>
      <c r="Q7211">
        <v>-1.1114219999999999E-2</v>
      </c>
      <c r="R7211">
        <v>-2.1214110000000001E-3</v>
      </c>
      <c r="S7211">
        <v>3.0004270000000002</v>
      </c>
      <c r="T7211">
        <v>1.653719E-2</v>
      </c>
      <c r="U7211">
        <v>2.191162E-2</v>
      </c>
      <c r="V7211">
        <v>1.3829640000000001E-2</v>
      </c>
      <c r="W7211">
        <v>-3.30416E-3</v>
      </c>
      <c r="X7211">
        <v>0.99989890000000003</v>
      </c>
      <c r="Y7211">
        <v>4.4100229999999999E-3</v>
      </c>
      <c r="Z7211" s="1">
        <v>7.6705719999999906E-5</v>
      </c>
      <c r="AA7211">
        <v>0.9999903</v>
      </c>
      <c r="AB7211">
        <v>31</v>
      </c>
      <c r="AC7211">
        <v>85.226900000000001</v>
      </c>
      <c r="AD7211">
        <v>0.47062100000000001</v>
      </c>
      <c r="AE7211">
        <v>0.62189999999999601</v>
      </c>
      <c r="AF7211">
        <v>0.37636977086659701</v>
      </c>
      <c r="AG7211">
        <v>0.47062100000000001</v>
      </c>
      <c r="AH7211">
        <v>85.225739310510093</v>
      </c>
      <c r="AI7211">
        <v>89.683616002977004</v>
      </c>
      <c r="AJ7211">
        <v>89.746974806000395</v>
      </c>
      <c r="AK7211">
        <v>85.227869733750197</v>
      </c>
      <c r="AL7211">
        <v>90.189314768575002</v>
      </c>
      <c r="AM7211">
        <v>89.207590404209199</v>
      </c>
      <c r="AN7211">
        <v>0.99999999331852196</v>
      </c>
    </row>
    <row r="7212" spans="1:40" x14ac:dyDescent="0.25">
      <c r="A7212" t="str">
        <f>"20190312160826861"</f>
        <v>20190312160826861</v>
      </c>
      <c r="B7212" t="str">
        <f>"1552378106852915"</f>
        <v>1552378106852915</v>
      </c>
      <c r="C7212" t="s">
        <v>40</v>
      </c>
      <c r="D7212">
        <v>6.2867389999999999</v>
      </c>
      <c r="E7212">
        <v>0.49654019999999999</v>
      </c>
      <c r="F7212" t="s">
        <v>52</v>
      </c>
      <c r="G7212">
        <v>-157.3501</v>
      </c>
      <c r="H7212">
        <v>1.5902829999999999</v>
      </c>
      <c r="I7212">
        <v>-63.037419999999997</v>
      </c>
      <c r="J7212">
        <v>-242.42429999999999</v>
      </c>
      <c r="K7212">
        <v>1.1084700000000001</v>
      </c>
      <c r="L7212">
        <v>-63.614960000000004</v>
      </c>
      <c r="M7212">
        <v>0.99990400000000002</v>
      </c>
      <c r="N7212">
        <v>0</v>
      </c>
      <c r="O7212">
        <v>1.1451680000000001E-2</v>
      </c>
      <c r="P7212">
        <v>0.99993639999999995</v>
      </c>
      <c r="Q7212">
        <v>-1.1041169999999999E-2</v>
      </c>
      <c r="R7212">
        <v>-2.3769249999999998E-3</v>
      </c>
      <c r="S7212">
        <v>3.0004119999999999</v>
      </c>
      <c r="T7212">
        <v>1.6961460000000001E-2</v>
      </c>
      <c r="U7212">
        <v>2.0385739999999999E-2</v>
      </c>
      <c r="V7212">
        <v>1.3824589999999999E-2</v>
      </c>
      <c r="W7212">
        <v>-3.2267810000000002E-3</v>
      </c>
      <c r="X7212">
        <v>0.99989919999999999</v>
      </c>
      <c r="Y7212">
        <v>4.657797E-3</v>
      </c>
      <c r="Z7212" s="1">
        <v>7.7900979999999997E-5</v>
      </c>
      <c r="AA7212">
        <v>0.99998920000000002</v>
      </c>
      <c r="AB7212">
        <v>31</v>
      </c>
      <c r="AC7212">
        <v>85.074199999999905</v>
      </c>
      <c r="AD7212">
        <v>0.48181299999999899</v>
      </c>
      <c r="AE7212">
        <v>0.57753999999999905</v>
      </c>
      <c r="AF7212">
        <v>0.39675730512366197</v>
      </c>
      <c r="AG7212">
        <v>0.48181299999999899</v>
      </c>
      <c r="AH7212">
        <v>85.072506584291105</v>
      </c>
      <c r="AI7212">
        <v>89.675509078544493</v>
      </c>
      <c r="AJ7212">
        <v>89.732788474513498</v>
      </c>
      <c r="AK7212">
        <v>85.074796130583806</v>
      </c>
      <c r="AL7212">
        <v>90.1848812589499</v>
      </c>
      <c r="AM7212">
        <v>89.207879959455497</v>
      </c>
      <c r="AN7212">
        <v>0.99999997078246405</v>
      </c>
    </row>
    <row r="7213" spans="1:40" x14ac:dyDescent="0.25">
      <c r="A7213" t="str">
        <f>"20190312160826883"</f>
        <v>20190312160826883</v>
      </c>
      <c r="B7213" t="str">
        <f>"1552378106872435"</f>
        <v>1552378106872435</v>
      </c>
      <c r="C7213" t="s">
        <v>40</v>
      </c>
      <c r="D7213">
        <v>6.5622740000000004</v>
      </c>
      <c r="E7213">
        <v>0.4966102</v>
      </c>
      <c r="F7213" t="s">
        <v>52</v>
      </c>
      <c r="G7213">
        <v>-157.3501</v>
      </c>
      <c r="H7213">
        <v>1.595167</v>
      </c>
      <c r="I7213">
        <v>-63.082790000000003</v>
      </c>
      <c r="J7213">
        <v>-242.12889999999999</v>
      </c>
      <c r="K7213">
        <v>1.1084670000000001</v>
      </c>
      <c r="L7213">
        <v>-63.612090000000002</v>
      </c>
      <c r="M7213">
        <v>0.9999093</v>
      </c>
      <c r="N7213">
        <v>0</v>
      </c>
      <c r="O7213">
        <v>1.094785E-2</v>
      </c>
      <c r="P7213">
        <v>0.99992829999999999</v>
      </c>
      <c r="Q7213">
        <v>-1.160666E-2</v>
      </c>
      <c r="R7213">
        <v>-2.9687910000000001E-3</v>
      </c>
      <c r="S7213">
        <v>3.000397</v>
      </c>
      <c r="T7213">
        <v>1.716411E-2</v>
      </c>
      <c r="U7213">
        <v>1.876831E-2</v>
      </c>
      <c r="V7213">
        <v>1.3911929999999999E-2</v>
      </c>
      <c r="W7213">
        <v>-3.7840759999999999E-3</v>
      </c>
      <c r="X7213">
        <v>0.99989600000000001</v>
      </c>
      <c r="Y7213">
        <v>4.6929390000000001E-3</v>
      </c>
      <c r="Z7213" s="1">
        <v>7.6050780000000006E-5</v>
      </c>
      <c r="AA7213">
        <v>0.99998900000000002</v>
      </c>
      <c r="AB7213">
        <v>31</v>
      </c>
      <c r="AC7213">
        <v>84.778799999999904</v>
      </c>
      <c r="AD7213">
        <v>0.48669999999999902</v>
      </c>
      <c r="AE7213">
        <v>0.52929999999999899</v>
      </c>
      <c r="AF7213">
        <v>0.39889272107527701</v>
      </c>
      <c r="AG7213">
        <v>0.48669999999999902</v>
      </c>
      <c r="AH7213">
        <v>84.776719930446802</v>
      </c>
      <c r="AI7213">
        <v>89.671074312736295</v>
      </c>
      <c r="AJ7213">
        <v>89.730413010135393</v>
      </c>
      <c r="AK7213">
        <v>84.779055399658304</v>
      </c>
      <c r="AL7213">
        <v>90.216812115482298</v>
      </c>
      <c r="AM7213">
        <v>89.202873653427602</v>
      </c>
      <c r="AN7213">
        <v>0.99999993592174696</v>
      </c>
    </row>
    <row r="7214" spans="1:40" x14ac:dyDescent="0.25">
      <c r="A7214" t="str">
        <f>"20190312160826894"</f>
        <v>20190312160826894</v>
      </c>
      <c r="B7214" t="str">
        <f>"1552378106882195"</f>
        <v>1552378106882195</v>
      </c>
      <c r="C7214" t="s">
        <v>40</v>
      </c>
      <c r="D7214">
        <v>6.2894310000000004</v>
      </c>
      <c r="E7214">
        <v>0.49669059999999998</v>
      </c>
      <c r="F7214" t="s">
        <v>52</v>
      </c>
      <c r="G7214">
        <v>-157.3501</v>
      </c>
      <c r="H7214">
        <v>1.5595969999999999</v>
      </c>
      <c r="I7214">
        <v>-63.149889999999999</v>
      </c>
      <c r="J7214">
        <v>-241.9735</v>
      </c>
      <c r="K7214">
        <v>1.1084639999999999</v>
      </c>
      <c r="L7214">
        <v>-63.610599999999998</v>
      </c>
      <c r="M7214">
        <v>0.99991229999999998</v>
      </c>
      <c r="N7214">
        <v>0</v>
      </c>
      <c r="O7214">
        <v>1.0682759999999999E-2</v>
      </c>
      <c r="P7214">
        <v>0.99992820000000004</v>
      </c>
      <c r="Q7214">
        <v>-1.148427E-2</v>
      </c>
      <c r="R7214">
        <v>-3.442325E-3</v>
      </c>
      <c r="S7214">
        <v>3.0004119999999999</v>
      </c>
      <c r="T7214">
        <v>1.5965219999999999E-2</v>
      </c>
      <c r="U7214">
        <v>1.6357420000000001E-2</v>
      </c>
      <c r="V7214">
        <v>1.4120499999999999E-2</v>
      </c>
      <c r="W7214">
        <v>-3.657534E-3</v>
      </c>
      <c r="X7214">
        <v>0.99989360000000005</v>
      </c>
      <c r="Y7214">
        <v>5.2313730000000001E-3</v>
      </c>
      <c r="Z7214" s="1">
        <v>7.0760669999999905E-5</v>
      </c>
      <c r="AA7214">
        <v>0.99998629999999999</v>
      </c>
      <c r="AB7214">
        <v>31</v>
      </c>
      <c r="AC7214">
        <v>84.623400000000004</v>
      </c>
      <c r="AD7214">
        <v>0.45113300000000001</v>
      </c>
      <c r="AE7214">
        <v>0.46070999999999801</v>
      </c>
      <c r="AF7214">
        <v>0.443342859911735</v>
      </c>
      <c r="AG7214">
        <v>0.45113300000000001</v>
      </c>
      <c r="AH7214">
        <v>84.621087819505604</v>
      </c>
      <c r="AI7214">
        <v>89.694551110645605</v>
      </c>
      <c r="AJ7214">
        <v>89.699821368478993</v>
      </c>
      <c r="AK7214">
        <v>84.623451700055298</v>
      </c>
      <c r="AL7214">
        <v>90.209561731232995</v>
      </c>
      <c r="AM7214">
        <v>89.190922635995804</v>
      </c>
      <c r="AN7214">
        <v>0.99999998869808504</v>
      </c>
    </row>
    <row r="7215" spans="1:40" x14ac:dyDescent="0.25">
      <c r="A7215" t="str">
        <f>"20190312160826904"</f>
        <v>20190312160826904</v>
      </c>
      <c r="B7215" t="str">
        <f>"1552378106892932"</f>
        <v>1552378106892932</v>
      </c>
      <c r="C7215" t="s">
        <v>40</v>
      </c>
      <c r="D7215">
        <v>6.287369</v>
      </c>
      <c r="E7215">
        <v>0.49677349999999998</v>
      </c>
      <c r="F7215" t="s">
        <v>52</v>
      </c>
      <c r="G7215">
        <v>-157.3501</v>
      </c>
      <c r="H7215">
        <v>1.5644830000000001</v>
      </c>
      <c r="I7215">
        <v>-63.206060000000001</v>
      </c>
      <c r="J7215">
        <v>-241.82320000000001</v>
      </c>
      <c r="K7215">
        <v>1.1084620000000001</v>
      </c>
      <c r="L7215">
        <v>-63.609279999999998</v>
      </c>
      <c r="M7215">
        <v>0.99991490000000005</v>
      </c>
      <c r="N7215">
        <v>0</v>
      </c>
      <c r="O7215">
        <v>1.0426319999999999E-2</v>
      </c>
      <c r="P7215">
        <v>0.99992789999999998</v>
      </c>
      <c r="Q7215">
        <v>-1.1345829999999999E-2</v>
      </c>
      <c r="R7215">
        <v>-3.9530850000000003E-3</v>
      </c>
      <c r="S7215">
        <v>3.0004580000000001</v>
      </c>
      <c r="T7215">
        <v>1.6168120000000001E-2</v>
      </c>
      <c r="U7215">
        <v>1.434326E-2</v>
      </c>
      <c r="V7215">
        <v>1.4374909999999999E-2</v>
      </c>
      <c r="W7215">
        <v>-3.5151290000000001E-3</v>
      </c>
      <c r="X7215">
        <v>0.99989050000000002</v>
      </c>
      <c r="Y7215">
        <v>5.6462429999999996E-3</v>
      </c>
      <c r="Z7215" s="1">
        <v>7.1394960000000001E-5</v>
      </c>
      <c r="AA7215">
        <v>0.99998410000000004</v>
      </c>
      <c r="AB7215">
        <v>31</v>
      </c>
      <c r="AC7215">
        <v>84.473100000000002</v>
      </c>
      <c r="AD7215">
        <v>0.45602100000000001</v>
      </c>
      <c r="AE7215">
        <v>0.40322000000000402</v>
      </c>
      <c r="AF7215">
        <v>0.47755865079238402</v>
      </c>
      <c r="AG7215">
        <v>0.45602100000000001</v>
      </c>
      <c r="AH7215">
        <v>84.470250713423894</v>
      </c>
      <c r="AI7215">
        <v>89.690691017513799</v>
      </c>
      <c r="AJ7215">
        <v>89.676077631934305</v>
      </c>
      <c r="AK7215">
        <v>84.472831567351193</v>
      </c>
      <c r="AL7215">
        <v>90.201402470284407</v>
      </c>
      <c r="AM7215">
        <v>89.176344871795493</v>
      </c>
      <c r="AN7215">
        <v>1.00000000307982</v>
      </c>
    </row>
    <row r="7216" spans="1:40" x14ac:dyDescent="0.25">
      <c r="A7216" t="str">
        <f>"20190312160826916"</f>
        <v>20190312160826916</v>
      </c>
      <c r="B7216" t="str">
        <f>"1552378106912451"</f>
        <v>1552378106912451</v>
      </c>
      <c r="C7216" t="s">
        <v>40</v>
      </c>
      <c r="D7216">
        <v>6.2837740000000002</v>
      </c>
      <c r="E7216">
        <v>0.49683060000000001</v>
      </c>
      <c r="F7216" t="s">
        <v>52</v>
      </c>
      <c r="G7216">
        <v>-157.3501</v>
      </c>
      <c r="H7216">
        <v>1.5898969999999999</v>
      </c>
      <c r="I7216">
        <v>-63.268180000000001</v>
      </c>
      <c r="J7216">
        <v>-241.667</v>
      </c>
      <c r="K7216">
        <v>1.1084620000000001</v>
      </c>
      <c r="L7216">
        <v>-63.607880000000002</v>
      </c>
      <c r="M7216">
        <v>0.99991759999999996</v>
      </c>
      <c r="N7216">
        <v>0</v>
      </c>
      <c r="O7216">
        <v>1.0159980000000001E-2</v>
      </c>
      <c r="P7216">
        <v>0.99992859999999995</v>
      </c>
      <c r="Q7216">
        <v>-1.105927E-2</v>
      </c>
      <c r="R7216">
        <v>-4.5297949999999997E-3</v>
      </c>
      <c r="S7216">
        <v>3.0004430000000002</v>
      </c>
      <c r="T7216">
        <v>1.7099619999999999E-2</v>
      </c>
      <c r="U7216">
        <v>1.211548E-2</v>
      </c>
      <c r="V7216">
        <v>1.468567E-2</v>
      </c>
      <c r="W7216">
        <v>-3.2245099999999999E-3</v>
      </c>
      <c r="X7216">
        <v>0.99988699999999997</v>
      </c>
      <c r="Y7216">
        <v>6.1222869999999997E-3</v>
      </c>
      <c r="Z7216" s="1">
        <v>7.5347419999999998E-5</v>
      </c>
      <c r="AA7216">
        <v>0.99998129999999996</v>
      </c>
      <c r="AB7216">
        <v>31</v>
      </c>
      <c r="AC7216">
        <v>84.316900000000004</v>
      </c>
      <c r="AD7216">
        <v>0.481434999999999</v>
      </c>
      <c r="AE7216">
        <v>0.33969999999999301</v>
      </c>
      <c r="AF7216">
        <v>0.51698507003440797</v>
      </c>
      <c r="AG7216">
        <v>0.481434999999999</v>
      </c>
      <c r="AH7216">
        <v>84.313250509555701</v>
      </c>
      <c r="AI7216">
        <v>89.672846496464402</v>
      </c>
      <c r="AJ7216">
        <v>89.648682844237996</v>
      </c>
      <c r="AK7216">
        <v>84.316209975952702</v>
      </c>
      <c r="AL7216">
        <v>90.184751126845498</v>
      </c>
      <c r="AM7216">
        <v>89.158538500244802</v>
      </c>
      <c r="AN7216">
        <v>1.00000003956854</v>
      </c>
    </row>
    <row r="7217" spans="1:40" x14ac:dyDescent="0.25">
      <c r="A7217" t="str">
        <f>"20190312160826928"</f>
        <v>20190312160826928</v>
      </c>
      <c r="B7217" t="str">
        <f>"1552378106922215"</f>
        <v>1552378106922215</v>
      </c>
      <c r="C7217" t="s">
        <v>40</v>
      </c>
      <c r="D7217">
        <v>6.2971089999999998</v>
      </c>
      <c r="E7217">
        <v>0.49682520000000002</v>
      </c>
      <c r="F7217" t="s">
        <v>52</v>
      </c>
      <c r="G7217">
        <v>-157.3501</v>
      </c>
      <c r="H7217">
        <v>1.6057440000000001</v>
      </c>
      <c r="I7217">
        <v>-63.329160000000002</v>
      </c>
      <c r="J7217">
        <v>-241.49969999999999</v>
      </c>
      <c r="K7217">
        <v>1.108457</v>
      </c>
      <c r="L7217">
        <v>-63.606450000000002</v>
      </c>
      <c r="M7217">
        <v>0.99992040000000004</v>
      </c>
      <c r="N7217">
        <v>0</v>
      </c>
      <c r="O7217">
        <v>9.8746200000000006E-3</v>
      </c>
      <c r="P7217">
        <v>0.99993030000000005</v>
      </c>
      <c r="Q7217">
        <v>-1.078553E-2</v>
      </c>
      <c r="R7217">
        <v>-4.820642E-3</v>
      </c>
      <c r="S7217">
        <v>3.0004580000000001</v>
      </c>
      <c r="T7217">
        <v>1.7695309999999999E-2</v>
      </c>
      <c r="U7217">
        <v>9.9182130000000004E-3</v>
      </c>
      <c r="V7217">
        <v>1.469143E-2</v>
      </c>
      <c r="W7217">
        <v>-2.9459769999999998E-3</v>
      </c>
      <c r="X7217">
        <v>0.99988779999999999</v>
      </c>
      <c r="Y7217">
        <v>6.5691969999999997E-3</v>
      </c>
      <c r="Z7217" s="1">
        <v>7.7606929999999999E-5</v>
      </c>
      <c r="AA7217">
        <v>0.99997840000000005</v>
      </c>
      <c r="AB7217">
        <v>31</v>
      </c>
      <c r="AC7217">
        <v>84.149599999999893</v>
      </c>
      <c r="AD7217">
        <v>0.49728699999999998</v>
      </c>
      <c r="AE7217">
        <v>0.27729000000000698</v>
      </c>
      <c r="AF7217">
        <v>0.55367513744906804</v>
      </c>
      <c r="AG7217">
        <v>0.49728699999999998</v>
      </c>
      <c r="AH7217">
        <v>84.145296665545899</v>
      </c>
      <c r="AI7217">
        <v>89.661401183871703</v>
      </c>
      <c r="AJ7217">
        <v>89.622999834411402</v>
      </c>
      <c r="AK7217">
        <v>84.148587637885697</v>
      </c>
      <c r="AL7217">
        <v>90.168792281866999</v>
      </c>
      <c r="AM7217">
        <v>89.158209183882306</v>
      </c>
      <c r="AN7217">
        <v>1.0000000647423799</v>
      </c>
    </row>
    <row r="7218" spans="1:40" x14ac:dyDescent="0.25">
      <c r="A7218" t="str">
        <f>"20190312160826938"</f>
        <v>20190312160826938</v>
      </c>
      <c r="B7218" t="str">
        <f>"1552378106932947"</f>
        <v>1552378106932947</v>
      </c>
      <c r="C7218" t="s">
        <v>40</v>
      </c>
      <c r="D7218">
        <v>6.240672</v>
      </c>
      <c r="E7218">
        <v>0.49682520000000002</v>
      </c>
      <c r="F7218" t="s">
        <v>52</v>
      </c>
      <c r="G7218">
        <v>-157.3501</v>
      </c>
      <c r="H7218">
        <v>1.624331</v>
      </c>
      <c r="I7218">
        <v>-63.350529999999999</v>
      </c>
      <c r="J7218">
        <v>-241.3546</v>
      </c>
      <c r="K7218">
        <v>1.108455</v>
      </c>
      <c r="L7218">
        <v>-63.605260000000001</v>
      </c>
      <c r="M7218">
        <v>0.9999228</v>
      </c>
      <c r="N7218">
        <v>0</v>
      </c>
      <c r="O7218">
        <v>9.6272949999999993E-3</v>
      </c>
      <c r="P7218">
        <v>0.99993310000000002</v>
      </c>
      <c r="Q7218">
        <v>-1.042505E-2</v>
      </c>
      <c r="R7218">
        <v>-5.0199529999999997E-3</v>
      </c>
      <c r="S7218">
        <v>3.0004580000000001</v>
      </c>
      <c r="T7218">
        <v>1.8393400000000001E-2</v>
      </c>
      <c r="U7218">
        <v>9.1247559999999995E-3</v>
      </c>
      <c r="V7218">
        <v>1.4643939999999999E-2</v>
      </c>
      <c r="W7218">
        <v>-2.5813339999999998E-3</v>
      </c>
      <c r="X7218">
        <v>0.99988940000000004</v>
      </c>
      <c r="Y7218">
        <v>6.5862759999999899E-3</v>
      </c>
      <c r="Z7218" s="1">
        <v>7.9204789999999997E-5</v>
      </c>
      <c r="AA7218">
        <v>0.99997829999999999</v>
      </c>
      <c r="AB7218">
        <v>31</v>
      </c>
      <c r="AC7218">
        <v>84.004499999999993</v>
      </c>
      <c r="AD7218">
        <v>0.515876</v>
      </c>
      <c r="AE7218">
        <v>0.25472999999998702</v>
      </c>
      <c r="AF7218">
        <v>0.55402196965470696</v>
      </c>
      <c r="AG7218">
        <v>0.515876</v>
      </c>
      <c r="AH7218">
        <v>83.999891317147402</v>
      </c>
      <c r="AI7218">
        <v>89.648136412417799</v>
      </c>
      <c r="AJ7218">
        <v>89.6221106974061</v>
      </c>
      <c r="AK7218">
        <v>84.003302373673407</v>
      </c>
      <c r="AL7218">
        <v>90.147899713842804</v>
      </c>
      <c r="AM7218">
        <v>89.160931222782807</v>
      </c>
      <c r="AN7218">
        <v>0.99999996024814997</v>
      </c>
    </row>
    <row r="7219" spans="1:40" x14ac:dyDescent="0.25">
      <c r="A7219" t="str">
        <f>"20190312160826949"</f>
        <v>20190312160826949</v>
      </c>
      <c r="B7219" t="str">
        <f>"1552378106942707"</f>
        <v>1552378106942707</v>
      </c>
      <c r="C7219" t="s">
        <v>40</v>
      </c>
      <c r="D7219">
        <v>6.312989</v>
      </c>
      <c r="E7219">
        <v>0.47341490000000003</v>
      </c>
      <c r="F7219" t="s">
        <v>52</v>
      </c>
      <c r="G7219">
        <v>-157.3501</v>
      </c>
      <c r="H7219">
        <v>1.65370999999999</v>
      </c>
      <c r="I7219">
        <v>-63.366869999999999</v>
      </c>
      <c r="J7219">
        <v>-241.1994</v>
      </c>
      <c r="K7219">
        <v>1.1084510000000001</v>
      </c>
      <c r="L7219">
        <v>-63.603999999999999</v>
      </c>
      <c r="M7219">
        <v>0.99992530000000002</v>
      </c>
      <c r="N7219">
        <v>0</v>
      </c>
      <c r="O7219">
        <v>9.3628619999999996E-3</v>
      </c>
      <c r="P7219">
        <v>0.99993279999999995</v>
      </c>
      <c r="Q7219">
        <v>-1.0235879999999999E-2</v>
      </c>
      <c r="R7219">
        <v>-5.4589259999999898E-3</v>
      </c>
      <c r="S7219">
        <v>3.0004430000000002</v>
      </c>
      <c r="T7219">
        <v>1.947451E-2</v>
      </c>
      <c r="U7219">
        <v>8.5144039999999997E-3</v>
      </c>
      <c r="V7219">
        <v>1.4818649999999999E-2</v>
      </c>
      <c r="W7219">
        <v>-2.3880709999999999E-3</v>
      </c>
      <c r="X7219">
        <v>0.99988730000000003</v>
      </c>
      <c r="Y7219">
        <v>6.5251999999999897E-3</v>
      </c>
      <c r="Z7219" s="1">
        <v>8.1946109999999904E-5</v>
      </c>
      <c r="AA7219">
        <v>0.9999787</v>
      </c>
      <c r="AB7219">
        <v>31</v>
      </c>
      <c r="AC7219">
        <v>83.849299999999999</v>
      </c>
      <c r="AD7219">
        <v>0.54525899999999905</v>
      </c>
      <c r="AE7219">
        <v>0.23713000000000001</v>
      </c>
      <c r="AF7219">
        <v>0.54795088111644497</v>
      </c>
      <c r="AG7219">
        <v>0.54525899999999905</v>
      </c>
      <c r="AH7219">
        <v>83.844299233274597</v>
      </c>
      <c r="AI7219">
        <v>89.627405414444695</v>
      </c>
      <c r="AJ7219">
        <v>89.625558014126696</v>
      </c>
      <c r="AK7219">
        <v>83.847862652926906</v>
      </c>
      <c r="AL7219">
        <v>90.136826525824603</v>
      </c>
      <c r="AM7219">
        <v>89.150920359483095</v>
      </c>
      <c r="AN7219">
        <v>0.99999995398610497</v>
      </c>
    </row>
    <row r="7220" spans="1:40" x14ac:dyDescent="0.25">
      <c r="A7220" t="str">
        <f>"20190312160826961"</f>
        <v>20190312160826961</v>
      </c>
      <c r="B7220" t="str">
        <f>"1552378106952468"</f>
        <v>1552378106952468</v>
      </c>
      <c r="C7220" t="s">
        <v>40</v>
      </c>
      <c r="D7220">
        <v>6.4095430000000002</v>
      </c>
      <c r="E7220">
        <v>0.472331</v>
      </c>
      <c r="F7220" t="s">
        <v>82</v>
      </c>
      <c r="G7220">
        <v>-198.16820000000001</v>
      </c>
      <c r="H7220" s="1">
        <v>-6.4757630000000004E-6</v>
      </c>
      <c r="I7220">
        <v>-60.773620000000001</v>
      </c>
      <c r="J7220">
        <v>-241.04859999999999</v>
      </c>
      <c r="K7220">
        <v>1.1084499999999999</v>
      </c>
      <c r="L7220">
        <v>-63.60284</v>
      </c>
      <c r="M7220">
        <v>0.99992760000000003</v>
      </c>
      <c r="N7220">
        <v>0</v>
      </c>
      <c r="O7220">
        <v>9.1057559999999996E-3</v>
      </c>
      <c r="P7220">
        <v>0.99993299999999996</v>
      </c>
      <c r="Q7220">
        <v>-1.014349E-2</v>
      </c>
      <c r="R7220">
        <v>-5.6204310000000004E-3</v>
      </c>
      <c r="S7220">
        <v>3.0004879999999998</v>
      </c>
      <c r="T7220">
        <v>-7.7290650000000002E-2</v>
      </c>
      <c r="U7220">
        <v>0.19735720000000001</v>
      </c>
      <c r="V7220">
        <v>1.472303E-2</v>
      </c>
      <c r="W7220">
        <v>-2.2898480000000001E-3</v>
      </c>
      <c r="X7220">
        <v>0.99988900000000003</v>
      </c>
      <c r="Y7220">
        <v>-5.6528410000000001E-2</v>
      </c>
      <c r="Z7220">
        <v>4.9290789999999998E-4</v>
      </c>
      <c r="AA7220">
        <v>0.99840090000000004</v>
      </c>
      <c r="AB7220">
        <v>31</v>
      </c>
      <c r="AC7220">
        <v>42.880399999999902</v>
      </c>
      <c r="AD7220">
        <v>-1.108456475763</v>
      </c>
      <c r="AE7220">
        <v>2.8292199999999998</v>
      </c>
      <c r="AF7220">
        <v>-2.4370107557537</v>
      </c>
      <c r="AG7220">
        <v>-1.108456475763</v>
      </c>
      <c r="AH7220">
        <v>42.875858793215997</v>
      </c>
      <c r="AI7220">
        <v>91.478535085136201</v>
      </c>
      <c r="AJ7220">
        <v>93.253120991773201</v>
      </c>
      <c r="AK7220">
        <v>42.959364106538203</v>
      </c>
      <c r="AL7220">
        <v>90.131198739250394</v>
      </c>
      <c r="AM7220">
        <v>89.156399838044294</v>
      </c>
      <c r="AN7220">
        <v>1.0000000116686201</v>
      </c>
    </row>
    <row r="7221" spans="1:40" x14ac:dyDescent="0.25">
      <c r="A7221" t="str">
        <f>"20190312160826971"</f>
        <v>20190312160826971</v>
      </c>
      <c r="B7221" t="str">
        <f>"1552378106962230"</f>
        <v>1552378106962230</v>
      </c>
      <c r="C7221" t="s">
        <v>40</v>
      </c>
      <c r="D7221">
        <v>6.334136</v>
      </c>
      <c r="E7221">
        <v>0.47178100000000001</v>
      </c>
      <c r="F7221" t="s">
        <v>82</v>
      </c>
      <c r="G7221">
        <v>-191.358</v>
      </c>
      <c r="H7221" s="1">
        <v>-6.3824040000000002E-6</v>
      </c>
      <c r="I7221">
        <v>-60.204770000000003</v>
      </c>
      <c r="J7221">
        <v>-240.8972</v>
      </c>
      <c r="K7221">
        <v>1.1084480000000001</v>
      </c>
      <c r="L7221">
        <v>-63.601680000000002</v>
      </c>
      <c r="M7221">
        <v>0.99992999999999999</v>
      </c>
      <c r="N7221">
        <v>0</v>
      </c>
      <c r="O7221">
        <v>8.8477509999999992E-3</v>
      </c>
      <c r="P7221">
        <v>0.99993290000000001</v>
      </c>
      <c r="Q7221">
        <v>-9.9294799999999992E-3</v>
      </c>
      <c r="R7221">
        <v>-5.9712910000000001E-3</v>
      </c>
      <c r="S7221">
        <v>3.0006710000000001</v>
      </c>
      <c r="T7221">
        <v>-6.6936490000000001E-2</v>
      </c>
      <c r="U7221">
        <v>0.2052002</v>
      </c>
      <c r="V7221">
        <v>1.4816269999999999E-2</v>
      </c>
      <c r="W7221">
        <v>-2.0693370000000001E-3</v>
      </c>
      <c r="X7221">
        <v>0.99988809999999995</v>
      </c>
      <c r="Y7221">
        <v>-5.9382829999999998E-2</v>
      </c>
      <c r="Z7221">
        <v>4.6437410000000002E-4</v>
      </c>
      <c r="AA7221">
        <v>0.99823519999999999</v>
      </c>
      <c r="AB7221">
        <v>31</v>
      </c>
      <c r="AC7221">
        <v>49.539200000000001</v>
      </c>
      <c r="AD7221">
        <v>-1.1084543824039901</v>
      </c>
      <c r="AE7221">
        <v>3.3969100000000001</v>
      </c>
      <c r="AF7221">
        <v>-2.9569795026133998</v>
      </c>
      <c r="AG7221">
        <v>-1.1084543824039901</v>
      </c>
      <c r="AH7221">
        <v>49.5426291160937</v>
      </c>
      <c r="AI7221">
        <v>91.2794314727076</v>
      </c>
      <c r="AJ7221">
        <v>93.415678496707301</v>
      </c>
      <c r="AK7221">
        <v>49.643171722116598</v>
      </c>
      <c r="AL7221">
        <v>90.118564360128701</v>
      </c>
      <c r="AM7221">
        <v>89.151057387996303</v>
      </c>
      <c r="AN7221">
        <v>1.00000000826697</v>
      </c>
    </row>
    <row r="7222" spans="1:40" x14ac:dyDescent="0.25">
      <c r="A7222" t="str">
        <f>"20190312160826984"</f>
        <v>20190312160826984</v>
      </c>
      <c r="B7222" t="str">
        <f>"1552378106972963"</f>
        <v>1552378106972963</v>
      </c>
      <c r="C7222" t="s">
        <v>40</v>
      </c>
      <c r="D7222">
        <v>6.2528649999999999</v>
      </c>
      <c r="E7222">
        <v>0.47160269999999999</v>
      </c>
      <c r="F7222" t="s">
        <v>82</v>
      </c>
      <c r="G7222">
        <v>-186.2722</v>
      </c>
      <c r="H7222" s="1">
        <v>-1.351217E-5</v>
      </c>
      <c r="I7222">
        <v>-59.809139999999999</v>
      </c>
      <c r="J7222">
        <v>-240.7303</v>
      </c>
      <c r="K7222">
        <v>1.1084459999999901</v>
      </c>
      <c r="L7222">
        <v>-63.600490000000001</v>
      </c>
      <c r="M7222">
        <v>0.9999323</v>
      </c>
      <c r="N7222">
        <v>0</v>
      </c>
      <c r="O7222">
        <v>8.5635590000000001E-3</v>
      </c>
      <c r="P7222">
        <v>0.9999306</v>
      </c>
      <c r="Q7222">
        <v>-1.013999E-2</v>
      </c>
      <c r="R7222">
        <v>-5.9914740000000001E-3</v>
      </c>
      <c r="S7222">
        <v>3.0008240000000002</v>
      </c>
      <c r="T7222">
        <v>-6.0893299999999997E-2</v>
      </c>
      <c r="U7222">
        <v>0.20834349999999999</v>
      </c>
      <c r="V7222">
        <v>1.4552030000000001E-2</v>
      </c>
      <c r="W7222">
        <v>-2.2685040000000002E-3</v>
      </c>
      <c r="X7222">
        <v>0.99989150000000004</v>
      </c>
      <c r="Y7222">
        <v>-6.0705549999999997E-2</v>
      </c>
      <c r="Z7222">
        <v>4.4158320000000002E-4</v>
      </c>
      <c r="AA7222">
        <v>0.99815560000000003</v>
      </c>
      <c r="AB7222">
        <v>31</v>
      </c>
      <c r="AC7222">
        <v>54.458100000000002</v>
      </c>
      <c r="AD7222">
        <v>-1.1084595121699901</v>
      </c>
      <c r="AE7222">
        <v>3.79135</v>
      </c>
      <c r="AF7222">
        <v>-3.3234710743350702</v>
      </c>
      <c r="AG7222">
        <v>-1.1084595121699901</v>
      </c>
      <c r="AH7222">
        <v>54.4661150110581</v>
      </c>
      <c r="AI7222">
        <v>91.163722240758105</v>
      </c>
      <c r="AJ7222">
        <v>93.491805124409495</v>
      </c>
      <c r="AK7222">
        <v>54.578675569033997</v>
      </c>
      <c r="AL7222">
        <v>90.129975821721104</v>
      </c>
      <c r="AM7222">
        <v>89.166198488958202</v>
      </c>
      <c r="AN7222">
        <v>0.99999995972988298</v>
      </c>
    </row>
    <row r="7223" spans="1:40" x14ac:dyDescent="0.25">
      <c r="A7223" t="str">
        <f>"20190312160826997"</f>
        <v>20190312160826997</v>
      </c>
      <c r="B7223" t="str">
        <f>"1552378106992483"</f>
        <v>1552378106992483</v>
      </c>
      <c r="C7223" t="s">
        <v>40</v>
      </c>
      <c r="D7223">
        <v>6.1902480000000004</v>
      </c>
      <c r="E7223">
        <v>0.47215829999999998</v>
      </c>
      <c r="F7223" t="s">
        <v>82</v>
      </c>
      <c r="G7223">
        <v>-187.5179</v>
      </c>
      <c r="H7223" s="1">
        <v>-1.3258729999999899E-5</v>
      </c>
      <c r="I7223">
        <v>-59.880600000000001</v>
      </c>
      <c r="J7223">
        <v>-240.55690000000001</v>
      </c>
      <c r="K7223">
        <v>1.1084459999999901</v>
      </c>
      <c r="L7223">
        <v>-63.599269999999997</v>
      </c>
      <c r="M7223">
        <v>0.99993460000000001</v>
      </c>
      <c r="N7223">
        <v>0</v>
      </c>
      <c r="O7223">
        <v>8.2681509999999996E-3</v>
      </c>
      <c r="P7223">
        <v>0.99992899999999996</v>
      </c>
      <c r="Q7223">
        <v>-9.9501680000000006E-3</v>
      </c>
      <c r="R7223">
        <v>-6.5450109999999999E-3</v>
      </c>
      <c r="S7223">
        <v>3.000839</v>
      </c>
      <c r="T7223">
        <v>-6.2510010000000005E-2</v>
      </c>
      <c r="U7223">
        <v>0.20977779999999999</v>
      </c>
      <c r="V7223">
        <v>1.4810500000000001E-2</v>
      </c>
      <c r="W7223">
        <v>-2.0662150000000002E-3</v>
      </c>
      <c r="X7223">
        <v>0.9998882</v>
      </c>
      <c r="Y7223">
        <v>-6.1474050000000002E-2</v>
      </c>
      <c r="Z7223">
        <v>4.6743320000000002E-4</v>
      </c>
      <c r="AA7223">
        <v>0.99810860000000001</v>
      </c>
      <c r="AB7223">
        <v>31</v>
      </c>
      <c r="AC7223">
        <v>53.039000000000001</v>
      </c>
      <c r="AD7223">
        <v>-1.10845925872999</v>
      </c>
      <c r="AE7223">
        <v>3.7186699999999902</v>
      </c>
      <c r="AF7223">
        <v>-3.2785697672060499</v>
      </c>
      <c r="AG7223">
        <v>-1.10845925872999</v>
      </c>
      <c r="AH7223">
        <v>53.0448795373335</v>
      </c>
      <c r="AI7223">
        <v>91.194835124038704</v>
      </c>
      <c r="AJ7223">
        <v>93.536807988095404</v>
      </c>
      <c r="AK7223">
        <v>53.157661223730699</v>
      </c>
      <c r="AL7223">
        <v>90.118385481369899</v>
      </c>
      <c r="AM7223">
        <v>89.151388033946901</v>
      </c>
      <c r="AN7223">
        <v>1.00000001632695</v>
      </c>
    </row>
    <row r="7224" spans="1:40" x14ac:dyDescent="0.25">
      <c r="A7224" t="str">
        <f>"20190312160827007"</f>
        <v>20190312160827007</v>
      </c>
      <c r="B7224" t="str">
        <f>"1552378107002243"</f>
        <v>1552378107002243</v>
      </c>
      <c r="C7224" t="s">
        <v>40</v>
      </c>
      <c r="D7224">
        <v>6.1385269999999998</v>
      </c>
      <c r="E7224">
        <v>0.47248669999999998</v>
      </c>
      <c r="F7224" t="s">
        <v>82</v>
      </c>
      <c r="G7224">
        <v>-180.58629999999999</v>
      </c>
      <c r="H7224" s="1">
        <v>-1.467724E-5</v>
      </c>
      <c r="I7224">
        <v>-59.533999999999999</v>
      </c>
      <c r="J7224">
        <v>-240.4041</v>
      </c>
      <c r="K7224">
        <v>1.108447</v>
      </c>
      <c r="L7224">
        <v>-63.598239999999997</v>
      </c>
      <c r="M7224">
        <v>0.99993659999999995</v>
      </c>
      <c r="N7224">
        <v>0</v>
      </c>
      <c r="O7224">
        <v>8.0080289999999998E-3</v>
      </c>
      <c r="P7224">
        <v>0.99993080000000001</v>
      </c>
      <c r="Q7224">
        <v>-9.8783169999999993E-3</v>
      </c>
      <c r="R7224">
        <v>-6.4104160000000004E-3</v>
      </c>
      <c r="S7224">
        <v>3.0009769999999998</v>
      </c>
      <c r="T7224">
        <v>-5.5468320000000002E-2</v>
      </c>
      <c r="U7224">
        <v>0.20343020000000001</v>
      </c>
      <c r="V7224">
        <v>1.441565E-2</v>
      </c>
      <c r="W7224">
        <v>-1.980823E-3</v>
      </c>
      <c r="X7224">
        <v>0.99989410000000001</v>
      </c>
      <c r="Y7224">
        <v>-5.9631879999999998E-2</v>
      </c>
      <c r="Z7224">
        <v>4.0259520000000002E-4</v>
      </c>
      <c r="AA7224">
        <v>0.99822040000000001</v>
      </c>
      <c r="AB7224">
        <v>31</v>
      </c>
      <c r="AC7224">
        <v>59.817799999999998</v>
      </c>
      <c r="AD7224">
        <v>-1.10846167724</v>
      </c>
      <c r="AE7224">
        <v>4.0642399999999999</v>
      </c>
      <c r="AF7224">
        <v>-3.5838470034651202</v>
      </c>
      <c r="AG7224">
        <v>-1.10846167724</v>
      </c>
      <c r="AH7224">
        <v>59.827979817467501</v>
      </c>
      <c r="AI7224">
        <v>91.059526128904693</v>
      </c>
      <c r="AJ7224">
        <v>93.428065406657495</v>
      </c>
      <c r="AK7224">
        <v>59.945473687956301</v>
      </c>
      <c r="AL7224">
        <v>90.113492875153796</v>
      </c>
      <c r="AM7224">
        <v>89.174013843343403</v>
      </c>
      <c r="AN7224">
        <v>0.99999997291974396</v>
      </c>
    </row>
    <row r="7225" spans="1:40" x14ac:dyDescent="0.25">
      <c r="A7225" t="str">
        <f>"20190312160827016"</f>
        <v>20190312160827016</v>
      </c>
      <c r="B7225" t="str">
        <f>"1552378107012980"</f>
        <v>1552378107012980</v>
      </c>
      <c r="C7225" t="s">
        <v>40</v>
      </c>
      <c r="D7225">
        <v>6.1807080000000001</v>
      </c>
      <c r="E7225">
        <v>0.47296719999999998</v>
      </c>
      <c r="F7225" t="s">
        <v>82</v>
      </c>
      <c r="G7225">
        <v>-175.49709999999999</v>
      </c>
      <c r="H7225">
        <v>7.9986580000000002E-2</v>
      </c>
      <c r="I7225">
        <v>-59.252510000000001</v>
      </c>
      <c r="J7225">
        <v>-240.27500000000001</v>
      </c>
      <c r="K7225">
        <v>1.108455</v>
      </c>
      <c r="L7225">
        <v>-63.597410000000004</v>
      </c>
      <c r="M7225">
        <v>0.99993829999999995</v>
      </c>
      <c r="N7225">
        <v>0</v>
      </c>
      <c r="O7225">
        <v>7.7883269999999899E-3</v>
      </c>
      <c r="P7225">
        <v>0.99993220000000005</v>
      </c>
      <c r="Q7225">
        <v>-9.718506E-3</v>
      </c>
      <c r="R7225">
        <v>-6.4211980000000004E-3</v>
      </c>
      <c r="S7225">
        <v>3.0010219999999999</v>
      </c>
      <c r="T7225">
        <v>-4.7551629999999998E-2</v>
      </c>
      <c r="U7225">
        <v>0.20092769999999999</v>
      </c>
      <c r="V7225">
        <v>1.420712E-2</v>
      </c>
      <c r="W7225">
        <v>-1.809132E-3</v>
      </c>
      <c r="X7225">
        <v>0.99989740000000005</v>
      </c>
      <c r="Y7225">
        <v>-5.9023930000000002E-2</v>
      </c>
      <c r="Z7225">
        <v>3.4381290000000002E-4</v>
      </c>
      <c r="AA7225">
        <v>0.99825649999999999</v>
      </c>
      <c r="AB7225">
        <v>31</v>
      </c>
      <c r="AC7225">
        <v>64.777900000000002</v>
      </c>
      <c r="AD7225">
        <v>-1.02846842</v>
      </c>
      <c r="AE7225">
        <v>4.3448999999999902</v>
      </c>
      <c r="AF7225">
        <v>-3.8392774709136801</v>
      </c>
      <c r="AG7225">
        <v>-1.02846842</v>
      </c>
      <c r="AH7225">
        <v>64.793516144616007</v>
      </c>
      <c r="AI7225">
        <v>90.907788391824695</v>
      </c>
      <c r="AJ7225">
        <v>93.391041313198897</v>
      </c>
      <c r="AK7225">
        <v>64.915310468118605</v>
      </c>
      <c r="AL7225">
        <v>90.103655688574094</v>
      </c>
      <c r="AM7225">
        <v>89.185963236469803</v>
      </c>
      <c r="AN7225">
        <v>0.99999996287202297</v>
      </c>
    </row>
    <row r="7226" spans="1:40" x14ac:dyDescent="0.25">
      <c r="A7226" t="str">
        <f>"20190312160827028"</f>
        <v>20190312160827028</v>
      </c>
      <c r="B7226" t="str">
        <f>"1552378107022739"</f>
        <v>1552378107022739</v>
      </c>
      <c r="C7226" t="s">
        <v>40</v>
      </c>
      <c r="D7226">
        <v>6.182696</v>
      </c>
      <c r="E7226">
        <v>0.47303859999999998</v>
      </c>
      <c r="F7226" t="s">
        <v>45</v>
      </c>
      <c r="G7226">
        <v>-159.16980000000001</v>
      </c>
      <c r="H7226">
        <v>-0.05</v>
      </c>
      <c r="I7226">
        <v>-58.2752699999999</v>
      </c>
      <c r="J7226">
        <v>-240.10249999999999</v>
      </c>
      <c r="K7226">
        <v>1.108455</v>
      </c>
      <c r="L7226">
        <v>-63.596339999999998</v>
      </c>
      <c r="M7226">
        <v>0.99994050000000001</v>
      </c>
      <c r="N7226">
        <v>0</v>
      </c>
      <c r="O7226">
        <v>7.495041E-3</v>
      </c>
      <c r="P7226">
        <v>0.99993770000000004</v>
      </c>
      <c r="Q7226">
        <v>-9.204729E-3</v>
      </c>
      <c r="R7226">
        <v>-6.3269069999999997E-3</v>
      </c>
      <c r="S7226">
        <v>3.0010530000000002</v>
      </c>
      <c r="T7226">
        <v>-4.2865159999999999E-2</v>
      </c>
      <c r="U7226">
        <v>0.19692989999999999</v>
      </c>
      <c r="V7226">
        <v>1.382016E-2</v>
      </c>
      <c r="W7226">
        <v>-1.2771919999999999E-3</v>
      </c>
      <c r="X7226">
        <v>0.99990369999999995</v>
      </c>
      <c r="Y7226">
        <v>-5.7993299999999998E-2</v>
      </c>
      <c r="Z7226">
        <v>3.06774E-4</v>
      </c>
      <c r="AA7226">
        <v>0.99831689999999995</v>
      </c>
      <c r="AB7226">
        <v>31</v>
      </c>
      <c r="AC7226">
        <v>80.932699999999897</v>
      </c>
      <c r="AD7226">
        <v>-1.158455</v>
      </c>
      <c r="AE7226">
        <v>5.3210700000000104</v>
      </c>
      <c r="AF7226">
        <v>-4.7133460344870404</v>
      </c>
      <c r="AG7226">
        <v>-1.158455</v>
      </c>
      <c r="AH7226">
        <v>80.953794657969198</v>
      </c>
      <c r="AI7226">
        <v>90.818465146016507</v>
      </c>
      <c r="AJ7226">
        <v>93.332151437285702</v>
      </c>
      <c r="AK7226">
        <v>81.099164720436505</v>
      </c>
      <c r="AL7226">
        <v>90.073177729757305</v>
      </c>
      <c r="AM7226">
        <v>89.208137320134099</v>
      </c>
      <c r="AN7226">
        <v>1.00000001865776</v>
      </c>
    </row>
    <row r="7227" spans="1:40" x14ac:dyDescent="0.25">
      <c r="A7227" t="str">
        <f>"20190312160827039"</f>
        <v>20190312160827039</v>
      </c>
      <c r="B7227" t="str">
        <f>"1552378107032500"</f>
        <v>1552378107032500</v>
      </c>
      <c r="C7227" t="s">
        <v>40</v>
      </c>
      <c r="D7227">
        <v>6.231636</v>
      </c>
      <c r="E7227">
        <v>0.47345569999999998</v>
      </c>
      <c r="F7227" t="s">
        <v>52</v>
      </c>
      <c r="G7227">
        <v>-157.3501</v>
      </c>
      <c r="H7227">
        <v>0.10019400000000001</v>
      </c>
      <c r="I7227">
        <v>-58.179639999999999</v>
      </c>
      <c r="J7227">
        <v>-239.95480000000001</v>
      </c>
      <c r="K7227">
        <v>1.108457</v>
      </c>
      <c r="L7227">
        <v>-63.595489999999998</v>
      </c>
      <c r="M7227">
        <v>0.9999422</v>
      </c>
      <c r="N7227">
        <v>0</v>
      </c>
      <c r="O7227">
        <v>7.243841E-3</v>
      </c>
      <c r="P7227">
        <v>0.99994059999999996</v>
      </c>
      <c r="Q7227">
        <v>-8.9355400000000005E-3</v>
      </c>
      <c r="R7227">
        <v>-6.2749779999999996E-3</v>
      </c>
      <c r="S7227">
        <v>3.001099</v>
      </c>
      <c r="T7227">
        <v>-3.6566260000000003E-2</v>
      </c>
      <c r="U7227">
        <v>0.1964417</v>
      </c>
      <c r="V7227">
        <v>1.351728E-2</v>
      </c>
      <c r="W7227">
        <v>-9.9057370000000004E-4</v>
      </c>
      <c r="X7227">
        <v>0.99990809999999997</v>
      </c>
      <c r="Y7227">
        <v>-5.8082729999999999E-2</v>
      </c>
      <c r="Z7227">
        <v>2.6529670000000001E-4</v>
      </c>
      <c r="AA7227">
        <v>0.99831179999999997</v>
      </c>
      <c r="AB7227">
        <v>31</v>
      </c>
      <c r="AC7227">
        <v>82.604699999999994</v>
      </c>
      <c r="AD7227">
        <v>-1.0082629999999999</v>
      </c>
      <c r="AE7227">
        <v>5.4158499999999998</v>
      </c>
      <c r="AF7227">
        <v>-4.8165991739576901</v>
      </c>
      <c r="AG7227">
        <v>-1.0082629999999999</v>
      </c>
      <c r="AH7227">
        <v>82.6295076197882</v>
      </c>
      <c r="AI7227">
        <v>90.697916110464007</v>
      </c>
      <c r="AJ7227">
        <v>93.336082643255196</v>
      </c>
      <c r="AK7227">
        <v>82.775912869435501</v>
      </c>
      <c r="AL7227">
        <v>90.056755704240601</v>
      </c>
      <c r="AM7227">
        <v>89.225492902172405</v>
      </c>
      <c r="AN7227">
        <v>0.99999995327022995</v>
      </c>
    </row>
    <row r="7228" spans="1:40" x14ac:dyDescent="0.25">
      <c r="A7228" t="str">
        <f>"20190312160827050"</f>
        <v>20190312160827050</v>
      </c>
      <c r="B7228" t="str">
        <f>"1552378107042259"</f>
        <v>1552378107042259</v>
      </c>
      <c r="C7228" t="s">
        <v>40</v>
      </c>
      <c r="D7228">
        <v>6.2845719999999998</v>
      </c>
      <c r="E7228">
        <v>0.47379159999999998</v>
      </c>
      <c r="F7228" t="s">
        <v>52</v>
      </c>
      <c r="G7228">
        <v>-157.3501</v>
      </c>
      <c r="H7228">
        <v>0.18998960000000001</v>
      </c>
      <c r="I7228">
        <v>-58.277500000000003</v>
      </c>
      <c r="J7228">
        <v>-239.80160000000001</v>
      </c>
      <c r="K7228">
        <v>1.10846</v>
      </c>
      <c r="L7228">
        <v>-63.5946</v>
      </c>
      <c r="M7228">
        <v>0.9999439</v>
      </c>
      <c r="N7228">
        <v>0</v>
      </c>
      <c r="O7228">
        <v>6.9835100000000001E-3</v>
      </c>
      <c r="P7228">
        <v>0.99994309999999997</v>
      </c>
      <c r="Q7228">
        <v>-8.5867059999999995E-3</v>
      </c>
      <c r="R7228">
        <v>-6.3458530000000003E-3</v>
      </c>
      <c r="S7228">
        <v>3.001099</v>
      </c>
      <c r="T7228">
        <v>-3.3369419999999997E-2</v>
      </c>
      <c r="U7228">
        <v>0.19320680000000001</v>
      </c>
      <c r="V7228">
        <v>1.3328359999999999E-2</v>
      </c>
      <c r="W7228">
        <v>-6.2194110000000002E-4</v>
      </c>
      <c r="X7228">
        <v>0.99991099999999999</v>
      </c>
      <c r="Y7228">
        <v>-5.727173E-2</v>
      </c>
      <c r="Z7228">
        <v>2.405001E-4</v>
      </c>
      <c r="AA7228">
        <v>0.99835859999999998</v>
      </c>
      <c r="AB7228">
        <v>31</v>
      </c>
      <c r="AC7228">
        <v>82.451499999999996</v>
      </c>
      <c r="AD7228">
        <v>-0.91847040000000002</v>
      </c>
      <c r="AE7228">
        <v>5.3170999999999902</v>
      </c>
      <c r="AF7228">
        <v>-4.7405653821433997</v>
      </c>
      <c r="AG7228">
        <v>-0.91847040000000002</v>
      </c>
      <c r="AH7228">
        <v>82.476430460186904</v>
      </c>
      <c r="AI7228">
        <v>90.636977131536099</v>
      </c>
      <c r="AJ7228">
        <v>93.289617022728606</v>
      </c>
      <c r="AK7228">
        <v>82.617662333620302</v>
      </c>
      <c r="AL7228">
        <v>90.035634601721895</v>
      </c>
      <c r="AM7228">
        <v>89.236318479843206</v>
      </c>
      <c r="AN7228">
        <v>1.00000001995601</v>
      </c>
    </row>
    <row r="7229" spans="1:40" x14ac:dyDescent="0.25">
      <c r="A7229" t="str">
        <f>"20190312160827062"</f>
        <v>20190312160827062</v>
      </c>
      <c r="B7229" t="str">
        <f>"1552378107052426"</f>
        <v>1552378107052426</v>
      </c>
      <c r="C7229" t="s">
        <v>40</v>
      </c>
      <c r="D7229">
        <v>6.1678810000000004</v>
      </c>
      <c r="E7229">
        <v>0.4740433</v>
      </c>
      <c r="F7229" t="s">
        <v>52</v>
      </c>
      <c r="G7229">
        <v>-157.3501</v>
      </c>
      <c r="H7229">
        <v>0.31014160000000002</v>
      </c>
      <c r="I7229">
        <v>-58.368699999999997</v>
      </c>
      <c r="J7229">
        <v>-239.63650000000001</v>
      </c>
      <c r="K7229">
        <v>1.108465</v>
      </c>
      <c r="L7229">
        <v>-63.593719999999998</v>
      </c>
      <c r="M7229">
        <v>0.99994559999999999</v>
      </c>
      <c r="N7229">
        <v>0</v>
      </c>
      <c r="O7229">
        <v>6.7031900000000004E-3</v>
      </c>
      <c r="P7229">
        <v>0.99994320000000003</v>
      </c>
      <c r="Q7229">
        <v>-8.6392220000000002E-3</v>
      </c>
      <c r="R7229">
        <v>-6.2533980000000003E-3</v>
      </c>
      <c r="S7229">
        <v>3.0011290000000002</v>
      </c>
      <c r="T7229">
        <v>-2.9058460000000001E-2</v>
      </c>
      <c r="U7229">
        <v>0.1902161</v>
      </c>
      <c r="V7229">
        <v>1.295555E-2</v>
      </c>
      <c r="W7229">
        <v>-6.4983519999999896E-4</v>
      </c>
      <c r="X7229">
        <v>0.99991580000000002</v>
      </c>
      <c r="Y7229">
        <v>-5.6560840000000001E-2</v>
      </c>
      <c r="Z7229">
        <v>2.087092E-4</v>
      </c>
      <c r="AA7229">
        <v>0.99839909999999998</v>
      </c>
      <c r="AB7229">
        <v>31</v>
      </c>
      <c r="AC7229">
        <v>82.2864</v>
      </c>
      <c r="AD7229">
        <v>-0.79832340000000002</v>
      </c>
      <c r="AE7229">
        <v>5.2250199999999998</v>
      </c>
      <c r="AF7229">
        <v>-4.6728655525134402</v>
      </c>
      <c r="AG7229">
        <v>-0.79832340000000002</v>
      </c>
      <c r="AH7229">
        <v>82.311860173387899</v>
      </c>
      <c r="AI7229">
        <v>90.554787658870197</v>
      </c>
      <c r="AJ7229">
        <v>93.249208606000295</v>
      </c>
      <c r="AK7229">
        <v>82.448258428703099</v>
      </c>
      <c r="AL7229">
        <v>90.037232819274394</v>
      </c>
      <c r="AM7229">
        <v>89.257680693925394</v>
      </c>
      <c r="AN7229">
        <v>0.99999993782561203</v>
      </c>
    </row>
    <row r="7230" spans="1:40" x14ac:dyDescent="0.25">
      <c r="A7230" t="str">
        <f>"20190312160827073"</f>
        <v>20190312160827073</v>
      </c>
      <c r="B7230" t="str">
        <f>"1552378107062186"</f>
        <v>1552378107062186</v>
      </c>
      <c r="C7230" t="s">
        <v>40</v>
      </c>
      <c r="D7230">
        <v>6.1815519999999999</v>
      </c>
      <c r="E7230">
        <v>0.47414339999999999</v>
      </c>
      <c r="F7230" t="s">
        <v>52</v>
      </c>
      <c r="G7230">
        <v>-157.3501</v>
      </c>
      <c r="H7230">
        <v>0.3679924</v>
      </c>
      <c r="I7230">
        <v>-58.427590000000002</v>
      </c>
      <c r="J7230">
        <v>-239.471</v>
      </c>
      <c r="K7230">
        <v>1.1084689999999999</v>
      </c>
      <c r="L7230">
        <v>-63.592860000000002</v>
      </c>
      <c r="M7230">
        <v>0.99994720000000004</v>
      </c>
      <c r="N7230">
        <v>0</v>
      </c>
      <c r="O7230">
        <v>6.4219100000000003E-3</v>
      </c>
      <c r="P7230">
        <v>0.99994519999999998</v>
      </c>
      <c r="Q7230">
        <v>-8.3708329999999994E-3</v>
      </c>
      <c r="R7230">
        <v>-6.3048080000000003E-3</v>
      </c>
      <c r="S7230">
        <v>3.001099</v>
      </c>
      <c r="T7230">
        <v>-2.700675E-2</v>
      </c>
      <c r="U7230">
        <v>0.18841550000000001</v>
      </c>
      <c r="V7230">
        <v>1.272614E-2</v>
      </c>
      <c r="W7230">
        <v>-3.5553860000000001E-4</v>
      </c>
      <c r="X7230">
        <v>0.99991890000000005</v>
      </c>
      <c r="Y7230">
        <v>-5.6246020000000001E-2</v>
      </c>
      <c r="Z7230">
        <v>1.9509249999999999E-4</v>
      </c>
      <c r="AA7230">
        <v>0.99841690000000005</v>
      </c>
      <c r="AB7230">
        <v>31</v>
      </c>
      <c r="AC7230">
        <v>82.120899999999907</v>
      </c>
      <c r="AD7230">
        <v>-0.74047659999999904</v>
      </c>
      <c r="AE7230">
        <v>5.1652699999999898</v>
      </c>
      <c r="AF7230">
        <v>-4.6373979260148896</v>
      </c>
      <c r="AG7230">
        <v>-0.74047659999999904</v>
      </c>
      <c r="AH7230">
        <v>82.145725959822997</v>
      </c>
      <c r="AI7230">
        <v>90.515639681453905</v>
      </c>
      <c r="AJ7230">
        <v>93.231106684192397</v>
      </c>
      <c r="AK7230">
        <v>82.279852081695495</v>
      </c>
      <c r="AL7230">
        <v>90.020370862807695</v>
      </c>
      <c r="AM7230">
        <v>89.270826118362294</v>
      </c>
      <c r="AN7230">
        <v>0.999999943812101</v>
      </c>
    </row>
    <row r="7231" spans="1:40" x14ac:dyDescent="0.25">
      <c r="A7231" t="str">
        <f>"20190312160827085"</f>
        <v>20190312160827085</v>
      </c>
      <c r="B7231" t="str">
        <f>"1552378107072921"</f>
        <v>1552378107072921</v>
      </c>
      <c r="C7231" t="s">
        <v>40</v>
      </c>
      <c r="D7231">
        <v>6.2863959999999999</v>
      </c>
      <c r="E7231">
        <v>0.47417989999999999</v>
      </c>
      <c r="F7231" t="s">
        <v>52</v>
      </c>
      <c r="G7231">
        <v>-157.3501</v>
      </c>
      <c r="H7231">
        <v>0.441803</v>
      </c>
      <c r="I7231">
        <v>-58.464759999999998</v>
      </c>
      <c r="J7231">
        <v>-239.3169</v>
      </c>
      <c r="K7231">
        <v>1.1084769999999999</v>
      </c>
      <c r="L7231">
        <v>-63.592129999999997</v>
      </c>
      <c r="M7231">
        <v>0.99994859999999997</v>
      </c>
      <c r="N7231">
        <v>0</v>
      </c>
      <c r="O7231">
        <v>6.160479E-3</v>
      </c>
      <c r="P7231">
        <v>0.99994400000000006</v>
      </c>
      <c r="Q7231">
        <v>-8.3053390000000001E-3</v>
      </c>
      <c r="R7231">
        <v>-6.5376799999999997E-3</v>
      </c>
      <c r="S7231">
        <v>3.001144</v>
      </c>
      <c r="T7231">
        <v>-2.436435E-2</v>
      </c>
      <c r="U7231">
        <v>0.1874084</v>
      </c>
      <c r="V7231">
        <v>1.269759E-2</v>
      </c>
      <c r="W7231">
        <v>-2.6463099999999998E-4</v>
      </c>
      <c r="X7231">
        <v>0.99991940000000001</v>
      </c>
      <c r="Y7231">
        <v>-5.6172739999999999E-2</v>
      </c>
      <c r="Z7231">
        <v>1.7782709999999901E-4</v>
      </c>
      <c r="AA7231">
        <v>0.99842109999999995</v>
      </c>
      <c r="AB7231">
        <v>31</v>
      </c>
      <c r="AC7231">
        <v>81.966800000000006</v>
      </c>
      <c r="AD7231">
        <v>-0.66667399999999999</v>
      </c>
      <c r="AE7231">
        <v>5.12737</v>
      </c>
      <c r="AF7231">
        <v>-4.6219970058059703</v>
      </c>
      <c r="AG7231">
        <v>-0.66667399999999999</v>
      </c>
      <c r="AH7231">
        <v>81.991429725583998</v>
      </c>
      <c r="AI7231">
        <v>90.465124483698105</v>
      </c>
      <c r="AJ7231">
        <v>93.226446258901802</v>
      </c>
      <c r="AK7231">
        <v>82.124307357744797</v>
      </c>
      <c r="AL7231">
        <v>90.015162238806795</v>
      </c>
      <c r="AM7231">
        <v>89.272462144948193</v>
      </c>
      <c r="AN7231">
        <v>1.0000000526588599</v>
      </c>
    </row>
    <row r="7232" spans="1:40" x14ac:dyDescent="0.25">
      <c r="A7232" t="str">
        <f>"20190312160827096"</f>
        <v>20190312160827096</v>
      </c>
      <c r="B7232" t="str">
        <f>"1552378107082681"</f>
        <v>1552378107082681</v>
      </c>
      <c r="C7232" t="s">
        <v>40</v>
      </c>
      <c r="D7232">
        <v>6.1830579999999999</v>
      </c>
      <c r="E7232">
        <v>0.4743484</v>
      </c>
      <c r="F7232" t="s">
        <v>52</v>
      </c>
      <c r="G7232">
        <v>-157.3501</v>
      </c>
      <c r="H7232">
        <v>0.4960389</v>
      </c>
      <c r="I7232">
        <v>-58.502899999999997</v>
      </c>
      <c r="J7232">
        <v>-239.1636</v>
      </c>
      <c r="K7232">
        <v>1.108479</v>
      </c>
      <c r="L7232">
        <v>-63.591430000000003</v>
      </c>
      <c r="M7232">
        <v>0.99995009999999995</v>
      </c>
      <c r="N7232">
        <v>0</v>
      </c>
      <c r="O7232">
        <v>5.9000019999999997E-3</v>
      </c>
      <c r="P7232">
        <v>0.99994620000000001</v>
      </c>
      <c r="Q7232">
        <v>-7.9105269999999901E-3</v>
      </c>
      <c r="R7232">
        <v>-6.7175830000000001E-3</v>
      </c>
      <c r="S7232">
        <v>3.0011899999999998</v>
      </c>
      <c r="T7232">
        <v>-2.2424940000000001E-2</v>
      </c>
      <c r="U7232">
        <v>0.18634029999999999</v>
      </c>
      <c r="V7232">
        <v>1.2617440000000001E-2</v>
      </c>
      <c r="W7232">
        <v>1.562278E-4</v>
      </c>
      <c r="X7232">
        <v>0.99992040000000004</v>
      </c>
      <c r="Y7232">
        <v>-5.607815E-2</v>
      </c>
      <c r="Z7232">
        <v>1.65262799999999E-4</v>
      </c>
      <c r="AA7232">
        <v>0.99842640000000005</v>
      </c>
      <c r="AB7232">
        <v>31</v>
      </c>
      <c r="AC7232">
        <v>81.813500000000005</v>
      </c>
      <c r="AD7232">
        <v>-0.61244009999999904</v>
      </c>
      <c r="AE7232">
        <v>5.0885300000000004</v>
      </c>
      <c r="AF7232">
        <v>-4.6054688448495096</v>
      </c>
      <c r="AG7232">
        <v>-0.61244009999999904</v>
      </c>
      <c r="AH7232">
        <v>81.837530959738103</v>
      </c>
      <c r="AI7232">
        <v>90.428093901591495</v>
      </c>
      <c r="AJ7232">
        <v>93.220965895120699</v>
      </c>
      <c r="AK7232">
        <v>81.969304619125893</v>
      </c>
      <c r="AL7232">
        <v>89.991048806517597</v>
      </c>
      <c r="AM7232">
        <v>89.277054758968404</v>
      </c>
      <c r="AN7232">
        <v>1.00000001526771</v>
      </c>
    </row>
    <row r="7233" spans="1:40" x14ac:dyDescent="0.25">
      <c r="A7233" t="str">
        <f>"20190312160827108"</f>
        <v>20190312160827108</v>
      </c>
      <c r="B7233" t="str">
        <f>"1552378107102202"</f>
        <v>1552378107102202</v>
      </c>
      <c r="C7233" t="s">
        <v>40</v>
      </c>
      <c r="D7233">
        <v>6.3388359999999997</v>
      </c>
      <c r="E7233">
        <v>0.47446389999999999</v>
      </c>
      <c r="F7233" t="s">
        <v>52</v>
      </c>
      <c r="G7233">
        <v>-157.3501</v>
      </c>
      <c r="H7233">
        <v>0.56366729999999998</v>
      </c>
      <c r="I7233">
        <v>-58.5633699999999</v>
      </c>
      <c r="J7233">
        <v>-238.99520000000001</v>
      </c>
      <c r="K7233">
        <v>1.108482</v>
      </c>
      <c r="L7233">
        <v>-63.590699999999998</v>
      </c>
      <c r="M7233">
        <v>0.99995140000000005</v>
      </c>
      <c r="N7233">
        <v>0</v>
      </c>
      <c r="O7233">
        <v>5.6141119999999897E-3</v>
      </c>
      <c r="P7233">
        <v>0.99994329999999998</v>
      </c>
      <c r="Q7233">
        <v>-7.9405350000000003E-3</v>
      </c>
      <c r="R7233">
        <v>-7.107525E-3</v>
      </c>
      <c r="S7233">
        <v>3.001236</v>
      </c>
      <c r="T7233">
        <v>-1.9986509999999999E-2</v>
      </c>
      <c r="U7233">
        <v>0.18444820000000001</v>
      </c>
      <c r="V7233">
        <v>1.272149E-2</v>
      </c>
      <c r="W7233">
        <v>1.557509E-4</v>
      </c>
      <c r="X7233">
        <v>0.99991909999999895</v>
      </c>
      <c r="Y7233">
        <v>-5.5735890000000003E-2</v>
      </c>
      <c r="Z7233">
        <v>1.48057E-4</v>
      </c>
      <c r="AA7233">
        <v>0.99844549999999999</v>
      </c>
      <c r="AB7233">
        <v>31</v>
      </c>
      <c r="AC7233">
        <v>81.645099999999999</v>
      </c>
      <c r="AD7233">
        <v>-0.54481469999999899</v>
      </c>
      <c r="AE7233">
        <v>5.0273300000000001</v>
      </c>
      <c r="AF7233">
        <v>-4.5686683116828597</v>
      </c>
      <c r="AG7233">
        <v>-0.54481469999999899</v>
      </c>
      <c r="AH7233">
        <v>81.668415340210501</v>
      </c>
      <c r="AI7233">
        <v>90.381621121426804</v>
      </c>
      <c r="AJ7233">
        <v>93.201884844722002</v>
      </c>
      <c r="AK7233">
        <v>81.797919395181694</v>
      </c>
      <c r="AL7233">
        <v>89.991076131038</v>
      </c>
      <c r="AM7233">
        <v>89.271092667986807</v>
      </c>
      <c r="AN7233">
        <v>1.00000003355548</v>
      </c>
    </row>
    <row r="7234" spans="1:40" x14ac:dyDescent="0.25">
      <c r="A7234" t="str">
        <f>"20190312160827117"</f>
        <v>20190312160827117</v>
      </c>
      <c r="B7234" t="str">
        <f>"1552378107112938"</f>
        <v>1552378107112938</v>
      </c>
      <c r="C7234" t="s">
        <v>40</v>
      </c>
      <c r="D7234">
        <v>6.2343390000000003</v>
      </c>
      <c r="E7234">
        <v>0.47443560000000001</v>
      </c>
      <c r="F7234" t="s">
        <v>52</v>
      </c>
      <c r="G7234">
        <v>-157.3501</v>
      </c>
      <c r="H7234">
        <v>0.66017769999999898</v>
      </c>
      <c r="I7234">
        <v>-58.633749999999999</v>
      </c>
      <c r="J7234">
        <v>-238.85939999999999</v>
      </c>
      <c r="K7234">
        <v>1.108481</v>
      </c>
      <c r="L7234">
        <v>-63.590150000000001</v>
      </c>
      <c r="M7234">
        <v>0.99995239999999996</v>
      </c>
      <c r="N7234">
        <v>0</v>
      </c>
      <c r="O7234">
        <v>5.3837939999999999E-3</v>
      </c>
      <c r="P7234">
        <v>0.99994269999999996</v>
      </c>
      <c r="Q7234">
        <v>-7.9926489999999992E-3</v>
      </c>
      <c r="R7234">
        <v>-7.1503269999999997E-3</v>
      </c>
      <c r="S7234">
        <v>3.001328</v>
      </c>
      <c r="T7234">
        <v>-1.6480680000000001E-2</v>
      </c>
      <c r="U7234">
        <v>0.18222050000000001</v>
      </c>
      <c r="V7234">
        <v>1.253379E-2</v>
      </c>
      <c r="W7234">
        <v>1.2952490000000001E-4</v>
      </c>
      <c r="X7234">
        <v>0.99992139999999996</v>
      </c>
      <c r="Y7234">
        <v>-5.5225990000000003E-2</v>
      </c>
      <c r="Z7234">
        <v>1.219506E-4</v>
      </c>
      <c r="AA7234">
        <v>0.99847390000000003</v>
      </c>
      <c r="AB7234">
        <v>31</v>
      </c>
      <c r="AC7234">
        <v>81.509299999999996</v>
      </c>
      <c r="AD7234">
        <v>-0.44830330000000002</v>
      </c>
      <c r="AE7234">
        <v>4.9564000000000004</v>
      </c>
      <c r="AF7234">
        <v>-4.5173482068336703</v>
      </c>
      <c r="AG7234">
        <v>-0.44830330000000002</v>
      </c>
      <c r="AH7234">
        <v>81.532346458945</v>
      </c>
      <c r="AI7234">
        <v>90.314553622077</v>
      </c>
      <c r="AJ7234">
        <v>93.171264406804397</v>
      </c>
      <c r="AK7234">
        <v>81.658624344107196</v>
      </c>
      <c r="AL7234">
        <v>89.992578769566194</v>
      </c>
      <c r="AM7234">
        <v>89.281847892570099</v>
      </c>
      <c r="AN7234">
        <v>0.99999995942321096</v>
      </c>
    </row>
    <row r="7235" spans="1:40" x14ac:dyDescent="0.25">
      <c r="A7235" t="str">
        <f>"20190312160827128"</f>
        <v>20190312160827128</v>
      </c>
      <c r="B7235" t="str">
        <f>"1552378107122698"</f>
        <v>1552378107122698</v>
      </c>
      <c r="C7235" t="s">
        <v>40</v>
      </c>
      <c r="D7235">
        <v>6.2803879999999896</v>
      </c>
      <c r="E7235">
        <v>0.47452739999999999</v>
      </c>
      <c r="F7235" t="s">
        <v>52</v>
      </c>
      <c r="G7235">
        <v>-157.3501</v>
      </c>
      <c r="H7235">
        <v>0.66295340000000003</v>
      </c>
      <c r="I7235">
        <v>-58.639009999999999</v>
      </c>
      <c r="J7235">
        <v>-238.6893</v>
      </c>
      <c r="K7235">
        <v>1.1084860000000001</v>
      </c>
      <c r="L7235">
        <v>-63.589509999999997</v>
      </c>
      <c r="M7235">
        <v>0.9999538</v>
      </c>
      <c r="N7235">
        <v>0</v>
      </c>
      <c r="O7235">
        <v>5.0949539999999996E-3</v>
      </c>
      <c r="P7235">
        <v>0.99994059999999996</v>
      </c>
      <c r="Q7235">
        <v>-8.0023660000000003E-3</v>
      </c>
      <c r="R7235">
        <v>-7.420823E-3</v>
      </c>
      <c r="S7235">
        <v>3.0013580000000002</v>
      </c>
      <c r="T7235">
        <v>-1.640606E-2</v>
      </c>
      <c r="U7235">
        <v>0.182312</v>
      </c>
      <c r="V7235">
        <v>1.251563E-2</v>
      </c>
      <c r="W7235">
        <v>1.557509E-4</v>
      </c>
      <c r="X7235">
        <v>0.99992170000000002</v>
      </c>
      <c r="Y7235">
        <v>-5.5544129999999997E-2</v>
      </c>
      <c r="Z7235">
        <v>1.2384310000000001E-4</v>
      </c>
      <c r="AA7235">
        <v>0.99845620000000002</v>
      </c>
      <c r="AB7235">
        <v>31</v>
      </c>
      <c r="AC7235">
        <v>81.339200000000005</v>
      </c>
      <c r="AD7235">
        <v>-0.4455326</v>
      </c>
      <c r="AE7235">
        <v>4.9504999999999901</v>
      </c>
      <c r="AF7235">
        <v>-4.5358669057921999</v>
      </c>
      <c r="AG7235">
        <v>-0.4455326</v>
      </c>
      <c r="AH7235">
        <v>81.360935574189796</v>
      </c>
      <c r="AI7235">
        <v>90.313262204071506</v>
      </c>
      <c r="AJ7235">
        <v>93.190932879188594</v>
      </c>
      <c r="AK7235">
        <v>81.488492594919094</v>
      </c>
      <c r="AL7235">
        <v>89.991076131057</v>
      </c>
      <c r="AM7235">
        <v>89.282888517609905</v>
      </c>
      <c r="AN7235">
        <v>1.00000003569176</v>
      </c>
    </row>
    <row r="7236" spans="1:40" x14ac:dyDescent="0.25">
      <c r="A7236" t="str">
        <f>"20190312160827140"</f>
        <v>20190312160827140</v>
      </c>
      <c r="B7236" t="str">
        <f>"1552378107132458"</f>
        <v>1552378107132458</v>
      </c>
      <c r="C7236" t="s">
        <v>40</v>
      </c>
      <c r="D7236">
        <v>6.1939149999999996</v>
      </c>
      <c r="E7236">
        <v>0.47452739999999999</v>
      </c>
      <c r="F7236" t="s">
        <v>52</v>
      </c>
      <c r="G7236">
        <v>-157.3501</v>
      </c>
      <c r="H7236">
        <v>0.6839132</v>
      </c>
      <c r="I7236">
        <v>-58.691749999999999</v>
      </c>
      <c r="J7236">
        <v>-238.53989999999999</v>
      </c>
      <c r="K7236">
        <v>1.10849</v>
      </c>
      <c r="L7236">
        <v>-63.58896</v>
      </c>
      <c r="M7236">
        <v>0.99995460000000003</v>
      </c>
      <c r="N7236">
        <v>0</v>
      </c>
      <c r="O7236">
        <v>4.8418200000000002E-3</v>
      </c>
      <c r="P7236">
        <v>0.99993969999999999</v>
      </c>
      <c r="Q7236">
        <v>-8.0116159999999992E-3</v>
      </c>
      <c r="R7236">
        <v>-7.5231809999999899E-3</v>
      </c>
      <c r="S7236">
        <v>3.0013890000000001</v>
      </c>
      <c r="T7236">
        <v>-1.5667319999999998E-2</v>
      </c>
      <c r="U7236">
        <v>0.1807251</v>
      </c>
      <c r="V7236">
        <v>1.236493E-2</v>
      </c>
      <c r="W7236">
        <v>1.81977E-4</v>
      </c>
      <c r="X7236">
        <v>0.99992349999999997</v>
      </c>
      <c r="Y7236">
        <v>-5.5270350000000003E-2</v>
      </c>
      <c r="Z7236">
        <v>1.1887350000000001E-4</v>
      </c>
      <c r="AA7236">
        <v>0.99847140000000001</v>
      </c>
      <c r="AB7236">
        <v>31</v>
      </c>
      <c r="AC7236">
        <v>81.189799999999906</v>
      </c>
      <c r="AD7236">
        <v>-0.42457679999999998</v>
      </c>
      <c r="AE7236">
        <v>4.8972100000000003</v>
      </c>
      <c r="AF7236">
        <v>-4.5039102338132802</v>
      </c>
      <c r="AG7236">
        <v>-0.42457679999999998</v>
      </c>
      <c r="AH7236">
        <v>81.210347655004199</v>
      </c>
      <c r="AI7236">
        <v>90.299086426090696</v>
      </c>
      <c r="AJ7236">
        <v>93.174361001327199</v>
      </c>
      <c r="AK7236">
        <v>81.336252920207698</v>
      </c>
      <c r="AL7236">
        <v>89.9895734855114</v>
      </c>
      <c r="AM7236">
        <v>89.291523606542597</v>
      </c>
      <c r="AN7236">
        <v>0.99999996523089096</v>
      </c>
    </row>
    <row r="7237" spans="1:40" x14ac:dyDescent="0.25">
      <c r="A7237" t="str">
        <f>"20190312160827151"</f>
        <v>20190312160827151</v>
      </c>
      <c r="B7237" t="str">
        <f>"1552378107142218"</f>
        <v>1552378107142218</v>
      </c>
      <c r="C7237" t="s">
        <v>40</v>
      </c>
      <c r="D7237">
        <v>6.0622660000000002</v>
      </c>
      <c r="E7237">
        <v>0.47188170000000002</v>
      </c>
      <c r="F7237" t="s">
        <v>52</v>
      </c>
      <c r="G7237">
        <v>-157.3501</v>
      </c>
      <c r="H7237">
        <v>0.68352369999999996</v>
      </c>
      <c r="I7237">
        <v>-58.709330000000001</v>
      </c>
      <c r="J7237">
        <v>-238.38159999999999</v>
      </c>
      <c r="K7237">
        <v>1.1084969999999901</v>
      </c>
      <c r="L7237">
        <v>-63.588470000000001</v>
      </c>
      <c r="M7237">
        <v>0.9999555</v>
      </c>
      <c r="N7237">
        <v>0</v>
      </c>
      <c r="O7237">
        <v>4.5740590000000001E-3</v>
      </c>
      <c r="P7237">
        <v>0.99993869999999896</v>
      </c>
      <c r="Q7237">
        <v>-8.0755259999999995E-3</v>
      </c>
      <c r="R7237">
        <v>-7.6038719999999898E-3</v>
      </c>
      <c r="S7237">
        <v>3.0014189999999998</v>
      </c>
      <c r="T7237">
        <v>-1.5710829999999999E-2</v>
      </c>
      <c r="U7237">
        <v>0.18038940000000001</v>
      </c>
      <c r="V7237">
        <v>1.217772E-2</v>
      </c>
      <c r="W7237">
        <v>1.600425E-4</v>
      </c>
      <c r="X7237">
        <v>0.99992590000000003</v>
      </c>
      <c r="Y7237">
        <v>-5.5425820000000001E-2</v>
      </c>
      <c r="Z7237">
        <v>1.2100959999999999E-4</v>
      </c>
      <c r="AA7237">
        <v>0.99846279999999998</v>
      </c>
      <c r="AB7237">
        <v>32</v>
      </c>
      <c r="AC7237">
        <v>81.031499999999994</v>
      </c>
      <c r="AD7237">
        <v>-0.424973299999999</v>
      </c>
      <c r="AE7237">
        <v>4.8791399999999898</v>
      </c>
      <c r="AF7237">
        <v>-4.5083099228745001</v>
      </c>
      <c r="AG7237">
        <v>-0.424973299999999</v>
      </c>
      <c r="AH7237">
        <v>81.050749233215797</v>
      </c>
      <c r="AI7237">
        <v>90.299952489312503</v>
      </c>
      <c r="AJ7237">
        <v>93.183699480213903</v>
      </c>
      <c r="AK7237">
        <v>81.177148335797298</v>
      </c>
      <c r="AL7237">
        <v>89.990830240754804</v>
      </c>
      <c r="AM7237">
        <v>89.302250829224207</v>
      </c>
      <c r="AN7237">
        <v>1.0000000639844</v>
      </c>
    </row>
    <row r="7238" spans="1:40" x14ac:dyDescent="0.25">
      <c r="A7238" t="str">
        <f>"20190312160827162"</f>
        <v>20190312160827162</v>
      </c>
      <c r="B7238" t="str">
        <f>"1552378107152955"</f>
        <v>1552378107152955</v>
      </c>
      <c r="C7238" t="s">
        <v>40</v>
      </c>
      <c r="D7238">
        <v>6.4278240000000002</v>
      </c>
      <c r="E7238">
        <v>0.47188170000000002</v>
      </c>
      <c r="F7238" t="s">
        <v>52</v>
      </c>
      <c r="G7238">
        <v>-157.3501</v>
      </c>
      <c r="H7238">
        <v>0.63911340000000005</v>
      </c>
      <c r="I7238">
        <v>-58.15343</v>
      </c>
      <c r="J7238">
        <v>-238.2269</v>
      </c>
      <c r="K7238">
        <v>1.1085039999999999</v>
      </c>
      <c r="L7238">
        <v>-63.587980000000002</v>
      </c>
      <c r="M7238">
        <v>0.99995639999999997</v>
      </c>
      <c r="N7238">
        <v>0</v>
      </c>
      <c r="O7238">
        <v>4.3127479999999999E-3</v>
      </c>
      <c r="P7238">
        <v>0.9999382</v>
      </c>
      <c r="Q7238">
        <v>-8.1029489999999999E-3</v>
      </c>
      <c r="R7238">
        <v>-7.612944E-3</v>
      </c>
      <c r="S7238">
        <v>3.0015719999999999</v>
      </c>
      <c r="T7238">
        <v>-1.7387630000000001E-2</v>
      </c>
      <c r="U7238">
        <v>0.20132449999999999</v>
      </c>
      <c r="V7238">
        <v>1.192587E-2</v>
      </c>
      <c r="W7238">
        <v>1.8388430000000001E-4</v>
      </c>
      <c r="X7238">
        <v>0.99992890000000001</v>
      </c>
      <c r="Y7238">
        <v>-6.2617839999999994E-2</v>
      </c>
      <c r="Z7238">
        <v>1.5620790000000001E-4</v>
      </c>
      <c r="AA7238">
        <v>0.99803759999999997</v>
      </c>
      <c r="AB7238">
        <v>32</v>
      </c>
      <c r="AC7238">
        <v>80.876800000000003</v>
      </c>
      <c r="AD7238">
        <v>-0.46939059999999999</v>
      </c>
      <c r="AE7238">
        <v>5.43454999999999</v>
      </c>
      <c r="AF7238">
        <v>-5.0855157044620496</v>
      </c>
      <c r="AG7238">
        <v>-0.46939059999999999</v>
      </c>
      <c r="AH7238">
        <v>80.896773786441898</v>
      </c>
      <c r="AI7238">
        <v>90.331790928479904</v>
      </c>
      <c r="AJ7238">
        <v>93.597123173038398</v>
      </c>
      <c r="AK7238">
        <v>81.057823845514406</v>
      </c>
      <c r="AL7238">
        <v>89.989464205975594</v>
      </c>
      <c r="AM7238">
        <v>89.316681794418997</v>
      </c>
      <c r="AN7238">
        <v>1.00000003262195</v>
      </c>
    </row>
    <row r="7239" spans="1:40" x14ac:dyDescent="0.25">
      <c r="A7239" t="str">
        <f>"20190312160827172"</f>
        <v>20190312160827172</v>
      </c>
      <c r="B7239" t="str">
        <f>"1552378107162715"</f>
        <v>1552378107162715</v>
      </c>
      <c r="C7239" t="s">
        <v>40</v>
      </c>
      <c r="D7239">
        <v>6.3646050000000001</v>
      </c>
      <c r="E7239">
        <v>0.39561350000000001</v>
      </c>
      <c r="F7239" t="s">
        <v>52</v>
      </c>
      <c r="G7239">
        <v>-157.3501</v>
      </c>
      <c r="H7239">
        <v>0.63941959999999998</v>
      </c>
      <c r="I7239">
        <v>-58.163350000000001</v>
      </c>
      <c r="J7239">
        <v>-238.07669999999999</v>
      </c>
      <c r="K7239">
        <v>1.108511</v>
      </c>
      <c r="L7239">
        <v>-63.587589999999999</v>
      </c>
      <c r="M7239">
        <v>0.99995690000000004</v>
      </c>
      <c r="N7239">
        <v>0</v>
      </c>
      <c r="O7239">
        <v>4.0592930000000003E-3</v>
      </c>
      <c r="P7239">
        <v>0.99993960000000004</v>
      </c>
      <c r="Q7239">
        <v>-7.9043259999999997E-3</v>
      </c>
      <c r="R7239">
        <v>-7.6487250000000003E-3</v>
      </c>
      <c r="S7239">
        <v>3.0015869999999998</v>
      </c>
      <c r="T7239">
        <v>-1.7409919999999999E-2</v>
      </c>
      <c r="U7239">
        <v>0.20132449999999999</v>
      </c>
      <c r="V7239">
        <v>1.1708359999999999E-2</v>
      </c>
      <c r="W7239">
        <v>4.3613110000000001E-4</v>
      </c>
      <c r="X7239">
        <v>0.99993129999999997</v>
      </c>
      <c r="Y7239">
        <v>-6.287044E-2</v>
      </c>
      <c r="Z7239">
        <v>1.5860740000000001E-4</v>
      </c>
      <c r="AA7239">
        <v>0.99802170000000001</v>
      </c>
      <c r="AB7239">
        <v>32</v>
      </c>
      <c r="AC7239">
        <v>80.726599999999905</v>
      </c>
      <c r="AD7239">
        <v>-0.46909139999999999</v>
      </c>
      <c r="AE7239">
        <v>5.4242400000000002</v>
      </c>
      <c r="AF7239">
        <v>-5.096319650771</v>
      </c>
      <c r="AG7239">
        <v>-0.46909139999999999</v>
      </c>
      <c r="AH7239">
        <v>80.745239995066399</v>
      </c>
      <c r="AI7239">
        <v>90.332196452594502</v>
      </c>
      <c r="AJ7239">
        <v>93.611492070174407</v>
      </c>
      <c r="AK7239">
        <v>80.907269775868997</v>
      </c>
      <c r="AL7239">
        <v>89.975011526371901</v>
      </c>
      <c r="AM7239">
        <v>89.329144955100404</v>
      </c>
      <c r="AN7239">
        <v>0.99999994031195605</v>
      </c>
    </row>
    <row r="7240" spans="1:40" x14ac:dyDescent="0.25">
      <c r="A7240" t="str">
        <f>"20190312160827184"</f>
        <v>20190312160827184</v>
      </c>
      <c r="B7240" t="str">
        <f>"1552378107172476"</f>
        <v>1552378107172476</v>
      </c>
      <c r="C7240" t="s">
        <v>40</v>
      </c>
      <c r="D7240">
        <v>6.4142739999999998</v>
      </c>
      <c r="E7240">
        <v>0.39265630000000001</v>
      </c>
      <c r="F7240" t="s">
        <v>82</v>
      </c>
      <c r="G7240">
        <v>-179.55240000000001</v>
      </c>
      <c r="H7240">
        <v>7.9986580000000002E-2</v>
      </c>
      <c r="I7240">
        <v>-47.796109999999999</v>
      </c>
      <c r="J7240">
        <v>-237.92179999999999</v>
      </c>
      <c r="K7240">
        <v>1.1085210000000001</v>
      </c>
      <c r="L7240">
        <v>-63.58719</v>
      </c>
      <c r="M7240">
        <v>0.9999574</v>
      </c>
      <c r="N7240">
        <v>0</v>
      </c>
      <c r="O7240">
        <v>3.7990179999999999E-3</v>
      </c>
      <c r="P7240">
        <v>0.99993849999999995</v>
      </c>
      <c r="Q7240">
        <v>-7.8872769999999998E-3</v>
      </c>
      <c r="R7240">
        <v>-7.7998700000000004E-3</v>
      </c>
      <c r="S7240">
        <v>3.0059659999999999</v>
      </c>
      <c r="T7240">
        <v>-5.2827840000000001E-2</v>
      </c>
      <c r="U7240">
        <v>0.81109619999999905</v>
      </c>
      <c r="V7240">
        <v>1.1599430000000001E-2</v>
      </c>
      <c r="W7240">
        <v>5.2434599999999997E-4</v>
      </c>
      <c r="X7240">
        <v>0.99993259999999995</v>
      </c>
      <c r="Y7240">
        <v>-0.25680550000000002</v>
      </c>
      <c r="Z7240">
        <v>2.1512049999999998E-3</v>
      </c>
      <c r="AA7240">
        <v>0.96646069999999995</v>
      </c>
      <c r="AB7240">
        <v>32</v>
      </c>
      <c r="AC7240">
        <v>58.369399999999899</v>
      </c>
      <c r="AD7240">
        <v>-1.0285344199999999</v>
      </c>
      <c r="AE7240">
        <v>15.791079999999999</v>
      </c>
      <c r="AF7240">
        <v>-15.564708484982701</v>
      </c>
      <c r="AG7240">
        <v>-1.0285344199999999</v>
      </c>
      <c r="AH7240">
        <v>58.412071230775297</v>
      </c>
      <c r="AI7240">
        <v>90.974768770152906</v>
      </c>
      <c r="AJ7240">
        <v>104.92057041714401</v>
      </c>
      <c r="AK7240">
        <v>60.458978644571701</v>
      </c>
      <c r="AL7240">
        <v>89.969957186213193</v>
      </c>
      <c r="AM7240">
        <v>89.3353866294364</v>
      </c>
      <c r="AN7240">
        <v>1.0000000131289</v>
      </c>
    </row>
    <row r="7241" spans="1:40" x14ac:dyDescent="0.25">
      <c r="A7241" t="str">
        <f>"20190312160827194"</f>
        <v>20190312160827194</v>
      </c>
      <c r="B7241" t="str">
        <f>"1552378107182234"</f>
        <v>1552378107182234</v>
      </c>
      <c r="C7241" t="s">
        <v>40</v>
      </c>
      <c r="D7241">
        <v>6.3778709999999998</v>
      </c>
      <c r="E7241">
        <v>0.39165499999999998</v>
      </c>
      <c r="F7241" t="s">
        <v>82</v>
      </c>
      <c r="G7241">
        <v>-181.9119</v>
      </c>
      <c r="H7241" s="1">
        <v>-3.1314260000000001E-6</v>
      </c>
      <c r="I7241">
        <v>-48.04092</v>
      </c>
      <c r="J7241">
        <v>-237.76300000000001</v>
      </c>
      <c r="K7241">
        <v>1.108533</v>
      </c>
      <c r="L7241">
        <v>-63.586820000000003</v>
      </c>
      <c r="M7241">
        <v>0.9999576</v>
      </c>
      <c r="N7241">
        <v>0</v>
      </c>
      <c r="O7241">
        <v>3.5319190000000001E-3</v>
      </c>
      <c r="P7241">
        <v>0.99993770000000004</v>
      </c>
      <c r="Q7241">
        <v>-7.9624269999999994E-3</v>
      </c>
      <c r="R7241">
        <v>-7.8165819999999903E-3</v>
      </c>
      <c r="S7241">
        <v>3.0062099999999998</v>
      </c>
      <c r="T7241">
        <v>-5.9497590000000003E-2</v>
      </c>
      <c r="U7241">
        <v>0.83441160000000003</v>
      </c>
      <c r="V7241">
        <v>1.134895E-2</v>
      </c>
      <c r="W7241">
        <v>5.2529979999999996E-4</v>
      </c>
      <c r="X7241">
        <v>0.99993540000000003</v>
      </c>
      <c r="Y7241">
        <v>-0.26399899999999998</v>
      </c>
      <c r="Z7241">
        <v>2.4951790000000001E-3</v>
      </c>
      <c r="AA7241">
        <v>0.96451969999999998</v>
      </c>
      <c r="AB7241">
        <v>32</v>
      </c>
      <c r="AC7241">
        <v>55.851100000000002</v>
      </c>
      <c r="AD7241">
        <v>-1.108536131426</v>
      </c>
      <c r="AE7241">
        <v>15.5458999999999</v>
      </c>
      <c r="AF7241">
        <v>-15.342924672155601</v>
      </c>
      <c r="AG7241">
        <v>-1.108536131426</v>
      </c>
      <c r="AH7241">
        <v>55.885227771148301</v>
      </c>
      <c r="AI7241">
        <v>91.095828801525002</v>
      </c>
      <c r="AJ7241">
        <v>105.35193053498899</v>
      </c>
      <c r="AK7241">
        <v>57.963720316101501</v>
      </c>
      <c r="AL7241">
        <v>89.969902535272496</v>
      </c>
      <c r="AM7241">
        <v>89.349738974661605</v>
      </c>
      <c r="AN7241">
        <v>0.99999993938956899</v>
      </c>
    </row>
    <row r="7242" spans="1:40" x14ac:dyDescent="0.25">
      <c r="A7242" t="str">
        <f>"20190312160827206"</f>
        <v>20190312160827206</v>
      </c>
      <c r="B7242" t="str">
        <f>"1552378107192971"</f>
        <v>1552378107192971</v>
      </c>
      <c r="C7242" t="s">
        <v>40</v>
      </c>
      <c r="D7242">
        <v>6.3356830000000004</v>
      </c>
      <c r="E7242">
        <v>0.39126290000000002</v>
      </c>
      <c r="F7242" t="s">
        <v>82</v>
      </c>
      <c r="G7242">
        <v>-183.26900000000001</v>
      </c>
      <c r="H7242" s="1">
        <v>-3.2695970000000001E-6</v>
      </c>
      <c r="I7242">
        <v>-48.317329999999998</v>
      </c>
      <c r="J7242">
        <v>-237.6001</v>
      </c>
      <c r="K7242">
        <v>1.108549</v>
      </c>
      <c r="L7242">
        <v>-63.586519999999901</v>
      </c>
      <c r="M7242">
        <v>0.99995780000000001</v>
      </c>
      <c r="N7242">
        <v>0</v>
      </c>
      <c r="O7242">
        <v>3.2586360000000001E-3</v>
      </c>
      <c r="P7242">
        <v>0.99993529999999997</v>
      </c>
      <c r="Q7242">
        <v>-8.0124159999999996E-3</v>
      </c>
      <c r="R7242">
        <v>-8.0878100000000008E-3</v>
      </c>
      <c r="S7242">
        <v>3.0062869999999999</v>
      </c>
      <c r="T7242">
        <v>-6.1154960000000001E-2</v>
      </c>
      <c r="U7242">
        <v>0.84237669999999998</v>
      </c>
      <c r="V7242">
        <v>1.1347019999999999E-2</v>
      </c>
      <c r="W7242">
        <v>5.720298E-4</v>
      </c>
      <c r="X7242">
        <v>0.99993540000000003</v>
      </c>
      <c r="Y7242">
        <v>-0.2666232</v>
      </c>
      <c r="Z7242">
        <v>2.5953500000000002E-3</v>
      </c>
      <c r="AA7242">
        <v>0.96379729999999997</v>
      </c>
      <c r="AB7242">
        <v>32</v>
      </c>
      <c r="AC7242">
        <v>54.3310999999999</v>
      </c>
      <c r="AD7242">
        <v>-1.108552269597</v>
      </c>
      <c r="AE7242">
        <v>15.269189999999901</v>
      </c>
      <c r="AF7242">
        <v>-15.086236329358099</v>
      </c>
      <c r="AG7242">
        <v>-1.108552269597</v>
      </c>
      <c r="AH7242">
        <v>54.359596294688998</v>
      </c>
      <c r="AI7242">
        <v>91.125730940536101</v>
      </c>
      <c r="AJ7242">
        <v>105.51075195065501</v>
      </c>
      <c r="AK7242">
        <v>56.425075312676697</v>
      </c>
      <c r="AL7242">
        <v>89.967225103052797</v>
      </c>
      <c r="AM7242">
        <v>89.349849548418803</v>
      </c>
      <c r="AN7242">
        <v>0.99999994312706397</v>
      </c>
    </row>
    <row r="7243" spans="1:40" x14ac:dyDescent="0.25">
      <c r="A7243" t="str">
        <f>"20190312160827218"</f>
        <v>20190312160827218</v>
      </c>
      <c r="B7243" t="str">
        <f>"1552378107212490"</f>
        <v>1552378107212490</v>
      </c>
      <c r="C7243" t="s">
        <v>40</v>
      </c>
      <c r="D7243">
        <v>6.3304589999999896</v>
      </c>
      <c r="E7243">
        <v>0.39097349999999997</v>
      </c>
      <c r="F7243" t="s">
        <v>82</v>
      </c>
      <c r="G7243">
        <v>-185.2903</v>
      </c>
      <c r="H7243" s="1">
        <v>-3.381464E-6</v>
      </c>
      <c r="I7243">
        <v>-48.887689999999999</v>
      </c>
      <c r="J7243">
        <v>-237.4332</v>
      </c>
      <c r="K7243">
        <v>1.1085670000000001</v>
      </c>
      <c r="L7243">
        <v>-63.586239999999997</v>
      </c>
      <c r="M7243">
        <v>0.99995769999999995</v>
      </c>
      <c r="N7243">
        <v>0</v>
      </c>
      <c r="O7243">
        <v>2.9788729999999999E-3</v>
      </c>
      <c r="P7243">
        <v>0.99993310000000002</v>
      </c>
      <c r="Q7243">
        <v>-8.2887969999999901E-3</v>
      </c>
      <c r="R7243">
        <v>-8.0646269999999996E-3</v>
      </c>
      <c r="S7243">
        <v>3.006516</v>
      </c>
      <c r="T7243">
        <v>-6.3714270000000003E-2</v>
      </c>
      <c r="U7243">
        <v>0.84481810000000002</v>
      </c>
      <c r="V7243">
        <v>1.1043839999999999E-2</v>
      </c>
      <c r="W7243">
        <v>3.9941469999999998E-4</v>
      </c>
      <c r="X7243">
        <v>0.99993900000000002</v>
      </c>
      <c r="Y7243">
        <v>-0.26759460000000002</v>
      </c>
      <c r="Z7243">
        <v>2.7193640000000002E-3</v>
      </c>
      <c r="AA7243">
        <v>0.96352769999999999</v>
      </c>
      <c r="AB7243">
        <v>32</v>
      </c>
      <c r="AC7243">
        <v>52.142899999999997</v>
      </c>
      <c r="AD7243">
        <v>-1.108570381464</v>
      </c>
      <c r="AE7243">
        <v>14.698549999999999</v>
      </c>
      <c r="AF7243">
        <v>-14.5370647890909</v>
      </c>
      <c r="AG7243">
        <v>-1.108570381464</v>
      </c>
      <c r="AH7243">
        <v>52.164612776637199</v>
      </c>
      <c r="AI7243">
        <v>91.172757529957707</v>
      </c>
      <c r="AJ7243">
        <v>105.571917617531</v>
      </c>
      <c r="AK7243">
        <v>54.1636594693286</v>
      </c>
      <c r="AL7243">
        <v>89.977115224289506</v>
      </c>
      <c r="AM7243">
        <v>89.367221705536096</v>
      </c>
      <c r="AN7243">
        <v>1.00000006482752</v>
      </c>
    </row>
    <row r="7244" spans="1:40" x14ac:dyDescent="0.25">
      <c r="A7244" t="str">
        <f>"20190312160827229"</f>
        <v>20190312160827229</v>
      </c>
      <c r="B7244" t="str">
        <f>"1552378107222250"</f>
        <v>1552378107222250</v>
      </c>
      <c r="C7244" t="s">
        <v>40</v>
      </c>
      <c r="D7244">
        <v>6.297472</v>
      </c>
      <c r="E7244">
        <v>0.39026759999999999</v>
      </c>
      <c r="F7244" t="s">
        <v>82</v>
      </c>
      <c r="G7244">
        <v>-188.96780000000001</v>
      </c>
      <c r="H7244" s="1">
        <v>-3.5839600000000001E-6</v>
      </c>
      <c r="I7244">
        <v>-49.927120000000002</v>
      </c>
      <c r="J7244">
        <v>-237.2713</v>
      </c>
      <c r="K7244">
        <v>1.1085860000000001</v>
      </c>
      <c r="L7244">
        <v>-63.585999999999999</v>
      </c>
      <c r="M7244">
        <v>0.9999576</v>
      </c>
      <c r="N7244">
        <v>0</v>
      </c>
      <c r="O7244">
        <v>2.7081359999999999E-3</v>
      </c>
      <c r="P7244">
        <v>0.99993010000000004</v>
      </c>
      <c r="Q7244">
        <v>-8.3546920000000004E-3</v>
      </c>
      <c r="R7244">
        <v>-8.3575630000000001E-3</v>
      </c>
      <c r="S7244">
        <v>3.0064700000000002</v>
      </c>
      <c r="T7244">
        <v>-6.8768259999999998E-2</v>
      </c>
      <c r="U7244">
        <v>0.84732059999999998</v>
      </c>
      <c r="V7244">
        <v>1.106612E-2</v>
      </c>
      <c r="W7244">
        <v>4.4233E-4</v>
      </c>
      <c r="X7244">
        <v>0.99993869999999896</v>
      </c>
      <c r="Y7244">
        <v>-0.26859290000000002</v>
      </c>
      <c r="Z7244">
        <v>2.9520089999999998E-3</v>
      </c>
      <c r="AA7244">
        <v>0.96324929999999997</v>
      </c>
      <c r="AB7244">
        <v>32</v>
      </c>
      <c r="AC7244">
        <v>48.3034999999999</v>
      </c>
      <c r="AD7244">
        <v>-1.10858958396</v>
      </c>
      <c r="AE7244">
        <v>13.65888</v>
      </c>
      <c r="AF7244">
        <v>-13.521417635694499</v>
      </c>
      <c r="AG7244">
        <v>-1.10858958396</v>
      </c>
      <c r="AH7244">
        <v>48.316749016587998</v>
      </c>
      <c r="AI7244">
        <v>91.2657621052347</v>
      </c>
      <c r="AJ7244">
        <v>105.63424956578299</v>
      </c>
      <c r="AK7244">
        <v>50.1853159925938</v>
      </c>
      <c r="AL7244">
        <v>89.974656357761901</v>
      </c>
      <c r="AM7244">
        <v>89.365945043501696</v>
      </c>
      <c r="AN7244">
        <v>1.0000000292126801</v>
      </c>
    </row>
    <row r="7245" spans="1:40" x14ac:dyDescent="0.25">
      <c r="A7245" t="str">
        <f>"20190312160827240"</f>
        <v>20190312160827240</v>
      </c>
      <c r="B7245" t="str">
        <f>"1552378107232986"</f>
        <v>1552378107232986</v>
      </c>
      <c r="C7245" t="s">
        <v>40</v>
      </c>
      <c r="D7245">
        <v>6.3145980000000002</v>
      </c>
      <c r="E7245">
        <v>0.3903567</v>
      </c>
      <c r="F7245" t="s">
        <v>82</v>
      </c>
      <c r="G7245">
        <v>-186.6095</v>
      </c>
      <c r="H7245" s="1">
        <v>-3.471816E-6</v>
      </c>
      <c r="I7245">
        <v>-49.230620000000002</v>
      </c>
      <c r="J7245">
        <v>-237.12049999999999</v>
      </c>
      <c r="K7245">
        <v>1.108603</v>
      </c>
      <c r="L7245">
        <v>-63.585850000000001</v>
      </c>
      <c r="M7245">
        <v>0.99995730000000005</v>
      </c>
      <c r="N7245">
        <v>0</v>
      </c>
      <c r="O7245">
        <v>2.4562329999999999E-3</v>
      </c>
      <c r="P7245">
        <v>0.99992789999999998</v>
      </c>
      <c r="Q7245">
        <v>-8.4736610000000004E-3</v>
      </c>
      <c r="R7245">
        <v>-8.5270850000000002E-3</v>
      </c>
      <c r="S7245">
        <v>3.0067750000000002</v>
      </c>
      <c r="T7245">
        <v>-6.579459E-2</v>
      </c>
      <c r="U7245">
        <v>0.85198969999999896</v>
      </c>
      <c r="V7245">
        <v>1.0983619999999999E-2</v>
      </c>
      <c r="W7245">
        <v>4.3088589999999997E-4</v>
      </c>
      <c r="X7245">
        <v>0.99993960000000004</v>
      </c>
      <c r="Y7245">
        <v>-0.2702</v>
      </c>
      <c r="Z7245">
        <v>2.846173E-3</v>
      </c>
      <c r="AA7245">
        <v>0.96279999999999999</v>
      </c>
      <c r="AB7245">
        <v>32</v>
      </c>
      <c r="AC7245">
        <v>50.511000000000003</v>
      </c>
      <c r="AD7245">
        <v>-1.108606471816</v>
      </c>
      <c r="AE7245">
        <v>14.355230000000001</v>
      </c>
      <c r="AF7245">
        <v>-14.224774898929301</v>
      </c>
      <c r="AG7245">
        <v>-1.108606471816</v>
      </c>
      <c r="AH7245">
        <v>50.523590075991201</v>
      </c>
      <c r="AI7245">
        <v>91.209975163553693</v>
      </c>
      <c r="AJ7245">
        <v>105.72441624103701</v>
      </c>
      <c r="AK7245">
        <v>52.499584602179098</v>
      </c>
      <c r="AL7245">
        <v>89.975312056074998</v>
      </c>
      <c r="AM7245">
        <v>89.370672226889695</v>
      </c>
      <c r="AN7245">
        <v>1.00000001460956</v>
      </c>
    </row>
    <row r="7246" spans="1:40" x14ac:dyDescent="0.25">
      <c r="A7246" t="str">
        <f>"20190312160827251"</f>
        <v>20190312160827251</v>
      </c>
      <c r="B7246" t="str">
        <f>"1552378107242747"</f>
        <v>1552378107242747</v>
      </c>
      <c r="C7246" t="s">
        <v>40</v>
      </c>
      <c r="D7246">
        <v>6.2967139999999997</v>
      </c>
      <c r="E7246">
        <v>0.39051049999999998</v>
      </c>
      <c r="F7246" t="s">
        <v>82</v>
      </c>
      <c r="G7246">
        <v>-187.4426</v>
      </c>
      <c r="H7246" s="1">
        <v>-3.4795529999999999E-6</v>
      </c>
      <c r="I7246">
        <v>-49.530549999999998</v>
      </c>
      <c r="J7246">
        <v>-236.95670000000001</v>
      </c>
      <c r="K7246">
        <v>1.108622</v>
      </c>
      <c r="L7246">
        <v>-63.58569</v>
      </c>
      <c r="M7246">
        <v>0.99995679999999998</v>
      </c>
      <c r="N7246">
        <v>0</v>
      </c>
      <c r="O7246">
        <v>2.1832679999999999E-3</v>
      </c>
      <c r="P7246">
        <v>0.99992479999999995</v>
      </c>
      <c r="Q7246">
        <v>-8.4918979999999995E-3</v>
      </c>
      <c r="R7246">
        <v>-8.8505979999999995E-3</v>
      </c>
      <c r="S7246">
        <v>3.0068969999999999</v>
      </c>
      <c r="T7246">
        <v>-6.7101720000000004E-2</v>
      </c>
      <c r="U7246">
        <v>0.85073849999999995</v>
      </c>
      <c r="V7246">
        <v>1.103442E-2</v>
      </c>
      <c r="W7246">
        <v>5.3435949999999896E-4</v>
      </c>
      <c r="X7246">
        <v>0.99993900000000002</v>
      </c>
      <c r="Y7246">
        <v>-0.27007910000000002</v>
      </c>
      <c r="Z7246">
        <v>2.9074029999999998E-3</v>
      </c>
      <c r="AA7246">
        <v>0.96283370000000001</v>
      </c>
      <c r="AB7246">
        <v>32</v>
      </c>
      <c r="AC7246">
        <v>49.514099999999999</v>
      </c>
      <c r="AD7246">
        <v>-1.1086254795529999</v>
      </c>
      <c r="AE7246">
        <v>14.05514</v>
      </c>
      <c r="AF7246">
        <v>-13.940532051230701</v>
      </c>
      <c r="AG7246">
        <v>-1.1086254795529999</v>
      </c>
      <c r="AH7246">
        <v>49.521694579117003</v>
      </c>
      <c r="AI7246">
        <v>91.234482423910507</v>
      </c>
      <c r="AJ7246">
        <v>105.72209855306301</v>
      </c>
      <c r="AK7246">
        <v>51.458388221092299</v>
      </c>
      <c r="AL7246">
        <v>89.969383455180207</v>
      </c>
      <c r="AM7246">
        <v>89.367761398927996</v>
      </c>
      <c r="AN7246">
        <v>1.0000000238429001</v>
      </c>
    </row>
    <row r="7247" spans="1:40" x14ac:dyDescent="0.25">
      <c r="A7247" t="str">
        <f>"20190312160827263"</f>
        <v>20190312160827263</v>
      </c>
      <c r="B7247" t="str">
        <f>"1552378107252507"</f>
        <v>1552378107252507</v>
      </c>
      <c r="C7247" t="s">
        <v>40</v>
      </c>
      <c r="D7247">
        <v>6.3273449999999896</v>
      </c>
      <c r="E7247">
        <v>0.39010620000000001</v>
      </c>
      <c r="F7247" t="s">
        <v>82</v>
      </c>
      <c r="G7247">
        <v>-187.20009999999999</v>
      </c>
      <c r="H7247" s="1">
        <v>-3.416674E-6</v>
      </c>
      <c r="I7247">
        <v>-49.545679999999997</v>
      </c>
      <c r="J7247">
        <v>-236.80340000000001</v>
      </c>
      <c r="K7247">
        <v>1.108644</v>
      </c>
      <c r="L7247">
        <v>-63.585630000000002</v>
      </c>
      <c r="M7247">
        <v>0.99995630000000002</v>
      </c>
      <c r="N7247">
        <v>0</v>
      </c>
      <c r="O7247">
        <v>1.927495E-3</v>
      </c>
      <c r="P7247">
        <v>0.99991920000000001</v>
      </c>
      <c r="Q7247">
        <v>-8.9582489999999997E-3</v>
      </c>
      <c r="R7247">
        <v>-9.017822E-3</v>
      </c>
      <c r="S7247">
        <v>3.0071560000000002</v>
      </c>
      <c r="T7247">
        <v>-6.7002419999999993E-2</v>
      </c>
      <c r="U7247">
        <v>0.84854130000000005</v>
      </c>
      <c r="V7247">
        <v>1.094552E-2</v>
      </c>
      <c r="W7247">
        <v>1.9389790000000001E-4</v>
      </c>
      <c r="X7247">
        <v>0.9999401</v>
      </c>
      <c r="Y7247">
        <v>-0.26965240000000001</v>
      </c>
      <c r="Z7247">
        <v>2.904069E-3</v>
      </c>
      <c r="AA7247">
        <v>0.96295330000000001</v>
      </c>
      <c r="AB7247">
        <v>32</v>
      </c>
      <c r="AC7247">
        <v>49.603299999999997</v>
      </c>
      <c r="AD7247">
        <v>-1.1086474166739999</v>
      </c>
      <c r="AE7247">
        <v>14.039949999999999</v>
      </c>
      <c r="AF7247">
        <v>-13.937863774362301</v>
      </c>
      <c r="AG7247">
        <v>-1.1086474166739999</v>
      </c>
      <c r="AH7247">
        <v>49.607328353512798</v>
      </c>
      <c r="AI7247">
        <v>91.232549766155202</v>
      </c>
      <c r="AJ7247">
        <v>105.69344098574101</v>
      </c>
      <c r="AK7247">
        <v>51.540083159230697</v>
      </c>
      <c r="AL7247">
        <v>89.988890468857207</v>
      </c>
      <c r="AM7247">
        <v>89.372855379057896</v>
      </c>
      <c r="AN7247">
        <v>1.00000002279623</v>
      </c>
    </row>
    <row r="7248" spans="1:40" x14ac:dyDescent="0.25">
      <c r="A7248" t="str">
        <f>"20190312160827274"</f>
        <v>20190312160827274</v>
      </c>
      <c r="B7248" t="str">
        <f>"1552378107262266"</f>
        <v>1552378107262266</v>
      </c>
      <c r="C7248" t="s">
        <v>40</v>
      </c>
      <c r="D7248">
        <v>6.2897619999999996</v>
      </c>
      <c r="E7248">
        <v>0.3901984</v>
      </c>
      <c r="F7248" t="s">
        <v>82</v>
      </c>
      <c r="G7248">
        <v>-185.47380000000001</v>
      </c>
      <c r="H7248" s="1">
        <v>-3.3219080000000001E-6</v>
      </c>
      <c r="I7248">
        <v>-49.057259999999999</v>
      </c>
      <c r="J7248">
        <v>-236.64080000000001</v>
      </c>
      <c r="K7248">
        <v>1.108663</v>
      </c>
      <c r="L7248">
        <v>-63.585569999999997</v>
      </c>
      <c r="M7248">
        <v>0.99995540000000005</v>
      </c>
      <c r="N7248">
        <v>0</v>
      </c>
      <c r="O7248">
        <v>1.6563960000000001E-3</v>
      </c>
      <c r="P7248">
        <v>0.99991960000000002</v>
      </c>
      <c r="Q7248">
        <v>-8.8736409999999998E-3</v>
      </c>
      <c r="R7248">
        <v>-9.0667920000000006E-3</v>
      </c>
      <c r="S7248">
        <v>3.0073240000000001</v>
      </c>
      <c r="T7248">
        <v>-6.4954040000000005E-2</v>
      </c>
      <c r="U7248">
        <v>0.85119630000000002</v>
      </c>
      <c r="V7248">
        <v>1.072364E-2</v>
      </c>
      <c r="W7248">
        <v>4.1610399999999999E-4</v>
      </c>
      <c r="X7248">
        <v>0.99994240000000001</v>
      </c>
      <c r="Y7248">
        <v>-0.27068999999999999</v>
      </c>
      <c r="Z7248">
        <v>2.831554E-3</v>
      </c>
      <c r="AA7248">
        <v>0.96266240000000003</v>
      </c>
      <c r="AB7248">
        <v>32</v>
      </c>
      <c r="AC7248">
        <v>51.167000000000002</v>
      </c>
      <c r="AD7248">
        <v>-1.108666321908</v>
      </c>
      <c r="AE7248">
        <v>14.5283099999999</v>
      </c>
      <c r="AF7248">
        <v>-14.4372611999665</v>
      </c>
      <c r="AG7248">
        <v>-1.108666321908</v>
      </c>
      <c r="AH7248">
        <v>51.168764774791299</v>
      </c>
      <c r="AI7248">
        <v>91.194599855474095</v>
      </c>
      <c r="AJ7248">
        <v>105.75640685085401</v>
      </c>
      <c r="AK7248">
        <v>53.178060706905399</v>
      </c>
      <c r="AL7248">
        <v>89.976158995950598</v>
      </c>
      <c r="AM7248">
        <v>89.385568848850397</v>
      </c>
      <c r="AN7248">
        <v>0.99999998645757404</v>
      </c>
    </row>
    <row r="7249" spans="1:40" x14ac:dyDescent="0.25">
      <c r="A7249" t="str">
        <f>"20190312160827285"</f>
        <v>20190312160827285</v>
      </c>
      <c r="B7249" t="str">
        <f>"1552378107273002"</f>
        <v>1552378107273002</v>
      </c>
      <c r="C7249" t="s">
        <v>40</v>
      </c>
      <c r="D7249">
        <v>6.3071400000000004</v>
      </c>
      <c r="E7249">
        <v>0.39028089999999999</v>
      </c>
      <c r="F7249" t="s">
        <v>82</v>
      </c>
      <c r="G7249">
        <v>-186.42449999999999</v>
      </c>
      <c r="H7249" s="1">
        <v>-3.3388979999999999E-6</v>
      </c>
      <c r="I7249">
        <v>-49.3857</v>
      </c>
      <c r="J7249">
        <v>-236.47030000000001</v>
      </c>
      <c r="K7249">
        <v>1.108681</v>
      </c>
      <c r="L7249">
        <v>-63.585569999999997</v>
      </c>
      <c r="M7249">
        <v>0.99995429999999996</v>
      </c>
      <c r="N7249">
        <v>0</v>
      </c>
      <c r="O7249">
        <v>1.3713229999999901E-3</v>
      </c>
      <c r="P7249">
        <v>0.99991249999999998</v>
      </c>
      <c r="Q7249">
        <v>-9.5111480000000005E-3</v>
      </c>
      <c r="R7249">
        <v>-9.1817549999999998E-3</v>
      </c>
      <c r="S7249">
        <v>3.007355</v>
      </c>
      <c r="T7249">
        <v>-6.6395880000000004E-2</v>
      </c>
      <c r="U7249">
        <v>0.85040280000000001</v>
      </c>
      <c r="V7249">
        <v>1.055304E-2</v>
      </c>
      <c r="W7249" s="1">
        <v>-6.2037390000000003E-5</v>
      </c>
      <c r="X7249">
        <v>0.99994430000000001</v>
      </c>
      <c r="Y7249">
        <v>-0.27072400000000002</v>
      </c>
      <c r="Z7249">
        <v>2.9010059999999998E-3</v>
      </c>
      <c r="AA7249">
        <v>0.96265259999999997</v>
      </c>
      <c r="AB7249">
        <v>32</v>
      </c>
      <c r="AC7249">
        <v>50.0458</v>
      </c>
      <c r="AD7249">
        <v>-1.1086843388979899</v>
      </c>
      <c r="AE7249">
        <v>14.199869999999899</v>
      </c>
      <c r="AF7249">
        <v>-14.124809043919599</v>
      </c>
      <c r="AG7249">
        <v>-1.1086843388979899</v>
      </c>
      <c r="AH7249">
        <v>50.042496811149</v>
      </c>
      <c r="AI7249">
        <v>91.221463624352594</v>
      </c>
      <c r="AJ7249">
        <v>105.76205311867901</v>
      </c>
      <c r="AK7249">
        <v>52.009526998275703</v>
      </c>
      <c r="AL7249">
        <v>90.0035544806682</v>
      </c>
      <c r="AM7249">
        <v>89.395344114385495</v>
      </c>
      <c r="AN7249">
        <v>0.99999998680218405</v>
      </c>
    </row>
    <row r="7250" spans="1:40" x14ac:dyDescent="0.25">
      <c r="A7250" t="str">
        <f>"20190312160827297"</f>
        <v>20190312160827297</v>
      </c>
      <c r="B7250" t="str">
        <f>"1552378107282762"</f>
        <v>1552378107282762</v>
      </c>
      <c r="C7250" t="s">
        <v>40</v>
      </c>
      <c r="D7250">
        <v>6.3163280000000004</v>
      </c>
      <c r="E7250">
        <v>0.39029009999999997</v>
      </c>
      <c r="F7250" t="s">
        <v>82</v>
      </c>
      <c r="G7250">
        <v>-189.00919999999999</v>
      </c>
      <c r="H7250" s="1">
        <v>-3.4438139999999999E-6</v>
      </c>
      <c r="I7250">
        <v>-50.179430000000004</v>
      </c>
      <c r="J7250">
        <v>-236.31649999999999</v>
      </c>
      <c r="K7250">
        <v>1.1087009999999999</v>
      </c>
      <c r="L7250">
        <v>-63.585630000000002</v>
      </c>
      <c r="M7250">
        <v>0.99995330000000004</v>
      </c>
      <c r="N7250">
        <v>0</v>
      </c>
      <c r="O7250">
        <v>1.1151049999999999E-3</v>
      </c>
      <c r="P7250">
        <v>0.99991229999999998</v>
      </c>
      <c r="Q7250">
        <v>-9.3686040000000009E-3</v>
      </c>
      <c r="R7250">
        <v>-9.3654069999999992E-3</v>
      </c>
      <c r="S7250">
        <v>3.0074010000000002</v>
      </c>
      <c r="T7250">
        <v>-7.0252419999999996E-2</v>
      </c>
      <c r="U7250">
        <v>0.84948729999999995</v>
      </c>
      <c r="V7250">
        <v>1.0480730000000001E-2</v>
      </c>
      <c r="W7250">
        <v>2.2632279999999999E-4</v>
      </c>
      <c r="X7250">
        <v>0.99994499999999997</v>
      </c>
      <c r="Y7250">
        <v>-0.27068819999999999</v>
      </c>
      <c r="Z7250">
        <v>3.075005E-3</v>
      </c>
      <c r="AA7250">
        <v>0.96266220000000002</v>
      </c>
      <c r="AB7250">
        <v>32</v>
      </c>
      <c r="AC7250">
        <v>47.307299999999998</v>
      </c>
      <c r="AD7250">
        <v>-1.1087044438139999</v>
      </c>
      <c r="AE7250">
        <v>13.4062</v>
      </c>
      <c r="AF7250">
        <v>-13.3466508393462</v>
      </c>
      <c r="AG7250">
        <v>-1.1087044438139999</v>
      </c>
      <c r="AH7250">
        <v>47.298172963195903</v>
      </c>
      <c r="AI7250">
        <v>91.292360547212695</v>
      </c>
      <c r="AJ7250">
        <v>105.75806374704599</v>
      </c>
      <c r="AK7250">
        <v>49.1577001071811</v>
      </c>
      <c r="AL7250">
        <v>89.987032657992998</v>
      </c>
      <c r="AM7250">
        <v>89.399487365064701</v>
      </c>
      <c r="AN7250">
        <v>0.99999994997416997</v>
      </c>
    </row>
    <row r="7251" spans="1:40" x14ac:dyDescent="0.25">
      <c r="A7251" t="str">
        <f>"20190312160827308"</f>
        <v>20190312160827308</v>
      </c>
      <c r="B7251" t="str">
        <f>"1552378107302284"</f>
        <v>1552378107302284</v>
      </c>
      <c r="C7251" t="s">
        <v>40</v>
      </c>
      <c r="D7251">
        <v>6.3311140000000004</v>
      </c>
      <c r="E7251">
        <v>0.39043499999999998</v>
      </c>
      <c r="F7251" t="s">
        <v>82</v>
      </c>
      <c r="G7251">
        <v>-188.50489999999999</v>
      </c>
      <c r="H7251" s="1">
        <v>-3.3840970000000001E-6</v>
      </c>
      <c r="I7251">
        <v>-50.090890000000002</v>
      </c>
      <c r="J7251">
        <v>-236.15960000000001</v>
      </c>
      <c r="K7251">
        <v>1.1087199999999999</v>
      </c>
      <c r="L7251">
        <v>-63.585720000000002</v>
      </c>
      <c r="M7251">
        <v>0.99995199999999995</v>
      </c>
      <c r="N7251">
        <v>0</v>
      </c>
      <c r="O7251">
        <v>8.5579160000000005E-4</v>
      </c>
      <c r="P7251">
        <v>0.99991140000000001</v>
      </c>
      <c r="Q7251">
        <v>-9.2131290000000005E-3</v>
      </c>
      <c r="R7251">
        <v>-9.6063580000000006E-3</v>
      </c>
      <c r="S7251">
        <v>3.0075530000000001</v>
      </c>
      <c r="T7251">
        <v>-6.9742200000000004E-2</v>
      </c>
      <c r="U7251">
        <v>0.84887699999999999</v>
      </c>
      <c r="V7251">
        <v>1.046264E-2</v>
      </c>
      <c r="W7251">
        <v>5.3531330000000004E-4</v>
      </c>
      <c r="X7251">
        <v>0.99994510000000003</v>
      </c>
      <c r="Y7251">
        <v>-0.27074500000000001</v>
      </c>
      <c r="Z7251">
        <v>3.0591559999999999E-3</v>
      </c>
      <c r="AA7251">
        <v>0.96264620000000001</v>
      </c>
      <c r="AB7251">
        <v>32</v>
      </c>
      <c r="AC7251">
        <v>47.654699999999998</v>
      </c>
      <c r="AD7251">
        <v>-1.1087233840970001</v>
      </c>
      <c r="AE7251">
        <v>13.494829999999901</v>
      </c>
      <c r="AF7251">
        <v>-13.447302022707699</v>
      </c>
      <c r="AG7251">
        <v>-1.1087233840970001</v>
      </c>
      <c r="AH7251">
        <v>47.642357716754503</v>
      </c>
      <c r="AI7251">
        <v>91.283024301228593</v>
      </c>
      <c r="AJ7251">
        <v>105.761994432214</v>
      </c>
      <c r="AK7251">
        <v>49.516193796005297</v>
      </c>
      <c r="AL7251">
        <v>89.969328805059405</v>
      </c>
      <c r="AM7251">
        <v>89.400523849009303</v>
      </c>
      <c r="AN7251">
        <v>0.99999997820505404</v>
      </c>
    </row>
    <row r="7252" spans="1:40" x14ac:dyDescent="0.25">
      <c r="A7252" t="str">
        <f>"20190312160827321"</f>
        <v>20190312160827321</v>
      </c>
      <c r="B7252" t="str">
        <f>"1552378107313019"</f>
        <v>1552378107313019</v>
      </c>
      <c r="C7252" t="s">
        <v>40</v>
      </c>
      <c r="D7252">
        <v>6.2950369999999998</v>
      </c>
      <c r="E7252">
        <v>0.39038580000000001</v>
      </c>
      <c r="F7252" t="s">
        <v>82</v>
      </c>
      <c r="G7252">
        <v>-190.29490000000001</v>
      </c>
      <c r="H7252" s="1">
        <v>-9.7280609999999992E-6</v>
      </c>
      <c r="I7252">
        <v>-50.668669999999999</v>
      </c>
      <c r="J7252">
        <v>-235.97989999999999</v>
      </c>
      <c r="K7252">
        <v>1.1087480000000001</v>
      </c>
      <c r="L7252">
        <v>-63.585880000000003</v>
      </c>
      <c r="M7252">
        <v>0.99995049999999996</v>
      </c>
      <c r="N7252">
        <v>0</v>
      </c>
      <c r="O7252">
        <v>5.6103559999999997E-4</v>
      </c>
      <c r="P7252">
        <v>0.99990650000000003</v>
      </c>
      <c r="Q7252">
        <v>-9.3631410000000002E-3</v>
      </c>
      <c r="R7252">
        <v>-9.9770329999999997E-3</v>
      </c>
      <c r="S7252">
        <v>3.0077210000000001</v>
      </c>
      <c r="T7252">
        <v>-7.2708490000000001E-2</v>
      </c>
      <c r="U7252">
        <v>0.84707639999999995</v>
      </c>
      <c r="V7252">
        <v>1.053865E-2</v>
      </c>
      <c r="W7252">
        <v>5.6821499999999995E-4</v>
      </c>
      <c r="X7252">
        <v>0.99994430000000001</v>
      </c>
      <c r="Y7252">
        <v>-0.27047490000000002</v>
      </c>
      <c r="Z7252">
        <v>3.1931020000000002E-3</v>
      </c>
      <c r="AA7252">
        <v>0.96272170000000001</v>
      </c>
      <c r="AB7252">
        <v>32</v>
      </c>
      <c r="AC7252">
        <v>45.684999999999903</v>
      </c>
      <c r="AD7252">
        <v>-1.1087577280609999</v>
      </c>
      <c r="AE7252">
        <v>12.917210000000001</v>
      </c>
      <c r="AF7252">
        <v>-12.8845484063747</v>
      </c>
      <c r="AG7252">
        <v>-1.1087577280609999</v>
      </c>
      <c r="AH7252">
        <v>45.667332680840801</v>
      </c>
      <c r="AI7252">
        <v>91.338574867168205</v>
      </c>
      <c r="AJ7252">
        <v>105.755843977038</v>
      </c>
      <c r="AK7252">
        <v>47.463103622901997</v>
      </c>
      <c r="AL7252">
        <v>89.967443676714794</v>
      </c>
      <c r="AM7252">
        <v>89.396168554878898</v>
      </c>
      <c r="AN7252">
        <v>0.99999999455729904</v>
      </c>
    </row>
    <row r="7253" spans="1:40" x14ac:dyDescent="0.25">
      <c r="A7253" t="str">
        <f>"20190312160827331"</f>
        <v>20190312160827331</v>
      </c>
      <c r="B7253" t="str">
        <f>"1552378107322779"</f>
        <v>1552378107322779</v>
      </c>
      <c r="C7253" t="s">
        <v>40</v>
      </c>
      <c r="D7253">
        <v>6.3045710000000001</v>
      </c>
      <c r="E7253">
        <v>0.39005010000000001</v>
      </c>
      <c r="F7253" t="s">
        <v>82</v>
      </c>
      <c r="G7253">
        <v>-190.7107</v>
      </c>
      <c r="H7253" s="1">
        <v>-9.703923E-6</v>
      </c>
      <c r="I7253">
        <v>-50.849299999999999</v>
      </c>
      <c r="J7253">
        <v>-235.82419999999999</v>
      </c>
      <c r="K7253">
        <v>1.108773</v>
      </c>
      <c r="L7253">
        <v>-63.586060000000003</v>
      </c>
      <c r="M7253">
        <v>0.99994899999999998</v>
      </c>
      <c r="N7253">
        <v>0</v>
      </c>
      <c r="O7253">
        <v>3.0745680000000001E-4</v>
      </c>
      <c r="P7253">
        <v>0.99990009999999996</v>
      </c>
      <c r="Q7253">
        <v>-9.4895989999999996E-3</v>
      </c>
      <c r="R7253">
        <v>-1.048926E-2</v>
      </c>
      <c r="S7253">
        <v>3.0080260000000001</v>
      </c>
      <c r="T7253">
        <v>-7.3674199999999995E-2</v>
      </c>
      <c r="U7253">
        <v>0.84631350000000005</v>
      </c>
      <c r="V7253">
        <v>1.0797370000000001E-2</v>
      </c>
      <c r="W7253">
        <v>6.0636199999999896E-4</v>
      </c>
      <c r="X7253">
        <v>0.99994150000000004</v>
      </c>
      <c r="Y7253">
        <v>-0.27046530000000002</v>
      </c>
      <c r="Z7253">
        <v>3.241271E-3</v>
      </c>
      <c r="AA7253">
        <v>0.96272429999999998</v>
      </c>
      <c r="AB7253">
        <v>32</v>
      </c>
      <c r="AC7253">
        <v>45.113499999999902</v>
      </c>
      <c r="AD7253">
        <v>-1.108782703923</v>
      </c>
      <c r="AE7253">
        <v>12.736759999999901</v>
      </c>
      <c r="AF7253">
        <v>-12.715774201972399</v>
      </c>
      <c r="AG7253">
        <v>-1.108782703923</v>
      </c>
      <c r="AH7253">
        <v>45.092186548269702</v>
      </c>
      <c r="AI7253">
        <v>91.355723508030295</v>
      </c>
      <c r="AJ7253">
        <v>105.748190124815</v>
      </c>
      <c r="AK7253">
        <v>46.863905090634702</v>
      </c>
      <c r="AL7253">
        <v>89.965258013620002</v>
      </c>
      <c r="AM7253">
        <v>89.381344120075994</v>
      </c>
      <c r="AN7253">
        <v>0.99999997714802003</v>
      </c>
    </row>
    <row r="7254" spans="1:40" x14ac:dyDescent="0.25">
      <c r="A7254" t="str">
        <f>"20190312160827341"</f>
        <v>20190312160827341</v>
      </c>
      <c r="B7254" t="str">
        <f>"1552378107332538"</f>
        <v>1552378107332538</v>
      </c>
      <c r="C7254" t="s">
        <v>40</v>
      </c>
      <c r="D7254">
        <v>6.3085789999999999</v>
      </c>
      <c r="E7254">
        <v>0.3900111</v>
      </c>
      <c r="F7254" t="s">
        <v>82</v>
      </c>
      <c r="G7254">
        <v>-189.7338</v>
      </c>
      <c r="H7254" s="1">
        <v>-9.9163679999999996E-6</v>
      </c>
      <c r="I7254">
        <v>-50.602780000000003</v>
      </c>
      <c r="J7254">
        <v>-235.69409999999999</v>
      </c>
      <c r="K7254">
        <v>1.108798</v>
      </c>
      <c r="L7254">
        <v>-63.586269999999899</v>
      </c>
      <c r="M7254">
        <v>0.99994749999999999</v>
      </c>
      <c r="N7254">
        <v>0</v>
      </c>
      <c r="O7254" s="1">
        <v>9.5058029999999999E-5</v>
      </c>
      <c r="P7254">
        <v>0.99989749999999999</v>
      </c>
      <c r="Q7254">
        <v>-9.3591160000000007E-3</v>
      </c>
      <c r="R7254">
        <v>-1.0836999999999999E-2</v>
      </c>
      <c r="S7254">
        <v>3.0085139999999999</v>
      </c>
      <c r="T7254">
        <v>-7.2374820000000006E-2</v>
      </c>
      <c r="U7254">
        <v>0.84747309999999998</v>
      </c>
      <c r="V7254">
        <v>1.0933139999999999E-2</v>
      </c>
      <c r="W7254">
        <v>8.8483490000000001E-4</v>
      </c>
      <c r="X7254">
        <v>0.99993989999999999</v>
      </c>
      <c r="Y7254">
        <v>-0.27097529999999997</v>
      </c>
      <c r="Z7254">
        <v>3.1944880000000001E-3</v>
      </c>
      <c r="AA7254">
        <v>0.96258100000000002</v>
      </c>
      <c r="AB7254">
        <v>32</v>
      </c>
      <c r="AC7254">
        <v>45.960299999999897</v>
      </c>
      <c r="AD7254">
        <v>-1.108807916368</v>
      </c>
      <c r="AE7254">
        <v>12.9834899999999</v>
      </c>
      <c r="AF7254">
        <v>-12.972128617193899</v>
      </c>
      <c r="AG7254">
        <v>-1.108807916368</v>
      </c>
      <c r="AH7254">
        <v>45.936773335555799</v>
      </c>
      <c r="AI7254">
        <v>91.330699023632604</v>
      </c>
      <c r="AJ7254">
        <v>105.76919895610099</v>
      </c>
      <c r="AK7254">
        <v>47.7461278046571</v>
      </c>
      <c r="AL7254">
        <v>89.949302691092896</v>
      </c>
      <c r="AM7254">
        <v>89.373564533125702</v>
      </c>
      <c r="AN7254">
        <v>1.0000000600475301</v>
      </c>
    </row>
    <row r="7255" spans="1:40" x14ac:dyDescent="0.25">
      <c r="A7255" t="str">
        <f>"20190312160827352"</f>
        <v>20190312160827352</v>
      </c>
      <c r="B7255" t="str">
        <f>"1552378107342299"</f>
        <v>1552378107342299</v>
      </c>
      <c r="C7255" t="s">
        <v>40</v>
      </c>
      <c r="D7255">
        <v>6.2948899999999997</v>
      </c>
      <c r="E7255">
        <v>0.39004709999999998</v>
      </c>
      <c r="F7255" t="s">
        <v>82</v>
      </c>
      <c r="G7255">
        <v>-188.6865</v>
      </c>
      <c r="H7255" s="1">
        <v>-3.266431E-6</v>
      </c>
      <c r="I7255">
        <v>-50.357869999999998</v>
      </c>
      <c r="J7255">
        <v>-235.535</v>
      </c>
      <c r="K7255">
        <v>1.1088279999999999</v>
      </c>
      <c r="L7255">
        <v>-63.586550000000003</v>
      </c>
      <c r="M7255">
        <v>0.99994550000000004</v>
      </c>
      <c r="N7255">
        <v>0</v>
      </c>
      <c r="O7255">
        <v>-1.64870999999999E-4</v>
      </c>
      <c r="P7255">
        <v>0.99988929999999998</v>
      </c>
      <c r="Q7255">
        <v>-9.7161620000000004E-3</v>
      </c>
      <c r="R7255">
        <v>-1.126537E-2</v>
      </c>
      <c r="S7255">
        <v>3.0088200000000001</v>
      </c>
      <c r="T7255">
        <v>-7.0971010000000001E-2</v>
      </c>
      <c r="U7255">
        <v>0.84671019999999897</v>
      </c>
      <c r="V7255">
        <v>1.1101339999999999E-2</v>
      </c>
      <c r="W7255">
        <v>7.1317349999999995E-4</v>
      </c>
      <c r="X7255">
        <v>0.99993810000000005</v>
      </c>
      <c r="Y7255">
        <v>-0.27097660000000001</v>
      </c>
      <c r="Z7255">
        <v>3.1383719999999999E-3</v>
      </c>
      <c r="AA7255">
        <v>0.96258080000000001</v>
      </c>
      <c r="AB7255">
        <v>32</v>
      </c>
      <c r="AC7255">
        <v>46.848500000000001</v>
      </c>
      <c r="AD7255">
        <v>-1.1088312664309901</v>
      </c>
      <c r="AE7255">
        <v>13.228680000000001</v>
      </c>
      <c r="AF7255">
        <v>-13.229540351971201</v>
      </c>
      <c r="AG7255">
        <v>-1.1088312664309901</v>
      </c>
      <c r="AH7255">
        <v>46.822025668435103</v>
      </c>
      <c r="AI7255">
        <v>91.305521968175</v>
      </c>
      <c r="AJ7255">
        <v>105.777612914191</v>
      </c>
      <c r="AK7255">
        <v>48.6677750919172</v>
      </c>
      <c r="AL7255">
        <v>89.959138163948893</v>
      </c>
      <c r="AM7255">
        <v>89.363926828722398</v>
      </c>
      <c r="AN7255">
        <v>0.99999997609892299</v>
      </c>
    </row>
    <row r="7256" spans="1:40" x14ac:dyDescent="0.25">
      <c r="A7256" t="str">
        <f>"20190312160827363"</f>
        <v>20190312160827363</v>
      </c>
      <c r="B7256" t="str">
        <f>"1552378107353034"</f>
        <v>1552378107353034</v>
      </c>
      <c r="C7256" t="s">
        <v>40</v>
      </c>
      <c r="D7256">
        <v>6.2885739999999997</v>
      </c>
      <c r="E7256">
        <v>0.3900071</v>
      </c>
      <c r="F7256" t="s">
        <v>82</v>
      </c>
      <c r="G7256">
        <v>-189.57759999999999</v>
      </c>
      <c r="H7256" s="1">
        <v>-9.9714430000000001E-6</v>
      </c>
      <c r="I7256">
        <v>-50.678420000000003</v>
      </c>
      <c r="J7256">
        <v>-235.37450000000001</v>
      </c>
      <c r="K7256">
        <v>1.1088629999999999</v>
      </c>
      <c r="L7256">
        <v>-63.586820000000003</v>
      </c>
      <c r="M7256">
        <v>0.99994349999999999</v>
      </c>
      <c r="N7256">
        <v>0</v>
      </c>
      <c r="O7256">
        <v>-4.3094429999999999E-4</v>
      </c>
      <c r="P7256">
        <v>0.99988560000000004</v>
      </c>
      <c r="Q7256">
        <v>-9.5024459999999995E-3</v>
      </c>
      <c r="R7256">
        <v>-1.178859E-2</v>
      </c>
      <c r="S7256">
        <v>3.0091549999999998</v>
      </c>
      <c r="T7256">
        <v>-7.2603340000000002E-2</v>
      </c>
      <c r="U7256">
        <v>0.8451843</v>
      </c>
      <c r="V7256">
        <v>1.1358979999999999E-2</v>
      </c>
      <c r="W7256">
        <v>1.125638E-3</v>
      </c>
      <c r="X7256">
        <v>0.99993489999999996</v>
      </c>
      <c r="Y7256">
        <v>-0.27074920000000002</v>
      </c>
      <c r="Z7256">
        <v>3.214012E-3</v>
      </c>
      <c r="AA7256">
        <v>0.96264459999999996</v>
      </c>
      <c r="AB7256">
        <v>32</v>
      </c>
      <c r="AC7256">
        <v>45.796900000000001</v>
      </c>
      <c r="AD7256">
        <v>-1.1088729714429999</v>
      </c>
      <c r="AE7256">
        <v>12.908399999999901</v>
      </c>
      <c r="AF7256">
        <v>-12.9211181959847</v>
      </c>
      <c r="AG7256">
        <v>-1.1088729714429999</v>
      </c>
      <c r="AH7256">
        <v>45.766476248311498</v>
      </c>
      <c r="AI7256">
        <v>91.335749379990204</v>
      </c>
      <c r="AJ7256">
        <v>105.76581321221001</v>
      </c>
      <c r="AK7256">
        <v>47.5684269541117</v>
      </c>
      <c r="AL7256">
        <v>89.935505682872105</v>
      </c>
      <c r="AM7256">
        <v>89.349164009543301</v>
      </c>
      <c r="AN7256">
        <v>1.0000000488627701</v>
      </c>
    </row>
    <row r="7257" spans="1:40" x14ac:dyDescent="0.25">
      <c r="A7257" t="str">
        <f>"20190312160827373"</f>
        <v>20190312160827373</v>
      </c>
      <c r="B7257" t="str">
        <f>"1552378107362795"</f>
        <v>1552378107362795</v>
      </c>
      <c r="C7257" t="s">
        <v>40</v>
      </c>
      <c r="D7257">
        <v>6.3052890000000001</v>
      </c>
      <c r="E7257">
        <v>0.3896038</v>
      </c>
      <c r="F7257" t="s">
        <v>82</v>
      </c>
      <c r="G7257">
        <v>-188.5821</v>
      </c>
      <c r="H7257" s="1">
        <v>-1.0085650000000001E-5</v>
      </c>
      <c r="I7257">
        <v>-50.4666</v>
      </c>
      <c r="J7257">
        <v>-235.2277</v>
      </c>
      <c r="K7257">
        <v>1.108897</v>
      </c>
      <c r="L7257">
        <v>-63.587130000000002</v>
      </c>
      <c r="M7257">
        <v>0.99994119999999997</v>
      </c>
      <c r="N7257">
        <v>0</v>
      </c>
      <c r="O7257">
        <v>-6.7453559999999997E-4</v>
      </c>
      <c r="P7257">
        <v>0.99987899999999996</v>
      </c>
      <c r="Q7257">
        <v>-9.6361989999999998E-3</v>
      </c>
      <c r="R7257">
        <v>-1.220095E-2</v>
      </c>
      <c r="S7257">
        <v>3.0096129999999999</v>
      </c>
      <c r="T7257">
        <v>-7.1321010000000004E-2</v>
      </c>
      <c r="U7257">
        <v>0.84387209999999901</v>
      </c>
      <c r="V7257">
        <v>1.152799E-2</v>
      </c>
      <c r="W7257">
        <v>1.175705E-3</v>
      </c>
      <c r="X7257">
        <v>0.99993290000000001</v>
      </c>
      <c r="Y7257">
        <v>-0.27055899999999999</v>
      </c>
      <c r="Z7257">
        <v>3.1604329999999998E-3</v>
      </c>
      <c r="AA7257">
        <v>0.96269819999999995</v>
      </c>
      <c r="AB7257">
        <v>32</v>
      </c>
      <c r="AC7257">
        <v>46.645600000000002</v>
      </c>
      <c r="AD7257">
        <v>-1.1089070856500001</v>
      </c>
      <c r="AE7257">
        <v>13.12053</v>
      </c>
      <c r="AF7257">
        <v>-13.145108612827499</v>
      </c>
      <c r="AG7257">
        <v>-1.1089070856500001</v>
      </c>
      <c r="AH7257">
        <v>46.612326773272002</v>
      </c>
      <c r="AI7257">
        <v>91.311668009062203</v>
      </c>
      <c r="AJ7257">
        <v>105.748944324728</v>
      </c>
      <c r="AK7257">
        <v>48.443085807841797</v>
      </c>
      <c r="AL7257">
        <v>89.932637052768001</v>
      </c>
      <c r="AM7257">
        <v>89.339479766596796</v>
      </c>
      <c r="AN7257">
        <v>1.0000000406690399</v>
      </c>
    </row>
    <row r="7258" spans="1:40" x14ac:dyDescent="0.25">
      <c r="A7258" t="str">
        <f>"20190312160827385"</f>
        <v>20190312160827385</v>
      </c>
      <c r="B7258" t="str">
        <f>"1552378107382314"</f>
        <v>1552378107382314</v>
      </c>
      <c r="C7258" t="s">
        <v>40</v>
      </c>
      <c r="D7258">
        <v>6.2437440000000004</v>
      </c>
      <c r="E7258">
        <v>0.3898297</v>
      </c>
      <c r="F7258" t="s">
        <v>82</v>
      </c>
      <c r="G7258">
        <v>-186.52690000000001</v>
      </c>
      <c r="H7258" s="1">
        <v>-3.0557229999999998E-6</v>
      </c>
      <c r="I7258">
        <v>-49.902540000000002</v>
      </c>
      <c r="J7258">
        <v>-235.06829999999999</v>
      </c>
      <c r="K7258">
        <v>1.108935</v>
      </c>
      <c r="L7258">
        <v>-63.587490000000003</v>
      </c>
      <c r="M7258">
        <v>0.99993889999999996</v>
      </c>
      <c r="N7258">
        <v>0</v>
      </c>
      <c r="O7258">
        <v>-9.419567E-4</v>
      </c>
      <c r="P7258">
        <v>0.99987300000000001</v>
      </c>
      <c r="Q7258">
        <v>-9.7457110000000007E-3</v>
      </c>
      <c r="R7258">
        <v>-1.260611E-2</v>
      </c>
      <c r="S7258">
        <v>3.0100250000000002</v>
      </c>
      <c r="T7258">
        <v>-6.8537120000000007E-2</v>
      </c>
      <c r="U7258">
        <v>0.84579470000000001</v>
      </c>
      <c r="V7258">
        <v>1.166583E-2</v>
      </c>
      <c r="W7258">
        <v>1.264874E-3</v>
      </c>
      <c r="X7258">
        <v>0.99993120000000002</v>
      </c>
      <c r="Y7258">
        <v>-0.27135730000000002</v>
      </c>
      <c r="Z7258">
        <v>3.0513340000000002E-3</v>
      </c>
      <c r="AA7258">
        <v>0.96247389999999999</v>
      </c>
      <c r="AB7258">
        <v>32</v>
      </c>
      <c r="AC7258">
        <v>48.541399999999904</v>
      </c>
      <c r="AD7258">
        <v>-1.108938055723</v>
      </c>
      <c r="AE7258">
        <v>13.684950000000001</v>
      </c>
      <c r="AF7258">
        <v>-13.724035354371299</v>
      </c>
      <c r="AG7258">
        <v>-1.108938055723</v>
      </c>
      <c r="AH7258">
        <v>48.505036020373502</v>
      </c>
      <c r="AI7258">
        <v>91.260230692494702</v>
      </c>
      <c r="AJ7258">
        <v>105.79835255997</v>
      </c>
      <c r="AK7258">
        <v>50.421398328063098</v>
      </c>
      <c r="AL7258">
        <v>89.927528042346395</v>
      </c>
      <c r="AM7258">
        <v>89.331581512321506</v>
      </c>
      <c r="AN7258">
        <v>1.0000000481146301</v>
      </c>
    </row>
    <row r="7259" spans="1:40" x14ac:dyDescent="0.25">
      <c r="A7259" t="str">
        <f>"20190312160827396"</f>
        <v>20190312160827396</v>
      </c>
      <c r="B7259" t="str">
        <f>"1552378107393051"</f>
        <v>1552378107393051</v>
      </c>
      <c r="C7259" t="s">
        <v>40</v>
      </c>
      <c r="D7259">
        <v>6.2800330000000004</v>
      </c>
      <c r="E7259">
        <v>0.38999210000000001</v>
      </c>
      <c r="F7259" t="s">
        <v>82</v>
      </c>
      <c r="G7259">
        <v>-188.9427</v>
      </c>
      <c r="H7259" s="1">
        <v>-1.00887E-5</v>
      </c>
      <c r="I7259">
        <v>-50.673540000000003</v>
      </c>
      <c r="J7259">
        <v>-234.90940000000001</v>
      </c>
      <c r="K7259">
        <v>1.1089659999999999</v>
      </c>
      <c r="L7259">
        <v>-63.587919999999997</v>
      </c>
      <c r="M7259">
        <v>0.99993639999999995</v>
      </c>
      <c r="N7259">
        <v>0</v>
      </c>
      <c r="O7259">
        <v>-1.208312E-3</v>
      </c>
      <c r="P7259">
        <v>0.99986900000000001</v>
      </c>
      <c r="Q7259">
        <v>-9.806548E-3</v>
      </c>
      <c r="R7259">
        <v>-1.2889589999999999E-2</v>
      </c>
      <c r="S7259">
        <v>3.0103</v>
      </c>
      <c r="T7259">
        <v>-7.2373149999999997E-2</v>
      </c>
      <c r="U7259">
        <v>0.842804</v>
      </c>
      <c r="V7259">
        <v>1.168274E-2</v>
      </c>
      <c r="W7259">
        <v>1.400772E-3</v>
      </c>
      <c r="X7259">
        <v>0.99993080000000001</v>
      </c>
      <c r="Y7259">
        <v>-0.27069680000000002</v>
      </c>
      <c r="Z7259">
        <v>3.2207070000000002E-3</v>
      </c>
      <c r="AA7259">
        <v>0.96265919999999905</v>
      </c>
      <c r="AB7259">
        <v>32</v>
      </c>
      <c r="AC7259">
        <v>45.966700000000003</v>
      </c>
      <c r="AD7259">
        <v>-1.1089760887</v>
      </c>
      <c r="AE7259">
        <v>12.9143799999999</v>
      </c>
      <c r="AF7259">
        <v>-12.962923138034901</v>
      </c>
      <c r="AG7259">
        <v>-1.1089760887</v>
      </c>
      <c r="AH7259">
        <v>45.926285244695599</v>
      </c>
      <c r="AI7259">
        <v>91.331251909618402</v>
      </c>
      <c r="AJ7259">
        <v>105.761984554427</v>
      </c>
      <c r="AK7259">
        <v>47.733540415781597</v>
      </c>
      <c r="AL7259">
        <v>89.919741652234705</v>
      </c>
      <c r="AM7259">
        <v>89.330612438333603</v>
      </c>
      <c r="AN7259">
        <v>1.0000000266823701</v>
      </c>
    </row>
    <row r="7260" spans="1:40" x14ac:dyDescent="0.25">
      <c r="A7260" t="str">
        <f>"20190312160827407"</f>
        <v>20190312160827407</v>
      </c>
      <c r="B7260" t="str">
        <f>"1552378107402810"</f>
        <v>1552378107402810</v>
      </c>
      <c r="C7260" t="s">
        <v>40</v>
      </c>
      <c r="D7260">
        <v>6.2690219999999997</v>
      </c>
      <c r="E7260">
        <v>0.3902197</v>
      </c>
      <c r="F7260" t="s">
        <v>82</v>
      </c>
      <c r="G7260">
        <v>-190.96170000000001</v>
      </c>
      <c r="H7260" s="1">
        <v>-9.5604219999999993E-6</v>
      </c>
      <c r="I7260">
        <v>-51.312939999999998</v>
      </c>
      <c r="J7260">
        <v>-234.7492</v>
      </c>
      <c r="K7260">
        <v>1.108992</v>
      </c>
      <c r="L7260">
        <v>-63.588349999999998</v>
      </c>
      <c r="M7260">
        <v>0.99993390000000004</v>
      </c>
      <c r="N7260">
        <v>0</v>
      </c>
      <c r="O7260">
        <v>-1.4758600000000001E-3</v>
      </c>
      <c r="P7260">
        <v>0.9998667</v>
      </c>
      <c r="Q7260">
        <v>-9.7595730000000006E-3</v>
      </c>
      <c r="R7260">
        <v>-1.3098149999999999E-2</v>
      </c>
      <c r="S7260">
        <v>3.0104679999999999</v>
      </c>
      <c r="T7260">
        <v>-7.5966119999999998E-2</v>
      </c>
      <c r="U7260">
        <v>0.84085080000000001</v>
      </c>
      <c r="V7260">
        <v>1.162419E-2</v>
      </c>
      <c r="W7260">
        <v>1.6363300000000001E-3</v>
      </c>
      <c r="X7260">
        <v>0.99993109999999996</v>
      </c>
      <c r="Y7260">
        <v>-0.27035369999999997</v>
      </c>
      <c r="Z7260">
        <v>3.3830380000000001E-3</v>
      </c>
      <c r="AA7260">
        <v>0.96275509999999997</v>
      </c>
      <c r="AB7260">
        <v>32</v>
      </c>
      <c r="AC7260">
        <v>43.787500000000001</v>
      </c>
      <c r="AD7260">
        <v>-1.109001560422</v>
      </c>
      <c r="AE7260">
        <v>12.2754099999999</v>
      </c>
      <c r="AF7260">
        <v>-12.3326906413778</v>
      </c>
      <c r="AG7260">
        <v>-1.109001560422</v>
      </c>
      <c r="AH7260">
        <v>43.743319628094497</v>
      </c>
      <c r="AI7260">
        <v>91.397810548207801</v>
      </c>
      <c r="AJ7260">
        <v>105.74490225446399</v>
      </c>
      <c r="AK7260">
        <v>45.462106803387201</v>
      </c>
      <c r="AL7260">
        <v>89.906245155462997</v>
      </c>
      <c r="AM7260">
        <v>89.333967082580401</v>
      </c>
      <c r="AN7260">
        <v>1.0000000020581099</v>
      </c>
    </row>
    <row r="7261" spans="1:40" x14ac:dyDescent="0.25">
      <c r="A7261" t="str">
        <f>"20190312160827419"</f>
        <v>20190312160827419</v>
      </c>
      <c r="B7261" t="str">
        <f>"1552378107412570"</f>
        <v>1552378107412570</v>
      </c>
      <c r="C7261" t="s">
        <v>40</v>
      </c>
      <c r="D7261">
        <v>6.2694449999999904</v>
      </c>
      <c r="E7261">
        <v>0.39042759999999999</v>
      </c>
      <c r="F7261" t="s">
        <v>82</v>
      </c>
      <c r="G7261">
        <v>-193.48070000000001</v>
      </c>
      <c r="H7261" s="1">
        <v>-9.5279439999999994E-6</v>
      </c>
      <c r="I7261">
        <v>-52.094360000000002</v>
      </c>
      <c r="J7261">
        <v>-234.58619999999999</v>
      </c>
      <c r="K7261">
        <v>1.1090139999999999</v>
      </c>
      <c r="L7261">
        <v>-63.588900000000002</v>
      </c>
      <c r="M7261">
        <v>0.99993140000000003</v>
      </c>
      <c r="N7261">
        <v>0</v>
      </c>
      <c r="O7261">
        <v>-1.746521E-3</v>
      </c>
      <c r="P7261">
        <v>0.99986280000000005</v>
      </c>
      <c r="Q7261">
        <v>-9.6498190000000005E-3</v>
      </c>
      <c r="R7261">
        <v>-1.3465990000000001E-2</v>
      </c>
      <c r="S7261">
        <v>3.0105900000000001</v>
      </c>
      <c r="T7261">
        <v>-8.0903050000000004E-2</v>
      </c>
      <c r="U7261">
        <v>0.83850100000000005</v>
      </c>
      <c r="V7261">
        <v>1.172173E-2</v>
      </c>
      <c r="W7261">
        <v>1.9319680000000001E-3</v>
      </c>
      <c r="X7261">
        <v>0.99992939999999997</v>
      </c>
      <c r="Y7261">
        <v>-0.26989629999999998</v>
      </c>
      <c r="Z7261">
        <v>3.6041620000000002E-3</v>
      </c>
      <c r="AA7261">
        <v>0.96288260000000003</v>
      </c>
      <c r="AB7261">
        <v>32</v>
      </c>
      <c r="AC7261">
        <v>41.1054999999999</v>
      </c>
      <c r="AD7261">
        <v>-1.1090235279439999</v>
      </c>
      <c r="AE7261">
        <v>11.494540000000001</v>
      </c>
      <c r="AF7261">
        <v>-11.5585154615144</v>
      </c>
      <c r="AG7261">
        <v>-1.1090235279439999</v>
      </c>
      <c r="AH7261">
        <v>41.0576414672217</v>
      </c>
      <c r="AI7261">
        <v>91.489395060780495</v>
      </c>
      <c r="AJ7261">
        <v>105.72293161872901</v>
      </c>
      <c r="AK7261">
        <v>42.668010683772501</v>
      </c>
      <c r="AL7261">
        <v>89.889306315066904</v>
      </c>
      <c r="AM7261">
        <v>89.328377686985206</v>
      </c>
      <c r="AN7261">
        <v>0.99999996821945203</v>
      </c>
    </row>
    <row r="7262" spans="1:40" x14ac:dyDescent="0.25">
      <c r="A7262" t="str">
        <f>"20190312160827430"</f>
        <v>20190312160827430</v>
      </c>
      <c r="B7262" t="str">
        <f>"1552378107422330"</f>
        <v>1552378107422330</v>
      </c>
      <c r="C7262" t="s">
        <v>40</v>
      </c>
      <c r="D7262">
        <v>6.2988169999999997</v>
      </c>
      <c r="E7262">
        <v>0.39062599999999997</v>
      </c>
      <c r="F7262" t="s">
        <v>82</v>
      </c>
      <c r="G7262">
        <v>-195.70079999999999</v>
      </c>
      <c r="H7262" s="1">
        <v>-9.4959880000000007E-6</v>
      </c>
      <c r="I7262">
        <v>-52.79224</v>
      </c>
      <c r="J7262">
        <v>-234.4264</v>
      </c>
      <c r="K7262">
        <v>1.109032</v>
      </c>
      <c r="L7262">
        <v>-63.589419999999997</v>
      </c>
      <c r="M7262">
        <v>0.99992879999999995</v>
      </c>
      <c r="N7262">
        <v>0</v>
      </c>
      <c r="O7262">
        <v>-2.0098759999999999E-3</v>
      </c>
      <c r="P7262">
        <v>0.99986209999999998</v>
      </c>
      <c r="Q7262">
        <v>-9.4159689999999997E-3</v>
      </c>
      <c r="R7262">
        <v>-1.368684E-2</v>
      </c>
      <c r="S7262">
        <v>3.010834</v>
      </c>
      <c r="T7262">
        <v>-8.5869909999999994E-2</v>
      </c>
      <c r="U7262">
        <v>0.83596800000000004</v>
      </c>
      <c r="V7262">
        <v>1.1679729999999999E-2</v>
      </c>
      <c r="W7262">
        <v>2.3396630000000001E-3</v>
      </c>
      <c r="X7262">
        <v>0.99992910000000002</v>
      </c>
      <c r="Y7262">
        <v>-0.2693663</v>
      </c>
      <c r="Z7262">
        <v>3.8254270000000002E-3</v>
      </c>
      <c r="AA7262">
        <v>0.96303019999999995</v>
      </c>
      <c r="AB7262">
        <v>32</v>
      </c>
      <c r="AC7262">
        <v>38.7256</v>
      </c>
      <c r="AD7262">
        <v>-1.1090414959879999</v>
      </c>
      <c r="AE7262">
        <v>10.7971799999999</v>
      </c>
      <c r="AF7262">
        <v>-10.866727608477101</v>
      </c>
      <c r="AG7262">
        <v>-1.1090414959879999</v>
      </c>
      <c r="AH7262">
        <v>38.674387926782501</v>
      </c>
      <c r="AI7262">
        <v>91.581379394383703</v>
      </c>
      <c r="AJ7262">
        <v>105.694298325487</v>
      </c>
      <c r="AK7262">
        <v>40.187361489253298</v>
      </c>
      <c r="AL7262">
        <v>89.865947068692506</v>
      </c>
      <c r="AM7262">
        <v>89.330783749388104</v>
      </c>
      <c r="AN7262">
        <v>1.00000004757131</v>
      </c>
    </row>
    <row r="7263" spans="1:40" x14ac:dyDescent="0.25">
      <c r="A7263" t="str">
        <f>"20190312160827440"</f>
        <v>20190312160827440</v>
      </c>
      <c r="B7263" t="str">
        <f>"1552378107433067"</f>
        <v>1552378107433067</v>
      </c>
      <c r="C7263" t="s">
        <v>40</v>
      </c>
      <c r="D7263">
        <v>6.2736510000000001</v>
      </c>
      <c r="E7263">
        <v>0.39075070000000001</v>
      </c>
      <c r="F7263" t="s">
        <v>82</v>
      </c>
      <c r="G7263">
        <v>-197.35319999999999</v>
      </c>
      <c r="H7263" s="1">
        <v>-9.4725309999999993E-6</v>
      </c>
      <c r="I7263">
        <v>-53.322319999999998</v>
      </c>
      <c r="J7263">
        <v>-234.28190000000001</v>
      </c>
      <c r="K7263">
        <v>1.109046</v>
      </c>
      <c r="L7263">
        <v>-63.589970000000001</v>
      </c>
      <c r="M7263">
        <v>0.99992650000000005</v>
      </c>
      <c r="N7263">
        <v>0</v>
      </c>
      <c r="O7263">
        <v>-2.2462749999999998E-3</v>
      </c>
      <c r="P7263">
        <v>0.99985729999999995</v>
      </c>
      <c r="Q7263">
        <v>-9.4959720000000001E-3</v>
      </c>
      <c r="R7263">
        <v>-1.3965389999999999E-2</v>
      </c>
      <c r="S7263">
        <v>3.0109710000000001</v>
      </c>
      <c r="T7263">
        <v>-9.0072990000000006E-2</v>
      </c>
      <c r="U7263">
        <v>0.83386229999999995</v>
      </c>
      <c r="V7263">
        <v>1.17219E-2</v>
      </c>
      <c r="W7263">
        <v>2.4088040000000001E-3</v>
      </c>
      <c r="X7263">
        <v>0.99992840000000005</v>
      </c>
      <c r="Y7263">
        <v>-0.26894699999999999</v>
      </c>
      <c r="Z7263">
        <v>4.0135709999999996E-3</v>
      </c>
      <c r="AA7263">
        <v>0.96314659999999996</v>
      </c>
      <c r="AB7263">
        <v>32</v>
      </c>
      <c r="AC7263">
        <v>36.928699999999999</v>
      </c>
      <c r="AD7263">
        <v>-1.109055472531</v>
      </c>
      <c r="AE7263">
        <v>10.2676499999999</v>
      </c>
      <c r="AF7263">
        <v>-10.3419235354632</v>
      </c>
      <c r="AG7263">
        <v>-1.109055472531</v>
      </c>
      <c r="AH7263">
        <v>36.874669023898797</v>
      </c>
      <c r="AI7263">
        <v>91.658763232374298</v>
      </c>
      <c r="AJ7263">
        <v>105.666761088687</v>
      </c>
      <c r="AK7263">
        <v>38.313530274259499</v>
      </c>
      <c r="AL7263">
        <v>89.861985564375701</v>
      </c>
      <c r="AM7263">
        <v>89.328367275734806</v>
      </c>
      <c r="AN7263">
        <v>1.0000000052014399</v>
      </c>
    </row>
    <row r="7264" spans="1:40" x14ac:dyDescent="0.25">
      <c r="A7264" t="str">
        <f>"20190312160827451"</f>
        <v>20190312160827451</v>
      </c>
      <c r="B7264" t="str">
        <f>"1552378107442827"</f>
        <v>1552378107442827</v>
      </c>
      <c r="C7264" t="s">
        <v>40</v>
      </c>
      <c r="D7264">
        <v>5.9672960000000002</v>
      </c>
      <c r="E7264">
        <v>0.39075070000000001</v>
      </c>
      <c r="F7264" t="s">
        <v>82</v>
      </c>
      <c r="G7264">
        <v>-198.2517</v>
      </c>
      <c r="H7264" s="1">
        <v>-9.4644739999999995E-6</v>
      </c>
      <c r="I7264">
        <v>-53.633200000000002</v>
      </c>
      <c r="J7264">
        <v>-234.12729999999999</v>
      </c>
      <c r="K7264">
        <v>1.1090629999999999</v>
      </c>
      <c r="L7264">
        <v>-63.590519999999998</v>
      </c>
      <c r="M7264">
        <v>0.99992400000000004</v>
      </c>
      <c r="N7264">
        <v>0</v>
      </c>
      <c r="O7264">
        <v>-2.4977509999999999E-3</v>
      </c>
      <c r="P7264">
        <v>0.99985550000000001</v>
      </c>
      <c r="Q7264">
        <v>-9.5728099999999993E-3</v>
      </c>
      <c r="R7264">
        <v>-1.405084E-2</v>
      </c>
      <c r="S7264">
        <v>3.0111690000000002</v>
      </c>
      <c r="T7264">
        <v>-9.2687850000000002E-2</v>
      </c>
      <c r="U7264">
        <v>0.83212280000000005</v>
      </c>
      <c r="V7264">
        <v>1.1555899999999999E-2</v>
      </c>
      <c r="W7264">
        <v>2.486528E-3</v>
      </c>
      <c r="X7264">
        <v>0.99993010000000004</v>
      </c>
      <c r="Y7264">
        <v>-0.26864939999999998</v>
      </c>
      <c r="Z7264">
        <v>4.1331909999999996E-3</v>
      </c>
      <c r="AA7264">
        <v>0.96322909999999995</v>
      </c>
      <c r="AB7264">
        <v>31</v>
      </c>
      <c r="AC7264">
        <v>35.875599999999899</v>
      </c>
      <c r="AD7264">
        <v>-1.109072464474</v>
      </c>
      <c r="AE7264">
        <v>9.9573199999999904</v>
      </c>
      <c r="AF7264">
        <v>-10.0379966302608</v>
      </c>
      <c r="AG7264">
        <v>-1.109072464474</v>
      </c>
      <c r="AH7264">
        <v>35.818831746294599</v>
      </c>
      <c r="AI7264">
        <v>91.707753132348202</v>
      </c>
      <c r="AJ7264">
        <v>105.65518563393201</v>
      </c>
      <c r="AK7264">
        <v>37.215321115770898</v>
      </c>
      <c r="AL7264">
        <v>89.857532287916499</v>
      </c>
      <c r="AM7264">
        <v>89.337878893228094</v>
      </c>
      <c r="AN7264">
        <v>0.99999996326615603</v>
      </c>
    </row>
    <row r="7265" spans="1:40" x14ac:dyDescent="0.25">
      <c r="A7265" t="str">
        <f>"20190312160827464"</f>
        <v>20190312160827464</v>
      </c>
      <c r="B7265" t="str">
        <f>"1552378107452312"</f>
        <v>1552378107452312</v>
      </c>
      <c r="C7265" t="s">
        <v>40</v>
      </c>
      <c r="D7265">
        <v>6.2403380000000004</v>
      </c>
      <c r="E7265">
        <v>0.36704560000000003</v>
      </c>
      <c r="F7265" t="s">
        <v>82</v>
      </c>
      <c r="G7265">
        <v>-198.26910000000001</v>
      </c>
      <c r="H7265" s="1">
        <v>-9.4481959999999995E-6</v>
      </c>
      <c r="I7265">
        <v>-53.685160000000003</v>
      </c>
      <c r="J7265">
        <v>-233.9665</v>
      </c>
      <c r="K7265">
        <v>1.109073</v>
      </c>
      <c r="L7265">
        <v>-63.5912199999999</v>
      </c>
      <c r="M7265">
        <v>0.99992159999999997</v>
      </c>
      <c r="N7265">
        <v>0</v>
      </c>
      <c r="O7265">
        <v>-2.7588589999999998E-3</v>
      </c>
      <c r="P7265">
        <v>0.99984919999999999</v>
      </c>
      <c r="Q7265">
        <v>-9.9459879999999994E-3</v>
      </c>
      <c r="R7265">
        <v>-1.424421E-2</v>
      </c>
      <c r="S7265">
        <v>3.0112459999999999</v>
      </c>
      <c r="T7265">
        <v>-9.3136070000000001E-2</v>
      </c>
      <c r="U7265">
        <v>0.83181759999999905</v>
      </c>
      <c r="V7265">
        <v>1.148805E-2</v>
      </c>
      <c r="W7265">
        <v>2.2619390000000001E-3</v>
      </c>
      <c r="X7265">
        <v>0.99993149999999997</v>
      </c>
      <c r="Y7265">
        <v>-0.2688026</v>
      </c>
      <c r="Z7265">
        <v>4.1633759999999999E-3</v>
      </c>
      <c r="AA7265">
        <v>0.96318630000000005</v>
      </c>
      <c r="AB7265">
        <v>31</v>
      </c>
      <c r="AC7265">
        <v>35.697399999999902</v>
      </c>
      <c r="AD7265">
        <v>-1.109082448196</v>
      </c>
      <c r="AE7265">
        <v>9.9060599999999894</v>
      </c>
      <c r="AF7265">
        <v>-9.9955550767865198</v>
      </c>
      <c r="AG7265">
        <v>-1.109082448196</v>
      </c>
      <c r="AH7265">
        <v>35.637991608332598</v>
      </c>
      <c r="AI7265">
        <v>91.716326101697007</v>
      </c>
      <c r="AJ7265">
        <v>105.667464436052</v>
      </c>
      <c r="AK7265">
        <v>37.029820834640198</v>
      </c>
      <c r="AL7265">
        <v>89.870400337514198</v>
      </c>
      <c r="AM7265">
        <v>89.341767089001806</v>
      </c>
      <c r="AN7265">
        <v>1.0000000481765401</v>
      </c>
    </row>
    <row r="7266" spans="1:40" x14ac:dyDescent="0.25">
      <c r="A7266" t="str">
        <f>"20190312160827475"</f>
        <v>20190312160827475</v>
      </c>
      <c r="B7266" t="str">
        <f>"1552378107472796"</f>
        <v>1552378107472796</v>
      </c>
      <c r="C7266" t="s">
        <v>40</v>
      </c>
      <c r="D7266">
        <v>6.2105309999999996</v>
      </c>
      <c r="E7266">
        <v>0.36790539999999999</v>
      </c>
      <c r="F7266" t="s">
        <v>52</v>
      </c>
      <c r="G7266">
        <v>-165.79669999999999</v>
      </c>
      <c r="H7266">
        <v>1.7730760000000001</v>
      </c>
      <c r="I7266">
        <v>-40.619770000000003</v>
      </c>
      <c r="J7266">
        <v>-233.8047</v>
      </c>
      <c r="K7266">
        <v>1.109084</v>
      </c>
      <c r="L7266">
        <v>-63.591920000000002</v>
      </c>
      <c r="M7266">
        <v>0.999919</v>
      </c>
      <c r="N7266">
        <v>0</v>
      </c>
      <c r="O7266">
        <v>-3.0212699999999999E-3</v>
      </c>
      <c r="P7266">
        <v>0.99984510000000004</v>
      </c>
      <c r="Q7266">
        <v>-1.024447E-2</v>
      </c>
      <c r="R7266">
        <v>-1.4318880000000001E-2</v>
      </c>
      <c r="S7266">
        <v>3.015228</v>
      </c>
      <c r="T7266">
        <v>2.9368640000000001E-2</v>
      </c>
      <c r="U7266">
        <v>1.016052</v>
      </c>
      <c r="V7266">
        <v>1.130013E-2</v>
      </c>
      <c r="W7266">
        <v>2.1103049999999998E-3</v>
      </c>
      <c r="X7266">
        <v>0.99993390000000004</v>
      </c>
      <c r="Y7266">
        <v>-0.32217879999999999</v>
      </c>
      <c r="Z7266">
        <v>-1.5554570000000001E-3</v>
      </c>
      <c r="AA7266">
        <v>0.94667760000000001</v>
      </c>
      <c r="AB7266">
        <v>31</v>
      </c>
      <c r="AC7266">
        <v>68.007999999999996</v>
      </c>
      <c r="AD7266">
        <v>0.66399199999999903</v>
      </c>
      <c r="AE7266">
        <v>22.9721499999999</v>
      </c>
      <c r="AF7266">
        <v>-23.175548424577801</v>
      </c>
      <c r="AG7266">
        <v>0.66399199999999903</v>
      </c>
      <c r="AH7266">
        <v>67.932466739010906</v>
      </c>
      <c r="AI7266">
        <v>89.469984855013706</v>
      </c>
      <c r="AJ7266">
        <v>108.837367703415</v>
      </c>
      <c r="AK7266">
        <v>71.779990020916301</v>
      </c>
      <c r="AL7266">
        <v>89.879088337289303</v>
      </c>
      <c r="AM7266">
        <v>89.352535005400298</v>
      </c>
      <c r="AN7266">
        <v>0.99999997534720897</v>
      </c>
    </row>
    <row r="7267" spans="1:40" x14ac:dyDescent="0.25">
      <c r="A7267" t="str">
        <f>"20190312160827486"</f>
        <v>20190312160827486</v>
      </c>
      <c r="B7267" t="str">
        <f>"1552378107482556"</f>
        <v>1552378107482556</v>
      </c>
      <c r="C7267" t="s">
        <v>40</v>
      </c>
      <c r="D7267">
        <v>5.0661930000000002</v>
      </c>
      <c r="E7267">
        <v>0.3675406</v>
      </c>
      <c r="F7267" t="s">
        <v>52</v>
      </c>
      <c r="G7267">
        <v>-157.3501</v>
      </c>
      <c r="H7267">
        <v>0.823735199999999</v>
      </c>
      <c r="I7267">
        <v>-37.970050000000001</v>
      </c>
      <c r="J7267">
        <v>-233.643</v>
      </c>
      <c r="K7267">
        <v>1.1090899999999999</v>
      </c>
      <c r="L7267">
        <v>-63.592680000000001</v>
      </c>
      <c r="M7267">
        <v>0.99991649999999999</v>
      </c>
      <c r="N7267">
        <v>0</v>
      </c>
      <c r="O7267">
        <v>-3.2845439999999999E-3</v>
      </c>
      <c r="P7267">
        <v>0.99983719999999998</v>
      </c>
      <c r="Q7267">
        <v>-1.036727E-2</v>
      </c>
      <c r="R7267">
        <v>-1.4768659999999999E-2</v>
      </c>
      <c r="S7267">
        <v>3.0148320000000002</v>
      </c>
      <c r="T7267">
        <v>-1.125288E-2</v>
      </c>
      <c r="U7267">
        <v>1.010345</v>
      </c>
      <c r="V7267">
        <v>1.148679E-2</v>
      </c>
      <c r="W7267">
        <v>2.1203179999999999E-3</v>
      </c>
      <c r="X7267">
        <v>0.99993180000000004</v>
      </c>
      <c r="Y7267">
        <v>-0.32086710000000002</v>
      </c>
      <c r="Z7267">
        <v>5.9482299999999997E-4</v>
      </c>
      <c r="AA7267">
        <v>0.94712399999999997</v>
      </c>
      <c r="AB7267">
        <v>31</v>
      </c>
      <c r="AC7267">
        <v>76.292900000000003</v>
      </c>
      <c r="AD7267">
        <v>-0.28535479999999902</v>
      </c>
      <c r="AE7267">
        <v>25.622629999999901</v>
      </c>
      <c r="AF7267">
        <v>-25.872773467065301</v>
      </c>
      <c r="AG7267">
        <v>-0.28535479999999902</v>
      </c>
      <c r="AH7267">
        <v>76.207365129598799</v>
      </c>
      <c r="AI7267">
        <v>90.203151619959201</v>
      </c>
      <c r="AJ7267">
        <v>108.752601411485</v>
      </c>
      <c r="AK7267">
        <v>80.480086569510803</v>
      </c>
      <c r="AL7267">
        <v>89.878514639185696</v>
      </c>
      <c r="AM7267">
        <v>89.341839474546504</v>
      </c>
      <c r="AN7267">
        <v>1.00000002337208</v>
      </c>
    </row>
    <row r="7268" spans="1:40" x14ac:dyDescent="0.25">
      <c r="A7268" t="str">
        <f>"20190312160827498"</f>
        <v>20190312160827498</v>
      </c>
      <c r="B7268" t="str">
        <f>"1552378107492316"</f>
        <v>1552378107492316</v>
      </c>
      <c r="C7268" t="s">
        <v>40</v>
      </c>
      <c r="D7268">
        <v>6.2328060000000001</v>
      </c>
      <c r="E7268">
        <v>0.36730970000000002</v>
      </c>
      <c r="F7268" t="s">
        <v>52</v>
      </c>
      <c r="G7268">
        <v>-157.3501</v>
      </c>
      <c r="H7268">
        <v>0.7162714</v>
      </c>
      <c r="I7268">
        <v>-37.98706</v>
      </c>
      <c r="J7268">
        <v>-233.4838</v>
      </c>
      <c r="K7268">
        <v>1.109097</v>
      </c>
      <c r="L7268">
        <v>-63.59348</v>
      </c>
      <c r="M7268">
        <v>0.99991399999999997</v>
      </c>
      <c r="N7268">
        <v>0</v>
      </c>
      <c r="O7268">
        <v>-3.5438430000000001E-3</v>
      </c>
      <c r="P7268">
        <v>0.99983619999999995</v>
      </c>
      <c r="Q7268">
        <v>-1.0138609999999999E-2</v>
      </c>
      <c r="R7268">
        <v>-1.500276E-2</v>
      </c>
      <c r="S7268">
        <v>3.0152739999999998</v>
      </c>
      <c r="T7268">
        <v>-1.552594E-2</v>
      </c>
      <c r="U7268">
        <v>1.0119929999999999</v>
      </c>
      <c r="V7268">
        <v>1.146175E-2</v>
      </c>
      <c r="W7268">
        <v>2.4755609999999998E-3</v>
      </c>
      <c r="X7268">
        <v>0.99993129999999997</v>
      </c>
      <c r="Y7268">
        <v>-0.32153419999999999</v>
      </c>
      <c r="Z7268">
        <v>8.2348060000000001E-4</v>
      </c>
      <c r="AA7268">
        <v>0.94689760000000001</v>
      </c>
      <c r="AB7268">
        <v>31</v>
      </c>
      <c r="AC7268">
        <v>76.133700000000005</v>
      </c>
      <c r="AD7268">
        <v>-0.3928256</v>
      </c>
      <c r="AE7268">
        <v>25.60642</v>
      </c>
      <c r="AF7268">
        <v>-25.875467712427</v>
      </c>
      <c r="AG7268">
        <v>-0.3928256</v>
      </c>
      <c r="AH7268">
        <v>76.040650830572901</v>
      </c>
      <c r="AI7268">
        <v>90.280208421246996</v>
      </c>
      <c r="AJ7268">
        <v>108.792652196557</v>
      </c>
      <c r="AK7268">
        <v>80.323562670152896</v>
      </c>
      <c r="AL7268">
        <v>89.858160665332605</v>
      </c>
      <c r="AM7268">
        <v>89.343273741458006</v>
      </c>
      <c r="AN7268">
        <v>1.0000000524174999</v>
      </c>
    </row>
    <row r="7269" spans="1:40" x14ac:dyDescent="0.25">
      <c r="A7269" t="str">
        <f>"20190312160827508"</f>
        <v>20190312160827508</v>
      </c>
      <c r="B7269" t="str">
        <f>"1552378107503052"</f>
        <v>1552378107503052</v>
      </c>
      <c r="C7269" t="s">
        <v>40</v>
      </c>
      <c r="D7269">
        <v>6.2145960000000002</v>
      </c>
      <c r="E7269">
        <v>0.36696570000000001</v>
      </c>
      <c r="F7269" t="s">
        <v>52</v>
      </c>
      <c r="G7269">
        <v>-157.3501</v>
      </c>
      <c r="H7269">
        <v>0.74086280000000004</v>
      </c>
      <c r="I7269">
        <v>-38.012770000000003</v>
      </c>
      <c r="J7269">
        <v>-233.32419999999999</v>
      </c>
      <c r="K7269">
        <v>1.1091059999999999</v>
      </c>
      <c r="L7269">
        <v>-63.594329999999999</v>
      </c>
      <c r="M7269">
        <v>0.99991160000000001</v>
      </c>
      <c r="N7269">
        <v>0</v>
      </c>
      <c r="O7269">
        <v>-3.8054640000000002E-3</v>
      </c>
      <c r="P7269">
        <v>0.99982859999999996</v>
      </c>
      <c r="Q7269">
        <v>-1.012885E-2</v>
      </c>
      <c r="R7269">
        <v>-1.5491990000000001E-2</v>
      </c>
      <c r="S7269">
        <v>3.015549</v>
      </c>
      <c r="T7269">
        <v>-1.4586089999999999E-2</v>
      </c>
      <c r="U7269">
        <v>1.0132139999999901</v>
      </c>
      <c r="V7269">
        <v>1.168979E-2</v>
      </c>
      <c r="W7269">
        <v>2.6028760000000001E-3</v>
      </c>
      <c r="X7269">
        <v>0.99992829999999999</v>
      </c>
      <c r="Y7269">
        <v>-0.32210080000000002</v>
      </c>
      <c r="Z7269">
        <v>7.760833E-4</v>
      </c>
      <c r="AA7269">
        <v>0.94670500000000002</v>
      </c>
      <c r="AB7269">
        <v>31</v>
      </c>
      <c r="AC7269">
        <v>75.974099999999893</v>
      </c>
      <c r="AD7269">
        <v>-0.36824319999999899</v>
      </c>
      <c r="AE7269">
        <v>25.58156</v>
      </c>
      <c r="AF7269">
        <v>-25.869969033799901</v>
      </c>
      <c r="AG7269">
        <v>-0.36824319999999899</v>
      </c>
      <c r="AH7269">
        <v>75.874591185118305</v>
      </c>
      <c r="AI7269">
        <v>90.263194551433301</v>
      </c>
      <c r="AJ7269">
        <v>108.82716649284001</v>
      </c>
      <c r="AK7269">
        <v>80.164483958751603</v>
      </c>
      <c r="AL7269">
        <v>89.850866024541105</v>
      </c>
      <c r="AM7269">
        <v>89.330206855856503</v>
      </c>
      <c r="AN7269">
        <v>1.0000000156472999</v>
      </c>
    </row>
    <row r="7270" spans="1:40" x14ac:dyDescent="0.25">
      <c r="A7270" t="str">
        <f>"20190312160827519"</f>
        <v>20190312160827519</v>
      </c>
      <c r="B7270" t="str">
        <f>"1552378107512813"</f>
        <v>1552378107512813</v>
      </c>
      <c r="C7270" t="s">
        <v>40</v>
      </c>
      <c r="D7270">
        <v>6.216507</v>
      </c>
      <c r="E7270">
        <v>0.3668189</v>
      </c>
      <c r="F7270" t="s">
        <v>52</v>
      </c>
      <c r="G7270">
        <v>-157.3501</v>
      </c>
      <c r="H7270">
        <v>0.74150469999999902</v>
      </c>
      <c r="I7270">
        <v>-38.040140000000001</v>
      </c>
      <c r="J7270">
        <v>-233.17689999999999</v>
      </c>
      <c r="K7270">
        <v>1.1091150000000001</v>
      </c>
      <c r="L7270">
        <v>-63.595089999999999</v>
      </c>
      <c r="M7270">
        <v>0.9999093</v>
      </c>
      <c r="N7270">
        <v>0</v>
      </c>
      <c r="O7270">
        <v>-4.0471930000000001E-3</v>
      </c>
      <c r="P7270">
        <v>0.99982470000000001</v>
      </c>
      <c r="Q7270">
        <v>-9.942925E-3</v>
      </c>
      <c r="R7270">
        <v>-1.5868090000000001E-2</v>
      </c>
      <c r="S7270">
        <v>3.0160680000000002</v>
      </c>
      <c r="T7270">
        <v>-1.4594080000000001E-2</v>
      </c>
      <c r="U7270">
        <v>1.014465</v>
      </c>
      <c r="V7270">
        <v>1.1824360000000001E-2</v>
      </c>
      <c r="W7270">
        <v>2.8913620000000002E-3</v>
      </c>
      <c r="X7270">
        <v>0.99992590000000003</v>
      </c>
      <c r="Y7270">
        <v>-0.32263340000000001</v>
      </c>
      <c r="Z7270">
        <v>7.7872460000000005E-4</v>
      </c>
      <c r="AA7270">
        <v>0.94652369999999997</v>
      </c>
      <c r="AB7270">
        <v>31</v>
      </c>
      <c r="AC7270">
        <v>75.826799999999906</v>
      </c>
      <c r="AD7270">
        <v>-0.3676103</v>
      </c>
      <c r="AE7270">
        <v>25.554950000000002</v>
      </c>
      <c r="AF7270">
        <v>-25.861105862375499</v>
      </c>
      <c r="AG7270">
        <v>-0.3676103</v>
      </c>
      <c r="AH7270">
        <v>75.7211463542952</v>
      </c>
      <c r="AI7270">
        <v>90.263228454815405</v>
      </c>
      <c r="AJ7270">
        <v>108.856617899008</v>
      </c>
      <c r="AK7270">
        <v>80.016397937961699</v>
      </c>
      <c r="AL7270">
        <v>89.834336927954197</v>
      </c>
      <c r="AM7270">
        <v>89.322495449841995</v>
      </c>
      <c r="AN7270">
        <v>0.99999999047721699</v>
      </c>
    </row>
    <row r="7271" spans="1:40" x14ac:dyDescent="0.25">
      <c r="A7271" t="str">
        <f>"20190312160827530"</f>
        <v>20190312160827530</v>
      </c>
      <c r="B7271" t="str">
        <f>"1552378107522572"</f>
        <v>1552378107522572</v>
      </c>
      <c r="C7271" t="s">
        <v>40</v>
      </c>
      <c r="D7271">
        <v>6.2106479999999999</v>
      </c>
      <c r="E7271">
        <v>0.36652400000000002</v>
      </c>
      <c r="F7271" t="s">
        <v>52</v>
      </c>
      <c r="G7271">
        <v>-157.3501</v>
      </c>
      <c r="H7271">
        <v>0.7407551</v>
      </c>
      <c r="I7271">
        <v>-38.09404</v>
      </c>
      <c r="J7271">
        <v>-233.01650000000001</v>
      </c>
      <c r="K7271">
        <v>1.1091249999999999</v>
      </c>
      <c r="L7271">
        <v>-63.59601</v>
      </c>
      <c r="M7271">
        <v>0.99990679999999998</v>
      </c>
      <c r="N7271">
        <v>0</v>
      </c>
      <c r="O7271">
        <v>-4.3114729999999997E-3</v>
      </c>
      <c r="P7271">
        <v>0.99982230000000005</v>
      </c>
      <c r="Q7271">
        <v>-9.6860729999999999E-3</v>
      </c>
      <c r="R7271">
        <v>-1.6174850000000001E-2</v>
      </c>
      <c r="S7271">
        <v>3.0164949999999999</v>
      </c>
      <c r="T7271">
        <v>-1.465464E-2</v>
      </c>
      <c r="U7271">
        <v>1.014465</v>
      </c>
      <c r="V7271">
        <v>1.186706E-2</v>
      </c>
      <c r="W7271">
        <v>3.253279E-3</v>
      </c>
      <c r="X7271">
        <v>0.99992429999999999</v>
      </c>
      <c r="Y7271">
        <v>-0.32284299999999999</v>
      </c>
      <c r="Z7271">
        <v>7.8359640000000004E-4</v>
      </c>
      <c r="AA7271">
        <v>0.94645219999999997</v>
      </c>
      <c r="AB7271">
        <v>31</v>
      </c>
      <c r="AC7271">
        <v>75.666399999999996</v>
      </c>
      <c r="AD7271">
        <v>-0.36836989999999897</v>
      </c>
      <c r="AE7271">
        <v>25.50197</v>
      </c>
      <c r="AF7271">
        <v>-25.827444258727599</v>
      </c>
      <c r="AG7271">
        <v>-0.36836989999999897</v>
      </c>
      <c r="AH7271">
        <v>75.554128290919195</v>
      </c>
      <c r="AI7271">
        <v>90.264330413488196</v>
      </c>
      <c r="AJ7271">
        <v>108.87249449279101</v>
      </c>
      <c r="AK7271">
        <v>79.847472565645901</v>
      </c>
      <c r="AL7271">
        <v>89.813600516470601</v>
      </c>
      <c r="AM7271">
        <v>89.320047994181493</v>
      </c>
      <c r="AN7271">
        <v>1.00000000833389</v>
      </c>
    </row>
    <row r="7272" spans="1:40" x14ac:dyDescent="0.25">
      <c r="A7272" t="str">
        <f>"20190312160827542"</f>
        <v>20190312160827542</v>
      </c>
      <c r="B7272" t="str">
        <f>"1552378107532332"</f>
        <v>1552378107532332</v>
      </c>
      <c r="C7272" t="s">
        <v>40</v>
      </c>
      <c r="D7272">
        <v>5.1077399999999997</v>
      </c>
      <c r="E7272">
        <v>0.36610160000000003</v>
      </c>
      <c r="F7272" t="s">
        <v>52</v>
      </c>
      <c r="G7272">
        <v>-157.3501</v>
      </c>
      <c r="H7272">
        <v>0.7244081</v>
      </c>
      <c r="I7272">
        <v>-38.113219999999998</v>
      </c>
      <c r="J7272">
        <v>-232.8638</v>
      </c>
      <c r="K7272">
        <v>1.1091340000000001</v>
      </c>
      <c r="L7272">
        <v>-63.596919999999997</v>
      </c>
      <c r="M7272">
        <v>0.99990449999999997</v>
      </c>
      <c r="N7272">
        <v>0</v>
      </c>
      <c r="O7272">
        <v>-4.5629109999999898E-3</v>
      </c>
      <c r="P7272">
        <v>0.99982280000000001</v>
      </c>
      <c r="Q7272">
        <v>-9.2954879999999993E-3</v>
      </c>
      <c r="R7272">
        <v>-1.636141E-2</v>
      </c>
      <c r="S7272">
        <v>3.0167999999999999</v>
      </c>
      <c r="T7272">
        <v>-1.533937E-2</v>
      </c>
      <c r="U7272">
        <v>1.0159910000000001</v>
      </c>
      <c r="V7272">
        <v>1.180294E-2</v>
      </c>
      <c r="W7272">
        <v>3.7363129999999998E-3</v>
      </c>
      <c r="X7272">
        <v>0.99992329999999996</v>
      </c>
      <c r="Y7272">
        <v>-0.32348169999999998</v>
      </c>
      <c r="Z7272">
        <v>8.2289149999999905E-4</v>
      </c>
      <c r="AA7272">
        <v>0.94623400000000002</v>
      </c>
      <c r="AB7272">
        <v>31</v>
      </c>
      <c r="AC7272">
        <v>75.5137</v>
      </c>
      <c r="AD7272">
        <v>-0.38472590000000001</v>
      </c>
      <c r="AE7272">
        <v>25.483699999999999</v>
      </c>
      <c r="AF7272">
        <v>-25.827424425162</v>
      </c>
      <c r="AG7272">
        <v>-0.38472590000000001</v>
      </c>
      <c r="AH7272">
        <v>75.394867088240304</v>
      </c>
      <c r="AI7272">
        <v>90.276588755648206</v>
      </c>
      <c r="AJ7272">
        <v>108.909516769839</v>
      </c>
      <c r="AK7272">
        <v>79.696862232518399</v>
      </c>
      <c r="AL7272">
        <v>89.785924522728095</v>
      </c>
      <c r="AM7272">
        <v>89.323720886798696</v>
      </c>
      <c r="AN7272">
        <v>0.99999993765518103</v>
      </c>
    </row>
    <row r="7273" spans="1:40" x14ac:dyDescent="0.25">
      <c r="A7273" t="str">
        <f>"20190312160827551"</f>
        <v>20190312160827551</v>
      </c>
      <c r="B7273" t="str">
        <f>"1552378107543067"</f>
        <v>1552378107543067</v>
      </c>
      <c r="C7273" t="s">
        <v>40</v>
      </c>
      <c r="D7273">
        <v>6.2277019999999998</v>
      </c>
      <c r="E7273">
        <v>0.36556959999999999</v>
      </c>
      <c r="F7273" t="s">
        <v>52</v>
      </c>
      <c r="G7273">
        <v>-157.3501</v>
      </c>
      <c r="H7273">
        <v>0.79681400000000002</v>
      </c>
      <c r="I7273">
        <v>-38.099240000000002</v>
      </c>
      <c r="J7273">
        <v>-232.71780000000001</v>
      </c>
      <c r="K7273">
        <v>1.109138</v>
      </c>
      <c r="L7273">
        <v>-63.597839999999998</v>
      </c>
      <c r="M7273">
        <v>0.99990219999999996</v>
      </c>
      <c r="N7273">
        <v>0</v>
      </c>
      <c r="O7273">
        <v>-4.8039349999999996E-3</v>
      </c>
      <c r="P7273">
        <v>0.99982380000000004</v>
      </c>
      <c r="Q7273">
        <v>-9.0015609999999999E-3</v>
      </c>
      <c r="R7273">
        <v>-1.6465670000000002E-2</v>
      </c>
      <c r="S7273">
        <v>3.01709</v>
      </c>
      <c r="T7273">
        <v>-1.247931E-2</v>
      </c>
      <c r="U7273">
        <v>1.0187379999999999</v>
      </c>
      <c r="V7273">
        <v>1.166654E-2</v>
      </c>
      <c r="W7273">
        <v>4.1158729999999999E-3</v>
      </c>
      <c r="X7273">
        <v>0.99992349999999997</v>
      </c>
      <c r="Y7273">
        <v>-0.32445689999999999</v>
      </c>
      <c r="Z7273">
        <v>6.7223949999999999E-4</v>
      </c>
      <c r="AA7273">
        <v>0.94590030000000003</v>
      </c>
      <c r="AB7273">
        <v>31</v>
      </c>
      <c r="AC7273">
        <v>75.367699999999999</v>
      </c>
      <c r="AD7273">
        <v>-0.31232399999999899</v>
      </c>
      <c r="AE7273">
        <v>25.4986</v>
      </c>
      <c r="AF7273">
        <v>-25.860000010789001</v>
      </c>
      <c r="AG7273">
        <v>-0.31232399999999899</v>
      </c>
      <c r="AH7273">
        <v>75.243166577698005</v>
      </c>
      <c r="AI7273">
        <v>90.224912977644195</v>
      </c>
      <c r="AJ7273">
        <v>108.96711270244801</v>
      </c>
      <c r="AK7273">
        <v>79.563630280915405</v>
      </c>
      <c r="AL7273">
        <v>89.7641771886789</v>
      </c>
      <c r="AM7273">
        <v>89.331535687993707</v>
      </c>
      <c r="AN7273">
        <v>1.00000002720918</v>
      </c>
    </row>
    <row r="7274" spans="1:40" x14ac:dyDescent="0.25">
      <c r="A7274" t="str">
        <f>"20190312160827563"</f>
        <v>20190312160827563</v>
      </c>
      <c r="B7274" t="str">
        <f>"1552378107552828"</f>
        <v>1552378107552828</v>
      </c>
      <c r="C7274" t="s">
        <v>40</v>
      </c>
      <c r="D7274">
        <v>6.2594099999999999</v>
      </c>
      <c r="E7274">
        <v>0.36520750000000002</v>
      </c>
      <c r="F7274" t="s">
        <v>52</v>
      </c>
      <c r="G7274">
        <v>-157.3501</v>
      </c>
      <c r="H7274">
        <v>0.82750419999999902</v>
      </c>
      <c r="I7274">
        <v>-38.054200000000002</v>
      </c>
      <c r="J7274">
        <v>-232.56049999999999</v>
      </c>
      <c r="K7274">
        <v>1.109146</v>
      </c>
      <c r="L7274">
        <v>-63.598880000000001</v>
      </c>
      <c r="M7274">
        <v>0.99989989999999995</v>
      </c>
      <c r="N7274">
        <v>0</v>
      </c>
      <c r="O7274">
        <v>-5.0634219999999997E-3</v>
      </c>
      <c r="P7274">
        <v>0.99982709999999997</v>
      </c>
      <c r="Q7274">
        <v>-8.4351519999999996E-3</v>
      </c>
      <c r="R7274">
        <v>-1.656929E-2</v>
      </c>
      <c r="S7274">
        <v>3.0172729999999999</v>
      </c>
      <c r="T7274">
        <v>-1.1275769999999999E-2</v>
      </c>
      <c r="U7274">
        <v>1.0226139999999999</v>
      </c>
      <c r="V7274">
        <v>1.151132E-2</v>
      </c>
      <c r="W7274">
        <v>4.7653180000000002E-3</v>
      </c>
      <c r="X7274">
        <v>0.99992239999999999</v>
      </c>
      <c r="Y7274">
        <v>-0.32577529999999999</v>
      </c>
      <c r="Z7274">
        <v>6.1059129999999995E-4</v>
      </c>
      <c r="AA7274">
        <v>0.94544700000000004</v>
      </c>
      <c r="AB7274">
        <v>31</v>
      </c>
      <c r="AC7274">
        <v>75.210399999999893</v>
      </c>
      <c r="AD7274">
        <v>-0.2816418</v>
      </c>
      <c r="AE7274">
        <v>25.54468</v>
      </c>
      <c r="AF7274">
        <v>-25.924881772645399</v>
      </c>
      <c r="AG7274">
        <v>-0.2816418</v>
      </c>
      <c r="AH7274">
        <v>75.079136971075599</v>
      </c>
      <c r="AI7274">
        <v>90.203160126926903</v>
      </c>
      <c r="AJ7274">
        <v>109.04983142024101</v>
      </c>
      <c r="AK7274">
        <v>79.429563925220407</v>
      </c>
      <c r="AL7274">
        <v>89.726966360583603</v>
      </c>
      <c r="AM7274">
        <v>89.340427899218696</v>
      </c>
      <c r="AN7274">
        <v>1.0000000123827699</v>
      </c>
    </row>
    <row r="7275" spans="1:40" x14ac:dyDescent="0.25">
      <c r="A7275" t="str">
        <f>"20190312160827575"</f>
        <v>20190312160827575</v>
      </c>
      <c r="B7275" t="str">
        <f>"1552378107572348"</f>
        <v>1552378107572348</v>
      </c>
      <c r="C7275" t="s">
        <v>40</v>
      </c>
      <c r="D7275">
        <v>6.3012550000000003</v>
      </c>
      <c r="E7275">
        <v>0.36584889999999998</v>
      </c>
      <c r="F7275" t="s">
        <v>52</v>
      </c>
      <c r="G7275">
        <v>-157.3501</v>
      </c>
      <c r="H7275">
        <v>0.84694769999999897</v>
      </c>
      <c r="I7275">
        <v>-38.045189999999998</v>
      </c>
      <c r="J7275">
        <v>-232.4057</v>
      </c>
      <c r="K7275">
        <v>1.109154</v>
      </c>
      <c r="L7275">
        <v>-63.599879999999999</v>
      </c>
      <c r="M7275">
        <v>0.99989749999999999</v>
      </c>
      <c r="N7275">
        <v>0</v>
      </c>
      <c r="O7275">
        <v>-5.3187169999999997E-3</v>
      </c>
      <c r="P7275">
        <v>0.99983129999999998</v>
      </c>
      <c r="Q7275">
        <v>-7.990558E-3</v>
      </c>
      <c r="R7275">
        <v>-1.6547849999999999E-2</v>
      </c>
      <c r="S7275">
        <v>3.0174259999999999</v>
      </c>
      <c r="T7275">
        <v>-1.0520099999999999E-2</v>
      </c>
      <c r="U7275">
        <v>1.0252079999999999</v>
      </c>
      <c r="V7275">
        <v>1.123503E-2</v>
      </c>
      <c r="W7275">
        <v>5.290309E-3</v>
      </c>
      <c r="X7275">
        <v>0.99992289999999995</v>
      </c>
      <c r="Y7275">
        <v>-0.3267311</v>
      </c>
      <c r="Z7275">
        <v>5.7205470000000003E-4</v>
      </c>
      <c r="AA7275">
        <v>0.94511719999999999</v>
      </c>
      <c r="AB7275">
        <v>31</v>
      </c>
      <c r="AC7275">
        <v>75.055599999999998</v>
      </c>
      <c r="AD7275">
        <v>-0.2622063</v>
      </c>
      <c r="AE7275">
        <v>25.554690000000001</v>
      </c>
      <c r="AF7275">
        <v>-25.953279405655401</v>
      </c>
      <c r="AG7275">
        <v>-0.2622063</v>
      </c>
      <c r="AH7275">
        <v>74.917788664750901</v>
      </c>
      <c r="AI7275">
        <v>90.189482202427499</v>
      </c>
      <c r="AJ7275">
        <v>109.10728554934801</v>
      </c>
      <c r="AK7275">
        <v>79.286294669810701</v>
      </c>
      <c r="AL7275">
        <v>89.6968862109876</v>
      </c>
      <c r="AM7275">
        <v>89.356257652590898</v>
      </c>
      <c r="AN7275">
        <v>1.0000000096064099</v>
      </c>
    </row>
    <row r="7276" spans="1:40" x14ac:dyDescent="0.25">
      <c r="A7276" t="str">
        <f>"20190312160827586"</f>
        <v>20190312160827586</v>
      </c>
      <c r="B7276" t="str">
        <f>"1552378107583085"</f>
        <v>1552378107583085</v>
      </c>
      <c r="C7276" t="s">
        <v>40</v>
      </c>
      <c r="D7276">
        <v>5.091062</v>
      </c>
      <c r="E7276">
        <v>0.366429</v>
      </c>
      <c r="F7276" t="s">
        <v>52</v>
      </c>
      <c r="G7276">
        <v>-157.3501</v>
      </c>
      <c r="H7276">
        <v>0.65997600000000001</v>
      </c>
      <c r="I7276">
        <v>-38.216549999999998</v>
      </c>
      <c r="J7276">
        <v>-232.2448</v>
      </c>
      <c r="K7276">
        <v>1.1091610000000001</v>
      </c>
      <c r="L7276">
        <v>-63.601039999999998</v>
      </c>
      <c r="M7276">
        <v>0.99989510000000004</v>
      </c>
      <c r="N7276">
        <v>0</v>
      </c>
      <c r="O7276">
        <v>-5.5836269999999999E-3</v>
      </c>
      <c r="P7276">
        <v>0.99983089999999997</v>
      </c>
      <c r="Q7276">
        <v>-7.5576669999999997E-3</v>
      </c>
      <c r="R7276">
        <v>-1.676681E-2</v>
      </c>
      <c r="S7276">
        <v>3.017258</v>
      </c>
      <c r="T7276">
        <v>-1.8057819999999999E-2</v>
      </c>
      <c r="U7276">
        <v>1.020416</v>
      </c>
      <c r="V7276">
        <v>1.118977E-2</v>
      </c>
      <c r="W7276">
        <v>5.7967030000000003E-3</v>
      </c>
      <c r="X7276">
        <v>0.99992060000000005</v>
      </c>
      <c r="Y7276">
        <v>-0.32564769999999998</v>
      </c>
      <c r="Z7276">
        <v>9.8061460000000008E-4</v>
      </c>
      <c r="AA7276">
        <v>0.94549070000000002</v>
      </c>
      <c r="AB7276">
        <v>31</v>
      </c>
      <c r="AC7276">
        <v>74.8947</v>
      </c>
      <c r="AD7276">
        <v>-0.449185</v>
      </c>
      <c r="AE7276">
        <v>25.38449</v>
      </c>
      <c r="AF7276">
        <v>-25.8014831771636</v>
      </c>
      <c r="AG7276">
        <v>-0.449185</v>
      </c>
      <c r="AH7276">
        <v>74.749370376672303</v>
      </c>
      <c r="AI7276">
        <v>90.325456216288003</v>
      </c>
      <c r="AJ7276">
        <v>109.043304591214</v>
      </c>
      <c r="AK7276">
        <v>79.078357804234997</v>
      </c>
      <c r="AL7276">
        <v>89.667871526133297</v>
      </c>
      <c r="AM7276">
        <v>89.358849258838603</v>
      </c>
      <c r="AN7276">
        <v>1.0000000095113399</v>
      </c>
    </row>
    <row r="7277" spans="1:40" x14ac:dyDescent="0.25">
      <c r="A7277" t="str">
        <f>"20190312160827597"</f>
        <v>20190312160827597</v>
      </c>
      <c r="B7277" t="str">
        <f>"1552378107592843"</f>
        <v>1552378107592843</v>
      </c>
      <c r="C7277" t="s">
        <v>40</v>
      </c>
      <c r="D7277">
        <v>6.1791199999999904</v>
      </c>
      <c r="E7277">
        <v>0.366429</v>
      </c>
      <c r="F7277" t="s">
        <v>52</v>
      </c>
      <c r="G7277">
        <v>-157.3501</v>
      </c>
      <c r="H7277">
        <v>0.64990619999999999</v>
      </c>
      <c r="I7277">
        <v>-38.401919999999997</v>
      </c>
      <c r="J7277">
        <v>-232.0866</v>
      </c>
      <c r="K7277">
        <v>1.1091679999999999</v>
      </c>
      <c r="L7277">
        <v>-63.602170000000001</v>
      </c>
      <c r="M7277">
        <v>0.99989269999999997</v>
      </c>
      <c r="N7277">
        <v>0</v>
      </c>
      <c r="O7277">
        <v>-5.8436219999999997E-3</v>
      </c>
      <c r="P7277">
        <v>0.99983440000000001</v>
      </c>
      <c r="Q7277">
        <v>-7.0315209999999998E-3</v>
      </c>
      <c r="R7277">
        <v>-1.6799169999999999E-2</v>
      </c>
      <c r="S7277">
        <v>3.0173800000000002</v>
      </c>
      <c r="T7277">
        <v>-1.8503430000000001E-2</v>
      </c>
      <c r="U7277">
        <v>1.015228</v>
      </c>
      <c r="V7277">
        <v>1.0962680000000001E-2</v>
      </c>
      <c r="W7277">
        <v>6.3927380000000002E-3</v>
      </c>
      <c r="X7277">
        <v>0.99991949999999996</v>
      </c>
      <c r="Y7277">
        <v>-0.32442179999999998</v>
      </c>
      <c r="Z7277">
        <v>1.002937E-3</v>
      </c>
      <c r="AA7277">
        <v>0.94591199999999998</v>
      </c>
      <c r="AB7277">
        <v>31</v>
      </c>
      <c r="AC7277">
        <v>74.736500000000007</v>
      </c>
      <c r="AD7277">
        <v>-0.4592618</v>
      </c>
      <c r="AE7277">
        <v>25.200249999999901</v>
      </c>
      <c r="AF7277">
        <v>-25.635721684807301</v>
      </c>
      <c r="AG7277">
        <v>-0.4592618</v>
      </c>
      <c r="AH7277">
        <v>74.585420724588303</v>
      </c>
      <c r="AI7277">
        <v>90.333638944176101</v>
      </c>
      <c r="AJ7277">
        <v>108.968335286545</v>
      </c>
      <c r="AK7277">
        <v>78.869424572299806</v>
      </c>
      <c r="AL7277">
        <v>89.633720608119305</v>
      </c>
      <c r="AM7277">
        <v>89.371859303130805</v>
      </c>
      <c r="AN7277">
        <v>1.00000002696608</v>
      </c>
    </row>
    <row r="7278" spans="1:40" x14ac:dyDescent="0.25">
      <c r="A7278" t="str">
        <f>"20190312160827609"</f>
        <v>20190312160827609</v>
      </c>
      <c r="B7278" t="str">
        <f>"1552378107602604"</f>
        <v>1552378107602604</v>
      </c>
      <c r="C7278" t="s">
        <v>40</v>
      </c>
      <c r="D7278">
        <v>6.3336569999999996</v>
      </c>
      <c r="E7278">
        <v>0.41304459999999998</v>
      </c>
      <c r="F7278" t="s">
        <v>52</v>
      </c>
      <c r="G7278">
        <v>-157.3501</v>
      </c>
      <c r="H7278">
        <v>0.68455699999999997</v>
      </c>
      <c r="I7278">
        <v>-38.460700000000003</v>
      </c>
      <c r="J7278">
        <v>-231.9254</v>
      </c>
      <c r="K7278">
        <v>1.109175</v>
      </c>
      <c r="L7278">
        <v>-63.603389999999997</v>
      </c>
      <c r="M7278">
        <v>0.99989030000000001</v>
      </c>
      <c r="N7278">
        <v>0</v>
      </c>
      <c r="O7278">
        <v>-6.1076330000000003E-3</v>
      </c>
      <c r="P7278">
        <v>0.99983750000000005</v>
      </c>
      <c r="Q7278">
        <v>-6.482738E-3</v>
      </c>
      <c r="R7278">
        <v>-1.682873E-2</v>
      </c>
      <c r="S7278">
        <v>3.0174560000000001</v>
      </c>
      <c r="T7278">
        <v>-1.7144320000000001E-2</v>
      </c>
      <c r="U7278">
        <v>1.0150760000000001</v>
      </c>
      <c r="V7278">
        <v>1.072889E-2</v>
      </c>
      <c r="W7278">
        <v>7.00689E-3</v>
      </c>
      <c r="X7278">
        <v>0.99991790000000003</v>
      </c>
      <c r="Y7278">
        <v>-0.32462210000000002</v>
      </c>
      <c r="Z7278">
        <v>9.3127040000000002E-4</v>
      </c>
      <c r="AA7278">
        <v>0.94584330000000005</v>
      </c>
      <c r="AB7278">
        <v>31</v>
      </c>
      <c r="AC7278">
        <v>74.575299999999999</v>
      </c>
      <c r="AD7278">
        <v>-0.424618</v>
      </c>
      <c r="AE7278">
        <v>25.142689999999899</v>
      </c>
      <c r="AF7278">
        <v>-25.596995851308399</v>
      </c>
      <c r="AG7278">
        <v>-0.424618</v>
      </c>
      <c r="AH7278">
        <v>74.418166120697407</v>
      </c>
      <c r="AI7278">
        <v>90.309141154137293</v>
      </c>
      <c r="AJ7278">
        <v>108.981252690367</v>
      </c>
      <c r="AK7278">
        <v>78.698474863402097</v>
      </c>
      <c r="AL7278">
        <v>89.598531492799694</v>
      </c>
      <c r="AM7278">
        <v>89.385253002277807</v>
      </c>
      <c r="AN7278">
        <v>1.00000000616425</v>
      </c>
    </row>
    <row r="7279" spans="1:40" x14ac:dyDescent="0.25">
      <c r="A7279" t="str">
        <f>"20190312160827621"</f>
        <v>20190312160827621</v>
      </c>
      <c r="B7279" t="str">
        <f>"1552378107612365"</f>
        <v>1552378107612365</v>
      </c>
      <c r="C7279" t="s">
        <v>40</v>
      </c>
      <c r="D7279">
        <v>6.2312659999999997</v>
      </c>
      <c r="E7279">
        <v>0.41304459999999998</v>
      </c>
      <c r="F7279" t="s">
        <v>82</v>
      </c>
      <c r="G7279">
        <v>-177.11070000000001</v>
      </c>
      <c r="H7279">
        <v>7.9986580000000002E-2</v>
      </c>
      <c r="I7279">
        <v>-51.873040000000003</v>
      </c>
      <c r="J7279">
        <v>-231.76750000000001</v>
      </c>
      <c r="K7279">
        <v>1.1091819999999999</v>
      </c>
      <c r="L7279">
        <v>-63.604610000000001</v>
      </c>
      <c r="M7279">
        <v>0.99988779999999999</v>
      </c>
      <c r="N7279">
        <v>0</v>
      </c>
      <c r="O7279">
        <v>-6.3637190000000003E-3</v>
      </c>
      <c r="P7279">
        <v>0.99984430000000002</v>
      </c>
      <c r="Q7279">
        <v>-6.0402679999999997E-3</v>
      </c>
      <c r="R7279">
        <v>-1.6573299999999999E-2</v>
      </c>
      <c r="S7279">
        <v>3.0109710000000001</v>
      </c>
      <c r="T7279">
        <v>-5.6533340000000001E-2</v>
      </c>
      <c r="U7279">
        <v>0.64434809999999998</v>
      </c>
      <c r="V7279">
        <v>1.021796E-2</v>
      </c>
      <c r="W7279">
        <v>7.5089880000000003E-3</v>
      </c>
      <c r="X7279">
        <v>0.99991960000000002</v>
      </c>
      <c r="Y7279">
        <v>-0.21544379999999999</v>
      </c>
      <c r="Z7279">
        <v>2.1179189999999998E-3</v>
      </c>
      <c r="AA7279">
        <v>0.97651390000000005</v>
      </c>
      <c r="AB7279">
        <v>31</v>
      </c>
      <c r="AC7279">
        <v>54.656799999999997</v>
      </c>
      <c r="AD7279">
        <v>-1.02919542</v>
      </c>
      <c r="AE7279">
        <v>11.7315699999999</v>
      </c>
      <c r="AF7279">
        <v>-12.075091956364901</v>
      </c>
      <c r="AG7279">
        <v>-1.02919542</v>
      </c>
      <c r="AH7279">
        <v>54.562535364079402</v>
      </c>
      <c r="AI7279">
        <v>91.055100588308093</v>
      </c>
      <c r="AJ7279">
        <v>102.478848317271</v>
      </c>
      <c r="AK7279">
        <v>55.892194037482902</v>
      </c>
      <c r="AL7279">
        <v>89.569762635557595</v>
      </c>
      <c r="AM7279">
        <v>89.414527321592104</v>
      </c>
      <c r="AN7279">
        <v>0.99999999903575298</v>
      </c>
    </row>
    <row r="7280" spans="1:40" x14ac:dyDescent="0.25">
      <c r="A7280" t="str">
        <f>"20190312160827631"</f>
        <v>20190312160827631</v>
      </c>
      <c r="B7280" t="str">
        <f>"1552378107622125"</f>
        <v>1552378107622125</v>
      </c>
      <c r="C7280" t="s">
        <v>40</v>
      </c>
      <c r="D7280">
        <v>6.2700449999999996</v>
      </c>
      <c r="E7280">
        <v>0.42138799999999998</v>
      </c>
      <c r="F7280" t="s">
        <v>82</v>
      </c>
      <c r="G7280">
        <v>-175.8982</v>
      </c>
      <c r="H7280">
        <v>7.9986580000000002E-2</v>
      </c>
      <c r="I7280">
        <v>-51.632759999999998</v>
      </c>
      <c r="J7280">
        <v>-231.61490000000001</v>
      </c>
      <c r="K7280">
        <v>1.1091899999999999</v>
      </c>
      <c r="L7280">
        <v>-63.605829999999997</v>
      </c>
      <c r="M7280">
        <v>0.99988560000000004</v>
      </c>
      <c r="N7280">
        <v>0</v>
      </c>
      <c r="O7280">
        <v>-6.6095040000000004E-3</v>
      </c>
      <c r="P7280">
        <v>0.99985029999999997</v>
      </c>
      <c r="Q7280">
        <v>-5.3966219999999898E-3</v>
      </c>
      <c r="R7280">
        <v>-1.6456229999999999E-2</v>
      </c>
      <c r="S7280">
        <v>3.010834</v>
      </c>
      <c r="T7280">
        <v>-5.5464149999999997E-2</v>
      </c>
      <c r="U7280">
        <v>0.64517209999999903</v>
      </c>
      <c r="V7280">
        <v>9.8554860000000001E-3</v>
      </c>
      <c r="W7280">
        <v>8.2070559999999904E-3</v>
      </c>
      <c r="X7280">
        <v>0.99991770000000002</v>
      </c>
      <c r="Y7280">
        <v>-0.2159498</v>
      </c>
      <c r="Z7280">
        <v>2.0869899999999999E-3</v>
      </c>
      <c r="AA7280">
        <v>0.9764022</v>
      </c>
      <c r="AB7280">
        <v>31</v>
      </c>
      <c r="AC7280">
        <v>55.716700000000003</v>
      </c>
      <c r="AD7280">
        <v>-1.02920342</v>
      </c>
      <c r="AE7280">
        <v>11.97307</v>
      </c>
      <c r="AF7280">
        <v>-12.3370784459673</v>
      </c>
      <c r="AG7280">
        <v>-1.02920342</v>
      </c>
      <c r="AH7280">
        <v>55.618199145385702</v>
      </c>
      <c r="AI7280">
        <v>91.0349752075727</v>
      </c>
      <c r="AJ7280">
        <v>102.506696946863</v>
      </c>
      <c r="AK7280">
        <v>56.979354510537199</v>
      </c>
      <c r="AL7280">
        <v>89.5297650249084</v>
      </c>
      <c r="AM7280">
        <v>89.435294056291596</v>
      </c>
      <c r="AN7280">
        <v>0.99999994657288505</v>
      </c>
    </row>
    <row r="7281" spans="1:40" x14ac:dyDescent="0.25">
      <c r="A7281" t="str">
        <f>"20190312160827642"</f>
        <v>20190312160827642</v>
      </c>
      <c r="B7281" t="str">
        <f>"1552378107632860"</f>
        <v>1552378107632860</v>
      </c>
      <c r="C7281" t="s">
        <v>40</v>
      </c>
      <c r="D7281">
        <v>6.2585179999999996</v>
      </c>
      <c r="E7281">
        <v>0.42878640000000001</v>
      </c>
      <c r="F7281" t="s">
        <v>45</v>
      </c>
      <c r="G7281">
        <v>-151.92400000000001</v>
      </c>
      <c r="H7281">
        <v>-0.05</v>
      </c>
      <c r="I7281">
        <v>-48.286270000000002</v>
      </c>
      <c r="J7281">
        <v>-231.4658</v>
      </c>
      <c r="K7281">
        <v>1.1092029999999999</v>
      </c>
      <c r="L7281">
        <v>-63.607059999999997</v>
      </c>
      <c r="M7281">
        <v>0.99988330000000003</v>
      </c>
      <c r="N7281">
        <v>0</v>
      </c>
      <c r="O7281">
        <v>-6.8432809999999997E-3</v>
      </c>
      <c r="P7281">
        <v>0.99985270000000004</v>
      </c>
      <c r="Q7281">
        <v>-4.9563990000000002E-3</v>
      </c>
      <c r="R7281">
        <v>-1.643499E-2</v>
      </c>
      <c r="S7281">
        <v>3.009735</v>
      </c>
      <c r="T7281">
        <v>-4.3779850000000002E-2</v>
      </c>
      <c r="U7281">
        <v>0.57858279999999995</v>
      </c>
      <c r="V7281">
        <v>9.6010620000000005E-3</v>
      </c>
      <c r="W7281">
        <v>8.6957949999999992E-3</v>
      </c>
      <c r="X7281">
        <v>0.99991609999999997</v>
      </c>
      <c r="Y7281">
        <v>-0.19547639999999999</v>
      </c>
      <c r="Z7281">
        <v>1.5073969999999999E-3</v>
      </c>
      <c r="AA7281">
        <v>0.9807072</v>
      </c>
      <c r="AB7281">
        <v>31</v>
      </c>
      <c r="AC7281">
        <v>79.541799999999995</v>
      </c>
      <c r="AD7281">
        <v>-1.159203</v>
      </c>
      <c r="AE7281">
        <v>15.320789999999899</v>
      </c>
      <c r="AF7281">
        <v>-15.861560577678601</v>
      </c>
      <c r="AG7281">
        <v>-1.159203</v>
      </c>
      <c r="AH7281">
        <v>79.418818750013301</v>
      </c>
      <c r="AI7281">
        <v>90.820041278945197</v>
      </c>
      <c r="AJ7281">
        <v>101.294529512201</v>
      </c>
      <c r="AK7281">
        <v>80.995565478623803</v>
      </c>
      <c r="AL7281">
        <v>89.501761368714995</v>
      </c>
      <c r="AM7281">
        <v>89.449870417407396</v>
      </c>
      <c r="AN7281">
        <v>1.0000000021407001</v>
      </c>
    </row>
    <row r="7282" spans="1:40" x14ac:dyDescent="0.25">
      <c r="A7282" t="str">
        <f>"20190312160827653"</f>
        <v>20190312160827653</v>
      </c>
      <c r="B7282" t="str">
        <f>"1552378107642621"</f>
        <v>1552378107642621</v>
      </c>
      <c r="C7282" t="s">
        <v>40</v>
      </c>
      <c r="D7282">
        <v>6.2468120000000003</v>
      </c>
      <c r="E7282">
        <v>0.43278109999999997</v>
      </c>
      <c r="F7282" t="s">
        <v>82</v>
      </c>
      <c r="G7282">
        <v>-204.59360000000001</v>
      </c>
      <c r="H7282" s="1">
        <v>-3.6813600000000002E-6</v>
      </c>
      <c r="I7282">
        <v>-58.943800000000003</v>
      </c>
      <c r="J7282">
        <v>-231.31030000000001</v>
      </c>
      <c r="K7282">
        <v>1.109221</v>
      </c>
      <c r="L7282">
        <v>-63.608370000000001</v>
      </c>
      <c r="M7282">
        <v>0.99988089999999996</v>
      </c>
      <c r="N7282">
        <v>0</v>
      </c>
      <c r="O7282">
        <v>-7.0851509999999996E-3</v>
      </c>
      <c r="P7282">
        <v>0.99985449999999998</v>
      </c>
      <c r="Q7282">
        <v>-4.3331510000000004E-3</v>
      </c>
      <c r="R7282">
        <v>-1.6500979999999998E-2</v>
      </c>
      <c r="S7282">
        <v>3.0084080000000002</v>
      </c>
      <c r="T7282">
        <v>-0.1241786</v>
      </c>
      <c r="U7282">
        <v>0.52206419999999998</v>
      </c>
      <c r="V7282">
        <v>9.4257270000000001E-3</v>
      </c>
      <c r="W7282">
        <v>9.3676309999999995E-3</v>
      </c>
      <c r="X7282">
        <v>0.99991169999999996</v>
      </c>
      <c r="Y7282">
        <v>-0.17780399999999999</v>
      </c>
      <c r="Z7282">
        <v>3.9311249999999997E-3</v>
      </c>
      <c r="AA7282">
        <v>0.98405810000000005</v>
      </c>
      <c r="AB7282">
        <v>31</v>
      </c>
      <c r="AC7282">
        <v>26.716699999999999</v>
      </c>
      <c r="AD7282">
        <v>-1.10922468136</v>
      </c>
      <c r="AE7282">
        <v>4.6645699999999897</v>
      </c>
      <c r="AF7282">
        <v>-4.8456569440112096</v>
      </c>
      <c r="AG7282">
        <v>-1.10922468136</v>
      </c>
      <c r="AH7282">
        <v>26.638417422956</v>
      </c>
      <c r="AI7282">
        <v>92.3459675475127</v>
      </c>
      <c r="AJ7282">
        <v>100.30965241902</v>
      </c>
      <c r="AK7282">
        <v>27.098266612689901</v>
      </c>
      <c r="AL7282">
        <v>89.4632664307602</v>
      </c>
      <c r="AM7282">
        <v>89.459913930019098</v>
      </c>
      <c r="AN7282">
        <v>1.0000000023184601</v>
      </c>
    </row>
    <row r="7283" spans="1:40" x14ac:dyDescent="0.25">
      <c r="A7283" t="str">
        <f>"20190312160827665"</f>
        <v>20190312160827665</v>
      </c>
      <c r="B7283" t="str">
        <f>"1552378107652380"</f>
        <v>1552378107652380</v>
      </c>
      <c r="C7283" t="s">
        <v>40</v>
      </c>
      <c r="D7283">
        <v>6.6641539999999901</v>
      </c>
      <c r="E7283">
        <v>0.4358822</v>
      </c>
      <c r="F7283" t="s">
        <v>113</v>
      </c>
      <c r="G7283">
        <v>-211.15299999999999</v>
      </c>
      <c r="H7283" s="1">
        <v>5.2428030000000001E-7</v>
      </c>
      <c r="I7283">
        <v>-60.315800000000003</v>
      </c>
      <c r="J7283">
        <v>-231.15860000000001</v>
      </c>
      <c r="K7283">
        <v>1.1092379999999999</v>
      </c>
      <c r="L7283">
        <v>-63.609679999999997</v>
      </c>
      <c r="M7283">
        <v>0.99987870000000001</v>
      </c>
      <c r="N7283">
        <v>0</v>
      </c>
      <c r="O7283">
        <v>-7.30818099999999E-3</v>
      </c>
      <c r="P7283">
        <v>0.99986140000000001</v>
      </c>
      <c r="Q7283">
        <v>-2.9373569999999998E-3</v>
      </c>
      <c r="R7283">
        <v>-1.639235E-2</v>
      </c>
      <c r="S7283">
        <v>3.0078279999999999</v>
      </c>
      <c r="T7283">
        <v>-0.16551589999999999</v>
      </c>
      <c r="U7283">
        <v>0.49130249999999998</v>
      </c>
      <c r="V7283">
        <v>9.0949829999999992E-3</v>
      </c>
      <c r="W7283">
        <v>1.0805220000000001E-2</v>
      </c>
      <c r="X7283">
        <v>0.99990029999999996</v>
      </c>
      <c r="Y7283">
        <v>-0.16815529999999901</v>
      </c>
      <c r="Z7283">
        <v>4.9921030000000003E-3</v>
      </c>
      <c r="AA7283">
        <v>0.98574790000000001</v>
      </c>
      <c r="AB7283">
        <v>31</v>
      </c>
      <c r="AC7283">
        <v>20.005600000000001</v>
      </c>
      <c r="AD7283">
        <v>-1.1092374757197001</v>
      </c>
      <c r="AE7283">
        <v>3.2938800000000001</v>
      </c>
      <c r="AF7283">
        <v>-3.42974463501722</v>
      </c>
      <c r="AG7283">
        <v>-1.1092374757197001</v>
      </c>
      <c r="AH7283">
        <v>19.921363343856001</v>
      </c>
      <c r="AI7283">
        <v>93.140870050620904</v>
      </c>
      <c r="AJ7283">
        <v>99.768516008012597</v>
      </c>
      <c r="AK7283">
        <v>20.244857952499899</v>
      </c>
      <c r="AL7283">
        <v>89.380894475051605</v>
      </c>
      <c r="AM7283">
        <v>89.478858272033705</v>
      </c>
      <c r="AN7283">
        <v>1.00000004071755</v>
      </c>
    </row>
    <row r="7284" spans="1:40" x14ac:dyDescent="0.25">
      <c r="A7284" t="str">
        <f>"20190312160827678"</f>
        <v>20190312160827678</v>
      </c>
      <c r="B7284" t="str">
        <f>"1552378107672877"</f>
        <v>1552378107672877</v>
      </c>
      <c r="C7284" t="s">
        <v>40</v>
      </c>
      <c r="D7284">
        <v>6.1792989999999897</v>
      </c>
      <c r="E7284">
        <v>0.4379092</v>
      </c>
      <c r="F7284" t="s">
        <v>113</v>
      </c>
      <c r="G7284">
        <v>-213.16229999999999</v>
      </c>
      <c r="H7284" s="1">
        <v>-4.3952930000000002E-7</v>
      </c>
      <c r="I7284">
        <v>-60.811689999999999</v>
      </c>
      <c r="J7284">
        <v>-230.9889</v>
      </c>
      <c r="K7284">
        <v>1.1092599999999999</v>
      </c>
      <c r="L7284">
        <v>-63.611179999999997</v>
      </c>
      <c r="M7284">
        <v>0.99987630000000005</v>
      </c>
      <c r="N7284">
        <v>0</v>
      </c>
      <c r="O7284">
        <v>-7.5524040000000004E-3</v>
      </c>
      <c r="P7284">
        <v>0.99986520000000001</v>
      </c>
      <c r="Q7284">
        <v>-2.1401189999999998E-3</v>
      </c>
      <c r="R7284">
        <v>-1.6282040000000001E-2</v>
      </c>
      <c r="S7284">
        <v>3.0075530000000001</v>
      </c>
      <c r="T7284">
        <v>-0.18537590000000001</v>
      </c>
      <c r="U7284">
        <v>0.46759030000000001</v>
      </c>
      <c r="V7284">
        <v>8.7411490000000001E-3</v>
      </c>
      <c r="W7284">
        <v>1.1648220000000001E-2</v>
      </c>
      <c r="X7284">
        <v>0.99989399999999995</v>
      </c>
      <c r="Y7284">
        <v>-0.16077350000000001</v>
      </c>
      <c r="Z7284">
        <v>5.383016E-3</v>
      </c>
      <c r="AA7284">
        <v>0.98697659999999998</v>
      </c>
      <c r="AB7284">
        <v>31</v>
      </c>
      <c r="AC7284">
        <v>17.826599999999999</v>
      </c>
      <c r="AD7284">
        <v>-1.1092604395293</v>
      </c>
      <c r="AE7284">
        <v>2.7994899999999898</v>
      </c>
      <c r="AF7284">
        <v>-2.9230112798711199</v>
      </c>
      <c r="AG7284">
        <v>-1.1092604395293</v>
      </c>
      <c r="AH7284">
        <v>17.7379192217251</v>
      </c>
      <c r="AI7284">
        <v>93.530897808062903</v>
      </c>
      <c r="AJ7284">
        <v>99.357607237552699</v>
      </c>
      <c r="AK7284">
        <v>18.011336207550102</v>
      </c>
      <c r="AL7284">
        <v>89.332591095480197</v>
      </c>
      <c r="AM7284">
        <v>89.499128719746807</v>
      </c>
      <c r="AN7284">
        <v>1.0000000499755</v>
      </c>
    </row>
    <row r="7285" spans="1:40" x14ac:dyDescent="0.25">
      <c r="A7285" t="str">
        <f>"20190312160827690"</f>
        <v>20190312160827690</v>
      </c>
      <c r="B7285" t="str">
        <f>"1552378107682637"</f>
        <v>1552378107682637</v>
      </c>
      <c r="C7285" t="s">
        <v>40</v>
      </c>
      <c r="D7285">
        <v>6.4663700000000004</v>
      </c>
      <c r="E7285">
        <v>0.43786900000000001</v>
      </c>
      <c r="F7285" t="s">
        <v>113</v>
      </c>
      <c r="G7285">
        <v>-212.2379</v>
      </c>
      <c r="H7285" s="1">
        <v>-3.8725370000000003E-8</v>
      </c>
      <c r="I7285">
        <v>-60.795780000000001</v>
      </c>
      <c r="J7285">
        <v>-230.79849999999999</v>
      </c>
      <c r="K7285">
        <v>1.1092900000000001</v>
      </c>
      <c r="L7285">
        <v>-63.612879999999997</v>
      </c>
      <c r="M7285">
        <v>0.99987369999999998</v>
      </c>
      <c r="N7285">
        <v>0</v>
      </c>
      <c r="O7285">
        <v>-7.8066400000000001E-3</v>
      </c>
      <c r="P7285">
        <v>0.99986960000000003</v>
      </c>
      <c r="Q7285">
        <v>-7.7725759999999896E-4</v>
      </c>
      <c r="R7285">
        <v>-1.612618E-2</v>
      </c>
      <c r="S7285">
        <v>3.0073850000000002</v>
      </c>
      <c r="T7285">
        <v>-0.17790880000000001</v>
      </c>
      <c r="U7285">
        <v>0.4515381</v>
      </c>
      <c r="V7285">
        <v>8.3317249999999999E-3</v>
      </c>
      <c r="W7285">
        <v>1.305716E-2</v>
      </c>
      <c r="X7285">
        <v>0.99987999999999999</v>
      </c>
      <c r="Y7285">
        <v>-0.1559152</v>
      </c>
      <c r="Z7285">
        <v>5.0410769999999997E-3</v>
      </c>
      <c r="AA7285">
        <v>0.98775760000000001</v>
      </c>
      <c r="AB7285">
        <v>31</v>
      </c>
      <c r="AC7285">
        <v>18.560599999999901</v>
      </c>
      <c r="AD7285">
        <v>-1.1092900387253699</v>
      </c>
      <c r="AE7285">
        <v>2.8170999999999902</v>
      </c>
      <c r="AF7285">
        <v>-2.95161830340228</v>
      </c>
      <c r="AG7285">
        <v>-1.1092900387253699</v>
      </c>
      <c r="AH7285">
        <v>18.473539315807901</v>
      </c>
      <c r="AI7285">
        <v>93.393404420851198</v>
      </c>
      <c r="AJ7285">
        <v>99.077732601021793</v>
      </c>
      <c r="AK7285">
        <v>18.740710494847701</v>
      </c>
      <c r="AL7285">
        <v>89.251858550801003</v>
      </c>
      <c r="AM7285">
        <v>89.522581079385603</v>
      </c>
      <c r="AN7285">
        <v>0.99999996073436903</v>
      </c>
    </row>
    <row r="7286" spans="1:40" x14ac:dyDescent="0.25">
      <c r="A7286" t="str">
        <f>"20190312160827702"</f>
        <v>20190312160827702</v>
      </c>
      <c r="B7286" t="str">
        <f>"1552378107692396"</f>
        <v>1552378107692396</v>
      </c>
      <c r="C7286" t="s">
        <v>40</v>
      </c>
      <c r="D7286">
        <v>6.5663080000000003</v>
      </c>
      <c r="E7286">
        <v>0.43775550000000002</v>
      </c>
      <c r="F7286" t="s">
        <v>82</v>
      </c>
      <c r="G7286">
        <v>-209.4314</v>
      </c>
      <c r="H7286" s="1">
        <v>-3.3573099999999998E-7</v>
      </c>
      <c r="I7286">
        <v>-60.403199999999998</v>
      </c>
      <c r="J7286">
        <v>-230.63820000000001</v>
      </c>
      <c r="K7286">
        <v>1.109321</v>
      </c>
      <c r="L7286">
        <v>-63.614350000000002</v>
      </c>
      <c r="M7286">
        <v>0.99987190000000004</v>
      </c>
      <c r="N7286">
        <v>0</v>
      </c>
      <c r="O7286">
        <v>-8.0051410000000003E-3</v>
      </c>
      <c r="P7286">
        <v>0.99987409999999999</v>
      </c>
      <c r="Q7286">
        <v>6.720303E-4</v>
      </c>
      <c r="R7286">
        <v>-1.5857090000000001E-2</v>
      </c>
      <c r="S7286">
        <v>3.0075530000000001</v>
      </c>
      <c r="T7286">
        <v>-0.15613959999999999</v>
      </c>
      <c r="U7286">
        <v>0.45178220000000002</v>
      </c>
      <c r="V7286">
        <v>7.8649589999999995E-3</v>
      </c>
      <c r="W7286">
        <v>1.454189E-2</v>
      </c>
      <c r="X7286">
        <v>0.99986330000000001</v>
      </c>
      <c r="Y7286">
        <v>-0.1562452</v>
      </c>
      <c r="Z7286">
        <v>4.4436040000000003E-3</v>
      </c>
      <c r="AA7286">
        <v>0.98770829999999998</v>
      </c>
      <c r="AB7286">
        <v>31</v>
      </c>
      <c r="AC7286">
        <v>21.206800000000001</v>
      </c>
      <c r="AD7286">
        <v>-1.1093213357309999</v>
      </c>
      <c r="AE7286">
        <v>3.2111499999999999</v>
      </c>
      <c r="AF7286">
        <v>-3.3718073310852401</v>
      </c>
      <c r="AG7286">
        <v>-1.1093213357309999</v>
      </c>
      <c r="AH7286">
        <v>21.1239063276923</v>
      </c>
      <c r="AI7286">
        <v>92.968612984478298</v>
      </c>
      <c r="AJ7286">
        <v>99.069071598619203</v>
      </c>
      <c r="AK7286">
        <v>21.420062956139599</v>
      </c>
      <c r="AL7286">
        <v>89.166781684976698</v>
      </c>
      <c r="AM7286">
        <v>89.549318728928199</v>
      </c>
      <c r="AN7286">
        <v>0.99999997141586605</v>
      </c>
    </row>
    <row r="7287" spans="1:40" x14ac:dyDescent="0.25">
      <c r="A7287" t="str">
        <f>"20190312160827713"</f>
        <v>20190312160827713</v>
      </c>
      <c r="B7287" t="str">
        <f>"1552378107703132"</f>
        <v>1552378107703132</v>
      </c>
      <c r="C7287" t="s">
        <v>40</v>
      </c>
      <c r="D7287">
        <v>6.2126349999999997</v>
      </c>
      <c r="E7287">
        <v>0.43769479999999999</v>
      </c>
      <c r="F7287" t="s">
        <v>82</v>
      </c>
      <c r="G7287">
        <v>-206.495</v>
      </c>
      <c r="H7287" s="1">
        <v>-2.3072539999999999E-6</v>
      </c>
      <c r="I7287">
        <v>-59.978490000000001</v>
      </c>
      <c r="J7287">
        <v>-230.47059999999999</v>
      </c>
      <c r="K7287">
        <v>1.109353</v>
      </c>
      <c r="L7287">
        <v>-63.61591</v>
      </c>
      <c r="M7287">
        <v>0.99986949999999997</v>
      </c>
      <c r="N7287">
        <v>0</v>
      </c>
      <c r="O7287">
        <v>-8.2049150000000001E-3</v>
      </c>
      <c r="P7287">
        <v>0.99987930000000003</v>
      </c>
      <c r="Q7287">
        <v>1.551459E-3</v>
      </c>
      <c r="R7287">
        <v>-1.545739E-2</v>
      </c>
      <c r="S7287">
        <v>3.00766</v>
      </c>
      <c r="T7287">
        <v>-0.13819519999999999</v>
      </c>
      <c r="U7287">
        <v>0.45294190000000001</v>
      </c>
      <c r="V7287">
        <v>7.26529699999999E-3</v>
      </c>
      <c r="W7287">
        <v>1.5456839999999999E-2</v>
      </c>
      <c r="X7287">
        <v>0.99985409999999997</v>
      </c>
      <c r="Y7287">
        <v>-0.15685579999999999</v>
      </c>
      <c r="Z7287">
        <v>3.9563020000000001E-3</v>
      </c>
      <c r="AA7287">
        <v>0.98761359999999998</v>
      </c>
      <c r="AB7287">
        <v>31</v>
      </c>
      <c r="AC7287">
        <v>23.975599999999901</v>
      </c>
      <c r="AD7287">
        <v>-1.1093553072539999</v>
      </c>
      <c r="AE7287">
        <v>3.6374199999999899</v>
      </c>
      <c r="AF7287">
        <v>-3.8260273897877499</v>
      </c>
      <c r="AG7287">
        <v>-1.1093553072539999</v>
      </c>
      <c r="AH7287">
        <v>23.894938807576899</v>
      </c>
      <c r="AI7287">
        <v>92.624740489603496</v>
      </c>
      <c r="AJ7287">
        <v>99.096910037380496</v>
      </c>
      <c r="AK7287">
        <v>24.224724052153501</v>
      </c>
      <c r="AL7287">
        <v>89.1143529998931</v>
      </c>
      <c r="AM7287">
        <v>89.583675729407304</v>
      </c>
      <c r="AN7287">
        <v>0.99999995986504597</v>
      </c>
    </row>
    <row r="7288" spans="1:40" x14ac:dyDescent="0.25">
      <c r="A7288" t="str">
        <f>"20190312160827726"</f>
        <v>20190312160827726</v>
      </c>
      <c r="B7288" t="str">
        <f>"1552378107722653"</f>
        <v>1552378107722653</v>
      </c>
      <c r="C7288" t="s">
        <v>40</v>
      </c>
      <c r="D7288">
        <v>6.2781010000000004</v>
      </c>
      <c r="E7288">
        <v>0.43763790000000002</v>
      </c>
      <c r="F7288" t="s">
        <v>82</v>
      </c>
      <c r="G7288">
        <v>-203.81139999999999</v>
      </c>
      <c r="H7288" s="1">
        <v>-3.936732E-6</v>
      </c>
      <c r="I7288">
        <v>-59.589640000000003</v>
      </c>
      <c r="J7288">
        <v>-230.31549999999999</v>
      </c>
      <c r="K7288">
        <v>1.1093900000000001</v>
      </c>
      <c r="L7288">
        <v>-63.617370000000001</v>
      </c>
      <c r="M7288">
        <v>0.99986799999999998</v>
      </c>
      <c r="N7288">
        <v>0</v>
      </c>
      <c r="O7288">
        <v>-8.3616860000000001E-3</v>
      </c>
      <c r="P7288">
        <v>0.9998842</v>
      </c>
      <c r="Q7288">
        <v>2.7208409999999999E-3</v>
      </c>
      <c r="R7288">
        <v>-1.497597E-2</v>
      </c>
      <c r="S7288">
        <v>3.007568</v>
      </c>
      <c r="T7288">
        <v>-0.12515229999999999</v>
      </c>
      <c r="U7288">
        <v>0.45422360000000001</v>
      </c>
      <c r="V7288">
        <v>6.6271840000000004E-3</v>
      </c>
      <c r="W7288">
        <v>1.665546E-2</v>
      </c>
      <c r="X7288">
        <v>0.99983929999999999</v>
      </c>
      <c r="Y7288">
        <v>-0.1574565</v>
      </c>
      <c r="Z7288">
        <v>3.6021479999999999E-3</v>
      </c>
      <c r="AA7288">
        <v>0.98751929999999999</v>
      </c>
      <c r="AB7288">
        <v>31</v>
      </c>
      <c r="AC7288">
        <v>26.504099999999902</v>
      </c>
      <c r="AD7288">
        <v>-1.10939393673199</v>
      </c>
      <c r="AE7288">
        <v>4.0277299999999903</v>
      </c>
      <c r="AF7288">
        <v>-4.2419652783239403</v>
      </c>
      <c r="AG7288">
        <v>-1.10939393673199</v>
      </c>
      <c r="AH7288">
        <v>26.4242399155622</v>
      </c>
      <c r="AI7288">
        <v>92.373734597872399</v>
      </c>
      <c r="AJ7288">
        <v>99.120056677122705</v>
      </c>
      <c r="AK7288">
        <v>26.7855460919608</v>
      </c>
      <c r="AL7288">
        <v>89.045668286071304</v>
      </c>
      <c r="AM7288">
        <v>89.620234859020599</v>
      </c>
      <c r="AN7288">
        <v>0.999999974870035</v>
      </c>
    </row>
    <row r="7289" spans="1:40" x14ac:dyDescent="0.25">
      <c r="A7289" t="str">
        <f>"20190312160827737"</f>
        <v>20190312160827737</v>
      </c>
      <c r="B7289" t="str">
        <f>"1552378107732413"</f>
        <v>1552378107732413</v>
      </c>
      <c r="C7289" t="s">
        <v>40</v>
      </c>
      <c r="D7289">
        <v>6.2065510000000002</v>
      </c>
      <c r="E7289">
        <v>0.43774819999999998</v>
      </c>
      <c r="F7289" t="s">
        <v>82</v>
      </c>
      <c r="G7289">
        <v>-198.8734</v>
      </c>
      <c r="H7289" s="1">
        <v>-7.7016729999999905E-6</v>
      </c>
      <c r="I7289">
        <v>-58.854559999999999</v>
      </c>
      <c r="J7289">
        <v>-230.1591</v>
      </c>
      <c r="K7289">
        <v>1.1094219999999999</v>
      </c>
      <c r="L7289">
        <v>-63.618839999999999</v>
      </c>
      <c r="M7289">
        <v>0.99986620000000004</v>
      </c>
      <c r="N7289">
        <v>0</v>
      </c>
      <c r="O7289">
        <v>-8.5113999999999902E-3</v>
      </c>
      <c r="P7289">
        <v>0.99988560000000004</v>
      </c>
      <c r="Q7289">
        <v>4.0713199999999998E-3</v>
      </c>
      <c r="R7289">
        <v>-1.456901E-2</v>
      </c>
      <c r="S7289">
        <v>3.0074619999999999</v>
      </c>
      <c r="T7289">
        <v>-0.10611470000000001</v>
      </c>
      <c r="U7289">
        <v>0.45556639999999998</v>
      </c>
      <c r="V7289">
        <v>6.0704729999999998E-3</v>
      </c>
      <c r="W7289">
        <v>1.8033779999999999E-2</v>
      </c>
      <c r="X7289">
        <v>0.99981889999999995</v>
      </c>
      <c r="Y7289">
        <v>-0.15807959999999999</v>
      </c>
      <c r="Z7289">
        <v>3.070756E-3</v>
      </c>
      <c r="AA7289">
        <v>0.98742160000000001</v>
      </c>
      <c r="AB7289">
        <v>31</v>
      </c>
      <c r="AC7289">
        <v>31.285699999999899</v>
      </c>
      <c r="AD7289">
        <v>-1.1094297016729999</v>
      </c>
      <c r="AE7289">
        <v>4.7642800000000003</v>
      </c>
      <c r="AF7289">
        <v>-5.0242436936611199</v>
      </c>
      <c r="AG7289">
        <v>-1.1094297016729999</v>
      </c>
      <c r="AH7289">
        <v>31.20566015719</v>
      </c>
      <c r="AI7289">
        <v>92.010266054748797</v>
      </c>
      <c r="AJ7289">
        <v>99.146370777149897</v>
      </c>
      <c r="AK7289">
        <v>31.626999301266</v>
      </c>
      <c r="AL7289">
        <v>88.966684452175102</v>
      </c>
      <c r="AM7289">
        <v>89.652128791800493</v>
      </c>
      <c r="AN7289">
        <v>0.99999995033036904</v>
      </c>
    </row>
    <row r="7290" spans="1:40" x14ac:dyDescent="0.25">
      <c r="A7290" t="str">
        <f>"20190312160827747"</f>
        <v>20190312160827747</v>
      </c>
      <c r="B7290" t="str">
        <f>"1552378107742172"</f>
        <v>1552378107742172</v>
      </c>
      <c r="C7290" t="s">
        <v>40</v>
      </c>
      <c r="D7290">
        <v>6.2497319999999998</v>
      </c>
      <c r="E7290">
        <v>0.438004</v>
      </c>
      <c r="F7290" t="s">
        <v>82</v>
      </c>
      <c r="G7290">
        <v>-195.24760000000001</v>
      </c>
      <c r="H7290" s="1">
        <v>-7.4782200000000004E-6</v>
      </c>
      <c r="I7290">
        <v>-58.329250000000002</v>
      </c>
      <c r="J7290">
        <v>-230.01740000000001</v>
      </c>
      <c r="K7290">
        <v>1.1094569999999999</v>
      </c>
      <c r="L7290">
        <v>-63.620179999999998</v>
      </c>
      <c r="M7290">
        <v>0.99986489999999995</v>
      </c>
      <c r="N7290">
        <v>0</v>
      </c>
      <c r="O7290">
        <v>-8.6216060000000004E-3</v>
      </c>
      <c r="P7290">
        <v>0.99988449999999995</v>
      </c>
      <c r="Q7290">
        <v>4.9649209999999997E-3</v>
      </c>
      <c r="R7290">
        <v>-1.436221E-2</v>
      </c>
      <c r="S7290">
        <v>3.0073699999999999</v>
      </c>
      <c r="T7290">
        <v>-9.5569009999999996E-2</v>
      </c>
      <c r="U7290">
        <v>0.45565800000000001</v>
      </c>
      <c r="V7290">
        <v>5.7529590000000002E-3</v>
      </c>
      <c r="W7290">
        <v>1.895059E-2</v>
      </c>
      <c r="X7290">
        <v>0.99980380000000002</v>
      </c>
      <c r="Y7290">
        <v>-0.158241299999999</v>
      </c>
      <c r="Z7290">
        <v>2.7718560000000001E-3</v>
      </c>
      <c r="AA7290">
        <v>0.98739659999999996</v>
      </c>
      <c r="AB7290">
        <v>31</v>
      </c>
      <c r="AC7290">
        <v>34.769799999999996</v>
      </c>
      <c r="AD7290">
        <v>-1.1094644782199901</v>
      </c>
      <c r="AE7290">
        <v>5.2909300000000004</v>
      </c>
      <c r="AF7290">
        <v>-5.5849764023466797</v>
      </c>
      <c r="AG7290">
        <v>-1.1094644782199901</v>
      </c>
      <c r="AH7290">
        <v>34.688367184420898</v>
      </c>
      <c r="AI7290">
        <v>91.808633784203593</v>
      </c>
      <c r="AJ7290">
        <v>99.146374157927994</v>
      </c>
      <c r="AK7290">
        <v>35.152605746436699</v>
      </c>
      <c r="AL7290">
        <v>88.914146098174996</v>
      </c>
      <c r="AM7290">
        <v>89.670318683898898</v>
      </c>
      <c r="AN7290">
        <v>0.99999992994651898</v>
      </c>
    </row>
    <row r="7291" spans="1:40" x14ac:dyDescent="0.25">
      <c r="A7291" t="str">
        <f>"20190312160827756"</f>
        <v>20190312160827756</v>
      </c>
      <c r="B7291" t="str">
        <f>"1552378107752909"</f>
        <v>1552378107752909</v>
      </c>
      <c r="C7291" t="s">
        <v>40</v>
      </c>
      <c r="D7291">
        <v>6.2909560000000004</v>
      </c>
      <c r="E7291">
        <v>0.43828810000000001</v>
      </c>
      <c r="F7291" t="s">
        <v>82</v>
      </c>
      <c r="G7291">
        <v>-192.19069999999999</v>
      </c>
      <c r="H7291" s="1">
        <v>-7.2848920000000001E-6</v>
      </c>
      <c r="I7291">
        <v>-57.909120000000001</v>
      </c>
      <c r="J7291">
        <v>-229.88890000000001</v>
      </c>
      <c r="K7291">
        <v>1.109491</v>
      </c>
      <c r="L7291">
        <v>-63.621400000000001</v>
      </c>
      <c r="M7291">
        <v>0.99986390000000003</v>
      </c>
      <c r="N7291">
        <v>0</v>
      </c>
      <c r="O7291">
        <v>-8.7150200000000004E-3</v>
      </c>
      <c r="P7291">
        <v>0.99988379999999999</v>
      </c>
      <c r="Q7291">
        <v>6.0882269999999999E-3</v>
      </c>
      <c r="R7291">
        <v>-1.3988820000000001E-2</v>
      </c>
      <c r="S7291">
        <v>3.0072939999999999</v>
      </c>
      <c r="T7291">
        <v>-8.8204619999999997E-2</v>
      </c>
      <c r="U7291">
        <v>0.45404050000000001</v>
      </c>
      <c r="V7291">
        <v>5.2856739999999998E-3</v>
      </c>
      <c r="W7291">
        <v>2.0093819999999998E-2</v>
      </c>
      <c r="X7291">
        <v>0.99978409999999995</v>
      </c>
      <c r="Y7291">
        <v>-0.15783039999999901</v>
      </c>
      <c r="Z7291">
        <v>2.5552560000000001E-3</v>
      </c>
      <c r="AA7291">
        <v>0.98746290000000003</v>
      </c>
      <c r="AB7291">
        <v>31</v>
      </c>
      <c r="AC7291">
        <v>37.6982</v>
      </c>
      <c r="AD7291">
        <v>-1.1094982848919901</v>
      </c>
      <c r="AE7291">
        <v>5.7122799999999998</v>
      </c>
      <c r="AF7291">
        <v>-6.03552527331198</v>
      </c>
      <c r="AG7291">
        <v>-1.1094982848919901</v>
      </c>
      <c r="AH7291">
        <v>37.615130084819803</v>
      </c>
      <c r="AI7291">
        <v>91.668184576591898</v>
      </c>
      <c r="AJ7291">
        <v>99.115678491834402</v>
      </c>
      <c r="AK7291">
        <v>38.112420063109099</v>
      </c>
      <c r="AL7291">
        <v>88.8486314003366</v>
      </c>
      <c r="AM7291">
        <v>89.697090611298506</v>
      </c>
      <c r="AN7291">
        <v>0.99999997328231705</v>
      </c>
    </row>
    <row r="7292" spans="1:40" x14ac:dyDescent="0.25">
      <c r="A7292" t="str">
        <f>"20190312160827765"</f>
        <v>20190312160827765</v>
      </c>
      <c r="B7292" t="str">
        <f>"1552378107762668"</f>
        <v>1552378107762668</v>
      </c>
      <c r="C7292" t="s">
        <v>40</v>
      </c>
      <c r="D7292">
        <v>6.2984309999999999</v>
      </c>
      <c r="E7292">
        <v>0.43846499999999999</v>
      </c>
      <c r="F7292" t="s">
        <v>82</v>
      </c>
      <c r="G7292">
        <v>-189.12180000000001</v>
      </c>
      <c r="H7292" s="1">
        <v>-1.216706E-5</v>
      </c>
      <c r="I7292">
        <v>-57.483130000000003</v>
      </c>
      <c r="J7292">
        <v>-229.7576</v>
      </c>
      <c r="K7292">
        <v>1.1095269999999999</v>
      </c>
      <c r="L7292">
        <v>-63.622619999999998</v>
      </c>
      <c r="M7292">
        <v>0.9998631</v>
      </c>
      <c r="N7292">
        <v>0</v>
      </c>
      <c r="O7292">
        <v>-8.787408E-3</v>
      </c>
      <c r="P7292">
        <v>0.99988319999999997</v>
      </c>
      <c r="Q7292">
        <v>7.3378559999999898E-3</v>
      </c>
      <c r="R7292">
        <v>-1.34308E-2</v>
      </c>
      <c r="S7292">
        <v>3.0071870000000001</v>
      </c>
      <c r="T7292">
        <v>-8.1842419999999999E-2</v>
      </c>
      <c r="U7292">
        <v>0.45278930000000001</v>
      </c>
      <c r="V7292">
        <v>4.6545960000000004E-3</v>
      </c>
      <c r="W7292">
        <v>2.1362409999999998E-2</v>
      </c>
      <c r="X7292">
        <v>0.99976100000000001</v>
      </c>
      <c r="Y7292">
        <v>-0.15751509999999999</v>
      </c>
      <c r="Z7292">
        <v>2.3688659999999999E-3</v>
      </c>
      <c r="AA7292">
        <v>0.98751369999999905</v>
      </c>
      <c r="AB7292">
        <v>31</v>
      </c>
      <c r="AC7292">
        <v>40.635799999999897</v>
      </c>
      <c r="AD7292">
        <v>-1.1095391670600001</v>
      </c>
      <c r="AE7292">
        <v>6.1394899999999897</v>
      </c>
      <c r="AF7292">
        <v>-6.4916396319277601</v>
      </c>
      <c r="AG7292">
        <v>-1.1095391670600001</v>
      </c>
      <c r="AH7292">
        <v>40.550717984152001</v>
      </c>
      <c r="AI7292">
        <v>91.547626601587694</v>
      </c>
      <c r="AJ7292">
        <v>99.0951328131802</v>
      </c>
      <c r="AK7292">
        <v>41.082030029007598</v>
      </c>
      <c r="AL7292">
        <v>88.775930999433498</v>
      </c>
      <c r="AM7292">
        <v>89.733249467340499</v>
      </c>
      <c r="AN7292">
        <v>1.0000000374729601</v>
      </c>
    </row>
    <row r="7293" spans="1:40" x14ac:dyDescent="0.25">
      <c r="A7293" t="str">
        <f>"20190312160827776"</f>
        <v>20190312160827776</v>
      </c>
      <c r="B7293" t="str">
        <f>"1552378107772428"</f>
        <v>1552378107772428</v>
      </c>
      <c r="C7293" t="s">
        <v>40</v>
      </c>
      <c r="D7293">
        <v>6.3009250000000003</v>
      </c>
      <c r="E7293">
        <v>0.43865169999999998</v>
      </c>
      <c r="F7293" t="s">
        <v>82</v>
      </c>
      <c r="G7293">
        <v>-184.77510000000001</v>
      </c>
      <c r="H7293" s="1">
        <v>-1.2932750000000001E-5</v>
      </c>
      <c r="I7293">
        <v>-56.847720000000002</v>
      </c>
      <c r="J7293">
        <v>-229.61369999999999</v>
      </c>
      <c r="K7293">
        <v>1.1095630000000001</v>
      </c>
      <c r="L7293">
        <v>-63.623959999999997</v>
      </c>
      <c r="M7293">
        <v>0.99986209999999998</v>
      </c>
      <c r="N7293">
        <v>0</v>
      </c>
      <c r="O7293">
        <v>-8.8609569999999992E-3</v>
      </c>
      <c r="P7293">
        <v>0.99987499999999996</v>
      </c>
      <c r="Q7293">
        <v>8.3127059999999996E-3</v>
      </c>
      <c r="R7293">
        <v>-1.345551E-2</v>
      </c>
      <c r="S7293">
        <v>3.0069430000000001</v>
      </c>
      <c r="T7293">
        <v>-7.4169280000000004E-2</v>
      </c>
      <c r="U7293">
        <v>0.45288089999999998</v>
      </c>
      <c r="V7293">
        <v>4.6051169999999997E-3</v>
      </c>
      <c r="W7293">
        <v>2.2356379999999999E-2</v>
      </c>
      <c r="X7293">
        <v>0.9997395</v>
      </c>
      <c r="Y7293">
        <v>-0.15763969999999999</v>
      </c>
      <c r="Z7293">
        <v>2.1503410000000001E-3</v>
      </c>
      <c r="AA7293">
        <v>0.98749430000000005</v>
      </c>
      <c r="AB7293">
        <v>31</v>
      </c>
      <c r="AC7293">
        <v>44.8385999999999</v>
      </c>
      <c r="AD7293">
        <v>-1.1095759327500001</v>
      </c>
      <c r="AE7293">
        <v>6.7762399999999996</v>
      </c>
      <c r="AF7293">
        <v>-7.1690339824336196</v>
      </c>
      <c r="AG7293">
        <v>-1.1095759327500001</v>
      </c>
      <c r="AH7293">
        <v>44.749998013883797</v>
      </c>
      <c r="AI7293">
        <v>91.402481680120303</v>
      </c>
      <c r="AJ7293">
        <v>99.101554929761605</v>
      </c>
      <c r="AK7293">
        <v>45.334187201652</v>
      </c>
      <c r="AL7293">
        <v>88.718967106972499</v>
      </c>
      <c r="AM7293">
        <v>89.736079346545495</v>
      </c>
      <c r="AN7293">
        <v>1.0000000413447601</v>
      </c>
    </row>
    <row r="7294" spans="1:40" x14ac:dyDescent="0.25">
      <c r="A7294" t="str">
        <f>"20190312160827787"</f>
        <v>20190312160827787</v>
      </c>
      <c r="B7294" t="str">
        <f>"1552378107782188"</f>
        <v>1552378107782188</v>
      </c>
      <c r="C7294" t="s">
        <v>40</v>
      </c>
      <c r="D7294">
        <v>6.4440929999999996</v>
      </c>
      <c r="E7294">
        <v>0.43864219999999998</v>
      </c>
      <c r="F7294" t="s">
        <v>82</v>
      </c>
      <c r="G7294">
        <v>-181.4562</v>
      </c>
      <c r="H7294" s="1">
        <v>-1.3444079999999999E-5</v>
      </c>
      <c r="I7294">
        <v>-56.397419999999997</v>
      </c>
      <c r="J7294">
        <v>-229.45500000000001</v>
      </c>
      <c r="K7294">
        <v>1.1095930000000001</v>
      </c>
      <c r="L7294">
        <v>-63.625459999999997</v>
      </c>
      <c r="M7294">
        <v>0.99986140000000001</v>
      </c>
      <c r="N7294">
        <v>0</v>
      </c>
      <c r="O7294">
        <v>-8.9161069999999995E-3</v>
      </c>
      <c r="P7294">
        <v>0.99987020000000004</v>
      </c>
      <c r="Q7294">
        <v>9.6647160000000003E-3</v>
      </c>
      <c r="R7294">
        <v>-1.289062E-2</v>
      </c>
      <c r="S7294">
        <v>3.0070039999999998</v>
      </c>
      <c r="T7294">
        <v>-6.9283129999999998E-2</v>
      </c>
      <c r="U7294">
        <v>0.45123289999999999</v>
      </c>
      <c r="V7294">
        <v>3.9842050000000002E-3</v>
      </c>
      <c r="W7294">
        <v>2.372788E-2</v>
      </c>
      <c r="X7294">
        <v>0.99971049999999995</v>
      </c>
      <c r="Y7294">
        <v>-0.15716840000000001</v>
      </c>
      <c r="Z7294">
        <v>2.0046249999999999E-3</v>
      </c>
      <c r="AA7294">
        <v>0.98756980000000005</v>
      </c>
      <c r="AB7294">
        <v>31</v>
      </c>
      <c r="AC7294">
        <v>47.998800000000003</v>
      </c>
      <c r="AD7294">
        <v>-1.10960644408</v>
      </c>
      <c r="AE7294">
        <v>7.2280399999999903</v>
      </c>
      <c r="AF7294">
        <v>-7.6517588499701699</v>
      </c>
      <c r="AG7294">
        <v>-1.10960644408</v>
      </c>
      <c r="AH7294">
        <v>47.907404710534003</v>
      </c>
      <c r="AI7294">
        <v>91.310216948801596</v>
      </c>
      <c r="AJ7294">
        <v>99.074620067566599</v>
      </c>
      <c r="AK7294">
        <v>48.527312578152703</v>
      </c>
      <c r="AL7294">
        <v>88.640364996576096</v>
      </c>
      <c r="AM7294">
        <v>89.771656972053904</v>
      </c>
      <c r="AN7294">
        <v>0.99999998499451304</v>
      </c>
    </row>
    <row r="7295" spans="1:40" x14ac:dyDescent="0.25">
      <c r="A7295" t="str">
        <f>"20190312160827799"</f>
        <v>20190312160827799</v>
      </c>
      <c r="B7295" t="str">
        <f>"1552378107792924"</f>
        <v>1552378107792924</v>
      </c>
      <c r="C7295" t="s">
        <v>40</v>
      </c>
      <c r="D7295">
        <v>6.2649080000000001</v>
      </c>
      <c r="E7295">
        <v>0.43865409999999999</v>
      </c>
      <c r="F7295" t="s">
        <v>82</v>
      </c>
      <c r="G7295">
        <v>-178.9684</v>
      </c>
      <c r="H7295">
        <v>7.9986570000000007E-2</v>
      </c>
      <c r="I7295">
        <v>-56.020679999999999</v>
      </c>
      <c r="J7295">
        <v>-229.29759999999999</v>
      </c>
      <c r="K7295">
        <v>1.109631</v>
      </c>
      <c r="L7295">
        <v>-63.626919999999998</v>
      </c>
      <c r="M7295">
        <v>0.99986059999999999</v>
      </c>
      <c r="N7295">
        <v>0</v>
      </c>
      <c r="O7295">
        <v>-8.9596060000000002E-3</v>
      </c>
      <c r="P7295">
        <v>0.99986120000000001</v>
      </c>
      <c r="Q7295">
        <v>1.1049659999999999E-2</v>
      </c>
      <c r="R7295">
        <v>-1.245834E-2</v>
      </c>
      <c r="S7295">
        <v>3.0067900000000001</v>
      </c>
      <c r="T7295">
        <v>-6.1319470000000001E-2</v>
      </c>
      <c r="U7295">
        <v>0.45291140000000002</v>
      </c>
      <c r="V7295">
        <v>3.5074110000000002E-3</v>
      </c>
      <c r="W7295">
        <v>2.5130309999999999E-2</v>
      </c>
      <c r="X7295">
        <v>0.99967799999999996</v>
      </c>
      <c r="Y7295">
        <v>-0.15776989999999999</v>
      </c>
      <c r="Z7295">
        <v>1.7812889999999999E-3</v>
      </c>
      <c r="AA7295">
        <v>0.98747430000000003</v>
      </c>
      <c r="AB7295">
        <v>31</v>
      </c>
      <c r="AC7295">
        <v>50.329199999999901</v>
      </c>
      <c r="AD7295">
        <v>-1.0296444300000001</v>
      </c>
      <c r="AE7295">
        <v>7.6062399999999899</v>
      </c>
      <c r="AF7295">
        <v>-8.0536137336046405</v>
      </c>
      <c r="AG7295">
        <v>-1.0296444300000001</v>
      </c>
      <c r="AH7295">
        <v>50.238466644877001</v>
      </c>
      <c r="AI7295">
        <v>91.159322816357601</v>
      </c>
      <c r="AJ7295">
        <v>99.107466718270302</v>
      </c>
      <c r="AK7295">
        <v>50.890317277953301</v>
      </c>
      <c r="AL7295">
        <v>88.559987658344895</v>
      </c>
      <c r="AM7295">
        <v>89.7989762476236</v>
      </c>
      <c r="AN7295">
        <v>0.99999996904830901</v>
      </c>
    </row>
    <row r="7296" spans="1:40" x14ac:dyDescent="0.25">
      <c r="A7296" t="str">
        <f>"20190312160827809"</f>
        <v>20190312160827809</v>
      </c>
      <c r="B7296" t="str">
        <f>"1552378107802684"</f>
        <v>1552378107802684</v>
      </c>
      <c r="C7296" t="s">
        <v>40</v>
      </c>
      <c r="D7296">
        <v>6.6796259999999998</v>
      </c>
      <c r="E7296">
        <v>0.43874340000000001</v>
      </c>
      <c r="F7296" t="s">
        <v>45</v>
      </c>
      <c r="G7296">
        <v>-164.72630000000001</v>
      </c>
      <c r="H7296">
        <v>-0.05</v>
      </c>
      <c r="I7296">
        <v>-53.876539999999999</v>
      </c>
      <c r="J7296">
        <v>-229.14680000000001</v>
      </c>
      <c r="K7296">
        <v>1.1096699999999999</v>
      </c>
      <c r="L7296">
        <v>-63.628300000000003</v>
      </c>
      <c r="M7296">
        <v>0.99986030000000004</v>
      </c>
      <c r="N7296">
        <v>0</v>
      </c>
      <c r="O7296">
        <v>-8.9880140000000008E-3</v>
      </c>
      <c r="P7296">
        <v>0.99985100000000005</v>
      </c>
      <c r="Q7296">
        <v>1.227399E-2</v>
      </c>
      <c r="R7296">
        <v>-1.2152649999999999E-2</v>
      </c>
      <c r="S7296">
        <v>3.006653</v>
      </c>
      <c r="T7296">
        <v>-5.3996210000000003E-2</v>
      </c>
      <c r="U7296">
        <v>0.45401000000000002</v>
      </c>
      <c r="V7296">
        <v>3.172097E-3</v>
      </c>
      <c r="W7296">
        <v>2.637016E-2</v>
      </c>
      <c r="X7296">
        <v>0.99964719999999996</v>
      </c>
      <c r="Y7296">
        <v>-0.1581649</v>
      </c>
      <c r="Z7296">
        <v>1.5726519999999999E-3</v>
      </c>
      <c r="AA7296">
        <v>0.98741140000000005</v>
      </c>
      <c r="AB7296">
        <v>31</v>
      </c>
      <c r="AC7296">
        <v>64.420500000000004</v>
      </c>
      <c r="AD7296">
        <v>-1.15967</v>
      </c>
      <c r="AE7296">
        <v>9.7517599999999902</v>
      </c>
      <c r="AF7296">
        <v>-10.3271642626143</v>
      </c>
      <c r="AG7296">
        <v>-1.15967</v>
      </c>
      <c r="AH7296">
        <v>64.309866507418803</v>
      </c>
      <c r="AI7296">
        <v>91.020011082239293</v>
      </c>
      <c r="AJ7296">
        <v>99.122924358711799</v>
      </c>
      <c r="AK7296">
        <v>65.144102468434895</v>
      </c>
      <c r="AL7296">
        <v>88.488925941453701</v>
      </c>
      <c r="AM7296">
        <v>89.818188696686803</v>
      </c>
      <c r="AN7296">
        <v>0.99999998600282103</v>
      </c>
    </row>
    <row r="7297" spans="1:40" x14ac:dyDescent="0.25">
      <c r="A7297" t="str">
        <f>"20190312160827821"</f>
        <v>20190312160827821</v>
      </c>
      <c r="B7297" t="str">
        <f>"1552378107812445"</f>
        <v>1552378107812445</v>
      </c>
      <c r="C7297" t="s">
        <v>40</v>
      </c>
      <c r="D7297">
        <v>6.5393809999999997</v>
      </c>
      <c r="E7297">
        <v>0.43884980000000001</v>
      </c>
      <c r="F7297" t="s">
        <v>45</v>
      </c>
      <c r="G7297">
        <v>-156.66630000000001</v>
      </c>
      <c r="H7297">
        <v>-0.05</v>
      </c>
      <c r="I7297">
        <v>-52.681139999999999</v>
      </c>
      <c r="J7297">
        <v>-228.99680000000001</v>
      </c>
      <c r="K7297">
        <v>1.1096980000000001</v>
      </c>
      <c r="L7297">
        <v>-63.6297</v>
      </c>
      <c r="M7297">
        <v>0.99985999999999997</v>
      </c>
      <c r="N7297">
        <v>0</v>
      </c>
      <c r="O7297">
        <v>-9.0046799999999993E-3</v>
      </c>
      <c r="P7297">
        <v>0.99983999999999995</v>
      </c>
      <c r="Q7297">
        <v>1.37284E-2</v>
      </c>
      <c r="R7297">
        <v>-1.147423E-2</v>
      </c>
      <c r="S7297">
        <v>3.0065770000000001</v>
      </c>
      <c r="T7297">
        <v>-4.8104519999999998E-2</v>
      </c>
      <c r="U7297">
        <v>0.45410159999999999</v>
      </c>
      <c r="V7297">
        <v>2.4761219999999999E-3</v>
      </c>
      <c r="W7297">
        <v>2.7838749999999999E-2</v>
      </c>
      <c r="X7297">
        <v>0.99960939999999998</v>
      </c>
      <c r="Y7297">
        <v>-0.1582199</v>
      </c>
      <c r="Z7297">
        <v>1.40181299999999E-3</v>
      </c>
      <c r="AA7297">
        <v>0.98740289999999997</v>
      </c>
      <c r="AB7297">
        <v>31</v>
      </c>
      <c r="AC7297">
        <v>72.330500000000001</v>
      </c>
      <c r="AD7297">
        <v>-1.1596979999999999</v>
      </c>
      <c r="AE7297">
        <v>10.948560000000001</v>
      </c>
      <c r="AF7297">
        <v>-11.596579485584799</v>
      </c>
      <c r="AG7297">
        <v>-1.1596979999999999</v>
      </c>
      <c r="AH7297">
        <v>72.210821593947799</v>
      </c>
      <c r="AI7297">
        <v>90.9084469677844</v>
      </c>
      <c r="AJ7297">
        <v>99.123423060007596</v>
      </c>
      <c r="AK7297">
        <v>73.145254873365801</v>
      </c>
      <c r="AL7297">
        <v>88.404751084513805</v>
      </c>
      <c r="AM7297">
        <v>89.858073513526705</v>
      </c>
      <c r="AN7297">
        <v>1.0000000398750299</v>
      </c>
    </row>
    <row r="7298" spans="1:40" x14ac:dyDescent="0.25">
      <c r="A7298" t="str">
        <f>"20190312160827830"</f>
        <v>20190312160827830</v>
      </c>
      <c r="B7298" t="str">
        <f>"1552378107822205"</f>
        <v>1552378107822205</v>
      </c>
      <c r="C7298" t="s">
        <v>40</v>
      </c>
      <c r="D7298">
        <v>6.4009519999999904</v>
      </c>
      <c r="E7298">
        <v>0.4389016</v>
      </c>
      <c r="F7298" t="s">
        <v>52</v>
      </c>
      <c r="G7298">
        <v>-157.9383</v>
      </c>
      <c r="H7298">
        <v>0.1235233</v>
      </c>
      <c r="I7298">
        <v>-52.870229999999999</v>
      </c>
      <c r="J7298">
        <v>-228.84899999999999</v>
      </c>
      <c r="K7298">
        <v>1.1097250000000001</v>
      </c>
      <c r="L7298">
        <v>-63.631039999999999</v>
      </c>
      <c r="M7298">
        <v>0.99985959999999996</v>
      </c>
      <c r="N7298">
        <v>0</v>
      </c>
      <c r="O7298">
        <v>-9.0145880000000005E-3</v>
      </c>
      <c r="P7298">
        <v>0.99982669999999996</v>
      </c>
      <c r="Q7298">
        <v>1.4983730000000001E-2</v>
      </c>
      <c r="R7298">
        <v>-1.105395E-2</v>
      </c>
      <c r="S7298">
        <v>3.0062709999999999</v>
      </c>
      <c r="T7298">
        <v>-4.1722889999999999E-2</v>
      </c>
      <c r="U7298">
        <v>0.4552002</v>
      </c>
      <c r="V7298">
        <v>2.0449190000000001E-3</v>
      </c>
      <c r="W7298">
        <v>2.91071E-2</v>
      </c>
      <c r="X7298">
        <v>0.99957419999999997</v>
      </c>
      <c r="Y7298">
        <v>-0.15860239999999901</v>
      </c>
      <c r="Z7298">
        <v>1.2187299999999999E-3</v>
      </c>
      <c r="AA7298">
        <v>0.98734180000000005</v>
      </c>
      <c r="AB7298">
        <v>31</v>
      </c>
      <c r="AC7298">
        <v>70.910700000000006</v>
      </c>
      <c r="AD7298">
        <v>-0.98620169999999996</v>
      </c>
      <c r="AE7298">
        <v>10.760809999999999</v>
      </c>
      <c r="AF7298">
        <v>-11.3975122851799</v>
      </c>
      <c r="AG7298">
        <v>-0.98620169999999996</v>
      </c>
      <c r="AH7298">
        <v>70.797418625200706</v>
      </c>
      <c r="AI7298">
        <v>90.787929675236995</v>
      </c>
      <c r="AJ7298">
        <v>99.145445845678694</v>
      </c>
      <c r="AK7298">
        <v>71.715760918195798</v>
      </c>
      <c r="AL7298">
        <v>88.332050427173101</v>
      </c>
      <c r="AM7298">
        <v>89.882785025172694</v>
      </c>
      <c r="AN7298">
        <v>0.99999999313488297</v>
      </c>
    </row>
    <row r="7299" spans="1:40" x14ac:dyDescent="0.25">
      <c r="A7299" t="str">
        <f>"20190312160827843"</f>
        <v>20190312160827843</v>
      </c>
      <c r="B7299" t="str">
        <f>"1552378107832941"</f>
        <v>1552378107832941</v>
      </c>
      <c r="C7299" t="s">
        <v>40</v>
      </c>
      <c r="D7299">
        <v>6.3377730000000003</v>
      </c>
      <c r="E7299">
        <v>0.43889359999999999</v>
      </c>
      <c r="F7299" t="s">
        <v>52</v>
      </c>
      <c r="G7299">
        <v>-157.9383</v>
      </c>
      <c r="H7299">
        <v>0.27638980000000002</v>
      </c>
      <c r="I7299">
        <v>-52.874580000000002</v>
      </c>
      <c r="J7299">
        <v>-228.69380000000001</v>
      </c>
      <c r="K7299">
        <v>1.109745</v>
      </c>
      <c r="L7299">
        <v>-63.632480000000001</v>
      </c>
      <c r="M7299">
        <v>0.99985930000000001</v>
      </c>
      <c r="N7299">
        <v>0</v>
      </c>
      <c r="O7299">
        <v>-9.0134599999999992E-3</v>
      </c>
      <c r="P7299">
        <v>0.99981560000000003</v>
      </c>
      <c r="Q7299">
        <v>1.6058909999999999E-2</v>
      </c>
      <c r="R7299">
        <v>-1.0525369999999999E-2</v>
      </c>
      <c r="S7299">
        <v>3.0060880000000001</v>
      </c>
      <c r="T7299">
        <v>-3.5328030000000003E-2</v>
      </c>
      <c r="U7299">
        <v>0.4559937</v>
      </c>
      <c r="V7299">
        <v>1.5169129999999999E-3</v>
      </c>
      <c r="W7299">
        <v>3.0194289999999999E-2</v>
      </c>
      <c r="X7299">
        <v>0.99954290000000001</v>
      </c>
      <c r="Y7299">
        <v>-0.15886939999999999</v>
      </c>
      <c r="Z7299">
        <v>1.033537E-3</v>
      </c>
      <c r="AA7299">
        <v>0.98729909999999999</v>
      </c>
      <c r="AB7299">
        <v>31</v>
      </c>
      <c r="AC7299">
        <v>70.755499999999998</v>
      </c>
      <c r="AD7299">
        <v>-0.83335519999999996</v>
      </c>
      <c r="AE7299">
        <v>10.757899999999999</v>
      </c>
      <c r="AF7299">
        <v>-11.393733772610901</v>
      </c>
      <c r="AG7299">
        <v>-0.83335519999999996</v>
      </c>
      <c r="AH7299">
        <v>70.646070973795204</v>
      </c>
      <c r="AI7299">
        <v>90.66722012932</v>
      </c>
      <c r="AJ7299">
        <v>99.161719572730703</v>
      </c>
      <c r="AK7299">
        <v>71.563810646198903</v>
      </c>
      <c r="AL7299">
        <v>88.269731641207002</v>
      </c>
      <c r="AM7299">
        <v>89.913047607996702</v>
      </c>
      <c r="AN7299">
        <v>1.0000000025570299</v>
      </c>
    </row>
    <row r="7300" spans="1:40" x14ac:dyDescent="0.25">
      <c r="A7300" t="str">
        <f>"20190312160827854"</f>
        <v>20190312160827854</v>
      </c>
      <c r="B7300" t="str">
        <f>"1552378107842700"</f>
        <v>1552378107842700</v>
      </c>
      <c r="C7300" t="s">
        <v>40</v>
      </c>
      <c r="D7300">
        <v>6.2137859999999998</v>
      </c>
      <c r="E7300">
        <v>0.43838850000000001</v>
      </c>
      <c r="F7300" t="s">
        <v>52</v>
      </c>
      <c r="G7300">
        <v>-157.93819999999999</v>
      </c>
      <c r="H7300">
        <v>0.39385799999999999</v>
      </c>
      <c r="I7300">
        <v>-52.862870000000001</v>
      </c>
      <c r="J7300">
        <v>-228.53729999999999</v>
      </c>
      <c r="K7300">
        <v>1.1097680000000001</v>
      </c>
      <c r="L7300">
        <v>-63.633879999999998</v>
      </c>
      <c r="M7300">
        <v>0.99985930000000001</v>
      </c>
      <c r="N7300">
        <v>0</v>
      </c>
      <c r="O7300">
        <v>-9.0092499999999999E-3</v>
      </c>
      <c r="P7300">
        <v>0.99979879999999999</v>
      </c>
      <c r="Q7300">
        <v>1.739247E-2</v>
      </c>
      <c r="R7300">
        <v>-1.000498E-2</v>
      </c>
      <c r="S7300">
        <v>3.0058750000000001</v>
      </c>
      <c r="T7300">
        <v>-3.0413510000000001E-2</v>
      </c>
      <c r="U7300">
        <v>0.45751950000000002</v>
      </c>
      <c r="V7300">
        <v>9.9979119999999994E-4</v>
      </c>
      <c r="W7300">
        <v>3.1539280000000003E-2</v>
      </c>
      <c r="X7300">
        <v>0.999502</v>
      </c>
      <c r="Y7300">
        <v>-0.15936839999999999</v>
      </c>
      <c r="Z7300">
        <v>8.9226520000000001E-4</v>
      </c>
      <c r="AA7300">
        <v>0.98721879999999995</v>
      </c>
      <c r="AB7300">
        <v>31</v>
      </c>
      <c r="AC7300">
        <v>70.599099999999893</v>
      </c>
      <c r="AD7300">
        <v>-0.71591000000000005</v>
      </c>
      <c r="AE7300">
        <v>10.77101</v>
      </c>
      <c r="AF7300">
        <v>-11.4055352547018</v>
      </c>
      <c r="AG7300">
        <v>-0.71591000000000005</v>
      </c>
      <c r="AH7300">
        <v>70.492101990361107</v>
      </c>
      <c r="AI7300">
        <v>90.574400120873193</v>
      </c>
      <c r="AJ7300">
        <v>99.190737914656196</v>
      </c>
      <c r="AK7300">
        <v>71.4124303226954</v>
      </c>
      <c r="AL7300">
        <v>88.192632619641302</v>
      </c>
      <c r="AM7300">
        <v>89.942687661406694</v>
      </c>
      <c r="AN7300">
        <v>0.99999998688468095</v>
      </c>
    </row>
    <row r="7301" spans="1:40" x14ac:dyDescent="0.25">
      <c r="A7301" t="str">
        <f>"20190312160827865"</f>
        <v>20190312160827865</v>
      </c>
      <c r="B7301" t="str">
        <f>"1552378107852460"</f>
        <v>1552378107852460</v>
      </c>
      <c r="C7301" t="s">
        <v>40</v>
      </c>
      <c r="D7301">
        <v>6.1072309999999996</v>
      </c>
      <c r="E7301">
        <v>0.43838850000000001</v>
      </c>
      <c r="F7301" t="s">
        <v>52</v>
      </c>
      <c r="G7301">
        <v>-157.9383</v>
      </c>
      <c r="H7301">
        <v>0.54231359999999995</v>
      </c>
      <c r="I7301">
        <v>-52.757579999999997</v>
      </c>
      <c r="J7301">
        <v>-228.38589999999999</v>
      </c>
      <c r="K7301">
        <v>1.1097870000000001</v>
      </c>
      <c r="L7301">
        <v>-63.635249999999999</v>
      </c>
      <c r="M7301">
        <v>0.99985930000000001</v>
      </c>
      <c r="N7301">
        <v>0</v>
      </c>
      <c r="O7301">
        <v>-8.9962800000000006E-3</v>
      </c>
      <c r="P7301">
        <v>0.9997838</v>
      </c>
      <c r="Q7301">
        <v>1.8487380000000001E-2</v>
      </c>
      <c r="R7301">
        <v>-9.5170259999999996E-3</v>
      </c>
      <c r="S7301">
        <v>3.0056609999999999</v>
      </c>
      <c r="T7301">
        <v>-2.4159429999999999E-2</v>
      </c>
      <c r="U7301">
        <v>0.46304319999999999</v>
      </c>
      <c r="V7301">
        <v>5.245022E-4</v>
      </c>
      <c r="W7301">
        <v>3.2643539999999999E-2</v>
      </c>
      <c r="X7301">
        <v>0.99946690000000005</v>
      </c>
      <c r="Y7301">
        <v>-0.16114149999999999</v>
      </c>
      <c r="Z7301">
        <v>7.1572360000000002E-4</v>
      </c>
      <c r="AA7301">
        <v>0.986931</v>
      </c>
      <c r="AB7301">
        <v>31</v>
      </c>
      <c r="AC7301">
        <v>70.447599999999994</v>
      </c>
      <c r="AD7301">
        <v>-0.56747340000000002</v>
      </c>
      <c r="AE7301">
        <v>10.877669999999901</v>
      </c>
      <c r="AF7301">
        <v>-11.510330103885099</v>
      </c>
      <c r="AG7301">
        <v>-0.56747340000000002</v>
      </c>
      <c r="AH7301">
        <v>70.342422195928194</v>
      </c>
      <c r="AI7301">
        <v>90.456145983253094</v>
      </c>
      <c r="AJ7301">
        <v>99.293111806197203</v>
      </c>
      <c r="AK7301">
        <v>71.280194202529501</v>
      </c>
      <c r="AL7301">
        <v>88.129330560741096</v>
      </c>
      <c r="AM7301">
        <v>89.969932211215095</v>
      </c>
      <c r="AN7301">
        <v>0.99999998000094903</v>
      </c>
    </row>
    <row r="7302" spans="1:40" x14ac:dyDescent="0.25">
      <c r="A7302" t="str">
        <f>"20190312160827876"</f>
        <v>20190312160827876</v>
      </c>
      <c r="B7302" t="str">
        <f>"1552378107872956"</f>
        <v>1552378107872956</v>
      </c>
      <c r="C7302" t="s">
        <v>40</v>
      </c>
      <c r="D7302">
        <v>6.0072229999999998</v>
      </c>
      <c r="E7302">
        <v>0.39196799999999998</v>
      </c>
      <c r="F7302" t="s">
        <v>52</v>
      </c>
      <c r="G7302">
        <v>-157.9383</v>
      </c>
      <c r="H7302">
        <v>0.61317279999999996</v>
      </c>
      <c r="I7302">
        <v>-52.747999999999998</v>
      </c>
      <c r="J7302">
        <v>-228.232</v>
      </c>
      <c r="K7302">
        <v>1.109809</v>
      </c>
      <c r="L7302">
        <v>-63.636659999999999</v>
      </c>
      <c r="M7302">
        <v>0.99985930000000001</v>
      </c>
      <c r="N7302">
        <v>0</v>
      </c>
      <c r="O7302">
        <v>-8.9822449999999998E-3</v>
      </c>
      <c r="P7302">
        <v>0.99976339999999997</v>
      </c>
      <c r="Q7302">
        <v>1.977462E-2</v>
      </c>
      <c r="R7302">
        <v>-9.0648800000000009E-3</v>
      </c>
      <c r="S7302">
        <v>3.0054780000000001</v>
      </c>
      <c r="T7302">
        <v>-2.1187660000000001E-2</v>
      </c>
      <c r="U7302">
        <v>0.46447749999999999</v>
      </c>
      <c r="V7302" s="1">
        <v>8.5833479999999996E-5</v>
      </c>
      <c r="W7302">
        <v>3.39403E-2</v>
      </c>
      <c r="X7302">
        <v>0.99942390000000003</v>
      </c>
      <c r="Y7302">
        <v>-0.16159799999999999</v>
      </c>
      <c r="Z7302">
        <v>6.2920350000000001E-4</v>
      </c>
      <c r="AA7302">
        <v>0.98685650000000003</v>
      </c>
      <c r="AB7302">
        <v>31</v>
      </c>
      <c r="AC7302">
        <v>70.293700000000001</v>
      </c>
      <c r="AD7302">
        <v>-0.49663620000000003</v>
      </c>
      <c r="AE7302">
        <v>10.8886599999999</v>
      </c>
      <c r="AF7302">
        <v>-11.5191177354533</v>
      </c>
      <c r="AG7302">
        <v>-0.49663620000000003</v>
      </c>
      <c r="AH7302">
        <v>70.189627751681002</v>
      </c>
      <c r="AI7302">
        <v>90.400045924704301</v>
      </c>
      <c r="AJ7302">
        <v>99.319973082068202</v>
      </c>
      <c r="AK7302">
        <v>71.130306936199403</v>
      </c>
      <c r="AL7302">
        <v>88.054990589948702</v>
      </c>
      <c r="AM7302">
        <v>89.995079269033994</v>
      </c>
      <c r="AN7302">
        <v>1.0000000416113399</v>
      </c>
    </row>
    <row r="7303" spans="1:40" x14ac:dyDescent="0.25">
      <c r="A7303" t="str">
        <f>"20190312160827888"</f>
        <v>20190312160827888</v>
      </c>
      <c r="B7303" t="str">
        <f>"1552378107882716"</f>
        <v>1552378107882716</v>
      </c>
      <c r="C7303" t="s">
        <v>40</v>
      </c>
      <c r="D7303">
        <v>9.3222140000000007</v>
      </c>
      <c r="E7303">
        <v>0.39196799999999998</v>
      </c>
      <c r="F7303" t="s">
        <v>52</v>
      </c>
      <c r="G7303">
        <v>-157.3501</v>
      </c>
      <c r="H7303">
        <v>3.0591460000000001</v>
      </c>
      <c r="I7303">
        <v>-43.973799999999997</v>
      </c>
      <c r="J7303">
        <v>-228.06219999999999</v>
      </c>
      <c r="K7303">
        <v>1.109826</v>
      </c>
      <c r="L7303">
        <v>-63.638150000000003</v>
      </c>
      <c r="M7303">
        <v>0.99985939999999995</v>
      </c>
      <c r="N7303">
        <v>0</v>
      </c>
      <c r="O7303">
        <v>-8.9635840000000001E-3</v>
      </c>
      <c r="P7303">
        <v>0.99974280000000004</v>
      </c>
      <c r="Q7303">
        <v>2.1113819999999998E-2</v>
      </c>
      <c r="R7303">
        <v>-8.3014009999999999E-3</v>
      </c>
      <c r="S7303">
        <v>3.0066220000000001</v>
      </c>
      <c r="T7303">
        <v>8.2684759999999996E-2</v>
      </c>
      <c r="U7303">
        <v>0.83404539999999905</v>
      </c>
      <c r="V7303">
        <v>-6.5935709999999999E-4</v>
      </c>
      <c r="W7303">
        <v>3.5288460000000001E-2</v>
      </c>
      <c r="X7303">
        <v>0.99937699999999996</v>
      </c>
      <c r="Y7303">
        <v>-0.27583590000000002</v>
      </c>
      <c r="Z7303">
        <v>-3.9639030000000004E-3</v>
      </c>
      <c r="AA7303">
        <v>0.96119650000000001</v>
      </c>
      <c r="AB7303">
        <v>31</v>
      </c>
      <c r="AC7303">
        <v>70.712099999999893</v>
      </c>
      <c r="AD7303">
        <v>1.9493199999999999</v>
      </c>
      <c r="AE7303">
        <v>19.664349999999999</v>
      </c>
      <c r="AF7303">
        <v>-20.283149856792001</v>
      </c>
      <c r="AG7303">
        <v>1.9493199999999999</v>
      </c>
      <c r="AH7303">
        <v>70.483259827041607</v>
      </c>
      <c r="AI7303">
        <v>88.477557783286699</v>
      </c>
      <c r="AJ7303">
        <v>106.054367848206</v>
      </c>
      <c r="AK7303">
        <v>73.369584518530104</v>
      </c>
      <c r="AL7303">
        <v>87.977700407714394</v>
      </c>
      <c r="AM7303">
        <v>90.037801924139103</v>
      </c>
      <c r="AN7303">
        <v>1.0000000491449701</v>
      </c>
    </row>
    <row r="7304" spans="1:40" x14ac:dyDescent="0.25">
      <c r="A7304" t="str">
        <f>"20190312160827901"</f>
        <v>20190312160827901</v>
      </c>
      <c r="B7304" t="str">
        <f>"1552378107892476"</f>
        <v>1552378107892476</v>
      </c>
      <c r="C7304" t="s">
        <v>40</v>
      </c>
      <c r="D7304">
        <v>6.4003629999999996</v>
      </c>
      <c r="E7304">
        <v>0.3501591</v>
      </c>
      <c r="F7304" t="s">
        <v>52</v>
      </c>
      <c r="G7304">
        <v>-157.3501</v>
      </c>
      <c r="H7304">
        <v>3.132123</v>
      </c>
      <c r="I7304">
        <v>-43.964489999999998</v>
      </c>
      <c r="J7304">
        <v>-227.90010000000001</v>
      </c>
      <c r="K7304">
        <v>1.1098440000000001</v>
      </c>
      <c r="L7304">
        <v>-63.639620000000001</v>
      </c>
      <c r="M7304">
        <v>0.99985950000000001</v>
      </c>
      <c r="N7304">
        <v>0</v>
      </c>
      <c r="O7304">
        <v>-8.9455390000000006E-3</v>
      </c>
      <c r="P7304">
        <v>0.99972369999999999</v>
      </c>
      <c r="Q7304">
        <v>2.2071629999999998E-2</v>
      </c>
      <c r="R7304">
        <v>-8.1096099999999997E-3</v>
      </c>
      <c r="S7304">
        <v>3.00589</v>
      </c>
      <c r="T7304">
        <v>8.5964559999999995E-2</v>
      </c>
      <c r="U7304">
        <v>0.83630369999999998</v>
      </c>
      <c r="V7304">
        <v>-8.3374169999999995E-4</v>
      </c>
      <c r="W7304">
        <v>3.6254389999999997E-2</v>
      </c>
      <c r="X7304">
        <v>0.99934230000000002</v>
      </c>
      <c r="Y7304">
        <v>-0.27654079999999998</v>
      </c>
      <c r="Z7304">
        <v>-4.13102E-3</v>
      </c>
      <c r="AA7304">
        <v>0.96099330000000005</v>
      </c>
      <c r="AB7304">
        <v>31</v>
      </c>
      <c r="AC7304">
        <v>70.55</v>
      </c>
      <c r="AD7304">
        <v>2.0222790000000002</v>
      </c>
      <c r="AE7304">
        <v>19.6751299999999</v>
      </c>
      <c r="AF7304">
        <v>-20.290045484219402</v>
      </c>
      <c r="AG7304">
        <v>2.0222790000000002</v>
      </c>
      <c r="AH7304">
        <v>70.317546983849198</v>
      </c>
      <c r="AI7304">
        <v>88.417210868804304</v>
      </c>
      <c r="AJ7304">
        <v>106.095433156989</v>
      </c>
      <c r="AK7304">
        <v>73.214294860576103</v>
      </c>
      <c r="AL7304">
        <v>87.922321263787595</v>
      </c>
      <c r="AM7304">
        <v>90.047801308451298</v>
      </c>
      <c r="AN7304">
        <v>1.0000000542443901</v>
      </c>
    </row>
    <row r="7305" spans="1:40" x14ac:dyDescent="0.25">
      <c r="A7305" t="str">
        <f>"20190312160827913"</f>
        <v>20190312160827913</v>
      </c>
      <c r="B7305" t="str">
        <f>"1552378107902237"</f>
        <v>1552378107902237</v>
      </c>
      <c r="C7305" t="s">
        <v>40</v>
      </c>
      <c r="D7305">
        <v>6.0134759999999998</v>
      </c>
      <c r="E7305">
        <v>0.35067039999999999</v>
      </c>
      <c r="F7305" t="s">
        <v>52</v>
      </c>
      <c r="G7305">
        <v>-168.45060000000001</v>
      </c>
      <c r="H7305">
        <v>5.6290500000000003</v>
      </c>
      <c r="I7305">
        <v>-40.536879999999996</v>
      </c>
      <c r="J7305">
        <v>-227.72130000000001</v>
      </c>
      <c r="K7305">
        <v>1.1098600000000001</v>
      </c>
      <c r="L7305">
        <v>-63.641199999999998</v>
      </c>
      <c r="M7305">
        <v>0.99985950000000001</v>
      </c>
      <c r="N7305">
        <v>0</v>
      </c>
      <c r="O7305">
        <v>-8.9253570000000001E-3</v>
      </c>
      <c r="P7305">
        <v>0.99970190000000003</v>
      </c>
      <c r="Q7305">
        <v>2.3200479999999999E-2</v>
      </c>
      <c r="R7305">
        <v>-7.6272149999999997E-3</v>
      </c>
      <c r="S7305">
        <v>3.0052639999999999</v>
      </c>
      <c r="T7305">
        <v>0.2284515</v>
      </c>
      <c r="U7305">
        <v>1.1678770000000001</v>
      </c>
      <c r="V7305">
        <v>-1.2959149999999999E-3</v>
      </c>
      <c r="W7305">
        <v>3.7391359999999998E-2</v>
      </c>
      <c r="X7305">
        <v>0.99929990000000002</v>
      </c>
      <c r="Y7305">
        <v>-0.36957679999999998</v>
      </c>
      <c r="Z7305">
        <v>-1.418992E-2</v>
      </c>
      <c r="AA7305">
        <v>0.92909180000000002</v>
      </c>
      <c r="AB7305">
        <v>31</v>
      </c>
      <c r="AC7305">
        <v>59.270699999999998</v>
      </c>
      <c r="AD7305">
        <v>4.51919</v>
      </c>
      <c r="AE7305">
        <v>23.104320000000001</v>
      </c>
      <c r="AF7305">
        <v>-23.513798067190301</v>
      </c>
      <c r="AG7305">
        <v>4.51919</v>
      </c>
      <c r="AH7305">
        <v>58.765532112085303</v>
      </c>
      <c r="AI7305">
        <v>85.916092635583198</v>
      </c>
      <c r="AJ7305">
        <v>111.807784644389</v>
      </c>
      <c r="AK7305">
        <v>63.456359352055799</v>
      </c>
      <c r="AL7305">
        <v>87.857133444564198</v>
      </c>
      <c r="AM7305">
        <v>90.074302437620702</v>
      </c>
      <c r="AN7305">
        <v>1.0000000416691699</v>
      </c>
    </row>
    <row r="7306" spans="1:40" x14ac:dyDescent="0.25">
      <c r="A7306" t="str">
        <f>"20190312160827925"</f>
        <v>20190312160827925</v>
      </c>
      <c r="B7306" t="str">
        <f>"1552378107922732"</f>
        <v>1552378107922732</v>
      </c>
      <c r="C7306" t="s">
        <v>40</v>
      </c>
      <c r="D7306">
        <v>6.6922329999999999</v>
      </c>
      <c r="E7306">
        <v>0.3508945</v>
      </c>
      <c r="F7306" t="s">
        <v>52</v>
      </c>
      <c r="G7306">
        <v>-168.38210000000001</v>
      </c>
      <c r="H7306">
        <v>5.2884209999999996</v>
      </c>
      <c r="I7306">
        <v>-40.619770000000003</v>
      </c>
      <c r="J7306">
        <v>-227.5607</v>
      </c>
      <c r="K7306">
        <v>1.1098669999999999</v>
      </c>
      <c r="L7306">
        <v>-63.642609999999998</v>
      </c>
      <c r="M7306">
        <v>0.99985950000000001</v>
      </c>
      <c r="N7306">
        <v>0</v>
      </c>
      <c r="O7306">
        <v>-8.9084160000000006E-3</v>
      </c>
      <c r="P7306">
        <v>0.99966909999999998</v>
      </c>
      <c r="Q7306">
        <v>2.4638259999999999E-2</v>
      </c>
      <c r="R7306">
        <v>-7.3934100000000004E-3</v>
      </c>
      <c r="S7306">
        <v>3.0048520000000001</v>
      </c>
      <c r="T7306">
        <v>0.21159520000000001</v>
      </c>
      <c r="U7306">
        <v>1.1657709999999999</v>
      </c>
      <c r="V7306">
        <v>-1.5126409999999999E-3</v>
      </c>
      <c r="W7306">
        <v>3.8834649999999998E-2</v>
      </c>
      <c r="X7306">
        <v>0.99924449999999998</v>
      </c>
      <c r="Y7306">
        <v>-0.36917359999999999</v>
      </c>
      <c r="Z7306">
        <v>-1.3133769999999999E-2</v>
      </c>
      <c r="AA7306">
        <v>0.92926759999999997</v>
      </c>
      <c r="AB7306">
        <v>31</v>
      </c>
      <c r="AC7306">
        <v>59.178599999999904</v>
      </c>
      <c r="AD7306">
        <v>4.1785540000000001</v>
      </c>
      <c r="AE7306">
        <v>23.022839999999899</v>
      </c>
      <c r="AF7306">
        <v>-23.447632522764</v>
      </c>
      <c r="AG7306">
        <v>4.1785540000000001</v>
      </c>
      <c r="AH7306">
        <v>58.716873915927401</v>
      </c>
      <c r="AI7306">
        <v>86.218837682230998</v>
      </c>
      <c r="AJ7306">
        <v>111.768496486112</v>
      </c>
      <c r="AK7306">
        <v>63.3634205745903</v>
      </c>
      <c r="AL7306">
        <v>87.774378783516994</v>
      </c>
      <c r="AM7306">
        <v>90.086733406105694</v>
      </c>
      <c r="AN7306">
        <v>0.99999999445183296</v>
      </c>
    </row>
    <row r="7307" spans="1:40" x14ac:dyDescent="0.25">
      <c r="A7307" t="str">
        <f>"20190312160827935"</f>
        <v>20190312160827935</v>
      </c>
      <c r="B7307" t="str">
        <f>"1552378107922732"</f>
        <v>1552378107922732</v>
      </c>
      <c r="C7307" t="s">
        <v>40</v>
      </c>
      <c r="D7307">
        <v>6.6922329999999999</v>
      </c>
      <c r="E7307">
        <v>0.3508945</v>
      </c>
      <c r="F7307" t="s">
        <v>52</v>
      </c>
      <c r="G7307">
        <v>-168.18129999999999</v>
      </c>
      <c r="H7307">
        <v>5.2103279999999996</v>
      </c>
      <c r="I7307">
        <v>-40.619770000000003</v>
      </c>
      <c r="J7307">
        <v>-227.43270000000001</v>
      </c>
      <c r="K7307">
        <v>1.10988</v>
      </c>
      <c r="L7307">
        <v>-63.643770000000004</v>
      </c>
      <c r="M7307">
        <v>0.99985959999999996</v>
      </c>
      <c r="N7307">
        <v>0</v>
      </c>
      <c r="O7307">
        <v>-8.8952949999999992E-3</v>
      </c>
      <c r="P7307">
        <v>0.99963860000000004</v>
      </c>
      <c r="Q7307">
        <v>2.6008739999999999E-2</v>
      </c>
      <c r="R7307">
        <v>-6.8334370000000004E-3</v>
      </c>
      <c r="S7307">
        <v>3.0045009999999999</v>
      </c>
      <c r="T7307">
        <v>0.2074754</v>
      </c>
      <c r="U7307">
        <v>1.164917</v>
      </c>
      <c r="V7307">
        <v>-2.0595230000000002E-3</v>
      </c>
      <c r="W7307">
        <v>4.0209719999999997E-2</v>
      </c>
      <c r="X7307">
        <v>0.99918910000000005</v>
      </c>
      <c r="Y7307">
        <v>-0.36899979999999999</v>
      </c>
      <c r="Z7307">
        <v>-1.287399E-2</v>
      </c>
      <c r="AA7307">
        <v>0.92934030000000001</v>
      </c>
      <c r="AB7307">
        <v>31</v>
      </c>
      <c r="AC7307">
        <v>59.251399999999997</v>
      </c>
      <c r="AD7307">
        <v>4.1004480000000001</v>
      </c>
      <c r="AE7307">
        <v>23.023999999999901</v>
      </c>
      <c r="AF7307">
        <v>-23.452615742226801</v>
      </c>
      <c r="AG7307">
        <v>4.1004480000000001</v>
      </c>
      <c r="AH7307">
        <v>58.7995677621292</v>
      </c>
      <c r="AI7307">
        <v>86.293913627626694</v>
      </c>
      <c r="AJ7307">
        <v>111.74492823842699</v>
      </c>
      <c r="AK7307">
        <v>63.436803418571401</v>
      </c>
      <c r="AL7307">
        <v>87.6955313868134</v>
      </c>
      <c r="AM7307">
        <v>90.118097573921901</v>
      </c>
      <c r="AN7307">
        <v>0.99999996038813699</v>
      </c>
    </row>
    <row r="7308" spans="1:40" x14ac:dyDescent="0.25">
      <c r="A7308" t="str">
        <f>"20190312160827943"</f>
        <v>20190312160827943</v>
      </c>
      <c r="B7308" t="str">
        <f>"1552378107932493"</f>
        <v>1552378107932493</v>
      </c>
      <c r="C7308" t="s">
        <v>40</v>
      </c>
      <c r="D7308">
        <v>6.4601540000000002</v>
      </c>
      <c r="E7308">
        <v>0.33061289999999999</v>
      </c>
      <c r="F7308" t="s">
        <v>52</v>
      </c>
      <c r="G7308">
        <v>-168.166</v>
      </c>
      <c r="H7308">
        <v>5.2546780000000002</v>
      </c>
      <c r="I7308">
        <v>-40.619770000000003</v>
      </c>
      <c r="J7308">
        <v>-227.3141</v>
      </c>
      <c r="K7308">
        <v>1.1098920000000001</v>
      </c>
      <c r="L7308">
        <v>-63.64481</v>
      </c>
      <c r="M7308">
        <v>0.99985970000000002</v>
      </c>
      <c r="N7308">
        <v>0</v>
      </c>
      <c r="O7308">
        <v>-8.8840900000000007E-3</v>
      </c>
      <c r="P7308">
        <v>0.99960649999999995</v>
      </c>
      <c r="Q7308">
        <v>2.7321419999999999E-2</v>
      </c>
      <c r="R7308">
        <v>-6.3858279999999996E-3</v>
      </c>
      <c r="S7308">
        <v>3.0036010000000002</v>
      </c>
      <c r="T7308">
        <v>0.2100544</v>
      </c>
      <c r="U7308">
        <v>1.1668400000000001</v>
      </c>
      <c r="V7308">
        <v>-2.4958179999999999E-3</v>
      </c>
      <c r="W7308">
        <v>4.152612E-2</v>
      </c>
      <c r="X7308">
        <v>0.99913430000000003</v>
      </c>
      <c r="Y7308">
        <v>-0.36957909999999999</v>
      </c>
      <c r="Z7308">
        <v>-1.3054619999999999E-2</v>
      </c>
      <c r="AA7308">
        <v>0.92910749999999998</v>
      </c>
      <c r="AB7308">
        <v>31</v>
      </c>
      <c r="AC7308">
        <v>59.148099999999999</v>
      </c>
      <c r="AD7308">
        <v>4.1447859999999999</v>
      </c>
      <c r="AE7308">
        <v>23.025040000000001</v>
      </c>
      <c r="AF7308">
        <v>-23.449665485292002</v>
      </c>
      <c r="AG7308">
        <v>4.1447859999999999</v>
      </c>
      <c r="AH7308">
        <v>58.690914247634304</v>
      </c>
      <c r="AI7308">
        <v>86.247924739605196</v>
      </c>
      <c r="AJ7308">
        <v>111.778935680817</v>
      </c>
      <c r="AK7308">
        <v>63.337899219827797</v>
      </c>
      <c r="AL7308">
        <v>87.620044239924695</v>
      </c>
      <c r="AM7308">
        <v>90.143123442362693</v>
      </c>
      <c r="AN7308">
        <v>0.99999999859311595</v>
      </c>
    </row>
    <row r="7309" spans="1:40" x14ac:dyDescent="0.25">
      <c r="A7309" t="str">
        <f>"20190312160827954"</f>
        <v>20190312160827954</v>
      </c>
      <c r="B7309" t="str">
        <f>"1552378107942253"</f>
        <v>1552378107942253</v>
      </c>
      <c r="C7309" t="s">
        <v>40</v>
      </c>
      <c r="D7309">
        <v>5.8838970000000002</v>
      </c>
      <c r="E7309">
        <v>0.33061289999999999</v>
      </c>
      <c r="F7309" t="s">
        <v>52</v>
      </c>
      <c r="G7309">
        <v>-169.244</v>
      </c>
      <c r="H7309">
        <v>12.92822</v>
      </c>
      <c r="I7309">
        <v>-37.941769999999998</v>
      </c>
      <c r="J7309">
        <v>-227.1662</v>
      </c>
      <c r="K7309">
        <v>1.109904</v>
      </c>
      <c r="L7309">
        <v>-63.646120000000003</v>
      </c>
      <c r="M7309">
        <v>0.99985970000000002</v>
      </c>
      <c r="N7309">
        <v>0</v>
      </c>
      <c r="O7309">
        <v>-8.8701449999999994E-3</v>
      </c>
      <c r="P7309">
        <v>0.99956880000000004</v>
      </c>
      <c r="Q7309">
        <v>2.8752699999999999E-2</v>
      </c>
      <c r="R7309">
        <v>-5.9949160000000003E-3</v>
      </c>
      <c r="S7309">
        <v>2.9930110000000001</v>
      </c>
      <c r="T7309">
        <v>0.60913090000000003</v>
      </c>
      <c r="U7309">
        <v>1.3247679999999999</v>
      </c>
      <c r="V7309">
        <v>-2.8724950000000001E-3</v>
      </c>
      <c r="W7309">
        <v>4.2961069999999997E-2</v>
      </c>
      <c r="X7309">
        <v>0.99907259999999998</v>
      </c>
      <c r="Y7309">
        <v>-0.40571590000000002</v>
      </c>
      <c r="Z7309">
        <v>-4.0799420000000003E-2</v>
      </c>
      <c r="AA7309">
        <v>0.91308820000000002</v>
      </c>
      <c r="AB7309">
        <v>31</v>
      </c>
      <c r="AC7309">
        <v>57.922199999999897</v>
      </c>
      <c r="AD7309">
        <v>11.818315999999999</v>
      </c>
      <c r="AE7309">
        <v>25.704350000000002</v>
      </c>
      <c r="AF7309">
        <v>-25.335942254146001</v>
      </c>
      <c r="AG7309">
        <v>11.818315999999999</v>
      </c>
      <c r="AH7309">
        <v>55.752723419660903</v>
      </c>
      <c r="AI7309">
        <v>79.077044440498398</v>
      </c>
      <c r="AJ7309">
        <v>114.43866993985</v>
      </c>
      <c r="AK7309">
        <v>62.3694535144448</v>
      </c>
      <c r="AL7309">
        <v>87.537754157083896</v>
      </c>
      <c r="AM7309">
        <v>90.164734161127498</v>
      </c>
      <c r="AN7309">
        <v>0.99999998241691401</v>
      </c>
    </row>
    <row r="7310" spans="1:40" x14ac:dyDescent="0.25">
      <c r="A7310" t="str">
        <f>"20190312160827965"</f>
        <v>20190312160827965</v>
      </c>
      <c r="B7310" t="str">
        <f>"1552378107952990"</f>
        <v>1552378107952990</v>
      </c>
      <c r="C7310" t="s">
        <v>40</v>
      </c>
      <c r="D7310">
        <v>6.3126720000000001</v>
      </c>
      <c r="E7310">
        <v>0.35808479999999998</v>
      </c>
      <c r="F7310" t="s">
        <v>52</v>
      </c>
      <c r="G7310">
        <v>-169.244</v>
      </c>
      <c r="H7310">
        <v>12.976850000000001</v>
      </c>
      <c r="I7310">
        <v>-37.968989999999998</v>
      </c>
      <c r="J7310">
        <v>-227.01320000000001</v>
      </c>
      <c r="K7310">
        <v>1.109917</v>
      </c>
      <c r="L7310">
        <v>-63.647460000000002</v>
      </c>
      <c r="M7310">
        <v>0.99985979999999997</v>
      </c>
      <c r="N7310">
        <v>0</v>
      </c>
      <c r="O7310">
        <v>-8.8566889999999992E-3</v>
      </c>
      <c r="P7310">
        <v>0.99953950000000003</v>
      </c>
      <c r="Q7310">
        <v>2.9837619999999999E-2</v>
      </c>
      <c r="R7310">
        <v>-5.5556619999999899E-3</v>
      </c>
      <c r="S7310">
        <v>2.991638</v>
      </c>
      <c r="T7310">
        <v>0.61291680000000004</v>
      </c>
      <c r="U7310">
        <v>1.3262020000000001</v>
      </c>
      <c r="V7310">
        <v>-3.2982350000000001E-3</v>
      </c>
      <c r="W7310">
        <v>4.405009E-2</v>
      </c>
      <c r="X7310">
        <v>0.99902389999999996</v>
      </c>
      <c r="Y7310">
        <v>-0.40612540000000003</v>
      </c>
      <c r="Z7310">
        <v>-4.109881E-2</v>
      </c>
      <c r="AA7310">
        <v>0.9128927</v>
      </c>
      <c r="AB7310">
        <v>31</v>
      </c>
      <c r="AC7310">
        <v>57.769199999999898</v>
      </c>
      <c r="AD7310">
        <v>11.866933</v>
      </c>
      <c r="AE7310">
        <v>25.678469999999901</v>
      </c>
      <c r="AF7310">
        <v>-25.2977805310137</v>
      </c>
      <c r="AG7310">
        <v>11.866933</v>
      </c>
      <c r="AH7310">
        <v>55.581063110791597</v>
      </c>
      <c r="AI7310">
        <v>79.003051243667002</v>
      </c>
      <c r="AJ7310">
        <v>114.472705940217</v>
      </c>
      <c r="AK7310">
        <v>62.209777166837803</v>
      </c>
      <c r="AL7310">
        <v>87.475298866224605</v>
      </c>
      <c r="AM7310">
        <v>90.189158896760802</v>
      </c>
      <c r="AN7310">
        <v>1.00000002077716</v>
      </c>
    </row>
    <row r="7311" spans="1:40" x14ac:dyDescent="0.25">
      <c r="A7311" t="str">
        <f>"20190312160827977"</f>
        <v>20190312160827977</v>
      </c>
      <c r="B7311" t="str">
        <f>"1552378107972512"</f>
        <v>1552378107972512</v>
      </c>
      <c r="C7311" t="s">
        <v>40</v>
      </c>
      <c r="D7311">
        <v>6.4237570000000002</v>
      </c>
      <c r="E7311">
        <v>0.3545005</v>
      </c>
      <c r="F7311" t="s">
        <v>52</v>
      </c>
      <c r="G7311">
        <v>-157.78059999999999</v>
      </c>
      <c r="H7311">
        <v>3.7984290000000001</v>
      </c>
      <c r="I7311">
        <v>-37.955309999999997</v>
      </c>
      <c r="J7311">
        <v>-226.86</v>
      </c>
      <c r="K7311">
        <v>1.1099300000000001</v>
      </c>
      <c r="L7311">
        <v>-63.648769999999899</v>
      </c>
      <c r="M7311">
        <v>0.99985979999999997</v>
      </c>
      <c r="N7311">
        <v>0</v>
      </c>
      <c r="O7311">
        <v>-8.8435909999999996E-3</v>
      </c>
      <c r="P7311">
        <v>0.99949770000000004</v>
      </c>
      <c r="Q7311">
        <v>3.1328750000000002E-2</v>
      </c>
      <c r="R7311">
        <v>-4.8372750000000003E-3</v>
      </c>
      <c r="S7311">
        <v>3.0040740000000001</v>
      </c>
      <c r="T7311">
        <v>0.1166562</v>
      </c>
      <c r="U7311">
        <v>1.1148070000000001</v>
      </c>
      <c r="V7311">
        <v>-4.0034729999999996E-3</v>
      </c>
      <c r="W7311">
        <v>4.5544429999999997E-2</v>
      </c>
      <c r="X7311">
        <v>0.99895429999999996</v>
      </c>
      <c r="Y7311">
        <v>-0.35595100000000002</v>
      </c>
      <c r="Z7311">
        <v>-7.0185250000000003E-3</v>
      </c>
      <c r="AA7311">
        <v>0.93447820000000004</v>
      </c>
      <c r="AB7311">
        <v>31</v>
      </c>
      <c r="AC7311">
        <v>69.079400000000007</v>
      </c>
      <c r="AD7311">
        <v>2.6884990000000002</v>
      </c>
      <c r="AE7311">
        <v>25.693459999999899</v>
      </c>
      <c r="AF7311">
        <v>-26.268473689667001</v>
      </c>
      <c r="AG7311">
        <v>2.6884990000000002</v>
      </c>
      <c r="AH7311">
        <v>68.757962661349296</v>
      </c>
      <c r="AI7311">
        <v>87.908141020309202</v>
      </c>
      <c r="AJ7311">
        <v>110.908988928751</v>
      </c>
      <c r="AK7311">
        <v>73.654043787135194</v>
      </c>
      <c r="AL7311">
        <v>87.389593412178002</v>
      </c>
      <c r="AM7311">
        <v>90.229620992915102</v>
      </c>
      <c r="AN7311">
        <v>1.0000000081942799</v>
      </c>
    </row>
    <row r="7312" spans="1:40" x14ac:dyDescent="0.25">
      <c r="A7312" t="str">
        <f>"20190312160827989"</f>
        <v>20190312160827989</v>
      </c>
      <c r="B7312" t="str">
        <f>"1552378107982269"</f>
        <v>1552378107982269</v>
      </c>
      <c r="C7312" t="s">
        <v>40</v>
      </c>
      <c r="D7312">
        <v>6.2486509999999997</v>
      </c>
      <c r="E7312">
        <v>0.3532479</v>
      </c>
      <c r="F7312" t="s">
        <v>52</v>
      </c>
      <c r="G7312">
        <v>-166.48269999999999</v>
      </c>
      <c r="H7312">
        <v>4.7139620000000004</v>
      </c>
      <c r="I7312">
        <v>-40.619770000000003</v>
      </c>
      <c r="J7312">
        <v>-226.69880000000001</v>
      </c>
      <c r="K7312">
        <v>1.109942</v>
      </c>
      <c r="L7312">
        <v>-63.650210000000001</v>
      </c>
      <c r="M7312">
        <v>0.99985979999999997</v>
      </c>
      <c r="N7312">
        <v>0</v>
      </c>
      <c r="O7312">
        <v>-8.830259E-3</v>
      </c>
      <c r="P7312">
        <v>0.99946590000000002</v>
      </c>
      <c r="Q7312">
        <v>3.2388140000000003E-2</v>
      </c>
      <c r="R7312">
        <v>-4.3620079999999997E-3</v>
      </c>
      <c r="S7312">
        <v>3.0014500000000002</v>
      </c>
      <c r="T7312">
        <v>0.17916079999999901</v>
      </c>
      <c r="U7312">
        <v>1.144806</v>
      </c>
      <c r="V7312">
        <v>-4.4648259999999999E-3</v>
      </c>
      <c r="W7312">
        <v>4.6607129999999997E-2</v>
      </c>
      <c r="X7312">
        <v>0.99890330000000005</v>
      </c>
      <c r="Y7312">
        <v>-0.36403249999999998</v>
      </c>
      <c r="Z7312">
        <v>-1.099665E-2</v>
      </c>
      <c r="AA7312">
        <v>0.93132130000000002</v>
      </c>
      <c r="AB7312">
        <v>30</v>
      </c>
      <c r="AC7312">
        <v>60.216099999999997</v>
      </c>
      <c r="AD7312">
        <v>3.6040199999999998</v>
      </c>
      <c r="AE7312">
        <v>23.030439999999899</v>
      </c>
      <c r="AF7312">
        <v>-23.487918210822301</v>
      </c>
      <c r="AG7312">
        <v>3.6040199999999998</v>
      </c>
      <c r="AH7312">
        <v>59.823414414744697</v>
      </c>
      <c r="AI7312">
        <v>86.790386938554803</v>
      </c>
      <c r="AJ7312">
        <v>111.436005598417</v>
      </c>
      <c r="AK7312">
        <v>64.370118644266597</v>
      </c>
      <c r="AL7312">
        <v>87.328640376926501</v>
      </c>
      <c r="AM7312">
        <v>90.256094841691706</v>
      </c>
      <c r="AN7312">
        <v>0.99999998099446796</v>
      </c>
    </row>
    <row r="7313" spans="1:40" x14ac:dyDescent="0.25">
      <c r="A7313" t="str">
        <f>"20190312160828000"</f>
        <v>20190312160828000</v>
      </c>
      <c r="B7313" t="str">
        <f>"1552378107993004"</f>
        <v>1552378107993004</v>
      </c>
      <c r="C7313" t="s">
        <v>40</v>
      </c>
      <c r="D7313">
        <v>5.9370289999999999</v>
      </c>
      <c r="E7313">
        <v>0.3532479</v>
      </c>
      <c r="F7313" t="s">
        <v>52</v>
      </c>
      <c r="G7313">
        <v>-166.9307</v>
      </c>
      <c r="H7313">
        <v>4.9081239999999999</v>
      </c>
      <c r="I7313">
        <v>-40.619770000000003</v>
      </c>
      <c r="J7313">
        <v>-226.54580000000001</v>
      </c>
      <c r="K7313">
        <v>1.109952</v>
      </c>
      <c r="L7313">
        <v>-63.65155</v>
      </c>
      <c r="M7313">
        <v>0.99985990000000002</v>
      </c>
      <c r="N7313">
        <v>0</v>
      </c>
      <c r="O7313">
        <v>-8.8181189999999993E-3</v>
      </c>
      <c r="P7313">
        <v>0.99942439999999999</v>
      </c>
      <c r="Q7313">
        <v>3.3723950000000003E-2</v>
      </c>
      <c r="R7313">
        <v>-3.6871830000000001E-3</v>
      </c>
      <c r="S7313">
        <v>3.0004430000000002</v>
      </c>
      <c r="T7313">
        <v>0.1906728</v>
      </c>
      <c r="U7313">
        <v>1.156158</v>
      </c>
      <c r="V7313">
        <v>-5.1270509999999997E-3</v>
      </c>
      <c r="W7313">
        <v>4.7945059999999998E-2</v>
      </c>
      <c r="X7313">
        <v>0.99883679999999997</v>
      </c>
      <c r="Y7313">
        <v>-0.36711359999999998</v>
      </c>
      <c r="Z7313">
        <v>-1.179171E-2</v>
      </c>
      <c r="AA7313">
        <v>0.93010130000000002</v>
      </c>
      <c r="AB7313">
        <v>30</v>
      </c>
      <c r="AC7313">
        <v>59.615099999999998</v>
      </c>
      <c r="AD7313">
        <v>3.7981720000000001</v>
      </c>
      <c r="AE7313">
        <v>23.031780000000001</v>
      </c>
      <c r="AF7313">
        <v>-23.4737218205909</v>
      </c>
      <c r="AG7313">
        <v>3.7981720000000001</v>
      </c>
      <c r="AH7313">
        <v>59.200568767543601</v>
      </c>
      <c r="AI7313">
        <v>86.586900206394404</v>
      </c>
      <c r="AJ7313">
        <v>111.628908267371</v>
      </c>
      <c r="AK7313">
        <v>63.7977199361601</v>
      </c>
      <c r="AL7313">
        <v>87.251896826297795</v>
      </c>
      <c r="AM7313">
        <v>90.294097898391101</v>
      </c>
      <c r="AN7313">
        <v>0.99999998423229897</v>
      </c>
    </row>
    <row r="7314" spans="1:40" x14ac:dyDescent="0.25">
      <c r="A7314" t="str">
        <f>"20190312160828010"</f>
        <v>20190312160828010</v>
      </c>
      <c r="B7314" t="str">
        <f>"1552378108002764"</f>
        <v>1552378108002764</v>
      </c>
      <c r="C7314" t="s">
        <v>40</v>
      </c>
      <c r="D7314">
        <v>6.0634370000000004</v>
      </c>
      <c r="E7314">
        <v>0.35449019999999998</v>
      </c>
      <c r="F7314" t="s">
        <v>52</v>
      </c>
      <c r="G7314">
        <v>-166.89789999999999</v>
      </c>
      <c r="H7314">
        <v>4.9810509999999999</v>
      </c>
      <c r="I7314">
        <v>-40.619779999999999</v>
      </c>
      <c r="J7314">
        <v>-226.40119999999999</v>
      </c>
      <c r="K7314">
        <v>1.109952</v>
      </c>
      <c r="L7314">
        <v>-63.652769999999997</v>
      </c>
      <c r="M7314">
        <v>0.99985999999999997</v>
      </c>
      <c r="N7314">
        <v>0</v>
      </c>
      <c r="O7314">
        <v>-8.8068130000000001E-3</v>
      </c>
      <c r="P7314">
        <v>0.99937580000000004</v>
      </c>
      <c r="Q7314">
        <v>3.5171300000000003E-2</v>
      </c>
      <c r="R7314">
        <v>-3.3599200000000002E-3</v>
      </c>
      <c r="S7314">
        <v>2.9994510000000001</v>
      </c>
      <c r="T7314">
        <v>0.19466069999999999</v>
      </c>
      <c r="U7314">
        <v>1.1581729999999999</v>
      </c>
      <c r="V7314">
        <v>-5.4429179999999997E-3</v>
      </c>
      <c r="W7314">
        <v>4.9394830000000001E-2</v>
      </c>
      <c r="X7314">
        <v>0.99876450000000006</v>
      </c>
      <c r="Y7314">
        <v>-0.36772080000000001</v>
      </c>
      <c r="Z7314">
        <v>-1.205846E-2</v>
      </c>
      <c r="AA7314">
        <v>0.92985810000000002</v>
      </c>
      <c r="AB7314">
        <v>30</v>
      </c>
      <c r="AC7314">
        <v>59.503300000000003</v>
      </c>
      <c r="AD7314">
        <v>3.8710989999999899</v>
      </c>
      <c r="AE7314">
        <v>23.032990000000002</v>
      </c>
      <c r="AF7314">
        <v>-23.4697948480142</v>
      </c>
      <c r="AG7314">
        <v>3.8710989999999899</v>
      </c>
      <c r="AH7314">
        <v>59.080656086324197</v>
      </c>
      <c r="AI7314">
        <v>86.515363592349004</v>
      </c>
      <c r="AJ7314">
        <v>111.66545383550699</v>
      </c>
      <c r="AK7314">
        <v>63.689407292470499</v>
      </c>
      <c r="AL7314">
        <v>87.168732604897599</v>
      </c>
      <c r="AM7314">
        <v>90.312238913627397</v>
      </c>
      <c r="AN7314">
        <v>1.00000000052366</v>
      </c>
    </row>
    <row r="7315" spans="1:40" x14ac:dyDescent="0.25">
      <c r="A7315" t="str">
        <f>"20190312160828022"</f>
        <v>20190312160828022</v>
      </c>
      <c r="B7315" t="str">
        <f>"1552378108012525"</f>
        <v>1552378108012525</v>
      </c>
      <c r="C7315" t="s">
        <v>40</v>
      </c>
      <c r="D7315">
        <v>6.339296</v>
      </c>
      <c r="E7315">
        <v>0.35497099999999998</v>
      </c>
      <c r="F7315" t="s">
        <v>52</v>
      </c>
      <c r="G7315">
        <v>-166.30179999999999</v>
      </c>
      <c r="H7315">
        <v>5.0369869999999999</v>
      </c>
      <c r="I7315">
        <v>-40.619770000000003</v>
      </c>
      <c r="J7315">
        <v>-226.2543</v>
      </c>
      <c r="K7315">
        <v>1.1099589999999999</v>
      </c>
      <c r="L7315">
        <v>-63.65408</v>
      </c>
      <c r="M7315">
        <v>0.99985999999999997</v>
      </c>
      <c r="N7315">
        <v>0</v>
      </c>
      <c r="O7315">
        <v>-8.7956249999999996E-3</v>
      </c>
      <c r="P7315">
        <v>0.99934080000000003</v>
      </c>
      <c r="Q7315">
        <v>3.6209810000000002E-2</v>
      </c>
      <c r="R7315">
        <v>-2.6274639999999999E-3</v>
      </c>
      <c r="S7315">
        <v>2.9988250000000001</v>
      </c>
      <c r="T7315">
        <v>0.19594880000000001</v>
      </c>
      <c r="U7315">
        <v>1.149292</v>
      </c>
      <c r="V7315">
        <v>-6.1636349999999998E-3</v>
      </c>
      <c r="W7315">
        <v>5.0434949999999999E-2</v>
      </c>
      <c r="X7315">
        <v>0.99870829999999999</v>
      </c>
      <c r="Y7315">
        <v>-0.36536970000000002</v>
      </c>
      <c r="Z7315">
        <v>-1.207187E-2</v>
      </c>
      <c r="AA7315">
        <v>0.93078419999999895</v>
      </c>
      <c r="AB7315">
        <v>30</v>
      </c>
      <c r="AC7315">
        <v>59.952500000000001</v>
      </c>
      <c r="AD7315">
        <v>3.927028</v>
      </c>
      <c r="AE7315">
        <v>23.034310000000001</v>
      </c>
      <c r="AF7315">
        <v>-23.473034137966</v>
      </c>
      <c r="AG7315">
        <v>3.927028</v>
      </c>
      <c r="AH7315">
        <v>59.525014689106001</v>
      </c>
      <c r="AI7315">
        <v>86.487978694843207</v>
      </c>
      <c r="AJ7315">
        <v>111.521251020146</v>
      </c>
      <c r="AK7315">
        <v>64.106413519188493</v>
      </c>
      <c r="AL7315">
        <v>87.109063653411098</v>
      </c>
      <c r="AM7315">
        <v>90.353602536776293</v>
      </c>
      <c r="AN7315">
        <v>0.99999997153340203</v>
      </c>
    </row>
    <row r="7316" spans="1:40" x14ac:dyDescent="0.25">
      <c r="A7316" t="str">
        <f>"20190312160828032"</f>
        <v>20190312160828032</v>
      </c>
      <c r="B7316" t="str">
        <f>"1552378108022286"</f>
        <v>1552378108022286</v>
      </c>
      <c r="C7316" t="s">
        <v>40</v>
      </c>
      <c r="D7316">
        <v>6.3069850000000001</v>
      </c>
      <c r="E7316">
        <v>0.35513739999999999</v>
      </c>
      <c r="F7316" t="s">
        <v>52</v>
      </c>
      <c r="G7316">
        <v>-166.08840000000001</v>
      </c>
      <c r="H7316">
        <v>5.1195729999999999</v>
      </c>
      <c r="I7316">
        <v>-40.619770000000003</v>
      </c>
      <c r="J7316">
        <v>-226.1052</v>
      </c>
      <c r="K7316">
        <v>1.1099669999999999</v>
      </c>
      <c r="L7316">
        <v>-63.6554</v>
      </c>
      <c r="M7316">
        <v>0.99986019999999998</v>
      </c>
      <c r="N7316">
        <v>0</v>
      </c>
      <c r="O7316">
        <v>-8.7846750000000005E-3</v>
      </c>
      <c r="P7316">
        <v>0.99930600000000003</v>
      </c>
      <c r="Q7316">
        <v>3.720714E-2</v>
      </c>
      <c r="R7316">
        <v>-1.915351E-3</v>
      </c>
      <c r="S7316">
        <v>2.9977420000000001</v>
      </c>
      <c r="T7316">
        <v>0.19977629999999999</v>
      </c>
      <c r="U7316">
        <v>1.147675</v>
      </c>
      <c r="V7316">
        <v>-6.8642809999999999E-3</v>
      </c>
      <c r="W7316">
        <v>5.1434050000000002E-2</v>
      </c>
      <c r="X7316">
        <v>0.99865280000000001</v>
      </c>
      <c r="Y7316">
        <v>-0.36500670000000002</v>
      </c>
      <c r="Z7316">
        <v>-1.230011E-2</v>
      </c>
      <c r="AA7316">
        <v>0.93092359999999996</v>
      </c>
      <c r="AB7316">
        <v>30</v>
      </c>
      <c r="AC7316">
        <v>60.016799999999897</v>
      </c>
      <c r="AD7316">
        <v>4.0096059999999998</v>
      </c>
      <c r="AE7316">
        <v>23.035630000000001</v>
      </c>
      <c r="AF7316">
        <v>-23.4707161824245</v>
      </c>
      <c r="AG7316">
        <v>4.0096059999999998</v>
      </c>
      <c r="AH7316">
        <v>59.580322196433002</v>
      </c>
      <c r="AI7316">
        <v>86.417144415218999</v>
      </c>
      <c r="AJ7316">
        <v>111.501168072018</v>
      </c>
      <c r="AK7316">
        <v>64.162031228927901</v>
      </c>
      <c r="AL7316">
        <v>87.051745112592698</v>
      </c>
      <c r="AM7316">
        <v>90.393818689601503</v>
      </c>
      <c r="AN7316">
        <v>0.99999999740044399</v>
      </c>
    </row>
    <row r="7317" spans="1:40" x14ac:dyDescent="0.25">
      <c r="A7317" t="str">
        <f>"20190312160828043"</f>
        <v>20190312160828043</v>
      </c>
      <c r="B7317" t="str">
        <f>"1552378108033021"</f>
        <v>1552378108033021</v>
      </c>
      <c r="C7317" t="s">
        <v>40</v>
      </c>
      <c r="D7317">
        <v>6.2526449999999896</v>
      </c>
      <c r="E7317">
        <v>0.35513739999999999</v>
      </c>
      <c r="F7317" t="s">
        <v>52</v>
      </c>
      <c r="G7317">
        <v>-166.0018</v>
      </c>
      <c r="H7317">
        <v>5.2457969999999996</v>
      </c>
      <c r="I7317">
        <v>-40.619770000000003</v>
      </c>
      <c r="J7317">
        <v>-225.9529</v>
      </c>
      <c r="K7317">
        <v>1.109972</v>
      </c>
      <c r="L7317">
        <v>-63.656709999999997</v>
      </c>
      <c r="M7317">
        <v>0.99985999999999997</v>
      </c>
      <c r="N7317">
        <v>0</v>
      </c>
      <c r="O7317">
        <v>-8.7736029999999996E-3</v>
      </c>
      <c r="P7317">
        <v>0.99927189999999999</v>
      </c>
      <c r="Q7317">
        <v>3.8119649999999998E-2</v>
      </c>
      <c r="R7317">
        <v>-1.5630749999999999E-3</v>
      </c>
      <c r="S7317">
        <v>2.996613</v>
      </c>
      <c r="T7317">
        <v>0.2062012</v>
      </c>
      <c r="U7317">
        <v>1.1484989999999999</v>
      </c>
      <c r="V7317">
        <v>-7.2048930000000004E-3</v>
      </c>
      <c r="W7317">
        <v>5.2347860000000003E-2</v>
      </c>
      <c r="X7317">
        <v>0.99860289999999996</v>
      </c>
      <c r="Y7317">
        <v>-0.36528840000000001</v>
      </c>
      <c r="Z7317">
        <v>-1.2707329999999999E-2</v>
      </c>
      <c r="AA7317">
        <v>0.93080770000000002</v>
      </c>
      <c r="AB7317">
        <v>30</v>
      </c>
      <c r="AC7317">
        <v>59.951099999999997</v>
      </c>
      <c r="AD7317">
        <v>4.1358249999999996</v>
      </c>
      <c r="AE7317">
        <v>23.036939999999898</v>
      </c>
      <c r="AF7317">
        <v>-23.464788877990401</v>
      </c>
      <c r="AG7317">
        <v>4.1358249999999996</v>
      </c>
      <c r="AH7317">
        <v>59.499917707791397</v>
      </c>
      <c r="AI7317">
        <v>86.300231830488102</v>
      </c>
      <c r="AJ7317">
        <v>111.52262727413699</v>
      </c>
      <c r="AK7317">
        <v>64.093225638543402</v>
      </c>
      <c r="AL7317">
        <v>86.999316969918894</v>
      </c>
      <c r="AM7317">
        <v>90.413380331572398</v>
      </c>
      <c r="AN7317">
        <v>0.99999998040906501</v>
      </c>
    </row>
    <row r="7318" spans="1:40" x14ac:dyDescent="0.25">
      <c r="A7318" t="str">
        <f>"20190312160828056"</f>
        <v>20190312160828056</v>
      </c>
      <c r="B7318" t="str">
        <f>"1552378108052542"</f>
        <v>1552378108052542</v>
      </c>
      <c r="C7318" t="s">
        <v>40</v>
      </c>
      <c r="D7318">
        <v>6.4832010000000002</v>
      </c>
      <c r="E7318">
        <v>0.3571028</v>
      </c>
      <c r="F7318" t="s">
        <v>52</v>
      </c>
      <c r="G7318">
        <v>-165.9119</v>
      </c>
      <c r="H7318">
        <v>5.2866160000000004</v>
      </c>
      <c r="I7318">
        <v>-40.619779999999999</v>
      </c>
      <c r="J7318">
        <v>-225.7955</v>
      </c>
      <c r="K7318">
        <v>1.1099760000000001</v>
      </c>
      <c r="L7318">
        <v>-63.658079999999998</v>
      </c>
      <c r="M7318">
        <v>0.99986019999999998</v>
      </c>
      <c r="N7318">
        <v>0</v>
      </c>
      <c r="O7318">
        <v>-8.7625299999999993E-3</v>
      </c>
      <c r="P7318">
        <v>0.99923119999999999</v>
      </c>
      <c r="Q7318">
        <v>3.9199289999999998E-2</v>
      </c>
      <c r="R7318">
        <v>-9.512883E-4</v>
      </c>
      <c r="S7318">
        <v>2.9960330000000002</v>
      </c>
      <c r="T7318">
        <v>0.2084124</v>
      </c>
      <c r="U7318">
        <v>1.1495359999999999</v>
      </c>
      <c r="V7318">
        <v>-7.8058490000000001E-3</v>
      </c>
      <c r="W7318">
        <v>5.3428299999999998E-2</v>
      </c>
      <c r="X7318">
        <v>0.99854120000000002</v>
      </c>
      <c r="Y7318">
        <v>-0.36560189999999998</v>
      </c>
      <c r="Z7318">
        <v>-1.2854630000000001E-2</v>
      </c>
      <c r="AA7318">
        <v>0.93068249999999997</v>
      </c>
      <c r="AB7318">
        <v>30</v>
      </c>
      <c r="AC7318">
        <v>59.883600000000001</v>
      </c>
      <c r="AD7318">
        <v>4.1766399999999999</v>
      </c>
      <c r="AE7318">
        <v>23.0383</v>
      </c>
      <c r="AF7318">
        <v>-23.462780602063599</v>
      </c>
      <c r="AG7318">
        <v>4.1766399999999999</v>
      </c>
      <c r="AH7318">
        <v>59.427591279153397</v>
      </c>
      <c r="AI7318">
        <v>86.259856999439506</v>
      </c>
      <c r="AJ7318">
        <v>111.544746928604</v>
      </c>
      <c r="AK7318">
        <v>64.028001690762395</v>
      </c>
      <c r="AL7318">
        <v>86.937325678694194</v>
      </c>
      <c r="AM7318">
        <v>90.447886470092598</v>
      </c>
      <c r="AN7318">
        <v>1.0000000213084701</v>
      </c>
    </row>
    <row r="7319" spans="1:40" x14ac:dyDescent="0.25">
      <c r="A7319" t="str">
        <f>"20190312160828067"</f>
        <v>20190312160828067</v>
      </c>
      <c r="B7319" t="str">
        <f>"1552378108062301"</f>
        <v>1552378108062301</v>
      </c>
      <c r="C7319" t="s">
        <v>40</v>
      </c>
      <c r="D7319">
        <v>6.1690310000000004</v>
      </c>
      <c r="E7319">
        <v>0.4089795</v>
      </c>
      <c r="F7319" t="s">
        <v>52</v>
      </c>
      <c r="G7319">
        <v>-157.9383</v>
      </c>
      <c r="H7319">
        <v>5.8170659999999996</v>
      </c>
      <c r="I7319">
        <v>-37.927219999999998</v>
      </c>
      <c r="J7319">
        <v>-225.6395</v>
      </c>
      <c r="K7319">
        <v>1.109982</v>
      </c>
      <c r="L7319">
        <v>-63.659419999999997</v>
      </c>
      <c r="M7319">
        <v>0.99986030000000004</v>
      </c>
      <c r="N7319">
        <v>0</v>
      </c>
      <c r="O7319">
        <v>-8.7513360000000002E-3</v>
      </c>
      <c r="P7319">
        <v>0.99918589999999996</v>
      </c>
      <c r="Q7319">
        <v>4.0334309999999998E-2</v>
      </c>
      <c r="R7319">
        <v>-8.8222479999999998E-4</v>
      </c>
      <c r="S7319">
        <v>2.9952549999999998</v>
      </c>
      <c r="T7319">
        <v>0.2077724</v>
      </c>
      <c r="U7319">
        <v>1.1357729999999999</v>
      </c>
      <c r="V7319">
        <v>-7.8629770000000002E-3</v>
      </c>
      <c r="W7319">
        <v>5.4564359999999999E-2</v>
      </c>
      <c r="X7319">
        <v>0.99847929999999996</v>
      </c>
      <c r="Y7319">
        <v>-0.36194690000000002</v>
      </c>
      <c r="Z7319">
        <v>-1.2705320000000001E-2</v>
      </c>
      <c r="AA7319">
        <v>0.9321121</v>
      </c>
      <c r="AB7319">
        <v>30</v>
      </c>
      <c r="AC7319">
        <v>67.7012</v>
      </c>
      <c r="AD7319">
        <v>4.707084</v>
      </c>
      <c r="AE7319">
        <v>25.732199999999999</v>
      </c>
      <c r="AF7319">
        <v>-26.2130304537007</v>
      </c>
      <c r="AG7319">
        <v>4.707084</v>
      </c>
      <c r="AH7319">
        <v>67.189593982039199</v>
      </c>
      <c r="AI7319">
        <v>86.265847243062595</v>
      </c>
      <c r="AJ7319">
        <v>111.31251055128099</v>
      </c>
      <c r="AK7319">
        <v>72.275314906411694</v>
      </c>
      <c r="AL7319">
        <v>86.872139081145093</v>
      </c>
      <c r="AM7319">
        <v>90.451192211966202</v>
      </c>
      <c r="AN7319">
        <v>1.000000004159</v>
      </c>
    </row>
    <row r="7320" spans="1:40" x14ac:dyDescent="0.25">
      <c r="A7320" t="str">
        <f>"20190312160828078"</f>
        <v>20190312160828078</v>
      </c>
      <c r="B7320" t="str">
        <f>"1552378108073037"</f>
        <v>1552378108073037</v>
      </c>
      <c r="C7320" t="s">
        <v>40</v>
      </c>
      <c r="D7320">
        <v>6.170496</v>
      </c>
      <c r="E7320">
        <v>0.4089795</v>
      </c>
      <c r="F7320" t="s">
        <v>52</v>
      </c>
      <c r="G7320">
        <v>-157.3501</v>
      </c>
      <c r="H7320">
        <v>6.0211430000000004</v>
      </c>
      <c r="I7320">
        <v>-47.188279999999999</v>
      </c>
      <c r="J7320">
        <v>-225.4879</v>
      </c>
      <c r="K7320">
        <v>1.1099909999999999</v>
      </c>
      <c r="L7320">
        <v>-63.660739999999997</v>
      </c>
      <c r="M7320">
        <v>0.99986039999999998</v>
      </c>
      <c r="N7320">
        <v>0</v>
      </c>
      <c r="O7320">
        <v>-8.7406180000000003E-3</v>
      </c>
      <c r="P7320">
        <v>0.99917120000000004</v>
      </c>
      <c r="Q7320">
        <v>4.0693729999999997E-2</v>
      </c>
      <c r="R7320">
        <v>-1.1114779999999999E-3</v>
      </c>
      <c r="S7320">
        <v>2.99437</v>
      </c>
      <c r="T7320">
        <v>0.21534449999999999</v>
      </c>
      <c r="U7320">
        <v>0.72222900000000001</v>
      </c>
      <c r="V7320">
        <v>-7.6233430000000003E-3</v>
      </c>
      <c r="W7320">
        <v>5.4924800000000003E-2</v>
      </c>
      <c r="X7320">
        <v>0.99846140000000005</v>
      </c>
      <c r="Y7320">
        <v>-0.24234749999999999</v>
      </c>
      <c r="Z7320">
        <v>-9.1997480000000006E-3</v>
      </c>
      <c r="AA7320">
        <v>0.97014590000000001</v>
      </c>
      <c r="AB7320">
        <v>30</v>
      </c>
      <c r="AC7320">
        <v>68.137799999999999</v>
      </c>
      <c r="AD7320">
        <v>4.9111519999999897</v>
      </c>
      <c r="AE7320">
        <v>16.472460000000002</v>
      </c>
      <c r="AF7320">
        <v>-16.984096091883298</v>
      </c>
      <c r="AG7320">
        <v>4.9111519999999897</v>
      </c>
      <c r="AH7320">
        <v>67.659117776532895</v>
      </c>
      <c r="AI7320">
        <v>85.972882161681099</v>
      </c>
      <c r="AJ7320">
        <v>104.091476654822</v>
      </c>
      <c r="AK7320">
        <v>69.930931298847895</v>
      </c>
      <c r="AL7320">
        <v>86.851456386962596</v>
      </c>
      <c r="AM7320">
        <v>90.437449953064899</v>
      </c>
      <c r="AN7320">
        <v>1.0000000081517399</v>
      </c>
    </row>
    <row r="7321" spans="1:40" x14ac:dyDescent="0.25">
      <c r="A7321" t="str">
        <f>"20190312160828089"</f>
        <v>20190312160828089</v>
      </c>
      <c r="B7321" t="str">
        <f>"1552378108082797"</f>
        <v>1552378108082797</v>
      </c>
      <c r="C7321" t="s">
        <v>40</v>
      </c>
      <c r="D7321">
        <v>6.3196409999999998</v>
      </c>
      <c r="E7321">
        <v>0.44534669999999998</v>
      </c>
      <c r="F7321" t="s">
        <v>52</v>
      </c>
      <c r="G7321">
        <v>-157.3501</v>
      </c>
      <c r="H7321">
        <v>6.0432620000000004</v>
      </c>
      <c r="I7321">
        <v>-47.244889999999998</v>
      </c>
      <c r="J7321">
        <v>-225.33539999999999</v>
      </c>
      <c r="K7321">
        <v>1.1099920000000001</v>
      </c>
      <c r="L7321">
        <v>-63.662050000000001</v>
      </c>
      <c r="M7321">
        <v>0.99986050000000004</v>
      </c>
      <c r="N7321">
        <v>0</v>
      </c>
      <c r="O7321">
        <v>-8.7300190000000003E-3</v>
      </c>
      <c r="P7321">
        <v>0.99915160000000003</v>
      </c>
      <c r="Q7321">
        <v>4.1178569999999998E-2</v>
      </c>
      <c r="R7321">
        <v>-7.3882560000000002E-4</v>
      </c>
      <c r="S7321">
        <v>2.9944920000000002</v>
      </c>
      <c r="T7321">
        <v>0.21680430000000001</v>
      </c>
      <c r="U7321">
        <v>0.72143550000000001</v>
      </c>
      <c r="V7321">
        <v>-7.9849659999999996E-3</v>
      </c>
      <c r="W7321">
        <v>5.5410899999999999E-2</v>
      </c>
      <c r="X7321">
        <v>0.99843170000000003</v>
      </c>
      <c r="Y7321">
        <v>-0.2420776</v>
      </c>
      <c r="Z7321">
        <v>-9.2514929999999995E-3</v>
      </c>
      <c r="AA7321">
        <v>0.97021279999999999</v>
      </c>
      <c r="AB7321">
        <v>30</v>
      </c>
      <c r="AC7321">
        <v>67.985299999999995</v>
      </c>
      <c r="AD7321">
        <v>4.9332699999999896</v>
      </c>
      <c r="AE7321">
        <v>16.4171599999999</v>
      </c>
      <c r="AF7321">
        <v>-16.925894776300598</v>
      </c>
      <c r="AG7321">
        <v>4.9332699999999896</v>
      </c>
      <c r="AH7321">
        <v>67.503516968122199</v>
      </c>
      <c r="AI7321">
        <v>85.945241707553606</v>
      </c>
      <c r="AJ7321">
        <v>104.076191595513</v>
      </c>
      <c r="AK7321">
        <v>69.767813997120996</v>
      </c>
      <c r="AL7321">
        <v>86.823562382178196</v>
      </c>
      <c r="AM7321">
        <v>90.458213714272702</v>
      </c>
      <c r="AN7321">
        <v>0.99999999354285996</v>
      </c>
    </row>
    <row r="7322" spans="1:40" x14ac:dyDescent="0.25">
      <c r="A7322" t="str">
        <f>"20190312160828101"</f>
        <v>20190312160828101</v>
      </c>
      <c r="B7322" t="str">
        <f>"1552378108092556"</f>
        <v>1552378108092556</v>
      </c>
      <c r="C7322" t="s">
        <v>40</v>
      </c>
      <c r="D7322">
        <v>6.3283759999999996</v>
      </c>
      <c r="E7322">
        <v>0.44639800000000002</v>
      </c>
      <c r="F7322" t="s">
        <v>52</v>
      </c>
      <c r="G7322">
        <v>-157.9383</v>
      </c>
      <c r="H7322">
        <v>6.0682239999999998</v>
      </c>
      <c r="I7322">
        <v>-53.925469999999997</v>
      </c>
      <c r="J7322">
        <v>-225.17580000000001</v>
      </c>
      <c r="K7322">
        <v>1.1099920000000001</v>
      </c>
      <c r="L7322">
        <v>-63.66348</v>
      </c>
      <c r="M7322">
        <v>0.99986050000000004</v>
      </c>
      <c r="N7322">
        <v>0</v>
      </c>
      <c r="O7322">
        <v>-8.7188200000000004E-3</v>
      </c>
      <c r="P7322">
        <v>0.99915929999999997</v>
      </c>
      <c r="Q7322">
        <v>4.0992359999999999E-2</v>
      </c>
      <c r="R7322">
        <v>-9.0197569999999998E-4</v>
      </c>
      <c r="S7322">
        <v>2.9937589999999998</v>
      </c>
      <c r="T7322">
        <v>0.22024199999999999</v>
      </c>
      <c r="U7322">
        <v>0.43249510000000002</v>
      </c>
      <c r="V7322">
        <v>-7.8107979999999999E-3</v>
      </c>
      <c r="W7322">
        <v>5.5225219999999998E-2</v>
      </c>
      <c r="X7322">
        <v>0.99844339999999998</v>
      </c>
      <c r="Y7322">
        <v>-0.1511825</v>
      </c>
      <c r="Z7322">
        <v>-6.1623750000000003E-3</v>
      </c>
      <c r="AA7322">
        <v>0.98848659999999999</v>
      </c>
      <c r="AB7322">
        <v>30</v>
      </c>
      <c r="AC7322">
        <v>67.237499999999997</v>
      </c>
      <c r="AD7322">
        <v>4.9582319999999998</v>
      </c>
      <c r="AE7322">
        <v>9.7380100000000098</v>
      </c>
      <c r="AF7322">
        <v>-10.2692352385471</v>
      </c>
      <c r="AG7322">
        <v>4.9582319999999998</v>
      </c>
      <c r="AH7322">
        <v>66.794273475879706</v>
      </c>
      <c r="AI7322">
        <v>85.803765690995405</v>
      </c>
      <c r="AJ7322">
        <v>98.740458310642495</v>
      </c>
      <c r="AK7322">
        <v>67.760727756725302</v>
      </c>
      <c r="AL7322">
        <v>86.834217487680405</v>
      </c>
      <c r="AM7322">
        <v>90.448214321409495</v>
      </c>
      <c r="AN7322">
        <v>1.0000000282465</v>
      </c>
    </row>
    <row r="7323" spans="1:40" x14ac:dyDescent="0.25">
      <c r="A7323" t="str">
        <f>"20190312160828113"</f>
        <v>20190312160828113</v>
      </c>
      <c r="B7323" t="str">
        <f>"1552378108102316"</f>
        <v>1552378108102316</v>
      </c>
      <c r="C7323" t="s">
        <v>40</v>
      </c>
      <c r="D7323">
        <v>6.3526400000000001</v>
      </c>
      <c r="E7323">
        <v>0.44766990000000001</v>
      </c>
      <c r="F7323" t="s">
        <v>52</v>
      </c>
      <c r="G7323">
        <v>-157.9383</v>
      </c>
      <c r="H7323">
        <v>6.3529309999999999</v>
      </c>
      <c r="I7323">
        <v>-54.152209999999997</v>
      </c>
      <c r="J7323">
        <v>-225.01669999999999</v>
      </c>
      <c r="K7323">
        <v>1.109985</v>
      </c>
      <c r="L7323">
        <v>-63.664859999999997</v>
      </c>
      <c r="M7323">
        <v>0.99986050000000004</v>
      </c>
      <c r="N7323">
        <v>0</v>
      </c>
      <c r="O7323">
        <v>-8.7075019999999902E-3</v>
      </c>
      <c r="P7323">
        <v>0.99914650000000005</v>
      </c>
      <c r="Q7323">
        <v>4.1296920000000001E-2</v>
      </c>
      <c r="R7323">
        <v>-9.9498709999999995E-4</v>
      </c>
      <c r="S7323">
        <v>2.993347</v>
      </c>
      <c r="T7323">
        <v>0.23340920000000001</v>
      </c>
      <c r="U7323">
        <v>0.42343140000000001</v>
      </c>
      <c r="V7323">
        <v>-7.7064029999999997E-3</v>
      </c>
      <c r="W7323">
        <v>5.5530410000000002E-2</v>
      </c>
      <c r="X7323">
        <v>0.99842730000000002</v>
      </c>
      <c r="Y7323">
        <v>-0.14821319999999999</v>
      </c>
      <c r="Z7323">
        <v>-6.4160959999999996E-3</v>
      </c>
      <c r="AA7323">
        <v>0.9889346</v>
      </c>
      <c r="AB7323">
        <v>30</v>
      </c>
      <c r="AC7323">
        <v>67.078399999999903</v>
      </c>
      <c r="AD7323">
        <v>5.2429459999999999</v>
      </c>
      <c r="AE7323">
        <v>9.5126500000000007</v>
      </c>
      <c r="AF7323">
        <v>-10.0363286385387</v>
      </c>
      <c r="AG7323">
        <v>5.2429459999999999</v>
      </c>
      <c r="AH7323">
        <v>66.594199080425497</v>
      </c>
      <c r="AI7323">
        <v>85.548466782244304</v>
      </c>
      <c r="AJ7323">
        <v>98.570476391452303</v>
      </c>
      <c r="AK7323">
        <v>67.550009078186093</v>
      </c>
      <c r="AL7323">
        <v>86.816704565944505</v>
      </c>
      <c r="AM7323">
        <v>90.442231095818499</v>
      </c>
      <c r="AN7323">
        <v>1.0000000442336201</v>
      </c>
    </row>
    <row r="7324" spans="1:40" x14ac:dyDescent="0.25">
      <c r="A7324" t="str">
        <f>"20190312160828123"</f>
        <v>20190312160828123</v>
      </c>
      <c r="B7324" t="str">
        <f>"1552378108113053"</f>
        <v>1552378108113053</v>
      </c>
      <c r="C7324" t="s">
        <v>40</v>
      </c>
      <c r="D7324">
        <v>6.3468109999999998</v>
      </c>
      <c r="E7324">
        <v>0.44825789999999999</v>
      </c>
      <c r="F7324" t="s">
        <v>52</v>
      </c>
      <c r="G7324">
        <v>-157.9383</v>
      </c>
      <c r="H7324">
        <v>6.394882</v>
      </c>
      <c r="I7324">
        <v>-54.409610000000001</v>
      </c>
      <c r="J7324">
        <v>-224.88249999999999</v>
      </c>
      <c r="K7324">
        <v>1.1099840000000001</v>
      </c>
      <c r="L7324">
        <v>-63.666020000000003</v>
      </c>
      <c r="M7324">
        <v>0.99986059999999999</v>
      </c>
      <c r="N7324">
        <v>0</v>
      </c>
      <c r="O7324">
        <v>-8.6979699999999993E-3</v>
      </c>
      <c r="P7324">
        <v>0.99913479999999999</v>
      </c>
      <c r="Q7324">
        <v>4.1569929999999998E-2</v>
      </c>
      <c r="R7324">
        <v>-1.348117E-3</v>
      </c>
      <c r="S7324">
        <v>2.9932249999999998</v>
      </c>
      <c r="T7324">
        <v>0.2358257</v>
      </c>
      <c r="U7324">
        <v>0.41299439999999998</v>
      </c>
      <c r="V7324">
        <v>-7.343512E-3</v>
      </c>
      <c r="W7324">
        <v>5.5803690000000003E-2</v>
      </c>
      <c r="X7324">
        <v>0.99841480000000005</v>
      </c>
      <c r="Y7324">
        <v>-0.1448265</v>
      </c>
      <c r="Z7324">
        <v>-6.3508019999999896E-3</v>
      </c>
      <c r="AA7324">
        <v>0.98943669999999995</v>
      </c>
      <c r="AB7324">
        <v>30</v>
      </c>
      <c r="AC7324">
        <v>66.944199999999995</v>
      </c>
      <c r="AD7324">
        <v>5.2848980000000001</v>
      </c>
      <c r="AE7324">
        <v>9.25640999999999</v>
      </c>
      <c r="AF7324">
        <v>-9.7785978531914495</v>
      </c>
      <c r="AG7324">
        <v>5.2848980000000001</v>
      </c>
      <c r="AH7324">
        <v>66.454751770758094</v>
      </c>
      <c r="AI7324">
        <v>85.501290823904796</v>
      </c>
      <c r="AJ7324">
        <v>98.370814793757802</v>
      </c>
      <c r="AK7324">
        <v>67.377927808429305</v>
      </c>
      <c r="AL7324">
        <v>86.801022464503305</v>
      </c>
      <c r="AM7324">
        <v>90.421412680669704</v>
      </c>
      <c r="AN7324">
        <v>1.00000004592257</v>
      </c>
    </row>
    <row r="7325" spans="1:40" x14ac:dyDescent="0.25">
      <c r="A7325" t="str">
        <f>"20190312160828135"</f>
        <v>20190312160828135</v>
      </c>
      <c r="B7325" t="str">
        <f>"1552378108122812"</f>
        <v>1552378108122812</v>
      </c>
      <c r="C7325" t="s">
        <v>40</v>
      </c>
      <c r="D7325">
        <v>5.2803399999999998</v>
      </c>
      <c r="E7325">
        <v>0.4486639</v>
      </c>
      <c r="F7325" t="s">
        <v>52</v>
      </c>
      <c r="G7325">
        <v>-157.9383</v>
      </c>
      <c r="H7325">
        <v>6.387791</v>
      </c>
      <c r="I7325">
        <v>-54.559330000000003</v>
      </c>
      <c r="J7325">
        <v>-224.72710000000001</v>
      </c>
      <c r="K7325">
        <v>1.109988</v>
      </c>
      <c r="L7325">
        <v>-63.66733</v>
      </c>
      <c r="M7325">
        <v>0.99986079999999999</v>
      </c>
      <c r="N7325">
        <v>0</v>
      </c>
      <c r="O7325">
        <v>-8.6870079999999995E-3</v>
      </c>
      <c r="P7325">
        <v>0.99913819999999998</v>
      </c>
      <c r="Q7325">
        <v>4.1489699999999997E-2</v>
      </c>
      <c r="R7325">
        <v>-1.2733930000000001E-3</v>
      </c>
      <c r="S7325">
        <v>2.993347</v>
      </c>
      <c r="T7325">
        <v>0.23599100000000001</v>
      </c>
      <c r="U7325">
        <v>0.407196</v>
      </c>
      <c r="V7325">
        <v>-7.4073400000000001E-3</v>
      </c>
      <c r="W7325">
        <v>5.5723700000000001E-2</v>
      </c>
      <c r="X7325">
        <v>0.99841869999999999</v>
      </c>
      <c r="Y7325">
        <v>-0.1429337</v>
      </c>
      <c r="Z7325">
        <v>-6.2807949999999996E-3</v>
      </c>
      <c r="AA7325">
        <v>0.98971240000000005</v>
      </c>
      <c r="AB7325">
        <v>30</v>
      </c>
      <c r="AC7325">
        <v>66.788799999999995</v>
      </c>
      <c r="AD7325">
        <v>5.2778029999999996</v>
      </c>
      <c r="AE7325">
        <v>9.1080000000000005</v>
      </c>
      <c r="AF7325">
        <v>-9.6288800093846802</v>
      </c>
      <c r="AG7325">
        <v>5.2778029999999996</v>
      </c>
      <c r="AH7325">
        <v>66.300692865924802</v>
      </c>
      <c r="AI7325">
        <v>85.495678946552701</v>
      </c>
      <c r="AJ7325">
        <v>98.263319189036906</v>
      </c>
      <c r="AK7325">
        <v>67.2038124606308</v>
      </c>
      <c r="AL7325">
        <v>86.805612389289905</v>
      </c>
      <c r="AM7325">
        <v>90.425073701852497</v>
      </c>
      <c r="AN7325">
        <v>0.99999994996862596</v>
      </c>
    </row>
    <row r="7326" spans="1:40" x14ac:dyDescent="0.25">
      <c r="A7326" t="str">
        <f>"20190312160828144"</f>
        <v>20190312160828144</v>
      </c>
      <c r="B7326" t="str">
        <f>"1552378108132572"</f>
        <v>1552378108132572</v>
      </c>
      <c r="C7326" t="s">
        <v>40</v>
      </c>
      <c r="D7326">
        <v>6.3063200000000004</v>
      </c>
      <c r="E7326">
        <v>0.44887640000000001</v>
      </c>
      <c r="F7326" t="s">
        <v>52</v>
      </c>
      <c r="G7326">
        <v>-157.5943</v>
      </c>
      <c r="H7326">
        <v>6.365227</v>
      </c>
      <c r="I7326">
        <v>-54.603529999999999</v>
      </c>
      <c r="J7326">
        <v>-224.59530000000001</v>
      </c>
      <c r="K7326">
        <v>1.1099920000000001</v>
      </c>
      <c r="L7326">
        <v>-63.668489999999998</v>
      </c>
      <c r="M7326">
        <v>0.99986090000000005</v>
      </c>
      <c r="N7326">
        <v>0</v>
      </c>
      <c r="O7326">
        <v>-8.6773530000000005E-3</v>
      </c>
      <c r="P7326">
        <v>0.99915779999999998</v>
      </c>
      <c r="Q7326">
        <v>4.0998840000000002E-2</v>
      </c>
      <c r="R7326">
        <v>-1.758211E-3</v>
      </c>
      <c r="S7326">
        <v>2.9933779999999999</v>
      </c>
      <c r="T7326">
        <v>0.23432420000000001</v>
      </c>
      <c r="U7326">
        <v>0.40414430000000001</v>
      </c>
      <c r="V7326">
        <v>-6.9128770000000004E-3</v>
      </c>
      <c r="W7326">
        <v>5.52338E-2</v>
      </c>
      <c r="X7326">
        <v>0.99844949999999999</v>
      </c>
      <c r="Y7326">
        <v>-0.14194129999999899</v>
      </c>
      <c r="Z7326">
        <v>-6.1975669999999898E-3</v>
      </c>
      <c r="AA7326">
        <v>0.98985559999999995</v>
      </c>
      <c r="AB7326">
        <v>30</v>
      </c>
      <c r="AC7326">
        <v>67.001000000000005</v>
      </c>
      <c r="AD7326">
        <v>5.2552349999999999</v>
      </c>
      <c r="AE7326">
        <v>9.0649599999999992</v>
      </c>
      <c r="AF7326">
        <v>-9.5881423221942796</v>
      </c>
      <c r="AG7326">
        <v>5.2552349999999999</v>
      </c>
      <c r="AH7326">
        <v>66.517941851319094</v>
      </c>
      <c r="AI7326">
        <v>85.528764051201193</v>
      </c>
      <c r="AJ7326">
        <v>98.2023293718552</v>
      </c>
      <c r="AK7326">
        <v>67.4105819306683</v>
      </c>
      <c r="AL7326">
        <v>86.833724992769007</v>
      </c>
      <c r="AM7326">
        <v>90.396687411544093</v>
      </c>
      <c r="AN7326">
        <v>0.99999998229055298</v>
      </c>
    </row>
    <row r="7327" spans="1:40" x14ac:dyDescent="0.25">
      <c r="A7327" t="str">
        <f>"20190312160828155"</f>
        <v>20190312160828155</v>
      </c>
      <c r="B7327" t="str">
        <f>"1552378108153068"</f>
        <v>1552378108153068</v>
      </c>
      <c r="C7327" t="s">
        <v>40</v>
      </c>
      <c r="D7327">
        <v>6.3935009999999997</v>
      </c>
      <c r="E7327">
        <v>0.44925349999999997</v>
      </c>
      <c r="F7327" t="s">
        <v>52</v>
      </c>
      <c r="G7327">
        <v>-157.3501</v>
      </c>
      <c r="H7327">
        <v>6.3258710000000002</v>
      </c>
      <c r="I7327">
        <v>-54.660490000000003</v>
      </c>
      <c r="J7327">
        <v>-224.44280000000001</v>
      </c>
      <c r="K7327">
        <v>1.109993</v>
      </c>
      <c r="L7327">
        <v>-63.669800000000002</v>
      </c>
      <c r="M7327">
        <v>0.99986090000000005</v>
      </c>
      <c r="N7327">
        <v>0</v>
      </c>
      <c r="O7327">
        <v>-8.6660279999999992E-3</v>
      </c>
      <c r="P7327">
        <v>0.99913870000000005</v>
      </c>
      <c r="Q7327">
        <v>4.1448350000000002E-2</v>
      </c>
      <c r="R7327">
        <v>-2.0569550000000001E-3</v>
      </c>
      <c r="S7327">
        <v>2.9937290000000001</v>
      </c>
      <c r="T7327">
        <v>0.23220750000000001</v>
      </c>
      <c r="U7327">
        <v>0.40103149999999999</v>
      </c>
      <c r="V7327">
        <v>-6.6027710000000003E-3</v>
      </c>
      <c r="W7327">
        <v>5.5682759999999998E-2</v>
      </c>
      <c r="X7327">
        <v>0.9984267</v>
      </c>
      <c r="Y7327">
        <v>-0.14091489999999901</v>
      </c>
      <c r="Z7327">
        <v>-6.1010150000000004E-3</v>
      </c>
      <c r="AA7327">
        <v>0.99000290000000002</v>
      </c>
      <c r="AB7327">
        <v>30</v>
      </c>
      <c r="AC7327">
        <v>67.092699999999994</v>
      </c>
      <c r="AD7327">
        <v>5.215878</v>
      </c>
      <c r="AE7327">
        <v>9.0093099999999993</v>
      </c>
      <c r="AF7327">
        <v>-9.5338584948801302</v>
      </c>
      <c r="AG7327">
        <v>5.215878</v>
      </c>
      <c r="AH7327">
        <v>66.616616221719198</v>
      </c>
      <c r="AI7327">
        <v>85.568023852565503</v>
      </c>
      <c r="AJ7327">
        <v>98.144598565215304</v>
      </c>
      <c r="AK7327">
        <v>67.497210297486404</v>
      </c>
      <c r="AL7327">
        <v>86.807961952633704</v>
      </c>
      <c r="AM7327">
        <v>90.378901522273196</v>
      </c>
      <c r="AN7327">
        <v>1.0000000208094899</v>
      </c>
    </row>
    <row r="7328" spans="1:40" x14ac:dyDescent="0.25">
      <c r="A7328" t="str">
        <f>"20190312160828167"</f>
        <v>20190312160828167</v>
      </c>
      <c r="B7328" t="str">
        <f>"1552378108162828"</f>
        <v>1552378108162828</v>
      </c>
      <c r="C7328" t="s">
        <v>40</v>
      </c>
      <c r="D7328">
        <v>6.3879020000000004</v>
      </c>
      <c r="E7328">
        <v>0.4492739</v>
      </c>
      <c r="F7328" t="s">
        <v>52</v>
      </c>
      <c r="G7328">
        <v>-157.3501</v>
      </c>
      <c r="H7328">
        <v>6.2588900000000001</v>
      </c>
      <c r="I7328">
        <v>-54.768909999999998</v>
      </c>
      <c r="J7328">
        <v>-224.28299999999999</v>
      </c>
      <c r="K7328">
        <v>1.109999</v>
      </c>
      <c r="L7328">
        <v>-63.671169999999996</v>
      </c>
      <c r="M7328">
        <v>0.99986120000000001</v>
      </c>
      <c r="N7328">
        <v>0</v>
      </c>
      <c r="O7328">
        <v>-8.6532629999999996E-3</v>
      </c>
      <c r="P7328">
        <v>0.99914910000000001</v>
      </c>
      <c r="Q7328">
        <v>4.1198169999999999E-2</v>
      </c>
      <c r="R7328">
        <v>-2.1210370000000001E-3</v>
      </c>
      <c r="S7328">
        <v>2.9938959999999999</v>
      </c>
      <c r="T7328">
        <v>0.22975950000000001</v>
      </c>
      <c r="U7328">
        <v>0.39718629999999999</v>
      </c>
      <c r="V7328">
        <v>-6.5262130000000003E-3</v>
      </c>
      <c r="W7328">
        <v>5.5432799999999997E-2</v>
      </c>
      <c r="X7328">
        <v>0.99844109999999997</v>
      </c>
      <c r="Y7328">
        <v>-0.13965839999999999</v>
      </c>
      <c r="Z7328">
        <v>-5.9881450000000003E-3</v>
      </c>
      <c r="AA7328">
        <v>0.9901816</v>
      </c>
      <c r="AB7328">
        <v>30</v>
      </c>
      <c r="AC7328">
        <v>66.932899999999904</v>
      </c>
      <c r="AD7328">
        <v>5.1488909999999999</v>
      </c>
      <c r="AE7328">
        <v>8.9022599999999894</v>
      </c>
      <c r="AF7328">
        <v>-9.42636118271475</v>
      </c>
      <c r="AG7328">
        <v>5.1488909999999999</v>
      </c>
      <c r="AH7328">
        <v>66.466862430294796</v>
      </c>
      <c r="AI7328">
        <v>85.614111644455605</v>
      </c>
      <c r="AJ7328">
        <v>98.071884473813697</v>
      </c>
      <c r="AK7328">
        <v>67.3291256812727</v>
      </c>
      <c r="AL7328">
        <v>86.822305720556599</v>
      </c>
      <c r="AM7328">
        <v>90.374502948633904</v>
      </c>
      <c r="AN7328">
        <v>1.00000000847058</v>
      </c>
    </row>
    <row r="7329" spans="1:40" x14ac:dyDescent="0.25">
      <c r="A7329" t="str">
        <f>"20190312160828178"</f>
        <v>20190312160828178</v>
      </c>
      <c r="B7329" t="str">
        <f>"1552378108172589"</f>
        <v>1552378108172589</v>
      </c>
      <c r="C7329" t="s">
        <v>40</v>
      </c>
      <c r="D7329">
        <v>6.3413979999999999</v>
      </c>
      <c r="E7329">
        <v>0.44924239999999999</v>
      </c>
      <c r="F7329" t="s">
        <v>52</v>
      </c>
      <c r="G7329">
        <v>-157.3501</v>
      </c>
      <c r="H7329">
        <v>6.2168260000000002</v>
      </c>
      <c r="I7329">
        <v>-54.801259999999999</v>
      </c>
      <c r="J7329">
        <v>-224.1317</v>
      </c>
      <c r="K7329">
        <v>1.1100030000000001</v>
      </c>
      <c r="L7329">
        <v>-63.672490000000003</v>
      </c>
      <c r="M7329">
        <v>0.99986109999999995</v>
      </c>
      <c r="N7329">
        <v>0</v>
      </c>
      <c r="O7329">
        <v>-8.6401310000000005E-3</v>
      </c>
      <c r="P7329">
        <v>0.999108</v>
      </c>
      <c r="Q7329">
        <v>4.217245E-2</v>
      </c>
      <c r="R7329">
        <v>-2.204307E-3</v>
      </c>
      <c r="S7329">
        <v>2.993973</v>
      </c>
      <c r="T7329">
        <v>0.2284321</v>
      </c>
      <c r="U7329">
        <v>0.39675899999999997</v>
      </c>
      <c r="V7329">
        <v>-6.4296910000000004E-3</v>
      </c>
      <c r="W7329">
        <v>5.6406890000000001E-2</v>
      </c>
      <c r="X7329">
        <v>0.99838720000000003</v>
      </c>
      <c r="Y7329">
        <v>-0.13950870000000001</v>
      </c>
      <c r="Z7329">
        <v>-5.9468790000000004E-3</v>
      </c>
      <c r="AA7329">
        <v>0.99020300000000006</v>
      </c>
      <c r="AB7329">
        <v>30</v>
      </c>
      <c r="AC7329">
        <v>66.781599999999997</v>
      </c>
      <c r="AD7329">
        <v>5.1068230000000003</v>
      </c>
      <c r="AE7329">
        <v>8.8712300000000006</v>
      </c>
      <c r="AF7329">
        <v>-9.3939782173324993</v>
      </c>
      <c r="AG7329">
        <v>5.1068230000000003</v>
      </c>
      <c r="AH7329">
        <v>66.321345571300796</v>
      </c>
      <c r="AI7329">
        <v>85.640192621696002</v>
      </c>
      <c r="AJ7329">
        <v>98.061937053036104</v>
      </c>
      <c r="AK7329">
        <v>67.177729541038801</v>
      </c>
      <c r="AL7329">
        <v>86.766407106958795</v>
      </c>
      <c r="AM7329">
        <v>90.368984162657497</v>
      </c>
      <c r="AN7329">
        <v>1.0000000396448301</v>
      </c>
    </row>
    <row r="7330" spans="1:40" x14ac:dyDescent="0.25">
      <c r="A7330" t="str">
        <f>"20190312160828190"</f>
        <v>20190312160828190</v>
      </c>
      <c r="B7330" t="str">
        <f>"1552378108182349"</f>
        <v>1552378108182349</v>
      </c>
      <c r="C7330" t="s">
        <v>40</v>
      </c>
      <c r="D7330">
        <v>6.3377600000000003</v>
      </c>
      <c r="E7330">
        <v>0.44930110000000001</v>
      </c>
      <c r="F7330" t="s">
        <v>52</v>
      </c>
      <c r="G7330">
        <v>-157.3501</v>
      </c>
      <c r="H7330">
        <v>6.2898560000000003</v>
      </c>
      <c r="I7330">
        <v>-54.820630000000001</v>
      </c>
      <c r="J7330">
        <v>-223.9786</v>
      </c>
      <c r="K7330">
        <v>1.1100099999999999</v>
      </c>
      <c r="L7330">
        <v>-63.673769999999998</v>
      </c>
      <c r="M7330">
        <v>0.99986129999999995</v>
      </c>
      <c r="N7330">
        <v>0</v>
      </c>
      <c r="O7330">
        <v>-8.6245999999999996E-3</v>
      </c>
      <c r="P7330">
        <v>0.99907060000000003</v>
      </c>
      <c r="Q7330">
        <v>4.305237E-2</v>
      </c>
      <c r="R7330">
        <v>-2.180319E-3</v>
      </c>
      <c r="S7330">
        <v>2.9937589999999998</v>
      </c>
      <c r="T7330">
        <v>0.2322071</v>
      </c>
      <c r="U7330">
        <v>0.39682010000000001</v>
      </c>
      <c r="V7330">
        <v>-6.4384129999999996E-3</v>
      </c>
      <c r="W7330">
        <v>5.7285709999999997E-2</v>
      </c>
      <c r="X7330">
        <v>0.99833709999999998</v>
      </c>
      <c r="Y7330">
        <v>-0.139508299999999</v>
      </c>
      <c r="Z7330">
        <v>-6.0440709999999998E-3</v>
      </c>
      <c r="AA7330">
        <v>0.99020249999999999</v>
      </c>
      <c r="AB7330">
        <v>30</v>
      </c>
      <c r="AC7330">
        <v>66.628500000000003</v>
      </c>
      <c r="AD7330">
        <v>5.1798460000000004</v>
      </c>
      <c r="AE7330">
        <v>8.8531399999999891</v>
      </c>
      <c r="AF7330">
        <v>-9.3718537683884708</v>
      </c>
      <c r="AG7330">
        <v>5.1798460000000004</v>
      </c>
      <c r="AH7330">
        <v>66.156754260893706</v>
      </c>
      <c r="AI7330">
        <v>85.567150361517406</v>
      </c>
      <c r="AJ7330">
        <v>98.062946388505793</v>
      </c>
      <c r="AK7330">
        <v>67.017748261009601</v>
      </c>
      <c r="AL7330">
        <v>86.715972861594494</v>
      </c>
      <c r="AM7330">
        <v>90.369503224433998</v>
      </c>
      <c r="AN7330">
        <v>1.00000003548428</v>
      </c>
    </row>
    <row r="7331" spans="1:40" x14ac:dyDescent="0.25">
      <c r="A7331" t="str">
        <f>"20190312160828200"</f>
        <v>20190312160828200</v>
      </c>
      <c r="B7331" t="str">
        <f>"1552378108193084"</f>
        <v>1552378108193084</v>
      </c>
      <c r="C7331" t="s">
        <v>40</v>
      </c>
      <c r="D7331">
        <v>6.391985</v>
      </c>
      <c r="E7331">
        <v>0.4491735</v>
      </c>
      <c r="F7331" t="s">
        <v>52</v>
      </c>
      <c r="G7331">
        <v>-157.3501</v>
      </c>
      <c r="H7331">
        <v>6.3625619999999996</v>
      </c>
      <c r="I7331">
        <v>-54.850219999999901</v>
      </c>
      <c r="J7331">
        <v>-223.8356</v>
      </c>
      <c r="K7331">
        <v>1.1100239999999999</v>
      </c>
      <c r="L7331">
        <v>-63.674990000000001</v>
      </c>
      <c r="M7331">
        <v>0.99986149999999996</v>
      </c>
      <c r="N7331">
        <v>0</v>
      </c>
      <c r="O7331">
        <v>-8.6061839999999994E-3</v>
      </c>
      <c r="P7331">
        <v>0.99905250000000001</v>
      </c>
      <c r="Q7331">
        <v>4.3491450000000001E-2</v>
      </c>
      <c r="R7331">
        <v>-1.6475579999999999E-3</v>
      </c>
      <c r="S7331">
        <v>2.993484</v>
      </c>
      <c r="T7331">
        <v>0.23598540000000001</v>
      </c>
      <c r="U7331">
        <v>0.39642329999999998</v>
      </c>
      <c r="V7331">
        <v>-6.9523639999999999E-3</v>
      </c>
      <c r="W7331">
        <v>5.772414E-2</v>
      </c>
      <c r="X7331">
        <v>0.99830839999999998</v>
      </c>
      <c r="Y7331">
        <v>-0.13935899999999901</v>
      </c>
      <c r="Z7331">
        <v>-6.1354360000000002E-3</v>
      </c>
      <c r="AA7331">
        <v>0.99022290000000002</v>
      </c>
      <c r="AB7331">
        <v>30</v>
      </c>
      <c r="AC7331">
        <v>66.485500000000002</v>
      </c>
      <c r="AD7331">
        <v>5.2525379999999897</v>
      </c>
      <c r="AE7331">
        <v>8.8247699999999991</v>
      </c>
      <c r="AF7331">
        <v>-9.3394055108634308</v>
      </c>
      <c r="AG7331">
        <v>5.2525379999999897</v>
      </c>
      <c r="AH7331">
        <v>66.002265067472806</v>
      </c>
      <c r="AI7331">
        <v>85.494617354563403</v>
      </c>
      <c r="AJ7331">
        <v>98.053956873296201</v>
      </c>
      <c r="AK7331">
        <v>66.866379031429005</v>
      </c>
      <c r="AL7331">
        <v>86.690811040175106</v>
      </c>
      <c r="AM7331">
        <v>90.399009639976697</v>
      </c>
      <c r="AN7331">
        <v>1.0000000366072399</v>
      </c>
    </row>
    <row r="7332" spans="1:40" x14ac:dyDescent="0.25">
      <c r="A7332" t="str">
        <f>"20190312160828211"</f>
        <v>20190312160828211</v>
      </c>
      <c r="B7332" t="str">
        <f>"1552378108202844"</f>
        <v>1552378108202844</v>
      </c>
      <c r="C7332" t="s">
        <v>40</v>
      </c>
      <c r="D7332">
        <v>6.4492830000000003</v>
      </c>
      <c r="E7332">
        <v>0.44917990000000002</v>
      </c>
      <c r="F7332" t="s">
        <v>52</v>
      </c>
      <c r="G7332">
        <v>-157.3501</v>
      </c>
      <c r="H7332">
        <v>6.4228079999999999</v>
      </c>
      <c r="I7332">
        <v>-54.810229999999997</v>
      </c>
      <c r="J7332">
        <v>-223.6875</v>
      </c>
      <c r="K7332">
        <v>1.1100300000000001</v>
      </c>
      <c r="L7332">
        <v>-63.67624</v>
      </c>
      <c r="M7332">
        <v>0.99986169999999996</v>
      </c>
      <c r="N7332">
        <v>0</v>
      </c>
      <c r="O7332">
        <v>-8.5840550000000002E-3</v>
      </c>
      <c r="P7332">
        <v>0.99903200000000003</v>
      </c>
      <c r="Q7332">
        <v>4.3981569999999998E-2</v>
      </c>
      <c r="R7332">
        <v>-9.5318340000000005E-4</v>
      </c>
      <c r="S7332">
        <v>2.9930880000000002</v>
      </c>
      <c r="T7332">
        <v>0.2391731</v>
      </c>
      <c r="U7332">
        <v>0.3990784</v>
      </c>
      <c r="V7332">
        <v>-7.6257290000000004E-3</v>
      </c>
      <c r="W7332">
        <v>5.8213029999999999E-2</v>
      </c>
      <c r="X7332">
        <v>0.99827500000000002</v>
      </c>
      <c r="Y7332">
        <v>-0.1402023</v>
      </c>
      <c r="Z7332">
        <v>-6.2502449999999998E-3</v>
      </c>
      <c r="AA7332">
        <v>0.99010310000000001</v>
      </c>
      <c r="AB7332">
        <v>30</v>
      </c>
      <c r="AC7332">
        <v>66.337400000000002</v>
      </c>
      <c r="AD7332">
        <v>5.3127779999999998</v>
      </c>
      <c r="AE7332">
        <v>8.8660099999999904</v>
      </c>
      <c r="AF7332">
        <v>-9.3761023287335892</v>
      </c>
      <c r="AG7332">
        <v>5.3127779999999998</v>
      </c>
      <c r="AH7332">
        <v>65.843932081710705</v>
      </c>
      <c r="AI7332">
        <v>85.432819344489999</v>
      </c>
      <c r="AJ7332">
        <v>98.104369431962596</v>
      </c>
      <c r="AK7332">
        <v>66.720014215654203</v>
      </c>
      <c r="AL7332">
        <v>86.662752208588998</v>
      </c>
      <c r="AM7332">
        <v>90.4376685674318</v>
      </c>
      <c r="AN7332">
        <v>0.99999994211477905</v>
      </c>
    </row>
    <row r="7333" spans="1:40" x14ac:dyDescent="0.25">
      <c r="A7333" t="str">
        <f>"20190312160828222"</f>
        <v>20190312160828222</v>
      </c>
      <c r="B7333" t="str">
        <f>"1552378108212604"</f>
        <v>1552378108212604</v>
      </c>
      <c r="C7333" t="s">
        <v>40</v>
      </c>
      <c r="D7333">
        <v>6.3562659999999997</v>
      </c>
      <c r="E7333">
        <v>0.44906249999999998</v>
      </c>
      <c r="F7333" t="s">
        <v>52</v>
      </c>
      <c r="G7333">
        <v>-157.3501</v>
      </c>
      <c r="H7333">
        <v>6.4482989999999996</v>
      </c>
      <c r="I7333">
        <v>-54.782670000000003</v>
      </c>
      <c r="J7333">
        <v>-223.54169999999999</v>
      </c>
      <c r="K7333">
        <v>1.110044</v>
      </c>
      <c r="L7333">
        <v>-63.677430000000001</v>
      </c>
      <c r="M7333">
        <v>0.99986200000000003</v>
      </c>
      <c r="N7333">
        <v>0</v>
      </c>
      <c r="O7333">
        <v>-8.553293E-3</v>
      </c>
      <c r="P7333">
        <v>0.99901359999999995</v>
      </c>
      <c r="Q7333">
        <v>4.440525E-2</v>
      </c>
      <c r="R7333">
        <v>-7.0370579999999995E-4</v>
      </c>
      <c r="S7333">
        <v>2.9926759999999999</v>
      </c>
      <c r="T7333">
        <v>0.24082400000000001</v>
      </c>
      <c r="U7333">
        <v>0.40121459999999998</v>
      </c>
      <c r="V7333">
        <v>-7.845454E-3</v>
      </c>
      <c r="W7333">
        <v>5.863575E-2</v>
      </c>
      <c r="X7333">
        <v>0.99824860000000004</v>
      </c>
      <c r="Y7333">
        <v>-0.14087549999999999</v>
      </c>
      <c r="Z7333">
        <v>-6.3182719999999998E-3</v>
      </c>
      <c r="AA7333">
        <v>0.99000719999999998</v>
      </c>
      <c r="AB7333">
        <v>30</v>
      </c>
      <c r="AC7333">
        <v>66.191599999999994</v>
      </c>
      <c r="AD7333">
        <v>5.3382549999999904</v>
      </c>
      <c r="AE7333">
        <v>8.8947600000000104</v>
      </c>
      <c r="AF7333">
        <v>-9.4005894855648702</v>
      </c>
      <c r="AG7333">
        <v>5.3382549999999904</v>
      </c>
      <c r="AH7333">
        <v>65.693387950597696</v>
      </c>
      <c r="AI7333">
        <v>85.400987849703597</v>
      </c>
      <c r="AJ7333">
        <v>98.143623478061201</v>
      </c>
      <c r="AK7333">
        <v>66.576942476722905</v>
      </c>
      <c r="AL7333">
        <v>86.638490836313096</v>
      </c>
      <c r="AM7333">
        <v>90.450290787153705</v>
      </c>
      <c r="AN7333">
        <v>0.99999998486424402</v>
      </c>
    </row>
    <row r="7334" spans="1:40" x14ac:dyDescent="0.25">
      <c r="A7334" t="str">
        <f>"20190312160828234"</f>
        <v>20190312160828234</v>
      </c>
      <c r="B7334" t="str">
        <f>"1552378108222365"</f>
        <v>1552378108222365</v>
      </c>
      <c r="C7334" t="s">
        <v>40</v>
      </c>
      <c r="D7334">
        <v>5.039936</v>
      </c>
      <c r="E7334">
        <v>0.44896039999999998</v>
      </c>
      <c r="F7334" t="s">
        <v>52</v>
      </c>
      <c r="G7334">
        <v>-157.3501</v>
      </c>
      <c r="H7334">
        <v>6.5179489999999998</v>
      </c>
      <c r="I7334">
        <v>-54.765410000000003</v>
      </c>
      <c r="J7334">
        <v>-223.39070000000001</v>
      </c>
      <c r="K7334">
        <v>1.1100589999999999</v>
      </c>
      <c r="L7334">
        <v>-63.678739999999998</v>
      </c>
      <c r="M7334">
        <v>0.99986220000000003</v>
      </c>
      <c r="N7334">
        <v>0</v>
      </c>
      <c r="O7334">
        <v>-8.5188150000000008E-3</v>
      </c>
      <c r="P7334">
        <v>0.9990137</v>
      </c>
      <c r="Q7334">
        <v>4.4404289999999999E-2</v>
      </c>
      <c r="R7334" s="1">
        <v>2.184894E-5</v>
      </c>
      <c r="S7334">
        <v>2.9923860000000002</v>
      </c>
      <c r="T7334">
        <v>0.2444788</v>
      </c>
      <c r="U7334">
        <v>0.4028931</v>
      </c>
      <c r="V7334">
        <v>-8.5370819999999997E-3</v>
      </c>
      <c r="W7334">
        <v>5.8634310000000002E-2</v>
      </c>
      <c r="X7334">
        <v>0.99824299999999999</v>
      </c>
      <c r="Y7334">
        <v>-0.14138329999999999</v>
      </c>
      <c r="Z7334">
        <v>-6.4320449999999999E-3</v>
      </c>
      <c r="AA7334">
        <v>0.98993399999999998</v>
      </c>
      <c r="AB7334">
        <v>30</v>
      </c>
      <c r="AC7334">
        <v>66.040599999999998</v>
      </c>
      <c r="AD7334">
        <v>5.4078900000000001</v>
      </c>
      <c r="AE7334">
        <v>8.9133300000000002</v>
      </c>
      <c r="AF7334">
        <v>-9.4136569358044593</v>
      </c>
      <c r="AG7334">
        <v>5.4078900000000001</v>
      </c>
      <c r="AH7334">
        <v>65.530707103118601</v>
      </c>
      <c r="AI7334">
        <v>85.330106302245895</v>
      </c>
      <c r="AJ7334">
        <v>98.174762593653099</v>
      </c>
      <c r="AK7334">
        <v>66.423909735815997</v>
      </c>
      <c r="AL7334">
        <v>86.638573453134796</v>
      </c>
      <c r="AM7334">
        <v>90.489987751993496</v>
      </c>
      <c r="AN7334">
        <v>0.99999997556362497</v>
      </c>
    </row>
    <row r="7335" spans="1:40" x14ac:dyDescent="0.25">
      <c r="A7335" t="str">
        <f>"20190312160828244"</f>
        <v>20190312160828244</v>
      </c>
      <c r="B7335" t="str">
        <f>"1552378108233100"</f>
        <v>1552378108233100</v>
      </c>
      <c r="C7335" t="s">
        <v>40</v>
      </c>
      <c r="D7335">
        <v>6.3864960000000002</v>
      </c>
      <c r="E7335">
        <v>0.44891569999999997</v>
      </c>
      <c r="F7335" t="s">
        <v>52</v>
      </c>
      <c r="G7335">
        <v>-157.3501</v>
      </c>
      <c r="H7335">
        <v>6.5721629999999998</v>
      </c>
      <c r="I7335">
        <v>-54.721760000000003</v>
      </c>
      <c r="J7335">
        <v>-223.24340000000001</v>
      </c>
      <c r="K7335">
        <v>1.110074</v>
      </c>
      <c r="L7335">
        <v>-63.679929999999999</v>
      </c>
      <c r="M7335">
        <v>0.99986260000000005</v>
      </c>
      <c r="N7335">
        <v>0</v>
      </c>
      <c r="O7335">
        <v>-8.4684069999999903E-3</v>
      </c>
      <c r="P7335">
        <v>0.99903419999999998</v>
      </c>
      <c r="Q7335">
        <v>4.3931520000000002E-2</v>
      </c>
      <c r="R7335">
        <v>9.3136230000000003E-4</v>
      </c>
      <c r="S7335">
        <v>2.991943</v>
      </c>
      <c r="T7335">
        <v>0.24745739999999999</v>
      </c>
      <c r="U7335">
        <v>0.40579219999999999</v>
      </c>
      <c r="V7335">
        <v>-9.3984229999999995E-3</v>
      </c>
      <c r="W7335">
        <v>5.8161150000000002E-2</v>
      </c>
      <c r="X7335">
        <v>0.99826289999999995</v>
      </c>
      <c r="Y7335">
        <v>-0.14227989999999999</v>
      </c>
      <c r="Z7335">
        <v>-6.543381E-3</v>
      </c>
      <c r="AA7335">
        <v>0.98980489999999999</v>
      </c>
      <c r="AB7335">
        <v>30</v>
      </c>
      <c r="AC7335">
        <v>65.893299999999996</v>
      </c>
      <c r="AD7335">
        <v>5.4620889999999997</v>
      </c>
      <c r="AE7335">
        <v>8.9581700000000097</v>
      </c>
      <c r="AF7335">
        <v>-9.4521473099642996</v>
      </c>
      <c r="AG7335">
        <v>5.4620889999999997</v>
      </c>
      <c r="AH7335">
        <v>65.374018730092104</v>
      </c>
      <c r="AI7335">
        <v>85.272880433533402</v>
      </c>
      <c r="AJ7335">
        <v>98.227136212011899</v>
      </c>
      <c r="AK7335">
        <v>66.279256407533893</v>
      </c>
      <c r="AL7335">
        <v>86.665729730323406</v>
      </c>
      <c r="AM7335">
        <v>90.539411073569894</v>
      </c>
      <c r="AN7335">
        <v>0.99999993362030704</v>
      </c>
    </row>
    <row r="7336" spans="1:40" x14ac:dyDescent="0.25">
      <c r="A7336" t="str">
        <f>"20190312160828256"</f>
        <v>20190312160828256</v>
      </c>
      <c r="B7336" t="str">
        <f>"1552378108252621"</f>
        <v>1552378108252621</v>
      </c>
      <c r="C7336" t="s">
        <v>40</v>
      </c>
      <c r="D7336">
        <v>6.4338509999999998</v>
      </c>
      <c r="E7336">
        <v>0.44889499999999999</v>
      </c>
      <c r="F7336" t="s">
        <v>52</v>
      </c>
      <c r="G7336">
        <v>-157.3501</v>
      </c>
      <c r="H7336">
        <v>6.505503</v>
      </c>
      <c r="I7336">
        <v>-54.673769999999998</v>
      </c>
      <c r="J7336">
        <v>-223.09010000000001</v>
      </c>
      <c r="K7336">
        <v>1.1100890000000001</v>
      </c>
      <c r="L7336">
        <v>-63.681150000000002</v>
      </c>
      <c r="M7336">
        <v>0.99986319999999995</v>
      </c>
      <c r="N7336">
        <v>0</v>
      </c>
      <c r="O7336">
        <v>-8.4112960000000004E-3</v>
      </c>
      <c r="P7336">
        <v>0.99900979999999995</v>
      </c>
      <c r="Q7336">
        <v>4.4446050000000001E-2</v>
      </c>
      <c r="R7336">
        <v>2.1037180000000001E-3</v>
      </c>
      <c r="S7336">
        <v>2.9917449999999999</v>
      </c>
      <c r="T7336">
        <v>0.24496670000000001</v>
      </c>
      <c r="U7336">
        <v>0.40890500000000002</v>
      </c>
      <c r="V7336">
        <v>-1.0515770000000001E-2</v>
      </c>
      <c r="W7336">
        <v>5.8673820000000002E-2</v>
      </c>
      <c r="X7336">
        <v>0.99822180000000005</v>
      </c>
      <c r="Y7336">
        <v>-0.1432503</v>
      </c>
      <c r="Z7336">
        <v>-6.5125449999999998E-3</v>
      </c>
      <c r="AA7336">
        <v>0.98966509999999996</v>
      </c>
      <c r="AB7336">
        <v>30</v>
      </c>
      <c r="AC7336">
        <v>65.739999999999995</v>
      </c>
      <c r="AD7336">
        <v>5.3954139999999997</v>
      </c>
      <c r="AE7336">
        <v>9.0073799999999995</v>
      </c>
      <c r="AF7336">
        <v>-9.4972828658368602</v>
      </c>
      <c r="AG7336">
        <v>5.3954139999999997</v>
      </c>
      <c r="AH7336">
        <v>65.230617723431394</v>
      </c>
      <c r="AI7336">
        <v>85.320775375992497</v>
      </c>
      <c r="AJ7336">
        <v>98.283800120721594</v>
      </c>
      <c r="AK7336">
        <v>66.138811318661894</v>
      </c>
      <c r="AL7336">
        <v>86.636305808649595</v>
      </c>
      <c r="AM7336">
        <v>90.603560203598306</v>
      </c>
      <c r="AN7336">
        <v>0.99999998028366199</v>
      </c>
    </row>
    <row r="7337" spans="1:40" x14ac:dyDescent="0.25">
      <c r="A7337" t="str">
        <f>"20190312160828267"</f>
        <v>20190312160828267</v>
      </c>
      <c r="B7337" t="str">
        <f>"1552378108262381"</f>
        <v>1552378108262381</v>
      </c>
      <c r="C7337" t="s">
        <v>40</v>
      </c>
      <c r="D7337">
        <v>6.4959129999999998</v>
      </c>
      <c r="E7337">
        <v>0.4488451</v>
      </c>
      <c r="F7337" t="s">
        <v>52</v>
      </c>
      <c r="G7337">
        <v>-157.3501</v>
      </c>
      <c r="H7337">
        <v>6.5690299999999997</v>
      </c>
      <c r="I7337">
        <v>-54.613390000000003</v>
      </c>
      <c r="J7337">
        <v>-222.93639999999999</v>
      </c>
      <c r="K7337">
        <v>1.1101099999999999</v>
      </c>
      <c r="L7337">
        <v>-63.682369999999999</v>
      </c>
      <c r="M7337">
        <v>0.99986390000000003</v>
      </c>
      <c r="N7337">
        <v>0</v>
      </c>
      <c r="O7337">
        <v>-8.3346800000000006E-3</v>
      </c>
      <c r="P7337">
        <v>0.99898310000000001</v>
      </c>
      <c r="Q7337">
        <v>4.4994180000000002E-2</v>
      </c>
      <c r="R7337">
        <v>2.895749E-3</v>
      </c>
      <c r="S7337">
        <v>2.9910580000000002</v>
      </c>
      <c r="T7337">
        <v>0.24837139999999999</v>
      </c>
      <c r="U7337">
        <v>0.41256710000000002</v>
      </c>
      <c r="V7337">
        <v>-1.1233669999999999E-2</v>
      </c>
      <c r="W7337">
        <v>5.9219800000000003E-2</v>
      </c>
      <c r="X7337">
        <v>0.99818180000000001</v>
      </c>
      <c r="Y7337">
        <v>-0.14437639999999999</v>
      </c>
      <c r="Z7337">
        <v>-6.6438419999999996E-3</v>
      </c>
      <c r="AA7337">
        <v>0.98950050000000001</v>
      </c>
      <c r="AB7337">
        <v>30</v>
      </c>
      <c r="AC7337">
        <v>65.586299999999994</v>
      </c>
      <c r="AD7337">
        <v>5.45892</v>
      </c>
      <c r="AE7337">
        <v>9.0689799999999892</v>
      </c>
      <c r="AF7337">
        <v>-9.5504401697880201</v>
      </c>
      <c r="AG7337">
        <v>5.45892</v>
      </c>
      <c r="AH7337">
        <v>65.066126916839195</v>
      </c>
      <c r="AI7337">
        <v>85.254835958304994</v>
      </c>
      <c r="AJ7337">
        <v>98.350277621579295</v>
      </c>
      <c r="AK7337">
        <v>65.989480881132295</v>
      </c>
      <c r="AL7337">
        <v>86.604969180098195</v>
      </c>
      <c r="AM7337">
        <v>90.644787059746307</v>
      </c>
      <c r="AN7337">
        <v>1.00000004295247</v>
      </c>
    </row>
    <row r="7338" spans="1:40" x14ac:dyDescent="0.25">
      <c r="A7338" t="str">
        <f>"20190312160828279"</f>
        <v>20190312160828279</v>
      </c>
      <c r="B7338" t="str">
        <f>"1552378108273117"</f>
        <v>1552378108273117</v>
      </c>
      <c r="C7338" t="s">
        <v>40</v>
      </c>
      <c r="D7338">
        <v>6.442062</v>
      </c>
      <c r="E7338">
        <v>0.44883230000000002</v>
      </c>
      <c r="F7338" t="s">
        <v>52</v>
      </c>
      <c r="G7338">
        <v>-157.56270000000001</v>
      </c>
      <c r="H7338">
        <v>6.6021669999999997</v>
      </c>
      <c r="I7338">
        <v>-54.603529999999999</v>
      </c>
      <c r="J7338">
        <v>-222.7748</v>
      </c>
      <c r="K7338">
        <v>1.110144</v>
      </c>
      <c r="L7338">
        <v>-63.68365</v>
      </c>
      <c r="M7338">
        <v>0.99986459999999999</v>
      </c>
      <c r="N7338">
        <v>0</v>
      </c>
      <c r="O7338">
        <v>-8.2406130000000008E-3</v>
      </c>
      <c r="P7338">
        <v>0.99894419999999995</v>
      </c>
      <c r="Q7338">
        <v>4.5675590000000002E-2</v>
      </c>
      <c r="R7338">
        <v>4.9052419999999998E-3</v>
      </c>
      <c r="S7338">
        <v>2.9905400000000002</v>
      </c>
      <c r="T7338">
        <v>0.25123450000000003</v>
      </c>
      <c r="U7338">
        <v>0.41531370000000001</v>
      </c>
      <c r="V7338">
        <v>-1.315175E-2</v>
      </c>
      <c r="W7338">
        <v>5.9898569999999998E-2</v>
      </c>
      <c r="X7338">
        <v>0.99811780000000005</v>
      </c>
      <c r="Y7338">
        <v>-0.1451837</v>
      </c>
      <c r="Z7338">
        <v>-6.7467359999999997E-3</v>
      </c>
      <c r="AA7338">
        <v>0.98938170000000003</v>
      </c>
      <c r="AB7338">
        <v>30</v>
      </c>
      <c r="AC7338">
        <v>65.212099999999893</v>
      </c>
      <c r="AD7338">
        <v>5.4920229999999997</v>
      </c>
      <c r="AE7338">
        <v>9.0801199999999902</v>
      </c>
      <c r="AF7338">
        <v>-9.5508017188563592</v>
      </c>
      <c r="AG7338">
        <v>5.4920229999999997</v>
      </c>
      <c r="AH7338">
        <v>64.684989868760198</v>
      </c>
      <c r="AI7338">
        <v>85.198796100996901</v>
      </c>
      <c r="AJ7338">
        <v>98.399092780286793</v>
      </c>
      <c r="AK7338">
        <v>65.616522648087994</v>
      </c>
      <c r="AL7338">
        <v>86.566009128543001</v>
      </c>
      <c r="AM7338">
        <v>90.7549170674245</v>
      </c>
      <c r="AN7338">
        <v>0.99999997494647297</v>
      </c>
    </row>
    <row r="7339" spans="1:40" x14ac:dyDescent="0.25">
      <c r="A7339" t="str">
        <f>"20190312160828289"</f>
        <v>20190312160828289</v>
      </c>
      <c r="B7339" t="str">
        <f>"1552378108282877"</f>
        <v>1552378108282877</v>
      </c>
      <c r="C7339" t="s">
        <v>40</v>
      </c>
      <c r="D7339">
        <v>6.5532149999999998</v>
      </c>
      <c r="E7339">
        <v>0.44869949999999997</v>
      </c>
      <c r="F7339" t="s">
        <v>52</v>
      </c>
      <c r="G7339">
        <v>-157.9383</v>
      </c>
      <c r="H7339">
        <v>6.6308280000000002</v>
      </c>
      <c r="I7339">
        <v>-54.545760000000001</v>
      </c>
      <c r="J7339">
        <v>-222.63839999999999</v>
      </c>
      <c r="K7339">
        <v>1.110166</v>
      </c>
      <c r="L7339">
        <v>-63.684690000000003</v>
      </c>
      <c r="M7339">
        <v>0.99986549999999996</v>
      </c>
      <c r="N7339">
        <v>0</v>
      </c>
      <c r="O7339">
        <v>-8.1490780000000006E-3</v>
      </c>
      <c r="P7339">
        <v>0.99892429999999999</v>
      </c>
      <c r="Q7339">
        <v>4.5999760000000001E-2</v>
      </c>
      <c r="R7339">
        <v>5.8878139999999999E-3</v>
      </c>
      <c r="S7339">
        <v>2.9894560000000001</v>
      </c>
      <c r="T7339">
        <v>0.2545443</v>
      </c>
      <c r="U7339">
        <v>0.42132570000000003</v>
      </c>
      <c r="V7339">
        <v>-1.404624E-2</v>
      </c>
      <c r="W7339">
        <v>6.0220799999999998E-2</v>
      </c>
      <c r="X7339">
        <v>0.99808629999999998</v>
      </c>
      <c r="Y7339">
        <v>-0.1470726</v>
      </c>
      <c r="Z7339">
        <v>-6.908941E-3</v>
      </c>
      <c r="AA7339">
        <v>0.98910160000000003</v>
      </c>
      <c r="AB7339">
        <v>30</v>
      </c>
      <c r="AC7339">
        <v>64.700099999999907</v>
      </c>
      <c r="AD7339">
        <v>5.5206619999999997</v>
      </c>
      <c r="AE7339">
        <v>9.1389300000000002</v>
      </c>
      <c r="AF7339">
        <v>-9.5974171335725096</v>
      </c>
      <c r="AG7339">
        <v>5.5206619999999997</v>
      </c>
      <c r="AH7339">
        <v>64.165439803402904</v>
      </c>
      <c r="AI7339">
        <v>85.136339821040195</v>
      </c>
      <c r="AJ7339">
        <v>98.506837001219793</v>
      </c>
      <c r="AK7339">
        <v>65.113683582778194</v>
      </c>
      <c r="AL7339">
        <v>86.547513586208794</v>
      </c>
      <c r="AM7339">
        <v>90.806280123925305</v>
      </c>
      <c r="AN7339">
        <v>1.00000005192923</v>
      </c>
    </row>
    <row r="7340" spans="1:40" x14ac:dyDescent="0.25">
      <c r="A7340" t="str">
        <f>"20190312160828302"</f>
        <v>20190312160828302</v>
      </c>
      <c r="B7340" t="str">
        <f>"1552378108292637"</f>
        <v>1552378108292637</v>
      </c>
      <c r="C7340" t="s">
        <v>40</v>
      </c>
      <c r="D7340">
        <v>6.5589130000000004</v>
      </c>
      <c r="E7340">
        <v>0.44851089999999999</v>
      </c>
      <c r="F7340" t="s">
        <v>52</v>
      </c>
      <c r="G7340">
        <v>-158.78659999999999</v>
      </c>
      <c r="H7340">
        <v>6.6740890000000004</v>
      </c>
      <c r="I7340">
        <v>-54.599319999999999</v>
      </c>
      <c r="J7340">
        <v>-222.4768</v>
      </c>
      <c r="K7340">
        <v>1.1102069999999999</v>
      </c>
      <c r="L7340">
        <v>-63.685850000000002</v>
      </c>
      <c r="M7340">
        <v>0.99986649999999999</v>
      </c>
      <c r="N7340">
        <v>0</v>
      </c>
      <c r="O7340">
        <v>-8.0163000000000005E-3</v>
      </c>
      <c r="P7340">
        <v>0.99891359999999996</v>
      </c>
      <c r="Q7340">
        <v>4.5880539999999997E-2</v>
      </c>
      <c r="R7340">
        <v>8.1704050000000004E-3</v>
      </c>
      <c r="S7340">
        <v>2.9887389999999998</v>
      </c>
      <c r="T7340">
        <v>0.26043179999999999</v>
      </c>
      <c r="U7340">
        <v>0.42526249999999999</v>
      </c>
      <c r="V7340">
        <v>-1.6199410000000001E-2</v>
      </c>
      <c r="W7340">
        <v>6.0098480000000003E-2</v>
      </c>
      <c r="X7340">
        <v>0.99806099999999998</v>
      </c>
      <c r="Y7340">
        <v>-0.14822160000000001</v>
      </c>
      <c r="Z7340">
        <v>-7.1073999999999998E-3</v>
      </c>
      <c r="AA7340">
        <v>0.98892860000000005</v>
      </c>
      <c r="AB7340">
        <v>30</v>
      </c>
      <c r="AC7340">
        <v>63.690199999999997</v>
      </c>
      <c r="AD7340">
        <v>5.5638819999999898</v>
      </c>
      <c r="AE7340">
        <v>9.0865299999999998</v>
      </c>
      <c r="AF7340">
        <v>-9.5256048387783103</v>
      </c>
      <c r="AG7340">
        <v>5.5638819999999898</v>
      </c>
      <c r="AH7340">
        <v>63.143041031116702</v>
      </c>
      <c r="AI7340">
        <v>85.020414296011097</v>
      </c>
      <c r="AJ7340">
        <v>98.578812689483001</v>
      </c>
      <c r="AK7340">
        <v>64.099434951579397</v>
      </c>
      <c r="AL7340">
        <v>86.5545345569967</v>
      </c>
      <c r="AM7340">
        <v>90.929879367473504</v>
      </c>
      <c r="AN7340">
        <v>1.00000000395182</v>
      </c>
    </row>
    <row r="7341" spans="1:40" x14ac:dyDescent="0.25">
      <c r="A7341" t="str">
        <f>"20190312160828315"</f>
        <v>20190312160828315</v>
      </c>
      <c r="B7341" t="str">
        <f>"1552378108302398"</f>
        <v>1552378108302398</v>
      </c>
      <c r="C7341" t="s">
        <v>40</v>
      </c>
      <c r="D7341">
        <v>6.5449219999999997</v>
      </c>
      <c r="E7341">
        <v>0.44849250000000002</v>
      </c>
      <c r="F7341" t="s">
        <v>52</v>
      </c>
      <c r="G7341">
        <v>-159.84690000000001</v>
      </c>
      <c r="H7341">
        <v>6.6740890000000004</v>
      </c>
      <c r="I7341">
        <v>-54.593559999999997</v>
      </c>
      <c r="J7341">
        <v>-222.31479999999999</v>
      </c>
      <c r="K7341">
        <v>1.110233</v>
      </c>
      <c r="L7341">
        <v>-63.687040000000003</v>
      </c>
      <c r="M7341">
        <v>0.99986759999999997</v>
      </c>
      <c r="N7341">
        <v>0</v>
      </c>
      <c r="O7341">
        <v>-7.8699069999999902E-3</v>
      </c>
      <c r="P7341">
        <v>0.99890639999999997</v>
      </c>
      <c r="Q7341">
        <v>4.591257E-2</v>
      </c>
      <c r="R7341">
        <v>8.848089E-3</v>
      </c>
      <c r="S7341">
        <v>2.987549</v>
      </c>
      <c r="T7341">
        <v>0.26540520000000001</v>
      </c>
      <c r="U7341">
        <v>0.43371579999999899</v>
      </c>
      <c r="V7341">
        <v>-1.673525E-2</v>
      </c>
      <c r="W7341">
        <v>6.0128460000000002E-2</v>
      </c>
      <c r="X7341">
        <v>0.99805029999999995</v>
      </c>
      <c r="Y7341">
        <v>-0.15084069999999999</v>
      </c>
      <c r="Z7341">
        <v>-7.3466059999999899E-3</v>
      </c>
      <c r="AA7341">
        <v>0.98853080000000004</v>
      </c>
      <c r="AB7341">
        <v>30</v>
      </c>
      <c r="AC7341">
        <v>62.467899999999901</v>
      </c>
      <c r="AD7341">
        <v>5.5638559999999897</v>
      </c>
      <c r="AE7341">
        <v>9.0934799999999996</v>
      </c>
      <c r="AF7341">
        <v>-9.5109797573063393</v>
      </c>
      <c r="AG7341">
        <v>5.5638559999999897</v>
      </c>
      <c r="AH7341">
        <v>61.9134252928366</v>
      </c>
      <c r="AI7341">
        <v>84.924128038758099</v>
      </c>
      <c r="AJ7341">
        <v>98.733358542347702</v>
      </c>
      <c r="AK7341">
        <v>62.886305830635997</v>
      </c>
      <c r="AL7341">
        <v>86.552813534078396</v>
      </c>
      <c r="AM7341">
        <v>90.960642308033002</v>
      </c>
      <c r="AN7341">
        <v>0.99999995081230997</v>
      </c>
    </row>
    <row r="7342" spans="1:40" x14ac:dyDescent="0.25">
      <c r="A7342" t="str">
        <f>"20190312160828325"</f>
        <v>20190312160828325</v>
      </c>
      <c r="B7342" t="str">
        <f>"1552378108322893"</f>
        <v>1552378108322893</v>
      </c>
      <c r="C7342" t="s">
        <v>40</v>
      </c>
      <c r="D7342">
        <v>7.0476489999999998</v>
      </c>
      <c r="E7342">
        <v>0.448384</v>
      </c>
      <c r="F7342" t="s">
        <v>52</v>
      </c>
      <c r="G7342">
        <v>-160.2534</v>
      </c>
      <c r="H7342">
        <v>6.6740880000000002</v>
      </c>
      <c r="I7342">
        <v>-54.62968</v>
      </c>
      <c r="J7342">
        <v>-222.16390000000001</v>
      </c>
      <c r="K7342">
        <v>1.110258</v>
      </c>
      <c r="L7342">
        <v>-63.688049999999997</v>
      </c>
      <c r="M7342">
        <v>0.99986900000000001</v>
      </c>
      <c r="N7342">
        <v>0</v>
      </c>
      <c r="O7342">
        <v>-7.6916240000000002E-3</v>
      </c>
      <c r="P7342">
        <v>0.99893609999999999</v>
      </c>
      <c r="Q7342">
        <v>4.5163149999999999E-2</v>
      </c>
      <c r="R7342">
        <v>9.3598290000000001E-3</v>
      </c>
      <c r="S7342">
        <v>2.9871059999999998</v>
      </c>
      <c r="T7342">
        <v>0.26779530000000001</v>
      </c>
      <c r="U7342">
        <v>0.43594359999999999</v>
      </c>
      <c r="V7342">
        <v>-1.7073439999999999E-2</v>
      </c>
      <c r="W7342">
        <v>5.9376890000000002E-2</v>
      </c>
      <c r="X7342">
        <v>0.99808960000000002</v>
      </c>
      <c r="Y7342">
        <v>-0.15139449999999999</v>
      </c>
      <c r="Z7342">
        <v>-7.42197E-3</v>
      </c>
      <c r="AA7342">
        <v>0.98844560000000004</v>
      </c>
      <c r="AB7342">
        <v>30</v>
      </c>
      <c r="AC7342">
        <v>61.910499999999999</v>
      </c>
      <c r="AD7342">
        <v>5.5638300000000003</v>
      </c>
      <c r="AE7342">
        <v>9.0583699999999894</v>
      </c>
      <c r="AF7342">
        <v>-9.4595445481148897</v>
      </c>
      <c r="AG7342">
        <v>5.5638300000000003</v>
      </c>
      <c r="AH7342">
        <v>61.353853551110099</v>
      </c>
      <c r="AI7342">
        <v>84.878533973239399</v>
      </c>
      <c r="AJ7342">
        <v>98.764853791729294</v>
      </c>
      <c r="AK7342">
        <v>62.327638595551903</v>
      </c>
      <c r="AL7342">
        <v>86.595952517716398</v>
      </c>
      <c r="AM7342">
        <v>90.980012870181298</v>
      </c>
      <c r="AN7342">
        <v>0.99999998352383201</v>
      </c>
    </row>
    <row r="7343" spans="1:40" x14ac:dyDescent="0.25">
      <c r="A7343" t="str">
        <f>"20190312160828337"</f>
        <v>20190312160828337</v>
      </c>
      <c r="B7343" t="str">
        <f>"1552378108332653"</f>
        <v>1552378108332653</v>
      </c>
      <c r="C7343" t="s">
        <v>40</v>
      </c>
      <c r="D7343">
        <v>6.7730149999999902</v>
      </c>
      <c r="E7343">
        <v>0.448384</v>
      </c>
      <c r="F7343" t="s">
        <v>52</v>
      </c>
      <c r="G7343">
        <v>-160.53440000000001</v>
      </c>
      <c r="H7343">
        <v>6.6740890000000004</v>
      </c>
      <c r="I7343">
        <v>-54.642069999999997</v>
      </c>
      <c r="J7343">
        <v>-222.01589999999999</v>
      </c>
      <c r="K7343">
        <v>1.1102780000000001</v>
      </c>
      <c r="L7343">
        <v>-63.689030000000002</v>
      </c>
      <c r="M7343">
        <v>0.99987040000000005</v>
      </c>
      <c r="N7343">
        <v>0</v>
      </c>
      <c r="O7343">
        <v>-7.5063059999999999E-3</v>
      </c>
      <c r="P7343">
        <v>0.99897579999999997</v>
      </c>
      <c r="Q7343">
        <v>4.4192299999999997E-2</v>
      </c>
      <c r="R7343">
        <v>9.7323800000000005E-3</v>
      </c>
      <c r="S7343">
        <v>2.9868929999999998</v>
      </c>
      <c r="T7343">
        <v>0.26965119999999998</v>
      </c>
      <c r="U7343">
        <v>0.43841550000000001</v>
      </c>
      <c r="V7343">
        <v>-1.7265280000000001E-2</v>
      </c>
      <c r="W7343">
        <v>5.8404400000000002E-2</v>
      </c>
      <c r="X7343">
        <v>0.99814369999999997</v>
      </c>
      <c r="Y7343">
        <v>-0.15201189999999901</v>
      </c>
      <c r="Z7343">
        <v>-7.4843349999999999E-3</v>
      </c>
      <c r="AA7343">
        <v>0.98835030000000001</v>
      </c>
      <c r="AB7343">
        <v>30</v>
      </c>
      <c r="AC7343">
        <v>61.481499999999897</v>
      </c>
      <c r="AD7343">
        <v>5.5638110000000003</v>
      </c>
      <c r="AE7343">
        <v>9.0469600000000003</v>
      </c>
      <c r="AF7343">
        <v>-9.4326397111131008</v>
      </c>
      <c r="AG7343">
        <v>5.5638110000000003</v>
      </c>
      <c r="AH7343">
        <v>60.923494591767898</v>
      </c>
      <c r="AI7343">
        <v>84.843069453656298</v>
      </c>
      <c r="AJ7343">
        <v>98.801087845325895</v>
      </c>
      <c r="AK7343">
        <v>61.8999424719972</v>
      </c>
      <c r="AL7343">
        <v>86.651769037741801</v>
      </c>
      <c r="AM7343">
        <v>90.990968569910194</v>
      </c>
      <c r="AN7343">
        <v>1.0000000048412601</v>
      </c>
    </row>
    <row r="7344" spans="1:40" x14ac:dyDescent="0.25">
      <c r="A7344" t="str">
        <f>"20190312160828346"</f>
        <v>20190312160828346</v>
      </c>
      <c r="B7344" t="str">
        <f>"1552378108342413"</f>
        <v>1552378108342413</v>
      </c>
      <c r="C7344" t="s">
        <v>40</v>
      </c>
      <c r="D7344">
        <v>6.6001890000000003</v>
      </c>
      <c r="E7344">
        <v>0.4439342</v>
      </c>
      <c r="F7344" t="s">
        <v>52</v>
      </c>
      <c r="G7344">
        <v>-159.68629999999999</v>
      </c>
      <c r="H7344">
        <v>6.6740890000000004</v>
      </c>
      <c r="I7344">
        <v>-54.517650000000003</v>
      </c>
      <c r="J7344">
        <v>-221.8886</v>
      </c>
      <c r="K7344">
        <v>1.1103080000000001</v>
      </c>
      <c r="L7344">
        <v>-63.689819999999997</v>
      </c>
      <c r="M7344">
        <v>0.99987199999999998</v>
      </c>
      <c r="N7344">
        <v>0</v>
      </c>
      <c r="O7344">
        <v>-7.3186400000000004E-3</v>
      </c>
      <c r="P7344">
        <v>0.99901969999999995</v>
      </c>
      <c r="Q7344">
        <v>4.3084480000000001E-2</v>
      </c>
      <c r="R7344">
        <v>1.0177139999999999E-2</v>
      </c>
      <c r="S7344">
        <v>2.9869840000000001</v>
      </c>
      <c r="T7344">
        <v>0.26662979999999997</v>
      </c>
      <c r="U7344">
        <v>0.43951420000000002</v>
      </c>
      <c r="V7344">
        <v>-1.7526280000000002E-2</v>
      </c>
      <c r="W7344">
        <v>5.7295230000000003E-2</v>
      </c>
      <c r="X7344">
        <v>0.99820350000000002</v>
      </c>
      <c r="Y7344">
        <v>-0.1521921</v>
      </c>
      <c r="Z7344">
        <v>-7.3917359999999899E-3</v>
      </c>
      <c r="AA7344">
        <v>0.98832330000000002</v>
      </c>
      <c r="AB7344">
        <v>30</v>
      </c>
      <c r="AC7344">
        <v>62.202300000000001</v>
      </c>
      <c r="AD7344">
        <v>5.5637809999999996</v>
      </c>
      <c r="AE7344">
        <v>9.1721699999999906</v>
      </c>
      <c r="AF7344">
        <v>-9.5524072345126001</v>
      </c>
      <c r="AG7344">
        <v>5.5637809999999996</v>
      </c>
      <c r="AH7344">
        <v>61.650747723864498</v>
      </c>
      <c r="AI7344">
        <v>84.903696592061394</v>
      </c>
      <c r="AJ7344">
        <v>98.807594027146493</v>
      </c>
      <c r="AK7344">
        <v>62.634007040117702</v>
      </c>
      <c r="AL7344">
        <v>86.715426624040603</v>
      </c>
      <c r="AM7344">
        <v>91.005885778677595</v>
      </c>
      <c r="AN7344">
        <v>1.00000007064181</v>
      </c>
    </row>
    <row r="7345" spans="1:40" x14ac:dyDescent="0.25">
      <c r="A7345" t="str">
        <f>"20190312160828357"</f>
        <v>20190312160828357</v>
      </c>
      <c r="B7345" t="str">
        <f>"1552378108353148"</f>
        <v>1552378108353148</v>
      </c>
      <c r="C7345" t="s">
        <v>40</v>
      </c>
      <c r="D7345">
        <v>6.7077589999999896</v>
      </c>
      <c r="E7345">
        <v>0.44357600000000003</v>
      </c>
      <c r="F7345" t="s">
        <v>52</v>
      </c>
      <c r="G7345">
        <v>-169.244</v>
      </c>
      <c r="H7345">
        <v>8.2507970000000004</v>
      </c>
      <c r="I7345">
        <v>-55.300190000000001</v>
      </c>
      <c r="J7345">
        <v>-221.74350000000001</v>
      </c>
      <c r="K7345">
        <v>1.1103400000000001</v>
      </c>
      <c r="L7345">
        <v>-63.690640000000002</v>
      </c>
      <c r="M7345">
        <v>0.99987349999999997</v>
      </c>
      <c r="N7345">
        <v>0</v>
      </c>
      <c r="O7345">
        <v>-7.0903519999999899E-3</v>
      </c>
      <c r="P7345">
        <v>0.99903819999999999</v>
      </c>
      <c r="Q7345">
        <v>4.2570110000000001E-2</v>
      </c>
      <c r="R7345">
        <v>1.053486E-2</v>
      </c>
      <c r="S7345">
        <v>2.9806520000000001</v>
      </c>
      <c r="T7345">
        <v>0.4042808</v>
      </c>
      <c r="U7345">
        <v>0.47500609999999999</v>
      </c>
      <c r="V7345">
        <v>-1.7661030000000001E-2</v>
      </c>
      <c r="W7345">
        <v>5.6778229999999999E-2</v>
      </c>
      <c r="X7345">
        <v>0.99823059999999997</v>
      </c>
      <c r="Y7345">
        <v>-0.1628578</v>
      </c>
      <c r="Z7345">
        <v>-1.187789E-2</v>
      </c>
      <c r="AA7345">
        <v>0.98657799999999995</v>
      </c>
      <c r="AB7345">
        <v>30</v>
      </c>
      <c r="AC7345">
        <v>52.499499999999898</v>
      </c>
      <c r="AD7345">
        <v>7.1404569999999996</v>
      </c>
      <c r="AE7345">
        <v>8.3904499999999995</v>
      </c>
      <c r="AF7345">
        <v>-8.6072590787484007</v>
      </c>
      <c r="AG7345">
        <v>7.1404569999999996</v>
      </c>
      <c r="AH7345">
        <v>51.509554055002504</v>
      </c>
      <c r="AI7345">
        <v>82.2143294571718</v>
      </c>
      <c r="AJ7345">
        <v>99.486491279180001</v>
      </c>
      <c r="AK7345">
        <v>52.709630941249898</v>
      </c>
      <c r="AL7345">
        <v>86.745096627374906</v>
      </c>
      <c r="AM7345">
        <v>91.013590366002305</v>
      </c>
      <c r="AN7345">
        <v>1.00000000507947</v>
      </c>
    </row>
    <row r="7346" spans="1:40" x14ac:dyDescent="0.25">
      <c r="A7346" t="str">
        <f>"20190312160828367"</f>
        <v>20190312160828367</v>
      </c>
      <c r="B7346" t="str">
        <f>"1552378108362908"</f>
        <v>1552378108362908</v>
      </c>
      <c r="C7346" t="s">
        <v>40</v>
      </c>
      <c r="D7346">
        <v>6.5437859999999999</v>
      </c>
      <c r="E7346">
        <v>0.44357600000000003</v>
      </c>
      <c r="F7346" t="s">
        <v>52</v>
      </c>
      <c r="G7346">
        <v>-169.244</v>
      </c>
      <c r="H7346">
        <v>8.4233910000000005</v>
      </c>
      <c r="I7346">
        <v>-55.252299999999998</v>
      </c>
      <c r="J7346">
        <v>-221.59350000000001</v>
      </c>
      <c r="K7346">
        <v>1.1103780000000001</v>
      </c>
      <c r="L7346">
        <v>-63.69144</v>
      </c>
      <c r="M7346">
        <v>0.99987550000000003</v>
      </c>
      <c r="N7346">
        <v>0</v>
      </c>
      <c r="O7346">
        <v>-6.8171660000000004E-3</v>
      </c>
      <c r="P7346">
        <v>0.9990327</v>
      </c>
      <c r="Q7346">
        <v>4.2659009999999997E-2</v>
      </c>
      <c r="R7346">
        <v>1.067303E-2</v>
      </c>
      <c r="S7346">
        <v>2.9801479999999998</v>
      </c>
      <c r="T7346">
        <v>0.41512539999999998</v>
      </c>
      <c r="U7346">
        <v>0.47900389999999998</v>
      </c>
      <c r="V7346">
        <v>-1.7531939999999999E-2</v>
      </c>
      <c r="W7346">
        <v>5.6865350000000002E-2</v>
      </c>
      <c r="X7346">
        <v>0.99822789999999995</v>
      </c>
      <c r="Y7346">
        <v>-0.16381579999999901</v>
      </c>
      <c r="Z7346">
        <v>-1.222264E-2</v>
      </c>
      <c r="AA7346">
        <v>0.98641520000000005</v>
      </c>
      <c r="AB7346">
        <v>30</v>
      </c>
      <c r="AC7346">
        <v>52.3494999999999</v>
      </c>
      <c r="AD7346">
        <v>7.3130129999999998</v>
      </c>
      <c r="AE7346">
        <v>8.4391400000000001</v>
      </c>
      <c r="AF7346">
        <v>-8.6316751522276807</v>
      </c>
      <c r="AG7346">
        <v>7.3130129999999998</v>
      </c>
      <c r="AH7346">
        <v>51.314707326148202</v>
      </c>
      <c r="AI7346">
        <v>82.000124672602695</v>
      </c>
      <c r="AJ7346">
        <v>99.548367853961395</v>
      </c>
      <c r="AK7346">
        <v>52.546980532091503</v>
      </c>
      <c r="AL7346">
        <v>86.740096887645294</v>
      </c>
      <c r="AM7346">
        <v>91.006185966212499</v>
      </c>
      <c r="AN7346">
        <v>0.99999998864459705</v>
      </c>
    </row>
    <row r="7347" spans="1:40" x14ac:dyDescent="0.25">
      <c r="A7347" t="str">
        <f>"20190312160828380"</f>
        <v>20190312160828380</v>
      </c>
      <c r="B7347" t="str">
        <f>"1552378108372669"</f>
        <v>1552378108372669</v>
      </c>
      <c r="C7347" t="s">
        <v>40</v>
      </c>
      <c r="D7347">
        <v>6.1453810000000004</v>
      </c>
      <c r="E7347">
        <v>0.44783970000000001</v>
      </c>
      <c r="F7347" t="s">
        <v>52</v>
      </c>
      <c r="G7347">
        <v>-169.244</v>
      </c>
      <c r="H7347">
        <v>8.4013899999999992</v>
      </c>
      <c r="I7347">
        <v>-55.265680000000003</v>
      </c>
      <c r="J7347">
        <v>-221.435</v>
      </c>
      <c r="K7347">
        <v>1.110436</v>
      </c>
      <c r="L7347">
        <v>-63.6922</v>
      </c>
      <c r="M7347">
        <v>0.99987749999999997</v>
      </c>
      <c r="N7347">
        <v>0</v>
      </c>
      <c r="O7347">
        <v>-6.494779E-3</v>
      </c>
      <c r="P7347">
        <v>0.99900630000000001</v>
      </c>
      <c r="Q7347">
        <v>4.3075309999999999E-2</v>
      </c>
      <c r="R7347">
        <v>1.1457149999999999E-2</v>
      </c>
      <c r="S7347">
        <v>2.980057</v>
      </c>
      <c r="T7347">
        <v>0.41504730000000001</v>
      </c>
      <c r="U7347">
        <v>0.47964479999999998</v>
      </c>
      <c r="V7347">
        <v>-1.8001320000000001E-2</v>
      </c>
      <c r="W7347">
        <v>5.7277139999999997E-2</v>
      </c>
      <c r="X7347">
        <v>0.99819599999999997</v>
      </c>
      <c r="Y7347">
        <v>-0.163714</v>
      </c>
      <c r="Z7347">
        <v>-1.216909E-2</v>
      </c>
      <c r="AA7347">
        <v>0.9864328</v>
      </c>
      <c r="AB7347">
        <v>30</v>
      </c>
      <c r="AC7347">
        <v>52.190999999999903</v>
      </c>
      <c r="AD7347">
        <v>7.2909539999999904</v>
      </c>
      <c r="AE7347">
        <v>8.4265199999999894</v>
      </c>
      <c r="AF7347">
        <v>-8.6017438902515408</v>
      </c>
      <c r="AG7347">
        <v>7.2909539999999904</v>
      </c>
      <c r="AH7347">
        <v>51.162082674119297</v>
      </c>
      <c r="AI7347">
        <v>82.000350756274798</v>
      </c>
      <c r="AJ7347">
        <v>99.543730318441206</v>
      </c>
      <c r="AK7347">
        <v>52.3899485754377</v>
      </c>
      <c r="AL7347">
        <v>86.716464532457294</v>
      </c>
      <c r="AM7347">
        <v>91.0331516785552</v>
      </c>
      <c r="AN7347">
        <v>0.99999998635216003</v>
      </c>
    </row>
    <row r="7348" spans="1:40" x14ac:dyDescent="0.25">
      <c r="A7348" t="str">
        <f>"20190312160828390"</f>
        <v>20190312160828390</v>
      </c>
      <c r="B7348" t="str">
        <f>"1552378108382429"</f>
        <v>1552378108382429</v>
      </c>
      <c r="C7348" t="s">
        <v>40</v>
      </c>
      <c r="D7348">
        <v>6.5401160000000003</v>
      </c>
      <c r="E7348">
        <v>0.44785520000000001</v>
      </c>
      <c r="F7348" t="s">
        <v>52</v>
      </c>
      <c r="G7348">
        <v>-169.244</v>
      </c>
      <c r="H7348">
        <v>6.8894169999999999</v>
      </c>
      <c r="I7348">
        <v>-55.841090000000001</v>
      </c>
      <c r="J7348">
        <v>-221.2972</v>
      </c>
      <c r="K7348">
        <v>1.1104860000000001</v>
      </c>
      <c r="L7348">
        <v>-63.692810000000001</v>
      </c>
      <c r="M7348">
        <v>0.99987950000000003</v>
      </c>
      <c r="N7348">
        <v>0</v>
      </c>
      <c r="O7348">
        <v>-6.1889049999999998E-3</v>
      </c>
      <c r="P7348">
        <v>0.99894870000000002</v>
      </c>
      <c r="Q7348">
        <v>4.4002289999999999E-2</v>
      </c>
      <c r="R7348">
        <v>1.286179E-2</v>
      </c>
      <c r="S7348">
        <v>2.9835970000000001</v>
      </c>
      <c r="T7348">
        <v>0.33036459999999901</v>
      </c>
      <c r="U7348">
        <v>0.448822</v>
      </c>
      <c r="V7348">
        <v>-1.9106459999999999E-2</v>
      </c>
      <c r="W7348">
        <v>5.8199720000000003E-2</v>
      </c>
      <c r="X7348">
        <v>0.99812210000000001</v>
      </c>
      <c r="Y7348">
        <v>-0.1539169</v>
      </c>
      <c r="Z7348">
        <v>-9.1278620000000005E-3</v>
      </c>
      <c r="AA7348">
        <v>0.98804159999999996</v>
      </c>
      <c r="AB7348">
        <v>30</v>
      </c>
      <c r="AC7348">
        <v>52.053199999999897</v>
      </c>
      <c r="AD7348">
        <v>5.778931</v>
      </c>
      <c r="AE7348">
        <v>7.8517199999999896</v>
      </c>
      <c r="AF7348">
        <v>-8.0764241402368402</v>
      </c>
      <c r="AG7348">
        <v>5.778931</v>
      </c>
      <c r="AH7348">
        <v>51.384362366016198</v>
      </c>
      <c r="AI7348">
        <v>83.660391445425802</v>
      </c>
      <c r="AJ7348">
        <v>98.932482014153393</v>
      </c>
      <c r="AK7348">
        <v>52.335240193944202</v>
      </c>
      <c r="AL7348">
        <v>86.663516288469694</v>
      </c>
      <c r="AM7348">
        <v>91.096645225559399</v>
      </c>
      <c r="AN7348">
        <v>0.99999999536510897</v>
      </c>
    </row>
    <row r="7349" spans="1:40" x14ac:dyDescent="0.25">
      <c r="A7349" t="str">
        <f>"20190312160828400"</f>
        <v>20190312160828400</v>
      </c>
      <c r="B7349" t="str">
        <f>"1552378108393166"</f>
        <v>1552378108393166</v>
      </c>
      <c r="C7349" t="s">
        <v>40</v>
      </c>
      <c r="D7349">
        <v>6.4918519999999997</v>
      </c>
      <c r="E7349">
        <v>0.44808740000000002</v>
      </c>
      <c r="F7349" t="s">
        <v>52</v>
      </c>
      <c r="G7349">
        <v>-169.244</v>
      </c>
      <c r="H7349">
        <v>6.9526250000000003</v>
      </c>
      <c r="I7349">
        <v>-55.786250000000003</v>
      </c>
      <c r="J7349">
        <v>-221.1559</v>
      </c>
      <c r="K7349">
        <v>1.1105419999999999</v>
      </c>
      <c r="L7349">
        <v>-63.693359999999998</v>
      </c>
      <c r="M7349">
        <v>0.99988180000000004</v>
      </c>
      <c r="N7349">
        <v>0</v>
      </c>
      <c r="O7349">
        <v>-5.8309700000000004E-3</v>
      </c>
      <c r="P7349">
        <v>0.99887219999999999</v>
      </c>
      <c r="Q7349">
        <v>4.5353610000000003E-2</v>
      </c>
      <c r="R7349">
        <v>1.407076E-2</v>
      </c>
      <c r="S7349">
        <v>2.9825740000000001</v>
      </c>
      <c r="T7349">
        <v>0.33474470000000001</v>
      </c>
      <c r="U7349">
        <v>0.45303339999999998</v>
      </c>
      <c r="V7349">
        <v>-1.9966319999999999E-2</v>
      </c>
      <c r="W7349">
        <v>5.9545389999999997E-2</v>
      </c>
      <c r="X7349">
        <v>0.99802590000000002</v>
      </c>
      <c r="Y7349">
        <v>-0.1549468</v>
      </c>
      <c r="Z7349">
        <v>-9.2677599999999999E-3</v>
      </c>
      <c r="AA7349">
        <v>0.98787930000000002</v>
      </c>
      <c r="AB7349">
        <v>30</v>
      </c>
      <c r="AC7349">
        <v>51.911899999999903</v>
      </c>
      <c r="AD7349">
        <v>5.8420829999999997</v>
      </c>
      <c r="AE7349">
        <v>7.9071099999999896</v>
      </c>
      <c r="AF7349">
        <v>-8.10932790368871</v>
      </c>
      <c r="AG7349">
        <v>5.8420829999999997</v>
      </c>
      <c r="AH7349">
        <v>51.2307860479876</v>
      </c>
      <c r="AI7349">
        <v>83.573727824093396</v>
      </c>
      <c r="AJ7349">
        <v>98.9947287058326</v>
      </c>
      <c r="AK7349">
        <v>52.196595405477503</v>
      </c>
      <c r="AL7349">
        <v>86.586281130194294</v>
      </c>
      <c r="AM7349">
        <v>91.146095792615696</v>
      </c>
      <c r="AN7349">
        <v>1.0000000022377</v>
      </c>
    </row>
    <row r="7350" spans="1:40" x14ac:dyDescent="0.25">
      <c r="A7350" t="str">
        <f>"20190312160828412"</f>
        <v>20190312160828412</v>
      </c>
      <c r="B7350" t="str">
        <f>"1552378108402925"</f>
        <v>1552378108402925</v>
      </c>
      <c r="C7350" t="s">
        <v>40</v>
      </c>
      <c r="D7350">
        <v>6.5667339999999896</v>
      </c>
      <c r="E7350">
        <v>0.44792870000000001</v>
      </c>
      <c r="F7350" t="s">
        <v>52</v>
      </c>
      <c r="G7350">
        <v>-169.244</v>
      </c>
      <c r="H7350">
        <v>6.6916169999999999</v>
      </c>
      <c r="I7350">
        <v>-55.771749999999997</v>
      </c>
      <c r="J7350">
        <v>-221.00640000000001</v>
      </c>
      <c r="K7350">
        <v>1.1106009999999999</v>
      </c>
      <c r="L7350">
        <v>-63.693849999999998</v>
      </c>
      <c r="M7350">
        <v>0.99988410000000005</v>
      </c>
      <c r="N7350">
        <v>0</v>
      </c>
      <c r="O7350">
        <v>-5.4307629999999999E-3</v>
      </c>
      <c r="P7350">
        <v>0.99882749999999998</v>
      </c>
      <c r="Q7350">
        <v>4.5934620000000002E-2</v>
      </c>
      <c r="R7350">
        <v>1.529352E-2</v>
      </c>
      <c r="S7350">
        <v>2.9824220000000001</v>
      </c>
      <c r="T7350">
        <v>0.32064019999999999</v>
      </c>
      <c r="U7350">
        <v>0.45510859999999898</v>
      </c>
      <c r="V7350">
        <v>-2.0797940000000001E-2</v>
      </c>
      <c r="W7350">
        <v>6.0121319999999999E-2</v>
      </c>
      <c r="X7350">
        <v>0.99797440000000004</v>
      </c>
      <c r="Y7350">
        <v>-0.15531229999999999</v>
      </c>
      <c r="Z7350">
        <v>-8.8563019999999999E-3</v>
      </c>
      <c r="AA7350">
        <v>0.98782579999999998</v>
      </c>
      <c r="AB7350">
        <v>30</v>
      </c>
      <c r="AC7350">
        <v>51.7623999999999</v>
      </c>
      <c r="AD7350">
        <v>5.581016</v>
      </c>
      <c r="AE7350">
        <v>7.9221000000000004</v>
      </c>
      <c r="AF7350">
        <v>-8.1109877308585201</v>
      </c>
      <c r="AG7350">
        <v>5.581016</v>
      </c>
      <c r="AH7350">
        <v>51.137732619376898</v>
      </c>
      <c r="AI7350">
        <v>83.847868387309802</v>
      </c>
      <c r="AJ7350">
        <v>99.012641844454606</v>
      </c>
      <c r="AK7350">
        <v>52.076900435925303</v>
      </c>
      <c r="AL7350">
        <v>86.553223589749095</v>
      </c>
      <c r="AM7350">
        <v>91.193880039234998</v>
      </c>
      <c r="AN7350">
        <v>1.00000001524107</v>
      </c>
    </row>
    <row r="7351" spans="1:40" x14ac:dyDescent="0.25">
      <c r="A7351" t="str">
        <f>"20190312160828424"</f>
        <v>20190312160828424</v>
      </c>
      <c r="B7351" t="str">
        <f>"1552378108412685"</f>
        <v>1552378108412685</v>
      </c>
      <c r="C7351" t="s">
        <v>40</v>
      </c>
      <c r="D7351">
        <v>6.5981139999999998</v>
      </c>
      <c r="E7351">
        <v>0.44852429999999899</v>
      </c>
      <c r="F7351" t="s">
        <v>52</v>
      </c>
      <c r="G7351">
        <v>-169.244</v>
      </c>
      <c r="H7351">
        <v>6.8739259999999902</v>
      </c>
      <c r="I7351">
        <v>-55.705440000000003</v>
      </c>
      <c r="J7351">
        <v>-220.86009999999999</v>
      </c>
      <c r="K7351">
        <v>1.110665</v>
      </c>
      <c r="L7351">
        <v>-63.69415</v>
      </c>
      <c r="M7351">
        <v>0.99988639999999995</v>
      </c>
      <c r="N7351">
        <v>0</v>
      </c>
      <c r="O7351">
        <v>-4.9714590000000001E-3</v>
      </c>
      <c r="P7351">
        <v>0.99877400000000005</v>
      </c>
      <c r="Q7351">
        <v>4.6618050000000001E-2</v>
      </c>
      <c r="R7351">
        <v>1.665531E-2</v>
      </c>
      <c r="S7351">
        <v>2.981201</v>
      </c>
      <c r="T7351">
        <v>0.33193080000000003</v>
      </c>
      <c r="U7351">
        <v>0.46008300000000002</v>
      </c>
      <c r="V7351">
        <v>-2.1710710000000001E-2</v>
      </c>
      <c r="W7351">
        <v>6.0799100000000002E-2</v>
      </c>
      <c r="X7351">
        <v>0.99791390000000002</v>
      </c>
      <c r="Y7351">
        <v>-0.15645970000000001</v>
      </c>
      <c r="Z7351">
        <v>-9.1814630000000008E-3</v>
      </c>
      <c r="AA7351">
        <v>0.98764169999999996</v>
      </c>
      <c r="AB7351">
        <v>30</v>
      </c>
      <c r="AC7351">
        <v>51.616099999999904</v>
      </c>
      <c r="AD7351">
        <v>5.7632609999999902</v>
      </c>
      <c r="AE7351">
        <v>7.9887099999999904</v>
      </c>
      <c r="AF7351">
        <v>-8.1460624466943301</v>
      </c>
      <c r="AG7351">
        <v>5.7632609999999902</v>
      </c>
      <c r="AH7351">
        <v>50.955337398537303</v>
      </c>
      <c r="AI7351">
        <v>83.627274897830404</v>
      </c>
      <c r="AJ7351">
        <v>99.082830766337096</v>
      </c>
      <c r="AK7351">
        <v>51.923211766399199</v>
      </c>
      <c r="AL7351">
        <v>86.514318495368698</v>
      </c>
      <c r="AM7351">
        <v>91.246335827627803</v>
      </c>
      <c r="AN7351">
        <v>1.00000001865136</v>
      </c>
    </row>
    <row r="7352" spans="1:40" x14ac:dyDescent="0.25">
      <c r="A7352" t="str">
        <f>"20190312160828435"</f>
        <v>20190312160828435</v>
      </c>
      <c r="B7352" t="str">
        <f>"1552378108433181"</f>
        <v>1552378108433181</v>
      </c>
      <c r="C7352" t="s">
        <v>40</v>
      </c>
      <c r="D7352">
        <v>6.7016530000000003</v>
      </c>
      <c r="E7352">
        <v>0.45144030000000002</v>
      </c>
      <c r="F7352" t="s">
        <v>52</v>
      </c>
      <c r="G7352">
        <v>-169.244</v>
      </c>
      <c r="H7352">
        <v>6.9992289999999997</v>
      </c>
      <c r="I7352">
        <v>-55.73404</v>
      </c>
      <c r="J7352">
        <v>-220.7131</v>
      </c>
      <c r="K7352">
        <v>1.1107419999999999</v>
      </c>
      <c r="L7352">
        <v>-63.694459999999999</v>
      </c>
      <c r="M7352">
        <v>0.99988869999999996</v>
      </c>
      <c r="N7352">
        <v>0</v>
      </c>
      <c r="O7352">
        <v>-4.4941349999999998E-3</v>
      </c>
      <c r="P7352">
        <v>0.9987606</v>
      </c>
      <c r="Q7352">
        <v>4.5901030000000002E-2</v>
      </c>
      <c r="R7352">
        <v>1.9241379999999999E-2</v>
      </c>
      <c r="S7352">
        <v>2.9801790000000001</v>
      </c>
      <c r="T7352">
        <v>0.33998820000000002</v>
      </c>
      <c r="U7352">
        <v>0.45959470000000002</v>
      </c>
      <c r="V7352">
        <v>-2.382778E-2</v>
      </c>
      <c r="W7352">
        <v>6.0074679999999998E-2</v>
      </c>
      <c r="X7352">
        <v>0.99790939999999995</v>
      </c>
      <c r="Y7352">
        <v>-0.1558398</v>
      </c>
      <c r="Z7352">
        <v>-9.3172129999999995E-3</v>
      </c>
      <c r="AA7352">
        <v>0.98773840000000002</v>
      </c>
      <c r="AB7352">
        <v>30</v>
      </c>
      <c r="AC7352">
        <v>51.469099999999898</v>
      </c>
      <c r="AD7352">
        <v>5.8884869999999996</v>
      </c>
      <c r="AE7352">
        <v>7.9604199999999903</v>
      </c>
      <c r="AF7352">
        <v>-8.0882760689068505</v>
      </c>
      <c r="AG7352">
        <v>5.8884869999999996</v>
      </c>
      <c r="AH7352">
        <v>50.783611871325199</v>
      </c>
      <c r="AI7352">
        <v>83.467556783017798</v>
      </c>
      <c r="AJ7352">
        <v>99.049457597594099</v>
      </c>
      <c r="AK7352">
        <v>51.759730714266901</v>
      </c>
      <c r="AL7352">
        <v>86.5559004803562</v>
      </c>
      <c r="AM7352">
        <v>91.367831446619704</v>
      </c>
      <c r="AN7352">
        <v>0.99999995044259404</v>
      </c>
    </row>
    <row r="7353" spans="1:40" x14ac:dyDescent="0.25">
      <c r="A7353" t="str">
        <f>"20190312160828445"</f>
        <v>20190312160828445</v>
      </c>
      <c r="B7353" t="str">
        <f>"1552378108442941"</f>
        <v>1552378108442941</v>
      </c>
      <c r="C7353" t="s">
        <v>40</v>
      </c>
      <c r="D7353">
        <v>6.6968050000000003</v>
      </c>
      <c r="E7353">
        <v>0.45144030000000002</v>
      </c>
      <c r="F7353" t="s">
        <v>52</v>
      </c>
      <c r="G7353">
        <v>-169.244</v>
      </c>
      <c r="H7353">
        <v>7.1449479999999896</v>
      </c>
      <c r="I7353">
        <v>-56.017310000000002</v>
      </c>
      <c r="J7353">
        <v>-220.5573</v>
      </c>
      <c r="K7353">
        <v>1.110811</v>
      </c>
      <c r="L7353">
        <v>-63.694580000000002</v>
      </c>
      <c r="M7353">
        <v>0.99989099999999997</v>
      </c>
      <c r="N7353">
        <v>0</v>
      </c>
      <c r="O7353">
        <v>-3.9036409999999998E-3</v>
      </c>
      <c r="P7353">
        <v>0.99877669999999996</v>
      </c>
      <c r="Q7353">
        <v>4.4826600000000001E-2</v>
      </c>
      <c r="R7353">
        <v>2.0878810000000001E-2</v>
      </c>
      <c r="S7353">
        <v>2.9791259999999999</v>
      </c>
      <c r="T7353">
        <v>0.3492692</v>
      </c>
      <c r="U7353">
        <v>0.4443665</v>
      </c>
      <c r="V7353">
        <v>-2.4884779999999999E-2</v>
      </c>
      <c r="W7353">
        <v>5.899418E-2</v>
      </c>
      <c r="X7353">
        <v>0.9979481</v>
      </c>
      <c r="Y7353">
        <v>-0.1503543</v>
      </c>
      <c r="Z7353">
        <v>-9.1894590000000005E-3</v>
      </c>
      <c r="AA7353">
        <v>0.98858950000000001</v>
      </c>
      <c r="AB7353">
        <v>30</v>
      </c>
      <c r="AC7353">
        <v>51.313299999999899</v>
      </c>
      <c r="AD7353">
        <v>6.0341369999999896</v>
      </c>
      <c r="AE7353">
        <v>7.67727</v>
      </c>
      <c r="AF7353">
        <v>-7.7724140601183196</v>
      </c>
      <c r="AG7353">
        <v>6.0341369999999896</v>
      </c>
      <c r="AH7353">
        <v>50.5985614824408</v>
      </c>
      <c r="AI7353">
        <v>83.277419286336297</v>
      </c>
      <c r="AJ7353">
        <v>98.732909761747607</v>
      </c>
      <c r="AK7353">
        <v>51.546441717630103</v>
      </c>
      <c r="AL7353">
        <v>86.617918707593802</v>
      </c>
      <c r="AM7353">
        <v>91.428428450649804</v>
      </c>
      <c r="AN7353">
        <v>0.99999998792156497</v>
      </c>
    </row>
    <row r="7354" spans="1:40" x14ac:dyDescent="0.25">
      <c r="A7354" t="str">
        <f>"20190312160828458"</f>
        <v>20190312160828458</v>
      </c>
      <c r="B7354" t="str">
        <f>"1552378108452701"</f>
        <v>1552378108452701</v>
      </c>
      <c r="C7354" t="s">
        <v>40</v>
      </c>
      <c r="D7354">
        <v>6.6813630000000002</v>
      </c>
      <c r="E7354">
        <v>0.46673490000000001</v>
      </c>
      <c r="F7354" t="s">
        <v>52</v>
      </c>
      <c r="G7354">
        <v>-169.244</v>
      </c>
      <c r="H7354">
        <v>7.064425</v>
      </c>
      <c r="I7354">
        <v>-55.951979999999999</v>
      </c>
      <c r="J7354">
        <v>-220.4051</v>
      </c>
      <c r="K7354">
        <v>1.1108819999999999</v>
      </c>
      <c r="L7354">
        <v>-63.694580000000002</v>
      </c>
      <c r="M7354">
        <v>0.99989329999999998</v>
      </c>
      <c r="N7354">
        <v>0</v>
      </c>
      <c r="O7354">
        <v>-3.2968429999999998E-3</v>
      </c>
      <c r="P7354">
        <v>0.99879379999999995</v>
      </c>
      <c r="Q7354">
        <v>4.3615979999999999E-2</v>
      </c>
      <c r="R7354">
        <v>2.2561049999999999E-2</v>
      </c>
      <c r="S7354">
        <v>2.9787750000000002</v>
      </c>
      <c r="T7354">
        <v>0.34561009999999998</v>
      </c>
      <c r="U7354">
        <v>0.4494629</v>
      </c>
      <c r="V7354">
        <v>-2.596967E-2</v>
      </c>
      <c r="W7354">
        <v>5.7777469999999997E-2</v>
      </c>
      <c r="X7354">
        <v>0.99799170000000004</v>
      </c>
      <c r="Y7354">
        <v>-0.15144389999999999</v>
      </c>
      <c r="Z7354">
        <v>-9.0865900000000003E-3</v>
      </c>
      <c r="AA7354">
        <v>0.98842410000000003</v>
      </c>
      <c r="AB7354">
        <v>30</v>
      </c>
      <c r="AC7354">
        <v>51.161099999999898</v>
      </c>
      <c r="AD7354">
        <v>5.9535429999999998</v>
      </c>
      <c r="AE7354">
        <v>7.7425999999999897</v>
      </c>
      <c r="AF7354">
        <v>-7.8078809596466403</v>
      </c>
      <c r="AG7354">
        <v>5.9535429999999998</v>
      </c>
      <c r="AH7354">
        <v>50.467186447515701</v>
      </c>
      <c r="AI7354">
        <v>83.350383158274298</v>
      </c>
      <c r="AJ7354">
        <v>98.794620024439197</v>
      </c>
      <c r="AK7354">
        <v>51.413466983477903</v>
      </c>
      <c r="AL7354">
        <v>86.687750381078203</v>
      </c>
      <c r="AM7354">
        <v>91.490610364398904</v>
      </c>
      <c r="AN7354">
        <v>1.0000000465341901</v>
      </c>
    </row>
    <row r="7355" spans="1:40" x14ac:dyDescent="0.25">
      <c r="A7355" t="str">
        <f>"20190312160828468"</f>
        <v>20190312160828468</v>
      </c>
      <c r="B7355" t="str">
        <f>"1552378108462461"</f>
        <v>1552378108462461</v>
      </c>
      <c r="C7355" t="s">
        <v>40</v>
      </c>
      <c r="D7355">
        <v>6.6449789999999904</v>
      </c>
      <c r="E7355">
        <v>0.46769739999999999</v>
      </c>
      <c r="F7355" t="s">
        <v>52</v>
      </c>
      <c r="G7355">
        <v>-169.244</v>
      </c>
      <c r="H7355">
        <v>8.4418889999999998</v>
      </c>
      <c r="I7355">
        <v>-57.982030000000002</v>
      </c>
      <c r="J7355">
        <v>-220.26060000000001</v>
      </c>
      <c r="K7355">
        <v>1.1109549999999999</v>
      </c>
      <c r="L7355">
        <v>-63.694429999999997</v>
      </c>
      <c r="M7355">
        <v>0.99989519999999998</v>
      </c>
      <c r="N7355">
        <v>0</v>
      </c>
      <c r="O7355">
        <v>-2.666725E-3</v>
      </c>
      <c r="P7355">
        <v>0.99880159999999996</v>
      </c>
      <c r="Q7355">
        <v>4.2175579999999997E-2</v>
      </c>
      <c r="R7355">
        <v>2.483312E-2</v>
      </c>
      <c r="S7355">
        <v>2.9774780000000001</v>
      </c>
      <c r="T7355">
        <v>0.42664859999999999</v>
      </c>
      <c r="U7355">
        <v>0.33245849999999999</v>
      </c>
      <c r="V7355">
        <v>-2.7618940000000002E-2</v>
      </c>
      <c r="W7355">
        <v>5.6329770000000001E-2</v>
      </c>
      <c r="X7355">
        <v>0.99803010000000003</v>
      </c>
      <c r="Y7355">
        <v>-0.11245670000000001</v>
      </c>
      <c r="Z7355">
        <v>-8.3707460000000001E-3</v>
      </c>
      <c r="AA7355">
        <v>0.99362130000000004</v>
      </c>
      <c r="AB7355">
        <v>30</v>
      </c>
      <c r="AC7355">
        <v>51.016599999999897</v>
      </c>
      <c r="AD7355">
        <v>7.3309340000000001</v>
      </c>
      <c r="AE7355">
        <v>5.7123999999999997</v>
      </c>
      <c r="AF7355">
        <v>-5.7315561834843596</v>
      </c>
      <c r="AG7355">
        <v>7.3309340000000001</v>
      </c>
      <c r="AH7355">
        <v>49.981895043314601</v>
      </c>
      <c r="AI7355">
        <v>81.709390497224007</v>
      </c>
      <c r="AJ7355">
        <v>96.541684551619895</v>
      </c>
      <c r="AK7355">
        <v>50.840762796379302</v>
      </c>
      <c r="AL7355">
        <v>86.770832551596598</v>
      </c>
      <c r="AM7355">
        <v>91.585167546707396</v>
      </c>
      <c r="AN7355">
        <v>0.99999996467049201</v>
      </c>
    </row>
    <row r="7356" spans="1:40" x14ac:dyDescent="0.25">
      <c r="A7356" t="str">
        <f>"20190312160828481"</f>
        <v>20190312160828481</v>
      </c>
      <c r="B7356" t="str">
        <f>"1552378108473196"</f>
        <v>1552378108473196</v>
      </c>
      <c r="C7356" t="s">
        <v>40</v>
      </c>
      <c r="D7356">
        <v>6.6953860000000001</v>
      </c>
      <c r="E7356">
        <v>0.46720929999999999</v>
      </c>
      <c r="F7356" t="s">
        <v>52</v>
      </c>
      <c r="G7356">
        <v>-169.244</v>
      </c>
      <c r="H7356">
        <v>8.2827889999999993</v>
      </c>
      <c r="I7356">
        <v>-58.009340000000002</v>
      </c>
      <c r="J7356">
        <v>-220.10980000000001</v>
      </c>
      <c r="K7356">
        <v>1.1110370000000001</v>
      </c>
      <c r="L7356">
        <v>-63.69415</v>
      </c>
      <c r="M7356">
        <v>0.99989680000000003</v>
      </c>
      <c r="N7356">
        <v>0</v>
      </c>
      <c r="O7356">
        <v>-1.9552559999999998E-3</v>
      </c>
      <c r="P7356">
        <v>0.9988129</v>
      </c>
      <c r="Q7356">
        <v>4.0779009999999997E-2</v>
      </c>
      <c r="R7356">
        <v>2.6646139999999999E-2</v>
      </c>
      <c r="S7356">
        <v>2.9776609999999999</v>
      </c>
      <c r="T7356">
        <v>0.41859279999999999</v>
      </c>
      <c r="U7356">
        <v>0.33181759999999999</v>
      </c>
      <c r="V7356">
        <v>-2.8729060000000001E-2</v>
      </c>
      <c r="W7356">
        <v>5.4925740000000001E-2</v>
      </c>
      <c r="X7356">
        <v>0.99807699999999999</v>
      </c>
      <c r="Y7356">
        <v>-0.1115905</v>
      </c>
      <c r="Z7356">
        <v>-8.0541840000000007E-3</v>
      </c>
      <c r="AA7356">
        <v>0.99372169999999904</v>
      </c>
      <c r="AB7356">
        <v>30</v>
      </c>
      <c r="AC7356">
        <v>50.865799999999901</v>
      </c>
      <c r="AD7356">
        <v>7.1717519999999997</v>
      </c>
      <c r="AE7356">
        <v>5.6848099999999899</v>
      </c>
      <c r="AF7356">
        <v>-5.6728837189404402</v>
      </c>
      <c r="AG7356">
        <v>7.1717519999999997</v>
      </c>
      <c r="AH7356">
        <v>49.875336222916701</v>
      </c>
      <c r="AI7356">
        <v>81.869043675627907</v>
      </c>
      <c r="AJ7356">
        <v>96.489007273381205</v>
      </c>
      <c r="AK7356">
        <v>50.706654393551801</v>
      </c>
      <c r="AL7356">
        <v>86.851402254348301</v>
      </c>
      <c r="AM7356">
        <v>91.648770089645495</v>
      </c>
      <c r="AN7356">
        <v>0.99999994686601401</v>
      </c>
    </row>
    <row r="7357" spans="1:40" x14ac:dyDescent="0.25">
      <c r="A7357" t="str">
        <f>"20190312160828490"</f>
        <v>20190312160828490</v>
      </c>
      <c r="B7357" t="str">
        <f>"1552378108482957"</f>
        <v>1552378108482957</v>
      </c>
      <c r="C7357" t="s">
        <v>40</v>
      </c>
      <c r="D7357">
        <v>6.7084109999999999</v>
      </c>
      <c r="E7357">
        <v>0.46772809999999998</v>
      </c>
      <c r="F7357" t="s">
        <v>52</v>
      </c>
      <c r="G7357">
        <v>-169.244</v>
      </c>
      <c r="H7357">
        <v>8.09818999999999</v>
      </c>
      <c r="I7357">
        <v>-57.864989999999999</v>
      </c>
      <c r="J7357">
        <v>-219.9692</v>
      </c>
      <c r="K7357">
        <v>1.11111</v>
      </c>
      <c r="L7357">
        <v>-63.693730000000002</v>
      </c>
      <c r="M7357">
        <v>0.99989790000000001</v>
      </c>
      <c r="N7357">
        <v>0</v>
      </c>
      <c r="O7357">
        <v>-1.252324E-3</v>
      </c>
      <c r="P7357">
        <v>0.99876670000000001</v>
      </c>
      <c r="Q7357">
        <v>4.0512300000000001E-2</v>
      </c>
      <c r="R7357">
        <v>2.870779E-2</v>
      </c>
      <c r="S7357">
        <v>2.9777680000000002</v>
      </c>
      <c r="T7357">
        <v>0.40903719999999999</v>
      </c>
      <c r="U7357">
        <v>0.34124759999999998</v>
      </c>
      <c r="V7357">
        <v>-3.0097769999999999E-2</v>
      </c>
      <c r="W7357">
        <v>5.4650079999999997E-2</v>
      </c>
      <c r="X7357">
        <v>0.99805180000000004</v>
      </c>
      <c r="Y7357">
        <v>-0.1140289</v>
      </c>
      <c r="Z7357">
        <v>-7.94073E-3</v>
      </c>
      <c r="AA7357">
        <v>0.99344569999999999</v>
      </c>
      <c r="AB7357">
        <v>30</v>
      </c>
      <c r="AC7357">
        <v>50.725199999999901</v>
      </c>
      <c r="AD7357">
        <v>6.98707999999999</v>
      </c>
      <c r="AE7357">
        <v>5.8287399999999998</v>
      </c>
      <c r="AF7357">
        <v>-5.7839553957314598</v>
      </c>
      <c r="AG7357">
        <v>6.98707999999999</v>
      </c>
      <c r="AH7357">
        <v>49.785571046041298</v>
      </c>
      <c r="AI7357">
        <v>82.063781061416805</v>
      </c>
      <c r="AJ7357">
        <v>96.626763824780795</v>
      </c>
      <c r="AK7357">
        <v>50.605103609484303</v>
      </c>
      <c r="AL7357">
        <v>86.867220181824806</v>
      </c>
      <c r="AM7357">
        <v>91.727317884543893</v>
      </c>
      <c r="AN7357">
        <v>0.99999995124310803</v>
      </c>
    </row>
    <row r="7358" spans="1:40" x14ac:dyDescent="0.25">
      <c r="A7358" t="str">
        <f>"20190312160828501"</f>
        <v>20190312160828501</v>
      </c>
      <c r="B7358" t="str">
        <f>"1552378108492717"</f>
        <v>1552378108492717</v>
      </c>
      <c r="C7358" t="s">
        <v>40</v>
      </c>
      <c r="D7358">
        <v>6.6532790000000004</v>
      </c>
      <c r="E7358">
        <v>0.46766679999999999</v>
      </c>
      <c r="F7358" t="s">
        <v>52</v>
      </c>
      <c r="G7358">
        <v>-169.244</v>
      </c>
      <c r="H7358">
        <v>8.0615369999999995</v>
      </c>
      <c r="I7358">
        <v>-57.8407699999999</v>
      </c>
      <c r="J7358">
        <v>-219.83</v>
      </c>
      <c r="K7358">
        <v>1.111189</v>
      </c>
      <c r="L7358">
        <v>-63.693150000000003</v>
      </c>
      <c r="M7358">
        <v>0.99989859999999997</v>
      </c>
      <c r="N7358">
        <v>0</v>
      </c>
      <c r="O7358">
        <v>-4.8272469999999999E-4</v>
      </c>
      <c r="P7358">
        <v>0.99869350000000001</v>
      </c>
      <c r="Q7358">
        <v>4.0697289999999997E-2</v>
      </c>
      <c r="R7358">
        <v>3.090358E-2</v>
      </c>
      <c r="S7358">
        <v>2.9772949999999998</v>
      </c>
      <c r="T7358">
        <v>0.4079506</v>
      </c>
      <c r="U7358">
        <v>0.34353640000000002</v>
      </c>
      <c r="V7358">
        <v>-3.1535630000000002E-2</v>
      </c>
      <c r="W7358">
        <v>5.4825289999999999E-2</v>
      </c>
      <c r="X7358">
        <v>0.99799780000000005</v>
      </c>
      <c r="Y7358">
        <v>-0.11404830000000001</v>
      </c>
      <c r="Z7358">
        <v>-7.8174179999999996E-3</v>
      </c>
      <c r="AA7358">
        <v>0.99344440000000001</v>
      </c>
      <c r="AB7358">
        <v>30</v>
      </c>
      <c r="AC7358">
        <v>50.585999999999899</v>
      </c>
      <c r="AD7358">
        <v>6.950348</v>
      </c>
      <c r="AE7358">
        <v>5.8523800000000099</v>
      </c>
      <c r="AF7358">
        <v>-5.7693269349727503</v>
      </c>
      <c r="AG7358">
        <v>6.950348</v>
      </c>
      <c r="AH7358">
        <v>49.658112061485902</v>
      </c>
      <c r="AI7358">
        <v>82.084970672964999</v>
      </c>
      <c r="AJ7358">
        <v>96.626968044190704</v>
      </c>
      <c r="AK7358">
        <v>50.472968647730703</v>
      </c>
      <c r="AL7358">
        <v>86.857166337849605</v>
      </c>
      <c r="AM7358">
        <v>91.809881230607502</v>
      </c>
      <c r="AN7358">
        <v>0.99999995859395896</v>
      </c>
    </row>
    <row r="7359" spans="1:40" x14ac:dyDescent="0.25">
      <c r="A7359" t="str">
        <f>"20190312160828514"</f>
        <v>20190312160828514</v>
      </c>
      <c r="B7359" t="str">
        <f>"1552378108502477"</f>
        <v>1552378108502477</v>
      </c>
      <c r="C7359" t="s">
        <v>40</v>
      </c>
      <c r="D7359">
        <v>6.7060700000000004</v>
      </c>
      <c r="E7359">
        <v>0.46743980000000002</v>
      </c>
      <c r="F7359" t="s">
        <v>52</v>
      </c>
      <c r="G7359">
        <v>-169.244</v>
      </c>
      <c r="H7359">
        <v>7.9242939999999997</v>
      </c>
      <c r="I7359">
        <v>-57.730150000000002</v>
      </c>
      <c r="J7359">
        <v>-219.6704</v>
      </c>
      <c r="K7359">
        <v>1.111281</v>
      </c>
      <c r="L7359">
        <v>-63.69238</v>
      </c>
      <c r="M7359">
        <v>0.99989859999999997</v>
      </c>
      <c r="N7359">
        <v>0</v>
      </c>
      <c r="O7359">
        <v>4.3294699999999999E-4</v>
      </c>
      <c r="P7359">
        <v>0.99860320000000002</v>
      </c>
      <c r="Q7359">
        <v>4.140609E-2</v>
      </c>
      <c r="R7359">
        <v>3.2821240000000002E-2</v>
      </c>
      <c r="S7359">
        <v>2.9767299999999999</v>
      </c>
      <c r="T7359">
        <v>0.40091470000000001</v>
      </c>
      <c r="U7359">
        <v>0.35089110000000001</v>
      </c>
      <c r="V7359">
        <v>-3.2553209999999999E-2</v>
      </c>
      <c r="W7359">
        <v>5.5523740000000002E-2</v>
      </c>
      <c r="X7359">
        <v>0.99792650000000005</v>
      </c>
      <c r="Y7359">
        <v>-0.1156117</v>
      </c>
      <c r="Z7359">
        <v>-7.6662329999999997E-3</v>
      </c>
      <c r="AA7359">
        <v>0.99326490000000001</v>
      </c>
      <c r="AB7359">
        <v>30</v>
      </c>
      <c r="AC7359">
        <v>50.426399999999902</v>
      </c>
      <c r="AD7359">
        <v>6.8130129999999998</v>
      </c>
      <c r="AE7359">
        <v>5.9622299999999999</v>
      </c>
      <c r="AF7359">
        <v>-5.83534439227014</v>
      </c>
      <c r="AG7359">
        <v>6.8130129999999998</v>
      </c>
      <c r="AH7359">
        <v>49.537182956571598</v>
      </c>
      <c r="AI7359">
        <v>82.222162596234298</v>
      </c>
      <c r="AJ7359">
        <v>96.718325034544407</v>
      </c>
      <c r="AK7359">
        <v>50.3428335077339</v>
      </c>
      <c r="AL7359">
        <v>86.817087013612394</v>
      </c>
      <c r="AM7359">
        <v>91.868374454000005</v>
      </c>
      <c r="AN7359">
        <v>0.99999994829356897</v>
      </c>
    </row>
    <row r="7360" spans="1:40" x14ac:dyDescent="0.25">
      <c r="A7360" t="str">
        <f>"20190312160828524"</f>
        <v>20190312160828524</v>
      </c>
      <c r="B7360" t="str">
        <f>"1552378108513213"</f>
        <v>1552378108513213</v>
      </c>
      <c r="C7360" t="s">
        <v>40</v>
      </c>
      <c r="D7360">
        <v>6.8068899999999903</v>
      </c>
      <c r="E7360">
        <v>0.46749420000000003</v>
      </c>
      <c r="F7360" t="s">
        <v>52</v>
      </c>
      <c r="G7360">
        <v>-169.244</v>
      </c>
      <c r="H7360">
        <v>7.8343949999999998</v>
      </c>
      <c r="I7360">
        <v>-57.618949999999998</v>
      </c>
      <c r="J7360">
        <v>-219.53039999999999</v>
      </c>
      <c r="K7360">
        <v>1.111367</v>
      </c>
      <c r="L7360">
        <v>-63.691409999999998</v>
      </c>
      <c r="M7360">
        <v>0.99989779999999995</v>
      </c>
      <c r="N7360">
        <v>0</v>
      </c>
      <c r="O7360">
        <v>1.3435329999999901E-3</v>
      </c>
      <c r="P7360">
        <v>0.99848879999999995</v>
      </c>
      <c r="Q7360">
        <v>4.1879810000000003E-2</v>
      </c>
      <c r="R7360">
        <v>3.5585369999999998E-2</v>
      </c>
      <c r="S7360">
        <v>2.9759669999999998</v>
      </c>
      <c r="T7360">
        <v>0.3967696</v>
      </c>
      <c r="U7360">
        <v>0.358429</v>
      </c>
      <c r="V7360">
        <v>-3.4421399999999998E-2</v>
      </c>
      <c r="W7360">
        <v>5.5984600000000002E-2</v>
      </c>
      <c r="X7360">
        <v>0.99783809999999995</v>
      </c>
      <c r="Y7360">
        <v>-0.117232</v>
      </c>
      <c r="Z7360">
        <v>-7.5751689999999997E-3</v>
      </c>
      <c r="AA7360">
        <v>0.99307570000000001</v>
      </c>
      <c r="AB7360">
        <v>30</v>
      </c>
      <c r="AC7360">
        <v>50.286399999999901</v>
      </c>
      <c r="AD7360">
        <v>6.7230279999999896</v>
      </c>
      <c r="AE7360">
        <v>6.0724600000000004</v>
      </c>
      <c r="AF7360">
        <v>-5.9009273296078399</v>
      </c>
      <c r="AG7360">
        <v>6.7230279999999896</v>
      </c>
      <c r="AH7360">
        <v>49.423795960078102</v>
      </c>
      <c r="AI7360">
        <v>82.307677476577396</v>
      </c>
      <c r="AJ7360">
        <v>96.808568479801494</v>
      </c>
      <c r="AK7360">
        <v>50.2268021671849</v>
      </c>
      <c r="AL7360">
        <v>86.790640679521601</v>
      </c>
      <c r="AM7360">
        <v>91.975690459960504</v>
      </c>
      <c r="AN7360">
        <v>0.99999999101336401</v>
      </c>
    </row>
    <row r="7361" spans="1:40" x14ac:dyDescent="0.25">
      <c r="A7361" t="str">
        <f>"20190312160828535"</f>
        <v>20190312160828535</v>
      </c>
      <c r="B7361" t="str">
        <f>"1552378108532733"</f>
        <v>1552378108532733</v>
      </c>
      <c r="C7361" t="s">
        <v>40</v>
      </c>
      <c r="D7361">
        <v>6.6540379999999999</v>
      </c>
      <c r="E7361">
        <v>0.4680415</v>
      </c>
      <c r="F7361" t="s">
        <v>52</v>
      </c>
      <c r="G7361">
        <v>-169.244</v>
      </c>
      <c r="H7361">
        <v>7.7668299999999997</v>
      </c>
      <c r="I7361">
        <v>-57.500250000000001</v>
      </c>
      <c r="J7361">
        <v>-219.38140000000001</v>
      </c>
      <c r="K7361">
        <v>1.1114580000000001</v>
      </c>
      <c r="L7361">
        <v>-63.690280000000001</v>
      </c>
      <c r="M7361">
        <v>0.99989589999999995</v>
      </c>
      <c r="N7361">
        <v>0</v>
      </c>
      <c r="O7361">
        <v>2.3335750000000001E-3</v>
      </c>
      <c r="P7361">
        <v>0.99839599999999995</v>
      </c>
      <c r="Q7361">
        <v>4.247219E-2</v>
      </c>
      <c r="R7361">
        <v>3.7438739999999998E-2</v>
      </c>
      <c r="S7361">
        <v>2.9749759999999998</v>
      </c>
      <c r="T7361">
        <v>0.39373960000000002</v>
      </c>
      <c r="U7361">
        <v>0.36627199999999999</v>
      </c>
      <c r="V7361">
        <v>-3.530142E-2</v>
      </c>
      <c r="W7361">
        <v>5.6566379999999999E-2</v>
      </c>
      <c r="X7361">
        <v>0.99777450000000001</v>
      </c>
      <c r="Y7361">
        <v>-0.1188772</v>
      </c>
      <c r="Z7361">
        <v>-7.4971129999999997E-3</v>
      </c>
      <c r="AA7361">
        <v>0.9928806</v>
      </c>
      <c r="AB7361">
        <v>30</v>
      </c>
      <c r="AC7361">
        <v>50.1373999999999</v>
      </c>
      <c r="AD7361">
        <v>6.6553719999999998</v>
      </c>
      <c r="AE7361">
        <v>6.1900300000000001</v>
      </c>
      <c r="AF7361">
        <v>-5.9693966816950601</v>
      </c>
      <c r="AG7361">
        <v>6.6553719999999998</v>
      </c>
      <c r="AH7361">
        <v>49.296123280379902</v>
      </c>
      <c r="AI7361">
        <v>82.366201339181799</v>
      </c>
      <c r="AJ7361">
        <v>96.904479200175203</v>
      </c>
      <c r="AK7361">
        <v>50.100253928260997</v>
      </c>
      <c r="AL7361">
        <v>86.757254096280306</v>
      </c>
      <c r="AM7361">
        <v>92.026288572341699</v>
      </c>
      <c r="AN7361">
        <v>0.99999994922528401</v>
      </c>
    </row>
    <row r="7362" spans="1:40" x14ac:dyDescent="0.25">
      <c r="A7362" t="str">
        <f>"20190312160828547"</f>
        <v>20190312160828547</v>
      </c>
      <c r="B7362" t="str">
        <f>"1552378108542492"</f>
        <v>1552378108542492</v>
      </c>
      <c r="C7362" t="s">
        <v>40</v>
      </c>
      <c r="D7362">
        <v>6.8566419999999999</v>
      </c>
      <c r="E7362">
        <v>0.46824670000000002</v>
      </c>
      <c r="F7362" t="s">
        <v>52</v>
      </c>
      <c r="G7362">
        <v>-169.244</v>
      </c>
      <c r="H7362">
        <v>7.6645490000000001</v>
      </c>
      <c r="I7362">
        <v>-57.49539</v>
      </c>
      <c r="J7362">
        <v>-219.22890000000001</v>
      </c>
      <c r="K7362">
        <v>1.1115600000000001</v>
      </c>
      <c r="L7362">
        <v>-63.688839999999999</v>
      </c>
      <c r="M7362">
        <v>0.99989269999999997</v>
      </c>
      <c r="N7362">
        <v>0</v>
      </c>
      <c r="O7362">
        <v>3.4509390000000001E-3</v>
      </c>
      <c r="P7362">
        <v>0.99831840000000005</v>
      </c>
      <c r="Q7362">
        <v>4.2487150000000001E-2</v>
      </c>
      <c r="R7362">
        <v>3.9438319999999999E-2</v>
      </c>
      <c r="S7362">
        <v>2.9745029999999999</v>
      </c>
      <c r="T7362">
        <v>0.38877329999999999</v>
      </c>
      <c r="U7362">
        <v>0.36752319999999999</v>
      </c>
      <c r="V7362">
        <v>-3.6199189999999999E-2</v>
      </c>
      <c r="W7362">
        <v>5.6570660000000002E-2</v>
      </c>
      <c r="X7362">
        <v>0.99774209999999997</v>
      </c>
      <c r="Y7362">
        <v>-0.1182378</v>
      </c>
      <c r="Z7362">
        <v>-7.2179840000000002E-3</v>
      </c>
      <c r="AA7362">
        <v>0.99295909999999998</v>
      </c>
      <c r="AB7362">
        <v>29</v>
      </c>
      <c r="AC7362">
        <v>49.984899999999897</v>
      </c>
      <c r="AD7362">
        <v>6.5529890000000002</v>
      </c>
      <c r="AE7362">
        <v>6.1934499999999897</v>
      </c>
      <c r="AF7362">
        <v>-5.9206804491107698</v>
      </c>
      <c r="AG7362">
        <v>6.5529890000000002</v>
      </c>
      <c r="AH7362">
        <v>49.173607868662799</v>
      </c>
      <c r="AI7362">
        <v>82.463156329696901</v>
      </c>
      <c r="AJ7362">
        <v>96.865569823548</v>
      </c>
      <c r="AK7362">
        <v>49.960382630997003</v>
      </c>
      <c r="AL7362">
        <v>86.757008510450603</v>
      </c>
      <c r="AM7362">
        <v>92.077843046876296</v>
      </c>
      <c r="AN7362">
        <v>0.99999995952095</v>
      </c>
    </row>
    <row r="7363" spans="1:40" x14ac:dyDescent="0.25">
      <c r="A7363" t="str">
        <f>"20190312160828559"</f>
        <v>20190312160828559</v>
      </c>
      <c r="B7363" t="str">
        <f>"1552378108553234"</f>
        <v>1552378108553234</v>
      </c>
      <c r="C7363" t="s">
        <v>40</v>
      </c>
      <c r="D7363">
        <v>6.7462929999999997</v>
      </c>
      <c r="E7363">
        <v>0.46838069999999998</v>
      </c>
      <c r="F7363" t="s">
        <v>52</v>
      </c>
      <c r="G7363">
        <v>-169.244</v>
      </c>
      <c r="H7363">
        <v>7.5658859999999999</v>
      </c>
      <c r="I7363">
        <v>-57.437959999999997</v>
      </c>
      <c r="J7363">
        <v>-219.0814</v>
      </c>
      <c r="K7363">
        <v>1.111653</v>
      </c>
      <c r="L7363">
        <v>-63.68723</v>
      </c>
      <c r="M7363">
        <v>0.99988829999999995</v>
      </c>
      <c r="N7363">
        <v>0</v>
      </c>
      <c r="O7363">
        <v>4.5731649999999997E-3</v>
      </c>
      <c r="P7363">
        <v>0.99824139999999995</v>
      </c>
      <c r="Q7363">
        <v>4.2104240000000001E-2</v>
      </c>
      <c r="R7363">
        <v>4.1733770000000003E-2</v>
      </c>
      <c r="S7363">
        <v>2.97403</v>
      </c>
      <c r="T7363">
        <v>0.38402150000000002</v>
      </c>
      <c r="U7363">
        <v>0.37191770000000002</v>
      </c>
      <c r="V7363">
        <v>-3.7386549999999998E-2</v>
      </c>
      <c r="W7363">
        <v>5.6175990000000002E-2</v>
      </c>
      <c r="X7363">
        <v>0.99772070000000002</v>
      </c>
      <c r="Y7363">
        <v>-0.118616899999999</v>
      </c>
      <c r="Z7363">
        <v>-7.0114869999999899E-3</v>
      </c>
      <c r="AA7363">
        <v>0.99291529999999995</v>
      </c>
      <c r="AB7363">
        <v>29</v>
      </c>
      <c r="AC7363">
        <v>49.837399999999903</v>
      </c>
      <c r="AD7363">
        <v>6.4542330000000003</v>
      </c>
      <c r="AE7363">
        <v>6.2492700000000099</v>
      </c>
      <c r="AF7363">
        <v>-5.9234580113710598</v>
      </c>
      <c r="AG7363">
        <v>6.4542330000000003</v>
      </c>
      <c r="AH7363">
        <v>49.055450702974902</v>
      </c>
      <c r="AI7363">
        <v>82.558082941945599</v>
      </c>
      <c r="AJ7363">
        <v>96.885145675746003</v>
      </c>
      <c r="AK7363">
        <v>49.831533411111899</v>
      </c>
      <c r="AL7363">
        <v>86.779657731548298</v>
      </c>
      <c r="AM7363">
        <v>92.145981099762807</v>
      </c>
      <c r="AN7363">
        <v>1.0000000455909299</v>
      </c>
    </row>
    <row r="7364" spans="1:40" x14ac:dyDescent="0.25">
      <c r="A7364" t="str">
        <f>"20190312160828569"</f>
        <v>20190312160828569</v>
      </c>
      <c r="B7364" t="str">
        <f>"1552378108562989"</f>
        <v>1552378108562989</v>
      </c>
      <c r="C7364" t="s">
        <v>40</v>
      </c>
      <c r="D7364">
        <v>6.6774829999999996</v>
      </c>
      <c r="E7364">
        <v>0.46866289999999999</v>
      </c>
      <c r="F7364" t="s">
        <v>52</v>
      </c>
      <c r="G7364">
        <v>-169.244</v>
      </c>
      <c r="H7364">
        <v>7.4780920000000002</v>
      </c>
      <c r="I7364">
        <v>-57.358020000000003</v>
      </c>
      <c r="J7364">
        <v>-218.9332</v>
      </c>
      <c r="K7364">
        <v>1.1117429999999999</v>
      </c>
      <c r="L7364">
        <v>-63.685389999999998</v>
      </c>
      <c r="M7364">
        <v>0.99988189999999999</v>
      </c>
      <c r="N7364">
        <v>0</v>
      </c>
      <c r="O7364">
        <v>5.763954E-3</v>
      </c>
      <c r="P7364">
        <v>0.99816609999999995</v>
      </c>
      <c r="Q7364">
        <v>4.1386819999999998E-2</v>
      </c>
      <c r="R7364">
        <v>4.4176170000000001E-2</v>
      </c>
      <c r="S7364">
        <v>2.9734950000000002</v>
      </c>
      <c r="T7364">
        <v>0.37984479999999998</v>
      </c>
      <c r="U7364">
        <v>0.37762449999999997</v>
      </c>
      <c r="V7364">
        <v>-3.8649780000000002E-2</v>
      </c>
      <c r="W7364">
        <v>5.5446620000000002E-2</v>
      </c>
      <c r="X7364">
        <v>0.99771330000000003</v>
      </c>
      <c r="Y7364">
        <v>-0.119356</v>
      </c>
      <c r="Z7364">
        <v>-6.8321859999999996E-3</v>
      </c>
      <c r="AA7364">
        <v>0.99282800000000004</v>
      </c>
      <c r="AB7364">
        <v>29</v>
      </c>
      <c r="AC7364">
        <v>49.6891999999999</v>
      </c>
      <c r="AD7364">
        <v>6.3663489999999996</v>
      </c>
      <c r="AE7364">
        <v>6.3273700000000002</v>
      </c>
      <c r="AF7364">
        <v>-5.9447992171791197</v>
      </c>
      <c r="AG7364">
        <v>6.3663489999999996</v>
      </c>
      <c r="AH7364">
        <v>48.9343790053425</v>
      </c>
      <c r="AI7364">
        <v>82.640975501033907</v>
      </c>
      <c r="AJ7364">
        <v>96.926642167996604</v>
      </c>
      <c r="AK7364">
        <v>49.703566129211303</v>
      </c>
      <c r="AL7364">
        <v>86.821512586063207</v>
      </c>
      <c r="AM7364">
        <v>92.218435443371405</v>
      </c>
      <c r="AN7364">
        <v>0.99999998108018096</v>
      </c>
    </row>
    <row r="7365" spans="1:40" x14ac:dyDescent="0.25">
      <c r="A7365" t="str">
        <f>"20190312160828581"</f>
        <v>20190312160828581</v>
      </c>
      <c r="B7365" t="str">
        <f>"1552378108572748"</f>
        <v>1552378108572748</v>
      </c>
      <c r="C7365" t="s">
        <v>40</v>
      </c>
      <c r="D7365">
        <v>6.6735530000000001</v>
      </c>
      <c r="E7365">
        <v>0.46879379999999998</v>
      </c>
      <c r="F7365" t="s">
        <v>52</v>
      </c>
      <c r="G7365">
        <v>-169.244</v>
      </c>
      <c r="H7365">
        <v>7.3714899999999997</v>
      </c>
      <c r="I7365">
        <v>-57.291919999999998</v>
      </c>
      <c r="J7365">
        <v>-218.7886</v>
      </c>
      <c r="K7365">
        <v>1.111828</v>
      </c>
      <c r="L7365">
        <v>-63.68338</v>
      </c>
      <c r="M7365">
        <v>0.99987420000000005</v>
      </c>
      <c r="N7365">
        <v>0</v>
      </c>
      <c r="O7365">
        <v>6.9898790000000001E-3</v>
      </c>
      <c r="P7365">
        <v>0.99805520000000003</v>
      </c>
      <c r="Q7365">
        <v>4.1366750000000001E-2</v>
      </c>
      <c r="R7365">
        <v>4.663697E-2</v>
      </c>
      <c r="S7365">
        <v>2.9730379999999998</v>
      </c>
      <c r="T7365">
        <v>0.37453560000000002</v>
      </c>
      <c r="U7365">
        <v>0.38253779999999998</v>
      </c>
      <c r="V7365">
        <v>-3.9900089999999999E-2</v>
      </c>
      <c r="W7365">
        <v>5.5413759999999999E-2</v>
      </c>
      <c r="X7365">
        <v>0.99766589999999999</v>
      </c>
      <c r="Y7365">
        <v>-0.1198034</v>
      </c>
      <c r="Z7365">
        <v>-6.6125300000000001E-3</v>
      </c>
      <c r="AA7365">
        <v>0.99277559999999998</v>
      </c>
      <c r="AB7365">
        <v>29</v>
      </c>
      <c r="AC7365">
        <v>49.544599999999903</v>
      </c>
      <c r="AD7365">
        <v>6.2596619999999996</v>
      </c>
      <c r="AE7365">
        <v>6.3914600000000004</v>
      </c>
      <c r="AF7365">
        <v>-5.9515103445387396</v>
      </c>
      <c r="AG7365">
        <v>6.2596619999999996</v>
      </c>
      <c r="AH7365">
        <v>48.821498894195898</v>
      </c>
      <c r="AI7365">
        <v>82.746784590662799</v>
      </c>
      <c r="AJ7365">
        <v>96.950261951651996</v>
      </c>
      <c r="AK7365">
        <v>49.579659115521999</v>
      </c>
      <c r="AL7365">
        <v>86.823398205129294</v>
      </c>
      <c r="AM7365">
        <v>92.290234707432205</v>
      </c>
      <c r="AN7365">
        <v>0.99999997500107696</v>
      </c>
    </row>
    <row r="7366" spans="1:40" x14ac:dyDescent="0.25">
      <c r="A7366" t="str">
        <f>"20190312160828590"</f>
        <v>20190312160828590</v>
      </c>
      <c r="B7366" t="str">
        <f>"1552378108582509"</f>
        <v>1552378108582509</v>
      </c>
      <c r="C7366" t="s">
        <v>40</v>
      </c>
      <c r="D7366">
        <v>7.3556689999999998</v>
      </c>
      <c r="E7366">
        <v>0.46888459999999899</v>
      </c>
      <c r="F7366" t="s">
        <v>52</v>
      </c>
      <c r="G7366">
        <v>-169.244</v>
      </c>
      <c r="H7366">
        <v>7.3407999999999998</v>
      </c>
      <c r="I7366">
        <v>-57.199820000000003</v>
      </c>
      <c r="J7366">
        <v>-218.65469999999999</v>
      </c>
      <c r="K7366">
        <v>1.111909</v>
      </c>
      <c r="L7366">
        <v>-63.6813</v>
      </c>
      <c r="M7366">
        <v>0.99986520000000001</v>
      </c>
      <c r="N7366">
        <v>0</v>
      </c>
      <c r="O7366">
        <v>8.1598939999999991E-3</v>
      </c>
      <c r="P7366">
        <v>0.99801499999999999</v>
      </c>
      <c r="Q7366">
        <v>4.0413980000000002E-2</v>
      </c>
      <c r="R7366">
        <v>4.8298050000000002E-2</v>
      </c>
      <c r="S7366">
        <v>2.9721679999999999</v>
      </c>
      <c r="T7366">
        <v>0.37367280000000003</v>
      </c>
      <c r="U7366">
        <v>0.38894649999999997</v>
      </c>
      <c r="V7366">
        <v>-4.0399350000000001E-2</v>
      </c>
      <c r="W7366">
        <v>5.4452960000000002E-2</v>
      </c>
      <c r="X7366">
        <v>0.99769870000000005</v>
      </c>
      <c r="Y7366">
        <v>-0.12078899999999999</v>
      </c>
      <c r="Z7366">
        <v>-6.5139880000000001E-3</v>
      </c>
      <c r="AA7366">
        <v>0.99265680000000001</v>
      </c>
      <c r="AB7366">
        <v>29</v>
      </c>
      <c r="AC7366">
        <v>49.410699999999899</v>
      </c>
      <c r="AD7366">
        <v>6.228891</v>
      </c>
      <c r="AE7366">
        <v>6.4814800000000004</v>
      </c>
      <c r="AF7366">
        <v>-5.9845394898053303</v>
      </c>
      <c r="AG7366">
        <v>6.228891</v>
      </c>
      <c r="AH7366">
        <v>48.701081316994198</v>
      </c>
      <c r="AI7366">
        <v>82.765250285442306</v>
      </c>
      <c r="AJ7366">
        <v>97.005561542429106</v>
      </c>
      <c r="AK7366">
        <v>49.461187990579099</v>
      </c>
      <c r="AL7366">
        <v>86.878531209348793</v>
      </c>
      <c r="AM7366">
        <v>92.318784609776799</v>
      </c>
      <c r="AN7366">
        <v>0.99999996415743597</v>
      </c>
    </row>
    <row r="7367" spans="1:40" x14ac:dyDescent="0.25">
      <c r="A7367" t="str">
        <f>"20190312160828603"</f>
        <v>20190312160828603</v>
      </c>
      <c r="B7367" t="str">
        <f>"1552378108593245"</f>
        <v>1552378108593245</v>
      </c>
      <c r="C7367" t="s">
        <v>40</v>
      </c>
      <c r="D7367">
        <v>6.6717599999999999</v>
      </c>
      <c r="E7367">
        <v>0.46915610000000002</v>
      </c>
      <c r="F7367" t="s">
        <v>52</v>
      </c>
      <c r="G7367">
        <v>-169.244</v>
      </c>
      <c r="H7367">
        <v>7.2286619999999999</v>
      </c>
      <c r="I7367">
        <v>-57.1419</v>
      </c>
      <c r="J7367">
        <v>-218.50829999999999</v>
      </c>
      <c r="K7367">
        <v>1.1119889999999999</v>
      </c>
      <c r="L7367">
        <v>-63.678769999999901</v>
      </c>
      <c r="M7367">
        <v>0.99985310000000005</v>
      </c>
      <c r="N7367">
        <v>0</v>
      </c>
      <c r="O7367">
        <v>9.5174460000000006E-3</v>
      </c>
      <c r="P7367">
        <v>0.99788529999999998</v>
      </c>
      <c r="Q7367">
        <v>4.0019720000000002E-2</v>
      </c>
      <c r="R7367">
        <v>5.1218189999999997E-2</v>
      </c>
      <c r="S7367">
        <v>2.9720309999999999</v>
      </c>
      <c r="T7367">
        <v>0.36791780000000002</v>
      </c>
      <c r="U7367">
        <v>0.3933411</v>
      </c>
      <c r="V7367">
        <v>-4.1974940000000002E-2</v>
      </c>
      <c r="W7367">
        <v>5.4043960000000002E-2</v>
      </c>
      <c r="X7367">
        <v>0.99765590000000004</v>
      </c>
      <c r="Y7367">
        <v>-0.1209259</v>
      </c>
      <c r="Z7367">
        <v>-6.2558469999999897E-3</v>
      </c>
      <c r="AA7367">
        <v>0.99264180000000002</v>
      </c>
      <c r="AB7367">
        <v>29</v>
      </c>
      <c r="AC7367">
        <v>49.264299999999899</v>
      </c>
      <c r="AD7367">
        <v>6.1166729999999996</v>
      </c>
      <c r="AE7367">
        <v>6.5368699999999897</v>
      </c>
      <c r="AF7367">
        <v>-5.9771082790140602</v>
      </c>
      <c r="AG7367">
        <v>6.1166729999999996</v>
      </c>
      <c r="AH7367">
        <v>48.588222492497003</v>
      </c>
      <c r="AI7367">
        <v>82.878022617161093</v>
      </c>
      <c r="AJ7367">
        <v>97.013039358585502</v>
      </c>
      <c r="AK7367">
        <v>49.335128224708001</v>
      </c>
      <c r="AL7367">
        <v>86.901999760466495</v>
      </c>
      <c r="AM7367">
        <v>92.409216767211106</v>
      </c>
      <c r="AN7367">
        <v>0.99999997000264695</v>
      </c>
    </row>
    <row r="7368" spans="1:40" x14ac:dyDescent="0.25">
      <c r="A7368" t="str">
        <f>"20190312160828613"</f>
        <v>20190312160828613</v>
      </c>
      <c r="B7368" t="str">
        <f>"1552378108603005"</f>
        <v>1552378108603005</v>
      </c>
      <c r="C7368" t="s">
        <v>40</v>
      </c>
      <c r="D7368">
        <v>6.0111929999999996</v>
      </c>
      <c r="E7368">
        <v>0.46932800000000002</v>
      </c>
      <c r="F7368" t="s">
        <v>52</v>
      </c>
      <c r="G7368">
        <v>-169.244</v>
      </c>
      <c r="H7368">
        <v>7.140612</v>
      </c>
      <c r="I7368">
        <v>-57.044670000000004</v>
      </c>
      <c r="J7368">
        <v>-218.35669999999999</v>
      </c>
      <c r="K7368">
        <v>1.1120840000000001</v>
      </c>
      <c r="L7368">
        <v>-63.675989999999999</v>
      </c>
      <c r="M7368">
        <v>0.99983860000000002</v>
      </c>
      <c r="N7368">
        <v>0</v>
      </c>
      <c r="O7368">
        <v>1.0949560000000001E-2</v>
      </c>
      <c r="P7368">
        <v>0.9978032</v>
      </c>
      <c r="Q7368">
        <v>3.9590500000000001E-2</v>
      </c>
      <c r="R7368">
        <v>5.3119439999999997E-2</v>
      </c>
      <c r="S7368">
        <v>2.9712369999999999</v>
      </c>
      <c r="T7368">
        <v>0.36359760000000002</v>
      </c>
      <c r="U7368">
        <v>0.40011600000000003</v>
      </c>
      <c r="V7368">
        <v>-4.245641E-2</v>
      </c>
      <c r="W7368">
        <v>5.3604949999999998E-2</v>
      </c>
      <c r="X7368">
        <v>0.99765930000000003</v>
      </c>
      <c r="Y7368">
        <v>-0.1217859</v>
      </c>
      <c r="Z7368">
        <v>-6.0620569999999896E-3</v>
      </c>
      <c r="AA7368">
        <v>0.99253789999999997</v>
      </c>
      <c r="AB7368">
        <v>29</v>
      </c>
      <c r="AC7368">
        <v>49.112699999999897</v>
      </c>
      <c r="AD7368">
        <v>6.0285279999999997</v>
      </c>
      <c r="AE7368">
        <v>6.6313199999999997</v>
      </c>
      <c r="AF7368">
        <v>-6.0042573205671399</v>
      </c>
      <c r="AG7368">
        <v>6.0285279999999997</v>
      </c>
      <c r="AH7368">
        <v>48.465208258919503</v>
      </c>
      <c r="AI7368">
        <v>82.962721635642893</v>
      </c>
      <c r="AJ7368">
        <v>97.062274612874901</v>
      </c>
      <c r="AK7368">
        <v>49.206408804126397</v>
      </c>
      <c r="AL7368">
        <v>86.927189967692499</v>
      </c>
      <c r="AM7368">
        <v>92.436810065804494</v>
      </c>
      <c r="AN7368">
        <v>1.0000000581455299</v>
      </c>
    </row>
    <row r="7369" spans="1:40" x14ac:dyDescent="0.25">
      <c r="A7369" t="str">
        <f>"20190312160828625"</f>
        <v>20190312160828625</v>
      </c>
      <c r="B7369" t="str">
        <f>"1552378108612766"</f>
        <v>1552378108612766</v>
      </c>
      <c r="C7369" t="s">
        <v>40</v>
      </c>
      <c r="D7369">
        <v>6.0007339999999996</v>
      </c>
      <c r="E7369">
        <v>0.4692846</v>
      </c>
      <c r="F7369" t="s">
        <v>52</v>
      </c>
      <c r="G7369">
        <v>-169.244</v>
      </c>
      <c r="H7369">
        <v>7.0245439999999997</v>
      </c>
      <c r="I7369">
        <v>-56.985819999999997</v>
      </c>
      <c r="J7369">
        <v>-218.21719999999999</v>
      </c>
      <c r="K7369">
        <v>1.1121570000000001</v>
      </c>
      <c r="L7369">
        <v>-63.673000000000002</v>
      </c>
      <c r="M7369">
        <v>0.99982210000000005</v>
      </c>
      <c r="N7369">
        <v>0</v>
      </c>
      <c r="O7369">
        <v>1.236054E-2</v>
      </c>
      <c r="P7369">
        <v>0.9977433</v>
      </c>
      <c r="Q7369">
        <v>3.8698169999999997E-2</v>
      </c>
      <c r="R7369">
        <v>5.4872990000000003E-2</v>
      </c>
      <c r="S7369">
        <v>2.9708709999999998</v>
      </c>
      <c r="T7369">
        <v>0.35764839999999998</v>
      </c>
      <c r="U7369">
        <v>0.40469359999999999</v>
      </c>
      <c r="V7369">
        <v>-4.2807650000000003E-2</v>
      </c>
      <c r="W7369">
        <v>5.2705479999999999E-2</v>
      </c>
      <c r="X7369">
        <v>0.99769220000000003</v>
      </c>
      <c r="Y7369">
        <v>-0.12193850000000001</v>
      </c>
      <c r="Z7369">
        <v>-5.8043829999999998E-3</v>
      </c>
      <c r="AA7369">
        <v>0.99252070000000003</v>
      </c>
      <c r="AB7369">
        <v>29</v>
      </c>
      <c r="AC7369">
        <v>48.973199999999899</v>
      </c>
      <c r="AD7369">
        <v>5.9123869999999998</v>
      </c>
      <c r="AE7369">
        <v>6.6871799999999997</v>
      </c>
      <c r="AF7369">
        <v>-5.9954876034548397</v>
      </c>
      <c r="AG7369">
        <v>5.9123869999999998</v>
      </c>
      <c r="AH7369">
        <v>48.360175239077002</v>
      </c>
      <c r="AI7369">
        <v>83.082201514517706</v>
      </c>
      <c r="AJ7369">
        <v>97.067225106376199</v>
      </c>
      <c r="AK7369">
        <v>49.0877656936552</v>
      </c>
      <c r="AL7369">
        <v>86.978798720466997</v>
      </c>
      <c r="AM7369">
        <v>92.456864162987799</v>
      </c>
      <c r="AN7369">
        <v>1.00000004423069</v>
      </c>
    </row>
    <row r="7370" spans="1:40" x14ac:dyDescent="0.25">
      <c r="A7370" t="str">
        <f>"20190312160828637"</f>
        <v>20190312160828637</v>
      </c>
      <c r="B7370" t="str">
        <f>"1552378108632286"</f>
        <v>1552378108632286</v>
      </c>
      <c r="C7370" t="s">
        <v>40</v>
      </c>
      <c r="D7370">
        <v>6.5261430000000002</v>
      </c>
      <c r="E7370">
        <v>0.4695336</v>
      </c>
      <c r="F7370" t="s">
        <v>52</v>
      </c>
      <c r="G7370">
        <v>-169.244</v>
      </c>
      <c r="H7370">
        <v>6.8766470000000002</v>
      </c>
      <c r="I7370">
        <v>-56.906230000000001</v>
      </c>
      <c r="J7370">
        <v>-218.06610000000001</v>
      </c>
      <c r="K7370">
        <v>1.1122350000000001</v>
      </c>
      <c r="L7370">
        <v>-63.66968</v>
      </c>
      <c r="M7370">
        <v>0.99980159999999996</v>
      </c>
      <c r="N7370">
        <v>0</v>
      </c>
      <c r="O7370">
        <v>1.3907879999999999E-2</v>
      </c>
      <c r="P7370">
        <v>0.99761310000000003</v>
      </c>
      <c r="Q7370">
        <v>3.7752710000000002E-2</v>
      </c>
      <c r="R7370">
        <v>5.7818149999999999E-2</v>
      </c>
      <c r="S7370">
        <v>2.9706419999999998</v>
      </c>
      <c r="T7370">
        <v>0.34966360000000002</v>
      </c>
      <c r="U7370">
        <v>0.41046139999999998</v>
      </c>
      <c r="V7370">
        <v>-4.4214669999999998E-2</v>
      </c>
      <c r="W7370">
        <v>5.1745489999999998E-2</v>
      </c>
      <c r="X7370">
        <v>0.99768100000000004</v>
      </c>
      <c r="Y7370">
        <v>-0.12234630000000001</v>
      </c>
      <c r="Z7370">
        <v>-5.5186030000000004E-3</v>
      </c>
      <c r="AA7370">
        <v>0.99247209999999997</v>
      </c>
      <c r="AB7370">
        <v>29</v>
      </c>
      <c r="AC7370">
        <v>48.822099999999899</v>
      </c>
      <c r="AD7370">
        <v>5.7644120000000001</v>
      </c>
      <c r="AE7370">
        <v>6.76344999999999</v>
      </c>
      <c r="AF7370">
        <v>-6.0016247594675303</v>
      </c>
      <c r="AG7370">
        <v>5.7644120000000001</v>
      </c>
      <c r="AH7370">
        <v>48.251470002239003</v>
      </c>
      <c r="AI7370">
        <v>83.238998867567901</v>
      </c>
      <c r="AJ7370">
        <v>97.090161841974506</v>
      </c>
      <c r="AK7370">
        <v>48.963785626074397</v>
      </c>
      <c r="AL7370">
        <v>87.033876996114401</v>
      </c>
      <c r="AM7370">
        <v>92.537541988767799</v>
      </c>
      <c r="AN7370">
        <v>0.99999995526977303</v>
      </c>
    </row>
    <row r="7371" spans="1:40" x14ac:dyDescent="0.25">
      <c r="A7371" t="str">
        <f>"20190312160828647"</f>
        <v>20190312160828647</v>
      </c>
      <c r="B7371" t="str">
        <f>"1552378108643021"</f>
        <v>1552378108643021</v>
      </c>
      <c r="C7371" t="s">
        <v>40</v>
      </c>
      <c r="D7371">
        <v>6.7211740000000004</v>
      </c>
      <c r="E7371">
        <v>0.46974579999999999</v>
      </c>
      <c r="F7371" t="s">
        <v>52</v>
      </c>
      <c r="G7371">
        <v>-169.244</v>
      </c>
      <c r="H7371">
        <v>6.8131079999999997</v>
      </c>
      <c r="I7371">
        <v>-56.808129999999998</v>
      </c>
      <c r="J7371">
        <v>-217.9102</v>
      </c>
      <c r="K7371">
        <v>1.1123149999999999</v>
      </c>
      <c r="L7371">
        <v>-63.66583</v>
      </c>
      <c r="M7371">
        <v>0.99977700000000003</v>
      </c>
      <c r="N7371">
        <v>0</v>
      </c>
      <c r="O7371">
        <v>1.55797E-2</v>
      </c>
      <c r="P7371">
        <v>0.99748099999999995</v>
      </c>
      <c r="Q7371">
        <v>3.7422190000000001E-2</v>
      </c>
      <c r="R7371">
        <v>6.0258979999999997E-2</v>
      </c>
      <c r="S7371">
        <v>2.9698639999999998</v>
      </c>
      <c r="T7371">
        <v>0.34678409999999998</v>
      </c>
      <c r="U7371">
        <v>0.41738890000000001</v>
      </c>
      <c r="V7371">
        <v>-4.4996130000000002E-2</v>
      </c>
      <c r="W7371">
        <v>5.1404529999999997E-2</v>
      </c>
      <c r="X7371">
        <v>0.99766370000000004</v>
      </c>
      <c r="Y7371">
        <v>-0.1230117</v>
      </c>
      <c r="Z7371">
        <v>-5.319023E-3</v>
      </c>
      <c r="AA7371">
        <v>0.99239100000000002</v>
      </c>
      <c r="AB7371">
        <v>29</v>
      </c>
      <c r="AC7371">
        <v>48.666199999999897</v>
      </c>
      <c r="AD7371">
        <v>5.700793</v>
      </c>
      <c r="AE7371">
        <v>6.8577000000000004</v>
      </c>
      <c r="AF7371">
        <v>-6.0176199010354301</v>
      </c>
      <c r="AG7371">
        <v>5.700793</v>
      </c>
      <c r="AH7371">
        <v>48.119703857410599</v>
      </c>
      <c r="AI7371">
        <v>83.295341701922496</v>
      </c>
      <c r="AJ7371">
        <v>97.128131231221104</v>
      </c>
      <c r="AK7371">
        <v>48.8284413987082</v>
      </c>
      <c r="AL7371">
        <v>87.053438637273402</v>
      </c>
      <c r="AM7371">
        <v>92.582375609144705</v>
      </c>
      <c r="AN7371">
        <v>0.99999996785859302</v>
      </c>
    </row>
    <row r="7372" spans="1:40" x14ac:dyDescent="0.25">
      <c r="A7372" t="str">
        <f>"20190312160828659"</f>
        <v>20190312160828659</v>
      </c>
      <c r="B7372" t="str">
        <f>"1552378108652783"</f>
        <v>1552378108652783</v>
      </c>
      <c r="C7372" t="s">
        <v>40</v>
      </c>
      <c r="D7372">
        <v>6.6698500000000003</v>
      </c>
      <c r="E7372">
        <v>0.46986250000000002</v>
      </c>
      <c r="F7372" t="s">
        <v>52</v>
      </c>
      <c r="G7372">
        <v>-169.244</v>
      </c>
      <c r="H7372">
        <v>6.7758770000000004</v>
      </c>
      <c r="I7372">
        <v>-56.730789999999999</v>
      </c>
      <c r="J7372">
        <v>-217.76929999999999</v>
      </c>
      <c r="K7372">
        <v>1.1123860000000001</v>
      </c>
      <c r="L7372">
        <v>-63.662109999999998</v>
      </c>
      <c r="M7372">
        <v>0.99975170000000002</v>
      </c>
      <c r="N7372">
        <v>0</v>
      </c>
      <c r="O7372">
        <v>1.7125319999999999E-2</v>
      </c>
      <c r="P7372">
        <v>0.99737750000000003</v>
      </c>
      <c r="Q7372">
        <v>3.6647079999999999E-2</v>
      </c>
      <c r="R7372">
        <v>6.2412809999999999E-2</v>
      </c>
      <c r="S7372">
        <v>2.969055</v>
      </c>
      <c r="T7372">
        <v>0.34552369999999999</v>
      </c>
      <c r="U7372">
        <v>0.42309570000000002</v>
      </c>
      <c r="V7372">
        <v>-4.5612109999999997E-2</v>
      </c>
      <c r="W7372">
        <v>5.0620680000000001E-2</v>
      </c>
      <c r="X7372">
        <v>0.9976758</v>
      </c>
      <c r="Y7372">
        <v>-0.1233976</v>
      </c>
      <c r="Z7372">
        <v>-5.1445359999999999E-3</v>
      </c>
      <c r="AA7372">
        <v>0.992344</v>
      </c>
      <c r="AB7372">
        <v>29</v>
      </c>
      <c r="AC7372">
        <v>48.525299999999902</v>
      </c>
      <c r="AD7372">
        <v>5.6634909999999996</v>
      </c>
      <c r="AE7372">
        <v>6.9313200000000004</v>
      </c>
      <c r="AF7372">
        <v>-6.0188596796531799</v>
      </c>
      <c r="AG7372">
        <v>5.6634909999999996</v>
      </c>
      <c r="AH7372">
        <v>47.996177587004603</v>
      </c>
      <c r="AI7372">
        <v>83.322111425990499</v>
      </c>
      <c r="AJ7372">
        <v>97.147744334562006</v>
      </c>
      <c r="AK7372">
        <v>48.702513950654698</v>
      </c>
      <c r="AL7372">
        <v>87.098408463755007</v>
      </c>
      <c r="AM7372">
        <v>92.617646809340798</v>
      </c>
      <c r="AN7372">
        <v>0.99999995986397605</v>
      </c>
    </row>
    <row r="7373" spans="1:40" x14ac:dyDescent="0.25">
      <c r="A7373" t="str">
        <f>"20190312160828670"</f>
        <v>20190312160828670</v>
      </c>
      <c r="B7373" t="str">
        <f>"1552378108662541"</f>
        <v>1552378108662541</v>
      </c>
      <c r="C7373" t="s">
        <v>40</v>
      </c>
      <c r="D7373">
        <v>6.6179379999999997</v>
      </c>
      <c r="E7373">
        <v>0.47010730000000001</v>
      </c>
      <c r="F7373" t="s">
        <v>52</v>
      </c>
      <c r="G7373">
        <v>-169.244</v>
      </c>
      <c r="H7373">
        <v>6.6973690000000001</v>
      </c>
      <c r="I7373">
        <v>-56.658079999999998</v>
      </c>
      <c r="J7373">
        <v>-217.62549999999999</v>
      </c>
      <c r="K7373">
        <v>1.1124529999999999</v>
      </c>
      <c r="L7373">
        <v>-63.658110000000001</v>
      </c>
      <c r="M7373">
        <v>0.99972269999999996</v>
      </c>
      <c r="N7373">
        <v>0</v>
      </c>
      <c r="O7373">
        <v>1.8739619999999999E-2</v>
      </c>
      <c r="P7373">
        <v>0.99719860000000005</v>
      </c>
      <c r="Q7373">
        <v>3.665732E-2</v>
      </c>
      <c r="R7373">
        <v>6.5203730000000001E-2</v>
      </c>
      <c r="S7373">
        <v>2.9685060000000001</v>
      </c>
      <c r="T7373">
        <v>0.34165620000000002</v>
      </c>
      <c r="U7373">
        <v>0.42846679999999998</v>
      </c>
      <c r="V7373">
        <v>-4.6802360000000001E-2</v>
      </c>
      <c r="W7373">
        <v>5.0617339999999997E-2</v>
      </c>
      <c r="X7373">
        <v>0.99762090000000003</v>
      </c>
      <c r="Y7373">
        <v>-0.12360500000000001</v>
      </c>
      <c r="Z7373">
        <v>-4.9153340000000004E-3</v>
      </c>
      <c r="AA7373">
        <v>0.99231930000000002</v>
      </c>
      <c r="AB7373">
        <v>29</v>
      </c>
      <c r="AC7373">
        <v>48.381499999999903</v>
      </c>
      <c r="AD7373">
        <v>5.5849159999999998</v>
      </c>
      <c r="AE7373">
        <v>7.00002999999999</v>
      </c>
      <c r="AF7373">
        <v>-6.0135682908772203</v>
      </c>
      <c r="AG7373">
        <v>5.5849159999999998</v>
      </c>
      <c r="AH7373">
        <v>47.879273163479603</v>
      </c>
      <c r="AI7373">
        <v>83.398159659929604</v>
      </c>
      <c r="AJ7373">
        <v>97.158781826234801</v>
      </c>
      <c r="AK7373">
        <v>48.577557462054401</v>
      </c>
      <c r="AL7373">
        <v>87.0986002463126</v>
      </c>
      <c r="AM7373">
        <v>92.686003250010302</v>
      </c>
      <c r="AN7373">
        <v>1.00000001806352</v>
      </c>
    </row>
    <row r="7374" spans="1:40" x14ac:dyDescent="0.25">
      <c r="A7374" t="str">
        <f>"20190312160828681"</f>
        <v>20190312160828681</v>
      </c>
      <c r="B7374" t="str">
        <f>"1552378108672301"</f>
        <v>1552378108672301</v>
      </c>
      <c r="C7374" t="s">
        <v>40</v>
      </c>
      <c r="D7374">
        <v>6.0105909999999998</v>
      </c>
      <c r="E7374">
        <v>0.46969060000000001</v>
      </c>
      <c r="F7374" t="s">
        <v>52</v>
      </c>
      <c r="G7374">
        <v>-169.18340000000001</v>
      </c>
      <c r="H7374">
        <v>6.6740880000000002</v>
      </c>
      <c r="I7374">
        <v>-56.560980000000001</v>
      </c>
      <c r="J7374">
        <v>-217.48150000000001</v>
      </c>
      <c r="K7374">
        <v>1.11252</v>
      </c>
      <c r="L7374">
        <v>-63.653750000000002</v>
      </c>
      <c r="M7374">
        <v>0.99969019999999997</v>
      </c>
      <c r="N7374">
        <v>0</v>
      </c>
      <c r="O7374">
        <v>2.0399460000000001E-2</v>
      </c>
      <c r="P7374">
        <v>0.99702380000000002</v>
      </c>
      <c r="Q7374">
        <v>3.6926729999999998E-2</v>
      </c>
      <c r="R7374">
        <v>6.7678150000000006E-2</v>
      </c>
      <c r="S7374">
        <v>2.9674529999999999</v>
      </c>
      <c r="T7374">
        <v>0.34069129999999997</v>
      </c>
      <c r="U7374">
        <v>0.43475340000000001</v>
      </c>
      <c r="V7374">
        <v>-4.7631809999999997E-2</v>
      </c>
      <c r="W7374">
        <v>5.087593E-2</v>
      </c>
      <c r="X7374">
        <v>0.99756849999999997</v>
      </c>
      <c r="Y7374">
        <v>-0.1240773</v>
      </c>
      <c r="Z7374">
        <v>-4.740607E-3</v>
      </c>
      <c r="AA7374">
        <v>0.99226119999999995</v>
      </c>
      <c r="AB7374">
        <v>29</v>
      </c>
      <c r="AC7374">
        <v>48.298099999999998</v>
      </c>
      <c r="AD7374">
        <v>5.5615680000000003</v>
      </c>
      <c r="AE7374">
        <v>7.09276999999999</v>
      </c>
      <c r="AF7374">
        <v>-6.0277000728059198</v>
      </c>
      <c r="AG7374">
        <v>5.5615680000000003</v>
      </c>
      <c r="AH7374">
        <v>47.812158798220501</v>
      </c>
      <c r="AI7374">
        <v>83.416750574409903</v>
      </c>
      <c r="AJ7374">
        <v>97.185396708703195</v>
      </c>
      <c r="AK7374">
        <v>48.5104806792571</v>
      </c>
      <c r="AL7374">
        <v>87.083765054025804</v>
      </c>
      <c r="AM7374">
        <v>92.733677460267998</v>
      </c>
      <c r="AN7374">
        <v>1.0000000308847401</v>
      </c>
    </row>
    <row r="7375" spans="1:40" x14ac:dyDescent="0.25">
      <c r="A7375" t="str">
        <f>"20190312160828690"</f>
        <v>20190312160828690</v>
      </c>
      <c r="B7375" t="str">
        <f>"1552378108683037"</f>
        <v>1552378108683037</v>
      </c>
      <c r="C7375" t="s">
        <v>40</v>
      </c>
      <c r="D7375">
        <v>6.665794</v>
      </c>
      <c r="E7375">
        <v>0.46997369999999999</v>
      </c>
      <c r="F7375" t="s">
        <v>52</v>
      </c>
      <c r="G7375">
        <v>-168.9623</v>
      </c>
      <c r="H7375">
        <v>6.6740880000000002</v>
      </c>
      <c r="I7375">
        <v>-56.365430000000003</v>
      </c>
      <c r="J7375">
        <v>-217.3477</v>
      </c>
      <c r="K7375">
        <v>1.1125780000000001</v>
      </c>
      <c r="L7375">
        <v>-63.649540000000002</v>
      </c>
      <c r="M7375">
        <v>0.99965700000000002</v>
      </c>
      <c r="N7375">
        <v>0</v>
      </c>
      <c r="O7375">
        <v>2.1962430000000002E-2</v>
      </c>
      <c r="P7375">
        <v>0.99687910000000002</v>
      </c>
      <c r="Q7375">
        <v>3.6705639999999998E-2</v>
      </c>
      <c r="R7375">
        <v>6.9890129999999995E-2</v>
      </c>
      <c r="S7375">
        <v>2.9661249999999999</v>
      </c>
      <c r="T7375">
        <v>0.33999410000000002</v>
      </c>
      <c r="U7375">
        <v>0.44555660000000002</v>
      </c>
      <c r="V7375">
        <v>-4.8291180000000003E-2</v>
      </c>
      <c r="W7375">
        <v>5.0645910000000002E-2</v>
      </c>
      <c r="X7375">
        <v>0.99754849999999995</v>
      </c>
      <c r="Y7375">
        <v>-0.12612509999999999</v>
      </c>
      <c r="Z7375">
        <v>-4.6707290000000002E-3</v>
      </c>
      <c r="AA7375">
        <v>0.99200330000000003</v>
      </c>
      <c r="AB7375">
        <v>29</v>
      </c>
      <c r="AC7375">
        <v>48.385399999999997</v>
      </c>
      <c r="AD7375">
        <v>5.5615100000000002</v>
      </c>
      <c r="AE7375">
        <v>7.2841099999999903</v>
      </c>
      <c r="AF7375">
        <v>-6.1402584521085801</v>
      </c>
      <c r="AG7375">
        <v>5.5615100000000002</v>
      </c>
      <c r="AH7375">
        <v>47.914716595198399</v>
      </c>
      <c r="AI7375">
        <v>83.432479612540504</v>
      </c>
      <c r="AJ7375">
        <v>97.3026372936218</v>
      </c>
      <c r="AK7375">
        <v>48.625643787378003</v>
      </c>
      <c r="AL7375">
        <v>87.096961232721895</v>
      </c>
      <c r="AM7375">
        <v>92.771516801061793</v>
      </c>
      <c r="AN7375">
        <v>1.0000000280588801</v>
      </c>
    </row>
    <row r="7376" spans="1:40" x14ac:dyDescent="0.25">
      <c r="A7376" t="str">
        <f>"20190312160828702"</f>
        <v>20190312160828702</v>
      </c>
      <c r="B7376" t="str">
        <f>"1552378108692797"</f>
        <v>1552378108692797</v>
      </c>
      <c r="C7376" t="s">
        <v>40</v>
      </c>
      <c r="D7376">
        <v>6.7149619999999999</v>
      </c>
      <c r="E7376">
        <v>0.47030569999999999</v>
      </c>
      <c r="F7376" t="s">
        <v>52</v>
      </c>
      <c r="G7376">
        <v>-168.62530000000001</v>
      </c>
      <c r="H7376">
        <v>6.6740880000000002</v>
      </c>
      <c r="I7376">
        <v>-56.256630000000001</v>
      </c>
      <c r="J7376">
        <v>-217.20189999999999</v>
      </c>
      <c r="K7376">
        <v>1.1126320000000001</v>
      </c>
      <c r="L7376">
        <v>-63.644559999999998</v>
      </c>
      <c r="M7376">
        <v>0.99961699999999998</v>
      </c>
      <c r="N7376">
        <v>0</v>
      </c>
      <c r="O7376">
        <v>2.3714269999999999E-2</v>
      </c>
      <c r="P7376">
        <v>0.99668230000000002</v>
      </c>
      <c r="Q7376">
        <v>3.721787E-2</v>
      </c>
      <c r="R7376">
        <v>7.2382249999999995E-2</v>
      </c>
      <c r="S7376">
        <v>2.9653779999999998</v>
      </c>
      <c r="T7376">
        <v>0.33848689999999998</v>
      </c>
      <c r="U7376">
        <v>0.4499512</v>
      </c>
      <c r="V7376">
        <v>-4.9048130000000002E-2</v>
      </c>
      <c r="W7376">
        <v>5.1147850000000002E-2</v>
      </c>
      <c r="X7376">
        <v>0.99748590000000004</v>
      </c>
      <c r="Y7376">
        <v>-0.1258793</v>
      </c>
      <c r="Z7376">
        <v>-4.4388989999999996E-3</v>
      </c>
      <c r="AA7376">
        <v>0.99203560000000002</v>
      </c>
      <c r="AB7376">
        <v>29</v>
      </c>
      <c r="AC7376">
        <v>48.5765999999999</v>
      </c>
      <c r="AD7376">
        <v>5.5614559999999997</v>
      </c>
      <c r="AE7376">
        <v>7.3879299999999901</v>
      </c>
      <c r="AF7376">
        <v>-6.1549238059642102</v>
      </c>
      <c r="AG7376">
        <v>5.5614559999999997</v>
      </c>
      <c r="AH7376">
        <v>48.121654867253604</v>
      </c>
      <c r="AI7376">
        <v>83.460338652888296</v>
      </c>
      <c r="AJ7376">
        <v>97.288751316463802</v>
      </c>
      <c r="AK7376">
        <v>48.831409431432903</v>
      </c>
      <c r="AL7376">
        <v>87.068164700116</v>
      </c>
      <c r="AM7376">
        <v>92.815066548712593</v>
      </c>
      <c r="AN7376">
        <v>0.99999997115746397</v>
      </c>
    </row>
    <row r="7377" spans="1:40" x14ac:dyDescent="0.25">
      <c r="A7377" t="str">
        <f>"20190312160828715"</f>
        <v>20190312160828715</v>
      </c>
      <c r="B7377" t="str">
        <f>"1552378108702557"</f>
        <v>1552378108702557</v>
      </c>
      <c r="C7377" t="s">
        <v>40</v>
      </c>
      <c r="D7377">
        <v>6.6909910000000004</v>
      </c>
      <c r="E7377">
        <v>0.47044380000000002</v>
      </c>
      <c r="F7377" t="s">
        <v>52</v>
      </c>
      <c r="G7377">
        <v>-168.6568</v>
      </c>
      <c r="H7377">
        <v>6.6740880000000002</v>
      </c>
      <c r="I7377">
        <v>-56.198369999999997</v>
      </c>
      <c r="J7377">
        <v>-217.0498</v>
      </c>
      <c r="K7377">
        <v>1.1126910000000001</v>
      </c>
      <c r="L7377">
        <v>-63.639189999999999</v>
      </c>
      <c r="M7377">
        <v>0.99957149999999995</v>
      </c>
      <c r="N7377">
        <v>0</v>
      </c>
      <c r="O7377">
        <v>2.55582E-2</v>
      </c>
      <c r="P7377">
        <v>0.99649730000000003</v>
      </c>
      <c r="Q7377">
        <v>3.70324E-2</v>
      </c>
      <c r="R7377">
        <v>7.4980749999999999E-2</v>
      </c>
      <c r="S7377">
        <v>2.9642789999999999</v>
      </c>
      <c r="T7377">
        <v>0.33959450000000002</v>
      </c>
      <c r="U7377">
        <v>0.45468140000000001</v>
      </c>
      <c r="V7377">
        <v>-4.981534E-2</v>
      </c>
      <c r="W7377">
        <v>5.0952129999999998E-2</v>
      </c>
      <c r="X7377">
        <v>0.99745790000000001</v>
      </c>
      <c r="Y7377">
        <v>-0.12565970000000001</v>
      </c>
      <c r="Z7377">
        <v>-4.2328499999999998E-3</v>
      </c>
      <c r="AA7377">
        <v>0.99206439999999996</v>
      </c>
      <c r="AB7377">
        <v>29</v>
      </c>
      <c r="AC7377">
        <v>48.393000000000001</v>
      </c>
      <c r="AD7377">
        <v>5.5613970000000004</v>
      </c>
      <c r="AE7377">
        <v>7.4408200000000004</v>
      </c>
      <c r="AF7377">
        <v>-6.1224337266771904</v>
      </c>
      <c r="AG7377">
        <v>5.5613970000000004</v>
      </c>
      <c r="AH7377">
        <v>47.948750281155803</v>
      </c>
      <c r="AI7377">
        <v>83.436853830473197</v>
      </c>
      <c r="AJ7377">
        <v>97.2765530613827</v>
      </c>
      <c r="AK7377">
        <v>48.656921243064701</v>
      </c>
      <c r="AL7377">
        <v>87.079393282487999</v>
      </c>
      <c r="AM7377">
        <v>92.859107398238095</v>
      </c>
      <c r="AN7377">
        <v>0.99999997496162996</v>
      </c>
    </row>
    <row r="7378" spans="1:40" x14ac:dyDescent="0.25">
      <c r="A7378" t="str">
        <f>"20190312160828725"</f>
        <v>20190312160828725</v>
      </c>
      <c r="B7378" t="str">
        <f>"1552378108723055"</f>
        <v>1552378108723055</v>
      </c>
      <c r="C7378" t="s">
        <v>40</v>
      </c>
      <c r="D7378">
        <v>6.7223399999999902</v>
      </c>
      <c r="E7378">
        <v>0.47110970000000002</v>
      </c>
      <c r="F7378" t="s">
        <v>52</v>
      </c>
      <c r="G7378">
        <v>-168.13499999999999</v>
      </c>
      <c r="H7378">
        <v>6.6740880000000002</v>
      </c>
      <c r="I7378">
        <v>-56.022010000000002</v>
      </c>
      <c r="J7378">
        <v>-216.90379999999999</v>
      </c>
      <c r="K7378">
        <v>1.1127450000000001</v>
      </c>
      <c r="L7378">
        <v>-63.633580000000002</v>
      </c>
      <c r="M7378">
        <v>0.99952319999999995</v>
      </c>
      <c r="N7378">
        <v>0</v>
      </c>
      <c r="O7378">
        <v>2.738465E-2</v>
      </c>
      <c r="P7378">
        <v>0.99630839999999998</v>
      </c>
      <c r="Q7378">
        <v>3.732829E-2</v>
      </c>
      <c r="R7378">
        <v>7.7307219999999996E-2</v>
      </c>
      <c r="S7378">
        <v>2.9633180000000001</v>
      </c>
      <c r="T7378">
        <v>0.3369143</v>
      </c>
      <c r="U7378">
        <v>0.46145629999999999</v>
      </c>
      <c r="V7378">
        <v>-5.033017E-2</v>
      </c>
      <c r="W7378">
        <v>5.1239760000000002E-2</v>
      </c>
      <c r="X7378">
        <v>0.99741729999999995</v>
      </c>
      <c r="Y7378">
        <v>-0.12612889999999999</v>
      </c>
      <c r="Z7378">
        <v>-4.0212009999999899E-3</v>
      </c>
      <c r="AA7378">
        <v>0.99200569999999999</v>
      </c>
      <c r="AB7378">
        <v>29</v>
      </c>
      <c r="AC7378">
        <v>48.768799999999999</v>
      </c>
      <c r="AD7378">
        <v>5.5613429999999999</v>
      </c>
      <c r="AE7378">
        <v>7.6115700000000004</v>
      </c>
      <c r="AF7378">
        <v>-6.1944259894722897</v>
      </c>
      <c r="AG7378">
        <v>5.5613429999999999</v>
      </c>
      <c r="AH7378">
        <v>48.345238929661399</v>
      </c>
      <c r="AI7378">
        <v>83.490637159307894</v>
      </c>
      <c r="AJ7378">
        <v>97.301466884480902</v>
      </c>
      <c r="AK7378">
        <v>49.056717954514099</v>
      </c>
      <c r="AL7378">
        <v>87.062891682175604</v>
      </c>
      <c r="AM7378">
        <v>92.888723204296596</v>
      </c>
      <c r="AN7378">
        <v>0.99999995467818703</v>
      </c>
    </row>
    <row r="7379" spans="1:40" x14ac:dyDescent="0.25">
      <c r="A7379" t="str">
        <f>"20190312160828738"</f>
        <v>20190312160828738</v>
      </c>
      <c r="B7379" t="str">
        <f>"1552378108732813"</f>
        <v>1552378108732813</v>
      </c>
      <c r="C7379" t="s">
        <v>40</v>
      </c>
      <c r="D7379">
        <v>6.3706100000000001</v>
      </c>
      <c r="E7379">
        <v>0.4713503</v>
      </c>
      <c r="F7379" t="s">
        <v>52</v>
      </c>
      <c r="G7379">
        <v>-168.29249999999999</v>
      </c>
      <c r="H7379">
        <v>6.6740880000000002</v>
      </c>
      <c r="I7379">
        <v>-56.02948</v>
      </c>
      <c r="J7379">
        <v>-216.74449999999999</v>
      </c>
      <c r="K7379">
        <v>1.1127990000000001</v>
      </c>
      <c r="L7379">
        <v>-63.62726</v>
      </c>
      <c r="M7379">
        <v>0.99946599999999997</v>
      </c>
      <c r="N7379">
        <v>0</v>
      </c>
      <c r="O7379">
        <v>2.9395649999999999E-2</v>
      </c>
      <c r="P7379">
        <v>0.99607089999999998</v>
      </c>
      <c r="Q7379">
        <v>3.799748E-2</v>
      </c>
      <c r="R7379">
        <v>7.9996139999999993E-2</v>
      </c>
      <c r="S7379">
        <v>2.9624790000000001</v>
      </c>
      <c r="T7379">
        <v>0.33891870000000002</v>
      </c>
      <c r="U7379">
        <v>0.46340940000000003</v>
      </c>
      <c r="V7379">
        <v>-5.1028509999999999E-2</v>
      </c>
      <c r="W7379">
        <v>5.1898350000000003E-2</v>
      </c>
      <c r="X7379">
        <v>0.99734780000000001</v>
      </c>
      <c r="Y7379">
        <v>-0.1248276</v>
      </c>
      <c r="Z7379">
        <v>-3.7445030000000002E-3</v>
      </c>
      <c r="AA7379">
        <v>0.99217129999999998</v>
      </c>
      <c r="AB7379">
        <v>29</v>
      </c>
      <c r="AC7379">
        <v>48.451999999999998</v>
      </c>
      <c r="AD7379">
        <v>5.5612890000000004</v>
      </c>
      <c r="AE7379">
        <v>7.5977799999999904</v>
      </c>
      <c r="AF7379">
        <v>-6.0917445244874298</v>
      </c>
      <c r="AG7379">
        <v>5.5612890000000004</v>
      </c>
      <c r="AH7379">
        <v>48.036759246161203</v>
      </c>
      <c r="AI7379">
        <v>83.448189955749001</v>
      </c>
      <c r="AJ7379">
        <v>97.227341787858194</v>
      </c>
      <c r="AK7379">
        <v>48.739794065699598</v>
      </c>
      <c r="AL7379">
        <v>87.025107084937105</v>
      </c>
      <c r="AM7379">
        <v>92.928939176642203</v>
      </c>
      <c r="AN7379">
        <v>0.99999999086519098</v>
      </c>
    </row>
    <row r="7380" spans="1:40" x14ac:dyDescent="0.25">
      <c r="A7380" t="str">
        <f>"20190312160828749"</f>
        <v>20190312160828749</v>
      </c>
      <c r="B7380" t="str">
        <f>"1552378108742573"</f>
        <v>1552378108742573</v>
      </c>
      <c r="C7380" t="s">
        <v>40</v>
      </c>
      <c r="D7380">
        <v>6.3638159999999999</v>
      </c>
      <c r="E7380">
        <v>0.47154550000000001</v>
      </c>
      <c r="F7380" t="s">
        <v>52</v>
      </c>
      <c r="G7380">
        <v>-168.2919</v>
      </c>
      <c r="H7380">
        <v>6.6740890000000004</v>
      </c>
      <c r="I7380">
        <v>-55.941679999999998</v>
      </c>
      <c r="J7380">
        <v>-216.59809999999999</v>
      </c>
      <c r="K7380">
        <v>1.1128439999999999</v>
      </c>
      <c r="L7380">
        <v>-63.621090000000002</v>
      </c>
      <c r="M7380">
        <v>0.99940879999999999</v>
      </c>
      <c r="N7380">
        <v>0</v>
      </c>
      <c r="O7380">
        <v>3.1278019999999997E-2</v>
      </c>
      <c r="P7380">
        <v>0.9958553</v>
      </c>
      <c r="Q7380">
        <v>3.8577300000000002E-2</v>
      </c>
      <c r="R7380">
        <v>8.2363829999999999E-2</v>
      </c>
      <c r="S7380">
        <v>2.9611360000000002</v>
      </c>
      <c r="T7380">
        <v>0.33987129999999999</v>
      </c>
      <c r="U7380">
        <v>0.469696</v>
      </c>
      <c r="V7380">
        <v>-5.1531540000000001E-2</v>
      </c>
      <c r="W7380">
        <v>5.2470240000000001E-2</v>
      </c>
      <c r="X7380">
        <v>0.99729199999999996</v>
      </c>
      <c r="Y7380">
        <v>-0.125089899999999</v>
      </c>
      <c r="Z7380">
        <v>-3.557242E-3</v>
      </c>
      <c r="AA7380">
        <v>0.99213899999999999</v>
      </c>
      <c r="AB7380">
        <v>29</v>
      </c>
      <c r="AC7380">
        <v>48.306199999999897</v>
      </c>
      <c r="AD7380">
        <v>5.5612449999999898</v>
      </c>
      <c r="AE7380">
        <v>7.6794099999999901</v>
      </c>
      <c r="AF7380">
        <v>-6.0859029619434599</v>
      </c>
      <c r="AG7380">
        <v>5.5612449999999898</v>
      </c>
      <c r="AH7380">
        <v>47.903530624106899</v>
      </c>
      <c r="AI7380">
        <v>83.430366479773198</v>
      </c>
      <c r="AJ7380">
        <v>97.240353140570093</v>
      </c>
      <c r="AK7380">
        <v>48.607755626720397</v>
      </c>
      <c r="AL7380">
        <v>86.992295459841998</v>
      </c>
      <c r="AM7380">
        <v>92.9579263179957</v>
      </c>
      <c r="AN7380">
        <v>0.99999997948221397</v>
      </c>
    </row>
    <row r="7381" spans="1:40" x14ac:dyDescent="0.25">
      <c r="A7381" t="str">
        <f>"20190312160828760"</f>
        <v>20190312160828760</v>
      </c>
      <c r="B7381" t="str">
        <f>"1552378108752333"</f>
        <v>1552378108752333</v>
      </c>
      <c r="C7381" t="s">
        <v>40</v>
      </c>
      <c r="D7381">
        <v>6.6317119999999896</v>
      </c>
      <c r="E7381">
        <v>0.47171410000000003</v>
      </c>
      <c r="F7381" t="s">
        <v>52</v>
      </c>
      <c r="G7381">
        <v>-168.30609999999999</v>
      </c>
      <c r="H7381">
        <v>6.6740880000000002</v>
      </c>
      <c r="I7381">
        <v>-55.86788</v>
      </c>
      <c r="J7381">
        <v>-216.4631</v>
      </c>
      <c r="K7381">
        <v>1.112889</v>
      </c>
      <c r="L7381">
        <v>-63.615110000000001</v>
      </c>
      <c r="M7381">
        <v>0.99935220000000002</v>
      </c>
      <c r="N7381">
        <v>0</v>
      </c>
      <c r="O7381">
        <v>3.303702E-2</v>
      </c>
      <c r="P7381">
        <v>0.99565020000000004</v>
      </c>
      <c r="Q7381">
        <v>3.8472480000000003E-2</v>
      </c>
      <c r="R7381">
        <v>8.4858509999999998E-2</v>
      </c>
      <c r="S7381">
        <v>2.9599760000000002</v>
      </c>
      <c r="T7381">
        <v>0.340866</v>
      </c>
      <c r="U7381">
        <v>0.47521970000000002</v>
      </c>
      <c r="V7381">
        <v>-5.2279399999999997E-2</v>
      </c>
      <c r="W7381">
        <v>5.2356439999999997E-2</v>
      </c>
      <c r="X7381">
        <v>0.99725909999999995</v>
      </c>
      <c r="Y7381">
        <v>-0.1252162</v>
      </c>
      <c r="Z7381">
        <v>-3.3753580000000002E-3</v>
      </c>
      <c r="AA7381">
        <v>0.99212370000000005</v>
      </c>
      <c r="AB7381">
        <v>29</v>
      </c>
      <c r="AC7381">
        <v>48.156999999999996</v>
      </c>
      <c r="AD7381">
        <v>5.5611990000000002</v>
      </c>
      <c r="AE7381">
        <v>7.7472299999999796</v>
      </c>
      <c r="AF7381">
        <v>-6.0729302138428203</v>
      </c>
      <c r="AG7381">
        <v>5.5611990000000002</v>
      </c>
      <c r="AH7381">
        <v>47.765755417407803</v>
      </c>
      <c r="AI7381">
        <v>83.411714931605104</v>
      </c>
      <c r="AJ7381">
        <v>97.245701635258897</v>
      </c>
      <c r="AK7381">
        <v>48.470349764525402</v>
      </c>
      <c r="AL7381">
        <v>86.998824823508201</v>
      </c>
      <c r="AM7381">
        <v>93.000874632407999</v>
      </c>
      <c r="AN7381">
        <v>1.0000000225033201</v>
      </c>
    </row>
    <row r="7382" spans="1:40" x14ac:dyDescent="0.25">
      <c r="A7382" t="str">
        <f>"20190312160828769"</f>
        <v>20190312160828769</v>
      </c>
      <c r="B7382" t="str">
        <f>"1552378108763069"</f>
        <v>1552378108763069</v>
      </c>
      <c r="C7382" t="s">
        <v>40</v>
      </c>
      <c r="D7382">
        <v>6.6214149999999998</v>
      </c>
      <c r="E7382">
        <v>0.47191100000000002</v>
      </c>
      <c r="F7382" t="s">
        <v>52</v>
      </c>
      <c r="G7382">
        <v>-168.0958</v>
      </c>
      <c r="H7382">
        <v>6.6740880000000002</v>
      </c>
      <c r="I7382">
        <v>-55.7468</v>
      </c>
      <c r="J7382">
        <v>-216.3254</v>
      </c>
      <c r="K7382">
        <v>1.1129309999999999</v>
      </c>
      <c r="L7382">
        <v>-63.608800000000002</v>
      </c>
      <c r="M7382">
        <v>0.99929049999999997</v>
      </c>
      <c r="N7382">
        <v>0</v>
      </c>
      <c r="O7382">
        <v>3.4852580000000001E-2</v>
      </c>
      <c r="P7382">
        <v>0.99547169999999896</v>
      </c>
      <c r="Q7382">
        <v>3.8838419999999998E-2</v>
      </c>
      <c r="R7382">
        <v>8.6763750000000001E-2</v>
      </c>
      <c r="S7382">
        <v>2.958939</v>
      </c>
      <c r="T7382">
        <v>0.34021249999999997</v>
      </c>
      <c r="U7382">
        <v>0.4813538</v>
      </c>
      <c r="V7382">
        <v>-5.2384449999999999E-2</v>
      </c>
      <c r="W7382">
        <v>5.2717380000000001E-2</v>
      </c>
      <c r="X7382">
        <v>0.99723450000000002</v>
      </c>
      <c r="Y7382">
        <v>-0.1254847</v>
      </c>
      <c r="Z7382">
        <v>-3.17849E-3</v>
      </c>
      <c r="AA7382">
        <v>0.99209049999999999</v>
      </c>
      <c r="AB7382">
        <v>29</v>
      </c>
      <c r="AC7382">
        <v>48.229599999999998</v>
      </c>
      <c r="AD7382">
        <v>5.5611569999999997</v>
      </c>
      <c r="AE7382">
        <v>7.8620000000000001</v>
      </c>
      <c r="AF7382">
        <v>-6.0971591720028702</v>
      </c>
      <c r="AG7382">
        <v>5.5611569999999997</v>
      </c>
      <c r="AH7382">
        <v>47.854553284891203</v>
      </c>
      <c r="AI7382">
        <v>83.424102805076004</v>
      </c>
      <c r="AJ7382">
        <v>97.260946671412995</v>
      </c>
      <c r="AK7382">
        <v>48.560890511232202</v>
      </c>
      <c r="AL7382">
        <v>86.978115667636004</v>
      </c>
      <c r="AM7382">
        <v>93.006967560984705</v>
      </c>
      <c r="AN7382">
        <v>0.999999950373057</v>
      </c>
    </row>
    <row r="7383" spans="1:40" x14ac:dyDescent="0.25">
      <c r="A7383" t="str">
        <f>"20190312160828781"</f>
        <v>20190312160828781</v>
      </c>
      <c r="B7383" t="str">
        <f>"1552378108772829"</f>
        <v>1552378108772829</v>
      </c>
      <c r="C7383" t="s">
        <v>40</v>
      </c>
      <c r="D7383">
        <v>6.6215580000000003</v>
      </c>
      <c r="E7383">
        <v>0.47217409999999999</v>
      </c>
      <c r="F7383" t="s">
        <v>52</v>
      </c>
      <c r="G7383">
        <v>-168.04599999999999</v>
      </c>
      <c r="H7383">
        <v>6.6740880000000002</v>
      </c>
      <c r="I7383">
        <v>-55.683160000000001</v>
      </c>
      <c r="J7383">
        <v>-216.18729999999999</v>
      </c>
      <c r="K7383">
        <v>1.1129770000000001</v>
      </c>
      <c r="L7383">
        <v>-63.602110000000003</v>
      </c>
      <c r="M7383">
        <v>0.99922409999999995</v>
      </c>
      <c r="N7383">
        <v>0</v>
      </c>
      <c r="O7383">
        <v>3.6705130000000002E-2</v>
      </c>
      <c r="P7383">
        <v>0.99530870000000005</v>
      </c>
      <c r="Q7383">
        <v>3.8881850000000003E-2</v>
      </c>
      <c r="R7383">
        <v>8.8593329999999998E-2</v>
      </c>
      <c r="S7383">
        <v>2.9580380000000002</v>
      </c>
      <c r="T7383">
        <v>0.34072529999999901</v>
      </c>
      <c r="U7383">
        <v>0.48559570000000002</v>
      </c>
      <c r="V7383">
        <v>-5.237435E-2</v>
      </c>
      <c r="W7383">
        <v>5.2757369999999998E-2</v>
      </c>
      <c r="X7383">
        <v>0.99723300000000004</v>
      </c>
      <c r="Y7383">
        <v>-0.1250916</v>
      </c>
      <c r="Z7383">
        <v>-2.9505489999999998E-3</v>
      </c>
      <c r="AA7383">
        <v>0.99214080000000004</v>
      </c>
      <c r="AB7383">
        <v>29</v>
      </c>
      <c r="AC7383">
        <v>48.141300000000001</v>
      </c>
      <c r="AD7383">
        <v>5.5611110000000004</v>
      </c>
      <c r="AE7383">
        <v>7.9189499999999899</v>
      </c>
      <c r="AF7383">
        <v>-6.0675669561045797</v>
      </c>
      <c r="AG7383">
        <v>5.5611110000000004</v>
      </c>
      <c r="AH7383">
        <v>47.778783185076499</v>
      </c>
      <c r="AI7383">
        <v>83.413478929035094</v>
      </c>
      <c r="AJ7383">
        <v>97.237417556353904</v>
      </c>
      <c r="AK7383">
        <v>48.482506607720701</v>
      </c>
      <c r="AL7383">
        <v>86.975821470903</v>
      </c>
      <c r="AM7383">
        <v>93.006393379142295</v>
      </c>
      <c r="AN7383">
        <v>1.0000000344581099</v>
      </c>
    </row>
    <row r="7384" spans="1:40" x14ac:dyDescent="0.25">
      <c r="A7384" t="str">
        <f>"20190312160828792"</f>
        <v>20190312160828792</v>
      </c>
      <c r="B7384" t="str">
        <f>"1552378108782589"</f>
        <v>1552378108782589</v>
      </c>
      <c r="C7384" t="s">
        <v>40</v>
      </c>
      <c r="D7384">
        <v>5.8556660000000003</v>
      </c>
      <c r="E7384">
        <v>0.472418</v>
      </c>
      <c r="F7384" t="s">
        <v>52</v>
      </c>
      <c r="G7384">
        <v>-167.9247</v>
      </c>
      <c r="H7384">
        <v>6.6740880000000002</v>
      </c>
      <c r="I7384">
        <v>-55.625010000000003</v>
      </c>
      <c r="J7384">
        <v>-216.03790000000001</v>
      </c>
      <c r="K7384">
        <v>1.1130230000000001</v>
      </c>
      <c r="L7384">
        <v>-63.594700000000003</v>
      </c>
      <c r="M7384">
        <v>0.99914769999999997</v>
      </c>
      <c r="N7384">
        <v>0</v>
      </c>
      <c r="O7384">
        <v>3.8725669999999997E-2</v>
      </c>
      <c r="P7384">
        <v>0.99510370000000004</v>
      </c>
      <c r="Q7384">
        <v>3.873824E-2</v>
      </c>
      <c r="R7384">
        <v>9.0928830000000002E-2</v>
      </c>
      <c r="S7384">
        <v>2.9573209999999999</v>
      </c>
      <c r="T7384">
        <v>0.34075840000000002</v>
      </c>
      <c r="U7384">
        <v>0.48880000000000001</v>
      </c>
      <c r="V7384">
        <v>-5.2702400000000003E-2</v>
      </c>
      <c r="W7384">
        <v>5.2607859999999999E-2</v>
      </c>
      <c r="X7384">
        <v>0.99722359999999999</v>
      </c>
      <c r="Y7384">
        <v>-0.12418899999999999</v>
      </c>
      <c r="Z7384">
        <v>-2.6697719999999999E-3</v>
      </c>
      <c r="AA7384">
        <v>0.992255</v>
      </c>
      <c r="AB7384">
        <v>29</v>
      </c>
      <c r="AC7384">
        <v>48.113199999999999</v>
      </c>
      <c r="AD7384">
        <v>5.5610650000000001</v>
      </c>
      <c r="AE7384">
        <v>7.9696899999999999</v>
      </c>
      <c r="AF7384">
        <v>-6.0220024149156197</v>
      </c>
      <c r="AG7384">
        <v>5.5610650000000001</v>
      </c>
      <c r="AH7384">
        <v>47.764697533687801</v>
      </c>
      <c r="AI7384">
        <v>83.410862249873603</v>
      </c>
      <c r="AJ7384">
        <v>97.185734179723696</v>
      </c>
      <c r="AK7384">
        <v>48.4629372562597</v>
      </c>
      <c r="AL7384">
        <v>86.984399628892803</v>
      </c>
      <c r="AM7384">
        <v>93.025217704762994</v>
      </c>
      <c r="AN7384">
        <v>1.0000000191482401</v>
      </c>
    </row>
    <row r="7385" spans="1:40" x14ac:dyDescent="0.25">
      <c r="A7385" t="str">
        <f>"20190312160828803"</f>
        <v>20190312160828803</v>
      </c>
      <c r="B7385" t="str">
        <f>"1552378108792349"</f>
        <v>1552378108792349</v>
      </c>
      <c r="C7385" t="s">
        <v>40</v>
      </c>
      <c r="D7385">
        <v>6.0025839999999997</v>
      </c>
      <c r="E7385">
        <v>0.4722713</v>
      </c>
      <c r="F7385" t="s">
        <v>52</v>
      </c>
      <c r="G7385">
        <v>-167.7388</v>
      </c>
      <c r="H7385">
        <v>6.6740890000000004</v>
      </c>
      <c r="I7385">
        <v>-55.528289999999998</v>
      </c>
      <c r="J7385">
        <v>-215.90260000000001</v>
      </c>
      <c r="K7385">
        <v>1.1130599999999999</v>
      </c>
      <c r="L7385">
        <v>-63.587519999999998</v>
      </c>
      <c r="M7385">
        <v>0.99907369999999995</v>
      </c>
      <c r="N7385">
        <v>0</v>
      </c>
      <c r="O7385">
        <v>4.0595260000000001E-2</v>
      </c>
      <c r="P7385">
        <v>0.99489850000000002</v>
      </c>
      <c r="Q7385">
        <v>3.9334470000000003E-2</v>
      </c>
      <c r="R7385">
        <v>9.2898690000000006E-2</v>
      </c>
      <c r="S7385">
        <v>2.9563899999999999</v>
      </c>
      <c r="T7385">
        <v>0.34039140000000001</v>
      </c>
      <c r="U7385">
        <v>0.49374390000000001</v>
      </c>
      <c r="V7385">
        <v>-5.282104E-2</v>
      </c>
      <c r="W7385">
        <v>5.319927E-2</v>
      </c>
      <c r="X7385">
        <v>0.99718589999999996</v>
      </c>
      <c r="Y7385">
        <v>-0.1240116</v>
      </c>
      <c r="Z7385">
        <v>-2.4446659999999999E-3</v>
      </c>
      <c r="AA7385">
        <v>0.99227770000000004</v>
      </c>
      <c r="AB7385">
        <v>29</v>
      </c>
      <c r="AC7385">
        <v>48.163800000000002</v>
      </c>
      <c r="AD7385">
        <v>5.5610290000000004</v>
      </c>
      <c r="AE7385">
        <v>8.0592299999999906</v>
      </c>
      <c r="AF7385">
        <v>-6.01910764655576</v>
      </c>
      <c r="AG7385">
        <v>5.5610290000000004</v>
      </c>
      <c r="AH7385">
        <v>47.831012118314</v>
      </c>
      <c r="AI7385">
        <v>83.419769407275695</v>
      </c>
      <c r="AJ7385">
        <v>97.172462050543402</v>
      </c>
      <c r="AK7385">
        <v>48.527934436383802</v>
      </c>
      <c r="AL7385">
        <v>86.950466669154196</v>
      </c>
      <c r="AM7385">
        <v>93.032129588712195</v>
      </c>
      <c r="AN7385">
        <v>0.99999997187701095</v>
      </c>
    </row>
    <row r="7386" spans="1:40" x14ac:dyDescent="0.25">
      <c r="A7386" t="str">
        <f>"20190312160828814"</f>
        <v>20190312160828814</v>
      </c>
      <c r="B7386" t="str">
        <f>"1552378108803086"</f>
        <v>1552378108803086</v>
      </c>
      <c r="C7386" t="s">
        <v>40</v>
      </c>
      <c r="D7386">
        <v>6.7582369999999896</v>
      </c>
      <c r="E7386">
        <v>0.4722713</v>
      </c>
      <c r="F7386" t="s">
        <v>52</v>
      </c>
      <c r="G7386">
        <v>-167.85</v>
      </c>
      <c r="H7386">
        <v>6.6740880000000002</v>
      </c>
      <c r="I7386">
        <v>-55.446159999999999</v>
      </c>
      <c r="J7386">
        <v>-215.75909999999999</v>
      </c>
      <c r="K7386">
        <v>1.1131059999999999</v>
      </c>
      <c r="L7386">
        <v>-63.579799999999999</v>
      </c>
      <c r="M7386">
        <v>0.99899070000000001</v>
      </c>
      <c r="N7386">
        <v>0</v>
      </c>
      <c r="O7386">
        <v>4.2586800000000001E-2</v>
      </c>
      <c r="P7386">
        <v>0.99467680000000003</v>
      </c>
      <c r="Q7386">
        <v>3.9843999999999997E-2</v>
      </c>
      <c r="R7386">
        <v>9.5028269999999998E-2</v>
      </c>
      <c r="S7386">
        <v>2.9551090000000002</v>
      </c>
      <c r="T7386">
        <v>0.34198689999999998</v>
      </c>
      <c r="U7386">
        <v>0.50067139999999999</v>
      </c>
      <c r="V7386">
        <v>-5.2977940000000001E-2</v>
      </c>
      <c r="W7386">
        <v>5.3703510000000003E-2</v>
      </c>
      <c r="X7386">
        <v>0.9971506</v>
      </c>
      <c r="Y7386">
        <v>-0.1243711</v>
      </c>
      <c r="Z7386">
        <v>-2.2496870000000002E-3</v>
      </c>
      <c r="AA7386">
        <v>0.99223320000000004</v>
      </c>
      <c r="AB7386">
        <v>29</v>
      </c>
      <c r="AC7386">
        <v>47.909100000000002</v>
      </c>
      <c r="AD7386">
        <v>5.5609820000000001</v>
      </c>
      <c r="AE7386">
        <v>8.1336399999999998</v>
      </c>
      <c r="AF7386">
        <v>-6.0070894427449799</v>
      </c>
      <c r="AG7386">
        <v>5.5609820000000001</v>
      </c>
      <c r="AH7386">
        <v>47.588841694806</v>
      </c>
      <c r="AI7386">
        <v>83.386950562556393</v>
      </c>
      <c r="AJ7386">
        <v>97.194336101217999</v>
      </c>
      <c r="AK7386">
        <v>48.287757229247703</v>
      </c>
      <c r="AL7386">
        <v>86.921534645151098</v>
      </c>
      <c r="AM7386">
        <v>93.041226823221095</v>
      </c>
      <c r="AN7386">
        <v>1.00000002409666</v>
      </c>
    </row>
    <row r="7387" spans="1:40" x14ac:dyDescent="0.25">
      <c r="A7387" t="str">
        <f>"20190312160828826"</f>
        <v>20190312160828826</v>
      </c>
      <c r="B7387" t="str">
        <f>"1552378108822605"</f>
        <v>1552378108822605</v>
      </c>
      <c r="C7387" t="s">
        <v>40</v>
      </c>
      <c r="D7387">
        <v>6.7277979999999999</v>
      </c>
      <c r="E7387">
        <v>0.43676110000000001</v>
      </c>
      <c r="F7387" t="s">
        <v>52</v>
      </c>
      <c r="G7387">
        <v>-167.94409999999999</v>
      </c>
      <c r="H7387">
        <v>6.6740880000000002</v>
      </c>
      <c r="I7387">
        <v>-55.372999999999998</v>
      </c>
      <c r="J7387">
        <v>-215.6147</v>
      </c>
      <c r="K7387">
        <v>1.113151</v>
      </c>
      <c r="L7387">
        <v>-63.571530000000003</v>
      </c>
      <c r="M7387">
        <v>0.99890100000000004</v>
      </c>
      <c r="N7387">
        <v>0</v>
      </c>
      <c r="O7387">
        <v>4.4637530000000002E-2</v>
      </c>
      <c r="P7387">
        <v>0.99448419999999904</v>
      </c>
      <c r="Q7387">
        <v>4.0088609999999997E-2</v>
      </c>
      <c r="R7387">
        <v>9.6923919999999997E-2</v>
      </c>
      <c r="S7387">
        <v>2.9538570000000002</v>
      </c>
      <c r="T7387">
        <v>0.34353800000000001</v>
      </c>
      <c r="U7387">
        <v>0.50698849999999995</v>
      </c>
      <c r="V7387">
        <v>-5.2838889999999999E-2</v>
      </c>
      <c r="W7387">
        <v>5.394587E-2</v>
      </c>
      <c r="X7387">
        <v>0.9971449</v>
      </c>
      <c r="Y7387">
        <v>-0.1244733</v>
      </c>
      <c r="Z7387">
        <v>-2.030886E-3</v>
      </c>
      <c r="AA7387">
        <v>0.99222089999999996</v>
      </c>
      <c r="AB7387">
        <v>29</v>
      </c>
      <c r="AC7387">
        <v>47.6706</v>
      </c>
      <c r="AD7387">
        <v>5.560937</v>
      </c>
      <c r="AE7387">
        <v>8.1985299999999892</v>
      </c>
      <c r="AF7387">
        <v>-5.9831613154371501</v>
      </c>
      <c r="AG7387">
        <v>5.560937</v>
      </c>
      <c r="AH7387">
        <v>47.363072712893697</v>
      </c>
      <c r="AI7387">
        <v>83.355841118573693</v>
      </c>
      <c r="AJ7387">
        <v>97.199778263602795</v>
      </c>
      <c r="AK7387">
        <v>48.062281432027</v>
      </c>
      <c r="AL7387">
        <v>86.907628294968205</v>
      </c>
      <c r="AM7387">
        <v>93.033276816369195</v>
      </c>
      <c r="AN7387">
        <v>1.00000002839124</v>
      </c>
    </row>
    <row r="7388" spans="1:40" x14ac:dyDescent="0.25">
      <c r="A7388" t="str">
        <f>"20190312160828837"</f>
        <v>20190312160828837</v>
      </c>
      <c r="B7388" t="str">
        <f>"1552378108832369"</f>
        <v>1552378108832369</v>
      </c>
      <c r="C7388" t="s">
        <v>40</v>
      </c>
      <c r="D7388">
        <v>6.6901960000000003</v>
      </c>
      <c r="E7388">
        <v>0.4370657</v>
      </c>
      <c r="F7388" t="s">
        <v>52</v>
      </c>
      <c r="G7388">
        <v>-169.244</v>
      </c>
      <c r="H7388">
        <v>6.9004529999999997</v>
      </c>
      <c r="I7388">
        <v>-50.973979999999997</v>
      </c>
      <c r="J7388">
        <v>-215.46860000000001</v>
      </c>
      <c r="K7388">
        <v>1.1131949999999999</v>
      </c>
      <c r="L7388">
        <v>-63.562959999999997</v>
      </c>
      <c r="M7388">
        <v>0.99880550000000001</v>
      </c>
      <c r="N7388">
        <v>0</v>
      </c>
      <c r="O7388">
        <v>4.6724910000000001E-2</v>
      </c>
      <c r="P7388">
        <v>0.99426049999999999</v>
      </c>
      <c r="Q7388">
        <v>4.0818430000000003E-2</v>
      </c>
      <c r="R7388">
        <v>9.8891900000000005E-2</v>
      </c>
      <c r="S7388">
        <v>2.9244840000000001</v>
      </c>
      <c r="T7388">
        <v>0.3649887</v>
      </c>
      <c r="U7388">
        <v>0.79449459999999905</v>
      </c>
      <c r="V7388">
        <v>-5.2741240000000002E-2</v>
      </c>
      <c r="W7388">
        <v>5.4672930000000002E-2</v>
      </c>
      <c r="X7388">
        <v>0.99711039999999995</v>
      </c>
      <c r="Y7388">
        <v>-0.2155696</v>
      </c>
      <c r="Z7388">
        <v>-7.4672879999999999E-3</v>
      </c>
      <c r="AA7388">
        <v>0.97645990000000005</v>
      </c>
      <c r="AB7388">
        <v>29</v>
      </c>
      <c r="AC7388">
        <v>46.224599999999903</v>
      </c>
      <c r="AD7388">
        <v>5.7872579999999996</v>
      </c>
      <c r="AE7388">
        <v>12.588979999999999</v>
      </c>
      <c r="AF7388">
        <v>-10.2653703391262</v>
      </c>
      <c r="AG7388">
        <v>5.7872579999999996</v>
      </c>
      <c r="AH7388">
        <v>46.0898221640782</v>
      </c>
      <c r="AI7388">
        <v>83.012583416604699</v>
      </c>
      <c r="AJ7388">
        <v>102.556273611243</v>
      </c>
      <c r="AK7388">
        <v>47.572490900459798</v>
      </c>
      <c r="AL7388">
        <v>86.865909036413299</v>
      </c>
      <c r="AM7388">
        <v>93.027786108747407</v>
      </c>
      <c r="AN7388">
        <v>0.99999995872984004</v>
      </c>
    </row>
    <row r="7389" spans="1:40" x14ac:dyDescent="0.25">
      <c r="A7389" t="str">
        <f>"20190312160828848"</f>
        <v>20190312160828848</v>
      </c>
      <c r="B7389" t="str">
        <f>"1552378108843102"</f>
        <v>1552378108843102</v>
      </c>
      <c r="C7389" t="s">
        <v>40</v>
      </c>
      <c r="D7389">
        <v>8.9354759999999995</v>
      </c>
      <c r="E7389">
        <v>0.43392639999999999</v>
      </c>
      <c r="F7389" t="s">
        <v>52</v>
      </c>
      <c r="G7389">
        <v>-169.244</v>
      </c>
      <c r="H7389">
        <v>7.1166479999999996</v>
      </c>
      <c r="I7389">
        <v>-50.94585</v>
      </c>
      <c r="J7389">
        <v>-215.31780000000001</v>
      </c>
      <c r="K7389">
        <v>1.1132359999999999</v>
      </c>
      <c r="L7389">
        <v>-63.55368</v>
      </c>
      <c r="M7389">
        <v>0.9987009</v>
      </c>
      <c r="N7389">
        <v>0</v>
      </c>
      <c r="O7389">
        <v>4.8911459999999997E-2</v>
      </c>
      <c r="P7389">
        <v>0.99398830000000005</v>
      </c>
      <c r="Q7389">
        <v>4.197948E-2</v>
      </c>
      <c r="R7389">
        <v>0.10111920000000001</v>
      </c>
      <c r="S7389">
        <v>2.9223789999999998</v>
      </c>
      <c r="T7389">
        <v>0.3795443</v>
      </c>
      <c r="U7389">
        <v>0.7976685</v>
      </c>
      <c r="V7389">
        <v>-5.2808689999999998E-2</v>
      </c>
      <c r="W7389">
        <v>5.5829400000000001E-2</v>
      </c>
      <c r="X7389">
        <v>0.99704280000000001</v>
      </c>
      <c r="Y7389">
        <v>-0.21452289999999999</v>
      </c>
      <c r="Z7389">
        <v>-7.4239350000000004E-3</v>
      </c>
      <c r="AA7389">
        <v>0.97669079999999997</v>
      </c>
      <c r="AB7389">
        <v>29</v>
      </c>
      <c r="AC7389">
        <v>46.073799999999899</v>
      </c>
      <c r="AD7389">
        <v>6.0034119999999902</v>
      </c>
      <c r="AE7389">
        <v>12.60783</v>
      </c>
      <c r="AF7389">
        <v>-10.178202189464301</v>
      </c>
      <c r="AG7389">
        <v>6.0034119999999902</v>
      </c>
      <c r="AH7389">
        <v>45.910208828511301</v>
      </c>
      <c r="AI7389">
        <v>82.724718390581998</v>
      </c>
      <c r="AJ7389">
        <v>102.500183106259</v>
      </c>
      <c r="AK7389">
        <v>47.406582139286101</v>
      </c>
      <c r="AL7389">
        <v>86.799546982433995</v>
      </c>
      <c r="AM7389">
        <v>93.031856245378293</v>
      </c>
      <c r="AN7389">
        <v>1.0000000123378501</v>
      </c>
    </row>
    <row r="7390" spans="1:40" x14ac:dyDescent="0.25">
      <c r="A7390" t="str">
        <f>"20190312160828860"</f>
        <v>20190312160828860</v>
      </c>
      <c r="B7390" t="str">
        <f>"1552378108852861"</f>
        <v>1552378108852861</v>
      </c>
      <c r="C7390" t="s">
        <v>40</v>
      </c>
      <c r="D7390">
        <v>6.4890169999999996</v>
      </c>
      <c r="E7390">
        <v>0.43225649999999899</v>
      </c>
      <c r="F7390" t="s">
        <v>52</v>
      </c>
      <c r="G7390">
        <v>-169.244</v>
      </c>
      <c r="H7390">
        <v>7.2348439999999998</v>
      </c>
      <c r="I7390">
        <v>-50.461030000000001</v>
      </c>
      <c r="J7390">
        <v>-215.17490000000001</v>
      </c>
      <c r="K7390">
        <v>1.1132709999999999</v>
      </c>
      <c r="L7390">
        <v>-63.544589999999999</v>
      </c>
      <c r="M7390">
        <v>0.99859609999999999</v>
      </c>
      <c r="N7390">
        <v>0</v>
      </c>
      <c r="O7390">
        <v>5.1006790000000003E-2</v>
      </c>
      <c r="P7390">
        <v>0.99378960000000005</v>
      </c>
      <c r="Q7390">
        <v>4.2535280000000002E-2</v>
      </c>
      <c r="R7390">
        <v>0.1028269</v>
      </c>
      <c r="S7390">
        <v>2.9174500000000001</v>
      </c>
      <c r="T7390">
        <v>0.38762550000000001</v>
      </c>
      <c r="U7390">
        <v>0.82904049999999996</v>
      </c>
      <c r="V7390">
        <v>-5.2440019999999997E-2</v>
      </c>
      <c r="W7390">
        <v>5.638547E-2</v>
      </c>
      <c r="X7390">
        <v>0.997031</v>
      </c>
      <c r="Y7390">
        <v>-0.22252859999999999</v>
      </c>
      <c r="Z7390">
        <v>-7.8314209999999999E-3</v>
      </c>
      <c r="AA7390">
        <v>0.9748947</v>
      </c>
      <c r="AB7390">
        <v>29</v>
      </c>
      <c r="AC7390">
        <v>45.930899999999902</v>
      </c>
      <c r="AD7390">
        <v>6.1215729999999997</v>
      </c>
      <c r="AE7390">
        <v>13.08356</v>
      </c>
      <c r="AF7390">
        <v>-10.5501611979298</v>
      </c>
      <c r="AG7390">
        <v>6.1215729999999997</v>
      </c>
      <c r="AH7390">
        <v>45.786256848586703</v>
      </c>
      <c r="AI7390">
        <v>82.577033175476899</v>
      </c>
      <c r="AJ7390">
        <v>102.975726800679</v>
      </c>
      <c r="AK7390">
        <v>47.383128574434501</v>
      </c>
      <c r="AL7390">
        <v>86.767636359247007</v>
      </c>
      <c r="AM7390">
        <v>93.010764781665898</v>
      </c>
      <c r="AN7390">
        <v>1.00000004594285</v>
      </c>
    </row>
    <row r="7391" spans="1:40" x14ac:dyDescent="0.25">
      <c r="A7391" t="str">
        <f>"20190312160828870"</f>
        <v>20190312160828870</v>
      </c>
      <c r="B7391" t="str">
        <f>"1552378108862622"</f>
        <v>1552378108862622</v>
      </c>
      <c r="C7391" t="s">
        <v>40</v>
      </c>
      <c r="D7391">
        <v>6.4338360000000003</v>
      </c>
      <c r="E7391">
        <v>0.43120720000000001</v>
      </c>
      <c r="F7391" t="s">
        <v>52</v>
      </c>
      <c r="G7391">
        <v>-169.244</v>
      </c>
      <c r="H7391">
        <v>7.3458670000000001</v>
      </c>
      <c r="I7391">
        <v>-50.192059999999998</v>
      </c>
      <c r="J7391">
        <v>-215.03710000000001</v>
      </c>
      <c r="K7391">
        <v>1.113305</v>
      </c>
      <c r="L7391">
        <v>-63.535519999999998</v>
      </c>
      <c r="M7391">
        <v>0.99848970000000004</v>
      </c>
      <c r="N7391">
        <v>0</v>
      </c>
      <c r="O7391">
        <v>5.3046599999999999E-2</v>
      </c>
      <c r="P7391">
        <v>0.99355020000000005</v>
      </c>
      <c r="Q7391">
        <v>4.2784129999999997E-2</v>
      </c>
      <c r="R7391">
        <v>0.10501240000000001</v>
      </c>
      <c r="S7391">
        <v>2.9141539999999999</v>
      </c>
      <c r="T7391">
        <v>0.3954338</v>
      </c>
      <c r="U7391">
        <v>0.84716800000000003</v>
      </c>
      <c r="V7391">
        <v>-5.2603789999999997E-2</v>
      </c>
      <c r="W7391">
        <v>5.6630180000000002E-2</v>
      </c>
      <c r="X7391">
        <v>0.99700840000000002</v>
      </c>
      <c r="Y7391">
        <v>-0.22635569999999999</v>
      </c>
      <c r="Z7391">
        <v>-7.9745890000000007E-3</v>
      </c>
      <c r="AA7391">
        <v>0.97401210000000005</v>
      </c>
      <c r="AB7391">
        <v>29</v>
      </c>
      <c r="AC7391">
        <v>45.793099999999903</v>
      </c>
      <c r="AD7391">
        <v>6.2325619999999997</v>
      </c>
      <c r="AE7391">
        <v>13.34346</v>
      </c>
      <c r="AF7391">
        <v>-10.7123474533467</v>
      </c>
      <c r="AG7391">
        <v>6.2325619999999997</v>
      </c>
      <c r="AH7391">
        <v>45.656952073697902</v>
      </c>
      <c r="AI7391">
        <v>82.429782861951395</v>
      </c>
      <c r="AJ7391">
        <v>103.204289225959</v>
      </c>
      <c r="AK7391">
        <v>47.309158623938998</v>
      </c>
      <c r="AL7391">
        <v>86.753592735600193</v>
      </c>
      <c r="AM7391">
        <v>93.020218342927507</v>
      </c>
      <c r="AN7391">
        <v>0.99999994283987603</v>
      </c>
    </row>
    <row r="7392" spans="1:40" x14ac:dyDescent="0.25">
      <c r="A7392" t="str">
        <f>"20190312160828882"</f>
        <v>20190312160828882</v>
      </c>
      <c r="B7392" t="str">
        <f>"1552378108872381"</f>
        <v>1552378108872381</v>
      </c>
      <c r="C7392" t="s">
        <v>40</v>
      </c>
      <c r="D7392">
        <v>6.5338010000000004</v>
      </c>
      <c r="E7392">
        <v>0.43035669999999998</v>
      </c>
      <c r="F7392" t="s">
        <v>52</v>
      </c>
      <c r="G7392">
        <v>-169.244</v>
      </c>
      <c r="H7392">
        <v>7.3812990000000003</v>
      </c>
      <c r="I7392">
        <v>-49.97822</v>
      </c>
      <c r="J7392">
        <v>-214.89769999999999</v>
      </c>
      <c r="K7392">
        <v>1.1133329999999999</v>
      </c>
      <c r="L7392">
        <v>-63.525970000000001</v>
      </c>
      <c r="M7392">
        <v>0.99837629999999999</v>
      </c>
      <c r="N7392">
        <v>0</v>
      </c>
      <c r="O7392">
        <v>5.5138779999999998E-2</v>
      </c>
      <c r="P7392">
        <v>0.99328919999999998</v>
      </c>
      <c r="Q7392">
        <v>4.303618E-2</v>
      </c>
      <c r="R7392">
        <v>0.1073509</v>
      </c>
      <c r="S7392">
        <v>2.9112089999999999</v>
      </c>
      <c r="T7392">
        <v>0.39847349999999998</v>
      </c>
      <c r="U7392">
        <v>0.86187739999999902</v>
      </c>
      <c r="V7392">
        <v>-5.2868310000000002E-2</v>
      </c>
      <c r="W7392">
        <v>5.6877240000000003E-2</v>
      </c>
      <c r="X7392">
        <v>0.99698039999999999</v>
      </c>
      <c r="Y7392">
        <v>-0.2290817</v>
      </c>
      <c r="Z7392">
        <v>-7.9418790000000006E-3</v>
      </c>
      <c r="AA7392">
        <v>0.97337479999999998</v>
      </c>
      <c r="AB7392">
        <v>29</v>
      </c>
      <c r="AC7392">
        <v>45.653699999999901</v>
      </c>
      <c r="AD7392">
        <v>6.2679660000000004</v>
      </c>
      <c r="AE7392">
        <v>13.547749999999899</v>
      </c>
      <c r="AF7392">
        <v>-10.822106698595301</v>
      </c>
      <c r="AG7392">
        <v>6.2679660000000004</v>
      </c>
      <c r="AH7392">
        <v>45.542340146255</v>
      </c>
      <c r="AI7392">
        <v>82.373410062722797</v>
      </c>
      <c r="AJ7392">
        <v>103.367126571649</v>
      </c>
      <c r="AK7392">
        <v>47.228276881230002</v>
      </c>
      <c r="AL7392">
        <v>86.739414567989201</v>
      </c>
      <c r="AM7392">
        <v>93.035462375588907</v>
      </c>
      <c r="AN7392">
        <v>0.99999999830821595</v>
      </c>
    </row>
    <row r="7393" spans="1:40" x14ac:dyDescent="0.25">
      <c r="A7393" t="str">
        <f>"20190312160828892"</f>
        <v>20190312160828892</v>
      </c>
      <c r="B7393" t="str">
        <f>"1552378108883117"</f>
        <v>1552378108883117</v>
      </c>
      <c r="C7393" t="s">
        <v>40</v>
      </c>
      <c r="D7393">
        <v>6.5082810000000002</v>
      </c>
      <c r="E7393">
        <v>0.42952109999999899</v>
      </c>
      <c r="F7393" t="s">
        <v>52</v>
      </c>
      <c r="G7393">
        <v>-169.244</v>
      </c>
      <c r="H7393">
        <v>7.4962279999999897</v>
      </c>
      <c r="I7393">
        <v>-49.777050000000003</v>
      </c>
      <c r="J7393">
        <v>-214.7576</v>
      </c>
      <c r="K7393">
        <v>1.113367</v>
      </c>
      <c r="L7393">
        <v>-63.516240000000003</v>
      </c>
      <c r="M7393">
        <v>0.99825730000000001</v>
      </c>
      <c r="N7393">
        <v>0</v>
      </c>
      <c r="O7393">
        <v>5.7252890000000001E-2</v>
      </c>
      <c r="P7393">
        <v>0.99301519999999999</v>
      </c>
      <c r="Q7393">
        <v>4.3210859999999997E-2</v>
      </c>
      <c r="R7393">
        <v>0.109788</v>
      </c>
      <c r="S7393">
        <v>2.9080050000000002</v>
      </c>
      <c r="T7393">
        <v>0.40656940000000003</v>
      </c>
      <c r="U7393">
        <v>0.87576290000000001</v>
      </c>
      <c r="V7393">
        <v>-5.3209600000000003E-2</v>
      </c>
      <c r="W7393">
        <v>5.704625E-2</v>
      </c>
      <c r="X7393">
        <v>0.99695259999999997</v>
      </c>
      <c r="Y7393">
        <v>-0.23151540000000001</v>
      </c>
      <c r="Z7393">
        <v>-7.9844900000000003E-3</v>
      </c>
      <c r="AA7393">
        <v>0.97279850000000001</v>
      </c>
      <c r="AB7393">
        <v>29</v>
      </c>
      <c r="AC7393">
        <v>45.513599999999897</v>
      </c>
      <c r="AD7393">
        <v>6.3828609999999903</v>
      </c>
      <c r="AE7393">
        <v>13.739189999999899</v>
      </c>
      <c r="AF7393">
        <v>-10.913875633630401</v>
      </c>
      <c r="AG7393">
        <v>6.3828609999999903</v>
      </c>
      <c r="AH7393">
        <v>45.4071568631445</v>
      </c>
      <c r="AI7393">
        <v>82.217211170693503</v>
      </c>
      <c r="AJ7393">
        <v>103.51500981866199</v>
      </c>
      <c r="AK7393">
        <v>47.134525459432403</v>
      </c>
      <c r="AL7393">
        <v>86.729715302987699</v>
      </c>
      <c r="AM7393">
        <v>93.055105751348506</v>
      </c>
      <c r="AN7393">
        <v>1.00000001140899</v>
      </c>
    </row>
    <row r="7394" spans="1:40" x14ac:dyDescent="0.25">
      <c r="A7394" t="str">
        <f>"20190312160828903"</f>
        <v>20190312160828903</v>
      </c>
      <c r="B7394" t="str">
        <f>"1552378108892877"</f>
        <v>1552378108892877</v>
      </c>
      <c r="C7394" t="s">
        <v>40</v>
      </c>
      <c r="D7394">
        <v>6.5072070000000002</v>
      </c>
      <c r="E7394">
        <v>0.4289559</v>
      </c>
      <c r="F7394" t="s">
        <v>52</v>
      </c>
      <c r="G7394">
        <v>-169.244</v>
      </c>
      <c r="H7394">
        <v>7.4701550000000001</v>
      </c>
      <c r="I7394">
        <v>-49.578629999999997</v>
      </c>
      <c r="J7394">
        <v>-214.61689999999999</v>
      </c>
      <c r="K7394">
        <v>1.1133949999999999</v>
      </c>
      <c r="L7394">
        <v>-63.505890000000001</v>
      </c>
      <c r="M7394">
        <v>0.9981312</v>
      </c>
      <c r="N7394">
        <v>0</v>
      </c>
      <c r="O7394">
        <v>5.9408879999999997E-2</v>
      </c>
      <c r="P7394">
        <v>0.99266270000000001</v>
      </c>
      <c r="Q7394">
        <v>4.3893630000000003E-2</v>
      </c>
      <c r="R7394">
        <v>0.1126679</v>
      </c>
      <c r="S7394">
        <v>2.9050750000000001</v>
      </c>
      <c r="T7394">
        <v>0.40574379999999999</v>
      </c>
      <c r="U7394">
        <v>0.88961789999999996</v>
      </c>
      <c r="V7394">
        <v>-5.3960500000000002E-2</v>
      </c>
      <c r="W7394">
        <v>5.7719859999999998E-2</v>
      </c>
      <c r="X7394">
        <v>0.99687340000000002</v>
      </c>
      <c r="Y7394">
        <v>-0.23393639999999999</v>
      </c>
      <c r="Z7394">
        <v>-7.844083E-3</v>
      </c>
      <c r="AA7394">
        <v>0.97222019999999998</v>
      </c>
      <c r="AB7394">
        <v>29</v>
      </c>
      <c r="AC7394">
        <v>45.372899999999902</v>
      </c>
      <c r="AD7394">
        <v>6.3567600000000004</v>
      </c>
      <c r="AE7394">
        <v>13.92726</v>
      </c>
      <c r="AF7394">
        <v>-11.009340907377601</v>
      </c>
      <c r="AG7394">
        <v>6.3567600000000004</v>
      </c>
      <c r="AH7394">
        <v>45.307503951347101</v>
      </c>
      <c r="AI7394">
        <v>82.236424831469904</v>
      </c>
      <c r="AJ7394">
        <v>103.65769132251</v>
      </c>
      <c r="AK7394">
        <v>47.057240667232001</v>
      </c>
      <c r="AL7394">
        <v>86.691056377865806</v>
      </c>
      <c r="AM7394">
        <v>93.098382010134898</v>
      </c>
      <c r="AN7394">
        <v>0.99999994671311299</v>
      </c>
    </row>
    <row r="7395" spans="1:40" x14ac:dyDescent="0.25">
      <c r="A7395" t="str">
        <f>"20190312160828917"</f>
        <v>20190312160828917</v>
      </c>
      <c r="B7395" t="str">
        <f>"1552378108912397"</f>
        <v>1552378108912397</v>
      </c>
      <c r="C7395" t="s">
        <v>40</v>
      </c>
      <c r="D7395">
        <v>6.4758639999999996</v>
      </c>
      <c r="E7395">
        <v>0.42867899999999998</v>
      </c>
      <c r="F7395" t="s">
        <v>52</v>
      </c>
      <c r="G7395">
        <v>-169.244</v>
      </c>
      <c r="H7395">
        <v>7.4728579999999996</v>
      </c>
      <c r="I7395">
        <v>-49.395659999999999</v>
      </c>
      <c r="J7395">
        <v>-214.4657</v>
      </c>
      <c r="K7395">
        <v>1.1134280000000001</v>
      </c>
      <c r="L7395">
        <v>-63.494660000000003</v>
      </c>
      <c r="M7395">
        <v>0.9979903</v>
      </c>
      <c r="N7395">
        <v>0</v>
      </c>
      <c r="O7395">
        <v>6.1733910000000003E-2</v>
      </c>
      <c r="P7395">
        <v>0.99239219999999895</v>
      </c>
      <c r="Q7395">
        <v>4.3876129999999999E-2</v>
      </c>
      <c r="R7395">
        <v>0.11503480000000001</v>
      </c>
      <c r="S7395">
        <v>2.9017789999999999</v>
      </c>
      <c r="T7395">
        <v>0.4067113</v>
      </c>
      <c r="U7395">
        <v>0.90240480000000001</v>
      </c>
      <c r="V7395">
        <v>-5.4019520000000001E-2</v>
      </c>
      <c r="W7395">
        <v>5.7699390000000003E-2</v>
      </c>
      <c r="X7395">
        <v>0.99687150000000002</v>
      </c>
      <c r="Y7395">
        <v>-0.23588770000000001</v>
      </c>
      <c r="Z7395">
        <v>-7.6843349999999996E-3</v>
      </c>
      <c r="AA7395">
        <v>0.97175</v>
      </c>
      <c r="AB7395">
        <v>29</v>
      </c>
      <c r="AC7395">
        <v>45.221699999999899</v>
      </c>
      <c r="AD7395">
        <v>6.3594299999999997</v>
      </c>
      <c r="AE7395">
        <v>14.098999999999901</v>
      </c>
      <c r="AF7395">
        <v>-11.0803902516235</v>
      </c>
      <c r="AG7395">
        <v>6.3594299999999997</v>
      </c>
      <c r="AH7395">
        <v>45.191366746916501</v>
      </c>
      <c r="AI7395">
        <v>82.217379325420396</v>
      </c>
      <c r="AJ7395">
        <v>103.77647316501</v>
      </c>
      <c r="AK7395">
        <v>46.962506603752303</v>
      </c>
      <c r="AL7395">
        <v>86.692231548405701</v>
      </c>
      <c r="AM7395">
        <v>93.101770192379703</v>
      </c>
      <c r="AN7395">
        <v>1.00000005782982</v>
      </c>
    </row>
    <row r="7396" spans="1:40" x14ac:dyDescent="0.25">
      <c r="A7396" t="str">
        <f>"20190312160828928"</f>
        <v>20190312160828928</v>
      </c>
      <c r="B7396" t="str">
        <f>"1552378108923134"</f>
        <v>1552378108923134</v>
      </c>
      <c r="C7396" t="s">
        <v>40</v>
      </c>
      <c r="D7396">
        <v>5.6063219999999996</v>
      </c>
      <c r="E7396">
        <v>0.42797960000000002</v>
      </c>
      <c r="F7396" t="s">
        <v>52</v>
      </c>
      <c r="G7396">
        <v>-169.244</v>
      </c>
      <c r="H7396">
        <v>7.4212410000000002</v>
      </c>
      <c r="I7396">
        <v>-49.280810000000002</v>
      </c>
      <c r="J7396">
        <v>-214.30439999999999</v>
      </c>
      <c r="K7396">
        <v>1.1134550000000001</v>
      </c>
      <c r="L7396">
        <v>-63.482030000000002</v>
      </c>
      <c r="M7396">
        <v>0.99783169999999999</v>
      </c>
      <c r="N7396">
        <v>0</v>
      </c>
      <c r="O7396">
        <v>6.4245529999999995E-2</v>
      </c>
      <c r="P7396">
        <v>0.9920388</v>
      </c>
      <c r="Q7396">
        <v>4.3584049999999999E-2</v>
      </c>
      <c r="R7396">
        <v>0.1181507</v>
      </c>
      <c r="S7396">
        <v>2.8994749999999998</v>
      </c>
      <c r="T7396">
        <v>0.4044355</v>
      </c>
      <c r="U7396">
        <v>0.9113464</v>
      </c>
      <c r="V7396">
        <v>-5.4642200000000002E-2</v>
      </c>
      <c r="W7396">
        <v>5.739996E-2</v>
      </c>
      <c r="X7396">
        <v>0.99685480000000004</v>
      </c>
      <c r="Y7396">
        <v>-0.23642560000000001</v>
      </c>
      <c r="Z7396">
        <v>-7.3423009999999999E-3</v>
      </c>
      <c r="AA7396">
        <v>0.97162190000000004</v>
      </c>
      <c r="AB7396">
        <v>29</v>
      </c>
      <c r="AC7396">
        <v>45.060399999999902</v>
      </c>
      <c r="AD7396">
        <v>6.3077860000000001</v>
      </c>
      <c r="AE7396">
        <v>14.201219999999999</v>
      </c>
      <c r="AF7396">
        <v>-11.079161150310201</v>
      </c>
      <c r="AG7396">
        <v>6.3077860000000001</v>
      </c>
      <c r="AH7396">
        <v>45.076250975463303</v>
      </c>
      <c r="AI7396">
        <v>82.261398581466395</v>
      </c>
      <c r="AJ7396">
        <v>103.808836927849</v>
      </c>
      <c r="AK7396">
        <v>46.844470090068199</v>
      </c>
      <c r="AL7396">
        <v>86.709415942329798</v>
      </c>
      <c r="AM7396">
        <v>93.1375055560937</v>
      </c>
      <c r="AN7396">
        <v>1.00000000885594</v>
      </c>
    </row>
    <row r="7397" spans="1:40" x14ac:dyDescent="0.25">
      <c r="A7397" t="str">
        <f>"20190312160828938"</f>
        <v>20190312160828938</v>
      </c>
      <c r="B7397" t="str">
        <f>"1552378108932893"</f>
        <v>1552378108932893</v>
      </c>
      <c r="C7397" t="s">
        <v>40</v>
      </c>
      <c r="D7397">
        <v>6.5018000000000002</v>
      </c>
      <c r="E7397">
        <v>0.42808600000000002</v>
      </c>
      <c r="F7397" t="s">
        <v>52</v>
      </c>
      <c r="G7397">
        <v>-169.244</v>
      </c>
      <c r="H7397">
        <v>7.3083559999999999</v>
      </c>
      <c r="I7397">
        <v>-49.075449999999996</v>
      </c>
      <c r="J7397">
        <v>-214.17570000000001</v>
      </c>
      <c r="K7397">
        <v>1.113475</v>
      </c>
      <c r="L7397">
        <v>-63.4717699999999</v>
      </c>
      <c r="M7397">
        <v>0.99769989999999997</v>
      </c>
      <c r="N7397">
        <v>0</v>
      </c>
      <c r="O7397">
        <v>6.6258579999999997E-2</v>
      </c>
      <c r="P7397">
        <v>0.99179070000000003</v>
      </c>
      <c r="Q7397">
        <v>4.3331269999999998E-2</v>
      </c>
      <c r="R7397">
        <v>0.12030639999999899</v>
      </c>
      <c r="S7397">
        <v>2.8963009999999998</v>
      </c>
      <c r="T7397">
        <v>0.39818140000000002</v>
      </c>
      <c r="U7397">
        <v>0.92599489999999995</v>
      </c>
      <c r="V7397">
        <v>-5.4797499999999999E-2</v>
      </c>
      <c r="W7397">
        <v>5.7144319999999998E-2</v>
      </c>
      <c r="X7397">
        <v>0.996861</v>
      </c>
      <c r="Y7397">
        <v>-0.2392735</v>
      </c>
      <c r="Z7397">
        <v>-7.1553390000000001E-3</v>
      </c>
      <c r="AA7397">
        <v>0.97092590000000001</v>
      </c>
      <c r="AB7397">
        <v>29</v>
      </c>
      <c r="AC7397">
        <v>44.9316999999999</v>
      </c>
      <c r="AD7397">
        <v>6.1948809999999996</v>
      </c>
      <c r="AE7397">
        <v>14.3963199999999</v>
      </c>
      <c r="AF7397">
        <v>-11.1942807107171</v>
      </c>
      <c r="AG7397">
        <v>6.1948809999999996</v>
      </c>
      <c r="AH7397">
        <v>45.010962737026901</v>
      </c>
      <c r="AI7397">
        <v>82.392489451986407</v>
      </c>
      <c r="AJ7397">
        <v>103.96618404921399</v>
      </c>
      <c r="AK7397">
        <v>46.793965826252901</v>
      </c>
      <c r="AL7397">
        <v>86.724087239378505</v>
      </c>
      <c r="AM7397">
        <v>93.146385319983196</v>
      </c>
      <c r="AN7397">
        <v>1.0000000463177501</v>
      </c>
    </row>
    <row r="7398" spans="1:40" x14ac:dyDescent="0.25">
      <c r="A7398" t="str">
        <f>"20190312160828949"</f>
        <v>20190312160828949</v>
      </c>
      <c r="B7398" t="str">
        <f>"1552378108942653"</f>
        <v>1552378108942653</v>
      </c>
      <c r="C7398" t="s">
        <v>40</v>
      </c>
      <c r="D7398">
        <v>6.4096279999999997</v>
      </c>
      <c r="E7398">
        <v>0.42733290000000002</v>
      </c>
      <c r="F7398" t="s">
        <v>52</v>
      </c>
      <c r="G7398">
        <v>-169.244</v>
      </c>
      <c r="H7398">
        <v>7.2757849999999999</v>
      </c>
      <c r="I7398">
        <v>-49.011510000000001</v>
      </c>
      <c r="J7398">
        <v>-214.02760000000001</v>
      </c>
      <c r="K7398">
        <v>1.1135010000000001</v>
      </c>
      <c r="L7398">
        <v>-63.459589999999999</v>
      </c>
      <c r="M7398">
        <v>0.99754240000000005</v>
      </c>
      <c r="N7398">
        <v>0</v>
      </c>
      <c r="O7398">
        <v>6.8588709999999997E-2</v>
      </c>
      <c r="P7398">
        <v>0.99144549999999998</v>
      </c>
      <c r="Q7398">
        <v>4.3395870000000003E-2</v>
      </c>
      <c r="R7398">
        <v>0.12309580000000001</v>
      </c>
      <c r="S7398">
        <v>2.8944700000000001</v>
      </c>
      <c r="T7398">
        <v>0.39696979999999998</v>
      </c>
      <c r="U7398">
        <v>0.93151859999999997</v>
      </c>
      <c r="V7398">
        <v>-5.5277399999999997E-2</v>
      </c>
      <c r="W7398">
        <v>5.7202870000000003E-2</v>
      </c>
      <c r="X7398">
        <v>0.99683109999999997</v>
      </c>
      <c r="Y7398">
        <v>-0.23889579999999999</v>
      </c>
      <c r="Z7398">
        <v>-6.802776E-3</v>
      </c>
      <c r="AA7398">
        <v>0.97102140000000003</v>
      </c>
      <c r="AB7398">
        <v>29</v>
      </c>
      <c r="AC7398">
        <v>44.7835999999999</v>
      </c>
      <c r="AD7398">
        <v>6.1622839999999997</v>
      </c>
      <c r="AE7398">
        <v>14.448079999999999</v>
      </c>
      <c r="AF7398">
        <v>-11.150856161644001</v>
      </c>
      <c r="AG7398">
        <v>6.1622839999999997</v>
      </c>
      <c r="AH7398">
        <v>44.899205853637199</v>
      </c>
      <c r="AI7398">
        <v>82.412825465753002</v>
      </c>
      <c r="AJ7398">
        <v>103.94739834394601</v>
      </c>
      <c r="AK7398">
        <v>46.671769020700502</v>
      </c>
      <c r="AL7398">
        <v>86.720726925200694</v>
      </c>
      <c r="AM7398">
        <v>93.173979329499005</v>
      </c>
      <c r="AN7398">
        <v>1.0000000006070999</v>
      </c>
    </row>
    <row r="7399" spans="1:40" x14ac:dyDescent="0.25">
      <c r="A7399" t="str">
        <f>"20190312160828970"</f>
        <v>20190312160828970</v>
      </c>
      <c r="B7399" t="str">
        <f>"1552378108963149"</f>
        <v>1552378108963149</v>
      </c>
      <c r="C7399" t="s">
        <v>40</v>
      </c>
      <c r="D7399">
        <v>6.6253590000000004</v>
      </c>
      <c r="E7399">
        <v>0.42733290000000002</v>
      </c>
      <c r="F7399" t="s">
        <v>52</v>
      </c>
      <c r="G7399">
        <v>-169.244</v>
      </c>
      <c r="H7399">
        <v>7.254848</v>
      </c>
      <c r="I7399">
        <v>-48.81035</v>
      </c>
      <c r="J7399">
        <v>-213.75819999999999</v>
      </c>
      <c r="K7399">
        <v>1.1135299999999999</v>
      </c>
      <c r="L7399">
        <v>-63.436520000000002</v>
      </c>
      <c r="M7399">
        <v>0.99723980000000001</v>
      </c>
      <c r="N7399">
        <v>0</v>
      </c>
      <c r="O7399">
        <v>7.2855450000000002E-2</v>
      </c>
      <c r="P7399">
        <v>0.99088759999999998</v>
      </c>
      <c r="Q7399">
        <v>4.2677479999999997E-2</v>
      </c>
      <c r="R7399">
        <v>0.1277518</v>
      </c>
      <c r="S7399">
        <v>2.8910979999999999</v>
      </c>
      <c r="T7399">
        <v>0.39646510000000001</v>
      </c>
      <c r="U7399">
        <v>0.94570920000000003</v>
      </c>
      <c r="V7399">
        <v>-5.56918E-2</v>
      </c>
      <c r="W7399">
        <v>5.6479250000000002E-2</v>
      </c>
      <c r="X7399">
        <v>0.99684930000000005</v>
      </c>
      <c r="Y7399">
        <v>-0.2394203</v>
      </c>
      <c r="Z7399">
        <v>-6.2683890000000001E-3</v>
      </c>
      <c r="AA7399">
        <v>0.97089579999999998</v>
      </c>
      <c r="AB7399">
        <v>29</v>
      </c>
      <c r="AC7399">
        <v>44.514199999999903</v>
      </c>
      <c r="AD7399">
        <v>6.1413180000000001</v>
      </c>
      <c r="AE7399">
        <v>14.626169999999901</v>
      </c>
      <c r="AF7399">
        <v>-11.152272185782399</v>
      </c>
      <c r="AG7399">
        <v>6.1413180000000001</v>
      </c>
      <c r="AH7399">
        <v>44.693783591668399</v>
      </c>
      <c r="AI7399">
        <v>82.4060543435873</v>
      </c>
      <c r="AJ7399">
        <v>104.010693405751</v>
      </c>
      <c r="AK7399">
        <v>46.4717468298943</v>
      </c>
      <c r="AL7399">
        <v>86.762254450991605</v>
      </c>
      <c r="AM7399">
        <v>93.197666352033394</v>
      </c>
      <c r="AN7399">
        <v>1.00000000458914</v>
      </c>
    </row>
    <row r="7400" spans="1:40" x14ac:dyDescent="0.25">
      <c r="A7400" t="str">
        <f>"20190312160828982"</f>
        <v>20190312160828982</v>
      </c>
      <c r="B7400" t="str">
        <f>"1552378108972910"</f>
        <v>1552378108972910</v>
      </c>
      <c r="C7400" t="s">
        <v>40</v>
      </c>
      <c r="D7400">
        <v>7.1835319999999996</v>
      </c>
      <c r="E7400">
        <v>0.40964139999999999</v>
      </c>
      <c r="F7400" t="s">
        <v>52</v>
      </c>
      <c r="G7400">
        <v>-169.244</v>
      </c>
      <c r="H7400">
        <v>7.1924549999999998</v>
      </c>
      <c r="I7400">
        <v>-48.644539999999999</v>
      </c>
      <c r="J7400">
        <v>-213.61420000000001</v>
      </c>
      <c r="K7400">
        <v>1.113542</v>
      </c>
      <c r="L7400">
        <v>-63.423609999999996</v>
      </c>
      <c r="M7400">
        <v>0.99706969999999995</v>
      </c>
      <c r="N7400">
        <v>0</v>
      </c>
      <c r="O7400">
        <v>7.5148370000000006E-2</v>
      </c>
      <c r="P7400">
        <v>0.99049169999999997</v>
      </c>
      <c r="Q7400">
        <v>4.3209009999999999E-2</v>
      </c>
      <c r="R7400">
        <v>0.13061130000000001</v>
      </c>
      <c r="S7400">
        <v>2.8869319999999998</v>
      </c>
      <c r="T7400">
        <v>0.39424169999999997</v>
      </c>
      <c r="U7400">
        <v>0.95932010000000001</v>
      </c>
      <c r="V7400">
        <v>-5.6284750000000001E-2</v>
      </c>
      <c r="W7400">
        <v>5.700388E-2</v>
      </c>
      <c r="X7400">
        <v>0.99678610000000001</v>
      </c>
      <c r="Y7400">
        <v>-0.2417443</v>
      </c>
      <c r="Z7400">
        <v>-6.0906329999999998E-3</v>
      </c>
      <c r="AA7400">
        <v>0.97032090000000004</v>
      </c>
      <c r="AB7400">
        <v>29</v>
      </c>
      <c r="AC7400">
        <v>44.370199999999897</v>
      </c>
      <c r="AD7400">
        <v>6.078913</v>
      </c>
      <c r="AE7400">
        <v>14.7790699999999</v>
      </c>
      <c r="AF7400">
        <v>-11.2131283652864</v>
      </c>
      <c r="AG7400">
        <v>6.078913</v>
      </c>
      <c r="AH7400">
        <v>44.601868475572203</v>
      </c>
      <c r="AI7400">
        <v>82.470314886335302</v>
      </c>
      <c r="AJ7400">
        <v>104.11197833689</v>
      </c>
      <c r="AK7400">
        <v>46.389806019320602</v>
      </c>
      <c r="AL7400">
        <v>86.732146753943297</v>
      </c>
      <c r="AM7400">
        <v>93.231844554785994</v>
      </c>
      <c r="AN7400">
        <v>0.99999997228541304</v>
      </c>
    </row>
    <row r="7401" spans="1:40" x14ac:dyDescent="0.25">
      <c r="A7401" t="str">
        <f>"20190312160828993"</f>
        <v>20190312160828993</v>
      </c>
      <c r="B7401" t="str">
        <f>"1552378108982670"</f>
        <v>1552378108982670</v>
      </c>
      <c r="C7401" t="s">
        <v>40</v>
      </c>
      <c r="D7401">
        <v>6.5361880000000001</v>
      </c>
      <c r="E7401">
        <v>0.4104119</v>
      </c>
      <c r="F7401" t="s">
        <v>82</v>
      </c>
      <c r="G7401">
        <v>-205.10659999999999</v>
      </c>
      <c r="H7401" s="1">
        <v>-3.1347939999999999E-6</v>
      </c>
      <c r="I7401">
        <v>-60.185090000000002</v>
      </c>
      <c r="J7401">
        <v>-213.4718</v>
      </c>
      <c r="K7401">
        <v>1.1135429999999999</v>
      </c>
      <c r="L7401">
        <v>-63.410710000000002</v>
      </c>
      <c r="M7401">
        <v>0.99689609999999995</v>
      </c>
      <c r="N7401">
        <v>0</v>
      </c>
      <c r="O7401">
        <v>7.7418029999999999E-2</v>
      </c>
      <c r="P7401">
        <v>0.99020180000000002</v>
      </c>
      <c r="Q7401">
        <v>4.3323069999999998E-2</v>
      </c>
      <c r="R7401">
        <v>0.1327546</v>
      </c>
      <c r="S7401">
        <v>2.8997959999999998</v>
      </c>
      <c r="T7401">
        <v>-0.37955129999999998</v>
      </c>
      <c r="U7401">
        <v>1.1038509999999999</v>
      </c>
      <c r="V7401">
        <v>-5.6175070000000001E-2</v>
      </c>
      <c r="W7401">
        <v>5.7118130000000003E-2</v>
      </c>
      <c r="X7401">
        <v>0.99678580000000006</v>
      </c>
      <c r="Y7401">
        <v>-0.28082649999999998</v>
      </c>
      <c r="Z7401">
        <v>7.9766690000000005E-3</v>
      </c>
      <c r="AA7401">
        <v>0.95972539999999995</v>
      </c>
      <c r="AB7401">
        <v>29</v>
      </c>
      <c r="AC7401">
        <v>8.3652000000000104</v>
      </c>
      <c r="AD7401">
        <v>-1.1135461347940001</v>
      </c>
      <c r="AE7401">
        <v>3.2256199999999899</v>
      </c>
      <c r="AF7401">
        <v>-2.5292366764915699</v>
      </c>
      <c r="AG7401">
        <v>-1.1135461347940001</v>
      </c>
      <c r="AH7401">
        <v>8.45933889036381</v>
      </c>
      <c r="AI7401">
        <v>97.188116837803705</v>
      </c>
      <c r="AJ7401">
        <v>106.64600797640701</v>
      </c>
      <c r="AK7401">
        <v>8.8992942204450305</v>
      </c>
      <c r="AL7401">
        <v>86.7255902013965</v>
      </c>
      <c r="AM7401">
        <v>93.225561059097402</v>
      </c>
      <c r="AN7401">
        <v>1.00000002517292</v>
      </c>
    </row>
    <row r="7402" spans="1:40" x14ac:dyDescent="0.25">
      <c r="A7402" t="str">
        <f>"20190312160829005"</f>
        <v>20190312160829005</v>
      </c>
      <c r="B7402" t="str">
        <f>"1552378108992431"</f>
        <v>1552378108992431</v>
      </c>
      <c r="C7402" t="s">
        <v>40</v>
      </c>
      <c r="D7402">
        <v>6.442876</v>
      </c>
      <c r="E7402">
        <v>0.4094739</v>
      </c>
      <c r="F7402" t="s">
        <v>82</v>
      </c>
      <c r="G7402">
        <v>-206.13929999999999</v>
      </c>
      <c r="H7402" s="1">
        <v>-2.4586769999999999E-6</v>
      </c>
      <c r="I7402">
        <v>-60.621839999999999</v>
      </c>
      <c r="J7402">
        <v>-213.3383</v>
      </c>
      <c r="K7402">
        <v>1.1135489999999999</v>
      </c>
      <c r="L7402">
        <v>-63.398040000000002</v>
      </c>
      <c r="M7402">
        <v>0.99672810000000001</v>
      </c>
      <c r="N7402">
        <v>0</v>
      </c>
      <c r="O7402">
        <v>7.9551759999999999E-2</v>
      </c>
      <c r="P7402">
        <v>0.98995390000000005</v>
      </c>
      <c r="Q7402">
        <v>4.3000440000000001E-2</v>
      </c>
      <c r="R7402">
        <v>0.13469400000000001</v>
      </c>
      <c r="S7402">
        <v>2.9010159999999998</v>
      </c>
      <c r="T7402">
        <v>-0.44056580000000001</v>
      </c>
      <c r="U7402">
        <v>1.103394</v>
      </c>
      <c r="V7402">
        <v>-5.5990239999999997E-2</v>
      </c>
      <c r="W7402">
        <v>5.6797269999999997E-2</v>
      </c>
      <c r="X7402">
        <v>0.99681450000000005</v>
      </c>
      <c r="Y7402">
        <v>-0.2780358</v>
      </c>
      <c r="Z7402">
        <v>8.7309889999999998E-3</v>
      </c>
      <c r="AA7402">
        <v>0.96053100000000002</v>
      </c>
      <c r="AB7402">
        <v>29</v>
      </c>
      <c r="AC7402">
        <v>7.1990000000000096</v>
      </c>
      <c r="AD7402">
        <v>-1.1135514586769999</v>
      </c>
      <c r="AE7402">
        <v>2.7761999999999998</v>
      </c>
      <c r="AF7402">
        <v>-2.1498688434895699</v>
      </c>
      <c r="AG7402">
        <v>-1.1135514586769999</v>
      </c>
      <c r="AH7402">
        <v>7.2461260927182796</v>
      </c>
      <c r="AI7402">
        <v>98.380970816896195</v>
      </c>
      <c r="AJ7402">
        <v>106.525210230589</v>
      </c>
      <c r="AK7402">
        <v>7.63991336645263</v>
      </c>
      <c r="AL7402">
        <v>86.744003910259494</v>
      </c>
      <c r="AM7402">
        <v>93.214878087187302</v>
      </c>
      <c r="AN7402">
        <v>0.99999999213248003</v>
      </c>
    </row>
    <row r="7403" spans="1:40" x14ac:dyDescent="0.25">
      <c r="A7403" t="str">
        <f>"20190312160829015"</f>
        <v>20190312160829015</v>
      </c>
      <c r="B7403" t="str">
        <f>"1552378109012925"</f>
        <v>1552378109012925</v>
      </c>
      <c r="C7403" t="s">
        <v>40</v>
      </c>
      <c r="D7403">
        <v>6.0187099999999996</v>
      </c>
      <c r="E7403">
        <v>0.402198</v>
      </c>
      <c r="F7403" t="s">
        <v>82</v>
      </c>
      <c r="G7403">
        <v>-206.43549999999999</v>
      </c>
      <c r="H7403" s="1">
        <v>-2.286988E-6</v>
      </c>
      <c r="I7403">
        <v>-60.7408199999999</v>
      </c>
      <c r="J7403">
        <v>-213.1934</v>
      </c>
      <c r="K7403">
        <v>1.1135469999999901</v>
      </c>
      <c r="L7403">
        <v>-63.384189999999997</v>
      </c>
      <c r="M7403">
        <v>0.99654019999999999</v>
      </c>
      <c r="N7403">
        <v>0</v>
      </c>
      <c r="O7403">
        <v>8.1870440000000003E-2</v>
      </c>
      <c r="P7403">
        <v>0.9896163</v>
      </c>
      <c r="Q7403">
        <v>4.2898070000000003E-2</v>
      </c>
      <c r="R7403">
        <v>0.13718329999999901</v>
      </c>
      <c r="S7403">
        <v>2.8989259999999999</v>
      </c>
      <c r="T7403">
        <v>-0.46765139999999999</v>
      </c>
      <c r="U7403">
        <v>1.115936</v>
      </c>
      <c r="V7403">
        <v>-5.617784E-2</v>
      </c>
      <c r="W7403">
        <v>5.6692520000000003E-2</v>
      </c>
      <c r="X7403">
        <v>0.99680990000000003</v>
      </c>
      <c r="Y7403">
        <v>-0.27942030000000001</v>
      </c>
      <c r="Z7403">
        <v>9.0132379999999998E-3</v>
      </c>
      <c r="AA7403">
        <v>0.96012660000000005</v>
      </c>
      <c r="AB7403">
        <v>29</v>
      </c>
      <c r="AC7403">
        <v>6.7579000000000002</v>
      </c>
      <c r="AD7403">
        <v>-1.1135492869879999</v>
      </c>
      <c r="AE7403">
        <v>2.6433700000000102</v>
      </c>
      <c r="AF7403">
        <v>-2.03328431604315</v>
      </c>
      <c r="AG7403">
        <v>-1.1135492869879999</v>
      </c>
      <c r="AH7403">
        <v>6.7917094215712899</v>
      </c>
      <c r="AI7403">
        <v>98.926480045533594</v>
      </c>
      <c r="AJ7403">
        <v>106.666511760676</v>
      </c>
      <c r="AK7403">
        <v>7.1764583181036299</v>
      </c>
      <c r="AL7403">
        <v>86.750015303330002</v>
      </c>
      <c r="AM7403">
        <v>93.225641952109498</v>
      </c>
      <c r="AN7403">
        <v>0.99999998413451197</v>
      </c>
    </row>
    <row r="7404" spans="1:40" x14ac:dyDescent="0.25">
      <c r="A7404" t="str">
        <f>"20190312160829027"</f>
        <v>20190312160829027</v>
      </c>
      <c r="B7404" t="str">
        <f>"1552378109022685"</f>
        <v>1552378109022685</v>
      </c>
      <c r="C7404" t="s">
        <v>40</v>
      </c>
      <c r="D7404">
        <v>6.024019</v>
      </c>
      <c r="E7404">
        <v>0.39991579999999999</v>
      </c>
      <c r="F7404" t="s">
        <v>82</v>
      </c>
      <c r="G7404">
        <v>-205.5153</v>
      </c>
      <c r="H7404" s="1">
        <v>-2.8597560000000002E-6</v>
      </c>
      <c r="I7404">
        <v>-60.242519999999899</v>
      </c>
      <c r="J7404">
        <v>-213.04859999999999</v>
      </c>
      <c r="K7404">
        <v>1.1135469999999901</v>
      </c>
      <c r="L7404">
        <v>-63.369869999999999</v>
      </c>
      <c r="M7404">
        <v>0.99634710000000004</v>
      </c>
      <c r="N7404">
        <v>0</v>
      </c>
      <c r="O7404">
        <v>8.4188089999999993E-2</v>
      </c>
      <c r="P7404">
        <v>0.98935150000000005</v>
      </c>
      <c r="Q7404">
        <v>4.2369839999999999E-2</v>
      </c>
      <c r="R7404">
        <v>0.13924249999999999</v>
      </c>
      <c r="S7404">
        <v>2.8859409999999999</v>
      </c>
      <c r="T7404">
        <v>-0.41854599999999997</v>
      </c>
      <c r="U7404">
        <v>1.180847</v>
      </c>
      <c r="V7404">
        <v>-5.5927600000000001E-2</v>
      </c>
      <c r="W7404">
        <v>5.6166939999999999E-2</v>
      </c>
      <c r="X7404">
        <v>0.99685380000000001</v>
      </c>
      <c r="Y7404">
        <v>-0.29752869999999998</v>
      </c>
      <c r="Z7404">
        <v>9.0184470000000006E-3</v>
      </c>
      <c r="AA7404">
        <v>0.95467029999999997</v>
      </c>
      <c r="AB7404">
        <v>29</v>
      </c>
      <c r="AC7404">
        <v>7.5332999999999899</v>
      </c>
      <c r="AD7404">
        <v>-1.1135498597559901</v>
      </c>
      <c r="AE7404">
        <v>3.1273499999999999</v>
      </c>
      <c r="AF7404">
        <v>-2.4365540349486898</v>
      </c>
      <c r="AG7404">
        <v>-1.1135498597559901</v>
      </c>
      <c r="AH7404">
        <v>7.6276990963303097</v>
      </c>
      <c r="AI7404">
        <v>97.917059206611</v>
      </c>
      <c r="AJ7404">
        <v>107.715301507863</v>
      </c>
      <c r="AK7404">
        <v>8.0844654962183906</v>
      </c>
      <c r="AL7404">
        <v>86.780177125016394</v>
      </c>
      <c r="AM7404">
        <v>93.211162584285603</v>
      </c>
      <c r="AN7404">
        <v>1.00000006008258</v>
      </c>
    </row>
    <row r="7405" spans="1:40" x14ac:dyDescent="0.25">
      <c r="A7405" t="str">
        <f>"20190312160829039"</f>
        <v>20190312160829039</v>
      </c>
      <c r="B7405" t="str">
        <f>"1552378109032445"</f>
        <v>1552378109032445</v>
      </c>
      <c r="C7405" t="s">
        <v>40</v>
      </c>
      <c r="D7405">
        <v>6.1193299999999997</v>
      </c>
      <c r="E7405">
        <v>0.39991579999999999</v>
      </c>
      <c r="F7405" t="s">
        <v>82</v>
      </c>
      <c r="G7405">
        <v>-204.59530000000001</v>
      </c>
      <c r="H7405" s="1">
        <v>-3.4837179999999999E-6</v>
      </c>
      <c r="I7405">
        <v>-59.831270000000004</v>
      </c>
      <c r="J7405">
        <v>-212.90369999999999</v>
      </c>
      <c r="K7405">
        <v>1.1135459999999999</v>
      </c>
      <c r="L7405">
        <v>-63.355289999999997</v>
      </c>
      <c r="M7405">
        <v>0.99614849999999999</v>
      </c>
      <c r="N7405">
        <v>0</v>
      </c>
      <c r="O7405">
        <v>8.6508470000000004E-2</v>
      </c>
      <c r="P7405">
        <v>0.98911119999999997</v>
      </c>
      <c r="Q7405">
        <v>4.1948449999999998E-2</v>
      </c>
      <c r="R7405">
        <v>0.141065</v>
      </c>
      <c r="S7405">
        <v>2.8789370000000001</v>
      </c>
      <c r="T7405">
        <v>-0.37924170000000001</v>
      </c>
      <c r="U7405">
        <v>1.205139</v>
      </c>
      <c r="V7405">
        <v>-5.5436439999999997E-2</v>
      </c>
      <c r="W7405">
        <v>5.5749890000000003E-2</v>
      </c>
      <c r="X7405">
        <v>0.99690460000000003</v>
      </c>
      <c r="Y7405">
        <v>-0.30330230000000002</v>
      </c>
      <c r="Z7405">
        <v>8.2595469999999904E-3</v>
      </c>
      <c r="AA7405">
        <v>0.9528586</v>
      </c>
      <c r="AB7405">
        <v>29</v>
      </c>
      <c r="AC7405">
        <v>8.3083999999999705</v>
      </c>
      <c r="AD7405">
        <v>-1.113549483718</v>
      </c>
      <c r="AE7405">
        <v>3.5240200000000002</v>
      </c>
      <c r="AF7405">
        <v>-2.7501170766925802</v>
      </c>
      <c r="AG7405">
        <v>-1.113549483718</v>
      </c>
      <c r="AH7405">
        <v>8.4534374432095607</v>
      </c>
      <c r="AI7405">
        <v>97.139981348867906</v>
      </c>
      <c r="AJ7405">
        <v>108.021017741237</v>
      </c>
      <c r="AK7405">
        <v>8.9590033482783191</v>
      </c>
      <c r="AL7405">
        <v>86.804109685500407</v>
      </c>
      <c r="AM7405">
        <v>93.182858312703701</v>
      </c>
      <c r="AN7405">
        <v>1.00000001530802</v>
      </c>
    </row>
    <row r="7406" spans="1:40" x14ac:dyDescent="0.25">
      <c r="A7406" t="str">
        <f>"20190312160829050"</f>
        <v>20190312160829050</v>
      </c>
      <c r="B7406" t="str">
        <f>"1552378109043182"</f>
        <v>1552378109043182</v>
      </c>
      <c r="C7406" t="s">
        <v>40</v>
      </c>
      <c r="D7406">
        <v>6.8390339999999998</v>
      </c>
      <c r="E7406">
        <v>0.37793660000000001</v>
      </c>
      <c r="F7406" t="s">
        <v>82</v>
      </c>
      <c r="G7406">
        <v>-204.48320000000001</v>
      </c>
      <c r="H7406" s="1">
        <v>-3.5451679999999999E-6</v>
      </c>
      <c r="I7406">
        <v>-59.811799999999998</v>
      </c>
      <c r="J7406">
        <v>-212.76169999999999</v>
      </c>
      <c r="K7406">
        <v>1.1135489999999999</v>
      </c>
      <c r="L7406">
        <v>-63.34064</v>
      </c>
      <c r="M7406">
        <v>0.9959481</v>
      </c>
      <c r="N7406">
        <v>0</v>
      </c>
      <c r="O7406">
        <v>8.8783719999999997E-2</v>
      </c>
      <c r="P7406">
        <v>0.98888030000000005</v>
      </c>
      <c r="Q7406">
        <v>4.1572999999999999E-2</v>
      </c>
      <c r="R7406">
        <v>0.14278469999999999</v>
      </c>
      <c r="S7406">
        <v>2.8765260000000001</v>
      </c>
      <c r="T7406">
        <v>-0.38039699999999999</v>
      </c>
      <c r="U7406">
        <v>1.21048</v>
      </c>
      <c r="V7406">
        <v>-5.4887560000000002E-2</v>
      </c>
      <c r="W7406">
        <v>5.5379480000000002E-2</v>
      </c>
      <c r="X7406">
        <v>0.99695560000000005</v>
      </c>
      <c r="Y7406">
        <v>-0.30292419999999998</v>
      </c>
      <c r="Z7406">
        <v>7.9801709999999994E-3</v>
      </c>
      <c r="AA7406">
        <v>0.95298119999999997</v>
      </c>
      <c r="AB7406">
        <v>29</v>
      </c>
      <c r="AC7406">
        <v>8.2784999999999798</v>
      </c>
      <c r="AD7406">
        <v>-1.113552545168</v>
      </c>
      <c r="AE7406">
        <v>3.5288400000000002</v>
      </c>
      <c r="AF7406">
        <v>-2.73790942816865</v>
      </c>
      <c r="AG7406">
        <v>-1.113552545168</v>
      </c>
      <c r="AH7406">
        <v>8.4300619340932901</v>
      </c>
      <c r="AI7406">
        <v>97.160731388495705</v>
      </c>
      <c r="AJ7406">
        <v>107.992722590547</v>
      </c>
      <c r="AK7406">
        <v>8.9332016388500701</v>
      </c>
      <c r="AL7406">
        <v>86.825365403675207</v>
      </c>
      <c r="AM7406">
        <v>93.151247562652003</v>
      </c>
      <c r="AN7406">
        <v>0.99999999970959197</v>
      </c>
    </row>
    <row r="7407" spans="1:40" x14ac:dyDescent="0.25">
      <c r="A7407" t="str">
        <f>"20190312160829060"</f>
        <v>20190312160829060</v>
      </c>
      <c r="B7407" t="str">
        <f>"1552378109052941"</f>
        <v>1552378109052941</v>
      </c>
      <c r="C7407" t="s">
        <v>40</v>
      </c>
      <c r="D7407">
        <v>6.1856819999999999</v>
      </c>
      <c r="E7407">
        <v>0.38151030000000002</v>
      </c>
      <c r="F7407" t="s">
        <v>52</v>
      </c>
      <c r="G7407">
        <v>-166.56970000000001</v>
      </c>
      <c r="H7407">
        <v>2.4787170000000001</v>
      </c>
      <c r="I7407">
        <v>-40.619770000000003</v>
      </c>
      <c r="J7407">
        <v>-212.6285</v>
      </c>
      <c r="K7407">
        <v>1.1135459999999999</v>
      </c>
      <c r="L7407">
        <v>-63.326599999999999</v>
      </c>
      <c r="M7407">
        <v>0.99575539999999996</v>
      </c>
      <c r="N7407">
        <v>0</v>
      </c>
      <c r="O7407">
        <v>9.0919799999999995E-2</v>
      </c>
      <c r="P7407">
        <v>0.98873710000000004</v>
      </c>
      <c r="Q7407">
        <v>4.0753350000000001E-2</v>
      </c>
      <c r="R7407">
        <v>0.14400689999999999</v>
      </c>
      <c r="S7407">
        <v>2.829285</v>
      </c>
      <c r="T7407">
        <v>8.3615899999999896E-2</v>
      </c>
      <c r="U7407">
        <v>1.3916630000000001</v>
      </c>
      <c r="V7407">
        <v>-5.3970560000000001E-2</v>
      </c>
      <c r="W7407">
        <v>5.4568659999999998E-2</v>
      </c>
      <c r="X7407">
        <v>0.99705029999999994</v>
      </c>
      <c r="Y7407">
        <v>-0.35785939999999999</v>
      </c>
      <c r="Z7407">
        <v>-2.4754809999999999E-3</v>
      </c>
      <c r="AA7407">
        <v>0.93377220000000005</v>
      </c>
      <c r="AB7407">
        <v>29</v>
      </c>
      <c r="AC7407">
        <v>46.058799999999898</v>
      </c>
      <c r="AD7407">
        <v>1.3651709999999899</v>
      </c>
      <c r="AE7407">
        <v>22.70683</v>
      </c>
      <c r="AF7407">
        <v>-18.411665918438</v>
      </c>
      <c r="AG7407">
        <v>1.3651709999999899</v>
      </c>
      <c r="AH7407">
        <v>47.898854978111402</v>
      </c>
      <c r="AI7407">
        <v>88.476094848037704</v>
      </c>
      <c r="AJ7407">
        <v>111.026078382528</v>
      </c>
      <c r="AK7407">
        <v>51.333745645194803</v>
      </c>
      <c r="AL7407">
        <v>86.871892110622795</v>
      </c>
      <c r="AM7407">
        <v>93.098409767782101</v>
      </c>
      <c r="AN7407">
        <v>0.99999993036549695</v>
      </c>
    </row>
    <row r="7408" spans="1:40" x14ac:dyDescent="0.25">
      <c r="A7408" t="str">
        <f>"20190312160829071"</f>
        <v>20190312160829071</v>
      </c>
      <c r="B7408" t="str">
        <f>"1552378109062456"</f>
        <v>1552378109062456</v>
      </c>
      <c r="C7408" t="s">
        <v>40</v>
      </c>
      <c r="D7408">
        <v>8.8568879999999996</v>
      </c>
      <c r="E7408">
        <v>0.38563700000000001</v>
      </c>
      <c r="F7408" t="s">
        <v>43</v>
      </c>
      <c r="G7408">
        <v>-177.55940000000001</v>
      </c>
      <c r="H7408">
        <v>2.6174050000000002</v>
      </c>
      <c r="I7408">
        <v>-46.384810000000002</v>
      </c>
      <c r="J7408">
        <v>-212.48920000000001</v>
      </c>
      <c r="K7408">
        <v>1.1135409999999999</v>
      </c>
      <c r="L7408">
        <v>-63.31165</v>
      </c>
      <c r="M7408">
        <v>0.99554909999999996</v>
      </c>
      <c r="N7408">
        <v>0</v>
      </c>
      <c r="O7408">
        <v>9.3152609999999997E-2</v>
      </c>
      <c r="P7408">
        <v>0.98855749999999998</v>
      </c>
      <c r="Q7408">
        <v>3.967292E-2</v>
      </c>
      <c r="R7408">
        <v>0.1455352</v>
      </c>
      <c r="S7408">
        <v>2.8300480000000001</v>
      </c>
      <c r="T7408">
        <v>0.1213601</v>
      </c>
      <c r="U7408">
        <v>1.3671879999999901</v>
      </c>
      <c r="V7408">
        <v>-5.3262410000000003E-2</v>
      </c>
      <c r="W7408">
        <v>5.3494960000000001E-2</v>
      </c>
      <c r="X7408">
        <v>0.99714659999999999</v>
      </c>
      <c r="Y7408">
        <v>-0.34902939999999999</v>
      </c>
      <c r="Z7408">
        <v>-3.3286230000000002E-3</v>
      </c>
      <c r="AA7408">
        <v>0.93710590000000005</v>
      </c>
      <c r="AB7408">
        <v>29</v>
      </c>
      <c r="AC7408">
        <v>34.9298</v>
      </c>
      <c r="AD7408">
        <v>1.5038640000000001</v>
      </c>
      <c r="AE7408">
        <v>16.926839999999999</v>
      </c>
      <c r="AF7408">
        <v>-13.5787060943192</v>
      </c>
      <c r="AG7408">
        <v>1.5038640000000001</v>
      </c>
      <c r="AH7408">
        <v>36.300337903114801</v>
      </c>
      <c r="AI7408">
        <v>87.777895084035407</v>
      </c>
      <c r="AJ7408">
        <v>110.509091911403</v>
      </c>
      <c r="AK7408">
        <v>38.786046434339099</v>
      </c>
      <c r="AL7408">
        <v>86.9335007101147</v>
      </c>
      <c r="AM7408">
        <v>93.057538314539997</v>
      </c>
      <c r="AN7408">
        <v>0.999999968477984</v>
      </c>
    </row>
    <row r="7409" spans="1:40" x14ac:dyDescent="0.25">
      <c r="A7409" t="str">
        <f>"20190312160829082"</f>
        <v>20190312160829082</v>
      </c>
      <c r="B7409" t="str">
        <f>"1552378109073182"</f>
        <v>1552378109073182</v>
      </c>
      <c r="C7409" t="s">
        <v>40</v>
      </c>
      <c r="D7409">
        <v>6.1996200000000004</v>
      </c>
      <c r="E7409">
        <v>0.38977519999999999</v>
      </c>
      <c r="F7409" t="s">
        <v>52</v>
      </c>
      <c r="G7409">
        <v>-157.9383</v>
      </c>
      <c r="H7409">
        <v>4.1068119999999997</v>
      </c>
      <c r="I7409">
        <v>-37.511809999999997</v>
      </c>
      <c r="J7409">
        <v>-212.34719999999999</v>
      </c>
      <c r="K7409">
        <v>1.1135389999999901</v>
      </c>
      <c r="L7409">
        <v>-63.295960000000001</v>
      </c>
      <c r="M7409">
        <v>0.99533300000000002</v>
      </c>
      <c r="N7409">
        <v>0</v>
      </c>
      <c r="O7409">
        <v>9.5432879999999998E-2</v>
      </c>
      <c r="P7409">
        <v>0.98831000000000002</v>
      </c>
      <c r="Q7409">
        <v>3.9321420000000003E-2</v>
      </c>
      <c r="R7409">
        <v>0.1472985</v>
      </c>
      <c r="S7409">
        <v>2.8313449999999998</v>
      </c>
      <c r="T7409">
        <v>0.15535769999999999</v>
      </c>
      <c r="U7409">
        <v>1.339081</v>
      </c>
      <c r="V7409">
        <v>-5.2751760000000002E-2</v>
      </c>
      <c r="W7409">
        <v>5.3148319999999999E-2</v>
      </c>
      <c r="X7409">
        <v>0.99719230000000003</v>
      </c>
      <c r="Y7409">
        <v>-0.33901540000000002</v>
      </c>
      <c r="Z7409">
        <v>-3.8886049999999998E-3</v>
      </c>
      <c r="AA7409">
        <v>0.94077279999999996</v>
      </c>
      <c r="AB7409">
        <v>29</v>
      </c>
      <c r="AC7409">
        <v>54.408899999999903</v>
      </c>
      <c r="AD7409">
        <v>2.9932729999999999</v>
      </c>
      <c r="AE7409">
        <v>25.78415</v>
      </c>
      <c r="AF7409">
        <v>-20.423037553383899</v>
      </c>
      <c r="AG7409">
        <v>2.9932729999999999</v>
      </c>
      <c r="AH7409">
        <v>56.481830487853998</v>
      </c>
      <c r="AI7409">
        <v>87.146888157566394</v>
      </c>
      <c r="AJ7409">
        <v>109.879279605153</v>
      </c>
      <c r="AK7409">
        <v>60.135325071193698</v>
      </c>
      <c r="AL7409">
        <v>86.953390073024096</v>
      </c>
      <c r="AM7409">
        <v>93.028140659761902</v>
      </c>
      <c r="AN7409">
        <v>0.99999998764060405</v>
      </c>
    </row>
    <row r="7410" spans="1:40" x14ac:dyDescent="0.25">
      <c r="A7410" t="str">
        <f>"20190312160829093"</f>
        <v>20190312160829093</v>
      </c>
      <c r="B7410" t="str">
        <f>"1552378109082941"</f>
        <v>1552378109082941</v>
      </c>
      <c r="C7410" t="s">
        <v>40</v>
      </c>
      <c r="D7410">
        <v>6.0086139999999997</v>
      </c>
      <c r="E7410">
        <v>0.39128930000000001</v>
      </c>
      <c r="F7410" t="s">
        <v>52</v>
      </c>
      <c r="G7410">
        <v>-157.60679999999999</v>
      </c>
      <c r="H7410">
        <v>4.4594519999999997</v>
      </c>
      <c r="I7410">
        <v>-37.955309999999997</v>
      </c>
      <c r="J7410">
        <v>-212.2124</v>
      </c>
      <c r="K7410">
        <v>1.11354</v>
      </c>
      <c r="L7410">
        <v>-63.280940000000001</v>
      </c>
      <c r="M7410">
        <v>0.99512319999999999</v>
      </c>
      <c r="N7410">
        <v>0</v>
      </c>
      <c r="O7410">
        <v>9.7597699999999996E-2</v>
      </c>
      <c r="P7410">
        <v>0.98808649999999998</v>
      </c>
      <c r="Q7410">
        <v>3.8616400000000002E-2</v>
      </c>
      <c r="R7410">
        <v>0.148977</v>
      </c>
      <c r="S7410">
        <v>2.8331300000000001</v>
      </c>
      <c r="T7410">
        <v>0.1731693</v>
      </c>
      <c r="U7410">
        <v>1.311523</v>
      </c>
      <c r="V7410">
        <v>-5.226774E-2</v>
      </c>
      <c r="W7410">
        <v>5.2447390000000003E-2</v>
      </c>
      <c r="X7410">
        <v>0.99725490000000006</v>
      </c>
      <c r="Y7410">
        <v>-0.32915899999999998</v>
      </c>
      <c r="Z7410">
        <v>-3.9287539999999996E-3</v>
      </c>
      <c r="AA7410">
        <v>0.94426639999999995</v>
      </c>
      <c r="AB7410">
        <v>29</v>
      </c>
      <c r="AC7410">
        <v>54.605600000000003</v>
      </c>
      <c r="AD7410">
        <v>3.3459120000000002</v>
      </c>
      <c r="AE7410">
        <v>25.32563</v>
      </c>
      <c r="AF7410">
        <v>-19.813551858053302</v>
      </c>
      <c r="AG7410">
        <v>3.3459120000000002</v>
      </c>
      <c r="AH7410">
        <v>56.641816211278403</v>
      </c>
      <c r="AI7410">
        <v>86.8085810105501</v>
      </c>
      <c r="AJ7410">
        <v>109.280057382555</v>
      </c>
      <c r="AK7410">
        <v>60.100476770619302</v>
      </c>
      <c r="AL7410">
        <v>86.993606506639594</v>
      </c>
      <c r="AM7410">
        <v>93.000219175510594</v>
      </c>
      <c r="AN7410">
        <v>0.99999999046826404</v>
      </c>
    </row>
    <row r="7411" spans="1:40" x14ac:dyDescent="0.25">
      <c r="A7411" t="str">
        <f>"20190312160829105"</f>
        <v>20190312160829105</v>
      </c>
      <c r="B7411" t="str">
        <f>"1552378109102462"</f>
        <v>1552378109102462</v>
      </c>
      <c r="C7411" t="s">
        <v>40</v>
      </c>
      <c r="D7411">
        <v>4.9733919999999996</v>
      </c>
      <c r="E7411">
        <v>0.39416859999999998</v>
      </c>
      <c r="F7411" t="s">
        <v>52</v>
      </c>
      <c r="G7411">
        <v>-157.3501</v>
      </c>
      <c r="H7411">
        <v>4.761209</v>
      </c>
      <c r="I7411">
        <v>-38.012120000000003</v>
      </c>
      <c r="J7411">
        <v>-212.06620000000001</v>
      </c>
      <c r="K7411">
        <v>1.1135409999999999</v>
      </c>
      <c r="L7411">
        <v>-63.264099999999999</v>
      </c>
      <c r="M7411">
        <v>0.99488929999999998</v>
      </c>
      <c r="N7411">
        <v>0</v>
      </c>
      <c r="O7411">
        <v>9.9953810000000004E-2</v>
      </c>
      <c r="P7411">
        <v>0.98785230000000002</v>
      </c>
      <c r="Q7411">
        <v>3.840213E-2</v>
      </c>
      <c r="R7411">
        <v>0.15057619999999999</v>
      </c>
      <c r="S7411">
        <v>2.832138</v>
      </c>
      <c r="T7411">
        <v>0.1883012</v>
      </c>
      <c r="U7411">
        <v>1.304443</v>
      </c>
      <c r="V7411">
        <v>-5.1517899999999998E-2</v>
      </c>
      <c r="W7411">
        <v>5.2239300000000002E-2</v>
      </c>
      <c r="X7411">
        <v>0.99730490000000005</v>
      </c>
      <c r="Y7411">
        <v>-0.32504739999999999</v>
      </c>
      <c r="Z7411">
        <v>-3.9979109999999998E-3</v>
      </c>
      <c r="AA7411">
        <v>0.94568929999999995</v>
      </c>
      <c r="AB7411">
        <v>29</v>
      </c>
      <c r="AC7411">
        <v>54.716099999999997</v>
      </c>
      <c r="AD7411">
        <v>3.6476679999999999</v>
      </c>
      <c r="AE7411">
        <v>25.25198</v>
      </c>
      <c r="AF7411">
        <v>-19.584098064627799</v>
      </c>
      <c r="AG7411">
        <v>3.6476679999999999</v>
      </c>
      <c r="AH7411">
        <v>56.758363003747398</v>
      </c>
      <c r="AI7411">
        <v>86.5234464324122</v>
      </c>
      <c r="AJ7411">
        <v>109.03665603385301</v>
      </c>
      <c r="AK7411">
        <v>60.152756792256397</v>
      </c>
      <c r="AL7411">
        <v>87.005545733702604</v>
      </c>
      <c r="AM7411">
        <v>92.957106585249903</v>
      </c>
      <c r="AN7411">
        <v>1.00000005102445</v>
      </c>
    </row>
    <row r="7412" spans="1:40" x14ac:dyDescent="0.25">
      <c r="A7412" t="str">
        <f>"20190312160829117"</f>
        <v>20190312160829117</v>
      </c>
      <c r="B7412" t="str">
        <f>"1552378109113198"</f>
        <v>1552378109113198</v>
      </c>
      <c r="C7412" t="s">
        <v>40</v>
      </c>
      <c r="D7412">
        <v>5.6150190000000002</v>
      </c>
      <c r="E7412">
        <v>0.39520280000000002</v>
      </c>
      <c r="F7412" t="s">
        <v>52</v>
      </c>
      <c r="G7412">
        <v>-157.3501</v>
      </c>
      <c r="H7412">
        <v>5.0290790000000003</v>
      </c>
      <c r="I7412">
        <v>-38.41536</v>
      </c>
      <c r="J7412">
        <v>-211.9229</v>
      </c>
      <c r="K7412">
        <v>1.113542</v>
      </c>
      <c r="L7412">
        <v>-63.24738</v>
      </c>
      <c r="M7412">
        <v>0.99465380000000003</v>
      </c>
      <c r="N7412">
        <v>0</v>
      </c>
      <c r="O7412">
        <v>0.1022696</v>
      </c>
      <c r="P7412">
        <v>0.98763970000000001</v>
      </c>
      <c r="Q7412">
        <v>3.836552E-2</v>
      </c>
      <c r="R7412">
        <v>0.15197439999999901</v>
      </c>
      <c r="S7412">
        <v>2.8329010000000001</v>
      </c>
      <c r="T7412">
        <v>0.20272390000000001</v>
      </c>
      <c r="U7412">
        <v>1.28653</v>
      </c>
      <c r="V7412">
        <v>-5.0607279999999998E-2</v>
      </c>
      <c r="W7412">
        <v>5.2209779999999997E-2</v>
      </c>
      <c r="X7412">
        <v>0.99735300000000005</v>
      </c>
      <c r="Y7412">
        <v>-0.31774839999999999</v>
      </c>
      <c r="Z7412">
        <v>-3.903185E-3</v>
      </c>
      <c r="AA7412">
        <v>0.94816699999999998</v>
      </c>
      <c r="AB7412">
        <v>28</v>
      </c>
      <c r="AC7412">
        <v>54.572800000000001</v>
      </c>
      <c r="AD7412">
        <v>3.915537</v>
      </c>
      <c r="AE7412">
        <v>24.83202</v>
      </c>
      <c r="AF7412">
        <v>-19.0388838003988</v>
      </c>
      <c r="AG7412">
        <v>3.915537</v>
      </c>
      <c r="AH7412">
        <v>56.585093538589398</v>
      </c>
      <c r="AI7412">
        <v>86.247660248170007</v>
      </c>
      <c r="AJ7412">
        <v>108.596267059167</v>
      </c>
      <c r="AK7412">
        <v>59.830454930030101</v>
      </c>
      <c r="AL7412">
        <v>87.007239210307006</v>
      </c>
      <c r="AM7412">
        <v>92.904787839121994</v>
      </c>
      <c r="AN7412">
        <v>0.99999998226282305</v>
      </c>
    </row>
    <row r="7413" spans="1:40" x14ac:dyDescent="0.25">
      <c r="A7413" t="str">
        <f>"20190312160829128"</f>
        <v>20190312160829128</v>
      </c>
      <c r="B7413" t="str">
        <f>"1552378109122959"</f>
        <v>1552378109122959</v>
      </c>
      <c r="C7413" t="s">
        <v>40</v>
      </c>
      <c r="D7413">
        <v>6.3717379999999997</v>
      </c>
      <c r="E7413">
        <v>0.39807500000000001</v>
      </c>
      <c r="F7413" t="s">
        <v>52</v>
      </c>
      <c r="G7413">
        <v>-157.3501</v>
      </c>
      <c r="H7413">
        <v>5.0737430000000003</v>
      </c>
      <c r="I7413">
        <v>-38.538429999999998</v>
      </c>
      <c r="J7413">
        <v>-211.77449999999999</v>
      </c>
      <c r="K7413">
        <v>1.113551</v>
      </c>
      <c r="L7413">
        <v>-63.229579999999999</v>
      </c>
      <c r="M7413">
        <v>0.99440340000000005</v>
      </c>
      <c r="N7413">
        <v>0</v>
      </c>
      <c r="O7413">
        <v>0.1046774</v>
      </c>
      <c r="P7413">
        <v>0.98751770000000005</v>
      </c>
      <c r="Q7413">
        <v>3.7567110000000001E-2</v>
      </c>
      <c r="R7413">
        <v>0.15296299999999999</v>
      </c>
      <c r="S7413">
        <v>2.83223</v>
      </c>
      <c r="T7413">
        <v>0.20552609999999999</v>
      </c>
      <c r="U7413">
        <v>1.282349</v>
      </c>
      <c r="V7413">
        <v>-4.9181080000000002E-2</v>
      </c>
      <c r="W7413">
        <v>5.1423580000000003E-2</v>
      </c>
      <c r="X7413">
        <v>0.99746520000000005</v>
      </c>
      <c r="Y7413">
        <v>-0.3143744</v>
      </c>
      <c r="Z7413">
        <v>-3.6784169999999998E-3</v>
      </c>
      <c r="AA7413">
        <v>0.94929189999999997</v>
      </c>
      <c r="AB7413">
        <v>28</v>
      </c>
      <c r="AC7413">
        <v>54.424399999999899</v>
      </c>
      <c r="AD7413">
        <v>3.9601919999999899</v>
      </c>
      <c r="AE7413">
        <v>24.69115</v>
      </c>
      <c r="AF7413">
        <v>-18.7754447407718</v>
      </c>
      <c r="AG7413">
        <v>3.9601919999999899</v>
      </c>
      <c r="AH7413">
        <v>56.462288538115601</v>
      </c>
      <c r="AI7413">
        <v>86.192270419228805</v>
      </c>
      <c r="AJ7413">
        <v>108.393550483734</v>
      </c>
      <c r="AK7413">
        <v>59.6338031057224</v>
      </c>
      <c r="AL7413">
        <v>87.052345784899103</v>
      </c>
      <c r="AM7413">
        <v>92.8227432355459</v>
      </c>
      <c r="AN7413">
        <v>0.999999994210511</v>
      </c>
    </row>
    <row r="7414" spans="1:40" x14ac:dyDescent="0.25">
      <c r="A7414" t="str">
        <f>"20190312160829140"</f>
        <v>20190312160829140</v>
      </c>
      <c r="B7414" t="str">
        <f>"1552378109132717"</f>
        <v>1552378109132717</v>
      </c>
      <c r="C7414" t="s">
        <v>40</v>
      </c>
      <c r="D7414">
        <v>6.2306249999999999</v>
      </c>
      <c r="E7414">
        <v>0.40009869999999997</v>
      </c>
      <c r="F7414" t="s">
        <v>52</v>
      </c>
      <c r="G7414">
        <v>-157.3501</v>
      </c>
      <c r="H7414">
        <v>5.1684869999999998</v>
      </c>
      <c r="I7414">
        <v>-38.986989999999999</v>
      </c>
      <c r="J7414">
        <v>-211.6343</v>
      </c>
      <c r="K7414">
        <v>1.113556</v>
      </c>
      <c r="L7414">
        <v>-63.212490000000003</v>
      </c>
      <c r="M7414">
        <v>0.99416020000000005</v>
      </c>
      <c r="N7414">
        <v>0</v>
      </c>
      <c r="O7414">
        <v>0.1069634</v>
      </c>
      <c r="P7414">
        <v>0.98731729999999995</v>
      </c>
      <c r="Q7414">
        <v>3.6770280000000002E-2</v>
      </c>
      <c r="R7414">
        <v>0.15444260000000001</v>
      </c>
      <c r="S7414">
        <v>2.8343349999999998</v>
      </c>
      <c r="T7414">
        <v>0.2111731</v>
      </c>
      <c r="U7414">
        <v>1.2625120000000001</v>
      </c>
      <c r="V7414">
        <v>-4.8373020000000003E-2</v>
      </c>
      <c r="W7414">
        <v>5.063401E-2</v>
      </c>
      <c r="X7414">
        <v>0.99754509999999996</v>
      </c>
      <c r="Y7414">
        <v>-0.30638409999999999</v>
      </c>
      <c r="Z7414">
        <v>-3.3374199999999998E-3</v>
      </c>
      <c r="AA7414">
        <v>0.95190220000000003</v>
      </c>
      <c r="AB7414">
        <v>28</v>
      </c>
      <c r="AC7414">
        <v>54.284199999999998</v>
      </c>
      <c r="AD7414">
        <v>4.0549309999999998</v>
      </c>
      <c r="AE7414">
        <v>24.2255</v>
      </c>
      <c r="AF7414">
        <v>-18.194810434562001</v>
      </c>
      <c r="AG7414">
        <v>4.0549309999999998</v>
      </c>
      <c r="AH7414">
        <v>56.302231504901101</v>
      </c>
      <c r="AI7414">
        <v>86.079585322883204</v>
      </c>
      <c r="AJ7414">
        <v>107.908924533061</v>
      </c>
      <c r="AK7414">
        <v>59.307966282750598</v>
      </c>
      <c r="AL7414">
        <v>87.097643815758204</v>
      </c>
      <c r="AM7414">
        <v>92.776215849946993</v>
      </c>
      <c r="AN7414">
        <v>0.99999998928330502</v>
      </c>
    </row>
    <row r="7415" spans="1:40" x14ac:dyDescent="0.25">
      <c r="A7415" t="str">
        <f>"20190312160829158"</f>
        <v>20190312160829158</v>
      </c>
      <c r="B7415" t="str">
        <f>"1552378109153213"</f>
        <v>1552378109153213</v>
      </c>
      <c r="C7415" t="s">
        <v>40</v>
      </c>
      <c r="D7415">
        <v>5.1050199999999997</v>
      </c>
      <c r="E7415">
        <v>0.40259410000000001</v>
      </c>
      <c r="F7415" t="s">
        <v>52</v>
      </c>
      <c r="G7415">
        <v>-157.3501</v>
      </c>
      <c r="H7415">
        <v>5.1510420000000003</v>
      </c>
      <c r="I7415">
        <v>-39.265810000000002</v>
      </c>
      <c r="J7415">
        <v>-211.4134</v>
      </c>
      <c r="K7415">
        <v>1.1135729999999999</v>
      </c>
      <c r="L7415">
        <v>-63.184910000000002</v>
      </c>
      <c r="M7415">
        <v>0.99376359999999997</v>
      </c>
      <c r="N7415">
        <v>0</v>
      </c>
      <c r="O7415">
        <v>0.110587</v>
      </c>
      <c r="P7415">
        <v>0.98687729999999996</v>
      </c>
      <c r="Q7415">
        <v>3.6242249999999997E-2</v>
      </c>
      <c r="R7415">
        <v>0.1573514</v>
      </c>
      <c r="S7415">
        <v>2.8350520000000001</v>
      </c>
      <c r="T7415">
        <v>0.21086099999999999</v>
      </c>
      <c r="U7415">
        <v>1.2506409999999999</v>
      </c>
      <c r="V7415">
        <v>-4.7671239999999997E-2</v>
      </c>
      <c r="W7415">
        <v>5.0110630000000003E-2</v>
      </c>
      <c r="X7415">
        <v>0.99760530000000003</v>
      </c>
      <c r="Y7415">
        <v>-0.2995099</v>
      </c>
      <c r="Z7415">
        <v>-2.8368579999999998E-3</v>
      </c>
      <c r="AA7415">
        <v>0.95408899999999996</v>
      </c>
      <c r="AB7415">
        <v>28</v>
      </c>
      <c r="AC7415">
        <v>54.063299999999998</v>
      </c>
      <c r="AD7415">
        <v>4.0374689999999998</v>
      </c>
      <c r="AE7415">
        <v>23.9191</v>
      </c>
      <c r="AF7415">
        <v>-17.7104467209072</v>
      </c>
      <c r="AG7415">
        <v>4.0374689999999998</v>
      </c>
      <c r="AH7415">
        <v>56.1153116476709</v>
      </c>
      <c r="AI7415">
        <v>86.0748950018599</v>
      </c>
      <c r="AJ7415">
        <v>107.516118120736</v>
      </c>
      <c r="AK7415">
        <v>58.982109832518603</v>
      </c>
      <c r="AL7415">
        <v>87.127669367647698</v>
      </c>
      <c r="AM7415">
        <v>92.735836212926003</v>
      </c>
      <c r="AN7415">
        <v>0.99999997847511102</v>
      </c>
    </row>
    <row r="7416" spans="1:40" x14ac:dyDescent="0.25">
      <c r="A7416" t="str">
        <f>"20190312160829167"</f>
        <v>20190312160829167</v>
      </c>
      <c r="B7416" t="str">
        <f>"1552378109162875"</f>
        <v>1552378109162875</v>
      </c>
      <c r="C7416" t="s">
        <v>40</v>
      </c>
      <c r="D7416">
        <v>6.2047569999999999</v>
      </c>
      <c r="E7416">
        <v>0.40327200000000002</v>
      </c>
      <c r="F7416" t="s">
        <v>52</v>
      </c>
      <c r="G7416">
        <v>-157.3501</v>
      </c>
      <c r="H7416">
        <v>5.2374559999999999</v>
      </c>
      <c r="I7416">
        <v>-39.548160000000003</v>
      </c>
      <c r="J7416">
        <v>-211.2861</v>
      </c>
      <c r="K7416">
        <v>1.1135870000000001</v>
      </c>
      <c r="L7416">
        <v>-63.168550000000003</v>
      </c>
      <c r="M7416">
        <v>0.99352680000000004</v>
      </c>
      <c r="N7416">
        <v>0</v>
      </c>
      <c r="O7416">
        <v>0.1126948</v>
      </c>
      <c r="P7416">
        <v>0.98677950000000003</v>
      </c>
      <c r="Q7416">
        <v>3.471167E-2</v>
      </c>
      <c r="R7416">
        <v>0.15830830000000001</v>
      </c>
      <c r="S7416">
        <v>2.8343660000000002</v>
      </c>
      <c r="T7416">
        <v>0.21620059999999999</v>
      </c>
      <c r="U7416">
        <v>1.2391970000000001</v>
      </c>
      <c r="V7416">
        <v>-4.6504009999999998E-2</v>
      </c>
      <c r="W7416">
        <v>4.8589939999999998E-2</v>
      </c>
      <c r="X7416">
        <v>0.99773559999999994</v>
      </c>
      <c r="Y7416">
        <v>-0.29433239999999999</v>
      </c>
      <c r="Z7416">
        <v>-2.5713480000000002E-3</v>
      </c>
      <c r="AA7416">
        <v>0.95569970000000004</v>
      </c>
      <c r="AB7416">
        <v>28</v>
      </c>
      <c r="AC7416">
        <v>53.936</v>
      </c>
      <c r="AD7416">
        <v>4.123869</v>
      </c>
      <c r="AE7416">
        <v>23.62039</v>
      </c>
      <c r="AF7416">
        <v>-17.306071815387</v>
      </c>
      <c r="AG7416">
        <v>4.123869</v>
      </c>
      <c r="AH7416">
        <v>55.979914581396898</v>
      </c>
      <c r="AI7416">
        <v>85.974135315303798</v>
      </c>
      <c r="AJ7416">
        <v>107.178883010536</v>
      </c>
      <c r="AK7416">
        <v>58.738890470871098</v>
      </c>
      <c r="AL7416">
        <v>87.2149047567286</v>
      </c>
      <c r="AM7416">
        <v>92.668599304746905</v>
      </c>
      <c r="AN7416">
        <v>0.99999996636132105</v>
      </c>
    </row>
    <row r="7417" spans="1:40" x14ac:dyDescent="0.25">
      <c r="A7417" t="str">
        <f>"20190312160829176"</f>
        <v>20190312160829176</v>
      </c>
      <c r="B7417" t="str">
        <f>"1552378109172621"</f>
        <v>1552378109172621</v>
      </c>
      <c r="C7417" t="s">
        <v>40</v>
      </c>
      <c r="D7417">
        <v>4.8098320000000001</v>
      </c>
      <c r="E7417">
        <v>0.40435359999999998</v>
      </c>
      <c r="F7417" t="s">
        <v>52</v>
      </c>
      <c r="G7417">
        <v>-157.3501</v>
      </c>
      <c r="H7417">
        <v>5.1710469999999997</v>
      </c>
      <c r="I7417">
        <v>-39.636330000000001</v>
      </c>
      <c r="J7417">
        <v>-211.17359999999999</v>
      </c>
      <c r="K7417">
        <v>1.1135949999999999</v>
      </c>
      <c r="L7417">
        <v>-63.153930000000003</v>
      </c>
      <c r="M7417">
        <v>0.99331309999999995</v>
      </c>
      <c r="N7417">
        <v>0</v>
      </c>
      <c r="O7417">
        <v>0.1145625</v>
      </c>
      <c r="P7417">
        <v>0.98659459999999999</v>
      </c>
      <c r="Q7417">
        <v>3.3839189999999998E-2</v>
      </c>
      <c r="R7417">
        <v>0.1596428</v>
      </c>
      <c r="S7417">
        <v>2.8343050000000001</v>
      </c>
      <c r="T7417">
        <v>0.21321580000000001</v>
      </c>
      <c r="U7417">
        <v>1.2366029999999999</v>
      </c>
      <c r="V7417">
        <v>-4.5968340000000003E-2</v>
      </c>
      <c r="W7417">
        <v>4.7721670000000001E-2</v>
      </c>
      <c r="X7417">
        <v>0.99780239999999998</v>
      </c>
      <c r="Y7417">
        <v>-0.29182999999999998</v>
      </c>
      <c r="Z7417">
        <v>-2.3144139999999999E-3</v>
      </c>
      <c r="AA7417">
        <v>0.95646739999999997</v>
      </c>
      <c r="AB7417">
        <v>28</v>
      </c>
      <c r="AC7417">
        <v>53.823500000000003</v>
      </c>
      <c r="AD7417">
        <v>4.0574519999999996</v>
      </c>
      <c r="AE7417">
        <v>23.517600000000002</v>
      </c>
      <c r="AF7417">
        <v>-17.114278146595801</v>
      </c>
      <c r="AG7417">
        <v>4.0574519999999996</v>
      </c>
      <c r="AH7417">
        <v>55.896837965352397</v>
      </c>
      <c r="AI7417">
        <v>86.029592985530797</v>
      </c>
      <c r="AJ7417">
        <v>107.023338314718</v>
      </c>
      <c r="AK7417">
        <v>58.598787766780703</v>
      </c>
      <c r="AL7417">
        <v>87.264710945008005</v>
      </c>
      <c r="AM7417">
        <v>92.637727587011796</v>
      </c>
      <c r="AN7417">
        <v>1.00000003775785</v>
      </c>
    </row>
    <row r="7418" spans="1:40" x14ac:dyDescent="0.25">
      <c r="A7418" t="str">
        <f>"20190312160829185"</f>
        <v>20190312160829185</v>
      </c>
      <c r="B7418" t="str">
        <f>"1552378109172621"</f>
        <v>1552378109172621</v>
      </c>
      <c r="C7418" t="s">
        <v>40</v>
      </c>
      <c r="D7418">
        <v>4.8098320000000001</v>
      </c>
      <c r="E7418">
        <v>0.40435359999999998</v>
      </c>
      <c r="F7418" t="s">
        <v>52</v>
      </c>
      <c r="G7418">
        <v>-157.3501</v>
      </c>
      <c r="H7418">
        <v>4.9709789999999998</v>
      </c>
      <c r="I7418">
        <v>-39.76</v>
      </c>
      <c r="J7418">
        <v>-211.05840000000001</v>
      </c>
      <c r="K7418">
        <v>1.1135999999999999</v>
      </c>
      <c r="L7418">
        <v>-63.138640000000002</v>
      </c>
      <c r="M7418">
        <v>0.99308850000000004</v>
      </c>
      <c r="N7418">
        <v>0</v>
      </c>
      <c r="O7418">
        <v>0.116492899999999</v>
      </c>
      <c r="P7418">
        <v>0.98633289999999996</v>
      </c>
      <c r="Q7418">
        <v>3.3191459999999999E-2</v>
      </c>
      <c r="R7418">
        <v>0.16138739999999999</v>
      </c>
      <c r="S7418">
        <v>2.8344420000000001</v>
      </c>
      <c r="T7418">
        <v>0.20313510000000001</v>
      </c>
      <c r="U7418">
        <v>1.2319639999999901</v>
      </c>
      <c r="V7418">
        <v>-4.5787040000000001E-2</v>
      </c>
      <c r="W7418">
        <v>4.7074869999999998E-2</v>
      </c>
      <c r="X7418">
        <v>0.99784139999999999</v>
      </c>
      <c r="Y7418">
        <v>-0.28868579999999999</v>
      </c>
      <c r="Z7418">
        <v>-1.968001E-3</v>
      </c>
      <c r="AA7418">
        <v>0.95742190000000005</v>
      </c>
      <c r="AB7418">
        <v>28</v>
      </c>
      <c r="AC7418">
        <v>53.708300000000001</v>
      </c>
      <c r="AD7418">
        <v>3.8573789999999999</v>
      </c>
      <c r="AE7418">
        <v>23.378640000000001</v>
      </c>
      <c r="AF7418">
        <v>-16.888918627473998</v>
      </c>
      <c r="AG7418">
        <v>3.8573789999999999</v>
      </c>
      <c r="AH7418">
        <v>55.824192265656897</v>
      </c>
      <c r="AI7418">
        <v>86.216072451649694</v>
      </c>
      <c r="AJ7418">
        <v>106.832541066047</v>
      </c>
      <c r="AK7418">
        <v>58.450452412860798</v>
      </c>
      <c r="AL7418">
        <v>87.301811391522307</v>
      </c>
      <c r="AM7418">
        <v>92.627236401917202</v>
      </c>
      <c r="AN7418">
        <v>0.99999997798571905</v>
      </c>
    </row>
    <row r="7419" spans="1:40" x14ac:dyDescent="0.25">
      <c r="A7419" t="str">
        <f>"20190312160829195"</f>
        <v>20190312160829195</v>
      </c>
      <c r="B7419" t="str">
        <f>"1552378109182381"</f>
        <v>1552378109182381</v>
      </c>
      <c r="C7419" t="s">
        <v>40</v>
      </c>
      <c r="D7419">
        <v>5.0085249999999997</v>
      </c>
      <c r="E7419">
        <v>0.4053021</v>
      </c>
      <c r="F7419" t="s">
        <v>52</v>
      </c>
      <c r="G7419">
        <v>-157.3501</v>
      </c>
      <c r="H7419">
        <v>4.9303819999999998</v>
      </c>
      <c r="I7419">
        <v>-39.682459999999999</v>
      </c>
      <c r="J7419">
        <v>-210.9495</v>
      </c>
      <c r="K7419">
        <v>1.1136090000000001</v>
      </c>
      <c r="L7419">
        <v>-63.124110000000002</v>
      </c>
      <c r="M7419">
        <v>0.99287270000000005</v>
      </c>
      <c r="N7419">
        <v>0</v>
      </c>
      <c r="O7419">
        <v>0.1183179</v>
      </c>
      <c r="P7419">
        <v>0.98608680000000004</v>
      </c>
      <c r="Q7419">
        <v>3.264591E-2</v>
      </c>
      <c r="R7419">
        <v>0.16299420000000001</v>
      </c>
      <c r="S7419">
        <v>2.8323969999999998</v>
      </c>
      <c r="T7419">
        <v>0.20128309999999999</v>
      </c>
      <c r="U7419">
        <v>1.2370000000000001</v>
      </c>
      <c r="V7419">
        <v>-4.5573610000000001E-2</v>
      </c>
      <c r="W7419">
        <v>4.6529960000000002E-2</v>
      </c>
      <c r="X7419">
        <v>0.99787680000000001</v>
      </c>
      <c r="Y7419">
        <v>-0.28861979999999998</v>
      </c>
      <c r="Z7419">
        <v>-1.826919E-3</v>
      </c>
      <c r="AA7419">
        <v>0.95744200000000002</v>
      </c>
      <c r="AB7419">
        <v>28</v>
      </c>
      <c r="AC7419">
        <v>53.599400000000003</v>
      </c>
      <c r="AD7419">
        <v>3.816773</v>
      </c>
      <c r="AE7419">
        <v>23.441649999999999</v>
      </c>
      <c r="AF7419">
        <v>-16.862761281084602</v>
      </c>
      <c r="AG7419">
        <v>3.816773</v>
      </c>
      <c r="AH7419">
        <v>55.759334475628997</v>
      </c>
      <c r="AI7419">
        <v>86.251327167413194</v>
      </c>
      <c r="AJ7419">
        <v>106.826388480264</v>
      </c>
      <c r="AK7419">
        <v>58.378282394409702</v>
      </c>
      <c r="AL7419">
        <v>87.333066877387097</v>
      </c>
      <c r="AM7419">
        <v>92.614914300107301</v>
      </c>
      <c r="AN7419">
        <v>1.00000004954213</v>
      </c>
    </row>
    <row r="7420" spans="1:40" x14ac:dyDescent="0.25">
      <c r="A7420" t="str">
        <f>"20190312160829207"</f>
        <v>20190312160829207</v>
      </c>
      <c r="B7420" t="str">
        <f>"1552378109193121"</f>
        <v>1552378109193121</v>
      </c>
      <c r="C7420" t="s">
        <v>40</v>
      </c>
      <c r="D7420">
        <v>6.2057510000000002</v>
      </c>
      <c r="E7420">
        <v>0.4059815</v>
      </c>
      <c r="F7420" t="s">
        <v>52</v>
      </c>
      <c r="G7420">
        <v>-157.3501</v>
      </c>
      <c r="H7420">
        <v>4.7929959999999996</v>
      </c>
      <c r="I7420">
        <v>-39.768619999999999</v>
      </c>
      <c r="J7420">
        <v>-210.7946</v>
      </c>
      <c r="K7420">
        <v>1.113632</v>
      </c>
      <c r="L7420">
        <v>-63.10284</v>
      </c>
      <c r="M7420">
        <v>0.99255510000000002</v>
      </c>
      <c r="N7420">
        <v>0</v>
      </c>
      <c r="O7420">
        <v>0.12095350000000001</v>
      </c>
      <c r="P7420">
        <v>0.98563080000000003</v>
      </c>
      <c r="Q7420">
        <v>3.2542399999999999E-2</v>
      </c>
      <c r="R7420">
        <v>0.16574949999999999</v>
      </c>
      <c r="S7420">
        <v>2.831909</v>
      </c>
      <c r="T7420">
        <v>0.19439799999999999</v>
      </c>
      <c r="U7420">
        <v>1.233978</v>
      </c>
      <c r="V7420">
        <v>-4.5714680000000001E-2</v>
      </c>
      <c r="W7420">
        <v>4.6423260000000001E-2</v>
      </c>
      <c r="X7420">
        <v>0.99787530000000002</v>
      </c>
      <c r="Y7420">
        <v>-0.28531430000000002</v>
      </c>
      <c r="Z7420">
        <v>-1.4868360000000001E-3</v>
      </c>
      <c r="AA7420">
        <v>0.95843290000000003</v>
      </c>
      <c r="AB7420">
        <v>28</v>
      </c>
      <c r="AC7420">
        <v>53.444499999999998</v>
      </c>
      <c r="AD7420">
        <v>3.6793640000000001</v>
      </c>
      <c r="AE7420">
        <v>23.334219999999998</v>
      </c>
      <c r="AF7420">
        <v>-16.6317016566802</v>
      </c>
      <c r="AG7420">
        <v>3.6793640000000001</v>
      </c>
      <c r="AH7420">
        <v>55.653142599131101</v>
      </c>
      <c r="AI7420">
        <v>86.375481358775502</v>
      </c>
      <c r="AJ7420">
        <v>106.63854860710801</v>
      </c>
      <c r="AK7420">
        <v>58.201576444289998</v>
      </c>
      <c r="AL7420">
        <v>87.339186905379094</v>
      </c>
      <c r="AM7420">
        <v>92.623001239046403</v>
      </c>
      <c r="AN7420">
        <v>1.0000000326933001</v>
      </c>
    </row>
    <row r="7421" spans="1:40" x14ac:dyDescent="0.25">
      <c r="A7421" t="str">
        <f>"20190312160829217"</f>
        <v>20190312160829217</v>
      </c>
      <c r="B7421" t="str">
        <f>"1552378109212637"</f>
        <v>1552378109212637</v>
      </c>
      <c r="C7421" t="s">
        <v>40</v>
      </c>
      <c r="D7421">
        <v>4.9642929999999996</v>
      </c>
      <c r="E7421">
        <v>0.4071419</v>
      </c>
      <c r="F7421" t="s">
        <v>52</v>
      </c>
      <c r="G7421">
        <v>-157.3501</v>
      </c>
      <c r="H7421">
        <v>4.6980240000000002</v>
      </c>
      <c r="I7421">
        <v>-39.74485</v>
      </c>
      <c r="J7421">
        <v>-210.6671</v>
      </c>
      <c r="K7421">
        <v>1.113659</v>
      </c>
      <c r="L7421">
        <v>-63.085079999999998</v>
      </c>
      <c r="M7421">
        <v>0.99228709999999998</v>
      </c>
      <c r="N7421">
        <v>0</v>
      </c>
      <c r="O7421">
        <v>0.12313350000000001</v>
      </c>
      <c r="P7421">
        <v>0.98526250000000004</v>
      </c>
      <c r="Q7421">
        <v>3.293915E-2</v>
      </c>
      <c r="R7421">
        <v>0.16784839999999901</v>
      </c>
      <c r="S7421">
        <v>2.8294980000000001</v>
      </c>
      <c r="T7421">
        <v>0.18976599999999999</v>
      </c>
      <c r="U7421">
        <v>1.2366330000000001</v>
      </c>
      <c r="V7421">
        <v>-4.5655790000000002E-2</v>
      </c>
      <c r="W7421">
        <v>4.6818129999999999E-2</v>
      </c>
      <c r="X7421">
        <v>0.99785950000000001</v>
      </c>
      <c r="Y7421">
        <v>-0.28428409999999998</v>
      </c>
      <c r="Z7421">
        <v>-1.282322E-3</v>
      </c>
      <c r="AA7421">
        <v>0.95873920000000001</v>
      </c>
      <c r="AB7421">
        <v>28</v>
      </c>
      <c r="AC7421">
        <v>53.317</v>
      </c>
      <c r="AD7421">
        <v>3.584365</v>
      </c>
      <c r="AE7421">
        <v>23.340229999999998</v>
      </c>
      <c r="AF7421">
        <v>-16.534088103520101</v>
      </c>
      <c r="AG7421">
        <v>3.584365</v>
      </c>
      <c r="AH7421">
        <v>55.574660212258301</v>
      </c>
      <c r="AI7421">
        <v>86.462561214874398</v>
      </c>
      <c r="AJ7421">
        <v>106.568335205637</v>
      </c>
      <c r="AK7421">
        <v>58.092741367370103</v>
      </c>
      <c r="AL7421">
        <v>87.316537766624705</v>
      </c>
      <c r="AM7421">
        <v>92.619668399961299</v>
      </c>
      <c r="AN7421">
        <v>0.999999985098735</v>
      </c>
    </row>
    <row r="7422" spans="1:40" x14ac:dyDescent="0.25">
      <c r="A7422" t="str">
        <f>"20190312160829228"</f>
        <v>20190312160829228</v>
      </c>
      <c r="B7422" t="str">
        <f>"1552378109222397"</f>
        <v>1552378109222397</v>
      </c>
      <c r="C7422" t="s">
        <v>40</v>
      </c>
      <c r="D7422">
        <v>5.009633</v>
      </c>
      <c r="E7422">
        <v>0.40771109999999999</v>
      </c>
      <c r="F7422" t="s">
        <v>52</v>
      </c>
      <c r="G7422">
        <v>-157.3501</v>
      </c>
      <c r="H7422">
        <v>4.5533149999999996</v>
      </c>
      <c r="I7422">
        <v>-39.83502</v>
      </c>
      <c r="J7422">
        <v>-210.52600000000001</v>
      </c>
      <c r="K7422">
        <v>1.113685</v>
      </c>
      <c r="L7422">
        <v>-63.06503</v>
      </c>
      <c r="M7422">
        <v>0.991981</v>
      </c>
      <c r="N7422">
        <v>0</v>
      </c>
      <c r="O7422">
        <v>0.1255752</v>
      </c>
      <c r="P7422">
        <v>0.98487550000000001</v>
      </c>
      <c r="Q7422">
        <v>3.3096210000000001E-2</v>
      </c>
      <c r="R7422">
        <v>0.17007359999999999</v>
      </c>
      <c r="S7422">
        <v>2.8286440000000002</v>
      </c>
      <c r="T7422">
        <v>0.1824837</v>
      </c>
      <c r="U7422">
        <v>1.23349</v>
      </c>
      <c r="V7422">
        <v>-4.5458470000000001E-2</v>
      </c>
      <c r="W7422">
        <v>4.6975320000000001E-2</v>
      </c>
      <c r="X7422">
        <v>0.99786109999999995</v>
      </c>
      <c r="Y7422">
        <v>-0.28116669999999999</v>
      </c>
      <c r="Z7422">
        <v>-9.8986410000000006E-4</v>
      </c>
      <c r="AA7422">
        <v>0.95965840000000002</v>
      </c>
      <c r="AB7422">
        <v>28</v>
      </c>
      <c r="AC7422">
        <v>53.175899999999899</v>
      </c>
      <c r="AD7422">
        <v>3.4396300000000002</v>
      </c>
      <c r="AE7422">
        <v>23.23001</v>
      </c>
      <c r="AF7422">
        <v>-16.3105214238063</v>
      </c>
      <c r="AG7422">
        <v>3.4396300000000002</v>
      </c>
      <c r="AH7422">
        <v>55.477370259655103</v>
      </c>
      <c r="AI7422">
        <v>86.5958818760149</v>
      </c>
      <c r="AJ7422">
        <v>106.38350208040001</v>
      </c>
      <c r="AK7422">
        <v>57.927564894272997</v>
      </c>
      <c r="AL7422">
        <v>87.307521465970595</v>
      </c>
      <c r="AM7422">
        <v>92.608357935121006</v>
      </c>
      <c r="AN7422">
        <v>0.99999996403852598</v>
      </c>
    </row>
    <row r="7423" spans="1:40" x14ac:dyDescent="0.25">
      <c r="A7423" t="str">
        <f>"20190312160829239"</f>
        <v>20190312160829239</v>
      </c>
      <c r="B7423" t="str">
        <f>"1552378109233133"</f>
        <v>1552378109233133</v>
      </c>
      <c r="C7423" t="s">
        <v>40</v>
      </c>
      <c r="D7423">
        <v>6.1600519999999896</v>
      </c>
      <c r="E7423">
        <v>0.40824110000000002</v>
      </c>
      <c r="F7423" t="s">
        <v>52</v>
      </c>
      <c r="G7423">
        <v>-157.3501</v>
      </c>
      <c r="H7423">
        <v>4.4818410000000002</v>
      </c>
      <c r="I7423">
        <v>-39.824469999999998</v>
      </c>
      <c r="J7423">
        <v>-210.38300000000001</v>
      </c>
      <c r="K7423">
        <v>1.113712</v>
      </c>
      <c r="L7423">
        <v>-63.044339999999998</v>
      </c>
      <c r="M7423">
        <v>0.99166180000000004</v>
      </c>
      <c r="N7423">
        <v>0</v>
      </c>
      <c r="O7423">
        <v>0.12806999999999999</v>
      </c>
      <c r="P7423">
        <v>0.98444589999999998</v>
      </c>
      <c r="Q7423">
        <v>3.314893E-2</v>
      </c>
      <c r="R7423">
        <v>0.17253180000000001</v>
      </c>
      <c r="S7423">
        <v>2.8267060000000002</v>
      </c>
      <c r="T7423">
        <v>0.17904210000000001</v>
      </c>
      <c r="U7423">
        <v>1.2354130000000001</v>
      </c>
      <c r="V7423">
        <v>-4.5443600000000001E-2</v>
      </c>
      <c r="W7423">
        <v>4.7026279999999997E-2</v>
      </c>
      <c r="X7423">
        <v>0.99785939999999995</v>
      </c>
      <c r="Y7423">
        <v>-0.27955839999999998</v>
      </c>
      <c r="Z7423">
        <v>-7.7503030000000001E-4</v>
      </c>
      <c r="AA7423">
        <v>0.96012839999999999</v>
      </c>
      <c r="AB7423">
        <v>28</v>
      </c>
      <c r="AC7423">
        <v>53.032899999999898</v>
      </c>
      <c r="AD7423">
        <v>3.3681290000000002</v>
      </c>
      <c r="AE7423">
        <v>23.21987</v>
      </c>
      <c r="AF7423">
        <v>-16.181230024457498</v>
      </c>
      <c r="AG7423">
        <v>3.3681290000000002</v>
      </c>
      <c r="AH7423">
        <v>55.382711447058497</v>
      </c>
      <c r="AI7423">
        <v>86.659150944570399</v>
      </c>
      <c r="AJ7423">
        <v>106.28683927956099</v>
      </c>
      <c r="AK7423">
        <v>57.796377267897903</v>
      </c>
      <c r="AL7423">
        <v>87.304598504448805</v>
      </c>
      <c r="AM7423">
        <v>92.607510324502996</v>
      </c>
      <c r="AN7423">
        <v>0.99999998697997905</v>
      </c>
    </row>
    <row r="7424" spans="1:40" x14ac:dyDescent="0.25">
      <c r="A7424" t="str">
        <f>"20190312160829250"</f>
        <v>20190312160829250</v>
      </c>
      <c r="B7424" t="str">
        <f>"1552378109242893"</f>
        <v>1552378109242893</v>
      </c>
      <c r="C7424" t="s">
        <v>40</v>
      </c>
      <c r="D7424">
        <v>4.3806940000000001</v>
      </c>
      <c r="E7424">
        <v>0.4087189</v>
      </c>
      <c r="F7424" t="s">
        <v>52</v>
      </c>
      <c r="G7424">
        <v>-157.3501</v>
      </c>
      <c r="H7424">
        <v>4.4164339999999997</v>
      </c>
      <c r="I7424">
        <v>-39.795009999999998</v>
      </c>
      <c r="J7424">
        <v>-210.25030000000001</v>
      </c>
      <c r="K7424">
        <v>1.113739</v>
      </c>
      <c r="L7424">
        <v>-63.0248699999999</v>
      </c>
      <c r="M7424">
        <v>0.9913575</v>
      </c>
      <c r="N7424">
        <v>0</v>
      </c>
      <c r="O7424">
        <v>0.1304053</v>
      </c>
      <c r="P7424">
        <v>0.98408280000000004</v>
      </c>
      <c r="Q7424">
        <v>3.2944599999999997E-2</v>
      </c>
      <c r="R7424">
        <v>0.17463099999999901</v>
      </c>
      <c r="S7424">
        <v>2.8244479999999998</v>
      </c>
      <c r="T7424">
        <v>0.17589630000000001</v>
      </c>
      <c r="U7424">
        <v>1.2382200000000001</v>
      </c>
      <c r="V7424">
        <v>-4.5221829999999998E-2</v>
      </c>
      <c r="W7424">
        <v>4.6822419999999997E-2</v>
      </c>
      <c r="X7424">
        <v>0.99787910000000002</v>
      </c>
      <c r="Y7424">
        <v>-0.27839370000000002</v>
      </c>
      <c r="Z7424">
        <v>-5.911267E-4</v>
      </c>
      <c r="AA7424">
        <v>0.96046690000000001</v>
      </c>
      <c r="AB7424">
        <v>28</v>
      </c>
      <c r="AC7424">
        <v>52.900199999999998</v>
      </c>
      <c r="AD7424">
        <v>3.3026949999999902</v>
      </c>
      <c r="AE7424">
        <v>23.229859999999899</v>
      </c>
      <c r="AF7424">
        <v>-16.0797373597348</v>
      </c>
      <c r="AG7424">
        <v>3.3026949999999902</v>
      </c>
      <c r="AH7424">
        <v>55.297291796348098</v>
      </c>
      <c r="AI7424">
        <v>86.717644953156295</v>
      </c>
      <c r="AJ7424">
        <v>106.21374760021</v>
      </c>
      <c r="AK7424">
        <v>57.682373632085799</v>
      </c>
      <c r="AL7424">
        <v>87.3162918065632</v>
      </c>
      <c r="AM7424">
        <v>92.594751652240305</v>
      </c>
      <c r="AN7424">
        <v>1.0000000255699999</v>
      </c>
    </row>
    <row r="7425" spans="1:40" x14ac:dyDescent="0.25">
      <c r="A7425" t="str">
        <f>"20190312160829262"</f>
        <v>20190312160829262</v>
      </c>
      <c r="B7425" t="str">
        <f>"1552378109252656"</f>
        <v>1552378109252656</v>
      </c>
      <c r="C7425" t="s">
        <v>40</v>
      </c>
      <c r="D7425">
        <v>4.7274580000000004</v>
      </c>
      <c r="E7425">
        <v>0.40912320000000002</v>
      </c>
      <c r="F7425" t="s">
        <v>52</v>
      </c>
      <c r="G7425">
        <v>-157.3501</v>
      </c>
      <c r="H7425">
        <v>4.3480860000000003</v>
      </c>
      <c r="I7425">
        <v>-39.777619999999999</v>
      </c>
      <c r="J7425">
        <v>-210.11</v>
      </c>
      <c r="K7425">
        <v>1.113764</v>
      </c>
      <c r="L7425">
        <v>-63.003779999999999</v>
      </c>
      <c r="M7425">
        <v>0.9910255</v>
      </c>
      <c r="N7425">
        <v>0</v>
      </c>
      <c r="O7425">
        <v>0.13290450000000001</v>
      </c>
      <c r="P7425">
        <v>0.9837283</v>
      </c>
      <c r="Q7425">
        <v>3.2282959999999999E-2</v>
      </c>
      <c r="R7425">
        <v>0.1767379</v>
      </c>
      <c r="S7425">
        <v>2.822632</v>
      </c>
      <c r="T7425">
        <v>0.17257600000000001</v>
      </c>
      <c r="U7425">
        <v>1.2404170000000001</v>
      </c>
      <c r="V7425">
        <v>-4.4836359999999999E-2</v>
      </c>
      <c r="W7425">
        <v>4.616319E-2</v>
      </c>
      <c r="X7425">
        <v>0.99792720000000001</v>
      </c>
      <c r="Y7425">
        <v>-0.2768407</v>
      </c>
      <c r="Z7425">
        <v>-3.9199230000000002E-4</v>
      </c>
      <c r="AA7425">
        <v>0.96091570000000004</v>
      </c>
      <c r="AB7425">
        <v>28</v>
      </c>
      <c r="AC7425">
        <v>52.759900000000002</v>
      </c>
      <c r="AD7425">
        <v>3.2343220000000001</v>
      </c>
      <c r="AE7425">
        <v>23.22616</v>
      </c>
      <c r="AF7425">
        <v>-15.9570961746075</v>
      </c>
      <c r="AG7425">
        <v>3.2343220000000001</v>
      </c>
      <c r="AH7425">
        <v>55.205156806817001</v>
      </c>
      <c r="AI7425">
        <v>86.778606878843107</v>
      </c>
      <c r="AJ7425">
        <v>106.12198148412701</v>
      </c>
      <c r="AK7425">
        <v>57.556051768607396</v>
      </c>
      <c r="AL7425">
        <v>87.3541037716315</v>
      </c>
      <c r="AM7425">
        <v>92.572540047637304</v>
      </c>
      <c r="AN7425">
        <v>1.0000000178944299</v>
      </c>
    </row>
    <row r="7426" spans="1:40" x14ac:dyDescent="0.25">
      <c r="A7426" t="str">
        <f>"20190312160829272"</f>
        <v>20190312160829272</v>
      </c>
      <c r="B7426" t="str">
        <f>"1552378109262936"</f>
        <v>1552378109262936</v>
      </c>
      <c r="C7426" t="s">
        <v>40</v>
      </c>
      <c r="D7426">
        <v>4.3956080000000002</v>
      </c>
      <c r="E7426">
        <v>0.40954489999999999</v>
      </c>
      <c r="F7426" t="s">
        <v>52</v>
      </c>
      <c r="G7426">
        <v>-157.3501</v>
      </c>
      <c r="H7426">
        <v>4.2538999999999998</v>
      </c>
      <c r="I7426">
        <v>-39.748539999999998</v>
      </c>
      <c r="J7426">
        <v>-209.98259999999999</v>
      </c>
      <c r="K7426">
        <v>1.113788</v>
      </c>
      <c r="L7426">
        <v>-62.984470000000002</v>
      </c>
      <c r="M7426">
        <v>0.99071730000000002</v>
      </c>
      <c r="N7426">
        <v>0</v>
      </c>
      <c r="O7426">
        <v>0.135183</v>
      </c>
      <c r="P7426">
        <v>0.98332909999999996</v>
      </c>
      <c r="Q7426">
        <v>3.1679869999999999E-2</v>
      </c>
      <c r="R7426">
        <v>0.17905409999999999</v>
      </c>
      <c r="S7426">
        <v>2.8207550000000001</v>
      </c>
      <c r="T7426">
        <v>0.1678829</v>
      </c>
      <c r="U7426">
        <v>1.243317</v>
      </c>
      <c r="V7426">
        <v>-4.4886620000000002E-2</v>
      </c>
      <c r="W7426">
        <v>4.555824E-2</v>
      </c>
      <c r="X7426">
        <v>0.99795270000000003</v>
      </c>
      <c r="Y7426">
        <v>-0.27571059999999997</v>
      </c>
      <c r="Z7426">
        <v>-2.22702E-4</v>
      </c>
      <c r="AA7426">
        <v>0.9612406</v>
      </c>
      <c r="AB7426">
        <v>28</v>
      </c>
      <c r="AC7426">
        <v>52.632499999999901</v>
      </c>
      <c r="AD7426">
        <v>3.1401119999999998</v>
      </c>
      <c r="AE7426">
        <v>23.2359299999999</v>
      </c>
      <c r="AF7426">
        <v>-15.8596038317003</v>
      </c>
      <c r="AG7426">
        <v>3.1401119999999998</v>
      </c>
      <c r="AH7426">
        <v>55.126478461720403</v>
      </c>
      <c r="AI7426">
        <v>86.866667351380201</v>
      </c>
      <c r="AJ7426">
        <v>106.050254408759</v>
      </c>
      <c r="AK7426">
        <v>57.448376518936897</v>
      </c>
      <c r="AL7426">
        <v>87.388801252899199</v>
      </c>
      <c r="AM7426">
        <v>92.575354175644406</v>
      </c>
      <c r="AN7426">
        <v>0.99999997666210505</v>
      </c>
    </row>
    <row r="7427" spans="1:40" x14ac:dyDescent="0.25">
      <c r="A7427" t="str">
        <f>"20190312160829284"</f>
        <v>20190312160829284</v>
      </c>
      <c r="B7427" t="str">
        <f>"1552378109272682"</f>
        <v>1552378109272682</v>
      </c>
      <c r="C7427" t="s">
        <v>40</v>
      </c>
      <c r="D7427">
        <v>6.3717889999999997</v>
      </c>
      <c r="E7427">
        <v>0.40968130000000003</v>
      </c>
      <c r="F7427" t="s">
        <v>52</v>
      </c>
      <c r="G7427">
        <v>-157.3501</v>
      </c>
      <c r="H7427">
        <v>4.1490689999999999</v>
      </c>
      <c r="I7427">
        <v>-39.707619999999999</v>
      </c>
      <c r="J7427">
        <v>-209.8424</v>
      </c>
      <c r="K7427">
        <v>1.113815</v>
      </c>
      <c r="L7427">
        <v>-62.962589999999999</v>
      </c>
      <c r="M7427">
        <v>0.99036659999999999</v>
      </c>
      <c r="N7427">
        <v>0</v>
      </c>
      <c r="O7427">
        <v>0.1377284</v>
      </c>
      <c r="P7427">
        <v>0.98286430000000002</v>
      </c>
      <c r="Q7427">
        <v>3.144077E-2</v>
      </c>
      <c r="R7427">
        <v>0.1816295</v>
      </c>
      <c r="S7427">
        <v>2.8186490000000002</v>
      </c>
      <c r="T7427">
        <v>0.1625482</v>
      </c>
      <c r="U7427">
        <v>1.2465520000000001</v>
      </c>
      <c r="V7427">
        <v>-4.49366E-2</v>
      </c>
      <c r="W7427">
        <v>4.5317209999999997E-2</v>
      </c>
      <c r="X7427">
        <v>0.99796149999999995</v>
      </c>
      <c r="Y7427">
        <v>-0.27444649999999998</v>
      </c>
      <c r="Z7427" s="1">
        <v>-4.3914649999999998E-5</v>
      </c>
      <c r="AA7427">
        <v>0.96160239999999997</v>
      </c>
      <c r="AB7427">
        <v>28</v>
      </c>
      <c r="AC7427">
        <v>52.4923</v>
      </c>
      <c r="AD7427">
        <v>3.0352540000000001</v>
      </c>
      <c r="AE7427">
        <v>23.25497</v>
      </c>
      <c r="AF7427">
        <v>-15.7588391051356</v>
      </c>
      <c r="AG7427">
        <v>3.0352540000000001</v>
      </c>
      <c r="AH7427">
        <v>55.041308176489402</v>
      </c>
      <c r="AI7427">
        <v>86.965310022090506</v>
      </c>
      <c r="AJ7427">
        <v>105.976910449209</v>
      </c>
      <c r="AK7427">
        <v>57.333231049412703</v>
      </c>
      <c r="AL7427">
        <v>87.402625727625306</v>
      </c>
      <c r="AM7427">
        <v>92.578195189488198</v>
      </c>
      <c r="AN7427">
        <v>1.00000005151199</v>
      </c>
    </row>
    <row r="7428" spans="1:40" x14ac:dyDescent="0.25">
      <c r="A7428" t="str">
        <f>"20190312160829295"</f>
        <v>20190312160829295</v>
      </c>
      <c r="B7428" t="str">
        <f>"1552378109293179"</f>
        <v>1552378109293179</v>
      </c>
      <c r="C7428" t="s">
        <v>40</v>
      </c>
      <c r="D7428">
        <v>4.3265180000000001</v>
      </c>
      <c r="E7428">
        <v>0.40992790000000001</v>
      </c>
      <c r="F7428" t="s">
        <v>52</v>
      </c>
      <c r="G7428">
        <v>-157.3501</v>
      </c>
      <c r="H7428">
        <v>4.1058680000000001</v>
      </c>
      <c r="I7428">
        <v>-39.604750000000003</v>
      </c>
      <c r="J7428">
        <v>-209.70070000000001</v>
      </c>
      <c r="K7428">
        <v>1.113845</v>
      </c>
      <c r="L7428">
        <v>-62.940309999999997</v>
      </c>
      <c r="M7428">
        <v>0.99000429999999995</v>
      </c>
      <c r="N7428">
        <v>0</v>
      </c>
      <c r="O7428">
        <v>0.14030960000000001</v>
      </c>
      <c r="P7428">
        <v>0.98245329999999997</v>
      </c>
      <c r="Q7428">
        <v>3.11758E-2</v>
      </c>
      <c r="R7428">
        <v>0.1838843</v>
      </c>
      <c r="S7428">
        <v>2.8156590000000001</v>
      </c>
      <c r="T7428">
        <v>0.16049089999999999</v>
      </c>
      <c r="U7428">
        <v>1.252899</v>
      </c>
      <c r="V7428">
        <v>-4.4624480000000001E-2</v>
      </c>
      <c r="W7428">
        <v>4.5053790000000003E-2</v>
      </c>
      <c r="X7428">
        <v>0.99798739999999997</v>
      </c>
      <c r="Y7428">
        <v>-0.27413729999999997</v>
      </c>
      <c r="Z7428">
        <v>1.020664E-4</v>
      </c>
      <c r="AA7428">
        <v>0.9616905</v>
      </c>
      <c r="AB7428">
        <v>28</v>
      </c>
      <c r="AC7428">
        <v>52.3506</v>
      </c>
      <c r="AD7428">
        <v>2.9920230000000001</v>
      </c>
      <c r="AE7428">
        <v>23.335559999999901</v>
      </c>
      <c r="AF7428">
        <v>-15.7157994225451</v>
      </c>
      <c r="AG7428">
        <v>2.9920230000000001</v>
      </c>
      <c r="AH7428">
        <v>54.957400294143198</v>
      </c>
      <c r="AI7428">
        <v>87.003621092612505</v>
      </c>
      <c r="AJ7428">
        <v>105.958585590243</v>
      </c>
      <c r="AK7428">
        <v>57.238574407587201</v>
      </c>
      <c r="AL7428">
        <v>87.417733929505104</v>
      </c>
      <c r="AM7428">
        <v>92.560245153007202</v>
      </c>
      <c r="AN7428">
        <v>1.00000001938369</v>
      </c>
    </row>
    <row r="7429" spans="1:40" x14ac:dyDescent="0.25">
      <c r="A7429" t="str">
        <f>"20190312160829306"</f>
        <v>20190312160829306</v>
      </c>
      <c r="B7429" t="str">
        <f>"1552378109302938"</f>
        <v>1552378109302938</v>
      </c>
      <c r="C7429" t="s">
        <v>40</v>
      </c>
      <c r="D7429">
        <v>4.9469849999999997</v>
      </c>
      <c r="E7429">
        <v>0.41012779999999999</v>
      </c>
      <c r="F7429" t="s">
        <v>52</v>
      </c>
      <c r="G7429">
        <v>-157.3501</v>
      </c>
      <c r="H7429">
        <v>4.0630800000000002</v>
      </c>
      <c r="I7429">
        <v>-39.539870000000001</v>
      </c>
      <c r="J7429">
        <v>-209.5608</v>
      </c>
      <c r="K7429">
        <v>1.113874</v>
      </c>
      <c r="L7429">
        <v>-62.917720000000003</v>
      </c>
      <c r="M7429">
        <v>0.98963429999999997</v>
      </c>
      <c r="N7429">
        <v>0</v>
      </c>
      <c r="O7429">
        <v>0.14289560000000001</v>
      </c>
      <c r="P7429">
        <v>0.98200889999999996</v>
      </c>
      <c r="Q7429">
        <v>3.110655E-2</v>
      </c>
      <c r="R7429">
        <v>0.18625559999999999</v>
      </c>
      <c r="S7429">
        <v>2.8131870000000001</v>
      </c>
      <c r="T7429">
        <v>0.15848289999999901</v>
      </c>
      <c r="U7429">
        <v>1.257477</v>
      </c>
      <c r="V7429">
        <v>-4.4428559999999999E-2</v>
      </c>
      <c r="W7429">
        <v>4.4985200000000003E-2</v>
      </c>
      <c r="X7429">
        <v>0.99799919999999998</v>
      </c>
      <c r="Y7429">
        <v>-0.27325240000000001</v>
      </c>
      <c r="Z7429">
        <v>2.6024920000000001E-4</v>
      </c>
      <c r="AA7429">
        <v>0.96194230000000003</v>
      </c>
      <c r="AB7429">
        <v>28</v>
      </c>
      <c r="AC7429">
        <v>52.210700000000003</v>
      </c>
      <c r="AD7429">
        <v>2.9492060000000002</v>
      </c>
      <c r="AE7429">
        <v>23.377849999999899</v>
      </c>
      <c r="AF7429">
        <v>-15.6348928165683</v>
      </c>
      <c r="AG7429">
        <v>2.9492060000000002</v>
      </c>
      <c r="AH7429">
        <v>54.869888532721099</v>
      </c>
      <c r="AI7429">
        <v>87.040927752320897</v>
      </c>
      <c r="AJ7429">
        <v>105.90463004107799</v>
      </c>
      <c r="AK7429">
        <v>57.1301352791086</v>
      </c>
      <c r="AL7429">
        <v>87.421667744676199</v>
      </c>
      <c r="AM7429">
        <v>92.548989373176894</v>
      </c>
      <c r="AN7429">
        <v>0.99999998418167602</v>
      </c>
    </row>
    <row r="7430" spans="1:40" x14ac:dyDescent="0.25">
      <c r="A7430" t="str">
        <f>"20190312160829318"</f>
        <v>20190312160829318</v>
      </c>
      <c r="B7430" t="str">
        <f>"1552378109312697"</f>
        <v>1552378109312697</v>
      </c>
      <c r="C7430" t="s">
        <v>40</v>
      </c>
      <c r="D7430">
        <v>4.8727580000000001</v>
      </c>
      <c r="E7430">
        <v>0.40997070000000002</v>
      </c>
      <c r="F7430" t="s">
        <v>52</v>
      </c>
      <c r="G7430">
        <v>-157.3501</v>
      </c>
      <c r="H7430">
        <v>4.0486040000000001</v>
      </c>
      <c r="I7430">
        <v>-39.459650000000003</v>
      </c>
      <c r="J7430">
        <v>-209.4238</v>
      </c>
      <c r="K7430">
        <v>1.113899</v>
      </c>
      <c r="L7430">
        <v>-62.895359999999997</v>
      </c>
      <c r="M7430">
        <v>0.98926349999999996</v>
      </c>
      <c r="N7430">
        <v>0</v>
      </c>
      <c r="O7430">
        <v>0.145440299999999</v>
      </c>
      <c r="P7430">
        <v>0.98143879999999994</v>
      </c>
      <c r="Q7430">
        <v>3.1646720000000003E-2</v>
      </c>
      <c r="R7430">
        <v>0.18914700000000001</v>
      </c>
      <c r="S7430">
        <v>2.8104550000000001</v>
      </c>
      <c r="T7430">
        <v>0.15797259999999999</v>
      </c>
      <c r="U7430">
        <v>1.262726</v>
      </c>
      <c r="V7430">
        <v>-4.4812459999999998E-2</v>
      </c>
      <c r="W7430">
        <v>4.5519650000000002E-2</v>
      </c>
      <c r="X7430">
        <v>0.99795780000000001</v>
      </c>
      <c r="Y7430">
        <v>-0.27262779999999998</v>
      </c>
      <c r="Z7430">
        <v>4.0925899999999998E-4</v>
      </c>
      <c r="AA7430">
        <v>0.96211950000000002</v>
      </c>
      <c r="AB7430">
        <v>28</v>
      </c>
      <c r="AC7430">
        <v>52.073700000000002</v>
      </c>
      <c r="AD7430">
        <v>2.9347050000000001</v>
      </c>
      <c r="AE7430">
        <v>23.43571</v>
      </c>
      <c r="AF7430">
        <v>-15.570952042796099</v>
      </c>
      <c r="AG7430">
        <v>2.9347050000000001</v>
      </c>
      <c r="AH7430">
        <v>54.7840414840664</v>
      </c>
      <c r="AI7430">
        <v>87.050287037311605</v>
      </c>
      <c r="AJ7430">
        <v>105.866434315991</v>
      </c>
      <c r="AK7430">
        <v>57.029450657392701</v>
      </c>
      <c r="AL7430">
        <v>87.391014609421106</v>
      </c>
      <c r="AM7430">
        <v>92.571091864134601</v>
      </c>
      <c r="AN7430">
        <v>0.99999998284410696</v>
      </c>
    </row>
    <row r="7431" spans="1:40" x14ac:dyDescent="0.25">
      <c r="A7431" t="str">
        <f>"20190312160829330"</f>
        <v>20190312160829330</v>
      </c>
      <c r="B7431" t="str">
        <f>"1552378109322457"</f>
        <v>1552378109322457</v>
      </c>
      <c r="C7431" t="s">
        <v>40</v>
      </c>
      <c r="D7431">
        <v>6.0492330000000001</v>
      </c>
      <c r="E7431">
        <v>0.40997070000000002</v>
      </c>
      <c r="F7431" t="s">
        <v>52</v>
      </c>
      <c r="G7431">
        <v>-157.3501</v>
      </c>
      <c r="H7431">
        <v>4.0344449999999998</v>
      </c>
      <c r="I7431">
        <v>-39.28884</v>
      </c>
      <c r="J7431">
        <v>-209.27250000000001</v>
      </c>
      <c r="K7431">
        <v>1.113928</v>
      </c>
      <c r="L7431">
        <v>-62.870119999999901</v>
      </c>
      <c r="M7431">
        <v>0.98884249999999996</v>
      </c>
      <c r="N7431">
        <v>0</v>
      </c>
      <c r="O7431">
        <v>0.1482754</v>
      </c>
      <c r="P7431">
        <v>0.98098669999999999</v>
      </c>
      <c r="Q7431">
        <v>3.1494399999999999E-2</v>
      </c>
      <c r="R7431">
        <v>0.1915036</v>
      </c>
      <c r="S7431">
        <v>2.8064580000000001</v>
      </c>
      <c r="T7431">
        <v>0.1573986</v>
      </c>
      <c r="U7431">
        <v>1.2722469999999999</v>
      </c>
      <c r="V7431">
        <v>-4.4348789999999999E-2</v>
      </c>
      <c r="W7431">
        <v>4.5370559999999997E-2</v>
      </c>
      <c r="X7431">
        <v>0.99798529999999996</v>
      </c>
      <c r="Y7431">
        <v>-0.27309739999999999</v>
      </c>
      <c r="Z7431">
        <v>5.4290800000000004E-4</v>
      </c>
      <c r="AA7431">
        <v>0.96198620000000001</v>
      </c>
      <c r="AB7431">
        <v>28</v>
      </c>
      <c r="AC7431">
        <v>51.922400000000003</v>
      </c>
      <c r="AD7431">
        <v>2.9205169999999998</v>
      </c>
      <c r="AE7431">
        <v>23.5812799999999</v>
      </c>
      <c r="AF7431">
        <v>-15.5800941436045</v>
      </c>
      <c r="AG7431">
        <v>2.9205169999999998</v>
      </c>
      <c r="AH7431">
        <v>54.701746725837999</v>
      </c>
      <c r="AI7431">
        <v>87.060573486000493</v>
      </c>
      <c r="AJ7431">
        <v>105.89795742969</v>
      </c>
      <c r="AK7431">
        <v>56.952171582202197</v>
      </c>
      <c r="AL7431">
        <v>87.399565667058596</v>
      </c>
      <c r="AM7431">
        <v>92.544454159991801</v>
      </c>
      <c r="AN7431">
        <v>0.99999998095263298</v>
      </c>
    </row>
    <row r="7432" spans="1:40" x14ac:dyDescent="0.25">
      <c r="A7432" t="str">
        <f>"20190312160829341"</f>
        <v>20190312160829341</v>
      </c>
      <c r="B7432" t="str">
        <f>"1552378109333194"</f>
        <v>1552378109333194</v>
      </c>
      <c r="C7432" t="s">
        <v>40</v>
      </c>
      <c r="D7432">
        <v>6.0081819999999997</v>
      </c>
      <c r="E7432">
        <v>0.38441380000000003</v>
      </c>
      <c r="F7432" t="s">
        <v>52</v>
      </c>
      <c r="G7432">
        <v>-157.3501</v>
      </c>
      <c r="H7432">
        <v>4.0255239999999999</v>
      </c>
      <c r="I7432">
        <v>-39.184269999999998</v>
      </c>
      <c r="J7432">
        <v>-209.14580000000001</v>
      </c>
      <c r="K7432">
        <v>1.1139509999999999</v>
      </c>
      <c r="L7432">
        <v>-62.848599999999998</v>
      </c>
      <c r="M7432">
        <v>0.98847989999999997</v>
      </c>
      <c r="N7432">
        <v>0</v>
      </c>
      <c r="O7432">
        <v>0.15067329999999901</v>
      </c>
      <c r="P7432">
        <v>0.98052700000000004</v>
      </c>
      <c r="Q7432">
        <v>3.1056520000000001E-2</v>
      </c>
      <c r="R7432">
        <v>0.19391349999999999</v>
      </c>
      <c r="S7432">
        <v>2.8034520000000001</v>
      </c>
      <c r="T7432">
        <v>0.1572047</v>
      </c>
      <c r="U7432">
        <v>1.27887</v>
      </c>
      <c r="V7432">
        <v>-4.4376800000000001E-2</v>
      </c>
      <c r="W7432">
        <v>4.4931840000000001E-2</v>
      </c>
      <c r="X7432">
        <v>0.99800390000000005</v>
      </c>
      <c r="Y7432">
        <v>-0.27303830000000001</v>
      </c>
      <c r="Z7432">
        <v>6.6865649999999996E-4</v>
      </c>
      <c r="AA7432">
        <v>0.96200289999999999</v>
      </c>
      <c r="AB7432">
        <v>28</v>
      </c>
      <c r="AC7432">
        <v>51.795699999999997</v>
      </c>
      <c r="AD7432">
        <v>2.9115730000000002</v>
      </c>
      <c r="AE7432">
        <v>23.66433</v>
      </c>
      <c r="AF7432">
        <v>-15.548437363563499</v>
      </c>
      <c r="AG7432">
        <v>2.9115730000000002</v>
      </c>
      <c r="AH7432">
        <v>54.627400505894101</v>
      </c>
      <c r="AI7432">
        <v>87.065430374228299</v>
      </c>
      <c r="AJ7432">
        <v>105.887788256379</v>
      </c>
      <c r="AK7432">
        <v>56.871645376359098</v>
      </c>
      <c r="AL7432">
        <v>87.424728124858504</v>
      </c>
      <c r="AM7432">
        <v>92.546011694280594</v>
      </c>
      <c r="AN7432">
        <v>0.999999977519617</v>
      </c>
    </row>
    <row r="7433" spans="1:40" x14ac:dyDescent="0.25">
      <c r="A7433" t="str">
        <f>"20190312160829351"</f>
        <v>20190312160829351</v>
      </c>
      <c r="B7433" t="str">
        <f>"1552378109342954"</f>
        <v>1552378109342954</v>
      </c>
      <c r="C7433" t="s">
        <v>40</v>
      </c>
      <c r="D7433">
        <v>6.0629330000000001</v>
      </c>
      <c r="E7433">
        <v>0.38287769999999999</v>
      </c>
      <c r="F7433" t="s">
        <v>52</v>
      </c>
      <c r="G7433">
        <v>-167.85990000000001</v>
      </c>
      <c r="H7433">
        <v>4.3220869999999998</v>
      </c>
      <c r="I7433">
        <v>-40.619770000000003</v>
      </c>
      <c r="J7433">
        <v>-209.0086</v>
      </c>
      <c r="K7433">
        <v>1.1139669999999999</v>
      </c>
      <c r="L7433">
        <v>-62.825069999999997</v>
      </c>
      <c r="M7433">
        <v>0.98807849999999997</v>
      </c>
      <c r="N7433">
        <v>0</v>
      </c>
      <c r="O7433">
        <v>0.15328369999999999</v>
      </c>
      <c r="P7433">
        <v>0.97996689999999997</v>
      </c>
      <c r="Q7433">
        <v>3.0919269999999999E-2</v>
      </c>
      <c r="R7433">
        <v>0.1967458</v>
      </c>
      <c r="S7433">
        <v>2.7590479999999999</v>
      </c>
      <c r="T7433">
        <v>0.21439140000000001</v>
      </c>
      <c r="U7433">
        <v>1.4855039999999999</v>
      </c>
      <c r="V7433">
        <v>-4.462501E-2</v>
      </c>
      <c r="W7433">
        <v>4.479085E-2</v>
      </c>
      <c r="X7433">
        <v>0.99799919999999998</v>
      </c>
      <c r="Y7433">
        <v>-0.33306970000000002</v>
      </c>
      <c r="Z7433">
        <v>-1.10052E-3</v>
      </c>
      <c r="AA7433">
        <v>0.94290160000000001</v>
      </c>
      <c r="AB7433">
        <v>28</v>
      </c>
      <c r="AC7433">
        <v>41.148699999999899</v>
      </c>
      <c r="AD7433">
        <v>3.2081200000000001</v>
      </c>
      <c r="AE7433">
        <v>22.205299999999902</v>
      </c>
      <c r="AF7433">
        <v>-15.5615007973175</v>
      </c>
      <c r="AG7433">
        <v>3.2081200000000001</v>
      </c>
      <c r="AH7433">
        <v>43.859901140987603</v>
      </c>
      <c r="AI7433">
        <v>86.056585566875796</v>
      </c>
      <c r="AJ7433">
        <v>109.534694174991</v>
      </c>
      <c r="AK7433">
        <v>46.649150786445396</v>
      </c>
      <c r="AL7433">
        <v>87.432814475041894</v>
      </c>
      <c r="AM7433">
        <v>92.560245288754601</v>
      </c>
      <c r="AN7433">
        <v>1.0000000074809301</v>
      </c>
    </row>
    <row r="7434" spans="1:40" x14ac:dyDescent="0.25">
      <c r="A7434" t="str">
        <f>"20190312160829363"</f>
        <v>20190312160829363</v>
      </c>
      <c r="B7434" t="str">
        <f>"1552378109352713"</f>
        <v>1552378109352713</v>
      </c>
      <c r="C7434" t="s">
        <v>40</v>
      </c>
      <c r="D7434">
        <v>6.3512599999999999</v>
      </c>
      <c r="E7434">
        <v>0.38213380000000002</v>
      </c>
      <c r="F7434" t="s">
        <v>52</v>
      </c>
      <c r="G7434">
        <v>-168.41489999999999</v>
      </c>
      <c r="H7434">
        <v>4.4412760000000002</v>
      </c>
      <c r="I7434">
        <v>-40.619770000000003</v>
      </c>
      <c r="J7434">
        <v>-208.86869999999999</v>
      </c>
      <c r="K7434">
        <v>1.1139939999999999</v>
      </c>
      <c r="L7434">
        <v>-62.80048</v>
      </c>
      <c r="M7434">
        <v>0.98765670000000005</v>
      </c>
      <c r="N7434">
        <v>0</v>
      </c>
      <c r="O7434">
        <v>0.155977799999999</v>
      </c>
      <c r="P7434">
        <v>0.97946549999999999</v>
      </c>
      <c r="Q7434">
        <v>3.0192569999999998E-2</v>
      </c>
      <c r="R7434">
        <v>0.1993386</v>
      </c>
      <c r="S7434">
        <v>2.7519840000000002</v>
      </c>
      <c r="T7434">
        <v>0.22556809999999999</v>
      </c>
      <c r="U7434">
        <v>1.505371</v>
      </c>
      <c r="V7434">
        <v>-4.4536989999999999E-2</v>
      </c>
      <c r="W7434">
        <v>4.406438E-2</v>
      </c>
      <c r="X7434">
        <v>0.99803549999999996</v>
      </c>
      <c r="Y7434">
        <v>-0.33671450000000003</v>
      </c>
      <c r="Z7434">
        <v>-1.0991289999999999E-3</v>
      </c>
      <c r="AA7434">
        <v>0.94160619999999995</v>
      </c>
      <c r="AB7434">
        <v>28</v>
      </c>
      <c r="AC7434">
        <v>40.453800000000001</v>
      </c>
      <c r="AD7434">
        <v>3.3272819999999999</v>
      </c>
      <c r="AE7434">
        <v>22.180710000000001</v>
      </c>
      <c r="AF7434">
        <v>-15.5179199621411</v>
      </c>
      <c r="AG7434">
        <v>3.3272819999999999</v>
      </c>
      <c r="AH7434">
        <v>43.193957158971998</v>
      </c>
      <c r="AI7434">
        <v>85.853611626792798</v>
      </c>
      <c r="AJ7434">
        <v>109.761402303098</v>
      </c>
      <c r="AK7434">
        <v>46.017329132730602</v>
      </c>
      <c r="AL7434">
        <v>87.474479352653006</v>
      </c>
      <c r="AM7434">
        <v>92.555109253852194</v>
      </c>
      <c r="AN7434">
        <v>1.0000000361616399</v>
      </c>
    </row>
    <row r="7435" spans="1:40" x14ac:dyDescent="0.25">
      <c r="A7435" t="str">
        <f>"20190312160829373"</f>
        <v>20190312160829373</v>
      </c>
      <c r="B7435" t="str">
        <f>"1552378109362997"</f>
        <v>1552378109362997</v>
      </c>
      <c r="C7435" t="s">
        <v>40</v>
      </c>
      <c r="D7435">
        <v>7.1894749999999998</v>
      </c>
      <c r="E7435">
        <v>0.38213380000000002</v>
      </c>
      <c r="F7435" t="s">
        <v>52</v>
      </c>
      <c r="G7435">
        <v>-168.45060000000001</v>
      </c>
      <c r="H7435">
        <v>4.3822010000000002</v>
      </c>
      <c r="I7435">
        <v>-40.458120000000001</v>
      </c>
      <c r="J7435">
        <v>-208.73679999999999</v>
      </c>
      <c r="K7435">
        <v>1.114015</v>
      </c>
      <c r="L7435">
        <v>-62.777160000000002</v>
      </c>
      <c r="M7435">
        <v>0.98725110000000005</v>
      </c>
      <c r="N7435">
        <v>0</v>
      </c>
      <c r="O7435">
        <v>0.15852479999999999</v>
      </c>
      <c r="P7435">
        <v>0.97893909999999995</v>
      </c>
      <c r="Q7435">
        <v>2.9442030000000001E-2</v>
      </c>
      <c r="R7435">
        <v>0.2020187</v>
      </c>
      <c r="S7435">
        <v>2.7470089999999998</v>
      </c>
      <c r="T7435">
        <v>0.22212170000000001</v>
      </c>
      <c r="U7435">
        <v>1.518494</v>
      </c>
      <c r="V7435">
        <v>-4.4686469999999999E-2</v>
      </c>
      <c r="W7435">
        <v>4.3310750000000002E-2</v>
      </c>
      <c r="X7435">
        <v>0.9980618</v>
      </c>
      <c r="Y7435">
        <v>-0.33847120000000003</v>
      </c>
      <c r="Z7435">
        <v>-9.6376990000000004E-4</v>
      </c>
      <c r="AA7435">
        <v>0.94097629999999999</v>
      </c>
      <c r="AB7435">
        <v>28</v>
      </c>
      <c r="AC7435">
        <v>40.286199999999901</v>
      </c>
      <c r="AD7435">
        <v>3.268186</v>
      </c>
      <c r="AE7435">
        <v>22.319039999999902</v>
      </c>
      <c r="AF7435">
        <v>-15.571329820873499</v>
      </c>
      <c r="AG7435">
        <v>3.268186</v>
      </c>
      <c r="AH7435">
        <v>43.0981362006167</v>
      </c>
      <c r="AI7435">
        <v>85.920623816590293</v>
      </c>
      <c r="AJ7435">
        <v>109.864756356518</v>
      </c>
      <c r="AK7435">
        <v>45.941230894349502</v>
      </c>
      <c r="AL7435">
        <v>87.517700418650605</v>
      </c>
      <c r="AM7435">
        <v>92.563606107826004</v>
      </c>
      <c r="AN7435">
        <v>1.0000000291429301</v>
      </c>
    </row>
    <row r="7436" spans="1:40" x14ac:dyDescent="0.25">
      <c r="A7436" t="str">
        <f>"20190312160829386"</f>
        <v>20190312160829386</v>
      </c>
      <c r="B7436" t="str">
        <f>"1552378109382501"</f>
        <v>1552378109382501</v>
      </c>
      <c r="C7436" t="s">
        <v>40</v>
      </c>
      <c r="D7436">
        <v>4.3493559999999896</v>
      </c>
      <c r="E7436">
        <v>0.38238840000000002</v>
      </c>
      <c r="F7436" t="s">
        <v>52</v>
      </c>
      <c r="G7436">
        <v>-168.45060000000001</v>
      </c>
      <c r="H7436">
        <v>4.3463909999999997</v>
      </c>
      <c r="I7436">
        <v>-40.365850000000002</v>
      </c>
      <c r="J7436">
        <v>-208.59559999999999</v>
      </c>
      <c r="K7436">
        <v>1.1140429999999999</v>
      </c>
      <c r="L7436">
        <v>-62.751460000000002</v>
      </c>
      <c r="M7436">
        <v>0.98680190000000001</v>
      </c>
      <c r="N7436">
        <v>0</v>
      </c>
      <c r="O7436">
        <v>0.1612973</v>
      </c>
      <c r="P7436">
        <v>0.97832699999999995</v>
      </c>
      <c r="Q7436">
        <v>2.909643E-2</v>
      </c>
      <c r="R7436">
        <v>0.20501150000000001</v>
      </c>
      <c r="S7436">
        <v>2.7430110000000001</v>
      </c>
      <c r="T7436">
        <v>0.22008440000000001</v>
      </c>
      <c r="U7436">
        <v>1.5259400000000001</v>
      </c>
      <c r="V7436">
        <v>-4.4933189999999998E-2</v>
      </c>
      <c r="W7436">
        <v>4.2961539999999999E-2</v>
      </c>
      <c r="X7436">
        <v>0.9980658</v>
      </c>
      <c r="Y7436">
        <v>-0.33837669999999997</v>
      </c>
      <c r="Z7436">
        <v>-7.5166489999999996E-4</v>
      </c>
      <c r="AA7436">
        <v>0.94101049999999997</v>
      </c>
      <c r="AB7436">
        <v>28</v>
      </c>
      <c r="AC7436">
        <v>40.144999999999897</v>
      </c>
      <c r="AD7436">
        <v>3.232348</v>
      </c>
      <c r="AE7436">
        <v>22.38561</v>
      </c>
      <c r="AF7436">
        <v>-15.539636783664299</v>
      </c>
      <c r="AG7436">
        <v>3.232348</v>
      </c>
      <c r="AH7436">
        <v>43.017602114470698</v>
      </c>
      <c r="AI7436">
        <v>85.957602245967493</v>
      </c>
      <c r="AJ7436">
        <v>109.861697740034</v>
      </c>
      <c r="AK7436">
        <v>45.852398810097597</v>
      </c>
      <c r="AL7436">
        <v>87.537727279286202</v>
      </c>
      <c r="AM7436">
        <v>92.577730764845398</v>
      </c>
      <c r="AN7436">
        <v>1.0000000133061899</v>
      </c>
    </row>
    <row r="7437" spans="1:40" x14ac:dyDescent="0.25">
      <c r="A7437" t="str">
        <f>"20190312160829395"</f>
        <v>20190312160829395</v>
      </c>
      <c r="B7437" t="str">
        <f>"1552378109393237"</f>
        <v>1552378109393237</v>
      </c>
      <c r="C7437" t="s">
        <v>40</v>
      </c>
      <c r="D7437">
        <v>6.07057</v>
      </c>
      <c r="E7437">
        <v>0.38244070000000002</v>
      </c>
      <c r="F7437" t="s">
        <v>52</v>
      </c>
      <c r="G7437">
        <v>-168.45060000000001</v>
      </c>
      <c r="H7437">
        <v>4.2021670000000002</v>
      </c>
      <c r="I7437">
        <v>-40.290889999999997</v>
      </c>
      <c r="J7437">
        <v>-208.47470000000001</v>
      </c>
      <c r="K7437">
        <v>1.11407099999999</v>
      </c>
      <c r="L7437">
        <v>-62.729340000000001</v>
      </c>
      <c r="M7437">
        <v>0.9864098</v>
      </c>
      <c r="N7437">
        <v>0</v>
      </c>
      <c r="O7437">
        <v>0.16367760000000001</v>
      </c>
      <c r="P7437">
        <v>0.97787449999999998</v>
      </c>
      <c r="Q7437">
        <v>2.8771749999999999E-2</v>
      </c>
      <c r="R7437">
        <v>0.207205</v>
      </c>
      <c r="S7437">
        <v>2.7390750000000001</v>
      </c>
      <c r="T7437">
        <v>0.21069930000000001</v>
      </c>
      <c r="U7437">
        <v>1.5324709999999999</v>
      </c>
      <c r="V7437">
        <v>-4.4761519999999999E-2</v>
      </c>
      <c r="W7437">
        <v>4.2637590000000003E-2</v>
      </c>
      <c r="X7437">
        <v>0.99808739999999996</v>
      </c>
      <c r="Y7437">
        <v>-0.33843210000000001</v>
      </c>
      <c r="Z7437">
        <v>-5.5753439999999997E-4</v>
      </c>
      <c r="AA7437">
        <v>0.94099060000000001</v>
      </c>
      <c r="AB7437">
        <v>28</v>
      </c>
      <c r="AC7437">
        <v>40.024099999999997</v>
      </c>
      <c r="AD7437">
        <v>3.08809599999999</v>
      </c>
      <c r="AE7437">
        <v>22.43845</v>
      </c>
      <c r="AF7437">
        <v>-15.5137897637306</v>
      </c>
      <c r="AG7437">
        <v>3.08809599999999</v>
      </c>
      <c r="AH7437">
        <v>42.9626707403824</v>
      </c>
      <c r="AI7437">
        <v>86.132350293836694</v>
      </c>
      <c r="AJ7437">
        <v>109.854615037697</v>
      </c>
      <c r="AK7437">
        <v>45.782148124404998</v>
      </c>
      <c r="AL7437">
        <v>87.556305257072594</v>
      </c>
      <c r="AM7437">
        <v>92.567840096434907</v>
      </c>
      <c r="AN7437">
        <v>1.0000000078962299</v>
      </c>
    </row>
    <row r="7438" spans="1:40" x14ac:dyDescent="0.25">
      <c r="A7438" t="str">
        <f>"20190312160829406"</f>
        <v>20190312160829406</v>
      </c>
      <c r="B7438" t="str">
        <f>"1552378109402998"</f>
        <v>1552378109402998</v>
      </c>
      <c r="C7438" t="s">
        <v>40</v>
      </c>
      <c r="D7438">
        <v>5.9815480000000001</v>
      </c>
      <c r="E7438">
        <v>0.3828935</v>
      </c>
      <c r="F7438" t="s">
        <v>52</v>
      </c>
      <c r="G7438">
        <v>-168.45060000000001</v>
      </c>
      <c r="H7438">
        <v>4.1577149999999996</v>
      </c>
      <c r="I7438">
        <v>-40.224879999999999</v>
      </c>
      <c r="J7438">
        <v>-208.3304</v>
      </c>
      <c r="K7438">
        <v>1.1141049999999999</v>
      </c>
      <c r="L7438">
        <v>-62.702269999999999</v>
      </c>
      <c r="M7438">
        <v>0.98592690000000005</v>
      </c>
      <c r="N7438">
        <v>0</v>
      </c>
      <c r="O7438">
        <v>0.16656260000000001</v>
      </c>
      <c r="P7438">
        <v>0.97721049999999998</v>
      </c>
      <c r="Q7438">
        <v>2.885192E-2</v>
      </c>
      <c r="R7438">
        <v>0.21030299999999999</v>
      </c>
      <c r="S7438">
        <v>2.7358090000000002</v>
      </c>
      <c r="T7438">
        <v>0.2080438</v>
      </c>
      <c r="U7438">
        <v>1.5382690000000001</v>
      </c>
      <c r="V7438">
        <v>-4.5010290000000001E-2</v>
      </c>
      <c r="W7438">
        <v>4.271382E-2</v>
      </c>
      <c r="X7438">
        <v>0.99807290000000004</v>
      </c>
      <c r="Y7438">
        <v>-0.33769189999999999</v>
      </c>
      <c r="Z7438">
        <v>-3.2744179999999999E-4</v>
      </c>
      <c r="AA7438">
        <v>0.9412566</v>
      </c>
      <c r="AB7438">
        <v>28</v>
      </c>
      <c r="AC7438">
        <v>39.879799999999904</v>
      </c>
      <c r="AD7438">
        <v>3.0436100000000001</v>
      </c>
      <c r="AE7438">
        <v>22.47739</v>
      </c>
      <c r="AF7438">
        <v>-15.4518678650879</v>
      </c>
      <c r="AG7438">
        <v>3.0436100000000001</v>
      </c>
      <c r="AH7438">
        <v>42.877340068844099</v>
      </c>
      <c r="AI7438">
        <v>86.179454643528103</v>
      </c>
      <c r="AJ7438">
        <v>109.817831553199</v>
      </c>
      <c r="AK7438">
        <v>45.678113727818697</v>
      </c>
      <c r="AL7438">
        <v>87.551933488013006</v>
      </c>
      <c r="AM7438">
        <v>92.582129518502896</v>
      </c>
      <c r="AN7438">
        <v>0.99999995516964202</v>
      </c>
    </row>
    <row r="7439" spans="1:40" x14ac:dyDescent="0.25">
      <c r="A7439" t="str">
        <f>"20190312160829418"</f>
        <v>20190312160829418</v>
      </c>
      <c r="B7439" t="str">
        <f>"1552378109412757"</f>
        <v>1552378109412757</v>
      </c>
      <c r="C7439" t="s">
        <v>40</v>
      </c>
      <c r="D7439">
        <v>6.1634960000000003</v>
      </c>
      <c r="E7439">
        <v>0.3830132</v>
      </c>
      <c r="F7439" t="s">
        <v>52</v>
      </c>
      <c r="G7439">
        <v>-168.45060000000001</v>
      </c>
      <c r="H7439">
        <v>4.0402399999999998</v>
      </c>
      <c r="I7439">
        <v>-40.171930000000003</v>
      </c>
      <c r="J7439">
        <v>-208.19030000000001</v>
      </c>
      <c r="K7439">
        <v>1.1141449999999999</v>
      </c>
      <c r="L7439">
        <v>-62.675690000000003</v>
      </c>
      <c r="M7439">
        <v>0.98544659999999995</v>
      </c>
      <c r="N7439">
        <v>0</v>
      </c>
      <c r="O7439">
        <v>0.16937940000000001</v>
      </c>
      <c r="P7439">
        <v>0.97655990000000004</v>
      </c>
      <c r="Q7439">
        <v>2.9026989999999999E-2</v>
      </c>
      <c r="R7439">
        <v>0.21327889999999999</v>
      </c>
      <c r="S7439">
        <v>2.7318880000000001</v>
      </c>
      <c r="T7439">
        <v>0.20044770000000001</v>
      </c>
      <c r="U7439">
        <v>1.543396</v>
      </c>
      <c r="V7439">
        <v>-4.5204609999999999E-2</v>
      </c>
      <c r="W7439">
        <v>4.2885329999999999E-2</v>
      </c>
      <c r="X7439">
        <v>0.99805679999999997</v>
      </c>
      <c r="Y7439">
        <v>-0.33695249999999999</v>
      </c>
      <c r="Z7439">
        <v>-1.050308E-4</v>
      </c>
      <c r="AA7439">
        <v>0.94152159999999996</v>
      </c>
      <c r="AB7439">
        <v>28</v>
      </c>
      <c r="AC7439">
        <v>39.739699999999999</v>
      </c>
      <c r="AD7439">
        <v>2.9260950000000001</v>
      </c>
      <c r="AE7439">
        <v>22.50376</v>
      </c>
      <c r="AF7439">
        <v>-15.383602846783299</v>
      </c>
      <c r="AG7439">
        <v>2.9260950000000001</v>
      </c>
      <c r="AH7439">
        <v>42.801735265427297</v>
      </c>
      <c r="AI7439">
        <v>86.318963743972205</v>
      </c>
      <c r="AJ7439">
        <v>109.769218696767</v>
      </c>
      <c r="AK7439">
        <v>45.576373377313701</v>
      </c>
      <c r="AL7439">
        <v>87.542097766622902</v>
      </c>
      <c r="AM7439">
        <v>92.593303768652007</v>
      </c>
      <c r="AN7439">
        <v>0.99999999216034996</v>
      </c>
    </row>
    <row r="7440" spans="1:40" x14ac:dyDescent="0.25">
      <c r="A7440" t="str">
        <f>"20190312160829429"</f>
        <v>20190312160829429</v>
      </c>
      <c r="B7440" t="str">
        <f>"1552378109422517"</f>
        <v>1552378109422517</v>
      </c>
      <c r="C7440" t="s">
        <v>40</v>
      </c>
      <c r="D7440">
        <v>6.3271540000000002</v>
      </c>
      <c r="E7440">
        <v>0.3837062</v>
      </c>
      <c r="F7440" t="s">
        <v>52</v>
      </c>
      <c r="G7440">
        <v>-168.45060000000001</v>
      </c>
      <c r="H7440">
        <v>4.0083279999999997</v>
      </c>
      <c r="I7440">
        <v>-40.080190000000002</v>
      </c>
      <c r="J7440">
        <v>-208.05779999999999</v>
      </c>
      <c r="K7440">
        <v>1.114177</v>
      </c>
      <c r="L7440">
        <v>-62.650120000000001</v>
      </c>
      <c r="M7440">
        <v>0.98498039999999998</v>
      </c>
      <c r="N7440">
        <v>0</v>
      </c>
      <c r="O7440">
        <v>0.17207030000000001</v>
      </c>
      <c r="P7440">
        <v>0.97591589999999995</v>
      </c>
      <c r="Q7440">
        <v>2.9011410000000001E-2</v>
      </c>
      <c r="R7440">
        <v>0.21621009999999999</v>
      </c>
      <c r="S7440">
        <v>2.7274319999999999</v>
      </c>
      <c r="T7440">
        <v>0.19863310000000001</v>
      </c>
      <c r="U7440">
        <v>1.550781</v>
      </c>
      <c r="V7440">
        <v>-4.5478770000000002E-2</v>
      </c>
      <c r="W7440">
        <v>4.2865309999999997E-2</v>
      </c>
      <c r="X7440">
        <v>0.99804519999999997</v>
      </c>
      <c r="Y7440">
        <v>-0.33697949999999999</v>
      </c>
      <c r="Z7440" s="1">
        <v>7.0321369999999897E-5</v>
      </c>
      <c r="AA7440">
        <v>0.94151200000000002</v>
      </c>
      <c r="AB7440">
        <v>28</v>
      </c>
      <c r="AC7440">
        <v>39.607199999999899</v>
      </c>
      <c r="AD7440">
        <v>2.8941509999999999</v>
      </c>
      <c r="AE7440">
        <v>22.5699299999999</v>
      </c>
      <c r="AF7440">
        <v>-15.355408070573599</v>
      </c>
      <c r="AG7440">
        <v>2.8941509999999999</v>
      </c>
      <c r="AH7440">
        <v>42.728117154564202</v>
      </c>
      <c r="AI7440">
        <v>86.352737434664803</v>
      </c>
      <c r="AJ7440">
        <v>109.767157950891</v>
      </c>
      <c r="AK7440">
        <v>45.495677405648202</v>
      </c>
      <c r="AL7440">
        <v>87.543245871920405</v>
      </c>
      <c r="AM7440">
        <v>92.609040428870799</v>
      </c>
      <c r="AN7440">
        <v>0.999999987282574</v>
      </c>
    </row>
    <row r="7441" spans="1:40" x14ac:dyDescent="0.25">
      <c r="A7441" t="str">
        <f>"20190312160829440"</f>
        <v>20190312160829440</v>
      </c>
      <c r="B7441" t="str">
        <f>"1552378109432278"</f>
        <v>1552378109432278</v>
      </c>
      <c r="C7441" t="s">
        <v>40</v>
      </c>
      <c r="D7441">
        <v>4.3582140000000003</v>
      </c>
      <c r="E7441">
        <v>0.38396580000000002</v>
      </c>
      <c r="F7441" t="s">
        <v>52</v>
      </c>
      <c r="G7441">
        <v>-168.45060000000001</v>
      </c>
      <c r="H7441">
        <v>3.8817089999999999</v>
      </c>
      <c r="I7441">
        <v>-40.058909999999997</v>
      </c>
      <c r="J7441">
        <v>-207.9281</v>
      </c>
      <c r="K7441">
        <v>1.1142099999999999</v>
      </c>
      <c r="L7441">
        <v>-62.624690000000001</v>
      </c>
      <c r="M7441">
        <v>0.9845119</v>
      </c>
      <c r="N7441">
        <v>0</v>
      </c>
      <c r="O7441">
        <v>0.17473089999999999</v>
      </c>
      <c r="P7441">
        <v>0.97523119999999996</v>
      </c>
      <c r="Q7441">
        <v>2.8846710000000001E-2</v>
      </c>
      <c r="R7441">
        <v>0.2193001</v>
      </c>
      <c r="S7441">
        <v>2.7241520000000001</v>
      </c>
      <c r="T7441">
        <v>0.19034699999999999</v>
      </c>
      <c r="U7441">
        <v>1.5538019999999999</v>
      </c>
      <c r="V7441">
        <v>-4.5945020000000003E-2</v>
      </c>
      <c r="W7441">
        <v>4.2694290000000003E-2</v>
      </c>
      <c r="X7441">
        <v>0.99803120000000001</v>
      </c>
      <c r="Y7441">
        <v>-0.33574409999999999</v>
      </c>
      <c r="Z7441">
        <v>2.7404350000000003E-4</v>
      </c>
      <c r="AA7441">
        <v>0.94195320000000005</v>
      </c>
      <c r="AB7441">
        <v>28</v>
      </c>
      <c r="AC7441">
        <v>39.4774999999999</v>
      </c>
      <c r="AD7441">
        <v>2.7674989999999999</v>
      </c>
      <c r="AE7441">
        <v>22.56578</v>
      </c>
      <c r="AF7441">
        <v>-15.2633754875429</v>
      </c>
      <c r="AG7441">
        <v>2.7674989999999999</v>
      </c>
      <c r="AH7441">
        <v>42.655402861173201</v>
      </c>
      <c r="AI7441">
        <v>86.504300878616704</v>
      </c>
      <c r="AJ7441">
        <v>109.68872446368501</v>
      </c>
      <c r="AK7441">
        <v>45.388468527123798</v>
      </c>
      <c r="AL7441">
        <v>87.553053634800705</v>
      </c>
      <c r="AM7441">
        <v>92.6357877974704</v>
      </c>
      <c r="AN7441">
        <v>1.0000000117174199</v>
      </c>
    </row>
    <row r="7442" spans="1:40" x14ac:dyDescent="0.25">
      <c r="A7442" t="str">
        <f>"20190312160829451"</f>
        <v>20190312160829451</v>
      </c>
      <c r="B7442" t="str">
        <f>"1552378109443014"</f>
        <v>1552378109443014</v>
      </c>
      <c r="C7442" t="s">
        <v>40</v>
      </c>
      <c r="D7442">
        <v>4.5173759999999996</v>
      </c>
      <c r="E7442">
        <v>0.38458150000000002</v>
      </c>
      <c r="F7442" t="s">
        <v>52</v>
      </c>
      <c r="G7442">
        <v>-168.45060000000001</v>
      </c>
      <c r="H7442">
        <v>3.809291</v>
      </c>
      <c r="I7442">
        <v>-39.976019999999998</v>
      </c>
      <c r="J7442">
        <v>-207.79249999999999</v>
      </c>
      <c r="K7442">
        <v>1.114244</v>
      </c>
      <c r="L7442">
        <v>-62.597749999999998</v>
      </c>
      <c r="M7442">
        <v>0.98401050000000001</v>
      </c>
      <c r="N7442">
        <v>0</v>
      </c>
      <c r="O7442">
        <v>0.17753260000000001</v>
      </c>
      <c r="P7442">
        <v>0.9745414</v>
      </c>
      <c r="Q7442">
        <v>2.84424E-2</v>
      </c>
      <c r="R7442">
        <v>0.22239680000000001</v>
      </c>
      <c r="S7442">
        <v>2.7198329999999999</v>
      </c>
      <c r="T7442">
        <v>0.18567800000000001</v>
      </c>
      <c r="U7442">
        <v>1.5603940000000001</v>
      </c>
      <c r="V7442">
        <v>-4.6271340000000001E-2</v>
      </c>
      <c r="W7442">
        <v>4.2285540000000003E-2</v>
      </c>
      <c r="X7442">
        <v>0.99803350000000002</v>
      </c>
      <c r="Y7442">
        <v>-0.33544499999999999</v>
      </c>
      <c r="Z7442">
        <v>4.4780779999999999E-4</v>
      </c>
      <c r="AA7442">
        <v>0.94205970000000006</v>
      </c>
      <c r="AB7442">
        <v>28</v>
      </c>
      <c r="AC7442">
        <v>39.341899999999903</v>
      </c>
      <c r="AD7442">
        <v>2.6950470000000002</v>
      </c>
      <c r="AE7442">
        <v>22.621729999999999</v>
      </c>
      <c r="AF7442">
        <v>-15.2234319004565</v>
      </c>
      <c r="AG7442">
        <v>2.6950470000000002</v>
      </c>
      <c r="AH7442">
        <v>42.583151763887301</v>
      </c>
      <c r="AI7442">
        <v>86.589479108270595</v>
      </c>
      <c r="AJ7442">
        <v>109.67191647579</v>
      </c>
      <c r="AK7442">
        <v>45.302770018027601</v>
      </c>
      <c r="AL7442">
        <v>87.576494390397002</v>
      </c>
      <c r="AM7442">
        <v>92.654475431101702</v>
      </c>
      <c r="AN7442">
        <v>0.99999998546036795</v>
      </c>
    </row>
    <row r="7443" spans="1:40" x14ac:dyDescent="0.25">
      <c r="A7443" t="str">
        <f>"20190312160829462"</f>
        <v>20190312160829462</v>
      </c>
      <c r="B7443" t="str">
        <f>"1552378109452774"</f>
        <v>1552378109452774</v>
      </c>
      <c r="C7443" t="s">
        <v>40</v>
      </c>
      <c r="D7443">
        <v>6.0548929999999999</v>
      </c>
      <c r="E7443">
        <v>0.38490839999999998</v>
      </c>
      <c r="F7443" t="s">
        <v>52</v>
      </c>
      <c r="G7443">
        <v>-168.45060000000001</v>
      </c>
      <c r="H7443">
        <v>3.7078310000000001</v>
      </c>
      <c r="I7443">
        <v>-39.939749999999997</v>
      </c>
      <c r="J7443">
        <v>-207.66</v>
      </c>
      <c r="K7443">
        <v>1.114277</v>
      </c>
      <c r="L7443">
        <v>-62.570830000000001</v>
      </c>
      <c r="M7443">
        <v>0.98350499999999996</v>
      </c>
      <c r="N7443">
        <v>0</v>
      </c>
      <c r="O7443">
        <v>0.18031140000000001</v>
      </c>
      <c r="P7443">
        <v>0.97388710000000001</v>
      </c>
      <c r="Q7443">
        <v>2.8079509999999998E-2</v>
      </c>
      <c r="R7443">
        <v>0.2252905</v>
      </c>
      <c r="S7443">
        <v>2.7161559999999998</v>
      </c>
      <c r="T7443">
        <v>0.179059</v>
      </c>
      <c r="U7443">
        <v>1.5643009999999999</v>
      </c>
      <c r="V7443">
        <v>-4.64153E-2</v>
      </c>
      <c r="W7443">
        <v>4.1919169999999999E-2</v>
      </c>
      <c r="X7443">
        <v>0.99804230000000005</v>
      </c>
      <c r="Y7443">
        <v>-0.33437729999999999</v>
      </c>
      <c r="Z7443">
        <v>6.2841079999999998E-4</v>
      </c>
      <c r="AA7443">
        <v>0.94243909999999997</v>
      </c>
      <c r="AB7443">
        <v>28</v>
      </c>
      <c r="AC7443">
        <v>39.209399999999903</v>
      </c>
      <c r="AD7443">
        <v>2.5935540000000001</v>
      </c>
      <c r="AE7443">
        <v>22.631080000000001</v>
      </c>
      <c r="AF7443">
        <v>-15.1397528505103</v>
      </c>
      <c r="AG7443">
        <v>2.5935540000000001</v>
      </c>
      <c r="AH7443">
        <v>42.508159325006702</v>
      </c>
      <c r="AI7443">
        <v>86.710462216265299</v>
      </c>
      <c r="AJ7443">
        <v>109.603921274592</v>
      </c>
      <c r="AK7443">
        <v>45.198254921242402</v>
      </c>
      <c r="AL7443">
        <v>87.597504545527599</v>
      </c>
      <c r="AM7443">
        <v>92.662698758136898</v>
      </c>
      <c r="AN7443">
        <v>1.00000001473843</v>
      </c>
    </row>
    <row r="7444" spans="1:40" x14ac:dyDescent="0.25">
      <c r="A7444" t="str">
        <f>"20190312160829473"</f>
        <v>20190312160829473</v>
      </c>
      <c r="B7444" t="str">
        <f>"1552378109462533"</f>
        <v>1552378109462533</v>
      </c>
      <c r="C7444" t="s">
        <v>40</v>
      </c>
      <c r="D7444">
        <v>7.3354949999999999</v>
      </c>
      <c r="E7444">
        <v>0.38490839999999998</v>
      </c>
      <c r="F7444" t="s">
        <v>52</v>
      </c>
      <c r="G7444">
        <v>-168.45060000000001</v>
      </c>
      <c r="H7444">
        <v>3.6463610000000002</v>
      </c>
      <c r="I7444">
        <v>-39.878349999999998</v>
      </c>
      <c r="J7444">
        <v>-207.524</v>
      </c>
      <c r="K7444">
        <v>1.1143110000000001</v>
      </c>
      <c r="L7444">
        <v>-62.543030000000002</v>
      </c>
      <c r="M7444">
        <v>0.98297599999999996</v>
      </c>
      <c r="N7444">
        <v>0</v>
      </c>
      <c r="O7444">
        <v>0.18317359999999999</v>
      </c>
      <c r="P7444">
        <v>0.97306720000000002</v>
      </c>
      <c r="Q7444">
        <v>2.7967240000000001E-2</v>
      </c>
      <c r="R7444">
        <v>0.22881899999999999</v>
      </c>
      <c r="S7444">
        <v>2.7122799999999998</v>
      </c>
      <c r="T7444">
        <v>0.17515339999999999</v>
      </c>
      <c r="U7444">
        <v>1.569733</v>
      </c>
      <c r="V7444">
        <v>-4.7129850000000001E-2</v>
      </c>
      <c r="W7444">
        <v>4.1797679999999997E-2</v>
      </c>
      <c r="X7444">
        <v>0.99801390000000001</v>
      </c>
      <c r="Y7444">
        <v>-0.33364709999999997</v>
      </c>
      <c r="Z7444">
        <v>8.0170199999999995E-4</v>
      </c>
      <c r="AA7444">
        <v>0.94269769999999997</v>
      </c>
      <c r="AB7444">
        <v>28</v>
      </c>
      <c r="AC7444">
        <v>39.0733999999999</v>
      </c>
      <c r="AD7444">
        <v>2.5320499999999999</v>
      </c>
      <c r="AE7444">
        <v>22.664680000000001</v>
      </c>
      <c r="AF7444">
        <v>-15.075805734768</v>
      </c>
      <c r="AG7444">
        <v>2.5320499999999999</v>
      </c>
      <c r="AH7444">
        <v>42.430838045766599</v>
      </c>
      <c r="AI7444">
        <v>86.781595180736602</v>
      </c>
      <c r="AJ7444">
        <v>109.560280489514</v>
      </c>
      <c r="AK7444">
        <v>45.100634286238602</v>
      </c>
      <c r="AL7444">
        <v>87.604471496610699</v>
      </c>
      <c r="AM7444">
        <v>92.7037066886639</v>
      </c>
      <c r="AN7444">
        <v>1.0000000067038</v>
      </c>
    </row>
    <row r="7445" spans="1:40" x14ac:dyDescent="0.25">
      <c r="A7445" t="str">
        <f>"20190312160829484"</f>
        <v>20190312160829484</v>
      </c>
      <c r="B7445" t="str">
        <f>"1552378109483029"</f>
        <v>1552378109483029</v>
      </c>
      <c r="C7445" t="s">
        <v>40</v>
      </c>
      <c r="D7445">
        <v>6.0679939999999997</v>
      </c>
      <c r="E7445">
        <v>0.38571119999999998</v>
      </c>
      <c r="F7445" t="s">
        <v>52</v>
      </c>
      <c r="G7445">
        <v>-168.45060000000001</v>
      </c>
      <c r="H7445">
        <v>3.6480169999999998</v>
      </c>
      <c r="I7445">
        <v>-39.740009999999998</v>
      </c>
      <c r="J7445">
        <v>-207.38800000000001</v>
      </c>
      <c r="K7445">
        <v>1.1143529999999999</v>
      </c>
      <c r="L7445">
        <v>-62.514470000000003</v>
      </c>
      <c r="M7445">
        <v>0.98242689999999999</v>
      </c>
      <c r="N7445">
        <v>0</v>
      </c>
      <c r="O7445">
        <v>0.18609590000000001</v>
      </c>
      <c r="P7445">
        <v>0.97240689999999996</v>
      </c>
      <c r="Q7445">
        <v>2.7485559999999999E-2</v>
      </c>
      <c r="R7445">
        <v>0.23166729999999999</v>
      </c>
      <c r="S7445">
        <v>2.7065579999999998</v>
      </c>
      <c r="T7445">
        <v>0.1755043</v>
      </c>
      <c r="U7445">
        <v>1.579529</v>
      </c>
      <c r="V7445">
        <v>-4.708035E-2</v>
      </c>
      <c r="W7445">
        <v>4.1315070000000002E-2</v>
      </c>
      <c r="X7445">
        <v>0.99803629999999999</v>
      </c>
      <c r="Y7445">
        <v>-0.33425909999999998</v>
      </c>
      <c r="Z7445">
        <v>9.5376840000000005E-4</v>
      </c>
      <c r="AA7445">
        <v>0.94248069999999895</v>
      </c>
      <c r="AB7445">
        <v>28</v>
      </c>
      <c r="AC7445">
        <v>38.937399999999997</v>
      </c>
      <c r="AD7445">
        <v>2.5336639999999999</v>
      </c>
      <c r="AE7445">
        <v>22.774460000000001</v>
      </c>
      <c r="AF7445">
        <v>-15.082126177888499</v>
      </c>
      <c r="AG7445">
        <v>2.5336639999999999</v>
      </c>
      <c r="AH7445">
        <v>42.362108220606601</v>
      </c>
      <c r="AI7445">
        <v>86.775071427703494</v>
      </c>
      <c r="AJ7445">
        <v>109.597188742242</v>
      </c>
      <c r="AK7445">
        <v>45.038185978178902</v>
      </c>
      <c r="AL7445">
        <v>87.632146845422596</v>
      </c>
      <c r="AM7445">
        <v>92.7008106913744</v>
      </c>
      <c r="AN7445">
        <v>0.99999997524145801</v>
      </c>
    </row>
    <row r="7446" spans="1:40" x14ac:dyDescent="0.25">
      <c r="A7446" t="str">
        <f>"20190312160829496"</f>
        <v>20190312160829496</v>
      </c>
      <c r="B7446" t="str">
        <f>"1552378109492789"</f>
        <v>1552378109492789</v>
      </c>
      <c r="C7446" t="s">
        <v>40</v>
      </c>
      <c r="D7446">
        <v>4.5487320000000002</v>
      </c>
      <c r="E7446">
        <v>0.38637870000000002</v>
      </c>
      <c r="F7446" t="s">
        <v>52</v>
      </c>
      <c r="G7446">
        <v>-168.45060000000001</v>
      </c>
      <c r="H7446">
        <v>3.5259499999999999</v>
      </c>
      <c r="I7446">
        <v>-39.74286</v>
      </c>
      <c r="J7446">
        <v>-207.25229999999999</v>
      </c>
      <c r="K7446">
        <v>1.114395</v>
      </c>
      <c r="L7446">
        <v>-62.485779999999998</v>
      </c>
      <c r="M7446">
        <v>0.98186759999999995</v>
      </c>
      <c r="N7446">
        <v>0</v>
      </c>
      <c r="O7446">
        <v>0.18902440000000001</v>
      </c>
      <c r="P7446">
        <v>0.97169139999999998</v>
      </c>
      <c r="Q7446">
        <v>2.7267110000000001E-2</v>
      </c>
      <c r="R7446">
        <v>0.23467540000000001</v>
      </c>
      <c r="S7446">
        <v>2.7036739999999999</v>
      </c>
      <c r="T7446">
        <v>0.16745099999999999</v>
      </c>
      <c r="U7446">
        <v>1.5811770000000001</v>
      </c>
      <c r="V7446">
        <v>-4.7194050000000001E-2</v>
      </c>
      <c r="W7446">
        <v>4.1094470000000001E-2</v>
      </c>
      <c r="X7446">
        <v>0.99804009999999999</v>
      </c>
      <c r="Y7446">
        <v>-0.33234089999999999</v>
      </c>
      <c r="Z7446">
        <v>1.1271009999999999E-3</v>
      </c>
      <c r="AA7446">
        <v>0.94315870000000002</v>
      </c>
      <c r="AB7446">
        <v>28</v>
      </c>
      <c r="AC7446">
        <v>38.801699999999897</v>
      </c>
      <c r="AD7446">
        <v>2.4115549999999999</v>
      </c>
      <c r="AE7446">
        <v>22.742920000000002</v>
      </c>
      <c r="AF7446">
        <v>-14.9546168789172</v>
      </c>
      <c r="AG7446">
        <v>2.4115549999999999</v>
      </c>
      <c r="AH7446">
        <v>42.2799070484716</v>
      </c>
      <c r="AI7446">
        <v>86.921984926644001</v>
      </c>
      <c r="AJ7446">
        <v>109.478944508374</v>
      </c>
      <c r="AK7446">
        <v>44.911543099081101</v>
      </c>
      <c r="AL7446">
        <v>87.6447971849895</v>
      </c>
      <c r="AM7446">
        <v>92.707313218617998</v>
      </c>
      <c r="AN7446">
        <v>1.0000000375139899</v>
      </c>
    </row>
    <row r="7447" spans="1:40" x14ac:dyDescent="0.25">
      <c r="A7447" t="str">
        <f>"20190312160829507"</f>
        <v>20190312160829507</v>
      </c>
      <c r="B7447" t="str">
        <f>"1552378109502550"</f>
        <v>1552378109502550</v>
      </c>
      <c r="C7447" t="s">
        <v>40</v>
      </c>
      <c r="D7447">
        <v>4.462415</v>
      </c>
      <c r="E7447">
        <v>0.38678240000000003</v>
      </c>
      <c r="F7447" t="s">
        <v>52</v>
      </c>
      <c r="G7447">
        <v>-168.45060000000001</v>
      </c>
      <c r="H7447">
        <v>3.4408409999999998</v>
      </c>
      <c r="I7447">
        <v>-39.718980000000002</v>
      </c>
      <c r="J7447">
        <v>-207.11279999999999</v>
      </c>
      <c r="K7447">
        <v>1.114439</v>
      </c>
      <c r="L7447">
        <v>-62.455629999999999</v>
      </c>
      <c r="M7447">
        <v>0.98127319999999996</v>
      </c>
      <c r="N7447">
        <v>0</v>
      </c>
      <c r="O7447">
        <v>0.19208510000000001</v>
      </c>
      <c r="P7447">
        <v>0.97087909999999999</v>
      </c>
      <c r="Q7447">
        <v>2.729239E-2</v>
      </c>
      <c r="R7447">
        <v>0.23801</v>
      </c>
      <c r="S7447">
        <v>2.7002259999999998</v>
      </c>
      <c r="T7447">
        <v>0.16189679999999901</v>
      </c>
      <c r="U7447">
        <v>1.5843510000000001</v>
      </c>
      <c r="V7447">
        <v>-4.7513340000000001E-2</v>
      </c>
      <c r="W7447">
        <v>4.1114489999999997E-2</v>
      </c>
      <c r="X7447">
        <v>0.99802409999999997</v>
      </c>
      <c r="Y7447">
        <v>-0.33076840000000002</v>
      </c>
      <c r="Z7447">
        <v>1.2971770000000001E-3</v>
      </c>
      <c r="AA7447">
        <v>0.94371099999999997</v>
      </c>
      <c r="AB7447">
        <v>28</v>
      </c>
      <c r="AC7447">
        <v>38.662199999999899</v>
      </c>
      <c r="AD7447">
        <v>2.3264019999999999</v>
      </c>
      <c r="AE7447">
        <v>22.736650000000001</v>
      </c>
      <c r="AF7447">
        <v>-14.846027364633301</v>
      </c>
      <c r="AG7447">
        <v>2.3264019999999999</v>
      </c>
      <c r="AH7447">
        <v>42.196393991159503</v>
      </c>
      <c r="AI7447">
        <v>87.022860130136806</v>
      </c>
      <c r="AJ7447">
        <v>109.383486236959</v>
      </c>
      <c r="AK7447">
        <v>44.792324572790399</v>
      </c>
      <c r="AL7447">
        <v>87.643649091876597</v>
      </c>
      <c r="AM7447">
        <v>92.725645571387304</v>
      </c>
      <c r="AN7447">
        <v>1.00000001147336</v>
      </c>
    </row>
    <row r="7448" spans="1:40" x14ac:dyDescent="0.25">
      <c r="A7448" t="str">
        <f>"20190312160829519"</f>
        <v>20190312160829519</v>
      </c>
      <c r="B7448" t="str">
        <f>"1552378109513286"</f>
        <v>1552378109513286</v>
      </c>
      <c r="C7448" t="s">
        <v>40</v>
      </c>
      <c r="D7448">
        <v>6.4029829999999999</v>
      </c>
      <c r="E7448">
        <v>0.387262</v>
      </c>
      <c r="F7448" t="s">
        <v>52</v>
      </c>
      <c r="G7448">
        <v>-168.45060000000001</v>
      </c>
      <c r="H7448">
        <v>3.4077289999999998</v>
      </c>
      <c r="I7448">
        <v>-39.643619999999999</v>
      </c>
      <c r="J7448">
        <v>-206.9819</v>
      </c>
      <c r="K7448">
        <v>1.1144810000000001</v>
      </c>
      <c r="L7448">
        <v>-62.426969999999997</v>
      </c>
      <c r="M7448">
        <v>0.98070159999999995</v>
      </c>
      <c r="N7448">
        <v>0</v>
      </c>
      <c r="O7448">
        <v>0.1949825</v>
      </c>
      <c r="P7448">
        <v>0.97020629999999997</v>
      </c>
      <c r="Q7448">
        <v>2.751661E-2</v>
      </c>
      <c r="R7448">
        <v>0.2407127</v>
      </c>
      <c r="S7448">
        <v>2.6955870000000002</v>
      </c>
      <c r="T7448">
        <v>0.1598899</v>
      </c>
      <c r="U7448">
        <v>1.5904849999999999</v>
      </c>
      <c r="V7448">
        <v>-4.7352520000000002E-2</v>
      </c>
      <c r="W7448">
        <v>4.1339359999999999E-2</v>
      </c>
      <c r="X7448">
        <v>0.99802239999999998</v>
      </c>
      <c r="Y7448">
        <v>-0.3302929</v>
      </c>
      <c r="Z7448">
        <v>1.4473610000000001E-3</v>
      </c>
      <c r="AA7448">
        <v>0.94387739999999998</v>
      </c>
      <c r="AB7448">
        <v>28</v>
      </c>
      <c r="AC7448">
        <v>38.531299999999902</v>
      </c>
      <c r="AD7448">
        <v>2.2932480000000002</v>
      </c>
      <c r="AE7448">
        <v>22.783349999999999</v>
      </c>
      <c r="AF7448">
        <v>-14.793441249201599</v>
      </c>
      <c r="AG7448">
        <v>2.2932480000000002</v>
      </c>
      <c r="AH7448">
        <v>42.123859078190101</v>
      </c>
      <c r="AI7448">
        <v>87.059578547040701</v>
      </c>
      <c r="AJ7448">
        <v>109.350720266164</v>
      </c>
      <c r="AK7448">
        <v>44.7048587294748</v>
      </c>
      <c r="AL7448">
        <v>87.630753898528397</v>
      </c>
      <c r="AM7448">
        <v>92.716438449194698</v>
      </c>
      <c r="AN7448">
        <v>0.99999995736865899</v>
      </c>
    </row>
    <row r="7449" spans="1:40" x14ac:dyDescent="0.25">
      <c r="A7449" t="str">
        <f>"20190312160829530"</f>
        <v>20190312160829530</v>
      </c>
      <c r="B7449" t="str">
        <f>"1552378109523046"</f>
        <v>1552378109523046</v>
      </c>
      <c r="C7449" t="s">
        <v>40</v>
      </c>
      <c r="D7449">
        <v>6.5357159999999999</v>
      </c>
      <c r="E7449">
        <v>0.38773390000000002</v>
      </c>
      <c r="F7449" t="s">
        <v>52</v>
      </c>
      <c r="G7449">
        <v>-168.45060000000001</v>
      </c>
      <c r="H7449">
        <v>3.3866309999999999</v>
      </c>
      <c r="I7449">
        <v>-39.608409999999999</v>
      </c>
      <c r="J7449">
        <v>-206.83590000000001</v>
      </c>
      <c r="K7449">
        <v>1.1145259999999999</v>
      </c>
      <c r="L7449">
        <v>-62.394530000000003</v>
      </c>
      <c r="M7449">
        <v>0.98004639999999998</v>
      </c>
      <c r="N7449">
        <v>0</v>
      </c>
      <c r="O7449">
        <v>0.1982495</v>
      </c>
      <c r="P7449">
        <v>0.96948389999999995</v>
      </c>
      <c r="Q7449">
        <v>2.6955670000000001E-2</v>
      </c>
      <c r="R7449">
        <v>0.24366860000000001</v>
      </c>
      <c r="S7449">
        <v>2.692078</v>
      </c>
      <c r="T7449">
        <v>0.15874739999999901</v>
      </c>
      <c r="U7449">
        <v>1.5942689999999999</v>
      </c>
      <c r="V7449">
        <v>-4.706378E-2</v>
      </c>
      <c r="W7449">
        <v>4.0780980000000001E-2</v>
      </c>
      <c r="X7449">
        <v>0.99805909999999998</v>
      </c>
      <c r="Y7449">
        <v>-0.32867679999999999</v>
      </c>
      <c r="Z7449">
        <v>1.6526030000000001E-3</v>
      </c>
      <c r="AA7449">
        <v>0.94444099999999997</v>
      </c>
      <c r="AB7449">
        <v>28</v>
      </c>
      <c r="AC7449">
        <v>38.385300000000001</v>
      </c>
      <c r="AD7449">
        <v>2.2721049999999998</v>
      </c>
      <c r="AE7449">
        <v>22.78612</v>
      </c>
      <c r="AF7449">
        <v>-14.6850607341078</v>
      </c>
      <c r="AG7449">
        <v>2.2721049999999998</v>
      </c>
      <c r="AH7449">
        <v>42.032161207297698</v>
      </c>
      <c r="AI7449">
        <v>87.078647950068699</v>
      </c>
      <c r="AJ7449">
        <v>109.25822852258899</v>
      </c>
      <c r="AK7449">
        <v>44.581566209047899</v>
      </c>
      <c r="AL7449">
        <v>87.662773884556302</v>
      </c>
      <c r="AM7449">
        <v>92.699799958410594</v>
      </c>
      <c r="AN7449">
        <v>1.0000000274052201</v>
      </c>
    </row>
    <row r="7450" spans="1:40" x14ac:dyDescent="0.25">
      <c r="A7450" t="str">
        <f>"20190312160829541"</f>
        <v>20190312160829541</v>
      </c>
      <c r="B7450" t="str">
        <f>"1552378109532805"</f>
        <v>1552378109532805</v>
      </c>
      <c r="C7450" t="s">
        <v>40</v>
      </c>
      <c r="D7450">
        <v>6.0674640000000002</v>
      </c>
      <c r="E7450">
        <v>0.38812360000000001</v>
      </c>
      <c r="F7450" t="s">
        <v>52</v>
      </c>
      <c r="G7450">
        <v>-168.45060000000001</v>
      </c>
      <c r="H7450">
        <v>3.3366470000000001</v>
      </c>
      <c r="I7450">
        <v>-39.5627</v>
      </c>
      <c r="J7450">
        <v>-206.7116</v>
      </c>
      <c r="K7450">
        <v>1.1145640000000001</v>
      </c>
      <c r="L7450">
        <v>-62.36636</v>
      </c>
      <c r="M7450">
        <v>0.9794716</v>
      </c>
      <c r="N7450">
        <v>0</v>
      </c>
      <c r="O7450">
        <v>0.20106950000000001</v>
      </c>
      <c r="P7450">
        <v>0.9687597</v>
      </c>
      <c r="Q7450">
        <v>2.6687260000000001E-2</v>
      </c>
      <c r="R7450">
        <v>0.246561</v>
      </c>
      <c r="S7450">
        <v>2.6882169999999999</v>
      </c>
      <c r="T7450">
        <v>0.15561929999999999</v>
      </c>
      <c r="U7450">
        <v>1.5989690000000001</v>
      </c>
      <c r="V7450">
        <v>-4.7169469999999998E-2</v>
      </c>
      <c r="W7450">
        <v>4.0510360000000002E-2</v>
      </c>
      <c r="X7450">
        <v>0.99806510000000004</v>
      </c>
      <c r="Y7450">
        <v>-0.32778420000000003</v>
      </c>
      <c r="Z7450">
        <v>1.7892909999999999E-3</v>
      </c>
      <c r="AA7450">
        <v>0.94475100000000001</v>
      </c>
      <c r="AB7450">
        <v>28</v>
      </c>
      <c r="AC7450">
        <v>38.261000000000003</v>
      </c>
      <c r="AD7450">
        <v>2.222083</v>
      </c>
      <c r="AE7450">
        <v>22.803660000000001</v>
      </c>
      <c r="AF7450">
        <v>-14.607572810628501</v>
      </c>
      <c r="AG7450">
        <v>2.222083</v>
      </c>
      <c r="AH7450">
        <v>41.960592065630898</v>
      </c>
      <c r="AI7450">
        <v>87.136879267550597</v>
      </c>
      <c r="AJ7450">
        <v>109.19433546044399</v>
      </c>
      <c r="AK7450">
        <v>44.486066613884702</v>
      </c>
      <c r="AL7450">
        <v>87.678292018967596</v>
      </c>
      <c r="AM7450">
        <v>92.705837591291001</v>
      </c>
      <c r="AN7450">
        <v>0.99999999600270995</v>
      </c>
    </row>
    <row r="7451" spans="1:40" x14ac:dyDescent="0.25">
      <c r="A7451" t="str">
        <f>"20190312160829552"</f>
        <v>20190312160829552</v>
      </c>
      <c r="B7451" t="str">
        <f>"1552378109542565"</f>
        <v>1552378109542565</v>
      </c>
      <c r="C7451" t="s">
        <v>40</v>
      </c>
      <c r="D7451">
        <v>6.127243</v>
      </c>
      <c r="E7451">
        <v>0.3884282</v>
      </c>
      <c r="F7451" t="s">
        <v>52</v>
      </c>
      <c r="G7451">
        <v>-168.45060000000001</v>
      </c>
      <c r="H7451">
        <v>3.2947829999999998</v>
      </c>
      <c r="I7451">
        <v>-39.506570000000004</v>
      </c>
      <c r="J7451">
        <v>-206.57660000000001</v>
      </c>
      <c r="K7451">
        <v>1.1146069999999999</v>
      </c>
      <c r="L7451">
        <v>-62.335509999999999</v>
      </c>
      <c r="M7451">
        <v>0.9788346</v>
      </c>
      <c r="N7451">
        <v>0</v>
      </c>
      <c r="O7451">
        <v>0.20414789999999999</v>
      </c>
      <c r="P7451">
        <v>0.96798130000000004</v>
      </c>
      <c r="Q7451">
        <v>2.6439509999999999E-2</v>
      </c>
      <c r="R7451">
        <v>0.2496265</v>
      </c>
      <c r="S7451">
        <v>2.6843569999999999</v>
      </c>
      <c r="T7451">
        <v>0.1529605</v>
      </c>
      <c r="U7451">
        <v>1.6038209999999999</v>
      </c>
      <c r="V7451">
        <v>-4.7191360000000002E-2</v>
      </c>
      <c r="W7451">
        <v>4.0261659999999998E-2</v>
      </c>
      <c r="X7451">
        <v>0.99807409999999996</v>
      </c>
      <c r="Y7451">
        <v>-0.32667990000000002</v>
      </c>
      <c r="Z7451">
        <v>1.9437370000000001E-3</v>
      </c>
      <c r="AA7451">
        <v>0.945133</v>
      </c>
      <c r="AB7451">
        <v>28</v>
      </c>
      <c r="AC7451">
        <v>38.125999999999998</v>
      </c>
      <c r="AD7451">
        <v>2.1801759999999999</v>
      </c>
      <c r="AE7451">
        <v>22.828939999999999</v>
      </c>
      <c r="AF7451">
        <v>-14.5289463135849</v>
      </c>
      <c r="AG7451">
        <v>2.1801759999999999</v>
      </c>
      <c r="AH7451">
        <v>41.883051155762701</v>
      </c>
      <c r="AI7451">
        <v>87.184521702427702</v>
      </c>
      <c r="AJ7451">
        <v>109.13131325285801</v>
      </c>
      <c r="AK7451">
        <v>44.3850585500374</v>
      </c>
      <c r="AL7451">
        <v>87.692553048291302</v>
      </c>
      <c r="AM7451">
        <v>92.707067050989593</v>
      </c>
      <c r="AN7451">
        <v>0.99999996740770702</v>
      </c>
    </row>
    <row r="7452" spans="1:40" x14ac:dyDescent="0.25">
      <c r="A7452" t="str">
        <f>"20190312160829565"</f>
        <v>20190312160829565</v>
      </c>
      <c r="B7452" t="str">
        <f>"1552378109552326"</f>
        <v>1552378109552326</v>
      </c>
      <c r="C7452" t="s">
        <v>40</v>
      </c>
      <c r="D7452">
        <v>6.4271849999999997</v>
      </c>
      <c r="E7452">
        <v>0.38877810000000002</v>
      </c>
      <c r="F7452" t="s">
        <v>52</v>
      </c>
      <c r="G7452">
        <v>-168.45060000000001</v>
      </c>
      <c r="H7452">
        <v>3.2629100000000002</v>
      </c>
      <c r="I7452">
        <v>-39.431469999999997</v>
      </c>
      <c r="J7452">
        <v>-206.43469999999999</v>
      </c>
      <c r="K7452">
        <v>1.1146579999999999</v>
      </c>
      <c r="L7452">
        <v>-62.302280000000003</v>
      </c>
      <c r="M7452">
        <v>0.97814060000000003</v>
      </c>
      <c r="N7452">
        <v>0</v>
      </c>
      <c r="O7452">
        <v>0.2074471</v>
      </c>
      <c r="P7452">
        <v>0.96716179999999996</v>
      </c>
      <c r="Q7452">
        <v>2.6128160000000001E-2</v>
      </c>
      <c r="R7452">
        <v>0.25281520000000002</v>
      </c>
      <c r="S7452">
        <v>2.679932</v>
      </c>
      <c r="T7452">
        <v>0.15100559999999999</v>
      </c>
      <c r="U7452">
        <v>1.609955</v>
      </c>
      <c r="V7452">
        <v>-4.7114860000000001E-2</v>
      </c>
      <c r="W7452">
        <v>3.9950050000000001E-2</v>
      </c>
      <c r="X7452">
        <v>0.99809029999999999</v>
      </c>
      <c r="Y7452">
        <v>-0.3257795</v>
      </c>
      <c r="Z7452">
        <v>2.1073450000000001E-3</v>
      </c>
      <c r="AA7452">
        <v>0.94544349999999999</v>
      </c>
      <c r="AB7452">
        <v>28</v>
      </c>
      <c r="AC7452">
        <v>37.984099999999899</v>
      </c>
      <c r="AD7452">
        <v>2.1482519999999998</v>
      </c>
      <c r="AE7452">
        <v>22.870809999999999</v>
      </c>
      <c r="AF7452">
        <v>-14.4587313532666</v>
      </c>
      <c r="AG7452">
        <v>2.1482519999999998</v>
      </c>
      <c r="AH7452">
        <v>41.804465283492398</v>
      </c>
      <c r="AI7452">
        <v>87.219594317704093</v>
      </c>
      <c r="AJ7452">
        <v>109.078748536448</v>
      </c>
      <c r="AK7452">
        <v>44.286377325766402</v>
      </c>
      <c r="AL7452">
        <v>87.710421510368604</v>
      </c>
      <c r="AM7452">
        <v>92.702641444081706</v>
      </c>
      <c r="AN7452">
        <v>1.0000000317409501</v>
      </c>
    </row>
    <row r="7453" spans="1:40" x14ac:dyDescent="0.25">
      <c r="A7453" t="str">
        <f>"20190312160829578"</f>
        <v>20190312160829578</v>
      </c>
      <c r="B7453" t="str">
        <f>"1552378109572821"</f>
        <v>1552378109572821</v>
      </c>
      <c r="C7453" t="s">
        <v>40</v>
      </c>
      <c r="D7453">
        <v>4.5071219999999999</v>
      </c>
      <c r="E7453">
        <v>0.3896251</v>
      </c>
      <c r="F7453" t="s">
        <v>52</v>
      </c>
      <c r="G7453">
        <v>-168.45060000000001</v>
      </c>
      <c r="H7453">
        <v>3.2075019999999999</v>
      </c>
      <c r="I7453">
        <v>-39.358429999999998</v>
      </c>
      <c r="J7453">
        <v>-206.27289999999999</v>
      </c>
      <c r="K7453">
        <v>1.114714</v>
      </c>
      <c r="L7453">
        <v>-62.263950000000001</v>
      </c>
      <c r="M7453">
        <v>0.97732810000000003</v>
      </c>
      <c r="N7453">
        <v>0</v>
      </c>
      <c r="O7453">
        <v>0.2112415</v>
      </c>
      <c r="P7453">
        <v>0.96612509999999996</v>
      </c>
      <c r="Q7453">
        <v>2.6371519999999999E-2</v>
      </c>
      <c r="R7453">
        <v>0.25672399999999901</v>
      </c>
      <c r="S7453">
        <v>2.67543</v>
      </c>
      <c r="T7453">
        <v>0.14740899999999901</v>
      </c>
      <c r="U7453">
        <v>1.616058</v>
      </c>
      <c r="V7453">
        <v>-4.7287160000000002E-2</v>
      </c>
      <c r="W7453">
        <v>4.0190190000000001E-2</v>
      </c>
      <c r="X7453">
        <v>0.99807250000000003</v>
      </c>
      <c r="Y7453">
        <v>-0.32440570000000002</v>
      </c>
      <c r="Z7453">
        <v>2.27735E-3</v>
      </c>
      <c r="AA7453">
        <v>0.94591530000000001</v>
      </c>
      <c r="AB7453">
        <v>28</v>
      </c>
      <c r="AC7453">
        <v>37.822299999999899</v>
      </c>
      <c r="AD7453">
        <v>2.0927880000000001</v>
      </c>
      <c r="AE7453">
        <v>22.905519999999999</v>
      </c>
      <c r="AF7453">
        <v>-14.365877312624299</v>
      </c>
      <c r="AG7453">
        <v>2.0927880000000001</v>
      </c>
      <c r="AH7453">
        <v>41.714273514389397</v>
      </c>
      <c r="AI7453">
        <v>87.284187312384802</v>
      </c>
      <c r="AJ7453">
        <v>109.003071117856</v>
      </c>
      <c r="AK7453">
        <v>44.168300934126997</v>
      </c>
      <c r="AL7453">
        <v>87.696651418525093</v>
      </c>
      <c r="AM7453">
        <v>92.712558627847699</v>
      </c>
      <c r="AN7453">
        <v>1.00000002106467</v>
      </c>
    </row>
    <row r="7454" spans="1:40" x14ac:dyDescent="0.25">
      <c r="A7454" t="str">
        <f>"20190312160829589"</f>
        <v>20190312160829589</v>
      </c>
      <c r="B7454" t="str">
        <f>"1552378109582581"</f>
        <v>1552378109582581</v>
      </c>
      <c r="C7454" t="s">
        <v>40</v>
      </c>
      <c r="D7454">
        <v>6.059151</v>
      </c>
      <c r="E7454">
        <v>0.39000319999999999</v>
      </c>
      <c r="F7454" t="s">
        <v>52</v>
      </c>
      <c r="G7454">
        <v>-168.45060000000001</v>
      </c>
      <c r="H7454">
        <v>3.131834</v>
      </c>
      <c r="I7454">
        <v>-39.31568</v>
      </c>
      <c r="J7454">
        <v>-206.1311</v>
      </c>
      <c r="K7454">
        <v>1.1147609999999999</v>
      </c>
      <c r="L7454">
        <v>-62.229709999999997</v>
      </c>
      <c r="M7454">
        <v>0.9765916</v>
      </c>
      <c r="N7454">
        <v>0</v>
      </c>
      <c r="O7454">
        <v>0.21462020000000001</v>
      </c>
      <c r="P7454">
        <v>0.96521840000000003</v>
      </c>
      <c r="Q7454">
        <v>2.652384E-2</v>
      </c>
      <c r="R7454">
        <v>0.26009640000000001</v>
      </c>
      <c r="S7454">
        <v>2.670715</v>
      </c>
      <c r="T7454">
        <v>0.14243140000000001</v>
      </c>
      <c r="U7454">
        <v>1.620422</v>
      </c>
      <c r="V7454">
        <v>-4.7328759999999997E-2</v>
      </c>
      <c r="W7454">
        <v>4.0340750000000002E-2</v>
      </c>
      <c r="X7454">
        <v>0.99806450000000002</v>
      </c>
      <c r="Y7454">
        <v>-0.32301609999999997</v>
      </c>
      <c r="Z7454">
        <v>2.394944E-3</v>
      </c>
      <c r="AA7454">
        <v>0.94639050000000002</v>
      </c>
      <c r="AB7454">
        <v>28</v>
      </c>
      <c r="AC7454">
        <v>37.680500000000002</v>
      </c>
      <c r="AD7454">
        <v>2.0170729999999999</v>
      </c>
      <c r="AE7454">
        <v>22.91403</v>
      </c>
      <c r="AF7454">
        <v>-14.2622961449031</v>
      </c>
      <c r="AG7454">
        <v>2.0170729999999999</v>
      </c>
      <c r="AH7454">
        <v>41.633496797868403</v>
      </c>
      <c r="AI7454">
        <v>87.375767056185794</v>
      </c>
      <c r="AJ7454">
        <v>108.909809678042</v>
      </c>
      <c r="AK7454">
        <v>44.054849113694203</v>
      </c>
      <c r="AL7454">
        <v>87.688018070572994</v>
      </c>
      <c r="AM7454">
        <v>92.714963111119204</v>
      </c>
      <c r="AN7454">
        <v>1.00000006689697</v>
      </c>
    </row>
    <row r="7455" spans="1:40" x14ac:dyDescent="0.25">
      <c r="A7455" t="str">
        <f>"20190312160829600"</f>
        <v>20190312160829600</v>
      </c>
      <c r="B7455" t="str">
        <f>"1552378109592342"</f>
        <v>1552378109592342</v>
      </c>
      <c r="C7455" t="s">
        <v>40</v>
      </c>
      <c r="D7455">
        <v>6.0643449999999897</v>
      </c>
      <c r="E7455">
        <v>0.39042199999999999</v>
      </c>
      <c r="F7455" t="s">
        <v>52</v>
      </c>
      <c r="G7455">
        <v>-168.45060000000001</v>
      </c>
      <c r="H7455">
        <v>3.1012900000000001</v>
      </c>
      <c r="I7455">
        <v>-39.235329999999998</v>
      </c>
      <c r="J7455">
        <v>-206.0213</v>
      </c>
      <c r="K7455">
        <v>1.1147990000000001</v>
      </c>
      <c r="L7455">
        <v>-62.20279</v>
      </c>
      <c r="M7455">
        <v>0.9760067</v>
      </c>
      <c r="N7455">
        <v>0</v>
      </c>
      <c r="O7455">
        <v>0.21726400000000001</v>
      </c>
      <c r="P7455">
        <v>0.96453610000000001</v>
      </c>
      <c r="Q7455">
        <v>2.6701180000000001E-2</v>
      </c>
      <c r="R7455">
        <v>0.26259680000000002</v>
      </c>
      <c r="S7455">
        <v>2.6658629999999999</v>
      </c>
      <c r="T7455">
        <v>0.14054369999999999</v>
      </c>
      <c r="U7455">
        <v>1.6268309999999999</v>
      </c>
      <c r="V7455">
        <v>-4.721943E-2</v>
      </c>
      <c r="W7455">
        <v>4.0518940000000003E-2</v>
      </c>
      <c r="X7455">
        <v>0.99806240000000002</v>
      </c>
      <c r="Y7455">
        <v>-0.3228819</v>
      </c>
      <c r="Z7455">
        <v>2.4903450000000001E-3</v>
      </c>
      <c r="AA7455">
        <v>0.94643600000000006</v>
      </c>
      <c r="AB7455">
        <v>28</v>
      </c>
      <c r="AC7455">
        <v>37.570699999999903</v>
      </c>
      <c r="AD7455">
        <v>1.986491</v>
      </c>
      <c r="AE7455">
        <v>22.967459999999999</v>
      </c>
      <c r="AF7455">
        <v>-14.2261603439438</v>
      </c>
      <c r="AG7455">
        <v>1.986491</v>
      </c>
      <c r="AH7455">
        <v>41.578958779569902</v>
      </c>
      <c r="AI7455">
        <v>87.411782332838399</v>
      </c>
      <c r="AJ7455">
        <v>108.888282827591</v>
      </c>
      <c r="AK7455">
        <v>43.9902216159212</v>
      </c>
      <c r="AL7455">
        <v>87.6778000420274</v>
      </c>
      <c r="AM7455">
        <v>92.708706556058999</v>
      </c>
      <c r="AN7455">
        <v>1.000000006681</v>
      </c>
    </row>
    <row r="7456" spans="1:40" x14ac:dyDescent="0.25">
      <c r="A7456" t="str">
        <f>"20190312160829610"</f>
        <v>20190312160829610</v>
      </c>
      <c r="B7456" t="str">
        <f>"1552378109603079"</f>
        <v>1552378109603079</v>
      </c>
      <c r="C7456" t="s">
        <v>40</v>
      </c>
      <c r="D7456">
        <v>6.5447930000000003</v>
      </c>
      <c r="E7456">
        <v>0.39080579999999998</v>
      </c>
      <c r="F7456" t="s">
        <v>52</v>
      </c>
      <c r="G7456">
        <v>-168.45060000000001</v>
      </c>
      <c r="H7456">
        <v>3.0741399999999999</v>
      </c>
      <c r="I7456">
        <v>-39.19509</v>
      </c>
      <c r="J7456">
        <v>-205.88310000000001</v>
      </c>
      <c r="K7456">
        <v>1.114849</v>
      </c>
      <c r="L7456">
        <v>-62.168460000000003</v>
      </c>
      <c r="M7456">
        <v>0.97525320000000004</v>
      </c>
      <c r="N7456">
        <v>0</v>
      </c>
      <c r="O7456">
        <v>0.2206216</v>
      </c>
      <c r="P7456">
        <v>0.96360389999999996</v>
      </c>
      <c r="Q7456">
        <v>2.6590579999999999E-2</v>
      </c>
      <c r="R7456">
        <v>0.26600839999999998</v>
      </c>
      <c r="S7456">
        <v>2.6625369999999999</v>
      </c>
      <c r="T7456">
        <v>0.138851799999999</v>
      </c>
      <c r="U7456">
        <v>1.630493</v>
      </c>
      <c r="V7456">
        <v>-4.7319109999999998E-2</v>
      </c>
      <c r="W7456">
        <v>4.040697E-2</v>
      </c>
      <c r="X7456">
        <v>0.99806220000000001</v>
      </c>
      <c r="Y7456">
        <v>-0.32110460000000002</v>
      </c>
      <c r="Z7456">
        <v>2.6577559999999998E-3</v>
      </c>
      <c r="AA7456">
        <v>0.94703999999999999</v>
      </c>
      <c r="AB7456">
        <v>28</v>
      </c>
      <c r="AC7456">
        <v>37.432499999999997</v>
      </c>
      <c r="AD7456">
        <v>1.9592909999999999</v>
      </c>
      <c r="AE7456">
        <v>22.973369999999999</v>
      </c>
      <c r="AF7456">
        <v>-14.1198014219518</v>
      </c>
      <c r="AG7456">
        <v>1.9592909999999999</v>
      </c>
      <c r="AH7456">
        <v>41.496315606479399</v>
      </c>
      <c r="AI7456">
        <v>87.440627363762204</v>
      </c>
      <c r="AJ7456">
        <v>108.791713450294</v>
      </c>
      <c r="AK7456">
        <v>43.876552078879001</v>
      </c>
      <c r="AL7456">
        <v>87.684220665947294</v>
      </c>
      <c r="AM7456">
        <v>92.714416623218696</v>
      </c>
      <c r="AN7456">
        <v>0.99999998823230596</v>
      </c>
    </row>
    <row r="7457" spans="1:40" x14ac:dyDescent="0.25">
      <c r="A7457" t="str">
        <f>"20190312160829622"</f>
        <v>20190312160829622</v>
      </c>
      <c r="B7457" t="str">
        <f>"1552378109612838"</f>
        <v>1552378109612838</v>
      </c>
      <c r="C7457" t="s">
        <v>40</v>
      </c>
      <c r="D7457">
        <v>6.059069</v>
      </c>
      <c r="E7457">
        <v>0.3911809</v>
      </c>
      <c r="F7457" t="s">
        <v>52</v>
      </c>
      <c r="G7457">
        <v>-168.45060000000001</v>
      </c>
      <c r="H7457">
        <v>3.0317210000000001</v>
      </c>
      <c r="I7457">
        <v>-39.111719999999998</v>
      </c>
      <c r="J7457">
        <v>-205.75380000000001</v>
      </c>
      <c r="K7457">
        <v>1.1148940000000001</v>
      </c>
      <c r="L7457">
        <v>-62.135770000000001</v>
      </c>
      <c r="M7457">
        <v>0.97452640000000001</v>
      </c>
      <c r="N7457">
        <v>0</v>
      </c>
      <c r="O7457">
        <v>0.22381039999999999</v>
      </c>
      <c r="P7457">
        <v>0.96269420000000006</v>
      </c>
      <c r="Q7457">
        <v>2.6274260000000001E-2</v>
      </c>
      <c r="R7457">
        <v>0.26931359999999999</v>
      </c>
      <c r="S7457">
        <v>2.657654</v>
      </c>
      <c r="T7457">
        <v>0.13609370000000001</v>
      </c>
      <c r="U7457">
        <v>1.6369929999999999</v>
      </c>
      <c r="V7457">
        <v>-4.7478680000000002E-2</v>
      </c>
      <c r="W7457">
        <v>4.0088699999999901E-2</v>
      </c>
      <c r="X7457">
        <v>0.9980675</v>
      </c>
      <c r="Y7457">
        <v>-0.32046970000000002</v>
      </c>
      <c r="Z7457">
        <v>2.764468E-3</v>
      </c>
      <c r="AA7457">
        <v>0.94725470000000001</v>
      </c>
      <c r="AB7457">
        <v>28</v>
      </c>
      <c r="AC7457">
        <v>37.303199999999997</v>
      </c>
      <c r="AD7457">
        <v>1.9168270000000001</v>
      </c>
      <c r="AE7457">
        <v>23.0240499999999</v>
      </c>
      <c r="AF7457">
        <v>-14.063270865018</v>
      </c>
      <c r="AG7457">
        <v>1.9168270000000001</v>
      </c>
      <c r="AH7457">
        <v>41.431058299496897</v>
      </c>
      <c r="AI7457">
        <v>87.491454401966905</v>
      </c>
      <c r="AJ7457">
        <v>108.749158853194</v>
      </c>
      <c r="AK7457">
        <v>43.794776001106698</v>
      </c>
      <c r="AL7457">
        <v>87.702471081724198</v>
      </c>
      <c r="AM7457">
        <v>92.723542006963399</v>
      </c>
      <c r="AN7457">
        <v>1.0000000317392399</v>
      </c>
    </row>
    <row r="7458" spans="1:40" x14ac:dyDescent="0.25">
      <c r="A7458" t="str">
        <f>"20190312160829632"</f>
        <v>20190312160829632</v>
      </c>
      <c r="B7458" t="str">
        <f>"1552378109622598"</f>
        <v>1552378109622598</v>
      </c>
      <c r="C7458" t="s">
        <v>40</v>
      </c>
      <c r="D7458">
        <v>4.6872619999999996</v>
      </c>
      <c r="E7458">
        <v>0.39156370000000001</v>
      </c>
      <c r="F7458" t="s">
        <v>52</v>
      </c>
      <c r="G7458">
        <v>-168.45060000000001</v>
      </c>
      <c r="H7458">
        <v>2.9828079999999999</v>
      </c>
      <c r="I7458">
        <v>-39.029859999999999</v>
      </c>
      <c r="J7458">
        <v>-205.63399999999999</v>
      </c>
      <c r="K7458">
        <v>1.1149359999999999</v>
      </c>
      <c r="L7458">
        <v>-62.105220000000003</v>
      </c>
      <c r="M7458">
        <v>0.97383920000000002</v>
      </c>
      <c r="N7458">
        <v>0</v>
      </c>
      <c r="O7458">
        <v>0.22678139999999999</v>
      </c>
      <c r="P7458">
        <v>0.96187239999999996</v>
      </c>
      <c r="Q7458">
        <v>2.6193620000000001E-2</v>
      </c>
      <c r="R7458">
        <v>0.27224189999999998</v>
      </c>
      <c r="S7458">
        <v>2.6529389999999999</v>
      </c>
      <c r="T7458">
        <v>0.13284109999999999</v>
      </c>
      <c r="U7458">
        <v>1.6432500000000001</v>
      </c>
      <c r="V7458">
        <v>-4.7475009999999998E-2</v>
      </c>
      <c r="W7458">
        <v>4.00077E-2</v>
      </c>
      <c r="X7458">
        <v>0.99807089999999998</v>
      </c>
      <c r="Y7458">
        <v>-0.31995559999999901</v>
      </c>
      <c r="Z7458">
        <v>2.8418739999999999E-3</v>
      </c>
      <c r="AA7458">
        <v>0.9474283</v>
      </c>
      <c r="AB7458">
        <v>28</v>
      </c>
      <c r="AC7458">
        <v>37.183399999999999</v>
      </c>
      <c r="AD7458">
        <v>1.867872</v>
      </c>
      <c r="AE7458">
        <v>23.07536</v>
      </c>
      <c r="AF7458">
        <v>-14.01510961909</v>
      </c>
      <c r="AG7458">
        <v>1.867872</v>
      </c>
      <c r="AH7458">
        <v>41.372639606657998</v>
      </c>
      <c r="AI7458">
        <v>87.551486110540196</v>
      </c>
      <c r="AJ7458">
        <v>108.71396934929101</v>
      </c>
      <c r="AK7458">
        <v>43.721934443319199</v>
      </c>
      <c r="AL7458">
        <v>87.707115709235893</v>
      </c>
      <c r="AM7458">
        <v>92.723322536703805</v>
      </c>
      <c r="AN7458">
        <v>1.0000000070302999</v>
      </c>
    </row>
    <row r="7459" spans="1:40" x14ac:dyDescent="0.25">
      <c r="A7459" t="str">
        <f>"20190312160829642"</f>
        <v>20190312160829642</v>
      </c>
      <c r="B7459" t="str">
        <f>"1552378109632359"</f>
        <v>1552378109632359</v>
      </c>
      <c r="C7459" t="s">
        <v>40</v>
      </c>
      <c r="D7459">
        <v>4.7101139999999999</v>
      </c>
      <c r="E7459">
        <v>0.3918895</v>
      </c>
      <c r="F7459" t="s">
        <v>52</v>
      </c>
      <c r="G7459">
        <v>-168.45060000000001</v>
      </c>
      <c r="H7459">
        <v>2.9472719999999999</v>
      </c>
      <c r="I7459">
        <v>-38.964570000000002</v>
      </c>
      <c r="J7459">
        <v>-205.51349999999999</v>
      </c>
      <c r="K7459">
        <v>1.1149789999999999</v>
      </c>
      <c r="L7459">
        <v>-62.073790000000002</v>
      </c>
      <c r="M7459">
        <v>0.97312480000000001</v>
      </c>
      <c r="N7459">
        <v>0</v>
      </c>
      <c r="O7459">
        <v>0.22982720000000001</v>
      </c>
      <c r="P7459">
        <v>0.96097690000000002</v>
      </c>
      <c r="Q7459">
        <v>2.5884290000000001E-2</v>
      </c>
      <c r="R7459">
        <v>0.27541520000000003</v>
      </c>
      <c r="S7459">
        <v>2.6487880000000001</v>
      </c>
      <c r="T7459">
        <v>0.13052610000000001</v>
      </c>
      <c r="U7459">
        <v>1.6484380000000001</v>
      </c>
      <c r="V7459">
        <v>-4.7646000000000001E-2</v>
      </c>
      <c r="W7459">
        <v>3.9695630000000003E-2</v>
      </c>
      <c r="X7459">
        <v>0.99807520000000005</v>
      </c>
      <c r="Y7459">
        <v>-0.31900040000000002</v>
      </c>
      <c r="Z7459">
        <v>2.9464550000000002E-3</v>
      </c>
      <c r="AA7459">
        <v>0.94774999999999998</v>
      </c>
      <c r="AB7459">
        <v>28</v>
      </c>
      <c r="AC7459">
        <v>37.0628999999999</v>
      </c>
      <c r="AD7459">
        <v>1.8322929999999999</v>
      </c>
      <c r="AE7459">
        <v>23.109220000000001</v>
      </c>
      <c r="AF7459">
        <v>-13.9469978278219</v>
      </c>
      <c r="AG7459">
        <v>1.8322929999999999</v>
      </c>
      <c r="AH7459">
        <v>41.309550293742703</v>
      </c>
      <c r="AI7459">
        <v>87.593580765296494</v>
      </c>
      <c r="AJ7459">
        <v>108.655794935416</v>
      </c>
      <c r="AK7459">
        <v>43.638916021349303</v>
      </c>
      <c r="AL7459">
        <v>87.725010190090899</v>
      </c>
      <c r="AM7459">
        <v>92.733104481650699</v>
      </c>
      <c r="AN7459">
        <v>0.99999999460606803</v>
      </c>
    </row>
    <row r="7460" spans="1:40" x14ac:dyDescent="0.25">
      <c r="A7460" t="str">
        <f>"20190312160829652"</f>
        <v>20190312160829652</v>
      </c>
      <c r="B7460" t="str">
        <f>"1552378109643095"</f>
        <v>1552378109643095</v>
      </c>
      <c r="C7460" t="s">
        <v>40</v>
      </c>
      <c r="D7460">
        <v>6.055561</v>
      </c>
      <c r="E7460">
        <v>0.39217770000000002</v>
      </c>
      <c r="F7460" t="s">
        <v>52</v>
      </c>
      <c r="G7460">
        <v>-168.45060000000001</v>
      </c>
      <c r="H7460">
        <v>2.9089209999999999</v>
      </c>
      <c r="I7460">
        <v>-38.880699999999997</v>
      </c>
      <c r="J7460">
        <v>-205.38929999999999</v>
      </c>
      <c r="K7460">
        <v>1.115027</v>
      </c>
      <c r="L7460">
        <v>-62.041229999999999</v>
      </c>
      <c r="M7460">
        <v>0.97237499999999999</v>
      </c>
      <c r="N7460">
        <v>0</v>
      </c>
      <c r="O7460">
        <v>0.23297889999999999</v>
      </c>
      <c r="P7460">
        <v>0.96008150000000003</v>
      </c>
      <c r="Q7460">
        <v>2.621221E-2</v>
      </c>
      <c r="R7460">
        <v>0.27849020000000002</v>
      </c>
      <c r="S7460">
        <v>2.64418</v>
      </c>
      <c r="T7460">
        <v>0.12798370000000001</v>
      </c>
      <c r="U7460">
        <v>1.654663</v>
      </c>
      <c r="V7460">
        <v>-4.7618239999999999E-2</v>
      </c>
      <c r="W7460">
        <v>4.0023419999999997E-2</v>
      </c>
      <c r="X7460">
        <v>0.99806340000000004</v>
      </c>
      <c r="Y7460">
        <v>-0.31828149999999999</v>
      </c>
      <c r="Z7460">
        <v>3.0395169999999998E-3</v>
      </c>
      <c r="AA7460">
        <v>0.94799140000000004</v>
      </c>
      <c r="AB7460">
        <v>28</v>
      </c>
      <c r="AC7460">
        <v>36.938699999999898</v>
      </c>
      <c r="AD7460">
        <v>1.7938940000000001</v>
      </c>
      <c r="AE7460">
        <v>23.160530000000001</v>
      </c>
      <c r="AF7460">
        <v>-13.8927084783683</v>
      </c>
      <c r="AG7460">
        <v>1.7938940000000001</v>
      </c>
      <c r="AH7460">
        <v>41.2486430609368</v>
      </c>
      <c r="AI7460">
        <v>87.639895660257693</v>
      </c>
      <c r="AJ7460">
        <v>108.613731815609</v>
      </c>
      <c r="AK7460">
        <v>43.562322698826897</v>
      </c>
      <c r="AL7460">
        <v>87.706214191221306</v>
      </c>
      <c r="AM7460">
        <v>92.731546750251795</v>
      </c>
      <c r="AN7460">
        <v>0.99999996067437602</v>
      </c>
    </row>
    <row r="7461" spans="1:40" x14ac:dyDescent="0.25">
      <c r="A7461" t="str">
        <f>"20190312160829664"</f>
        <v>20190312160829664</v>
      </c>
      <c r="B7461" t="str">
        <f>"1552378109652853"</f>
        <v>1552378109652853</v>
      </c>
      <c r="C7461" t="s">
        <v>40</v>
      </c>
      <c r="D7461">
        <v>6.165788</v>
      </c>
      <c r="E7461">
        <v>0.39250679999999999</v>
      </c>
      <c r="F7461" t="s">
        <v>52</v>
      </c>
      <c r="G7461">
        <v>-168.45060000000001</v>
      </c>
      <c r="H7461">
        <v>2.8935110000000002</v>
      </c>
      <c r="I7461">
        <v>-38.797310000000003</v>
      </c>
      <c r="J7461">
        <v>-205.25980000000001</v>
      </c>
      <c r="K7461">
        <v>1.115083</v>
      </c>
      <c r="L7461">
        <v>-62.006469999999901</v>
      </c>
      <c r="M7461">
        <v>0.97156580000000003</v>
      </c>
      <c r="N7461">
        <v>0</v>
      </c>
      <c r="O7461">
        <v>0.23633009999999999</v>
      </c>
      <c r="P7461">
        <v>0.95908760000000004</v>
      </c>
      <c r="Q7461">
        <v>2.597934E-2</v>
      </c>
      <c r="R7461">
        <v>0.28191549999999999</v>
      </c>
      <c r="S7461">
        <v>2.6394959999999998</v>
      </c>
      <c r="T7461">
        <v>0.1270821</v>
      </c>
      <c r="U7461">
        <v>1.66091899999999</v>
      </c>
      <c r="V7461">
        <v>-4.7740520000000002E-2</v>
      </c>
      <c r="W7461">
        <v>3.978901E-2</v>
      </c>
      <c r="X7461">
        <v>0.99806700000000004</v>
      </c>
      <c r="Y7461">
        <v>-0.31738460000000002</v>
      </c>
      <c r="Z7461">
        <v>3.1798629999999998E-3</v>
      </c>
      <c r="AA7461">
        <v>0.94829160000000001</v>
      </c>
      <c r="AB7461">
        <v>28</v>
      </c>
      <c r="AC7461">
        <v>36.809199999999997</v>
      </c>
      <c r="AD7461">
        <v>1.7784279999999999</v>
      </c>
      <c r="AE7461">
        <v>23.209160000000001</v>
      </c>
      <c r="AF7461">
        <v>-13.8284473520907</v>
      </c>
      <c r="AG7461">
        <v>1.7784279999999999</v>
      </c>
      <c r="AH7461">
        <v>41.183085813662302</v>
      </c>
      <c r="AI7461">
        <v>87.655775596324901</v>
      </c>
      <c r="AJ7461">
        <v>108.561009882937</v>
      </c>
      <c r="AK7461">
        <v>43.479136599709598</v>
      </c>
      <c r="AL7461">
        <v>87.719655759577904</v>
      </c>
      <c r="AM7461">
        <v>92.738540626107707</v>
      </c>
      <c r="AN7461">
        <v>1.00000002952782</v>
      </c>
    </row>
    <row r="7462" spans="1:40" x14ac:dyDescent="0.25">
      <c r="A7462" t="str">
        <f>"20190312160829675"</f>
        <v>20190312160829675</v>
      </c>
      <c r="B7462" t="str">
        <f>"1552378109662615"</f>
        <v>1552378109662615</v>
      </c>
      <c r="C7462" t="s">
        <v>40</v>
      </c>
      <c r="D7462">
        <v>4.4575719999999999</v>
      </c>
      <c r="E7462">
        <v>0.39286989999999999</v>
      </c>
      <c r="F7462" t="s">
        <v>52</v>
      </c>
      <c r="G7462">
        <v>-168.45060000000001</v>
      </c>
      <c r="H7462">
        <v>2.8588290000000001</v>
      </c>
      <c r="I7462">
        <v>-38.702970000000001</v>
      </c>
      <c r="J7462">
        <v>-205.1268</v>
      </c>
      <c r="K7462">
        <v>1.1151390000000001</v>
      </c>
      <c r="L7462">
        <v>-61.970579999999998</v>
      </c>
      <c r="M7462">
        <v>0.97071750000000001</v>
      </c>
      <c r="N7462">
        <v>0</v>
      </c>
      <c r="O7462">
        <v>0.2397898</v>
      </c>
      <c r="P7462">
        <v>0.95797719999999997</v>
      </c>
      <c r="Q7462">
        <v>2.6350229999999999E-2</v>
      </c>
      <c r="R7462">
        <v>0.28563149999999998</v>
      </c>
      <c r="S7462">
        <v>2.634369</v>
      </c>
      <c r="T7462">
        <v>0.12479510000000001</v>
      </c>
      <c r="U7462">
        <v>1.667786</v>
      </c>
      <c r="V7462">
        <v>-4.8067249999999999E-2</v>
      </c>
      <c r="W7462">
        <v>4.0154929999999998E-2</v>
      </c>
      <c r="X7462">
        <v>0.99803660000000005</v>
      </c>
      <c r="Y7462">
        <v>-0.3166099</v>
      </c>
      <c r="Z7462">
        <v>3.283598E-3</v>
      </c>
      <c r="AA7462">
        <v>0.94855020000000001</v>
      </c>
      <c r="AB7462">
        <v>27</v>
      </c>
      <c r="AC7462">
        <v>36.676200000000001</v>
      </c>
      <c r="AD7462">
        <v>1.74369</v>
      </c>
      <c r="AE7462">
        <v>23.267610000000001</v>
      </c>
      <c r="AF7462">
        <v>-13.7709405761273</v>
      </c>
      <c r="AG7462">
        <v>1.74369</v>
      </c>
      <c r="AH7462">
        <v>41.119585074080803</v>
      </c>
      <c r="AI7462">
        <v>87.697359899244503</v>
      </c>
      <c r="AJ7462">
        <v>108.51568726068901</v>
      </c>
      <c r="AK7462">
        <v>43.399303402611103</v>
      </c>
      <c r="AL7462">
        <v>87.6986731751756</v>
      </c>
      <c r="AM7462">
        <v>92.757337878448098</v>
      </c>
      <c r="AN7462">
        <v>0.99999996693271298</v>
      </c>
    </row>
    <row r="7463" spans="1:40" x14ac:dyDescent="0.25">
      <c r="A7463" t="str">
        <f>"20190312160829686"</f>
        <v>20190312160829686</v>
      </c>
      <c r="B7463" t="str">
        <f>"1552378109672374"</f>
        <v>1552378109672374</v>
      </c>
      <c r="C7463" t="s">
        <v>40</v>
      </c>
      <c r="D7463">
        <v>9.2545710000000003</v>
      </c>
      <c r="E7463">
        <v>0.39316240000000002</v>
      </c>
      <c r="F7463" t="s">
        <v>52</v>
      </c>
      <c r="G7463">
        <v>-168.45060000000001</v>
      </c>
      <c r="H7463">
        <v>2.8516270000000001</v>
      </c>
      <c r="I7463">
        <v>-38.5976</v>
      </c>
      <c r="J7463">
        <v>-204.99440000000001</v>
      </c>
      <c r="K7463">
        <v>1.1152010000000001</v>
      </c>
      <c r="L7463">
        <v>-61.933929999999997</v>
      </c>
      <c r="M7463">
        <v>0.96984230000000005</v>
      </c>
      <c r="N7463">
        <v>0</v>
      </c>
      <c r="O7463">
        <v>0.24330540000000001</v>
      </c>
      <c r="P7463">
        <v>0.95680399999999999</v>
      </c>
      <c r="Q7463">
        <v>2.6691030000000001E-2</v>
      </c>
      <c r="R7463">
        <v>0.28950589999999998</v>
      </c>
      <c r="S7463">
        <v>2.6286770000000002</v>
      </c>
      <c r="T7463">
        <v>0.1244571</v>
      </c>
      <c r="U7463">
        <v>1.6752009999999999</v>
      </c>
      <c r="V7463">
        <v>-4.8501549999999997E-2</v>
      </c>
      <c r="W7463">
        <v>4.0490350000000001E-2</v>
      </c>
      <c r="X7463">
        <v>0.9980021</v>
      </c>
      <c r="Y7463">
        <v>-0.31600929999999999</v>
      </c>
      <c r="Z7463">
        <v>3.434159E-3</v>
      </c>
      <c r="AA7463">
        <v>0.94874990000000003</v>
      </c>
      <c r="AB7463">
        <v>27</v>
      </c>
      <c r="AC7463">
        <v>36.543799999999997</v>
      </c>
      <c r="AD7463">
        <v>1.73642599999999</v>
      </c>
      <c r="AE7463">
        <v>23.33633</v>
      </c>
      <c r="AF7463">
        <v>-13.7206830496691</v>
      </c>
      <c r="AG7463">
        <v>1.73642599999999</v>
      </c>
      <c r="AH7463">
        <v>41.058015034801301</v>
      </c>
      <c r="AI7463">
        <v>87.703008922626097</v>
      </c>
      <c r="AJ7463">
        <v>108.47849114629901</v>
      </c>
      <c r="AK7463">
        <v>43.324737935744302</v>
      </c>
      <c r="AL7463">
        <v>87.679439528359296</v>
      </c>
      <c r="AM7463">
        <v>92.782308195044095</v>
      </c>
      <c r="AN7463">
        <v>1.0000000301999601</v>
      </c>
    </row>
    <row r="7464" spans="1:40" x14ac:dyDescent="0.25">
      <c r="A7464" t="str">
        <f>"20190312160829698"</f>
        <v>20190312160829698</v>
      </c>
      <c r="B7464" t="str">
        <f>"1552378109692869"</f>
        <v>1552378109692869</v>
      </c>
      <c r="C7464" t="s">
        <v>40</v>
      </c>
      <c r="D7464">
        <v>6.0445279999999997</v>
      </c>
      <c r="E7464">
        <v>0.39346320000000001</v>
      </c>
      <c r="F7464" t="s">
        <v>52</v>
      </c>
      <c r="G7464">
        <v>-168.45060000000001</v>
      </c>
      <c r="H7464">
        <v>2.845758</v>
      </c>
      <c r="I7464">
        <v>-38.474040000000002</v>
      </c>
      <c r="J7464">
        <v>-204.8544</v>
      </c>
      <c r="K7464">
        <v>1.1152629999999999</v>
      </c>
      <c r="L7464">
        <v>-61.894840000000002</v>
      </c>
      <c r="M7464">
        <v>0.96889570000000003</v>
      </c>
      <c r="N7464">
        <v>0</v>
      </c>
      <c r="O7464">
        <v>0.24704760000000001</v>
      </c>
      <c r="P7464">
        <v>0.95552570000000003</v>
      </c>
      <c r="Q7464">
        <v>2.6981370000000001E-2</v>
      </c>
      <c r="R7464">
        <v>0.29367120000000002</v>
      </c>
      <c r="S7464">
        <v>2.6225589999999999</v>
      </c>
      <c r="T7464">
        <v>0.1241916</v>
      </c>
      <c r="U7464">
        <v>1.68359399999999</v>
      </c>
      <c r="V7464">
        <v>-4.9008759999999998E-2</v>
      </c>
      <c r="W7464">
        <v>4.0773839999999999E-2</v>
      </c>
      <c r="X7464">
        <v>0.99796580000000001</v>
      </c>
      <c r="Y7464">
        <v>-0.3155057</v>
      </c>
      <c r="Z7464">
        <v>3.5932379999999999E-3</v>
      </c>
      <c r="AA7464">
        <v>0.94891689999999995</v>
      </c>
      <c r="AB7464">
        <v>27</v>
      </c>
      <c r="AC7464">
        <v>36.403799999999897</v>
      </c>
      <c r="AD7464">
        <v>1.7304949999999999</v>
      </c>
      <c r="AE7464">
        <v>23.4208</v>
      </c>
      <c r="AF7464">
        <v>-13.678409552252701</v>
      </c>
      <c r="AG7464">
        <v>1.7304949999999999</v>
      </c>
      <c r="AH7464">
        <v>40.996301546874001</v>
      </c>
      <c r="AI7464">
        <v>87.707040597942395</v>
      </c>
      <c r="AJ7464">
        <v>108.451268445926</v>
      </c>
      <c r="AK7464">
        <v>43.252632767802801</v>
      </c>
      <c r="AL7464">
        <v>87.663183372769694</v>
      </c>
      <c r="AM7464">
        <v>92.811460130077705</v>
      </c>
      <c r="AN7464">
        <v>1.0000000512773599</v>
      </c>
    </row>
    <row r="7465" spans="1:40" x14ac:dyDescent="0.25">
      <c r="A7465" t="str">
        <f>"20190312160829709"</f>
        <v>20190312160829709</v>
      </c>
      <c r="B7465" t="str">
        <f>"1552378109702630"</f>
        <v>1552378109702630</v>
      </c>
      <c r="C7465" t="s">
        <v>40</v>
      </c>
      <c r="D7465">
        <v>4.353504</v>
      </c>
      <c r="E7465">
        <v>0.4038736</v>
      </c>
      <c r="F7465" t="s">
        <v>52</v>
      </c>
      <c r="G7465">
        <v>-168.45060000000001</v>
      </c>
      <c r="H7465">
        <v>2.826622</v>
      </c>
      <c r="I7465">
        <v>-38.337069999999997</v>
      </c>
      <c r="J7465">
        <v>-204.72630000000001</v>
      </c>
      <c r="K7465">
        <v>1.1153189999999999</v>
      </c>
      <c r="L7465">
        <v>-61.858400000000003</v>
      </c>
      <c r="M7465">
        <v>0.96800359999999996</v>
      </c>
      <c r="N7465">
        <v>0</v>
      </c>
      <c r="O7465">
        <v>0.25052010000000002</v>
      </c>
      <c r="P7465">
        <v>0.95426619999999995</v>
      </c>
      <c r="Q7465">
        <v>2.7054439999999999E-2</v>
      </c>
      <c r="R7465">
        <v>0.297732</v>
      </c>
      <c r="S7465">
        <v>2.6159059999999998</v>
      </c>
      <c r="T7465">
        <v>0.1229731</v>
      </c>
      <c r="U7465">
        <v>1.6928099999999999</v>
      </c>
      <c r="V7465">
        <v>-4.968148E-2</v>
      </c>
      <c r="W7465">
        <v>4.0838149999999997E-2</v>
      </c>
      <c r="X7465">
        <v>0.99792990000000004</v>
      </c>
      <c r="Y7465">
        <v>-0.31556329999999999</v>
      </c>
      <c r="Z7465">
        <v>3.7002089999999999E-3</v>
      </c>
      <c r="AA7465">
        <v>0.94889730000000005</v>
      </c>
      <c r="AB7465">
        <v>27</v>
      </c>
      <c r="AC7465">
        <v>36.275700000000001</v>
      </c>
      <c r="AD7465">
        <v>1.71130299999999</v>
      </c>
      <c r="AE7465">
        <v>23.521329999999999</v>
      </c>
      <c r="AF7465">
        <v>-13.660964551498299</v>
      </c>
      <c r="AG7465">
        <v>1.71130299999999</v>
      </c>
      <c r="AH7465">
        <v>40.947698878213401</v>
      </c>
      <c r="AI7465">
        <v>87.729734816950099</v>
      </c>
      <c r="AJ7465">
        <v>108.44972136580201</v>
      </c>
      <c r="AK7465">
        <v>43.200284187212702</v>
      </c>
      <c r="AL7465">
        <v>87.659495594236006</v>
      </c>
      <c r="AM7465">
        <v>92.850090872091798</v>
      </c>
      <c r="AN7465">
        <v>1.0000000446322099</v>
      </c>
    </row>
    <row r="7466" spans="1:40" x14ac:dyDescent="0.25">
      <c r="A7466" t="str">
        <f>"20190312160829720"</f>
        <v>20190312160829720</v>
      </c>
      <c r="B7466" t="str">
        <f>"1552378109712390"</f>
        <v>1552378109712390</v>
      </c>
      <c r="C7466" t="s">
        <v>40</v>
      </c>
      <c r="D7466">
        <v>4.4178430000000004</v>
      </c>
      <c r="E7466">
        <v>0.4048467</v>
      </c>
      <c r="F7466" t="s">
        <v>52</v>
      </c>
      <c r="G7466">
        <v>-168.45060000000001</v>
      </c>
      <c r="H7466">
        <v>2.1869999999999998</v>
      </c>
      <c r="I7466">
        <v>-39.483110000000003</v>
      </c>
      <c r="J7466">
        <v>-204.60290000000001</v>
      </c>
      <c r="K7466">
        <v>1.1153759999999999</v>
      </c>
      <c r="L7466">
        <v>-61.822780000000002</v>
      </c>
      <c r="M7466">
        <v>0.96712120000000001</v>
      </c>
      <c r="N7466">
        <v>0</v>
      </c>
      <c r="O7466">
        <v>0.25390449999999998</v>
      </c>
      <c r="P7466">
        <v>0.95303870000000002</v>
      </c>
      <c r="Q7466">
        <v>2.7247960000000002E-2</v>
      </c>
      <c r="R7466">
        <v>0.3016202</v>
      </c>
      <c r="S7466">
        <v>2.6345670000000001</v>
      </c>
      <c r="T7466">
        <v>7.7830670000000005E-2</v>
      </c>
      <c r="U7466">
        <v>1.6250309999999999</v>
      </c>
      <c r="V7466">
        <v>-5.0269250000000001E-2</v>
      </c>
      <c r="W7466">
        <v>4.102397E-2</v>
      </c>
      <c r="X7466">
        <v>0.99789280000000002</v>
      </c>
      <c r="Y7466">
        <v>-0.29163270000000002</v>
      </c>
      <c r="Z7466">
        <v>2.7593409999999998E-3</v>
      </c>
      <c r="AA7466">
        <v>0.9565264</v>
      </c>
      <c r="AB7466">
        <v>27</v>
      </c>
      <c r="AC7466">
        <v>36.152299999999997</v>
      </c>
      <c r="AD7466">
        <v>1.0716239999999999</v>
      </c>
      <c r="AE7466">
        <v>22.339670000000002</v>
      </c>
      <c r="AF7466">
        <v>-12.4193392262095</v>
      </c>
      <c r="AG7466">
        <v>1.0716239999999999</v>
      </c>
      <c r="AH7466">
        <v>40.614222840327102</v>
      </c>
      <c r="AI7466">
        <v>88.554613016592597</v>
      </c>
      <c r="AJ7466">
        <v>107.002999787828</v>
      </c>
      <c r="AK7466">
        <v>42.4841554198361</v>
      </c>
      <c r="AL7466">
        <v>87.648839862834393</v>
      </c>
      <c r="AM7466">
        <v>92.883860080768997</v>
      </c>
      <c r="AN7466">
        <v>1.00000000195098</v>
      </c>
    </row>
    <row r="7467" spans="1:40" x14ac:dyDescent="0.25">
      <c r="A7467" t="str">
        <f>"20190312160829730"</f>
        <v>20190312160829730</v>
      </c>
      <c r="B7467" t="str">
        <f>"1552378109723126"</f>
        <v>1552378109723126</v>
      </c>
      <c r="C7467" t="s">
        <v>40</v>
      </c>
      <c r="D7467">
        <v>6.4574889999999998</v>
      </c>
      <c r="E7467">
        <v>0.40552100000000002</v>
      </c>
      <c r="F7467" t="s">
        <v>52</v>
      </c>
      <c r="G7467">
        <v>-168.45060000000001</v>
      </c>
      <c r="H7467">
        <v>2.1950750000000001</v>
      </c>
      <c r="I7467">
        <v>-39.44144</v>
      </c>
      <c r="J7467">
        <v>-204.46969999999999</v>
      </c>
      <c r="K7467">
        <v>1.115432</v>
      </c>
      <c r="L7467">
        <v>-61.783909999999999</v>
      </c>
      <c r="M7467">
        <v>0.96614619999999996</v>
      </c>
      <c r="N7467">
        <v>0</v>
      </c>
      <c r="O7467">
        <v>0.25758979999999998</v>
      </c>
      <c r="P7467">
        <v>0.95171269999999997</v>
      </c>
      <c r="Q7467">
        <v>2.7104710000000001E-2</v>
      </c>
      <c r="R7467">
        <v>0.30579149999999999</v>
      </c>
      <c r="S7467">
        <v>2.6302189999999999</v>
      </c>
      <c r="T7467">
        <v>7.8550700000000001E-2</v>
      </c>
      <c r="U7467">
        <v>1.6283259999999999</v>
      </c>
      <c r="V7467">
        <v>-5.0838170000000002E-2</v>
      </c>
      <c r="W7467">
        <v>4.0873420000000001E-2</v>
      </c>
      <c r="X7467">
        <v>0.99787009999999998</v>
      </c>
      <c r="Y7467">
        <v>-0.28955999999999998</v>
      </c>
      <c r="Z7467">
        <v>2.9110500000000001E-3</v>
      </c>
      <c r="AA7467">
        <v>0.95715550000000005</v>
      </c>
      <c r="AB7467">
        <v>27</v>
      </c>
      <c r="AC7467">
        <v>36.019099999999902</v>
      </c>
      <c r="AD7467">
        <v>1.0796429999999999</v>
      </c>
      <c r="AE7467">
        <v>22.342469999999999</v>
      </c>
      <c r="AF7467">
        <v>-12.3012450146815</v>
      </c>
      <c r="AG7467">
        <v>1.0796429999999999</v>
      </c>
      <c r="AH7467">
        <v>40.532849769571499</v>
      </c>
      <c r="AI7467">
        <v>88.539944310594805</v>
      </c>
      <c r="AJ7467">
        <v>106.88242915053</v>
      </c>
      <c r="AK7467">
        <v>42.3721390581279</v>
      </c>
      <c r="AL7467">
        <v>87.657472852863293</v>
      </c>
      <c r="AM7467">
        <v>92.916508236678098</v>
      </c>
      <c r="AN7467">
        <v>0.99999994623272603</v>
      </c>
    </row>
    <row r="7468" spans="1:40" x14ac:dyDescent="0.25">
      <c r="A7468" t="str">
        <f>"20190312160829745"</f>
        <v>20190312160829745</v>
      </c>
      <c r="B7468" t="str">
        <f>"1552378109732886"</f>
        <v>1552378109732886</v>
      </c>
      <c r="C7468" t="s">
        <v>40</v>
      </c>
      <c r="D7468">
        <v>4.9172019999999996</v>
      </c>
      <c r="E7468">
        <v>0.40537410000000001</v>
      </c>
      <c r="F7468" t="s">
        <v>52</v>
      </c>
      <c r="G7468">
        <v>-168.45060000000001</v>
      </c>
      <c r="H7468">
        <v>2.13794</v>
      </c>
      <c r="I7468">
        <v>-39.350900000000003</v>
      </c>
      <c r="J7468">
        <v>-204.32</v>
      </c>
      <c r="K7468">
        <v>1.1154949999999999</v>
      </c>
      <c r="L7468">
        <v>-61.739229999999999</v>
      </c>
      <c r="M7468">
        <v>0.96501199999999998</v>
      </c>
      <c r="N7468">
        <v>0</v>
      </c>
      <c r="O7468">
        <v>0.2618066</v>
      </c>
      <c r="P7468">
        <v>0.95021529999999998</v>
      </c>
      <c r="Q7468">
        <v>2.69042E-2</v>
      </c>
      <c r="R7468">
        <v>0.3104307</v>
      </c>
      <c r="S7468">
        <v>2.6248320000000001</v>
      </c>
      <c r="T7468">
        <v>7.4511999999999995E-2</v>
      </c>
      <c r="U7468">
        <v>1.6347659999999999</v>
      </c>
      <c r="V7468">
        <v>-5.1351059999999997E-2</v>
      </c>
      <c r="W7468">
        <v>4.066616E-2</v>
      </c>
      <c r="X7468">
        <v>0.99785239999999997</v>
      </c>
      <c r="Y7468">
        <v>-0.2879545</v>
      </c>
      <c r="Z7468">
        <v>2.888042E-3</v>
      </c>
      <c r="AA7468">
        <v>0.95763980000000004</v>
      </c>
      <c r="AB7468">
        <v>27</v>
      </c>
      <c r="AC7468">
        <v>35.869399999999899</v>
      </c>
      <c r="AD7468">
        <v>1.0224449999999901</v>
      </c>
      <c r="AE7468">
        <v>22.38833</v>
      </c>
      <c r="AF7468">
        <v>-12.208300464647399</v>
      </c>
      <c r="AG7468">
        <v>1.0224449999999901</v>
      </c>
      <c r="AH7468">
        <v>40.456391597862201</v>
      </c>
      <c r="AI7468">
        <v>88.613991008070002</v>
      </c>
      <c r="AJ7468">
        <v>106.7919469512</v>
      </c>
      <c r="AK7468">
        <v>42.2706472050371</v>
      </c>
      <c r="AL7468">
        <v>87.669358077174394</v>
      </c>
      <c r="AM7468">
        <v>92.945932546038904</v>
      </c>
      <c r="AN7468">
        <v>1.0000000400590101</v>
      </c>
    </row>
    <row r="7469" spans="1:40" x14ac:dyDescent="0.25">
      <c r="A7469" t="str">
        <f>"20190312160829756"</f>
        <v>20190312160829756</v>
      </c>
      <c r="B7469" t="str">
        <f>"1552378109742645"</f>
        <v>1552378109742645</v>
      </c>
      <c r="C7469" t="s">
        <v>40</v>
      </c>
      <c r="D7469">
        <v>4.4894619999999996</v>
      </c>
      <c r="E7469">
        <v>0.40562759999999998</v>
      </c>
      <c r="F7469" t="s">
        <v>52</v>
      </c>
      <c r="G7469">
        <v>-168.45060000000001</v>
      </c>
      <c r="H7469">
        <v>2.147983</v>
      </c>
      <c r="I7469">
        <v>-39.138280000000002</v>
      </c>
      <c r="J7469">
        <v>-204.18989999999999</v>
      </c>
      <c r="K7469">
        <v>1.11555</v>
      </c>
      <c r="L7469">
        <v>-61.700069999999997</v>
      </c>
      <c r="M7469">
        <v>0.9640031</v>
      </c>
      <c r="N7469">
        <v>0</v>
      </c>
      <c r="O7469">
        <v>0.26549650000000002</v>
      </c>
      <c r="P7469">
        <v>0.9489377</v>
      </c>
      <c r="Q7469">
        <v>2.6765239999999999E-2</v>
      </c>
      <c r="R7469">
        <v>0.3143262</v>
      </c>
      <c r="S7469">
        <v>2.6164399999999999</v>
      </c>
      <c r="T7469">
        <v>7.5311660000000002E-2</v>
      </c>
      <c r="U7469">
        <v>1.64859</v>
      </c>
      <c r="V7469">
        <v>-5.1629710000000002E-2</v>
      </c>
      <c r="W7469">
        <v>4.052323E-2</v>
      </c>
      <c r="X7469">
        <v>0.99784379999999995</v>
      </c>
      <c r="Y7469">
        <v>-0.28929880000000002</v>
      </c>
      <c r="Z7469">
        <v>2.995443E-3</v>
      </c>
      <c r="AA7469">
        <v>0.95723409999999998</v>
      </c>
      <c r="AB7469">
        <v>27</v>
      </c>
      <c r="AC7469">
        <v>35.739299999999901</v>
      </c>
      <c r="AD7469">
        <v>1.0324329999999999</v>
      </c>
      <c r="AE7469">
        <v>22.561789999999899</v>
      </c>
      <c r="AF7469">
        <v>-12.254949164012499</v>
      </c>
      <c r="AG7469">
        <v>1.0324329999999999</v>
      </c>
      <c r="AH7469">
        <v>40.4229912832986</v>
      </c>
      <c r="AI7469">
        <v>88.599845257803807</v>
      </c>
      <c r="AJ7469">
        <v>106.86561369089399</v>
      </c>
      <c r="AK7469">
        <v>42.2524309502028</v>
      </c>
      <c r="AL7469">
        <v>87.677554035235502</v>
      </c>
      <c r="AM7469">
        <v>92.961915368613603</v>
      </c>
      <c r="AN7469">
        <v>1.0000000041613699</v>
      </c>
    </row>
    <row r="7470" spans="1:40" x14ac:dyDescent="0.25">
      <c r="A7470" t="str">
        <f>"20190312160829769"</f>
        <v>20190312160829769</v>
      </c>
      <c r="B7470" t="str">
        <f>"1552378109763142"</f>
        <v>1552378109763142</v>
      </c>
      <c r="C7470" t="s">
        <v>40</v>
      </c>
      <c r="D7470">
        <v>4.4469519999999996</v>
      </c>
      <c r="E7470">
        <v>0.40655210000000003</v>
      </c>
      <c r="F7470" t="s">
        <v>52</v>
      </c>
      <c r="G7470">
        <v>-168.45060000000001</v>
      </c>
      <c r="H7470">
        <v>2.1625839999999998</v>
      </c>
      <c r="I7470">
        <v>-39.005209999999998</v>
      </c>
      <c r="J7470">
        <v>-204.024</v>
      </c>
      <c r="K7470">
        <v>1.1156200000000001</v>
      </c>
      <c r="L7470">
        <v>-61.648960000000002</v>
      </c>
      <c r="M7470">
        <v>0.962669</v>
      </c>
      <c r="N7470">
        <v>0</v>
      </c>
      <c r="O7470">
        <v>0.27029370000000003</v>
      </c>
      <c r="P7470">
        <v>0.94740500000000005</v>
      </c>
      <c r="Q7470">
        <v>2.6740340000000001E-2</v>
      </c>
      <c r="R7470">
        <v>0.31891819999999999</v>
      </c>
      <c r="S7470">
        <v>2.6102449999999999</v>
      </c>
      <c r="T7470">
        <v>7.6469179999999998E-2</v>
      </c>
      <c r="U7470">
        <v>1.657532</v>
      </c>
      <c r="V7470">
        <v>-5.1500339999999999E-2</v>
      </c>
      <c r="W7470">
        <v>4.0501309999999999E-2</v>
      </c>
      <c r="X7470">
        <v>0.99785140000000006</v>
      </c>
      <c r="Y7470">
        <v>-0.28789749999999997</v>
      </c>
      <c r="Z7470">
        <v>3.183225E-3</v>
      </c>
      <c r="AA7470">
        <v>0.95765599999999995</v>
      </c>
      <c r="AB7470">
        <v>27</v>
      </c>
      <c r="AC7470">
        <v>35.5733999999999</v>
      </c>
      <c r="AD7470">
        <v>1.04696399999999</v>
      </c>
      <c r="AE7470">
        <v>22.643750000000001</v>
      </c>
      <c r="AF7470">
        <v>-12.176941750825501</v>
      </c>
      <c r="AG7470">
        <v>1.04696399999999</v>
      </c>
      <c r="AH7470">
        <v>40.345235770508602</v>
      </c>
      <c r="AI7470">
        <v>88.576879659764302</v>
      </c>
      <c r="AJ7470">
        <v>106.794789837369</v>
      </c>
      <c r="AK7470">
        <v>42.155807350805397</v>
      </c>
      <c r="AL7470">
        <v>87.678811047864201</v>
      </c>
      <c r="AM7470">
        <v>92.954484318143997</v>
      </c>
      <c r="AN7470">
        <v>1.00000002880689</v>
      </c>
    </row>
    <row r="7471" spans="1:40" x14ac:dyDescent="0.25">
      <c r="A7471" t="str">
        <f>"20190312160829783"</f>
        <v>20190312160829783</v>
      </c>
      <c r="B7471" t="str">
        <f>"1552378109772902"</f>
        <v>1552378109772902</v>
      </c>
      <c r="C7471" t="s">
        <v>40</v>
      </c>
      <c r="D7471">
        <v>4.5616570000000003</v>
      </c>
      <c r="E7471">
        <v>0.406976</v>
      </c>
      <c r="F7471" t="s">
        <v>52</v>
      </c>
      <c r="G7471">
        <v>-168.45060000000001</v>
      </c>
      <c r="H7471">
        <v>2.1079539999999999</v>
      </c>
      <c r="I7471">
        <v>-38.935290000000002</v>
      </c>
      <c r="J7471">
        <v>-203.8689</v>
      </c>
      <c r="K7471">
        <v>1.1156870000000001</v>
      </c>
      <c r="L7471">
        <v>-61.60031</v>
      </c>
      <c r="M7471">
        <v>0.96138000000000001</v>
      </c>
      <c r="N7471">
        <v>0</v>
      </c>
      <c r="O7471">
        <v>0.27484239999999999</v>
      </c>
      <c r="P7471">
        <v>0.94588850000000002</v>
      </c>
      <c r="Q7471">
        <v>2.6714789999999999E-2</v>
      </c>
      <c r="R7471">
        <v>0.32339030000000002</v>
      </c>
      <c r="S7471">
        <v>2.6046749999999999</v>
      </c>
      <c r="T7471">
        <v>7.2656750000000006E-2</v>
      </c>
      <c r="U7471">
        <v>1.6630860000000001</v>
      </c>
      <c r="V7471">
        <v>-5.1502289999999999E-2</v>
      </c>
      <c r="W7471">
        <v>4.0477489999999998E-2</v>
      </c>
      <c r="X7471">
        <v>0.99785230000000003</v>
      </c>
      <c r="Y7471">
        <v>-0.28574919999999998</v>
      </c>
      <c r="Z7471">
        <v>3.1635280000000001E-3</v>
      </c>
      <c r="AA7471">
        <v>0.95829920000000002</v>
      </c>
      <c r="AB7471">
        <v>27</v>
      </c>
      <c r="AC7471">
        <v>35.418299999999903</v>
      </c>
      <c r="AD7471">
        <v>0.99226699999999901</v>
      </c>
      <c r="AE7471">
        <v>22.665019999999998</v>
      </c>
      <c r="AF7471">
        <v>-12.049803366122999</v>
      </c>
      <c r="AG7471">
        <v>0.99226699999999901</v>
      </c>
      <c r="AH7471">
        <v>40.2615672982691</v>
      </c>
      <c r="AI7471">
        <v>88.647455397602002</v>
      </c>
      <c r="AJ7471">
        <v>106.66180990250101</v>
      </c>
      <c r="AK7471">
        <v>42.037794379279298</v>
      </c>
      <c r="AL7471">
        <v>87.680177032381394</v>
      </c>
      <c r="AM7471">
        <v>92.954593327880602</v>
      </c>
      <c r="AN7471">
        <v>1.0000000628436101</v>
      </c>
    </row>
    <row r="7472" spans="1:40" x14ac:dyDescent="0.25">
      <c r="A7472" t="str">
        <f>"20190312160829798"</f>
        <v>20190312160829798</v>
      </c>
      <c r="B7472" t="str">
        <f>"1552378109782661"</f>
        <v>1552378109782661</v>
      </c>
      <c r="C7472" t="s">
        <v>40</v>
      </c>
      <c r="D7472">
        <v>4.912318</v>
      </c>
      <c r="E7472">
        <v>0.40749600000000002</v>
      </c>
      <c r="F7472" t="s">
        <v>52</v>
      </c>
      <c r="G7472">
        <v>-168.45060000000001</v>
      </c>
      <c r="H7472">
        <v>2.0721120000000002</v>
      </c>
      <c r="I7472">
        <v>-38.799950000000003</v>
      </c>
      <c r="J7472">
        <v>-203.69880000000001</v>
      </c>
      <c r="K7472">
        <v>1.1157570000000001</v>
      </c>
      <c r="L7472">
        <v>-61.546080000000003</v>
      </c>
      <c r="M7472">
        <v>0.95992180000000005</v>
      </c>
      <c r="N7472">
        <v>0</v>
      </c>
      <c r="O7472">
        <v>0.27989239999999999</v>
      </c>
      <c r="P7472">
        <v>0.94422859999999997</v>
      </c>
      <c r="Q7472">
        <v>2.6716799999999999E-2</v>
      </c>
      <c r="R7472">
        <v>0.32820480000000002</v>
      </c>
      <c r="S7472">
        <v>2.5978699999999999</v>
      </c>
      <c r="T7472">
        <v>7.0150489999999996E-2</v>
      </c>
      <c r="U7472">
        <v>1.672363</v>
      </c>
      <c r="V7472">
        <v>-5.134764E-2</v>
      </c>
      <c r="W7472">
        <v>4.0483199999999997E-2</v>
      </c>
      <c r="X7472">
        <v>0.99785999999999997</v>
      </c>
      <c r="Y7472">
        <v>-0.28427429999999998</v>
      </c>
      <c r="Z7472">
        <v>3.1917600000000001E-3</v>
      </c>
      <c r="AA7472">
        <v>0.95873770000000003</v>
      </c>
      <c r="AB7472">
        <v>27</v>
      </c>
      <c r="AC7472">
        <v>35.248199999999997</v>
      </c>
      <c r="AD7472">
        <v>0.95635499999999896</v>
      </c>
      <c r="AE7472">
        <v>22.746129999999901</v>
      </c>
      <c r="AF7472">
        <v>-11.9638441195303</v>
      </c>
      <c r="AG7472">
        <v>0.95635499999999896</v>
      </c>
      <c r="AH7472">
        <v>40.1853289444308</v>
      </c>
      <c r="AI7472">
        <v>88.693354598808398</v>
      </c>
      <c r="AJ7472">
        <v>106.579148203252</v>
      </c>
      <c r="AK7472">
        <v>41.939347197763503</v>
      </c>
      <c r="AL7472">
        <v>87.679849516359198</v>
      </c>
      <c r="AM7472">
        <v>92.945714295291097</v>
      </c>
      <c r="AN7472">
        <v>1.0000000246078999</v>
      </c>
    </row>
    <row r="7473" spans="1:40" x14ac:dyDescent="0.25">
      <c r="A7473" t="str">
        <f>"20190312160829809"</f>
        <v>20190312160829809</v>
      </c>
      <c r="B7473" t="str">
        <f>"1552378109803158"</f>
        <v>1552378109803158</v>
      </c>
      <c r="C7473" t="s">
        <v>40</v>
      </c>
      <c r="D7473">
        <v>4.5670999999999999</v>
      </c>
      <c r="E7473">
        <v>0.40799669999999999</v>
      </c>
      <c r="F7473" t="s">
        <v>52</v>
      </c>
      <c r="G7473">
        <v>-168.45060000000001</v>
      </c>
      <c r="H7473">
        <v>2.0577459999999999</v>
      </c>
      <c r="I7473">
        <v>-38.667169999999999</v>
      </c>
      <c r="J7473">
        <v>-203.57140000000001</v>
      </c>
      <c r="K7473">
        <v>1.115812</v>
      </c>
      <c r="L7473">
        <v>-61.504730000000002</v>
      </c>
      <c r="M7473">
        <v>0.95879479999999995</v>
      </c>
      <c r="N7473">
        <v>0</v>
      </c>
      <c r="O7473">
        <v>0.28372849999999999</v>
      </c>
      <c r="P7473">
        <v>0.94291170000000002</v>
      </c>
      <c r="Q7473">
        <v>2.6891269999999998E-2</v>
      </c>
      <c r="R7473">
        <v>0.33195580000000002</v>
      </c>
      <c r="S7473">
        <v>2.5907140000000002</v>
      </c>
      <c r="T7473">
        <v>6.9233890000000006E-2</v>
      </c>
      <c r="U7473">
        <v>1.6815800000000001</v>
      </c>
      <c r="V7473">
        <v>-5.1333950000000003E-2</v>
      </c>
      <c r="W7473">
        <v>4.065949E-2</v>
      </c>
      <c r="X7473">
        <v>0.99785349999999995</v>
      </c>
      <c r="Y7473">
        <v>-0.28404960000000001</v>
      </c>
      <c r="Z7473">
        <v>3.243316E-3</v>
      </c>
      <c r="AA7473">
        <v>0.95880410000000005</v>
      </c>
      <c r="AB7473">
        <v>27</v>
      </c>
      <c r="AC7473">
        <v>35.120800000000003</v>
      </c>
      <c r="AD7473">
        <v>0.94193399999999905</v>
      </c>
      <c r="AE7473">
        <v>22.83756</v>
      </c>
      <c r="AF7473">
        <v>-11.926989298896901</v>
      </c>
      <c r="AG7473">
        <v>0.94193399999999905</v>
      </c>
      <c r="AH7473">
        <v>40.137246181602997</v>
      </c>
      <c r="AI7473">
        <v>88.711312130240998</v>
      </c>
      <c r="AJ7473">
        <v>106.54958789373499</v>
      </c>
      <c r="AK7473">
        <v>41.882440765062398</v>
      </c>
      <c r="AL7473">
        <v>87.669740434983197</v>
      </c>
      <c r="AM7473">
        <v>92.944949458717602</v>
      </c>
      <c r="AN7473">
        <v>0.99999998800595602</v>
      </c>
    </row>
    <row r="7474" spans="1:40" x14ac:dyDescent="0.25">
      <c r="A7474" t="str">
        <f>"20190312160829820"</f>
        <v>20190312160829820</v>
      </c>
      <c r="B7474" t="str">
        <f>"1552378109812918"</f>
        <v>1552378109812918</v>
      </c>
      <c r="C7474" t="s">
        <v>40</v>
      </c>
      <c r="D7474">
        <v>6.021547</v>
      </c>
      <c r="E7474">
        <v>0.38913399999999998</v>
      </c>
      <c r="F7474" t="s">
        <v>52</v>
      </c>
      <c r="G7474">
        <v>-168.45060000000001</v>
      </c>
      <c r="H7474">
        <v>2.061607</v>
      </c>
      <c r="I7474">
        <v>-38.573120000000003</v>
      </c>
      <c r="J7474">
        <v>-203.4408</v>
      </c>
      <c r="K7474">
        <v>1.115875</v>
      </c>
      <c r="L7474">
        <v>-61.461640000000003</v>
      </c>
      <c r="M7474">
        <v>0.95760769999999995</v>
      </c>
      <c r="N7474">
        <v>0</v>
      </c>
      <c r="O7474">
        <v>0.28770869999999998</v>
      </c>
      <c r="P7474">
        <v>0.94143299999999996</v>
      </c>
      <c r="Q7474">
        <v>2.6789670000000002E-2</v>
      </c>
      <c r="R7474">
        <v>0.3361343</v>
      </c>
      <c r="S7474">
        <v>2.5853730000000001</v>
      </c>
      <c r="T7474">
        <v>6.9621920000000004E-2</v>
      </c>
      <c r="U7474">
        <v>1.68808</v>
      </c>
      <c r="V7474">
        <v>-5.1617749999999997E-2</v>
      </c>
      <c r="W7474">
        <v>4.0555140000000003E-2</v>
      </c>
      <c r="X7474">
        <v>0.99784309999999998</v>
      </c>
      <c r="Y7474">
        <v>-0.28266380000000002</v>
      </c>
      <c r="Z7474">
        <v>3.3720209999999998E-3</v>
      </c>
      <c r="AA7474">
        <v>0.95921310000000004</v>
      </c>
      <c r="AB7474">
        <v>27</v>
      </c>
      <c r="AC7474">
        <v>34.990199999999902</v>
      </c>
      <c r="AD7474">
        <v>0.94573200000000002</v>
      </c>
      <c r="AE7474">
        <v>22.88852</v>
      </c>
      <c r="AF7474">
        <v>-11.846428868181899</v>
      </c>
      <c r="AG7474">
        <v>0.94573200000000002</v>
      </c>
      <c r="AH7474">
        <v>40.0758421086826</v>
      </c>
      <c r="AI7474">
        <v>88.703587039223606</v>
      </c>
      <c r="AJ7474">
        <v>106.46769242083801</v>
      </c>
      <c r="AK7474">
        <v>41.800782369051198</v>
      </c>
      <c r="AL7474">
        <v>87.675724170849094</v>
      </c>
      <c r="AM7474">
        <v>92.961232537165699</v>
      </c>
      <c r="AN7474">
        <v>0.99999998185654504</v>
      </c>
    </row>
    <row r="7475" spans="1:40" x14ac:dyDescent="0.25">
      <c r="A7475" t="str">
        <f>"20190312160829830"</f>
        <v>20190312160829830</v>
      </c>
      <c r="B7475" t="str">
        <f>"1552378109822678"</f>
        <v>1552378109822678</v>
      </c>
      <c r="C7475" t="s">
        <v>40</v>
      </c>
      <c r="D7475">
        <v>6.3177979999999998</v>
      </c>
      <c r="E7475">
        <v>0.38494640000000002</v>
      </c>
      <c r="F7475" t="s">
        <v>50</v>
      </c>
      <c r="G7475">
        <v>-150.18190000000001</v>
      </c>
      <c r="H7475">
        <v>4.6040269999999897</v>
      </c>
      <c r="I7475">
        <v>-22.650010000000002</v>
      </c>
      <c r="J7475">
        <v>-203.3245</v>
      </c>
      <c r="K7475">
        <v>1.1159250000000001</v>
      </c>
      <c r="L7475">
        <v>-61.422820000000002</v>
      </c>
      <c r="M7475">
        <v>0.95652740000000003</v>
      </c>
      <c r="N7475">
        <v>0</v>
      </c>
      <c r="O7475">
        <v>0.29128009999999999</v>
      </c>
      <c r="P7475">
        <v>0.94012070000000003</v>
      </c>
      <c r="Q7475">
        <v>2.669405E-2</v>
      </c>
      <c r="R7475">
        <v>0.33979480000000001</v>
      </c>
      <c r="S7475">
        <v>2.5249630000000001</v>
      </c>
      <c r="T7475">
        <v>0.16537019999999999</v>
      </c>
      <c r="U7475">
        <v>1.8400270000000001</v>
      </c>
      <c r="V7475">
        <v>-5.1779720000000001E-2</v>
      </c>
      <c r="W7475">
        <v>4.0458429999999997E-2</v>
      </c>
      <c r="X7475">
        <v>0.99783869999999997</v>
      </c>
      <c r="Y7475">
        <v>-0.3279127</v>
      </c>
      <c r="Z7475">
        <v>6.8762290000000002E-3</v>
      </c>
      <c r="AA7475">
        <v>0.94468300000000005</v>
      </c>
      <c r="AB7475">
        <v>27</v>
      </c>
      <c r="AC7475">
        <v>53.142599999999902</v>
      </c>
      <c r="AD7475">
        <v>3.488102</v>
      </c>
      <c r="AE7475">
        <v>38.7728099999999</v>
      </c>
      <c r="AF7475">
        <v>-21.549568322084902</v>
      </c>
      <c r="AG7475">
        <v>3.488102</v>
      </c>
      <c r="AH7475">
        <v>61.958464825972698</v>
      </c>
      <c r="AI7475">
        <v>86.956274659182199</v>
      </c>
      <c r="AJ7475">
        <v>109.17801639755599</v>
      </c>
      <c r="AK7475">
        <v>65.691720285146303</v>
      </c>
      <c r="AL7475">
        <v>87.681269949787705</v>
      </c>
      <c r="AM7475">
        <v>92.970520971272407</v>
      </c>
      <c r="AN7475">
        <v>1.0000000475895101</v>
      </c>
    </row>
    <row r="7476" spans="1:40" x14ac:dyDescent="0.25">
      <c r="A7476" t="str">
        <f>"20190312160829842"</f>
        <v>20190312160829842</v>
      </c>
      <c r="B7476" t="str">
        <f>"1552378109832438"</f>
        <v>1552378109832438</v>
      </c>
      <c r="C7476" t="s">
        <v>40</v>
      </c>
      <c r="D7476">
        <v>6.9686279999999998</v>
      </c>
      <c r="E7476">
        <v>0.38494640000000002</v>
      </c>
      <c r="F7476" t="s">
        <v>50</v>
      </c>
      <c r="G7476">
        <v>-151.66290000000001</v>
      </c>
      <c r="H7476">
        <v>3.9851350000000001</v>
      </c>
      <c r="I7476">
        <v>-22.650010000000002</v>
      </c>
      <c r="J7476">
        <v>-203.19970000000001</v>
      </c>
      <c r="K7476">
        <v>1.115982</v>
      </c>
      <c r="L7476">
        <v>-61.380429999999997</v>
      </c>
      <c r="M7476">
        <v>0.95533389999999996</v>
      </c>
      <c r="N7476">
        <v>0</v>
      </c>
      <c r="O7476">
        <v>0.2951704</v>
      </c>
      <c r="P7476">
        <v>0.93854280000000001</v>
      </c>
      <c r="Q7476">
        <v>2.6952239999999999E-2</v>
      </c>
      <c r="R7476">
        <v>0.3441092</v>
      </c>
      <c r="S7476">
        <v>2.5070649999999999</v>
      </c>
      <c r="T7476">
        <v>0.1392388</v>
      </c>
      <c r="U7476">
        <v>1.8815919999999999</v>
      </c>
      <c r="V7476">
        <v>-5.2313989999999998E-2</v>
      </c>
      <c r="W7476">
        <v>4.0709990000000001E-2</v>
      </c>
      <c r="X7476">
        <v>0.99780049999999998</v>
      </c>
      <c r="Y7476">
        <v>-0.3373642</v>
      </c>
      <c r="Z7476">
        <v>5.7347329999999997E-3</v>
      </c>
      <c r="AA7476">
        <v>0.94135670000000005</v>
      </c>
      <c r="AB7476">
        <v>27</v>
      </c>
      <c r="AC7476">
        <v>51.536799999999999</v>
      </c>
      <c r="AD7476">
        <v>2.8691529999999998</v>
      </c>
      <c r="AE7476">
        <v>38.730420000000002</v>
      </c>
      <c r="AF7476">
        <v>-21.747574786654202</v>
      </c>
      <c r="AG7476">
        <v>2.8691529999999998</v>
      </c>
      <c r="AH7476">
        <v>60.553405253797898</v>
      </c>
      <c r="AI7476">
        <v>87.446677029978204</v>
      </c>
      <c r="AJ7476">
        <v>109.755599370619</v>
      </c>
      <c r="AK7476">
        <v>64.404222966116194</v>
      </c>
      <c r="AL7476">
        <v>87.666844505443805</v>
      </c>
      <c r="AM7476">
        <v>93.001230139659597</v>
      </c>
      <c r="AN7476">
        <v>0.999999947317883</v>
      </c>
    </row>
    <row r="7477" spans="1:40" x14ac:dyDescent="0.25">
      <c r="A7477" t="str">
        <f>"20190312160829852"</f>
        <v>20190312160829852</v>
      </c>
      <c r="B7477" t="str">
        <f>"1552378109843174"</f>
        <v>1552378109843174</v>
      </c>
      <c r="C7477" t="s">
        <v>40</v>
      </c>
      <c r="D7477">
        <v>6.1715229999999996</v>
      </c>
      <c r="E7477">
        <v>0.38376260000000001</v>
      </c>
      <c r="F7477" t="s">
        <v>50</v>
      </c>
      <c r="G7477">
        <v>-152.08150000000001</v>
      </c>
      <c r="H7477">
        <v>3.980791</v>
      </c>
      <c r="I7477">
        <v>-22.65</v>
      </c>
      <c r="J7477">
        <v>-203.07220000000001</v>
      </c>
      <c r="K7477">
        <v>1.1160399999999999</v>
      </c>
      <c r="L7477">
        <v>-61.336790000000001</v>
      </c>
      <c r="M7477">
        <v>0.95409129999999998</v>
      </c>
      <c r="N7477">
        <v>0</v>
      </c>
      <c r="O7477">
        <v>0.29916209999999999</v>
      </c>
      <c r="P7477">
        <v>0.93696060000000003</v>
      </c>
      <c r="Q7477">
        <v>2.6821020000000001E-2</v>
      </c>
      <c r="R7477">
        <v>0.34840409999999999</v>
      </c>
      <c r="S7477">
        <v>2.4983979999999999</v>
      </c>
      <c r="T7477">
        <v>0.1400169</v>
      </c>
      <c r="U7477">
        <v>1.892944</v>
      </c>
      <c r="V7477">
        <v>-5.271489E-2</v>
      </c>
      <c r="W7477">
        <v>4.0574199999999998E-2</v>
      </c>
      <c r="X7477">
        <v>0.99778500000000003</v>
      </c>
      <c r="Y7477">
        <v>-0.33772029999999997</v>
      </c>
      <c r="Z7477">
        <v>5.9464649999999997E-3</v>
      </c>
      <c r="AA7477">
        <v>0.9412277</v>
      </c>
      <c r="AB7477">
        <v>27</v>
      </c>
      <c r="AC7477">
        <v>50.990699999999997</v>
      </c>
      <c r="AD7477">
        <v>2.864751</v>
      </c>
      <c r="AE7477">
        <v>38.686790000000002</v>
      </c>
      <c r="AF7477">
        <v>-21.615237982538599</v>
      </c>
      <c r="AG7477">
        <v>2.864751</v>
      </c>
      <c r="AH7477">
        <v>60.109369378157602</v>
      </c>
      <c r="AI7477">
        <v>87.432150084312894</v>
      </c>
      <c r="AJ7477">
        <v>109.778507879088</v>
      </c>
      <c r="AK7477">
        <v>63.941861079996499</v>
      </c>
      <c r="AL7477">
        <v>87.674631292601106</v>
      </c>
      <c r="AM7477">
        <v>93.024233953476894</v>
      </c>
      <c r="AN7477">
        <v>1.00000001577917</v>
      </c>
    </row>
    <row r="7478" spans="1:40" x14ac:dyDescent="0.25">
      <c r="A7478" t="str">
        <f>"20190312160829876"</f>
        <v>20190312160829876</v>
      </c>
      <c r="B7478" t="str">
        <f>"1552378109872454"</f>
        <v>1552378109872454</v>
      </c>
      <c r="C7478" t="s">
        <v>40</v>
      </c>
      <c r="D7478">
        <v>5.0449630000000001</v>
      </c>
      <c r="E7478">
        <v>0.43262659999999997</v>
      </c>
      <c r="F7478" t="s">
        <v>82</v>
      </c>
      <c r="G7478">
        <v>-195.19829999999999</v>
      </c>
      <c r="H7478" s="1">
        <v>-8.5410589999999998E-6</v>
      </c>
      <c r="I7478">
        <v>-55.285499999999999</v>
      </c>
      <c r="J7478">
        <v>-202.82040000000001</v>
      </c>
      <c r="K7478">
        <v>1.1161570000000001</v>
      </c>
      <c r="L7478">
        <v>-61.24823</v>
      </c>
      <c r="M7478">
        <v>0.95152570000000003</v>
      </c>
      <c r="N7478">
        <v>0</v>
      </c>
      <c r="O7478">
        <v>0.30722389999999999</v>
      </c>
      <c r="P7478">
        <v>0.93361950000000005</v>
      </c>
      <c r="Q7478">
        <v>2.6944829999999999E-2</v>
      </c>
      <c r="R7478">
        <v>0.3572515</v>
      </c>
      <c r="S7478">
        <v>2.4981080000000002</v>
      </c>
      <c r="T7478">
        <v>-0.35408279999999998</v>
      </c>
      <c r="U7478">
        <v>1.919861</v>
      </c>
      <c r="V7478">
        <v>-5.3726120000000002E-2</v>
      </c>
      <c r="W7478">
        <v>4.0686159999999999E-2</v>
      </c>
      <c r="X7478">
        <v>0.99772649999999996</v>
      </c>
      <c r="Y7478">
        <v>-0.33604129999999999</v>
      </c>
      <c r="Z7478">
        <v>-1.5969799999999999E-2</v>
      </c>
      <c r="AA7478">
        <v>0.94171179999999999</v>
      </c>
      <c r="AB7478">
        <v>27</v>
      </c>
      <c r="AC7478">
        <v>7.6221000000000103</v>
      </c>
      <c r="AD7478">
        <v>-1.1161655410589999</v>
      </c>
      <c r="AE7478">
        <v>5.9627299999999996</v>
      </c>
      <c r="AF7478">
        <v>-3.2886052858000001</v>
      </c>
      <c r="AG7478">
        <v>-1.1161655410589999</v>
      </c>
      <c r="AH7478">
        <v>8.9662050832710296</v>
      </c>
      <c r="AI7478">
        <v>96.666065651069601</v>
      </c>
      <c r="AJ7478">
        <v>110.14191783231099</v>
      </c>
      <c r="AK7478">
        <v>9.6152786665865602</v>
      </c>
      <c r="AL7478">
        <v>87.668211152119895</v>
      </c>
      <c r="AM7478">
        <v>93.082317412390395</v>
      </c>
      <c r="AN7478">
        <v>1.00000001419402</v>
      </c>
    </row>
    <row r="7479" spans="1:40" x14ac:dyDescent="0.25">
      <c r="A7479" t="str">
        <f>"20190312160829887"</f>
        <v>20190312160829887</v>
      </c>
      <c r="B7479" t="str">
        <f>"1552378109883190"</f>
        <v>1552378109883190</v>
      </c>
      <c r="C7479" t="s">
        <v>40</v>
      </c>
      <c r="D7479">
        <v>6.1999630000000003</v>
      </c>
      <c r="E7479">
        <v>0.42633769999999999</v>
      </c>
      <c r="F7479" t="s">
        <v>82</v>
      </c>
      <c r="G7479">
        <v>-199.42089999999999</v>
      </c>
      <c r="H7479" s="1">
        <v>-7.6426189999999905E-6</v>
      </c>
      <c r="I7479">
        <v>-59.1982199999999</v>
      </c>
      <c r="J7479">
        <v>-202.68979999999999</v>
      </c>
      <c r="K7479">
        <v>1.1162190000000001</v>
      </c>
      <c r="L7479">
        <v>-61.20111</v>
      </c>
      <c r="M7479">
        <v>0.95013950000000003</v>
      </c>
      <c r="N7479">
        <v>0</v>
      </c>
      <c r="O7479">
        <v>0.31148439999999999</v>
      </c>
      <c r="P7479">
        <v>0.93189730000000004</v>
      </c>
      <c r="Q7479">
        <v>2.6847559999999999E-2</v>
      </c>
      <c r="R7479">
        <v>0.36172739999999998</v>
      </c>
      <c r="S7479">
        <v>2.6311040000000001</v>
      </c>
      <c r="T7479">
        <v>-0.86387519999999995</v>
      </c>
      <c r="U7479">
        <v>1.5866389999999999</v>
      </c>
      <c r="V7479">
        <v>-5.4046520000000001E-2</v>
      </c>
      <c r="W7479">
        <v>4.0586110000000002E-2</v>
      </c>
      <c r="X7479">
        <v>0.99771330000000003</v>
      </c>
      <c r="Y7479">
        <v>-0.22677079999999999</v>
      </c>
      <c r="Z7479">
        <v>-5.5710860000000001E-2</v>
      </c>
      <c r="AA7479">
        <v>0.97235349999999998</v>
      </c>
      <c r="AB7479">
        <v>27</v>
      </c>
      <c r="AC7479">
        <v>3.2688999999999999</v>
      </c>
      <c r="AD7479">
        <v>-1.116226642619</v>
      </c>
      <c r="AE7479">
        <v>2.0028899999999998</v>
      </c>
      <c r="AF7479">
        <v>-0.81575212239205697</v>
      </c>
      <c r="AG7479">
        <v>-1.116226642619</v>
      </c>
      <c r="AH7479">
        <v>3.4386633874965402</v>
      </c>
      <c r="AI7479">
        <v>107.528447535956</v>
      </c>
      <c r="AJ7479">
        <v>103.345542261744</v>
      </c>
      <c r="AK7479">
        <v>3.7061866298648298</v>
      </c>
      <c r="AL7479">
        <v>87.673948402585395</v>
      </c>
      <c r="AM7479">
        <v>93.100704238888895</v>
      </c>
      <c r="AN7479">
        <v>1.0000000438229599</v>
      </c>
    </row>
    <row r="7480" spans="1:40" x14ac:dyDescent="0.25">
      <c r="A7480" t="str">
        <f>"20190312160829900"</f>
        <v>20190312160829900</v>
      </c>
      <c r="B7480" t="str">
        <f>"1552378109892950"</f>
        <v>1552378109892950</v>
      </c>
      <c r="C7480" t="s">
        <v>40</v>
      </c>
      <c r="D7480">
        <v>7.9143369999999997</v>
      </c>
      <c r="E7480">
        <v>0.42633769999999999</v>
      </c>
      <c r="F7480" t="s">
        <v>82</v>
      </c>
      <c r="G7480">
        <v>-199.05109999999999</v>
      </c>
      <c r="H7480" s="1">
        <v>-7.7051720000000004E-6</v>
      </c>
      <c r="I7480">
        <v>-58.901519999999998</v>
      </c>
      <c r="J7480">
        <v>-202.54390000000001</v>
      </c>
      <c r="K7480">
        <v>1.116285</v>
      </c>
      <c r="L7480">
        <v>-61.147860000000001</v>
      </c>
      <c r="M7480">
        <v>0.9485517</v>
      </c>
      <c r="N7480">
        <v>0</v>
      </c>
      <c r="O7480">
        <v>0.31628600000000001</v>
      </c>
      <c r="P7480">
        <v>0.92986360000000001</v>
      </c>
      <c r="Q7480">
        <v>2.6943040000000001E-2</v>
      </c>
      <c r="R7480">
        <v>0.36691669999999998</v>
      </c>
      <c r="S7480">
        <v>2.6035460000000001</v>
      </c>
      <c r="T7480">
        <v>-0.79867549999999998</v>
      </c>
      <c r="U7480">
        <v>1.645386</v>
      </c>
      <c r="V7480">
        <v>-5.4571550000000003E-2</v>
      </c>
      <c r="W7480">
        <v>4.0676169999999998E-2</v>
      </c>
      <c r="X7480">
        <v>0.99768100000000004</v>
      </c>
      <c r="Y7480">
        <v>-0.24148839999999999</v>
      </c>
      <c r="Z7480">
        <v>-5.0953680000000001E-2</v>
      </c>
      <c r="AA7480">
        <v>0.96906510000000001</v>
      </c>
      <c r="AB7480">
        <v>27</v>
      </c>
      <c r="AC7480">
        <v>3.4928000000000101</v>
      </c>
      <c r="AD7480">
        <v>-1.116292705172</v>
      </c>
      <c r="AE7480">
        <v>2.2463399999999898</v>
      </c>
      <c r="AF7480">
        <v>-0.95700546011781895</v>
      </c>
      <c r="AG7480">
        <v>-1.116292705172</v>
      </c>
      <c r="AH7480">
        <v>3.7528487214683999</v>
      </c>
      <c r="AI7480">
        <v>106.078468122891</v>
      </c>
      <c r="AJ7480">
        <v>104.305968082871</v>
      </c>
      <c r="AK7480">
        <v>4.0306131519338999</v>
      </c>
      <c r="AL7480">
        <v>87.668783957815805</v>
      </c>
      <c r="AM7480">
        <v>93.130867271107803</v>
      </c>
      <c r="AN7480">
        <v>0.999999991318135</v>
      </c>
    </row>
    <row r="7481" spans="1:40" x14ac:dyDescent="0.25">
      <c r="A7481" t="str">
        <f>"20190312160829909"</f>
        <v>20190312160829909</v>
      </c>
      <c r="B7481" t="str">
        <f>"1552378109902710"</f>
        <v>1552378109902710</v>
      </c>
      <c r="C7481" t="s">
        <v>40</v>
      </c>
      <c r="D7481">
        <v>5.9848299999999997</v>
      </c>
      <c r="E7481">
        <v>0.3879784</v>
      </c>
      <c r="F7481" t="s">
        <v>82</v>
      </c>
      <c r="G7481">
        <v>-198.91589999999999</v>
      </c>
      <c r="H7481" s="1">
        <v>-7.7163960000000002E-6</v>
      </c>
      <c r="I7481">
        <v>-58.826230000000002</v>
      </c>
      <c r="J7481">
        <v>-202.4391</v>
      </c>
      <c r="K7481">
        <v>1.1163259999999999</v>
      </c>
      <c r="L7481">
        <v>-61.10904</v>
      </c>
      <c r="M7481">
        <v>0.94738310000000003</v>
      </c>
      <c r="N7481">
        <v>0</v>
      </c>
      <c r="O7481">
        <v>0.31976880000000002</v>
      </c>
      <c r="P7481">
        <v>0.92830889999999999</v>
      </c>
      <c r="Q7481">
        <v>2.6855899999999999E-2</v>
      </c>
      <c r="R7481">
        <v>0.37083870000000002</v>
      </c>
      <c r="S7481">
        <v>2.5943299999999998</v>
      </c>
      <c r="T7481">
        <v>-0.79824010000000001</v>
      </c>
      <c r="U7481">
        <v>1.660156</v>
      </c>
      <c r="V7481">
        <v>-5.5120269999999999E-2</v>
      </c>
      <c r="W7481">
        <v>4.0581829999999999E-2</v>
      </c>
      <c r="X7481">
        <v>0.99765470000000001</v>
      </c>
      <c r="Y7481">
        <v>-0.24344250000000001</v>
      </c>
      <c r="Z7481">
        <v>-5.1599079999999999E-2</v>
      </c>
      <c r="AA7481">
        <v>0.96854189999999996</v>
      </c>
      <c r="AB7481">
        <v>27</v>
      </c>
      <c r="AC7481">
        <v>3.5232000000000001</v>
      </c>
      <c r="AD7481">
        <v>-1.1163337163960001</v>
      </c>
      <c r="AE7481">
        <v>2.2828099999999898</v>
      </c>
      <c r="AF7481">
        <v>-0.967766076280827</v>
      </c>
      <c r="AG7481">
        <v>-1.1163337163960001</v>
      </c>
      <c r="AH7481">
        <v>3.7995591022291402</v>
      </c>
      <c r="AI7481">
        <v>105.89249215040201</v>
      </c>
      <c r="AJ7481">
        <v>104.28967158813199</v>
      </c>
      <c r="AK7481">
        <v>4.0766924725928</v>
      </c>
      <c r="AL7481">
        <v>87.674193763083096</v>
      </c>
      <c r="AM7481">
        <v>93.162367936238994</v>
      </c>
      <c r="AN7481">
        <v>1.00000001476155</v>
      </c>
    </row>
    <row r="7482" spans="1:40" x14ac:dyDescent="0.25">
      <c r="A7482" t="str">
        <f>"20190312160829920"</f>
        <v>20190312160829920</v>
      </c>
      <c r="B7482" t="str">
        <f>"1552378109912472"</f>
        <v>1552378109912472</v>
      </c>
      <c r="C7482" t="s">
        <v>40</v>
      </c>
      <c r="D7482">
        <v>6.0136859999999999</v>
      </c>
      <c r="E7482">
        <v>0.38576899999999997</v>
      </c>
      <c r="F7482" t="s">
        <v>82</v>
      </c>
      <c r="G7482">
        <v>-194.87559999999999</v>
      </c>
      <c r="H7482" s="1">
        <v>-8.5649339999999996E-6</v>
      </c>
      <c r="I7482">
        <v>-55.126240000000003</v>
      </c>
      <c r="J7482">
        <v>-202.3211</v>
      </c>
      <c r="K7482">
        <v>1.116377</v>
      </c>
      <c r="L7482">
        <v>-61.064729999999997</v>
      </c>
      <c r="M7482">
        <v>0.94603749999999998</v>
      </c>
      <c r="N7482">
        <v>0</v>
      </c>
      <c r="O7482">
        <v>0.3237275</v>
      </c>
      <c r="P7482">
        <v>0.92661640000000001</v>
      </c>
      <c r="Q7482">
        <v>2.7351250000000001E-2</v>
      </c>
      <c r="R7482">
        <v>0.37501190000000001</v>
      </c>
      <c r="S7482">
        <v>2.4636990000000001</v>
      </c>
      <c r="T7482">
        <v>-0.36363200000000001</v>
      </c>
      <c r="U7482">
        <v>1.9488220000000001</v>
      </c>
      <c r="V7482">
        <v>-5.5455480000000001E-2</v>
      </c>
      <c r="W7482">
        <v>4.1073989999999998E-2</v>
      </c>
      <c r="X7482">
        <v>0.99761599999999995</v>
      </c>
      <c r="Y7482">
        <v>-0.33293070000000002</v>
      </c>
      <c r="Z7482">
        <v>-1.864381E-2</v>
      </c>
      <c r="AA7482">
        <v>0.94276700000000002</v>
      </c>
      <c r="AB7482">
        <v>27</v>
      </c>
      <c r="AC7482">
        <v>7.4455000000000098</v>
      </c>
      <c r="AD7482">
        <v>-1.116385564934</v>
      </c>
      <c r="AE7482">
        <v>5.9384899999999998</v>
      </c>
      <c r="AF7482">
        <v>-3.1645794751911298</v>
      </c>
      <c r="AG7482">
        <v>-1.116385564934</v>
      </c>
      <c r="AH7482">
        <v>8.8455858055027203</v>
      </c>
      <c r="AI7482">
        <v>96.776814855921401</v>
      </c>
      <c r="AJ7482">
        <v>109.6850782856</v>
      </c>
      <c r="AK7482">
        <v>9.4607223945587293</v>
      </c>
      <c r="AL7482">
        <v>87.645971583885895</v>
      </c>
      <c r="AM7482">
        <v>93.1816834290873</v>
      </c>
      <c r="AN7482">
        <v>1.00000003318627</v>
      </c>
    </row>
    <row r="7483" spans="1:40" x14ac:dyDescent="0.25">
      <c r="A7483" t="str">
        <f>"20190312160829931"</f>
        <v>20190312160829931</v>
      </c>
      <c r="B7483" t="str">
        <f>"1552378109923206"</f>
        <v>1552378109923206</v>
      </c>
      <c r="C7483" t="s">
        <v>40</v>
      </c>
      <c r="D7483">
        <v>5.7361740000000001</v>
      </c>
      <c r="E7483">
        <v>0.38740390000000002</v>
      </c>
      <c r="F7483" t="s">
        <v>82</v>
      </c>
      <c r="G7483">
        <v>-193.024</v>
      </c>
      <c r="H7483" s="1">
        <v>-8.9497360000000002E-6</v>
      </c>
      <c r="I7483">
        <v>-53.559150000000002</v>
      </c>
      <c r="J7483">
        <v>-202.1901</v>
      </c>
      <c r="K7483">
        <v>1.1164350000000001</v>
      </c>
      <c r="L7483">
        <v>-61.014949999999999</v>
      </c>
      <c r="M7483">
        <v>0.94451050000000003</v>
      </c>
      <c r="N7483">
        <v>0</v>
      </c>
      <c r="O7483">
        <v>0.32815549999999999</v>
      </c>
      <c r="P7483">
        <v>0.92468360000000005</v>
      </c>
      <c r="Q7483">
        <v>2.7684139999999999E-2</v>
      </c>
      <c r="R7483">
        <v>0.37972860000000003</v>
      </c>
      <c r="S7483">
        <v>2.4468230000000002</v>
      </c>
      <c r="T7483">
        <v>-0.29380970000000001</v>
      </c>
      <c r="U7483">
        <v>1.975311</v>
      </c>
      <c r="V7483">
        <v>-5.5879520000000002E-2</v>
      </c>
      <c r="W7483">
        <v>4.1402729999999999E-2</v>
      </c>
      <c r="X7483">
        <v>0.99757870000000004</v>
      </c>
      <c r="Y7483">
        <v>-0.33791520000000003</v>
      </c>
      <c r="Z7483">
        <v>-1.526394E-2</v>
      </c>
      <c r="AA7483">
        <v>0.94105280000000002</v>
      </c>
      <c r="AB7483">
        <v>27</v>
      </c>
      <c r="AC7483">
        <v>9.1661000000000001</v>
      </c>
      <c r="AD7483">
        <v>-1.1164439497359999</v>
      </c>
      <c r="AE7483">
        <v>7.4557999999999902</v>
      </c>
      <c r="AF7483">
        <v>-3.9989033452495502</v>
      </c>
      <c r="AG7483">
        <v>-1.1164439497359999</v>
      </c>
      <c r="AH7483">
        <v>11.007052902721</v>
      </c>
      <c r="AI7483">
        <v>95.445738106110795</v>
      </c>
      <c r="AJ7483">
        <v>109.966271890286</v>
      </c>
      <c r="AK7483">
        <v>11.7640506910183</v>
      </c>
      <c r="AL7483">
        <v>87.627120018640099</v>
      </c>
      <c r="AM7483">
        <v>93.206081218087306</v>
      </c>
      <c r="AN7483">
        <v>0.99999998475028595</v>
      </c>
    </row>
    <row r="7484" spans="1:40" x14ac:dyDescent="0.25">
      <c r="A7484" t="str">
        <f>"20190312160829942"</f>
        <v>20190312160829942</v>
      </c>
      <c r="B7484" t="str">
        <f>"1552378109932967"</f>
        <v>1552378109932967</v>
      </c>
      <c r="C7484" t="s">
        <v>40</v>
      </c>
      <c r="D7484">
        <v>6.2219249999999997</v>
      </c>
      <c r="E7484">
        <v>0.38731900000000002</v>
      </c>
      <c r="F7484" t="s">
        <v>82</v>
      </c>
      <c r="G7484">
        <v>-190.864</v>
      </c>
      <c r="H7484" s="1">
        <v>-9.3555649999999999E-6</v>
      </c>
      <c r="I7484">
        <v>-51.849530000000001</v>
      </c>
      <c r="J7484">
        <v>-202.07409999999999</v>
      </c>
      <c r="K7484">
        <v>1.116484</v>
      </c>
      <c r="L7484">
        <v>-60.97</v>
      </c>
      <c r="M7484">
        <v>0.94311909999999999</v>
      </c>
      <c r="N7484">
        <v>0</v>
      </c>
      <c r="O7484">
        <v>0.33213310000000001</v>
      </c>
      <c r="P7484">
        <v>0.92286800000000002</v>
      </c>
      <c r="Q7484">
        <v>2.7635369999999999E-2</v>
      </c>
      <c r="R7484">
        <v>0.38412390000000002</v>
      </c>
      <c r="S7484">
        <v>2.4405209999999999</v>
      </c>
      <c r="T7484">
        <v>-0.2405689</v>
      </c>
      <c r="U7484">
        <v>1.974945</v>
      </c>
      <c r="V7484">
        <v>-5.6426190000000001E-2</v>
      </c>
      <c r="W7484">
        <v>4.1347460000000003E-2</v>
      </c>
      <c r="X7484">
        <v>0.99755020000000005</v>
      </c>
      <c r="Y7484">
        <v>-0.33509270000000002</v>
      </c>
      <c r="Z7484">
        <v>-1.296222E-2</v>
      </c>
      <c r="AA7484">
        <v>0.94209600000000004</v>
      </c>
      <c r="AB7484">
        <v>27</v>
      </c>
      <c r="AC7484">
        <v>11.210099999999899</v>
      </c>
      <c r="AD7484">
        <v>-1.1164933555650001</v>
      </c>
      <c r="AE7484">
        <v>9.1204699999999903</v>
      </c>
      <c r="AF7484">
        <v>-4.85001792341924</v>
      </c>
      <c r="AG7484">
        <v>-1.1164933555650001</v>
      </c>
      <c r="AH7484">
        <v>13.5224136522408</v>
      </c>
      <c r="AI7484">
        <v>94.444005531100103</v>
      </c>
      <c r="AJ7484">
        <v>109.731138819561</v>
      </c>
      <c r="AK7484">
        <v>14.409195059156399</v>
      </c>
      <c r="AL7484">
        <v>87.630289422325106</v>
      </c>
      <c r="AM7484">
        <v>93.237472250973596</v>
      </c>
      <c r="AN7484">
        <v>0.99999996444320305</v>
      </c>
    </row>
    <row r="7485" spans="1:40" x14ac:dyDescent="0.25">
      <c r="A7485" t="str">
        <f>"20190312160829955"</f>
        <v>20190312160829955</v>
      </c>
      <c r="B7485" t="str">
        <f>"1552378109942726"</f>
        <v>1552378109942726</v>
      </c>
      <c r="C7485" t="s">
        <v>40</v>
      </c>
      <c r="D7485">
        <v>6.2252879999999999</v>
      </c>
      <c r="E7485">
        <v>0.38600240000000002</v>
      </c>
      <c r="F7485" t="s">
        <v>82</v>
      </c>
      <c r="G7485">
        <v>-187.33009999999999</v>
      </c>
      <c r="H7485" s="1">
        <v>-3.8044130000000001E-6</v>
      </c>
      <c r="I7485">
        <v>-48.916469999999997</v>
      </c>
      <c r="J7485">
        <v>-201.94489999999999</v>
      </c>
      <c r="K7485">
        <v>1.116536</v>
      </c>
      <c r="L7485">
        <v>-60.919620000000002</v>
      </c>
      <c r="M7485">
        <v>0.94154230000000005</v>
      </c>
      <c r="N7485">
        <v>0</v>
      </c>
      <c r="O7485">
        <v>0.33657680000000001</v>
      </c>
      <c r="P7485">
        <v>0.92091000000000001</v>
      </c>
      <c r="Q7485">
        <v>2.7477919999999999E-2</v>
      </c>
      <c r="R7485">
        <v>0.38880569999999998</v>
      </c>
      <c r="S7485">
        <v>2.4295499999999999</v>
      </c>
      <c r="T7485">
        <v>-0.18397720000000001</v>
      </c>
      <c r="U7485">
        <v>1.9862059999999999</v>
      </c>
      <c r="V7485">
        <v>-5.6789029999999997E-2</v>
      </c>
      <c r="W7485">
        <v>4.1186430000000003E-2</v>
      </c>
      <c r="X7485">
        <v>0.99753630000000004</v>
      </c>
      <c r="Y7485">
        <v>-0.33537119999999998</v>
      </c>
      <c r="Z7485">
        <v>-1.0191769999999999E-2</v>
      </c>
      <c r="AA7485">
        <v>0.94203099999999995</v>
      </c>
      <c r="AB7485">
        <v>27</v>
      </c>
      <c r="AC7485">
        <v>14.614800000000001</v>
      </c>
      <c r="AD7485">
        <v>-1.1165398044129999</v>
      </c>
      <c r="AE7485">
        <v>12.0031499999999</v>
      </c>
      <c r="AF7485">
        <v>-6.3609829977638199</v>
      </c>
      <c r="AG7485">
        <v>-1.1165398044129999</v>
      </c>
      <c r="AH7485">
        <v>17.740505558908001</v>
      </c>
      <c r="AI7485">
        <v>93.390475300729094</v>
      </c>
      <c r="AJ7485">
        <v>109.72565216997501</v>
      </c>
      <c r="AK7485">
        <v>18.879467771055499</v>
      </c>
      <c r="AL7485">
        <v>87.639523695299104</v>
      </c>
      <c r="AM7485">
        <v>93.258290915535596</v>
      </c>
      <c r="AN7485">
        <v>0.99999999288108798</v>
      </c>
    </row>
    <row r="7486" spans="1:40" x14ac:dyDescent="0.25">
      <c r="A7486" t="str">
        <f>"20190312160829968"</f>
        <v>20190312160829968</v>
      </c>
      <c r="B7486" t="str">
        <f>"1552378109963222"</f>
        <v>1552378109963222</v>
      </c>
      <c r="C7486" t="s">
        <v>40</v>
      </c>
      <c r="D7486">
        <v>6.3344550000000002</v>
      </c>
      <c r="E7486">
        <v>0.38658399999999998</v>
      </c>
      <c r="F7486" t="s">
        <v>82</v>
      </c>
      <c r="G7486">
        <v>-179.95779999999999</v>
      </c>
      <c r="H7486">
        <v>2.1762750000000001E-3</v>
      </c>
      <c r="I7486">
        <v>-42.636560000000003</v>
      </c>
      <c r="J7486">
        <v>-201.79300000000001</v>
      </c>
      <c r="K7486">
        <v>1.1165929999999999</v>
      </c>
      <c r="L7486">
        <v>-60.858919999999998</v>
      </c>
      <c r="M7486">
        <v>0.93962540000000006</v>
      </c>
      <c r="N7486">
        <v>0</v>
      </c>
      <c r="O7486">
        <v>0.341891099999999</v>
      </c>
      <c r="P7486">
        <v>0.91860779999999997</v>
      </c>
      <c r="Q7486">
        <v>2.7143029999999999E-2</v>
      </c>
      <c r="R7486">
        <v>0.39423740000000002</v>
      </c>
      <c r="S7486">
        <v>2.4138489999999999</v>
      </c>
      <c r="T7486">
        <v>-0.12234</v>
      </c>
      <c r="U7486">
        <v>2.0072019999999999</v>
      </c>
      <c r="V7486">
        <v>-5.7041920000000003E-2</v>
      </c>
      <c r="W7486">
        <v>4.0851020000000002E-2</v>
      </c>
      <c r="X7486">
        <v>0.99753559999999997</v>
      </c>
      <c r="Y7486">
        <v>-0.33791769999999999</v>
      </c>
      <c r="Z7486">
        <v>-6.9470440000000003E-3</v>
      </c>
      <c r="AA7486">
        <v>0.94115000000000004</v>
      </c>
      <c r="AB7486">
        <v>27</v>
      </c>
      <c r="AC7486">
        <v>21.8352</v>
      </c>
      <c r="AD7486">
        <v>-1.1144167250000001</v>
      </c>
      <c r="AE7486">
        <v>18.222359999999998</v>
      </c>
      <c r="AF7486">
        <v>-9.6431613683773492</v>
      </c>
      <c r="AG7486">
        <v>-1.1144167250000001</v>
      </c>
      <c r="AH7486">
        <v>26.708831154451602</v>
      </c>
      <c r="AI7486">
        <v>92.247424160048695</v>
      </c>
      <c r="AJ7486">
        <v>109.85199892513199</v>
      </c>
      <c r="AK7486">
        <v>28.4182009889882</v>
      </c>
      <c r="AL7486">
        <v>87.658757312887701</v>
      </c>
      <c r="AM7486">
        <v>93.272771390601406</v>
      </c>
      <c r="AN7486">
        <v>0.99999992986983999</v>
      </c>
    </row>
    <row r="7487" spans="1:40" x14ac:dyDescent="0.25">
      <c r="A7487" t="str">
        <f>"20190312160829978"</f>
        <v>20190312160829978</v>
      </c>
      <c r="B7487" t="str">
        <f>"1552378109972982"</f>
        <v>1552378109972982</v>
      </c>
      <c r="C7487" t="s">
        <v>40</v>
      </c>
      <c r="D7487">
        <v>6.2961549999999997</v>
      </c>
      <c r="E7487">
        <v>0.38774809999999998</v>
      </c>
      <c r="F7487" t="s">
        <v>50</v>
      </c>
      <c r="G7487">
        <v>-156.81010000000001</v>
      </c>
      <c r="H7487">
        <v>0.20778269999999999</v>
      </c>
      <c r="I7487">
        <v>-23.107939999999999</v>
      </c>
      <c r="J7487">
        <v>-201.68430000000001</v>
      </c>
      <c r="K7487">
        <v>1.116633</v>
      </c>
      <c r="L7487">
        <v>-60.81503</v>
      </c>
      <c r="M7487">
        <v>0.93822490000000003</v>
      </c>
      <c r="N7487">
        <v>0</v>
      </c>
      <c r="O7487">
        <v>0.34571550000000001</v>
      </c>
      <c r="P7487">
        <v>0.91692200000000001</v>
      </c>
      <c r="Q7487">
        <v>2.6676390000000001E-2</v>
      </c>
      <c r="R7487">
        <v>0.39817399999999997</v>
      </c>
      <c r="S7487">
        <v>2.4020839999999999</v>
      </c>
      <c r="T7487">
        <v>-4.8530459999999997E-2</v>
      </c>
      <c r="U7487">
        <v>2.0158999999999998</v>
      </c>
      <c r="V7487">
        <v>-5.724945E-2</v>
      </c>
      <c r="W7487">
        <v>4.0384110000000001E-2</v>
      </c>
      <c r="X7487">
        <v>0.99754279999999995</v>
      </c>
      <c r="Y7487">
        <v>-0.33835340000000003</v>
      </c>
      <c r="Z7487">
        <v>-2.8192859999999998E-3</v>
      </c>
      <c r="AA7487">
        <v>0.94101489999999999</v>
      </c>
      <c r="AB7487">
        <v>27</v>
      </c>
      <c r="AC7487">
        <v>44.874200000000002</v>
      </c>
      <c r="AD7487">
        <v>-0.9088503</v>
      </c>
      <c r="AE7487">
        <v>37.707090000000001</v>
      </c>
      <c r="AF7487">
        <v>-19.861382979519899</v>
      </c>
      <c r="AG7487">
        <v>-0.9088503</v>
      </c>
      <c r="AH7487">
        <v>55.130685701517201</v>
      </c>
      <c r="AI7487">
        <v>90.888563420198196</v>
      </c>
      <c r="AJ7487">
        <v>109.81206500611999</v>
      </c>
      <c r="AK7487">
        <v>58.606254347521997</v>
      </c>
      <c r="AL7487">
        <v>87.6855315605534</v>
      </c>
      <c r="AM7487">
        <v>93.284628712598902</v>
      </c>
      <c r="AN7487">
        <v>1.00000000684881</v>
      </c>
    </row>
    <row r="7488" spans="1:40" x14ac:dyDescent="0.25">
      <c r="A7488" t="str">
        <f>"20190312160829990"</f>
        <v>20190312160829990</v>
      </c>
      <c r="B7488" t="str">
        <f>"1552378109982741"</f>
        <v>1552378109982741</v>
      </c>
      <c r="C7488" t="s">
        <v>40</v>
      </c>
      <c r="D7488">
        <v>5.9800529999999998</v>
      </c>
      <c r="E7488">
        <v>0.38897169999999998</v>
      </c>
      <c r="F7488" t="s">
        <v>50</v>
      </c>
      <c r="G7488">
        <v>-156.88910000000001</v>
      </c>
      <c r="H7488">
        <v>0.56062129999999999</v>
      </c>
      <c r="I7488">
        <v>-23.107939999999999</v>
      </c>
      <c r="J7488">
        <v>-201.5556</v>
      </c>
      <c r="K7488">
        <v>1.1166769999999999</v>
      </c>
      <c r="L7488">
        <v>-60.762300000000003</v>
      </c>
      <c r="M7488">
        <v>0.93652860000000004</v>
      </c>
      <c r="N7488">
        <v>0</v>
      </c>
      <c r="O7488">
        <v>0.35028409999999999</v>
      </c>
      <c r="P7488">
        <v>0.91488740000000002</v>
      </c>
      <c r="Q7488">
        <v>2.6291100000000001E-2</v>
      </c>
      <c r="R7488">
        <v>0.40285219999999999</v>
      </c>
      <c r="S7488">
        <v>2.3966219999999998</v>
      </c>
      <c r="T7488">
        <v>-2.9747610000000001E-2</v>
      </c>
      <c r="U7488">
        <v>2.017395</v>
      </c>
      <c r="V7488">
        <v>-5.7478179999999997E-2</v>
      </c>
      <c r="W7488">
        <v>3.9998180000000001E-2</v>
      </c>
      <c r="X7488">
        <v>0.99754520000000002</v>
      </c>
      <c r="Y7488">
        <v>-0.33516449999999998</v>
      </c>
      <c r="Z7488">
        <v>-1.7916869999999999E-3</v>
      </c>
      <c r="AA7488">
        <v>0.94215789999999999</v>
      </c>
      <c r="AB7488">
        <v>27</v>
      </c>
      <c r="AC7488">
        <v>44.6664999999999</v>
      </c>
      <c r="AD7488">
        <v>-0.55605569999999904</v>
      </c>
      <c r="AE7488">
        <v>37.654359999999997</v>
      </c>
      <c r="AF7488">
        <v>-19.618754513193299</v>
      </c>
      <c r="AG7488">
        <v>-0.55605569999999904</v>
      </c>
      <c r="AH7488">
        <v>55.022115633201601</v>
      </c>
      <c r="AI7488">
        <v>90.545383984677201</v>
      </c>
      <c r="AJ7488">
        <v>109.624264793818</v>
      </c>
      <c r="AK7488">
        <v>58.417787833363299</v>
      </c>
      <c r="AL7488">
        <v>87.707661610678102</v>
      </c>
      <c r="AM7488">
        <v>93.297715040713996</v>
      </c>
      <c r="AN7488">
        <v>1.0000000108112299</v>
      </c>
    </row>
    <row r="7489" spans="1:40" x14ac:dyDescent="0.25">
      <c r="A7489" t="str">
        <f>"20190312160830003"</f>
        <v>20190312160830003</v>
      </c>
      <c r="B7489" t="str">
        <f>"1552378109992503"</f>
        <v>1552378109992503</v>
      </c>
      <c r="C7489" t="s">
        <v>40</v>
      </c>
      <c r="D7489">
        <v>6.3112089999999998</v>
      </c>
      <c r="E7489">
        <v>0.39012740000000001</v>
      </c>
      <c r="F7489" t="s">
        <v>50</v>
      </c>
      <c r="G7489">
        <v>-157.0145</v>
      </c>
      <c r="H7489">
        <v>0.89672280000000004</v>
      </c>
      <c r="I7489">
        <v>-23.107939999999999</v>
      </c>
      <c r="J7489">
        <v>-201.40889999999999</v>
      </c>
      <c r="K7489">
        <v>1.116727</v>
      </c>
      <c r="L7489">
        <v>-60.701169999999998</v>
      </c>
      <c r="M7489">
        <v>0.93454369999999998</v>
      </c>
      <c r="N7489">
        <v>0</v>
      </c>
      <c r="O7489">
        <v>0.35554540000000001</v>
      </c>
      <c r="P7489">
        <v>0.91264000000000001</v>
      </c>
      <c r="Q7489">
        <v>2.554435E-2</v>
      </c>
      <c r="R7489">
        <v>0.40796549999999998</v>
      </c>
      <c r="S7489">
        <v>2.3898320000000002</v>
      </c>
      <c r="T7489">
        <v>-1.1801600000000001E-2</v>
      </c>
      <c r="U7489">
        <v>2.0203250000000001</v>
      </c>
      <c r="V7489">
        <v>-5.7435630000000001E-2</v>
      </c>
      <c r="W7489">
        <v>3.9256329999999999E-2</v>
      </c>
      <c r="X7489">
        <v>0.99757709999999999</v>
      </c>
      <c r="Y7489">
        <v>-0.33185520000000002</v>
      </c>
      <c r="Z7489">
        <v>-7.3907509999999999E-4</v>
      </c>
      <c r="AA7489">
        <v>0.94333</v>
      </c>
      <c r="AB7489">
        <v>27</v>
      </c>
      <c r="AC7489">
        <v>44.394399999999898</v>
      </c>
      <c r="AD7489">
        <v>-0.22000420000000001</v>
      </c>
      <c r="AE7489">
        <v>37.593229999999998</v>
      </c>
      <c r="AF7489">
        <v>-19.3501003107495</v>
      </c>
      <c r="AG7489">
        <v>-0.22000420000000001</v>
      </c>
      <c r="AH7489">
        <v>54.859734865724398</v>
      </c>
      <c r="AI7489">
        <v>90.216688205287696</v>
      </c>
      <c r="AJ7489">
        <v>109.428741722585</v>
      </c>
      <c r="AK7489">
        <v>58.172719494808398</v>
      </c>
      <c r="AL7489">
        <v>87.750199852523906</v>
      </c>
      <c r="AM7489">
        <v>93.295174044514098</v>
      </c>
      <c r="AN7489">
        <v>0.99999999074148704</v>
      </c>
    </row>
    <row r="7490" spans="1:40" x14ac:dyDescent="0.25">
      <c r="A7490" t="str">
        <f>"20190312160830012"</f>
        <v>20190312160830012</v>
      </c>
      <c r="B7490" t="str">
        <f>"1552378110003239"</f>
        <v>1552378110003239</v>
      </c>
      <c r="C7490" t="s">
        <v>40</v>
      </c>
      <c r="D7490">
        <v>5.9702289999999998</v>
      </c>
      <c r="E7490">
        <v>0.39115100000000003</v>
      </c>
      <c r="F7490" t="s">
        <v>50</v>
      </c>
      <c r="G7490">
        <v>-157.19159999999999</v>
      </c>
      <c r="H7490">
        <v>1.075966</v>
      </c>
      <c r="I7490">
        <v>-23.107939999999999</v>
      </c>
      <c r="J7490">
        <v>-201.30529999999999</v>
      </c>
      <c r="K7490">
        <v>1.1167659999999999</v>
      </c>
      <c r="L7490">
        <v>-60.657620000000001</v>
      </c>
      <c r="M7490">
        <v>0.93311469999999996</v>
      </c>
      <c r="N7490">
        <v>0</v>
      </c>
      <c r="O7490">
        <v>0.35927870000000001</v>
      </c>
      <c r="P7490">
        <v>0.91094019999999998</v>
      </c>
      <c r="Q7490">
        <v>2.5088909999999999E-2</v>
      </c>
      <c r="R7490">
        <v>0.41177469999999999</v>
      </c>
      <c r="S7490">
        <v>2.3819889999999999</v>
      </c>
      <c r="T7490">
        <v>-2.195954E-3</v>
      </c>
      <c r="U7490">
        <v>2.0251459999999999</v>
      </c>
      <c r="V7490">
        <v>-5.760647E-2</v>
      </c>
      <c r="W7490">
        <v>3.8800340000000003E-2</v>
      </c>
      <c r="X7490">
        <v>0.9975851</v>
      </c>
      <c r="Y7490">
        <v>-0.33072230000000002</v>
      </c>
      <c r="Z7490">
        <v>-1.4084690000000001E-4</v>
      </c>
      <c r="AA7490">
        <v>0.94372809999999996</v>
      </c>
      <c r="AB7490">
        <v>27</v>
      </c>
      <c r="AC7490">
        <v>44.113700000000001</v>
      </c>
      <c r="AD7490">
        <v>-4.0799999999999899E-2</v>
      </c>
      <c r="AE7490">
        <v>37.549680000000002</v>
      </c>
      <c r="AF7490">
        <v>-19.1911066489528</v>
      </c>
      <c r="AG7490">
        <v>-4.0799999999999899E-2</v>
      </c>
      <c r="AH7490">
        <v>54.659812404575597</v>
      </c>
      <c r="AI7490">
        <v>90.040352658999595</v>
      </c>
      <c r="AJ7490">
        <v>109.34621766805</v>
      </c>
      <c r="AK7490">
        <v>57.930953135218402</v>
      </c>
      <c r="AL7490">
        <v>87.776346100694397</v>
      </c>
      <c r="AM7490">
        <v>93.304927269439204</v>
      </c>
      <c r="AN7490">
        <v>1.00000000175599</v>
      </c>
    </row>
    <row r="7491" spans="1:40" x14ac:dyDescent="0.25">
      <c r="A7491" t="str">
        <f>"20190312160830021"</f>
        <v>20190312160830021</v>
      </c>
      <c r="B7491" t="str">
        <f>"1552378110013000"</f>
        <v>1552378110013000</v>
      </c>
      <c r="C7491" t="s">
        <v>40</v>
      </c>
      <c r="D7491">
        <v>6.407883</v>
      </c>
      <c r="E7491">
        <v>0.39279550000000002</v>
      </c>
      <c r="F7491" t="s">
        <v>50</v>
      </c>
      <c r="G7491">
        <v>-157.28970000000001</v>
      </c>
      <c r="H7491">
        <v>1.2737449999999999</v>
      </c>
      <c r="I7491">
        <v>-23.107939999999999</v>
      </c>
      <c r="J7491">
        <v>-201.2089</v>
      </c>
      <c r="K7491">
        <v>1.116797</v>
      </c>
      <c r="L7491">
        <v>-60.616300000000003</v>
      </c>
      <c r="M7491">
        <v>0.93175229999999998</v>
      </c>
      <c r="N7491">
        <v>0</v>
      </c>
      <c r="O7491">
        <v>0.36279699999999998</v>
      </c>
      <c r="P7491">
        <v>0.90935759999999999</v>
      </c>
      <c r="Q7491">
        <v>2.4991510000000002E-2</v>
      </c>
      <c r="R7491">
        <v>0.41526410000000002</v>
      </c>
      <c r="S7491">
        <v>2.3765869999999998</v>
      </c>
      <c r="T7491">
        <v>8.4757800000000005E-3</v>
      </c>
      <c r="U7491">
        <v>2.027466</v>
      </c>
      <c r="V7491">
        <v>-5.7668049999999998E-2</v>
      </c>
      <c r="W7491">
        <v>3.870552E-2</v>
      </c>
      <c r="X7491">
        <v>0.99758519999999995</v>
      </c>
      <c r="Y7491">
        <v>-0.32875149999999997</v>
      </c>
      <c r="Z7491">
        <v>5.5697410000000004E-4</v>
      </c>
      <c r="AA7491">
        <v>0.94441629999999999</v>
      </c>
      <c r="AB7491">
        <v>27</v>
      </c>
      <c r="AC7491">
        <v>43.919199999999897</v>
      </c>
      <c r="AD7491">
        <v>0.156948</v>
      </c>
      <c r="AE7491">
        <v>37.508359999999897</v>
      </c>
      <c r="AF7491">
        <v>-19.016660083755401</v>
      </c>
      <c r="AG7491">
        <v>0.156948</v>
      </c>
      <c r="AH7491">
        <v>54.5352232321898</v>
      </c>
      <c r="AI7491">
        <v>89.844302263578996</v>
      </c>
      <c r="AJ7491">
        <v>109.223876758348</v>
      </c>
      <c r="AK7491">
        <v>57.755939663385099</v>
      </c>
      <c r="AL7491">
        <v>87.781782913976897</v>
      </c>
      <c r="AM7491">
        <v>93.308451986522797</v>
      </c>
      <c r="AN7491">
        <v>0.99999997626415604</v>
      </c>
    </row>
    <row r="7492" spans="1:40" x14ac:dyDescent="0.25">
      <c r="A7492" t="str">
        <f>"20190312160830032"</f>
        <v>20190312160830032</v>
      </c>
      <c r="B7492" t="str">
        <f>"1552378110022760"</f>
        <v>1552378110022760</v>
      </c>
      <c r="C7492" t="s">
        <v>40</v>
      </c>
      <c r="D7492">
        <v>6.4295609999999996</v>
      </c>
      <c r="E7492">
        <v>0.39430019999999999</v>
      </c>
      <c r="F7492" t="s">
        <v>50</v>
      </c>
      <c r="G7492">
        <v>-157.22229999999999</v>
      </c>
      <c r="H7492">
        <v>1.4176770000000001</v>
      </c>
      <c r="I7492">
        <v>-23.107939999999999</v>
      </c>
      <c r="J7492">
        <v>-201.0916</v>
      </c>
      <c r="K7492">
        <v>1.116838</v>
      </c>
      <c r="L7492">
        <v>-60.565730000000002</v>
      </c>
      <c r="M7492">
        <v>0.93007059999999997</v>
      </c>
      <c r="N7492">
        <v>0</v>
      </c>
      <c r="O7492">
        <v>0.36708649999999998</v>
      </c>
      <c r="P7492">
        <v>0.90737749999999995</v>
      </c>
      <c r="Q7492">
        <v>2.4774729999999998E-2</v>
      </c>
      <c r="R7492">
        <v>0.41958590000000001</v>
      </c>
      <c r="S7492">
        <v>2.3740999999999999</v>
      </c>
      <c r="T7492">
        <v>1.623929E-2</v>
      </c>
      <c r="U7492">
        <v>2.0244450000000001</v>
      </c>
      <c r="V7492">
        <v>-5.7815529999999997E-2</v>
      </c>
      <c r="W7492">
        <v>3.8488719999999997E-2</v>
      </c>
      <c r="X7492">
        <v>0.9975851</v>
      </c>
      <c r="Y7492">
        <v>-0.32418920000000001</v>
      </c>
      <c r="Z7492">
        <v>1.104275E-3</v>
      </c>
      <c r="AA7492">
        <v>0.94599160000000004</v>
      </c>
      <c r="AB7492">
        <v>27</v>
      </c>
      <c r="AC7492">
        <v>43.869300000000003</v>
      </c>
      <c r="AD7492">
        <v>0.30083900000000002</v>
      </c>
      <c r="AE7492">
        <v>37.457790000000003</v>
      </c>
      <c r="AF7492">
        <v>-18.736077193836099</v>
      </c>
      <c r="AG7492">
        <v>0.30083900000000002</v>
      </c>
      <c r="AH7492">
        <v>54.556208855978902</v>
      </c>
      <c r="AI7492">
        <v>89.701187344885696</v>
      </c>
      <c r="AJ7492">
        <v>108.953857271716</v>
      </c>
      <c r="AK7492">
        <v>57.684582146830998</v>
      </c>
      <c r="AL7492">
        <v>87.794214008452101</v>
      </c>
      <c r="AM7492">
        <v>93.316894470694507</v>
      </c>
      <c r="AN7492">
        <v>1.00000002440921</v>
      </c>
    </row>
    <row r="7493" spans="1:40" x14ac:dyDescent="0.25">
      <c r="A7493" t="str">
        <f>"20190312160830044"</f>
        <v>20190312160830044</v>
      </c>
      <c r="B7493" t="str">
        <f>"1552378110032518"</f>
        <v>1552378110032518</v>
      </c>
      <c r="C7493" t="s">
        <v>40</v>
      </c>
      <c r="D7493">
        <v>5.5715450000000004</v>
      </c>
      <c r="E7493">
        <v>0.3943837</v>
      </c>
      <c r="F7493" t="s">
        <v>50</v>
      </c>
      <c r="G7493">
        <v>-157.2594</v>
      </c>
      <c r="H7493">
        <v>1.4984470000000001</v>
      </c>
      <c r="I7493">
        <v>-23.107939999999999</v>
      </c>
      <c r="J7493">
        <v>-200.96969999999999</v>
      </c>
      <c r="K7493">
        <v>1.1168830000000001</v>
      </c>
      <c r="L7493">
        <v>-60.512149999999998</v>
      </c>
      <c r="M7493">
        <v>0.92827579999999998</v>
      </c>
      <c r="N7493">
        <v>0</v>
      </c>
      <c r="O7493">
        <v>0.37160149999999997</v>
      </c>
      <c r="P7493">
        <v>0.90523560000000003</v>
      </c>
      <c r="Q7493">
        <v>2.4733330000000001E-2</v>
      </c>
      <c r="R7493">
        <v>0.4241895</v>
      </c>
      <c r="S7493">
        <v>2.3693849999999999</v>
      </c>
      <c r="T7493">
        <v>2.0628090000000002E-2</v>
      </c>
      <c r="U7493">
        <v>2.0248110000000001</v>
      </c>
      <c r="V7493">
        <v>-5.803871E-2</v>
      </c>
      <c r="W7493">
        <v>3.8447269999999999E-2</v>
      </c>
      <c r="X7493">
        <v>0.99757370000000001</v>
      </c>
      <c r="Y7493">
        <v>-0.32060359999999899</v>
      </c>
      <c r="Z7493">
        <v>1.4480369999999999E-3</v>
      </c>
      <c r="AA7493">
        <v>0.94721230000000001</v>
      </c>
      <c r="AB7493">
        <v>27</v>
      </c>
      <c r="AC7493">
        <v>43.710299999999897</v>
      </c>
      <c r="AD7493">
        <v>0.38156399999999902</v>
      </c>
      <c r="AE7493">
        <v>37.404209999999999</v>
      </c>
      <c r="AF7493">
        <v>-18.479796376000301</v>
      </c>
      <c r="AG7493">
        <v>0.38156399999999902</v>
      </c>
      <c r="AH7493">
        <v>54.478171910920899</v>
      </c>
      <c r="AI7493">
        <v>89.619976261854106</v>
      </c>
      <c r="AJ7493">
        <v>108.73769123257</v>
      </c>
      <c r="AK7493">
        <v>57.5284249735762</v>
      </c>
      <c r="AL7493">
        <v>87.796590592209895</v>
      </c>
      <c r="AM7493">
        <v>93.329707586922794</v>
      </c>
      <c r="AN7493">
        <v>0.99999998568030302</v>
      </c>
    </row>
    <row r="7494" spans="1:40" x14ac:dyDescent="0.25">
      <c r="A7494" t="str">
        <f>"20190312160830054"</f>
        <v>20190312160830054</v>
      </c>
      <c r="B7494" t="str">
        <f>"1552378110043257"</f>
        <v>1552378110043257</v>
      </c>
      <c r="C7494" t="s">
        <v>40</v>
      </c>
      <c r="D7494">
        <v>6.4203590000000004</v>
      </c>
      <c r="E7494">
        <v>0.39556170000000002</v>
      </c>
      <c r="F7494" t="s">
        <v>50</v>
      </c>
      <c r="G7494">
        <v>-157.62989999999999</v>
      </c>
      <c r="H7494">
        <v>1.66100299999999</v>
      </c>
      <c r="I7494">
        <v>-23.107939999999999</v>
      </c>
      <c r="J7494">
        <v>-200.85169999999999</v>
      </c>
      <c r="K7494">
        <v>1.116924</v>
      </c>
      <c r="L7494">
        <v>-60.459989999999998</v>
      </c>
      <c r="M7494">
        <v>0.92651039999999996</v>
      </c>
      <c r="N7494">
        <v>0</v>
      </c>
      <c r="O7494">
        <v>0.37598100000000001</v>
      </c>
      <c r="P7494">
        <v>0.90298610000000001</v>
      </c>
      <c r="Q7494">
        <v>2.4406199999999999E-2</v>
      </c>
      <c r="R7494">
        <v>0.42897619999999997</v>
      </c>
      <c r="S7494">
        <v>2.3591769999999999</v>
      </c>
      <c r="T7494">
        <v>2.9618619999999998E-2</v>
      </c>
      <c r="U7494">
        <v>2.0360719999999999</v>
      </c>
      <c r="V7494">
        <v>-5.8605039999999997E-2</v>
      </c>
      <c r="W7494">
        <v>3.8112769999999997E-2</v>
      </c>
      <c r="X7494">
        <v>0.99755349999999998</v>
      </c>
      <c r="Y7494">
        <v>-0.32074930000000001</v>
      </c>
      <c r="Z7494">
        <v>2.123088E-3</v>
      </c>
      <c r="AA7494">
        <v>0.9471617</v>
      </c>
      <c r="AB7494">
        <v>27</v>
      </c>
      <c r="AC7494">
        <v>43.221800000000002</v>
      </c>
      <c r="AD7494">
        <v>0.54407899999999898</v>
      </c>
      <c r="AE7494">
        <v>37.352049999999998</v>
      </c>
      <c r="AF7494">
        <v>-18.356811866536699</v>
      </c>
      <c r="AG7494">
        <v>0.54407899999999898</v>
      </c>
      <c r="AH7494">
        <v>54.090064976587797</v>
      </c>
      <c r="AI7494">
        <v>89.454264280486996</v>
      </c>
      <c r="AJ7494">
        <v>108.74592417752601</v>
      </c>
      <c r="AK7494">
        <v>57.1227073328388</v>
      </c>
      <c r="AL7494">
        <v>87.8157702500651</v>
      </c>
      <c r="AM7494">
        <v>93.362191951378193</v>
      </c>
      <c r="AN7494">
        <v>1.0000000596563601</v>
      </c>
    </row>
    <row r="7495" spans="1:40" x14ac:dyDescent="0.25">
      <c r="A7495" t="str">
        <f>"20190312160830065"</f>
        <v>20190312160830065</v>
      </c>
      <c r="B7495" t="str">
        <f>"1552378110062774"</f>
        <v>1552378110062774</v>
      </c>
      <c r="C7495" t="s">
        <v>40</v>
      </c>
      <c r="D7495">
        <v>6.3142300000000002</v>
      </c>
      <c r="E7495">
        <v>0.42313190000000001</v>
      </c>
      <c r="F7495" t="s">
        <v>50</v>
      </c>
      <c r="G7495">
        <v>-157.7799</v>
      </c>
      <c r="H7495">
        <v>1.831882</v>
      </c>
      <c r="I7495">
        <v>-23.107939999999999</v>
      </c>
      <c r="J7495">
        <v>-200.73070000000001</v>
      </c>
      <c r="K7495">
        <v>1.1169659999999999</v>
      </c>
      <c r="L7495">
        <v>-60.405209999999997</v>
      </c>
      <c r="M7495">
        <v>0.92464780000000002</v>
      </c>
      <c r="N7495">
        <v>0</v>
      </c>
      <c r="O7495">
        <v>0.3805383</v>
      </c>
      <c r="P7495">
        <v>0.90068189999999904</v>
      </c>
      <c r="Q7495">
        <v>2.4282970000000001E-2</v>
      </c>
      <c r="R7495">
        <v>0.43380000000000002</v>
      </c>
      <c r="S7495">
        <v>2.3521879999999999</v>
      </c>
      <c r="T7495">
        <v>3.9044139999999998E-2</v>
      </c>
      <c r="U7495">
        <v>2.039825</v>
      </c>
      <c r="V7495">
        <v>-5.9029610000000003E-2</v>
      </c>
      <c r="W7495">
        <v>3.798555E-2</v>
      </c>
      <c r="X7495">
        <v>0.99753329999999996</v>
      </c>
      <c r="Y7495">
        <v>-0.31833979999999901</v>
      </c>
      <c r="Z7495">
        <v>2.8773499999999999E-3</v>
      </c>
      <c r="AA7495">
        <v>0.94797229999999999</v>
      </c>
      <c r="AB7495">
        <v>27</v>
      </c>
      <c r="AC7495">
        <v>42.950800000000001</v>
      </c>
      <c r="AD7495">
        <v>0.714916</v>
      </c>
      <c r="AE7495">
        <v>37.297269999999997</v>
      </c>
      <c r="AF7495">
        <v>-18.1415179860991</v>
      </c>
      <c r="AG7495">
        <v>0.714916</v>
      </c>
      <c r="AH7495">
        <v>53.904739379904697</v>
      </c>
      <c r="AI7495">
        <v>89.279840538677604</v>
      </c>
      <c r="AJ7495">
        <v>108.60054319975799</v>
      </c>
      <c r="AK7495">
        <v>56.880108186803398</v>
      </c>
      <c r="AL7495">
        <v>87.823064659640096</v>
      </c>
      <c r="AM7495">
        <v>93.386561614038101</v>
      </c>
      <c r="AN7495">
        <v>1.00000004073722</v>
      </c>
    </row>
    <row r="7496" spans="1:40" x14ac:dyDescent="0.25">
      <c r="A7496" t="str">
        <f>"20190312160830079"</f>
        <v>20190312160830079</v>
      </c>
      <c r="B7496" t="str">
        <f>"1552378110072537"</f>
        <v>1552378110072537</v>
      </c>
      <c r="C7496" t="s">
        <v>40</v>
      </c>
      <c r="D7496">
        <v>5.3640379999999999</v>
      </c>
      <c r="E7496">
        <v>0.42313190000000001</v>
      </c>
      <c r="F7496" t="s">
        <v>82</v>
      </c>
      <c r="G7496">
        <v>-190.85230000000001</v>
      </c>
      <c r="H7496" s="1">
        <v>-8.9769019999999992E-6</v>
      </c>
      <c r="I7496">
        <v>-52.88776</v>
      </c>
      <c r="J7496">
        <v>-200.5874</v>
      </c>
      <c r="K7496">
        <v>1.1170150000000001</v>
      </c>
      <c r="L7496">
        <v>-60.3397199999999</v>
      </c>
      <c r="M7496">
        <v>0.92239859999999896</v>
      </c>
      <c r="N7496">
        <v>0</v>
      </c>
      <c r="O7496">
        <v>0.38595780000000002</v>
      </c>
      <c r="P7496">
        <v>0.89801160000000002</v>
      </c>
      <c r="Q7496">
        <v>2.4037780000000002E-2</v>
      </c>
      <c r="R7496">
        <v>0.43931500000000001</v>
      </c>
      <c r="S7496">
        <v>2.4428860000000001</v>
      </c>
      <c r="T7496">
        <v>-0.27622400000000003</v>
      </c>
      <c r="U7496">
        <v>1.8590390000000001</v>
      </c>
      <c r="V7496">
        <v>-5.9291299999999998E-2</v>
      </c>
      <c r="W7496">
        <v>3.774015E-2</v>
      </c>
      <c r="X7496">
        <v>0.9975271</v>
      </c>
      <c r="Y7496">
        <v>-0.2519285</v>
      </c>
      <c r="Z7496">
        <v>-2.40492E-2</v>
      </c>
      <c r="AA7496">
        <v>0.96744699999999995</v>
      </c>
      <c r="AB7496">
        <v>27</v>
      </c>
      <c r="AC7496">
        <v>9.7350999999999797</v>
      </c>
      <c r="AD7496">
        <v>-1.1170239769019901</v>
      </c>
      <c r="AE7496">
        <v>7.4519599999999899</v>
      </c>
      <c r="AF7496">
        <v>-3.0910185074215</v>
      </c>
      <c r="AG7496">
        <v>-1.1170239769019901</v>
      </c>
      <c r="AH7496">
        <v>11.759452928208701</v>
      </c>
      <c r="AI7496">
        <v>95.248957789789003</v>
      </c>
      <c r="AJ7496">
        <v>104.727274107217</v>
      </c>
      <c r="AK7496">
        <v>12.210113478135799</v>
      </c>
      <c r="AL7496">
        <v>87.837135144528503</v>
      </c>
      <c r="AM7496">
        <v>93.401560832757994</v>
      </c>
      <c r="AN7496">
        <v>1.0000000462060601</v>
      </c>
    </row>
    <row r="7497" spans="1:40" x14ac:dyDescent="0.25">
      <c r="A7497" t="str">
        <f>"20190312160830088"</f>
        <v>20190312160830088</v>
      </c>
      <c r="B7497" t="str">
        <f>"1552378110082294"</f>
        <v>1552378110082294</v>
      </c>
      <c r="C7497" t="s">
        <v>40</v>
      </c>
      <c r="D7497">
        <v>4.4215799999999996</v>
      </c>
      <c r="E7497">
        <v>0.42171140000000001</v>
      </c>
      <c r="F7497" t="s">
        <v>82</v>
      </c>
      <c r="G7497">
        <v>-190.78399999999999</v>
      </c>
      <c r="H7497" s="1">
        <v>-9.0078259999999998E-6</v>
      </c>
      <c r="I7497">
        <v>-52.783949999999997</v>
      </c>
      <c r="J7497">
        <v>-200.48410000000001</v>
      </c>
      <c r="K7497">
        <v>1.117049</v>
      </c>
      <c r="L7497">
        <v>-60.291870000000003</v>
      </c>
      <c r="M7497">
        <v>0.92074180000000005</v>
      </c>
      <c r="N7497">
        <v>0</v>
      </c>
      <c r="O7497">
        <v>0.38989360000000001</v>
      </c>
      <c r="P7497">
        <v>0.89584490000000006</v>
      </c>
      <c r="Q7497">
        <v>2.3638570000000001E-2</v>
      </c>
      <c r="R7497">
        <v>0.44373780000000002</v>
      </c>
      <c r="S7497">
        <v>2.4313660000000001</v>
      </c>
      <c r="T7497">
        <v>-0.27703689999999997</v>
      </c>
      <c r="U7497">
        <v>1.8739319999999999</v>
      </c>
      <c r="V7497">
        <v>-5.9942429999999998E-2</v>
      </c>
      <c r="W7497">
        <v>3.7332749999999998E-2</v>
      </c>
      <c r="X7497">
        <v>0.99750349999999999</v>
      </c>
      <c r="Y7497">
        <v>-0.25373879999999999</v>
      </c>
      <c r="Z7497">
        <v>-2.4414849999999998E-2</v>
      </c>
      <c r="AA7497">
        <v>0.96696459999999995</v>
      </c>
      <c r="AB7497">
        <v>27</v>
      </c>
      <c r="AC7497">
        <v>9.7000999999999902</v>
      </c>
      <c r="AD7497">
        <v>-1.117058007826</v>
      </c>
      <c r="AE7497">
        <v>7.5079199999999897</v>
      </c>
      <c r="AF7497">
        <v>-3.10543508347441</v>
      </c>
      <c r="AG7497">
        <v>-1.117058007826</v>
      </c>
      <c r="AH7497">
        <v>11.7623188348929</v>
      </c>
      <c r="AI7497">
        <v>95.246351915433095</v>
      </c>
      <c r="AJ7497">
        <v>104.789510542467</v>
      </c>
      <c r="AK7497">
        <v>12.216533470023199</v>
      </c>
      <c r="AL7497">
        <v>87.860493873134203</v>
      </c>
      <c r="AM7497">
        <v>93.438908373168701</v>
      </c>
      <c r="AN7497">
        <v>1.00000003082455</v>
      </c>
    </row>
    <row r="7498" spans="1:40" x14ac:dyDescent="0.25">
      <c r="A7498" t="str">
        <f>"20190312160830099"</f>
        <v>20190312160830099</v>
      </c>
      <c r="B7498" t="str">
        <f>"1552378110093030"</f>
        <v>1552378110093030</v>
      </c>
      <c r="C7498" t="s">
        <v>40</v>
      </c>
      <c r="D7498">
        <v>4.429799</v>
      </c>
      <c r="E7498">
        <v>0.42249199999999998</v>
      </c>
      <c r="F7498" t="s">
        <v>50</v>
      </c>
      <c r="G7498">
        <v>-152.4965</v>
      </c>
      <c r="H7498">
        <v>0.59575459999999902</v>
      </c>
      <c r="I7498">
        <v>-22.65</v>
      </c>
      <c r="J7498">
        <v>-200.36779999999999</v>
      </c>
      <c r="K7498">
        <v>1.117086</v>
      </c>
      <c r="L7498">
        <v>-60.237180000000002</v>
      </c>
      <c r="M7498">
        <v>0.9188366</v>
      </c>
      <c r="N7498">
        <v>0</v>
      </c>
      <c r="O7498">
        <v>0.39436209999999999</v>
      </c>
      <c r="P7498">
        <v>0.89347770000000004</v>
      </c>
      <c r="Q7498">
        <v>2.347372E-2</v>
      </c>
      <c r="R7498">
        <v>0.4484938</v>
      </c>
      <c r="S7498">
        <v>2.4122469999999998</v>
      </c>
      <c r="T7498">
        <v>-2.620459E-2</v>
      </c>
      <c r="U7498">
        <v>1.8921809999999999</v>
      </c>
      <c r="V7498">
        <v>-6.0398E-2</v>
      </c>
      <c r="W7498">
        <v>3.7162630000000002E-2</v>
      </c>
      <c r="X7498">
        <v>0.99748239999999999</v>
      </c>
      <c r="Y7498">
        <v>-0.25683309999999998</v>
      </c>
      <c r="Z7498">
        <v>-2.3452099999999999E-3</v>
      </c>
      <c r="AA7498">
        <v>0.96645300000000001</v>
      </c>
      <c r="AB7498">
        <v>27</v>
      </c>
      <c r="AC7498">
        <v>47.871299999999898</v>
      </c>
      <c r="AD7498">
        <v>-0.5213314</v>
      </c>
      <c r="AE7498">
        <v>37.587179999999996</v>
      </c>
      <c r="AF7498">
        <v>-15.658407165355699</v>
      </c>
      <c r="AG7498">
        <v>-0.5213314</v>
      </c>
      <c r="AH7498">
        <v>58.810953367923098</v>
      </c>
      <c r="AI7498">
        <v>90.490789710740898</v>
      </c>
      <c r="AJ7498">
        <v>104.909118229661</v>
      </c>
      <c r="AK7498">
        <v>60.862022127339102</v>
      </c>
      <c r="AL7498">
        <v>87.870247859258697</v>
      </c>
      <c r="AM7498">
        <v>93.465054187263704</v>
      </c>
      <c r="AN7498">
        <v>1.00000005889113</v>
      </c>
    </row>
    <row r="7499" spans="1:40" x14ac:dyDescent="0.25">
      <c r="A7499" t="str">
        <f>"20190312160830110"</f>
        <v>20190312160830110</v>
      </c>
      <c r="B7499" t="str">
        <f>"1552378110102790"</f>
        <v>1552378110102790</v>
      </c>
      <c r="C7499" t="s">
        <v>40</v>
      </c>
      <c r="D7499">
        <v>6.2132350000000001</v>
      </c>
      <c r="E7499">
        <v>0.42321500000000001</v>
      </c>
      <c r="F7499" t="s">
        <v>50</v>
      </c>
      <c r="G7499">
        <v>-152.77350000000001</v>
      </c>
      <c r="H7499">
        <v>0.63093759999999999</v>
      </c>
      <c r="I7499">
        <v>-22.650010000000002</v>
      </c>
      <c r="J7499">
        <v>-200.2482</v>
      </c>
      <c r="K7499">
        <v>1.1171230000000001</v>
      </c>
      <c r="L7499">
        <v>-60.18036</v>
      </c>
      <c r="M7499">
        <v>0.91684089999999996</v>
      </c>
      <c r="N7499">
        <v>0</v>
      </c>
      <c r="O7499">
        <v>0.39897959999999999</v>
      </c>
      <c r="P7499">
        <v>0.89095049999999898</v>
      </c>
      <c r="Q7499">
        <v>2.3120450000000001E-2</v>
      </c>
      <c r="R7499">
        <v>0.45351150000000001</v>
      </c>
      <c r="S7499">
        <v>2.4049529999999999</v>
      </c>
      <c r="T7499">
        <v>-2.4565219999999999E-2</v>
      </c>
      <c r="U7499">
        <v>1.899292</v>
      </c>
      <c r="V7499">
        <v>-6.0983830000000003E-2</v>
      </c>
      <c r="W7499">
        <v>3.6802389999999997E-2</v>
      </c>
      <c r="X7499">
        <v>0.99746009999999996</v>
      </c>
      <c r="Y7499">
        <v>-0.2551542</v>
      </c>
      <c r="Z7499">
        <v>-2.2450529999999999E-3</v>
      </c>
      <c r="AA7499">
        <v>0.96689780000000003</v>
      </c>
      <c r="AB7499">
        <v>27</v>
      </c>
      <c r="AC7499">
        <v>47.474699999999899</v>
      </c>
      <c r="AD7499">
        <v>-0.48618539999999899</v>
      </c>
      <c r="AE7499">
        <v>37.530349999999999</v>
      </c>
      <c r="AF7499">
        <v>-15.468611294120301</v>
      </c>
      <c r="AG7499">
        <v>-0.48618539999999899</v>
      </c>
      <c r="AH7499">
        <v>58.503193666004798</v>
      </c>
      <c r="AI7499">
        <v>90.460322142332203</v>
      </c>
      <c r="AJ7499">
        <v>104.81043640708501</v>
      </c>
      <c r="AK7499">
        <v>60.515601135028199</v>
      </c>
      <c r="AL7499">
        <v>87.8909021946059</v>
      </c>
      <c r="AM7499">
        <v>93.498658399465299</v>
      </c>
      <c r="AN7499">
        <v>1.00000004726159</v>
      </c>
    </row>
    <row r="7500" spans="1:40" x14ac:dyDescent="0.25">
      <c r="A7500" t="str">
        <f>"20190312160830121"</f>
        <v>20190312160830121</v>
      </c>
      <c r="B7500" t="str">
        <f>"1552378110112550"</f>
        <v>1552378110112550</v>
      </c>
      <c r="C7500" t="s">
        <v>40</v>
      </c>
      <c r="D7500">
        <v>5.2452589999999999</v>
      </c>
      <c r="E7500">
        <v>0.42142649999999998</v>
      </c>
      <c r="F7500" t="s">
        <v>50</v>
      </c>
      <c r="G7500">
        <v>-153.09540000000001</v>
      </c>
      <c r="H7500">
        <v>0.71989820000000004</v>
      </c>
      <c r="I7500">
        <v>-22.65</v>
      </c>
      <c r="J7500">
        <v>-200.1388</v>
      </c>
      <c r="K7500">
        <v>1.1171580000000001</v>
      </c>
      <c r="L7500">
        <v>-60.127470000000002</v>
      </c>
      <c r="M7500">
        <v>0.91497110000000004</v>
      </c>
      <c r="N7500">
        <v>0</v>
      </c>
      <c r="O7500">
        <v>0.40324850000000001</v>
      </c>
      <c r="P7500">
        <v>0.88862730000000001</v>
      </c>
      <c r="Q7500">
        <v>2.3093249999999999E-2</v>
      </c>
      <c r="R7500">
        <v>0.45804830000000002</v>
      </c>
      <c r="S7500">
        <v>2.3966829999999999</v>
      </c>
      <c r="T7500">
        <v>-2.0190119999999999E-2</v>
      </c>
      <c r="U7500">
        <v>1.9075930000000001</v>
      </c>
      <c r="V7500">
        <v>-6.142338E-2</v>
      </c>
      <c r="W7500">
        <v>3.677047E-2</v>
      </c>
      <c r="X7500">
        <v>0.9974343</v>
      </c>
      <c r="Y7500">
        <v>-0.25432060000000001</v>
      </c>
      <c r="Z7500">
        <v>-1.878397E-3</v>
      </c>
      <c r="AA7500">
        <v>0.96711809999999998</v>
      </c>
      <c r="AB7500">
        <v>27</v>
      </c>
      <c r="AC7500">
        <v>47.043399999999899</v>
      </c>
      <c r="AD7500">
        <v>-0.3972598</v>
      </c>
      <c r="AE7500">
        <v>37.477469999999997</v>
      </c>
      <c r="AF7500">
        <v>-15.3216273866785</v>
      </c>
      <c r="AG7500">
        <v>-0.3972598</v>
      </c>
      <c r="AH7500">
        <v>58.159903415838002</v>
      </c>
      <c r="AI7500">
        <v>90.378440034628895</v>
      </c>
      <c r="AJ7500">
        <v>104.75866218771</v>
      </c>
      <c r="AK7500">
        <v>60.145527235734797</v>
      </c>
      <c r="AL7500">
        <v>87.892732301202201</v>
      </c>
      <c r="AM7500">
        <v>93.523903102562997</v>
      </c>
      <c r="AN7500">
        <v>1.0000000409455601</v>
      </c>
    </row>
    <row r="7501" spans="1:40" x14ac:dyDescent="0.25">
      <c r="A7501" t="str">
        <f>"20190312160830132"</f>
        <v>20190312160830132</v>
      </c>
      <c r="B7501" t="str">
        <f>"1552378110122310"</f>
        <v>1552378110122310</v>
      </c>
      <c r="C7501" t="s">
        <v>40</v>
      </c>
      <c r="D7501">
        <v>7.2192270000000001</v>
      </c>
      <c r="E7501">
        <v>0.42142649999999998</v>
      </c>
      <c r="F7501" t="s">
        <v>50</v>
      </c>
      <c r="G7501">
        <v>-153.97799999999901</v>
      </c>
      <c r="H7501">
        <v>0.7307053</v>
      </c>
      <c r="I7501">
        <v>-22.650010000000002</v>
      </c>
      <c r="J7501">
        <v>-200.02029999999999</v>
      </c>
      <c r="K7501">
        <v>1.1171960000000001</v>
      </c>
      <c r="L7501">
        <v>-60.069789999999998</v>
      </c>
      <c r="M7501">
        <v>0.91291389999999994</v>
      </c>
      <c r="N7501">
        <v>0</v>
      </c>
      <c r="O7501">
        <v>0.40788400000000002</v>
      </c>
      <c r="P7501">
        <v>0.88614669999999895</v>
      </c>
      <c r="Q7501">
        <v>2.3116979999999999E-2</v>
      </c>
      <c r="R7501">
        <v>0.46282770000000001</v>
      </c>
      <c r="S7501">
        <v>2.3803559999999999</v>
      </c>
      <c r="T7501">
        <v>-1.9928100000000001E-2</v>
      </c>
      <c r="U7501">
        <v>1.9325870000000001</v>
      </c>
      <c r="V7501">
        <v>-6.1741039999999997E-2</v>
      </c>
      <c r="W7501">
        <v>3.6791909999999997E-2</v>
      </c>
      <c r="X7501">
        <v>0.99741389999999996</v>
      </c>
      <c r="Y7501">
        <v>-0.25878800000000002</v>
      </c>
      <c r="Z7501">
        <v>-1.8701589999999999E-3</v>
      </c>
      <c r="AA7501">
        <v>0.96593229999999997</v>
      </c>
      <c r="AB7501">
        <v>27</v>
      </c>
      <c r="AC7501">
        <v>46.042299999999997</v>
      </c>
      <c r="AD7501">
        <v>-0.38649069999999902</v>
      </c>
      <c r="AE7501">
        <v>37.419779999999903</v>
      </c>
      <c r="AF7501">
        <v>-15.38215045408</v>
      </c>
      <c r="AG7501">
        <v>-0.38649069999999902</v>
      </c>
      <c r="AH7501">
        <v>57.2994244372398</v>
      </c>
      <c r="AI7501">
        <v>90.373245353066693</v>
      </c>
      <c r="AJ7501">
        <v>105.026880554979</v>
      </c>
      <c r="AK7501">
        <v>59.329452791106199</v>
      </c>
      <c r="AL7501">
        <v>87.891503055006694</v>
      </c>
      <c r="AM7501">
        <v>93.542153465257101</v>
      </c>
      <c r="AN7501">
        <v>1.0000000442874599</v>
      </c>
    </row>
    <row r="7502" spans="1:40" x14ac:dyDescent="0.25">
      <c r="A7502" t="str">
        <f>"20190312160830143"</f>
        <v>20190312160830143</v>
      </c>
      <c r="B7502" t="str">
        <f>"1552378110133046"</f>
        <v>1552378110133046</v>
      </c>
      <c r="C7502" t="s">
        <v>40</v>
      </c>
      <c r="D7502">
        <v>6.9460800000000003</v>
      </c>
      <c r="E7502">
        <v>0.33451619999999999</v>
      </c>
      <c r="F7502" t="s">
        <v>50</v>
      </c>
      <c r="G7502">
        <v>-154.4323</v>
      </c>
      <c r="H7502">
        <v>0.73614499999999905</v>
      </c>
      <c r="I7502">
        <v>-22.650010000000002</v>
      </c>
      <c r="J7502">
        <v>-199.90299999999999</v>
      </c>
      <c r="K7502">
        <v>1.1172359999999999</v>
      </c>
      <c r="L7502">
        <v>-60.011470000000003</v>
      </c>
      <c r="M7502">
        <v>0.91082220000000003</v>
      </c>
      <c r="N7502">
        <v>0</v>
      </c>
      <c r="O7502">
        <v>0.4125336</v>
      </c>
      <c r="P7502">
        <v>0.8834822</v>
      </c>
      <c r="Q7502">
        <v>2.330426E-2</v>
      </c>
      <c r="R7502">
        <v>0.46788449999999998</v>
      </c>
      <c r="S7502">
        <v>2.3699490000000001</v>
      </c>
      <c r="T7502">
        <v>-1.9809480000000001E-2</v>
      </c>
      <c r="U7502">
        <v>1.9453130000000001</v>
      </c>
      <c r="V7502">
        <v>-6.2364120000000002E-2</v>
      </c>
      <c r="W7502">
        <v>3.6970599999999999E-2</v>
      </c>
      <c r="X7502">
        <v>0.99736849999999999</v>
      </c>
      <c r="Y7502">
        <v>-0.25904169999999999</v>
      </c>
      <c r="Z7502">
        <v>-1.8900729999999999E-3</v>
      </c>
      <c r="AA7502">
        <v>0.96586430000000001</v>
      </c>
      <c r="AB7502">
        <v>27</v>
      </c>
      <c r="AC7502">
        <v>45.470700000000001</v>
      </c>
      <c r="AD7502">
        <v>-0.38109100000000001</v>
      </c>
      <c r="AE7502">
        <v>37.361460000000001</v>
      </c>
      <c r="AF7502">
        <v>-15.272487327619899</v>
      </c>
      <c r="AG7502">
        <v>-0.38109100000000001</v>
      </c>
      <c r="AH7502">
        <v>56.832419799064901</v>
      </c>
      <c r="AI7502">
        <v>90.371029270641003</v>
      </c>
      <c r="AJ7502">
        <v>105.041648478748</v>
      </c>
      <c r="AK7502">
        <v>58.8499621048284</v>
      </c>
      <c r="AL7502">
        <v>87.881257844018094</v>
      </c>
      <c r="AM7502">
        <v>93.577970318188093</v>
      </c>
      <c r="AN7502">
        <v>1.0000000167599901</v>
      </c>
    </row>
    <row r="7503" spans="1:40" x14ac:dyDescent="0.25">
      <c r="A7503" t="str">
        <f>"20190312160830156"</f>
        <v>20190312160830156</v>
      </c>
      <c r="B7503" t="str">
        <f>"1552378110152567"</f>
        <v>1552378110152567</v>
      </c>
      <c r="C7503" t="s">
        <v>40</v>
      </c>
      <c r="D7503">
        <v>6.4467829999999999</v>
      </c>
      <c r="E7503">
        <v>0.33212129999999901</v>
      </c>
      <c r="F7503" t="s">
        <v>50</v>
      </c>
      <c r="G7503">
        <v>-167.99860000000001</v>
      </c>
      <c r="H7503">
        <v>8.9329280000000004</v>
      </c>
      <c r="I7503">
        <v>-19.631730000000001</v>
      </c>
      <c r="J7503">
        <v>-199.77969999999999</v>
      </c>
      <c r="K7503">
        <v>1.1172759999999999</v>
      </c>
      <c r="L7503">
        <v>-59.949800000000003</v>
      </c>
      <c r="M7503">
        <v>0.90858850000000002</v>
      </c>
      <c r="N7503">
        <v>0</v>
      </c>
      <c r="O7503">
        <v>0.41742990000000002</v>
      </c>
      <c r="P7503">
        <v>0.88070649999999995</v>
      </c>
      <c r="Q7503">
        <v>2.3483299999999999E-2</v>
      </c>
      <c r="R7503">
        <v>0.4730801</v>
      </c>
      <c r="S7503">
        <v>2.0251619999999999</v>
      </c>
      <c r="T7503">
        <v>0.49610789999999999</v>
      </c>
      <c r="U7503">
        <v>2.5631409999999999</v>
      </c>
      <c r="V7503">
        <v>-6.2880199999999997E-2</v>
      </c>
      <c r="W7503">
        <v>3.7143580000000002E-2</v>
      </c>
      <c r="X7503">
        <v>0.99732969999999999</v>
      </c>
      <c r="Y7503">
        <v>-0.4535768</v>
      </c>
      <c r="Z7503">
        <v>3.010987E-2</v>
      </c>
      <c r="AA7503">
        <v>0.89070839999999996</v>
      </c>
      <c r="AB7503">
        <v>27</v>
      </c>
      <c r="AC7503">
        <v>31.781099999999899</v>
      </c>
      <c r="AD7503">
        <v>7.815652</v>
      </c>
      <c r="AE7503">
        <v>40.318069999999999</v>
      </c>
      <c r="AF7503">
        <v>-22.839371452464601</v>
      </c>
      <c r="AG7503">
        <v>7.815652</v>
      </c>
      <c r="AH7503">
        <v>44.675485874910201</v>
      </c>
      <c r="AI7503">
        <v>81.146318655698295</v>
      </c>
      <c r="AJ7503">
        <v>117.07740241675501</v>
      </c>
      <c r="AK7503">
        <v>50.780117592302403</v>
      </c>
      <c r="AL7503">
        <v>87.871340074260502</v>
      </c>
      <c r="AM7503">
        <v>93.607641097281302</v>
      </c>
      <c r="AN7503">
        <v>1.00000004779467</v>
      </c>
    </row>
    <row r="7504" spans="1:40" x14ac:dyDescent="0.25">
      <c r="A7504" t="str">
        <f>"20190312160830167"</f>
        <v>20190312160830167</v>
      </c>
      <c r="B7504" t="str">
        <f>"1552378110162327"</f>
        <v>1552378110162327</v>
      </c>
      <c r="C7504" t="s">
        <v>40</v>
      </c>
      <c r="D7504">
        <v>6.52433</v>
      </c>
      <c r="E7504">
        <v>0.3290363</v>
      </c>
      <c r="F7504" t="s">
        <v>50</v>
      </c>
      <c r="G7504">
        <v>-169.2439</v>
      </c>
      <c r="H7504">
        <v>7.9938979999999997</v>
      </c>
      <c r="I7504">
        <v>-20.403469999999999</v>
      </c>
      <c r="J7504">
        <v>-199.66</v>
      </c>
      <c r="K7504">
        <v>1.1173169999999999</v>
      </c>
      <c r="L7504">
        <v>-59.888640000000002</v>
      </c>
      <c r="M7504">
        <v>0.90635909999999997</v>
      </c>
      <c r="N7504">
        <v>0</v>
      </c>
      <c r="O7504">
        <v>0.42224830000000002</v>
      </c>
      <c r="P7504">
        <v>0.87801609999999997</v>
      </c>
      <c r="Q7504">
        <v>2.3446120000000001E-2</v>
      </c>
      <c r="R7504">
        <v>0.4780566</v>
      </c>
      <c r="S7504">
        <v>2.0017849999999999</v>
      </c>
      <c r="T7504">
        <v>0.45079829999999999</v>
      </c>
      <c r="U7504">
        <v>2.5924680000000002</v>
      </c>
      <c r="V7504">
        <v>-6.3231259999999997E-2</v>
      </c>
      <c r="W7504">
        <v>3.7103539999999997E-2</v>
      </c>
      <c r="X7504">
        <v>0.997309</v>
      </c>
      <c r="Y7504">
        <v>-0.45887040000000001</v>
      </c>
      <c r="Z7504">
        <v>2.7660179999999999E-2</v>
      </c>
      <c r="AA7504">
        <v>0.88807259999999999</v>
      </c>
      <c r="AB7504">
        <v>27</v>
      </c>
      <c r="AC7504">
        <v>30.4161</v>
      </c>
      <c r="AD7504">
        <v>6.8765809999999998</v>
      </c>
      <c r="AE7504">
        <v>39.485169999999997</v>
      </c>
      <c r="AF7504">
        <v>-22.518474143000599</v>
      </c>
      <c r="AG7504">
        <v>6.8765809999999998</v>
      </c>
      <c r="AH7504">
        <v>43.418830001550099</v>
      </c>
      <c r="AI7504">
        <v>81.997011221667506</v>
      </c>
      <c r="AJ7504">
        <v>117.41278216033101</v>
      </c>
      <c r="AK7504">
        <v>49.391941070199501</v>
      </c>
      <c r="AL7504">
        <v>87.873635791132997</v>
      </c>
      <c r="AM7504">
        <v>93.627804005954502</v>
      </c>
      <c r="AN7504">
        <v>1.00000005320135</v>
      </c>
    </row>
    <row r="7505" spans="1:40" x14ac:dyDescent="0.25">
      <c r="A7505" t="str">
        <f>"20190312160830178"</f>
        <v>20190312160830178</v>
      </c>
      <c r="B7505" t="str">
        <f>"1552378110173062"</f>
        <v>1552378110173062</v>
      </c>
      <c r="C7505" t="s">
        <v>40</v>
      </c>
      <c r="D7505">
        <v>4.5256089999999896</v>
      </c>
      <c r="E7505">
        <v>0.32527800000000001</v>
      </c>
      <c r="F7505" t="s">
        <v>50</v>
      </c>
      <c r="G7505">
        <v>-169.2439</v>
      </c>
      <c r="H7505">
        <v>7.956823</v>
      </c>
      <c r="I7505">
        <v>-19.46508</v>
      </c>
      <c r="J7505">
        <v>-199.5411</v>
      </c>
      <c r="K7505">
        <v>1.1173580000000001</v>
      </c>
      <c r="L7505">
        <v>-59.827359999999999</v>
      </c>
      <c r="M7505">
        <v>0.90410659999999998</v>
      </c>
      <c r="N7505">
        <v>0</v>
      </c>
      <c r="O7505">
        <v>0.42704950000000003</v>
      </c>
      <c r="P7505">
        <v>0.87532009999999905</v>
      </c>
      <c r="Q7505">
        <v>2.3213500000000001E-2</v>
      </c>
      <c r="R7505">
        <v>0.48298619999999998</v>
      </c>
      <c r="S7505">
        <v>1.9754640000000001</v>
      </c>
      <c r="T7505">
        <v>0.44421159999999998</v>
      </c>
      <c r="U7505">
        <v>2.6254270000000002</v>
      </c>
      <c r="V7505">
        <v>-6.3547099999999995E-2</v>
      </c>
      <c r="W7505">
        <v>3.6869100000000002E-2</v>
      </c>
      <c r="X7505">
        <v>0.99729760000000001</v>
      </c>
      <c r="Y7505">
        <v>-0.46522429999999898</v>
      </c>
      <c r="Z7505">
        <v>2.7433300000000001E-2</v>
      </c>
      <c r="AA7505">
        <v>0.88476769999999905</v>
      </c>
      <c r="AB7505">
        <v>27</v>
      </c>
      <c r="AC7505">
        <v>30.2972</v>
      </c>
      <c r="AD7505">
        <v>6.8394649999999997</v>
      </c>
      <c r="AE7505">
        <v>40.362279999999998</v>
      </c>
      <c r="AF7505">
        <v>-23.131168600464999</v>
      </c>
      <c r="AG7505">
        <v>6.8394649999999997</v>
      </c>
      <c r="AH7505">
        <v>43.8285536448264</v>
      </c>
      <c r="AI7505">
        <v>82.142282440623404</v>
      </c>
      <c r="AJ7505">
        <v>117.82351557521</v>
      </c>
      <c r="AK7505">
        <v>50.027705892902901</v>
      </c>
      <c r="AL7505">
        <v>87.887077368926199</v>
      </c>
      <c r="AM7505">
        <v>93.645917686969099</v>
      </c>
      <c r="AN7505">
        <v>1.0000000337094801</v>
      </c>
    </row>
    <row r="7506" spans="1:40" x14ac:dyDescent="0.25">
      <c r="A7506" t="str">
        <f>"20190312160830190"</f>
        <v>20190312160830190</v>
      </c>
      <c r="B7506" t="str">
        <f>"1552378110182822"</f>
        <v>1552378110182822</v>
      </c>
      <c r="C7506" t="s">
        <v>40</v>
      </c>
      <c r="D7506">
        <v>6.9564320000000004</v>
      </c>
      <c r="E7506">
        <v>0.3236869</v>
      </c>
      <c r="F7506" t="s">
        <v>50</v>
      </c>
      <c r="G7506">
        <v>-169.2439</v>
      </c>
      <c r="H7506">
        <v>8.0459820000000004</v>
      </c>
      <c r="I7506">
        <v>-18.38259</v>
      </c>
      <c r="J7506">
        <v>-199.41669999999999</v>
      </c>
      <c r="K7506">
        <v>1.117399</v>
      </c>
      <c r="L7506">
        <v>-59.762239999999998</v>
      </c>
      <c r="M7506">
        <v>0.90169670000000002</v>
      </c>
      <c r="N7506">
        <v>0</v>
      </c>
      <c r="O7506">
        <v>0.43211440000000001</v>
      </c>
      <c r="P7506">
        <v>0.87253309999999995</v>
      </c>
      <c r="Q7506">
        <v>2.3026810000000002E-2</v>
      </c>
      <c r="R7506">
        <v>0.4880121</v>
      </c>
      <c r="S7506">
        <v>1.9463649999999999</v>
      </c>
      <c r="T7506">
        <v>0.44511020000000001</v>
      </c>
      <c r="U7506">
        <v>2.662506</v>
      </c>
      <c r="V7506">
        <v>-6.3686400000000004E-2</v>
      </c>
      <c r="W7506">
        <v>3.6683739999999999E-2</v>
      </c>
      <c r="X7506">
        <v>0.9972955</v>
      </c>
      <c r="Y7506">
        <v>-0.47244340000000001</v>
      </c>
      <c r="Z7506">
        <v>2.7619709999999999E-2</v>
      </c>
      <c r="AA7506">
        <v>0.88092819999999905</v>
      </c>
      <c r="AB7506">
        <v>27</v>
      </c>
      <c r="AC7506">
        <v>30.172799999999899</v>
      </c>
      <c r="AD7506">
        <v>6.9285829999999997</v>
      </c>
      <c r="AE7506">
        <v>41.379649999999998</v>
      </c>
      <c r="AF7506">
        <v>-23.840097759357501</v>
      </c>
      <c r="AG7506">
        <v>6.9285829999999997</v>
      </c>
      <c r="AH7506">
        <v>44.281888751682899</v>
      </c>
      <c r="AI7506">
        <v>82.1558287434205</v>
      </c>
      <c r="AJ7506">
        <v>118.296747204721</v>
      </c>
      <c r="AK7506">
        <v>50.766536172758897</v>
      </c>
      <c r="AL7506">
        <v>87.897704799730505</v>
      </c>
      <c r="AM7506">
        <v>93.653895856909699</v>
      </c>
      <c r="AN7506">
        <v>0.99999998432279802</v>
      </c>
    </row>
    <row r="7507" spans="1:40" x14ac:dyDescent="0.25">
      <c r="A7507" t="str">
        <f>"20190312160830202"</f>
        <v>20190312160830202</v>
      </c>
      <c r="B7507" t="str">
        <f>"1552378110192582"</f>
        <v>1552378110192582</v>
      </c>
      <c r="C7507" t="s">
        <v>40</v>
      </c>
      <c r="D7507">
        <v>6.6135179999999902</v>
      </c>
      <c r="E7507">
        <v>0.32391229999999999</v>
      </c>
      <c r="F7507" t="s">
        <v>50</v>
      </c>
      <c r="G7507">
        <v>-169.2439</v>
      </c>
      <c r="H7507">
        <v>8.2703880000000005</v>
      </c>
      <c r="I7507">
        <v>-17.682870000000001</v>
      </c>
      <c r="J7507">
        <v>-199.30289999999999</v>
      </c>
      <c r="K7507">
        <v>1.117437</v>
      </c>
      <c r="L7507">
        <v>-59.701720000000002</v>
      </c>
      <c r="M7507">
        <v>0.89944210000000002</v>
      </c>
      <c r="N7507">
        <v>0</v>
      </c>
      <c r="O7507">
        <v>0.4367876</v>
      </c>
      <c r="P7507">
        <v>0.87008700000000005</v>
      </c>
      <c r="Q7507">
        <v>2.2852520000000001E-2</v>
      </c>
      <c r="R7507">
        <v>0.49236819999999998</v>
      </c>
      <c r="S7507">
        <v>1.9248499999999999</v>
      </c>
      <c r="T7507">
        <v>0.45631850000000002</v>
      </c>
      <c r="U7507">
        <v>2.684418</v>
      </c>
      <c r="V7507">
        <v>-6.3495609999999994E-2</v>
      </c>
      <c r="W7507">
        <v>3.6516960000000001E-2</v>
      </c>
      <c r="X7507">
        <v>0.99731380000000003</v>
      </c>
      <c r="Y7507">
        <v>-0.47592800000000002</v>
      </c>
      <c r="Z7507">
        <v>2.8723619999999998E-2</v>
      </c>
      <c r="AA7507">
        <v>0.87901509999999905</v>
      </c>
      <c r="AB7507">
        <v>27</v>
      </c>
      <c r="AC7507">
        <v>30.059000000000001</v>
      </c>
      <c r="AD7507">
        <v>7.1529509999999998</v>
      </c>
      <c r="AE7507">
        <v>42.018849999999901</v>
      </c>
      <c r="AF7507">
        <v>-24.202896687055201</v>
      </c>
      <c r="AG7507">
        <v>7.1529509999999998</v>
      </c>
      <c r="AH7507">
        <v>44.540840942734697</v>
      </c>
      <c r="AI7507">
        <v>81.968223103756898</v>
      </c>
      <c r="AJ7507">
        <v>118.51906473727</v>
      </c>
      <c r="AK7507">
        <v>51.194056568498901</v>
      </c>
      <c r="AL7507">
        <v>87.907267026023604</v>
      </c>
      <c r="AM7507">
        <v>93.642912469748893</v>
      </c>
      <c r="AN7507">
        <v>0.99999999826367603</v>
      </c>
    </row>
    <row r="7508" spans="1:40" x14ac:dyDescent="0.25">
      <c r="A7508" t="str">
        <f>"20190312160830212"</f>
        <v>20190312160830212</v>
      </c>
      <c r="B7508" t="str">
        <f>"1552378110202341"</f>
        <v>1552378110202341</v>
      </c>
      <c r="C7508" t="s">
        <v>40</v>
      </c>
      <c r="D7508">
        <v>6.5859639999999997</v>
      </c>
      <c r="E7508">
        <v>0.32404090000000002</v>
      </c>
      <c r="F7508" t="s">
        <v>50</v>
      </c>
      <c r="G7508">
        <v>-169.2439</v>
      </c>
      <c r="H7508">
        <v>8.4743999999999993</v>
      </c>
      <c r="I7508">
        <v>-17.384319999999999</v>
      </c>
      <c r="J7508">
        <v>-199.19579999999999</v>
      </c>
      <c r="K7508">
        <v>1.1174789999999999</v>
      </c>
      <c r="L7508">
        <v>-59.644379999999998</v>
      </c>
      <c r="M7508">
        <v>0.89728719999999995</v>
      </c>
      <c r="N7508">
        <v>0</v>
      </c>
      <c r="O7508">
        <v>0.44119710000000001</v>
      </c>
      <c r="P7508">
        <v>0.86779050000000002</v>
      </c>
      <c r="Q7508">
        <v>2.3019410000000001E-2</v>
      </c>
      <c r="R7508">
        <v>0.49639680000000003</v>
      </c>
      <c r="S7508">
        <v>1.912247</v>
      </c>
      <c r="T7508">
        <v>0.46802270000000001</v>
      </c>
      <c r="U7508">
        <v>2.692078</v>
      </c>
      <c r="V7508">
        <v>-6.3232209999999997E-2</v>
      </c>
      <c r="W7508">
        <v>3.669232E-2</v>
      </c>
      <c r="X7508">
        <v>0.99732410000000005</v>
      </c>
      <c r="Y7508">
        <v>-0.47553469999999998</v>
      </c>
      <c r="Z7508">
        <v>3.018935E-2</v>
      </c>
      <c r="AA7508">
        <v>0.87917880000000004</v>
      </c>
      <c r="AB7508">
        <v>26</v>
      </c>
      <c r="AC7508">
        <v>29.951899999999899</v>
      </c>
      <c r="AD7508">
        <v>7.3569209999999901</v>
      </c>
      <c r="AE7508">
        <v>42.260059999999903</v>
      </c>
      <c r="AF7508">
        <v>-24.218883919301</v>
      </c>
      <c r="AG7508">
        <v>7.3569209999999901</v>
      </c>
      <c r="AH7508">
        <v>44.625280507638301</v>
      </c>
      <c r="AI7508">
        <v>81.755434562758396</v>
      </c>
      <c r="AJ7508">
        <v>118.48942200529</v>
      </c>
      <c r="AK7508">
        <v>51.3039402510394</v>
      </c>
      <c r="AL7508">
        <v>87.897212902858897</v>
      </c>
      <c r="AM7508">
        <v>93.627803584343795</v>
      </c>
      <c r="AN7508">
        <v>0.99999999958463803</v>
      </c>
    </row>
    <row r="7509" spans="1:40" x14ac:dyDescent="0.25">
      <c r="A7509" t="str">
        <f>"20190312160830222"</f>
        <v>20190312160830222</v>
      </c>
      <c r="B7509" t="str">
        <f>"1552378110213078"</f>
        <v>1552378110213078</v>
      </c>
      <c r="C7509" t="s">
        <v>40</v>
      </c>
      <c r="D7509">
        <v>6.4601569999999997</v>
      </c>
      <c r="E7509">
        <v>0.32424750000000002</v>
      </c>
      <c r="F7509" t="s">
        <v>50</v>
      </c>
      <c r="G7509">
        <v>-167.99860000000001</v>
      </c>
      <c r="H7509">
        <v>8.9766089999999998</v>
      </c>
      <c r="I7509">
        <v>-15.31662</v>
      </c>
      <c r="J7509">
        <v>-199.09229999999999</v>
      </c>
      <c r="K7509">
        <v>1.1175139999999999</v>
      </c>
      <c r="L7509">
        <v>-59.587829999999997</v>
      </c>
      <c r="M7509">
        <v>0.89515290000000003</v>
      </c>
      <c r="N7509">
        <v>0</v>
      </c>
      <c r="O7509">
        <v>0.4455112</v>
      </c>
      <c r="P7509">
        <v>0.86541889999999999</v>
      </c>
      <c r="Q7509">
        <v>2.2771019999999999E-2</v>
      </c>
      <c r="R7509">
        <v>0.50053149999999902</v>
      </c>
      <c r="S7509">
        <v>1.90004</v>
      </c>
      <c r="T7509">
        <v>0.47865210000000002</v>
      </c>
      <c r="U7509">
        <v>2.699738</v>
      </c>
      <c r="V7509">
        <v>-6.3185699999999997E-2</v>
      </c>
      <c r="W7509">
        <v>3.6448340000000003E-2</v>
      </c>
      <c r="X7509">
        <v>0.997336</v>
      </c>
      <c r="Y7509">
        <v>-0.47514519999999999</v>
      </c>
      <c r="Z7509">
        <v>3.1603409999999998E-2</v>
      </c>
      <c r="AA7509">
        <v>0.87933969999999995</v>
      </c>
      <c r="AB7509">
        <v>26</v>
      </c>
      <c r="AC7509">
        <v>31.093699999999899</v>
      </c>
      <c r="AD7509">
        <v>7.8590949999999999</v>
      </c>
      <c r="AE7509">
        <v>44.271209999999897</v>
      </c>
      <c r="AF7509">
        <v>-25.246956233095698</v>
      </c>
      <c r="AG7509">
        <v>7.8590949999999999</v>
      </c>
      <c r="AH7509">
        <v>46.579200247956599</v>
      </c>
      <c r="AI7509">
        <v>81.562453460818105</v>
      </c>
      <c r="AJ7509">
        <v>118.458671721367</v>
      </c>
      <c r="AK7509">
        <v>53.561143275644497</v>
      </c>
      <c r="AL7509">
        <v>87.911201296702501</v>
      </c>
      <c r="AM7509">
        <v>93.625099158580298</v>
      </c>
      <c r="AN7509">
        <v>1.0000000055346201</v>
      </c>
    </row>
    <row r="7510" spans="1:40" x14ac:dyDescent="0.25">
      <c r="A7510" t="str">
        <f>"20190312160830232"</f>
        <v>20190312160830232</v>
      </c>
      <c r="B7510" t="str">
        <f>"1552378110222838"</f>
        <v>1552378110222838</v>
      </c>
      <c r="C7510" t="s">
        <v>40</v>
      </c>
      <c r="D7510">
        <v>6.3727600000000004</v>
      </c>
      <c r="E7510">
        <v>0.32353300000000002</v>
      </c>
      <c r="F7510" t="s">
        <v>50</v>
      </c>
      <c r="G7510">
        <v>-167.99860000000001</v>
      </c>
      <c r="H7510">
        <v>9.1144400000000001</v>
      </c>
      <c r="I7510">
        <v>-15.008369999999999</v>
      </c>
      <c r="J7510">
        <v>-198.9787</v>
      </c>
      <c r="K7510">
        <v>1.1175489999999999</v>
      </c>
      <c r="L7510">
        <v>-59.525509999999997</v>
      </c>
      <c r="M7510">
        <v>0.89278009999999997</v>
      </c>
      <c r="N7510">
        <v>0</v>
      </c>
      <c r="O7510">
        <v>0.45024720000000001</v>
      </c>
      <c r="P7510">
        <v>0.86287230000000004</v>
      </c>
      <c r="Q7510">
        <v>2.2812740000000001E-2</v>
      </c>
      <c r="R7510">
        <v>0.50490709999999905</v>
      </c>
      <c r="S7510">
        <v>1.888107</v>
      </c>
      <c r="T7510">
        <v>0.48559750000000002</v>
      </c>
      <c r="U7510">
        <v>2.707001</v>
      </c>
      <c r="V7510">
        <v>-6.2956380000000006E-2</v>
      </c>
      <c r="W7510">
        <v>3.6497889999999998E-2</v>
      </c>
      <c r="X7510">
        <v>0.99734869999999998</v>
      </c>
      <c r="Y7510">
        <v>-0.4742287</v>
      </c>
      <c r="Z7510">
        <v>3.291649E-2</v>
      </c>
      <c r="AA7510">
        <v>0.87978619999999996</v>
      </c>
      <c r="AB7510">
        <v>26</v>
      </c>
      <c r="AC7510">
        <v>30.9801</v>
      </c>
      <c r="AD7510">
        <v>7.9968909999999997</v>
      </c>
      <c r="AE7510">
        <v>44.517139999999998</v>
      </c>
      <c r="AF7510">
        <v>-25.2492380574561</v>
      </c>
      <c r="AG7510">
        <v>7.9968909999999997</v>
      </c>
      <c r="AH7510">
        <v>46.692301350374699</v>
      </c>
      <c r="AI7510">
        <v>81.432717025973503</v>
      </c>
      <c r="AJ7510">
        <v>118.402663187735</v>
      </c>
      <c r="AK7510">
        <v>53.680958388819597</v>
      </c>
      <c r="AL7510">
        <v>87.908360421617999</v>
      </c>
      <c r="AM7510">
        <v>93.611931598926901</v>
      </c>
      <c r="AN7510">
        <v>1.00000001557442</v>
      </c>
    </row>
    <row r="7511" spans="1:40" x14ac:dyDescent="0.25">
      <c r="A7511" t="str">
        <f>"20190312160830245"</f>
        <v>20190312160830245</v>
      </c>
      <c r="B7511" t="str">
        <f>"1552378110232598"</f>
        <v>1552378110232598</v>
      </c>
      <c r="C7511" t="s">
        <v>40</v>
      </c>
      <c r="D7511">
        <v>6.6552600000000002</v>
      </c>
      <c r="E7511">
        <v>0.32353300000000002</v>
      </c>
      <c r="F7511" t="s">
        <v>50</v>
      </c>
      <c r="G7511">
        <v>-167.99860000000001</v>
      </c>
      <c r="H7511">
        <v>9.2869930000000007</v>
      </c>
      <c r="I7511">
        <v>-14.47602</v>
      </c>
      <c r="J7511">
        <v>-198.8656</v>
      </c>
      <c r="K7511">
        <v>1.1175850000000001</v>
      </c>
      <c r="L7511">
        <v>-59.462069999999997</v>
      </c>
      <c r="M7511">
        <v>0.89035169999999997</v>
      </c>
      <c r="N7511">
        <v>0</v>
      </c>
      <c r="O7511">
        <v>0.4550302</v>
      </c>
      <c r="P7511">
        <v>0.86036659999999898</v>
      </c>
      <c r="Q7511">
        <v>2.2713290000000001E-2</v>
      </c>
      <c r="R7511">
        <v>0.5091696</v>
      </c>
      <c r="S7511">
        <v>1.8713839999999999</v>
      </c>
      <c r="T7511">
        <v>0.49348189999999997</v>
      </c>
      <c r="U7511">
        <v>2.7212519999999998</v>
      </c>
      <c r="V7511">
        <v>-6.2540910000000005E-2</v>
      </c>
      <c r="W7511">
        <v>3.6410699999999997E-2</v>
      </c>
      <c r="X7511">
        <v>0.99737799999999999</v>
      </c>
      <c r="Y7511">
        <v>-0.47534559999999998</v>
      </c>
      <c r="Z7511">
        <v>3.4133070000000001E-2</v>
      </c>
      <c r="AA7511">
        <v>0.87913680000000005</v>
      </c>
      <c r="AB7511">
        <v>26</v>
      </c>
      <c r="AC7511">
        <v>30.866999999999901</v>
      </c>
      <c r="AD7511">
        <v>8.16940799999999</v>
      </c>
      <c r="AE7511">
        <v>44.986049999999899</v>
      </c>
      <c r="AF7511">
        <v>-25.4404443147656</v>
      </c>
      <c r="AG7511">
        <v>8.16940799999999</v>
      </c>
      <c r="AH7511">
        <v>46.9060810627251</v>
      </c>
      <c r="AI7511">
        <v>81.295774916105401</v>
      </c>
      <c r="AJ7511">
        <v>118.47406956031401</v>
      </c>
      <c r="AK7511">
        <v>53.9827368208217</v>
      </c>
      <c r="AL7511">
        <v>87.9133593092144</v>
      </c>
      <c r="AM7511">
        <v>93.588052611933406</v>
      </c>
      <c r="AN7511">
        <v>0.99999998969105897</v>
      </c>
    </row>
    <row r="7512" spans="1:40" x14ac:dyDescent="0.25">
      <c r="A7512" t="str">
        <f>"20190312160830256"</f>
        <v>20190312160830256</v>
      </c>
      <c r="B7512" t="str">
        <f>"1552378110253094"</f>
        <v>1552378110253094</v>
      </c>
      <c r="C7512" t="s">
        <v>40</v>
      </c>
      <c r="D7512">
        <v>6.4492609999999999</v>
      </c>
      <c r="E7512">
        <v>0.3360051</v>
      </c>
      <c r="F7512" t="s">
        <v>50</v>
      </c>
      <c r="G7512">
        <v>-167.99860000000001</v>
      </c>
      <c r="H7512">
        <v>9.3066429999999993</v>
      </c>
      <c r="I7512">
        <v>-14.09389</v>
      </c>
      <c r="J7512">
        <v>-198.7516</v>
      </c>
      <c r="K7512">
        <v>1.117621</v>
      </c>
      <c r="L7512">
        <v>-59.397739999999999</v>
      </c>
      <c r="M7512">
        <v>0.88786719999999897</v>
      </c>
      <c r="N7512">
        <v>0</v>
      </c>
      <c r="O7512">
        <v>0.45985870000000001</v>
      </c>
      <c r="P7512">
        <v>0.85784359999999904</v>
      </c>
      <c r="Q7512">
        <v>2.234964E-2</v>
      </c>
      <c r="R7512">
        <v>0.51342480000000001</v>
      </c>
      <c r="S7512">
        <v>1.8578490000000001</v>
      </c>
      <c r="T7512">
        <v>0.49288870000000001</v>
      </c>
      <c r="U7512">
        <v>2.7306520000000001</v>
      </c>
      <c r="V7512">
        <v>-6.2056119999999999E-2</v>
      </c>
      <c r="W7512">
        <v>3.6060450000000001E-2</v>
      </c>
      <c r="X7512">
        <v>0.997421</v>
      </c>
      <c r="Y7512">
        <v>-0.4749989</v>
      </c>
      <c r="Z7512">
        <v>3.4926949999999998E-2</v>
      </c>
      <c r="AA7512">
        <v>0.87929299999999999</v>
      </c>
      <c r="AB7512">
        <v>26</v>
      </c>
      <c r="AC7512">
        <v>30.752999999999901</v>
      </c>
      <c r="AD7512">
        <v>8.1890219999999996</v>
      </c>
      <c r="AE7512">
        <v>45.303849999999997</v>
      </c>
      <c r="AF7512">
        <v>-25.5139923792558</v>
      </c>
      <c r="AG7512">
        <v>8.1890219999999996</v>
      </c>
      <c r="AH7512">
        <v>47.090031841254003</v>
      </c>
      <c r="AI7512">
        <v>81.306761983223595</v>
      </c>
      <c r="AJ7512">
        <v>118.449411472009</v>
      </c>
      <c r="AK7512">
        <v>54.180208446032402</v>
      </c>
      <c r="AL7512">
        <v>87.933440333601695</v>
      </c>
      <c r="AM7512">
        <v>93.560158309196495</v>
      </c>
      <c r="AN7512">
        <v>0.99999998466232798</v>
      </c>
    </row>
    <row r="7513" spans="1:40" x14ac:dyDescent="0.25">
      <c r="A7513" t="str">
        <f>"20190312160830615"</f>
        <v>20190312160830615</v>
      </c>
      <c r="B7513" t="str">
        <f>"1552378110602503"</f>
        <v>1552378110602503</v>
      </c>
      <c r="C7513" t="s">
        <v>40</v>
      </c>
      <c r="D7513">
        <v>6.3135149999999998</v>
      </c>
      <c r="E7513">
        <v>0.32574979999999998</v>
      </c>
      <c r="F7513" t="s">
        <v>50</v>
      </c>
      <c r="G7513">
        <v>-157.3501</v>
      </c>
      <c r="H7513">
        <v>6.5016049999999996</v>
      </c>
      <c r="I7513">
        <v>-1.4326380000000001</v>
      </c>
      <c r="J7513">
        <v>-195.3964</v>
      </c>
      <c r="K7513">
        <v>1.1182449999999999</v>
      </c>
      <c r="L7513">
        <v>-57.045409999999997</v>
      </c>
      <c r="M7513">
        <v>0.78854429999999998</v>
      </c>
      <c r="N7513">
        <v>0</v>
      </c>
      <c r="O7513">
        <v>0.61479200000000001</v>
      </c>
      <c r="P7513">
        <v>0.74966440000000001</v>
      </c>
      <c r="Q7513">
        <v>1.9839099999999998E-2</v>
      </c>
      <c r="R7513">
        <v>0.66152069999999996</v>
      </c>
      <c r="S7513">
        <v>1.8992309999999999</v>
      </c>
      <c r="T7513">
        <v>0.24698149999999999</v>
      </c>
      <c r="U7513">
        <v>2.6590579999999999</v>
      </c>
      <c r="V7513">
        <v>-6.1450499999999998E-2</v>
      </c>
      <c r="W7513">
        <v>3.3693439999999998E-2</v>
      </c>
      <c r="X7513">
        <v>0.99754120000000002</v>
      </c>
      <c r="Y7513">
        <v>-0.28497919999999999</v>
      </c>
      <c r="Z7513">
        <v>3.7724090000000002E-2</v>
      </c>
      <c r="AA7513">
        <v>0.95779110000000001</v>
      </c>
      <c r="AB7513">
        <v>26</v>
      </c>
      <c r="AC7513">
        <v>38.046300000000002</v>
      </c>
      <c r="AD7513">
        <v>5.3833599999999997</v>
      </c>
      <c r="AE7513">
        <v>55.612772</v>
      </c>
      <c r="AF7513">
        <v>-20.335115386425301</v>
      </c>
      <c r="AG7513">
        <v>5.3833599999999997</v>
      </c>
      <c r="AH7513">
        <v>63.791641815693097</v>
      </c>
      <c r="AI7513">
        <v>85.403113927522696</v>
      </c>
      <c r="AJ7513">
        <v>107.68092806559</v>
      </c>
      <c r="AK7513">
        <v>67.170462617213801</v>
      </c>
      <c r="AL7513">
        <v>88.069142501935701</v>
      </c>
      <c r="AM7513">
        <v>93.5250782256375</v>
      </c>
      <c r="AN7513">
        <v>0.99999992877335897</v>
      </c>
    </row>
    <row r="7514" spans="1:40" x14ac:dyDescent="0.25">
      <c r="A7514" t="str">
        <f>"20190312160830625"</f>
        <v>20190312160830625</v>
      </c>
      <c r="B7514" t="str">
        <f>"1552378110622999"</f>
        <v>1552378110622999</v>
      </c>
      <c r="C7514" t="s">
        <v>40</v>
      </c>
      <c r="D7514">
        <v>6.2620680000000002</v>
      </c>
      <c r="E7514">
        <v>0.36194609999999999</v>
      </c>
      <c r="F7514" t="s">
        <v>50</v>
      </c>
      <c r="G7514">
        <v>-167.06970000000001</v>
      </c>
      <c r="H7514">
        <v>6.0567060000000001</v>
      </c>
      <c r="I7514">
        <v>7.3802320000000003</v>
      </c>
      <c r="J7514">
        <v>-195.29650000000001</v>
      </c>
      <c r="K7514">
        <v>1.118252</v>
      </c>
      <c r="L7514">
        <v>-56.958979999999997</v>
      </c>
      <c r="M7514">
        <v>0.78468479999999996</v>
      </c>
      <c r="N7514">
        <v>0</v>
      </c>
      <c r="O7514">
        <v>0.61971049999999905</v>
      </c>
      <c r="P7514">
        <v>0.74559069999999905</v>
      </c>
      <c r="Q7514">
        <v>1.9591730000000002E-2</v>
      </c>
      <c r="R7514">
        <v>0.66611609999999999</v>
      </c>
      <c r="S7514">
        <v>1.3287960000000001</v>
      </c>
      <c r="T7514">
        <v>0.23166139999999999</v>
      </c>
      <c r="U7514">
        <v>3.022186</v>
      </c>
      <c r="V7514">
        <v>-6.1336370000000001E-2</v>
      </c>
      <c r="W7514">
        <v>3.3450859999999999E-2</v>
      </c>
      <c r="X7514">
        <v>0.99755640000000001</v>
      </c>
      <c r="Y7514">
        <v>-0.46905910000000001</v>
      </c>
      <c r="Z7514">
        <v>2.972267E-2</v>
      </c>
      <c r="AA7514">
        <v>0.88266650000000002</v>
      </c>
      <c r="AB7514">
        <v>26</v>
      </c>
      <c r="AC7514">
        <v>28.226800000000001</v>
      </c>
      <c r="AD7514">
        <v>4.9384540000000001</v>
      </c>
      <c r="AE7514">
        <v>64.339212000000003</v>
      </c>
      <c r="AF7514">
        <v>-32.835104317658903</v>
      </c>
      <c r="AG7514">
        <v>4.9384540000000001</v>
      </c>
      <c r="AH7514">
        <v>61.722968347142</v>
      </c>
      <c r="AI7514">
        <v>85.959518573745697</v>
      </c>
      <c r="AJ7514">
        <v>118.01188141664601</v>
      </c>
      <c r="AK7514">
        <v>70.087496923801993</v>
      </c>
      <c r="AL7514">
        <v>88.083049175350595</v>
      </c>
      <c r="AM7514">
        <v>93.518494198083602</v>
      </c>
      <c r="AN7514">
        <v>0.99999994075023602</v>
      </c>
    </row>
    <row r="7515" spans="1:40" x14ac:dyDescent="0.25">
      <c r="A7515" t="str">
        <f>"20190312160830637"</f>
        <v>20190312160830637</v>
      </c>
      <c r="B7515" t="str">
        <f>"1552378110632760"</f>
        <v>1552378110632760</v>
      </c>
      <c r="C7515" t="s">
        <v>40</v>
      </c>
      <c r="D7515">
        <v>6.2592790000000003</v>
      </c>
      <c r="E7515">
        <v>0.36255330000000002</v>
      </c>
      <c r="F7515" t="s">
        <v>47</v>
      </c>
      <c r="G7515">
        <v>-186.12710000000001</v>
      </c>
      <c r="H7515" s="1">
        <v>-1.241418E-6</v>
      </c>
      <c r="I7515">
        <v>-39.732059999999997</v>
      </c>
      <c r="J7515">
        <v>-195.20599999999999</v>
      </c>
      <c r="K7515">
        <v>1.1182609999999999</v>
      </c>
      <c r="L7515">
        <v>-56.880249999999997</v>
      </c>
      <c r="M7515">
        <v>0.78115009999999996</v>
      </c>
      <c r="N7515">
        <v>0</v>
      </c>
      <c r="O7515">
        <v>0.6241601</v>
      </c>
      <c r="P7515">
        <v>0.74203260000000004</v>
      </c>
      <c r="Q7515">
        <v>1.9407540000000001E-2</v>
      </c>
      <c r="R7515">
        <v>0.67008279999999998</v>
      </c>
      <c r="S7515">
        <v>1.5040129999999901</v>
      </c>
      <c r="T7515">
        <v>-0.183422</v>
      </c>
      <c r="U7515">
        <v>2.825653</v>
      </c>
      <c r="V7515">
        <v>-6.0980920000000001E-2</v>
      </c>
      <c r="W7515">
        <v>3.3276920000000001E-2</v>
      </c>
      <c r="X7515">
        <v>0.99758400000000003</v>
      </c>
      <c r="Y7515">
        <v>-0.39651649999999999</v>
      </c>
      <c r="Z7515">
        <v>-2.6483969999999999E-2</v>
      </c>
      <c r="AA7515">
        <v>0.9176455</v>
      </c>
      <c r="AB7515">
        <v>26</v>
      </c>
      <c r="AC7515">
        <v>9.0788999999999707</v>
      </c>
      <c r="AD7515">
        <v>-1.1182622414179999</v>
      </c>
      <c r="AE7515">
        <v>17.14819</v>
      </c>
      <c r="AF7515">
        <v>-7.7039183289554698</v>
      </c>
      <c r="AG7515">
        <v>-1.1182622414179999</v>
      </c>
      <c r="AH7515">
        <v>17.738316516331398</v>
      </c>
      <c r="AI7515">
        <v>93.3093917514542</v>
      </c>
      <c r="AJ7515">
        <v>113.475761312743</v>
      </c>
      <c r="AK7515">
        <v>19.3713381286206</v>
      </c>
      <c r="AL7515">
        <v>88.093020737731294</v>
      </c>
      <c r="AM7515">
        <v>93.498058432737196</v>
      </c>
      <c r="AN7515">
        <v>0.99999993153236399</v>
      </c>
    </row>
    <row r="7516" spans="1:40" x14ac:dyDescent="0.25">
      <c r="A7516" t="str">
        <f>"20190312160830649"</f>
        <v>20190312160830649</v>
      </c>
      <c r="B7516" t="str">
        <f>"1552378110642518"</f>
        <v>1552378110642518</v>
      </c>
      <c r="C7516" t="s">
        <v>40</v>
      </c>
      <c r="D7516">
        <v>6.2762089999999997</v>
      </c>
      <c r="E7516">
        <v>0.3631085</v>
      </c>
      <c r="F7516" t="s">
        <v>47</v>
      </c>
      <c r="G7516">
        <v>-186.03710000000001</v>
      </c>
      <c r="H7516" s="1">
        <v>-1.3481649999999999E-6</v>
      </c>
      <c r="I7516">
        <v>-39.488790000000002</v>
      </c>
      <c r="J7516">
        <v>-195.10239999999999</v>
      </c>
      <c r="K7516">
        <v>1.118266</v>
      </c>
      <c r="L7516">
        <v>-56.788569999999901</v>
      </c>
      <c r="M7516">
        <v>0.77702950000000004</v>
      </c>
      <c r="N7516">
        <v>0</v>
      </c>
      <c r="O7516">
        <v>0.62928219999999901</v>
      </c>
      <c r="P7516">
        <v>0.73768389999999995</v>
      </c>
      <c r="Q7516">
        <v>1.9520320000000001E-2</v>
      </c>
      <c r="R7516">
        <v>0.67486409999999997</v>
      </c>
      <c r="S7516">
        <v>1.4920500000000001</v>
      </c>
      <c r="T7516">
        <v>-0.18197260000000001</v>
      </c>
      <c r="U7516">
        <v>2.8300779999999999</v>
      </c>
      <c r="V7516">
        <v>-6.0873650000000001E-2</v>
      </c>
      <c r="W7516">
        <v>3.3395109999999999E-2</v>
      </c>
      <c r="X7516">
        <v>0.99758670000000005</v>
      </c>
      <c r="Y7516">
        <v>-0.39410919999999999</v>
      </c>
      <c r="Z7516">
        <v>-2.668862E-2</v>
      </c>
      <c r="AA7516">
        <v>0.9186761</v>
      </c>
      <c r="AB7516">
        <v>26</v>
      </c>
      <c r="AC7516">
        <v>9.0652999999999793</v>
      </c>
      <c r="AD7516">
        <v>-1.1182673481649901</v>
      </c>
      <c r="AE7516">
        <v>17.299779999999899</v>
      </c>
      <c r="AF7516">
        <v>-7.7134075189916498</v>
      </c>
      <c r="AG7516">
        <v>-1.1182673481649901</v>
      </c>
      <c r="AH7516">
        <v>17.873908297658399</v>
      </c>
      <c r="AI7516">
        <v>93.287660688854004</v>
      </c>
      <c r="AJ7516">
        <v>113.342403086819</v>
      </c>
      <c r="AK7516">
        <v>19.4993275588957</v>
      </c>
      <c r="AL7516">
        <v>88.086245370457107</v>
      </c>
      <c r="AM7516">
        <v>93.491910897859995</v>
      </c>
      <c r="AN7516">
        <v>1.0000000293265601</v>
      </c>
    </row>
    <row r="7517" spans="1:40" x14ac:dyDescent="0.25">
      <c r="A7517" t="str">
        <f>"20190312160830661"</f>
        <v>20190312160830661</v>
      </c>
      <c r="B7517" t="str">
        <f>"1552378110653255"</f>
        <v>1552378110653255</v>
      </c>
      <c r="C7517" t="s">
        <v>40</v>
      </c>
      <c r="D7517">
        <v>6.2137560000000001</v>
      </c>
      <c r="E7517">
        <v>0.36326930000000002</v>
      </c>
      <c r="F7517" t="s">
        <v>47</v>
      </c>
      <c r="G7517">
        <v>-185.89830000000001</v>
      </c>
      <c r="H7517" s="1">
        <v>-1.5139739999999999E-6</v>
      </c>
      <c r="I7517">
        <v>-39.110039999999998</v>
      </c>
      <c r="J7517">
        <v>-195.00720000000001</v>
      </c>
      <c r="K7517">
        <v>1.118274</v>
      </c>
      <c r="L7517">
        <v>-56.703339999999997</v>
      </c>
      <c r="M7517">
        <v>0.77318549999999997</v>
      </c>
      <c r="N7517">
        <v>0</v>
      </c>
      <c r="O7517">
        <v>0.63399930000000004</v>
      </c>
      <c r="P7517">
        <v>0.73367669999999996</v>
      </c>
      <c r="Q7517">
        <v>1.9831600000000001E-2</v>
      </c>
      <c r="R7517">
        <v>0.67920939999999996</v>
      </c>
      <c r="S7517">
        <v>1.476715</v>
      </c>
      <c r="T7517">
        <v>-0.1794162</v>
      </c>
      <c r="U7517">
        <v>2.8363649999999998</v>
      </c>
      <c r="V7517">
        <v>-6.0706990000000002E-2</v>
      </c>
      <c r="W7517">
        <v>3.3712510000000001E-2</v>
      </c>
      <c r="X7517">
        <v>0.99758610000000003</v>
      </c>
      <c r="Y7517">
        <v>-0.39325539999999998</v>
      </c>
      <c r="Z7517">
        <v>-2.665671E-2</v>
      </c>
      <c r="AA7517">
        <v>0.91904280000000005</v>
      </c>
      <c r="AB7517">
        <v>26</v>
      </c>
      <c r="AC7517">
        <v>9.1089000000000002</v>
      </c>
      <c r="AD7517">
        <v>-1.1182755139739999</v>
      </c>
      <c r="AE7517">
        <v>17.593299999999999</v>
      </c>
      <c r="AF7517">
        <v>-7.8038808513494002</v>
      </c>
      <c r="AG7517">
        <v>-1.1182755139739999</v>
      </c>
      <c r="AH7517">
        <v>18.141293505216002</v>
      </c>
      <c r="AI7517">
        <v>93.240944998192305</v>
      </c>
      <c r="AJ7517">
        <v>113.276032913175</v>
      </c>
      <c r="AK7517">
        <v>19.780233226875801</v>
      </c>
      <c r="AL7517">
        <v>88.068049290199596</v>
      </c>
      <c r="AM7517">
        <v>93.482376385327996</v>
      </c>
      <c r="AN7517">
        <v>0.99999994943928305</v>
      </c>
    </row>
    <row r="7518" spans="1:40" x14ac:dyDescent="0.25">
      <c r="A7518" t="str">
        <f>"20190312160830672"</f>
        <v>20190312160830672</v>
      </c>
      <c r="B7518" t="str">
        <f>"1552378110663015"</f>
        <v>1552378110663015</v>
      </c>
      <c r="C7518" t="s">
        <v>40</v>
      </c>
      <c r="D7518">
        <v>6.5607579999999999</v>
      </c>
      <c r="E7518">
        <v>0.36326930000000002</v>
      </c>
      <c r="F7518" t="s">
        <v>47</v>
      </c>
      <c r="G7518">
        <v>-185.72049999999999</v>
      </c>
      <c r="H7518" s="1">
        <v>-1.7276369999999999E-6</v>
      </c>
      <c r="I7518">
        <v>-38.621180000000003</v>
      </c>
      <c r="J7518">
        <v>-194.90649999999999</v>
      </c>
      <c r="K7518">
        <v>1.1182829999999999</v>
      </c>
      <c r="L7518">
        <v>-56.612270000000002</v>
      </c>
      <c r="M7518">
        <v>0.76906049999999904</v>
      </c>
      <c r="N7518">
        <v>0</v>
      </c>
      <c r="O7518">
        <v>0.63899669999999997</v>
      </c>
      <c r="P7518">
        <v>0.72944049999999905</v>
      </c>
      <c r="Q7518">
        <v>2.0141880000000001E-2</v>
      </c>
      <c r="R7518">
        <v>0.68374769999999996</v>
      </c>
      <c r="S7518">
        <v>1.4607239999999999</v>
      </c>
      <c r="T7518">
        <v>-0.17589569999999999</v>
      </c>
      <c r="U7518">
        <v>2.8441770000000002</v>
      </c>
      <c r="V7518">
        <v>-6.044327E-2</v>
      </c>
      <c r="W7518">
        <v>3.4031319999999997E-2</v>
      </c>
      <c r="X7518">
        <v>0.99759129999999996</v>
      </c>
      <c r="Y7518">
        <v>-0.3924088</v>
      </c>
      <c r="Z7518">
        <v>-2.6479329999999999E-2</v>
      </c>
      <c r="AA7518">
        <v>0.9194097</v>
      </c>
      <c r="AB7518">
        <v>26</v>
      </c>
      <c r="AC7518">
        <v>9.1859999999999999</v>
      </c>
      <c r="AD7518">
        <v>-1.1182847276369901</v>
      </c>
      <c r="AE7518">
        <v>17.99109</v>
      </c>
      <c r="AF7518">
        <v>-7.9429836083966601</v>
      </c>
      <c r="AG7518">
        <v>-1.1182847276369901</v>
      </c>
      <c r="AH7518">
        <v>18.506249108198801</v>
      </c>
      <c r="AI7518">
        <v>93.178301797883293</v>
      </c>
      <c r="AJ7518">
        <v>113.229274961941</v>
      </c>
      <c r="AK7518">
        <v>20.169848918374001</v>
      </c>
      <c r="AL7518">
        <v>88.049772356117998</v>
      </c>
      <c r="AM7518">
        <v>93.467267393001194</v>
      </c>
      <c r="AN7518">
        <v>0.999999960732461</v>
      </c>
    </row>
    <row r="7519" spans="1:40" x14ac:dyDescent="0.25">
      <c r="A7519" t="str">
        <f>"20190312160830684"</f>
        <v>20190312160830684</v>
      </c>
      <c r="B7519" t="str">
        <f>"1552378110672775"</f>
        <v>1552378110672775</v>
      </c>
      <c r="C7519" t="s">
        <v>40</v>
      </c>
      <c r="D7519">
        <v>6.2770339999999996</v>
      </c>
      <c r="E7519">
        <v>0.31349870000000002</v>
      </c>
      <c r="F7519" t="s">
        <v>47</v>
      </c>
      <c r="G7519">
        <v>-185.66460000000001</v>
      </c>
      <c r="H7519" s="1">
        <v>-1.838082E-6</v>
      </c>
      <c r="I7519">
        <v>-38.340400000000002</v>
      </c>
      <c r="J7519">
        <v>-194.81399999999999</v>
      </c>
      <c r="K7519">
        <v>1.118295</v>
      </c>
      <c r="L7519">
        <v>-56.527009999999997</v>
      </c>
      <c r="M7519">
        <v>0.76519630000000005</v>
      </c>
      <c r="N7519">
        <v>0</v>
      </c>
      <c r="O7519">
        <v>0.64361889999999999</v>
      </c>
      <c r="P7519">
        <v>0.72525819999999996</v>
      </c>
      <c r="Q7519">
        <v>2.051248E-2</v>
      </c>
      <c r="R7519">
        <v>0.68817130000000004</v>
      </c>
      <c r="S7519">
        <v>1.44313</v>
      </c>
      <c r="T7519">
        <v>-0.17462</v>
      </c>
      <c r="U7519">
        <v>2.8531490000000002</v>
      </c>
      <c r="V7519">
        <v>-6.0513860000000003E-2</v>
      </c>
      <c r="W7519">
        <v>3.4402559999999999E-2</v>
      </c>
      <c r="X7519">
        <v>0.99757430000000002</v>
      </c>
      <c r="Y7519">
        <v>-0.39254679999999997</v>
      </c>
      <c r="Z7519">
        <v>-2.6579559999999999E-2</v>
      </c>
      <c r="AA7519">
        <v>0.9193479</v>
      </c>
      <c r="AB7519">
        <v>26</v>
      </c>
      <c r="AC7519">
        <v>9.1494000000000106</v>
      </c>
      <c r="AD7519">
        <v>-1.118296838082</v>
      </c>
      <c r="AE7519">
        <v>18.186609999999899</v>
      </c>
      <c r="AF7519">
        <v>-8.0043685194917504</v>
      </c>
      <c r="AG7519">
        <v>-1.118296838082</v>
      </c>
      <c r="AH7519">
        <v>18.652197931258002</v>
      </c>
      <c r="AI7519">
        <v>93.153593721278398</v>
      </c>
      <c r="AJ7519">
        <v>113.226013968071</v>
      </c>
      <c r="AK7519">
        <v>20.327936217942</v>
      </c>
      <c r="AL7519">
        <v>88.028489432879098</v>
      </c>
      <c r="AM7519">
        <v>93.471365832383</v>
      </c>
      <c r="AN7519">
        <v>0.99999997370357097</v>
      </c>
    </row>
    <row r="7520" spans="1:40" x14ac:dyDescent="0.25">
      <c r="A7520" t="str">
        <f>"20190312160830695"</f>
        <v>20190312160830695</v>
      </c>
      <c r="B7520" t="str">
        <f>"1552378110693270"</f>
        <v>1552378110693270</v>
      </c>
      <c r="C7520" t="s">
        <v>40</v>
      </c>
      <c r="D7520">
        <v>6.2892979999999996</v>
      </c>
      <c r="E7520">
        <v>0.31479639999999998</v>
      </c>
      <c r="F7520" t="s">
        <v>88</v>
      </c>
      <c r="G7520">
        <v>-164.7929</v>
      </c>
      <c r="H7520">
        <v>13.26951</v>
      </c>
      <c r="I7520">
        <v>25.184899999999999</v>
      </c>
      <c r="J7520">
        <v>-194.72290000000001</v>
      </c>
      <c r="K7520">
        <v>1.118301</v>
      </c>
      <c r="L7520">
        <v>-56.442659999999997</v>
      </c>
      <c r="M7520">
        <v>0.76135249999999999</v>
      </c>
      <c r="N7520">
        <v>0</v>
      </c>
      <c r="O7520">
        <v>0.64816119999999899</v>
      </c>
      <c r="P7520">
        <v>0.7212385</v>
      </c>
      <c r="Q7520">
        <v>2.0980990000000001E-2</v>
      </c>
      <c r="R7520">
        <v>0.69236900000000001</v>
      </c>
      <c r="S7520">
        <v>1.150925</v>
      </c>
      <c r="T7520">
        <v>0.4658428</v>
      </c>
      <c r="U7520">
        <v>3.1325989999999999</v>
      </c>
      <c r="V7520">
        <v>-6.038586E-2</v>
      </c>
      <c r="W7520">
        <v>3.4876249999999998E-2</v>
      </c>
      <c r="X7520">
        <v>0.99756560000000005</v>
      </c>
      <c r="Y7520">
        <v>-0.49152309999999999</v>
      </c>
      <c r="Z7520">
        <v>6.2124430000000001E-2</v>
      </c>
      <c r="AA7520">
        <v>0.86864580000000002</v>
      </c>
      <c r="AB7520">
        <v>26</v>
      </c>
      <c r="AC7520">
        <v>29.93</v>
      </c>
      <c r="AD7520">
        <v>12.151209</v>
      </c>
      <c r="AE7520">
        <v>81.627559999999903</v>
      </c>
      <c r="AF7520">
        <v>-41.933670901960397</v>
      </c>
      <c r="AG7520">
        <v>12.151209</v>
      </c>
      <c r="AH7520">
        <v>74.253346598451103</v>
      </c>
      <c r="AI7520">
        <v>81.890358940943102</v>
      </c>
      <c r="AJ7520">
        <v>119.455058876317</v>
      </c>
      <c r="AK7520">
        <v>86.137356103756204</v>
      </c>
      <c r="AL7520">
        <v>88.001332680498194</v>
      </c>
      <c r="AM7520">
        <v>93.464071173242104</v>
      </c>
      <c r="AN7520">
        <v>0.99999996560268001</v>
      </c>
    </row>
    <row r="7521" spans="1:40" x14ac:dyDescent="0.25">
      <c r="A7521" t="str">
        <f>"20190312160830704"</f>
        <v>20190312160830704</v>
      </c>
      <c r="B7521" t="str">
        <f>"1552378110693270"</f>
        <v>1552378110693270</v>
      </c>
      <c r="C7521" t="s">
        <v>40</v>
      </c>
      <c r="D7521">
        <v>6.2892979999999996</v>
      </c>
      <c r="E7521">
        <v>0.31479639999999998</v>
      </c>
      <c r="F7521" t="s">
        <v>88</v>
      </c>
      <c r="G7521">
        <v>-165.00729999999999</v>
      </c>
      <c r="H7521">
        <v>14.383570000000001</v>
      </c>
      <c r="I7521">
        <v>25.184899999999999</v>
      </c>
      <c r="J7521">
        <v>-194.64179999999999</v>
      </c>
      <c r="K7521">
        <v>1.118309</v>
      </c>
      <c r="L7521">
        <v>-56.366059999999997</v>
      </c>
      <c r="M7521">
        <v>0.75785990000000003</v>
      </c>
      <c r="N7521">
        <v>0</v>
      </c>
      <c r="O7521">
        <v>0.65224139999999997</v>
      </c>
      <c r="P7521">
        <v>0.7176439</v>
      </c>
      <c r="Q7521">
        <v>2.1048069999999999E-2</v>
      </c>
      <c r="R7521">
        <v>0.69609209999999999</v>
      </c>
      <c r="S7521">
        <v>1.1395869999999999</v>
      </c>
      <c r="T7521">
        <v>0.50872029999999901</v>
      </c>
      <c r="U7521">
        <v>3.1304020000000001</v>
      </c>
      <c r="V7521">
        <v>-6.0193049999999998E-2</v>
      </c>
      <c r="W7521">
        <v>3.494916E-2</v>
      </c>
      <c r="X7521">
        <v>0.99757470000000004</v>
      </c>
      <c r="Y7521">
        <v>-0.48952449999999997</v>
      </c>
      <c r="Z7521">
        <v>6.8766179999999996E-2</v>
      </c>
      <c r="AA7521">
        <v>0.86927379999999999</v>
      </c>
      <c r="AB7521">
        <v>26</v>
      </c>
      <c r="AC7521">
        <v>29.634499999999999</v>
      </c>
      <c r="AD7521">
        <v>13.265260999999899</v>
      </c>
      <c r="AE7521">
        <v>81.550960000000003</v>
      </c>
      <c r="AF7521">
        <v>-41.510030607568098</v>
      </c>
      <c r="AG7521">
        <v>13.265260999999899</v>
      </c>
      <c r="AH7521">
        <v>73.930444346464199</v>
      </c>
      <c r="AI7521">
        <v>81.107908622129202</v>
      </c>
      <c r="AJ7521">
        <v>119.31308283094199</v>
      </c>
      <c r="AK7521">
        <v>85.818182174321294</v>
      </c>
      <c r="AL7521">
        <v>87.997152694731497</v>
      </c>
      <c r="AM7521">
        <v>93.453005894325102</v>
      </c>
      <c r="AN7521">
        <v>0.99999996456654805</v>
      </c>
    </row>
    <row r="7522" spans="1:40" x14ac:dyDescent="0.25">
      <c r="A7522" t="str">
        <f>"20190312160830716"</f>
        <v>20190312160830716</v>
      </c>
      <c r="B7522" t="str">
        <f>"1552378110712790"</f>
        <v>1552378110712790</v>
      </c>
      <c r="C7522" t="s">
        <v>40</v>
      </c>
      <c r="D7522">
        <v>6.2614070000000002</v>
      </c>
      <c r="E7522">
        <v>0.31656780000000001</v>
      </c>
      <c r="F7522" t="s">
        <v>88</v>
      </c>
      <c r="G7522">
        <v>-165.42699999999999</v>
      </c>
      <c r="H7522">
        <v>14.361269999999999</v>
      </c>
      <c r="I7522">
        <v>25.184899999999999</v>
      </c>
      <c r="J7522">
        <v>-194.5532</v>
      </c>
      <c r="K7522">
        <v>1.1183149999999999</v>
      </c>
      <c r="L7522">
        <v>-56.281979999999997</v>
      </c>
      <c r="M7522">
        <v>0.75400780000000001</v>
      </c>
      <c r="N7522">
        <v>0</v>
      </c>
      <c r="O7522">
        <v>0.65669069999999996</v>
      </c>
      <c r="P7522">
        <v>0.71327010000000002</v>
      </c>
      <c r="Q7522">
        <v>2.1181200000000001E-2</v>
      </c>
      <c r="R7522">
        <v>0.700569199999999</v>
      </c>
      <c r="S7522">
        <v>1.123489</v>
      </c>
      <c r="T7522">
        <v>0.5092738</v>
      </c>
      <c r="U7522">
        <v>3.136139</v>
      </c>
      <c r="V7522">
        <v>-6.0569989999999997E-2</v>
      </c>
      <c r="W7522">
        <v>3.5076400000000001E-2</v>
      </c>
      <c r="X7522">
        <v>0.99754739999999997</v>
      </c>
      <c r="Y7522">
        <v>-0.48888280000000001</v>
      </c>
      <c r="Z7522">
        <v>6.9710430000000004E-2</v>
      </c>
      <c r="AA7522">
        <v>0.86955969999999905</v>
      </c>
      <c r="AB7522">
        <v>26</v>
      </c>
      <c r="AC7522">
        <v>29.126199999999901</v>
      </c>
      <c r="AD7522">
        <v>13.242955</v>
      </c>
      <c r="AE7522">
        <v>81.466880000000003</v>
      </c>
      <c r="AF7522">
        <v>-41.336120627758</v>
      </c>
      <c r="AG7522">
        <v>13.242955</v>
      </c>
      <c r="AH7522">
        <v>73.7408596372766</v>
      </c>
      <c r="AI7522">
        <v>81.096744772756495</v>
      </c>
      <c r="AJ7522">
        <v>119.27321333208801</v>
      </c>
      <c r="AK7522">
        <v>85.567313302038002</v>
      </c>
      <c r="AL7522">
        <v>87.989857870230196</v>
      </c>
      <c r="AM7522">
        <v>93.474671300569895</v>
      </c>
      <c r="AN7522">
        <v>0.99999994638615797</v>
      </c>
    </row>
    <row r="7523" spans="1:40" x14ac:dyDescent="0.25">
      <c r="A7523" t="str">
        <f>"20190312160830738"</f>
        <v>20190312160830738</v>
      </c>
      <c r="B7523" t="str">
        <f>"1552378110733286"</f>
        <v>1552378110733286</v>
      </c>
      <c r="C7523" t="s">
        <v>40</v>
      </c>
      <c r="D7523">
        <v>6.2903469999999997</v>
      </c>
      <c r="E7523">
        <v>0.3619926</v>
      </c>
      <c r="F7523" t="s">
        <v>88</v>
      </c>
      <c r="G7523">
        <v>-165.58850000000001</v>
      </c>
      <c r="H7523">
        <v>14.675409999999999</v>
      </c>
      <c r="I7523">
        <v>25.184899999999999</v>
      </c>
      <c r="J7523">
        <v>-194.37989999999999</v>
      </c>
      <c r="K7523">
        <v>1.118328</v>
      </c>
      <c r="L7523">
        <v>-56.11401</v>
      </c>
      <c r="M7523">
        <v>0.74629259999999997</v>
      </c>
      <c r="N7523">
        <v>0</v>
      </c>
      <c r="O7523">
        <v>0.66544539999999996</v>
      </c>
      <c r="P7523">
        <v>0.7050033</v>
      </c>
      <c r="Q7523">
        <v>2.1045830000000001E-2</v>
      </c>
      <c r="R7523">
        <v>0.70889169999999901</v>
      </c>
      <c r="S7523">
        <v>1.113739</v>
      </c>
      <c r="T7523">
        <v>0.52129300000000001</v>
      </c>
      <c r="U7523">
        <v>3.1325379999999998</v>
      </c>
      <c r="V7523">
        <v>-6.0630679999999999E-2</v>
      </c>
      <c r="W7523">
        <v>3.49444E-2</v>
      </c>
      <c r="X7523">
        <v>0.9975484</v>
      </c>
      <c r="Y7523">
        <v>-0.48089369999999998</v>
      </c>
      <c r="Z7523">
        <v>7.3699870000000001E-2</v>
      </c>
      <c r="AA7523">
        <v>0.87367589999999995</v>
      </c>
      <c r="AB7523">
        <v>26</v>
      </c>
      <c r="AC7523">
        <v>28.7913999999999</v>
      </c>
      <c r="AD7523">
        <v>13.557081999999999</v>
      </c>
      <c r="AE7523">
        <v>81.298909999999907</v>
      </c>
      <c r="AF7523">
        <v>-40.517311139086203</v>
      </c>
      <c r="AG7523">
        <v>13.557081999999999</v>
      </c>
      <c r="AH7523">
        <v>73.772654925069205</v>
      </c>
      <c r="AI7523">
        <v>80.849738612760405</v>
      </c>
      <c r="AJ7523">
        <v>118.776407472982</v>
      </c>
      <c r="AK7523">
        <v>85.251695519734895</v>
      </c>
      <c r="AL7523">
        <v>87.997425661122193</v>
      </c>
      <c r="AM7523">
        <v>93.478140835553106</v>
      </c>
      <c r="AN7523">
        <v>1.00000000039559</v>
      </c>
    </row>
    <row r="7524" spans="1:40" x14ac:dyDescent="0.25">
      <c r="A7524" t="str">
        <f>"20190312160830748"</f>
        <v>20190312160830748</v>
      </c>
      <c r="B7524" t="str">
        <f>"1552378110743046"</f>
        <v>1552378110743046</v>
      </c>
      <c r="C7524" t="s">
        <v>40</v>
      </c>
      <c r="D7524">
        <v>6.755509</v>
      </c>
      <c r="E7524">
        <v>0.3619926</v>
      </c>
      <c r="F7524" t="s">
        <v>47</v>
      </c>
      <c r="G7524">
        <v>-175.22569999999999</v>
      </c>
      <c r="H7524">
        <v>7.9985860000000006E-2</v>
      </c>
      <c r="I7524">
        <v>-14.4012799999999</v>
      </c>
      <c r="J7524">
        <v>-194.286</v>
      </c>
      <c r="K7524">
        <v>1.118333</v>
      </c>
      <c r="L7524">
        <v>-56.021270000000001</v>
      </c>
      <c r="M7524">
        <v>0.74201510000000004</v>
      </c>
      <c r="N7524">
        <v>0</v>
      </c>
      <c r="O7524">
        <v>0.67021169999999997</v>
      </c>
      <c r="P7524">
        <v>0.70021809999999995</v>
      </c>
      <c r="Q7524">
        <v>2.102008E-2</v>
      </c>
      <c r="R7524">
        <v>0.71361940000000001</v>
      </c>
      <c r="S7524">
        <v>1.334732</v>
      </c>
      <c r="T7524">
        <v>-7.2355030000000001E-2</v>
      </c>
      <c r="U7524">
        <v>2.9066770000000002</v>
      </c>
      <c r="V7524">
        <v>-6.095325E-2</v>
      </c>
      <c r="W7524">
        <v>3.4913899999999998E-2</v>
      </c>
      <c r="X7524">
        <v>0.99752980000000002</v>
      </c>
      <c r="Y7524">
        <v>-0.39471600000000001</v>
      </c>
      <c r="Z7524">
        <v>-1.1707469999999999E-2</v>
      </c>
      <c r="AA7524">
        <v>0.91872860000000001</v>
      </c>
      <c r="AB7524">
        <v>26</v>
      </c>
      <c r="AC7524">
        <v>19.060299999999899</v>
      </c>
      <c r="AD7524">
        <v>-1.0383471399999999</v>
      </c>
      <c r="AE7524">
        <v>41.619990000000001</v>
      </c>
      <c r="AF7524">
        <v>-18.100993453097001</v>
      </c>
      <c r="AG7524">
        <v>-1.0383471399999999</v>
      </c>
      <c r="AH7524">
        <v>42.020447084398697</v>
      </c>
      <c r="AI7524">
        <v>91.3000746538047</v>
      </c>
      <c r="AJ7524">
        <v>113.30474998003901</v>
      </c>
      <c r="AK7524">
        <v>45.7650751331729</v>
      </c>
      <c r="AL7524">
        <v>87.999174229580305</v>
      </c>
      <c r="AM7524">
        <v>93.496664639511593</v>
      </c>
      <c r="AN7524">
        <v>0.99999999049340604</v>
      </c>
    </row>
    <row r="7525" spans="1:40" x14ac:dyDescent="0.25">
      <c r="A7525" t="str">
        <f>"20190312160830761"</f>
        <v>20190312160830761</v>
      </c>
      <c r="B7525" t="str">
        <f>"1552378110752807"</f>
        <v>1552378110752807</v>
      </c>
      <c r="C7525" t="s">
        <v>40</v>
      </c>
      <c r="D7525">
        <v>6.4072659999999999</v>
      </c>
      <c r="E7525">
        <v>0.36295189999999999</v>
      </c>
      <c r="F7525" t="s">
        <v>47</v>
      </c>
      <c r="G7525">
        <v>-175.39949999999999</v>
      </c>
      <c r="H7525">
        <v>7.9985920000000002E-2</v>
      </c>
      <c r="I7525">
        <v>-14.15241</v>
      </c>
      <c r="J7525">
        <v>-194.19159999999999</v>
      </c>
      <c r="K7525">
        <v>1.1183369999999999</v>
      </c>
      <c r="L7525">
        <v>-55.9268199999999</v>
      </c>
      <c r="M7525">
        <v>0.73764689999999999</v>
      </c>
      <c r="N7525">
        <v>0</v>
      </c>
      <c r="O7525">
        <v>0.67501630000000001</v>
      </c>
      <c r="P7525">
        <v>0.69553189999999998</v>
      </c>
      <c r="Q7525">
        <v>2.1023859999999998E-2</v>
      </c>
      <c r="R7525">
        <v>0.71818760000000004</v>
      </c>
      <c r="S7525">
        <v>1.31517</v>
      </c>
      <c r="T7525">
        <v>-7.2305800000000003E-2</v>
      </c>
      <c r="U7525">
        <v>2.9155579999999999</v>
      </c>
      <c r="V7525">
        <v>-6.100556E-2</v>
      </c>
      <c r="W7525">
        <v>3.4919150000000003E-2</v>
      </c>
      <c r="X7525">
        <v>0.99752640000000004</v>
      </c>
      <c r="Y7525">
        <v>-0.39492060000000001</v>
      </c>
      <c r="Z7525">
        <v>-1.182655E-2</v>
      </c>
      <c r="AA7525">
        <v>0.91863910000000004</v>
      </c>
      <c r="AB7525">
        <v>26</v>
      </c>
      <c r="AC7525">
        <v>18.792100000000001</v>
      </c>
      <c r="AD7525">
        <v>-1.03835108</v>
      </c>
      <c r="AE7525">
        <v>41.774409999999897</v>
      </c>
      <c r="AF7525">
        <v>-18.122563730286799</v>
      </c>
      <c r="AG7525">
        <v>-1.03835108</v>
      </c>
      <c r="AH7525">
        <v>42.043576823022697</v>
      </c>
      <c r="AI7525">
        <v>91.299234295853495</v>
      </c>
      <c r="AJ7525">
        <v>113.31809032897699</v>
      </c>
      <c r="AK7525">
        <v>45.794845137821497</v>
      </c>
      <c r="AL7525">
        <v>87.998873206265202</v>
      </c>
      <c r="AM7525">
        <v>93.499669916273106</v>
      </c>
      <c r="AN7525">
        <v>0.99999997204229696</v>
      </c>
    </row>
    <row r="7526" spans="1:40" x14ac:dyDescent="0.25">
      <c r="A7526" t="str">
        <f>"20190312160830772"</f>
        <v>20190312160830772</v>
      </c>
      <c r="B7526" t="str">
        <f>"1552378110762567"</f>
        <v>1552378110762567</v>
      </c>
      <c r="C7526" t="s">
        <v>40</v>
      </c>
      <c r="D7526">
        <v>6.4472709999999998</v>
      </c>
      <c r="E7526">
        <v>0.36371619999999999</v>
      </c>
      <c r="F7526" t="s">
        <v>47</v>
      </c>
      <c r="G7526">
        <v>-179.85550000000001</v>
      </c>
      <c r="H7526">
        <v>7.9985829999999994E-2</v>
      </c>
      <c r="I7526">
        <v>-23.76755</v>
      </c>
      <c r="J7526">
        <v>-194.1</v>
      </c>
      <c r="K7526">
        <v>1.1183419999999999</v>
      </c>
      <c r="L7526">
        <v>-55.83426</v>
      </c>
      <c r="M7526">
        <v>0.73335229999999996</v>
      </c>
      <c r="N7526">
        <v>0</v>
      </c>
      <c r="O7526">
        <v>0.67967959999999905</v>
      </c>
      <c r="P7526">
        <v>0.6907778</v>
      </c>
      <c r="Q7526">
        <v>2.0804659999999999E-2</v>
      </c>
      <c r="R7526">
        <v>0.72276779999999996</v>
      </c>
      <c r="S7526">
        <v>1.3014680000000001</v>
      </c>
      <c r="T7526">
        <v>-9.4264029999999999E-2</v>
      </c>
      <c r="U7526">
        <v>2.919495</v>
      </c>
      <c r="V7526">
        <v>-6.126384E-2</v>
      </c>
      <c r="W7526">
        <v>3.4696600000000001E-2</v>
      </c>
      <c r="X7526">
        <v>0.99751840000000003</v>
      </c>
      <c r="Y7526">
        <v>-0.3931733</v>
      </c>
      <c r="Z7526">
        <v>-1.56107E-2</v>
      </c>
      <c r="AA7526">
        <v>0.91933180000000003</v>
      </c>
      <c r="AB7526">
        <v>25</v>
      </c>
      <c r="AC7526">
        <v>14.244499999999899</v>
      </c>
      <c r="AD7526">
        <v>-1.0383561699999999</v>
      </c>
      <c r="AE7526">
        <v>32.06671</v>
      </c>
      <c r="AF7526">
        <v>-13.823984918924999</v>
      </c>
      <c r="AG7526">
        <v>-1.0383561699999999</v>
      </c>
      <c r="AH7526">
        <v>32.2168212842261</v>
      </c>
      <c r="AI7526">
        <v>91.696529721686801</v>
      </c>
      <c r="AJ7526">
        <v>113.223791021682</v>
      </c>
      <c r="AK7526">
        <v>35.072843001875498</v>
      </c>
      <c r="AL7526">
        <v>88.011632239704895</v>
      </c>
      <c r="AM7526">
        <v>93.514477568903601</v>
      </c>
      <c r="AN7526">
        <v>1.00000003524083</v>
      </c>
    </row>
    <row r="7527" spans="1:40" x14ac:dyDescent="0.25">
      <c r="A7527" t="str">
        <f>"20190312160830785"</f>
        <v>20190312160830785</v>
      </c>
      <c r="B7527" t="str">
        <f>"1552378110773303"</f>
        <v>1552378110773303</v>
      </c>
      <c r="C7527" t="s">
        <v>40</v>
      </c>
      <c r="D7527">
        <v>6.3677700000000002</v>
      </c>
      <c r="E7527">
        <v>0.36452250000000003</v>
      </c>
      <c r="F7527" t="s">
        <v>47</v>
      </c>
      <c r="G7527">
        <v>-181.17</v>
      </c>
      <c r="H7527" s="1">
        <v>-3.679314E-6</v>
      </c>
      <c r="I7527">
        <v>-26.444030000000001</v>
      </c>
      <c r="J7527">
        <v>-194.01</v>
      </c>
      <c r="K7527">
        <v>1.118341</v>
      </c>
      <c r="L7527">
        <v>-55.741639999999997</v>
      </c>
      <c r="M7527">
        <v>0.72905120000000001</v>
      </c>
      <c r="N7527">
        <v>0</v>
      </c>
      <c r="O7527">
        <v>0.68429110000000004</v>
      </c>
      <c r="P7527">
        <v>0.6860752</v>
      </c>
      <c r="Q7527">
        <v>2.0433659999999999E-2</v>
      </c>
      <c r="R7527">
        <v>0.72724359999999999</v>
      </c>
      <c r="S7527">
        <v>1.28653</v>
      </c>
      <c r="T7527">
        <v>-0.111275</v>
      </c>
      <c r="U7527">
        <v>2.9243160000000001</v>
      </c>
      <c r="V7527">
        <v>-6.1442999999999998E-2</v>
      </c>
      <c r="W7527">
        <v>3.4323930000000002E-2</v>
      </c>
      <c r="X7527">
        <v>0.99752030000000003</v>
      </c>
      <c r="Y7527">
        <v>-0.39188840000000003</v>
      </c>
      <c r="Z7527">
        <v>-1.8644560000000001E-2</v>
      </c>
      <c r="AA7527">
        <v>0.91982379999999997</v>
      </c>
      <c r="AB7527">
        <v>25</v>
      </c>
      <c r="AC7527">
        <v>12.84</v>
      </c>
      <c r="AD7527">
        <v>-1.1183446793139999</v>
      </c>
      <c r="AE7527">
        <v>29.297609999999999</v>
      </c>
      <c r="AF7527">
        <v>-12.5592550030913</v>
      </c>
      <c r="AG7527">
        <v>-1.1183446793139999</v>
      </c>
      <c r="AH7527">
        <v>29.3765868441753</v>
      </c>
      <c r="AI7527">
        <v>92.004785795484693</v>
      </c>
      <c r="AJ7527">
        <v>113.14796789143701</v>
      </c>
      <c r="AK7527">
        <v>31.968256687967799</v>
      </c>
      <c r="AL7527">
        <v>88.032997435514304</v>
      </c>
      <c r="AM7527">
        <v>93.524722738545606</v>
      </c>
      <c r="AN7527">
        <v>1.00000006166586</v>
      </c>
    </row>
    <row r="7528" spans="1:40" x14ac:dyDescent="0.25">
      <c r="A7528" t="str">
        <f>"20190312160830797"</f>
        <v>20190312160830797</v>
      </c>
      <c r="B7528" t="str">
        <f>"1552378110792823"</f>
        <v>1552378110792823</v>
      </c>
      <c r="C7528" t="s">
        <v>40</v>
      </c>
      <c r="D7528">
        <v>6.3635270000000004</v>
      </c>
      <c r="E7528">
        <v>0.36565259999999999</v>
      </c>
      <c r="F7528" t="s">
        <v>47</v>
      </c>
      <c r="G7528">
        <v>-181.9623</v>
      </c>
      <c r="H7528" s="1">
        <v>-2.9353270000000002E-6</v>
      </c>
      <c r="I7528">
        <v>-28.0108</v>
      </c>
      <c r="J7528">
        <v>-193.9153</v>
      </c>
      <c r="K7528">
        <v>1.1183419999999999</v>
      </c>
      <c r="L7528">
        <v>-55.643430000000002</v>
      </c>
      <c r="M7528">
        <v>0.72446940000000004</v>
      </c>
      <c r="N7528">
        <v>0</v>
      </c>
      <c r="O7528">
        <v>0.68913990000000003</v>
      </c>
      <c r="P7528">
        <v>0.68111089999999996</v>
      </c>
      <c r="Q7528">
        <v>2.0300350000000002E-2</v>
      </c>
      <c r="R7528">
        <v>0.73189879999999996</v>
      </c>
      <c r="S7528">
        <v>1.2722020000000001</v>
      </c>
      <c r="T7528">
        <v>-0.1180934</v>
      </c>
      <c r="U7528">
        <v>2.9282840000000001</v>
      </c>
      <c r="V7528">
        <v>-6.157551E-2</v>
      </c>
      <c r="W7528">
        <v>3.419001E-2</v>
      </c>
      <c r="X7528">
        <v>0.99751670000000003</v>
      </c>
      <c r="Y7528">
        <v>-0.39000020000000002</v>
      </c>
      <c r="Z7528">
        <v>-2.0041320000000001E-2</v>
      </c>
      <c r="AA7528">
        <v>0.92059669999999905</v>
      </c>
      <c r="AB7528">
        <v>25</v>
      </c>
      <c r="AC7528">
        <v>11.952999999999999</v>
      </c>
      <c r="AD7528">
        <v>-1.1183449353270001</v>
      </c>
      <c r="AE7528">
        <v>27.632629999999999</v>
      </c>
      <c r="AF7528">
        <v>-11.7668266766711</v>
      </c>
      <c r="AG7528">
        <v>-1.1183449353270001</v>
      </c>
      <c r="AH7528">
        <v>27.667345671143501</v>
      </c>
      <c r="AI7528">
        <v>92.130239207639306</v>
      </c>
      <c r="AJ7528">
        <v>113.039882082125</v>
      </c>
      <c r="AK7528">
        <v>30.086390975318601</v>
      </c>
      <c r="AL7528">
        <v>88.040674936908005</v>
      </c>
      <c r="AM7528">
        <v>93.532317761677902</v>
      </c>
      <c r="AN7528">
        <v>1.0000000334972201</v>
      </c>
    </row>
    <row r="7529" spans="1:40" x14ac:dyDescent="0.25">
      <c r="A7529" t="str">
        <f>"20190312160830809"</f>
        <v>20190312160830809</v>
      </c>
      <c r="B7529" t="str">
        <f>"1552378110802582"</f>
        <v>1552378110802582</v>
      </c>
      <c r="C7529" t="s">
        <v>40</v>
      </c>
      <c r="D7529">
        <v>6.389068</v>
      </c>
      <c r="E7529">
        <v>0.3661353</v>
      </c>
      <c r="F7529" t="s">
        <v>47</v>
      </c>
      <c r="G7529">
        <v>-181.20609999999999</v>
      </c>
      <c r="H7529" s="1">
        <v>-3.8002130000000002E-6</v>
      </c>
      <c r="I7529">
        <v>-26.060569999999998</v>
      </c>
      <c r="J7529">
        <v>-193.81559999999999</v>
      </c>
      <c r="K7529">
        <v>1.1183419999999999</v>
      </c>
      <c r="L7529">
        <v>-55.5381199999999</v>
      </c>
      <c r="M7529">
        <v>0.71955139999999995</v>
      </c>
      <c r="N7529">
        <v>0</v>
      </c>
      <c r="O7529">
        <v>0.69427340000000004</v>
      </c>
      <c r="P7529">
        <v>0.67569029999999997</v>
      </c>
      <c r="Q7529">
        <v>2.0037329999999999E-2</v>
      </c>
      <c r="R7529">
        <v>0.73691329999999999</v>
      </c>
      <c r="S7529">
        <v>1.2589570000000001</v>
      </c>
      <c r="T7529">
        <v>-0.11078109999999999</v>
      </c>
      <c r="U7529">
        <v>2.9304199999999998</v>
      </c>
      <c r="V7529">
        <v>-6.1846249999999998E-2</v>
      </c>
      <c r="W7529">
        <v>3.392361E-2</v>
      </c>
      <c r="X7529">
        <v>0.99750899999999998</v>
      </c>
      <c r="Y7529">
        <v>-0.38719559999999997</v>
      </c>
      <c r="Z7529">
        <v>-1.9073369999999999E-2</v>
      </c>
      <c r="AA7529">
        <v>0.92180030000000002</v>
      </c>
      <c r="AB7529">
        <v>25</v>
      </c>
      <c r="AC7529">
        <v>12.609499999999899</v>
      </c>
      <c r="AD7529">
        <v>-1.118345800213</v>
      </c>
      <c r="AE7529">
        <v>29.477549999999901</v>
      </c>
      <c r="AF7529">
        <v>-12.442467069124501</v>
      </c>
      <c r="AG7529">
        <v>-1.118345800213</v>
      </c>
      <c r="AH7529">
        <v>29.5061624186975</v>
      </c>
      <c r="AI7529">
        <v>92.000182186103402</v>
      </c>
      <c r="AJ7529">
        <v>112.864688522458</v>
      </c>
      <c r="AK7529">
        <v>32.0418367883874</v>
      </c>
      <c r="AL7529">
        <v>88.055947302255504</v>
      </c>
      <c r="AM7529">
        <v>93.547836665152005</v>
      </c>
      <c r="AN7529">
        <v>0.99999998751774699</v>
      </c>
    </row>
    <row r="7530" spans="1:40" x14ac:dyDescent="0.25">
      <c r="A7530" t="str">
        <f>"20190312160830827"</f>
        <v>20190312160830827</v>
      </c>
      <c r="B7530" t="str">
        <f>"1552378110823079"</f>
        <v>1552378110823079</v>
      </c>
      <c r="C7530" t="s">
        <v>40</v>
      </c>
      <c r="D7530">
        <v>4.5273960000000004</v>
      </c>
      <c r="E7530">
        <v>0.32378970000000001</v>
      </c>
      <c r="F7530" t="s">
        <v>47</v>
      </c>
      <c r="G7530">
        <v>-181.74619999999999</v>
      </c>
      <c r="H7530" s="1">
        <v>-3.353678E-6</v>
      </c>
      <c r="I7530">
        <v>-26.950389999999999</v>
      </c>
      <c r="J7530">
        <v>-193.67910000000001</v>
      </c>
      <c r="K7530">
        <v>1.118341</v>
      </c>
      <c r="L7530">
        <v>-55.391599999999997</v>
      </c>
      <c r="M7530">
        <v>0.71268809999999905</v>
      </c>
      <c r="N7530">
        <v>0</v>
      </c>
      <c r="O7530">
        <v>0.70131679999999996</v>
      </c>
      <c r="P7530">
        <v>0.66813529999999999</v>
      </c>
      <c r="Q7530">
        <v>2.0037590000000001E-2</v>
      </c>
      <c r="R7530">
        <v>0.74376989999999998</v>
      </c>
      <c r="S7530">
        <v>1.24002099999999</v>
      </c>
      <c r="T7530">
        <v>-0.1149</v>
      </c>
      <c r="U7530">
        <v>2.9371339999999999</v>
      </c>
      <c r="V7530">
        <v>-6.2214400000000003E-2</v>
      </c>
      <c r="W7530">
        <v>3.391885E-2</v>
      </c>
      <c r="X7530">
        <v>0.99748630000000005</v>
      </c>
      <c r="Y7530">
        <v>-0.38393080000000002</v>
      </c>
      <c r="Z7530">
        <v>-2.0140290000000002E-2</v>
      </c>
      <c r="AA7530">
        <v>0.92314220000000002</v>
      </c>
      <c r="AB7530">
        <v>25</v>
      </c>
      <c r="AC7530">
        <v>11.9329</v>
      </c>
      <c r="AD7530">
        <v>-1.118344353678</v>
      </c>
      <c r="AE7530">
        <v>28.441209999999899</v>
      </c>
      <c r="AF7530">
        <v>-11.886712243190599</v>
      </c>
      <c r="AG7530">
        <v>-1.118344353678</v>
      </c>
      <c r="AH7530">
        <v>28.4166524569861</v>
      </c>
      <c r="AI7530">
        <v>92.079314159822999</v>
      </c>
      <c r="AJ7530">
        <v>112.69960364517701</v>
      </c>
      <c r="AK7530">
        <v>30.822893422048399</v>
      </c>
      <c r="AL7530">
        <v>88.0562202490527</v>
      </c>
      <c r="AM7530">
        <v>93.568982332321994</v>
      </c>
      <c r="AN7530">
        <v>1.0000000193201799</v>
      </c>
    </row>
    <row r="7531" spans="1:40" x14ac:dyDescent="0.25">
      <c r="A7531" t="str">
        <f>"20190312160830840"</f>
        <v>20190312160830840</v>
      </c>
      <c r="B7531" t="str">
        <f>"1552378110832839"</f>
        <v>1552378110832839</v>
      </c>
      <c r="C7531" t="s">
        <v>40</v>
      </c>
      <c r="D7531">
        <v>6.3962519999999996</v>
      </c>
      <c r="E7531">
        <v>0.32378970000000001</v>
      </c>
      <c r="F7531" t="s">
        <v>88</v>
      </c>
      <c r="G7531">
        <v>-169.08519999999999</v>
      </c>
      <c r="H7531">
        <v>10.18744</v>
      </c>
      <c r="I7531">
        <v>25.692509999999999</v>
      </c>
      <c r="J7531">
        <v>-193.59</v>
      </c>
      <c r="K7531">
        <v>1.1183419999999999</v>
      </c>
      <c r="L7531">
        <v>-55.294400000000003</v>
      </c>
      <c r="M7531">
        <v>0.70812129999999995</v>
      </c>
      <c r="N7531">
        <v>0</v>
      </c>
      <c r="O7531">
        <v>0.70592759999999999</v>
      </c>
      <c r="P7531">
        <v>0.66326839999999998</v>
      </c>
      <c r="Q7531">
        <v>1.9939999999999999E-2</v>
      </c>
      <c r="R7531">
        <v>0.74811589999999994</v>
      </c>
      <c r="S7531">
        <v>0.95918270000000005</v>
      </c>
      <c r="T7531">
        <v>0.35370299999999999</v>
      </c>
      <c r="U7531">
        <v>3.1623540000000001</v>
      </c>
      <c r="V7531">
        <v>-6.2247900000000002E-2</v>
      </c>
      <c r="W7531">
        <v>3.382259E-2</v>
      </c>
      <c r="X7531">
        <v>0.99748749999999997</v>
      </c>
      <c r="Y7531">
        <v>-0.47312490000000001</v>
      </c>
      <c r="Z7531">
        <v>5.6251660000000002E-2</v>
      </c>
      <c r="AA7531">
        <v>0.87919769999999897</v>
      </c>
      <c r="AB7531">
        <v>25</v>
      </c>
      <c r="AC7531">
        <v>24.504799999999999</v>
      </c>
      <c r="AD7531">
        <v>9.0690980000000003</v>
      </c>
      <c r="AE7531">
        <v>80.986909999999995</v>
      </c>
      <c r="AF7531">
        <v>-39.599626631818197</v>
      </c>
      <c r="AG7531">
        <v>9.0690980000000003</v>
      </c>
      <c r="AH7531">
        <v>73.685338952555796</v>
      </c>
      <c r="AI7531">
        <v>83.812468827570697</v>
      </c>
      <c r="AJ7531">
        <v>118.254263160123</v>
      </c>
      <c r="AK7531">
        <v>84.1421900384466</v>
      </c>
      <c r="AL7531">
        <v>88.0617387484142</v>
      </c>
      <c r="AM7531">
        <v>93.570894832530598</v>
      </c>
      <c r="AN7531">
        <v>1.00000004065248</v>
      </c>
    </row>
    <row r="7532" spans="1:40" x14ac:dyDescent="0.25">
      <c r="A7532" t="str">
        <f>"20190312160830850"</f>
        <v>20190312160830850</v>
      </c>
      <c r="B7532" t="str">
        <f>"1552378110842599"</f>
        <v>1552378110842599</v>
      </c>
      <c r="C7532" t="s">
        <v>40</v>
      </c>
      <c r="D7532">
        <v>6.0390610000000002</v>
      </c>
      <c r="E7532">
        <v>0.31715339999999997</v>
      </c>
      <c r="F7532" t="s">
        <v>88</v>
      </c>
      <c r="G7532">
        <v>-168.5035</v>
      </c>
      <c r="H7532">
        <v>10.5749</v>
      </c>
      <c r="I7532">
        <v>29.395199999999999</v>
      </c>
      <c r="J7532">
        <v>-193.50460000000001</v>
      </c>
      <c r="K7532">
        <v>1.1183379999999901</v>
      </c>
      <c r="L7532">
        <v>-55.200200000000002</v>
      </c>
      <c r="M7532">
        <v>0.70368529999999996</v>
      </c>
      <c r="N7532">
        <v>0</v>
      </c>
      <c r="O7532">
        <v>0.71034960000000003</v>
      </c>
      <c r="P7532">
        <v>0.65872140000000001</v>
      </c>
      <c r="Q7532">
        <v>2.0034969999999999E-2</v>
      </c>
      <c r="R7532">
        <v>0.75212019999999902</v>
      </c>
      <c r="S7532">
        <v>0.93856810000000002</v>
      </c>
      <c r="T7532">
        <v>0.35380099999999998</v>
      </c>
      <c r="U7532">
        <v>3.1685180000000002</v>
      </c>
      <c r="V7532">
        <v>-6.2046009999999999E-2</v>
      </c>
      <c r="W7532">
        <v>3.3923620000000002E-2</v>
      </c>
      <c r="X7532">
        <v>0.99749659999999996</v>
      </c>
      <c r="Y7532">
        <v>-0.47334130000000002</v>
      </c>
      <c r="Z7532">
        <v>5.6846670000000002E-2</v>
      </c>
      <c r="AA7532">
        <v>0.87904289999999996</v>
      </c>
      <c r="AB7532">
        <v>25</v>
      </c>
      <c r="AC7532">
        <v>25.001100000000001</v>
      </c>
      <c r="AD7532">
        <v>9.4565619999999999</v>
      </c>
      <c r="AE7532">
        <v>84.595399999999998</v>
      </c>
      <c r="AF7532">
        <v>-41.299208906593698</v>
      </c>
      <c r="AG7532">
        <v>9.4565619999999999</v>
      </c>
      <c r="AH7532">
        <v>76.811428133053894</v>
      </c>
      <c r="AI7532">
        <v>83.811362241038793</v>
      </c>
      <c r="AJ7532">
        <v>118.265590920158</v>
      </c>
      <c r="AK7532">
        <v>87.721415361413406</v>
      </c>
      <c r="AL7532">
        <v>88.055946739982005</v>
      </c>
      <c r="AM7532">
        <v>93.559310704080602</v>
      </c>
      <c r="AN7532">
        <v>0.99999999318119204</v>
      </c>
    </row>
    <row r="7533" spans="1:40" x14ac:dyDescent="0.25">
      <c r="A7533" t="str">
        <f>"20190312160830862"</f>
        <v>20190312160830862</v>
      </c>
      <c r="B7533" t="str">
        <f>"1552378110853335"</f>
        <v>1552378110853335</v>
      </c>
      <c r="C7533" t="s">
        <v>40</v>
      </c>
      <c r="D7533">
        <v>6.4015000000000004</v>
      </c>
      <c r="E7533">
        <v>0.323503599999999</v>
      </c>
      <c r="F7533" t="s">
        <v>88</v>
      </c>
      <c r="G7533">
        <v>-168.50319999999999</v>
      </c>
      <c r="H7533">
        <v>9.4973220000000005</v>
      </c>
      <c r="I7533">
        <v>36.074179999999998</v>
      </c>
      <c r="J7533">
        <v>-193.422</v>
      </c>
      <c r="K7533">
        <v>1.1183320000000001</v>
      </c>
      <c r="L7533">
        <v>-55.10754</v>
      </c>
      <c r="M7533">
        <v>0.69932090000000002</v>
      </c>
      <c r="N7533">
        <v>0</v>
      </c>
      <c r="O7533">
        <v>0.71464659999999902</v>
      </c>
      <c r="P7533">
        <v>0.65420669999999903</v>
      </c>
      <c r="Q7533">
        <v>2.0220470000000001E-2</v>
      </c>
      <c r="R7533">
        <v>0.75604550000000004</v>
      </c>
      <c r="S7533">
        <v>0.87944029999999995</v>
      </c>
      <c r="T7533">
        <v>0.29473579999999999</v>
      </c>
      <c r="U7533">
        <v>3.2106319999999999</v>
      </c>
      <c r="V7533">
        <v>-6.1907669999999998E-2</v>
      </c>
      <c r="W7533">
        <v>3.411376E-2</v>
      </c>
      <c r="X7533">
        <v>0.99749869999999996</v>
      </c>
      <c r="Y7533">
        <v>-0.48591960000000001</v>
      </c>
      <c r="Z7533">
        <v>4.7080740000000003E-2</v>
      </c>
      <c r="AA7533">
        <v>0.87273449999999997</v>
      </c>
      <c r="AB7533">
        <v>25</v>
      </c>
      <c r="AC7533">
        <v>24.918800000000001</v>
      </c>
      <c r="AD7533">
        <v>8.3789899999999999</v>
      </c>
      <c r="AE7533">
        <v>91.181719999999999</v>
      </c>
      <c r="AF7533">
        <v>-45.604108839078101</v>
      </c>
      <c r="AG7533">
        <v>8.3789899999999999</v>
      </c>
      <c r="AH7533">
        <v>81.954504259751104</v>
      </c>
      <c r="AI7533">
        <v>84.894792141703903</v>
      </c>
      <c r="AJ7533">
        <v>119.094030580645</v>
      </c>
      <c r="AK7533">
        <v>94.162003934114196</v>
      </c>
      <c r="AL7533">
        <v>88.045046189958697</v>
      </c>
      <c r="AM7533">
        <v>93.5513876137355</v>
      </c>
      <c r="AN7533">
        <v>0.99999998236392795</v>
      </c>
    </row>
    <row r="7534" spans="1:40" x14ac:dyDescent="0.25">
      <c r="A7534" t="str">
        <f>"20190312160830872"</f>
        <v>20190312160830872</v>
      </c>
      <c r="B7534" t="str">
        <f>"1552378110863095"</f>
        <v>1552378110863095</v>
      </c>
      <c r="C7534" t="s">
        <v>40</v>
      </c>
      <c r="D7534">
        <v>6.310689</v>
      </c>
      <c r="E7534">
        <v>0.32206570000000001</v>
      </c>
      <c r="F7534" t="s">
        <v>88</v>
      </c>
      <c r="G7534">
        <v>-169.78219999999999</v>
      </c>
      <c r="H7534">
        <v>6.9555490000000004</v>
      </c>
      <c r="I7534">
        <v>28.68244</v>
      </c>
      <c r="J7534">
        <v>-193.34559999999999</v>
      </c>
      <c r="K7534">
        <v>1.1183299999999901</v>
      </c>
      <c r="L7534">
        <v>-55.021360000000001</v>
      </c>
      <c r="M7534">
        <v>0.69524659999999905</v>
      </c>
      <c r="N7534">
        <v>0</v>
      </c>
      <c r="O7534">
        <v>0.71861079999999999</v>
      </c>
      <c r="P7534">
        <v>0.64995829999999999</v>
      </c>
      <c r="Q7534">
        <v>1.9860260000000001E-2</v>
      </c>
      <c r="R7534">
        <v>0.75971029999999995</v>
      </c>
      <c r="S7534">
        <v>0.89848329999999998</v>
      </c>
      <c r="T7534">
        <v>0.22185679999999999</v>
      </c>
      <c r="U7534">
        <v>3.184631</v>
      </c>
      <c r="V7534">
        <v>-6.1827569999999998E-2</v>
      </c>
      <c r="W7534">
        <v>3.3756830000000002E-2</v>
      </c>
      <c r="X7534">
        <v>0.99751590000000001</v>
      </c>
      <c r="Y7534">
        <v>-0.47418389999999999</v>
      </c>
      <c r="Z7534">
        <v>3.6366530000000001E-2</v>
      </c>
      <c r="AA7534">
        <v>0.87967439999999997</v>
      </c>
      <c r="AB7534">
        <v>25</v>
      </c>
      <c r="AC7534">
        <v>23.563400000000001</v>
      </c>
      <c r="AD7534">
        <v>5.8372190000000002</v>
      </c>
      <c r="AE7534">
        <v>83.703800000000001</v>
      </c>
      <c r="AF7534">
        <v>-41.081511376544299</v>
      </c>
      <c r="AG7534">
        <v>5.8372190000000002</v>
      </c>
      <c r="AH7534">
        <v>76.198300402805302</v>
      </c>
      <c r="AI7534">
        <v>86.142387734714603</v>
      </c>
      <c r="AJ7534">
        <v>118.330859228546</v>
      </c>
      <c r="AK7534">
        <v>86.763729097539695</v>
      </c>
      <c r="AL7534">
        <v>88.065508730923497</v>
      </c>
      <c r="AM7534">
        <v>93.546743343748503</v>
      </c>
      <c r="AN7534">
        <v>1.00000007136827</v>
      </c>
    </row>
    <row r="7535" spans="1:40" x14ac:dyDescent="0.25">
      <c r="A7535" t="str">
        <f>"20190312160830884"</f>
        <v>20190312160830884</v>
      </c>
      <c r="B7535" t="str">
        <f>"1552378110873386"</f>
        <v>1552378110873386</v>
      </c>
      <c r="C7535" t="s">
        <v>40</v>
      </c>
      <c r="D7535">
        <v>6.4523919999999997</v>
      </c>
      <c r="E7535">
        <v>0.31956859999999998</v>
      </c>
      <c r="F7535" t="s">
        <v>88</v>
      </c>
      <c r="G7535">
        <v>-168.50309999999999</v>
      </c>
      <c r="H7535">
        <v>9.3064590000000003</v>
      </c>
      <c r="I7535">
        <v>36.002830000000003</v>
      </c>
      <c r="J7535">
        <v>-193.2671</v>
      </c>
      <c r="K7535">
        <v>1.1183160000000001</v>
      </c>
      <c r="L7535">
        <v>-54.93103</v>
      </c>
      <c r="M7535">
        <v>0.69098110000000001</v>
      </c>
      <c r="N7535">
        <v>0</v>
      </c>
      <c r="O7535">
        <v>0.72271339999999995</v>
      </c>
      <c r="P7535">
        <v>0.64562109999999995</v>
      </c>
      <c r="Q7535">
        <v>1.940072E-2</v>
      </c>
      <c r="R7535">
        <v>0.76341159999999997</v>
      </c>
      <c r="S7535">
        <v>0.87205509999999997</v>
      </c>
      <c r="T7535">
        <v>0.28743049999999998</v>
      </c>
      <c r="U7535">
        <v>3.1952509999999998</v>
      </c>
      <c r="V7535">
        <v>-6.1603049999999999E-2</v>
      </c>
      <c r="W7535">
        <v>3.3303609999999997E-2</v>
      </c>
      <c r="X7535">
        <v>0.99754489999999996</v>
      </c>
      <c r="Y7535">
        <v>-0.47657699999999997</v>
      </c>
      <c r="Z7535">
        <v>4.7375540000000001E-2</v>
      </c>
      <c r="AA7535">
        <v>0.87785530000000001</v>
      </c>
      <c r="AB7535">
        <v>25</v>
      </c>
      <c r="AC7535">
        <v>24.763999999999999</v>
      </c>
      <c r="AD7535">
        <v>8.1881430000000002</v>
      </c>
      <c r="AE7535">
        <v>90.933859999999996</v>
      </c>
      <c r="AF7535">
        <v>-44.604792517705199</v>
      </c>
      <c r="AG7535">
        <v>8.1881430000000002</v>
      </c>
      <c r="AH7535">
        <v>82.2195038236854</v>
      </c>
      <c r="AI7535">
        <v>84.997265227810601</v>
      </c>
      <c r="AJ7535">
        <v>118.480214321418</v>
      </c>
      <c r="AK7535">
        <v>93.8971778614725</v>
      </c>
      <c r="AL7535">
        <v>88.091490694458997</v>
      </c>
      <c r="AM7535">
        <v>93.533793960392202</v>
      </c>
      <c r="AN7535">
        <v>0.99999994686216997</v>
      </c>
    </row>
    <row r="7536" spans="1:40" x14ac:dyDescent="0.25">
      <c r="A7536" t="str">
        <f>"20190312160830894"</f>
        <v>20190312160830894</v>
      </c>
      <c r="B7536" t="str">
        <f>"1552378110883147"</f>
        <v>1552378110883147</v>
      </c>
      <c r="C7536" t="s">
        <v>40</v>
      </c>
      <c r="D7536">
        <v>6.4296699999999998</v>
      </c>
      <c r="E7536">
        <v>0.31812849999999998</v>
      </c>
      <c r="F7536" t="s">
        <v>88</v>
      </c>
      <c r="G7536">
        <v>-169.08529999999999</v>
      </c>
      <c r="H7536">
        <v>10.007960000000001</v>
      </c>
      <c r="I7536">
        <v>37.663800000000002</v>
      </c>
      <c r="J7536">
        <v>-193.18639999999999</v>
      </c>
      <c r="K7536">
        <v>1.1183099999999999</v>
      </c>
      <c r="L7536">
        <v>-54.837739999999997</v>
      </c>
      <c r="M7536">
        <v>0.68655739999999998</v>
      </c>
      <c r="N7536">
        <v>0</v>
      </c>
      <c r="O7536">
        <v>0.72691700000000004</v>
      </c>
      <c r="P7536">
        <v>0.64123830000000004</v>
      </c>
      <c r="Q7536">
        <v>1.9335740000000001E-2</v>
      </c>
      <c r="R7536">
        <v>0.76709819999999995</v>
      </c>
      <c r="S7536">
        <v>0.83894349999999995</v>
      </c>
      <c r="T7536">
        <v>0.3084093</v>
      </c>
      <c r="U7536">
        <v>3.212402</v>
      </c>
      <c r="V7536">
        <v>-6.1227379999999998E-2</v>
      </c>
      <c r="W7536">
        <v>3.3247840000000001E-2</v>
      </c>
      <c r="X7536">
        <v>0.99756990000000001</v>
      </c>
      <c r="Y7536">
        <v>-0.48087340000000001</v>
      </c>
      <c r="Z7536">
        <v>5.1015350000000001E-2</v>
      </c>
      <c r="AA7536">
        <v>0.87530459999999999</v>
      </c>
      <c r="AB7536">
        <v>25</v>
      </c>
      <c r="AC7536">
        <v>24.101099999999999</v>
      </c>
      <c r="AD7536">
        <v>8.8896499999999996</v>
      </c>
      <c r="AE7536">
        <v>92.501540000000006</v>
      </c>
      <c r="AF7536">
        <v>-45.599052255240899</v>
      </c>
      <c r="AG7536">
        <v>8.8896499999999996</v>
      </c>
      <c r="AH7536">
        <v>83.078875809956202</v>
      </c>
      <c r="AI7536">
        <v>84.641206909323202</v>
      </c>
      <c r="AJ7536">
        <v>118.760823701717</v>
      </c>
      <c r="AK7536">
        <v>95.186128451286606</v>
      </c>
      <c r="AL7536">
        <v>88.094687872333395</v>
      </c>
      <c r="AM7536">
        <v>93.512210357819598</v>
      </c>
      <c r="AN7536">
        <v>0.99999995815616904</v>
      </c>
    </row>
    <row r="7537" spans="1:40" x14ac:dyDescent="0.25">
      <c r="A7537" t="str">
        <f>"20190312160830905"</f>
        <v>20190312160830905</v>
      </c>
      <c r="B7537" t="str">
        <f>"1552378110902667"</f>
        <v>1552378110902667</v>
      </c>
      <c r="C7537" t="s">
        <v>40</v>
      </c>
      <c r="D7537">
        <v>6.5658859999999999</v>
      </c>
      <c r="E7537">
        <v>0.31797819999999999</v>
      </c>
      <c r="F7537" t="s">
        <v>88</v>
      </c>
      <c r="G7537">
        <v>-168.50360000000001</v>
      </c>
      <c r="H7537">
        <v>10.81803</v>
      </c>
      <c r="I7537">
        <v>43.18242</v>
      </c>
      <c r="J7537">
        <v>-193.10740000000001</v>
      </c>
      <c r="K7537">
        <v>1.1183019999999999</v>
      </c>
      <c r="L7537">
        <v>-54.744509999999998</v>
      </c>
      <c r="M7537">
        <v>0.68214600000000003</v>
      </c>
      <c r="N7537">
        <v>0</v>
      </c>
      <c r="O7537">
        <v>0.73105830000000005</v>
      </c>
      <c r="P7537">
        <v>0.63679790000000003</v>
      </c>
      <c r="Q7537">
        <v>1.9033870000000001E-2</v>
      </c>
      <c r="R7537">
        <v>0.77079580000000003</v>
      </c>
      <c r="S7537">
        <v>0.8118744</v>
      </c>
      <c r="T7537">
        <v>0.31904729999999998</v>
      </c>
      <c r="U7537">
        <v>3.2241209999999998</v>
      </c>
      <c r="V7537">
        <v>-6.0949700000000002E-2</v>
      </c>
      <c r="W7537">
        <v>3.2952849999999999E-2</v>
      </c>
      <c r="X7537">
        <v>0.9975967</v>
      </c>
      <c r="Y7537">
        <v>-0.48325760000000001</v>
      </c>
      <c r="Z7537">
        <v>5.3098220000000002E-2</v>
      </c>
      <c r="AA7537">
        <v>0.87386649999999999</v>
      </c>
      <c r="AB7537">
        <v>25</v>
      </c>
      <c r="AC7537">
        <v>24.6038</v>
      </c>
      <c r="AD7537">
        <v>9.6997280000000003</v>
      </c>
      <c r="AE7537">
        <v>97.926929999999999</v>
      </c>
      <c r="AF7537">
        <v>-48.372872000686101</v>
      </c>
      <c r="AG7537">
        <v>9.6997280000000003</v>
      </c>
      <c r="AH7537">
        <v>87.575678676645097</v>
      </c>
      <c r="AI7537">
        <v>84.462392098767594</v>
      </c>
      <c r="AJ7537">
        <v>118.914289016612</v>
      </c>
      <c r="AK7537">
        <v>100.516262189477</v>
      </c>
      <c r="AL7537">
        <v>88.111598836652206</v>
      </c>
      <c r="AM7537">
        <v>93.496227599102497</v>
      </c>
      <c r="AN7537">
        <v>0.99999996605204999</v>
      </c>
    </row>
    <row r="7538" spans="1:40" x14ac:dyDescent="0.25">
      <c r="A7538" t="str">
        <f>"20190312160830916"</f>
        <v>20190312160830916</v>
      </c>
      <c r="B7538" t="str">
        <f>"1552378110913402"</f>
        <v>1552378110913402</v>
      </c>
      <c r="C7538" t="s">
        <v>40</v>
      </c>
      <c r="D7538">
        <v>6.5837719999999997</v>
      </c>
      <c r="E7538">
        <v>0.31792189999999998</v>
      </c>
      <c r="F7538" t="s">
        <v>88</v>
      </c>
      <c r="G7538">
        <v>-168.88390000000001</v>
      </c>
      <c r="H7538">
        <v>12.55545</v>
      </c>
      <c r="I7538">
        <v>43.941409999999998</v>
      </c>
      <c r="J7538">
        <v>-193.02969999999999</v>
      </c>
      <c r="K7538">
        <v>1.118295</v>
      </c>
      <c r="L7538">
        <v>-54.652369999999998</v>
      </c>
      <c r="M7538">
        <v>0.67776890000000001</v>
      </c>
      <c r="N7538">
        <v>0</v>
      </c>
      <c r="O7538">
        <v>0.73511819999999894</v>
      </c>
      <c r="P7538">
        <v>0.63241599999999998</v>
      </c>
      <c r="Q7538">
        <v>1.8747420000000001E-2</v>
      </c>
      <c r="R7538">
        <v>0.77440209999999998</v>
      </c>
      <c r="S7538">
        <v>0.79238889999999995</v>
      </c>
      <c r="T7538">
        <v>0.37412800000000002</v>
      </c>
      <c r="U7538">
        <v>3.22818</v>
      </c>
      <c r="V7538">
        <v>-6.0649130000000002E-2</v>
      </c>
      <c r="W7538">
        <v>3.2674050000000003E-2</v>
      </c>
      <c r="X7538">
        <v>0.99762419999999996</v>
      </c>
      <c r="Y7538">
        <v>-0.483348</v>
      </c>
      <c r="Z7538">
        <v>6.2770179999999995E-2</v>
      </c>
      <c r="AA7538">
        <v>0.87317509999999998</v>
      </c>
      <c r="AB7538">
        <v>25</v>
      </c>
      <c r="AC7538">
        <v>24.145799999999898</v>
      </c>
      <c r="AD7538">
        <v>11.437155000000001</v>
      </c>
      <c r="AE7538">
        <v>98.593779999999995</v>
      </c>
      <c r="AF7538">
        <v>-48.464174905876</v>
      </c>
      <c r="AG7538">
        <v>11.437155000000001</v>
      </c>
      <c r="AH7538">
        <v>87.7397216522604</v>
      </c>
      <c r="AI7538">
        <v>83.490502733375905</v>
      </c>
      <c r="AJ7538">
        <v>118.914635732137</v>
      </c>
      <c r="AK7538">
        <v>100.885298827021</v>
      </c>
      <c r="AL7538">
        <v>88.127581528728896</v>
      </c>
      <c r="AM7538">
        <v>93.478932937283503</v>
      </c>
      <c r="AN7538">
        <v>0.99999997746939895</v>
      </c>
    </row>
    <row r="7539" spans="1:40" x14ac:dyDescent="0.25">
      <c r="A7539" t="str">
        <f>"20190312160830928"</f>
        <v>20190312160830928</v>
      </c>
      <c r="B7539" t="str">
        <f>"1552378110923163"</f>
        <v>1552378110923163</v>
      </c>
      <c r="C7539" t="s">
        <v>40</v>
      </c>
      <c r="D7539">
        <v>6.5866759999999998</v>
      </c>
      <c r="E7539">
        <v>0.3179691</v>
      </c>
      <c r="F7539" t="s">
        <v>88</v>
      </c>
      <c r="G7539">
        <v>-169.0864</v>
      </c>
      <c r="H7539">
        <v>13.24938</v>
      </c>
      <c r="I7539">
        <v>45.39866</v>
      </c>
      <c r="J7539">
        <v>-192.9461</v>
      </c>
      <c r="K7539">
        <v>1.118285</v>
      </c>
      <c r="L7539">
        <v>-54.551389999999998</v>
      </c>
      <c r="M7539">
        <v>0.67297559999999901</v>
      </c>
      <c r="N7539">
        <v>0</v>
      </c>
      <c r="O7539">
        <v>0.73950869999999902</v>
      </c>
      <c r="P7539">
        <v>0.62751290000000004</v>
      </c>
      <c r="Q7539">
        <v>1.868707E-2</v>
      </c>
      <c r="R7539">
        <v>0.77838180000000001</v>
      </c>
      <c r="S7539">
        <v>0.77362059999999999</v>
      </c>
      <c r="T7539">
        <v>0.391961</v>
      </c>
      <c r="U7539">
        <v>3.2326969999999999</v>
      </c>
      <c r="V7539">
        <v>-6.0462769999999999E-2</v>
      </c>
      <c r="W7539">
        <v>3.2618279999999999E-2</v>
      </c>
      <c r="X7539">
        <v>0.99763729999999995</v>
      </c>
      <c r="Y7539">
        <v>-0.48276920000000001</v>
      </c>
      <c r="Z7539">
        <v>6.6416630000000004E-2</v>
      </c>
      <c r="AA7539">
        <v>0.87322549999999899</v>
      </c>
      <c r="AB7539">
        <v>25</v>
      </c>
      <c r="AC7539">
        <v>23.8597</v>
      </c>
      <c r="AD7539">
        <v>12.131094999999901</v>
      </c>
      <c r="AE7539">
        <v>99.950050000000005</v>
      </c>
      <c r="AF7539">
        <v>-48.943101144416303</v>
      </c>
      <c r="AG7539">
        <v>12.131094999999901</v>
      </c>
      <c r="AH7539">
        <v>88.744488895188297</v>
      </c>
      <c r="AI7539">
        <v>83.174183649448807</v>
      </c>
      <c r="AJ7539">
        <v>118.876990778898</v>
      </c>
      <c r="AK7539">
        <v>102.069461274172</v>
      </c>
      <c r="AL7539">
        <v>88.130778549526298</v>
      </c>
      <c r="AM7539">
        <v>93.468223727525398</v>
      </c>
      <c r="AN7539">
        <v>0.99999994054875796</v>
      </c>
    </row>
    <row r="7540" spans="1:40" x14ac:dyDescent="0.25">
      <c r="A7540" t="str">
        <f>"20190312160830940"</f>
        <v>20190312160830940</v>
      </c>
      <c r="B7540" t="str">
        <f>"1552378110932923"</f>
        <v>1552378110932923</v>
      </c>
      <c r="C7540" t="s">
        <v>40</v>
      </c>
      <c r="D7540">
        <v>6.5362739999999997</v>
      </c>
      <c r="E7540">
        <v>0.3181562</v>
      </c>
      <c r="F7540" t="s">
        <v>88</v>
      </c>
      <c r="G7540">
        <v>-168.61089999999999</v>
      </c>
      <c r="H7540">
        <v>14.295540000000001</v>
      </c>
      <c r="I7540">
        <v>49.938839999999999</v>
      </c>
      <c r="J7540">
        <v>-192.86529999999999</v>
      </c>
      <c r="K7540">
        <v>1.118276</v>
      </c>
      <c r="L7540">
        <v>-54.452759999999998</v>
      </c>
      <c r="M7540">
        <v>0.66828639999999995</v>
      </c>
      <c r="N7540">
        <v>0</v>
      </c>
      <c r="O7540">
        <v>0.74374899999999999</v>
      </c>
      <c r="P7540">
        <v>0.62278080000000002</v>
      </c>
      <c r="Q7540">
        <v>1.8040529999999999E-2</v>
      </c>
      <c r="R7540">
        <v>0.78218840000000001</v>
      </c>
      <c r="S7540">
        <v>0.75379940000000001</v>
      </c>
      <c r="T7540">
        <v>0.40817550000000002</v>
      </c>
      <c r="U7540">
        <v>3.2366640000000002</v>
      </c>
      <c r="V7540">
        <v>-6.020238E-2</v>
      </c>
      <c r="W7540">
        <v>3.1978699999999999E-2</v>
      </c>
      <c r="X7540">
        <v>0.99767380000000006</v>
      </c>
      <c r="Y7540">
        <v>-0.48257909999999998</v>
      </c>
      <c r="Z7540">
        <v>6.9818829999999998E-2</v>
      </c>
      <c r="AA7540">
        <v>0.87306519999999999</v>
      </c>
      <c r="AB7540">
        <v>25</v>
      </c>
      <c r="AC7540">
        <v>24.2544</v>
      </c>
      <c r="AD7540">
        <v>13.177263999999999</v>
      </c>
      <c r="AE7540">
        <v>104.3916</v>
      </c>
      <c r="AF7540">
        <v>-50.9598717694941</v>
      </c>
      <c r="AG7540">
        <v>13.177263999999999</v>
      </c>
      <c r="AH7540">
        <v>92.463032107523901</v>
      </c>
      <c r="AI7540">
        <v>82.8855389618749</v>
      </c>
      <c r="AJ7540">
        <v>118.86082031674999</v>
      </c>
      <c r="AK7540">
        <v>106.395305929378</v>
      </c>
      <c r="AL7540">
        <v>88.167443002067202</v>
      </c>
      <c r="AM7540">
        <v>93.453197605729201</v>
      </c>
      <c r="AN7540">
        <v>0.99999998750889696</v>
      </c>
    </row>
    <row r="7541" spans="1:40" x14ac:dyDescent="0.25">
      <c r="A7541" t="str">
        <f>"20190312160830951"</f>
        <v>20190312160830951</v>
      </c>
      <c r="B7541" t="str">
        <f>"1552378110942682"</f>
        <v>1552378110942682</v>
      </c>
      <c r="C7541" t="s">
        <v>40</v>
      </c>
      <c r="D7541">
        <v>6.4470049999999999</v>
      </c>
      <c r="E7541">
        <v>0.3181562</v>
      </c>
      <c r="F7541" t="s">
        <v>88</v>
      </c>
      <c r="G7541">
        <v>-169.08690000000001</v>
      </c>
      <c r="H7541">
        <v>14.73287</v>
      </c>
      <c r="I7541">
        <v>50.30012</v>
      </c>
      <c r="J7541">
        <v>-192.78100000000001</v>
      </c>
      <c r="K7541">
        <v>1.1182700000000001</v>
      </c>
      <c r="L7541">
        <v>-54.348719999999901</v>
      </c>
      <c r="M7541">
        <v>0.66333069999999905</v>
      </c>
      <c r="N7541">
        <v>0</v>
      </c>
      <c r="O7541">
        <v>0.74817230000000001</v>
      </c>
      <c r="P7541">
        <v>0.61767799999999995</v>
      </c>
      <c r="Q7541">
        <v>1.77369E-2</v>
      </c>
      <c r="R7541">
        <v>0.78623109999999996</v>
      </c>
      <c r="S7541">
        <v>0.7354889</v>
      </c>
      <c r="T7541">
        <v>0.42111330000000002</v>
      </c>
      <c r="U7541">
        <v>3.2401119999999999</v>
      </c>
      <c r="V7541">
        <v>-6.0063560000000002E-2</v>
      </c>
      <c r="W7541">
        <v>3.1678919999999999E-2</v>
      </c>
      <c r="X7541">
        <v>0.99769180000000002</v>
      </c>
      <c r="Y7541">
        <v>-0.4816897</v>
      </c>
      <c r="Z7541">
        <v>7.2780590000000006E-2</v>
      </c>
      <c r="AA7541">
        <v>0.87331440000000005</v>
      </c>
      <c r="AB7541">
        <v>25</v>
      </c>
      <c r="AC7541">
        <v>23.694099999999899</v>
      </c>
      <c r="AD7541">
        <v>13.614599999999999</v>
      </c>
      <c r="AE7541">
        <v>104.64884000000001</v>
      </c>
      <c r="AF7541">
        <v>-50.876363920147099</v>
      </c>
      <c r="AG7541">
        <v>13.614599999999999</v>
      </c>
      <c r="AH7541">
        <v>92.533428819977203</v>
      </c>
      <c r="AI7541">
        <v>82.653432003510204</v>
      </c>
      <c r="AJ7541">
        <v>118.802701129453</v>
      </c>
      <c r="AK7541">
        <v>106.471579250413</v>
      </c>
      <c r="AL7541">
        <v>88.184627963368598</v>
      </c>
      <c r="AM7541">
        <v>93.445192109578699</v>
      </c>
      <c r="AN7541">
        <v>1.00000005649973</v>
      </c>
    </row>
    <row r="7542" spans="1:40" x14ac:dyDescent="0.25">
      <c r="A7542" t="str">
        <f>"20190312160830963"</f>
        <v>20190312160830963</v>
      </c>
      <c r="B7542" t="str">
        <f>"1552378110953419"</f>
        <v>1552378110953419</v>
      </c>
      <c r="C7542" t="s">
        <v>40</v>
      </c>
      <c r="D7542">
        <v>6.4624040000000003</v>
      </c>
      <c r="E7542">
        <v>0.31808950000000003</v>
      </c>
      <c r="F7542" t="s">
        <v>53</v>
      </c>
      <c r="G7542">
        <v>-165.54429999999999</v>
      </c>
      <c r="H7542">
        <v>17.166460000000001</v>
      </c>
      <c r="I7542">
        <v>69.305669999999907</v>
      </c>
      <c r="J7542">
        <v>-192.70609999999999</v>
      </c>
      <c r="K7542">
        <v>1.118258</v>
      </c>
      <c r="L7542">
        <v>-54.2545199999999</v>
      </c>
      <c r="M7542">
        <v>0.65884969999999998</v>
      </c>
      <c r="N7542">
        <v>0</v>
      </c>
      <c r="O7542">
        <v>0.75212129999999999</v>
      </c>
      <c r="P7542">
        <v>0.61340069999999902</v>
      </c>
      <c r="Q7542">
        <v>1.7582629999999998E-2</v>
      </c>
      <c r="R7542">
        <v>0.7895761</v>
      </c>
      <c r="S7542">
        <v>0.71469119999999997</v>
      </c>
      <c r="T7542">
        <v>0.4211046</v>
      </c>
      <c r="U7542">
        <v>3.2446899999999999</v>
      </c>
      <c r="V7542">
        <v>-5.9518149999999999E-2</v>
      </c>
      <c r="W7542">
        <v>3.15369E-2</v>
      </c>
      <c r="X7542">
        <v>0.99772890000000003</v>
      </c>
      <c r="Y7542">
        <v>-0.48206290000000002</v>
      </c>
      <c r="Z7542">
        <v>7.3402010000000004E-2</v>
      </c>
      <c r="AA7542">
        <v>0.87305639999999995</v>
      </c>
      <c r="AB7542">
        <v>25</v>
      </c>
      <c r="AC7542">
        <v>27.161799999999999</v>
      </c>
      <c r="AD7542">
        <v>16.048202</v>
      </c>
      <c r="AE7542">
        <v>123.560189999999</v>
      </c>
      <c r="AF7542">
        <v>-60.019841024007903</v>
      </c>
      <c r="AG7542">
        <v>16.048202</v>
      </c>
      <c r="AH7542">
        <v>109.08521669389501</v>
      </c>
      <c r="AI7542">
        <v>82.655407745264796</v>
      </c>
      <c r="AJ7542">
        <v>118.82005641332501</v>
      </c>
      <c r="AK7542">
        <v>125.536889419541</v>
      </c>
      <c r="AL7542">
        <v>88.192769024680402</v>
      </c>
      <c r="AM7542">
        <v>93.413855565587795</v>
      </c>
      <c r="AN7542">
        <v>0.99999997206812097</v>
      </c>
    </row>
    <row r="7543" spans="1:40" x14ac:dyDescent="0.25">
      <c r="A7543" t="str">
        <f>"20190312160830977"</f>
        <v>20190312160830977</v>
      </c>
      <c r="B7543" t="str">
        <f>"1552378110963179"</f>
        <v>1552378110963179</v>
      </c>
      <c r="C7543" t="s">
        <v>40</v>
      </c>
      <c r="D7543">
        <v>6.5039230000000003</v>
      </c>
      <c r="E7543">
        <v>0.318353</v>
      </c>
      <c r="F7543" t="s">
        <v>53</v>
      </c>
      <c r="G7543">
        <v>-166.1968</v>
      </c>
      <c r="H7543">
        <v>17.493210000000001</v>
      </c>
      <c r="I7543">
        <v>69.305779999999999</v>
      </c>
      <c r="J7543">
        <v>-192.6129</v>
      </c>
      <c r="K7543">
        <v>1.118244</v>
      </c>
      <c r="L7543">
        <v>-54.136380000000003</v>
      </c>
      <c r="M7543">
        <v>0.65321439999999997</v>
      </c>
      <c r="N7543">
        <v>0</v>
      </c>
      <c r="O7543">
        <v>0.75702080000000005</v>
      </c>
      <c r="P7543">
        <v>0.60767689999999996</v>
      </c>
      <c r="Q7543">
        <v>1.7422839999999998E-2</v>
      </c>
      <c r="R7543">
        <v>0.79399319999999995</v>
      </c>
      <c r="S7543">
        <v>0.69694519999999904</v>
      </c>
      <c r="T7543">
        <v>0.43050739999999998</v>
      </c>
      <c r="U7543">
        <v>3.2484739999999999</v>
      </c>
      <c r="V7543">
        <v>-5.927723E-2</v>
      </c>
      <c r="W7543">
        <v>3.1382479999999997E-2</v>
      </c>
      <c r="X7543">
        <v>0.99774810000000003</v>
      </c>
      <c r="Y7543">
        <v>-0.4803229</v>
      </c>
      <c r="Z7543">
        <v>7.5924069999999996E-2</v>
      </c>
      <c r="AA7543">
        <v>0.8737994</v>
      </c>
      <c r="AB7543">
        <v>25</v>
      </c>
      <c r="AC7543">
        <v>26.4161</v>
      </c>
      <c r="AD7543">
        <v>16.374966000000001</v>
      </c>
      <c r="AE7543">
        <v>123.44216</v>
      </c>
      <c r="AF7543">
        <v>-59.640127355064401</v>
      </c>
      <c r="AG7543">
        <v>16.374966000000001</v>
      </c>
      <c r="AH7543">
        <v>108.884302540951</v>
      </c>
      <c r="AI7543">
        <v>82.486134069504004</v>
      </c>
      <c r="AJ7543">
        <v>118.71121857972599</v>
      </c>
      <c r="AK7543">
        <v>125.223303111916</v>
      </c>
      <c r="AL7543">
        <v>88.201621000037406</v>
      </c>
      <c r="AM7543">
        <v>93.400004031121796</v>
      </c>
      <c r="AN7543">
        <v>0.99999996055051599</v>
      </c>
    </row>
    <row r="7544" spans="1:40" x14ac:dyDescent="0.25">
      <c r="A7544" t="str">
        <f>"20190312160830997"</f>
        <v>20190312160830997</v>
      </c>
      <c r="B7544" t="str">
        <f>"1552378110993070"</f>
        <v>1552378110993070</v>
      </c>
      <c r="C7544" t="s">
        <v>40</v>
      </c>
      <c r="D7544">
        <v>6.3815629999999999</v>
      </c>
      <c r="E7544">
        <v>0.34723490000000001</v>
      </c>
      <c r="F7544" t="s">
        <v>53</v>
      </c>
      <c r="G7544">
        <v>-166.97730000000001</v>
      </c>
      <c r="H7544">
        <v>17.83916</v>
      </c>
      <c r="I7544">
        <v>69.305890000000005</v>
      </c>
      <c r="J7544">
        <v>-192.47559999999999</v>
      </c>
      <c r="K7544">
        <v>1.118225</v>
      </c>
      <c r="L7544">
        <v>-53.958399999999997</v>
      </c>
      <c r="M7544">
        <v>0.64472479999999999</v>
      </c>
      <c r="N7544">
        <v>0</v>
      </c>
      <c r="O7544">
        <v>0.76426400000000005</v>
      </c>
      <c r="P7544">
        <v>0.59932289999999999</v>
      </c>
      <c r="Q7544">
        <v>1.7052419999999999E-2</v>
      </c>
      <c r="R7544">
        <v>0.80032579999999998</v>
      </c>
      <c r="S7544">
        <v>0.67532349999999997</v>
      </c>
      <c r="T7544">
        <v>0.44048209999999999</v>
      </c>
      <c r="U7544">
        <v>3.251862</v>
      </c>
      <c r="V7544">
        <v>-5.8593720000000002E-2</v>
      </c>
      <c r="W7544">
        <v>3.1027409999999998E-2</v>
      </c>
      <c r="X7544">
        <v>0.99779960000000001</v>
      </c>
      <c r="Y7544">
        <v>-0.47632989999999997</v>
      </c>
      <c r="Z7544">
        <v>7.9126360000000007E-2</v>
      </c>
      <c r="AA7544">
        <v>0.87569900000000001</v>
      </c>
      <c r="AB7544">
        <v>25</v>
      </c>
      <c r="AC7544">
        <v>25.498299999999901</v>
      </c>
      <c r="AD7544">
        <v>16.720935000000001</v>
      </c>
      <c r="AE7544">
        <v>123.26428999999899</v>
      </c>
      <c r="AF7544">
        <v>-58.9507724581361</v>
      </c>
      <c r="AG7544">
        <v>16.720935000000001</v>
      </c>
      <c r="AH7544">
        <v>108.739762239017</v>
      </c>
      <c r="AI7544">
        <v>82.301264808652505</v>
      </c>
      <c r="AJ7544">
        <v>118.463321392903</v>
      </c>
      <c r="AK7544">
        <v>124.816341608313</v>
      </c>
      <c r="AL7544">
        <v>88.221974965485003</v>
      </c>
      <c r="AM7544">
        <v>93.360716808640902</v>
      </c>
      <c r="AN7544">
        <v>0.99999998297745296</v>
      </c>
    </row>
    <row r="7545" spans="1:40" x14ac:dyDescent="0.25">
      <c r="A7545" t="str">
        <f>"20190312160831018"</f>
        <v>20190312160831018</v>
      </c>
      <c r="B7545" t="str">
        <f>"1552378111012591"</f>
        <v>1552378111012591</v>
      </c>
      <c r="C7545" t="s">
        <v>40</v>
      </c>
      <c r="D7545">
        <v>6.323048</v>
      </c>
      <c r="E7545">
        <v>0.34904220000000002</v>
      </c>
      <c r="F7545" t="s">
        <v>47</v>
      </c>
      <c r="G7545">
        <v>-184.3306</v>
      </c>
      <c r="H7545" s="1">
        <v>-4.225919E-6</v>
      </c>
      <c r="I7545">
        <v>-22.860690000000002</v>
      </c>
      <c r="J7545">
        <v>-192.33860000000001</v>
      </c>
      <c r="K7545">
        <v>1.118196</v>
      </c>
      <c r="L7545">
        <v>-53.776699999999998</v>
      </c>
      <c r="M7545">
        <v>0.63604780000000005</v>
      </c>
      <c r="N7545">
        <v>0</v>
      </c>
      <c r="O7545">
        <v>0.77150039999999998</v>
      </c>
      <c r="P7545">
        <v>0.59062340000000002</v>
      </c>
      <c r="Q7545">
        <v>1.616797E-2</v>
      </c>
      <c r="R7545">
        <v>0.80678530000000004</v>
      </c>
      <c r="S7545">
        <v>0.82131960000000004</v>
      </c>
      <c r="T7545">
        <v>-0.1127601</v>
      </c>
      <c r="U7545">
        <v>3.135834</v>
      </c>
      <c r="V7545">
        <v>-5.8112810000000001E-2</v>
      </c>
      <c r="W7545">
        <v>3.0153300000000001E-2</v>
      </c>
      <c r="X7545">
        <v>0.99785449999999998</v>
      </c>
      <c r="Y7545">
        <v>-0.41992560000000001</v>
      </c>
      <c r="Z7545">
        <v>-2.195778E-2</v>
      </c>
      <c r="AA7545">
        <v>0.90729280000000001</v>
      </c>
      <c r="AB7545">
        <v>25</v>
      </c>
      <c r="AC7545">
        <v>8.0080000000000098</v>
      </c>
      <c r="AD7545">
        <v>-1.118200225919</v>
      </c>
      <c r="AE7545">
        <v>30.916009999999901</v>
      </c>
      <c r="AF7545">
        <v>-13.470923740537099</v>
      </c>
      <c r="AG7545">
        <v>-1.118200225919</v>
      </c>
      <c r="AH7545">
        <v>28.913073159882099</v>
      </c>
      <c r="AI7545">
        <v>92.007759946452495</v>
      </c>
      <c r="AJ7545">
        <v>114.981337477023</v>
      </c>
      <c r="AK7545">
        <v>31.916797422631699</v>
      </c>
      <c r="AL7545">
        <v>88.272081194407804</v>
      </c>
      <c r="AM7545">
        <v>93.333013084373604</v>
      </c>
      <c r="AN7545">
        <v>0.99999996167861704</v>
      </c>
    </row>
    <row r="7546" spans="1:40" x14ac:dyDescent="0.25">
      <c r="A7546" t="str">
        <f>"20190312160831030"</f>
        <v>20190312160831030</v>
      </c>
      <c r="B7546" t="str">
        <f>"1552378111023326"</f>
        <v>1552378111023326</v>
      </c>
      <c r="C7546" t="s">
        <v>40</v>
      </c>
      <c r="D7546">
        <v>6.346088</v>
      </c>
      <c r="E7546">
        <v>0.3498269</v>
      </c>
      <c r="F7546" t="s">
        <v>44</v>
      </c>
      <c r="G7546">
        <v>-192.07669999999999</v>
      </c>
      <c r="H7546">
        <v>1.0790770000000001</v>
      </c>
      <c r="I7546">
        <v>-52.7483</v>
      </c>
      <c r="J7546">
        <v>-192.25739999999999</v>
      </c>
      <c r="K7546">
        <v>1.1181779999999999</v>
      </c>
      <c r="L7546">
        <v>-53.666989999999998</v>
      </c>
      <c r="M7546">
        <v>0.63080329999999996</v>
      </c>
      <c r="N7546">
        <v>0</v>
      </c>
      <c r="O7546">
        <v>0.77579430000000005</v>
      </c>
      <c r="P7546">
        <v>0.58546529999999997</v>
      </c>
      <c r="Q7546">
        <v>1.601439E-2</v>
      </c>
      <c r="R7546">
        <v>0.81053920000000002</v>
      </c>
      <c r="S7546">
        <v>0.79876709999999995</v>
      </c>
      <c r="T7546">
        <v>-0.1192961</v>
      </c>
      <c r="U7546">
        <v>3.1360779999999999</v>
      </c>
      <c r="V7546">
        <v>-5.7710999999999998E-2</v>
      </c>
      <c r="W7546">
        <v>3.0007929999999999E-2</v>
      </c>
      <c r="X7546">
        <v>0.99788220000000005</v>
      </c>
      <c r="Y7546">
        <v>-0.41991519999999999</v>
      </c>
      <c r="Z7546">
        <v>-2.3468739999999998E-2</v>
      </c>
      <c r="AA7546">
        <v>0.90725990000000001</v>
      </c>
      <c r="AB7546">
        <v>25</v>
      </c>
      <c r="AC7546">
        <v>0.180700000000001</v>
      </c>
      <c r="AD7546">
        <v>-3.9100999999999997E-2</v>
      </c>
      <c r="AE7546">
        <v>0.918690000000005</v>
      </c>
      <c r="AF7546">
        <v>-0.438612322420741</v>
      </c>
      <c r="AG7546">
        <v>-3.9100999999999997E-2</v>
      </c>
      <c r="AH7546">
        <v>0.82535643270832704</v>
      </c>
      <c r="AI7546">
        <v>92.395534943202193</v>
      </c>
      <c r="AJ7546">
        <v>117.98714639642201</v>
      </c>
      <c r="AK7546">
        <v>0.93548003644831002</v>
      </c>
      <c r="AL7546">
        <v>88.280414050530496</v>
      </c>
      <c r="AM7546">
        <v>93.3099273389725</v>
      </c>
      <c r="AN7546">
        <v>0.99999996023036097</v>
      </c>
    </row>
    <row r="7547" spans="1:40" x14ac:dyDescent="0.25">
      <c r="A7547" t="str">
        <f>"20190312160831042"</f>
        <v>20190312160831042</v>
      </c>
      <c r="B7547" t="str">
        <f>"1552378111033086"</f>
        <v>1552378111033086</v>
      </c>
      <c r="C7547" t="s">
        <v>40</v>
      </c>
      <c r="D7547">
        <v>6.2764699999999998</v>
      </c>
      <c r="E7547">
        <v>0.35052919999999999</v>
      </c>
      <c r="F7547" t="s">
        <v>47</v>
      </c>
      <c r="G7547">
        <v>-185.01609999999999</v>
      </c>
      <c r="H7547" s="1">
        <v>-3.3262450000000002E-6</v>
      </c>
      <c r="I7547">
        <v>-24.674440000000001</v>
      </c>
      <c r="J7547">
        <v>-192.17959999999999</v>
      </c>
      <c r="K7547">
        <v>1.118163</v>
      </c>
      <c r="L7547">
        <v>-53.56015</v>
      </c>
      <c r="M7547">
        <v>0.62569809999999904</v>
      </c>
      <c r="N7547">
        <v>0</v>
      </c>
      <c r="O7547">
        <v>0.77991769999999905</v>
      </c>
      <c r="P7547">
        <v>0.58024279999999995</v>
      </c>
      <c r="Q7547">
        <v>1.5925769999999999E-2</v>
      </c>
      <c r="R7547">
        <v>0.81428780000000001</v>
      </c>
      <c r="S7547">
        <v>0.78366089999999999</v>
      </c>
      <c r="T7547">
        <v>-0.12100959999999999</v>
      </c>
      <c r="U7547">
        <v>3.1375730000000002</v>
      </c>
      <c r="V7547">
        <v>-5.7574590000000002E-2</v>
      </c>
      <c r="W7547">
        <v>2.992214E-2</v>
      </c>
      <c r="X7547">
        <v>0.99789269999999997</v>
      </c>
      <c r="Y7547">
        <v>-0.41817159999999898</v>
      </c>
      <c r="Z7547">
        <v>-2.4041679999999999E-2</v>
      </c>
      <c r="AA7547">
        <v>0.90804980000000002</v>
      </c>
      <c r="AB7547">
        <v>25</v>
      </c>
      <c r="AC7547">
        <v>7.1634999999999902</v>
      </c>
      <c r="AD7547">
        <v>-1.1181663262449999</v>
      </c>
      <c r="AE7547">
        <v>28.8857099999999</v>
      </c>
      <c r="AF7547">
        <v>-12.4706272019283</v>
      </c>
      <c r="AG7547">
        <v>-1.1181663262449999</v>
      </c>
      <c r="AH7547">
        <v>26.975695074645099</v>
      </c>
      <c r="AI7547">
        <v>92.154733457891595</v>
      </c>
      <c r="AJ7547">
        <v>114.81068661523599</v>
      </c>
      <c r="AK7547">
        <v>29.739787549726302</v>
      </c>
      <c r="AL7547">
        <v>88.285331739496698</v>
      </c>
      <c r="AM7547">
        <v>93.302086413839703</v>
      </c>
      <c r="AN7547">
        <v>1.00000000429456</v>
      </c>
    </row>
    <row r="7548" spans="1:40" x14ac:dyDescent="0.25">
      <c r="A7548" t="str">
        <f>"20190312160831055"</f>
        <v>20190312160831055</v>
      </c>
      <c r="B7548" t="str">
        <f>"1552378111042846"</f>
        <v>1552378111042846</v>
      </c>
      <c r="C7548" t="s">
        <v>40</v>
      </c>
      <c r="D7548">
        <v>7.0633379999999999</v>
      </c>
      <c r="E7548">
        <v>0.35052919999999999</v>
      </c>
      <c r="F7548" t="s">
        <v>47</v>
      </c>
      <c r="G7548">
        <v>-185.30940000000001</v>
      </c>
      <c r="H7548" s="1">
        <v>-2.9292089999999999E-6</v>
      </c>
      <c r="I7548">
        <v>-25.478649999999998</v>
      </c>
      <c r="J7548">
        <v>-192.1002</v>
      </c>
      <c r="K7548">
        <v>1.118153</v>
      </c>
      <c r="L7548">
        <v>-53.450069999999997</v>
      </c>
      <c r="M7548">
        <v>0.62042399999999998</v>
      </c>
      <c r="N7548">
        <v>0</v>
      </c>
      <c r="O7548">
        <v>0.78411980000000003</v>
      </c>
      <c r="P7548">
        <v>0.57473319999999894</v>
      </c>
      <c r="Q7548">
        <v>1.6048949999999999E-2</v>
      </c>
      <c r="R7548">
        <v>0.81818349999999995</v>
      </c>
      <c r="S7548">
        <v>0.76805109999999999</v>
      </c>
      <c r="T7548">
        <v>-0.12500430000000001</v>
      </c>
      <c r="U7548">
        <v>3.1393430000000002</v>
      </c>
      <c r="V7548">
        <v>-5.7580560000000003E-2</v>
      </c>
      <c r="W7548">
        <v>3.0044629999999999E-2</v>
      </c>
      <c r="X7548">
        <v>0.99788869999999996</v>
      </c>
      <c r="Y7548">
        <v>-0.41642600000000002</v>
      </c>
      <c r="Z7548">
        <v>-2.5081119999999998E-2</v>
      </c>
      <c r="AA7548">
        <v>0.90882359999999895</v>
      </c>
      <c r="AB7548">
        <v>25</v>
      </c>
      <c r="AC7548">
        <v>6.7907999999999902</v>
      </c>
      <c r="AD7548">
        <v>-1.118155929209</v>
      </c>
      <c r="AE7548">
        <v>27.971419999999998</v>
      </c>
      <c r="AF7548">
        <v>-12.0125967238908</v>
      </c>
      <c r="AG7548">
        <v>-1.118155929209</v>
      </c>
      <c r="AH7548">
        <v>26.109728548067999</v>
      </c>
      <c r="AI7548">
        <v>92.227976684723998</v>
      </c>
      <c r="AJ7548">
        <v>114.706272688491</v>
      </c>
      <c r="AK7548">
        <v>28.7623134950348</v>
      </c>
      <c r="AL7548">
        <v>88.278310465466404</v>
      </c>
      <c r="AM7548">
        <v>93.302441262953295</v>
      </c>
      <c r="AN7548">
        <v>1.00000002913471</v>
      </c>
    </row>
    <row r="7549" spans="1:40" x14ac:dyDescent="0.25">
      <c r="A7549" t="str">
        <f>"20190312160831066"</f>
        <v>20190312160831066</v>
      </c>
      <c r="B7549" t="str">
        <f>"1552378111063032"</f>
        <v>1552378111063032</v>
      </c>
      <c r="C7549" t="s">
        <v>40</v>
      </c>
      <c r="D7549">
        <v>6.3347530000000001</v>
      </c>
      <c r="E7549">
        <v>0.33295910000000001</v>
      </c>
      <c r="F7549" t="s">
        <v>44</v>
      </c>
      <c r="G7549">
        <v>-191.85669999999999</v>
      </c>
      <c r="H7549">
        <v>1.0774239999999999</v>
      </c>
      <c r="I7549">
        <v>-52.425089999999997</v>
      </c>
      <c r="J7549">
        <v>-192.02680000000001</v>
      </c>
      <c r="K7549">
        <v>1.118139</v>
      </c>
      <c r="L7549">
        <v>-53.346249999999998</v>
      </c>
      <c r="M7549">
        <v>0.61546109999999998</v>
      </c>
      <c r="N7549">
        <v>0</v>
      </c>
      <c r="O7549">
        <v>0.78802130000000004</v>
      </c>
      <c r="P7549">
        <v>0.569519199999999</v>
      </c>
      <c r="Q7549">
        <v>1.6005729999999999E-2</v>
      </c>
      <c r="R7549">
        <v>0.82182219999999995</v>
      </c>
      <c r="S7549">
        <v>0.74691770000000002</v>
      </c>
      <c r="T7549">
        <v>-0.1249551</v>
      </c>
      <c r="U7549">
        <v>3.1444399999999999</v>
      </c>
      <c r="V7549">
        <v>-5.7623929999999997E-2</v>
      </c>
      <c r="W7549">
        <v>2.999982E-2</v>
      </c>
      <c r="X7549">
        <v>0.99788750000000004</v>
      </c>
      <c r="Y7549">
        <v>-0.4167999</v>
      </c>
      <c r="Z7549">
        <v>-2.5258659999999999E-2</v>
      </c>
      <c r="AA7549">
        <v>0.90864719999999999</v>
      </c>
      <c r="AB7549">
        <v>25</v>
      </c>
      <c r="AC7549">
        <v>0.17010000000001901</v>
      </c>
      <c r="AD7549">
        <v>-4.0715000000000001E-2</v>
      </c>
      <c r="AE7549">
        <v>0.92115999999999298</v>
      </c>
      <c r="AF7549">
        <v>-0.43212915333346402</v>
      </c>
      <c r="AG7549">
        <v>-4.0715000000000001E-2</v>
      </c>
      <c r="AH7549">
        <v>0.82911283888084397</v>
      </c>
      <c r="AI7549">
        <v>92.493482865831993</v>
      </c>
      <c r="AJ7549">
        <v>117.528283462247</v>
      </c>
      <c r="AK7549">
        <v>0.93585330900881503</v>
      </c>
      <c r="AL7549">
        <v>88.280878970494001</v>
      </c>
      <c r="AM7549">
        <v>93.304927134019195</v>
      </c>
      <c r="AN7549">
        <v>0.99999998458246298</v>
      </c>
    </row>
    <row r="7550" spans="1:40" x14ac:dyDescent="0.25">
      <c r="A7550" t="str">
        <f>"20190312160831085"</f>
        <v>20190312160831085</v>
      </c>
      <c r="B7550" t="str">
        <f>"1552378111072786"</f>
        <v>1552378111072786</v>
      </c>
      <c r="C7550" t="s">
        <v>40</v>
      </c>
      <c r="D7550">
        <v>9.6196370000000009</v>
      </c>
      <c r="E7550">
        <v>0.353773</v>
      </c>
      <c r="F7550" t="s">
        <v>53</v>
      </c>
      <c r="G7550">
        <v>-168.48400000000001</v>
      </c>
      <c r="H7550">
        <v>25.116769999999999</v>
      </c>
      <c r="I7550">
        <v>68.726659999999995</v>
      </c>
      <c r="J7550">
        <v>-191.91390000000001</v>
      </c>
      <c r="K7550">
        <v>1.1181129999999999</v>
      </c>
      <c r="L7550">
        <v>-53.184269999999998</v>
      </c>
      <c r="M7550">
        <v>0.60770150000000001</v>
      </c>
      <c r="N7550">
        <v>0</v>
      </c>
      <c r="O7550">
        <v>0.79402069999999902</v>
      </c>
      <c r="P7550">
        <v>0.56061309999999998</v>
      </c>
      <c r="Q7550">
        <v>1.5705759999999999E-2</v>
      </c>
      <c r="R7550">
        <v>0.82792900000000003</v>
      </c>
      <c r="S7550">
        <v>0.618927</v>
      </c>
      <c r="T7550">
        <v>0.63091090000000005</v>
      </c>
      <c r="U7550">
        <v>3.2092290000000001</v>
      </c>
      <c r="V7550">
        <v>-5.8605150000000002E-2</v>
      </c>
      <c r="W7550">
        <v>2.967858E-2</v>
      </c>
      <c r="X7550">
        <v>0.99783999999999995</v>
      </c>
      <c r="Y7550">
        <v>-0.44753209999999999</v>
      </c>
      <c r="Z7550">
        <v>0.123636999999999</v>
      </c>
      <c r="AA7550">
        <v>0.88567989999999996</v>
      </c>
      <c r="AB7550">
        <v>25</v>
      </c>
      <c r="AC7550">
        <v>23.4299</v>
      </c>
      <c r="AD7550">
        <v>23.998657000000001</v>
      </c>
      <c r="AE7550">
        <v>121.91092999999999</v>
      </c>
      <c r="AF7550">
        <v>-53.489063645838698</v>
      </c>
      <c r="AG7550">
        <v>23.998657000000001</v>
      </c>
      <c r="AH7550">
        <v>107.050364805876</v>
      </c>
      <c r="AI7550">
        <v>78.6602860321359</v>
      </c>
      <c r="AJ7550">
        <v>116.54958382858401</v>
      </c>
      <c r="AK7550">
        <v>122.05243165370899</v>
      </c>
      <c r="AL7550">
        <v>88.299292933033101</v>
      </c>
      <c r="AM7550">
        <v>93.3612351063381</v>
      </c>
      <c r="AN7550">
        <v>1.0000000236586599</v>
      </c>
    </row>
    <row r="7551" spans="1:40" x14ac:dyDescent="0.25">
      <c r="A7551" t="str">
        <f>"20190312160831097"</f>
        <v>20190312160831097</v>
      </c>
      <c r="B7551" t="str">
        <f>"1552378111093282"</f>
        <v>1552378111093282</v>
      </c>
      <c r="C7551" t="s">
        <v>40</v>
      </c>
      <c r="D7551">
        <v>5.9531739999999997</v>
      </c>
      <c r="E7551">
        <v>0.35485270000000002</v>
      </c>
      <c r="F7551" t="s">
        <v>45</v>
      </c>
      <c r="G7551">
        <v>-170.6317</v>
      </c>
      <c r="H7551">
        <v>-0.05</v>
      </c>
      <c r="I7551">
        <v>40.249760000000002</v>
      </c>
      <c r="J7551">
        <v>-191.8408</v>
      </c>
      <c r="K7551">
        <v>1.118099</v>
      </c>
      <c r="L7551">
        <v>-53.077820000000003</v>
      </c>
      <c r="M7551">
        <v>0.60259700000000005</v>
      </c>
      <c r="N7551">
        <v>0</v>
      </c>
      <c r="O7551">
        <v>0.79790159999999999</v>
      </c>
      <c r="P7551">
        <v>0.55513539999999995</v>
      </c>
      <c r="Q7551">
        <v>1.548972E-2</v>
      </c>
      <c r="R7551">
        <v>0.83161569999999996</v>
      </c>
      <c r="S7551">
        <v>0.71521000000000001</v>
      </c>
      <c r="T7551">
        <v>-3.9255739999999997E-2</v>
      </c>
      <c r="U7551">
        <v>3.1399539999999999</v>
      </c>
      <c r="V7551">
        <v>-5.8790630000000003E-2</v>
      </c>
      <c r="W7551">
        <v>2.9458379999999999E-2</v>
      </c>
      <c r="X7551">
        <v>0.99783560000000004</v>
      </c>
      <c r="Y7551">
        <v>-0.41039700000000001</v>
      </c>
      <c r="Z7551">
        <v>-8.1499339999999993E-3</v>
      </c>
      <c r="AA7551">
        <v>0.91187050000000003</v>
      </c>
      <c r="AB7551">
        <v>25</v>
      </c>
      <c r="AC7551">
        <v>21.209099999999999</v>
      </c>
      <c r="AD7551">
        <v>-1.168099</v>
      </c>
      <c r="AE7551">
        <v>93.327579999999898</v>
      </c>
      <c r="AF7551">
        <v>-39.314808576960601</v>
      </c>
      <c r="AG7551">
        <v>-1.168099</v>
      </c>
      <c r="AH7551">
        <v>87.243799992339504</v>
      </c>
      <c r="AI7551">
        <v>90.699360196824799</v>
      </c>
      <c r="AJ7551">
        <v>114.257829673695</v>
      </c>
      <c r="AK7551">
        <v>95.700048410751606</v>
      </c>
      <c r="AL7551">
        <v>88.311914958366998</v>
      </c>
      <c r="AM7551">
        <v>93.3718634393028</v>
      </c>
      <c r="AN7551">
        <v>1.00000000947769</v>
      </c>
    </row>
    <row r="7552" spans="1:40" x14ac:dyDescent="0.25">
      <c r="A7552" t="str">
        <f>"20190312160831108"</f>
        <v>20190312160831108</v>
      </c>
      <c r="B7552" t="str">
        <f>"1552378111103042"</f>
        <v>1552378111103042</v>
      </c>
      <c r="C7552" t="s">
        <v>40</v>
      </c>
      <c r="D7552">
        <v>6.2944839999999997</v>
      </c>
      <c r="E7552">
        <v>0.35666710000000001</v>
      </c>
      <c r="F7552" t="s">
        <v>88</v>
      </c>
      <c r="G7552">
        <v>-168.8134</v>
      </c>
      <c r="H7552">
        <v>0.2976511</v>
      </c>
      <c r="I7552">
        <v>49.938830000000003</v>
      </c>
      <c r="J7552">
        <v>-191.7645</v>
      </c>
      <c r="K7552">
        <v>1.1180840000000001</v>
      </c>
      <c r="L7552">
        <v>-52.964869999999998</v>
      </c>
      <c r="M7552">
        <v>0.597182199999999</v>
      </c>
      <c r="N7552">
        <v>0</v>
      </c>
      <c r="O7552">
        <v>0.80196239999999996</v>
      </c>
      <c r="P7552">
        <v>0.54907919999999999</v>
      </c>
      <c r="Q7552">
        <v>1.514829E-2</v>
      </c>
      <c r="R7552">
        <v>0.83563299999999996</v>
      </c>
      <c r="S7552">
        <v>0.70176700000000003</v>
      </c>
      <c r="T7552">
        <v>-2.500343E-2</v>
      </c>
      <c r="U7552">
        <v>3.139465</v>
      </c>
      <c r="V7552">
        <v>-5.9281309999999997E-2</v>
      </c>
      <c r="W7552">
        <v>2.910567E-2</v>
      </c>
      <c r="X7552">
        <v>0.99781690000000001</v>
      </c>
      <c r="Y7552">
        <v>-0.40790340000000003</v>
      </c>
      <c r="Z7552">
        <v>-5.2439670000000004E-3</v>
      </c>
      <c r="AA7552">
        <v>0.91301010000000005</v>
      </c>
      <c r="AB7552">
        <v>25</v>
      </c>
      <c r="AC7552">
        <v>22.9511</v>
      </c>
      <c r="AD7552">
        <v>-0.82043290000000002</v>
      </c>
      <c r="AE7552">
        <v>102.9037</v>
      </c>
      <c r="AF7552">
        <v>-43.048677307658302</v>
      </c>
      <c r="AG7552">
        <v>-0.82043290000000002</v>
      </c>
      <c r="AH7552">
        <v>96.236114577336906</v>
      </c>
      <c r="AI7552">
        <v>90.445872243021796</v>
      </c>
      <c r="AJ7552">
        <v>114.10009073809999</v>
      </c>
      <c r="AK7552">
        <v>105.428892989657</v>
      </c>
      <c r="AL7552">
        <v>88.332132389358804</v>
      </c>
      <c r="AM7552">
        <v>93.400003603235902</v>
      </c>
      <c r="AN7552">
        <v>0.999999989833537</v>
      </c>
    </row>
    <row r="7553" spans="1:40" x14ac:dyDescent="0.25">
      <c r="A7553" t="str">
        <f>"20190312160831120"</f>
        <v>20190312160831120</v>
      </c>
      <c r="B7553" t="str">
        <f>"1552378111112803"</f>
        <v>1552378111112803</v>
      </c>
      <c r="C7553" t="s">
        <v>40</v>
      </c>
      <c r="D7553">
        <v>6.2913259999999998</v>
      </c>
      <c r="E7553">
        <v>0.35617270000000001</v>
      </c>
      <c r="F7553" t="s">
        <v>88</v>
      </c>
      <c r="G7553">
        <v>-169.0821</v>
      </c>
      <c r="H7553">
        <v>0.1967314</v>
      </c>
      <c r="I7553">
        <v>50.005580000000002</v>
      </c>
      <c r="J7553">
        <v>-191.69649999999999</v>
      </c>
      <c r="K7553">
        <v>1.1180760000000001</v>
      </c>
      <c r="L7553">
        <v>-52.862670000000001</v>
      </c>
      <c r="M7553">
        <v>0.59227790000000002</v>
      </c>
      <c r="N7553">
        <v>0</v>
      </c>
      <c r="O7553">
        <v>0.80559119999999995</v>
      </c>
      <c r="P7553">
        <v>0.54375759999999995</v>
      </c>
      <c r="Q7553">
        <v>1.4764650000000001E-2</v>
      </c>
      <c r="R7553">
        <v>0.83911250000000004</v>
      </c>
      <c r="S7553">
        <v>0.69093319999999903</v>
      </c>
      <c r="T7553">
        <v>-2.8065440000000001E-2</v>
      </c>
      <c r="U7553">
        <v>3.1365970000000001</v>
      </c>
      <c r="V7553">
        <v>-5.9529869999999999E-2</v>
      </c>
      <c r="W7553">
        <v>2.871626E-2</v>
      </c>
      <c r="X7553">
        <v>0.99781339999999996</v>
      </c>
      <c r="Y7553">
        <v>-0.40515909999999999</v>
      </c>
      <c r="Z7553">
        <v>-5.9445269999999998E-3</v>
      </c>
      <c r="AA7553">
        <v>0.91422680000000001</v>
      </c>
      <c r="AB7553">
        <v>25</v>
      </c>
      <c r="AC7553">
        <v>22.6143999999999</v>
      </c>
      <c r="AD7553">
        <v>-0.92134459999999996</v>
      </c>
      <c r="AE7553">
        <v>102.86825</v>
      </c>
      <c r="AF7553">
        <v>-42.7102672912321</v>
      </c>
      <c r="AG7553">
        <v>-0.92134459999999996</v>
      </c>
      <c r="AH7553">
        <v>96.267457930716006</v>
      </c>
      <c r="AI7553">
        <v>90.501229630725007</v>
      </c>
      <c r="AJ7553">
        <v>113.92506914449299</v>
      </c>
      <c r="AK7553">
        <v>105.32064975304</v>
      </c>
      <c r="AL7553">
        <v>88.354453294716606</v>
      </c>
      <c r="AM7553">
        <v>93.414237737970694</v>
      </c>
      <c r="AN7553">
        <v>1.0000000051150799</v>
      </c>
    </row>
    <row r="7554" spans="1:40" x14ac:dyDescent="0.25">
      <c r="A7554" t="str">
        <f>"20190312160831131"</f>
        <v>20190312160831131</v>
      </c>
      <c r="B7554" t="str">
        <f>"1552378111122562"</f>
        <v>1552378111122562</v>
      </c>
      <c r="C7554" t="s">
        <v>40</v>
      </c>
      <c r="D7554">
        <v>6.2934349999999997</v>
      </c>
      <c r="E7554">
        <v>0.35258800000000001</v>
      </c>
      <c r="F7554" t="s">
        <v>45</v>
      </c>
      <c r="G7554">
        <v>-170.83539999999999</v>
      </c>
      <c r="H7554">
        <v>-0.05</v>
      </c>
      <c r="I7554">
        <v>45.339080000000003</v>
      </c>
      <c r="J7554">
        <v>-191.62569999999999</v>
      </c>
      <c r="K7554">
        <v>1.1180619999999999</v>
      </c>
      <c r="L7554">
        <v>-52.755130000000001</v>
      </c>
      <c r="M7554">
        <v>0.58711169999999901</v>
      </c>
      <c r="N7554">
        <v>0</v>
      </c>
      <c r="O7554">
        <v>0.80936409999999903</v>
      </c>
      <c r="P7554">
        <v>0.53823980000000005</v>
      </c>
      <c r="Q7554">
        <v>1.4377590000000001E-2</v>
      </c>
      <c r="R7554">
        <v>0.84266909999999895</v>
      </c>
      <c r="S7554">
        <v>0.66770940000000001</v>
      </c>
      <c r="T7554">
        <v>-3.7387129999999998E-2</v>
      </c>
      <c r="U7554">
        <v>3.1431879999999999</v>
      </c>
      <c r="V7554">
        <v>-5.9688499999999999E-2</v>
      </c>
      <c r="W7554">
        <v>2.8324930000000002E-2</v>
      </c>
      <c r="X7554">
        <v>0.99781509999999995</v>
      </c>
      <c r="Y7554">
        <v>-0.40616859999999999</v>
      </c>
      <c r="Z7554">
        <v>-7.9676550000000006E-3</v>
      </c>
      <c r="AA7554">
        <v>0.91376349999999995</v>
      </c>
      <c r="AB7554">
        <v>25</v>
      </c>
      <c r="AC7554">
        <v>20.790299999999998</v>
      </c>
      <c r="AD7554">
        <v>-1.1680619999999999</v>
      </c>
      <c r="AE7554">
        <v>98.094210000000004</v>
      </c>
      <c r="AF7554">
        <v>-40.7644852047315</v>
      </c>
      <c r="AG7554">
        <v>-1.1680619999999999</v>
      </c>
      <c r="AH7554">
        <v>91.598248745525495</v>
      </c>
      <c r="AI7554">
        <v>90.667487319346804</v>
      </c>
      <c r="AJ7554">
        <v>113.99076845156399</v>
      </c>
      <c r="AK7554">
        <v>100.266379191081</v>
      </c>
      <c r="AL7554">
        <v>88.376883962420294</v>
      </c>
      <c r="AM7554">
        <v>93.423308274031001</v>
      </c>
      <c r="AN7554">
        <v>0.99999999623988201</v>
      </c>
    </row>
    <row r="7555" spans="1:40" x14ac:dyDescent="0.25">
      <c r="A7555" t="str">
        <f>"20190312160831144"</f>
        <v>20190312160831144</v>
      </c>
      <c r="B7555" t="str">
        <f>"1552378111133297"</f>
        <v>1552378111133297</v>
      </c>
      <c r="C7555" t="s">
        <v>40</v>
      </c>
      <c r="D7555">
        <v>6.3734859999999998</v>
      </c>
      <c r="E7555">
        <v>0.3514758</v>
      </c>
      <c r="F7555" t="s">
        <v>47</v>
      </c>
      <c r="G7555">
        <v>-177.3152</v>
      </c>
      <c r="H7555">
        <v>7.9985559999999997E-2</v>
      </c>
      <c r="I7555">
        <v>19.9405</v>
      </c>
      <c r="J7555">
        <v>-191.5592</v>
      </c>
      <c r="K7555">
        <v>1.11805</v>
      </c>
      <c r="L7555">
        <v>-52.65231</v>
      </c>
      <c r="M7555">
        <v>0.58217649999999999</v>
      </c>
      <c r="N7555">
        <v>0</v>
      </c>
      <c r="O7555">
        <v>0.81292119999999901</v>
      </c>
      <c r="P7555">
        <v>0.53307789999999999</v>
      </c>
      <c r="Q7555">
        <v>1.416329E-2</v>
      </c>
      <c r="R7555">
        <v>0.84594769999999897</v>
      </c>
      <c r="S7555">
        <v>0.62268069999999998</v>
      </c>
      <c r="T7555">
        <v>-4.5169000000000001E-2</v>
      </c>
      <c r="U7555">
        <v>3.1631469999999999</v>
      </c>
      <c r="V7555">
        <v>-5.9715039999999997E-2</v>
      </c>
      <c r="W7555">
        <v>2.810901E-2</v>
      </c>
      <c r="X7555">
        <v>0.99781960000000003</v>
      </c>
      <c r="Y7555">
        <v>-0.4142554</v>
      </c>
      <c r="Z7555">
        <v>-9.6210640000000004E-3</v>
      </c>
      <c r="AA7555">
        <v>0.91010979999999997</v>
      </c>
      <c r="AB7555">
        <v>25</v>
      </c>
      <c r="AC7555">
        <v>14.244</v>
      </c>
      <c r="AD7555">
        <v>-1.0380644400000001</v>
      </c>
      <c r="AE7555">
        <v>72.59281</v>
      </c>
      <c r="AF7555">
        <v>-30.680061118465201</v>
      </c>
      <c r="AG7555">
        <v>-1.0380644400000001</v>
      </c>
      <c r="AH7555">
        <v>67.299234247284502</v>
      </c>
      <c r="AI7555">
        <v>90.804093930918299</v>
      </c>
      <c r="AJ7555">
        <v>114.507072432424</v>
      </c>
      <c r="AK7555">
        <v>73.969795580934502</v>
      </c>
      <c r="AL7555">
        <v>88.389260166234095</v>
      </c>
      <c r="AM7555">
        <v>93.424811388880798</v>
      </c>
      <c r="AN7555">
        <v>0.99999997829477005</v>
      </c>
    </row>
    <row r="7556" spans="1:40" x14ac:dyDescent="0.25">
      <c r="A7556" t="str">
        <f>"20190312160831156"</f>
        <v>20190312160831156</v>
      </c>
      <c r="B7556" t="str">
        <f>"1552378111152819"</f>
        <v>1552378111152819</v>
      </c>
      <c r="C7556" t="s">
        <v>40</v>
      </c>
      <c r="D7556">
        <v>6.321466</v>
      </c>
      <c r="E7556">
        <v>0.34828969999999998</v>
      </c>
      <c r="F7556" t="s">
        <v>47</v>
      </c>
      <c r="G7556">
        <v>-180.68260000000001</v>
      </c>
      <c r="H7556" s="1">
        <v>-4.3892919999999901E-6</v>
      </c>
      <c r="I7556">
        <v>5.2611619999999997</v>
      </c>
      <c r="J7556">
        <v>-191.48240000000001</v>
      </c>
      <c r="K7556">
        <v>1.118039</v>
      </c>
      <c r="L7556">
        <v>-52.532380000000003</v>
      </c>
      <c r="M7556">
        <v>0.57640919999999995</v>
      </c>
      <c r="N7556">
        <v>0</v>
      </c>
      <c r="O7556">
        <v>0.81702079999999999</v>
      </c>
      <c r="P7556">
        <v>0.52682099999999998</v>
      </c>
      <c r="Q7556">
        <v>1.445724E-2</v>
      </c>
      <c r="R7556">
        <v>0.84985339999999998</v>
      </c>
      <c r="S7556">
        <v>0.59571839999999998</v>
      </c>
      <c r="T7556">
        <v>-6.1236140000000001E-2</v>
      </c>
      <c r="U7556">
        <v>3.1719360000000001</v>
      </c>
      <c r="V7556">
        <v>-6.0019049999999997E-2</v>
      </c>
      <c r="W7556">
        <v>2.839595E-2</v>
      </c>
      <c r="X7556">
        <v>0.99779329999999999</v>
      </c>
      <c r="Y7556">
        <v>-0.4157593</v>
      </c>
      <c r="Z7556">
        <v>-1.312021E-2</v>
      </c>
      <c r="AA7556">
        <v>0.90938010000000002</v>
      </c>
      <c r="AB7556">
        <v>25</v>
      </c>
      <c r="AC7556">
        <v>10.799799999999999</v>
      </c>
      <c r="AD7556">
        <v>-1.1180433892919901</v>
      </c>
      <c r="AE7556">
        <v>57.793542000000002</v>
      </c>
      <c r="AF7556">
        <v>-24.483024481356502</v>
      </c>
      <c r="AG7556">
        <v>-1.1180433892919901</v>
      </c>
      <c r="AH7556">
        <v>53.430440786064302</v>
      </c>
      <c r="AI7556">
        <v>91.089816187457203</v>
      </c>
      <c r="AJ7556">
        <v>114.618311673298</v>
      </c>
      <c r="AK7556">
        <v>58.783335320209297</v>
      </c>
      <c r="AL7556">
        <v>88.372813254715894</v>
      </c>
      <c r="AM7556">
        <v>93.442295839269605</v>
      </c>
      <c r="AN7556">
        <v>1.0000000429320901</v>
      </c>
    </row>
    <row r="7557" spans="1:40" x14ac:dyDescent="0.25">
      <c r="A7557" t="str">
        <f>"20190312160831175"</f>
        <v>20190312160831175</v>
      </c>
      <c r="B7557" t="str">
        <f>"1552378111162578"</f>
        <v>1552378111162578</v>
      </c>
      <c r="C7557" t="s">
        <v>40</v>
      </c>
      <c r="D7557">
        <v>6.4922620000000002</v>
      </c>
      <c r="E7557">
        <v>0.34779300000000002</v>
      </c>
      <c r="F7557" t="s">
        <v>47</v>
      </c>
      <c r="G7557">
        <v>-182.29859999999999</v>
      </c>
      <c r="H7557" s="1">
        <v>-2.3986740000000001E-6</v>
      </c>
      <c r="I7557">
        <v>0.67515309999999995</v>
      </c>
      <c r="J7557">
        <v>-191.38040000000001</v>
      </c>
      <c r="K7557">
        <v>1.1180239999999999</v>
      </c>
      <c r="L7557">
        <v>-52.37003</v>
      </c>
      <c r="M7557">
        <v>0.56859609999999905</v>
      </c>
      <c r="N7557">
        <v>0</v>
      </c>
      <c r="O7557">
        <v>0.82247739999999903</v>
      </c>
      <c r="P7557">
        <v>0.51748870000000002</v>
      </c>
      <c r="Q7557">
        <v>1.471098E-2</v>
      </c>
      <c r="R7557">
        <v>0.85556359999999998</v>
      </c>
      <c r="S7557">
        <v>0.55058289999999999</v>
      </c>
      <c r="T7557">
        <v>-6.7027809999999993E-2</v>
      </c>
      <c r="U7557">
        <v>3.1898499999999999</v>
      </c>
      <c r="V7557">
        <v>-6.1430249999999999E-2</v>
      </c>
      <c r="W7557">
        <v>2.8619499999999999E-2</v>
      </c>
      <c r="X7557">
        <v>0.99770099999999995</v>
      </c>
      <c r="Y7557">
        <v>-0.4204793</v>
      </c>
      <c r="Z7557">
        <v>-1.44341E-2</v>
      </c>
      <c r="AA7557">
        <v>0.90718730000000003</v>
      </c>
      <c r="AB7557">
        <v>25</v>
      </c>
      <c r="AC7557">
        <v>9.0818000000000101</v>
      </c>
      <c r="AD7557">
        <v>-1.118026398674</v>
      </c>
      <c r="AE7557">
        <v>53.045183100000003</v>
      </c>
      <c r="AF7557">
        <v>-22.684521918773399</v>
      </c>
      <c r="AG7557">
        <v>-1.118026398674</v>
      </c>
      <c r="AH7557">
        <v>48.776886515017203</v>
      </c>
      <c r="AI7557">
        <v>91.190638716776306</v>
      </c>
      <c r="AJ7557">
        <v>114.941585494462</v>
      </c>
      <c r="AK7557">
        <v>53.805410283821097</v>
      </c>
      <c r="AL7557">
        <v>88.359999535647503</v>
      </c>
      <c r="AM7557">
        <v>93.523356523888296</v>
      </c>
      <c r="AN7557">
        <v>1.0000000183981499</v>
      </c>
    </row>
    <row r="7558" spans="1:40" x14ac:dyDescent="0.25">
      <c r="A7558" t="str">
        <f>"20190312160831187"</f>
        <v>20190312160831187</v>
      </c>
      <c r="B7558" t="str">
        <f>"1552378111183074"</f>
        <v>1552378111183074</v>
      </c>
      <c r="C7558" t="s">
        <v>40</v>
      </c>
      <c r="D7558">
        <v>6.5358029999999996</v>
      </c>
      <c r="E7558">
        <v>0.34746830000000001</v>
      </c>
      <c r="F7558" t="s">
        <v>47</v>
      </c>
      <c r="G7558">
        <v>-183.97210000000001</v>
      </c>
      <c r="H7558" s="1">
        <v>-3.043285E-6</v>
      </c>
      <c r="I7558">
        <v>-6.1221389999999998</v>
      </c>
      <c r="J7558">
        <v>-191.30119999999999</v>
      </c>
      <c r="K7558">
        <v>1.1180049999999999</v>
      </c>
      <c r="L7558">
        <v>-52.240780000000001</v>
      </c>
      <c r="M7558">
        <v>0.56238180000000004</v>
      </c>
      <c r="N7558">
        <v>0</v>
      </c>
      <c r="O7558">
        <v>0.82673909999999995</v>
      </c>
      <c r="P7558">
        <v>0.51054979999999905</v>
      </c>
      <c r="Q7558">
        <v>1.456115E-2</v>
      </c>
      <c r="R7558">
        <v>0.85972490000000001</v>
      </c>
      <c r="S7558">
        <v>0.5122681</v>
      </c>
      <c r="T7558">
        <v>-7.7309009999999997E-2</v>
      </c>
      <c r="U7558">
        <v>3.197937</v>
      </c>
      <c r="V7558">
        <v>-6.1980970000000003E-2</v>
      </c>
      <c r="W7558">
        <v>2.845696E-2</v>
      </c>
      <c r="X7558">
        <v>0.99767150000000004</v>
      </c>
      <c r="Y7558">
        <v>-0.42460340000000002</v>
      </c>
      <c r="Z7558">
        <v>-1.674076E-2</v>
      </c>
      <c r="AA7558">
        <v>0.90522469999999999</v>
      </c>
      <c r="AB7558">
        <v>25</v>
      </c>
      <c r="AC7558">
        <v>7.32909999999998</v>
      </c>
      <c r="AD7558">
        <v>-1.1180080432849999</v>
      </c>
      <c r="AE7558">
        <v>46.118640999999997</v>
      </c>
      <c r="AF7558">
        <v>-19.867920558581801</v>
      </c>
      <c r="AG7558">
        <v>-1.1180080432849999</v>
      </c>
      <c r="AH7558">
        <v>42.230471829682401</v>
      </c>
      <c r="AI7558">
        <v>91.372274243237499</v>
      </c>
      <c r="AJ7558">
        <v>115.195300040368</v>
      </c>
      <c r="AK7558">
        <v>46.684011827011702</v>
      </c>
      <c r="AL7558">
        <v>88.369316042874303</v>
      </c>
      <c r="AM7558">
        <v>93.554967492431601</v>
      </c>
      <c r="AN7558">
        <v>0.99999993056341296</v>
      </c>
    </row>
    <row r="7559" spans="1:40" x14ac:dyDescent="0.25">
      <c r="A7559" t="str">
        <f>"20190312160831202"</f>
        <v>20190312160831202</v>
      </c>
      <c r="B7559" t="str">
        <f>"1552378111192834"</f>
        <v>1552378111192834</v>
      </c>
      <c r="C7559" t="s">
        <v>40</v>
      </c>
      <c r="D7559">
        <v>6.4475600000000002</v>
      </c>
      <c r="E7559">
        <v>0.34758749999999999</v>
      </c>
      <c r="F7559" t="s">
        <v>47</v>
      </c>
      <c r="G7559">
        <v>-185.434</v>
      </c>
      <c r="H7559" s="1">
        <v>-3.795228E-6</v>
      </c>
      <c r="I7559">
        <v>-13.408429999999999</v>
      </c>
      <c r="J7559">
        <v>-191.22540000000001</v>
      </c>
      <c r="K7559">
        <v>1.117988</v>
      </c>
      <c r="L7559">
        <v>-52.115479999999998</v>
      </c>
      <c r="M7559">
        <v>0.55634669999999997</v>
      </c>
      <c r="N7559">
        <v>0</v>
      </c>
      <c r="O7559">
        <v>0.83081240000000001</v>
      </c>
      <c r="P7559">
        <v>0.50383049999999996</v>
      </c>
      <c r="Q7559">
        <v>1.4014810000000001E-2</v>
      </c>
      <c r="R7559">
        <v>0.86368889999999998</v>
      </c>
      <c r="S7559">
        <v>0.48403930000000001</v>
      </c>
      <c r="T7559">
        <v>-9.2234129999999998E-2</v>
      </c>
      <c r="U7559">
        <v>3.2036129999999998</v>
      </c>
      <c r="V7559">
        <v>-6.2489070000000001E-2</v>
      </c>
      <c r="W7559">
        <v>2.789881E-2</v>
      </c>
      <c r="X7559">
        <v>0.99765559999999998</v>
      </c>
      <c r="Y7559">
        <v>-0.42605579999999998</v>
      </c>
      <c r="Z7559">
        <v>-2.0103619999999999E-2</v>
      </c>
      <c r="AA7559">
        <v>0.90447350000000004</v>
      </c>
      <c r="AB7559">
        <v>25</v>
      </c>
      <c r="AC7559">
        <v>5.7913999999999799</v>
      </c>
      <c r="AD7559">
        <v>-1.1179917952280001</v>
      </c>
      <c r="AE7559">
        <v>38.707050000000002</v>
      </c>
      <c r="AF7559">
        <v>-16.711252467151599</v>
      </c>
      <c r="AG7559">
        <v>-1.1179917952280001</v>
      </c>
      <c r="AH7559">
        <v>35.355527428098199</v>
      </c>
      <c r="AI7559">
        <v>91.637568855135697</v>
      </c>
      <c r="AJ7559">
        <v>115.298372343241</v>
      </c>
      <c r="AK7559">
        <v>39.121978278124999</v>
      </c>
      <c r="AL7559">
        <v>88.401308438237507</v>
      </c>
      <c r="AM7559">
        <v>93.584091286339898</v>
      </c>
      <c r="AN7559">
        <v>0.99999996184011897</v>
      </c>
    </row>
    <row r="7560" spans="1:40" x14ac:dyDescent="0.25">
      <c r="A7560" t="str">
        <f>"20190312160831221"</f>
        <v>20190312160831221</v>
      </c>
      <c r="B7560" t="str">
        <f>"1552378111213331"</f>
        <v>1552378111213331</v>
      </c>
      <c r="C7560" t="s">
        <v>40</v>
      </c>
      <c r="D7560">
        <v>6.4728269999999997</v>
      </c>
      <c r="E7560">
        <v>0.31739030000000001</v>
      </c>
      <c r="F7560" t="s">
        <v>47</v>
      </c>
      <c r="G7560">
        <v>-186.10489999999999</v>
      </c>
      <c r="H7560" s="1">
        <v>-2.3944260000000002E-6</v>
      </c>
      <c r="I7560">
        <v>-16.396329999999999</v>
      </c>
      <c r="J7560">
        <v>-191.11969999999999</v>
      </c>
      <c r="K7560">
        <v>1.1179650000000001</v>
      </c>
      <c r="L7560">
        <v>-51.937190000000001</v>
      </c>
      <c r="M7560">
        <v>0.54775319999999905</v>
      </c>
      <c r="N7560">
        <v>0</v>
      </c>
      <c r="O7560">
        <v>0.83650309999999894</v>
      </c>
      <c r="P7560">
        <v>0.4947821</v>
      </c>
      <c r="Q7560">
        <v>1.297038E-2</v>
      </c>
      <c r="R7560">
        <v>0.86892029999999998</v>
      </c>
      <c r="S7560">
        <v>0.45973209999999998</v>
      </c>
      <c r="T7560">
        <v>-0.10037459999999999</v>
      </c>
      <c r="U7560">
        <v>3.206909</v>
      </c>
      <c r="V7560">
        <v>-6.2611689999999998E-2</v>
      </c>
      <c r="W7560">
        <v>2.6850639999999999E-2</v>
      </c>
      <c r="X7560">
        <v>0.99767669999999997</v>
      </c>
      <c r="Y7560">
        <v>-0.42358119999999999</v>
      </c>
      <c r="Z7560">
        <v>-2.213847E-2</v>
      </c>
      <c r="AA7560">
        <v>0.90558760000000005</v>
      </c>
      <c r="AB7560">
        <v>25</v>
      </c>
      <c r="AC7560">
        <v>5.0148000000000001</v>
      </c>
      <c r="AD7560">
        <v>-1.11796739442599</v>
      </c>
      <c r="AE7560">
        <v>35.540859999999903</v>
      </c>
      <c r="AF7560">
        <v>-15.2596688054855</v>
      </c>
      <c r="AG7560">
        <v>-1.11796739442599</v>
      </c>
      <c r="AH7560">
        <v>32.449150794483501</v>
      </c>
      <c r="AI7560">
        <v>91.785762001375204</v>
      </c>
      <c r="AJ7560">
        <v>115.185914517763</v>
      </c>
      <c r="AK7560">
        <v>35.875545019291799</v>
      </c>
      <c r="AL7560">
        <v>88.461386717342705</v>
      </c>
      <c r="AM7560">
        <v>93.591030080420197</v>
      </c>
      <c r="AN7560">
        <v>0.99999998915797705</v>
      </c>
    </row>
    <row r="7561" spans="1:40" x14ac:dyDescent="0.25">
      <c r="A7561" t="str">
        <f>"20190312160831242"</f>
        <v>20190312160831242</v>
      </c>
      <c r="B7561" t="str">
        <f>"1552378111232849"</f>
        <v>1552378111232849</v>
      </c>
      <c r="C7561" t="s">
        <v>40</v>
      </c>
      <c r="D7561">
        <v>6.3910539999999996</v>
      </c>
      <c r="E7561">
        <v>0.35440569999999999</v>
      </c>
      <c r="F7561" t="s">
        <v>49</v>
      </c>
      <c r="G7561">
        <v>-166.15979999999999</v>
      </c>
      <c r="H7561">
        <v>63.255809999999997</v>
      </c>
      <c r="I7561">
        <v>315.18990000000002</v>
      </c>
      <c r="J7561">
        <v>-191.00290000000001</v>
      </c>
      <c r="K7561">
        <v>1.117944</v>
      </c>
      <c r="L7561">
        <v>-51.735199999999999</v>
      </c>
      <c r="M7561">
        <v>0.53800769999999998</v>
      </c>
      <c r="N7561">
        <v>0</v>
      </c>
      <c r="O7561">
        <v>0.842804199999999</v>
      </c>
      <c r="P7561">
        <v>0.48625839999999998</v>
      </c>
      <c r="Q7561">
        <v>1.2333749999999999E-2</v>
      </c>
      <c r="R7561">
        <v>0.87372809999999901</v>
      </c>
      <c r="S7561">
        <v>0.2254333</v>
      </c>
      <c r="T7561">
        <v>0.56121779999999999</v>
      </c>
      <c r="U7561">
        <v>3.3158259999999999</v>
      </c>
      <c r="V7561">
        <v>-6.0782910000000002E-2</v>
      </c>
      <c r="W7561">
        <v>2.6249560000000002E-2</v>
      </c>
      <c r="X7561">
        <v>0.99780579999999996</v>
      </c>
      <c r="Y7561">
        <v>-0.4797013</v>
      </c>
      <c r="Z7561">
        <v>0.1176311</v>
      </c>
      <c r="AA7561">
        <v>0.86951119999999904</v>
      </c>
      <c r="AB7561">
        <v>25</v>
      </c>
      <c r="AC7561">
        <v>24.8431</v>
      </c>
      <c r="AD7561">
        <v>62.137866000000002</v>
      </c>
      <c r="AE7561">
        <v>366.92509999999999</v>
      </c>
      <c r="AF7561">
        <v>-171.59228200547301</v>
      </c>
      <c r="AG7561">
        <v>62.137866000000002</v>
      </c>
      <c r="AH7561">
        <v>313.69347165546901</v>
      </c>
      <c r="AI7561">
        <v>80.141360544458607</v>
      </c>
      <c r="AJ7561">
        <v>118.678933905942</v>
      </c>
      <c r="AK7561">
        <v>362.91682214267797</v>
      </c>
      <c r="AL7561">
        <v>88.495838238484296</v>
      </c>
      <c r="AM7561">
        <v>93.485954874863594</v>
      </c>
      <c r="AN7561">
        <v>1.0000000080309499</v>
      </c>
    </row>
    <row r="7562" spans="1:40" x14ac:dyDescent="0.25">
      <c r="A7562" t="str">
        <f>"20190312160831255"</f>
        <v>20190312160831255</v>
      </c>
      <c r="B7562" t="str">
        <f>"1552378111253346"</f>
        <v>1552378111253346</v>
      </c>
      <c r="C7562" t="s">
        <v>40</v>
      </c>
      <c r="D7562">
        <v>6.133222</v>
      </c>
      <c r="E7562">
        <v>0.35501480000000002</v>
      </c>
      <c r="F7562" t="s">
        <v>47</v>
      </c>
      <c r="G7562">
        <v>-188.41480000000001</v>
      </c>
      <c r="H7562" s="1">
        <v>-3.4459240000000001E-6</v>
      </c>
      <c r="I7562">
        <v>-32.99015</v>
      </c>
      <c r="J7562">
        <v>-190.9332</v>
      </c>
      <c r="K7562">
        <v>1.117934</v>
      </c>
      <c r="L7562">
        <v>-51.612549999999999</v>
      </c>
      <c r="M7562">
        <v>0.53208009999999994</v>
      </c>
      <c r="N7562">
        <v>0</v>
      </c>
      <c r="O7562">
        <v>0.84655899999999995</v>
      </c>
      <c r="P7562">
        <v>0.48098400000000002</v>
      </c>
      <c r="Q7562">
        <v>1.2404449999999999E-2</v>
      </c>
      <c r="R7562">
        <v>0.87664159999999902</v>
      </c>
      <c r="S7562">
        <v>0.44058229999999998</v>
      </c>
      <c r="T7562">
        <v>-0.19031239999999999</v>
      </c>
      <c r="U7562">
        <v>3.1910400000000001</v>
      </c>
      <c r="V7562">
        <v>-5.9794029999999998E-2</v>
      </c>
      <c r="W7562">
        <v>2.6338690000000001E-2</v>
      </c>
      <c r="X7562">
        <v>0.99786319999999995</v>
      </c>
      <c r="Y7562">
        <v>-0.4114466</v>
      </c>
      <c r="Z7562">
        <v>-4.3185170000000002E-2</v>
      </c>
      <c r="AA7562">
        <v>0.91041019999999995</v>
      </c>
      <c r="AB7562">
        <v>25</v>
      </c>
      <c r="AC7562">
        <v>2.5183999999999802</v>
      </c>
      <c r="AD7562">
        <v>-1.1179374459239999</v>
      </c>
      <c r="AE7562">
        <v>18.622399999999999</v>
      </c>
      <c r="AF7562">
        <v>-7.7500950309380601</v>
      </c>
      <c r="AG7562">
        <v>-1.1179374459239999</v>
      </c>
      <c r="AH7562">
        <v>17.0465769601979</v>
      </c>
      <c r="AI7562">
        <v>93.416553206334996</v>
      </c>
      <c r="AJ7562">
        <v>114.448553513196</v>
      </c>
      <c r="AK7562">
        <v>18.758985665049099</v>
      </c>
      <c r="AL7562">
        <v>88.490729701278894</v>
      </c>
      <c r="AM7562">
        <v>93.429181382818598</v>
      </c>
      <c r="AN7562">
        <v>1.0000000092643899</v>
      </c>
    </row>
    <row r="7563" spans="1:40" x14ac:dyDescent="0.25">
      <c r="A7563" t="str">
        <f>"20190312160831267"</f>
        <v>20190312160831267</v>
      </c>
      <c r="B7563" t="str">
        <f>"1552378111263106"</f>
        <v>1552378111263106</v>
      </c>
      <c r="C7563" t="s">
        <v>40</v>
      </c>
      <c r="D7563">
        <v>6.1975239999999996</v>
      </c>
      <c r="E7563">
        <v>0.33610139999999999</v>
      </c>
      <c r="F7563" t="s">
        <v>44</v>
      </c>
      <c r="G7563">
        <v>-190.7878</v>
      </c>
      <c r="H7563">
        <v>1.0532379999999999</v>
      </c>
      <c r="I7563">
        <v>-50.522190000000002</v>
      </c>
      <c r="J7563">
        <v>-190.86859999999999</v>
      </c>
      <c r="K7563">
        <v>1.117923</v>
      </c>
      <c r="L7563">
        <v>-51.496090000000002</v>
      </c>
      <c r="M7563">
        <v>0.52645830000000005</v>
      </c>
      <c r="N7563">
        <v>0</v>
      </c>
      <c r="O7563">
        <v>0.85006649999999995</v>
      </c>
      <c r="P7563">
        <v>0.4758888</v>
      </c>
      <c r="Q7563">
        <v>1.25288E-2</v>
      </c>
      <c r="R7563">
        <v>0.87941619999999998</v>
      </c>
      <c r="S7563">
        <v>0.42549130000000002</v>
      </c>
      <c r="T7563">
        <v>-0.18935260000000001</v>
      </c>
      <c r="U7563">
        <v>3.1914060000000002</v>
      </c>
      <c r="V7563">
        <v>-5.8972070000000001E-2</v>
      </c>
      <c r="W7563">
        <v>2.647884E-2</v>
      </c>
      <c r="X7563">
        <v>0.99790840000000003</v>
      </c>
      <c r="Y7563">
        <v>-0.40964850000000003</v>
      </c>
      <c r="Z7563">
        <v>-4.3298950000000003E-2</v>
      </c>
      <c r="AA7563">
        <v>0.91121529999999995</v>
      </c>
      <c r="AB7563">
        <v>25</v>
      </c>
      <c r="AC7563">
        <v>8.0799999999982206E-2</v>
      </c>
      <c r="AD7563">
        <v>-6.4685000000000104E-2</v>
      </c>
      <c r="AE7563">
        <v>0.97389999999999999</v>
      </c>
      <c r="AF7563">
        <v>-0.44214596991299498</v>
      </c>
      <c r="AG7563">
        <v>-6.4685000000000104E-2</v>
      </c>
      <c r="AH7563">
        <v>0.86671977530023103</v>
      </c>
      <c r="AI7563">
        <v>93.803490108194296</v>
      </c>
      <c r="AJ7563">
        <v>117.027818078959</v>
      </c>
      <c r="AK7563">
        <v>0.97513095368354796</v>
      </c>
      <c r="AL7563">
        <v>88.4826968888447</v>
      </c>
      <c r="AM7563">
        <v>93.381999412701504</v>
      </c>
      <c r="AN7563">
        <v>1.0000000043991899</v>
      </c>
    </row>
    <row r="7564" spans="1:40" x14ac:dyDescent="0.25">
      <c r="A7564" t="str">
        <f>"20190312160831286"</f>
        <v>20190312160831286</v>
      </c>
      <c r="B7564" t="str">
        <f>"1552378111282920"</f>
        <v>1552378111282920</v>
      </c>
      <c r="C7564" t="s">
        <v>40</v>
      </c>
      <c r="D7564">
        <v>6.1208479999999996</v>
      </c>
      <c r="E7564">
        <v>0.33637250000000002</v>
      </c>
      <c r="F7564" t="s">
        <v>51</v>
      </c>
      <c r="G7564">
        <v>-168.73099999999999</v>
      </c>
      <c r="H7564">
        <v>4.9287219999999996</v>
      </c>
      <c r="I7564">
        <v>208.21379999999999</v>
      </c>
      <c r="J7564">
        <v>-190.77250000000001</v>
      </c>
      <c r="K7564">
        <v>1.117909</v>
      </c>
      <c r="L7564">
        <v>-51.320129999999999</v>
      </c>
      <c r="M7564">
        <v>0.51794989999999996</v>
      </c>
      <c r="N7564">
        <v>0</v>
      </c>
      <c r="O7564">
        <v>0.85527739999999997</v>
      </c>
      <c r="P7564">
        <v>0.46817930000000002</v>
      </c>
      <c r="Q7564">
        <v>1.284184E-2</v>
      </c>
      <c r="R7564">
        <v>0.8835402</v>
      </c>
      <c r="S7564">
        <v>0.2779083</v>
      </c>
      <c r="T7564">
        <v>4.7840000000000001E-2</v>
      </c>
      <c r="U7564">
        <v>3.2603149999999999</v>
      </c>
      <c r="V7564">
        <v>-5.7744799999999999E-2</v>
      </c>
      <c r="W7564">
        <v>2.6814890000000001E-2</v>
      </c>
      <c r="X7564">
        <v>0.99797119999999995</v>
      </c>
      <c r="Y7564">
        <v>-0.44349159999999999</v>
      </c>
      <c r="Z7564">
        <v>1.0733650000000001E-2</v>
      </c>
      <c r="AA7564">
        <v>0.89621430000000002</v>
      </c>
      <c r="AB7564">
        <v>25</v>
      </c>
      <c r="AC7564">
        <v>22.041499999999999</v>
      </c>
      <c r="AD7564">
        <v>3.810813</v>
      </c>
      <c r="AE7564">
        <v>259.53393</v>
      </c>
      <c r="AF7564">
        <v>-115.562444397429</v>
      </c>
      <c r="AG7564">
        <v>3.810813</v>
      </c>
      <c r="AH7564">
        <v>233.366610122362</v>
      </c>
      <c r="AI7564">
        <v>89.1616072779494</v>
      </c>
      <c r="AJ7564">
        <v>116.344475026206</v>
      </c>
      <c r="AK7564">
        <v>260.44034935246202</v>
      </c>
      <c r="AL7564">
        <v>88.463435808450697</v>
      </c>
      <c r="AM7564">
        <v>93.311566875570307</v>
      </c>
      <c r="AN7564">
        <v>1.00000000814109</v>
      </c>
    </row>
    <row r="7565" spans="1:40" x14ac:dyDescent="0.25">
      <c r="A7565" t="str">
        <f>"20190312160831299"</f>
        <v>20190312160831299</v>
      </c>
      <c r="B7565" t="str">
        <f>"1552378111292680"</f>
        <v>1552378111292680</v>
      </c>
      <c r="C7565" t="s">
        <v>40</v>
      </c>
      <c r="D7565">
        <v>6.1060610000000004</v>
      </c>
      <c r="E7565">
        <v>0.34452389999999999</v>
      </c>
      <c r="F7565" t="s">
        <v>43</v>
      </c>
      <c r="G7565">
        <v>-177.60069999999999</v>
      </c>
      <c r="H7565">
        <v>3.732335</v>
      </c>
      <c r="I7565">
        <v>119.6011</v>
      </c>
      <c r="J7565">
        <v>-190.70840000000001</v>
      </c>
      <c r="K7565">
        <v>1.1178950000000001</v>
      </c>
      <c r="L7565">
        <v>-51.200470000000003</v>
      </c>
      <c r="M7565">
        <v>0.51216039999999996</v>
      </c>
      <c r="N7565">
        <v>0</v>
      </c>
      <c r="O7565">
        <v>0.85875689999999905</v>
      </c>
      <c r="P7565">
        <v>0.46261580000000002</v>
      </c>
      <c r="Q7565">
        <v>1.261206E-2</v>
      </c>
      <c r="R7565">
        <v>0.88646919999999996</v>
      </c>
      <c r="S7565">
        <v>0.25134279999999998</v>
      </c>
      <c r="T7565">
        <v>4.9888250000000002E-2</v>
      </c>
      <c r="U7565">
        <v>3.2615050000000001</v>
      </c>
      <c r="V7565">
        <v>-5.7272579999999997E-2</v>
      </c>
      <c r="W7565">
        <v>2.659276E-2</v>
      </c>
      <c r="X7565">
        <v>0.99800429999999996</v>
      </c>
      <c r="Y7565">
        <v>-0.44471620000000001</v>
      </c>
      <c r="Z7565">
        <v>1.126449E-2</v>
      </c>
      <c r="AA7565">
        <v>0.89560069999999903</v>
      </c>
      <c r="AB7565">
        <v>25</v>
      </c>
      <c r="AC7565">
        <v>13.107699999999999</v>
      </c>
      <c r="AD7565">
        <v>2.6144400000000001</v>
      </c>
      <c r="AE7565">
        <v>170.80157</v>
      </c>
      <c r="AF7565">
        <v>-76.212423120748596</v>
      </c>
      <c r="AG7565">
        <v>2.6144400000000001</v>
      </c>
      <c r="AH7565">
        <v>153.372060225203</v>
      </c>
      <c r="AI7565">
        <v>89.125415535371204</v>
      </c>
      <c r="AJ7565">
        <v>116.423334698278</v>
      </c>
      <c r="AK7565">
        <v>171.28385093806401</v>
      </c>
      <c r="AL7565">
        <v>88.476167376167993</v>
      </c>
      <c r="AM7565">
        <v>93.284436692981899</v>
      </c>
      <c r="AN7565">
        <v>0.99999995306138001</v>
      </c>
    </row>
    <row r="7566" spans="1:40" x14ac:dyDescent="0.25">
      <c r="A7566" t="str">
        <f>"20190312160831312"</f>
        <v>20190312160831312</v>
      </c>
      <c r="B7566" t="str">
        <f>"1552378111302441"</f>
        <v>1552378111302441</v>
      </c>
      <c r="C7566" t="s">
        <v>40</v>
      </c>
      <c r="D7566">
        <v>6.1928989999999997</v>
      </c>
      <c r="E7566">
        <v>0.34402529999999998</v>
      </c>
      <c r="F7566" t="s">
        <v>51</v>
      </c>
      <c r="G7566">
        <v>-168.41290000000001</v>
      </c>
      <c r="H7566">
        <v>0.36018850000000002</v>
      </c>
      <c r="I7566">
        <v>199.5316</v>
      </c>
      <c r="J7566">
        <v>-190.6431</v>
      </c>
      <c r="K7566">
        <v>1.1178809999999999</v>
      </c>
      <c r="L7566">
        <v>-51.076569999999997</v>
      </c>
      <c r="M7566">
        <v>0.50616320000000004</v>
      </c>
      <c r="N7566">
        <v>0</v>
      </c>
      <c r="O7566">
        <v>0.86230529999999905</v>
      </c>
      <c r="P7566">
        <v>0.45656140000000001</v>
      </c>
      <c r="Q7566">
        <v>1.232406E-2</v>
      </c>
      <c r="R7566">
        <v>0.88960649999999997</v>
      </c>
      <c r="S7566">
        <v>0.28759770000000001</v>
      </c>
      <c r="T7566">
        <v>-9.7734929999999994E-3</v>
      </c>
      <c r="U7566">
        <v>3.234283</v>
      </c>
      <c r="V7566">
        <v>-5.7116930000000003E-2</v>
      </c>
      <c r="W7566">
        <v>2.630677E-2</v>
      </c>
      <c r="X7566">
        <v>0.99802080000000004</v>
      </c>
      <c r="Y7566">
        <v>-0.42784660000000002</v>
      </c>
      <c r="Z7566">
        <v>-2.2533779999999999E-3</v>
      </c>
      <c r="AA7566">
        <v>0.90384850000000005</v>
      </c>
      <c r="AB7566">
        <v>25</v>
      </c>
      <c r="AC7566">
        <v>22.2302</v>
      </c>
      <c r="AD7566">
        <v>-0.75769249999999899</v>
      </c>
      <c r="AE7566">
        <v>250.60817</v>
      </c>
      <c r="AF7566">
        <v>-107.690735537804</v>
      </c>
      <c r="AG7566">
        <v>-0.75769249999999899</v>
      </c>
      <c r="AH7566">
        <v>227.37676653934199</v>
      </c>
      <c r="AI7566">
        <v>90.1725524256005</v>
      </c>
      <c r="AJ7566">
        <v>115.343284561161</v>
      </c>
      <c r="AK7566">
        <v>251.59106220310099</v>
      </c>
      <c r="AL7566">
        <v>88.492559132450907</v>
      </c>
      <c r="AM7566">
        <v>93.275475988479798</v>
      </c>
      <c r="AN7566">
        <v>0.99999995353654703</v>
      </c>
    </row>
    <row r="7567" spans="1:40" x14ac:dyDescent="0.25">
      <c r="A7567" t="str">
        <f>"20190312160831324"</f>
        <v>20190312160831324</v>
      </c>
      <c r="B7567" t="str">
        <f>"1552378111313178"</f>
        <v>1552378111313178</v>
      </c>
      <c r="C7567" t="s">
        <v>40</v>
      </c>
      <c r="D7567">
        <v>6.1756580000000003</v>
      </c>
      <c r="E7567">
        <v>0.34394730000000001</v>
      </c>
      <c r="F7567" t="s">
        <v>52</v>
      </c>
      <c r="G7567">
        <v>-168.35059999999999</v>
      </c>
      <c r="H7567">
        <v>0.83563899999999902</v>
      </c>
      <c r="I7567">
        <v>224.34399999999999</v>
      </c>
      <c r="J7567">
        <v>-190.584</v>
      </c>
      <c r="K7567">
        <v>1.117866</v>
      </c>
      <c r="L7567">
        <v>-50.9621</v>
      </c>
      <c r="M7567">
        <v>0.50062770000000001</v>
      </c>
      <c r="N7567">
        <v>0</v>
      </c>
      <c r="O7567">
        <v>0.86553089999999999</v>
      </c>
      <c r="P7567">
        <v>0.45102300000000001</v>
      </c>
      <c r="Q7567">
        <v>1.2051299999999999E-2</v>
      </c>
      <c r="R7567">
        <v>0.89243099999999997</v>
      </c>
      <c r="S7567">
        <v>0.26206970000000002</v>
      </c>
      <c r="T7567">
        <v>-3.317356E-3</v>
      </c>
      <c r="U7567">
        <v>3.2378230000000001</v>
      </c>
      <c r="V7567">
        <v>-5.6920789999999999E-2</v>
      </c>
      <c r="W7567">
        <v>2.6036489999999999E-2</v>
      </c>
      <c r="X7567">
        <v>0.99803909999999996</v>
      </c>
      <c r="Y7567">
        <v>-0.42921710000000002</v>
      </c>
      <c r="Z7567">
        <v>-7.686886E-4</v>
      </c>
      <c r="AA7567">
        <v>0.90320100000000003</v>
      </c>
      <c r="AB7567">
        <v>25</v>
      </c>
      <c r="AC7567">
        <v>22.2334</v>
      </c>
      <c r="AD7567">
        <v>-0.28222700000000001</v>
      </c>
      <c r="AE7567">
        <v>275.30610000000001</v>
      </c>
      <c r="AF7567">
        <v>-118.595571693308</v>
      </c>
      <c r="AG7567">
        <v>-0.28222700000000001</v>
      </c>
      <c r="AH7567">
        <v>249.44479117351301</v>
      </c>
      <c r="AI7567">
        <v>90.058545568313903</v>
      </c>
      <c r="AJ7567">
        <v>115.42819766963601</v>
      </c>
      <c r="AK7567">
        <v>276.20226849347199</v>
      </c>
      <c r="AL7567">
        <v>88.508050352648894</v>
      </c>
      <c r="AM7567">
        <v>93.264192618849094</v>
      </c>
      <c r="AN7567">
        <v>0.99999996013727599</v>
      </c>
    </row>
    <row r="7568" spans="1:40" x14ac:dyDescent="0.25">
      <c r="A7568" t="str">
        <f>"20190312160831343"</f>
        <v>20190312160831343</v>
      </c>
      <c r="B7568" t="str">
        <f>"1552378111332696"</f>
        <v>1552378111332696</v>
      </c>
      <c r="C7568" t="s">
        <v>40</v>
      </c>
      <c r="D7568">
        <v>9.7595399999999994</v>
      </c>
      <c r="E7568">
        <v>0.34258569999999999</v>
      </c>
      <c r="F7568" t="s">
        <v>52</v>
      </c>
      <c r="G7568">
        <v>-168.19489999999999</v>
      </c>
      <c r="H7568">
        <v>1.3886480000000001</v>
      </c>
      <c r="I7568">
        <v>249.3853</v>
      </c>
      <c r="J7568">
        <v>-190.49250000000001</v>
      </c>
      <c r="K7568">
        <v>1.1178399999999999</v>
      </c>
      <c r="L7568">
        <v>-50.781709999999997</v>
      </c>
      <c r="M7568">
        <v>0.49189850000000002</v>
      </c>
      <c r="N7568">
        <v>0</v>
      </c>
      <c r="O7568">
        <v>0.87052160000000001</v>
      </c>
      <c r="P7568">
        <v>0.44220179999999998</v>
      </c>
      <c r="Q7568">
        <v>1.2018020000000001E-2</v>
      </c>
      <c r="R7568">
        <v>0.8968351</v>
      </c>
      <c r="S7568">
        <v>0.24148559999999999</v>
      </c>
      <c r="T7568">
        <v>2.921224E-3</v>
      </c>
      <c r="U7568">
        <v>3.2395019999999999</v>
      </c>
      <c r="V7568">
        <v>-5.6723320000000001E-2</v>
      </c>
      <c r="W7568">
        <v>2.6004550000000001E-2</v>
      </c>
      <c r="X7568">
        <v>0.99805120000000003</v>
      </c>
      <c r="Y7568">
        <v>-0.42587340000000001</v>
      </c>
      <c r="Z7568">
        <v>6.8400000000000004E-4</v>
      </c>
      <c r="AA7568">
        <v>0.90478250000000005</v>
      </c>
      <c r="AB7568">
        <v>24</v>
      </c>
      <c r="AC7568">
        <v>22.297599999999999</v>
      </c>
      <c r="AD7568">
        <v>0.27080799999999899</v>
      </c>
      <c r="AE7568">
        <v>300.16701</v>
      </c>
      <c r="AF7568">
        <v>-128.25567833003399</v>
      </c>
      <c r="AG7568">
        <v>0.27080799999999899</v>
      </c>
      <c r="AH7568">
        <v>272.30084678611502</v>
      </c>
      <c r="AI7568">
        <v>89.948450263581194</v>
      </c>
      <c r="AJ7568">
        <v>115.220776477039</v>
      </c>
      <c r="AK7568">
        <v>300.99392605384099</v>
      </c>
      <c r="AL7568">
        <v>88.509881036425099</v>
      </c>
      <c r="AM7568">
        <v>93.252853467221698</v>
      </c>
      <c r="AN7568">
        <v>0.99999998473698204</v>
      </c>
    </row>
    <row r="7569" spans="1:40" x14ac:dyDescent="0.25">
      <c r="A7569" t="str">
        <f>"20190312160831356"</f>
        <v>20190312160831356</v>
      </c>
      <c r="B7569" t="str">
        <f>"1552378111353192"</f>
        <v>1552378111353192</v>
      </c>
      <c r="C7569" t="s">
        <v>40</v>
      </c>
      <c r="D7569">
        <v>6.1928769999999904</v>
      </c>
      <c r="E7569">
        <v>0.34551890000000002</v>
      </c>
      <c r="F7569" t="s">
        <v>49</v>
      </c>
      <c r="G7569">
        <v>-167.9701</v>
      </c>
      <c r="H7569">
        <v>3.4152290000000001</v>
      </c>
      <c r="I7569">
        <v>314.49709999999999</v>
      </c>
      <c r="J7569">
        <v>-190.43270000000001</v>
      </c>
      <c r="K7569">
        <v>1.117818</v>
      </c>
      <c r="L7569">
        <v>-50.661900000000003</v>
      </c>
      <c r="M7569">
        <v>0.48609950000000002</v>
      </c>
      <c r="N7569">
        <v>0</v>
      </c>
      <c r="O7569">
        <v>0.87377299999999902</v>
      </c>
      <c r="P7569">
        <v>0.43592409999999998</v>
      </c>
      <c r="Q7569">
        <v>1.2123210000000001E-2</v>
      </c>
      <c r="R7569">
        <v>0.89990179999999997</v>
      </c>
      <c r="S7569">
        <v>0.20014950000000001</v>
      </c>
      <c r="T7569">
        <v>2.0416259999999999E-2</v>
      </c>
      <c r="U7569">
        <v>3.246124</v>
      </c>
      <c r="V7569">
        <v>-5.706108E-2</v>
      </c>
      <c r="W7569">
        <v>2.6101309999999999E-2</v>
      </c>
      <c r="X7569">
        <v>0.99802939999999996</v>
      </c>
      <c r="Y7569">
        <v>-0.43145459999999902</v>
      </c>
      <c r="Z7569">
        <v>4.7934149999999997E-3</v>
      </c>
      <c r="AA7569">
        <v>0.90212190000000003</v>
      </c>
      <c r="AB7569">
        <v>24</v>
      </c>
      <c r="AC7569">
        <v>22.462599999999998</v>
      </c>
      <c r="AD7569">
        <v>2.2974109999999999</v>
      </c>
      <c r="AE7569">
        <v>365.15899999999999</v>
      </c>
      <c r="AF7569">
        <v>-157.888170347775</v>
      </c>
      <c r="AG7569">
        <v>2.2974109999999999</v>
      </c>
      <c r="AH7569">
        <v>330.00974799809399</v>
      </c>
      <c r="AI7569">
        <v>89.6401921845749</v>
      </c>
      <c r="AJ7569">
        <v>115.56807817833401</v>
      </c>
      <c r="AK7569">
        <v>365.84202356596001</v>
      </c>
      <c r="AL7569">
        <v>88.504335183615893</v>
      </c>
      <c r="AM7569">
        <v>93.272251994503804</v>
      </c>
      <c r="AN7569">
        <v>0.99999996424941995</v>
      </c>
    </row>
    <row r="7570" spans="1:40" x14ac:dyDescent="0.25">
      <c r="A7570" t="str">
        <f>"20190312160831369"</f>
        <v>20190312160831369</v>
      </c>
      <c r="B7570" t="str">
        <f>"1552378111362581"</f>
        <v>1552378111362581</v>
      </c>
      <c r="C7570" t="s">
        <v>40</v>
      </c>
      <c r="D7570">
        <v>6.2267989999999998</v>
      </c>
      <c r="E7570">
        <v>0.34647660000000002</v>
      </c>
      <c r="F7570" t="s">
        <v>89</v>
      </c>
      <c r="G7570">
        <v>-178.49289999999999</v>
      </c>
      <c r="H7570" s="1">
        <v>-9.6120780000000005E-6</v>
      </c>
      <c r="I7570">
        <v>144.91</v>
      </c>
      <c r="J7570">
        <v>-190.36799999999999</v>
      </c>
      <c r="K7570">
        <v>1.1177950000000001</v>
      </c>
      <c r="L7570">
        <v>-50.529020000000003</v>
      </c>
      <c r="M7570">
        <v>0.47967880000000002</v>
      </c>
      <c r="N7570">
        <v>0</v>
      </c>
      <c r="O7570">
        <v>0.87731440000000005</v>
      </c>
      <c r="P7570">
        <v>0.42904589999999998</v>
      </c>
      <c r="Q7570">
        <v>1.237867E-2</v>
      </c>
      <c r="R7570">
        <v>0.9031979</v>
      </c>
      <c r="S7570">
        <v>0.1976929</v>
      </c>
      <c r="T7570">
        <v>-1.8508320000000002E-2</v>
      </c>
      <c r="U7570">
        <v>3.238159</v>
      </c>
      <c r="V7570">
        <v>-5.7358140000000002E-2</v>
      </c>
      <c r="W7570">
        <v>2.634918E-2</v>
      </c>
      <c r="X7570">
        <v>0.9980059</v>
      </c>
      <c r="Y7570">
        <v>-0.42537469999999999</v>
      </c>
      <c r="Z7570">
        <v>-4.3945130000000001E-3</v>
      </c>
      <c r="AA7570">
        <v>0.90500659999999999</v>
      </c>
      <c r="AB7570">
        <v>24</v>
      </c>
      <c r="AC7570">
        <v>11.8751</v>
      </c>
      <c r="AD7570">
        <v>-1.1178046120780001</v>
      </c>
      <c r="AE7570">
        <v>195.43902</v>
      </c>
      <c r="AF7570">
        <v>-83.336530660860305</v>
      </c>
      <c r="AG7570">
        <v>-1.1178046120780001</v>
      </c>
      <c r="AH7570">
        <v>177.17209809629799</v>
      </c>
      <c r="AI7570">
        <v>90.327104467547002</v>
      </c>
      <c r="AJ7570">
        <v>115.190909895787</v>
      </c>
      <c r="AK7570">
        <v>195.796269559926</v>
      </c>
      <c r="AL7570">
        <v>88.490128454918604</v>
      </c>
      <c r="AM7570">
        <v>93.289327313335903</v>
      </c>
      <c r="AN7570">
        <v>1.00000000597287</v>
      </c>
    </row>
    <row r="7571" spans="1:40" x14ac:dyDescent="0.25">
      <c r="A7571" t="str">
        <f>"20190312160831388"</f>
        <v>20190312160831388</v>
      </c>
      <c r="B7571" t="str">
        <f>"1552378111382790"</f>
        <v>1552378111382790</v>
      </c>
      <c r="C7571" t="s">
        <v>40</v>
      </c>
      <c r="D7571">
        <v>6.2494459999999998</v>
      </c>
      <c r="E7571">
        <v>0.34870190000000001</v>
      </c>
      <c r="F7571" t="s">
        <v>47</v>
      </c>
      <c r="G7571">
        <v>-181.28149999999999</v>
      </c>
      <c r="H7571" s="1">
        <v>-3.4819099999999999E-6</v>
      </c>
      <c r="I7571">
        <v>113.063</v>
      </c>
      <c r="J7571">
        <v>-190.27979999999999</v>
      </c>
      <c r="K7571">
        <v>1.1177629999999901</v>
      </c>
      <c r="L7571">
        <v>-50.344270000000002</v>
      </c>
      <c r="M7571">
        <v>0.47075499999999998</v>
      </c>
      <c r="N7571">
        <v>0</v>
      </c>
      <c r="O7571">
        <v>0.882135</v>
      </c>
      <c r="P7571">
        <v>0.41935859999999903</v>
      </c>
      <c r="Q7571">
        <v>1.2284120000000001E-2</v>
      </c>
      <c r="R7571">
        <v>0.90773760000000003</v>
      </c>
      <c r="S7571">
        <v>0.1797638</v>
      </c>
      <c r="T7571">
        <v>-2.2114160000000001E-2</v>
      </c>
      <c r="U7571">
        <v>3.23645</v>
      </c>
      <c r="V7571">
        <v>-5.7908899999999999E-2</v>
      </c>
      <c r="W7571">
        <v>2.62405E-2</v>
      </c>
      <c r="X7571">
        <v>0.997977</v>
      </c>
      <c r="Y7571">
        <v>-0.42115740000000002</v>
      </c>
      <c r="Z7571">
        <v>-5.3094140000000001E-3</v>
      </c>
      <c r="AA7571">
        <v>0.90697209999999995</v>
      </c>
      <c r="AB7571">
        <v>24</v>
      </c>
      <c r="AC7571">
        <v>8.9983000000000004</v>
      </c>
      <c r="AD7571">
        <v>-1.1177664819099999</v>
      </c>
      <c r="AE7571">
        <v>163.40726999999899</v>
      </c>
      <c r="AF7571">
        <v>-68.991706702980096</v>
      </c>
      <c r="AG7571">
        <v>-1.1177664819099999</v>
      </c>
      <c r="AH7571">
        <v>148.39323121010801</v>
      </c>
      <c r="AI7571">
        <v>90.391343727612394</v>
      </c>
      <c r="AJ7571">
        <v>114.934889159446</v>
      </c>
      <c r="AK7571">
        <v>163.65101913729299</v>
      </c>
      <c r="AL7571">
        <v>88.496357578029702</v>
      </c>
      <c r="AM7571">
        <v>93.320937442762997</v>
      </c>
      <c r="AN7571">
        <v>1.00000004853422</v>
      </c>
    </row>
    <row r="7572" spans="1:40" x14ac:dyDescent="0.25">
      <c r="A7572" t="str">
        <f>"20190312160831412"</f>
        <v>20190312160831412</v>
      </c>
      <c r="B7572" t="str">
        <f>"1552378111403284"</f>
        <v>1552378111403284</v>
      </c>
      <c r="C7572" t="s">
        <v>40</v>
      </c>
      <c r="D7572">
        <v>6.2207650000000001</v>
      </c>
      <c r="E7572">
        <v>0.35090199999999999</v>
      </c>
      <c r="F7572" t="s">
        <v>47</v>
      </c>
      <c r="G7572">
        <v>-185.95910000000001</v>
      </c>
      <c r="H7572" s="1">
        <v>-3.6500970000000001E-6</v>
      </c>
      <c r="I7572">
        <v>36.470390000000002</v>
      </c>
      <c r="J7572">
        <v>-190.17789999999999</v>
      </c>
      <c r="K7572">
        <v>1.117718</v>
      </c>
      <c r="L7572">
        <v>-50.124969999999998</v>
      </c>
      <c r="M7572">
        <v>0.46017999999999998</v>
      </c>
      <c r="N7572">
        <v>0</v>
      </c>
      <c r="O7572">
        <v>0.88769769999999903</v>
      </c>
      <c r="P7572">
        <v>0.40846139999999997</v>
      </c>
      <c r="Q7572">
        <v>1.2125769999999999E-2</v>
      </c>
      <c r="R7572">
        <v>0.91269509999999998</v>
      </c>
      <c r="S7572">
        <v>0.16081239999999999</v>
      </c>
      <c r="T7572">
        <v>-4.160237E-2</v>
      </c>
      <c r="U7572">
        <v>3.2311709999999998</v>
      </c>
      <c r="V7572">
        <v>-5.7924839999999998E-2</v>
      </c>
      <c r="W7572">
        <v>2.6077949999999999E-2</v>
      </c>
      <c r="X7572">
        <v>0.99798030000000004</v>
      </c>
      <c r="Y7572">
        <v>-0.41553410000000002</v>
      </c>
      <c r="Z7572">
        <v>-1.012793E-2</v>
      </c>
      <c r="AA7572">
        <v>0.90952120000000003</v>
      </c>
      <c r="AB7572">
        <v>24</v>
      </c>
      <c r="AC7572">
        <v>4.2187999999999803</v>
      </c>
      <c r="AD7572">
        <v>-1.117721650097</v>
      </c>
      <c r="AE7572">
        <v>86.595359999999999</v>
      </c>
      <c r="AF7572">
        <v>-36.1025346838384</v>
      </c>
      <c r="AG7572">
        <v>-1.117721650097</v>
      </c>
      <c r="AH7572">
        <v>78.807763930887702</v>
      </c>
      <c r="AI7572">
        <v>90.738745750217603</v>
      </c>
      <c r="AJ7572">
        <v>114.612935131306</v>
      </c>
      <c r="AK7572">
        <v>86.690864386458699</v>
      </c>
      <c r="AL7572">
        <v>88.505674141500904</v>
      </c>
      <c r="AM7572">
        <v>93.321838557293702</v>
      </c>
      <c r="AN7572">
        <v>1.00000001287665</v>
      </c>
    </row>
    <row r="7573" spans="1:40" x14ac:dyDescent="0.25">
      <c r="A7573" t="str">
        <f>"20190312160831433"</f>
        <v>20190312160831433</v>
      </c>
      <c r="B7573" t="str">
        <f>"1552378111422805"</f>
        <v>1552378111422805</v>
      </c>
      <c r="C7573" t="s">
        <v>40</v>
      </c>
      <c r="D7573">
        <v>6.2313679999999998</v>
      </c>
      <c r="E7573">
        <v>0.35127000000000003</v>
      </c>
      <c r="F7573" t="s">
        <v>47</v>
      </c>
      <c r="G7573">
        <v>-187.24180000000001</v>
      </c>
      <c r="H7573" s="1">
        <v>-4.3204960000000003E-6</v>
      </c>
      <c r="I7573">
        <v>18.563479999999998</v>
      </c>
      <c r="J7573">
        <v>-190.0822</v>
      </c>
      <c r="K7573">
        <v>1.117661</v>
      </c>
      <c r="L7573">
        <v>-49.91254</v>
      </c>
      <c r="M7573">
        <v>0.44997290000000001</v>
      </c>
      <c r="N7573">
        <v>0</v>
      </c>
      <c r="O7573">
        <v>0.89291520000000002</v>
      </c>
      <c r="P7573">
        <v>0.39761770000000002</v>
      </c>
      <c r="Q7573">
        <v>1.2006360000000001E-2</v>
      </c>
      <c r="R7573">
        <v>0.91747270000000003</v>
      </c>
      <c r="S7573">
        <v>0.13789370000000001</v>
      </c>
      <c r="T7573">
        <v>-5.2493810000000002E-2</v>
      </c>
      <c r="U7573">
        <v>3.2259519999999999</v>
      </c>
      <c r="V7573">
        <v>-5.8304309999999998E-2</v>
      </c>
      <c r="W7573">
        <v>2.5947350000000001E-2</v>
      </c>
      <c r="X7573">
        <v>0.9979616</v>
      </c>
      <c r="Y7573">
        <v>-0.41147739999999999</v>
      </c>
      <c r="Z7573">
        <v>-1.2941630000000001E-2</v>
      </c>
      <c r="AA7573">
        <v>0.91132809999999997</v>
      </c>
      <c r="AB7573">
        <v>24</v>
      </c>
      <c r="AC7573">
        <v>2.8403999999999798</v>
      </c>
      <c r="AD7573">
        <v>-1.1176653204960001</v>
      </c>
      <c r="AE7573">
        <v>68.476019999999906</v>
      </c>
      <c r="AF7573">
        <v>-28.2718056307403</v>
      </c>
      <c r="AG7573">
        <v>-1.1176653204960001</v>
      </c>
      <c r="AH7573">
        <v>62.4118645638966</v>
      </c>
      <c r="AI7573">
        <v>90.934543589240803</v>
      </c>
      <c r="AJ7573">
        <v>114.36994060590099</v>
      </c>
      <c r="AK7573">
        <v>68.525798118177207</v>
      </c>
      <c r="AL7573">
        <v>88.513159493385203</v>
      </c>
      <c r="AM7573">
        <v>93.343613471210205</v>
      </c>
      <c r="AN7573">
        <v>1.0000000063055701</v>
      </c>
    </row>
    <row r="7574" spans="1:40" x14ac:dyDescent="0.25">
      <c r="A7574" t="str">
        <f>"20190312160831446"</f>
        <v>20190312160831446</v>
      </c>
      <c r="B7574" t="str">
        <f>"1552378111443301"</f>
        <v>1552378111443301</v>
      </c>
      <c r="C7574" t="s">
        <v>40</v>
      </c>
      <c r="D7574">
        <v>6.2475019999999999</v>
      </c>
      <c r="E7574">
        <v>0.35184599999999999</v>
      </c>
      <c r="F7574" t="s">
        <v>47</v>
      </c>
      <c r="G7574">
        <v>-187.60769999999999</v>
      </c>
      <c r="H7574" s="1">
        <v>-3.9772590000000004E-6</v>
      </c>
      <c r="I7574">
        <v>27.91469</v>
      </c>
      <c r="J7574">
        <v>-190.02629999999999</v>
      </c>
      <c r="K7574">
        <v>1.1176250000000001</v>
      </c>
      <c r="L7574">
        <v>-49.784849999999999</v>
      </c>
      <c r="M7574">
        <v>0.44386989999999998</v>
      </c>
      <c r="N7574">
        <v>0</v>
      </c>
      <c r="O7574">
        <v>0.89596480000000001</v>
      </c>
      <c r="P7574">
        <v>0.39117380000000002</v>
      </c>
      <c r="Q7574">
        <v>1.203648E-2</v>
      </c>
      <c r="R7574">
        <v>0.92023809999999995</v>
      </c>
      <c r="S7574">
        <v>0.1025696</v>
      </c>
      <c r="T7574">
        <v>-4.6328309999999998E-2</v>
      </c>
      <c r="U7574">
        <v>3.226013</v>
      </c>
      <c r="V7574">
        <v>-5.8491290000000001E-2</v>
      </c>
      <c r="W7574">
        <v>2.5971660000000001E-2</v>
      </c>
      <c r="X7574">
        <v>0.99795</v>
      </c>
      <c r="Y7574">
        <v>-0.4152206</v>
      </c>
      <c r="Z7574">
        <v>-1.1475279999999999E-2</v>
      </c>
      <c r="AA7574">
        <v>0.90964840000000002</v>
      </c>
      <c r="AB7574">
        <v>24</v>
      </c>
      <c r="AC7574">
        <v>2.4185999999999899</v>
      </c>
      <c r="AD7574">
        <v>-1.117628977259</v>
      </c>
      <c r="AE7574">
        <v>77.699539999999999</v>
      </c>
      <c r="AF7574">
        <v>-32.318488865763399</v>
      </c>
      <c r="AG7574">
        <v>-1.117628977259</v>
      </c>
      <c r="AH7574">
        <v>70.682996575476693</v>
      </c>
      <c r="AI7574">
        <v>90.823856109270906</v>
      </c>
      <c r="AJ7574">
        <v>114.571369659597</v>
      </c>
      <c r="AK7574">
        <v>77.729143967923207</v>
      </c>
      <c r="AL7574">
        <v>88.511766124745705</v>
      </c>
      <c r="AM7574">
        <v>93.354350785242602</v>
      </c>
      <c r="AN7574">
        <v>0.99999998031450898</v>
      </c>
    </row>
    <row r="7575" spans="1:40" x14ac:dyDescent="0.25">
      <c r="A7575" t="str">
        <f>"20190312160831457"</f>
        <v>20190312160831457</v>
      </c>
      <c r="B7575" t="str">
        <f>"1552378111453062"</f>
        <v>1552378111453062</v>
      </c>
      <c r="C7575" t="s">
        <v>40</v>
      </c>
      <c r="D7575">
        <v>9.8508530000000007</v>
      </c>
      <c r="E7575">
        <v>0.35218719999999998</v>
      </c>
      <c r="F7575" t="s">
        <v>47</v>
      </c>
      <c r="G7575">
        <v>-187.32929999999999</v>
      </c>
      <c r="H7575" s="1">
        <v>-2.0553649999999999E-6</v>
      </c>
      <c r="I7575">
        <v>53.319589999999998</v>
      </c>
      <c r="J7575">
        <v>-189.97579999999999</v>
      </c>
      <c r="K7575">
        <v>1.117591</v>
      </c>
      <c r="L7575">
        <v>-49.667969999999997</v>
      </c>
      <c r="M7575">
        <v>0.43829089999999998</v>
      </c>
      <c r="N7575">
        <v>0</v>
      </c>
      <c r="O7575">
        <v>0.89870729999999999</v>
      </c>
      <c r="P7575">
        <v>0.38508609999999999</v>
      </c>
      <c r="Q7575">
        <v>1.224893E-2</v>
      </c>
      <c r="R7575">
        <v>0.92279929999999999</v>
      </c>
      <c r="S7575">
        <v>8.4350590000000003E-2</v>
      </c>
      <c r="T7575">
        <v>-3.4954310000000002E-2</v>
      </c>
      <c r="U7575">
        <v>3.22464</v>
      </c>
      <c r="V7575">
        <v>-5.8879269999999997E-2</v>
      </c>
      <c r="W7575">
        <v>2.6173769999999999E-2</v>
      </c>
      <c r="X7575">
        <v>0.99792190000000003</v>
      </c>
      <c r="Y7575">
        <v>-0.41468739999999998</v>
      </c>
      <c r="Z7575">
        <v>-8.7077760000000004E-3</v>
      </c>
      <c r="AA7575">
        <v>0.90992229999999996</v>
      </c>
      <c r="AB7575">
        <v>24</v>
      </c>
      <c r="AC7575">
        <v>2.6465000000000001</v>
      </c>
      <c r="AD7575">
        <v>-1.117593055365</v>
      </c>
      <c r="AE7575">
        <v>102.98756</v>
      </c>
      <c r="AF7575">
        <v>-42.759888018855499</v>
      </c>
      <c r="AG7575">
        <v>-1.117593055365</v>
      </c>
      <c r="AH7575">
        <v>93.715184821005195</v>
      </c>
      <c r="AI7575">
        <v>90.621601821547898</v>
      </c>
      <c r="AJ7575">
        <v>114.526024455257</v>
      </c>
      <c r="AK7575">
        <v>103.015498366302</v>
      </c>
      <c r="AL7575">
        <v>88.500182130918006</v>
      </c>
      <c r="AM7575">
        <v>93.376644159193106</v>
      </c>
      <c r="AN7575">
        <v>0.99999997658567696</v>
      </c>
    </row>
    <row r="7576" spans="1:40" x14ac:dyDescent="0.25">
      <c r="A7576" t="str">
        <f>"20190312160831477"</f>
        <v>20190312160831477</v>
      </c>
      <c r="B7576" t="str">
        <f>"1552378111472581"</f>
        <v>1552378111472581</v>
      </c>
      <c r="C7576" t="s">
        <v>40</v>
      </c>
      <c r="D7576">
        <v>6.2771169999999996</v>
      </c>
      <c r="E7576">
        <v>0.35265439999999998</v>
      </c>
      <c r="F7576" t="s">
        <v>47</v>
      </c>
      <c r="G7576">
        <v>-187.51419999999999</v>
      </c>
      <c r="H7576" s="1">
        <v>-1.141309E-6</v>
      </c>
      <c r="I7576">
        <v>71.058279999999996</v>
      </c>
      <c r="J7576">
        <v>-189.89609999999999</v>
      </c>
      <c r="K7576">
        <v>1.117526</v>
      </c>
      <c r="L7576">
        <v>-49.479309999999998</v>
      </c>
      <c r="M7576">
        <v>0.4293323</v>
      </c>
      <c r="N7576">
        <v>0</v>
      </c>
      <c r="O7576">
        <v>0.90302150000000003</v>
      </c>
      <c r="P7576">
        <v>0.37569570000000002</v>
      </c>
      <c r="Q7576">
        <v>1.2424330000000001E-2</v>
      </c>
      <c r="R7576">
        <v>0.92665980000000003</v>
      </c>
      <c r="S7576">
        <v>6.5734860000000006E-2</v>
      </c>
      <c r="T7576">
        <v>-2.9844760000000001E-2</v>
      </c>
      <c r="U7576">
        <v>3.223938</v>
      </c>
      <c r="V7576">
        <v>-5.9086960000000001E-2</v>
      </c>
      <c r="W7576">
        <v>2.6341079999999999E-2</v>
      </c>
      <c r="X7576">
        <v>0.9979053</v>
      </c>
      <c r="Y7576">
        <v>-0.41088089999999999</v>
      </c>
      <c r="Z7576">
        <v>-7.5042429999999999E-3</v>
      </c>
      <c r="AA7576">
        <v>0.91165819999999997</v>
      </c>
      <c r="AB7576">
        <v>24</v>
      </c>
      <c r="AC7576">
        <v>2.3818999999999999</v>
      </c>
      <c r="AD7576">
        <v>-1.117527141309</v>
      </c>
      <c r="AE7576">
        <v>120.53758999999999</v>
      </c>
      <c r="AF7576">
        <v>-49.601116443148101</v>
      </c>
      <c r="AG7576">
        <v>-1.117527141309</v>
      </c>
      <c r="AH7576">
        <v>109.873635992738</v>
      </c>
      <c r="AI7576">
        <v>90.531126909877003</v>
      </c>
      <c r="AJ7576">
        <v>114.296217318052</v>
      </c>
      <c r="AK7576">
        <v>120.555943468511</v>
      </c>
      <c r="AL7576">
        <v>88.490592785214204</v>
      </c>
      <c r="AM7576">
        <v>93.3885834227587</v>
      </c>
      <c r="AN7576">
        <v>1.00000005455284</v>
      </c>
    </row>
    <row r="7577" spans="1:40" x14ac:dyDescent="0.25">
      <c r="A7577" t="str">
        <f>"20190312160831491"</f>
        <v>20190312160831491</v>
      </c>
      <c r="B7577" t="str">
        <f>"1552378111483318"</f>
        <v>1552378111483318</v>
      </c>
      <c r="C7577" t="s">
        <v>40</v>
      </c>
      <c r="D7577">
        <v>6.245959</v>
      </c>
      <c r="E7577">
        <v>0.37424259999999998</v>
      </c>
      <c r="F7577" t="s">
        <v>47</v>
      </c>
      <c r="G7577">
        <v>-188.3313</v>
      </c>
      <c r="H7577" s="1">
        <v>-4.5096699999999998E-6</v>
      </c>
      <c r="I7577">
        <v>89.454930000000004</v>
      </c>
      <c r="J7577">
        <v>-189.8398</v>
      </c>
      <c r="K7577">
        <v>1.1174759999999999</v>
      </c>
      <c r="L7577">
        <v>-49.343110000000003</v>
      </c>
      <c r="M7577">
        <v>0.42289650000000001</v>
      </c>
      <c r="N7577">
        <v>0</v>
      </c>
      <c r="O7577">
        <v>0.90605349999999996</v>
      </c>
      <c r="P7577">
        <v>0.36914180000000002</v>
      </c>
      <c r="Q7577">
        <v>1.2517800000000001E-2</v>
      </c>
      <c r="R7577">
        <v>0.92928880000000003</v>
      </c>
      <c r="S7577">
        <v>3.6300659999999998E-2</v>
      </c>
      <c r="T7577">
        <v>-2.5925159999999999E-2</v>
      </c>
      <c r="U7577">
        <v>3.2230829999999999</v>
      </c>
      <c r="V7577">
        <v>-5.9032090000000002E-2</v>
      </c>
      <c r="W7577">
        <v>2.6431650000000001E-2</v>
      </c>
      <c r="X7577">
        <v>0.99790610000000002</v>
      </c>
      <c r="Y7577">
        <v>-0.41271200000000002</v>
      </c>
      <c r="Z7577">
        <v>-6.5533600000000003E-3</v>
      </c>
      <c r="AA7577">
        <v>0.91083800000000004</v>
      </c>
      <c r="AB7577">
        <v>24</v>
      </c>
      <c r="AC7577">
        <v>1.50849999999999</v>
      </c>
      <c r="AD7577">
        <v>-1.11748050967</v>
      </c>
      <c r="AE7577">
        <v>138.79803999999999</v>
      </c>
      <c r="AF7577">
        <v>-57.333175806221597</v>
      </c>
      <c r="AG7577">
        <v>-1.11748050967</v>
      </c>
      <c r="AH7577">
        <v>126.402457054728</v>
      </c>
      <c r="AI7577">
        <v>90.461288228068497</v>
      </c>
      <c r="AJ7577">
        <v>114.397924216381</v>
      </c>
      <c r="AK7577">
        <v>138.80173975923</v>
      </c>
      <c r="AL7577">
        <v>88.485401619837006</v>
      </c>
      <c r="AM7577">
        <v>93.385441292841193</v>
      </c>
      <c r="AN7577">
        <v>1.00000000209435</v>
      </c>
    </row>
    <row r="7578" spans="1:40" x14ac:dyDescent="0.25">
      <c r="A7578" t="str">
        <f>"20190312160831503"</f>
        <v>20190312160831503</v>
      </c>
      <c r="B7578" t="str">
        <f>"1552378111493078"</f>
        <v>1552378111493078</v>
      </c>
      <c r="C7578" t="s">
        <v>40</v>
      </c>
      <c r="D7578">
        <v>6.2697200000000004</v>
      </c>
      <c r="E7578">
        <v>0.3752586</v>
      </c>
      <c r="F7578" t="s">
        <v>47</v>
      </c>
      <c r="G7578">
        <v>-188.5463</v>
      </c>
      <c r="H7578" s="1">
        <v>-2.3626780000000001E-6</v>
      </c>
      <c r="I7578">
        <v>-25.460850000000001</v>
      </c>
      <c r="J7578">
        <v>-189.79179999999999</v>
      </c>
      <c r="K7578">
        <v>1.1174329999999999</v>
      </c>
      <c r="L7578">
        <v>-49.224150000000002</v>
      </c>
      <c r="M7578">
        <v>0.41730420000000001</v>
      </c>
      <c r="N7578">
        <v>0</v>
      </c>
      <c r="O7578">
        <v>0.90864290000000003</v>
      </c>
      <c r="P7578">
        <v>0.3634233</v>
      </c>
      <c r="Q7578">
        <v>1.2654439999999999E-2</v>
      </c>
      <c r="R7578">
        <v>0.93153819999999998</v>
      </c>
      <c r="S7578">
        <v>0.17127989999999901</v>
      </c>
      <c r="T7578">
        <v>-0.1479644</v>
      </c>
      <c r="U7578">
        <v>3.1622309999999998</v>
      </c>
      <c r="V7578">
        <v>-5.9013330000000003E-2</v>
      </c>
      <c r="W7578">
        <v>2.6565109999999999E-2</v>
      </c>
      <c r="X7578">
        <v>0.9979036</v>
      </c>
      <c r="Y7578">
        <v>-0.36761870000000002</v>
      </c>
      <c r="Z7578">
        <v>-3.8704870000000002E-2</v>
      </c>
      <c r="AA7578">
        <v>0.92917079999999996</v>
      </c>
      <c r="AB7578">
        <v>24</v>
      </c>
      <c r="AC7578">
        <v>1.2454999999999901</v>
      </c>
      <c r="AD7578">
        <v>-1.11743536267799</v>
      </c>
      <c r="AE7578">
        <v>23.763300000000001</v>
      </c>
      <c r="AF7578">
        <v>-8.7664684172187606</v>
      </c>
      <c r="AG7578">
        <v>-1.11743536267799</v>
      </c>
      <c r="AH7578">
        <v>22.065938487244601</v>
      </c>
      <c r="AI7578">
        <v>92.694504346192204</v>
      </c>
      <c r="AJ7578">
        <v>111.66718689429899</v>
      </c>
      <c r="AK7578">
        <v>23.769839537168099</v>
      </c>
      <c r="AL7578">
        <v>88.477752139268006</v>
      </c>
      <c r="AM7578">
        <v>93.384376382597495</v>
      </c>
      <c r="AN7578">
        <v>0.99999993653997798</v>
      </c>
    </row>
    <row r="7579" spans="1:40" x14ac:dyDescent="0.25">
      <c r="A7579" t="str">
        <f>"20190312160831522"</f>
        <v>20190312160831522</v>
      </c>
      <c r="B7579" t="str">
        <f>"1552378111512601"</f>
        <v>1552378111512601</v>
      </c>
      <c r="C7579" t="s">
        <v>40</v>
      </c>
      <c r="D7579">
        <v>7.4544550000000003</v>
      </c>
      <c r="E7579">
        <v>0.37623459999999997</v>
      </c>
      <c r="F7579" t="s">
        <v>47</v>
      </c>
      <c r="G7579">
        <v>-188.63069999999999</v>
      </c>
      <c r="H7579" s="1">
        <v>-2.0370900000000001E-6</v>
      </c>
      <c r="I7579">
        <v>-26.184889999999999</v>
      </c>
      <c r="J7579">
        <v>-189.71770000000001</v>
      </c>
      <c r="K7579">
        <v>1.1173599999999999</v>
      </c>
      <c r="L7579">
        <v>-49.037199999999999</v>
      </c>
      <c r="M7579">
        <v>0.40855789999999997</v>
      </c>
      <c r="N7579">
        <v>0</v>
      </c>
      <c r="O7579">
        <v>0.91260929999999996</v>
      </c>
      <c r="P7579">
        <v>0.35494369999999997</v>
      </c>
      <c r="Q7579">
        <v>1.294905E-2</v>
      </c>
      <c r="R7579">
        <v>0.93479800000000002</v>
      </c>
      <c r="S7579">
        <v>0.1592712</v>
      </c>
      <c r="T7579">
        <v>-0.15328510000000001</v>
      </c>
      <c r="U7579">
        <v>3.160431</v>
      </c>
      <c r="V7579">
        <v>-5.8495150000000003E-2</v>
      </c>
      <c r="W7579">
        <v>2.6863979999999999E-2</v>
      </c>
      <c r="X7579">
        <v>0.99792619999999999</v>
      </c>
      <c r="Y7579">
        <v>-0.36217569999999999</v>
      </c>
      <c r="Z7579">
        <v>-4.0456600000000002E-2</v>
      </c>
      <c r="AA7579">
        <v>0.93123140000000004</v>
      </c>
      <c r="AB7579">
        <v>24</v>
      </c>
      <c r="AC7579">
        <v>1.08700000000001</v>
      </c>
      <c r="AD7579">
        <v>-1.1173620370899999</v>
      </c>
      <c r="AE7579">
        <v>22.852309999999999</v>
      </c>
      <c r="AF7579">
        <v>-8.32556405900303</v>
      </c>
      <c r="AG7579">
        <v>-1.1173620370899999</v>
      </c>
      <c r="AH7579">
        <v>21.251036079486902</v>
      </c>
      <c r="AI7579">
        <v>92.802746263049897</v>
      </c>
      <c r="AJ7579">
        <v>111.39386248693501</v>
      </c>
      <c r="AK7579">
        <v>22.851040441829898</v>
      </c>
      <c r="AL7579">
        <v>88.460622176127401</v>
      </c>
      <c r="AM7579">
        <v>93.354651464508393</v>
      </c>
      <c r="AN7579">
        <v>1.0000000283207</v>
      </c>
    </row>
    <row r="7580" spans="1:40" x14ac:dyDescent="0.25">
      <c r="A7580" t="str">
        <f>"20190312160831536"</f>
        <v>20190312160831536</v>
      </c>
      <c r="B7580" t="str">
        <f>"1552378111523333"</f>
        <v>1552378111523333</v>
      </c>
      <c r="C7580" t="s">
        <v>40</v>
      </c>
      <c r="D7580">
        <v>6.2494540000000001</v>
      </c>
      <c r="E7580">
        <v>0.37723679999999998</v>
      </c>
      <c r="F7580" t="s">
        <v>47</v>
      </c>
      <c r="G7580">
        <v>-188.75380000000001</v>
      </c>
      <c r="H7580" s="1">
        <v>-1.699491E-6</v>
      </c>
      <c r="I7580">
        <v>-26.920929999999998</v>
      </c>
      <c r="J7580">
        <v>-189.6661</v>
      </c>
      <c r="K7580">
        <v>1.1173059999999999</v>
      </c>
      <c r="L7580">
        <v>-48.904420000000002</v>
      </c>
      <c r="M7580">
        <v>0.40237780000000001</v>
      </c>
      <c r="N7580">
        <v>0</v>
      </c>
      <c r="O7580">
        <v>0.91535120000000003</v>
      </c>
      <c r="P7580">
        <v>0.34879729999999998</v>
      </c>
      <c r="Q7580">
        <v>1.285818E-2</v>
      </c>
      <c r="R7580">
        <v>0.93711</v>
      </c>
      <c r="S7580">
        <v>0.1376801</v>
      </c>
      <c r="T7580">
        <v>-0.15960859999999999</v>
      </c>
      <c r="U7580">
        <v>3.1591800000000001</v>
      </c>
      <c r="V7580">
        <v>-5.8295420000000001E-2</v>
      </c>
      <c r="W7580">
        <v>2.6772939999999999E-2</v>
      </c>
      <c r="X7580">
        <v>0.9979403</v>
      </c>
      <c r="Y7580">
        <v>-0.3622071</v>
      </c>
      <c r="Z7580">
        <v>-4.2347870000000003E-2</v>
      </c>
      <c r="AA7580">
        <v>0.93113509999999999</v>
      </c>
      <c r="AB7580">
        <v>24</v>
      </c>
      <c r="AC7580">
        <v>0.91229999999998701</v>
      </c>
      <c r="AD7580">
        <v>-1.1173076994909901</v>
      </c>
      <c r="AE7580">
        <v>21.98349</v>
      </c>
      <c r="AF7580">
        <v>-7.9908856333738303</v>
      </c>
      <c r="AG7580">
        <v>-1.1173076994909901</v>
      </c>
      <c r="AH7580">
        <v>20.439294073745199</v>
      </c>
      <c r="AI7580">
        <v>92.914531842573496</v>
      </c>
      <c r="AJ7580">
        <v>111.353362651099</v>
      </c>
      <c r="AK7580">
        <v>21.9742433756896</v>
      </c>
      <c r="AL7580">
        <v>88.4658402084372</v>
      </c>
      <c r="AM7580">
        <v>93.343176000540694</v>
      </c>
      <c r="AN7580">
        <v>0.99999999433665498</v>
      </c>
    </row>
    <row r="7581" spans="1:40" x14ac:dyDescent="0.25">
      <c r="A7581" t="str">
        <f>"20190312160831555"</f>
        <v>20190312160831555</v>
      </c>
      <c r="B7581" t="str">
        <f>"1552378111542852"</f>
        <v>1552378111542852</v>
      </c>
      <c r="C7581" t="s">
        <v>40</v>
      </c>
      <c r="D7581">
        <v>6.28451</v>
      </c>
      <c r="E7581">
        <v>0.3790037</v>
      </c>
      <c r="F7581" t="s">
        <v>47</v>
      </c>
      <c r="G7581">
        <v>-188.79509999999999</v>
      </c>
      <c r="H7581" s="1">
        <v>-1.737113E-6</v>
      </c>
      <c r="I7581">
        <v>-26.816179999999999</v>
      </c>
      <c r="J7581">
        <v>-189.5934</v>
      </c>
      <c r="K7581">
        <v>1.1172219999999999</v>
      </c>
      <c r="L7581">
        <v>-48.71246</v>
      </c>
      <c r="M7581">
        <v>0.39352150000000002</v>
      </c>
      <c r="N7581">
        <v>0</v>
      </c>
      <c r="O7581">
        <v>0.9191937</v>
      </c>
      <c r="P7581">
        <v>0.34042149999999999</v>
      </c>
      <c r="Q7581">
        <v>1.2845860000000001E-2</v>
      </c>
      <c r="R7581">
        <v>0.94018520000000005</v>
      </c>
      <c r="S7581">
        <v>0.1244965</v>
      </c>
      <c r="T7581">
        <v>-0.15970299999999901</v>
      </c>
      <c r="U7581">
        <v>3.1571959999999999</v>
      </c>
      <c r="V7581">
        <v>-5.7559270000000003E-2</v>
      </c>
      <c r="W7581">
        <v>2.6767699999999998E-2</v>
      </c>
      <c r="X7581">
        <v>0.99798319999999996</v>
      </c>
      <c r="Y7581">
        <v>-0.35705959999999998</v>
      </c>
      <c r="Z7581">
        <v>-4.2741059999999997E-2</v>
      </c>
      <c r="AA7581">
        <v>0.93310329999999997</v>
      </c>
      <c r="AB7581">
        <v>24</v>
      </c>
      <c r="AC7581">
        <v>0.798300000000011</v>
      </c>
      <c r="AD7581">
        <v>-1.117223737113</v>
      </c>
      <c r="AE7581">
        <v>21.896279999999901</v>
      </c>
      <c r="AF7581">
        <v>-7.8633026572659297</v>
      </c>
      <c r="AG7581">
        <v>-1.117223737113</v>
      </c>
      <c r="AH7581">
        <v>20.390344682881999</v>
      </c>
      <c r="AI7581">
        <v>92.926535313970007</v>
      </c>
      <c r="AJ7581">
        <v>111.08856131696901</v>
      </c>
      <c r="AK7581">
        <v>21.882547243071802</v>
      </c>
      <c r="AL7581">
        <v>88.4661405905576</v>
      </c>
      <c r="AM7581">
        <v>93.300911005283396</v>
      </c>
      <c r="AN7581">
        <v>1.0000000234042301</v>
      </c>
    </row>
    <row r="7582" spans="1:40" x14ac:dyDescent="0.25">
      <c r="A7582" t="str">
        <f>"20190312160831569"</f>
        <v>20190312160831569</v>
      </c>
      <c r="B7582" t="str">
        <f>"1552378111563349"</f>
        <v>1552378111563349</v>
      </c>
      <c r="C7582" t="s">
        <v>40</v>
      </c>
      <c r="D7582">
        <v>6.3066149999999999</v>
      </c>
      <c r="E7582">
        <v>0.380664</v>
      </c>
      <c r="F7582" t="s">
        <v>47</v>
      </c>
      <c r="G7582">
        <v>-188.8622</v>
      </c>
      <c r="H7582" s="1">
        <v>-1.3669289999999999E-6</v>
      </c>
      <c r="I7582">
        <v>-27.651350000000001</v>
      </c>
      <c r="J7582">
        <v>-189.54140000000001</v>
      </c>
      <c r="K7582">
        <v>1.1171599999999999</v>
      </c>
      <c r="L7582">
        <v>-48.571080000000002</v>
      </c>
      <c r="M7582">
        <v>0.38705580000000001</v>
      </c>
      <c r="N7582">
        <v>0</v>
      </c>
      <c r="O7582">
        <v>0.92193510000000001</v>
      </c>
      <c r="P7582">
        <v>0.33418989999999998</v>
      </c>
      <c r="Q7582">
        <v>1.270195E-2</v>
      </c>
      <c r="R7582">
        <v>0.94242020000000004</v>
      </c>
      <c r="S7582">
        <v>0.1094971</v>
      </c>
      <c r="T7582">
        <v>-0.16728309999999999</v>
      </c>
      <c r="U7582">
        <v>3.1535030000000002</v>
      </c>
      <c r="V7582">
        <v>-5.7150230000000003E-2</v>
      </c>
      <c r="W7582">
        <v>2.6625179999999998E-2</v>
      </c>
      <c r="X7582">
        <v>0.99801050000000002</v>
      </c>
      <c r="Y7582">
        <v>-0.35488950000000002</v>
      </c>
      <c r="Z7582">
        <v>-4.5057319999999998E-2</v>
      </c>
      <c r="AA7582">
        <v>0.93382189999999998</v>
      </c>
      <c r="AB7582">
        <v>24</v>
      </c>
      <c r="AC7582">
        <v>0.67920000000000802</v>
      </c>
      <c r="AD7582">
        <v>-1.1171613669289999</v>
      </c>
      <c r="AE7582">
        <v>20.919729999999898</v>
      </c>
      <c r="AF7582">
        <v>-7.4505343586712698</v>
      </c>
      <c r="AG7582">
        <v>-1.1171613669289999</v>
      </c>
      <c r="AH7582">
        <v>19.496165792449201</v>
      </c>
      <c r="AI7582">
        <v>93.063902249162894</v>
      </c>
      <c r="AJ7582">
        <v>110.91454776375301</v>
      </c>
      <c r="AK7582">
        <v>20.9011720330743</v>
      </c>
      <c r="AL7582">
        <v>88.474309266014799</v>
      </c>
      <c r="AM7582">
        <v>93.277415227550605</v>
      </c>
      <c r="AN7582">
        <v>1.0000000035546599</v>
      </c>
    </row>
    <row r="7583" spans="1:40" x14ac:dyDescent="0.25">
      <c r="A7583" t="str">
        <f>"20190312160831591"</f>
        <v>20190312160831591</v>
      </c>
      <c r="B7583" t="str">
        <f>"1552378111582400"</f>
        <v>1552378111582400</v>
      </c>
      <c r="C7583" t="s">
        <v>40</v>
      </c>
      <c r="D7583">
        <v>6.3300830000000001</v>
      </c>
      <c r="E7583">
        <v>0.38226320000000003</v>
      </c>
      <c r="F7583" t="s">
        <v>47</v>
      </c>
      <c r="G7583">
        <v>-188.87819999999999</v>
      </c>
      <c r="H7583" s="1">
        <v>-1.258198E-6</v>
      </c>
      <c r="I7583">
        <v>-27.89817</v>
      </c>
      <c r="J7583">
        <v>-189.46340000000001</v>
      </c>
      <c r="K7583">
        <v>1.117067</v>
      </c>
      <c r="L7583">
        <v>-48.354190000000003</v>
      </c>
      <c r="M7583">
        <v>0.37719599999999998</v>
      </c>
      <c r="N7583">
        <v>0</v>
      </c>
      <c r="O7583">
        <v>0.92601319999999998</v>
      </c>
      <c r="P7583">
        <v>0.32450810000000002</v>
      </c>
      <c r="Q7583">
        <v>1.28364E-2</v>
      </c>
      <c r="R7583">
        <v>0.94579579999999996</v>
      </c>
      <c r="S7583">
        <v>0.1010437</v>
      </c>
      <c r="T7583">
        <v>-0.170212</v>
      </c>
      <c r="U7583">
        <v>3.14975</v>
      </c>
      <c r="V7583">
        <v>-5.672982E-2</v>
      </c>
      <c r="W7583">
        <v>2.6757690000000001E-2</v>
      </c>
      <c r="X7583">
        <v>0.998031</v>
      </c>
      <c r="Y7583">
        <v>-0.34736889999999998</v>
      </c>
      <c r="Z7583">
        <v>-4.6304320000000003E-2</v>
      </c>
      <c r="AA7583">
        <v>0.93658470000000005</v>
      </c>
      <c r="AB7583">
        <v>24</v>
      </c>
      <c r="AC7583">
        <v>0.58520000000001404</v>
      </c>
      <c r="AD7583">
        <v>-1.117068258198</v>
      </c>
      <c r="AE7583">
        <v>20.456019999999999</v>
      </c>
      <c r="AF7583">
        <v>-7.1535102773557702</v>
      </c>
      <c r="AG7583">
        <v>-1.117068258198</v>
      </c>
      <c r="AH7583">
        <v>19.1084779917466</v>
      </c>
      <c r="AI7583">
        <v>93.133735357725698</v>
      </c>
      <c r="AJ7583">
        <v>110.524049023685</v>
      </c>
      <c r="AK7583">
        <v>20.434149895280001</v>
      </c>
      <c r="AL7583">
        <v>88.466714385542701</v>
      </c>
      <c r="AM7583">
        <v>93.253291118780794</v>
      </c>
      <c r="AN7583">
        <v>1.0000000617061799</v>
      </c>
    </row>
    <row r="7584" spans="1:40" x14ac:dyDescent="0.25">
      <c r="A7584" t="str">
        <f>"20190312160831614"</f>
        <v>20190312160831614</v>
      </c>
      <c r="B7584" t="str">
        <f>"1552378111602895"</f>
        <v>1552378111602895</v>
      </c>
      <c r="C7584" t="s">
        <v>40</v>
      </c>
      <c r="D7584">
        <v>6.3662599999999996</v>
      </c>
      <c r="E7584">
        <v>0.38391999999999998</v>
      </c>
      <c r="F7584" t="s">
        <v>47</v>
      </c>
      <c r="G7584">
        <v>-188.94649999999999</v>
      </c>
      <c r="H7584" s="1">
        <v>-1.101004E-6</v>
      </c>
      <c r="I7584">
        <v>-28.236360000000001</v>
      </c>
      <c r="J7584">
        <v>-189.38659999999999</v>
      </c>
      <c r="K7584">
        <v>1.1169709999999999</v>
      </c>
      <c r="L7584">
        <v>-48.133760000000002</v>
      </c>
      <c r="M7584">
        <v>0.36728300000000003</v>
      </c>
      <c r="N7584">
        <v>0</v>
      </c>
      <c r="O7584">
        <v>0.92998979999999998</v>
      </c>
      <c r="P7584">
        <v>0.3146021</v>
      </c>
      <c r="Q7584">
        <v>1.2604550000000001E-2</v>
      </c>
      <c r="R7584">
        <v>0.94913999999999998</v>
      </c>
      <c r="S7584">
        <v>8.0841060000000006E-2</v>
      </c>
      <c r="T7584">
        <v>-0.17471600000000001</v>
      </c>
      <c r="U7584">
        <v>3.1465450000000001</v>
      </c>
      <c r="V7584">
        <v>-5.6493649999999999E-2</v>
      </c>
      <c r="W7584">
        <v>2.65203E-2</v>
      </c>
      <c r="X7584">
        <v>0.99805069999999996</v>
      </c>
      <c r="Y7584">
        <v>-0.34332849999999998</v>
      </c>
      <c r="Z7584">
        <v>-4.7946959999999997E-2</v>
      </c>
      <c r="AA7584">
        <v>0.93799069999999996</v>
      </c>
      <c r="AB7584">
        <v>24</v>
      </c>
      <c r="AC7584">
        <v>0.44010000000000099</v>
      </c>
      <c r="AD7584">
        <v>-1.1169721010039999</v>
      </c>
      <c r="AE7584">
        <v>19.897400000000001</v>
      </c>
      <c r="AF7584">
        <v>-6.8777912241113297</v>
      </c>
      <c r="AG7584">
        <v>-1.1169721010039999</v>
      </c>
      <c r="AH7584">
        <v>18.6094784777199</v>
      </c>
      <c r="AI7584">
        <v>93.222329704391299</v>
      </c>
      <c r="AJ7584">
        <v>110.283575628214</v>
      </c>
      <c r="AK7584">
        <v>19.871193421875901</v>
      </c>
      <c r="AL7584">
        <v>88.480320609162007</v>
      </c>
      <c r="AM7584">
        <v>93.239712550747996</v>
      </c>
      <c r="AN7584">
        <v>1.0000000292864499</v>
      </c>
    </row>
    <row r="7585" spans="1:40" x14ac:dyDescent="0.25">
      <c r="A7585" t="str">
        <f>"20190312160831638"</f>
        <v>20190312160831638</v>
      </c>
      <c r="B7585" t="str">
        <f>"1552378111633152"</f>
        <v>1552378111633152</v>
      </c>
      <c r="C7585" t="s">
        <v>40</v>
      </c>
      <c r="D7585">
        <v>6.3590799999999996</v>
      </c>
      <c r="E7585">
        <v>0.3856869</v>
      </c>
      <c r="F7585" t="s">
        <v>47</v>
      </c>
      <c r="G7585">
        <v>-188.99379999999999</v>
      </c>
      <c r="H7585" s="1">
        <v>-1.294788E-6</v>
      </c>
      <c r="I7585">
        <v>-27.765080000000001</v>
      </c>
      <c r="J7585">
        <v>-189.30969999999999</v>
      </c>
      <c r="K7585">
        <v>1.1168640000000001</v>
      </c>
      <c r="L7585">
        <v>-47.905059999999999</v>
      </c>
      <c r="M7585">
        <v>0.35712850000000002</v>
      </c>
      <c r="N7585">
        <v>0</v>
      </c>
      <c r="O7585">
        <v>0.93393680000000001</v>
      </c>
      <c r="P7585">
        <v>0.30474800000000002</v>
      </c>
      <c r="Q7585">
        <v>1.2515429999999999E-2</v>
      </c>
      <c r="R7585">
        <v>0.95235080000000005</v>
      </c>
      <c r="S7585">
        <v>6.0607910000000001E-2</v>
      </c>
      <c r="T7585">
        <v>-0.1723536</v>
      </c>
      <c r="U7585">
        <v>3.1429749999999999</v>
      </c>
      <c r="V7585">
        <v>-5.5955049999999999E-2</v>
      </c>
      <c r="W7585">
        <v>2.642974E-2</v>
      </c>
      <c r="X7585">
        <v>0.99808339999999995</v>
      </c>
      <c r="Y7585">
        <v>-0.33910040000000002</v>
      </c>
      <c r="Z7585">
        <v>-4.7720569999999997E-2</v>
      </c>
      <c r="AA7585">
        <v>0.93953909999999996</v>
      </c>
      <c r="AB7585">
        <v>24</v>
      </c>
      <c r="AC7585">
        <v>0.31589999999999901</v>
      </c>
      <c r="AD7585">
        <v>-1.11686529478799</v>
      </c>
      <c r="AE7585">
        <v>20.139979999999898</v>
      </c>
      <c r="AF7585">
        <v>-6.8771496065593398</v>
      </c>
      <c r="AG7585">
        <v>-1.11686529478799</v>
      </c>
      <c r="AH7585">
        <v>18.8663743916036</v>
      </c>
      <c r="AI7585">
        <v>93.183442055144397</v>
      </c>
      <c r="AJ7585">
        <v>110.02775283169299</v>
      </c>
      <c r="AK7585">
        <v>20.111754211949201</v>
      </c>
      <c r="AL7585">
        <v>88.485511068740294</v>
      </c>
      <c r="AM7585">
        <v>93.208785674856699</v>
      </c>
      <c r="AN7585">
        <v>0.99999998606626395</v>
      </c>
    </row>
    <row r="7586" spans="1:40" x14ac:dyDescent="0.25">
      <c r="A7586" t="str">
        <f>"20190312160831658"</f>
        <v>20190312160831658</v>
      </c>
      <c r="B7586" t="str">
        <f>"1552378111652672"</f>
        <v>1552378111652672</v>
      </c>
      <c r="C7586" t="s">
        <v>40</v>
      </c>
      <c r="D7586">
        <v>6.3738250000000001</v>
      </c>
      <c r="E7586">
        <v>0.38778309999999999</v>
      </c>
      <c r="F7586" t="s">
        <v>47</v>
      </c>
      <c r="G7586">
        <v>-189.04839999999999</v>
      </c>
      <c r="H7586" s="1">
        <v>-1.192915E-6</v>
      </c>
      <c r="I7586">
        <v>-27.979959999999998</v>
      </c>
      <c r="J7586">
        <v>-189.24039999999999</v>
      </c>
      <c r="K7586">
        <v>1.116762</v>
      </c>
      <c r="L7586">
        <v>-47.691960000000002</v>
      </c>
      <c r="M7586">
        <v>0.3477731</v>
      </c>
      <c r="N7586">
        <v>0</v>
      </c>
      <c r="O7586">
        <v>0.93746110000000005</v>
      </c>
      <c r="P7586">
        <v>0.29561920000000003</v>
      </c>
      <c r="Q7586">
        <v>1.2759120000000001E-2</v>
      </c>
      <c r="R7586">
        <v>0.95522059999999998</v>
      </c>
      <c r="S7586">
        <v>4.1168209999999997E-2</v>
      </c>
      <c r="T7586">
        <v>-0.17596510000000001</v>
      </c>
      <c r="U7586">
        <v>3.1392519999999999</v>
      </c>
      <c r="V7586">
        <v>-5.5523980000000001E-2</v>
      </c>
      <c r="W7586">
        <v>2.6669979999999999E-2</v>
      </c>
      <c r="X7586">
        <v>0.99810109999999996</v>
      </c>
      <c r="Y7586">
        <v>-0.33548800000000001</v>
      </c>
      <c r="Z7586">
        <v>-4.9106990000000003E-2</v>
      </c>
      <c r="AA7586">
        <v>0.94076369999999998</v>
      </c>
      <c r="AB7586">
        <v>24</v>
      </c>
      <c r="AC7586">
        <v>0.192000000000007</v>
      </c>
      <c r="AD7586">
        <v>-1.1167631929149999</v>
      </c>
      <c r="AE7586">
        <v>19.712</v>
      </c>
      <c r="AF7586">
        <v>-6.6546897283523698</v>
      </c>
      <c r="AG7586">
        <v>-1.1167631929149999</v>
      </c>
      <c r="AH7586">
        <v>18.488714102721001</v>
      </c>
      <c r="AI7586">
        <v>93.252797856073798</v>
      </c>
      <c r="AJ7586">
        <v>109.79545428812099</v>
      </c>
      <c r="AK7586">
        <v>19.681580337509601</v>
      </c>
      <c r="AL7586">
        <v>88.4717415024231</v>
      </c>
      <c r="AM7586">
        <v>93.184060344161907</v>
      </c>
      <c r="AN7586">
        <v>1.00000000300472</v>
      </c>
    </row>
    <row r="7587" spans="1:40" x14ac:dyDescent="0.25">
      <c r="A7587" t="str">
        <f>"20190312160831680"</f>
        <v>20190312160831680</v>
      </c>
      <c r="B7587" t="str">
        <f>"1552378111673168"</f>
        <v>1552378111673168</v>
      </c>
      <c r="C7587" t="s">
        <v>40</v>
      </c>
      <c r="D7587">
        <v>7.6058729999999999</v>
      </c>
      <c r="E7587">
        <v>0.38835009999999998</v>
      </c>
      <c r="F7587" t="s">
        <v>47</v>
      </c>
      <c r="G7587">
        <v>-188.68799999999999</v>
      </c>
      <c r="H7587" s="1">
        <v>-6.1629909999999899E-7</v>
      </c>
      <c r="I7587">
        <v>10.43327</v>
      </c>
      <c r="J7587">
        <v>-189.16730000000001</v>
      </c>
      <c r="K7587">
        <v>1.1166579999999999</v>
      </c>
      <c r="L7587">
        <v>-47.459049999999998</v>
      </c>
      <c r="M7587">
        <v>0.33764880000000003</v>
      </c>
      <c r="N7587">
        <v>0</v>
      </c>
      <c r="O7587">
        <v>0.94115539999999998</v>
      </c>
      <c r="P7587">
        <v>0.28528249999999999</v>
      </c>
      <c r="Q7587">
        <v>1.253224E-2</v>
      </c>
      <c r="R7587">
        <v>0.95836160000000004</v>
      </c>
      <c r="S7587">
        <v>2.9769899999999998E-2</v>
      </c>
      <c r="T7587">
        <v>-6.0179709999999997E-2</v>
      </c>
      <c r="U7587">
        <v>3.1322329999999998</v>
      </c>
      <c r="V7587">
        <v>-5.5539089999999999E-2</v>
      </c>
      <c r="W7587">
        <v>2.642974E-2</v>
      </c>
      <c r="X7587">
        <v>0.99810670000000001</v>
      </c>
      <c r="Y7587">
        <v>-0.32872469999999998</v>
      </c>
      <c r="Z7587">
        <v>-1.6983789999999999E-2</v>
      </c>
      <c r="AA7587">
        <v>0.94427309999999998</v>
      </c>
      <c r="AB7587">
        <v>24</v>
      </c>
      <c r="AC7587">
        <v>0.47930000000002299</v>
      </c>
      <c r="AD7587">
        <v>-1.1166586162990999</v>
      </c>
      <c r="AE7587">
        <v>57.892319999999998</v>
      </c>
      <c r="AF7587">
        <v>-19.091173273158901</v>
      </c>
      <c r="AG7587">
        <v>-1.1166586162990999</v>
      </c>
      <c r="AH7587">
        <v>54.633186659391399</v>
      </c>
      <c r="AI7587">
        <v>91.105388306712101</v>
      </c>
      <c r="AJ7587">
        <v>109.261599696959</v>
      </c>
      <c r="AK7587">
        <v>57.883546090154397</v>
      </c>
      <c r="AL7587">
        <v>88.485511170330795</v>
      </c>
      <c r="AM7587">
        <v>93.184907221139795</v>
      </c>
      <c r="AN7587">
        <v>1.00000005312969</v>
      </c>
    </row>
    <row r="7588" spans="1:40" x14ac:dyDescent="0.25">
      <c r="A7588" t="str">
        <f>"20190312160831703"</f>
        <v>20190312160831703</v>
      </c>
      <c r="B7588" t="str">
        <f>"1552378111692508"</f>
        <v>1552378111692508</v>
      </c>
      <c r="C7588" t="s">
        <v>40</v>
      </c>
      <c r="D7588">
        <v>6.3461319999999999</v>
      </c>
      <c r="E7588">
        <v>0.3886501</v>
      </c>
      <c r="F7588" t="s">
        <v>47</v>
      </c>
      <c r="G7588">
        <v>-189.16319999999999</v>
      </c>
      <c r="H7588" s="1">
        <v>-3.985584E-6</v>
      </c>
      <c r="I7588">
        <v>8.5772669999999902</v>
      </c>
      <c r="J7588">
        <v>-189.10120000000001</v>
      </c>
      <c r="K7588">
        <v>1.116574</v>
      </c>
      <c r="L7588">
        <v>-47.24118</v>
      </c>
      <c r="M7588">
        <v>0.32826830000000001</v>
      </c>
      <c r="N7588">
        <v>0</v>
      </c>
      <c r="O7588">
        <v>0.94446859999999999</v>
      </c>
      <c r="P7588">
        <v>0.2760841</v>
      </c>
      <c r="Q7588">
        <v>1.2239389999999999E-2</v>
      </c>
      <c r="R7588">
        <v>0.96105560000000001</v>
      </c>
      <c r="S7588">
        <v>2.2888180000000001E-4</v>
      </c>
      <c r="T7588">
        <v>-6.2394980000000003E-2</v>
      </c>
      <c r="U7588">
        <v>3.1311040000000001</v>
      </c>
      <c r="V7588">
        <v>-5.5165440000000003E-2</v>
      </c>
      <c r="W7588">
        <v>2.613182E-2</v>
      </c>
      <c r="X7588">
        <v>0.9981352</v>
      </c>
      <c r="Y7588">
        <v>-0.32823330000000001</v>
      </c>
      <c r="Z7588">
        <v>-1.771524E-2</v>
      </c>
      <c r="AA7588">
        <v>0.94443049999999995</v>
      </c>
      <c r="AB7588">
        <v>24</v>
      </c>
      <c r="AC7588">
        <v>-6.1999999999983402E-2</v>
      </c>
      <c r="AD7588">
        <v>-1.1165779855839999</v>
      </c>
      <c r="AE7588">
        <v>55.818446999999999</v>
      </c>
      <c r="AF7588">
        <v>-18.3766433938892</v>
      </c>
      <c r="AG7588">
        <v>-1.1165779855839999</v>
      </c>
      <c r="AH7588">
        <v>52.683107825240498</v>
      </c>
      <c r="AI7588">
        <v>91.146435063376998</v>
      </c>
      <c r="AJ7588">
        <v>109.22952350679201</v>
      </c>
      <c r="AK7588">
        <v>55.8073258537801</v>
      </c>
      <c r="AL7588">
        <v>88.502586527872296</v>
      </c>
      <c r="AM7588">
        <v>93.163433663087801</v>
      </c>
      <c r="AN7588">
        <v>0.99999998763297204</v>
      </c>
    </row>
    <row r="7589" spans="1:40" x14ac:dyDescent="0.25">
      <c r="A7589" t="str">
        <f>"20190312160831724"</f>
        <v>20190312160831724</v>
      </c>
      <c r="B7589" t="str">
        <f>"1552378111713001"</f>
        <v>1552378111713001</v>
      </c>
      <c r="C7589" t="s">
        <v>40</v>
      </c>
      <c r="D7589">
        <v>6.4136829999999998</v>
      </c>
      <c r="E7589">
        <v>0.39264300000000002</v>
      </c>
      <c r="F7589" t="s">
        <v>47</v>
      </c>
      <c r="G7589">
        <v>-189.34639999999999</v>
      </c>
      <c r="H7589" s="1">
        <v>-4.2056479999999996E-6</v>
      </c>
      <c r="I7589">
        <v>-20.83399</v>
      </c>
      <c r="J7589">
        <v>-189.03569999999999</v>
      </c>
      <c r="K7589">
        <v>1.1164909999999999</v>
      </c>
      <c r="L7589">
        <v>-47.017940000000003</v>
      </c>
      <c r="M7589">
        <v>0.3187548</v>
      </c>
      <c r="N7589">
        <v>0</v>
      </c>
      <c r="O7589">
        <v>0.94772199999999995</v>
      </c>
      <c r="P7589">
        <v>0.26710919999999999</v>
      </c>
      <c r="Q7589">
        <v>1.224578E-2</v>
      </c>
      <c r="R7589">
        <v>0.96358849999999996</v>
      </c>
      <c r="S7589">
        <v>-2.9083250000000001E-2</v>
      </c>
      <c r="T7589">
        <v>-0.13241349999999999</v>
      </c>
      <c r="U7589">
        <v>3.1315919999999999</v>
      </c>
      <c r="V7589">
        <v>-5.4431019999999997E-2</v>
      </c>
      <c r="W7589">
        <v>2.613849E-2</v>
      </c>
      <c r="X7589">
        <v>0.99817540000000005</v>
      </c>
      <c r="Y7589">
        <v>-0.32756289999999999</v>
      </c>
      <c r="Z7589">
        <v>-3.7772279999999998E-2</v>
      </c>
      <c r="AA7589">
        <v>0.94407399999999997</v>
      </c>
      <c r="AB7589">
        <v>24</v>
      </c>
      <c r="AC7589">
        <v>-0.31069999999999698</v>
      </c>
      <c r="AD7589">
        <v>-1.116495205648</v>
      </c>
      <c r="AE7589">
        <v>26.183949999999999</v>
      </c>
      <c r="AF7589">
        <v>-8.6259790306163193</v>
      </c>
      <c r="AG7589">
        <v>-1.116495205648</v>
      </c>
      <c r="AH7589">
        <v>24.6739116657686</v>
      </c>
      <c r="AI7589">
        <v>92.445899701036495</v>
      </c>
      <c r="AJ7589">
        <v>109.269584075353</v>
      </c>
      <c r="AK7589">
        <v>26.162109866580298</v>
      </c>
      <c r="AL7589">
        <v>88.502204317203606</v>
      </c>
      <c r="AM7589">
        <v>93.121277106506199</v>
      </c>
      <c r="AN7589">
        <v>1.00000004288143</v>
      </c>
    </row>
    <row r="7590" spans="1:40" x14ac:dyDescent="0.25">
      <c r="A7590" t="str">
        <f>"20190312160831748"</f>
        <v>20190312160831748</v>
      </c>
      <c r="B7590" t="str">
        <f>"1552378111743260"</f>
        <v>1552378111743260</v>
      </c>
      <c r="C7590" t="s">
        <v>40</v>
      </c>
      <c r="D7590">
        <v>6.409065</v>
      </c>
      <c r="E7590">
        <v>0.39697759999999999</v>
      </c>
      <c r="F7590" t="s">
        <v>47</v>
      </c>
      <c r="G7590">
        <v>-189.2612</v>
      </c>
      <c r="H7590" s="1">
        <v>-3.7333240000000001E-6</v>
      </c>
      <c r="I7590">
        <v>-21.970210000000002</v>
      </c>
      <c r="J7590">
        <v>-188.97040000000001</v>
      </c>
      <c r="K7590">
        <v>1.1163989999999999</v>
      </c>
      <c r="L7590">
        <v>-46.787140000000001</v>
      </c>
      <c r="M7590">
        <v>0.30902479999999999</v>
      </c>
      <c r="N7590">
        <v>0</v>
      </c>
      <c r="O7590">
        <v>0.95093950000000005</v>
      </c>
      <c r="P7590">
        <v>0.25780019999999998</v>
      </c>
      <c r="Q7590">
        <v>1.254893E-2</v>
      </c>
      <c r="R7590">
        <v>0.9661168</v>
      </c>
      <c r="S7590">
        <v>-2.812195E-2</v>
      </c>
      <c r="T7590">
        <v>-0.1392033</v>
      </c>
      <c r="U7590">
        <v>3.122925</v>
      </c>
      <c r="V7590">
        <v>-5.3828470000000003E-2</v>
      </c>
      <c r="W7590">
        <v>2.6438320000000001E-2</v>
      </c>
      <c r="X7590">
        <v>0.99820010000000003</v>
      </c>
      <c r="Y7590">
        <v>-0.31759399999999999</v>
      </c>
      <c r="Z7590">
        <v>-4.0106259999999998E-2</v>
      </c>
      <c r="AA7590">
        <v>0.94737830000000001</v>
      </c>
      <c r="AB7590">
        <v>24</v>
      </c>
      <c r="AC7590">
        <v>-0.29079999999999001</v>
      </c>
      <c r="AD7590">
        <v>-1.1164027333240001</v>
      </c>
      <c r="AE7590">
        <v>24.816929999999999</v>
      </c>
      <c r="AF7590">
        <v>-7.9303986868520502</v>
      </c>
      <c r="AG7590">
        <v>-1.1164027333240001</v>
      </c>
      <c r="AH7590">
        <v>23.464615725512001</v>
      </c>
      <c r="AI7590">
        <v>92.580772238093999</v>
      </c>
      <c r="AJ7590">
        <v>108.67384759848601</v>
      </c>
      <c r="AK7590">
        <v>24.793663899096199</v>
      </c>
      <c r="AL7590">
        <v>88.485019266108196</v>
      </c>
      <c r="AM7590">
        <v>93.0867156077841</v>
      </c>
      <c r="AN7590">
        <v>0.99999996429348603</v>
      </c>
    </row>
    <row r="7591" spans="1:40" x14ac:dyDescent="0.25">
      <c r="A7591" t="str">
        <f>"20190312160831769"</f>
        <v>20190312160831769</v>
      </c>
      <c r="B7591" t="str">
        <f>"1552378111762777"</f>
        <v>1552378111762777</v>
      </c>
      <c r="C7591" t="s">
        <v>40</v>
      </c>
      <c r="D7591">
        <v>6.4413130000000001</v>
      </c>
      <c r="E7591">
        <v>0.39783600000000002</v>
      </c>
      <c r="F7591" t="s">
        <v>47</v>
      </c>
      <c r="G7591">
        <v>-189.13630000000001</v>
      </c>
      <c r="H7591" s="1">
        <v>-1.8489509999999999E-6</v>
      </c>
      <c r="I7591">
        <v>-26.414390000000001</v>
      </c>
      <c r="J7591">
        <v>-188.91319999999999</v>
      </c>
      <c r="K7591">
        <v>1.1163110000000001</v>
      </c>
      <c r="L7591">
        <v>-46.577480000000001</v>
      </c>
      <c r="M7591">
        <v>0.30028500000000002</v>
      </c>
      <c r="N7591">
        <v>0</v>
      </c>
      <c r="O7591">
        <v>0.95373580000000002</v>
      </c>
      <c r="P7591">
        <v>0.24961749999999999</v>
      </c>
      <c r="Q7591">
        <v>1.2328520000000001E-2</v>
      </c>
      <c r="R7591">
        <v>0.96826610000000002</v>
      </c>
      <c r="S7591">
        <v>-2.5360110000000002E-2</v>
      </c>
      <c r="T7591">
        <v>-0.1706541</v>
      </c>
      <c r="U7591">
        <v>3.1141969999999999</v>
      </c>
      <c r="V7591">
        <v>-5.3103860000000003E-2</v>
      </c>
      <c r="W7591">
        <v>2.6218100000000001E-2</v>
      </c>
      <c r="X7591">
        <v>0.99824480000000004</v>
      </c>
      <c r="Y7591">
        <v>-0.30805320000000003</v>
      </c>
      <c r="Z7591">
        <v>-4.9596950000000001E-2</v>
      </c>
      <c r="AA7591">
        <v>0.95007540000000001</v>
      </c>
      <c r="AB7591">
        <v>24</v>
      </c>
      <c r="AC7591">
        <v>-0.22310000000001601</v>
      </c>
      <c r="AD7591">
        <v>-1.1163128489509999</v>
      </c>
      <c r="AE7591">
        <v>20.16309</v>
      </c>
      <c r="AF7591">
        <v>-6.2489799089732898</v>
      </c>
      <c r="AG7591">
        <v>-1.1163128489509999</v>
      </c>
      <c r="AH7591">
        <v>19.1067873899236</v>
      </c>
      <c r="AI7591">
        <v>93.178396510326493</v>
      </c>
      <c r="AJ7591">
        <v>108.11061744768401</v>
      </c>
      <c r="AK7591">
        <v>20.133683931243901</v>
      </c>
      <c r="AL7591">
        <v>88.497641439408994</v>
      </c>
      <c r="AM7591">
        <v>93.045106532225603</v>
      </c>
      <c r="AN7591">
        <v>1.00000004472077</v>
      </c>
    </row>
    <row r="7592" spans="1:40" x14ac:dyDescent="0.25">
      <c r="A7592" t="str">
        <f>"20190312160831783"</f>
        <v>20190312160831783</v>
      </c>
      <c r="B7592" t="str">
        <f>"1552378111772537"</f>
        <v>1552378111772537</v>
      </c>
      <c r="C7592" t="s">
        <v>40</v>
      </c>
      <c r="D7592">
        <v>6.4995750000000001</v>
      </c>
      <c r="E7592">
        <v>0.39823619999999998</v>
      </c>
      <c r="F7592" t="s">
        <v>47</v>
      </c>
      <c r="G7592">
        <v>-189.2362</v>
      </c>
      <c r="H7592" s="1">
        <v>-2.8442880000000001E-6</v>
      </c>
      <c r="I7592">
        <v>-24.05293</v>
      </c>
      <c r="J7592">
        <v>-188.87270000000001</v>
      </c>
      <c r="K7592">
        <v>1.1162430000000001</v>
      </c>
      <c r="L7592">
        <v>-46.424259999999997</v>
      </c>
      <c r="M7592">
        <v>0.29395850000000001</v>
      </c>
      <c r="N7592">
        <v>0</v>
      </c>
      <c r="O7592">
        <v>0.95570489999999997</v>
      </c>
      <c r="P7592">
        <v>0.24373400000000001</v>
      </c>
      <c r="Q7592">
        <v>1.201735E-2</v>
      </c>
      <c r="R7592">
        <v>0.96976770000000001</v>
      </c>
      <c r="S7592">
        <v>-4.4616700000000002E-2</v>
      </c>
      <c r="T7592">
        <v>-0.15421969999999999</v>
      </c>
      <c r="U7592">
        <v>3.1117859999999999</v>
      </c>
      <c r="V7592">
        <v>-5.2541650000000002E-2</v>
      </c>
      <c r="W7592">
        <v>2.5906829999999999E-2</v>
      </c>
      <c r="X7592">
        <v>0.99828260000000002</v>
      </c>
      <c r="Y7592">
        <v>-0.307639</v>
      </c>
      <c r="Z7592">
        <v>-4.5014279999999997E-2</v>
      </c>
      <c r="AA7592">
        <v>0.9504378</v>
      </c>
      <c r="AB7592">
        <v>24</v>
      </c>
      <c r="AC7592">
        <v>-0.363499999999987</v>
      </c>
      <c r="AD7592">
        <v>-1.1162458442880001</v>
      </c>
      <c r="AE7592">
        <v>22.37133</v>
      </c>
      <c r="AF7592">
        <v>-6.9071992178667596</v>
      </c>
      <c r="AG7592">
        <v>-1.1162458442880001</v>
      </c>
      <c r="AH7592">
        <v>21.223015824277599</v>
      </c>
      <c r="AI7592">
        <v>92.8631971153048</v>
      </c>
      <c r="AJ7592">
        <v>108.02789031616599</v>
      </c>
      <c r="AK7592">
        <v>22.346628526418201</v>
      </c>
      <c r="AL7592">
        <v>88.515481843885297</v>
      </c>
      <c r="AM7592">
        <v>93.012813862775104</v>
      </c>
      <c r="AN7592">
        <v>0.99999996914406497</v>
      </c>
    </row>
    <row r="7593" spans="1:40" x14ac:dyDescent="0.25">
      <c r="A7593" t="str">
        <f>"20190312160831816"</f>
        <v>20190312160831816</v>
      </c>
      <c r="B7593" t="str">
        <f>"1552378111812553"</f>
        <v>1552378111812553</v>
      </c>
      <c r="C7593" t="s">
        <v>40</v>
      </c>
      <c r="D7593">
        <v>6.4876659999999999</v>
      </c>
      <c r="E7593">
        <v>0.40116109999999999</v>
      </c>
      <c r="F7593" t="s">
        <v>47</v>
      </c>
      <c r="G7593">
        <v>-189.3305</v>
      </c>
      <c r="H7593" s="1">
        <v>-3.3410479999999999E-6</v>
      </c>
      <c r="I7593">
        <v>-22.856000000000002</v>
      </c>
      <c r="J7593">
        <v>-188.79140000000001</v>
      </c>
      <c r="K7593">
        <v>1.116096</v>
      </c>
      <c r="L7593">
        <v>-46.105350000000001</v>
      </c>
      <c r="M7593">
        <v>0.280943099999999</v>
      </c>
      <c r="N7593">
        <v>0</v>
      </c>
      <c r="O7593">
        <v>0.95961220000000003</v>
      </c>
      <c r="P7593">
        <v>0.23247029999999999</v>
      </c>
      <c r="Q7593">
        <v>1.1527559999999999E-2</v>
      </c>
      <c r="R7593">
        <v>0.97253520000000004</v>
      </c>
      <c r="S7593">
        <v>-6.0409549999999999E-2</v>
      </c>
      <c r="T7593">
        <v>-0.14732210000000001</v>
      </c>
      <c r="U7593">
        <v>3.110535</v>
      </c>
      <c r="V7593">
        <v>-5.0536699999999997E-2</v>
      </c>
      <c r="W7593">
        <v>2.5431100000000002E-2</v>
      </c>
      <c r="X7593">
        <v>0.99839840000000002</v>
      </c>
      <c r="Y7593">
        <v>-0.29952909999999999</v>
      </c>
      <c r="Z7593">
        <v>-4.3358720000000003E-2</v>
      </c>
      <c r="AA7593">
        <v>0.95310150000000005</v>
      </c>
      <c r="AB7593">
        <v>24</v>
      </c>
      <c r="AC7593">
        <v>-0.53909999999999003</v>
      </c>
      <c r="AD7593">
        <v>-1.116099341048</v>
      </c>
      <c r="AE7593">
        <v>23.24935</v>
      </c>
      <c r="AF7593">
        <v>-7.0336301424968202</v>
      </c>
      <c r="AG7593">
        <v>-1.116099341048</v>
      </c>
      <c r="AH7593">
        <v>22.110363563847599</v>
      </c>
      <c r="AI7593">
        <v>92.753990687347894</v>
      </c>
      <c r="AJ7593">
        <v>107.64662849881201</v>
      </c>
      <c r="AK7593">
        <v>23.228986367167298</v>
      </c>
      <c r="AL7593">
        <v>88.542748242108402</v>
      </c>
      <c r="AM7593">
        <v>92.897711445976597</v>
      </c>
      <c r="AN7593">
        <v>1.00000003200832</v>
      </c>
    </row>
    <row r="7594" spans="1:40" x14ac:dyDescent="0.25">
      <c r="A7594" t="str">
        <f>"20190312160831835"</f>
        <v>20190312160831835</v>
      </c>
      <c r="B7594" t="str">
        <f>"1552378111823289"</f>
        <v>1552378111823289</v>
      </c>
      <c r="C7594" t="s">
        <v>40</v>
      </c>
      <c r="D7594">
        <v>6.4871410000000003</v>
      </c>
      <c r="E7594">
        <v>0.40219260000000001</v>
      </c>
      <c r="F7594" t="s">
        <v>47</v>
      </c>
      <c r="G7594">
        <v>-189.34970000000001</v>
      </c>
      <c r="H7594" s="1">
        <v>-3.4453010000000001E-6</v>
      </c>
      <c r="I7594">
        <v>-22.605</v>
      </c>
      <c r="J7594">
        <v>-188.7422</v>
      </c>
      <c r="K7594">
        <v>1.1160060000000001</v>
      </c>
      <c r="L7594">
        <v>-45.903199999999998</v>
      </c>
      <c r="M7594">
        <v>0.27281759999999999</v>
      </c>
      <c r="N7594">
        <v>0</v>
      </c>
      <c r="O7594">
        <v>0.96195419999999998</v>
      </c>
      <c r="P7594">
        <v>0.2245637</v>
      </c>
      <c r="Q7594">
        <v>1.1377450000000001E-2</v>
      </c>
      <c r="R7594">
        <v>0.97439299999999995</v>
      </c>
      <c r="S7594">
        <v>-7.3745729999999995E-2</v>
      </c>
      <c r="T7594">
        <v>-0.14742259999999999</v>
      </c>
      <c r="U7594">
        <v>3.104095</v>
      </c>
      <c r="V7594">
        <v>-5.0194599999999999E-2</v>
      </c>
      <c r="W7594">
        <v>2.5275229999999999E-2</v>
      </c>
      <c r="X7594">
        <v>0.99841959999999996</v>
      </c>
      <c r="Y7594">
        <v>-0.29558909999999899</v>
      </c>
      <c r="Z7594">
        <v>-4.3671370000000001E-2</v>
      </c>
      <c r="AA7594">
        <v>0.95431639999999995</v>
      </c>
      <c r="AB7594">
        <v>24</v>
      </c>
      <c r="AC7594">
        <v>-0.60750000000001503</v>
      </c>
      <c r="AD7594">
        <v>-1.1160094453010001</v>
      </c>
      <c r="AE7594">
        <v>23.298200000000001</v>
      </c>
      <c r="AF7594">
        <v>-6.9254116151218801</v>
      </c>
      <c r="AG7594">
        <v>-1.1160094453010001</v>
      </c>
      <c r="AH7594">
        <v>22.197554834786299</v>
      </c>
      <c r="AI7594">
        <v>92.747780845332997</v>
      </c>
      <c r="AJ7594">
        <v>107.327391369738</v>
      </c>
      <c r="AK7594">
        <v>23.279567087130498</v>
      </c>
      <c r="AL7594">
        <v>88.551681783995605</v>
      </c>
      <c r="AM7594">
        <v>92.878067941080701</v>
      </c>
      <c r="AN7594">
        <v>1.0000000163924301</v>
      </c>
    </row>
    <row r="7595" spans="1:40" x14ac:dyDescent="0.25">
      <c r="A7595" t="str">
        <f>"20190312160831858"</f>
        <v>20190312160831858</v>
      </c>
      <c r="B7595" t="str">
        <f>"1552378111852568"</f>
        <v>1552378111852568</v>
      </c>
      <c r="C7595" t="s">
        <v>40</v>
      </c>
      <c r="D7595">
        <v>6.4848080000000001</v>
      </c>
      <c r="E7595">
        <v>0.40488010000000002</v>
      </c>
      <c r="F7595" t="s">
        <v>47</v>
      </c>
      <c r="G7595">
        <v>-189.39189999999999</v>
      </c>
      <c r="H7595" s="1">
        <v>-2.9208340000000001E-6</v>
      </c>
      <c r="I7595">
        <v>-23.810130000000001</v>
      </c>
      <c r="J7595">
        <v>-188.68879999999999</v>
      </c>
      <c r="K7595">
        <v>1.1159140000000001</v>
      </c>
      <c r="L7595">
        <v>-45.674900000000001</v>
      </c>
      <c r="M7595">
        <v>0.26374059999999999</v>
      </c>
      <c r="N7595">
        <v>0</v>
      </c>
      <c r="O7595">
        <v>0.96448270000000003</v>
      </c>
      <c r="P7595">
        <v>0.21550059999999999</v>
      </c>
      <c r="Q7595">
        <v>1.125544E-2</v>
      </c>
      <c r="R7595">
        <v>0.97643880000000005</v>
      </c>
      <c r="S7595">
        <v>-9.1201779999999996E-2</v>
      </c>
      <c r="T7595">
        <v>-0.1566784</v>
      </c>
      <c r="U7595">
        <v>3.1016849999999998</v>
      </c>
      <c r="V7595">
        <v>-5.0054800000000003E-2</v>
      </c>
      <c r="W7595">
        <v>2.5141279999999998E-2</v>
      </c>
      <c r="X7595">
        <v>0.99843000000000004</v>
      </c>
      <c r="Y7595">
        <v>-0.29196470000000002</v>
      </c>
      <c r="Z7595">
        <v>-4.6658070000000003E-2</v>
      </c>
      <c r="AA7595">
        <v>0.95529030000000004</v>
      </c>
      <c r="AB7595">
        <v>24</v>
      </c>
      <c r="AC7595">
        <v>-0.70310000000000605</v>
      </c>
      <c r="AD7595">
        <v>-1.1159169208339901</v>
      </c>
      <c r="AE7595">
        <v>21.86477</v>
      </c>
      <c r="AF7595">
        <v>-6.4287168951617097</v>
      </c>
      <c r="AG7595">
        <v>-1.1159169208339901</v>
      </c>
      <c r="AH7595">
        <v>20.850737686194801</v>
      </c>
      <c r="AI7595">
        <v>92.927760453332496</v>
      </c>
      <c r="AJ7595">
        <v>107.135620672402</v>
      </c>
      <c r="AK7595">
        <v>21.8478130152847</v>
      </c>
      <c r="AL7595">
        <v>88.559358992529496</v>
      </c>
      <c r="AM7595">
        <v>92.8700356362869</v>
      </c>
      <c r="AN7595">
        <v>1.0000000159315301</v>
      </c>
    </row>
    <row r="7596" spans="1:40" x14ac:dyDescent="0.25">
      <c r="A7596" t="str">
        <f>"20190312160831880"</f>
        <v>20190312160831880</v>
      </c>
      <c r="B7596" t="str">
        <f>"1552378111873064"</f>
        <v>1552378111873064</v>
      </c>
      <c r="C7596" t="s">
        <v>40</v>
      </c>
      <c r="D7596">
        <v>6.4620739999999897</v>
      </c>
      <c r="E7596">
        <v>0.40636149999999999</v>
      </c>
      <c r="F7596" t="s">
        <v>47</v>
      </c>
      <c r="G7596">
        <v>-189.31489999999999</v>
      </c>
      <c r="H7596" s="1">
        <v>-1.8788919999999999E-6</v>
      </c>
      <c r="I7596">
        <v>-26.27073</v>
      </c>
      <c r="J7596">
        <v>-188.63570000000001</v>
      </c>
      <c r="K7596">
        <v>1.115828</v>
      </c>
      <c r="L7596">
        <v>-45.438540000000003</v>
      </c>
      <c r="M7596">
        <v>0.25446729999999901</v>
      </c>
      <c r="N7596">
        <v>0</v>
      </c>
      <c r="O7596">
        <v>0.96697109999999997</v>
      </c>
      <c r="P7596">
        <v>0.20674680000000001</v>
      </c>
      <c r="Q7596">
        <v>1.139922E-2</v>
      </c>
      <c r="R7596">
        <v>0.97832799999999998</v>
      </c>
      <c r="S7596">
        <v>-9.9914550000000005E-2</v>
      </c>
      <c r="T7596">
        <v>-0.1780767</v>
      </c>
      <c r="U7596">
        <v>3.0964969999999998</v>
      </c>
      <c r="V7596">
        <v>-4.9404749999999997E-2</v>
      </c>
      <c r="W7596">
        <v>2.5281430000000001E-2</v>
      </c>
      <c r="X7596">
        <v>0.99845879999999998</v>
      </c>
      <c r="Y7596">
        <v>-0.28549400000000003</v>
      </c>
      <c r="Z7596">
        <v>-5.3367409999999997E-2</v>
      </c>
      <c r="AA7596">
        <v>0.95689340000000001</v>
      </c>
      <c r="AB7596">
        <v>24</v>
      </c>
      <c r="AC7596">
        <v>-0.67919999999998004</v>
      </c>
      <c r="AD7596">
        <v>-1.115829878892</v>
      </c>
      <c r="AE7596">
        <v>19.167809999999999</v>
      </c>
      <c r="AF7596">
        <v>-5.5162676174294001</v>
      </c>
      <c r="AG7596">
        <v>-1.115829878892</v>
      </c>
      <c r="AH7596">
        <v>18.3018981851021</v>
      </c>
      <c r="AI7596">
        <v>93.340800225734995</v>
      </c>
      <c r="AJ7596">
        <v>106.773023446726</v>
      </c>
      <c r="AK7596">
        <v>19.147682938767598</v>
      </c>
      <c r="AL7596">
        <v>88.551326380497301</v>
      </c>
      <c r="AM7596">
        <v>92.832742686390105</v>
      </c>
      <c r="AN7596">
        <v>0.99999997766142301</v>
      </c>
    </row>
    <row r="7597" spans="1:40" x14ac:dyDescent="0.25">
      <c r="A7597" t="str">
        <f>"20190312160831903"</f>
        <v>20190312160831903</v>
      </c>
      <c r="B7597" t="str">
        <f>"1552378111892588"</f>
        <v>1552378111892588</v>
      </c>
      <c r="C7597" t="s">
        <v>40</v>
      </c>
      <c r="D7597">
        <v>6.4746550000000003</v>
      </c>
      <c r="E7597">
        <v>0.4078135</v>
      </c>
      <c r="F7597" t="s">
        <v>47</v>
      </c>
      <c r="G7597">
        <v>-189.32159999999999</v>
      </c>
      <c r="H7597" s="1">
        <v>-1.469972E-6</v>
      </c>
      <c r="I7597">
        <v>-27.221160000000001</v>
      </c>
      <c r="J7597">
        <v>-188.58690000000001</v>
      </c>
      <c r="K7597">
        <v>1.115729</v>
      </c>
      <c r="L7597">
        <v>-45.21237</v>
      </c>
      <c r="M7597">
        <v>0.24572630000000001</v>
      </c>
      <c r="N7597">
        <v>0</v>
      </c>
      <c r="O7597">
        <v>0.96922960000000002</v>
      </c>
      <c r="P7597">
        <v>0.19865820000000001</v>
      </c>
      <c r="Q7597">
        <v>1.2105930000000001E-2</v>
      </c>
      <c r="R7597">
        <v>0.97999409999999998</v>
      </c>
      <c r="S7597">
        <v>-0.1164703</v>
      </c>
      <c r="T7597">
        <v>-0.18946479999999999</v>
      </c>
      <c r="U7597">
        <v>3.0932620000000002</v>
      </c>
      <c r="V7597">
        <v>-4.8638760000000003E-2</v>
      </c>
      <c r="W7597">
        <v>2.5985959999999999E-2</v>
      </c>
      <c r="X7597">
        <v>0.99847839999999999</v>
      </c>
      <c r="Y7597">
        <v>-0.28197800000000001</v>
      </c>
      <c r="Z7597">
        <v>-5.7060409999999999E-2</v>
      </c>
      <c r="AA7597">
        <v>0.95772250000000003</v>
      </c>
      <c r="AB7597">
        <v>24</v>
      </c>
      <c r="AC7597">
        <v>-0.73469999999997504</v>
      </c>
      <c r="AD7597">
        <v>-1.1157304699719901</v>
      </c>
      <c r="AE7597">
        <v>17.991209999999999</v>
      </c>
      <c r="AF7597">
        <v>-5.1139172323162896</v>
      </c>
      <c r="AG7597">
        <v>-1.1157304699719901</v>
      </c>
      <c r="AH7597">
        <v>17.1929005324344</v>
      </c>
      <c r="AI7597">
        <v>93.559302086966099</v>
      </c>
      <c r="AJ7597">
        <v>106.564769815559</v>
      </c>
      <c r="AK7597">
        <v>17.972001353738801</v>
      </c>
      <c r="AL7597">
        <v>88.510946632941398</v>
      </c>
      <c r="AM7597">
        <v>92.788837993625194</v>
      </c>
      <c r="AN7597">
        <v>1.000000057179</v>
      </c>
    </row>
    <row r="7598" spans="1:40" x14ac:dyDescent="0.25">
      <c r="A7598" t="str">
        <f>"20190312160831925"</f>
        <v>20190312160831925</v>
      </c>
      <c r="B7598" t="str">
        <f>"1552378111922841"</f>
        <v>1552378111922841</v>
      </c>
      <c r="C7598" t="s">
        <v>40</v>
      </c>
      <c r="D7598">
        <v>6.2533539999999999</v>
      </c>
      <c r="E7598">
        <v>0.4086438</v>
      </c>
      <c r="F7598" t="s">
        <v>47</v>
      </c>
      <c r="G7598">
        <v>-189.32380000000001</v>
      </c>
      <c r="H7598" s="1">
        <v>-1.221097E-6</v>
      </c>
      <c r="I7598">
        <v>-27.800419999999999</v>
      </c>
      <c r="J7598">
        <v>-188.541</v>
      </c>
      <c r="K7598">
        <v>1.1156299999999999</v>
      </c>
      <c r="L7598">
        <v>-44.990479999999998</v>
      </c>
      <c r="M7598">
        <v>0.23728469999999999</v>
      </c>
      <c r="N7598">
        <v>0</v>
      </c>
      <c r="O7598">
        <v>0.9713311</v>
      </c>
      <c r="P7598">
        <v>0.19099140000000001</v>
      </c>
      <c r="Q7598">
        <v>1.2665040000000001E-2</v>
      </c>
      <c r="R7598">
        <v>0.98150999999999999</v>
      </c>
      <c r="S7598">
        <v>-0.13076779999999999</v>
      </c>
      <c r="T7598">
        <v>-0.19801579999999999</v>
      </c>
      <c r="U7598">
        <v>3.0902099999999999</v>
      </c>
      <c r="V7598">
        <v>-4.7755800000000001E-2</v>
      </c>
      <c r="W7598">
        <v>2.6544620000000001E-2</v>
      </c>
      <c r="X7598">
        <v>0.99850620000000001</v>
      </c>
      <c r="Y7598">
        <v>-0.27808100000000002</v>
      </c>
      <c r="Z7598">
        <v>-5.9916270000000001E-2</v>
      </c>
      <c r="AA7598">
        <v>0.95868710000000001</v>
      </c>
      <c r="AB7598">
        <v>24</v>
      </c>
      <c r="AC7598">
        <v>-0.78280000000000804</v>
      </c>
      <c r="AD7598">
        <v>-1.1156312210970001</v>
      </c>
      <c r="AE7598">
        <v>17.1900599999999</v>
      </c>
      <c r="AF7598">
        <v>-4.8195510812681501</v>
      </c>
      <c r="AG7598">
        <v>-1.1156312210970001</v>
      </c>
      <c r="AH7598">
        <v>16.444123784753501</v>
      </c>
      <c r="AI7598">
        <v>93.724990839177195</v>
      </c>
      <c r="AJ7598">
        <v>106.335149914277</v>
      </c>
      <c r="AK7598">
        <v>17.172126038866999</v>
      </c>
      <c r="AL7598">
        <v>88.478926537652697</v>
      </c>
      <c r="AM7598">
        <v>92.738212681068106</v>
      </c>
      <c r="AN7598">
        <v>0.99999993236150897</v>
      </c>
    </row>
    <row r="7599" spans="1:40" x14ac:dyDescent="0.25">
      <c r="A7599" t="str">
        <f>"20190312160831947"</f>
        <v>20190312160831947</v>
      </c>
      <c r="B7599" t="str">
        <f>"1552378111943338"</f>
        <v>1552378111943338</v>
      </c>
      <c r="C7599" t="s">
        <v>40</v>
      </c>
      <c r="D7599">
        <v>6.4922750000000002</v>
      </c>
      <c r="E7599">
        <v>0.40932679999999999</v>
      </c>
      <c r="F7599" t="s">
        <v>47</v>
      </c>
      <c r="G7599">
        <v>-189.40119999999999</v>
      </c>
      <c r="H7599" s="1">
        <v>-1.5243799999999901E-6</v>
      </c>
      <c r="I7599">
        <v>-27.061440000000001</v>
      </c>
      <c r="J7599">
        <v>-188.49719999999999</v>
      </c>
      <c r="K7599">
        <v>1.115513</v>
      </c>
      <c r="L7599">
        <v>-44.769869999999997</v>
      </c>
      <c r="M7599">
        <v>0.22903799999999999</v>
      </c>
      <c r="N7599">
        <v>0</v>
      </c>
      <c r="O7599">
        <v>0.97330910000000004</v>
      </c>
      <c r="P7599">
        <v>0.18373900000000001</v>
      </c>
      <c r="Q7599">
        <v>1.32304E-2</v>
      </c>
      <c r="R7599">
        <v>0.98288600000000004</v>
      </c>
      <c r="S7599">
        <v>-0.14814759999999999</v>
      </c>
      <c r="T7599">
        <v>-0.1921397</v>
      </c>
      <c r="U7599">
        <v>3.0878299999999999</v>
      </c>
      <c r="V7599">
        <v>-4.6657610000000002E-2</v>
      </c>
      <c r="W7599">
        <v>2.711185E-2</v>
      </c>
      <c r="X7599">
        <v>0.99854299999999996</v>
      </c>
      <c r="Y7599">
        <v>-0.27535500000000002</v>
      </c>
      <c r="Z7599">
        <v>-5.8390659999999997E-2</v>
      </c>
      <c r="AA7599">
        <v>0.95956770000000002</v>
      </c>
      <c r="AB7599">
        <v>24</v>
      </c>
      <c r="AC7599">
        <v>-0.90399999999999603</v>
      </c>
      <c r="AD7599">
        <v>-1.11551452438</v>
      </c>
      <c r="AE7599">
        <v>17.70843</v>
      </c>
      <c r="AF7599">
        <v>-4.9168354709010798</v>
      </c>
      <c r="AG7599">
        <v>-1.11551452438</v>
      </c>
      <c r="AH7599">
        <v>16.9633838094603</v>
      </c>
      <c r="AI7599">
        <v>93.614028938409305</v>
      </c>
      <c r="AJ7599">
        <v>106.164226913825</v>
      </c>
      <c r="AK7599">
        <v>17.696780327762301</v>
      </c>
      <c r="AL7599">
        <v>88.446415136610298</v>
      </c>
      <c r="AM7599">
        <v>92.675238984767006</v>
      </c>
      <c r="AN7599">
        <v>1.0000000539151599</v>
      </c>
    </row>
    <row r="7600" spans="1:40" x14ac:dyDescent="0.25">
      <c r="A7600" t="str">
        <f>"20190312160831970"</f>
        <v>20190312160831970</v>
      </c>
      <c r="B7600" t="str">
        <f>"1552378111962856"</f>
        <v>1552378111962856</v>
      </c>
      <c r="C7600" t="s">
        <v>40</v>
      </c>
      <c r="D7600">
        <v>6.4771429999999999</v>
      </c>
      <c r="E7600">
        <v>0.40974349999999998</v>
      </c>
      <c r="F7600" t="s">
        <v>47</v>
      </c>
      <c r="G7600">
        <v>-189.50470000000001</v>
      </c>
      <c r="H7600" s="1">
        <v>-1.9660170000000002E-6</v>
      </c>
      <c r="I7600">
        <v>-25.989170000000001</v>
      </c>
      <c r="J7600">
        <v>-188.45189999999999</v>
      </c>
      <c r="K7600">
        <v>1.115375</v>
      </c>
      <c r="L7600">
        <v>-44.532679999999999</v>
      </c>
      <c r="M7600">
        <v>0.22034200000000001</v>
      </c>
      <c r="N7600">
        <v>0</v>
      </c>
      <c r="O7600">
        <v>0.97531500000000004</v>
      </c>
      <c r="P7600">
        <v>0.17642920000000001</v>
      </c>
      <c r="Q7600">
        <v>1.2899809999999999E-2</v>
      </c>
      <c r="R7600">
        <v>0.98422880000000001</v>
      </c>
      <c r="S7600">
        <v>-0.16554260000000001</v>
      </c>
      <c r="T7600">
        <v>-0.18327869999999999</v>
      </c>
      <c r="U7600">
        <v>3.0856629999999998</v>
      </c>
      <c r="V7600">
        <v>-4.5153329999999998E-2</v>
      </c>
      <c r="W7600">
        <v>2.6788670000000001E-2</v>
      </c>
      <c r="X7600">
        <v>0.99862079999999998</v>
      </c>
      <c r="Y7600">
        <v>-0.27221030000000002</v>
      </c>
      <c r="Z7600">
        <v>-5.5943039999999999E-2</v>
      </c>
      <c r="AA7600">
        <v>0.96061019999999997</v>
      </c>
      <c r="AB7600">
        <v>24</v>
      </c>
      <c r="AC7600">
        <v>-1.05280000000001</v>
      </c>
      <c r="AD7600">
        <v>-1.1153769660169901</v>
      </c>
      <c r="AE7600">
        <v>18.543510000000001</v>
      </c>
      <c r="AF7600">
        <v>-5.0948890734923999</v>
      </c>
      <c r="AG7600">
        <v>-1.1153769660169901</v>
      </c>
      <c r="AH7600">
        <v>17.791501334368501</v>
      </c>
      <c r="AI7600">
        <v>93.448989812424799</v>
      </c>
      <c r="AJ7600">
        <v>105.97993610112999</v>
      </c>
      <c r="AK7600">
        <v>18.540212517076299</v>
      </c>
      <c r="AL7600">
        <v>88.464938599086693</v>
      </c>
      <c r="AM7600">
        <v>92.588904947386894</v>
      </c>
      <c r="AN7600">
        <v>0.99999997912154803</v>
      </c>
    </row>
    <row r="7601" spans="1:40" x14ac:dyDescent="0.25">
      <c r="A7601" t="str">
        <f>"20190312160831996"</f>
        <v>20190312160831996</v>
      </c>
      <c r="B7601" t="str">
        <f>"1552378111993113"</f>
        <v>1552378111993113</v>
      </c>
      <c r="C7601" t="s">
        <v>40</v>
      </c>
      <c r="D7601">
        <v>6.5041070000000003</v>
      </c>
      <c r="E7601">
        <v>0.41082750000000001</v>
      </c>
      <c r="F7601" t="s">
        <v>47</v>
      </c>
      <c r="G7601">
        <v>-189.62909999999999</v>
      </c>
      <c r="H7601" s="1">
        <v>-2.3999749999999998E-6</v>
      </c>
      <c r="I7601">
        <v>-24.926179999999999</v>
      </c>
      <c r="J7601">
        <v>-188.4057</v>
      </c>
      <c r="K7601">
        <v>1.1152219999999999</v>
      </c>
      <c r="L7601">
        <v>-44.278660000000002</v>
      </c>
      <c r="M7601">
        <v>0.21124760000000001</v>
      </c>
      <c r="N7601">
        <v>0</v>
      </c>
      <c r="O7601">
        <v>0.97732560000000002</v>
      </c>
      <c r="P7601">
        <v>0.16841210000000001</v>
      </c>
      <c r="Q7601">
        <v>1.2490040000000001E-2</v>
      </c>
      <c r="R7601">
        <v>0.98563750000000006</v>
      </c>
      <c r="S7601">
        <v>-0.18513489999999999</v>
      </c>
      <c r="T7601">
        <v>-0.17541779999999901</v>
      </c>
      <c r="U7601">
        <v>3.0835569999999999</v>
      </c>
      <c r="V7601">
        <v>-4.3964280000000001E-2</v>
      </c>
      <c r="W7601">
        <v>2.6379690000000001E-2</v>
      </c>
      <c r="X7601">
        <v>0.99868480000000004</v>
      </c>
      <c r="Y7601">
        <v>-0.26937359999999999</v>
      </c>
      <c r="Z7601">
        <v>-5.3771930000000003E-2</v>
      </c>
      <c r="AA7601">
        <v>0.96153339999999998</v>
      </c>
      <c r="AB7601">
        <v>23</v>
      </c>
      <c r="AC7601">
        <v>-1.2233999999999901</v>
      </c>
      <c r="AD7601">
        <v>-1.115224399975</v>
      </c>
      <c r="AE7601">
        <v>19.35248</v>
      </c>
      <c r="AF7601">
        <v>-5.2669564327251202</v>
      </c>
      <c r="AG7601">
        <v>-1.115224399975</v>
      </c>
      <c r="AH7601">
        <v>18.595676807568399</v>
      </c>
      <c r="AI7601">
        <v>93.302440586848206</v>
      </c>
      <c r="AJ7601">
        <v>105.81400668158599</v>
      </c>
      <c r="AK7601">
        <v>19.35933241251</v>
      </c>
      <c r="AL7601">
        <v>88.488379801049405</v>
      </c>
      <c r="AM7601">
        <v>92.520657538632605</v>
      </c>
      <c r="AN7601">
        <v>1.0000000378557199</v>
      </c>
    </row>
    <row r="7602" spans="1:40" x14ac:dyDescent="0.25">
      <c r="A7602" t="str">
        <f>"20190312160832016"</f>
        <v>20190312160832016</v>
      </c>
      <c r="B7602" t="str">
        <f>"1552378112012633"</f>
        <v>1552378112012633</v>
      </c>
      <c r="C7602" t="s">
        <v>40</v>
      </c>
      <c r="D7602">
        <v>6.4658530000000001</v>
      </c>
      <c r="E7602">
        <v>0.41167710000000002</v>
      </c>
      <c r="F7602" t="s">
        <v>47</v>
      </c>
      <c r="G7602">
        <v>-189.69409999999999</v>
      </c>
      <c r="H7602" s="1">
        <v>-2.5394339999999999E-6</v>
      </c>
      <c r="I7602">
        <v>-24.57423</v>
      </c>
      <c r="J7602">
        <v>-188.36850000000001</v>
      </c>
      <c r="K7602">
        <v>1.115078</v>
      </c>
      <c r="L7602">
        <v>-44.065089999999998</v>
      </c>
      <c r="M7602">
        <v>0.20379820000000001</v>
      </c>
      <c r="N7602">
        <v>0</v>
      </c>
      <c r="O7602">
        <v>0.97890650000000001</v>
      </c>
      <c r="P7602">
        <v>0.16163930000000001</v>
      </c>
      <c r="Q7602">
        <v>1.2410920000000001E-2</v>
      </c>
      <c r="R7602">
        <v>0.98677190000000004</v>
      </c>
      <c r="S7602">
        <v>-0.20141600000000001</v>
      </c>
      <c r="T7602">
        <v>-0.17434079999999999</v>
      </c>
      <c r="U7602">
        <v>3.0803530000000001</v>
      </c>
      <c r="V7602">
        <v>-4.320624E-2</v>
      </c>
      <c r="W7602">
        <v>2.629722E-2</v>
      </c>
      <c r="X7602">
        <v>0.99872000000000005</v>
      </c>
      <c r="Y7602">
        <v>-0.2671616</v>
      </c>
      <c r="Z7602">
        <v>-5.3640590000000002E-2</v>
      </c>
      <c r="AA7602">
        <v>0.9621577</v>
      </c>
      <c r="AB7602">
        <v>23</v>
      </c>
      <c r="AC7602">
        <v>-1.3255999999999799</v>
      </c>
      <c r="AD7602">
        <v>-1.115080539434</v>
      </c>
      <c r="AE7602">
        <v>19.490860000000001</v>
      </c>
      <c r="AF7602">
        <v>-5.2532747543431704</v>
      </c>
      <c r="AG7602">
        <v>-1.115080539434</v>
      </c>
      <c r="AH7602">
        <v>18.750446244295301</v>
      </c>
      <c r="AI7602">
        <v>93.277436835929294</v>
      </c>
      <c r="AJ7602">
        <v>105.651171205933</v>
      </c>
      <c r="AK7602">
        <v>19.5043465569665</v>
      </c>
      <c r="AL7602">
        <v>88.493106537442998</v>
      </c>
      <c r="AM7602">
        <v>92.477163324685307</v>
      </c>
      <c r="AN7602">
        <v>0.99999998067733198</v>
      </c>
    </row>
    <row r="7603" spans="1:40" x14ac:dyDescent="0.25">
      <c r="A7603" t="str">
        <f>"20190312160832038"</f>
        <v>20190312160832038</v>
      </c>
      <c r="B7603" t="str">
        <f>"1552378112033129"</f>
        <v>1552378112033129</v>
      </c>
      <c r="C7603" t="s">
        <v>40</v>
      </c>
      <c r="D7603">
        <v>6.5181079999999998</v>
      </c>
      <c r="E7603">
        <v>0.41261769999999998</v>
      </c>
      <c r="F7603" t="s">
        <v>47</v>
      </c>
      <c r="G7603">
        <v>-189.71530000000001</v>
      </c>
      <c r="H7603" s="1">
        <v>-2.4060010000000002E-6</v>
      </c>
      <c r="I7603">
        <v>-24.876480000000001</v>
      </c>
      <c r="J7603">
        <v>-188.3304</v>
      </c>
      <c r="K7603">
        <v>1.11494</v>
      </c>
      <c r="L7603">
        <v>-43.836849999999998</v>
      </c>
      <c r="M7603">
        <v>0.1960047</v>
      </c>
      <c r="N7603">
        <v>0</v>
      </c>
      <c r="O7603">
        <v>0.98049710000000001</v>
      </c>
      <c r="P7603">
        <v>0.15518879999999999</v>
      </c>
      <c r="Q7603">
        <v>1.235959E-2</v>
      </c>
      <c r="R7603">
        <v>0.98780749999999995</v>
      </c>
      <c r="S7603">
        <v>-0.2160339</v>
      </c>
      <c r="T7603">
        <v>-0.17885879999999901</v>
      </c>
      <c r="U7603">
        <v>3.0778500000000002</v>
      </c>
      <c r="V7603">
        <v>-4.1777090000000003E-2</v>
      </c>
      <c r="W7603">
        <v>2.6248130000000001E-2</v>
      </c>
      <c r="X7603">
        <v>0.99878210000000001</v>
      </c>
      <c r="Y7603">
        <v>-0.2640883</v>
      </c>
      <c r="Z7603">
        <v>-5.5224629999999997E-2</v>
      </c>
      <c r="AA7603">
        <v>0.9629162</v>
      </c>
      <c r="AB7603">
        <v>23</v>
      </c>
      <c r="AC7603">
        <v>-1.38490000000001</v>
      </c>
      <c r="AD7603">
        <v>-1.114942406001</v>
      </c>
      <c r="AE7603">
        <v>18.960370000000001</v>
      </c>
      <c r="AF7603">
        <v>-5.05734390056623</v>
      </c>
      <c r="AG7603">
        <v>-1.114942406001</v>
      </c>
      <c r="AH7603">
        <v>18.2582427015722</v>
      </c>
      <c r="AI7603">
        <v>93.367932967785293</v>
      </c>
      <c r="AJ7603">
        <v>105.482179751166</v>
      </c>
      <c r="AK7603">
        <v>18.9784944199167</v>
      </c>
      <c r="AL7603">
        <v>88.495920167190206</v>
      </c>
      <c r="AM7603">
        <v>92.395173518058897</v>
      </c>
      <c r="AN7603">
        <v>0.99999998642888699</v>
      </c>
    </row>
    <row r="7604" spans="1:40" x14ac:dyDescent="0.25">
      <c r="A7604" t="str">
        <f>"20190312160832061"</f>
        <v>20190312160832061</v>
      </c>
      <c r="B7604" t="str">
        <f>"1552378112052649"</f>
        <v>1552378112052649</v>
      </c>
      <c r="C7604" t="s">
        <v>40</v>
      </c>
      <c r="D7604">
        <v>6.4450960000000004</v>
      </c>
      <c r="E7604">
        <v>0.41307199999999999</v>
      </c>
      <c r="F7604" t="s">
        <v>47</v>
      </c>
      <c r="G7604">
        <v>-189.77889999999999</v>
      </c>
      <c r="H7604" s="1">
        <v>-2.6139009999999999E-6</v>
      </c>
      <c r="I7604">
        <v>-24.365570000000002</v>
      </c>
      <c r="J7604">
        <v>-188.29519999999999</v>
      </c>
      <c r="K7604">
        <v>1.114822</v>
      </c>
      <c r="L7604">
        <v>-43.616329999999998</v>
      </c>
      <c r="M7604">
        <v>0.1886418</v>
      </c>
      <c r="N7604">
        <v>0</v>
      </c>
      <c r="O7604">
        <v>0.9819407</v>
      </c>
      <c r="P7604">
        <v>0.1491932</v>
      </c>
      <c r="Q7604">
        <v>1.225743E-2</v>
      </c>
      <c r="R7604">
        <v>0.9887321</v>
      </c>
      <c r="S7604">
        <v>-0.22875980000000001</v>
      </c>
      <c r="T7604">
        <v>-0.17608670000000001</v>
      </c>
      <c r="U7604">
        <v>3.0751650000000001</v>
      </c>
      <c r="V7604">
        <v>-4.0332189999999997E-2</v>
      </c>
      <c r="W7604">
        <v>2.6149459999999999E-2</v>
      </c>
      <c r="X7604">
        <v>0.99884410000000001</v>
      </c>
      <c r="Y7604">
        <v>-0.26087589999999999</v>
      </c>
      <c r="Z7604">
        <v>-5.455931E-2</v>
      </c>
      <c r="AA7604">
        <v>0.9638293</v>
      </c>
      <c r="AB7604">
        <v>23</v>
      </c>
      <c r="AC7604">
        <v>-1.48369999999999</v>
      </c>
      <c r="AD7604">
        <v>-1.1148246139010001</v>
      </c>
      <c r="AE7604">
        <v>19.25076</v>
      </c>
      <c r="AF7604">
        <v>-5.0720201651443704</v>
      </c>
      <c r="AG7604">
        <v>-1.1148246139010001</v>
      </c>
      <c r="AH7604">
        <v>18.563255239557598</v>
      </c>
      <c r="AI7604">
        <v>93.315549784216998</v>
      </c>
      <c r="AJ7604">
        <v>105.281873416097</v>
      </c>
      <c r="AK7604">
        <v>19.2759608726609</v>
      </c>
      <c r="AL7604">
        <v>88.501575515271</v>
      </c>
      <c r="AM7604">
        <v>92.312282341621597</v>
      </c>
      <c r="AN7604">
        <v>1.00000000795664</v>
      </c>
    </row>
    <row r="7605" spans="1:40" x14ac:dyDescent="0.25">
      <c r="A7605" t="str">
        <f>"20190312160832081"</f>
        <v>20190312160832081</v>
      </c>
      <c r="B7605" t="str">
        <f>"1552378112073145"</f>
        <v>1552378112073145</v>
      </c>
      <c r="C7605" t="s">
        <v>40</v>
      </c>
      <c r="D7605">
        <v>6.5187839999999904</v>
      </c>
      <c r="E7605">
        <v>0.43510090000000001</v>
      </c>
      <c r="F7605" t="s">
        <v>47</v>
      </c>
      <c r="G7605">
        <v>-189.81819999999999</v>
      </c>
      <c r="H7605" s="1">
        <v>-2.5807640000000002E-6</v>
      </c>
      <c r="I7605">
        <v>-24.426570000000002</v>
      </c>
      <c r="J7605">
        <v>-188.26150000000001</v>
      </c>
      <c r="K7605">
        <v>1.1147089999999999</v>
      </c>
      <c r="L7605">
        <v>-43.395600000000002</v>
      </c>
      <c r="M7605">
        <v>0.18144779999999999</v>
      </c>
      <c r="N7605">
        <v>0</v>
      </c>
      <c r="O7605">
        <v>0.9832959</v>
      </c>
      <c r="P7605">
        <v>0.14307110000000001</v>
      </c>
      <c r="Q7605">
        <v>1.179582E-2</v>
      </c>
      <c r="R7605">
        <v>0.98964209999999997</v>
      </c>
      <c r="S7605">
        <v>-0.24389649999999999</v>
      </c>
      <c r="T7605">
        <v>-0.17853749999999999</v>
      </c>
      <c r="U7605">
        <v>3.0732119999999998</v>
      </c>
      <c r="V7605">
        <v>-3.9189069999999999E-2</v>
      </c>
      <c r="W7605">
        <v>2.5686130000000001E-2</v>
      </c>
      <c r="X7605">
        <v>0.99890159999999995</v>
      </c>
      <c r="Y7605">
        <v>-0.25856849999999998</v>
      </c>
      <c r="Z7605">
        <v>-5.5476490000000003E-2</v>
      </c>
      <c r="AA7605">
        <v>0.96439859999999999</v>
      </c>
      <c r="AB7605">
        <v>23</v>
      </c>
      <c r="AC7605">
        <v>-1.55669999999997</v>
      </c>
      <c r="AD7605">
        <v>-1.114711580764</v>
      </c>
      <c r="AE7605">
        <v>18.96903</v>
      </c>
      <c r="AF7605">
        <v>-4.9560970033276996</v>
      </c>
      <c r="AG7605">
        <v>-1.114711580764</v>
      </c>
      <c r="AH7605">
        <v>18.3087979233281</v>
      </c>
      <c r="AI7605">
        <v>93.363337339376301</v>
      </c>
      <c r="AJ7605">
        <v>105.146674623492</v>
      </c>
      <c r="AK7605">
        <v>19.000462121010301</v>
      </c>
      <c r="AL7605">
        <v>88.528131253469695</v>
      </c>
      <c r="AM7605">
        <v>92.246685140066205</v>
      </c>
      <c r="AN7605">
        <v>0.99999998348219998</v>
      </c>
    </row>
    <row r="7606" spans="1:40" x14ac:dyDescent="0.25">
      <c r="A7606" t="str">
        <f>"20190312160832105"</f>
        <v>20190312160832105</v>
      </c>
      <c r="B7606" t="str">
        <f>"1552378112092671"</f>
        <v>1552378112092671</v>
      </c>
      <c r="C7606" t="s">
        <v>40</v>
      </c>
      <c r="D7606">
        <v>6.5826259999999897</v>
      </c>
      <c r="E7606">
        <v>0.4356351</v>
      </c>
      <c r="F7606" t="s">
        <v>47</v>
      </c>
      <c r="G7606">
        <v>-188.6437</v>
      </c>
      <c r="H7606" s="1">
        <v>-4.4241109999999998E-6</v>
      </c>
      <c r="I7606">
        <v>-30.615290000000002</v>
      </c>
      <c r="J7606">
        <v>-188.22810000000001</v>
      </c>
      <c r="K7606">
        <v>1.1145769999999999</v>
      </c>
      <c r="L7606">
        <v>-43.167360000000002</v>
      </c>
      <c r="M7606">
        <v>0.1742031</v>
      </c>
      <c r="N7606">
        <v>0</v>
      </c>
      <c r="O7606">
        <v>0.98460559999999997</v>
      </c>
      <c r="P7606">
        <v>0.13727879999999901</v>
      </c>
      <c r="Q7606">
        <v>1.163821E-2</v>
      </c>
      <c r="R7606">
        <v>0.99046409999999996</v>
      </c>
      <c r="S7606">
        <v>-9.1156009999999996E-2</v>
      </c>
      <c r="T7606">
        <v>-0.26582650000000002</v>
      </c>
      <c r="U7606">
        <v>3.0477289999999999</v>
      </c>
      <c r="V7606">
        <v>-3.7667359999999997E-2</v>
      </c>
      <c r="W7606">
        <v>2.5530250000000001E-2</v>
      </c>
      <c r="X7606">
        <v>0.99896410000000002</v>
      </c>
      <c r="Y7606">
        <v>-0.2034678</v>
      </c>
      <c r="Z7606">
        <v>-8.3970870000000003E-2</v>
      </c>
      <c r="AA7606">
        <v>0.97547410000000001</v>
      </c>
      <c r="AB7606">
        <v>23</v>
      </c>
      <c r="AC7606">
        <v>-0.41559999999998298</v>
      </c>
      <c r="AD7606">
        <v>-1.1145814241109999</v>
      </c>
      <c r="AE7606">
        <v>12.552069999999899</v>
      </c>
      <c r="AF7606">
        <v>-2.5757903695483599</v>
      </c>
      <c r="AG7606">
        <v>-1.1145814241109999</v>
      </c>
      <c r="AH7606">
        <v>12.191675582024001</v>
      </c>
      <c r="AI7606">
        <v>95.111332302361006</v>
      </c>
      <c r="AJ7606">
        <v>101.929701247206</v>
      </c>
      <c r="AK7606">
        <v>12.510553196248001</v>
      </c>
      <c r="AL7606">
        <v>88.537065398287197</v>
      </c>
      <c r="AM7606">
        <v>92.159395727899494</v>
      </c>
      <c r="AN7606">
        <v>0.99999994838161899</v>
      </c>
    </row>
    <row r="7607" spans="1:40" x14ac:dyDescent="0.25">
      <c r="A7607" t="str">
        <f>"20190312160832125"</f>
        <v>20190312160832125</v>
      </c>
      <c r="B7607" t="str">
        <f>"1552378112113165"</f>
        <v>1552378112113165</v>
      </c>
      <c r="C7607" t="s">
        <v>40</v>
      </c>
      <c r="D7607">
        <v>6.6309149999999901</v>
      </c>
      <c r="E7607">
        <v>0.43711729999999999</v>
      </c>
      <c r="F7607" t="s">
        <v>47</v>
      </c>
      <c r="G7607">
        <v>-188.68129999999999</v>
      </c>
      <c r="H7607" s="1">
        <v>-4.8941309999999895E-7</v>
      </c>
      <c r="I7607">
        <v>-29.94483</v>
      </c>
      <c r="J7607">
        <v>-188.19829999999999</v>
      </c>
      <c r="K7607">
        <v>1.1144400000000001</v>
      </c>
      <c r="L7607">
        <v>-42.954410000000003</v>
      </c>
      <c r="M7607">
        <v>0.16762070000000001</v>
      </c>
      <c r="N7607">
        <v>0</v>
      </c>
      <c r="O7607">
        <v>0.98574790000000001</v>
      </c>
      <c r="P7607">
        <v>0.13195750000000001</v>
      </c>
      <c r="Q7607">
        <v>1.1167939999999999E-2</v>
      </c>
      <c r="R7607">
        <v>0.99119250000000003</v>
      </c>
      <c r="S7607">
        <v>-0.1044006</v>
      </c>
      <c r="T7607">
        <v>-0.25679160000000001</v>
      </c>
      <c r="U7607">
        <v>3.0463870000000002</v>
      </c>
      <c r="V7607">
        <v>-3.6344950000000001E-2</v>
      </c>
      <c r="W7607">
        <v>2.5059290000000001E-2</v>
      </c>
      <c r="X7607">
        <v>0.99902500000000005</v>
      </c>
      <c r="Y7607">
        <v>-0.2011838</v>
      </c>
      <c r="Z7607">
        <v>-8.1330490000000005E-2</v>
      </c>
      <c r="AA7607">
        <v>0.97617129999999996</v>
      </c>
      <c r="AB7607">
        <v>23</v>
      </c>
      <c r="AC7607">
        <v>-0.48300000000000398</v>
      </c>
      <c r="AD7607">
        <v>-1.1144404894130999</v>
      </c>
      <c r="AE7607">
        <v>13.0095799999999</v>
      </c>
      <c r="AF7607">
        <v>-2.6377332125570101</v>
      </c>
      <c r="AG7607">
        <v>-1.1144404894130999</v>
      </c>
      <c r="AH7607">
        <v>12.6517946777766</v>
      </c>
      <c r="AI7607">
        <v>94.928503491310295</v>
      </c>
      <c r="AJ7607">
        <v>101.776720353523</v>
      </c>
      <c r="AK7607">
        <v>12.971797202920101</v>
      </c>
      <c r="AL7607">
        <v>88.564058040601694</v>
      </c>
      <c r="AM7607">
        <v>92.083525692866701</v>
      </c>
      <c r="AN7607">
        <v>0.99999993701540102</v>
      </c>
    </row>
    <row r="7608" spans="1:40" x14ac:dyDescent="0.25">
      <c r="A7608" t="str">
        <f>"20190312160832149"</f>
        <v>20190312160832149</v>
      </c>
      <c r="B7608" t="str">
        <f>"1552378112143417"</f>
        <v>1552378112143417</v>
      </c>
      <c r="C7608" t="s">
        <v>40</v>
      </c>
      <c r="D7608">
        <v>6.505922</v>
      </c>
      <c r="E7608">
        <v>0.4372605</v>
      </c>
      <c r="F7608" t="s">
        <v>47</v>
      </c>
      <c r="G7608">
        <v>-188.66640000000001</v>
      </c>
      <c r="H7608" s="1">
        <v>-5.2804999999999997E-7</v>
      </c>
      <c r="I7608">
        <v>-29.842960000000001</v>
      </c>
      <c r="J7608">
        <v>-188.166</v>
      </c>
      <c r="K7608">
        <v>1.1142729999999901</v>
      </c>
      <c r="L7608">
        <v>-42.712769999999999</v>
      </c>
      <c r="M7608">
        <v>0.1603667</v>
      </c>
      <c r="N7608">
        <v>0</v>
      </c>
      <c r="O7608">
        <v>0.98695449999999996</v>
      </c>
      <c r="P7608">
        <v>0.12590709999999999</v>
      </c>
      <c r="Q7608">
        <v>1.0796419999999999E-2</v>
      </c>
      <c r="R7608">
        <v>0.99198330000000001</v>
      </c>
      <c r="S7608">
        <v>-0.1086578</v>
      </c>
      <c r="T7608">
        <v>-0.25873580000000002</v>
      </c>
      <c r="U7608">
        <v>3.0440369999999999</v>
      </c>
      <c r="V7608">
        <v>-3.5079520000000003E-2</v>
      </c>
      <c r="W7608">
        <v>2.4684609999999999E-2</v>
      </c>
      <c r="X7608">
        <v>0.99907959999999996</v>
      </c>
      <c r="Y7608">
        <v>-0.1953638</v>
      </c>
      <c r="Z7608">
        <v>-8.2205669999999995E-2</v>
      </c>
      <c r="AA7608">
        <v>0.97727949999999997</v>
      </c>
      <c r="AB7608">
        <v>23</v>
      </c>
      <c r="AC7608">
        <v>-0.50040000000001295</v>
      </c>
      <c r="AD7608">
        <v>-1.11427352804999</v>
      </c>
      <c r="AE7608">
        <v>12.869809999999999</v>
      </c>
      <c r="AF7608">
        <v>-2.5390169048508699</v>
      </c>
      <c r="AG7608">
        <v>-1.11427352804999</v>
      </c>
      <c r="AH7608">
        <v>12.5291737881312</v>
      </c>
      <c r="AI7608">
        <v>94.981459260727206</v>
      </c>
      <c r="AJ7608">
        <v>101.455763279816</v>
      </c>
      <c r="AK7608">
        <v>12.832318892219901</v>
      </c>
      <c r="AL7608">
        <v>88.585532321522706</v>
      </c>
      <c r="AM7608">
        <v>92.0109339514797</v>
      </c>
      <c r="AN7608">
        <v>0.99999997491522097</v>
      </c>
    </row>
    <row r="7609" spans="1:40" x14ac:dyDescent="0.25">
      <c r="A7609" t="str">
        <f>"20190312160832171"</f>
        <v>20190312160832171</v>
      </c>
      <c r="B7609" t="str">
        <f>"1552378112162938"</f>
        <v>1552378112162938</v>
      </c>
      <c r="C7609" t="s">
        <v>40</v>
      </c>
      <c r="D7609">
        <v>6.4364689999999998</v>
      </c>
      <c r="E7609">
        <v>0.43817719999999999</v>
      </c>
      <c r="F7609" t="s">
        <v>47</v>
      </c>
      <c r="G7609">
        <v>-188.70750000000001</v>
      </c>
      <c r="H7609" s="1">
        <v>-5.8669790000000004E-7</v>
      </c>
      <c r="I7609">
        <v>-29.638449999999999</v>
      </c>
      <c r="J7609">
        <v>-188.13730000000001</v>
      </c>
      <c r="K7609">
        <v>1.1141129999999999</v>
      </c>
      <c r="L7609">
        <v>-42.488619999999997</v>
      </c>
      <c r="M7609">
        <v>0.15385950000000001</v>
      </c>
      <c r="N7609">
        <v>0</v>
      </c>
      <c r="O7609">
        <v>0.98799020000000004</v>
      </c>
      <c r="P7609">
        <v>0.1199129</v>
      </c>
      <c r="Q7609">
        <v>1.0794929999999999E-2</v>
      </c>
      <c r="R7609">
        <v>0.99272570000000004</v>
      </c>
      <c r="S7609">
        <v>-0.1260376</v>
      </c>
      <c r="T7609">
        <v>-0.25934839999999998</v>
      </c>
      <c r="U7609">
        <v>3.0430600000000001</v>
      </c>
      <c r="V7609">
        <v>-3.4520240000000001E-2</v>
      </c>
      <c r="W7609">
        <v>2.467364E-2</v>
      </c>
      <c r="X7609">
        <v>0.99909939999999997</v>
      </c>
      <c r="Y7609">
        <v>-0.19448470000000001</v>
      </c>
      <c r="Z7609">
        <v>-8.2555169999999997E-2</v>
      </c>
      <c r="AA7609">
        <v>0.97742530000000005</v>
      </c>
      <c r="AB7609">
        <v>23</v>
      </c>
      <c r="AC7609">
        <v>-0.57019999999999904</v>
      </c>
      <c r="AD7609">
        <v>-1.1141135866978999</v>
      </c>
      <c r="AE7609">
        <v>12.85017</v>
      </c>
      <c r="AF7609">
        <v>-2.52181109952756</v>
      </c>
      <c r="AG7609">
        <v>-1.1141135866978999</v>
      </c>
      <c r="AH7609">
        <v>12.5154954764132</v>
      </c>
      <c r="AI7609">
        <v>94.987274821325599</v>
      </c>
      <c r="AJ7609">
        <v>101.392277316514</v>
      </c>
      <c r="AK7609">
        <v>12.8155533367032</v>
      </c>
      <c r="AL7609">
        <v>88.586161116129205</v>
      </c>
      <c r="AM7609">
        <v>91.9788597285431</v>
      </c>
      <c r="AN7609">
        <v>1.00000002328043</v>
      </c>
    </row>
    <row r="7610" spans="1:40" x14ac:dyDescent="0.25">
      <c r="A7610" t="str">
        <f>"20190312160832194"</f>
        <v>20190312160832194</v>
      </c>
      <c r="B7610" t="str">
        <f>"1552378112183434"</f>
        <v>1552378112183434</v>
      </c>
      <c r="C7610" t="s">
        <v>40</v>
      </c>
      <c r="D7610">
        <v>9.8515759999999997</v>
      </c>
      <c r="E7610">
        <v>0.43836330000000001</v>
      </c>
      <c r="F7610" t="s">
        <v>47</v>
      </c>
      <c r="G7610">
        <v>-188.7216</v>
      </c>
      <c r="H7610" s="1">
        <v>-6.1712019999999999E-7</v>
      </c>
      <c r="I7610">
        <v>-29.538</v>
      </c>
      <c r="J7610">
        <v>-188.1095</v>
      </c>
      <c r="K7610">
        <v>1.1139460000000001</v>
      </c>
      <c r="L7610">
        <v>-42.260860000000001</v>
      </c>
      <c r="M7610">
        <v>0.14748129999999901</v>
      </c>
      <c r="N7610">
        <v>0</v>
      </c>
      <c r="O7610">
        <v>0.98896280000000003</v>
      </c>
      <c r="P7610">
        <v>0.1138189</v>
      </c>
      <c r="Q7610">
        <v>1.060882E-2</v>
      </c>
      <c r="R7610">
        <v>0.99344489999999996</v>
      </c>
      <c r="S7610">
        <v>-0.13722229999999999</v>
      </c>
      <c r="T7610">
        <v>-0.2616463</v>
      </c>
      <c r="U7610">
        <v>3.0414119999999998</v>
      </c>
      <c r="V7610">
        <v>-3.4192640000000003E-2</v>
      </c>
      <c r="W7610">
        <v>2.4475340000000002E-2</v>
      </c>
      <c r="X7610">
        <v>0.99911550000000005</v>
      </c>
      <c r="Y7610">
        <v>-0.1917614</v>
      </c>
      <c r="Z7610">
        <v>-8.3467280000000005E-2</v>
      </c>
      <c r="AA7610">
        <v>0.97788589999999997</v>
      </c>
      <c r="AB7610">
        <v>23</v>
      </c>
      <c r="AC7610">
        <v>-0.61209999999999798</v>
      </c>
      <c r="AD7610">
        <v>-1.1139466171201999</v>
      </c>
      <c r="AE7610">
        <v>12.722860000000001</v>
      </c>
      <c r="AF7610">
        <v>-2.4631401505189001</v>
      </c>
      <c r="AG7610">
        <v>-1.1139466171201999</v>
      </c>
      <c r="AH7610">
        <v>12.398596817229301</v>
      </c>
      <c r="AI7610">
        <v>95.036034805111996</v>
      </c>
      <c r="AJ7610">
        <v>101.236245263077</v>
      </c>
      <c r="AK7610">
        <v>12.6898833526199</v>
      </c>
      <c r="AL7610">
        <v>88.597526241384998</v>
      </c>
      <c r="AM7610">
        <v>91.960063340220898</v>
      </c>
      <c r="AN7610">
        <v>0.99999998061926698</v>
      </c>
    </row>
    <row r="7611" spans="1:40" x14ac:dyDescent="0.25">
      <c r="A7611" t="str">
        <f>"20190312160832219"</f>
        <v>20190312160832219</v>
      </c>
      <c r="B7611" t="str">
        <f>"1552378112212713"</f>
        <v>1552378112212713</v>
      </c>
      <c r="C7611" t="s">
        <v>40</v>
      </c>
      <c r="D7611">
        <v>6.7257619999999996</v>
      </c>
      <c r="E7611">
        <v>0.43875150000000002</v>
      </c>
      <c r="F7611" t="s">
        <v>47</v>
      </c>
      <c r="G7611">
        <v>-188.79679999999999</v>
      </c>
      <c r="H7611" s="1">
        <v>-9.3442429999999995E-7</v>
      </c>
      <c r="I7611">
        <v>-28.68656</v>
      </c>
      <c r="J7611">
        <v>-188.08009999999999</v>
      </c>
      <c r="K7611">
        <v>1.1137440000000001</v>
      </c>
      <c r="L7611">
        <v>-42.008450000000003</v>
      </c>
      <c r="M7611">
        <v>0.14073569999999999</v>
      </c>
      <c r="N7611">
        <v>0</v>
      </c>
      <c r="O7611">
        <v>0.98994579999999999</v>
      </c>
      <c r="P7611">
        <v>0.1071694</v>
      </c>
      <c r="Q7611">
        <v>9.91095E-3</v>
      </c>
      <c r="R7611">
        <v>0.9941913</v>
      </c>
      <c r="S7611">
        <v>-0.1539307</v>
      </c>
      <c r="T7611">
        <v>-0.24947949999999999</v>
      </c>
      <c r="U7611">
        <v>3.0400999999999998</v>
      </c>
      <c r="V7611">
        <v>-3.4048879999999997E-2</v>
      </c>
      <c r="W7611">
        <v>2.3761239999999999E-2</v>
      </c>
      <c r="X7611">
        <v>0.99913759999999996</v>
      </c>
      <c r="Y7611">
        <v>-0.1904679</v>
      </c>
      <c r="Z7611">
        <v>-7.9766770000000001E-2</v>
      </c>
      <c r="AA7611">
        <v>0.97844739999999997</v>
      </c>
      <c r="AB7611">
        <v>23</v>
      </c>
      <c r="AC7611">
        <v>-0.716700000000003</v>
      </c>
      <c r="AD7611">
        <v>-1.1137449344243</v>
      </c>
      <c r="AE7611">
        <v>13.32189</v>
      </c>
      <c r="AF7611">
        <v>-2.5667310147518001</v>
      </c>
      <c r="AG7611">
        <v>-1.1137449344243</v>
      </c>
      <c r="AH7611">
        <v>12.997813045389799</v>
      </c>
      <c r="AI7611">
        <v>94.805197667134806</v>
      </c>
      <c r="AJ7611">
        <v>101.170706220185</v>
      </c>
      <c r="AK7611">
        <v>13.295551129755699</v>
      </c>
      <c r="AL7611">
        <v>88.638452999817702</v>
      </c>
      <c r="AM7611">
        <v>91.951785671616406</v>
      </c>
      <c r="AN7611">
        <v>0.99999993324467296</v>
      </c>
    </row>
    <row r="7612" spans="1:40" x14ac:dyDescent="0.25">
      <c r="A7612" t="str">
        <f>"20190312160832240"</f>
        <v>20190312160832240</v>
      </c>
      <c r="B7612" t="str">
        <f>"1552378112233209"</f>
        <v>1552378112233209</v>
      </c>
      <c r="C7612" t="s">
        <v>40</v>
      </c>
      <c r="D7612">
        <v>6.5232839999999896</v>
      </c>
      <c r="E7612">
        <v>0.43984970000000001</v>
      </c>
      <c r="F7612" t="s">
        <v>47</v>
      </c>
      <c r="G7612">
        <v>-188.87870000000001</v>
      </c>
      <c r="H7612" s="1">
        <v>-1.306571E-6</v>
      </c>
      <c r="I7612">
        <v>-27.78519</v>
      </c>
      <c r="J7612">
        <v>-188.05680000000001</v>
      </c>
      <c r="K7612">
        <v>1.113586</v>
      </c>
      <c r="L7612">
        <v>-41.799349999999997</v>
      </c>
      <c r="M7612">
        <v>0.13536289999999901</v>
      </c>
      <c r="N7612">
        <v>0</v>
      </c>
      <c r="O7612">
        <v>0.99069510000000005</v>
      </c>
      <c r="P7612">
        <v>0.1025332</v>
      </c>
      <c r="Q7612">
        <v>9.041103E-3</v>
      </c>
      <c r="R7612">
        <v>0.99468849999999998</v>
      </c>
      <c r="S7612">
        <v>-0.1705933</v>
      </c>
      <c r="T7612">
        <v>-0.2379127</v>
      </c>
      <c r="U7612">
        <v>3.0383</v>
      </c>
      <c r="V7612">
        <v>-3.3270590000000003E-2</v>
      </c>
      <c r="W7612">
        <v>2.2884109999999999E-2</v>
      </c>
      <c r="X7612">
        <v>0.99918439999999997</v>
      </c>
      <c r="Y7612">
        <v>-0.1905385</v>
      </c>
      <c r="Z7612">
        <v>-7.6212139999999998E-2</v>
      </c>
      <c r="AA7612">
        <v>0.9787169</v>
      </c>
      <c r="AB7612">
        <v>23</v>
      </c>
      <c r="AC7612">
        <v>-0.82189999999999896</v>
      </c>
      <c r="AD7612">
        <v>-1.113587306571</v>
      </c>
      <c r="AE7612">
        <v>14.014159999999899</v>
      </c>
      <c r="AF7612">
        <v>-2.6945653972239199</v>
      </c>
      <c r="AG7612">
        <v>-1.113587306571</v>
      </c>
      <c r="AH7612">
        <v>13.687752873625101</v>
      </c>
      <c r="AI7612">
        <v>94.563925659613602</v>
      </c>
      <c r="AJ7612">
        <v>101.136816596698</v>
      </c>
      <c r="AK7612">
        <v>13.994832549863</v>
      </c>
      <c r="AL7612">
        <v>88.688722665629896</v>
      </c>
      <c r="AM7612">
        <v>91.907115783656593</v>
      </c>
      <c r="AN7612">
        <v>1.00000003992639</v>
      </c>
    </row>
    <row r="7613" spans="1:40" x14ac:dyDescent="0.25">
      <c r="A7613" t="str">
        <f>"20190312160832261"</f>
        <v>20190312160832261</v>
      </c>
      <c r="B7613" t="str">
        <f>"1552378112252729"</f>
        <v>1552378112252729</v>
      </c>
      <c r="C7613" t="s">
        <v>40</v>
      </c>
      <c r="D7613">
        <v>6.5376649999999996</v>
      </c>
      <c r="E7613">
        <v>0.44093529999999997</v>
      </c>
      <c r="F7613" t="s">
        <v>47</v>
      </c>
      <c r="G7613">
        <v>-188.84110000000001</v>
      </c>
      <c r="H7613" s="1">
        <v>-1.10737E-6</v>
      </c>
      <c r="I7613">
        <v>-28.265080000000001</v>
      </c>
      <c r="J7613">
        <v>-188.03290000000001</v>
      </c>
      <c r="K7613">
        <v>1.1134409999999999</v>
      </c>
      <c r="L7613">
        <v>-41.575899999999997</v>
      </c>
      <c r="M7613">
        <v>0.1298163</v>
      </c>
      <c r="N7613">
        <v>0</v>
      </c>
      <c r="O7613">
        <v>0.99143760000000003</v>
      </c>
      <c r="P7613">
        <v>9.7925230000000002E-2</v>
      </c>
      <c r="Q7613">
        <v>8.6671330000000005E-3</v>
      </c>
      <c r="R7613">
        <v>0.99515600000000004</v>
      </c>
      <c r="S7613">
        <v>-0.17596439999999999</v>
      </c>
      <c r="T7613">
        <v>-0.24983540000000001</v>
      </c>
      <c r="U7613">
        <v>3.036438</v>
      </c>
      <c r="V7613">
        <v>-3.22946E-2</v>
      </c>
      <c r="W7613">
        <v>2.250369E-2</v>
      </c>
      <c r="X7613">
        <v>0.99922500000000003</v>
      </c>
      <c r="Y7613">
        <v>-0.18678429999999999</v>
      </c>
      <c r="Z7613">
        <v>-8.0171909999999999E-2</v>
      </c>
      <c r="AA7613">
        <v>0.97912410000000005</v>
      </c>
      <c r="AB7613">
        <v>23</v>
      </c>
      <c r="AC7613">
        <v>-0.80819999999999903</v>
      </c>
      <c r="AD7613">
        <v>-1.1134421073699901</v>
      </c>
      <c r="AE7613">
        <v>13.31082</v>
      </c>
      <c r="AF7613">
        <v>-2.5119809107412601</v>
      </c>
      <c r="AG7613">
        <v>-1.1134421073699901</v>
      </c>
      <c r="AH7613">
        <v>13.0025863398896</v>
      </c>
      <c r="AI7613">
        <v>94.805995431580996</v>
      </c>
      <c r="AJ7613">
        <v>100.934316517253</v>
      </c>
      <c r="AK7613">
        <v>13.289734871271</v>
      </c>
      <c r="AL7613">
        <v>88.710524661578106</v>
      </c>
      <c r="AM7613">
        <v>91.851135049230507</v>
      </c>
      <c r="AN7613">
        <v>0.99999997893888704</v>
      </c>
    </row>
    <row r="7614" spans="1:40" x14ac:dyDescent="0.25">
      <c r="A7614" t="str">
        <f>"20190312160832283"</f>
        <v>20190312160832283</v>
      </c>
      <c r="B7614" t="str">
        <f>"1552378112273229"</f>
        <v>1552378112273229</v>
      </c>
      <c r="C7614" t="s">
        <v>40</v>
      </c>
      <c r="D7614">
        <v>6.551666</v>
      </c>
      <c r="E7614">
        <v>0.44187949999999998</v>
      </c>
      <c r="F7614" t="s">
        <v>47</v>
      </c>
      <c r="G7614">
        <v>-188.82919999999999</v>
      </c>
      <c r="H7614" s="1">
        <v>-1.1014989999999999E-6</v>
      </c>
      <c r="I7614">
        <v>-28.2837</v>
      </c>
      <c r="J7614">
        <v>-188.00980000000001</v>
      </c>
      <c r="K7614">
        <v>1.11331</v>
      </c>
      <c r="L7614">
        <v>-41.349209999999999</v>
      </c>
      <c r="M7614">
        <v>0.1243961</v>
      </c>
      <c r="N7614">
        <v>0</v>
      </c>
      <c r="O7614">
        <v>0.99213260000000003</v>
      </c>
      <c r="P7614">
        <v>9.3400549999999999E-2</v>
      </c>
      <c r="Q7614">
        <v>9.3006040000000005E-3</v>
      </c>
      <c r="R7614">
        <v>0.9955851</v>
      </c>
      <c r="S7614">
        <v>-0.18179319999999999</v>
      </c>
      <c r="T7614">
        <v>-0.2542064</v>
      </c>
      <c r="U7614">
        <v>3.0346980000000001</v>
      </c>
      <c r="V7614">
        <v>-3.1372169999999998E-2</v>
      </c>
      <c r="W7614">
        <v>2.3129139999999999E-2</v>
      </c>
      <c r="X7614">
        <v>0.99924009999999996</v>
      </c>
      <c r="Y7614">
        <v>-0.1833137</v>
      </c>
      <c r="Z7614">
        <v>-8.1720899999999999E-2</v>
      </c>
      <c r="AA7614">
        <v>0.97965190000000002</v>
      </c>
      <c r="AB7614">
        <v>23</v>
      </c>
      <c r="AC7614">
        <v>-0.81939999999997304</v>
      </c>
      <c r="AD7614">
        <v>-1.113311101499</v>
      </c>
      <c r="AE7614">
        <v>13.06551</v>
      </c>
      <c r="AF7614">
        <v>-2.4209847383615202</v>
      </c>
      <c r="AG7614">
        <v>-1.113311101499</v>
      </c>
      <c r="AH7614">
        <v>12.769710764889201</v>
      </c>
      <c r="AI7614">
        <v>94.895885261088196</v>
      </c>
      <c r="AJ7614">
        <v>100.735185512017</v>
      </c>
      <c r="AK7614">
        <v>13.0447744990486</v>
      </c>
      <c r="AL7614">
        <v>88.674679676678096</v>
      </c>
      <c r="AM7614">
        <v>91.798269186382001</v>
      </c>
      <c r="AN7614">
        <v>0.99999997380782801</v>
      </c>
    </row>
    <row r="7615" spans="1:40" x14ac:dyDescent="0.25">
      <c r="A7615" t="str">
        <f>"20190312160832305"</f>
        <v>20190312160832305</v>
      </c>
      <c r="B7615" t="str">
        <f>"1552378112292745"</f>
        <v>1552378112292745</v>
      </c>
      <c r="C7615" t="s">
        <v>40</v>
      </c>
      <c r="D7615">
        <v>6.5576889999999999</v>
      </c>
      <c r="E7615">
        <v>0.44276090000000001</v>
      </c>
      <c r="F7615" t="s">
        <v>47</v>
      </c>
      <c r="G7615">
        <v>-188.8125</v>
      </c>
      <c r="H7615" s="1">
        <v>-1.0575039999999999E-6</v>
      </c>
      <c r="I7615">
        <v>-28.393160000000002</v>
      </c>
      <c r="J7615">
        <v>-187.989</v>
      </c>
      <c r="K7615">
        <v>1.113184</v>
      </c>
      <c r="L7615">
        <v>-41.136600000000001</v>
      </c>
      <c r="M7615">
        <v>0.1195093</v>
      </c>
      <c r="N7615">
        <v>0</v>
      </c>
      <c r="O7615">
        <v>0.99273339999999999</v>
      </c>
      <c r="P7615">
        <v>8.8708709999999996E-2</v>
      </c>
      <c r="Q7615">
        <v>9.6507980000000004E-3</v>
      </c>
      <c r="R7615">
        <v>0.99601079999999997</v>
      </c>
      <c r="S7615">
        <v>-0.18794250000000001</v>
      </c>
      <c r="T7615">
        <v>-0.2606581</v>
      </c>
      <c r="U7615">
        <v>3.0333860000000001</v>
      </c>
      <c r="V7615">
        <v>-3.115513E-2</v>
      </c>
      <c r="W7615">
        <v>2.346664E-2</v>
      </c>
      <c r="X7615">
        <v>0.99923899999999999</v>
      </c>
      <c r="Y7615">
        <v>-0.1804653</v>
      </c>
      <c r="Z7615">
        <v>-8.3910410000000005E-2</v>
      </c>
      <c r="AA7615">
        <v>0.97999559999999997</v>
      </c>
      <c r="AB7615">
        <v>23</v>
      </c>
      <c r="AC7615">
        <v>-0.82349999999999501</v>
      </c>
      <c r="AD7615">
        <v>-1.1131850575040001</v>
      </c>
      <c r="AE7615">
        <v>12.74344</v>
      </c>
      <c r="AF7615">
        <v>-2.32305450806868</v>
      </c>
      <c r="AG7615">
        <v>-1.1131850575040001</v>
      </c>
      <c r="AH7615">
        <v>12.458990202205699</v>
      </c>
      <c r="AI7615">
        <v>95.019644800120901</v>
      </c>
      <c r="AJ7615">
        <v>100.56186366801199</v>
      </c>
      <c r="AK7615">
        <v>12.722507617540099</v>
      </c>
      <c r="AL7615">
        <v>88.655337071252205</v>
      </c>
      <c r="AM7615">
        <v>91.785838388651996</v>
      </c>
      <c r="AN7615">
        <v>0.99999995221960203</v>
      </c>
    </row>
    <row r="7616" spans="1:40" x14ac:dyDescent="0.25">
      <c r="A7616" t="str">
        <f>"20190312160832327"</f>
        <v>20190312160832327</v>
      </c>
      <c r="B7616" t="str">
        <f>"1552378112323001"</f>
        <v>1552378112323001</v>
      </c>
      <c r="C7616" t="s">
        <v>40</v>
      </c>
      <c r="D7616">
        <v>6.6013770000000003</v>
      </c>
      <c r="E7616">
        <v>0.44426890000000002</v>
      </c>
      <c r="F7616" t="s">
        <v>47</v>
      </c>
      <c r="G7616">
        <v>-188.8021</v>
      </c>
      <c r="H7616" s="1">
        <v>-1.0144739999999999E-6</v>
      </c>
      <c r="I7616">
        <v>-28.49776</v>
      </c>
      <c r="J7616">
        <v>-187.96709999999999</v>
      </c>
      <c r="K7616">
        <v>1.1130359999999999</v>
      </c>
      <c r="L7616">
        <v>-40.902709999999999</v>
      </c>
      <c r="M7616">
        <v>0.1143589</v>
      </c>
      <c r="N7616">
        <v>0</v>
      </c>
      <c r="O7616">
        <v>0.99334029999999995</v>
      </c>
      <c r="P7616">
        <v>8.4009600000000004E-2</v>
      </c>
      <c r="Q7616">
        <v>9.1065710000000008E-3</v>
      </c>
      <c r="R7616">
        <v>0.99642330000000001</v>
      </c>
      <c r="S7616">
        <v>-0.1950684</v>
      </c>
      <c r="T7616">
        <v>-0.26704670000000003</v>
      </c>
      <c r="U7616">
        <v>3.0319820000000002</v>
      </c>
      <c r="V7616">
        <v>-3.0673809999999999E-2</v>
      </c>
      <c r="W7616">
        <v>2.2910799999999999E-2</v>
      </c>
      <c r="X7616">
        <v>0.99926689999999996</v>
      </c>
      <c r="Y7616">
        <v>-0.17767359999999999</v>
      </c>
      <c r="Z7616">
        <v>-8.6086560000000006E-2</v>
      </c>
      <c r="AA7616">
        <v>0.98031690000000005</v>
      </c>
      <c r="AB7616">
        <v>23</v>
      </c>
      <c r="AC7616">
        <v>-0.83500000000000696</v>
      </c>
      <c r="AD7616">
        <v>-1.1130370144740001</v>
      </c>
      <c r="AE7616">
        <v>12.404949999999999</v>
      </c>
      <c r="AF7616">
        <v>-2.2304020319649198</v>
      </c>
      <c r="AG7616">
        <v>-1.1130370144740001</v>
      </c>
      <c r="AH7616">
        <v>12.130831956800099</v>
      </c>
      <c r="AI7616">
        <v>95.156411273851305</v>
      </c>
      <c r="AJ7616">
        <v>100.41817418434</v>
      </c>
      <c r="AK7616">
        <v>12.384289587372599</v>
      </c>
      <c r="AL7616">
        <v>88.687193069813503</v>
      </c>
      <c r="AM7616">
        <v>91.758217112287099</v>
      </c>
      <c r="AN7616">
        <v>1.0000000624060801</v>
      </c>
    </row>
    <row r="7617" spans="1:40" x14ac:dyDescent="0.25">
      <c r="A7617" t="str">
        <f>"20190312160832351"</f>
        <v>20190312160832351</v>
      </c>
      <c r="B7617" t="str">
        <f>"1552378112342522"</f>
        <v>1552378112342522</v>
      </c>
      <c r="C7617" t="s">
        <v>40</v>
      </c>
      <c r="D7617">
        <v>6.6683309999999896</v>
      </c>
      <c r="E7617">
        <v>0.45126909999999998</v>
      </c>
      <c r="F7617" t="s">
        <v>47</v>
      </c>
      <c r="G7617">
        <v>-188.76509999999999</v>
      </c>
      <c r="H7617" s="1">
        <v>-9.4984610000000004E-7</v>
      </c>
      <c r="I7617">
        <v>-28.663709999999998</v>
      </c>
      <c r="J7617">
        <v>-187.9462</v>
      </c>
      <c r="K7617">
        <v>1.112873</v>
      </c>
      <c r="L7617">
        <v>-40.670259999999999</v>
      </c>
      <c r="M7617">
        <v>0.1094728</v>
      </c>
      <c r="N7617">
        <v>0</v>
      </c>
      <c r="O7617">
        <v>0.99389099999999997</v>
      </c>
      <c r="P7617">
        <v>8.0067150000000004E-2</v>
      </c>
      <c r="Q7617">
        <v>8.8437499999999992E-3</v>
      </c>
      <c r="R7617">
        <v>0.99675020000000003</v>
      </c>
      <c r="S7617">
        <v>-0.19757079999999999</v>
      </c>
      <c r="T7617">
        <v>-0.27554800000000002</v>
      </c>
      <c r="U7617">
        <v>3.029938</v>
      </c>
      <c r="V7617">
        <v>-2.970194E-2</v>
      </c>
      <c r="W7617">
        <v>2.2640500000000001E-2</v>
      </c>
      <c r="X7617">
        <v>0.99930240000000004</v>
      </c>
      <c r="Y7617">
        <v>-0.1736654</v>
      </c>
      <c r="Z7617">
        <v>-8.8969069999999997E-2</v>
      </c>
      <c r="AA7617">
        <v>0.98077769999999997</v>
      </c>
      <c r="AB7617">
        <v>23</v>
      </c>
      <c r="AC7617">
        <v>-0.81889999999998497</v>
      </c>
      <c r="AD7617">
        <v>-1.1128739498461</v>
      </c>
      <c r="AE7617">
        <v>12.006550000000001</v>
      </c>
      <c r="AF7617">
        <v>-2.1104495907910699</v>
      </c>
      <c r="AG7617">
        <v>-1.1128739498461</v>
      </c>
      <c r="AH7617">
        <v>11.7442871205565</v>
      </c>
      <c r="AI7617">
        <v>95.328269093032304</v>
      </c>
      <c r="AJ7617">
        <v>100.187329203304</v>
      </c>
      <c r="AK7617">
        <v>11.984188160805299</v>
      </c>
      <c r="AL7617">
        <v>88.702684110063601</v>
      </c>
      <c r="AM7617">
        <v>91.702482579324396</v>
      </c>
      <c r="AN7617">
        <v>1.0000000420628801</v>
      </c>
    </row>
    <row r="7618" spans="1:40" x14ac:dyDescent="0.25">
      <c r="A7618" t="str">
        <f>"20190312160832372"</f>
        <v>20190312160832372</v>
      </c>
      <c r="B7618" t="str">
        <f>"1552378112363018"</f>
        <v>1552378112363018</v>
      </c>
      <c r="C7618" t="s">
        <v>40</v>
      </c>
      <c r="D7618">
        <v>6.7597189999999996</v>
      </c>
      <c r="E7618">
        <v>0.45233390000000001</v>
      </c>
      <c r="F7618" t="s">
        <v>89</v>
      </c>
      <c r="G7618">
        <v>-197.39920000000001</v>
      </c>
      <c r="H7618" s="1">
        <v>-1.286636E-5</v>
      </c>
      <c r="I7618">
        <v>152.1277</v>
      </c>
      <c r="J7618">
        <v>-187.9271</v>
      </c>
      <c r="K7618">
        <v>1.1127089999999999</v>
      </c>
      <c r="L7618">
        <v>-40.448120000000003</v>
      </c>
      <c r="M7618">
        <v>0.1050331</v>
      </c>
      <c r="N7618">
        <v>0</v>
      </c>
      <c r="O7618">
        <v>0.99437030000000004</v>
      </c>
      <c r="P7618">
        <v>7.7223340000000001E-2</v>
      </c>
      <c r="Q7618">
        <v>9.0005439999999992E-3</v>
      </c>
      <c r="R7618">
        <v>0.9969732</v>
      </c>
      <c r="S7618">
        <v>-0.14816279999999901</v>
      </c>
      <c r="T7618">
        <v>-1.7442820000000001E-2</v>
      </c>
      <c r="U7618">
        <v>3.02182</v>
      </c>
      <c r="V7618">
        <v>-2.808122E-2</v>
      </c>
      <c r="W7618">
        <v>2.2795909999999999E-2</v>
      </c>
      <c r="X7618">
        <v>0.9993457</v>
      </c>
      <c r="Y7618">
        <v>-0.1536178</v>
      </c>
      <c r="Z7618">
        <v>-5.6865789999999998E-3</v>
      </c>
      <c r="AA7618">
        <v>0.98811400000000005</v>
      </c>
      <c r="AB7618">
        <v>23</v>
      </c>
      <c r="AC7618">
        <v>-9.47210000000001</v>
      </c>
      <c r="AD7618">
        <v>-1.11272186636</v>
      </c>
      <c r="AE7618">
        <v>192.57581999999999</v>
      </c>
      <c r="AF7618">
        <v>-29.6475248978624</v>
      </c>
      <c r="AG7618">
        <v>-1.11272186636</v>
      </c>
      <c r="AH7618">
        <v>190.50909484409499</v>
      </c>
      <c r="AI7618">
        <v>90.330668201053101</v>
      </c>
      <c r="AJ7618">
        <v>98.845566373681706</v>
      </c>
      <c r="AK7618">
        <v>192.80541771650999</v>
      </c>
      <c r="AL7618">
        <v>88.693777443520702</v>
      </c>
      <c r="AM7618">
        <v>91.609565263365496</v>
      </c>
      <c r="AN7618">
        <v>1.0000000182689499</v>
      </c>
    </row>
    <row r="7619" spans="1:40" x14ac:dyDescent="0.25">
      <c r="A7619" t="str">
        <f>"20190312160832396"</f>
        <v>20190312160832396</v>
      </c>
      <c r="B7619" t="str">
        <f>"1552378112393274"</f>
        <v>1552378112393274</v>
      </c>
      <c r="C7619" t="s">
        <v>40</v>
      </c>
      <c r="D7619">
        <v>6.5675460000000001</v>
      </c>
      <c r="E7619">
        <v>0.4522292</v>
      </c>
      <c r="F7619" t="s">
        <v>47</v>
      </c>
      <c r="G7619">
        <v>-195.5378</v>
      </c>
      <c r="H7619" s="1">
        <v>-3.4252930000000001E-6</v>
      </c>
      <c r="I7619">
        <v>114.1656</v>
      </c>
      <c r="J7619">
        <v>-187.90770000000001</v>
      </c>
      <c r="K7619">
        <v>1.112527</v>
      </c>
      <c r="L7619">
        <v>-40.214080000000003</v>
      </c>
      <c r="M7619">
        <v>0.10062690000000001</v>
      </c>
      <c r="N7619">
        <v>0</v>
      </c>
      <c r="O7619">
        <v>0.99482630000000005</v>
      </c>
      <c r="P7619">
        <v>7.4216409999999997E-2</v>
      </c>
      <c r="Q7619">
        <v>8.6871640000000007E-3</v>
      </c>
      <c r="R7619">
        <v>0.99720430000000004</v>
      </c>
      <c r="S7619">
        <v>-0.14869689999999999</v>
      </c>
      <c r="T7619">
        <v>-2.1739959999999999E-2</v>
      </c>
      <c r="U7619">
        <v>3.020813</v>
      </c>
      <c r="V7619">
        <v>-2.6655140000000001E-2</v>
      </c>
      <c r="W7619">
        <v>2.2479369999999999E-2</v>
      </c>
      <c r="X7619">
        <v>0.9993919</v>
      </c>
      <c r="Y7619">
        <v>-0.149428799999999</v>
      </c>
      <c r="Z7619">
        <v>-7.0969960000000004E-3</v>
      </c>
      <c r="AA7619">
        <v>0.98874700000000004</v>
      </c>
      <c r="AB7619">
        <v>23</v>
      </c>
      <c r="AC7619">
        <v>-7.6300999999999899</v>
      </c>
      <c r="AD7619">
        <v>-1.1125304252929999</v>
      </c>
      <c r="AE7619">
        <v>154.37968000000001</v>
      </c>
      <c r="AF7619">
        <v>-23.126428106965498</v>
      </c>
      <c r="AG7619">
        <v>-1.1125304252929999</v>
      </c>
      <c r="AH7619">
        <v>152.82014621895999</v>
      </c>
      <c r="AI7619">
        <v>90.412410391947802</v>
      </c>
      <c r="AJ7619">
        <v>98.605334520676905</v>
      </c>
      <c r="AK7619">
        <v>154.564117735385</v>
      </c>
      <c r="AL7619">
        <v>88.711918467174698</v>
      </c>
      <c r="AM7619">
        <v>91.527794093630106</v>
      </c>
      <c r="AN7619">
        <v>0.999999994174813</v>
      </c>
    </row>
    <row r="7620" spans="1:40" x14ac:dyDescent="0.25">
      <c r="A7620" t="str">
        <f>"20190312160832419"</f>
        <v>20190312160832419</v>
      </c>
      <c r="B7620" t="str">
        <f>"1552378112412795"</f>
        <v>1552378112412795</v>
      </c>
      <c r="C7620" t="s">
        <v>40</v>
      </c>
      <c r="D7620">
        <v>6.5972540000000004</v>
      </c>
      <c r="E7620">
        <v>0.45289449999999998</v>
      </c>
      <c r="F7620" t="s">
        <v>47</v>
      </c>
      <c r="G7620">
        <v>-196.21809999999999</v>
      </c>
      <c r="H7620" s="1">
        <v>-4.9246350000000002E-6</v>
      </c>
      <c r="I7620">
        <v>118.2169</v>
      </c>
      <c r="J7620">
        <v>-187.88919999999999</v>
      </c>
      <c r="K7620">
        <v>1.1123529999999999</v>
      </c>
      <c r="L7620">
        <v>-39.981870000000001</v>
      </c>
      <c r="M7620">
        <v>9.6529309999999993E-2</v>
      </c>
      <c r="N7620">
        <v>0</v>
      </c>
      <c r="O7620">
        <v>0.99523249999999996</v>
      </c>
      <c r="P7620">
        <v>7.1233179999999993E-2</v>
      </c>
      <c r="Q7620">
        <v>7.9748430000000006E-3</v>
      </c>
      <c r="R7620">
        <v>0.99742779999999998</v>
      </c>
      <c r="S7620">
        <v>-0.15843199999999999</v>
      </c>
      <c r="T7620">
        <v>-2.1209720000000001E-2</v>
      </c>
      <c r="U7620">
        <v>3.0203859999999998</v>
      </c>
      <c r="V7620">
        <v>-2.5515630000000001E-2</v>
      </c>
      <c r="W7620">
        <v>2.1760959999999999E-2</v>
      </c>
      <c r="X7620">
        <v>0.99943760000000004</v>
      </c>
      <c r="Y7620">
        <v>-0.14854239999999999</v>
      </c>
      <c r="Z7620">
        <v>-6.9290630000000001E-3</v>
      </c>
      <c r="AA7620">
        <v>0.98888180000000003</v>
      </c>
      <c r="AB7620">
        <v>23</v>
      </c>
      <c r="AC7620">
        <v>-8.3289000000000009</v>
      </c>
      <c r="AD7620">
        <v>-1.1123579246349999</v>
      </c>
      <c r="AE7620">
        <v>158.19877</v>
      </c>
      <c r="AF7620">
        <v>-23.5611383594735</v>
      </c>
      <c r="AG7620">
        <v>-1.1123579246349999</v>
      </c>
      <c r="AH7620">
        <v>156.64807584719401</v>
      </c>
      <c r="AI7620">
        <v>90.402325250930204</v>
      </c>
      <c r="AJ7620">
        <v>98.553631727582598</v>
      </c>
      <c r="AK7620">
        <v>158.41396481237101</v>
      </c>
      <c r="AL7620">
        <v>88.753090474763795</v>
      </c>
      <c r="AM7620">
        <v>91.462442891881196</v>
      </c>
      <c r="AN7620">
        <v>1.0000000515240799</v>
      </c>
    </row>
    <row r="7621" spans="1:40" x14ac:dyDescent="0.25">
      <c r="A7621" t="str">
        <f>"20190312160832442"</f>
        <v>20190312160832442</v>
      </c>
      <c r="B7621" t="str">
        <f>"1552378112433290"</f>
        <v>1552378112433290</v>
      </c>
      <c r="C7621" t="s">
        <v>40</v>
      </c>
      <c r="D7621">
        <v>6.533849</v>
      </c>
      <c r="E7621">
        <v>0.45486359999999898</v>
      </c>
      <c r="F7621" t="s">
        <v>47</v>
      </c>
      <c r="G7621">
        <v>-194.48339999999999</v>
      </c>
      <c r="H7621" s="1">
        <v>-2.6091510000000001E-6</v>
      </c>
      <c r="I7621">
        <v>82.8904</v>
      </c>
      <c r="J7621">
        <v>-187.87180000000001</v>
      </c>
      <c r="K7621">
        <v>1.112204</v>
      </c>
      <c r="L7621">
        <v>-39.755310000000001</v>
      </c>
      <c r="M7621">
        <v>9.273853E-2</v>
      </c>
      <c r="N7621">
        <v>0</v>
      </c>
      <c r="O7621">
        <v>0.99559319999999896</v>
      </c>
      <c r="P7621">
        <v>6.8409200000000003E-2</v>
      </c>
      <c r="Q7621">
        <v>7.4799599999999999E-3</v>
      </c>
      <c r="R7621">
        <v>0.99762930000000005</v>
      </c>
      <c r="S7621">
        <v>-0.16204830000000001</v>
      </c>
      <c r="T7621">
        <v>-2.7335640000000001E-2</v>
      </c>
      <c r="U7621">
        <v>3.0195310000000002</v>
      </c>
      <c r="V7621">
        <v>-2.4528910000000001E-2</v>
      </c>
      <c r="W7621">
        <v>2.125896E-2</v>
      </c>
      <c r="X7621">
        <v>0.99947299999999994</v>
      </c>
      <c r="Y7621">
        <v>-0.14597070000000001</v>
      </c>
      <c r="Z7621">
        <v>-8.9390819999999992E-3</v>
      </c>
      <c r="AA7621">
        <v>0.98924849999999998</v>
      </c>
      <c r="AB7621">
        <v>23</v>
      </c>
      <c r="AC7621">
        <v>-6.6115999999999797</v>
      </c>
      <c r="AD7621">
        <v>-1.1122066091509999</v>
      </c>
      <c r="AE7621">
        <v>122.64570999999999</v>
      </c>
      <c r="AF7621">
        <v>-17.956714173749599</v>
      </c>
      <c r="AG7621">
        <v>-1.1122066091509999</v>
      </c>
      <c r="AH7621">
        <v>121.493893464764</v>
      </c>
      <c r="AI7621">
        <v>90.518858991136597</v>
      </c>
      <c r="AJ7621">
        <v>98.407410583586</v>
      </c>
      <c r="AK7621">
        <v>122.818755638895</v>
      </c>
      <c r="AL7621">
        <v>88.7818594804247</v>
      </c>
      <c r="AM7621">
        <v>91.405861851118701</v>
      </c>
      <c r="AN7621">
        <v>0.99999994426753303</v>
      </c>
    </row>
    <row r="7622" spans="1:40" x14ac:dyDescent="0.25">
      <c r="A7622" t="str">
        <f>"20190312160832462"</f>
        <v>20190312160832462</v>
      </c>
      <c r="B7622" t="str">
        <f>"1552378112452811"</f>
        <v>1552378112452811</v>
      </c>
      <c r="C7622" t="s">
        <v>40</v>
      </c>
      <c r="D7622">
        <v>6.5429469999999998</v>
      </c>
      <c r="E7622">
        <v>0.45546249999999999</v>
      </c>
      <c r="F7622" t="s">
        <v>47</v>
      </c>
      <c r="G7622">
        <v>-190.65889999999999</v>
      </c>
      <c r="H7622" s="1">
        <v>-2.1797780000000001E-6</v>
      </c>
      <c r="I7622">
        <v>14.261570000000001</v>
      </c>
      <c r="J7622">
        <v>-187.85570000000001</v>
      </c>
      <c r="K7622">
        <v>1.112087</v>
      </c>
      <c r="L7622">
        <v>-39.537350000000004</v>
      </c>
      <c r="M7622">
        <v>8.9280680000000001E-2</v>
      </c>
      <c r="N7622">
        <v>0</v>
      </c>
      <c r="O7622">
        <v>0.99590959999999995</v>
      </c>
      <c r="P7622">
        <v>6.6195820000000002E-2</v>
      </c>
      <c r="Q7622">
        <v>6.8766369999999997E-3</v>
      </c>
      <c r="R7622">
        <v>0.99778290000000003</v>
      </c>
      <c r="S7622">
        <v>-0.15573119999999999</v>
      </c>
      <c r="T7622">
        <v>-6.2146310000000003E-2</v>
      </c>
      <c r="U7622">
        <v>3.0182799999999999</v>
      </c>
      <c r="V7622">
        <v>-2.3265750000000002E-2</v>
      </c>
      <c r="W7622">
        <v>2.0650180000000001E-2</v>
      </c>
      <c r="X7622">
        <v>0.99951599999999996</v>
      </c>
      <c r="Y7622">
        <v>-0.14048150000000001</v>
      </c>
      <c r="Z7622">
        <v>-2.0346590000000001E-2</v>
      </c>
      <c r="AA7622">
        <v>0.98987420000000004</v>
      </c>
      <c r="AB7622">
        <v>23</v>
      </c>
      <c r="AC7622">
        <v>-2.8031999999999702</v>
      </c>
      <c r="AD7622">
        <v>-1.1120891797779999</v>
      </c>
      <c r="AE7622">
        <v>53.798919999999903</v>
      </c>
      <c r="AF7622">
        <v>-7.59243562078266</v>
      </c>
      <c r="AG7622">
        <v>-1.1120891797779999</v>
      </c>
      <c r="AH7622">
        <v>53.311018938394398</v>
      </c>
      <c r="AI7622">
        <v>91.183104882081395</v>
      </c>
      <c r="AJ7622">
        <v>98.105429255655693</v>
      </c>
      <c r="AK7622">
        <v>53.8604359548765</v>
      </c>
      <c r="AL7622">
        <v>88.816747709879195</v>
      </c>
      <c r="AM7622">
        <v>91.333433988750798</v>
      </c>
      <c r="AN7622">
        <v>0.99999997965654697</v>
      </c>
    </row>
    <row r="7623" spans="1:40" x14ac:dyDescent="0.25">
      <c r="A7623" t="str">
        <f>"20190312160832485"</f>
        <v>20190312160832485</v>
      </c>
      <c r="B7623" t="str">
        <f>"1552378112473309"</f>
        <v>1552378112473309</v>
      </c>
      <c r="C7623" t="s">
        <v>40</v>
      </c>
      <c r="D7623">
        <v>6.5470459999999999</v>
      </c>
      <c r="E7623">
        <v>0.45631670000000002</v>
      </c>
      <c r="F7623" t="s">
        <v>47</v>
      </c>
      <c r="G7623">
        <v>-189.9152</v>
      </c>
      <c r="H7623" s="1">
        <v>-6.8076099999999999E-8</v>
      </c>
      <c r="I7623">
        <v>-0.24359310000000001</v>
      </c>
      <c r="J7623">
        <v>-187.8399</v>
      </c>
      <c r="K7623">
        <v>1.1119779999999999</v>
      </c>
      <c r="L7623">
        <v>-39.316130000000001</v>
      </c>
      <c r="M7623">
        <v>8.5958030000000005E-2</v>
      </c>
      <c r="N7623">
        <v>0</v>
      </c>
      <c r="O7623">
        <v>0.99620209999999998</v>
      </c>
      <c r="P7623">
        <v>6.380284E-2</v>
      </c>
      <c r="Q7623">
        <v>6.9878980000000002E-3</v>
      </c>
      <c r="R7623">
        <v>0.99793799999999999</v>
      </c>
      <c r="S7623">
        <v>-0.1581726</v>
      </c>
      <c r="T7623">
        <v>-8.5408330000000005E-2</v>
      </c>
      <c r="U7623">
        <v>3.0177610000000001</v>
      </c>
      <c r="V7623">
        <v>-2.232344E-2</v>
      </c>
      <c r="W7623">
        <v>2.0754100000000001E-2</v>
      </c>
      <c r="X7623">
        <v>0.99953539999999996</v>
      </c>
      <c r="Y7623">
        <v>-0.13797599999999999</v>
      </c>
      <c r="Z7623">
        <v>-2.7978880000000001E-2</v>
      </c>
      <c r="AA7623">
        <v>0.99004029999999998</v>
      </c>
      <c r="AB7623">
        <v>23</v>
      </c>
      <c r="AC7623">
        <v>-2.0752999999999902</v>
      </c>
      <c r="AD7623">
        <v>-1.1119780680761</v>
      </c>
      <c r="AE7623">
        <v>39.072536900000003</v>
      </c>
      <c r="AF7623">
        <v>-5.4221598658804204</v>
      </c>
      <c r="AG7623">
        <v>-1.1119780680761</v>
      </c>
      <c r="AH7623">
        <v>38.718215281617297</v>
      </c>
      <c r="AI7623">
        <v>91.629179973100605</v>
      </c>
      <c r="AJ7623">
        <v>97.9719466860805</v>
      </c>
      <c r="AK7623">
        <v>39.1118461265729</v>
      </c>
      <c r="AL7623">
        <v>88.810792330464906</v>
      </c>
      <c r="AM7623">
        <v>91.279420717444594</v>
      </c>
      <c r="AN7623">
        <v>1.0000000422466999</v>
      </c>
    </row>
    <row r="7624" spans="1:40" x14ac:dyDescent="0.25">
      <c r="A7624" t="str">
        <f>"20190312160832506"</f>
        <v>20190312160832506</v>
      </c>
      <c r="B7624" t="str">
        <f>"1552378112502586"</f>
        <v>1552378112502586</v>
      </c>
      <c r="C7624" t="s">
        <v>40</v>
      </c>
      <c r="D7624">
        <v>6.5706040000000003</v>
      </c>
      <c r="E7624">
        <v>0.45761190000000002</v>
      </c>
      <c r="F7624" t="s">
        <v>47</v>
      </c>
      <c r="G7624">
        <v>-189.71709999999999</v>
      </c>
      <c r="H7624" s="1">
        <v>-2.9232510000000002E-6</v>
      </c>
      <c r="I7624">
        <v>-3.6700050000000002</v>
      </c>
      <c r="J7624">
        <v>-187.8252</v>
      </c>
      <c r="K7624">
        <v>1.111882</v>
      </c>
      <c r="L7624">
        <v>-39.102539999999998</v>
      </c>
      <c r="M7624">
        <v>8.2911979999999996E-2</v>
      </c>
      <c r="N7624">
        <v>0</v>
      </c>
      <c r="O7624">
        <v>0.99646040000000002</v>
      </c>
      <c r="P7624">
        <v>6.1593710000000003E-2</v>
      </c>
      <c r="Q7624">
        <v>7.0372669999999998E-3</v>
      </c>
      <c r="R7624">
        <v>0.99807650000000003</v>
      </c>
      <c r="S7624">
        <v>-0.1588898</v>
      </c>
      <c r="T7624">
        <v>-9.4116210000000006E-2</v>
      </c>
      <c r="U7624">
        <v>3.017029</v>
      </c>
      <c r="V7624">
        <v>-2.1475520000000001E-2</v>
      </c>
      <c r="W7624">
        <v>2.0795580000000001E-2</v>
      </c>
      <c r="X7624">
        <v>0.99955309999999997</v>
      </c>
      <c r="Y7624">
        <v>-0.13519020000000001</v>
      </c>
      <c r="Z7624">
        <v>-3.0854179999999998E-2</v>
      </c>
      <c r="AA7624">
        <v>0.99033919999999998</v>
      </c>
      <c r="AB7624">
        <v>23</v>
      </c>
      <c r="AC7624">
        <v>-1.8918999999999899</v>
      </c>
      <c r="AD7624">
        <v>-1.111884923251</v>
      </c>
      <c r="AE7624">
        <v>35.432534999999902</v>
      </c>
      <c r="AF7624">
        <v>-4.8187171756411402</v>
      </c>
      <c r="AG7624">
        <v>-1.111884923251</v>
      </c>
      <c r="AH7624">
        <v>35.1191521512267</v>
      </c>
      <c r="AI7624">
        <v>91.796577347630802</v>
      </c>
      <c r="AJ7624">
        <v>97.812797727730199</v>
      </c>
      <c r="AK7624">
        <v>35.465633663060103</v>
      </c>
      <c r="AL7624">
        <v>88.808415170321794</v>
      </c>
      <c r="AM7624">
        <v>91.230817433027994</v>
      </c>
      <c r="AN7624">
        <v>1.0000000269131999</v>
      </c>
    </row>
    <row r="7625" spans="1:40" x14ac:dyDescent="0.25">
      <c r="A7625" t="str">
        <f>"20190312160832529"</f>
        <v>20190312160832529</v>
      </c>
      <c r="B7625" t="str">
        <f>"1552378112523082"</f>
        <v>1552378112523082</v>
      </c>
      <c r="C7625" t="s">
        <v>40</v>
      </c>
      <c r="D7625">
        <v>6.185098</v>
      </c>
      <c r="E7625">
        <v>0.45755820000000003</v>
      </c>
      <c r="F7625" t="s">
        <v>47</v>
      </c>
      <c r="G7625">
        <v>-189.39940000000001</v>
      </c>
      <c r="H7625" s="1">
        <v>-8.8046490000000002E-7</v>
      </c>
      <c r="I7625">
        <v>-8.5631850000000007</v>
      </c>
      <c r="J7625">
        <v>-187.80950000000001</v>
      </c>
      <c r="K7625">
        <v>1.1117790000000001</v>
      </c>
      <c r="L7625">
        <v>-38.867159999999998</v>
      </c>
      <c r="M7625">
        <v>7.9710420000000004E-2</v>
      </c>
      <c r="N7625">
        <v>0</v>
      </c>
      <c r="O7625">
        <v>0.99672190000000005</v>
      </c>
      <c r="P7625">
        <v>5.9013059999999999E-2</v>
      </c>
      <c r="Q7625">
        <v>7.2395269999999999E-3</v>
      </c>
      <c r="R7625">
        <v>0.99823090000000003</v>
      </c>
      <c r="S7625">
        <v>-0.15547179999999999</v>
      </c>
      <c r="T7625">
        <v>-0.1098124</v>
      </c>
      <c r="U7625">
        <v>3.0161440000000002</v>
      </c>
      <c r="V7625">
        <v>-2.084391E-2</v>
      </c>
      <c r="W7625">
        <v>2.0989130000000002E-2</v>
      </c>
      <c r="X7625">
        <v>0.99956239999999996</v>
      </c>
      <c r="Y7625">
        <v>-0.13089300000000001</v>
      </c>
      <c r="Z7625">
        <v>-3.6029899999999997E-2</v>
      </c>
      <c r="AA7625">
        <v>0.9907416</v>
      </c>
      <c r="AB7625">
        <v>23</v>
      </c>
      <c r="AC7625">
        <v>-1.5899000000000001</v>
      </c>
      <c r="AD7625">
        <v>-1.1117798804648999</v>
      </c>
      <c r="AE7625">
        <v>30.303975000000001</v>
      </c>
      <c r="AF7625">
        <v>-3.99525144218482</v>
      </c>
      <c r="AG7625">
        <v>-1.1117798804648999</v>
      </c>
      <c r="AH7625">
        <v>30.040464514334399</v>
      </c>
      <c r="AI7625">
        <v>92.101032551567499</v>
      </c>
      <c r="AJ7625">
        <v>97.575633284922006</v>
      </c>
      <c r="AK7625">
        <v>30.325362270315399</v>
      </c>
      <c r="AL7625">
        <v>88.797323121259794</v>
      </c>
      <c r="AM7625">
        <v>91.194617772648499</v>
      </c>
      <c r="AN7625">
        <v>1.000000001828</v>
      </c>
    </row>
    <row r="7626" spans="1:40" x14ac:dyDescent="0.25">
      <c r="A7626" t="str">
        <f>"20190312160832551"</f>
        <v>20190312160832551</v>
      </c>
      <c r="B7626" t="str">
        <f>"1552378112542602"</f>
        <v>1552378112542602</v>
      </c>
      <c r="C7626" t="s">
        <v>40</v>
      </c>
      <c r="D7626">
        <v>6.9931039999999998</v>
      </c>
      <c r="E7626">
        <v>0.4585881</v>
      </c>
      <c r="F7626" t="s">
        <v>47</v>
      </c>
      <c r="G7626">
        <v>-189.52520000000001</v>
      </c>
      <c r="H7626" s="1">
        <v>-1.422517E-6</v>
      </c>
      <c r="I7626">
        <v>-7.2476250000000002</v>
      </c>
      <c r="J7626">
        <v>-187.79509999999999</v>
      </c>
      <c r="K7626">
        <v>1.1116809999999999</v>
      </c>
      <c r="L7626">
        <v>-38.642789999999998</v>
      </c>
      <c r="M7626">
        <v>7.6791079999999998E-2</v>
      </c>
      <c r="N7626">
        <v>0</v>
      </c>
      <c r="O7626">
        <v>0.99695129999999998</v>
      </c>
      <c r="P7626">
        <v>5.5801160000000002E-2</v>
      </c>
      <c r="Q7626">
        <v>7.136997E-3</v>
      </c>
      <c r="R7626">
        <v>0.99841639999999998</v>
      </c>
      <c r="S7626">
        <v>-0.16363529999999901</v>
      </c>
      <c r="T7626">
        <v>-0.1060373</v>
      </c>
      <c r="U7626">
        <v>3.0157470000000002</v>
      </c>
      <c r="V7626">
        <v>-2.1126590000000001E-2</v>
      </c>
      <c r="W7626">
        <v>2.0875189999999998E-2</v>
      </c>
      <c r="X7626">
        <v>0.99955890000000003</v>
      </c>
      <c r="Y7626">
        <v>-0.13067309999999999</v>
      </c>
      <c r="Z7626">
        <v>-3.4807490000000003E-2</v>
      </c>
      <c r="AA7626">
        <v>0.99081430000000004</v>
      </c>
      <c r="AB7626">
        <v>23</v>
      </c>
      <c r="AC7626">
        <v>-1.73010000000002</v>
      </c>
      <c r="AD7626">
        <v>-1.1116824225169999</v>
      </c>
      <c r="AE7626">
        <v>31.395164999999999</v>
      </c>
      <c r="AF7626">
        <v>-4.1309258087311802</v>
      </c>
      <c r="AG7626">
        <v>-1.1116824225169999</v>
      </c>
      <c r="AH7626">
        <v>31.1306606821808</v>
      </c>
      <c r="AI7626">
        <v>92.027418444494302</v>
      </c>
      <c r="AJ7626">
        <v>97.558782796961495</v>
      </c>
      <c r="AK7626">
        <v>31.4232146725132</v>
      </c>
      <c r="AL7626">
        <v>88.803852891226299</v>
      </c>
      <c r="AM7626">
        <v>91.210818333790897</v>
      </c>
      <c r="AN7626">
        <v>1.0000000504658799</v>
      </c>
    </row>
    <row r="7627" spans="1:40" x14ac:dyDescent="0.25">
      <c r="A7627" t="str">
        <f>"20190312160832574"</f>
        <v>20190312160832574</v>
      </c>
      <c r="B7627" t="str">
        <f>"1552378112563097"</f>
        <v>1552378112563097</v>
      </c>
      <c r="C7627" t="s">
        <v>40</v>
      </c>
      <c r="D7627">
        <v>6.5625920000000004</v>
      </c>
      <c r="E7627">
        <v>0.4592929</v>
      </c>
      <c r="F7627" t="s">
        <v>47</v>
      </c>
      <c r="G7627">
        <v>-189.55199999999999</v>
      </c>
      <c r="H7627" s="1">
        <v>-1.727216E-6</v>
      </c>
      <c r="I7627">
        <v>-6.5262769999999897</v>
      </c>
      <c r="J7627">
        <v>-187.7809</v>
      </c>
      <c r="K7627">
        <v>1.111588</v>
      </c>
      <c r="L7627">
        <v>-38.414580000000001</v>
      </c>
      <c r="M7627">
        <v>7.3945780000000003E-2</v>
      </c>
      <c r="N7627">
        <v>0</v>
      </c>
      <c r="O7627">
        <v>0.99716660000000001</v>
      </c>
      <c r="P7627">
        <v>5.2220469999999998E-2</v>
      </c>
      <c r="Q7627">
        <v>6.4504940000000002E-3</v>
      </c>
      <c r="R7627">
        <v>0.99861469999999997</v>
      </c>
      <c r="S7627">
        <v>-0.16491700000000001</v>
      </c>
      <c r="T7627">
        <v>-0.10435129999999999</v>
      </c>
      <c r="U7627">
        <v>3.0147089999999999</v>
      </c>
      <c r="V7627">
        <v>-2.1851849999999999E-2</v>
      </c>
      <c r="W7627">
        <v>2.0175820000000001E-2</v>
      </c>
      <c r="X7627">
        <v>0.99955760000000005</v>
      </c>
      <c r="Y7627">
        <v>-0.12828290000000001</v>
      </c>
      <c r="Z7627">
        <v>-3.4282640000000003E-2</v>
      </c>
      <c r="AA7627">
        <v>0.9911449</v>
      </c>
      <c r="AB7627">
        <v>23</v>
      </c>
      <c r="AC7627">
        <v>-1.7711000000000101</v>
      </c>
      <c r="AD7627">
        <v>-1.111589727216</v>
      </c>
      <c r="AE7627">
        <v>31.888303000000001</v>
      </c>
      <c r="AF7627">
        <v>-4.1194903218596499</v>
      </c>
      <c r="AG7627">
        <v>-1.111589727216</v>
      </c>
      <c r="AH7627">
        <v>31.631687953314099</v>
      </c>
      <c r="AI7627">
        <v>91.995799988616795</v>
      </c>
      <c r="AJ7627">
        <v>97.420041044824899</v>
      </c>
      <c r="AK7627">
        <v>31.9181690422459</v>
      </c>
      <c r="AL7627">
        <v>88.843932203011704</v>
      </c>
      <c r="AM7627">
        <v>91.252373429239896</v>
      </c>
      <c r="AN7627">
        <v>0.99999998138942703</v>
      </c>
    </row>
    <row r="7628" spans="1:40" x14ac:dyDescent="0.25">
      <c r="A7628" t="str">
        <f>"20190312160832590"</f>
        <v>20190312160832590</v>
      </c>
      <c r="B7628" t="str">
        <f>"1552378112582618"</f>
        <v>1552378112582618</v>
      </c>
      <c r="C7628" t="s">
        <v>40</v>
      </c>
      <c r="D7628">
        <v>6.8761599999999996</v>
      </c>
      <c r="E7628">
        <v>0.4601594</v>
      </c>
      <c r="F7628" t="s">
        <v>47</v>
      </c>
      <c r="G7628">
        <v>-189.3801</v>
      </c>
      <c r="H7628" s="1">
        <v>-2.4225669999999999E-7</v>
      </c>
      <c r="I7628">
        <v>-10.12472</v>
      </c>
      <c r="J7628">
        <v>-187.77109999999999</v>
      </c>
      <c r="K7628">
        <v>1.1115349999999999</v>
      </c>
      <c r="L7628">
        <v>-38.250889999999998</v>
      </c>
      <c r="M7628">
        <v>7.1985450000000006E-2</v>
      </c>
      <c r="N7628">
        <v>0</v>
      </c>
      <c r="O7628">
        <v>0.99731020000000004</v>
      </c>
      <c r="P7628">
        <v>4.9953280000000003E-2</v>
      </c>
      <c r="Q7628">
        <v>5.7116390000000001E-3</v>
      </c>
      <c r="R7628">
        <v>0.99873520000000005</v>
      </c>
      <c r="S7628">
        <v>-0.1703644</v>
      </c>
      <c r="T7628">
        <v>-0.1184217</v>
      </c>
      <c r="U7628">
        <v>3.0138240000000001</v>
      </c>
      <c r="V7628">
        <v>-2.2151500000000001E-2</v>
      </c>
      <c r="W7628">
        <v>1.942924E-2</v>
      </c>
      <c r="X7628">
        <v>0.99956579999999995</v>
      </c>
      <c r="Y7628">
        <v>-0.12812560000000001</v>
      </c>
      <c r="Z7628">
        <v>-3.8916800000000001E-2</v>
      </c>
      <c r="AA7628">
        <v>0.99099409999999999</v>
      </c>
      <c r="AB7628">
        <v>23</v>
      </c>
      <c r="AC7628">
        <v>-1.609</v>
      </c>
      <c r="AD7628">
        <v>-1.1115352422567</v>
      </c>
      <c r="AE7628">
        <v>28.126169999999998</v>
      </c>
      <c r="AF7628">
        <v>-3.6240512092478001</v>
      </c>
      <c r="AG7628">
        <v>-1.1115352422567</v>
      </c>
      <c r="AH7628">
        <v>27.893929618035099</v>
      </c>
      <c r="AI7628">
        <v>92.262952493107903</v>
      </c>
      <c r="AJ7628">
        <v>97.402549777909002</v>
      </c>
      <c r="AK7628">
        <v>28.150320909324002</v>
      </c>
      <c r="AL7628">
        <v>88.886716483017395</v>
      </c>
      <c r="AM7628">
        <v>91.269530978958997</v>
      </c>
      <c r="AN7628">
        <v>0.999999986424434</v>
      </c>
    </row>
    <row r="7629" spans="1:40" x14ac:dyDescent="0.25">
      <c r="A7629" t="str">
        <f>"20190312160832609"</f>
        <v>20190312160832609</v>
      </c>
      <c r="B7629" t="str">
        <f>"1552378112603114"</f>
        <v>1552378112603114</v>
      </c>
      <c r="C7629" t="s">
        <v>40</v>
      </c>
      <c r="D7629">
        <v>6.5514039999999998</v>
      </c>
      <c r="E7629">
        <v>0.46083249999999998</v>
      </c>
      <c r="F7629" t="s">
        <v>47</v>
      </c>
      <c r="G7629">
        <v>-189.21420000000001</v>
      </c>
      <c r="H7629" s="1">
        <v>-3.4101519999999999E-6</v>
      </c>
      <c r="I7629">
        <v>-12.743</v>
      </c>
      <c r="J7629">
        <v>-187.7604</v>
      </c>
      <c r="K7629">
        <v>1.11148799999999</v>
      </c>
      <c r="L7629">
        <v>-38.066589999999998</v>
      </c>
      <c r="M7629">
        <v>6.9830020000000007E-2</v>
      </c>
      <c r="N7629">
        <v>0</v>
      </c>
      <c r="O7629">
        <v>0.99746349999999995</v>
      </c>
      <c r="P7629">
        <v>4.7460679999999998E-2</v>
      </c>
      <c r="Q7629">
        <v>5.6111650000000004E-3</v>
      </c>
      <c r="R7629">
        <v>0.99885729999999995</v>
      </c>
      <c r="S7629">
        <v>-0.17045589999999999</v>
      </c>
      <c r="T7629">
        <v>-0.13129930000000001</v>
      </c>
      <c r="U7629">
        <v>3.0130919999999999</v>
      </c>
      <c r="V7629">
        <v>-2.248329E-2</v>
      </c>
      <c r="W7629">
        <v>1.9320070000000002E-2</v>
      </c>
      <c r="X7629">
        <v>0.99956049999999996</v>
      </c>
      <c r="Y7629">
        <v>-0.12601569999999901</v>
      </c>
      <c r="Z7629">
        <v>-4.316743E-2</v>
      </c>
      <c r="AA7629">
        <v>0.99108859999999999</v>
      </c>
      <c r="AB7629">
        <v>23</v>
      </c>
      <c r="AC7629">
        <v>-1.4538</v>
      </c>
      <c r="AD7629">
        <v>-1.1114914101519899</v>
      </c>
      <c r="AE7629">
        <v>25.323589999999999</v>
      </c>
      <c r="AF7629">
        <v>-3.2125969351480301</v>
      </c>
      <c r="AG7629">
        <v>-1.1114914101519899</v>
      </c>
      <c r="AH7629">
        <v>25.112013815503001</v>
      </c>
      <c r="AI7629">
        <v>92.5138726779048</v>
      </c>
      <c r="AJ7629">
        <v>97.290288401434793</v>
      </c>
      <c r="AK7629">
        <v>25.341062134263002</v>
      </c>
      <c r="AL7629">
        <v>88.892972628676006</v>
      </c>
      <c r="AM7629">
        <v>91.288546757290007</v>
      </c>
      <c r="AN7629">
        <v>0.99999997829713905</v>
      </c>
    </row>
    <row r="7630" spans="1:40" x14ac:dyDescent="0.25">
      <c r="A7630" t="str">
        <f>"20190312160832632"</f>
        <v>20190312160832632</v>
      </c>
      <c r="B7630" t="str">
        <f>"1552378112622634"</f>
        <v>1552378112622634</v>
      </c>
      <c r="C7630" t="s">
        <v>40</v>
      </c>
      <c r="D7630">
        <v>6.9318299999999997</v>
      </c>
      <c r="E7630">
        <v>0.46096769999999998</v>
      </c>
      <c r="F7630" t="s">
        <v>47</v>
      </c>
      <c r="G7630">
        <v>-189.1266</v>
      </c>
      <c r="H7630" s="1">
        <v>-2.7699949999999998E-6</v>
      </c>
      <c r="I7630">
        <v>-14.27144</v>
      </c>
      <c r="J7630">
        <v>-187.7475</v>
      </c>
      <c r="K7630">
        <v>1.111437</v>
      </c>
      <c r="L7630">
        <v>-37.837769999999999</v>
      </c>
      <c r="M7630">
        <v>6.7231949999999999E-2</v>
      </c>
      <c r="N7630">
        <v>0</v>
      </c>
      <c r="O7630">
        <v>0.99764219999999904</v>
      </c>
      <c r="P7630">
        <v>4.4720879999999998E-2</v>
      </c>
      <c r="Q7630">
        <v>5.9461150000000001E-3</v>
      </c>
      <c r="R7630">
        <v>0.99898180000000003</v>
      </c>
      <c r="S7630">
        <v>-0.17295839999999901</v>
      </c>
      <c r="T7630">
        <v>-0.14071400000000001</v>
      </c>
      <c r="U7630">
        <v>3.012451</v>
      </c>
      <c r="V7630">
        <v>-2.261993E-2</v>
      </c>
      <c r="W7630">
        <v>1.9646159999999999E-2</v>
      </c>
      <c r="X7630">
        <v>0.99955110000000003</v>
      </c>
      <c r="Y7630">
        <v>-0.1242563</v>
      </c>
      <c r="Z7630">
        <v>-4.6282629999999998E-2</v>
      </c>
      <c r="AA7630">
        <v>0.9911702</v>
      </c>
      <c r="AB7630">
        <v>23</v>
      </c>
      <c r="AC7630">
        <v>-1.37909999999999</v>
      </c>
      <c r="AD7630">
        <v>-1.111439769995</v>
      </c>
      <c r="AE7630">
        <v>23.566329999999901</v>
      </c>
      <c r="AF7630">
        <v>-2.95399174557945</v>
      </c>
      <c r="AG7630">
        <v>-1.111439769995</v>
      </c>
      <c r="AH7630">
        <v>23.368469207386902</v>
      </c>
      <c r="AI7630">
        <v>92.701555276553293</v>
      </c>
      <c r="AJ7630">
        <v>97.204506976664902</v>
      </c>
      <c r="AK7630">
        <v>23.580642881225099</v>
      </c>
      <c r="AL7630">
        <v>88.874285544138701</v>
      </c>
      <c r="AM7630">
        <v>91.296387297333894</v>
      </c>
      <c r="AN7630">
        <v>1.0000000171735799</v>
      </c>
    </row>
    <row r="7631" spans="1:40" x14ac:dyDescent="0.25">
      <c r="A7631" t="str">
        <f>"20190312160832654"</f>
        <v>20190312160832654</v>
      </c>
      <c r="B7631" t="str">
        <f>"1552378112643130"</f>
        <v>1552378112643130</v>
      </c>
      <c r="C7631" t="s">
        <v>40</v>
      </c>
      <c r="D7631">
        <v>6.7854749999999999</v>
      </c>
      <c r="E7631">
        <v>0.4609665</v>
      </c>
      <c r="F7631" t="s">
        <v>47</v>
      </c>
      <c r="G7631">
        <v>-189.21080000000001</v>
      </c>
      <c r="H7631" s="1">
        <v>-3.1489239999999999E-6</v>
      </c>
      <c r="I7631">
        <v>-13.35331</v>
      </c>
      <c r="J7631">
        <v>-187.7354</v>
      </c>
      <c r="K7631">
        <v>1.1113900000000001</v>
      </c>
      <c r="L7631">
        <v>-37.61392</v>
      </c>
      <c r="M7631">
        <v>6.4778020000000006E-2</v>
      </c>
      <c r="N7631">
        <v>0</v>
      </c>
      <c r="O7631">
        <v>0.99780460000000004</v>
      </c>
      <c r="P7631">
        <v>4.1367840000000003E-2</v>
      </c>
      <c r="Q7631">
        <v>6.2007019999999998E-3</v>
      </c>
      <c r="R7631">
        <v>0.99912480000000004</v>
      </c>
      <c r="S7631">
        <v>-0.1800079</v>
      </c>
      <c r="T7631">
        <v>-0.13672279999999901</v>
      </c>
      <c r="U7631">
        <v>3.0119319999999998</v>
      </c>
      <c r="V7631">
        <v>-2.3515379999999999E-2</v>
      </c>
      <c r="W7631">
        <v>1.9889299999999999E-2</v>
      </c>
      <c r="X7631">
        <v>0.99952560000000001</v>
      </c>
      <c r="Y7631">
        <v>-0.1241411</v>
      </c>
      <c r="Z7631">
        <v>-4.4988599999999997E-2</v>
      </c>
      <c r="AA7631">
        <v>0.99124420000000002</v>
      </c>
      <c r="AB7631">
        <v>23</v>
      </c>
      <c r="AC7631">
        <v>-1.4754</v>
      </c>
      <c r="AD7631">
        <v>-1.1113931489240001</v>
      </c>
      <c r="AE7631">
        <v>24.26061</v>
      </c>
      <c r="AF7631">
        <v>-3.03765269644378</v>
      </c>
      <c r="AG7631">
        <v>-1.1113931489240001</v>
      </c>
      <c r="AH7631">
        <v>24.063748788310399</v>
      </c>
      <c r="AI7631">
        <v>92.623556633948994</v>
      </c>
      <c r="AJ7631">
        <v>97.194596228931502</v>
      </c>
      <c r="AK7631">
        <v>24.280167511419599</v>
      </c>
      <c r="AL7631">
        <v>88.860351896273599</v>
      </c>
      <c r="AM7631">
        <v>91.347722887985796</v>
      </c>
      <c r="AN7631">
        <v>0.99999999120319705</v>
      </c>
    </row>
    <row r="7632" spans="1:40" x14ac:dyDescent="0.25">
      <c r="A7632" t="str">
        <f>"20190312160832696"</f>
        <v>20190312160832696</v>
      </c>
      <c r="B7632" t="str">
        <f>"1552378112692906"</f>
        <v>1552378112692906</v>
      </c>
      <c r="C7632" t="s">
        <v>40</v>
      </c>
      <c r="D7632">
        <v>6.6210259999999996</v>
      </c>
      <c r="E7632">
        <v>0.46282060000000003</v>
      </c>
      <c r="F7632" t="s">
        <v>47</v>
      </c>
      <c r="G7632">
        <v>-189.39340000000001</v>
      </c>
      <c r="H7632" s="1">
        <v>-3.9906800000000001E-6</v>
      </c>
      <c r="I7632">
        <v>-11.315670000000001</v>
      </c>
      <c r="J7632">
        <v>-187.7139</v>
      </c>
      <c r="K7632">
        <v>1.1113230000000001</v>
      </c>
      <c r="L7632">
        <v>-37.195369999999997</v>
      </c>
      <c r="M7632">
        <v>6.0381530000000003E-2</v>
      </c>
      <c r="N7632">
        <v>0</v>
      </c>
      <c r="O7632">
        <v>0.99808059999999998</v>
      </c>
      <c r="P7632">
        <v>3.6531950000000001E-2</v>
      </c>
      <c r="Q7632">
        <v>5.306023E-3</v>
      </c>
      <c r="R7632">
        <v>0.99931840000000005</v>
      </c>
      <c r="S7632">
        <v>-0.18984989999999999</v>
      </c>
      <c r="T7632">
        <v>-0.1272606</v>
      </c>
      <c r="U7632">
        <v>3.0112920000000001</v>
      </c>
      <c r="V7632">
        <v>-2.394284E-2</v>
      </c>
      <c r="W7632">
        <v>1.898062E-2</v>
      </c>
      <c r="X7632">
        <v>0.99953309999999995</v>
      </c>
      <c r="Y7632">
        <v>-0.1230183</v>
      </c>
      <c r="Z7632">
        <v>-4.1905890000000001E-2</v>
      </c>
      <c r="AA7632">
        <v>0.99151920000000004</v>
      </c>
      <c r="AB7632">
        <v>22</v>
      </c>
      <c r="AC7632">
        <v>-1.67950000000001</v>
      </c>
      <c r="AD7632">
        <v>-1.1113269906799901</v>
      </c>
      <c r="AE7632">
        <v>25.8797</v>
      </c>
      <c r="AF7632">
        <v>-3.23330141240677</v>
      </c>
      <c r="AG7632">
        <v>-1.1113269906799901</v>
      </c>
      <c r="AH7632">
        <v>25.683886894978599</v>
      </c>
      <c r="AI7632">
        <v>92.458231701063397</v>
      </c>
      <c r="AJ7632">
        <v>97.175124902093003</v>
      </c>
      <c r="AK7632">
        <v>25.910448312172001</v>
      </c>
      <c r="AL7632">
        <v>88.912425240660795</v>
      </c>
      <c r="AM7632">
        <v>91.372202071018094</v>
      </c>
      <c r="AN7632">
        <v>0.99999997075922897</v>
      </c>
    </row>
    <row r="7633" spans="1:40" x14ac:dyDescent="0.25">
      <c r="A7633" t="str">
        <f>"20190312160832719"</f>
        <v>20190312160832719</v>
      </c>
      <c r="B7633" t="str">
        <f>"1552378112713402"</f>
        <v>1552378112713402</v>
      </c>
      <c r="C7633" t="s">
        <v>40</v>
      </c>
      <c r="D7633">
        <v>6.7636869999999902</v>
      </c>
      <c r="E7633">
        <v>0.46328930000000001</v>
      </c>
      <c r="F7633" t="s">
        <v>47</v>
      </c>
      <c r="G7633">
        <v>-189.28030000000001</v>
      </c>
      <c r="H7633" s="1">
        <v>-3.5790470000000002E-6</v>
      </c>
      <c r="I7633">
        <v>-12.32197</v>
      </c>
      <c r="J7633">
        <v>-187.703</v>
      </c>
      <c r="K7633">
        <v>1.1112930000000001</v>
      </c>
      <c r="L7633">
        <v>-36.969540000000002</v>
      </c>
      <c r="M7633">
        <v>5.8084240000000002E-2</v>
      </c>
      <c r="N7633">
        <v>0</v>
      </c>
      <c r="O7633">
        <v>0.99821700000000002</v>
      </c>
      <c r="P7633">
        <v>3.4862120000000003E-2</v>
      </c>
      <c r="Q7633">
        <v>5.8034810000000001E-3</v>
      </c>
      <c r="R7633">
        <v>0.99937529999999997</v>
      </c>
      <c r="S7633">
        <v>-0.18952939999999999</v>
      </c>
      <c r="T7633">
        <v>-0.13447149999999999</v>
      </c>
      <c r="U7633">
        <v>3.0097049999999999</v>
      </c>
      <c r="V7633">
        <v>-2.3312059999999999E-2</v>
      </c>
      <c r="W7633">
        <v>1.947453E-2</v>
      </c>
      <c r="X7633">
        <v>0.9995385</v>
      </c>
      <c r="Y7633">
        <v>-0.120655</v>
      </c>
      <c r="Z7633">
        <v>-4.4314819999999998E-2</v>
      </c>
      <c r="AA7633">
        <v>0.9917049</v>
      </c>
      <c r="AB7633">
        <v>22</v>
      </c>
      <c r="AC7633">
        <v>-1.5772999999999999</v>
      </c>
      <c r="AD7633">
        <v>-1.111296579047</v>
      </c>
      <c r="AE7633">
        <v>24.647570000000002</v>
      </c>
      <c r="AF7633">
        <v>-3.0003327873198602</v>
      </c>
      <c r="AG7633">
        <v>-1.111296579047</v>
      </c>
      <c r="AH7633">
        <v>24.464793192873699</v>
      </c>
      <c r="AI7633">
        <v>92.581519473432394</v>
      </c>
      <c r="AJ7633">
        <v>96.991772195325197</v>
      </c>
      <c r="AK7633">
        <v>24.673124708705799</v>
      </c>
      <c r="AL7633">
        <v>88.884121037932502</v>
      </c>
      <c r="AM7633">
        <v>91.336057135786106</v>
      </c>
      <c r="AN7633">
        <v>0.99999996122120605</v>
      </c>
    </row>
    <row r="7634" spans="1:40" x14ac:dyDescent="0.25">
      <c r="A7634" t="str">
        <f>"20190312160832741"</f>
        <v>20190312160832741</v>
      </c>
      <c r="B7634" t="str">
        <f>"1552378112732922"</f>
        <v>1552378112732922</v>
      </c>
      <c r="C7634" t="s">
        <v>40</v>
      </c>
      <c r="D7634">
        <v>6.5694689999999998</v>
      </c>
      <c r="E7634">
        <v>0.46353159999999999</v>
      </c>
      <c r="F7634" t="s">
        <v>47</v>
      </c>
      <c r="G7634">
        <v>-189.32640000000001</v>
      </c>
      <c r="H7634" s="1">
        <v>-3.973655E-6</v>
      </c>
      <c r="I7634">
        <v>-11.383039999999999</v>
      </c>
      <c r="J7634">
        <v>-187.69280000000001</v>
      </c>
      <c r="K7634">
        <v>1.1112660000000001</v>
      </c>
      <c r="L7634">
        <v>-36.748109999999997</v>
      </c>
      <c r="M7634">
        <v>5.588307E-2</v>
      </c>
      <c r="N7634">
        <v>0</v>
      </c>
      <c r="O7634">
        <v>0.99834279999999997</v>
      </c>
      <c r="P7634">
        <v>3.2772179999999998E-2</v>
      </c>
      <c r="Q7634">
        <v>6.0696090000000001E-3</v>
      </c>
      <c r="R7634">
        <v>0.99944440000000001</v>
      </c>
      <c r="S7634">
        <v>-0.1909332</v>
      </c>
      <c r="T7634">
        <v>-0.13070180000000001</v>
      </c>
      <c r="U7634">
        <v>3.009277</v>
      </c>
      <c r="V7634">
        <v>-2.3197550000000001E-2</v>
      </c>
      <c r="W7634">
        <v>1.973579E-2</v>
      </c>
      <c r="X7634">
        <v>0.99953610000000004</v>
      </c>
      <c r="Y7634">
        <v>-0.118939</v>
      </c>
      <c r="Z7634">
        <v>-4.3092999999999999E-2</v>
      </c>
      <c r="AA7634">
        <v>0.99196600000000001</v>
      </c>
      <c r="AB7634">
        <v>22</v>
      </c>
      <c r="AC7634">
        <v>-1.6335999999999999</v>
      </c>
      <c r="AD7634">
        <v>-1.111269973655</v>
      </c>
      <c r="AE7634">
        <v>25.365069999999999</v>
      </c>
      <c r="AF7634">
        <v>-3.0428421631921898</v>
      </c>
      <c r="AG7634">
        <v>-1.111269973655</v>
      </c>
      <c r="AH7634">
        <v>25.1859833696194</v>
      </c>
      <c r="AI7634">
        <v>92.508182495391793</v>
      </c>
      <c r="AJ7634">
        <v>96.888796726783198</v>
      </c>
      <c r="AK7634">
        <v>25.393455213483499</v>
      </c>
      <c r="AL7634">
        <v>88.869149132485006</v>
      </c>
      <c r="AM7634">
        <v>91.329499908995501</v>
      </c>
      <c r="AN7634">
        <v>1.00000002146806</v>
      </c>
    </row>
    <row r="7635" spans="1:40" x14ac:dyDescent="0.25">
      <c r="A7635" t="str">
        <f>"20190312160832764"</f>
        <v>20190312160832764</v>
      </c>
      <c r="B7635" t="str">
        <f>"1552378112753417"</f>
        <v>1552378112753417</v>
      </c>
      <c r="C7635" t="s">
        <v>40</v>
      </c>
      <c r="D7635">
        <v>6.513503</v>
      </c>
      <c r="E7635">
        <v>0.46378530000000001</v>
      </c>
      <c r="F7635" t="s">
        <v>47</v>
      </c>
      <c r="G7635">
        <v>-189.44110000000001</v>
      </c>
      <c r="H7635" s="1">
        <v>-3.6874159999999999E-7</v>
      </c>
      <c r="I7635">
        <v>-9.7387519999999999</v>
      </c>
      <c r="J7635">
        <v>-187.68270000000001</v>
      </c>
      <c r="K7635">
        <v>1.111232</v>
      </c>
      <c r="L7635">
        <v>-36.5199</v>
      </c>
      <c r="M7635">
        <v>5.3668769999999998E-2</v>
      </c>
      <c r="N7635">
        <v>0</v>
      </c>
      <c r="O7635">
        <v>0.99846429999999997</v>
      </c>
      <c r="P7635">
        <v>3.0338E-2</v>
      </c>
      <c r="Q7635">
        <v>5.8704200000000003E-3</v>
      </c>
      <c r="R7635">
        <v>0.99952240000000003</v>
      </c>
      <c r="S7635">
        <v>-0.1947632</v>
      </c>
      <c r="T7635">
        <v>-0.123792899999999</v>
      </c>
      <c r="U7635">
        <v>3.0087890000000002</v>
      </c>
      <c r="V7635">
        <v>-2.3413079999999999E-2</v>
      </c>
      <c r="W7635">
        <v>1.9530780000000001E-2</v>
      </c>
      <c r="X7635">
        <v>0.99953510000000001</v>
      </c>
      <c r="Y7635">
        <v>-0.1180107</v>
      </c>
      <c r="Z7635">
        <v>-4.0833750000000002E-2</v>
      </c>
      <c r="AA7635">
        <v>0.99217239999999995</v>
      </c>
      <c r="AB7635">
        <v>22</v>
      </c>
      <c r="AC7635">
        <v>-1.75839999999999</v>
      </c>
      <c r="AD7635">
        <v>-1.1112323687415999</v>
      </c>
      <c r="AE7635">
        <v>26.781147999999899</v>
      </c>
      <c r="AF7635">
        <v>-3.1878473275644499</v>
      </c>
      <c r="AG7635">
        <v>-1.1112323687415999</v>
      </c>
      <c r="AH7635">
        <v>26.602559078526799</v>
      </c>
      <c r="AI7635">
        <v>92.3749761443772</v>
      </c>
      <c r="AJ7635">
        <v>96.833304278826006</v>
      </c>
      <c r="AK7635">
        <v>26.8159161224767</v>
      </c>
      <c r="AL7635">
        <v>88.880897602800204</v>
      </c>
      <c r="AM7635">
        <v>91.341849228749297</v>
      </c>
      <c r="AN7635">
        <v>1.0000000199072501</v>
      </c>
    </row>
    <row r="7636" spans="1:40" x14ac:dyDescent="0.25">
      <c r="A7636" t="str">
        <f>"20190312160832786"</f>
        <v>20190312160832786</v>
      </c>
      <c r="B7636" t="str">
        <f>"1552378112772938"</f>
        <v>1552378112772938</v>
      </c>
      <c r="C7636" t="s">
        <v>40</v>
      </c>
      <c r="D7636">
        <v>6.5379569999999996</v>
      </c>
      <c r="E7636">
        <v>0.46416970000000002</v>
      </c>
      <c r="F7636" t="s">
        <v>47</v>
      </c>
      <c r="G7636">
        <v>-189.5523</v>
      </c>
      <c r="H7636" s="1">
        <v>-9.3620219999999997E-7</v>
      </c>
      <c r="I7636">
        <v>-8.3700170000000007</v>
      </c>
      <c r="J7636">
        <v>-187.67359999999999</v>
      </c>
      <c r="K7636">
        <v>1.1112070000000001</v>
      </c>
      <c r="L7636">
        <v>-36.305909999999997</v>
      </c>
      <c r="M7636">
        <v>5.1639640000000001E-2</v>
      </c>
      <c r="N7636">
        <v>0</v>
      </c>
      <c r="O7636">
        <v>0.9985714</v>
      </c>
      <c r="P7636">
        <v>2.8538000000000001E-2</v>
      </c>
      <c r="Q7636">
        <v>5.0837979999999996E-3</v>
      </c>
      <c r="R7636">
        <v>0.99957980000000002</v>
      </c>
      <c r="S7636">
        <v>-0.19979859999999999</v>
      </c>
      <c r="T7636">
        <v>-0.1187508</v>
      </c>
      <c r="U7636">
        <v>3.0082089999999999</v>
      </c>
      <c r="V7636">
        <v>-2.317893E-2</v>
      </c>
      <c r="W7636">
        <v>1.8740340000000001E-2</v>
      </c>
      <c r="X7636">
        <v>0.99955559999999999</v>
      </c>
      <c r="Y7636">
        <v>-0.1176632</v>
      </c>
      <c r="Z7636">
        <v>-3.9185749999999998E-2</v>
      </c>
      <c r="AA7636">
        <v>0.9922801</v>
      </c>
      <c r="AB7636">
        <v>22</v>
      </c>
      <c r="AC7636">
        <v>-1.8787</v>
      </c>
      <c r="AD7636">
        <v>-1.11120793620219</v>
      </c>
      <c r="AE7636">
        <v>27.935893</v>
      </c>
      <c r="AF7636">
        <v>-3.3137089862164899</v>
      </c>
      <c r="AG7636">
        <v>-1.11120793620219</v>
      </c>
      <c r="AH7636">
        <v>27.7578677217337</v>
      </c>
      <c r="AI7636">
        <v>92.276305165316401</v>
      </c>
      <c r="AJ7636">
        <v>96.807700328101504</v>
      </c>
      <c r="AK7636">
        <v>27.977038277488798</v>
      </c>
      <c r="AL7636">
        <v>88.926194676805807</v>
      </c>
      <c r="AM7636">
        <v>91.328407233891994</v>
      </c>
      <c r="AN7636">
        <v>0.99999993031530698</v>
      </c>
    </row>
    <row r="7637" spans="1:40" x14ac:dyDescent="0.25">
      <c r="A7637" t="str">
        <f>"20190312160832808"</f>
        <v>20190312160832808</v>
      </c>
      <c r="B7637" t="str">
        <f>"1552378112802833"</f>
        <v>1552378112802833</v>
      </c>
      <c r="C7637" t="s">
        <v>40</v>
      </c>
      <c r="D7637">
        <v>6.4497839999999904</v>
      </c>
      <c r="E7637">
        <v>0.47738779999999997</v>
      </c>
      <c r="F7637" t="s">
        <v>47</v>
      </c>
      <c r="G7637">
        <v>-189.56209999999999</v>
      </c>
      <c r="H7637" s="1">
        <v>-1.0148039999999999E-6</v>
      </c>
      <c r="I7637">
        <v>-8.1827640000000006</v>
      </c>
      <c r="J7637">
        <v>-187.6645</v>
      </c>
      <c r="K7637">
        <v>1.1111770000000001</v>
      </c>
      <c r="L7637">
        <v>-36.082430000000002</v>
      </c>
      <c r="M7637">
        <v>4.9564049999999998E-2</v>
      </c>
      <c r="N7637">
        <v>0</v>
      </c>
      <c r="O7637">
        <v>0.99867669999999997</v>
      </c>
      <c r="P7637">
        <v>2.6996269999999999E-2</v>
      </c>
      <c r="Q7637">
        <v>4.2076759999999996E-3</v>
      </c>
      <c r="R7637">
        <v>0.99962669999999998</v>
      </c>
      <c r="S7637">
        <v>-0.20196529999999999</v>
      </c>
      <c r="T7637">
        <v>-0.1188382</v>
      </c>
      <c r="U7637">
        <v>3.0076290000000001</v>
      </c>
      <c r="V7637">
        <v>-2.2638800000000001E-2</v>
      </c>
      <c r="W7637">
        <v>1.786167E-2</v>
      </c>
      <c r="X7637">
        <v>0.99958409999999998</v>
      </c>
      <c r="Y7637">
        <v>-0.1163233</v>
      </c>
      <c r="Z7637">
        <v>-3.9230479999999998E-2</v>
      </c>
      <c r="AA7637">
        <v>0.99243630000000005</v>
      </c>
      <c r="AB7637">
        <v>22</v>
      </c>
      <c r="AC7637">
        <v>-1.89759999999998</v>
      </c>
      <c r="AD7637">
        <v>-1.111178014804</v>
      </c>
      <c r="AE7637">
        <v>27.899666</v>
      </c>
      <c r="AF7637">
        <v>-3.2730499894938001</v>
      </c>
      <c r="AG7637">
        <v>-1.111178014804</v>
      </c>
      <c r="AH7637">
        <v>27.727527758666099</v>
      </c>
      <c r="AI7637">
        <v>92.279087984802203</v>
      </c>
      <c r="AJ7637">
        <v>96.7322310525483</v>
      </c>
      <c r="AK7637">
        <v>27.942143232434901</v>
      </c>
      <c r="AL7637">
        <v>88.976547231650798</v>
      </c>
      <c r="AM7637">
        <v>91.297425580501198</v>
      </c>
      <c r="AN7637">
        <v>0.99999996374671796</v>
      </c>
    </row>
    <row r="7638" spans="1:40" x14ac:dyDescent="0.25">
      <c r="A7638" t="str">
        <f>"20190312160832843"</f>
        <v>20190312160832843</v>
      </c>
      <c r="B7638" t="str">
        <f>"1552378112833089"</f>
        <v>1552378112833089</v>
      </c>
      <c r="C7638" t="s">
        <v>40</v>
      </c>
      <c r="D7638">
        <v>6.7240099999999998</v>
      </c>
      <c r="E7638">
        <v>0.4787515</v>
      </c>
      <c r="F7638" t="s">
        <v>47</v>
      </c>
      <c r="G7638">
        <v>-187.9616</v>
      </c>
      <c r="H7638" s="1">
        <v>-1.5439440000000001E-6</v>
      </c>
      <c r="I7638">
        <v>-27.611090000000001</v>
      </c>
      <c r="J7638">
        <v>-187.65129999999999</v>
      </c>
      <c r="K7638">
        <v>1.1111420000000001</v>
      </c>
      <c r="L7638">
        <v>-35.737490000000001</v>
      </c>
      <c r="M7638">
        <v>4.6436499999999999E-2</v>
      </c>
      <c r="N7638">
        <v>0</v>
      </c>
      <c r="O7638">
        <v>0.99882709999999997</v>
      </c>
      <c r="P7638">
        <v>2.520675E-2</v>
      </c>
      <c r="Q7638">
        <v>4.1680279999999998E-3</v>
      </c>
      <c r="R7638">
        <v>0.99967349999999999</v>
      </c>
      <c r="S7638">
        <v>-0.105423</v>
      </c>
      <c r="T7638">
        <v>-0.39424379999999998</v>
      </c>
      <c r="U7638">
        <v>3.0056150000000001</v>
      </c>
      <c r="V7638">
        <v>-2.1296099999999998E-2</v>
      </c>
      <c r="W7638">
        <v>1.7819720000000001E-2</v>
      </c>
      <c r="X7638">
        <v>0.99961440000000001</v>
      </c>
      <c r="Y7638">
        <v>-8.1131709999999996E-2</v>
      </c>
      <c r="Z7638">
        <v>-0.12959109999999999</v>
      </c>
      <c r="AA7638">
        <v>0.98824279999999998</v>
      </c>
      <c r="AB7638">
        <v>22</v>
      </c>
      <c r="AC7638">
        <v>-0.31030000000001201</v>
      </c>
      <c r="AD7638">
        <v>-1.1111435439440001</v>
      </c>
      <c r="AE7638">
        <v>8.1264000000000003</v>
      </c>
      <c r="AF7638">
        <v>-0.67476535562355699</v>
      </c>
      <c r="AG7638">
        <v>-1.1111435439440001</v>
      </c>
      <c r="AH7638">
        <v>7.9547180869465102</v>
      </c>
      <c r="AI7638">
        <v>97.923736074348497</v>
      </c>
      <c r="AJ7638">
        <v>94.848553658997403</v>
      </c>
      <c r="AK7638">
        <v>8.0602411938596603</v>
      </c>
      <c r="AL7638">
        <v>88.978951216965299</v>
      </c>
      <c r="AM7638">
        <v>91.220462708678994</v>
      </c>
      <c r="AN7638">
        <v>1.0000000074917199</v>
      </c>
    </row>
    <row r="7639" spans="1:40" x14ac:dyDescent="0.25">
      <c r="A7639" t="str">
        <f>"20190312160832865"</f>
        <v>20190312160832865</v>
      </c>
      <c r="B7639" t="str">
        <f>"1552378112852612"</f>
        <v>1552378112852612</v>
      </c>
      <c r="C7639" t="s">
        <v>40</v>
      </c>
      <c r="D7639">
        <v>6.5448559999999896</v>
      </c>
      <c r="E7639">
        <v>0.47804560000000001</v>
      </c>
      <c r="F7639" t="s">
        <v>47</v>
      </c>
      <c r="G7639">
        <v>-188.03790000000001</v>
      </c>
      <c r="H7639" s="1">
        <v>-3.1224270000000001E-6</v>
      </c>
      <c r="I7639">
        <v>-23.900040000000001</v>
      </c>
      <c r="J7639">
        <v>-187.64349999999999</v>
      </c>
      <c r="K7639">
        <v>1.1111169999999999</v>
      </c>
      <c r="L7639">
        <v>-35.521090000000001</v>
      </c>
      <c r="M7639">
        <v>4.4510760000000003E-2</v>
      </c>
      <c r="N7639">
        <v>0</v>
      </c>
      <c r="O7639">
        <v>0.99891479999999999</v>
      </c>
      <c r="P7639">
        <v>2.4305960000000001E-2</v>
      </c>
      <c r="Q7639">
        <v>4.2492329999999998E-3</v>
      </c>
      <c r="R7639">
        <v>0.99969549999999996</v>
      </c>
      <c r="S7639">
        <v>-9.8144529999999994E-2</v>
      </c>
      <c r="T7639">
        <v>-0.28203640000000002</v>
      </c>
      <c r="U7639">
        <v>3.0046390000000001</v>
      </c>
      <c r="V7639">
        <v>-2.0268870000000001E-2</v>
      </c>
      <c r="W7639">
        <v>1.7900289999999999E-2</v>
      </c>
      <c r="X7639">
        <v>0.99963429999999998</v>
      </c>
      <c r="Y7639">
        <v>-7.6963379999999998E-2</v>
      </c>
      <c r="Z7639">
        <v>-9.3154020000000004E-2</v>
      </c>
      <c r="AA7639">
        <v>0.99267260000000002</v>
      </c>
      <c r="AB7639">
        <v>22</v>
      </c>
      <c r="AC7639">
        <v>-0.39440000000001801</v>
      </c>
      <c r="AD7639">
        <v>-1.111120122427</v>
      </c>
      <c r="AE7639">
        <v>11.62105</v>
      </c>
      <c r="AF7639">
        <v>-0.90307323074164003</v>
      </c>
      <c r="AG7639">
        <v>-1.111120122427</v>
      </c>
      <c r="AH7639">
        <v>11.487081888695201</v>
      </c>
      <c r="AI7639">
        <v>95.508016417891298</v>
      </c>
      <c r="AJ7639">
        <v>94.4951433564772</v>
      </c>
      <c r="AK7639">
        <v>11.5759742356371</v>
      </c>
      <c r="AL7639">
        <v>88.974334142288399</v>
      </c>
      <c r="AM7639">
        <v>91.161586387504499</v>
      </c>
      <c r="AN7639">
        <v>0.99999999060482503</v>
      </c>
    </row>
    <row r="7640" spans="1:40" x14ac:dyDescent="0.25">
      <c r="A7640" t="str">
        <f>"20190312160832886"</f>
        <v>20190312160832886</v>
      </c>
      <c r="B7640" t="str">
        <f>"1552378112882516"</f>
        <v>1552378112882516</v>
      </c>
      <c r="C7640" t="s">
        <v>40</v>
      </c>
      <c r="D7640">
        <v>6.7899369999999903</v>
      </c>
      <c r="E7640">
        <v>0.47760809999999998</v>
      </c>
      <c r="F7640" t="s">
        <v>47</v>
      </c>
      <c r="G7640">
        <v>-188.0949</v>
      </c>
      <c r="H7640" s="1">
        <v>-3.6021070000000002E-6</v>
      </c>
      <c r="I7640">
        <v>-22.75836</v>
      </c>
      <c r="J7640">
        <v>-187.63640000000001</v>
      </c>
      <c r="K7640">
        <v>1.111108</v>
      </c>
      <c r="L7640">
        <v>-35.31503</v>
      </c>
      <c r="M7640">
        <v>4.2696850000000001E-2</v>
      </c>
      <c r="N7640">
        <v>0</v>
      </c>
      <c r="O7640">
        <v>0.9989941</v>
      </c>
      <c r="P7640">
        <v>2.3412430000000001E-2</v>
      </c>
      <c r="Q7640">
        <v>3.663056E-3</v>
      </c>
      <c r="R7640">
        <v>0.99971920000000003</v>
      </c>
      <c r="S7640">
        <v>-0.1062622</v>
      </c>
      <c r="T7640">
        <v>-0.2615806</v>
      </c>
      <c r="U7640">
        <v>3.0046080000000002</v>
      </c>
      <c r="V7640">
        <v>-1.9345290000000001E-2</v>
      </c>
      <c r="W7640">
        <v>1.7312919999999999E-2</v>
      </c>
      <c r="X7640">
        <v>0.99966290000000002</v>
      </c>
      <c r="Y7640">
        <v>-7.7853569999999997E-2</v>
      </c>
      <c r="Z7640">
        <v>-8.6454630000000005E-2</v>
      </c>
      <c r="AA7640">
        <v>0.99320909999999996</v>
      </c>
      <c r="AB7640">
        <v>22</v>
      </c>
      <c r="AC7640">
        <v>-0.45849999999998597</v>
      </c>
      <c r="AD7640">
        <v>-1.111111602107</v>
      </c>
      <c r="AE7640">
        <v>12.55667</v>
      </c>
      <c r="AF7640">
        <v>-0.98654793251414097</v>
      </c>
      <c r="AG7640">
        <v>-1.111111602107</v>
      </c>
      <c r="AH7640">
        <v>12.428452502822401</v>
      </c>
      <c r="AI7640">
        <v>95.0927631867972</v>
      </c>
      <c r="AJ7640">
        <v>94.538518386066499</v>
      </c>
      <c r="AK7640">
        <v>12.516959592105399</v>
      </c>
      <c r="AL7640">
        <v>89.007993137822893</v>
      </c>
      <c r="AM7640">
        <v>91.108638860700296</v>
      </c>
      <c r="AN7640">
        <v>0.99999994554025795</v>
      </c>
    </row>
    <row r="7641" spans="1:40" x14ac:dyDescent="0.25">
      <c r="A7641" t="str">
        <f>"20190312160832908"</f>
        <v>20190312160832908</v>
      </c>
      <c r="B7641" t="str">
        <f>"1552378112903001"</f>
        <v>1552378112903001</v>
      </c>
      <c r="C7641" t="s">
        <v>40</v>
      </c>
      <c r="D7641">
        <v>6.7142030000000004</v>
      </c>
      <c r="E7641">
        <v>0.47622880000000001</v>
      </c>
      <c r="F7641" t="s">
        <v>47</v>
      </c>
      <c r="G7641">
        <v>-188.16329999999999</v>
      </c>
      <c r="H7641" s="1">
        <v>-4.26263E-6</v>
      </c>
      <c r="I7641">
        <v>-21.190370000000001</v>
      </c>
      <c r="J7641">
        <v>-187.6292</v>
      </c>
      <c r="K7641">
        <v>1.1110979999999999</v>
      </c>
      <c r="L7641">
        <v>-35.092590000000001</v>
      </c>
      <c r="M7641">
        <v>4.0755029999999998E-2</v>
      </c>
      <c r="N7641">
        <v>0</v>
      </c>
      <c r="O7641">
        <v>0.99907520000000005</v>
      </c>
      <c r="P7641">
        <v>2.2471850000000002E-2</v>
      </c>
      <c r="Q7641">
        <v>3.3859020000000001E-3</v>
      </c>
      <c r="R7641">
        <v>0.99974169999999996</v>
      </c>
      <c r="S7641">
        <v>-0.11206049999999999</v>
      </c>
      <c r="T7641">
        <v>-0.23633499999999999</v>
      </c>
      <c r="U7641">
        <v>3.0043329999999999</v>
      </c>
      <c r="V7641">
        <v>-1.8341489999999998E-2</v>
      </c>
      <c r="W7641">
        <v>1.703497E-2</v>
      </c>
      <c r="X7641">
        <v>0.99968670000000004</v>
      </c>
      <c r="Y7641">
        <v>-7.7858910000000003E-2</v>
      </c>
      <c r="Z7641">
        <v>-7.8178639999999994E-2</v>
      </c>
      <c r="AA7641">
        <v>0.99389439999999996</v>
      </c>
      <c r="AB7641">
        <v>22</v>
      </c>
      <c r="AC7641">
        <v>-0.53409999999999502</v>
      </c>
      <c r="AD7641">
        <v>-1.11110226263</v>
      </c>
      <c r="AE7641">
        <v>13.90222</v>
      </c>
      <c r="AF7641">
        <v>-1.09332132526284</v>
      </c>
      <c r="AG7641">
        <v>-1.11110226263</v>
      </c>
      <c r="AH7641">
        <v>13.7809999304675</v>
      </c>
      <c r="AI7641">
        <v>94.595162975310302</v>
      </c>
      <c r="AJ7641">
        <v>94.536083403347106</v>
      </c>
      <c r="AK7641">
        <v>13.868880951318401</v>
      </c>
      <c r="AL7641">
        <v>89.023920951020202</v>
      </c>
      <c r="AM7641">
        <v>91.051101383592396</v>
      </c>
      <c r="AN7641">
        <v>1.0000000493076</v>
      </c>
    </row>
    <row r="7642" spans="1:40" x14ac:dyDescent="0.25">
      <c r="A7642" t="str">
        <f>"20190312160832932"</f>
        <v>20190312160832932</v>
      </c>
      <c r="B7642" t="str">
        <f>"1552378112922521"</f>
        <v>1552378112922521</v>
      </c>
      <c r="C7642" t="s">
        <v>40</v>
      </c>
      <c r="D7642">
        <v>6.671011</v>
      </c>
      <c r="E7642">
        <v>0.47698410000000002</v>
      </c>
      <c r="F7642" t="s">
        <v>47</v>
      </c>
      <c r="G7642">
        <v>-188.3366</v>
      </c>
      <c r="H7642" s="1">
        <v>-1.242308E-6</v>
      </c>
      <c r="I7642">
        <v>-18.15915</v>
      </c>
      <c r="J7642">
        <v>-187.62219999999999</v>
      </c>
      <c r="K7642">
        <v>1.111097</v>
      </c>
      <c r="L7642">
        <v>-34.86224</v>
      </c>
      <c r="M7642">
        <v>3.8756400000000003E-2</v>
      </c>
      <c r="N7642">
        <v>0</v>
      </c>
      <c r="O7642">
        <v>0.99915480000000001</v>
      </c>
      <c r="P7642">
        <v>2.113307E-2</v>
      </c>
      <c r="Q7642">
        <v>3.130463E-3</v>
      </c>
      <c r="R7642">
        <v>0.99977179999999999</v>
      </c>
      <c r="S7642">
        <v>-0.12550349999999999</v>
      </c>
      <c r="T7642">
        <v>-0.19712730000000001</v>
      </c>
      <c r="U7642">
        <v>3.0042719999999998</v>
      </c>
      <c r="V7642">
        <v>-1.7679440000000001E-2</v>
      </c>
      <c r="W7642">
        <v>1.6777509999999999E-2</v>
      </c>
      <c r="X7642">
        <v>0.99970289999999995</v>
      </c>
      <c r="Y7642">
        <v>-8.0344310000000002E-2</v>
      </c>
      <c r="Z7642">
        <v>-6.5266859999999996E-2</v>
      </c>
      <c r="AA7642">
        <v>0.99462810000000001</v>
      </c>
      <c r="AB7642">
        <v>22</v>
      </c>
      <c r="AC7642">
        <v>-0.71440000000001103</v>
      </c>
      <c r="AD7642">
        <v>-1.111098242308</v>
      </c>
      <c r="AE7642">
        <v>16.70309</v>
      </c>
      <c r="AF7642">
        <v>-1.35528936124092</v>
      </c>
      <c r="AG7642">
        <v>-1.111098242308</v>
      </c>
      <c r="AH7642">
        <v>16.589573766280498</v>
      </c>
      <c r="AI7642">
        <v>93.819016934324495</v>
      </c>
      <c r="AJ7642">
        <v>94.670421100231394</v>
      </c>
      <c r="AK7642">
        <v>16.6818855739876</v>
      </c>
      <c r="AL7642">
        <v>89.038674351993905</v>
      </c>
      <c r="AM7642">
        <v>91.013152723380202</v>
      </c>
      <c r="AN7642">
        <v>0.99999996785446099</v>
      </c>
    </row>
    <row r="7643" spans="1:40" x14ac:dyDescent="0.25">
      <c r="A7643" t="str">
        <f>"20190312160832953"</f>
        <v>20190312160832953</v>
      </c>
      <c r="B7643" t="str">
        <f>"1552378112943016"</f>
        <v>1552378112943016</v>
      </c>
      <c r="C7643" t="s">
        <v>40</v>
      </c>
      <c r="D7643">
        <v>6.8438100000000004</v>
      </c>
      <c r="E7643">
        <v>0.47629840000000001</v>
      </c>
      <c r="F7643" t="s">
        <v>47</v>
      </c>
      <c r="G7643">
        <v>-188.32130000000001</v>
      </c>
      <c r="H7643" s="1">
        <v>-1.380125E-6</v>
      </c>
      <c r="I7643">
        <v>-17.84423</v>
      </c>
      <c r="J7643">
        <v>-187.61609999999999</v>
      </c>
      <c r="K7643">
        <v>1.1110930000000001</v>
      </c>
      <c r="L7643">
        <v>-34.650209999999902</v>
      </c>
      <c r="M7643">
        <v>3.6921799999999998E-2</v>
      </c>
      <c r="N7643">
        <v>0</v>
      </c>
      <c r="O7643">
        <v>0.99922429999999995</v>
      </c>
      <c r="P7643">
        <v>1.9699640000000001E-2</v>
      </c>
      <c r="Q7643">
        <v>3.7764109999999999E-3</v>
      </c>
      <c r="R7643">
        <v>0.99979879999999999</v>
      </c>
      <c r="S7643">
        <v>-0.1233978</v>
      </c>
      <c r="T7643">
        <v>-0.19612360000000001</v>
      </c>
      <c r="U7643">
        <v>3.0039060000000002</v>
      </c>
      <c r="V7643">
        <v>-1.7278829999999998E-2</v>
      </c>
      <c r="W7643">
        <v>1.7421140000000002E-2</v>
      </c>
      <c r="X7643">
        <v>0.99969889999999995</v>
      </c>
      <c r="Y7643">
        <v>-7.7823799999999999E-2</v>
      </c>
      <c r="Z7643">
        <v>-6.4958070000000007E-2</v>
      </c>
      <c r="AA7643">
        <v>0.99484870000000003</v>
      </c>
      <c r="AB7643">
        <v>22</v>
      </c>
      <c r="AC7643">
        <v>-0.70520000000001903</v>
      </c>
      <c r="AD7643">
        <v>-1.1110943801249999</v>
      </c>
      <c r="AE7643">
        <v>16.805979999999899</v>
      </c>
      <c r="AF7643">
        <v>-1.31952688515516</v>
      </c>
      <c r="AG7643">
        <v>-1.1110943801249999</v>
      </c>
      <c r="AH7643">
        <v>16.695631894526699</v>
      </c>
      <c r="AI7643">
        <v>93.795618828423798</v>
      </c>
      <c r="AJ7643">
        <v>94.518936016036605</v>
      </c>
      <c r="AK7643">
        <v>16.784510903798498</v>
      </c>
      <c r="AL7643">
        <v>89.001791679713605</v>
      </c>
      <c r="AM7643">
        <v>90.990203618011506</v>
      </c>
      <c r="AN7643">
        <v>0.99999997237313798</v>
      </c>
    </row>
    <row r="7644" spans="1:40" x14ac:dyDescent="0.25">
      <c r="A7644" t="str">
        <f>"20190312160832977"</f>
        <v>20190312160832977</v>
      </c>
      <c r="B7644" t="str">
        <f>"1552378112973273"</f>
        <v>1552378112973273</v>
      </c>
      <c r="C7644" t="s">
        <v>40</v>
      </c>
      <c r="D7644">
        <v>6.6659149999999903</v>
      </c>
      <c r="E7644">
        <v>0.47603329999999999</v>
      </c>
      <c r="F7644" t="s">
        <v>47</v>
      </c>
      <c r="G7644">
        <v>-188.4753</v>
      </c>
      <c r="H7644" s="1">
        <v>-2.4990999999999999E-6</v>
      </c>
      <c r="I7644">
        <v>-15.17221</v>
      </c>
      <c r="J7644">
        <v>-187.61019999999999</v>
      </c>
      <c r="K7644">
        <v>1.1110910000000001</v>
      </c>
      <c r="L7644">
        <v>-34.42792</v>
      </c>
      <c r="M7644">
        <v>3.5004859999999999E-2</v>
      </c>
      <c r="N7644">
        <v>0</v>
      </c>
      <c r="O7644">
        <v>0.9992934</v>
      </c>
      <c r="P7644">
        <v>1.7342079999999999E-2</v>
      </c>
      <c r="Q7644">
        <v>3.8942320000000001E-3</v>
      </c>
      <c r="R7644">
        <v>0.99984200000000001</v>
      </c>
      <c r="S7644">
        <v>-0.1324921</v>
      </c>
      <c r="T7644">
        <v>-0.1713519</v>
      </c>
      <c r="U7644">
        <v>3.003876</v>
      </c>
      <c r="V7644">
        <v>-1.7718299999999999E-2</v>
      </c>
      <c r="W7644">
        <v>1.7533179999999999E-2</v>
      </c>
      <c r="X7644">
        <v>0.9996893</v>
      </c>
      <c r="Y7644">
        <v>-7.8940120000000003E-2</v>
      </c>
      <c r="Z7644">
        <v>-5.6782270000000003E-2</v>
      </c>
      <c r="AA7644">
        <v>0.9952609</v>
      </c>
      <c r="AB7644">
        <v>22</v>
      </c>
      <c r="AC7644">
        <v>-0.86510000000001197</v>
      </c>
      <c r="AD7644">
        <v>-1.1110934990999899</v>
      </c>
      <c r="AE7644">
        <v>19.255710000000001</v>
      </c>
      <c r="AF7644">
        <v>-1.53358049599377</v>
      </c>
      <c r="AG7644">
        <v>-1.1110934990999899</v>
      </c>
      <c r="AH7644">
        <v>19.149989320933798</v>
      </c>
      <c r="AI7644">
        <v>93.310038216114904</v>
      </c>
      <c r="AJ7644">
        <v>94.578622459678996</v>
      </c>
      <c r="AK7644">
        <v>19.243401177892501</v>
      </c>
      <c r="AL7644">
        <v>88.995371331176301</v>
      </c>
      <c r="AM7644">
        <v>91.015393011763905</v>
      </c>
      <c r="AN7644">
        <v>1.0000000235451401</v>
      </c>
    </row>
    <row r="7645" spans="1:40" x14ac:dyDescent="0.25">
      <c r="A7645" t="str">
        <f>"20190312160832998"</f>
        <v>20190312160832998</v>
      </c>
      <c r="B7645" t="str">
        <f>"1552378112993005"</f>
        <v>1552378112993005</v>
      </c>
      <c r="C7645" t="s">
        <v>40</v>
      </c>
      <c r="D7645">
        <v>6.5502310000000001</v>
      </c>
      <c r="E7645">
        <v>0.47558600000000001</v>
      </c>
      <c r="F7645" t="s">
        <v>47</v>
      </c>
      <c r="G7645">
        <v>-188.65379999999999</v>
      </c>
      <c r="H7645" s="1">
        <v>-3.7409099999999999E-6</v>
      </c>
      <c r="I7645">
        <v>-12.2037</v>
      </c>
      <c r="J7645">
        <v>-187.60480000000001</v>
      </c>
      <c r="K7645">
        <v>1.111076</v>
      </c>
      <c r="L7645">
        <v>-34.211150000000004</v>
      </c>
      <c r="M7645">
        <v>3.3145599999999997E-2</v>
      </c>
      <c r="N7645">
        <v>0</v>
      </c>
      <c r="O7645">
        <v>0.99935689999999999</v>
      </c>
      <c r="P7645">
        <v>1.50802E-2</v>
      </c>
      <c r="Q7645">
        <v>3.8298770000000002E-3</v>
      </c>
      <c r="R7645">
        <v>0.99987890000000001</v>
      </c>
      <c r="S7645">
        <v>-0.141037</v>
      </c>
      <c r="T7645">
        <v>-0.15015970000000001</v>
      </c>
      <c r="U7645">
        <v>3.0035099999999999</v>
      </c>
      <c r="V7645">
        <v>-1.8119219999999998E-2</v>
      </c>
      <c r="W7645">
        <v>1.7455950000000001E-2</v>
      </c>
      <c r="X7645">
        <v>0.9996834</v>
      </c>
      <c r="Y7645">
        <v>-7.9933879999999999E-2</v>
      </c>
      <c r="Z7645">
        <v>-4.9783960000000002E-2</v>
      </c>
      <c r="AA7645">
        <v>0.9955562</v>
      </c>
      <c r="AB7645">
        <v>22</v>
      </c>
      <c r="AC7645">
        <v>-1.04899999999997</v>
      </c>
      <c r="AD7645">
        <v>-1.1110797409099999</v>
      </c>
      <c r="AE7645">
        <v>22.007449999999999</v>
      </c>
      <c r="AF7645">
        <v>-1.77343187149766</v>
      </c>
      <c r="AG7645">
        <v>-1.1110797409099999</v>
      </c>
      <c r="AH7645">
        <v>21.904875851809699</v>
      </c>
      <c r="AI7645">
        <v>92.894268203159399</v>
      </c>
      <c r="AJ7645">
        <v>94.628605335215298</v>
      </c>
      <c r="AK7645">
        <v>22.0046164446623</v>
      </c>
      <c r="AL7645">
        <v>88.999796896145199</v>
      </c>
      <c r="AM7645">
        <v>91.038369921549702</v>
      </c>
      <c r="AN7645">
        <v>0.99999995827968402</v>
      </c>
    </row>
    <row r="7646" spans="1:40" x14ac:dyDescent="0.25">
      <c r="A7646" t="str">
        <f>"20190312160833021"</f>
        <v>20190312160833021</v>
      </c>
      <c r="B7646" t="str">
        <f>"1552378113012525"</f>
        <v>1552378113012525</v>
      </c>
      <c r="C7646" t="s">
        <v>40</v>
      </c>
      <c r="D7646">
        <v>6.5699579999999997</v>
      </c>
      <c r="E7646">
        <v>0.47602220000000001</v>
      </c>
      <c r="F7646" t="s">
        <v>47</v>
      </c>
      <c r="G7646">
        <v>-188.81549999999999</v>
      </c>
      <c r="H7646" s="1">
        <v>-3.7965700000000002E-7</v>
      </c>
      <c r="I7646">
        <v>-10.162430000000001</v>
      </c>
      <c r="J7646">
        <v>-187.59979999999999</v>
      </c>
      <c r="K7646">
        <v>1.1110610000000001</v>
      </c>
      <c r="L7646">
        <v>-33.993839999999999</v>
      </c>
      <c r="M7646">
        <v>3.1294179999999998E-2</v>
      </c>
      <c r="N7646">
        <v>0</v>
      </c>
      <c r="O7646">
        <v>0.99941690000000005</v>
      </c>
      <c r="P7646">
        <v>1.2618000000000001E-2</v>
      </c>
      <c r="Q7646">
        <v>3.2623800000000001E-3</v>
      </c>
      <c r="R7646">
        <v>0.99991509999999995</v>
      </c>
      <c r="S7646">
        <v>-0.15118409999999999</v>
      </c>
      <c r="T7646">
        <v>-0.13874979999999901</v>
      </c>
      <c r="U7646">
        <v>3.003174</v>
      </c>
      <c r="V7646">
        <v>-1.872718E-2</v>
      </c>
      <c r="W7646">
        <v>1.6869530000000001E-2</v>
      </c>
      <c r="X7646">
        <v>0.99968230000000002</v>
      </c>
      <c r="Y7646">
        <v>-8.145732E-2</v>
      </c>
      <c r="Z7646">
        <v>-4.6012150000000002E-2</v>
      </c>
      <c r="AA7646">
        <v>0.9956142</v>
      </c>
      <c r="AB7646">
        <v>22</v>
      </c>
      <c r="AC7646">
        <v>-1.21569999999999</v>
      </c>
      <c r="AD7646">
        <v>-1.1110613796569999</v>
      </c>
      <c r="AE7646">
        <v>23.831410000000002</v>
      </c>
      <c r="AF7646">
        <v>-1.9567164106142201</v>
      </c>
      <c r="AG7646">
        <v>-1.1110613796569999</v>
      </c>
      <c r="AH7646">
        <v>23.730241902351199</v>
      </c>
      <c r="AI7646">
        <v>92.671604721367004</v>
      </c>
      <c r="AJ7646">
        <v>94.713754627306997</v>
      </c>
      <c r="AK7646">
        <v>23.8366855339629</v>
      </c>
      <c r="AL7646">
        <v>89.033401273790503</v>
      </c>
      <c r="AM7646">
        <v>91.073203844783706</v>
      </c>
      <c r="AN7646">
        <v>0.99999999462323097</v>
      </c>
    </row>
    <row r="7647" spans="1:40" x14ac:dyDescent="0.25">
      <c r="A7647" t="str">
        <f>"20190312160833044"</f>
        <v>20190312160833044</v>
      </c>
      <c r="B7647" t="str">
        <f>"1552378113033021"</f>
        <v>1552378113033021</v>
      </c>
      <c r="C7647" t="s">
        <v>40</v>
      </c>
      <c r="D7647">
        <v>6.6205949999999998</v>
      </c>
      <c r="E7647">
        <v>0.47618909999999998</v>
      </c>
      <c r="F7647" t="s">
        <v>47</v>
      </c>
      <c r="G7647">
        <v>-188.7653</v>
      </c>
      <c r="H7647" s="1">
        <v>-4.0505049999999999E-6</v>
      </c>
      <c r="I7647">
        <v>-11.435919999999999</v>
      </c>
      <c r="J7647">
        <v>-187.595</v>
      </c>
      <c r="K7647">
        <v>1.11104</v>
      </c>
      <c r="L7647">
        <v>-33.763820000000003</v>
      </c>
      <c r="M7647">
        <v>2.935865E-2</v>
      </c>
      <c r="N7647">
        <v>0</v>
      </c>
      <c r="O7647">
        <v>0.99947600000000003</v>
      </c>
      <c r="P7647">
        <v>1.0076180000000001E-2</v>
      </c>
      <c r="Q7647">
        <v>3.4190589999999999E-3</v>
      </c>
      <c r="R7647">
        <v>0.99994340000000004</v>
      </c>
      <c r="S7647">
        <v>-0.1551361</v>
      </c>
      <c r="T7647">
        <v>-0.14789389999999999</v>
      </c>
      <c r="U7647">
        <v>3.0026860000000002</v>
      </c>
      <c r="V7647">
        <v>-1.933205E-2</v>
      </c>
      <c r="W7647">
        <v>1.7002059999999999E-2</v>
      </c>
      <c r="X7647">
        <v>0.99966849999999996</v>
      </c>
      <c r="Y7647">
        <v>-8.0834810000000007E-2</v>
      </c>
      <c r="Z7647">
        <v>-4.9049290000000002E-2</v>
      </c>
      <c r="AA7647">
        <v>0.99551990000000001</v>
      </c>
      <c r="AB7647">
        <v>22</v>
      </c>
      <c r="AC7647">
        <v>-1.1702999999999899</v>
      </c>
      <c r="AD7647">
        <v>-1.1110440505050001</v>
      </c>
      <c r="AE7647">
        <v>22.3279</v>
      </c>
      <c r="AF7647">
        <v>-1.8208770379113</v>
      </c>
      <c r="AG7647">
        <v>-1.1110440505050001</v>
      </c>
      <c r="AH7647">
        <v>22.229021661246499</v>
      </c>
      <c r="AI7647">
        <v>92.851822728265901</v>
      </c>
      <c r="AJ7647">
        <v>94.682894221504199</v>
      </c>
      <c r="AK7647">
        <v>22.331131097316099</v>
      </c>
      <c r="AL7647">
        <v>89.025806735342599</v>
      </c>
      <c r="AM7647">
        <v>91.107874088014199</v>
      </c>
      <c r="AN7647">
        <v>0.99999995404684605</v>
      </c>
    </row>
    <row r="7648" spans="1:40" x14ac:dyDescent="0.25">
      <c r="A7648" t="str">
        <f>"20190312160833067"</f>
        <v>20190312160833067</v>
      </c>
      <c r="B7648" t="str">
        <f>"1552378113063277"</f>
        <v>1552378113063277</v>
      </c>
      <c r="C7648" t="s">
        <v>40</v>
      </c>
      <c r="D7648">
        <v>6.9312679999999904</v>
      </c>
      <c r="E7648">
        <v>0.47696050000000001</v>
      </c>
      <c r="F7648" t="s">
        <v>47</v>
      </c>
      <c r="G7648">
        <v>-188.80760000000001</v>
      </c>
      <c r="H7648" s="1">
        <v>-4.134525E-6</v>
      </c>
      <c r="I7648">
        <v>-11.222569999999999</v>
      </c>
      <c r="J7648">
        <v>-187.59059999999999</v>
      </c>
      <c r="K7648">
        <v>1.1110059999999999</v>
      </c>
      <c r="L7648">
        <v>-33.540469999999999</v>
      </c>
      <c r="M7648">
        <v>2.7515700000000001E-2</v>
      </c>
      <c r="N7648">
        <v>0</v>
      </c>
      <c r="O7648">
        <v>0.99952890000000005</v>
      </c>
      <c r="P7648">
        <v>7.6702819999999996E-3</v>
      </c>
      <c r="Q7648">
        <v>3.2846479999999998E-3</v>
      </c>
      <c r="R7648">
        <v>0.9999652</v>
      </c>
      <c r="S7648">
        <v>-0.161514299999999</v>
      </c>
      <c r="T7648">
        <v>-0.1479809</v>
      </c>
      <c r="U7648">
        <v>3.0022890000000002</v>
      </c>
      <c r="V7648">
        <v>-1.989316E-2</v>
      </c>
      <c r="W7648">
        <v>1.682852E-2</v>
      </c>
      <c r="X7648">
        <v>0.99966049999999995</v>
      </c>
      <c r="Y7648">
        <v>-8.1112719999999999E-2</v>
      </c>
      <c r="Z7648">
        <v>-4.9085129999999998E-2</v>
      </c>
      <c r="AA7648">
        <v>0.99549560000000004</v>
      </c>
      <c r="AB7648">
        <v>22</v>
      </c>
      <c r="AC7648">
        <v>-1.2170000000000101</v>
      </c>
      <c r="AD7648">
        <v>-1.1110101345250001</v>
      </c>
      <c r="AE7648">
        <v>22.317900000000002</v>
      </c>
      <c r="AF7648">
        <v>-1.8261763939498501</v>
      </c>
      <c r="AG7648">
        <v>-1.1110101345250001</v>
      </c>
      <c r="AH7648">
        <v>22.221054466370202</v>
      </c>
      <c r="AI7648">
        <v>92.852694424680706</v>
      </c>
      <c r="AJ7648">
        <v>94.698138465182396</v>
      </c>
      <c r="AK7648">
        <v>22.323631544581399</v>
      </c>
      <c r="AL7648">
        <v>89.0357513376551</v>
      </c>
      <c r="AM7648">
        <v>91.140030729998102</v>
      </c>
      <c r="AN7648">
        <v>1.00000002608021</v>
      </c>
    </row>
    <row r="7649" spans="1:40" x14ac:dyDescent="0.25">
      <c r="A7649" t="str">
        <f>"20190312160833087"</f>
        <v>20190312160833087</v>
      </c>
      <c r="B7649" t="str">
        <f>"1552378113082796"</f>
        <v>1552378113082796</v>
      </c>
      <c r="C7649" t="s">
        <v>40</v>
      </c>
      <c r="D7649">
        <v>6.4634580000000001</v>
      </c>
      <c r="E7649">
        <v>0.47763499999999998</v>
      </c>
      <c r="F7649" t="s">
        <v>47</v>
      </c>
      <c r="G7649">
        <v>-188.7962</v>
      </c>
      <c r="H7649" s="1">
        <v>-4.1058440000000001E-6</v>
      </c>
      <c r="I7649">
        <v>-11.294119999999999</v>
      </c>
      <c r="J7649">
        <v>-187.58699999999999</v>
      </c>
      <c r="K7649">
        <v>1.110968</v>
      </c>
      <c r="L7649">
        <v>-33.339080000000003</v>
      </c>
      <c r="M7649">
        <v>2.5899579999999998E-2</v>
      </c>
      <c r="N7649">
        <v>0</v>
      </c>
      <c r="O7649">
        <v>0.99957280000000004</v>
      </c>
      <c r="P7649">
        <v>5.3140540000000003E-3</v>
      </c>
      <c r="Q7649">
        <v>3.845247E-3</v>
      </c>
      <c r="R7649">
        <v>0.99997849999999999</v>
      </c>
      <c r="S7649">
        <v>-0.16268920000000001</v>
      </c>
      <c r="T7649">
        <v>-0.14991679999999999</v>
      </c>
      <c r="U7649">
        <v>3.001862</v>
      </c>
      <c r="V7649">
        <v>-2.0632299999999999E-2</v>
      </c>
      <c r="W7649">
        <v>1.733152E-2</v>
      </c>
      <c r="X7649">
        <v>0.99963690000000005</v>
      </c>
      <c r="Y7649">
        <v>-7.9895469999999996E-2</v>
      </c>
      <c r="Z7649">
        <v>-4.973785E-2</v>
      </c>
      <c r="AA7649">
        <v>0.99556160000000005</v>
      </c>
      <c r="AB7649">
        <v>22</v>
      </c>
      <c r="AC7649">
        <v>-1.2091999999999801</v>
      </c>
      <c r="AD7649">
        <v>-1.1109721058440001</v>
      </c>
      <c r="AE7649">
        <v>22.04496</v>
      </c>
      <c r="AF7649">
        <v>-1.7753066003417</v>
      </c>
      <c r="AG7649">
        <v>-1.1109721058440001</v>
      </c>
      <c r="AH7649">
        <v>21.950661465428499</v>
      </c>
      <c r="AI7649">
        <v>92.887981471819103</v>
      </c>
      <c r="AJ7649">
        <v>94.6238542786013</v>
      </c>
      <c r="AK7649">
        <v>22.050340390003701</v>
      </c>
      <c r="AL7649">
        <v>89.006927333028301</v>
      </c>
      <c r="AM7649">
        <v>91.182405221032695</v>
      </c>
      <c r="AN7649">
        <v>1.0000000026152001</v>
      </c>
    </row>
    <row r="7650" spans="1:40" x14ac:dyDescent="0.25">
      <c r="A7650" t="str">
        <f>"20190312160833110"</f>
        <v>20190312160833110</v>
      </c>
      <c r="B7650" t="str">
        <f>"1552378113103293"</f>
        <v>1552378113103293</v>
      </c>
      <c r="C7650" t="s">
        <v>40</v>
      </c>
      <c r="D7650">
        <v>6.1312340000000001</v>
      </c>
      <c r="E7650">
        <v>0.47182380000000002</v>
      </c>
      <c r="F7650" t="s">
        <v>47</v>
      </c>
      <c r="G7650">
        <v>-188.78710000000001</v>
      </c>
      <c r="H7650" s="1">
        <v>-4.0654229999999996E-6</v>
      </c>
      <c r="I7650">
        <v>-11.392110000000001</v>
      </c>
      <c r="J7650">
        <v>-187.58330000000001</v>
      </c>
      <c r="K7650">
        <v>1.110905</v>
      </c>
      <c r="L7650">
        <v>-33.117800000000003</v>
      </c>
      <c r="M7650">
        <v>2.419255E-2</v>
      </c>
      <c r="N7650">
        <v>0</v>
      </c>
      <c r="O7650">
        <v>0.99961670000000002</v>
      </c>
      <c r="P7650">
        <v>3.4859779999999998E-3</v>
      </c>
      <c r="Q7650">
        <v>3.02513E-3</v>
      </c>
      <c r="R7650">
        <v>0.99998929999999997</v>
      </c>
      <c r="S7650">
        <v>-0.1641388</v>
      </c>
      <c r="T7650">
        <v>-0.15193950000000001</v>
      </c>
      <c r="U7650">
        <v>3.0015260000000001</v>
      </c>
      <c r="V7650">
        <v>-2.0748920000000001E-2</v>
      </c>
      <c r="W7650">
        <v>1.6434230000000001E-2</v>
      </c>
      <c r="X7650">
        <v>0.99964960000000003</v>
      </c>
      <c r="Y7650">
        <v>-7.8676709999999997E-2</v>
      </c>
      <c r="Z7650">
        <v>-5.041789E-2</v>
      </c>
      <c r="AA7650">
        <v>0.99562439999999996</v>
      </c>
      <c r="AB7650">
        <v>22</v>
      </c>
      <c r="AC7650">
        <v>-1.2038</v>
      </c>
      <c r="AD7650">
        <v>-1.1109090654230001</v>
      </c>
      <c r="AE7650">
        <v>21.72569</v>
      </c>
      <c r="AF7650">
        <v>-1.7245996807558801</v>
      </c>
      <c r="AG7650">
        <v>-1.1109090654230001</v>
      </c>
      <c r="AH7650">
        <v>21.633813248660001</v>
      </c>
      <c r="AI7650">
        <v>92.930310162046297</v>
      </c>
      <c r="AJ7650">
        <v>94.557854019277798</v>
      </c>
      <c r="AK7650">
        <v>21.7308591336928</v>
      </c>
      <c r="AL7650">
        <v>89.058345554981699</v>
      </c>
      <c r="AM7650">
        <v>91.189071517136895</v>
      </c>
      <c r="AN7650">
        <v>0.99999996218850895</v>
      </c>
    </row>
    <row r="7651" spans="1:40" x14ac:dyDescent="0.25">
      <c r="A7651" t="str">
        <f>"20190312160833155"</f>
        <v>20190312160833155</v>
      </c>
      <c r="B7651" t="str">
        <f>"1552378113153069"</f>
        <v>1552378113153069</v>
      </c>
      <c r="C7651" t="s">
        <v>40</v>
      </c>
      <c r="D7651">
        <v>7.352684</v>
      </c>
      <c r="E7651">
        <v>0.47182380000000002</v>
      </c>
      <c r="F7651" t="s">
        <v>44</v>
      </c>
      <c r="G7651">
        <v>-187.63589999999999</v>
      </c>
      <c r="H7651">
        <v>0.92456719999999903</v>
      </c>
      <c r="I7651">
        <v>-32.402369999999998</v>
      </c>
      <c r="J7651">
        <v>-187.57679999999999</v>
      </c>
      <c r="K7651">
        <v>1.1107359999999999</v>
      </c>
      <c r="L7651">
        <v>-32.683439999999997</v>
      </c>
      <c r="M7651">
        <v>2.111973E-2</v>
      </c>
      <c r="N7651">
        <v>0</v>
      </c>
      <c r="O7651">
        <v>0.99968869999999999</v>
      </c>
      <c r="P7651">
        <v>3.3612920000000001E-3</v>
      </c>
      <c r="Q7651">
        <v>2.9833759999999998E-3</v>
      </c>
      <c r="R7651">
        <v>0.99998989999999999</v>
      </c>
      <c r="S7651">
        <v>-0.22128300000000001</v>
      </c>
      <c r="T7651">
        <v>-0.78224899999999997</v>
      </c>
      <c r="U7651">
        <v>3.003174</v>
      </c>
      <c r="V7651">
        <v>-1.7794009999999999E-2</v>
      </c>
      <c r="W7651">
        <v>1.6229219999999999E-2</v>
      </c>
      <c r="X7651">
        <v>0.99970999999999999</v>
      </c>
      <c r="Y7651">
        <v>-9.2175080000000006E-2</v>
      </c>
      <c r="Z7651">
        <v>-0.2511217</v>
      </c>
      <c r="AA7651">
        <v>0.96355679999999999</v>
      </c>
      <c r="AB7651">
        <v>22</v>
      </c>
      <c r="AC7651">
        <v>-5.9100000000000798E-2</v>
      </c>
      <c r="AD7651">
        <v>-0.1861688</v>
      </c>
      <c r="AE7651">
        <v>0.28107000000000598</v>
      </c>
      <c r="AF7651">
        <v>-4.57865983745862E-2</v>
      </c>
      <c r="AG7651">
        <v>-0.1861688</v>
      </c>
      <c r="AH7651">
        <v>0.19699371730739801</v>
      </c>
      <c r="AI7651">
        <v>132.62995277904801</v>
      </c>
      <c r="AJ7651">
        <v>103.084747978644</v>
      </c>
      <c r="AK7651">
        <v>0.27488499293839802</v>
      </c>
      <c r="AL7651">
        <v>89.070093410976995</v>
      </c>
      <c r="AM7651">
        <v>91.019709744838295</v>
      </c>
      <c r="AN7651">
        <v>1.0000000492368399</v>
      </c>
    </row>
    <row r="7652" spans="1:40" x14ac:dyDescent="0.25">
      <c r="A7652" t="str">
        <f>"20190312160833175"</f>
        <v>20190312160833175</v>
      </c>
      <c r="B7652" t="str">
        <f>"1552378113172589"</f>
        <v>1552378113172589</v>
      </c>
      <c r="C7652" t="s">
        <v>40</v>
      </c>
      <c r="D7652">
        <v>6.4942960000000003</v>
      </c>
      <c r="E7652">
        <v>0.47944880000000001</v>
      </c>
      <c r="F7652" t="s">
        <v>44</v>
      </c>
      <c r="G7652">
        <v>-187.6395</v>
      </c>
      <c r="H7652">
        <v>0.88884969999999996</v>
      </c>
      <c r="I7652">
        <v>-31.831679999999999</v>
      </c>
      <c r="J7652">
        <v>-187.57409999999999</v>
      </c>
      <c r="K7652">
        <v>1.110652</v>
      </c>
      <c r="L7652">
        <v>-32.479610000000001</v>
      </c>
      <c r="M7652">
        <v>1.983234E-2</v>
      </c>
      <c r="N7652">
        <v>0</v>
      </c>
      <c r="O7652">
        <v>0.99971620000000005</v>
      </c>
      <c r="P7652">
        <v>4.0282920000000002E-3</v>
      </c>
      <c r="Q7652">
        <v>2.8036960000000001E-3</v>
      </c>
      <c r="R7652">
        <v>0.99998799999999999</v>
      </c>
      <c r="S7652">
        <v>-0.22155759999999999</v>
      </c>
      <c r="T7652">
        <v>-0.78236059999999996</v>
      </c>
      <c r="U7652">
        <v>3.0031129999999999</v>
      </c>
      <c r="V7652">
        <v>-1.5836240000000001E-2</v>
      </c>
      <c r="W7652">
        <v>1.5971280000000001E-2</v>
      </c>
      <c r="X7652">
        <v>0.99974700000000005</v>
      </c>
      <c r="Y7652">
        <v>-9.0981090000000001E-2</v>
      </c>
      <c r="Z7652">
        <v>-0.25118299999999999</v>
      </c>
      <c r="AA7652">
        <v>0.96365429999999996</v>
      </c>
      <c r="AB7652">
        <v>22</v>
      </c>
      <c r="AC7652">
        <v>-6.5400000000010894E-2</v>
      </c>
      <c r="AD7652">
        <v>-0.22180229999999901</v>
      </c>
      <c r="AE7652">
        <v>0.647930000000002</v>
      </c>
      <c r="AF7652">
        <v>-7.0105671968709704E-2</v>
      </c>
      <c r="AG7652">
        <v>-0.22180229999999901</v>
      </c>
      <c r="AH7652">
        <v>0.57930374442430799</v>
      </c>
      <c r="AI7652">
        <v>110.81200557056999</v>
      </c>
      <c r="AJ7652">
        <v>96.9002160117969</v>
      </c>
      <c r="AK7652">
        <v>0.62426268015275299</v>
      </c>
      <c r="AL7652">
        <v>89.084874123460096</v>
      </c>
      <c r="AM7652">
        <v>90.907503436401299</v>
      </c>
      <c r="AN7652">
        <v>0.99999996614558695</v>
      </c>
    </row>
    <row r="7653" spans="1:40" x14ac:dyDescent="0.25">
      <c r="A7653" t="str">
        <f>"20190312160833198"</f>
        <v>20190312160833198</v>
      </c>
      <c r="B7653" t="str">
        <f>"1552378113193085"</f>
        <v>1552378113193085</v>
      </c>
      <c r="C7653" t="s">
        <v>40</v>
      </c>
      <c r="D7653">
        <v>6.8140280000000004</v>
      </c>
      <c r="E7653">
        <v>0.4782999</v>
      </c>
      <c r="F7653" t="s">
        <v>44</v>
      </c>
      <c r="G7653">
        <v>-187.61750000000001</v>
      </c>
      <c r="H7653">
        <v>0.81048809999999905</v>
      </c>
      <c r="I7653">
        <v>-31.671720000000001</v>
      </c>
      <c r="J7653">
        <v>-187.57130000000001</v>
      </c>
      <c r="K7653">
        <v>1.1105750000000001</v>
      </c>
      <c r="L7653">
        <v>-32.259920000000001</v>
      </c>
      <c r="M7653">
        <v>1.8540399999999999E-2</v>
      </c>
      <c r="N7653">
        <v>0</v>
      </c>
      <c r="O7653">
        <v>0.99974220000000003</v>
      </c>
      <c r="P7653">
        <v>3.700021E-3</v>
      </c>
      <c r="Q7653">
        <v>3.3551570000000001E-3</v>
      </c>
      <c r="R7653">
        <v>0.99998750000000003</v>
      </c>
      <c r="S7653">
        <v>-0.16160579999999999</v>
      </c>
      <c r="T7653">
        <v>-1.116077</v>
      </c>
      <c r="U7653">
        <v>3.0038149999999999</v>
      </c>
      <c r="V7653">
        <v>-1.4870299999999999E-2</v>
      </c>
      <c r="W7653">
        <v>1.6440429999999999E-2</v>
      </c>
      <c r="X7653">
        <v>0.99975429999999998</v>
      </c>
      <c r="Y7653">
        <v>-6.8877129999999995E-2</v>
      </c>
      <c r="Z7653">
        <v>-0.34756160000000003</v>
      </c>
      <c r="AA7653">
        <v>0.93512399999999996</v>
      </c>
      <c r="AB7653">
        <v>22</v>
      </c>
      <c r="AC7653">
        <v>-4.6199999999998902E-2</v>
      </c>
      <c r="AD7653">
        <v>-0.30008689999999999</v>
      </c>
      <c r="AE7653">
        <v>0.58819999999999995</v>
      </c>
      <c r="AF7653">
        <v>-4.5363542567204602E-2</v>
      </c>
      <c r="AG7653">
        <v>-0.30008689999999999</v>
      </c>
      <c r="AH7653">
        <v>0.46655180227308801</v>
      </c>
      <c r="AI7653">
        <v>122.626666948718</v>
      </c>
      <c r="AJ7653">
        <v>95.553498971338797</v>
      </c>
      <c r="AK7653">
        <v>0.55657935889693499</v>
      </c>
      <c r="AL7653">
        <v>89.057990343582105</v>
      </c>
      <c r="AM7653">
        <v>90.852151981169001</v>
      </c>
      <c r="AN7653">
        <v>1.0000000369645801</v>
      </c>
    </row>
    <row r="7654" spans="1:40" x14ac:dyDescent="0.25">
      <c r="A7654" t="str">
        <f>"20190312160833221"</f>
        <v>20190312160833221</v>
      </c>
      <c r="B7654" t="str">
        <f>"1552378113212605"</f>
        <v>1552378113212605</v>
      </c>
      <c r="C7654" t="s">
        <v>40</v>
      </c>
      <c r="D7654">
        <v>7.0413050000000004</v>
      </c>
      <c r="E7654">
        <v>0.47715410000000003</v>
      </c>
      <c r="F7654" t="s">
        <v>44</v>
      </c>
      <c r="G7654">
        <v>-187.61850000000001</v>
      </c>
      <c r="H7654">
        <v>0.98350110000000002</v>
      </c>
      <c r="I7654">
        <v>-31.401140000000002</v>
      </c>
      <c r="J7654">
        <v>-187.56870000000001</v>
      </c>
      <c r="K7654">
        <v>1.1105119999999999</v>
      </c>
      <c r="L7654">
        <v>-32.035980000000002</v>
      </c>
      <c r="M7654">
        <v>1.732763E-2</v>
      </c>
      <c r="N7654">
        <v>0</v>
      </c>
      <c r="O7654">
        <v>0.99976500000000001</v>
      </c>
      <c r="P7654">
        <v>3.1814790000000001E-3</v>
      </c>
      <c r="Q7654">
        <v>3.4568049999999999E-3</v>
      </c>
      <c r="R7654">
        <v>0.99998900000000002</v>
      </c>
      <c r="S7654">
        <v>-0.16523740000000001</v>
      </c>
      <c r="T7654">
        <v>-0.44423780000000002</v>
      </c>
      <c r="U7654">
        <v>3.0021360000000001</v>
      </c>
      <c r="V7654">
        <v>-1.41738E-2</v>
      </c>
      <c r="W7654">
        <v>1.646332E-2</v>
      </c>
      <c r="X7654">
        <v>0.99976399999999999</v>
      </c>
      <c r="Y7654">
        <v>-7.1661820000000001E-2</v>
      </c>
      <c r="Z7654">
        <v>-0.1460504</v>
      </c>
      <c r="AA7654">
        <v>0.98667819999999995</v>
      </c>
      <c r="AB7654">
        <v>22</v>
      </c>
      <c r="AC7654">
        <v>-4.9800000000004702E-2</v>
      </c>
      <c r="AD7654">
        <v>-0.12701090000000001</v>
      </c>
      <c r="AE7654">
        <v>0.63483999999999996</v>
      </c>
      <c r="AF7654">
        <v>-5.8467750599539299E-2</v>
      </c>
      <c r="AG7654">
        <v>-0.12701090000000001</v>
      </c>
      <c r="AH7654">
        <v>0.60962927091404195</v>
      </c>
      <c r="AI7654">
        <v>101.716456030188</v>
      </c>
      <c r="AJ7654">
        <v>95.478313912583204</v>
      </c>
      <c r="AK7654">
        <v>0.62545830759065502</v>
      </c>
      <c r="AL7654">
        <v>89.056678627636799</v>
      </c>
      <c r="AM7654">
        <v>90.812236205650706</v>
      </c>
      <c r="AN7654">
        <v>0.99999999660393102</v>
      </c>
    </row>
    <row r="7655" spans="1:40" x14ac:dyDescent="0.25">
      <c r="A7655" t="str">
        <f>"20190312160833246"</f>
        <v>20190312160833246</v>
      </c>
      <c r="B7655" t="str">
        <f>"1552378113242860"</f>
        <v>1552378113242860</v>
      </c>
      <c r="C7655" t="s">
        <v>40</v>
      </c>
      <c r="D7655">
        <v>6.9903679999999904</v>
      </c>
      <c r="E7655">
        <v>0.47682029999999997</v>
      </c>
      <c r="F7655" t="s">
        <v>47</v>
      </c>
      <c r="G7655">
        <v>-188.2576</v>
      </c>
      <c r="H7655" s="1">
        <v>-5.0966310000000005E-7</v>
      </c>
      <c r="I7655">
        <v>-20.216619999999999</v>
      </c>
      <c r="J7655">
        <v>-187.566</v>
      </c>
      <c r="K7655">
        <v>1.1104499999999999</v>
      </c>
      <c r="L7655">
        <v>-31.79626</v>
      </c>
      <c r="M7655">
        <v>1.6148220000000001E-2</v>
      </c>
      <c r="N7655">
        <v>0</v>
      </c>
      <c r="O7655">
        <v>0.99978579999999995</v>
      </c>
      <c r="P7655">
        <v>3.2851600000000001E-3</v>
      </c>
      <c r="Q7655">
        <v>3.3197890000000001E-3</v>
      </c>
      <c r="R7655">
        <v>0.99998909999999996</v>
      </c>
      <c r="S7655">
        <v>-0.17494199999999999</v>
      </c>
      <c r="T7655">
        <v>-0.28201749999999998</v>
      </c>
      <c r="U7655">
        <v>3.0015559999999999</v>
      </c>
      <c r="V7655">
        <v>-1.2887630000000001E-2</v>
      </c>
      <c r="W7655">
        <v>1.6243520000000001E-2</v>
      </c>
      <c r="X7655">
        <v>0.99978500000000003</v>
      </c>
      <c r="Y7655">
        <v>-7.4045620000000006E-2</v>
      </c>
      <c r="Z7655">
        <v>-9.3319830000000006E-2</v>
      </c>
      <c r="AA7655">
        <v>0.99287899999999996</v>
      </c>
      <c r="AB7655">
        <v>22</v>
      </c>
      <c r="AC7655">
        <v>-0.69160000000002197</v>
      </c>
      <c r="AD7655">
        <v>-1.1104505096631001</v>
      </c>
      <c r="AE7655">
        <v>11.5796399999999</v>
      </c>
      <c r="AF7655">
        <v>-0.87053885973280598</v>
      </c>
      <c r="AG7655">
        <v>-1.1104505096631001</v>
      </c>
      <c r="AH7655">
        <v>11.4619293147422</v>
      </c>
      <c r="AI7655">
        <v>95.5178458093784</v>
      </c>
      <c r="AJ7655">
        <v>94.343302489045399</v>
      </c>
      <c r="AK7655">
        <v>11.5484527906063</v>
      </c>
      <c r="AL7655">
        <v>89.069273922484697</v>
      </c>
      <c r="AM7655">
        <v>90.738524695318105</v>
      </c>
      <c r="AN7655">
        <v>0.99999999458700295</v>
      </c>
    </row>
    <row r="7656" spans="1:40" x14ac:dyDescent="0.25">
      <c r="A7656" t="str">
        <f>"20190312160833268"</f>
        <v>20190312160833268</v>
      </c>
      <c r="B7656" t="str">
        <f>"1552378113263358"</f>
        <v>1552378113263358</v>
      </c>
      <c r="C7656" t="s">
        <v>40</v>
      </c>
      <c r="D7656">
        <v>6.6005580000000004</v>
      </c>
      <c r="E7656">
        <v>0.47735</v>
      </c>
      <c r="F7656" t="s">
        <v>47</v>
      </c>
      <c r="G7656">
        <v>-189.08629999999999</v>
      </c>
      <c r="H7656" s="1">
        <v>-2.0749600000000002E-6</v>
      </c>
      <c r="I7656">
        <v>-5.9082290000000004</v>
      </c>
      <c r="J7656">
        <v>-187.56379999999999</v>
      </c>
      <c r="K7656">
        <v>1.1103879999999999</v>
      </c>
      <c r="L7656">
        <v>-31.58466</v>
      </c>
      <c r="M7656">
        <v>1.5209469999999999E-2</v>
      </c>
      <c r="N7656">
        <v>0</v>
      </c>
      <c r="O7656">
        <v>0.99980150000000001</v>
      </c>
      <c r="P7656">
        <v>3.2883539999999998E-3</v>
      </c>
      <c r="Q7656">
        <v>4.239535E-3</v>
      </c>
      <c r="R7656">
        <v>0.99998560000000003</v>
      </c>
      <c r="S7656">
        <v>-0.17623900000000001</v>
      </c>
      <c r="T7656">
        <v>-0.1287278</v>
      </c>
      <c r="U7656">
        <v>3.0010379999999999</v>
      </c>
      <c r="V7656">
        <v>-1.194447E-2</v>
      </c>
      <c r="W7656">
        <v>1.7089790000000001E-2</v>
      </c>
      <c r="X7656">
        <v>0.99978259999999997</v>
      </c>
      <c r="Y7656">
        <v>-7.3749170000000003E-2</v>
      </c>
      <c r="Z7656">
        <v>-4.2752459999999999E-2</v>
      </c>
      <c r="AA7656">
        <v>0.99636000000000002</v>
      </c>
      <c r="AB7656">
        <v>22</v>
      </c>
      <c r="AC7656">
        <v>-1.5225</v>
      </c>
      <c r="AD7656">
        <v>-1.11039007496</v>
      </c>
      <c r="AE7656">
        <v>25.676430999999901</v>
      </c>
      <c r="AF7656">
        <v>-1.9093228613453701</v>
      </c>
      <c r="AG7656">
        <v>-1.11039007496</v>
      </c>
      <c r="AH7656">
        <v>25.602588646005501</v>
      </c>
      <c r="AI7656">
        <v>92.476506289262701</v>
      </c>
      <c r="AJ7656">
        <v>94.264959902098198</v>
      </c>
      <c r="AK7656">
        <v>25.6976852125633</v>
      </c>
      <c r="AL7656">
        <v>89.020779480445498</v>
      </c>
      <c r="AM7656">
        <v>90.684483968637295</v>
      </c>
      <c r="AN7656">
        <v>0.99999998927429201</v>
      </c>
    </row>
    <row r="7657" spans="1:40" x14ac:dyDescent="0.25">
      <c r="A7657" t="str">
        <f>"20190312160833289"</f>
        <v>20190312160833289</v>
      </c>
      <c r="B7657" t="str">
        <f>"1552378113282877"</f>
        <v>1552378113282877</v>
      </c>
      <c r="C7657" t="s">
        <v>40</v>
      </c>
      <c r="D7657">
        <v>6.7220619999999904</v>
      </c>
      <c r="E7657">
        <v>0.47787990000000002</v>
      </c>
      <c r="F7657" t="s">
        <v>47</v>
      </c>
      <c r="G7657">
        <v>-190.7243</v>
      </c>
      <c r="H7657" s="1">
        <v>-1.979391E-6</v>
      </c>
      <c r="I7657">
        <v>23.753879999999999</v>
      </c>
      <c r="J7657">
        <v>-187.5617</v>
      </c>
      <c r="K7657">
        <v>1.110322</v>
      </c>
      <c r="L7657">
        <v>-31.373629999999999</v>
      </c>
      <c r="M7657">
        <v>1.4360650000000001E-2</v>
      </c>
      <c r="N7657">
        <v>0</v>
      </c>
      <c r="O7657">
        <v>0.99981500000000001</v>
      </c>
      <c r="P7657">
        <v>2.9634660000000001E-3</v>
      </c>
      <c r="Q7657">
        <v>4.7723009999999996E-3</v>
      </c>
      <c r="R7657">
        <v>0.99998419999999999</v>
      </c>
      <c r="S7657">
        <v>-0.1713867</v>
      </c>
      <c r="T7657">
        <v>-6.0213330000000002E-2</v>
      </c>
      <c r="U7657">
        <v>3.0008539999999999</v>
      </c>
      <c r="V7657">
        <v>-1.1418070000000001E-2</v>
      </c>
      <c r="W7657">
        <v>1.7550349999999999E-2</v>
      </c>
      <c r="X7657">
        <v>0.99978080000000003</v>
      </c>
      <c r="Y7657">
        <v>-7.1340870000000001E-2</v>
      </c>
      <c r="Z7657">
        <v>-2.0016389999999998E-2</v>
      </c>
      <c r="AA7657">
        <v>0.9972512</v>
      </c>
      <c r="AB7657">
        <v>22</v>
      </c>
      <c r="AC7657">
        <v>-3.1625999999999901</v>
      </c>
      <c r="AD7657">
        <v>-1.110323979391</v>
      </c>
      <c r="AE7657">
        <v>55.127510000000001</v>
      </c>
      <c r="AF7657">
        <v>-3.95240744234829</v>
      </c>
      <c r="AG7657">
        <v>-1.110323979391</v>
      </c>
      <c r="AH7657">
        <v>55.0541436122855</v>
      </c>
      <c r="AI7657">
        <v>91.152411200043005</v>
      </c>
      <c r="AJ7657">
        <v>94.106292428989406</v>
      </c>
      <c r="AK7657">
        <v>55.207002027022803</v>
      </c>
      <c r="AL7657">
        <v>88.994387405269705</v>
      </c>
      <c r="AM7657">
        <v>90.654322208199105</v>
      </c>
      <c r="AN7657">
        <v>1.0000000175781401</v>
      </c>
    </row>
    <row r="7658" spans="1:40" x14ac:dyDescent="0.25">
      <c r="A7658" t="str">
        <f>"20190312160833312"</f>
        <v>20190312160833312</v>
      </c>
      <c r="B7658" t="str">
        <f>"1552378113303373"</f>
        <v>1552378113303373</v>
      </c>
      <c r="C7658" t="s">
        <v>40</v>
      </c>
      <c r="D7658">
        <v>6.614446</v>
      </c>
      <c r="E7658">
        <v>0.47930879999999998</v>
      </c>
      <c r="F7658" t="s">
        <v>47</v>
      </c>
      <c r="G7658">
        <v>-192.63730000000001</v>
      </c>
      <c r="H7658" s="1">
        <v>-4.6531070000000004E-6</v>
      </c>
      <c r="I7658">
        <v>59.285440000000001</v>
      </c>
      <c r="J7658">
        <v>-187.55950000000001</v>
      </c>
      <c r="K7658">
        <v>1.11025</v>
      </c>
      <c r="L7658">
        <v>-31.148620000000001</v>
      </c>
      <c r="M7658">
        <v>1.3537240000000001E-2</v>
      </c>
      <c r="N7658">
        <v>0</v>
      </c>
      <c r="O7658">
        <v>0.99982749999999998</v>
      </c>
      <c r="P7658">
        <v>2.4265570000000002E-3</v>
      </c>
      <c r="Q7658">
        <v>5.1440039999999998E-3</v>
      </c>
      <c r="R7658">
        <v>0.99998379999999998</v>
      </c>
      <c r="S7658">
        <v>-0.16799929999999999</v>
      </c>
      <c r="T7658">
        <v>-3.6750789999999998E-2</v>
      </c>
      <c r="U7658">
        <v>3.0007320000000002</v>
      </c>
      <c r="V7658">
        <v>-1.1129109999999999E-2</v>
      </c>
      <c r="W7658">
        <v>1.7846890000000001E-2</v>
      </c>
      <c r="X7658">
        <v>0.99977879999999997</v>
      </c>
      <c r="Y7658">
        <v>-6.9406430000000005E-2</v>
      </c>
      <c r="Z7658">
        <v>-1.222034E-2</v>
      </c>
      <c r="AA7658">
        <v>0.9975136</v>
      </c>
      <c r="AB7658">
        <v>22</v>
      </c>
      <c r="AC7658">
        <v>-5.0777999999999901</v>
      </c>
      <c r="AD7658">
        <v>-1.1102546531069999</v>
      </c>
      <c r="AE7658">
        <v>90.434060000000002</v>
      </c>
      <c r="AF7658">
        <v>-6.3007145244555298</v>
      </c>
      <c r="AG7658">
        <v>-1.1102546531069999</v>
      </c>
      <c r="AH7658">
        <v>90.343452901289695</v>
      </c>
      <c r="AI7658">
        <v>90.7023816665765</v>
      </c>
      <c r="AJ7658">
        <v>93.989450726990697</v>
      </c>
      <c r="AK7658">
        <v>90.569703273451097</v>
      </c>
      <c r="AL7658">
        <v>88.977394244335798</v>
      </c>
      <c r="AM7658">
        <v>90.637765770965899</v>
      </c>
      <c r="AN7658">
        <v>1.0000000087507499</v>
      </c>
    </row>
    <row r="7659" spans="1:40" x14ac:dyDescent="0.25">
      <c r="A7659" t="str">
        <f>"20190312160833333"</f>
        <v>20190312160833333</v>
      </c>
      <c r="B7659" t="str">
        <f>"1552378113322893"</f>
        <v>1552378113322893</v>
      </c>
      <c r="C7659" t="s">
        <v>40</v>
      </c>
      <c r="D7659">
        <v>6.6736110000000002</v>
      </c>
      <c r="E7659">
        <v>0.47589720000000002</v>
      </c>
      <c r="F7659" t="s">
        <v>47</v>
      </c>
      <c r="G7659">
        <v>-198.90119999999999</v>
      </c>
      <c r="H7659" s="1">
        <v>-4.1006750000000003E-6</v>
      </c>
      <c r="I7659">
        <v>184.39709999999999</v>
      </c>
      <c r="J7659">
        <v>-187.55760000000001</v>
      </c>
      <c r="K7659">
        <v>1.110195</v>
      </c>
      <c r="L7659">
        <v>-30.943729999999999</v>
      </c>
      <c r="M7659">
        <v>1.286029E-2</v>
      </c>
      <c r="N7659">
        <v>0</v>
      </c>
      <c r="O7659">
        <v>0.99983730000000004</v>
      </c>
      <c r="P7659">
        <v>1.1969189999999901E-3</v>
      </c>
      <c r="Q7659">
        <v>4.9525380000000003E-3</v>
      </c>
      <c r="R7659">
        <v>0.99998699999999996</v>
      </c>
      <c r="S7659">
        <v>-0.15788269999999999</v>
      </c>
      <c r="T7659">
        <v>-1.545537E-2</v>
      </c>
      <c r="U7659">
        <v>3.0005190000000002</v>
      </c>
      <c r="V7659">
        <v>-1.167931E-2</v>
      </c>
      <c r="W7659">
        <v>1.7588489999999998E-2</v>
      </c>
      <c r="X7659">
        <v>0.99977709999999997</v>
      </c>
      <c r="Y7659">
        <v>-6.5384289999999998E-2</v>
      </c>
      <c r="Z7659">
        <v>-5.1411240000000004E-3</v>
      </c>
      <c r="AA7659">
        <v>0.99784689999999998</v>
      </c>
      <c r="AB7659">
        <v>22</v>
      </c>
      <c r="AC7659">
        <v>-11.343599999999901</v>
      </c>
      <c r="AD7659">
        <v>-1.1101991006750001</v>
      </c>
      <c r="AE7659">
        <v>215.34083000000001</v>
      </c>
      <c r="AF7659">
        <v>-14.111854796949499</v>
      </c>
      <c r="AG7659">
        <v>-1.1101991006750001</v>
      </c>
      <c r="AH7659">
        <v>215.17142211306401</v>
      </c>
      <c r="AI7659">
        <v>90.294987127714506</v>
      </c>
      <c r="AJ7659">
        <v>93.752326521640697</v>
      </c>
      <c r="AK7659">
        <v>215.63654115666901</v>
      </c>
      <c r="AL7659">
        <v>88.992201794720799</v>
      </c>
      <c r="AM7659">
        <v>90.669293918597205</v>
      </c>
      <c r="AN7659">
        <v>1.0000000054734799</v>
      </c>
    </row>
    <row r="7660" spans="1:40" x14ac:dyDescent="0.25">
      <c r="A7660" t="str">
        <f>"20190312160833356"</f>
        <v>20190312160833356</v>
      </c>
      <c r="B7660" t="str">
        <f>"1552378113343389"</f>
        <v>1552378113343389</v>
      </c>
      <c r="C7660" t="s">
        <v>40</v>
      </c>
      <c r="D7660">
        <v>6.5190809999999999</v>
      </c>
      <c r="E7660">
        <v>0.47703519999999999</v>
      </c>
      <c r="F7660" t="s">
        <v>46</v>
      </c>
      <c r="G7660">
        <v>-213.8108</v>
      </c>
      <c r="H7660">
        <v>48.29889</v>
      </c>
      <c r="I7660">
        <v>391.87</v>
      </c>
      <c r="J7660">
        <v>-187.5556</v>
      </c>
      <c r="K7660">
        <v>1.110141</v>
      </c>
      <c r="L7660">
        <v>-30.723880000000001</v>
      </c>
      <c r="M7660">
        <v>1.2215470000000001E-2</v>
      </c>
      <c r="N7660">
        <v>0</v>
      </c>
      <c r="O7660">
        <v>0.99984629999999997</v>
      </c>
      <c r="P7660">
        <v>9.5222109999999998E-4</v>
      </c>
      <c r="Q7660">
        <v>5.2139719999999999E-3</v>
      </c>
      <c r="R7660">
        <v>0.99998589999999998</v>
      </c>
      <c r="S7660">
        <v>-0.18618770000000001</v>
      </c>
      <c r="T7660">
        <v>0.33466230000000002</v>
      </c>
      <c r="U7660">
        <v>2.998596</v>
      </c>
      <c r="V7660">
        <v>-1.1276909999999999E-2</v>
      </c>
      <c r="W7660">
        <v>1.7783480000000001E-2</v>
      </c>
      <c r="X7660">
        <v>0.99977830000000001</v>
      </c>
      <c r="Y7660">
        <v>-7.3779960000000006E-2</v>
      </c>
      <c r="Z7660">
        <v>0.11064880000000001</v>
      </c>
      <c r="AA7660">
        <v>0.99111720000000003</v>
      </c>
      <c r="AB7660">
        <v>22</v>
      </c>
      <c r="AC7660">
        <v>-26.255199999999999</v>
      </c>
      <c r="AD7660">
        <v>47.188749000000001</v>
      </c>
      <c r="AE7660">
        <v>422.59387999999899</v>
      </c>
      <c r="AF7660">
        <v>-31.030402521229501</v>
      </c>
      <c r="AG7660">
        <v>47.188749000000001</v>
      </c>
      <c r="AH7660">
        <v>417.06127175710401</v>
      </c>
      <c r="AI7660">
        <v>83.562318374939295</v>
      </c>
      <c r="AJ7660">
        <v>94.255109248578904</v>
      </c>
      <c r="AK7660">
        <v>420.867875125279</v>
      </c>
      <c r="AL7660">
        <v>88.9810279731186</v>
      </c>
      <c r="AM7660">
        <v>90.646235220521405</v>
      </c>
      <c r="AN7660">
        <v>1.0000000350054701</v>
      </c>
    </row>
    <row r="7661" spans="1:40" x14ac:dyDescent="0.25">
      <c r="A7661" t="str">
        <f>"20190312160833377"</f>
        <v>20190312160833377</v>
      </c>
      <c r="B7661" t="str">
        <f>"1552378113372669"</f>
        <v>1552378113372669</v>
      </c>
      <c r="C7661" t="s">
        <v>40</v>
      </c>
      <c r="D7661">
        <v>6.7165080000000001</v>
      </c>
      <c r="E7661">
        <v>0.49969019999999997</v>
      </c>
      <c r="F7661" t="s">
        <v>46</v>
      </c>
      <c r="G7661">
        <v>-212.61080000000001</v>
      </c>
      <c r="H7661">
        <v>46.53472</v>
      </c>
      <c r="I7661">
        <v>391.87</v>
      </c>
      <c r="J7661">
        <v>-187.55369999999999</v>
      </c>
      <c r="K7661">
        <v>1.110096</v>
      </c>
      <c r="L7661">
        <v>-30.516020000000001</v>
      </c>
      <c r="M7661">
        <v>1.167865E-2</v>
      </c>
      <c r="N7661">
        <v>0</v>
      </c>
      <c r="O7661">
        <v>0.9998534</v>
      </c>
      <c r="P7661">
        <v>8.6327910000000003E-4</v>
      </c>
      <c r="Q7661">
        <v>5.2660650000000003E-3</v>
      </c>
      <c r="R7661">
        <v>0.99998580000000004</v>
      </c>
      <c r="S7661">
        <v>-0.1777802</v>
      </c>
      <c r="T7661">
        <v>0.32231219999999999</v>
      </c>
      <c r="U7661">
        <v>2.998535</v>
      </c>
      <c r="V7661">
        <v>-1.082783E-2</v>
      </c>
      <c r="W7661">
        <v>1.778062E-2</v>
      </c>
      <c r="X7661">
        <v>0.99978330000000004</v>
      </c>
      <c r="Y7661">
        <v>-7.0502540000000002E-2</v>
      </c>
      <c r="Z7661">
        <v>0.1066377</v>
      </c>
      <c r="AA7661">
        <v>0.99179519999999999</v>
      </c>
      <c r="AB7661">
        <v>22</v>
      </c>
      <c r="AC7661">
        <v>-25.057099999999998</v>
      </c>
      <c r="AD7661">
        <v>45.424624000000001</v>
      </c>
      <c r="AE7661">
        <v>422.38601999999997</v>
      </c>
      <c r="AF7661">
        <v>-29.646996865358499</v>
      </c>
      <c r="AG7661">
        <v>45.424624000000001</v>
      </c>
      <c r="AH7661">
        <v>417.25571481040799</v>
      </c>
      <c r="AI7661">
        <v>83.802453936097507</v>
      </c>
      <c r="AJ7661">
        <v>94.064169424649904</v>
      </c>
      <c r="AK7661">
        <v>420.76676726022498</v>
      </c>
      <c r="AL7661">
        <v>88.9811918493143</v>
      </c>
      <c r="AM7661">
        <v>90.620499168456504</v>
      </c>
      <c r="AN7661">
        <v>1.00000001965449</v>
      </c>
    </row>
    <row r="7662" spans="1:40" x14ac:dyDescent="0.25">
      <c r="A7662" t="str">
        <f>"20190312160833401"</f>
        <v>20190312160833401</v>
      </c>
      <c r="B7662" t="str">
        <f>"1552378113393165"</f>
        <v>1552378113393165</v>
      </c>
      <c r="C7662" t="s">
        <v>40</v>
      </c>
      <c r="D7662">
        <v>6.4463819999999998</v>
      </c>
      <c r="E7662">
        <v>0.47636250000000002</v>
      </c>
      <c r="F7662" t="s">
        <v>47</v>
      </c>
      <c r="G7662">
        <v>-187.56219999999999</v>
      </c>
      <c r="H7662" s="1">
        <v>-6.6434909999999995E-7</v>
      </c>
      <c r="I7662">
        <v>-0.305770599999999</v>
      </c>
      <c r="J7662">
        <v>-187.55170000000001</v>
      </c>
      <c r="K7662">
        <v>1.1100620000000001</v>
      </c>
      <c r="L7662">
        <v>-30.275510000000001</v>
      </c>
      <c r="M7662">
        <v>1.111959E-2</v>
      </c>
      <c r="N7662">
        <v>0</v>
      </c>
      <c r="O7662">
        <v>0.99986050000000004</v>
      </c>
      <c r="P7662" s="1">
        <v>7.0972109999999897E-5</v>
      </c>
      <c r="Q7662">
        <v>5.4089990000000003E-3</v>
      </c>
      <c r="R7662">
        <v>0.99998540000000002</v>
      </c>
      <c r="S7662">
        <v>-8.3923339999999905E-4</v>
      </c>
      <c r="T7662">
        <v>-0.1102595</v>
      </c>
      <c r="U7662">
        <v>3.00061</v>
      </c>
      <c r="V7662">
        <v>-1.1059029999999999E-2</v>
      </c>
      <c r="W7662">
        <v>1.786453E-2</v>
      </c>
      <c r="X7662">
        <v>0.99977919999999998</v>
      </c>
      <c r="Y7662">
        <v>-1.1399940000000001E-2</v>
      </c>
      <c r="Z7662">
        <v>-3.6716319999999997E-2</v>
      </c>
      <c r="AA7662">
        <v>0.9992607</v>
      </c>
      <c r="AB7662">
        <v>22</v>
      </c>
      <c r="AC7662">
        <v>-1.0499999999979E-2</v>
      </c>
      <c r="AD7662">
        <v>-1.1100626643491001</v>
      </c>
      <c r="AE7662">
        <v>29.969739400000002</v>
      </c>
      <c r="AF7662">
        <v>-0.34330546325605099</v>
      </c>
      <c r="AG7662">
        <v>-1.1100626643491001</v>
      </c>
      <c r="AH7662">
        <v>29.9267124057594</v>
      </c>
      <c r="AI7662">
        <v>92.124141831695894</v>
      </c>
      <c r="AJ7662">
        <v>90.657241968288005</v>
      </c>
      <c r="AK7662">
        <v>29.949260644912702</v>
      </c>
      <c r="AL7662">
        <v>88.976383321565905</v>
      </c>
      <c r="AM7662">
        <v>90.633749835288</v>
      </c>
      <c r="AN7662">
        <v>0.99999994616464905</v>
      </c>
    </row>
    <row r="7663" spans="1:40" x14ac:dyDescent="0.25">
      <c r="A7663" t="str">
        <f>"20190312160833422"</f>
        <v>20190312160833422</v>
      </c>
      <c r="B7663" t="str">
        <f>"1552378113412685"</f>
        <v>1552378113412685</v>
      </c>
      <c r="C7663" t="s">
        <v>40</v>
      </c>
      <c r="D7663">
        <v>7.160247</v>
      </c>
      <c r="E7663">
        <v>0.47946070000000002</v>
      </c>
      <c r="F7663" t="s">
        <v>46</v>
      </c>
      <c r="G7663">
        <v>-213.74889999999999</v>
      </c>
      <c r="H7663">
        <v>40.906930000000003</v>
      </c>
      <c r="I7663">
        <v>391.87</v>
      </c>
      <c r="J7663">
        <v>-187.55</v>
      </c>
      <c r="K7663">
        <v>1.1100350000000001</v>
      </c>
      <c r="L7663">
        <v>-30.074069999999999</v>
      </c>
      <c r="M7663">
        <v>1.0690989999999999E-2</v>
      </c>
      <c r="N7663">
        <v>0</v>
      </c>
      <c r="O7663">
        <v>0.99986580000000003</v>
      </c>
      <c r="P7663">
        <v>-7.5709520000000002E-4</v>
      </c>
      <c r="Q7663">
        <v>5.2651159999999898E-3</v>
      </c>
      <c r="R7663">
        <v>0.99998589999999998</v>
      </c>
      <c r="S7663">
        <v>-0.18608089999999999</v>
      </c>
      <c r="T7663">
        <v>0.2826805</v>
      </c>
      <c r="U7663">
        <v>2.998535</v>
      </c>
      <c r="V7663">
        <v>-1.145761E-2</v>
      </c>
      <c r="W7663">
        <v>1.7668110000000001E-2</v>
      </c>
      <c r="X7663">
        <v>0.99977830000000001</v>
      </c>
      <c r="Y7663">
        <v>-7.2333679999999997E-2</v>
      </c>
      <c r="Z7663">
        <v>9.3636430000000007E-2</v>
      </c>
      <c r="AA7663">
        <v>0.99297539999999995</v>
      </c>
      <c r="AB7663">
        <v>22</v>
      </c>
      <c r="AC7663">
        <v>-26.198899999999899</v>
      </c>
      <c r="AD7663">
        <v>39.7968949999999</v>
      </c>
      <c r="AE7663">
        <v>421.94407000000001</v>
      </c>
      <c r="AF7663">
        <v>-30.4390082670255</v>
      </c>
      <c r="AG7663">
        <v>39.7968949999999</v>
      </c>
      <c r="AH7663">
        <v>417.93620916280901</v>
      </c>
      <c r="AI7663">
        <v>84.5748419835829</v>
      </c>
      <c r="AJ7663">
        <v>94.165594509730795</v>
      </c>
      <c r="AK7663">
        <v>420.92873625508201</v>
      </c>
      <c r="AL7663">
        <v>88.987639234846796</v>
      </c>
      <c r="AM7663">
        <v>90.656589525176599</v>
      </c>
      <c r="AN7663">
        <v>1.0000000440443799</v>
      </c>
    </row>
    <row r="7664" spans="1:40" x14ac:dyDescent="0.25">
      <c r="A7664" t="str">
        <f>"20190312160833446"</f>
        <v>20190312160833446</v>
      </c>
      <c r="B7664" t="str">
        <f>"1552378113433185"</f>
        <v>1552378113433185</v>
      </c>
      <c r="C7664" t="s">
        <v>40</v>
      </c>
      <c r="D7664">
        <v>6.5338289999999999</v>
      </c>
      <c r="E7664">
        <v>0.47814129999999999</v>
      </c>
      <c r="F7664" t="s">
        <v>46</v>
      </c>
      <c r="G7664">
        <v>-210.8974</v>
      </c>
      <c r="H7664">
        <v>5.1640490000000003</v>
      </c>
      <c r="I7664">
        <v>391.87</v>
      </c>
      <c r="J7664">
        <v>-187.54820000000001</v>
      </c>
      <c r="K7664">
        <v>1.1100049999999999</v>
      </c>
      <c r="L7664">
        <v>-29.850370000000002</v>
      </c>
      <c r="M7664">
        <v>1.0258720000000001E-2</v>
      </c>
      <c r="N7664">
        <v>0</v>
      </c>
      <c r="O7664">
        <v>0.99987110000000001</v>
      </c>
      <c r="P7664">
        <v>-6.9148810000000001E-4</v>
      </c>
      <c r="Q7664">
        <v>5.1640119999999999E-3</v>
      </c>
      <c r="R7664">
        <v>0.99998640000000005</v>
      </c>
      <c r="S7664">
        <v>-0.1659851</v>
      </c>
      <c r="T7664">
        <v>2.8821469999999998E-2</v>
      </c>
      <c r="U7664">
        <v>2.9997560000000001</v>
      </c>
      <c r="V7664">
        <v>-1.0958509999999999E-2</v>
      </c>
      <c r="W7664">
        <v>1.7505529999999998E-2</v>
      </c>
      <c r="X7664">
        <v>0.99978670000000003</v>
      </c>
      <c r="Y7664">
        <v>-6.5486740000000002E-2</v>
      </c>
      <c r="Z7664">
        <v>9.5890909999999992E-3</v>
      </c>
      <c r="AA7664">
        <v>0.99780740000000001</v>
      </c>
      <c r="AB7664">
        <v>22</v>
      </c>
      <c r="AC7664">
        <v>-23.3492</v>
      </c>
      <c r="AD7664">
        <v>4.0540439999999904</v>
      </c>
      <c r="AE7664">
        <v>421.72037</v>
      </c>
      <c r="AF7664">
        <v>-27.672062921806599</v>
      </c>
      <c r="AG7664">
        <v>4.0540439999999904</v>
      </c>
      <c r="AH7664">
        <v>421.41979847140601</v>
      </c>
      <c r="AI7664">
        <v>89.450017912424499</v>
      </c>
      <c r="AJ7664">
        <v>93.756870350365404</v>
      </c>
      <c r="AK7664">
        <v>422.34680640769898</v>
      </c>
      <c r="AL7664">
        <v>88.996955767976004</v>
      </c>
      <c r="AM7664">
        <v>90.627985179407901</v>
      </c>
      <c r="AN7664">
        <v>0.99999998900944498</v>
      </c>
    </row>
    <row r="7665" spans="1:40" x14ac:dyDescent="0.25">
      <c r="A7665" t="str">
        <f>"20190312160833469"</f>
        <v>20190312160833469</v>
      </c>
      <c r="B7665" t="str">
        <f>"1552378113463439"</f>
        <v>1552378113463439</v>
      </c>
      <c r="C7665" t="s">
        <v>40</v>
      </c>
      <c r="D7665">
        <v>6.7270079999999997</v>
      </c>
      <c r="E7665">
        <v>0.47879820000000001</v>
      </c>
      <c r="F7665" t="s">
        <v>46</v>
      </c>
      <c r="G7665">
        <v>-212.3312</v>
      </c>
      <c r="H7665">
        <v>5.4239139999999999</v>
      </c>
      <c r="I7665">
        <v>391.87</v>
      </c>
      <c r="J7665">
        <v>-187.5463</v>
      </c>
      <c r="K7665">
        <v>1.1099749999999999</v>
      </c>
      <c r="L7665">
        <v>-29.618189999999998</v>
      </c>
      <c r="M7665">
        <v>9.8598520000000005E-3</v>
      </c>
      <c r="N7665">
        <v>0</v>
      </c>
      <c r="O7665">
        <v>0.99987599999999999</v>
      </c>
      <c r="P7665">
        <v>-2.109523E-4</v>
      </c>
      <c r="Q7665">
        <v>5.1814620000000004E-3</v>
      </c>
      <c r="R7665">
        <v>0.9999865</v>
      </c>
      <c r="S7665">
        <v>-0.17628479999999999</v>
      </c>
      <c r="T7665">
        <v>3.0685420000000001E-2</v>
      </c>
      <c r="U7665">
        <v>2.9997560000000001</v>
      </c>
      <c r="V7665">
        <v>-1.0078459999999999E-2</v>
      </c>
      <c r="W7665">
        <v>1.7459280000000001E-2</v>
      </c>
      <c r="X7665">
        <v>0.99979680000000004</v>
      </c>
      <c r="Y7665">
        <v>-6.8502869999999993E-2</v>
      </c>
      <c r="Z7665">
        <v>1.020721E-2</v>
      </c>
      <c r="AA7665">
        <v>0.99759869999999995</v>
      </c>
      <c r="AB7665">
        <v>22</v>
      </c>
      <c r="AC7665">
        <v>-24.7849</v>
      </c>
      <c r="AD7665">
        <v>4.3139390000000004</v>
      </c>
      <c r="AE7665">
        <v>421.48818999999997</v>
      </c>
      <c r="AF7665">
        <v>-28.936798680652899</v>
      </c>
      <c r="AG7665">
        <v>4.3139390000000004</v>
      </c>
      <c r="AH7665">
        <v>421.17933585085899</v>
      </c>
      <c r="AI7665">
        <v>89.414547210607395</v>
      </c>
      <c r="AJ7665">
        <v>93.930285728763707</v>
      </c>
      <c r="AK7665">
        <v>422.194245976128</v>
      </c>
      <c r="AL7665">
        <v>88.999606135414496</v>
      </c>
      <c r="AM7665">
        <v>90.5775510219311</v>
      </c>
      <c r="AN7665">
        <v>1.0000000215521601</v>
      </c>
    </row>
    <row r="7666" spans="1:40" x14ac:dyDescent="0.25">
      <c r="A7666" t="str">
        <f>"20190312160833489"</f>
        <v>20190312160833489</v>
      </c>
      <c r="B7666" t="str">
        <f>"1552378113482958"</f>
        <v>1552378113482958</v>
      </c>
      <c r="C7666" t="s">
        <v>40</v>
      </c>
      <c r="D7666">
        <v>6.5458590000000001</v>
      </c>
      <c r="E7666">
        <v>0.47930790000000001</v>
      </c>
      <c r="F7666" t="s">
        <v>43</v>
      </c>
      <c r="G7666">
        <v>-203.2938</v>
      </c>
      <c r="H7666">
        <v>4.466361</v>
      </c>
      <c r="I7666">
        <v>249.09059999999999</v>
      </c>
      <c r="J7666">
        <v>-187.54470000000001</v>
      </c>
      <c r="K7666">
        <v>1.109937</v>
      </c>
      <c r="L7666">
        <v>-29.41724</v>
      </c>
      <c r="M7666">
        <v>9.5585389999999996E-3</v>
      </c>
      <c r="N7666">
        <v>0</v>
      </c>
      <c r="O7666">
        <v>0.99987950000000003</v>
      </c>
      <c r="P7666">
        <v>2.8164770000000002E-4</v>
      </c>
      <c r="Q7666">
        <v>5.7868479999999998E-3</v>
      </c>
      <c r="R7666">
        <v>0.99998319999999996</v>
      </c>
      <c r="S7666">
        <v>-0.1694946</v>
      </c>
      <c r="T7666">
        <v>3.6125659999999997E-2</v>
      </c>
      <c r="U7666">
        <v>2.9998170000000002</v>
      </c>
      <c r="V7666">
        <v>-9.2831579999999997E-3</v>
      </c>
      <c r="W7666">
        <v>1.80109E-2</v>
      </c>
      <c r="X7666">
        <v>0.99979470000000004</v>
      </c>
      <c r="Y7666">
        <v>-6.5949069999999999E-2</v>
      </c>
      <c r="Z7666">
        <v>1.201823E-2</v>
      </c>
      <c r="AA7666">
        <v>0.99775060000000004</v>
      </c>
      <c r="AB7666">
        <v>22</v>
      </c>
      <c r="AC7666">
        <v>-15.7491</v>
      </c>
      <c r="AD7666">
        <v>3.3564240000000001</v>
      </c>
      <c r="AE7666">
        <v>278.50783999999999</v>
      </c>
      <c r="AF7666">
        <v>-18.408042622407699</v>
      </c>
      <c r="AG7666">
        <v>3.3564240000000001</v>
      </c>
      <c r="AH7666">
        <v>278.304273748924</v>
      </c>
      <c r="AI7666">
        <v>89.310537467557893</v>
      </c>
      <c r="AJ7666">
        <v>93.784236089814797</v>
      </c>
      <c r="AK7666">
        <v>278.93259114376099</v>
      </c>
      <c r="AL7666">
        <v>88.967995649922301</v>
      </c>
      <c r="AM7666">
        <v>90.5319797051243</v>
      </c>
      <c r="AN7666">
        <v>1.0000000058446701</v>
      </c>
    </row>
    <row r="7667" spans="1:40" x14ac:dyDescent="0.25">
      <c r="A7667" t="str">
        <f>"20190312160833513"</f>
        <v>20190312160833513</v>
      </c>
      <c r="B7667" t="str">
        <f>"1552378113503452"</f>
        <v>1552378113503452</v>
      </c>
      <c r="C7667" t="s">
        <v>40</v>
      </c>
      <c r="D7667">
        <v>6.6169159999999998</v>
      </c>
      <c r="E7667">
        <v>0.47978399999999999</v>
      </c>
      <c r="F7667" t="s">
        <v>46</v>
      </c>
      <c r="G7667">
        <v>-210.4933</v>
      </c>
      <c r="H7667">
        <v>6.5829029999999999</v>
      </c>
      <c r="I7667">
        <v>390.11860000000001</v>
      </c>
      <c r="J7667">
        <v>-187.5429</v>
      </c>
      <c r="K7667">
        <v>1.109893</v>
      </c>
      <c r="L7667">
        <v>-29.191800000000001</v>
      </c>
      <c r="M7667">
        <v>9.2702979999999997E-3</v>
      </c>
      <c r="N7667">
        <v>0</v>
      </c>
      <c r="O7667">
        <v>0.99988299999999997</v>
      </c>
      <c r="P7667">
        <v>4.1766209999999999E-4</v>
      </c>
      <c r="Q7667">
        <v>6.476E-3</v>
      </c>
      <c r="R7667">
        <v>0.99997899999999995</v>
      </c>
      <c r="S7667">
        <v>-0.16409299999999999</v>
      </c>
      <c r="T7667">
        <v>3.9134259999999997E-2</v>
      </c>
      <c r="U7667">
        <v>2.9998779999999998</v>
      </c>
      <c r="V7667">
        <v>-8.8578029999999992E-3</v>
      </c>
      <c r="W7667">
        <v>1.8639269999999999E-2</v>
      </c>
      <c r="X7667">
        <v>0.99978699999999998</v>
      </c>
      <c r="Y7667">
        <v>-6.3868430000000004E-2</v>
      </c>
      <c r="Z7667">
        <v>1.302029E-2</v>
      </c>
      <c r="AA7667">
        <v>0.99787340000000002</v>
      </c>
      <c r="AB7667">
        <v>22</v>
      </c>
      <c r="AC7667">
        <v>-22.950399999999998</v>
      </c>
      <c r="AD7667">
        <v>5.4730099999999897</v>
      </c>
      <c r="AE7667">
        <v>419.31040000000002</v>
      </c>
      <c r="AF7667">
        <v>-26.832276171596799</v>
      </c>
      <c r="AG7667">
        <v>5.4730099999999897</v>
      </c>
      <c r="AH7667">
        <v>419.008435412648</v>
      </c>
      <c r="AI7667">
        <v>89.253185307153402</v>
      </c>
      <c r="AJ7667">
        <v>93.664078596185306</v>
      </c>
      <c r="AK7667">
        <v>419.90236225813698</v>
      </c>
      <c r="AL7667">
        <v>88.931986609524898</v>
      </c>
      <c r="AM7667">
        <v>90.507609570149995</v>
      </c>
      <c r="AN7667">
        <v>0.99999996421455895</v>
      </c>
    </row>
    <row r="7668" spans="1:40" x14ac:dyDescent="0.25">
      <c r="A7668" t="str">
        <f>"20190312160833535"</f>
        <v>20190312160833535</v>
      </c>
      <c r="B7668" t="str">
        <f>"1552378113522973"</f>
        <v>1552378113522973</v>
      </c>
      <c r="C7668" t="s">
        <v>40</v>
      </c>
      <c r="D7668">
        <v>6.5916439999999996</v>
      </c>
      <c r="E7668">
        <v>0.48004419999999998</v>
      </c>
      <c r="F7668" t="s">
        <v>46</v>
      </c>
      <c r="G7668">
        <v>-209.87129999999999</v>
      </c>
      <c r="H7668">
        <v>6.8666649999999896</v>
      </c>
      <c r="I7668">
        <v>390.11860000000001</v>
      </c>
      <c r="J7668">
        <v>-187.5412</v>
      </c>
      <c r="K7668">
        <v>1.1098570000000001</v>
      </c>
      <c r="L7668">
        <v>-28.981480000000001</v>
      </c>
      <c r="M7668">
        <v>9.0560150000000006E-3</v>
      </c>
      <c r="N7668">
        <v>0</v>
      </c>
      <c r="O7668">
        <v>0.99988569999999999</v>
      </c>
      <c r="P7668">
        <v>4.8902760000000005E-4</v>
      </c>
      <c r="Q7668">
        <v>6.6987940000000001E-3</v>
      </c>
      <c r="R7668">
        <v>0.99997749999999996</v>
      </c>
      <c r="S7668">
        <v>-0.15974430000000001</v>
      </c>
      <c r="T7668">
        <v>4.1185739999999998E-2</v>
      </c>
      <c r="U7668">
        <v>2.9998779999999998</v>
      </c>
      <c r="V7668">
        <v>-8.5707830000000002E-3</v>
      </c>
      <c r="W7668">
        <v>1.880517E-2</v>
      </c>
      <c r="X7668">
        <v>0.99978639999999996</v>
      </c>
      <c r="Y7668">
        <v>-6.2211620000000002E-2</v>
      </c>
      <c r="Z7668">
        <v>1.3703999999999999E-2</v>
      </c>
      <c r="AA7668">
        <v>0.99796890000000005</v>
      </c>
      <c r="AB7668">
        <v>22</v>
      </c>
      <c r="AC7668">
        <v>-22.330099999999899</v>
      </c>
      <c r="AD7668">
        <v>5.7568080000000004</v>
      </c>
      <c r="AE7668">
        <v>419.10007999999999</v>
      </c>
      <c r="AF7668">
        <v>-26.119924601440001</v>
      </c>
      <c r="AG7668">
        <v>5.7568080000000004</v>
      </c>
      <c r="AH7668">
        <v>418.80185886104903</v>
      </c>
      <c r="AI7668">
        <v>89.213994631520293</v>
      </c>
      <c r="AJ7668">
        <v>93.568813000021805</v>
      </c>
      <c r="AK7668">
        <v>419.65508252016201</v>
      </c>
      <c r="AL7668">
        <v>88.922479578349694</v>
      </c>
      <c r="AM7668">
        <v>90.491162576355606</v>
      </c>
      <c r="AN7668">
        <v>0.99999996918246004</v>
      </c>
    </row>
    <row r="7669" spans="1:40" x14ac:dyDescent="0.25">
      <c r="A7669" t="str">
        <f>"20190312160833557"</f>
        <v>20190312160833557</v>
      </c>
      <c r="B7669" t="str">
        <f>"1552378113553229"</f>
        <v>1552378113553229</v>
      </c>
      <c r="C7669" t="s">
        <v>40</v>
      </c>
      <c r="D7669">
        <v>6.4334089999999904</v>
      </c>
      <c r="E7669">
        <v>0.4797244</v>
      </c>
      <c r="F7669" t="s">
        <v>46</v>
      </c>
      <c r="G7669">
        <v>-209.5581</v>
      </c>
      <c r="H7669">
        <v>7.1994689999999997</v>
      </c>
      <c r="I7669">
        <v>390.11860000000001</v>
      </c>
      <c r="J7669">
        <v>-187.5395</v>
      </c>
      <c r="K7669">
        <v>1.109815</v>
      </c>
      <c r="L7669">
        <v>-28.759160000000001</v>
      </c>
      <c r="M7669">
        <v>8.8906139999999998E-3</v>
      </c>
      <c r="N7669">
        <v>0</v>
      </c>
      <c r="O7669">
        <v>0.99988790000000005</v>
      </c>
      <c r="P7669">
        <v>7.5754839999999995E-4</v>
      </c>
      <c r="Q7669">
        <v>6.4975340000000001E-3</v>
      </c>
      <c r="R7669">
        <v>0.99997860000000005</v>
      </c>
      <c r="S7669">
        <v>-0.15759279999999901</v>
      </c>
      <c r="T7669">
        <v>4.3588399999999999E-2</v>
      </c>
      <c r="U7669">
        <v>2.9998469999999999</v>
      </c>
      <c r="V7669">
        <v>-8.1350869999999992E-3</v>
      </c>
      <c r="W7669">
        <v>1.8542010000000001E-2</v>
      </c>
      <c r="X7669">
        <v>0.99979499999999999</v>
      </c>
      <c r="Y7669">
        <v>-6.1332690000000002E-2</v>
      </c>
      <c r="Z7669">
        <v>1.450414E-2</v>
      </c>
      <c r="AA7669">
        <v>0.99801200000000001</v>
      </c>
      <c r="AB7669">
        <v>22</v>
      </c>
      <c r="AC7669">
        <v>-22.0185999999999</v>
      </c>
      <c r="AD7669">
        <v>6.0896540000000003</v>
      </c>
      <c r="AE7669">
        <v>418.87776000000002</v>
      </c>
      <c r="AF7669">
        <v>-25.736655861420701</v>
      </c>
      <c r="AG7669">
        <v>6.0896540000000003</v>
      </c>
      <c r="AH7669">
        <v>418.57720528485498</v>
      </c>
      <c r="AI7669">
        <v>89.168064284522004</v>
      </c>
      <c r="AJ7669">
        <v>93.518461312296594</v>
      </c>
      <c r="AK7669">
        <v>419.41189316094602</v>
      </c>
      <c r="AL7669">
        <v>88.937560213262103</v>
      </c>
      <c r="AM7669">
        <v>90.466191434261503</v>
      </c>
      <c r="AN7669">
        <v>1.0000000139001599</v>
      </c>
    </row>
    <row r="7670" spans="1:40" x14ac:dyDescent="0.25">
      <c r="A7670" t="str">
        <f>"20190312160833578"</f>
        <v>20190312160833578</v>
      </c>
      <c r="B7670" t="str">
        <f>"1552378113572749"</f>
        <v>1552378113572749</v>
      </c>
      <c r="C7670" t="s">
        <v>40</v>
      </c>
      <c r="D7670">
        <v>6.6874969999999996</v>
      </c>
      <c r="E7670">
        <v>0.48072989999999999</v>
      </c>
      <c r="F7670" t="s">
        <v>46</v>
      </c>
      <c r="G7670">
        <v>-209.7809</v>
      </c>
      <c r="H7670">
        <v>7.3546339999999999</v>
      </c>
      <c r="I7670">
        <v>390.11860000000001</v>
      </c>
      <c r="J7670">
        <v>-187.5378</v>
      </c>
      <c r="K7670">
        <v>1.109782</v>
      </c>
      <c r="L7670">
        <v>-28.552119999999999</v>
      </c>
      <c r="M7670">
        <v>8.7777510000000003E-3</v>
      </c>
      <c r="N7670">
        <v>0</v>
      </c>
      <c r="O7670">
        <v>0.99988960000000005</v>
      </c>
      <c r="P7670">
        <v>1.406235E-3</v>
      </c>
      <c r="Q7670">
        <v>6.3210949999999997E-3</v>
      </c>
      <c r="R7670">
        <v>0.99997899999999995</v>
      </c>
      <c r="S7670">
        <v>-0.1592865</v>
      </c>
      <c r="T7670">
        <v>4.4723510000000001E-2</v>
      </c>
      <c r="U7670">
        <v>2.9998779999999998</v>
      </c>
      <c r="V7670">
        <v>-7.3723319999999997E-3</v>
      </c>
      <c r="W7670">
        <v>1.8308390000000001E-2</v>
      </c>
      <c r="X7670">
        <v>0.99980519999999995</v>
      </c>
      <c r="Y7670">
        <v>-6.1781089999999997E-2</v>
      </c>
      <c r="Z7670">
        <v>1.4881210000000001E-2</v>
      </c>
      <c r="AA7670">
        <v>0.99797880000000005</v>
      </c>
      <c r="AB7670">
        <v>22</v>
      </c>
      <c r="AC7670">
        <v>-22.243099999999998</v>
      </c>
      <c r="AD7670">
        <v>6.2448519999999998</v>
      </c>
      <c r="AE7670">
        <v>418.67072000000002</v>
      </c>
      <c r="AF7670">
        <v>-25.911745708804801</v>
      </c>
      <c r="AG7670">
        <v>6.2448519999999998</v>
      </c>
      <c r="AH7670">
        <v>418.36651193987598</v>
      </c>
      <c r="AI7670">
        <v>89.146459063530898</v>
      </c>
      <c r="AJ7670">
        <v>93.544116530222098</v>
      </c>
      <c r="AK7670">
        <v>419.21468850091401</v>
      </c>
      <c r="AL7670">
        <v>88.950947904059603</v>
      </c>
      <c r="AM7670">
        <v>90.422478152056897</v>
      </c>
      <c r="AN7670">
        <v>0.99999999318527499</v>
      </c>
    </row>
    <row r="7671" spans="1:40" x14ac:dyDescent="0.25">
      <c r="A7671" t="str">
        <f>"20190312160833602"</f>
        <v>20190312160833602</v>
      </c>
      <c r="B7671" t="str">
        <f>"1552378113593246"</f>
        <v>1552378113593246</v>
      </c>
      <c r="C7671" t="s">
        <v>40</v>
      </c>
      <c r="D7671">
        <v>6.2456469999999999</v>
      </c>
      <c r="E7671">
        <v>0.47975950000000001</v>
      </c>
      <c r="F7671" t="s">
        <v>46</v>
      </c>
      <c r="G7671">
        <v>-208.43270000000001</v>
      </c>
      <c r="H7671">
        <v>10.12717</v>
      </c>
      <c r="I7671">
        <v>391.87</v>
      </c>
      <c r="J7671">
        <v>-187.53579999999999</v>
      </c>
      <c r="K7671">
        <v>1.1097570000000001</v>
      </c>
      <c r="L7671">
        <v>-28.322849999999999</v>
      </c>
      <c r="M7671">
        <v>8.6939849999999996E-3</v>
      </c>
      <c r="N7671">
        <v>0</v>
      </c>
      <c r="O7671">
        <v>0.99989110000000003</v>
      </c>
      <c r="P7671">
        <v>1.65864299999999E-3</v>
      </c>
      <c r="Q7671">
        <v>6.3648100000000003E-3</v>
      </c>
      <c r="R7671">
        <v>0.99997840000000005</v>
      </c>
      <c r="S7671">
        <v>-0.14909359999999999</v>
      </c>
      <c r="T7671">
        <v>6.4342620000000003E-2</v>
      </c>
      <c r="U7671">
        <v>2.9998779999999998</v>
      </c>
      <c r="V7671">
        <v>-7.0352770000000004E-3</v>
      </c>
      <c r="W7671">
        <v>1.8286460000000001E-2</v>
      </c>
      <c r="X7671">
        <v>0.99980800000000003</v>
      </c>
      <c r="Y7671">
        <v>-5.830925E-2</v>
      </c>
      <c r="Z7671">
        <v>2.1410809999999999E-2</v>
      </c>
      <c r="AA7671">
        <v>0.99806890000000004</v>
      </c>
      <c r="AB7671">
        <v>22</v>
      </c>
      <c r="AC7671">
        <v>-20.896899999999999</v>
      </c>
      <c r="AD7671">
        <v>9.0174129999999995</v>
      </c>
      <c r="AE7671">
        <v>420.19285000000002</v>
      </c>
      <c r="AF7671">
        <v>-24.5382472853371</v>
      </c>
      <c r="AG7671">
        <v>9.0174129999999995</v>
      </c>
      <c r="AH7671">
        <v>419.802418484204</v>
      </c>
      <c r="AI7671">
        <v>88.771564218657204</v>
      </c>
      <c r="AJ7671">
        <v>93.345240597538194</v>
      </c>
      <c r="AK7671">
        <v>420.615631999377</v>
      </c>
      <c r="AL7671">
        <v>88.952204579586393</v>
      </c>
      <c r="AM7671">
        <v>90.403162434278599</v>
      </c>
      <c r="AN7671">
        <v>0.99999996330289798</v>
      </c>
    </row>
    <row r="7672" spans="1:40" x14ac:dyDescent="0.25">
      <c r="A7672" t="str">
        <f>"20190312160833946"</f>
        <v>20190312160833946</v>
      </c>
      <c r="B7672" t="str">
        <f>"1552378113942653"</f>
        <v>1552378113942653</v>
      </c>
      <c r="C7672" t="s">
        <v>40</v>
      </c>
      <c r="D7672">
        <v>6.1865309999999996</v>
      </c>
      <c r="E7672">
        <v>0.45728540000000001</v>
      </c>
      <c r="F7672" t="s">
        <v>46</v>
      </c>
      <c r="G7672">
        <v>-209.41069999999999</v>
      </c>
      <c r="H7672">
        <v>9.4198920000000008</v>
      </c>
      <c r="I7672">
        <v>391.87</v>
      </c>
      <c r="J7672">
        <v>-187.50710000000001</v>
      </c>
      <c r="K7672">
        <v>1.109623</v>
      </c>
      <c r="L7672">
        <v>-24.94238</v>
      </c>
      <c r="M7672">
        <v>8.4751949999999996E-3</v>
      </c>
      <c r="N7672">
        <v>0</v>
      </c>
      <c r="O7672">
        <v>0.99990179999999995</v>
      </c>
      <c r="P7672">
        <v>-1.9107390000000001E-3</v>
      </c>
      <c r="Q7672">
        <v>-1.3552600000000001E-3</v>
      </c>
      <c r="R7672">
        <v>0.99999729999999998</v>
      </c>
      <c r="S7672">
        <v>-0.1561737</v>
      </c>
      <c r="T7672">
        <v>5.9329630000000001E-2</v>
      </c>
      <c r="U7672">
        <v>2.9999389999999999</v>
      </c>
      <c r="V7672">
        <v>-1.0386080000000001E-2</v>
      </c>
      <c r="W7672">
        <v>9.8001029999999992E-3</v>
      </c>
      <c r="X7672">
        <v>0.99989799999999995</v>
      </c>
      <c r="Y7672">
        <v>-6.0440830000000001E-2</v>
      </c>
      <c r="Z7672">
        <v>1.9740580000000001E-2</v>
      </c>
      <c r="AA7672">
        <v>0.99797650000000004</v>
      </c>
      <c r="AB7672">
        <v>22</v>
      </c>
      <c r="AC7672">
        <v>-21.903599999999901</v>
      </c>
      <c r="AD7672">
        <v>8.3102689999999892</v>
      </c>
      <c r="AE7672">
        <v>416.812379999999</v>
      </c>
      <c r="AF7672">
        <v>-25.425520376479898</v>
      </c>
      <c r="AG7672">
        <v>8.3102689999999892</v>
      </c>
      <c r="AH7672">
        <v>416.44667326427498</v>
      </c>
      <c r="AI7672">
        <v>88.858928188447095</v>
      </c>
      <c r="AJ7672">
        <v>93.493770232462197</v>
      </c>
      <c r="AK7672">
        <v>417.304863774853</v>
      </c>
      <c r="AL7672">
        <v>89.438486449316699</v>
      </c>
      <c r="AM7672">
        <v>90.595117851554207</v>
      </c>
      <c r="AN7672">
        <v>0.99999996154028703</v>
      </c>
    </row>
    <row r="7673" spans="1:40" x14ac:dyDescent="0.25">
      <c r="A7673" t="str">
        <f>"20190312160833969"</f>
        <v>20190312160833969</v>
      </c>
      <c r="B7673" t="str">
        <f>"1552378113963150"</f>
        <v>1552378113963150</v>
      </c>
      <c r="C7673" t="s">
        <v>40</v>
      </c>
      <c r="D7673">
        <v>6.5085059999999997</v>
      </c>
      <c r="E7673">
        <v>0.4729237</v>
      </c>
      <c r="F7673" t="s">
        <v>44</v>
      </c>
      <c r="G7673">
        <v>-187.59690000000001</v>
      </c>
      <c r="H7673">
        <v>0.94535570000000002</v>
      </c>
      <c r="I7673">
        <v>-24.17023</v>
      </c>
      <c r="J7673">
        <v>-187.5052</v>
      </c>
      <c r="K7673">
        <v>1.1096200000000001</v>
      </c>
      <c r="L7673">
        <v>-24.70862</v>
      </c>
      <c r="M7673">
        <v>8.4567280000000002E-3</v>
      </c>
      <c r="N7673">
        <v>0</v>
      </c>
      <c r="O7673">
        <v>0.99990239999999997</v>
      </c>
      <c r="P7673">
        <v>-1.0552879999999999E-3</v>
      </c>
      <c r="Q7673">
        <v>-1.550151E-3</v>
      </c>
      <c r="R7673">
        <v>0.99999830000000001</v>
      </c>
      <c r="S7673">
        <v>-0.34863280000000002</v>
      </c>
      <c r="T7673">
        <v>-0.63790009999999997</v>
      </c>
      <c r="U7673">
        <v>2.9984739999999999</v>
      </c>
      <c r="V7673">
        <v>-9.5121500000000005E-3</v>
      </c>
      <c r="W7673">
        <v>9.5688490000000008E-3</v>
      </c>
      <c r="X7673">
        <v>0.99990900000000005</v>
      </c>
      <c r="Y7673">
        <v>-0.12139519999999999</v>
      </c>
      <c r="Z7673">
        <v>-0.20663719999999999</v>
      </c>
      <c r="AA7673">
        <v>0.97085750000000004</v>
      </c>
      <c r="AB7673">
        <v>22</v>
      </c>
      <c r="AC7673">
        <v>-9.1700000000003001E-2</v>
      </c>
      <c r="AD7673">
        <v>-0.1642643</v>
      </c>
      <c r="AE7673">
        <v>0.53838999999999904</v>
      </c>
      <c r="AF7673">
        <v>-8.8265245840513998E-2</v>
      </c>
      <c r="AG7673">
        <v>-0.1642643</v>
      </c>
      <c r="AH7673">
        <v>0.49299702923702599</v>
      </c>
      <c r="AI7673">
        <v>108.158462835379</v>
      </c>
      <c r="AJ7673">
        <v>100.15058095974901</v>
      </c>
      <c r="AK7673">
        <v>0.52708593674495696</v>
      </c>
      <c r="AL7673">
        <v>89.451736984825104</v>
      </c>
      <c r="AM7673">
        <v>90.545039208000205</v>
      </c>
      <c r="AN7673">
        <v>1.0000000260749</v>
      </c>
    </row>
    <row r="7674" spans="1:40" x14ac:dyDescent="0.25">
      <c r="A7674" t="str">
        <f>"20190312160833993"</f>
        <v>20190312160833993</v>
      </c>
      <c r="B7674" t="str">
        <f>"1552378113982669"</f>
        <v>1552378113982669</v>
      </c>
      <c r="C7674" t="s">
        <v>40</v>
      </c>
      <c r="D7674">
        <v>6.4024809999999999</v>
      </c>
      <c r="E7674">
        <v>0.48488629999999999</v>
      </c>
      <c r="F7674" t="s">
        <v>44</v>
      </c>
      <c r="G7674">
        <v>-187.56039999999999</v>
      </c>
      <c r="H7674">
        <v>0.99064850000000004</v>
      </c>
      <c r="I7674">
        <v>-23.956790000000002</v>
      </c>
      <c r="J7674">
        <v>-187.50319999999999</v>
      </c>
      <c r="K7674">
        <v>1.109607</v>
      </c>
      <c r="L7674">
        <v>-24.47531</v>
      </c>
      <c r="M7674">
        <v>8.4385420000000003E-3</v>
      </c>
      <c r="N7674">
        <v>0</v>
      </c>
      <c r="O7674">
        <v>0.99990299999999999</v>
      </c>
      <c r="P7674">
        <v>-8.5363850000000005E-4</v>
      </c>
      <c r="Q7674">
        <v>-1.367245E-3</v>
      </c>
      <c r="R7674">
        <v>0.99999870000000002</v>
      </c>
      <c r="S7674">
        <v>-0.2209015</v>
      </c>
      <c r="T7674">
        <v>-0.47454859999999999</v>
      </c>
      <c r="U7674">
        <v>2.9990230000000002</v>
      </c>
      <c r="V7674">
        <v>-9.2928079999999996E-3</v>
      </c>
      <c r="W7674">
        <v>9.7157059999999993E-3</v>
      </c>
      <c r="X7674">
        <v>0.99990959999999995</v>
      </c>
      <c r="Y7674">
        <v>-8.0974989999999997E-2</v>
      </c>
      <c r="Z7674">
        <v>-0.1558187</v>
      </c>
      <c r="AA7674">
        <v>0.98446109999999998</v>
      </c>
      <c r="AB7674">
        <v>22</v>
      </c>
      <c r="AC7674">
        <v>-5.7199999999994498E-2</v>
      </c>
      <c r="AD7674">
        <v>-0.118958499999999</v>
      </c>
      <c r="AE7674">
        <v>0.51852000000000198</v>
      </c>
      <c r="AF7674">
        <v>-5.8530190263789202E-2</v>
      </c>
      <c r="AG7674">
        <v>-0.118958499999999</v>
      </c>
      <c r="AH7674">
        <v>0.49241313315267099</v>
      </c>
      <c r="AI7674">
        <v>103.489988773622</v>
      </c>
      <c r="AJ7674">
        <v>96.7786002680308</v>
      </c>
      <c r="AK7674">
        <v>0.50994862642799099</v>
      </c>
      <c r="AL7674">
        <v>89.443322281747001</v>
      </c>
      <c r="AM7674">
        <v>90.532471485195998</v>
      </c>
      <c r="AN7674">
        <v>0.99999997969788101</v>
      </c>
    </row>
    <row r="7675" spans="1:40" x14ac:dyDescent="0.25">
      <c r="A7675" t="str">
        <f>"20190312160834014"</f>
        <v>20190312160834014</v>
      </c>
      <c r="B7675" t="str">
        <f>"1552378114003168"</f>
        <v>1552378114003168</v>
      </c>
      <c r="C7675" t="s">
        <v>40</v>
      </c>
      <c r="D7675">
        <v>6.472906</v>
      </c>
      <c r="E7675">
        <v>0.4907707</v>
      </c>
      <c r="F7675" t="s">
        <v>44</v>
      </c>
      <c r="G7675">
        <v>-187.53299999999999</v>
      </c>
      <c r="H7675">
        <v>1.005136</v>
      </c>
      <c r="I7675">
        <v>-23.75347</v>
      </c>
      <c r="J7675">
        <v>-187.50149999999999</v>
      </c>
      <c r="K7675">
        <v>1.109599</v>
      </c>
      <c r="L7675">
        <v>-24.264620000000001</v>
      </c>
      <c r="M7675">
        <v>8.4224650000000005E-3</v>
      </c>
      <c r="N7675">
        <v>0</v>
      </c>
      <c r="O7675">
        <v>0.99990349999999995</v>
      </c>
      <c r="P7675">
        <v>-1.2507239999999999E-3</v>
      </c>
      <c r="Q7675">
        <v>-2.278445E-3</v>
      </c>
      <c r="R7675">
        <v>0.99999660000000001</v>
      </c>
      <c r="S7675">
        <v>-0.1239624</v>
      </c>
      <c r="T7675">
        <v>-0.4340675</v>
      </c>
      <c r="U7675">
        <v>2.999298</v>
      </c>
      <c r="V7675">
        <v>-9.6738520000000001E-3</v>
      </c>
      <c r="W7675">
        <v>8.7697019999999903E-3</v>
      </c>
      <c r="X7675">
        <v>0.99991479999999999</v>
      </c>
      <c r="Y7675">
        <v>-4.9284620000000001E-2</v>
      </c>
      <c r="Z7675">
        <v>-0.14307629999999999</v>
      </c>
      <c r="AA7675">
        <v>0.98848380000000002</v>
      </c>
      <c r="AB7675">
        <v>22</v>
      </c>
      <c r="AC7675">
        <v>-3.1499999999993998E-2</v>
      </c>
      <c r="AD7675">
        <v>-0.104462999999999</v>
      </c>
      <c r="AE7675">
        <v>0.51114999999999999</v>
      </c>
      <c r="AF7675">
        <v>-3.43740362609634E-2</v>
      </c>
      <c r="AG7675">
        <v>-0.104462999999999</v>
      </c>
      <c r="AH7675">
        <v>0.490459269728103</v>
      </c>
      <c r="AI7675">
        <v>101.99519891582899</v>
      </c>
      <c r="AJ7675">
        <v>94.009042363128401</v>
      </c>
      <c r="AK7675">
        <v>0.50263743195278798</v>
      </c>
      <c r="AL7675">
        <v>89.497526671704506</v>
      </c>
      <c r="AM7675">
        <v>90.554300825501798</v>
      </c>
      <c r="AN7675">
        <v>1.00000004917236</v>
      </c>
    </row>
    <row r="7676" spans="1:40" x14ac:dyDescent="0.25">
      <c r="A7676" t="str">
        <f>"20190312160834037"</f>
        <v>20190312160834037</v>
      </c>
      <c r="B7676" t="str">
        <f>"1552378114033422"</f>
        <v>1552378114033422</v>
      </c>
      <c r="C7676" t="s">
        <v>40</v>
      </c>
      <c r="D7676">
        <v>6.3430710000000001</v>
      </c>
      <c r="E7676">
        <v>0.4933439</v>
      </c>
      <c r="F7676" t="s">
        <v>44</v>
      </c>
      <c r="G7676">
        <v>-187.5249</v>
      </c>
      <c r="H7676">
        <v>0.9957606</v>
      </c>
      <c r="I7676">
        <v>-23.361550000000001</v>
      </c>
      <c r="J7676">
        <v>-187.49959999999999</v>
      </c>
      <c r="K7676">
        <v>1.1095919999999999</v>
      </c>
      <c r="L7676">
        <v>-24.042850000000001</v>
      </c>
      <c r="M7676">
        <v>8.4053970000000002E-3</v>
      </c>
      <c r="N7676">
        <v>0</v>
      </c>
      <c r="O7676">
        <v>0.99990400000000002</v>
      </c>
      <c r="P7676">
        <v>-1.2487520000000001E-3</v>
      </c>
      <c r="Q7676">
        <v>-3.1277219999999999E-3</v>
      </c>
      <c r="R7676">
        <v>0.9999943</v>
      </c>
      <c r="S7676">
        <v>-7.7804570000000003E-2</v>
      </c>
      <c r="T7676">
        <v>-0.3780541</v>
      </c>
      <c r="U7676">
        <v>2.9990540000000001</v>
      </c>
      <c r="V7676">
        <v>-9.6548520000000002E-3</v>
      </c>
      <c r="W7676">
        <v>7.88615199999999E-3</v>
      </c>
      <c r="X7676">
        <v>0.99992230000000004</v>
      </c>
      <c r="Y7676">
        <v>-3.4133030000000002E-2</v>
      </c>
      <c r="Z7676">
        <v>-0.12500419999999901</v>
      </c>
      <c r="AA7676">
        <v>0.99156889999999998</v>
      </c>
      <c r="AB7676">
        <v>22</v>
      </c>
      <c r="AC7676">
        <v>-2.5300000000015602E-2</v>
      </c>
      <c r="AD7676">
        <v>-0.113831399999999</v>
      </c>
      <c r="AE7676">
        <v>0.68130000000000002</v>
      </c>
      <c r="AF7676">
        <v>-3.0184589245508899E-2</v>
      </c>
      <c r="AG7676">
        <v>-0.113831399999999</v>
      </c>
      <c r="AH7676">
        <v>0.66259205948135902</v>
      </c>
      <c r="AI7676">
        <v>99.738184240146197</v>
      </c>
      <c r="AJ7676">
        <v>92.608323877413895</v>
      </c>
      <c r="AK7676">
        <v>0.67297617665235998</v>
      </c>
      <c r="AL7676">
        <v>89.548152093282397</v>
      </c>
      <c r="AM7676">
        <v>90.553208065469903</v>
      </c>
      <c r="AN7676">
        <v>1.0000000067988899</v>
      </c>
    </row>
    <row r="7677" spans="1:40" x14ac:dyDescent="0.25">
      <c r="A7677" t="str">
        <f>"20190312160834059"</f>
        <v>20190312160834059</v>
      </c>
      <c r="B7677" t="str">
        <f>"1552378114052942"</f>
        <v>1552378114052942</v>
      </c>
      <c r="C7677" t="s">
        <v>40</v>
      </c>
      <c r="D7677">
        <v>6.2131080000000001</v>
      </c>
      <c r="E7677">
        <v>0.49516510000000002</v>
      </c>
      <c r="F7677" t="s">
        <v>44</v>
      </c>
      <c r="G7677">
        <v>-187.51660000000001</v>
      </c>
      <c r="H7677">
        <v>1.0155559999999999</v>
      </c>
      <c r="I7677">
        <v>-23.15381</v>
      </c>
      <c r="J7677">
        <v>-187.49780000000001</v>
      </c>
      <c r="K7677">
        <v>1.1095900000000001</v>
      </c>
      <c r="L7677">
        <v>-23.81982</v>
      </c>
      <c r="M7677">
        <v>8.3885000000000001E-3</v>
      </c>
      <c r="N7677">
        <v>0</v>
      </c>
      <c r="O7677">
        <v>0.99990449999999997</v>
      </c>
      <c r="P7677">
        <v>-1.164979E-3</v>
      </c>
      <c r="Q7677">
        <v>-3.2063700000000001E-3</v>
      </c>
      <c r="R7677">
        <v>0.99999420000000006</v>
      </c>
      <c r="S7677">
        <v>-5.7708740000000001E-2</v>
      </c>
      <c r="T7677">
        <v>-0.31719029999999998</v>
      </c>
      <c r="U7677">
        <v>2.9989620000000001</v>
      </c>
      <c r="V7677">
        <v>-9.5537759999999999E-3</v>
      </c>
      <c r="W7677">
        <v>7.7769609999999998E-3</v>
      </c>
      <c r="X7677">
        <v>0.99992409999999998</v>
      </c>
      <c r="Y7677">
        <v>-2.7519459999999999E-2</v>
      </c>
      <c r="Z7677">
        <v>-0.1051449</v>
      </c>
      <c r="AA7677">
        <v>0.99407610000000002</v>
      </c>
      <c r="AB7677">
        <v>22</v>
      </c>
      <c r="AC7677">
        <v>-1.87999999999988E-2</v>
      </c>
      <c r="AD7677">
        <v>-9.4033999999999895E-2</v>
      </c>
      <c r="AE7677">
        <v>0.66600999999999999</v>
      </c>
      <c r="AF7677">
        <v>-2.3910237916131099E-2</v>
      </c>
      <c r="AG7677">
        <v>-9.4033999999999895E-2</v>
      </c>
      <c r="AH7677">
        <v>0.65282537563634702</v>
      </c>
      <c r="AI7677">
        <v>98.191179829758894</v>
      </c>
      <c r="AJ7677">
        <v>92.097564967262898</v>
      </c>
      <c r="AK7677">
        <v>0.659996260374211</v>
      </c>
      <c r="AL7677">
        <v>89.554408456965604</v>
      </c>
      <c r="AM7677">
        <v>90.547415936160704</v>
      </c>
      <c r="AN7677">
        <v>0.999999980759531</v>
      </c>
    </row>
    <row r="7678" spans="1:40" x14ac:dyDescent="0.25">
      <c r="A7678" t="str">
        <f>"20190312160834104"</f>
        <v>20190312160834104</v>
      </c>
      <c r="B7678" t="str">
        <f>"1552378114092957"</f>
        <v>1552378114092957</v>
      </c>
      <c r="C7678" t="s">
        <v>40</v>
      </c>
      <c r="D7678">
        <v>5.9202640000000004</v>
      </c>
      <c r="E7678">
        <v>0.50050620000000001</v>
      </c>
      <c r="F7678" t="s">
        <v>44</v>
      </c>
      <c r="G7678">
        <v>-187.5102</v>
      </c>
      <c r="H7678">
        <v>1.0201929999999999</v>
      </c>
      <c r="I7678">
        <v>-22.953009999999999</v>
      </c>
      <c r="J7678">
        <v>-187.4941</v>
      </c>
      <c r="K7678">
        <v>1.109591</v>
      </c>
      <c r="L7678">
        <v>-23.370509999999999</v>
      </c>
      <c r="M7678">
        <v>8.3547810000000004E-3</v>
      </c>
      <c r="N7678">
        <v>0</v>
      </c>
      <c r="O7678">
        <v>0.9999053</v>
      </c>
      <c r="P7678">
        <v>-1.4396260000000001E-3</v>
      </c>
      <c r="Q7678">
        <v>-2.5877790000000001E-3</v>
      </c>
      <c r="R7678">
        <v>0.99999559999999998</v>
      </c>
      <c r="S7678">
        <v>-4.322815E-2</v>
      </c>
      <c r="T7678">
        <v>-0.30928620000000001</v>
      </c>
      <c r="U7678">
        <v>2.9989620000000001</v>
      </c>
      <c r="V7678">
        <v>-9.7945159999999996E-3</v>
      </c>
      <c r="W7678">
        <v>8.344855E-3</v>
      </c>
      <c r="X7678">
        <v>0.99991719999999895</v>
      </c>
      <c r="Y7678">
        <v>-2.2690769999999999E-2</v>
      </c>
      <c r="Z7678">
        <v>-0.1025631</v>
      </c>
      <c r="AA7678">
        <v>0.99446769999999995</v>
      </c>
      <c r="AB7678">
        <v>22</v>
      </c>
      <c r="AC7678">
        <v>-1.60999999999944E-2</v>
      </c>
      <c r="AD7678">
        <v>-8.9397999999999797E-2</v>
      </c>
      <c r="AE7678">
        <v>0.41749999999999998</v>
      </c>
      <c r="AF7678">
        <v>-1.8730254182231398E-2</v>
      </c>
      <c r="AG7678">
        <v>-8.9397999999999797E-2</v>
      </c>
      <c r="AH7678">
        <v>0.39908011459683301</v>
      </c>
      <c r="AI7678">
        <v>102.61295206369699</v>
      </c>
      <c r="AJ7678">
        <v>92.687123561982602</v>
      </c>
      <c r="AK7678">
        <v>0.40939927050784097</v>
      </c>
      <c r="AL7678">
        <v>89.521869472774199</v>
      </c>
      <c r="AM7678">
        <v>90.561212950383407</v>
      </c>
      <c r="AN7678">
        <v>0.99999998800224199</v>
      </c>
    </row>
    <row r="7679" spans="1:40" x14ac:dyDescent="0.25">
      <c r="A7679" t="str">
        <f>"20190312160834136"</f>
        <v>20190312160834136</v>
      </c>
      <c r="B7679" t="str">
        <f>"1552378114132973"</f>
        <v>1552378114132973</v>
      </c>
      <c r="C7679" t="s">
        <v>40</v>
      </c>
      <c r="D7679">
        <v>6.4332079999999996</v>
      </c>
      <c r="E7679">
        <v>0.50134619999999996</v>
      </c>
      <c r="F7679" t="s">
        <v>44</v>
      </c>
      <c r="G7679">
        <v>-187.4948</v>
      </c>
      <c r="H7679">
        <v>0.79812899999999998</v>
      </c>
      <c r="I7679">
        <v>-22.654060000000001</v>
      </c>
      <c r="J7679">
        <v>-187.4914</v>
      </c>
      <c r="K7679">
        <v>1.1095790000000001</v>
      </c>
      <c r="L7679">
        <v>-23.05078</v>
      </c>
      <c r="M7679">
        <v>8.3307759999999998E-3</v>
      </c>
      <c r="N7679">
        <v>0</v>
      </c>
      <c r="O7679">
        <v>0.99990590000000001</v>
      </c>
      <c r="P7679">
        <v>-2.1166689999999998E-3</v>
      </c>
      <c r="Q7679">
        <v>-3.2790950000000001E-3</v>
      </c>
      <c r="R7679">
        <v>0.9999924</v>
      </c>
      <c r="S7679">
        <v>-3.1890870000000002E-3</v>
      </c>
      <c r="T7679">
        <v>-1.302718</v>
      </c>
      <c r="U7679">
        <v>2.9966430000000002</v>
      </c>
      <c r="V7679">
        <v>-1.044779E-2</v>
      </c>
      <c r="W7679">
        <v>7.6234240000000002E-3</v>
      </c>
      <c r="X7679">
        <v>0.99991640000000004</v>
      </c>
      <c r="Y7679">
        <v>-9.3072080000000008E-3</v>
      </c>
      <c r="Z7679">
        <v>-0.39865349999999999</v>
      </c>
      <c r="AA7679">
        <v>0.91705440000000005</v>
      </c>
      <c r="AB7679">
        <v>22</v>
      </c>
      <c r="AC7679">
        <v>-3.3999999999991802E-3</v>
      </c>
      <c r="AD7679">
        <v>-0.31145</v>
      </c>
      <c r="AE7679">
        <v>0.39671999999999802</v>
      </c>
      <c r="AF7679">
        <v>-4.1484597671961202E-3</v>
      </c>
      <c r="AG7679">
        <v>-0.31145</v>
      </c>
      <c r="AH7679">
        <v>0.24542679780145801</v>
      </c>
      <c r="AI7679">
        <v>141.75743507453001</v>
      </c>
      <c r="AJ7679">
        <v>90.968380817380506</v>
      </c>
      <c r="AK7679">
        <v>0.39655091135630699</v>
      </c>
      <c r="AL7679">
        <v>89.563205765909103</v>
      </c>
      <c r="AM7679">
        <v>90.598642535696698</v>
      </c>
      <c r="AN7679">
        <v>1.00000003994916</v>
      </c>
    </row>
    <row r="7680" spans="1:40" x14ac:dyDescent="0.25">
      <c r="A7680" t="str">
        <f>"20190312160834160"</f>
        <v>20190312160834160</v>
      </c>
      <c r="B7680" t="str">
        <f>"1552378114153470"</f>
        <v>1552378114153470</v>
      </c>
      <c r="C7680" t="s">
        <v>40</v>
      </c>
      <c r="D7680">
        <v>6.3230050000000002</v>
      </c>
      <c r="E7680">
        <v>0.49913390000000002</v>
      </c>
      <c r="F7680" t="s">
        <v>44</v>
      </c>
      <c r="G7680">
        <v>-187.49039999999999</v>
      </c>
      <c r="H7680">
        <v>0.97174890000000003</v>
      </c>
      <c r="I7680">
        <v>-22.180119999999999</v>
      </c>
      <c r="J7680">
        <v>-187.48949999999999</v>
      </c>
      <c r="K7680">
        <v>1.1095699999999999</v>
      </c>
      <c r="L7680">
        <v>-22.817229999999999</v>
      </c>
      <c r="M7680">
        <v>8.3128950000000007E-3</v>
      </c>
      <c r="N7680">
        <v>0</v>
      </c>
      <c r="O7680">
        <v>0.99990619999999997</v>
      </c>
      <c r="P7680">
        <v>-2.0124959999999999E-3</v>
      </c>
      <c r="Q7680">
        <v>-4.2094680000000001E-3</v>
      </c>
      <c r="R7680">
        <v>0.99998909999999996</v>
      </c>
      <c r="S7680">
        <v>3.3111569999999999E-3</v>
      </c>
      <c r="T7680">
        <v>-0.47465990000000002</v>
      </c>
      <c r="U7680">
        <v>2.9984739999999999</v>
      </c>
      <c r="V7680">
        <v>-1.03258E-2</v>
      </c>
      <c r="W7680">
        <v>6.6750189999999999E-3</v>
      </c>
      <c r="X7680">
        <v>0.99992440000000005</v>
      </c>
      <c r="Y7680">
        <v>-7.2227189999999998E-3</v>
      </c>
      <c r="Z7680">
        <v>-0.15634339999999999</v>
      </c>
      <c r="AA7680">
        <v>0.98767629999999995</v>
      </c>
      <c r="AB7680">
        <v>22</v>
      </c>
      <c r="AC7680">
        <v>-9.0000000000145497E-4</v>
      </c>
      <c r="AD7680">
        <v>-0.1378211</v>
      </c>
      <c r="AE7680">
        <v>0.63710999999999596</v>
      </c>
      <c r="AF7680">
        <v>-5.9195064788850199E-3</v>
      </c>
      <c r="AG7680">
        <v>-0.1378211</v>
      </c>
      <c r="AH7680">
        <v>0.60860087518338302</v>
      </c>
      <c r="AI7680">
        <v>102.75915813371201</v>
      </c>
      <c r="AJ7680">
        <v>90.557265125935203</v>
      </c>
      <c r="AK7680">
        <v>0.62403903839114405</v>
      </c>
      <c r="AL7680">
        <v>89.617546739894905</v>
      </c>
      <c r="AM7680">
        <v>90.591648460118506</v>
      </c>
      <c r="AN7680">
        <v>0.99999999186982502</v>
      </c>
    </row>
    <row r="7681" spans="1:40" x14ac:dyDescent="0.25">
      <c r="A7681" t="str">
        <f>"20190312160834182"</f>
        <v>20190312160834182</v>
      </c>
      <c r="B7681" t="str">
        <f>"1552378114172990"</f>
        <v>1552378114172990</v>
      </c>
      <c r="C7681" t="s">
        <v>40</v>
      </c>
      <c r="D7681">
        <v>6.5274190000000001</v>
      </c>
      <c r="E7681">
        <v>0.49554769999999998</v>
      </c>
      <c r="F7681" t="s">
        <v>44</v>
      </c>
      <c r="G7681">
        <v>-187.4933</v>
      </c>
      <c r="H7681">
        <v>1.023609</v>
      </c>
      <c r="I7681">
        <v>-21.955490000000001</v>
      </c>
      <c r="J7681">
        <v>-187.48769999999999</v>
      </c>
      <c r="K7681">
        <v>1.1095649999999999</v>
      </c>
      <c r="L7681">
        <v>-22.591550000000002</v>
      </c>
      <c r="M7681">
        <v>8.2953579999999992E-3</v>
      </c>
      <c r="N7681">
        <v>0</v>
      </c>
      <c r="O7681">
        <v>0.99990650000000003</v>
      </c>
      <c r="P7681">
        <v>-2.2732099999999999E-3</v>
      </c>
      <c r="Q7681">
        <v>-4.4067630000000002E-3</v>
      </c>
      <c r="R7681">
        <v>0.99998770000000003</v>
      </c>
      <c r="S7681">
        <v>-1.3732909999999999E-2</v>
      </c>
      <c r="T7681">
        <v>-0.299120099999999</v>
      </c>
      <c r="U7681">
        <v>2.9987490000000001</v>
      </c>
      <c r="V7681">
        <v>-1.05685E-2</v>
      </c>
      <c r="W7681">
        <v>6.462354E-3</v>
      </c>
      <c r="X7681">
        <v>0.99992329999999996</v>
      </c>
      <c r="Y7681">
        <v>-1.2852489999999999E-2</v>
      </c>
      <c r="Z7681">
        <v>-9.9246009999999996E-2</v>
      </c>
      <c r="AA7681">
        <v>0.99497990000000003</v>
      </c>
      <c r="AB7681">
        <v>22</v>
      </c>
      <c r="AC7681">
        <v>-5.6000000000153696E-3</v>
      </c>
      <c r="AD7681">
        <v>-8.5955999999999894E-2</v>
      </c>
      <c r="AE7681">
        <v>0.63605999999999996</v>
      </c>
      <c r="AF7681">
        <v>-1.06814121381831E-2</v>
      </c>
      <c r="AG7681">
        <v>-8.5955999999999894E-2</v>
      </c>
      <c r="AH7681">
        <v>0.62458614056497697</v>
      </c>
      <c r="AI7681">
        <v>97.834733934553498</v>
      </c>
      <c r="AJ7681">
        <v>90.979753060159496</v>
      </c>
      <c r="AK7681">
        <v>0.63056353643952301</v>
      </c>
      <c r="AL7681">
        <v>89.629731824169596</v>
      </c>
      <c r="AM7681">
        <v>90.605554345311901</v>
      </c>
      <c r="AN7681">
        <v>1.0000000305471799</v>
      </c>
    </row>
    <row r="7682" spans="1:40" x14ac:dyDescent="0.25">
      <c r="A7682" t="str">
        <f>"20190312160834206"</f>
        <v>20190312160834206</v>
      </c>
      <c r="B7682" t="str">
        <f>"1552378114203246"</f>
        <v>1552378114203246</v>
      </c>
      <c r="C7682" t="s">
        <v>40</v>
      </c>
      <c r="D7682">
        <v>6.2954639999999999</v>
      </c>
      <c r="E7682">
        <v>0.4978496</v>
      </c>
      <c r="F7682" t="s">
        <v>47</v>
      </c>
      <c r="G7682">
        <v>-187.72970000000001</v>
      </c>
      <c r="H7682" s="1">
        <v>-2.435476E-6</v>
      </c>
      <c r="I7682">
        <v>-5.6288029999999996</v>
      </c>
      <c r="J7682">
        <v>-187.48580000000001</v>
      </c>
      <c r="K7682">
        <v>1.1095619999999999</v>
      </c>
      <c r="L7682">
        <v>-22.361630000000002</v>
      </c>
      <c r="M7682">
        <v>8.2773359999999997E-3</v>
      </c>
      <c r="N7682">
        <v>0</v>
      </c>
      <c r="O7682">
        <v>0.99990679999999998</v>
      </c>
      <c r="P7682">
        <v>-3.483173E-3</v>
      </c>
      <c r="Q7682">
        <v>-4.1420889999999998E-3</v>
      </c>
      <c r="R7682">
        <v>0.99998529999999997</v>
      </c>
      <c r="S7682">
        <v>-4.278564E-2</v>
      </c>
      <c r="T7682">
        <v>-0.1961762</v>
      </c>
      <c r="U7682">
        <v>2.9990839999999999</v>
      </c>
      <c r="V7682">
        <v>-1.176048E-2</v>
      </c>
      <c r="W7682">
        <v>6.7136419999999997E-3</v>
      </c>
      <c r="X7682">
        <v>0.99990829999999997</v>
      </c>
      <c r="Y7682">
        <v>-2.2510869999999999E-2</v>
      </c>
      <c r="Z7682">
        <v>-6.5257590000000004E-2</v>
      </c>
      <c r="AA7682">
        <v>0.99761449999999996</v>
      </c>
      <c r="AB7682">
        <v>22</v>
      </c>
      <c r="AC7682">
        <v>-0.24389999999999601</v>
      </c>
      <c r="AD7682">
        <v>-1.1095644354759999</v>
      </c>
      <c r="AE7682">
        <v>16.732827</v>
      </c>
      <c r="AF7682">
        <v>-0.38072928933614802</v>
      </c>
      <c r="AG7682">
        <v>-1.1095644354759999</v>
      </c>
      <c r="AH7682">
        <v>16.657007759659798</v>
      </c>
      <c r="AI7682">
        <v>93.809991153890294</v>
      </c>
      <c r="AJ7682">
        <v>91.3093818550729</v>
      </c>
      <c r="AK7682">
        <v>16.698263249020801</v>
      </c>
      <c r="AL7682">
        <v>89.615333756657094</v>
      </c>
      <c r="AM7682">
        <v>90.673856593208797</v>
      </c>
      <c r="AN7682">
        <v>0.99999999514381199</v>
      </c>
    </row>
    <row r="7683" spans="1:40" x14ac:dyDescent="0.25">
      <c r="A7683" t="str">
        <f>"20190312160834226"</f>
        <v>20190312160834226</v>
      </c>
      <c r="B7683" t="str">
        <f>"1552378114222766"</f>
        <v>1552378114222766</v>
      </c>
      <c r="C7683" t="s">
        <v>40</v>
      </c>
      <c r="D7683">
        <v>6.4110529999999999</v>
      </c>
      <c r="E7683">
        <v>0.49797809999999998</v>
      </c>
      <c r="F7683" t="s">
        <v>47</v>
      </c>
      <c r="G7683">
        <v>-187.67490000000001</v>
      </c>
      <c r="H7683" s="1">
        <v>-4.0248570000000001E-6</v>
      </c>
      <c r="I7683">
        <v>-1.946556</v>
      </c>
      <c r="J7683">
        <v>-187.48410000000001</v>
      </c>
      <c r="K7683">
        <v>1.109559</v>
      </c>
      <c r="L7683">
        <v>-22.152010000000001</v>
      </c>
      <c r="M7683">
        <v>8.2608730000000002E-3</v>
      </c>
      <c r="N7683">
        <v>0</v>
      </c>
      <c r="O7683">
        <v>0.99990710000000005</v>
      </c>
      <c r="P7683">
        <v>-4.6298140000000003E-3</v>
      </c>
      <c r="Q7683">
        <v>-4.399628E-3</v>
      </c>
      <c r="R7683">
        <v>0.99997959999999997</v>
      </c>
      <c r="S7683">
        <v>-2.7786249999999998E-2</v>
      </c>
      <c r="T7683">
        <v>-0.16301119999999999</v>
      </c>
      <c r="U7683">
        <v>2.9992679999999998</v>
      </c>
      <c r="V7683">
        <v>-1.2890489999999999E-2</v>
      </c>
      <c r="W7683">
        <v>6.4461419999999898E-3</v>
      </c>
      <c r="X7683">
        <v>0.99989609999999995</v>
      </c>
      <c r="Y7683">
        <v>-1.7510990000000001E-2</v>
      </c>
      <c r="Z7683">
        <v>-5.426214E-2</v>
      </c>
      <c r="AA7683">
        <v>0.99837319999999996</v>
      </c>
      <c r="AB7683">
        <v>22</v>
      </c>
      <c r="AC7683">
        <v>-0.190799999999995</v>
      </c>
      <c r="AD7683">
        <v>-1.1095630248570001</v>
      </c>
      <c r="AE7683">
        <v>20.205454</v>
      </c>
      <c r="AF7683">
        <v>-0.35664261124791502</v>
      </c>
      <c r="AG7683">
        <v>-1.1095630248570001</v>
      </c>
      <c r="AH7683">
        <v>20.1424530241848</v>
      </c>
      <c r="AI7683">
        <v>93.152503781126498</v>
      </c>
      <c r="AJ7683">
        <v>91.014374039262805</v>
      </c>
      <c r="AK7683">
        <v>20.176142790181199</v>
      </c>
      <c r="AL7683">
        <v>89.630660698138399</v>
      </c>
      <c r="AM7683">
        <v>90.738606501516003</v>
      </c>
      <c r="AN7683">
        <v>0.99999996413716596</v>
      </c>
    </row>
    <row r="7684" spans="1:40" x14ac:dyDescent="0.25">
      <c r="A7684" t="str">
        <f>"20190312160834249"</f>
        <v>20190312160834249</v>
      </c>
      <c r="B7684" t="str">
        <f>"1552378114243262"</f>
        <v>1552378114243262</v>
      </c>
      <c r="C7684" t="s">
        <v>40</v>
      </c>
      <c r="D7684">
        <v>5.967784</v>
      </c>
      <c r="E7684">
        <v>0.49632799999999999</v>
      </c>
      <c r="F7684" t="s">
        <v>47</v>
      </c>
      <c r="G7684">
        <v>-187.7148</v>
      </c>
      <c r="H7684" s="1">
        <v>-9.8491589999999996E-7</v>
      </c>
      <c r="I7684">
        <v>0.75559270000000001</v>
      </c>
      <c r="J7684">
        <v>-187.48230000000001</v>
      </c>
      <c r="K7684">
        <v>1.109561</v>
      </c>
      <c r="L7684">
        <v>-21.93149</v>
      </c>
      <c r="M7684">
        <v>8.2436839999999994E-3</v>
      </c>
      <c r="N7684">
        <v>0</v>
      </c>
      <c r="O7684">
        <v>0.99990730000000005</v>
      </c>
      <c r="P7684">
        <v>-5.4034180000000001E-3</v>
      </c>
      <c r="Q7684">
        <v>-4.129392E-3</v>
      </c>
      <c r="R7684">
        <v>0.99997689999999995</v>
      </c>
      <c r="S7684">
        <v>-3.02124E-2</v>
      </c>
      <c r="T7684">
        <v>-0.14527499999999999</v>
      </c>
      <c r="U7684">
        <v>2.999298</v>
      </c>
      <c r="V7684">
        <v>-1.364713E-2</v>
      </c>
      <c r="W7684">
        <v>6.7064890000000004E-3</v>
      </c>
      <c r="X7684">
        <v>0.99988440000000001</v>
      </c>
      <c r="Y7684">
        <v>-1.8304259999999999E-2</v>
      </c>
      <c r="Z7684">
        <v>-4.8371869999999997E-2</v>
      </c>
      <c r="AA7684">
        <v>0.99866160000000004</v>
      </c>
      <c r="AB7684">
        <v>22</v>
      </c>
      <c r="AC7684">
        <v>-0.23249999999998699</v>
      </c>
      <c r="AD7684">
        <v>-1.1095619849159</v>
      </c>
      <c r="AE7684">
        <v>22.687082699999898</v>
      </c>
      <c r="AF7684">
        <v>-0.41852724521008999</v>
      </c>
      <c r="AG7684">
        <v>-1.1095619849159</v>
      </c>
      <c r="AH7684">
        <v>22.6302709281969</v>
      </c>
      <c r="AI7684">
        <v>92.806484602399706</v>
      </c>
      <c r="AJ7684">
        <v>91.059514993567205</v>
      </c>
      <c r="AK7684">
        <v>22.661320683864599</v>
      </c>
      <c r="AL7684">
        <v>89.615743611094203</v>
      </c>
      <c r="AM7684">
        <v>90.781964797937803</v>
      </c>
      <c r="AN7684">
        <v>1.00000001725765</v>
      </c>
    </row>
    <row r="7685" spans="1:40" x14ac:dyDescent="0.25">
      <c r="A7685" t="str">
        <f>"20190312160834272"</f>
        <v>20190312160834272</v>
      </c>
      <c r="B7685" t="str">
        <f>"1552378114262782"</f>
        <v>1552378114262782</v>
      </c>
      <c r="C7685" t="s">
        <v>40</v>
      </c>
      <c r="D7685">
        <v>6.3128869999999999</v>
      </c>
      <c r="E7685">
        <v>0.49611280000000002</v>
      </c>
      <c r="F7685" t="s">
        <v>47</v>
      </c>
      <c r="G7685">
        <v>-187.9203</v>
      </c>
      <c r="H7685" s="1">
        <v>-3.483517E-6</v>
      </c>
      <c r="I7685">
        <v>6.8930300000000004</v>
      </c>
      <c r="J7685">
        <v>-187.4803</v>
      </c>
      <c r="K7685">
        <v>1.109561</v>
      </c>
      <c r="L7685">
        <v>-21.690059999999999</v>
      </c>
      <c r="M7685">
        <v>8.225085E-3</v>
      </c>
      <c r="N7685">
        <v>0</v>
      </c>
      <c r="O7685">
        <v>0.99990760000000001</v>
      </c>
      <c r="P7685">
        <v>-6.212469E-3</v>
      </c>
      <c r="Q7685">
        <v>-3.663403E-3</v>
      </c>
      <c r="R7685">
        <v>0.99997400000000003</v>
      </c>
      <c r="S7685">
        <v>-4.5578E-2</v>
      </c>
      <c r="T7685">
        <v>-0.1154567</v>
      </c>
      <c r="U7685">
        <v>2.9993590000000001</v>
      </c>
      <c r="V7685">
        <v>-1.443758E-2</v>
      </c>
      <c r="W7685">
        <v>7.1637649999999999E-3</v>
      </c>
      <c r="X7685">
        <v>0.99987009999999998</v>
      </c>
      <c r="Y7685">
        <v>-2.3407029999999999E-2</v>
      </c>
      <c r="Z7685">
        <v>-3.8455870000000003E-2</v>
      </c>
      <c r="AA7685">
        <v>0.99898609999999999</v>
      </c>
      <c r="AB7685">
        <v>22</v>
      </c>
      <c r="AC7685">
        <v>-0.439999999999997</v>
      </c>
      <c r="AD7685">
        <v>-1.109564483517</v>
      </c>
      <c r="AE7685">
        <v>28.583089999999999</v>
      </c>
      <c r="AF7685">
        <v>-0.67408169177714194</v>
      </c>
      <c r="AG7685">
        <v>-1.109564483517</v>
      </c>
      <c r="AH7685">
        <v>28.535513562473</v>
      </c>
      <c r="AI7685">
        <v>92.226125970131804</v>
      </c>
      <c r="AJ7685">
        <v>91.353220935897795</v>
      </c>
      <c r="AK7685">
        <v>28.565032010210501</v>
      </c>
      <c r="AL7685">
        <v>89.589542985201803</v>
      </c>
      <c r="AM7685">
        <v>90.827262378278903</v>
      </c>
      <c r="AN7685">
        <v>0.99999999005962004</v>
      </c>
    </row>
    <row r="7686" spans="1:40" x14ac:dyDescent="0.25">
      <c r="A7686" t="str">
        <f>"20190312160834295"</f>
        <v>20190312160834295</v>
      </c>
      <c r="B7686" t="str">
        <f>"1552378114283278"</f>
        <v>1552378114283278</v>
      </c>
      <c r="C7686" t="s">
        <v>40</v>
      </c>
      <c r="D7686">
        <v>6.5671009999999903</v>
      </c>
      <c r="E7686">
        <v>0.49548639999999999</v>
      </c>
      <c r="F7686" t="s">
        <v>47</v>
      </c>
      <c r="G7686">
        <v>-188.0127</v>
      </c>
      <c r="H7686" s="1">
        <v>-7.6176500000000005E-7</v>
      </c>
      <c r="I7686">
        <v>10.332739999999999</v>
      </c>
      <c r="J7686">
        <v>-187.4785</v>
      </c>
      <c r="K7686">
        <v>1.1095630000000001</v>
      </c>
      <c r="L7686">
        <v>-21.466249999999999</v>
      </c>
      <c r="M7686">
        <v>8.2081840000000003E-3</v>
      </c>
      <c r="N7686">
        <v>0</v>
      </c>
      <c r="O7686">
        <v>0.99990769999999995</v>
      </c>
      <c r="P7686">
        <v>-6.2978359999999898E-3</v>
      </c>
      <c r="Q7686">
        <v>-3.3840239999999998E-3</v>
      </c>
      <c r="R7686">
        <v>0.99997440000000004</v>
      </c>
      <c r="S7686">
        <v>-4.9865720000000002E-2</v>
      </c>
      <c r="T7686">
        <v>-0.1039262</v>
      </c>
      <c r="U7686">
        <v>2.99939</v>
      </c>
      <c r="V7686">
        <v>-1.450573E-2</v>
      </c>
      <c r="W7686">
        <v>7.436509E-3</v>
      </c>
      <c r="X7686">
        <v>0.99986710000000001</v>
      </c>
      <c r="Y7686">
        <v>-2.4819999999999998E-2</v>
      </c>
      <c r="Z7686">
        <v>-3.4618860000000001E-2</v>
      </c>
      <c r="AA7686">
        <v>0.99909230000000004</v>
      </c>
      <c r="AB7686">
        <v>22</v>
      </c>
      <c r="AC7686">
        <v>-0.53419999999999801</v>
      </c>
      <c r="AD7686">
        <v>-1.1095637617649901</v>
      </c>
      <c r="AE7686">
        <v>31.79899</v>
      </c>
      <c r="AF7686">
        <v>-0.79424252446384502</v>
      </c>
      <c r="AG7686">
        <v>-1.1095637617649901</v>
      </c>
      <c r="AH7686">
        <v>31.754882116566399</v>
      </c>
      <c r="AI7686">
        <v>92.000562158340401</v>
      </c>
      <c r="AJ7686">
        <v>91.432764213468403</v>
      </c>
      <c r="AK7686">
        <v>31.784186180648302</v>
      </c>
      <c r="AL7686">
        <v>89.573915478995403</v>
      </c>
      <c r="AM7686">
        <v>90.831169268514898</v>
      </c>
      <c r="AN7686">
        <v>0.99999996776567401</v>
      </c>
    </row>
    <row r="7687" spans="1:40" x14ac:dyDescent="0.25">
      <c r="A7687" t="str">
        <f>"20190312160834327"</f>
        <v>20190312160834327</v>
      </c>
      <c r="B7687" t="str">
        <f>"1552378114323294"</f>
        <v>1552378114323294</v>
      </c>
      <c r="C7687" t="s">
        <v>40</v>
      </c>
      <c r="D7687">
        <v>6.3591220000000002</v>
      </c>
      <c r="E7687">
        <v>0.4967049</v>
      </c>
      <c r="F7687" t="s">
        <v>47</v>
      </c>
      <c r="G7687">
        <v>-188.1876</v>
      </c>
      <c r="H7687" s="1">
        <v>-3.5682220000000002E-6</v>
      </c>
      <c r="I7687">
        <v>17.200990000000001</v>
      </c>
      <c r="J7687">
        <v>-187.4759</v>
      </c>
      <c r="K7687">
        <v>1.1095680000000001</v>
      </c>
      <c r="L7687">
        <v>-21.15005</v>
      </c>
      <c r="M7687">
        <v>8.1841280000000006E-3</v>
      </c>
      <c r="N7687">
        <v>0</v>
      </c>
      <c r="O7687">
        <v>0.99990789999999996</v>
      </c>
      <c r="P7687">
        <v>-5.5626719999999899E-3</v>
      </c>
      <c r="Q7687">
        <v>-3.328653E-3</v>
      </c>
      <c r="R7687">
        <v>0.99997899999999995</v>
      </c>
      <c r="S7687">
        <v>-5.5007929999999997E-2</v>
      </c>
      <c r="T7687">
        <v>-8.6070060000000004E-2</v>
      </c>
      <c r="U7687">
        <v>2.9994510000000001</v>
      </c>
      <c r="V7687">
        <v>-1.3747179999999999E-2</v>
      </c>
      <c r="W7687">
        <v>7.4946819999999999E-3</v>
      </c>
      <c r="X7687">
        <v>0.99987740000000003</v>
      </c>
      <c r="Y7687">
        <v>-2.651133E-2</v>
      </c>
      <c r="Z7687">
        <v>-2.8674580000000002E-2</v>
      </c>
      <c r="AA7687">
        <v>0.99923720000000005</v>
      </c>
      <c r="AB7687">
        <v>22</v>
      </c>
      <c r="AC7687">
        <v>-0.71170000000000699</v>
      </c>
      <c r="AD7687">
        <v>-1.109571568222</v>
      </c>
      <c r="AE7687">
        <v>38.351039999999998</v>
      </c>
      <c r="AF7687">
        <v>-1.0247069330663301</v>
      </c>
      <c r="AG7687">
        <v>-1.109571568222</v>
      </c>
      <c r="AH7687">
        <v>38.311872189560702</v>
      </c>
      <c r="AI7687">
        <v>91.658318697497293</v>
      </c>
      <c r="AJ7687">
        <v>91.5320939691277</v>
      </c>
      <c r="AK7687">
        <v>38.341631734094499</v>
      </c>
      <c r="AL7687">
        <v>89.570582326071403</v>
      </c>
      <c r="AM7687">
        <v>90.787702341632794</v>
      </c>
      <c r="AN7687">
        <v>0.99999998512349597</v>
      </c>
    </row>
    <row r="7688" spans="1:40" x14ac:dyDescent="0.25">
      <c r="A7688" t="str">
        <f>"20190312160834349"</f>
        <v>20190312160834349</v>
      </c>
      <c r="B7688" t="str">
        <f>"1552378114342813"</f>
        <v>1552378114342813</v>
      </c>
      <c r="C7688" t="s">
        <v>40</v>
      </c>
      <c r="D7688">
        <v>6.3706370000000003</v>
      </c>
      <c r="E7688">
        <v>0.49734220000000001</v>
      </c>
      <c r="F7688" t="s">
        <v>47</v>
      </c>
      <c r="G7688">
        <v>-188.02670000000001</v>
      </c>
      <c r="H7688" s="1">
        <v>-3.597557E-6</v>
      </c>
      <c r="I7688">
        <v>17.202829999999999</v>
      </c>
      <c r="J7688">
        <v>-187.47409999999999</v>
      </c>
      <c r="K7688">
        <v>1.1095630000000001</v>
      </c>
      <c r="L7688">
        <v>-20.921690000000002</v>
      </c>
      <c r="M7688">
        <v>8.1664839999999999E-3</v>
      </c>
      <c r="N7688">
        <v>0</v>
      </c>
      <c r="O7688">
        <v>0.99990800000000002</v>
      </c>
      <c r="P7688">
        <v>-5.0652120000000004E-3</v>
      </c>
      <c r="Q7688">
        <v>-3.471039E-3</v>
      </c>
      <c r="R7688">
        <v>0.99998120000000001</v>
      </c>
      <c r="S7688">
        <v>-4.3075559999999999E-2</v>
      </c>
      <c r="T7688">
        <v>-8.6778519999999998E-2</v>
      </c>
      <c r="U7688">
        <v>2.9995419999999999</v>
      </c>
      <c r="V7688">
        <v>-1.323179E-2</v>
      </c>
      <c r="W7688">
        <v>7.3621249999999997E-3</v>
      </c>
      <c r="X7688">
        <v>0.99988540000000004</v>
      </c>
      <c r="Y7688">
        <v>-2.251887E-2</v>
      </c>
      <c r="Z7688">
        <v>-2.8911889999999999E-2</v>
      </c>
      <c r="AA7688">
        <v>0.99932829999999995</v>
      </c>
      <c r="AB7688">
        <v>22</v>
      </c>
      <c r="AC7688">
        <v>-0.55260000000001197</v>
      </c>
      <c r="AD7688">
        <v>-1.1095665975569999</v>
      </c>
      <c r="AE7688">
        <v>38.124519999999997</v>
      </c>
      <c r="AF7688">
        <v>-0.86321210357117795</v>
      </c>
      <c r="AG7688">
        <v>-1.1095665975569999</v>
      </c>
      <c r="AH7688">
        <v>38.086481919802601</v>
      </c>
      <c r="AI7688">
        <v>91.668287423231007</v>
      </c>
      <c r="AJ7688">
        <v>91.298359466771402</v>
      </c>
      <c r="AK7688">
        <v>38.112417637793797</v>
      </c>
      <c r="AL7688">
        <v>89.578177518554199</v>
      </c>
      <c r="AM7688">
        <v>90.758168358719502</v>
      </c>
      <c r="AN7688">
        <v>1.00000004714213</v>
      </c>
    </row>
    <row r="7689" spans="1:40" x14ac:dyDescent="0.25">
      <c r="A7689" t="str">
        <f>"20190312160834372"</f>
        <v>20190312160834372</v>
      </c>
      <c r="B7689" t="str">
        <f>"1552378114363310"</f>
        <v>1552378114363310</v>
      </c>
      <c r="C7689" t="s">
        <v>40</v>
      </c>
      <c r="D7689">
        <v>5.996124</v>
      </c>
      <c r="E7689">
        <v>0.49712729999999999</v>
      </c>
      <c r="F7689" t="s">
        <v>47</v>
      </c>
      <c r="G7689">
        <v>-187.9289</v>
      </c>
      <c r="H7689" s="1">
        <v>-3.3707950000000001E-6</v>
      </c>
      <c r="I7689">
        <v>16.63382</v>
      </c>
      <c r="J7689">
        <v>-187.47219999999999</v>
      </c>
      <c r="K7689">
        <v>1.1095680000000001</v>
      </c>
      <c r="L7689">
        <v>-20.689640000000001</v>
      </c>
      <c r="M7689">
        <v>8.1485129999999996E-3</v>
      </c>
      <c r="N7689">
        <v>0</v>
      </c>
      <c r="O7689">
        <v>0.99990800000000002</v>
      </c>
      <c r="P7689">
        <v>-4.5049340000000004E-3</v>
      </c>
      <c r="Q7689">
        <v>-3.2699489999999999E-3</v>
      </c>
      <c r="R7689">
        <v>0.99998450000000005</v>
      </c>
      <c r="S7689">
        <v>-3.6331179999999998E-2</v>
      </c>
      <c r="T7689">
        <v>-8.8621500000000006E-2</v>
      </c>
      <c r="U7689">
        <v>2.9995729999999998</v>
      </c>
      <c r="V7689">
        <v>-1.265343E-2</v>
      </c>
      <c r="W7689">
        <v>7.5786019999999898E-3</v>
      </c>
      <c r="X7689">
        <v>0.99989119999999998</v>
      </c>
      <c r="Y7689">
        <v>-2.0253940000000002E-2</v>
      </c>
      <c r="Z7689">
        <v>-2.9526239999999999E-2</v>
      </c>
      <c r="AA7689">
        <v>0.99935879999999999</v>
      </c>
      <c r="AB7689">
        <v>22</v>
      </c>
      <c r="AC7689">
        <v>-0.45670000000001199</v>
      </c>
      <c r="AD7689">
        <v>-1.1095713707949999</v>
      </c>
      <c r="AE7689">
        <v>37.323459999999997</v>
      </c>
      <c r="AF7689">
        <v>-0.76016169934320998</v>
      </c>
      <c r="AG7689">
        <v>-1.1095713707949999</v>
      </c>
      <c r="AH7689">
        <v>37.285551599533399</v>
      </c>
      <c r="AI7689">
        <v>91.704193735427694</v>
      </c>
      <c r="AJ7689">
        <v>91.167959767237804</v>
      </c>
      <c r="AK7689">
        <v>37.309802365028702</v>
      </c>
      <c r="AL7689">
        <v>89.565773924598702</v>
      </c>
      <c r="AM7689">
        <v>90.725028321297501</v>
      </c>
      <c r="AN7689">
        <v>0.99999997816823905</v>
      </c>
    </row>
    <row r="7690" spans="1:40" x14ac:dyDescent="0.25">
      <c r="A7690" t="str">
        <f>"20190312160834395"</f>
        <v>20190312160834395</v>
      </c>
      <c r="B7690" t="str">
        <f>"1552378114392590"</f>
        <v>1552378114392590</v>
      </c>
      <c r="C7690" t="s">
        <v>40</v>
      </c>
      <c r="D7690">
        <v>6.0125019999999996</v>
      </c>
      <c r="E7690">
        <v>0.4968899</v>
      </c>
      <c r="F7690" t="s">
        <v>47</v>
      </c>
      <c r="G7690">
        <v>-187.99119999999999</v>
      </c>
      <c r="H7690" s="1">
        <v>-1.425909E-6</v>
      </c>
      <c r="I7690">
        <v>22.126000000000001</v>
      </c>
      <c r="J7690">
        <v>-187.47030000000001</v>
      </c>
      <c r="K7690">
        <v>1.1095699999999999</v>
      </c>
      <c r="L7690">
        <v>-20.457640000000001</v>
      </c>
      <c r="M7690">
        <v>8.1303569999999995E-3</v>
      </c>
      <c r="N7690">
        <v>0</v>
      </c>
      <c r="O7690">
        <v>0.99990789999999996</v>
      </c>
      <c r="P7690">
        <v>-3.9102319999999996E-3</v>
      </c>
      <c r="Q7690">
        <v>-3.0516839999999998E-3</v>
      </c>
      <c r="R7690">
        <v>0.99998770000000003</v>
      </c>
      <c r="S7690">
        <v>-3.6361690000000002E-2</v>
      </c>
      <c r="T7690">
        <v>-7.7735659999999998E-2</v>
      </c>
      <c r="U7690">
        <v>2.9996339999999999</v>
      </c>
      <c r="V7690">
        <v>-1.2040729999999999E-2</v>
      </c>
      <c r="W7690">
        <v>7.8189209999999995E-3</v>
      </c>
      <c r="X7690">
        <v>0.99989689999999998</v>
      </c>
      <c r="Y7690">
        <v>-2.024693E-2</v>
      </c>
      <c r="Z7690">
        <v>-2.5901460000000001E-2</v>
      </c>
      <c r="AA7690">
        <v>0.9994594</v>
      </c>
      <c r="AB7690">
        <v>22</v>
      </c>
      <c r="AC7690">
        <v>-0.52089999999998304</v>
      </c>
      <c r="AD7690">
        <v>-1.1095714259089999</v>
      </c>
      <c r="AE7690">
        <v>42.583640000000003</v>
      </c>
      <c r="AF7690">
        <v>-0.86653519229484699</v>
      </c>
      <c r="AG7690">
        <v>-1.1095714259089999</v>
      </c>
      <c r="AH7690">
        <v>42.549113465152899</v>
      </c>
      <c r="AI7690">
        <v>91.493478454286404</v>
      </c>
      <c r="AJ7690">
        <v>91.166697563268102</v>
      </c>
      <c r="AK7690">
        <v>42.572398201876503</v>
      </c>
      <c r="AL7690">
        <v>89.552004244806895</v>
      </c>
      <c r="AM7690">
        <v>90.689920798558703</v>
      </c>
      <c r="AN7690">
        <v>0.99999996266707203</v>
      </c>
    </row>
    <row r="7691" spans="1:40" x14ac:dyDescent="0.25">
      <c r="A7691" t="str">
        <f>"20190312160834416"</f>
        <v>20190312160834416</v>
      </c>
      <c r="B7691" t="str">
        <f>"1552378114413087"</f>
        <v>1552378114413087</v>
      </c>
      <c r="C7691" t="s">
        <v>40</v>
      </c>
      <c r="D7691">
        <v>6.0159479999999999</v>
      </c>
      <c r="E7691">
        <v>0.49681789999999998</v>
      </c>
      <c r="F7691" t="s">
        <v>47</v>
      </c>
      <c r="G7691">
        <v>-188.10380000000001</v>
      </c>
      <c r="H7691" s="1">
        <v>-1.134342E-6</v>
      </c>
      <c r="I7691">
        <v>31.49288</v>
      </c>
      <c r="J7691">
        <v>-187.46860000000001</v>
      </c>
      <c r="K7691">
        <v>1.109578</v>
      </c>
      <c r="L7691">
        <v>-20.246829999999999</v>
      </c>
      <c r="M7691">
        <v>8.1141049999999999E-3</v>
      </c>
      <c r="N7691">
        <v>0</v>
      </c>
      <c r="O7691">
        <v>0.99990769999999995</v>
      </c>
      <c r="P7691">
        <v>-3.9469470000000001E-3</v>
      </c>
      <c r="Q7691">
        <v>-3.3323070000000001E-3</v>
      </c>
      <c r="R7691">
        <v>0.99998659999999995</v>
      </c>
      <c r="S7691">
        <v>-3.6575320000000001E-2</v>
      </c>
      <c r="T7691">
        <v>-6.4068200000000006E-2</v>
      </c>
      <c r="U7691">
        <v>2.999695</v>
      </c>
      <c r="V7691">
        <v>-1.2061260000000001E-2</v>
      </c>
      <c r="W7691">
        <v>7.5619149999999998E-3</v>
      </c>
      <c r="X7691">
        <v>0.99989870000000003</v>
      </c>
      <c r="Y7691">
        <v>-2.030291E-2</v>
      </c>
      <c r="Z7691">
        <v>-2.134933E-2</v>
      </c>
      <c r="AA7691">
        <v>0.99956590000000001</v>
      </c>
      <c r="AB7691">
        <v>23</v>
      </c>
      <c r="AC7691">
        <v>-0.63519999999999699</v>
      </c>
      <c r="AD7691">
        <v>-1.1095791343420001</v>
      </c>
      <c r="AE7691">
        <v>51.739709999999903</v>
      </c>
      <c r="AF7691">
        <v>-1.0545405402289301</v>
      </c>
      <c r="AG7691">
        <v>-1.1095791343420001</v>
      </c>
      <c r="AH7691">
        <v>51.709074443712801</v>
      </c>
      <c r="AI7691">
        <v>91.229015159189203</v>
      </c>
      <c r="AJ7691">
        <v>91.168312305232604</v>
      </c>
      <c r="AK7691">
        <v>51.731727222583501</v>
      </c>
      <c r="AL7691">
        <v>89.566730070623393</v>
      </c>
      <c r="AM7691">
        <v>90.691095787363906</v>
      </c>
      <c r="AN7691">
        <v>1.00000003340647</v>
      </c>
    </row>
    <row r="7692" spans="1:40" x14ac:dyDescent="0.25">
      <c r="A7692" t="str">
        <f>"20190312160834439"</f>
        <v>20190312160834439</v>
      </c>
      <c r="B7692" t="str">
        <f>"1552378114432607"</f>
        <v>1552378114432607</v>
      </c>
      <c r="C7692" t="s">
        <v>40</v>
      </c>
      <c r="D7692">
        <v>6.0174529999999997</v>
      </c>
      <c r="E7692">
        <v>0.49667050000000001</v>
      </c>
      <c r="F7692" t="s">
        <v>47</v>
      </c>
      <c r="G7692">
        <v>-188.1952</v>
      </c>
      <c r="H7692" s="1">
        <v>-4.0351550000000002E-6</v>
      </c>
      <c r="I7692">
        <v>38.292560000000002</v>
      </c>
      <c r="J7692">
        <v>-187.46680000000001</v>
      </c>
      <c r="K7692">
        <v>1.10958</v>
      </c>
      <c r="L7692">
        <v>-20.020510000000002</v>
      </c>
      <c r="M7692">
        <v>8.0967969999999993E-3</v>
      </c>
      <c r="N7692">
        <v>0</v>
      </c>
      <c r="O7692">
        <v>0.99990760000000001</v>
      </c>
      <c r="P7692">
        <v>-3.6668690000000001E-3</v>
      </c>
      <c r="Q7692">
        <v>-3.4473500000000001E-3</v>
      </c>
      <c r="R7692">
        <v>0.99998739999999997</v>
      </c>
      <c r="S7692">
        <v>-3.7231449999999999E-2</v>
      </c>
      <c r="T7692">
        <v>-5.685759E-2</v>
      </c>
      <c r="U7692">
        <v>2.999695</v>
      </c>
      <c r="V7692">
        <v>-1.176375E-2</v>
      </c>
      <c r="W7692">
        <v>7.4751319999999998E-3</v>
      </c>
      <c r="X7692">
        <v>0.99990279999999998</v>
      </c>
      <c r="Y7692">
        <v>-2.0504809999999998E-2</v>
      </c>
      <c r="Z7692">
        <v>-1.89474E-2</v>
      </c>
      <c r="AA7692">
        <v>0.9996102</v>
      </c>
      <c r="AB7692">
        <v>23</v>
      </c>
      <c r="AC7692">
        <v>-0.72839999999999305</v>
      </c>
      <c r="AD7692">
        <v>-1.1095840351549999</v>
      </c>
      <c r="AE7692">
        <v>58.313070000000003</v>
      </c>
      <c r="AF7692">
        <v>-1.2001189058978701</v>
      </c>
      <c r="AG7692">
        <v>-1.1095840351549999</v>
      </c>
      <c r="AH7692">
        <v>58.284160772760799</v>
      </c>
      <c r="AI7692">
        <v>91.090404917111996</v>
      </c>
      <c r="AJ7692">
        <v>91.179600630192098</v>
      </c>
      <c r="AK7692">
        <v>58.307073834179</v>
      </c>
      <c r="AL7692">
        <v>89.571702469100302</v>
      </c>
      <c r="AM7692">
        <v>90.674047648926106</v>
      </c>
      <c r="AN7692">
        <v>0.99999993643015705</v>
      </c>
    </row>
    <row r="7693" spans="1:40" x14ac:dyDescent="0.25">
      <c r="A7693" t="str">
        <f>"20190312160834461"</f>
        <v>20190312160834461</v>
      </c>
      <c r="B7693" t="str">
        <f>"1552378114453101"</f>
        <v>1552378114453101</v>
      </c>
      <c r="C7693" t="s">
        <v>40</v>
      </c>
      <c r="D7693">
        <v>6.3719190000000001</v>
      </c>
      <c r="E7693">
        <v>0.49653750000000002</v>
      </c>
      <c r="F7693" t="s">
        <v>47</v>
      </c>
      <c r="G7693">
        <v>-188.28270000000001</v>
      </c>
      <c r="H7693" s="1">
        <v>-2.5734350000000001E-6</v>
      </c>
      <c r="I7693">
        <v>44.92145</v>
      </c>
      <c r="J7693">
        <v>-187.4649</v>
      </c>
      <c r="K7693">
        <v>1.1095900000000001</v>
      </c>
      <c r="L7693">
        <v>-19.785129999999999</v>
      </c>
      <c r="M7693">
        <v>8.0788070000000003E-3</v>
      </c>
      <c r="N7693">
        <v>0</v>
      </c>
      <c r="O7693">
        <v>0.99990710000000005</v>
      </c>
      <c r="P7693">
        <v>-3.4935600000000002E-3</v>
      </c>
      <c r="Q7693">
        <v>-3.737251E-3</v>
      </c>
      <c r="R7693">
        <v>0.99998690000000001</v>
      </c>
      <c r="S7693">
        <v>-3.7689210000000001E-2</v>
      </c>
      <c r="T7693">
        <v>-5.1252600000000002E-2</v>
      </c>
      <c r="U7693">
        <v>2.9997250000000002</v>
      </c>
      <c r="V7693">
        <v>-1.1572580000000001E-2</v>
      </c>
      <c r="W7693">
        <v>7.2362429999999998E-3</v>
      </c>
      <c r="X7693">
        <v>0.99990679999999998</v>
      </c>
      <c r="Y7693">
        <v>-2.0639640000000001E-2</v>
      </c>
      <c r="Z7693">
        <v>-1.7079939999999998E-2</v>
      </c>
      <c r="AA7693">
        <v>0.99964109999999995</v>
      </c>
      <c r="AB7693">
        <v>23</v>
      </c>
      <c r="AC7693">
        <v>-0.81780000000000497</v>
      </c>
      <c r="AD7693">
        <v>-1.1095925734349901</v>
      </c>
      <c r="AE7693">
        <v>64.706580000000002</v>
      </c>
      <c r="AF7693">
        <v>-1.34016276496784</v>
      </c>
      <c r="AG7693">
        <v>-1.1095925734349901</v>
      </c>
      <c r="AH7693">
        <v>64.678844687150402</v>
      </c>
      <c r="AI7693">
        <v>90.982625726681505</v>
      </c>
      <c r="AJ7693">
        <v>91.187013848400795</v>
      </c>
      <c r="AK7693">
        <v>64.702242480304704</v>
      </c>
      <c r="AL7693">
        <v>89.585390176676597</v>
      </c>
      <c r="AM7693">
        <v>90.663092189113996</v>
      </c>
      <c r="AN7693">
        <v>0.99999994825342398</v>
      </c>
    </row>
    <row r="7694" spans="1:40" x14ac:dyDescent="0.25">
      <c r="A7694" t="str">
        <f>"20190312160834486"</f>
        <v>20190312160834486</v>
      </c>
      <c r="B7694" t="str">
        <f>"1552378114483358"</f>
        <v>1552378114483358</v>
      </c>
      <c r="C7694" t="s">
        <v>40</v>
      </c>
      <c r="D7694">
        <v>6.280964</v>
      </c>
      <c r="E7694">
        <v>0.49712479999999998</v>
      </c>
      <c r="F7694" t="s">
        <v>47</v>
      </c>
      <c r="G7694">
        <v>-188.35570000000001</v>
      </c>
      <c r="H7694" s="1">
        <v>-6.0805160000000003E-7</v>
      </c>
      <c r="I7694">
        <v>50.1492</v>
      </c>
      <c r="J7694">
        <v>-187.46299999999999</v>
      </c>
      <c r="K7694">
        <v>1.109599</v>
      </c>
      <c r="L7694">
        <v>-19.544619999999998</v>
      </c>
      <c r="M7694">
        <v>8.0599019999999903E-3</v>
      </c>
      <c r="N7694">
        <v>0</v>
      </c>
      <c r="O7694">
        <v>0.99990630000000003</v>
      </c>
      <c r="P7694">
        <v>-2.7882240000000002E-3</v>
      </c>
      <c r="Q7694">
        <v>-4.1370529999999999E-3</v>
      </c>
      <c r="R7694">
        <v>0.99998750000000003</v>
      </c>
      <c r="S7694">
        <v>-3.8208010000000001E-2</v>
      </c>
      <c r="T7694">
        <v>-4.7594190000000001E-2</v>
      </c>
      <c r="U7694">
        <v>2.9997250000000002</v>
      </c>
      <c r="V7694">
        <v>-1.084835E-2</v>
      </c>
      <c r="W7694">
        <v>6.9263069999999996E-3</v>
      </c>
      <c r="X7694">
        <v>0.9999171</v>
      </c>
      <c r="Y7694">
        <v>-2.0793869999999999E-2</v>
      </c>
      <c r="Z7694">
        <v>-1.586106E-2</v>
      </c>
      <c r="AA7694">
        <v>0.99965800000000005</v>
      </c>
      <c r="AB7694">
        <v>23</v>
      </c>
      <c r="AC7694">
        <v>-0.89270000000001903</v>
      </c>
      <c r="AD7694">
        <v>-1.1095996080516</v>
      </c>
      <c r="AE7694">
        <v>69.693820000000002</v>
      </c>
      <c r="AF7694">
        <v>-1.45406223280519</v>
      </c>
      <c r="AG7694">
        <v>-1.1095996080516</v>
      </c>
      <c r="AH7694">
        <v>69.666704211685001</v>
      </c>
      <c r="AI7694">
        <v>90.912288884374206</v>
      </c>
      <c r="AJ7694">
        <v>91.195686455613995</v>
      </c>
      <c r="AK7694">
        <v>69.690710887359103</v>
      </c>
      <c r="AL7694">
        <v>89.603148641840093</v>
      </c>
      <c r="AM7694">
        <v>90.621591814023205</v>
      </c>
      <c r="AN7694">
        <v>0.99999993364939299</v>
      </c>
    </row>
    <row r="7695" spans="1:40" x14ac:dyDescent="0.25">
      <c r="A7695" t="str">
        <f>"20190312160834510"</f>
        <v>20190312160834510</v>
      </c>
      <c r="B7695" t="str">
        <f>"1552378114502877"</f>
        <v>1552378114502877</v>
      </c>
      <c r="C7695" t="s">
        <v>40</v>
      </c>
      <c r="D7695">
        <v>6.2555519999999998</v>
      </c>
      <c r="E7695">
        <v>0.49761549999999999</v>
      </c>
      <c r="F7695" t="s">
        <v>47</v>
      </c>
      <c r="G7695">
        <v>-188.07339999999999</v>
      </c>
      <c r="H7695" s="1">
        <v>-4.330856E-6</v>
      </c>
      <c r="I7695">
        <v>38.931469999999997</v>
      </c>
      <c r="J7695">
        <v>-187.46119999999999</v>
      </c>
      <c r="K7695">
        <v>1.1096200000000001</v>
      </c>
      <c r="L7695">
        <v>-19.317689999999999</v>
      </c>
      <c r="M7695">
        <v>8.0434730000000006E-3</v>
      </c>
      <c r="N7695">
        <v>0</v>
      </c>
      <c r="O7695">
        <v>0.99990509999999999</v>
      </c>
      <c r="P7695">
        <v>-1.8268290000000001E-3</v>
      </c>
      <c r="Q7695">
        <v>-4.782606E-3</v>
      </c>
      <c r="R7695">
        <v>0.99998690000000001</v>
      </c>
      <c r="S7695">
        <v>-3.1311039999999998E-2</v>
      </c>
      <c r="T7695">
        <v>-5.6920770000000002E-2</v>
      </c>
      <c r="U7695">
        <v>2.9997250000000002</v>
      </c>
      <c r="V7695">
        <v>-9.8704699999999992E-3</v>
      </c>
      <c r="W7695">
        <v>6.398936E-3</v>
      </c>
      <c r="X7695">
        <v>0.99993080000000001</v>
      </c>
      <c r="Y7695">
        <v>-1.8478720000000001E-2</v>
      </c>
      <c r="Z7695">
        <v>-1.8968860000000001E-2</v>
      </c>
      <c r="AA7695">
        <v>0.99964929999999996</v>
      </c>
      <c r="AB7695">
        <v>23</v>
      </c>
      <c r="AC7695">
        <v>-0.61220000000000097</v>
      </c>
      <c r="AD7695">
        <v>-1.1096243308560001</v>
      </c>
      <c r="AE7695">
        <v>58.249159999999897</v>
      </c>
      <c r="AF7695">
        <v>-1.08034304632325</v>
      </c>
      <c r="AG7695">
        <v>-1.1096243308560001</v>
      </c>
      <c r="AH7695">
        <v>58.221225474697498</v>
      </c>
      <c r="AI7695">
        <v>91.091666412378103</v>
      </c>
      <c r="AJ7695">
        <v>91.063048632236303</v>
      </c>
      <c r="AK7695">
        <v>58.241819194020103</v>
      </c>
      <c r="AL7695">
        <v>89.633365467584596</v>
      </c>
      <c r="AM7695">
        <v>90.5655570418769</v>
      </c>
      <c r="AN7695">
        <v>0.99999998867429596</v>
      </c>
    </row>
    <row r="7696" spans="1:40" x14ac:dyDescent="0.25">
      <c r="A7696" t="str">
        <f>"20190312160834528"</f>
        <v>20190312160834528</v>
      </c>
      <c r="B7696" t="str">
        <f>"1552378114523374"</f>
        <v>1552378114523374</v>
      </c>
      <c r="C7696" t="s">
        <v>40</v>
      </c>
      <c r="D7696">
        <v>6.1476300000000004</v>
      </c>
      <c r="E7696">
        <v>0.54951329999999998</v>
      </c>
      <c r="F7696" t="s">
        <v>47</v>
      </c>
      <c r="G7696">
        <v>-187.9169</v>
      </c>
      <c r="H7696" s="1">
        <v>-3.1697849999999999E-6</v>
      </c>
      <c r="I7696">
        <v>36.160299999999999</v>
      </c>
      <c r="J7696">
        <v>-187.45959999999999</v>
      </c>
      <c r="K7696">
        <v>1.1096379999999999</v>
      </c>
      <c r="L7696">
        <v>-19.124510000000001</v>
      </c>
      <c r="M7696">
        <v>8.0299489999999998E-3</v>
      </c>
      <c r="N7696">
        <v>0</v>
      </c>
      <c r="O7696">
        <v>0.99990400000000002</v>
      </c>
      <c r="P7696">
        <v>-1.3757999999999999E-3</v>
      </c>
      <c r="Q7696">
        <v>-4.9063020000000004E-3</v>
      </c>
      <c r="R7696">
        <v>0.99998699999999996</v>
      </c>
      <c r="S7696">
        <v>-2.4642939999999999E-2</v>
      </c>
      <c r="T7696">
        <v>-5.999732E-2</v>
      </c>
      <c r="U7696">
        <v>2.999695</v>
      </c>
      <c r="V7696">
        <v>-9.4060619999999998E-3</v>
      </c>
      <c r="W7696">
        <v>6.3889230000000003E-3</v>
      </c>
      <c r="X7696">
        <v>0.99993529999999997</v>
      </c>
      <c r="Y7696">
        <v>-1.6243150000000001E-2</v>
      </c>
      <c r="Z7696">
        <v>-1.9994519999999998E-2</v>
      </c>
      <c r="AA7696">
        <v>0.99966809999999995</v>
      </c>
      <c r="AB7696">
        <v>23</v>
      </c>
      <c r="AC7696">
        <v>-0.45730000000000298</v>
      </c>
      <c r="AD7696">
        <v>-1.1096411697849999</v>
      </c>
      <c r="AE7696">
        <v>55.28481</v>
      </c>
      <c r="AF7696">
        <v>-0.90088486008856405</v>
      </c>
      <c r="AG7696">
        <v>-1.1096411697849999</v>
      </c>
      <c r="AH7696">
        <v>55.2570957133062</v>
      </c>
      <c r="AI7696">
        <v>91.150273395857297</v>
      </c>
      <c r="AJ7696">
        <v>90.934039819448302</v>
      </c>
      <c r="AK7696">
        <v>55.275578004452299</v>
      </c>
      <c r="AL7696">
        <v>89.633939167165593</v>
      </c>
      <c r="AM7696">
        <v>90.538946629376795</v>
      </c>
      <c r="AN7696">
        <v>0.99999994826276695</v>
      </c>
    </row>
    <row r="7697" spans="1:40" x14ac:dyDescent="0.25">
      <c r="A7697" t="str">
        <f>"20190312160834551"</f>
        <v>20190312160834551</v>
      </c>
      <c r="B7697" t="str">
        <f>"1552378114542894"</f>
        <v>1552378114542894</v>
      </c>
      <c r="C7697" t="s">
        <v>40</v>
      </c>
      <c r="D7697">
        <v>4.969322</v>
      </c>
      <c r="E7697">
        <v>0.55016109999999996</v>
      </c>
      <c r="F7697" t="s">
        <v>44</v>
      </c>
      <c r="G7697">
        <v>-187.3623</v>
      </c>
      <c r="H7697">
        <v>0.9494629</v>
      </c>
      <c r="I7697">
        <v>-18.37716</v>
      </c>
      <c r="J7697">
        <v>-187.45769999999999</v>
      </c>
      <c r="K7697">
        <v>1.109666</v>
      </c>
      <c r="L7697">
        <v>-18.881810000000002</v>
      </c>
      <c r="M7697">
        <v>8.0113089999999994E-3</v>
      </c>
      <c r="N7697">
        <v>0</v>
      </c>
      <c r="O7697">
        <v>0.99990250000000003</v>
      </c>
      <c r="P7697">
        <v>-7.9328860000000005E-4</v>
      </c>
      <c r="Q7697">
        <v>-4.9930529999999999E-3</v>
      </c>
      <c r="R7697">
        <v>0.99998719999999996</v>
      </c>
      <c r="S7697">
        <v>0.38938899999999999</v>
      </c>
      <c r="T7697">
        <v>-0.64239429999999997</v>
      </c>
      <c r="U7697">
        <v>2.9974370000000001</v>
      </c>
      <c r="V7697">
        <v>-8.8052819999999993E-3</v>
      </c>
      <c r="W7697">
        <v>6.4404220000000003E-3</v>
      </c>
      <c r="X7697">
        <v>0.99994050000000001</v>
      </c>
      <c r="Y7697">
        <v>0.11805930000000001</v>
      </c>
      <c r="Z7697">
        <v>-0.20797889999999999</v>
      </c>
      <c r="AA7697">
        <v>0.97098240000000002</v>
      </c>
      <c r="AB7697">
        <v>23</v>
      </c>
      <c r="AC7697">
        <v>9.5399999999983706E-2</v>
      </c>
      <c r="AD7697">
        <v>-0.16020309999999899</v>
      </c>
      <c r="AE7697">
        <v>0.50465000000000104</v>
      </c>
      <c r="AF7697">
        <v>8.3253244359235798E-2</v>
      </c>
      <c r="AG7697">
        <v>-0.16020309999999899</v>
      </c>
      <c r="AH7697">
        <v>0.46058346316488802</v>
      </c>
      <c r="AI7697">
        <v>108.895037219462</v>
      </c>
      <c r="AJ7697">
        <v>79.7540731915538</v>
      </c>
      <c r="AK7697">
        <v>0.494705227875055</v>
      </c>
      <c r="AL7697">
        <v>89.630988452918501</v>
      </c>
      <c r="AM7697">
        <v>90.504522475558005</v>
      </c>
      <c r="AN7697">
        <v>1.0000000077834399</v>
      </c>
    </row>
    <row r="7698" spans="1:40" x14ac:dyDescent="0.25">
      <c r="A7698" t="str">
        <f>"20190312160834573"</f>
        <v>20190312160834573</v>
      </c>
      <c r="B7698" t="str">
        <f>"1552378114563391"</f>
        <v>1552378114563391</v>
      </c>
      <c r="C7698" t="s">
        <v>40</v>
      </c>
      <c r="D7698">
        <v>6.3871589999999996</v>
      </c>
      <c r="E7698">
        <v>0.55410519999999996</v>
      </c>
      <c r="F7698" t="s">
        <v>44</v>
      </c>
      <c r="G7698">
        <v>-187.3639</v>
      </c>
      <c r="H7698">
        <v>0.95581879999999997</v>
      </c>
      <c r="I7698">
        <v>-18.17286</v>
      </c>
      <c r="J7698">
        <v>-187.45599999999999</v>
      </c>
      <c r="K7698">
        <v>1.1096790000000001</v>
      </c>
      <c r="L7698">
        <v>-18.66574</v>
      </c>
      <c r="M7698">
        <v>7.9938560000000006E-3</v>
      </c>
      <c r="N7698">
        <v>0</v>
      </c>
      <c r="O7698">
        <v>0.99990140000000005</v>
      </c>
      <c r="P7698">
        <v>-9.2227940000000005E-4</v>
      </c>
      <c r="Q7698">
        <v>-5.1028489999999996E-3</v>
      </c>
      <c r="R7698">
        <v>0.9999865</v>
      </c>
      <c r="S7698">
        <v>0.39622499999999999</v>
      </c>
      <c r="T7698">
        <v>-0.65038119999999999</v>
      </c>
      <c r="U7698">
        <v>2.9971009999999998</v>
      </c>
      <c r="V7698">
        <v>-8.9163769999999996E-3</v>
      </c>
      <c r="W7698">
        <v>6.4432810000000004E-3</v>
      </c>
      <c r="X7698">
        <v>0.99993949999999998</v>
      </c>
      <c r="Y7698">
        <v>0.1201991</v>
      </c>
      <c r="Z7698">
        <v>-0.21041570000000001</v>
      </c>
      <c r="AA7698">
        <v>0.97019449999999996</v>
      </c>
      <c r="AB7698">
        <v>23</v>
      </c>
      <c r="AC7698">
        <v>9.2099999999987803E-2</v>
      </c>
      <c r="AD7698">
        <v>-0.1538602</v>
      </c>
      <c r="AE7698">
        <v>0.49287999999999899</v>
      </c>
      <c r="AF7698">
        <v>8.0570312884557405E-2</v>
      </c>
      <c r="AG7698">
        <v>-0.1538602</v>
      </c>
      <c r="AH7698">
        <v>0.45112296789003897</v>
      </c>
      <c r="AI7698">
        <v>108.559357126916</v>
      </c>
      <c r="AJ7698">
        <v>79.873772587402897</v>
      </c>
      <c r="AK7698">
        <v>0.48340093982146198</v>
      </c>
      <c r="AL7698">
        <v>89.6308246419471</v>
      </c>
      <c r="AM7698">
        <v>90.5108881400092</v>
      </c>
      <c r="AN7698">
        <v>1.0000000106545499</v>
      </c>
    </row>
    <row r="7699" spans="1:40" x14ac:dyDescent="0.25">
      <c r="A7699" t="str">
        <f>"20190312160834595"</f>
        <v>20190312160834595</v>
      </c>
      <c r="B7699" t="str">
        <f>"1552378114582910"</f>
        <v>1552378114582910</v>
      </c>
      <c r="C7699" t="s">
        <v>40</v>
      </c>
      <c r="D7699">
        <v>6.2331029999999998</v>
      </c>
      <c r="E7699">
        <v>0.55096730000000005</v>
      </c>
      <c r="F7699" t="s">
        <v>44</v>
      </c>
      <c r="G7699">
        <v>-187.35470000000001</v>
      </c>
      <c r="H7699">
        <v>0.98755349999999997</v>
      </c>
      <c r="I7699">
        <v>-17.95609</v>
      </c>
      <c r="J7699">
        <v>-187.45419999999999</v>
      </c>
      <c r="K7699">
        <v>1.109696</v>
      </c>
      <c r="L7699">
        <v>-18.446750000000002</v>
      </c>
      <c r="M7699">
        <v>7.9813929999999998E-3</v>
      </c>
      <c r="N7699">
        <v>0</v>
      </c>
      <c r="O7699">
        <v>0.99990029999999996</v>
      </c>
      <c r="P7699">
        <v>-8.6160160000000002E-4</v>
      </c>
      <c r="Q7699">
        <v>-5.1736849999999999E-3</v>
      </c>
      <c r="R7699">
        <v>0.99998620000000005</v>
      </c>
      <c r="S7699">
        <v>0.42727660000000001</v>
      </c>
      <c r="T7699">
        <v>-0.51587590000000005</v>
      </c>
      <c r="U7699">
        <v>2.9978030000000002</v>
      </c>
      <c r="V7699">
        <v>-8.8434229999999996E-3</v>
      </c>
      <c r="W7699">
        <v>6.4780890000000002E-3</v>
      </c>
      <c r="X7699">
        <v>0.99993989999999999</v>
      </c>
      <c r="Y7699">
        <v>0.13119159999999999</v>
      </c>
      <c r="Z7699">
        <v>-0.16802690000000001</v>
      </c>
      <c r="AA7699">
        <v>0.97701360000000004</v>
      </c>
      <c r="AB7699">
        <v>23</v>
      </c>
      <c r="AC7699">
        <v>9.9499999999977704E-2</v>
      </c>
      <c r="AD7699">
        <v>-0.1221425</v>
      </c>
      <c r="AE7699">
        <v>0.49066000000000098</v>
      </c>
      <c r="AF7699">
        <v>9.0210966877646806E-2</v>
      </c>
      <c r="AG7699">
        <v>-0.1221425</v>
      </c>
      <c r="AH7699">
        <v>0.463830891048783</v>
      </c>
      <c r="AI7699">
        <v>104.493178483458</v>
      </c>
      <c r="AJ7699">
        <v>78.993884978441898</v>
      </c>
      <c r="AK7699">
        <v>0.48805317778123097</v>
      </c>
      <c r="AL7699">
        <v>89.628830240327204</v>
      </c>
      <c r="AM7699">
        <v>90.506708057759298</v>
      </c>
      <c r="AN7699">
        <v>0.99999998768972898</v>
      </c>
    </row>
    <row r="7700" spans="1:40" x14ac:dyDescent="0.25">
      <c r="A7700" t="str">
        <f>"20190312160834641"</f>
        <v>20190312160834641</v>
      </c>
      <c r="B7700" t="str">
        <f>"1552378114633347"</f>
        <v>1552378114633347</v>
      </c>
      <c r="C7700" t="s">
        <v>40</v>
      </c>
      <c r="D7700">
        <v>5.5550420000000003</v>
      </c>
      <c r="E7700">
        <v>0.54766510000000002</v>
      </c>
      <c r="F7700" t="s">
        <v>44</v>
      </c>
      <c r="G7700">
        <v>-187.33539999999999</v>
      </c>
      <c r="H7700">
        <v>0.97078989999999998</v>
      </c>
      <c r="I7700">
        <v>-17.561989999999899</v>
      </c>
      <c r="J7700">
        <v>-187.45060000000001</v>
      </c>
      <c r="K7700">
        <v>1.1097090000000001</v>
      </c>
      <c r="L7700">
        <v>-17.986239999999999</v>
      </c>
      <c r="M7700">
        <v>7.9454319999999901E-3</v>
      </c>
      <c r="N7700">
        <v>0</v>
      </c>
      <c r="O7700">
        <v>0.99989830000000002</v>
      </c>
      <c r="P7700">
        <v>-1.4709149999999999E-3</v>
      </c>
      <c r="Q7700">
        <v>-4.9792029999999998E-3</v>
      </c>
      <c r="R7700">
        <v>0.9999865</v>
      </c>
      <c r="S7700">
        <v>0.4022675</v>
      </c>
      <c r="T7700">
        <v>-0.47066390000000002</v>
      </c>
      <c r="U7700">
        <v>2.9979550000000001</v>
      </c>
      <c r="V7700">
        <v>-9.4165220000000001E-3</v>
      </c>
      <c r="W7700">
        <v>6.8695650000000002E-3</v>
      </c>
      <c r="X7700">
        <v>0.99993209999999999</v>
      </c>
      <c r="Y7700">
        <v>0.1235267</v>
      </c>
      <c r="Z7700">
        <v>-0.15382179999999901</v>
      </c>
      <c r="AA7700">
        <v>0.98034690000000002</v>
      </c>
      <c r="AB7700">
        <v>22</v>
      </c>
      <c r="AC7700">
        <v>0.115200000000015</v>
      </c>
      <c r="AD7700">
        <v>-0.13891909999999999</v>
      </c>
      <c r="AE7700">
        <v>0.42425000000000002</v>
      </c>
      <c r="AF7700">
        <v>0.10167244451862401</v>
      </c>
      <c r="AG7700">
        <v>-0.13891909999999999</v>
      </c>
      <c r="AH7700">
        <v>0.38655161544764599</v>
      </c>
      <c r="AI7700">
        <v>109.165362102446</v>
      </c>
      <c r="AJ7700">
        <v>75.263599325776696</v>
      </c>
      <c r="AK7700">
        <v>0.42315240011653898</v>
      </c>
      <c r="AL7700">
        <v>89.606399835713503</v>
      </c>
      <c r="AM7700">
        <v>90.539547655482494</v>
      </c>
      <c r="AN7700">
        <v>1.00000003321013</v>
      </c>
    </row>
    <row r="7701" spans="1:40" x14ac:dyDescent="0.25">
      <c r="A7701" t="str">
        <f>"20190312160834665"</f>
        <v>20190312160834665</v>
      </c>
      <c r="B7701" t="str">
        <f>"1552378114652866"</f>
        <v>1552378114652866</v>
      </c>
      <c r="C7701" t="s">
        <v>40</v>
      </c>
      <c r="D7701">
        <v>6.3083049999999998</v>
      </c>
      <c r="E7701">
        <v>0.54688019999999904</v>
      </c>
      <c r="F7701" t="s">
        <v>44</v>
      </c>
      <c r="G7701">
        <v>-187.34639999999999</v>
      </c>
      <c r="H7701">
        <v>0.98988120000000002</v>
      </c>
      <c r="I7701">
        <v>-17.1511</v>
      </c>
      <c r="J7701">
        <v>-187.4487</v>
      </c>
      <c r="K7701">
        <v>1.1097109999999999</v>
      </c>
      <c r="L7701">
        <v>-17.742190000000001</v>
      </c>
      <c r="M7701">
        <v>7.9260749999999994E-3</v>
      </c>
      <c r="N7701">
        <v>0</v>
      </c>
      <c r="O7701">
        <v>0.99989749999999999</v>
      </c>
      <c r="P7701">
        <v>-1.4007760000000001E-3</v>
      </c>
      <c r="Q7701">
        <v>-5.0637089999999996E-3</v>
      </c>
      <c r="R7701">
        <v>0.99998620000000005</v>
      </c>
      <c r="S7701">
        <v>0.37416080000000002</v>
      </c>
      <c r="T7701">
        <v>-0.4302144</v>
      </c>
      <c r="U7701">
        <v>2.9984440000000001</v>
      </c>
      <c r="V7701">
        <v>-9.3273590000000003E-3</v>
      </c>
      <c r="W7701">
        <v>6.8619350000000004E-3</v>
      </c>
      <c r="X7701">
        <v>0.99993290000000001</v>
      </c>
      <c r="Y7701">
        <v>0.1147181</v>
      </c>
      <c r="Z7701">
        <v>-0.1410139</v>
      </c>
      <c r="AA7701">
        <v>0.98333870000000001</v>
      </c>
      <c r="AB7701">
        <v>22</v>
      </c>
      <c r="AC7701">
        <v>0.10230000000001301</v>
      </c>
      <c r="AD7701">
        <v>-0.1198298</v>
      </c>
      <c r="AE7701">
        <v>0.591090000000001</v>
      </c>
      <c r="AF7701">
        <v>9.3865903562032907E-2</v>
      </c>
      <c r="AG7701">
        <v>-0.1198298</v>
      </c>
      <c r="AH7701">
        <v>0.569170737654215</v>
      </c>
      <c r="AI7701">
        <v>101.73505070320699</v>
      </c>
      <c r="AJ7701">
        <v>80.635247120488998</v>
      </c>
      <c r="AK7701">
        <v>0.589173418800781</v>
      </c>
      <c r="AL7701">
        <v>89.6068369781744</v>
      </c>
      <c r="AM7701">
        <v>90.534438666202703</v>
      </c>
      <c r="AN7701">
        <v>0.99999994514013302</v>
      </c>
    </row>
    <row r="7702" spans="1:40" x14ac:dyDescent="0.25">
      <c r="A7702" t="str">
        <f>"20190312160834687"</f>
        <v>20190312160834687</v>
      </c>
      <c r="B7702" t="str">
        <f>"1552378114683124"</f>
        <v>1552378114683124</v>
      </c>
      <c r="C7702" t="s">
        <v>40</v>
      </c>
      <c r="D7702">
        <v>6.1977880000000001</v>
      </c>
      <c r="E7702">
        <v>0.54641139999999999</v>
      </c>
      <c r="F7702" t="s">
        <v>44</v>
      </c>
      <c r="G7702">
        <v>-187.351</v>
      </c>
      <c r="H7702">
        <v>0.99729000000000001</v>
      </c>
      <c r="I7702">
        <v>-16.946719999999999</v>
      </c>
      <c r="J7702">
        <v>-187.44710000000001</v>
      </c>
      <c r="K7702">
        <v>1.109704</v>
      </c>
      <c r="L7702">
        <v>-17.530059999999999</v>
      </c>
      <c r="M7702">
        <v>7.9099010000000004E-3</v>
      </c>
      <c r="N7702">
        <v>0</v>
      </c>
      <c r="O7702">
        <v>0.99989700000000004</v>
      </c>
      <c r="P7702">
        <v>-1.3598219999999999E-3</v>
      </c>
      <c r="Q7702">
        <v>-5.213044E-3</v>
      </c>
      <c r="R7702">
        <v>0.99998549999999997</v>
      </c>
      <c r="S7702">
        <v>0.36836239999999998</v>
      </c>
      <c r="T7702">
        <v>-0.4237552</v>
      </c>
      <c r="U7702">
        <v>2.9984130000000002</v>
      </c>
      <c r="V7702">
        <v>-9.2701490000000001E-3</v>
      </c>
      <c r="W7702">
        <v>6.7618019999999999E-3</v>
      </c>
      <c r="X7702">
        <v>0.9999342</v>
      </c>
      <c r="Y7702">
        <v>0.112897499999999</v>
      </c>
      <c r="Z7702">
        <v>-0.13897019999999999</v>
      </c>
      <c r="AA7702">
        <v>0.98384020000000005</v>
      </c>
      <c r="AB7702">
        <v>22</v>
      </c>
      <c r="AC7702">
        <v>9.6100000000006902E-2</v>
      </c>
      <c r="AD7702">
        <v>-0.112414</v>
      </c>
      <c r="AE7702">
        <v>0.58333999999999597</v>
      </c>
      <c r="AF7702">
        <v>8.8290366440494594E-2</v>
      </c>
      <c r="AG7702">
        <v>-0.112414</v>
      </c>
      <c r="AH7702">
        <v>0.56370134771009806</v>
      </c>
      <c r="AI7702">
        <v>101.145621885498</v>
      </c>
      <c r="AJ7702">
        <v>81.098304413190903</v>
      </c>
      <c r="AK7702">
        <v>0.58154217870450098</v>
      </c>
      <c r="AL7702">
        <v>89.612574343150399</v>
      </c>
      <c r="AM7702">
        <v>90.531160147642893</v>
      </c>
      <c r="AN7702">
        <v>1.0000000309792001</v>
      </c>
    </row>
    <row r="7703" spans="1:40" x14ac:dyDescent="0.25">
      <c r="A7703" t="str">
        <f>"20190312160834709"</f>
        <v>20190312160834709</v>
      </c>
      <c r="B7703" t="str">
        <f>"1552378114703226"</f>
        <v>1552378114703226</v>
      </c>
      <c r="C7703" t="s">
        <v>40</v>
      </c>
      <c r="D7703">
        <v>6.282438</v>
      </c>
      <c r="E7703">
        <v>0.54625360000000001</v>
      </c>
      <c r="F7703" t="s">
        <v>44</v>
      </c>
      <c r="G7703">
        <v>-187.35130000000001</v>
      </c>
      <c r="H7703">
        <v>0.99994170000000004</v>
      </c>
      <c r="I7703">
        <v>-16.744669999999999</v>
      </c>
      <c r="J7703">
        <v>-187.44540000000001</v>
      </c>
      <c r="K7703">
        <v>1.109701</v>
      </c>
      <c r="L7703">
        <v>-17.310300000000002</v>
      </c>
      <c r="M7703">
        <v>7.892797E-3</v>
      </c>
      <c r="N7703">
        <v>0</v>
      </c>
      <c r="O7703">
        <v>0.99989660000000002</v>
      </c>
      <c r="P7703">
        <v>-1.3831529999999901E-3</v>
      </c>
      <c r="Q7703">
        <v>-5.4886889999999997E-3</v>
      </c>
      <c r="R7703">
        <v>0.99998399999999998</v>
      </c>
      <c r="S7703">
        <v>0.36488340000000002</v>
      </c>
      <c r="T7703">
        <v>-0.4190102</v>
      </c>
      <c r="U7703">
        <v>2.9983520000000001</v>
      </c>
      <c r="V7703">
        <v>-9.2763610000000003E-3</v>
      </c>
      <c r="W7703">
        <v>6.527204E-3</v>
      </c>
      <c r="X7703">
        <v>0.99993569999999998</v>
      </c>
      <c r="Y7703">
        <v>0.1118175</v>
      </c>
      <c r="Z7703">
        <v>-0.13746439999999999</v>
      </c>
      <c r="AA7703">
        <v>0.98417500000000002</v>
      </c>
      <c r="AB7703">
        <v>22</v>
      </c>
      <c r="AC7703">
        <v>9.4099999999997394E-2</v>
      </c>
      <c r="AD7703">
        <v>-0.1097593</v>
      </c>
      <c r="AE7703">
        <v>0.56562999999999797</v>
      </c>
      <c r="AF7703">
        <v>8.6464250633772E-2</v>
      </c>
      <c r="AG7703">
        <v>-0.1097593</v>
      </c>
      <c r="AH7703">
        <v>0.54633708613535903</v>
      </c>
      <c r="AI7703">
        <v>101.223448916588</v>
      </c>
      <c r="AJ7703">
        <v>81.006859040416103</v>
      </c>
      <c r="AK7703">
        <v>0.56392143270230899</v>
      </c>
      <c r="AL7703">
        <v>89.626016114294998</v>
      </c>
      <c r="AM7703">
        <v>90.531515264556504</v>
      </c>
      <c r="AN7703">
        <v>1.00000002969997</v>
      </c>
    </row>
    <row r="7704" spans="1:40" x14ac:dyDescent="0.25">
      <c r="A7704" t="str">
        <f>"20190312160834730"</f>
        <v>20190312160834730</v>
      </c>
      <c r="B7704" t="str">
        <f>"1552378114722747"</f>
        <v>1552378114722747</v>
      </c>
      <c r="C7704" t="s">
        <v>40</v>
      </c>
      <c r="D7704">
        <v>6.2286469999999996</v>
      </c>
      <c r="E7704">
        <v>0.54615209999999903</v>
      </c>
      <c r="F7704" t="s">
        <v>44</v>
      </c>
      <c r="G7704">
        <v>-187.35239999999999</v>
      </c>
      <c r="H7704">
        <v>1.002224</v>
      </c>
      <c r="I7704">
        <v>-16.542850000000001</v>
      </c>
      <c r="J7704">
        <v>-187.4436</v>
      </c>
      <c r="K7704">
        <v>1.1097030000000001</v>
      </c>
      <c r="L7704">
        <v>-17.0929</v>
      </c>
      <c r="M7704">
        <v>7.8754740000000004E-3</v>
      </c>
      <c r="N7704">
        <v>0</v>
      </c>
      <c r="O7704">
        <v>0.99989629999999996</v>
      </c>
      <c r="P7704">
        <v>-1.0546830000000001E-3</v>
      </c>
      <c r="Q7704">
        <v>-5.1384739999999996E-3</v>
      </c>
      <c r="R7704">
        <v>0.99998620000000005</v>
      </c>
      <c r="S7704">
        <v>0.36315920000000002</v>
      </c>
      <c r="T7704">
        <v>-0.4198923</v>
      </c>
      <c r="U7704">
        <v>2.9982600000000001</v>
      </c>
      <c r="V7704">
        <v>-8.9301769999999992E-3</v>
      </c>
      <c r="W7704">
        <v>6.9134319999999997E-3</v>
      </c>
      <c r="X7704">
        <v>0.99993620000000005</v>
      </c>
      <c r="Y7704">
        <v>0.1112756</v>
      </c>
      <c r="Z7704">
        <v>-0.137761299999999</v>
      </c>
      <c r="AA7704">
        <v>0.98419489999999998</v>
      </c>
      <c r="AB7704">
        <v>22</v>
      </c>
      <c r="AC7704">
        <v>9.1200000000014797E-2</v>
      </c>
      <c r="AD7704">
        <v>-0.10747900000000001</v>
      </c>
      <c r="AE7704">
        <v>0.55004999999999804</v>
      </c>
      <c r="AF7704">
        <v>8.3752775445993299E-2</v>
      </c>
      <c r="AG7704">
        <v>-0.10747900000000001</v>
      </c>
      <c r="AH7704">
        <v>0.53101905280031303</v>
      </c>
      <c r="AI7704">
        <v>101.30607379803099</v>
      </c>
      <c r="AJ7704">
        <v>81.037094382454399</v>
      </c>
      <c r="AK7704">
        <v>0.54822212402715798</v>
      </c>
      <c r="AL7704">
        <v>89.603886358631797</v>
      </c>
      <c r="AM7704">
        <v>90.5116804951993</v>
      </c>
      <c r="AN7704">
        <v>0.99999997383685402</v>
      </c>
    </row>
    <row r="7705" spans="1:40" x14ac:dyDescent="0.25">
      <c r="A7705" t="str">
        <f>"20190312160834752"</f>
        <v>20190312160834752</v>
      </c>
      <c r="B7705" t="str">
        <f>"1552378114743243"</f>
        <v>1552378114743243</v>
      </c>
      <c r="C7705" t="s">
        <v>40</v>
      </c>
      <c r="D7705">
        <v>6.1064470000000002</v>
      </c>
      <c r="E7705">
        <v>0.54594989999999999</v>
      </c>
      <c r="F7705" t="s">
        <v>44</v>
      </c>
      <c r="G7705">
        <v>-187.35239999999999</v>
      </c>
      <c r="H7705">
        <v>1.0046459999999999</v>
      </c>
      <c r="I7705">
        <v>-16.34103</v>
      </c>
      <c r="J7705">
        <v>-187.4419</v>
      </c>
      <c r="K7705">
        <v>1.109707</v>
      </c>
      <c r="L7705">
        <v>-16.874110000000002</v>
      </c>
      <c r="M7705">
        <v>7.8576180000000002E-3</v>
      </c>
      <c r="N7705">
        <v>0</v>
      </c>
      <c r="O7705">
        <v>0.99989609999999995</v>
      </c>
      <c r="P7705">
        <v>-6.4326110000000004E-4</v>
      </c>
      <c r="Q7705">
        <v>-5.0238549999999998E-3</v>
      </c>
      <c r="R7705">
        <v>0.99998719999999996</v>
      </c>
      <c r="S7705">
        <v>0.36323549999999999</v>
      </c>
      <c r="T7705">
        <v>-0.4189157</v>
      </c>
      <c r="U7705">
        <v>2.9982600000000001</v>
      </c>
      <c r="V7705">
        <v>-8.5010420000000003E-3</v>
      </c>
      <c r="W7705">
        <v>7.0593409999999898E-3</v>
      </c>
      <c r="X7705">
        <v>0.99993900000000002</v>
      </c>
      <c r="Y7705">
        <v>0.1113232</v>
      </c>
      <c r="Z7705">
        <v>-0.1374464</v>
      </c>
      <c r="AA7705">
        <v>0.98423349999999998</v>
      </c>
      <c r="AB7705">
        <v>22</v>
      </c>
      <c r="AC7705">
        <v>8.9500000000015206E-2</v>
      </c>
      <c r="AD7705">
        <v>-0.105061</v>
      </c>
      <c r="AE7705">
        <v>0.533080000000001</v>
      </c>
      <c r="AF7705">
        <v>8.2202827155733099E-2</v>
      </c>
      <c r="AG7705">
        <v>-0.105061</v>
      </c>
      <c r="AH7705">
        <v>0.51433681978807599</v>
      </c>
      <c r="AI7705">
        <v>101.403839616878</v>
      </c>
      <c r="AJ7705">
        <v>80.919614433718706</v>
      </c>
      <c r="AK7705">
        <v>0.53135438522995804</v>
      </c>
      <c r="AL7705">
        <v>89.595526216447496</v>
      </c>
      <c r="AM7705">
        <v>90.487091806503301</v>
      </c>
      <c r="AN7705">
        <v>1.00000005286571</v>
      </c>
    </row>
    <row r="7706" spans="1:40" x14ac:dyDescent="0.25">
      <c r="A7706" t="str">
        <f>"20190312160834774"</f>
        <v>20190312160834774</v>
      </c>
      <c r="B7706" t="str">
        <f>"1552378114762763"</f>
        <v>1552378114762763</v>
      </c>
      <c r="C7706" t="s">
        <v>40</v>
      </c>
      <c r="D7706">
        <v>6.246238</v>
      </c>
      <c r="E7706">
        <v>0.54592350000000001</v>
      </c>
      <c r="F7706" t="s">
        <v>44</v>
      </c>
      <c r="G7706">
        <v>-187.35290000000001</v>
      </c>
      <c r="H7706">
        <v>1.00695</v>
      </c>
      <c r="I7706">
        <v>-16.139309999999998</v>
      </c>
      <c r="J7706">
        <v>-187.4402</v>
      </c>
      <c r="K7706">
        <v>1.109707</v>
      </c>
      <c r="L7706">
        <v>-16.647189999999998</v>
      </c>
      <c r="M7706">
        <v>7.8394280000000007E-3</v>
      </c>
      <c r="N7706">
        <v>0</v>
      </c>
      <c r="O7706">
        <v>0.99989589999999995</v>
      </c>
      <c r="P7706">
        <v>-1.6385090000000001E-4</v>
      </c>
      <c r="Q7706">
        <v>-4.9788669999999997E-3</v>
      </c>
      <c r="R7706">
        <v>0.99998759999999998</v>
      </c>
      <c r="S7706">
        <v>0.36274719999999999</v>
      </c>
      <c r="T7706">
        <v>-0.419263</v>
      </c>
      <c r="U7706">
        <v>2.9981689999999999</v>
      </c>
      <c r="V7706">
        <v>-8.0037249999999997E-3</v>
      </c>
      <c r="W7706">
        <v>7.1313409999999898E-3</v>
      </c>
      <c r="X7706">
        <v>0.99994249999999996</v>
      </c>
      <c r="Y7706">
        <v>0.1111849</v>
      </c>
      <c r="Z7706">
        <v>-0.13756470000000001</v>
      </c>
      <c r="AA7706">
        <v>0.98423260000000001</v>
      </c>
      <c r="AB7706">
        <v>22</v>
      </c>
      <c r="AC7706">
        <v>8.7299999999999003E-2</v>
      </c>
      <c r="AD7706">
        <v>-0.102757</v>
      </c>
      <c r="AE7706">
        <v>0.507879999999996</v>
      </c>
      <c r="AF7706">
        <v>8.0129525599612603E-2</v>
      </c>
      <c r="AG7706">
        <v>-0.102757</v>
      </c>
      <c r="AH7706">
        <v>0.48910176720843301</v>
      </c>
      <c r="AI7706">
        <v>101.71314554999201</v>
      </c>
      <c r="AJ7706">
        <v>80.695888448063698</v>
      </c>
      <c r="AK7706">
        <v>0.50616230658577399</v>
      </c>
      <c r="AL7706">
        <v>89.591400778533099</v>
      </c>
      <c r="AM7706">
        <v>90.458596239271898</v>
      </c>
      <c r="AN7706">
        <v>0.99999995947229103</v>
      </c>
    </row>
    <row r="7707" spans="1:40" x14ac:dyDescent="0.25">
      <c r="A7707" t="str">
        <f>"20190312160834797"</f>
        <v>20190312160834797</v>
      </c>
      <c r="B7707" t="str">
        <f>"1552378114783262"</f>
        <v>1552378114783262</v>
      </c>
      <c r="C7707" t="s">
        <v>40</v>
      </c>
      <c r="D7707">
        <v>5.5440950000000004</v>
      </c>
      <c r="E7707">
        <v>0.5459349</v>
      </c>
      <c r="F7707" t="s">
        <v>44</v>
      </c>
      <c r="G7707">
        <v>-187.33109999999999</v>
      </c>
      <c r="H7707">
        <v>0.98464419999999997</v>
      </c>
      <c r="I7707">
        <v>-15.74921</v>
      </c>
      <c r="J7707">
        <v>-187.4384</v>
      </c>
      <c r="K7707">
        <v>1.10971</v>
      </c>
      <c r="L7707">
        <v>-16.418520000000001</v>
      </c>
      <c r="M7707">
        <v>7.8188069999999901E-3</v>
      </c>
      <c r="N7707">
        <v>0</v>
      </c>
      <c r="O7707">
        <v>0.99989589999999995</v>
      </c>
      <c r="P7707">
        <v>5.9129729999999995E-4</v>
      </c>
      <c r="Q7707">
        <v>-5.1115290000000001E-3</v>
      </c>
      <c r="R7707">
        <v>0.99998679999999995</v>
      </c>
      <c r="S7707">
        <v>0.36424260000000003</v>
      </c>
      <c r="T7707">
        <v>-0.41754469999999999</v>
      </c>
      <c r="U7707">
        <v>2.9980159999999998</v>
      </c>
      <c r="V7707">
        <v>-7.2279600000000003E-3</v>
      </c>
      <c r="W7707">
        <v>7.0135650000000003E-3</v>
      </c>
      <c r="X7707">
        <v>0.99994930000000004</v>
      </c>
      <c r="Y7707">
        <v>0.1117045</v>
      </c>
      <c r="Z7707">
        <v>-0.1370104</v>
      </c>
      <c r="AA7707">
        <v>0.98425110000000005</v>
      </c>
      <c r="AB7707">
        <v>22</v>
      </c>
      <c r="AC7707">
        <v>0.107300000000009</v>
      </c>
      <c r="AD7707">
        <v>-0.1250658</v>
      </c>
      <c r="AE7707">
        <v>0.66931000000000096</v>
      </c>
      <c r="AF7707">
        <v>9.8703177744541307E-2</v>
      </c>
      <c r="AG7707">
        <v>-0.1250658</v>
      </c>
      <c r="AH7707">
        <v>0.64806770789889201</v>
      </c>
      <c r="AI7707">
        <v>100.801236010159</v>
      </c>
      <c r="AJ7707">
        <v>81.340184533413407</v>
      </c>
      <c r="AK7707">
        <v>0.66736461222320898</v>
      </c>
      <c r="AL7707">
        <v>89.598149038846401</v>
      </c>
      <c r="AM7707">
        <v>90.414145387273507</v>
      </c>
      <c r="AN7707">
        <v>1.0000000180351301</v>
      </c>
    </row>
    <row r="7708" spans="1:40" x14ac:dyDescent="0.25">
      <c r="A7708" t="str">
        <f>"20190312160834818"</f>
        <v>20190312160834818</v>
      </c>
      <c r="B7708" t="str">
        <f>"1552378114813139"</f>
        <v>1552378114813139</v>
      </c>
      <c r="C7708" t="s">
        <v>40</v>
      </c>
      <c r="D7708">
        <v>6.1499560000000004</v>
      </c>
      <c r="E7708">
        <v>0.5460642</v>
      </c>
      <c r="F7708" t="s">
        <v>44</v>
      </c>
      <c r="G7708">
        <v>-187.33150000000001</v>
      </c>
      <c r="H7708">
        <v>0.98868120000000004</v>
      </c>
      <c r="I7708">
        <v>-15.54679</v>
      </c>
      <c r="J7708">
        <v>-187.4367</v>
      </c>
      <c r="K7708">
        <v>1.1097060000000001</v>
      </c>
      <c r="L7708">
        <v>-16.203949999999999</v>
      </c>
      <c r="M7708">
        <v>7.8007650000000003E-3</v>
      </c>
      <c r="N7708">
        <v>0</v>
      </c>
      <c r="O7708">
        <v>0.99989600000000001</v>
      </c>
      <c r="P7708">
        <v>1.0835409999999999E-3</v>
      </c>
      <c r="Q7708">
        <v>-5.3511039999999998E-3</v>
      </c>
      <c r="R7708">
        <v>0.99998509999999996</v>
      </c>
      <c r="S7708">
        <v>0.36709589999999998</v>
      </c>
      <c r="T7708">
        <v>-0.41616950000000003</v>
      </c>
      <c r="U7708">
        <v>2.997681</v>
      </c>
      <c r="V7708">
        <v>-6.7177790000000001E-3</v>
      </c>
      <c r="W7708">
        <v>6.7808749999999996E-3</v>
      </c>
      <c r="X7708">
        <v>0.99995449999999997</v>
      </c>
      <c r="Y7708">
        <v>0.11266610000000001</v>
      </c>
      <c r="Z7708">
        <v>-0.13656740000000001</v>
      </c>
      <c r="AA7708">
        <v>0.98420300000000005</v>
      </c>
      <c r="AB7708">
        <v>22</v>
      </c>
      <c r="AC7708">
        <v>0.10519999999999601</v>
      </c>
      <c r="AD7708">
        <v>-0.121024799999999</v>
      </c>
      <c r="AE7708">
        <v>0.65715999999999897</v>
      </c>
      <c r="AF7708">
        <v>9.6866810161868003E-2</v>
      </c>
      <c r="AG7708">
        <v>-0.121024799999999</v>
      </c>
      <c r="AH7708">
        <v>0.63689926484002302</v>
      </c>
      <c r="AI7708">
        <v>100.639664366441</v>
      </c>
      <c r="AJ7708">
        <v>81.352086888582804</v>
      </c>
      <c r="AK7708">
        <v>0.65549283343125697</v>
      </c>
      <c r="AL7708">
        <v>89.611481525233302</v>
      </c>
      <c r="AM7708">
        <v>90.384912107532998</v>
      </c>
      <c r="AN7708">
        <v>1.0000000554453501</v>
      </c>
    </row>
    <row r="7709" spans="1:40" x14ac:dyDescent="0.25">
      <c r="A7709" t="str">
        <f>"20190312160834841"</f>
        <v>20190312160834841</v>
      </c>
      <c r="B7709" t="str">
        <f>"1552378114832660"</f>
        <v>1552378114832660</v>
      </c>
      <c r="C7709" t="s">
        <v>40</v>
      </c>
      <c r="D7709">
        <v>6.1012199999999996</v>
      </c>
      <c r="E7709">
        <v>0.54623880000000002</v>
      </c>
      <c r="F7709" t="s">
        <v>44</v>
      </c>
      <c r="G7709">
        <v>-187.33109999999999</v>
      </c>
      <c r="H7709">
        <v>0.99033159999999998</v>
      </c>
      <c r="I7709">
        <v>-15.345560000000001</v>
      </c>
      <c r="J7709">
        <v>-187.435</v>
      </c>
      <c r="K7709">
        <v>1.109712</v>
      </c>
      <c r="L7709">
        <v>-15.977329999999901</v>
      </c>
      <c r="M7709">
        <v>7.7803069999999898E-3</v>
      </c>
      <c r="N7709">
        <v>0</v>
      </c>
      <c r="O7709">
        <v>0.99989609999999995</v>
      </c>
      <c r="P7709">
        <v>1.2935170000000001E-3</v>
      </c>
      <c r="Q7709">
        <v>-5.3009900000000002E-3</v>
      </c>
      <c r="R7709">
        <v>0.99998509999999996</v>
      </c>
      <c r="S7709">
        <v>0.36918640000000003</v>
      </c>
      <c r="T7709">
        <v>-0.41684680000000002</v>
      </c>
      <c r="U7709">
        <v>2.9974059999999998</v>
      </c>
      <c r="V7709">
        <v>-6.4874750000000004E-3</v>
      </c>
      <c r="W7709">
        <v>6.8357100000000001E-3</v>
      </c>
      <c r="X7709">
        <v>0.99995560000000006</v>
      </c>
      <c r="Y7709">
        <v>0.11336980000000001</v>
      </c>
      <c r="Z7709">
        <v>-0.13678650000000001</v>
      </c>
      <c r="AA7709">
        <v>0.98409179999999996</v>
      </c>
      <c r="AB7709">
        <v>22</v>
      </c>
      <c r="AC7709">
        <v>0.10390000000001</v>
      </c>
      <c r="AD7709">
        <v>-0.1193804</v>
      </c>
      <c r="AE7709">
        <v>0.63176999999999695</v>
      </c>
      <c r="AF7709">
        <v>9.5655543357964098E-2</v>
      </c>
      <c r="AG7709">
        <v>-0.1193804</v>
      </c>
      <c r="AH7709">
        <v>0.61130647260683202</v>
      </c>
      <c r="AI7709">
        <v>100.92043330352701</v>
      </c>
      <c r="AJ7709">
        <v>81.106632263812898</v>
      </c>
      <c r="AK7709">
        <v>0.630156541131071</v>
      </c>
      <c r="AL7709">
        <v>89.608339619982104</v>
      </c>
      <c r="AM7709">
        <v>90.371716226375995</v>
      </c>
      <c r="AN7709">
        <v>1.00000000811721</v>
      </c>
    </row>
    <row r="7710" spans="1:40" x14ac:dyDescent="0.25">
      <c r="A7710" t="str">
        <f>"20190312160834863"</f>
        <v>20190312160834863</v>
      </c>
      <c r="B7710" t="str">
        <f>"1552378114853155"</f>
        <v>1552378114853155</v>
      </c>
      <c r="C7710" t="s">
        <v>40</v>
      </c>
      <c r="D7710">
        <v>6.1524000000000001</v>
      </c>
      <c r="E7710">
        <v>0.54640979999999995</v>
      </c>
      <c r="F7710" t="s">
        <v>44</v>
      </c>
      <c r="G7710">
        <v>-187.33179999999999</v>
      </c>
      <c r="H7710">
        <v>0.9938939</v>
      </c>
      <c r="I7710">
        <v>-15.14344</v>
      </c>
      <c r="J7710">
        <v>-187.4333</v>
      </c>
      <c r="K7710">
        <v>1.109718</v>
      </c>
      <c r="L7710">
        <v>-15.752470000000001</v>
      </c>
      <c r="M7710">
        <v>7.7536979999999998E-3</v>
      </c>
      <c r="N7710">
        <v>0</v>
      </c>
      <c r="O7710">
        <v>0.99989620000000001</v>
      </c>
      <c r="P7710">
        <v>1.2781030000000001E-3</v>
      </c>
      <c r="Q7710">
        <v>-4.571037E-3</v>
      </c>
      <c r="R7710">
        <v>0.99998869999999895</v>
      </c>
      <c r="S7710">
        <v>0.37071229999999999</v>
      </c>
      <c r="T7710">
        <v>-0.41629369999999999</v>
      </c>
      <c r="U7710">
        <v>2.9973450000000001</v>
      </c>
      <c r="V7710">
        <v>-6.4759969999999998E-3</v>
      </c>
      <c r="W7710">
        <v>7.5695429999999998E-3</v>
      </c>
      <c r="X7710">
        <v>0.99995040000000002</v>
      </c>
      <c r="Y7710">
        <v>0.1138953</v>
      </c>
      <c r="Z7710">
        <v>-0.136603</v>
      </c>
      <c r="AA7710">
        <v>0.98405670000000001</v>
      </c>
      <c r="AB7710">
        <v>22</v>
      </c>
      <c r="AC7710">
        <v>0.10150000000001499</v>
      </c>
      <c r="AD7710">
        <v>-0.1158241</v>
      </c>
      <c r="AE7710">
        <v>0.60902999999999996</v>
      </c>
      <c r="AF7710">
        <v>9.3484617838642897E-2</v>
      </c>
      <c r="AG7710">
        <v>-0.1158241</v>
      </c>
      <c r="AH7710">
        <v>0.58906925013732903</v>
      </c>
      <c r="AI7710">
        <v>100.98960451038</v>
      </c>
      <c r="AJ7710">
        <v>80.982426849095603</v>
      </c>
      <c r="AK7710">
        <v>0.60758306211628599</v>
      </c>
      <c r="AL7710">
        <v>89.566292999886699</v>
      </c>
      <c r="AM7710">
        <v>90.3710605133965</v>
      </c>
      <c r="AN7710">
        <v>1.00000001948926</v>
      </c>
    </row>
    <row r="7711" spans="1:40" x14ac:dyDescent="0.25">
      <c r="A7711" t="str">
        <f>"20190312160834887"</f>
        <v>20190312160834887</v>
      </c>
      <c r="B7711" t="str">
        <f>"1552378114883411"</f>
        <v>1552378114883411</v>
      </c>
      <c r="C7711" t="s">
        <v>40</v>
      </c>
      <c r="D7711">
        <v>6.1048970000000002</v>
      </c>
      <c r="E7711">
        <v>0.54645559999999904</v>
      </c>
      <c r="F7711" t="s">
        <v>44</v>
      </c>
      <c r="G7711">
        <v>-187.33250000000001</v>
      </c>
      <c r="H7711">
        <v>0.99794720000000003</v>
      </c>
      <c r="I7711">
        <v>-14.94111</v>
      </c>
      <c r="J7711">
        <v>-187.4315</v>
      </c>
      <c r="K7711">
        <v>1.10972</v>
      </c>
      <c r="L7711">
        <v>-15.521789999999999</v>
      </c>
      <c r="M7711">
        <v>7.7242439999999999E-3</v>
      </c>
      <c r="N7711">
        <v>0</v>
      </c>
      <c r="O7711">
        <v>0.99989649999999997</v>
      </c>
      <c r="P7711">
        <v>1.2966060000000001E-3</v>
      </c>
      <c r="Q7711">
        <v>-4.3507759999999998E-3</v>
      </c>
      <c r="R7711">
        <v>0.99998969999999998</v>
      </c>
      <c r="S7711">
        <v>0.37200929999999999</v>
      </c>
      <c r="T7711">
        <v>-0.41294419999999998</v>
      </c>
      <c r="U7711">
        <v>2.997681</v>
      </c>
      <c r="V7711">
        <v>-6.4283049999999996E-3</v>
      </c>
      <c r="W7711">
        <v>7.7898350000000002E-3</v>
      </c>
      <c r="X7711">
        <v>0.99994899999999998</v>
      </c>
      <c r="Y7711">
        <v>0.11434900000000001</v>
      </c>
      <c r="Z7711">
        <v>-0.1355024</v>
      </c>
      <c r="AA7711">
        <v>0.98415620000000004</v>
      </c>
      <c r="AB7711">
        <v>22</v>
      </c>
      <c r="AC7711">
        <v>9.8999999999989499E-2</v>
      </c>
      <c r="AD7711">
        <v>-0.11177280000000001</v>
      </c>
      <c r="AE7711">
        <v>0.58067999999999897</v>
      </c>
      <c r="AF7711">
        <v>9.1226838692141196E-2</v>
      </c>
      <c r="AG7711">
        <v>-0.11177280000000001</v>
      </c>
      <c r="AH7711">
        <v>0.56122103242767096</v>
      </c>
      <c r="AI7711">
        <v>101.12138756959899</v>
      </c>
      <c r="AJ7711">
        <v>80.767286897601295</v>
      </c>
      <c r="AK7711">
        <v>0.57946918999786601</v>
      </c>
      <c r="AL7711">
        <v>89.553670818944198</v>
      </c>
      <c r="AM7711">
        <v>90.368328456979398</v>
      </c>
      <c r="AN7711">
        <v>1.0000000036177501</v>
      </c>
    </row>
    <row r="7712" spans="1:40" x14ac:dyDescent="0.25">
      <c r="A7712" t="str">
        <f>"20190312160834909"</f>
        <v>20190312160834909</v>
      </c>
      <c r="B7712" t="str">
        <f>"1552378114903470"</f>
        <v>1552378114903470</v>
      </c>
      <c r="C7712" t="s">
        <v>40</v>
      </c>
      <c r="D7712">
        <v>6.1559879999999998</v>
      </c>
      <c r="E7712">
        <v>0.54673899999999998</v>
      </c>
      <c r="F7712" t="s">
        <v>44</v>
      </c>
      <c r="G7712">
        <v>-187.33410000000001</v>
      </c>
      <c r="H7712">
        <v>1.0025059999999999</v>
      </c>
      <c r="I7712">
        <v>-14.73855</v>
      </c>
      <c r="J7712">
        <v>-187.4298</v>
      </c>
      <c r="K7712">
        <v>1.1097189999999999</v>
      </c>
      <c r="L7712">
        <v>-15.29626</v>
      </c>
      <c r="M7712">
        <v>7.69273099999999E-3</v>
      </c>
      <c r="N7712">
        <v>0</v>
      </c>
      <c r="O7712">
        <v>0.99989680000000003</v>
      </c>
      <c r="P7712">
        <v>8.583544E-4</v>
      </c>
      <c r="Q7712">
        <v>-3.851742E-3</v>
      </c>
      <c r="R7712">
        <v>0.9999922</v>
      </c>
      <c r="S7712">
        <v>0.37251279999999998</v>
      </c>
      <c r="T7712">
        <v>-0.41033789999999998</v>
      </c>
      <c r="U7712">
        <v>2.9977719999999999</v>
      </c>
      <c r="V7712">
        <v>-6.8349980000000001E-3</v>
      </c>
      <c r="W7712">
        <v>8.2809619999999994E-3</v>
      </c>
      <c r="X7712">
        <v>0.99994240000000001</v>
      </c>
      <c r="Y7712">
        <v>0.11455369999999999</v>
      </c>
      <c r="Z7712">
        <v>-0.134656</v>
      </c>
      <c r="AA7712">
        <v>0.98424860000000003</v>
      </c>
      <c r="AB7712">
        <v>22</v>
      </c>
      <c r="AC7712">
        <v>9.5699999999993596E-2</v>
      </c>
      <c r="AD7712">
        <v>-0.107213</v>
      </c>
      <c r="AE7712">
        <v>0.55771000000000004</v>
      </c>
      <c r="AF7712">
        <v>8.8238904124808101E-2</v>
      </c>
      <c r="AG7712">
        <v>-0.107213</v>
      </c>
      <c r="AH7712">
        <v>0.53907771960166595</v>
      </c>
      <c r="AI7712">
        <v>101.104310898931</v>
      </c>
      <c r="AJ7712">
        <v>80.703980789924003</v>
      </c>
      <c r="AK7712">
        <v>0.55667362012320998</v>
      </c>
      <c r="AL7712">
        <v>89.525530426748702</v>
      </c>
      <c r="AM7712">
        <v>90.391632997500295</v>
      </c>
      <c r="AN7712">
        <v>1.00000004742353</v>
      </c>
    </row>
    <row r="7713" spans="1:40" x14ac:dyDescent="0.25">
      <c r="A7713" t="str">
        <f>"20190312160834930"</f>
        <v>20190312160834930</v>
      </c>
      <c r="B7713" t="str">
        <f>"1552378114922991"</f>
        <v>1552378114922991</v>
      </c>
      <c r="C7713" t="s">
        <v>40</v>
      </c>
      <c r="D7713">
        <v>6.0733189999999997</v>
      </c>
      <c r="E7713">
        <v>0.54682200000000003</v>
      </c>
      <c r="F7713" t="s">
        <v>44</v>
      </c>
      <c r="G7713">
        <v>-187.33500000000001</v>
      </c>
      <c r="H7713">
        <v>1.006518</v>
      </c>
      <c r="I7713">
        <v>-14.536239999999999</v>
      </c>
      <c r="J7713">
        <v>-187.42830000000001</v>
      </c>
      <c r="K7713">
        <v>1.1097140000000001</v>
      </c>
      <c r="L7713">
        <v>-15.08334</v>
      </c>
      <c r="M7713">
        <v>7.6551129999999998E-3</v>
      </c>
      <c r="N7713">
        <v>0</v>
      </c>
      <c r="O7713">
        <v>0.99989720000000004</v>
      </c>
      <c r="P7713">
        <v>3.5563160000000001E-4</v>
      </c>
      <c r="Q7713">
        <v>-3.717672E-3</v>
      </c>
      <c r="R7713">
        <v>0.99999300000000002</v>
      </c>
      <c r="S7713">
        <v>0.3737183</v>
      </c>
      <c r="T7713">
        <v>-0.40709960000000001</v>
      </c>
      <c r="U7713">
        <v>2.998138</v>
      </c>
      <c r="V7713">
        <v>-7.2998799999999999E-3</v>
      </c>
      <c r="W7713">
        <v>8.4006440000000005E-3</v>
      </c>
      <c r="X7713">
        <v>0.99993810000000005</v>
      </c>
      <c r="Y7713">
        <v>0.1149839</v>
      </c>
      <c r="Z7713">
        <v>-0.13358999999999999</v>
      </c>
      <c r="AA7713">
        <v>0.98434359999999999</v>
      </c>
      <c r="AB7713">
        <v>22</v>
      </c>
      <c r="AC7713">
        <v>9.3299999999999203E-2</v>
      </c>
      <c r="AD7713">
        <v>-0.103195999999999</v>
      </c>
      <c r="AE7713">
        <v>0.54710000000000003</v>
      </c>
      <c r="AF7713">
        <v>8.6131003572147799E-2</v>
      </c>
      <c r="AG7713">
        <v>-0.103195999999999</v>
      </c>
      <c r="AH7713">
        <v>0.52949190348950104</v>
      </c>
      <c r="AI7713">
        <v>100.888848387794</v>
      </c>
      <c r="AJ7713">
        <v>80.760776581066096</v>
      </c>
      <c r="AK7713">
        <v>0.54628714066256501</v>
      </c>
      <c r="AL7713">
        <v>89.518672907357995</v>
      </c>
      <c r="AM7713">
        <v>90.418270775919694</v>
      </c>
      <c r="AN7713">
        <v>1.00000003144961</v>
      </c>
    </row>
    <row r="7714" spans="1:40" x14ac:dyDescent="0.25">
      <c r="A7714" t="str">
        <f>"20190312160834952"</f>
        <v>20190312160834952</v>
      </c>
      <c r="B7714" t="str">
        <f>"1552378114943487"</f>
        <v>1552378114943487</v>
      </c>
      <c r="C7714" t="s">
        <v>40</v>
      </c>
      <c r="D7714">
        <v>6.0723839999999996</v>
      </c>
      <c r="E7714">
        <v>0.54680709999999999</v>
      </c>
      <c r="F7714" t="s">
        <v>44</v>
      </c>
      <c r="G7714">
        <v>-187.33500000000001</v>
      </c>
      <c r="H7714">
        <v>1.0086360000000001</v>
      </c>
      <c r="I7714">
        <v>-14.334879999999901</v>
      </c>
      <c r="J7714">
        <v>-187.42660000000001</v>
      </c>
      <c r="K7714">
        <v>1.1097170000000001</v>
      </c>
      <c r="L7714">
        <v>-14.860659999999999</v>
      </c>
      <c r="M7714">
        <v>7.6051159999999899E-3</v>
      </c>
      <c r="N7714">
        <v>0</v>
      </c>
      <c r="O7714">
        <v>0.99989799999999995</v>
      </c>
      <c r="P7714">
        <v>-1.630488E-4</v>
      </c>
      <c r="Q7714">
        <v>-3.9568399999999997E-3</v>
      </c>
      <c r="R7714">
        <v>0.99999210000000005</v>
      </c>
      <c r="S7714">
        <v>0.3729401</v>
      </c>
      <c r="T7714">
        <v>-0.40490369999999998</v>
      </c>
      <c r="U7714">
        <v>2.998383</v>
      </c>
      <c r="V7714">
        <v>-7.7690750000000003E-3</v>
      </c>
      <c r="W7714">
        <v>8.1379150000000008E-3</v>
      </c>
      <c r="X7714">
        <v>0.99993670000000001</v>
      </c>
      <c r="Y7714">
        <v>0.114784</v>
      </c>
      <c r="Z7714">
        <v>-0.13287539999999901</v>
      </c>
      <c r="AA7714">
        <v>0.98446369999999905</v>
      </c>
      <c r="AB7714">
        <v>22</v>
      </c>
      <c r="AC7714">
        <v>9.1599999999999598E-2</v>
      </c>
      <c r="AD7714">
        <v>-0.101080999999999</v>
      </c>
      <c r="AE7714">
        <v>0.52578000000000202</v>
      </c>
      <c r="AF7714">
        <v>8.4564995787838507E-2</v>
      </c>
      <c r="AG7714">
        <v>-0.101080999999999</v>
      </c>
      <c r="AH7714">
        <v>0.50823064804541096</v>
      </c>
      <c r="AI7714">
        <v>101.099918510877</v>
      </c>
      <c r="AJ7714">
        <v>80.553047229613298</v>
      </c>
      <c r="AK7714">
        <v>0.52503999722521699</v>
      </c>
      <c r="AL7714">
        <v>89.533726667071406</v>
      </c>
      <c r="AM7714">
        <v>90.445154429784694</v>
      </c>
      <c r="AN7714">
        <v>0.99999999409689599</v>
      </c>
    </row>
    <row r="7715" spans="1:40" x14ac:dyDescent="0.25">
      <c r="A7715" t="str">
        <f>"20190312160834974"</f>
        <v>20190312160834974</v>
      </c>
      <c r="B7715" t="str">
        <f>"1552378114963007"</f>
        <v>1552378114963007</v>
      </c>
      <c r="C7715" t="s">
        <v>40</v>
      </c>
      <c r="D7715">
        <v>5.9887449999999998</v>
      </c>
      <c r="E7715">
        <v>0.5467244</v>
      </c>
      <c r="F7715" t="s">
        <v>44</v>
      </c>
      <c r="G7715">
        <v>-187.3365</v>
      </c>
      <c r="H7715">
        <v>1.011504</v>
      </c>
      <c r="I7715">
        <v>-14.13312</v>
      </c>
      <c r="J7715">
        <v>-187.42500000000001</v>
      </c>
      <c r="K7715">
        <v>1.109721</v>
      </c>
      <c r="L7715">
        <v>-14.641299999999999</v>
      </c>
      <c r="M7715">
        <v>7.5440139999999999E-3</v>
      </c>
      <c r="N7715">
        <v>0</v>
      </c>
      <c r="O7715">
        <v>0.99989870000000003</v>
      </c>
      <c r="P7715">
        <v>-4.6869149999999998E-4</v>
      </c>
      <c r="Q7715">
        <v>-3.9847609999999999E-3</v>
      </c>
      <c r="R7715">
        <v>0.99999199999999999</v>
      </c>
      <c r="S7715">
        <v>0.3708649</v>
      </c>
      <c r="T7715">
        <v>-0.40476269999999998</v>
      </c>
      <c r="U7715">
        <v>2.9984739999999999</v>
      </c>
      <c r="V7715">
        <v>-8.0136819999999994E-3</v>
      </c>
      <c r="W7715">
        <v>8.081174E-3</v>
      </c>
      <c r="X7715">
        <v>0.99993520000000002</v>
      </c>
      <c r="Y7715">
        <v>0.1141706</v>
      </c>
      <c r="Z7715">
        <v>-0.13283639999999999</v>
      </c>
      <c r="AA7715">
        <v>0.98454030000000003</v>
      </c>
      <c r="AB7715">
        <v>22</v>
      </c>
      <c r="AC7715">
        <v>8.8500000000010404E-2</v>
      </c>
      <c r="AD7715">
        <v>-9.8216999999999693E-2</v>
      </c>
      <c r="AE7715">
        <v>0.50817999999999697</v>
      </c>
      <c r="AF7715">
        <v>8.1701436483292894E-2</v>
      </c>
      <c r="AG7715">
        <v>-9.8216999999999693E-2</v>
      </c>
      <c r="AH7715">
        <v>0.49103112066836302</v>
      </c>
      <c r="AI7715">
        <v>101.16162289218801</v>
      </c>
      <c r="AJ7715">
        <v>80.553241735002004</v>
      </c>
      <c r="AK7715">
        <v>0.50737881831749898</v>
      </c>
      <c r="AL7715">
        <v>89.536977780042506</v>
      </c>
      <c r="AM7715">
        <v>90.459170081549601</v>
      </c>
      <c r="AN7715">
        <v>0.99999996433572702</v>
      </c>
    </row>
    <row r="7716" spans="1:40" x14ac:dyDescent="0.25">
      <c r="A7716" t="str">
        <f>"20190312160834997"</f>
        <v>20190312160834997</v>
      </c>
      <c r="B7716" t="str">
        <f>"1552378114992978"</f>
        <v>1552378114992978</v>
      </c>
      <c r="C7716" t="s">
        <v>40</v>
      </c>
      <c r="D7716">
        <v>5.915095</v>
      </c>
      <c r="E7716">
        <v>0.54463799999999996</v>
      </c>
      <c r="F7716" t="s">
        <v>44</v>
      </c>
      <c r="G7716">
        <v>-187.31450000000001</v>
      </c>
      <c r="H7716">
        <v>0.98661980000000005</v>
      </c>
      <c r="I7716">
        <v>-13.74451</v>
      </c>
      <c r="J7716">
        <v>-187.42339999999999</v>
      </c>
      <c r="K7716">
        <v>1.1097239999999999</v>
      </c>
      <c r="L7716">
        <v>-14.4115</v>
      </c>
      <c r="M7716">
        <v>7.4667800000000001E-3</v>
      </c>
      <c r="N7716">
        <v>0</v>
      </c>
      <c r="O7716">
        <v>0.99989969999999995</v>
      </c>
      <c r="P7716">
        <v>-1.2452979999999999E-3</v>
      </c>
      <c r="Q7716">
        <v>-3.730737E-3</v>
      </c>
      <c r="R7716">
        <v>0.99999229999999995</v>
      </c>
      <c r="S7716">
        <v>0.36940000000000001</v>
      </c>
      <c r="T7716">
        <v>-0.41161300000000001</v>
      </c>
      <c r="U7716">
        <v>2.9985659999999998</v>
      </c>
      <c r="V7716">
        <v>-8.7136149999999992E-3</v>
      </c>
      <c r="W7716">
        <v>8.2990819999999993E-3</v>
      </c>
      <c r="X7716">
        <v>0.99992760000000003</v>
      </c>
      <c r="Y7716">
        <v>0.113733399999999</v>
      </c>
      <c r="Z7716">
        <v>-0.135047</v>
      </c>
      <c r="AA7716">
        <v>0.98429009999999995</v>
      </c>
      <c r="AB7716">
        <v>22</v>
      </c>
      <c r="AC7716">
        <v>0.108899999999977</v>
      </c>
      <c r="AD7716">
        <v>-0.123104199999999</v>
      </c>
      <c r="AE7716">
        <v>0.66698999999999997</v>
      </c>
      <c r="AF7716">
        <v>0.100579081678892</v>
      </c>
      <c r="AG7716">
        <v>-0.123104199999999</v>
      </c>
      <c r="AH7716">
        <v>0.64633881682399696</v>
      </c>
      <c r="AI7716">
        <v>100.65833109723501</v>
      </c>
      <c r="AJ7716">
        <v>81.154940799619894</v>
      </c>
      <c r="AK7716">
        <v>0.66560097796086004</v>
      </c>
      <c r="AL7716">
        <v>89.524492170731406</v>
      </c>
      <c r="AM7716">
        <v>90.499276874575699</v>
      </c>
      <c r="AN7716">
        <v>1.00000000354508</v>
      </c>
    </row>
    <row r="7717" spans="1:40" x14ac:dyDescent="0.25">
      <c r="A7717" t="str">
        <f>"20190312160835031"</f>
        <v>20190312160835031</v>
      </c>
      <c r="B7717" t="str">
        <f>"1552378115023214"</f>
        <v>1552378115023214</v>
      </c>
      <c r="C7717" t="s">
        <v>40</v>
      </c>
      <c r="D7717">
        <v>5.9798339999999897</v>
      </c>
      <c r="E7717">
        <v>0.48710330000000002</v>
      </c>
      <c r="F7717" t="s">
        <v>44</v>
      </c>
      <c r="G7717">
        <v>-187.32140000000001</v>
      </c>
      <c r="H7717">
        <v>0.99253340000000001</v>
      </c>
      <c r="I7717">
        <v>-13.54124</v>
      </c>
      <c r="J7717">
        <v>-187.4211</v>
      </c>
      <c r="K7717">
        <v>1.1097360000000001</v>
      </c>
      <c r="L7717">
        <v>-14.07837</v>
      </c>
      <c r="M7717">
        <v>7.337695E-3</v>
      </c>
      <c r="N7717">
        <v>0</v>
      </c>
      <c r="O7717">
        <v>0.99990140000000005</v>
      </c>
      <c r="P7717">
        <v>-1.3463479999999901E-3</v>
      </c>
      <c r="Q7717">
        <v>-3.350675E-3</v>
      </c>
      <c r="R7717">
        <v>0.99999349999999998</v>
      </c>
      <c r="S7717">
        <v>0.35101320000000003</v>
      </c>
      <c r="T7717">
        <v>-0.40383530000000001</v>
      </c>
      <c r="U7717">
        <v>2.9989620000000001</v>
      </c>
      <c r="V7717">
        <v>-8.6854580000000001E-3</v>
      </c>
      <c r="W7717">
        <v>8.6218879999999994E-3</v>
      </c>
      <c r="X7717">
        <v>0.99992510000000001</v>
      </c>
      <c r="Y7717">
        <v>0.1079331</v>
      </c>
      <c r="Z7717">
        <v>-0.13261429999999999</v>
      </c>
      <c r="AA7717">
        <v>0.98527350000000002</v>
      </c>
      <c r="AB7717">
        <v>22</v>
      </c>
      <c r="AC7717">
        <v>9.9699999999984301E-2</v>
      </c>
      <c r="AD7717">
        <v>-0.117202599999999</v>
      </c>
      <c r="AE7717">
        <v>0.537130000000001</v>
      </c>
      <c r="AF7717">
        <v>9.1542391970913795E-2</v>
      </c>
      <c r="AG7717">
        <v>-0.117202599999999</v>
      </c>
      <c r="AH7717">
        <v>0.51418136362086997</v>
      </c>
      <c r="AI7717">
        <v>102.64828052734499</v>
      </c>
      <c r="AJ7717">
        <v>79.905104219839998</v>
      </c>
      <c r="AK7717">
        <v>0.53525595154984795</v>
      </c>
      <c r="AL7717">
        <v>89.5059960805754</v>
      </c>
      <c r="AM7717">
        <v>90.497664846805193</v>
      </c>
      <c r="AN7717">
        <v>0.99999998987168204</v>
      </c>
    </row>
    <row r="7718" spans="1:40" x14ac:dyDescent="0.25">
      <c r="A7718" t="str">
        <f>"20190312160835052"</f>
        <v>20190312160835052</v>
      </c>
      <c r="B7718" t="str">
        <f>"1552378115042734"</f>
        <v>1552378115042734</v>
      </c>
      <c r="C7718" t="s">
        <v>40</v>
      </c>
      <c r="D7718">
        <v>6.0498390000000004</v>
      </c>
      <c r="E7718">
        <v>0.48897950000000001</v>
      </c>
      <c r="F7718" t="s">
        <v>46</v>
      </c>
      <c r="G7718">
        <v>-201.8075</v>
      </c>
      <c r="H7718">
        <v>14.292879999999901</v>
      </c>
      <c r="I7718">
        <v>391.00349999999997</v>
      </c>
      <c r="J7718">
        <v>-187.4195</v>
      </c>
      <c r="K7718">
        <v>1.1097379999999999</v>
      </c>
      <c r="L7718">
        <v>-13.855499999999999</v>
      </c>
      <c r="M7718">
        <v>7.2410189999999996E-3</v>
      </c>
      <c r="N7718">
        <v>0</v>
      </c>
      <c r="O7718">
        <v>0.99990259999999997</v>
      </c>
      <c r="P7718">
        <v>-1.290797E-3</v>
      </c>
      <c r="Q7718">
        <v>-3.3297840000000001E-3</v>
      </c>
      <c r="R7718">
        <v>0.99999360000000004</v>
      </c>
      <c r="S7718">
        <v>-0.1065521</v>
      </c>
      <c r="T7718">
        <v>9.7640160000000004E-2</v>
      </c>
      <c r="U7718">
        <v>3.0002140000000002</v>
      </c>
      <c r="V7718">
        <v>-8.5333600000000003E-3</v>
      </c>
      <c r="W7718">
        <v>8.5999549999999994E-3</v>
      </c>
      <c r="X7718">
        <v>0.9999266</v>
      </c>
      <c r="Y7718">
        <v>-4.2709759999999999E-2</v>
      </c>
      <c r="Z7718">
        <v>3.2500830000000001E-2</v>
      </c>
      <c r="AA7718">
        <v>0.99855879999999997</v>
      </c>
      <c r="AB7718">
        <v>22</v>
      </c>
      <c r="AC7718">
        <v>-14.388</v>
      </c>
      <c r="AD7718">
        <v>13.183141999999901</v>
      </c>
      <c r="AE7718">
        <v>404.85899999999998</v>
      </c>
      <c r="AF7718">
        <v>-17.3011018620507</v>
      </c>
      <c r="AG7718">
        <v>13.183141999999901</v>
      </c>
      <c r="AH7718">
        <v>404.31603626948601</v>
      </c>
      <c r="AI7718">
        <v>88.134179796702995</v>
      </c>
      <c r="AJ7718">
        <v>92.450250935593104</v>
      </c>
      <c r="AK7718">
        <v>404.90070454779499</v>
      </c>
      <c r="AL7718">
        <v>89.507252796277001</v>
      </c>
      <c r="AM7718">
        <v>90.488949533173795</v>
      </c>
      <c r="AN7718">
        <v>0.99999999142322504</v>
      </c>
    </row>
    <row r="7719" spans="1:40" x14ac:dyDescent="0.25">
      <c r="A7719" t="str">
        <f>"20190312160835074"</f>
        <v>20190312160835074</v>
      </c>
      <c r="B7719" t="str">
        <f>"1552378115063230"</f>
        <v>1552378115063230</v>
      </c>
      <c r="C7719" t="s">
        <v>40</v>
      </c>
      <c r="D7719">
        <v>5.9780340000000001</v>
      </c>
      <c r="E7719">
        <v>0.4881182</v>
      </c>
      <c r="F7719" t="s">
        <v>46</v>
      </c>
      <c r="G7719">
        <v>-199.80709999999999</v>
      </c>
      <c r="H7719">
        <v>9.0422089999999997</v>
      </c>
      <c r="I7719">
        <v>391.87</v>
      </c>
      <c r="J7719">
        <v>-187.41800000000001</v>
      </c>
      <c r="K7719">
        <v>1.1097379999999999</v>
      </c>
      <c r="L7719">
        <v>-13.63672</v>
      </c>
      <c r="M7719">
        <v>7.1412530000000002E-3</v>
      </c>
      <c r="N7719">
        <v>0</v>
      </c>
      <c r="O7719">
        <v>0.99990389999999996</v>
      </c>
      <c r="P7719">
        <v>-8.4986640000000004E-4</v>
      </c>
      <c r="Q7719">
        <v>-2.9093299999999999E-3</v>
      </c>
      <c r="R7719">
        <v>0.99999539999999998</v>
      </c>
      <c r="S7719">
        <v>-9.1598509999999994E-2</v>
      </c>
      <c r="T7719">
        <v>5.8655739999999998E-2</v>
      </c>
      <c r="U7719">
        <v>3.000092</v>
      </c>
      <c r="V7719">
        <v>-7.9926400000000005E-3</v>
      </c>
      <c r="W7719">
        <v>8.9752110000000003E-3</v>
      </c>
      <c r="X7719">
        <v>0.99992780000000003</v>
      </c>
      <c r="Y7719">
        <v>-3.7649519999999999E-2</v>
      </c>
      <c r="Z7719">
        <v>1.953535E-2</v>
      </c>
      <c r="AA7719">
        <v>0.99909999999999999</v>
      </c>
      <c r="AB7719">
        <v>22</v>
      </c>
      <c r="AC7719">
        <v>-12.3890999999999</v>
      </c>
      <c r="AD7719">
        <v>7.9324709999999996</v>
      </c>
      <c r="AE7719">
        <v>405.50671999999997</v>
      </c>
      <c r="AF7719">
        <v>-15.278973278225701</v>
      </c>
      <c r="AG7719">
        <v>7.9324709999999996</v>
      </c>
      <c r="AH7719">
        <v>405.25296628151398</v>
      </c>
      <c r="AI7719">
        <v>88.879424566821598</v>
      </c>
      <c r="AJ7719">
        <v>92.159160616413004</v>
      </c>
      <c r="AK7719">
        <v>405.61846333786201</v>
      </c>
      <c r="AL7719">
        <v>89.485751395915997</v>
      </c>
      <c r="AM7719">
        <v>90.457967851896001</v>
      </c>
      <c r="AN7719">
        <v>1.0000000209597499</v>
      </c>
    </row>
    <row r="7720" spans="1:40" x14ac:dyDescent="0.25">
      <c r="A7720" t="str">
        <f>"20190312160835098"</f>
        <v>20190312160835098</v>
      </c>
      <c r="B7720" t="str">
        <f>"1552378115092990"</f>
        <v>1552378115092990</v>
      </c>
      <c r="C7720" t="s">
        <v>40</v>
      </c>
      <c r="D7720">
        <v>5.935657</v>
      </c>
      <c r="E7720">
        <v>0.48942530000000001</v>
      </c>
      <c r="F7720" t="s">
        <v>46</v>
      </c>
      <c r="G7720">
        <v>-200.49719999999999</v>
      </c>
      <c r="H7720">
        <v>6.6984640000000004</v>
      </c>
      <c r="I7720">
        <v>390.11860000000001</v>
      </c>
      <c r="J7720">
        <v>-187.41640000000001</v>
      </c>
      <c r="K7720">
        <v>1.109739</v>
      </c>
      <c r="L7720">
        <v>-13.394439999999999</v>
      </c>
      <c r="M7720">
        <v>7.0273899999999997E-3</v>
      </c>
      <c r="N7720">
        <v>0</v>
      </c>
      <c r="O7720">
        <v>0.9999053</v>
      </c>
      <c r="P7720">
        <v>-2.5026379999999997E-4</v>
      </c>
      <c r="Q7720">
        <v>-2.1057340000000002E-3</v>
      </c>
      <c r="R7720">
        <v>0.99999769999999999</v>
      </c>
      <c r="S7720">
        <v>-9.7183229999999995E-2</v>
      </c>
      <c r="T7720">
        <v>4.1526439999999998E-2</v>
      </c>
      <c r="U7720">
        <v>3.0000610000000001</v>
      </c>
      <c r="V7720">
        <v>-7.2797669999999899E-3</v>
      </c>
      <c r="W7720">
        <v>9.7209519999999997E-3</v>
      </c>
      <c r="X7720">
        <v>0.99992630000000005</v>
      </c>
      <c r="Y7720">
        <v>-3.9397069999999999E-2</v>
      </c>
      <c r="Z7720">
        <v>1.3831019999999999E-2</v>
      </c>
      <c r="AA7720">
        <v>0.99912789999999996</v>
      </c>
      <c r="AB7720">
        <v>22</v>
      </c>
      <c r="AC7720">
        <v>-13.080799999999901</v>
      </c>
      <c r="AD7720">
        <v>5.5887249999999904</v>
      </c>
      <c r="AE7720">
        <v>403.51303999999999</v>
      </c>
      <c r="AF7720">
        <v>-15.913269591609399</v>
      </c>
      <c r="AG7720">
        <v>5.5887249999999904</v>
      </c>
      <c r="AH7720">
        <v>403.33385536846401</v>
      </c>
      <c r="AI7720">
        <v>89.206758937515005</v>
      </c>
      <c r="AJ7720">
        <v>92.259395084251196</v>
      </c>
      <c r="AK7720">
        <v>403.68634468187099</v>
      </c>
      <c r="AL7720">
        <v>89.443021732305695</v>
      </c>
      <c r="AM7720">
        <v>90.417123298002593</v>
      </c>
      <c r="AN7720">
        <v>1.0000000486735201</v>
      </c>
    </row>
    <row r="7721" spans="1:40" x14ac:dyDescent="0.25">
      <c r="A7721" t="str">
        <f>"20190312160835122"</f>
        <v>20190312160835122</v>
      </c>
      <c r="B7721" t="str">
        <f>"1552378115113445"</f>
        <v>1552378115113445</v>
      </c>
      <c r="C7721" t="s">
        <v>40</v>
      </c>
      <c r="D7721">
        <v>5.9651139999999998</v>
      </c>
      <c r="E7721">
        <v>0.48963640000000003</v>
      </c>
      <c r="F7721" t="s">
        <v>46</v>
      </c>
      <c r="G7721">
        <v>-198.9143</v>
      </c>
      <c r="H7721">
        <v>2.6958169999999999</v>
      </c>
      <c r="I7721">
        <v>391.87</v>
      </c>
      <c r="J7721">
        <v>-187.41489999999999</v>
      </c>
      <c r="K7721">
        <v>1.1097349999999999</v>
      </c>
      <c r="L7721">
        <v>-13.167479999999999</v>
      </c>
      <c r="M7721">
        <v>6.920051E-3</v>
      </c>
      <c r="N7721">
        <v>0</v>
      </c>
      <c r="O7721">
        <v>0.99990679999999998</v>
      </c>
      <c r="P7721" s="1">
        <v>1.606947E-5</v>
      </c>
      <c r="Q7721">
        <v>-1.6955169999999999E-3</v>
      </c>
      <c r="R7721">
        <v>0.99999859999999896</v>
      </c>
      <c r="S7721">
        <v>-8.5113530000000007E-2</v>
      </c>
      <c r="T7721">
        <v>1.1741039999999999E-2</v>
      </c>
      <c r="U7721">
        <v>3</v>
      </c>
      <c r="V7721">
        <v>-6.9059300000000002E-3</v>
      </c>
      <c r="W7721">
        <v>1.0076659999999999E-2</v>
      </c>
      <c r="X7721">
        <v>0.99992539999999996</v>
      </c>
      <c r="Y7721">
        <v>-3.5276620000000002E-2</v>
      </c>
      <c r="Z7721">
        <v>3.9115060000000004E-3</v>
      </c>
      <c r="AA7721">
        <v>0.99936990000000003</v>
      </c>
      <c r="AB7721">
        <v>22</v>
      </c>
      <c r="AC7721">
        <v>-11.4994</v>
      </c>
      <c r="AD7721">
        <v>1.58608199999999</v>
      </c>
      <c r="AE7721">
        <v>405.03747999999899</v>
      </c>
      <c r="AF7721">
        <v>-14.3019796334391</v>
      </c>
      <c r="AG7721">
        <v>1.58608199999999</v>
      </c>
      <c r="AH7721">
        <v>404.94199410172899</v>
      </c>
      <c r="AI7721">
        <v>89.775724139147101</v>
      </c>
      <c r="AJ7721">
        <v>92.022765268188905</v>
      </c>
      <c r="AK7721">
        <v>405.19758250096999</v>
      </c>
      <c r="AL7721">
        <v>89.4226401499064</v>
      </c>
      <c r="AM7721">
        <v>90.395703871113199</v>
      </c>
      <c r="AN7721">
        <v>1.00000001825554</v>
      </c>
    </row>
    <row r="7722" spans="1:40" x14ac:dyDescent="0.25">
      <c r="A7722" t="str">
        <f>"20190312160835143"</f>
        <v>20190312160835143</v>
      </c>
      <c r="B7722" t="str">
        <f>"1552378115132964"</f>
        <v>1552378115132964</v>
      </c>
      <c r="C7722" t="s">
        <v>40</v>
      </c>
      <c r="D7722">
        <v>6.1494669999999996</v>
      </c>
      <c r="E7722">
        <v>0.49004009999999998</v>
      </c>
      <c r="F7722" t="s">
        <v>46</v>
      </c>
      <c r="G7722">
        <v>-198.55600000000001</v>
      </c>
      <c r="H7722">
        <v>2.1292</v>
      </c>
      <c r="I7722">
        <v>391.87</v>
      </c>
      <c r="J7722">
        <v>-187.4135</v>
      </c>
      <c r="K7722">
        <v>1.1097319999999999</v>
      </c>
      <c r="L7722">
        <v>-12.94647</v>
      </c>
      <c r="M7722">
        <v>6.8161960000000001E-3</v>
      </c>
      <c r="N7722">
        <v>0</v>
      </c>
      <c r="O7722">
        <v>0.99990800000000002</v>
      </c>
      <c r="P7722">
        <v>1.8391610000000001E-4</v>
      </c>
      <c r="Q7722">
        <v>-1.39342E-3</v>
      </c>
      <c r="R7722">
        <v>0.99999899999999997</v>
      </c>
      <c r="S7722">
        <v>-8.2519529999999994E-2</v>
      </c>
      <c r="T7722">
        <v>7.5509549999999998E-3</v>
      </c>
      <c r="U7722">
        <v>3.0000309999999999</v>
      </c>
      <c r="V7722">
        <v>-6.6341350000000002E-3</v>
      </c>
      <c r="W7722">
        <v>1.033032E-2</v>
      </c>
      <c r="X7722">
        <v>0.9999247</v>
      </c>
      <c r="Y7722">
        <v>-3.4309199999999998E-2</v>
      </c>
      <c r="Z7722">
        <v>2.5156480000000001E-3</v>
      </c>
      <c r="AA7722">
        <v>0.99940810000000002</v>
      </c>
      <c r="AB7722">
        <v>22</v>
      </c>
      <c r="AC7722">
        <v>-11.142499999999901</v>
      </c>
      <c r="AD7722">
        <v>1.019468</v>
      </c>
      <c r="AE7722">
        <v>404.81646999999998</v>
      </c>
      <c r="AF7722">
        <v>-13.901651188064699</v>
      </c>
      <c r="AG7722">
        <v>1.019468</v>
      </c>
      <c r="AH7722">
        <v>404.72854504409401</v>
      </c>
      <c r="AI7722">
        <v>89.8557634120682</v>
      </c>
      <c r="AJ7722">
        <v>91.967227011214902</v>
      </c>
      <c r="AK7722">
        <v>404.96850543501102</v>
      </c>
      <c r="AL7722">
        <v>89.408105774620097</v>
      </c>
      <c r="AM7722">
        <v>90.380130982985605</v>
      </c>
      <c r="AN7722">
        <v>1.0000000664642901</v>
      </c>
    </row>
    <row r="7723" spans="1:40" x14ac:dyDescent="0.25">
      <c r="A7723" t="str">
        <f>"20190312160835166"</f>
        <v>20190312160835166</v>
      </c>
      <c r="B7723" t="str">
        <f>"1552378115153464"</f>
        <v>1552378115153464</v>
      </c>
      <c r="C7723" t="s">
        <v>40</v>
      </c>
      <c r="D7723">
        <v>6.1988050000000001</v>
      </c>
      <c r="E7723">
        <v>0.49011280000000002</v>
      </c>
      <c r="F7723" t="s">
        <v>46</v>
      </c>
      <c r="G7723">
        <v>-198.0462</v>
      </c>
      <c r="H7723">
        <v>1.681584</v>
      </c>
      <c r="I7723">
        <v>391.87</v>
      </c>
      <c r="J7723">
        <v>-187.41220000000001</v>
      </c>
      <c r="K7723">
        <v>1.1097220000000001</v>
      </c>
      <c r="L7723">
        <v>-12.726139999999999</v>
      </c>
      <c r="M7723">
        <v>6.7138809999999997E-3</v>
      </c>
      <c r="N7723">
        <v>0</v>
      </c>
      <c r="O7723">
        <v>0.9999093</v>
      </c>
      <c r="P7723" s="1">
        <v>-8.5455899999999996E-5</v>
      </c>
      <c r="Q7723">
        <v>-8.8278199999999895E-4</v>
      </c>
      <c r="R7723">
        <v>0.99999959999999999</v>
      </c>
      <c r="S7723">
        <v>-7.8796389999999994E-2</v>
      </c>
      <c r="T7723">
        <v>4.2378900000000002E-3</v>
      </c>
      <c r="U7723">
        <v>3.0000309999999999</v>
      </c>
      <c r="V7723">
        <v>-6.8014590000000002E-3</v>
      </c>
      <c r="W7723">
        <v>1.0794730000000001E-2</v>
      </c>
      <c r="X7723">
        <v>0.99991859999999999</v>
      </c>
      <c r="Y7723">
        <v>-3.2967549999999998E-2</v>
      </c>
      <c r="Z7723">
        <v>1.4119390000000001E-3</v>
      </c>
      <c r="AA7723">
        <v>0.99945550000000005</v>
      </c>
      <c r="AB7723">
        <v>22</v>
      </c>
      <c r="AC7723">
        <v>-10.633999999999901</v>
      </c>
      <c r="AD7723">
        <v>0.57186199999999998</v>
      </c>
      <c r="AE7723">
        <v>404.59613999999999</v>
      </c>
      <c r="AF7723">
        <v>-13.350329142869001</v>
      </c>
      <c r="AG7723">
        <v>0.57186199999999998</v>
      </c>
      <c r="AH7723">
        <v>404.51481199128</v>
      </c>
      <c r="AI7723">
        <v>89.919045170688705</v>
      </c>
      <c r="AJ7723">
        <v>91.890264467129299</v>
      </c>
      <c r="AK7723">
        <v>404.73545858339497</v>
      </c>
      <c r="AL7723">
        <v>89.381495515356306</v>
      </c>
      <c r="AM7723">
        <v>90.389720608602104</v>
      </c>
      <c r="AN7723">
        <v>0.99999999633312997</v>
      </c>
    </row>
    <row r="7724" spans="1:40" x14ac:dyDescent="0.25">
      <c r="A7724" t="str">
        <f>"20190312160835186"</f>
        <v>20190312160835186</v>
      </c>
      <c r="B7724" t="str">
        <f>"1552378115172980"</f>
        <v>1552378115172980</v>
      </c>
      <c r="C7724" t="s">
        <v>40</v>
      </c>
      <c r="D7724">
        <v>6.1449069999999999</v>
      </c>
      <c r="E7724">
        <v>0.4901721</v>
      </c>
      <c r="F7724" t="s">
        <v>46</v>
      </c>
      <c r="G7724">
        <v>-198.07409999999999</v>
      </c>
      <c r="H7724">
        <v>1.593326</v>
      </c>
      <c r="I7724">
        <v>391.87</v>
      </c>
      <c r="J7724">
        <v>-187.41079999999999</v>
      </c>
      <c r="K7724">
        <v>1.109715</v>
      </c>
      <c r="L7724">
        <v>-12.51627</v>
      </c>
      <c r="M7724">
        <v>6.6174149999999998E-3</v>
      </c>
      <c r="N7724">
        <v>0</v>
      </c>
      <c r="O7724">
        <v>0.99991039999999998</v>
      </c>
      <c r="P7724">
        <v>-5.7197080000000004E-4</v>
      </c>
      <c r="Q7724">
        <v>-9.0517370000000002E-4</v>
      </c>
      <c r="R7724">
        <v>0.99999939999999998</v>
      </c>
      <c r="S7724">
        <v>-7.9055790000000001E-2</v>
      </c>
      <c r="T7724">
        <v>3.585815E-3</v>
      </c>
      <c r="U7724">
        <v>3</v>
      </c>
      <c r="V7724">
        <v>-7.1910079999999996E-3</v>
      </c>
      <c r="W7724">
        <v>1.072655E-2</v>
      </c>
      <c r="X7724">
        <v>0.99991660000000004</v>
      </c>
      <c r="Y7724">
        <v>-3.2957760000000003E-2</v>
      </c>
      <c r="Z7724">
        <v>1.1946999999999999E-3</v>
      </c>
      <c r="AA7724">
        <v>0.99945600000000001</v>
      </c>
      <c r="AB7724">
        <v>22</v>
      </c>
      <c r="AC7724">
        <v>-10.6632999999999</v>
      </c>
      <c r="AD7724">
        <v>0.48361099999999901</v>
      </c>
      <c r="AE7724">
        <v>404.38627000000002</v>
      </c>
      <c r="AF7724">
        <v>-13.339220381618301</v>
      </c>
      <c r="AG7724">
        <v>0.48361099999999901</v>
      </c>
      <c r="AH7724">
        <v>404.30626853020402</v>
      </c>
      <c r="AI7724">
        <v>89.931502948291296</v>
      </c>
      <c r="AJ7724">
        <v>91.889666216732707</v>
      </c>
      <c r="AK7724">
        <v>404.52654727817998</v>
      </c>
      <c r="AL7724">
        <v>89.385402162812795</v>
      </c>
      <c r="AM7724">
        <v>90.412041670318899</v>
      </c>
      <c r="AN7724">
        <v>0.99999998821325897</v>
      </c>
    </row>
    <row r="7725" spans="1:40" x14ac:dyDescent="0.25">
      <c r="A7725" t="str">
        <f>"20190312160835209"</f>
        <v>20190312160835209</v>
      </c>
      <c r="B7725" t="str">
        <f>"1552378115202766"</f>
        <v>1552378115202766</v>
      </c>
      <c r="C7725" t="s">
        <v>40</v>
      </c>
      <c r="D7725">
        <v>6.1964230000000002</v>
      </c>
      <c r="E7725">
        <v>0.49022900000000003</v>
      </c>
      <c r="F7725" t="s">
        <v>46</v>
      </c>
      <c r="G7725">
        <v>-198.20099999999999</v>
      </c>
      <c r="H7725">
        <v>1.312314</v>
      </c>
      <c r="I7725">
        <v>391.87</v>
      </c>
      <c r="J7725">
        <v>-187.40940000000001</v>
      </c>
      <c r="K7725">
        <v>1.109707</v>
      </c>
      <c r="L7725">
        <v>-12.28299</v>
      </c>
      <c r="M7725">
        <v>6.5108190000000002E-3</v>
      </c>
      <c r="N7725">
        <v>0</v>
      </c>
      <c r="O7725">
        <v>0.99991169999999996</v>
      </c>
      <c r="P7725">
        <v>-2.0983229999999999E-4</v>
      </c>
      <c r="Q7725">
        <v>-1.384328E-3</v>
      </c>
      <c r="R7725">
        <v>0.99999899999999997</v>
      </c>
      <c r="S7725">
        <v>-8.0047610000000005E-2</v>
      </c>
      <c r="T7725">
        <v>1.502991E-3</v>
      </c>
      <c r="U7725">
        <v>2.9999690000000001</v>
      </c>
      <c r="V7725">
        <v>-6.7223519999999896E-3</v>
      </c>
      <c r="W7725">
        <v>1.019776E-2</v>
      </c>
      <c r="X7725">
        <v>0.99992539999999996</v>
      </c>
      <c r="Y7725">
        <v>-3.3181679999999998E-2</v>
      </c>
      <c r="Z7725">
        <v>5.007589E-4</v>
      </c>
      <c r="AA7725">
        <v>0.99944920000000004</v>
      </c>
      <c r="AB7725">
        <v>22</v>
      </c>
      <c r="AC7725">
        <v>-10.791599999999899</v>
      </c>
      <c r="AD7725">
        <v>0.20260700000000001</v>
      </c>
      <c r="AE7725">
        <v>404.15298999999999</v>
      </c>
      <c r="AF7725">
        <v>-13.4229114144125</v>
      </c>
      <c r="AG7725">
        <v>0.20260700000000001</v>
      </c>
      <c r="AH7725">
        <v>404.07405423572902</v>
      </c>
      <c r="AI7725">
        <v>89.971287131131305</v>
      </c>
      <c r="AJ7725">
        <v>91.902605377903001</v>
      </c>
      <c r="AK7725">
        <v>404.29699096942898</v>
      </c>
      <c r="AL7725">
        <v>89.415701260970096</v>
      </c>
      <c r="AM7725">
        <v>90.385185330286802</v>
      </c>
      <c r="AN7725">
        <v>0.99999999494529401</v>
      </c>
    </row>
    <row r="7726" spans="1:40" x14ac:dyDescent="0.25">
      <c r="A7726" t="str">
        <f>"20190312160835232"</f>
        <v>20190312160835232</v>
      </c>
      <c r="B7726" t="str">
        <f>"1552378115223262"</f>
        <v>1552378115223262</v>
      </c>
      <c r="C7726" t="s">
        <v>40</v>
      </c>
      <c r="D7726">
        <v>6.2474589999999903</v>
      </c>
      <c r="E7726">
        <v>0.49021100000000001</v>
      </c>
      <c r="F7726" t="s">
        <v>46</v>
      </c>
      <c r="G7726">
        <v>-197.994</v>
      </c>
      <c r="H7726">
        <v>0.74825189999999997</v>
      </c>
      <c r="I7726">
        <v>391.87</v>
      </c>
      <c r="J7726">
        <v>-187.40809999999999</v>
      </c>
      <c r="K7726">
        <v>1.1096950000000001</v>
      </c>
      <c r="L7726">
        <v>-12.05237</v>
      </c>
      <c r="M7726">
        <v>6.4055240000000001E-3</v>
      </c>
      <c r="N7726">
        <v>0</v>
      </c>
      <c r="O7726">
        <v>0.99991300000000005</v>
      </c>
      <c r="P7726" s="1">
        <v>8.3491449999999995E-5</v>
      </c>
      <c r="Q7726">
        <v>-1.36924799999999E-3</v>
      </c>
      <c r="R7726">
        <v>0.99999899999999997</v>
      </c>
      <c r="S7726">
        <v>-7.8567499999999998E-2</v>
      </c>
      <c r="T7726">
        <v>-2.683043E-3</v>
      </c>
      <c r="U7726">
        <v>2.9999690000000001</v>
      </c>
      <c r="V7726">
        <v>-6.3237479999999997E-3</v>
      </c>
      <c r="W7726">
        <v>1.0164869999999999E-2</v>
      </c>
      <c r="X7726">
        <v>0.99992840000000005</v>
      </c>
      <c r="Y7726">
        <v>-3.2583670000000002E-2</v>
      </c>
      <c r="Z7726">
        <v>-8.939385E-4</v>
      </c>
      <c r="AA7726">
        <v>0.99946860000000004</v>
      </c>
      <c r="AB7726">
        <v>23</v>
      </c>
      <c r="AC7726">
        <v>-10.585900000000001</v>
      </c>
      <c r="AD7726">
        <v>-0.36144310000000002</v>
      </c>
      <c r="AE7726">
        <v>403.92237</v>
      </c>
      <c r="AF7726">
        <v>-13.1731787148893</v>
      </c>
      <c r="AG7726">
        <v>-0.36144310000000002</v>
      </c>
      <c r="AH7726">
        <v>403.845946303608</v>
      </c>
      <c r="AI7726">
        <v>90.051252588113698</v>
      </c>
      <c r="AJ7726">
        <v>91.868286719081198</v>
      </c>
      <c r="AK7726">
        <v>404.06090088552901</v>
      </c>
      <c r="AL7726">
        <v>89.417585854589902</v>
      </c>
      <c r="AM7726">
        <v>90.362345184689303</v>
      </c>
      <c r="AN7726">
        <v>1.00000005974872</v>
      </c>
    </row>
    <row r="7727" spans="1:40" x14ac:dyDescent="0.25">
      <c r="A7727" t="str">
        <f>"20190312160835255"</f>
        <v>20190312160835255</v>
      </c>
      <c r="B7727" t="str">
        <f>"1552378115242781"</f>
        <v>1552378115242781</v>
      </c>
      <c r="C7727" t="s">
        <v>40</v>
      </c>
      <c r="D7727">
        <v>6.1957610000000001</v>
      </c>
      <c r="E7727">
        <v>0.49018499999999998</v>
      </c>
      <c r="F7727" t="s">
        <v>46</v>
      </c>
      <c r="G7727">
        <v>-197.8981</v>
      </c>
      <c r="H7727">
        <v>0.55951980000000001</v>
      </c>
      <c r="I7727">
        <v>391.87</v>
      </c>
      <c r="J7727">
        <v>-187.4067</v>
      </c>
      <c r="K7727">
        <v>1.109696</v>
      </c>
      <c r="L7727">
        <v>-11.820679999999999</v>
      </c>
      <c r="M7727">
        <v>6.296261E-3</v>
      </c>
      <c r="N7727">
        <v>0</v>
      </c>
      <c r="O7727">
        <v>0.99991419999999998</v>
      </c>
      <c r="P7727">
        <v>3.76797E-4</v>
      </c>
      <c r="Q7727">
        <v>-1.1474879999999999E-3</v>
      </c>
      <c r="R7727">
        <v>0.99999930000000004</v>
      </c>
      <c r="S7727">
        <v>-7.7911380000000002E-2</v>
      </c>
      <c r="T7727">
        <v>-4.0862559999999999E-3</v>
      </c>
      <c r="U7727">
        <v>3</v>
      </c>
      <c r="V7727">
        <v>-5.9213149999999999E-3</v>
      </c>
      <c r="W7727">
        <v>1.033795E-2</v>
      </c>
      <c r="X7727">
        <v>0.99992899999999996</v>
      </c>
      <c r="Y7727">
        <v>-3.2255730000000003E-2</v>
      </c>
      <c r="Z7727">
        <v>-1.3614600000000001E-3</v>
      </c>
      <c r="AA7727">
        <v>0.99947870000000005</v>
      </c>
      <c r="AB7727">
        <v>23</v>
      </c>
      <c r="AC7727">
        <v>-10.491400000000001</v>
      </c>
      <c r="AD7727">
        <v>-0.5501762</v>
      </c>
      <c r="AE7727">
        <v>403.69067999999999</v>
      </c>
      <c r="AF7727">
        <v>-13.033077416612</v>
      </c>
      <c r="AG7727">
        <v>-0.5501762</v>
      </c>
      <c r="AH7727">
        <v>403.61586700705698</v>
      </c>
      <c r="AI7727">
        <v>90.0780601949632</v>
      </c>
      <c r="AJ7727">
        <v>91.849483661052304</v>
      </c>
      <c r="AK7727">
        <v>403.826611184375</v>
      </c>
      <c r="AL7727">
        <v>89.407668527431198</v>
      </c>
      <c r="AM7727">
        <v>90.339286482412305</v>
      </c>
      <c r="AN7727">
        <v>0.99999997011126496</v>
      </c>
    </row>
    <row r="7728" spans="1:40" x14ac:dyDescent="0.25">
      <c r="A7728" t="str">
        <f>"20190312160835276"</f>
        <v>20190312160835276</v>
      </c>
      <c r="B7728" t="str">
        <f>"1552378115273037"</f>
        <v>1552378115273037</v>
      </c>
      <c r="C7728" t="s">
        <v>40</v>
      </c>
      <c r="D7728">
        <v>6.1810349999999996</v>
      </c>
      <c r="E7728">
        <v>0.49029230000000001</v>
      </c>
      <c r="F7728" t="s">
        <v>46</v>
      </c>
      <c r="G7728">
        <v>-197.7859</v>
      </c>
      <c r="H7728">
        <v>0.50363539999999996</v>
      </c>
      <c r="I7728">
        <v>391.87</v>
      </c>
      <c r="J7728">
        <v>-187.40539999999999</v>
      </c>
      <c r="K7728">
        <v>1.1096950000000001</v>
      </c>
      <c r="L7728">
        <v>-11.60239</v>
      </c>
      <c r="M7728">
        <v>6.1855429999999999E-3</v>
      </c>
      <c r="N7728">
        <v>0</v>
      </c>
      <c r="O7728">
        <v>0.99991549999999996</v>
      </c>
      <c r="P7728">
        <v>9.2789890000000001E-4</v>
      </c>
      <c r="Q7728">
        <v>-5.438579E-4</v>
      </c>
      <c r="R7728">
        <v>0.99999939999999998</v>
      </c>
      <c r="S7728">
        <v>-7.7133179999999996E-2</v>
      </c>
      <c r="T7728">
        <v>-4.5039650000000004E-3</v>
      </c>
      <c r="U7728">
        <v>3.0000309999999999</v>
      </c>
      <c r="V7728">
        <v>-5.2594800000000004E-3</v>
      </c>
      <c r="W7728">
        <v>1.0893430000000001E-2</v>
      </c>
      <c r="X7728">
        <v>0.9999268</v>
      </c>
      <c r="Y7728">
        <v>-3.1885690000000001E-2</v>
      </c>
      <c r="Z7728">
        <v>-1.500632E-3</v>
      </c>
      <c r="AA7728">
        <v>0.9994904</v>
      </c>
      <c r="AB7728">
        <v>23</v>
      </c>
      <c r="AC7728">
        <v>-10.3805</v>
      </c>
      <c r="AD7728">
        <v>-0.60605959999999903</v>
      </c>
      <c r="AE7728">
        <v>403.47239000000002</v>
      </c>
      <c r="AF7728">
        <v>-12.8761313218738</v>
      </c>
      <c r="AG7728">
        <v>-0.60605959999999903</v>
      </c>
      <c r="AH7728">
        <v>403.39954747216899</v>
      </c>
      <c r="AI7728">
        <v>90.086036178422802</v>
      </c>
      <c r="AJ7728">
        <v>91.828206286498698</v>
      </c>
      <c r="AK7728">
        <v>403.60544714709602</v>
      </c>
      <c r="AL7728">
        <v>89.375840071149199</v>
      </c>
      <c r="AM7728">
        <v>90.301365287387597</v>
      </c>
      <c r="AN7728">
        <v>0.99999996715263695</v>
      </c>
    </row>
    <row r="7729" spans="1:40" x14ac:dyDescent="0.25">
      <c r="A7729" t="str">
        <f>"20190312160835301"</f>
        <v>20190312160835301</v>
      </c>
      <c r="B7729" t="str">
        <f>"1552378115293534"</f>
        <v>1552378115293534</v>
      </c>
      <c r="C7729" t="s">
        <v>40</v>
      </c>
      <c r="D7729">
        <v>6.162261</v>
      </c>
      <c r="E7729">
        <v>0.49008190000000001</v>
      </c>
      <c r="F7729" t="s">
        <v>46</v>
      </c>
      <c r="G7729">
        <v>-197.43620000000001</v>
      </c>
      <c r="H7729">
        <v>0.39592549999999999</v>
      </c>
      <c r="I7729">
        <v>391.87</v>
      </c>
      <c r="J7729">
        <v>-187.4041</v>
      </c>
      <c r="K7729">
        <v>1.109704</v>
      </c>
      <c r="L7729">
        <v>-11.362579999999999</v>
      </c>
      <c r="M7729">
        <v>6.0533459999999898E-3</v>
      </c>
      <c r="N7729">
        <v>0</v>
      </c>
      <c r="O7729">
        <v>0.9999169</v>
      </c>
      <c r="P7729">
        <v>1.130692E-3</v>
      </c>
      <c r="Q7729" s="1">
        <v>-3.3231429999999997E-5</v>
      </c>
      <c r="R7729">
        <v>0.99999930000000004</v>
      </c>
      <c r="S7729">
        <v>-7.4584960000000006E-2</v>
      </c>
      <c r="T7729">
        <v>-5.3073169999999998E-3</v>
      </c>
      <c r="U7729">
        <v>3.0000610000000001</v>
      </c>
      <c r="V7729">
        <v>-4.924739E-3</v>
      </c>
      <c r="W7729">
        <v>1.135164E-2</v>
      </c>
      <c r="X7729">
        <v>0.99992349999999997</v>
      </c>
      <c r="Y7729">
        <v>-3.0904839999999999E-2</v>
      </c>
      <c r="Z7729">
        <v>-1.7683229999999901E-3</v>
      </c>
      <c r="AA7729">
        <v>0.99952079999999999</v>
      </c>
      <c r="AB7729">
        <v>23</v>
      </c>
      <c r="AC7729">
        <v>-10.0321</v>
      </c>
      <c r="AD7729">
        <v>-0.71377849999999998</v>
      </c>
      <c r="AE7729">
        <v>403.23257999999998</v>
      </c>
      <c r="AF7729">
        <v>-12.4729415632677</v>
      </c>
      <c r="AG7729">
        <v>-0.71377849999999998</v>
      </c>
      <c r="AH7729">
        <v>403.16319695368702</v>
      </c>
      <c r="AI7729">
        <v>90.101390442817404</v>
      </c>
      <c r="AJ7729">
        <v>91.772034352181393</v>
      </c>
      <c r="AK7729">
        <v>403.35672441265399</v>
      </c>
      <c r="AL7729">
        <v>89.349585006803693</v>
      </c>
      <c r="AM7729">
        <v>90.282186065686403</v>
      </c>
      <c r="AN7729">
        <v>1.0000000593185701</v>
      </c>
    </row>
    <row r="7730" spans="1:40" x14ac:dyDescent="0.25">
      <c r="A7730" t="str">
        <f>"20190312160835322"</f>
        <v>20190312160835322</v>
      </c>
      <c r="B7730" t="str">
        <f>"1552378115313054"</f>
        <v>1552378115313054</v>
      </c>
      <c r="C7730" t="s">
        <v>40</v>
      </c>
      <c r="D7730">
        <v>6.23325</v>
      </c>
      <c r="E7730">
        <v>0.4901257</v>
      </c>
      <c r="F7730" t="s">
        <v>46</v>
      </c>
      <c r="G7730">
        <v>-197.56010000000001</v>
      </c>
      <c r="H7730">
        <v>0.69007680000000005</v>
      </c>
      <c r="I7730">
        <v>391.87</v>
      </c>
      <c r="J7730">
        <v>-187.40289999999999</v>
      </c>
      <c r="K7730">
        <v>1.1097129999999999</v>
      </c>
      <c r="L7730">
        <v>-11.140470000000001</v>
      </c>
      <c r="M7730">
        <v>5.9157089999999999E-3</v>
      </c>
      <c r="N7730">
        <v>0</v>
      </c>
      <c r="O7730">
        <v>0.99991819999999998</v>
      </c>
      <c r="P7730">
        <v>4.795062E-4</v>
      </c>
      <c r="Q7730">
        <v>2.3208669999999999E-4</v>
      </c>
      <c r="R7730">
        <v>0.99999990000000005</v>
      </c>
      <c r="S7730">
        <v>-7.5561519999999993E-2</v>
      </c>
      <c r="T7730">
        <v>-3.122091E-3</v>
      </c>
      <c r="U7730">
        <v>3.000092</v>
      </c>
      <c r="V7730">
        <v>-5.4387159999999997E-3</v>
      </c>
      <c r="W7730">
        <v>1.157336E-2</v>
      </c>
      <c r="X7730">
        <v>0.99991819999999998</v>
      </c>
      <c r="Y7730">
        <v>-3.1092180000000001E-2</v>
      </c>
      <c r="Z7730">
        <v>-1.040221E-3</v>
      </c>
      <c r="AA7730">
        <v>0.99951599999999996</v>
      </c>
      <c r="AB7730">
        <v>23</v>
      </c>
      <c r="AC7730">
        <v>-10.1572</v>
      </c>
      <c r="AD7730">
        <v>-0.41963619999999902</v>
      </c>
      <c r="AE7730">
        <v>403.01047</v>
      </c>
      <c r="AF7730">
        <v>-12.541254631820999</v>
      </c>
      <c r="AG7730">
        <v>-0.41963619999999902</v>
      </c>
      <c r="AH7730">
        <v>402.94288973155</v>
      </c>
      <c r="AI7730">
        <v>90.059640554561994</v>
      </c>
      <c r="AJ7730">
        <v>91.782706896950103</v>
      </c>
      <c r="AK7730">
        <v>403.13822883409699</v>
      </c>
      <c r="AL7730">
        <v>89.336880489774202</v>
      </c>
      <c r="AM7730">
        <v>90.311637891811301</v>
      </c>
      <c r="AN7730">
        <v>0.99999996449232798</v>
      </c>
    </row>
    <row r="7731" spans="1:40" x14ac:dyDescent="0.25">
      <c r="A7731" t="str">
        <f>"20190312160835344"</f>
        <v>20190312160835344</v>
      </c>
      <c r="B7731" t="str">
        <f>"1552378115333553"</f>
        <v>1552378115333553</v>
      </c>
      <c r="C7731" t="s">
        <v>40</v>
      </c>
      <c r="D7731">
        <v>6.1495540000000002</v>
      </c>
      <c r="E7731">
        <v>0.48995519999999998</v>
      </c>
      <c r="F7731" t="s">
        <v>46</v>
      </c>
      <c r="G7731">
        <v>-197.78720000000001</v>
      </c>
      <c r="H7731">
        <v>0.49463079999999998</v>
      </c>
      <c r="I7731">
        <v>391.87</v>
      </c>
      <c r="J7731">
        <v>-187.40180000000001</v>
      </c>
      <c r="K7731">
        <v>1.109723</v>
      </c>
      <c r="L7731">
        <v>-10.925990000000001</v>
      </c>
      <c r="M7731">
        <v>5.7624859999999998E-3</v>
      </c>
      <c r="N7731">
        <v>0</v>
      </c>
      <c r="O7731">
        <v>0.99991949999999996</v>
      </c>
      <c r="P7731">
        <v>-2.2276389999999999E-4</v>
      </c>
      <c r="Q7731">
        <v>1.4805020000000001E-4</v>
      </c>
      <c r="R7731">
        <v>0.99999990000000005</v>
      </c>
      <c r="S7731">
        <v>-7.7301030000000007E-2</v>
      </c>
      <c r="T7731">
        <v>-4.5787099999999997E-3</v>
      </c>
      <c r="U7731">
        <v>3.0000309999999999</v>
      </c>
      <c r="V7731">
        <v>-5.9879950000000003E-3</v>
      </c>
      <c r="W7731">
        <v>1.144891E-2</v>
      </c>
      <c r="X7731">
        <v>0.99991660000000004</v>
      </c>
      <c r="Y7731">
        <v>-3.151868E-2</v>
      </c>
      <c r="Z7731">
        <v>-1.525549E-3</v>
      </c>
      <c r="AA7731">
        <v>0.999502</v>
      </c>
      <c r="AB7731">
        <v>23</v>
      </c>
      <c r="AC7731">
        <v>-10.385400000000001</v>
      </c>
      <c r="AD7731">
        <v>-0.61509219999999998</v>
      </c>
      <c r="AE7731">
        <v>402.79599000000002</v>
      </c>
      <c r="AF7731">
        <v>-12.706452507322</v>
      </c>
      <c r="AG7731">
        <v>-0.61509219999999998</v>
      </c>
      <c r="AH7731">
        <v>402.72851337313398</v>
      </c>
      <c r="AI7731">
        <v>90.087464955990399</v>
      </c>
      <c r="AJ7731">
        <v>91.807134701451005</v>
      </c>
      <c r="AK7731">
        <v>402.929383090226</v>
      </c>
      <c r="AL7731">
        <v>89.3440114916596</v>
      </c>
      <c r="AM7731">
        <v>90.343111355553106</v>
      </c>
      <c r="AN7731">
        <v>1.0000000702899301</v>
      </c>
    </row>
    <row r="7732" spans="1:40" x14ac:dyDescent="0.25">
      <c r="A7732" t="str">
        <f>"20190312160835366"</f>
        <v>20190312160835366</v>
      </c>
      <c r="B7732" t="str">
        <f>"1552378115362830"</f>
        <v>1552378115362830</v>
      </c>
      <c r="C7732" t="s">
        <v>40</v>
      </c>
      <c r="D7732">
        <v>6.2458669999999996</v>
      </c>
      <c r="E7732">
        <v>0.49575799999999998</v>
      </c>
      <c r="F7732" t="s">
        <v>46</v>
      </c>
      <c r="G7732">
        <v>-198.24789999999999</v>
      </c>
      <c r="H7732">
        <v>0.25923819999999997</v>
      </c>
      <c r="I7732">
        <v>391.87</v>
      </c>
      <c r="J7732">
        <v>-187.4007</v>
      </c>
      <c r="K7732">
        <v>1.1097379999999999</v>
      </c>
      <c r="L7732">
        <v>-10.699579999999999</v>
      </c>
      <c r="M7732">
        <v>5.5740260000000002E-3</v>
      </c>
      <c r="N7732">
        <v>0</v>
      </c>
      <c r="O7732">
        <v>0.99992110000000001</v>
      </c>
      <c r="P7732">
        <v>-6.1809500000000004E-4</v>
      </c>
      <c r="Q7732" s="1">
        <v>-7.4878999999999999E-5</v>
      </c>
      <c r="R7732">
        <v>0.99999979999999999</v>
      </c>
      <c r="S7732">
        <v>-8.0780030000000003E-2</v>
      </c>
      <c r="T7732">
        <v>-6.3343050000000001E-3</v>
      </c>
      <c r="U7732">
        <v>2.9999690000000001</v>
      </c>
      <c r="V7732">
        <v>-6.1954209999999996E-3</v>
      </c>
      <c r="W7732">
        <v>1.11819E-2</v>
      </c>
      <c r="X7732">
        <v>0.99991830000000004</v>
      </c>
      <c r="Y7732">
        <v>-3.2489070000000002E-2</v>
      </c>
      <c r="Z7732">
        <v>-2.1104629999999999E-3</v>
      </c>
      <c r="AA7732">
        <v>0.99946990000000002</v>
      </c>
      <c r="AB7732">
        <v>23</v>
      </c>
      <c r="AC7732">
        <v>-10.8471999999999</v>
      </c>
      <c r="AD7732">
        <v>-0.85049979999999903</v>
      </c>
      <c r="AE7732">
        <v>402.56957999999997</v>
      </c>
      <c r="AF7732">
        <v>-13.091048578416901</v>
      </c>
      <c r="AG7732">
        <v>-0.85049979999999903</v>
      </c>
      <c r="AH7732">
        <v>402.50106365846102</v>
      </c>
      <c r="AI7732">
        <v>90.121003961092697</v>
      </c>
      <c r="AJ7732">
        <v>91.862846063604593</v>
      </c>
      <c r="AK7732">
        <v>402.71479380448</v>
      </c>
      <c r="AL7732">
        <v>89.359310979122299</v>
      </c>
      <c r="AM7732">
        <v>90.354995936485196</v>
      </c>
      <c r="AN7732">
        <v>1.0000000124019299</v>
      </c>
    </row>
    <row r="7733" spans="1:40" x14ac:dyDescent="0.25">
      <c r="A7733" t="str">
        <f>"20190312160835389"</f>
        <v>20190312160835389</v>
      </c>
      <c r="B7733" t="str">
        <f>"1552378115383326"</f>
        <v>1552378115383326</v>
      </c>
      <c r="C7733" t="s">
        <v>40</v>
      </c>
      <c r="D7733">
        <v>6.185168</v>
      </c>
      <c r="E7733">
        <v>0.48432029999999898</v>
      </c>
      <c r="F7733" t="s">
        <v>47</v>
      </c>
      <c r="G7733">
        <v>-187.6464</v>
      </c>
      <c r="H7733" s="1">
        <v>-4.677625E-6</v>
      </c>
      <c r="I7733">
        <v>9.5632669999999997</v>
      </c>
      <c r="J7733">
        <v>-187.3997</v>
      </c>
      <c r="K7733">
        <v>1.109747</v>
      </c>
      <c r="L7733">
        <v>-10.47644</v>
      </c>
      <c r="M7733">
        <v>5.3594460000000003E-3</v>
      </c>
      <c r="N7733">
        <v>0</v>
      </c>
      <c r="O7733">
        <v>0.9999228</v>
      </c>
      <c r="P7733">
        <v>-1.687191E-3</v>
      </c>
      <c r="Q7733">
        <v>6.2257290000000004E-4</v>
      </c>
      <c r="R7733">
        <v>0.99999839999999995</v>
      </c>
      <c r="S7733">
        <v>-3.6376949999999998E-2</v>
      </c>
      <c r="T7733">
        <v>-0.16430040000000001</v>
      </c>
      <c r="U7733">
        <v>2.9999690000000001</v>
      </c>
      <c r="V7733">
        <v>-7.050265E-3</v>
      </c>
      <c r="W7733">
        <v>1.183274E-2</v>
      </c>
      <c r="X7733">
        <v>0.99990509999999999</v>
      </c>
      <c r="Y7733">
        <v>-1.7465959999999999E-2</v>
      </c>
      <c r="Z7733">
        <v>-5.4678070000000002E-2</v>
      </c>
      <c r="AA7733">
        <v>0.99835130000000005</v>
      </c>
      <c r="AB7733">
        <v>23</v>
      </c>
      <c r="AC7733">
        <v>-0.246700000000004</v>
      </c>
      <c r="AD7733">
        <v>-1.109751677625</v>
      </c>
      <c r="AE7733">
        <v>20.039707</v>
      </c>
      <c r="AF7733">
        <v>-0.35302248921023799</v>
      </c>
      <c r="AG7733">
        <v>-1.109751677625</v>
      </c>
      <c r="AH7733">
        <v>19.9768435329654</v>
      </c>
      <c r="AI7733">
        <v>93.179126158101994</v>
      </c>
      <c r="AJ7733">
        <v>91.012401862603994</v>
      </c>
      <c r="AK7733">
        <v>20.0107583865395</v>
      </c>
      <c r="AL7733">
        <v>89.322018092090502</v>
      </c>
      <c r="AM7733">
        <v>90.403982072824803</v>
      </c>
      <c r="AN7733">
        <v>0.999999964489243</v>
      </c>
    </row>
    <row r="7734" spans="1:40" x14ac:dyDescent="0.25">
      <c r="A7734" t="str">
        <f>"20190312160835410"</f>
        <v>20190312160835410</v>
      </c>
      <c r="B7734" t="str">
        <f>"1552378115402845"</f>
        <v>1552378115402845</v>
      </c>
      <c r="C7734" t="s">
        <v>40</v>
      </c>
      <c r="D7734">
        <v>6.1828269999999996</v>
      </c>
      <c r="E7734">
        <v>0.4822343</v>
      </c>
      <c r="F7734" t="s">
        <v>89</v>
      </c>
      <c r="G7734">
        <v>-193.6591</v>
      </c>
      <c r="H7734" s="1">
        <v>-6.7276389999999998E-6</v>
      </c>
      <c r="I7734">
        <v>133.81950000000001</v>
      </c>
      <c r="J7734">
        <v>-187.39869999999999</v>
      </c>
      <c r="K7734">
        <v>1.109764</v>
      </c>
      <c r="L7734">
        <v>-10.253539999999999</v>
      </c>
      <c r="M7734">
        <v>5.1170390000000003E-3</v>
      </c>
      <c r="N7734">
        <v>0</v>
      </c>
      <c r="O7734">
        <v>0.99992449999999999</v>
      </c>
      <c r="P7734">
        <v>-2.6333509999999999E-3</v>
      </c>
      <c r="Q7734">
        <v>6.6079020000000004E-4</v>
      </c>
      <c r="R7734">
        <v>0.99999629999999995</v>
      </c>
      <c r="S7734">
        <v>-0.13012699999999999</v>
      </c>
      <c r="T7734">
        <v>-2.3070810000000001E-2</v>
      </c>
      <c r="U7734">
        <v>2.9997859999999998</v>
      </c>
      <c r="V7734">
        <v>-7.7549609999999899E-3</v>
      </c>
      <c r="W7734">
        <v>1.182368E-2</v>
      </c>
      <c r="X7734">
        <v>0.99990000000000001</v>
      </c>
      <c r="Y7734">
        <v>-4.8448690000000003E-2</v>
      </c>
      <c r="Z7734">
        <v>-7.6823129999999996E-3</v>
      </c>
      <c r="AA7734">
        <v>0.99879609999999996</v>
      </c>
      <c r="AB7734">
        <v>23</v>
      </c>
      <c r="AC7734">
        <v>-6.2603999999999997</v>
      </c>
      <c r="AD7734">
        <v>-1.1097707276390001</v>
      </c>
      <c r="AE7734">
        <v>144.07303999999999</v>
      </c>
      <c r="AF7734">
        <v>-6.9971770177373198</v>
      </c>
      <c r="AG7734">
        <v>-1.1097707276390001</v>
      </c>
      <c r="AH7734">
        <v>144.03058707594701</v>
      </c>
      <c r="AI7734">
        <v>90.440941221102506</v>
      </c>
      <c r="AJ7734">
        <v>92.781310320937905</v>
      </c>
      <c r="AK7734">
        <v>144.20472284473701</v>
      </c>
      <c r="AL7734">
        <v>89.322537234912105</v>
      </c>
      <c r="AM7734">
        <v>90.4443620631546</v>
      </c>
      <c r="AN7734">
        <v>0.99999997441442601</v>
      </c>
    </row>
    <row r="7735" spans="1:40" x14ac:dyDescent="0.25">
      <c r="A7735" t="str">
        <f>"20190312160835434"</f>
        <v>20190312160835434</v>
      </c>
      <c r="B7735" t="str">
        <f>"1552378115423347"</f>
        <v>1552378115423347</v>
      </c>
      <c r="C7735" t="s">
        <v>40</v>
      </c>
      <c r="D7735">
        <v>6.1974629999999999</v>
      </c>
      <c r="E7735">
        <v>0.481159</v>
      </c>
      <c r="F7735" t="s">
        <v>47</v>
      </c>
      <c r="G7735">
        <v>-191.4538</v>
      </c>
      <c r="H7735" s="1">
        <v>-9.840882E-7</v>
      </c>
      <c r="I7735">
        <v>70.981350000000006</v>
      </c>
      <c r="J7735">
        <v>-187.39789999999999</v>
      </c>
      <c r="K7735">
        <v>1.109777</v>
      </c>
      <c r="L7735">
        <v>-10.02704</v>
      </c>
      <c r="M7735">
        <v>4.8434669999999997E-3</v>
      </c>
      <c r="N7735">
        <v>0</v>
      </c>
      <c r="O7735">
        <v>0.99992639999999999</v>
      </c>
      <c r="P7735">
        <v>-3.1049179999999999E-3</v>
      </c>
      <c r="Q7735">
        <v>2.4508229999999998E-4</v>
      </c>
      <c r="R7735">
        <v>0.99999519999999997</v>
      </c>
      <c r="S7735">
        <v>-0.14973449999999999</v>
      </c>
      <c r="T7735">
        <v>-4.0978550000000002E-2</v>
      </c>
      <c r="U7735">
        <v>2.9996339999999999</v>
      </c>
      <c r="V7735">
        <v>-7.9533499999999997E-3</v>
      </c>
      <c r="W7735">
        <v>1.136356E-2</v>
      </c>
      <c r="X7735">
        <v>0.99990380000000001</v>
      </c>
      <c r="Y7735">
        <v>-5.468804E-2</v>
      </c>
      <c r="Z7735">
        <v>-1.3640960000000001E-2</v>
      </c>
      <c r="AA7735">
        <v>0.99841029999999997</v>
      </c>
      <c r="AB7735">
        <v>23</v>
      </c>
      <c r="AC7735">
        <v>-4.0559000000000003</v>
      </c>
      <c r="AD7735">
        <v>-1.1097779840881901</v>
      </c>
      <c r="AE7735">
        <v>81.008390000000006</v>
      </c>
      <c r="AF7735">
        <v>-4.44740556940683</v>
      </c>
      <c r="AG7735">
        <v>-1.1097779840881901</v>
      </c>
      <c r="AH7735">
        <v>80.972635106458497</v>
      </c>
      <c r="AI7735">
        <v>90.784041888783406</v>
      </c>
      <c r="AJ7735">
        <v>93.143800278873599</v>
      </c>
      <c r="AK7735">
        <v>81.102272838413398</v>
      </c>
      <c r="AL7735">
        <v>89.348901957018299</v>
      </c>
      <c r="AM7735">
        <v>90.455727619090197</v>
      </c>
      <c r="AN7735">
        <v>0.99999999776326798</v>
      </c>
    </row>
    <row r="7736" spans="1:40" x14ac:dyDescent="0.25">
      <c r="A7736" t="str">
        <f>"20190312160835458"</f>
        <v>20190312160835458</v>
      </c>
      <c r="B7736" t="str">
        <f>"1552378115453598"</f>
        <v>1552378115453598</v>
      </c>
      <c r="C7736" t="s">
        <v>40</v>
      </c>
      <c r="D7736">
        <v>6.3018150000000004</v>
      </c>
      <c r="E7736">
        <v>0.48161619999999999</v>
      </c>
      <c r="F7736" t="s">
        <v>47</v>
      </c>
      <c r="G7736">
        <v>-191.63919999999999</v>
      </c>
      <c r="H7736" s="1">
        <v>-4.7606409999999999E-7</v>
      </c>
      <c r="I7736">
        <v>69.682130000000001</v>
      </c>
      <c r="J7736">
        <v>-187.39709999999999</v>
      </c>
      <c r="K7736">
        <v>1.10978</v>
      </c>
      <c r="L7736">
        <v>-9.7913820000000005</v>
      </c>
      <c r="M7736">
        <v>4.5322039999999997E-3</v>
      </c>
      <c r="N7736">
        <v>0</v>
      </c>
      <c r="O7736">
        <v>0.99992840000000005</v>
      </c>
      <c r="P7736">
        <v>-2.546553E-3</v>
      </c>
      <c r="Q7736">
        <v>-4.0287789999999998E-4</v>
      </c>
      <c r="R7736">
        <v>0.99999669999999896</v>
      </c>
      <c r="S7736">
        <v>-0.1596069</v>
      </c>
      <c r="T7736">
        <v>-4.1762109999999998E-2</v>
      </c>
      <c r="U7736">
        <v>2.9995419999999999</v>
      </c>
      <c r="V7736">
        <v>-7.0837319999999997E-3</v>
      </c>
      <c r="W7736">
        <v>1.0674100000000001E-2</v>
      </c>
      <c r="X7736">
        <v>0.99991790000000003</v>
      </c>
      <c r="Y7736">
        <v>-5.7655669999999999E-2</v>
      </c>
      <c r="Z7736">
        <v>-1.389986E-2</v>
      </c>
      <c r="AA7736">
        <v>0.99823980000000001</v>
      </c>
      <c r="AB7736">
        <v>23</v>
      </c>
      <c r="AC7736">
        <v>-4.24209999999999</v>
      </c>
      <c r="AD7736">
        <v>-1.1097804760640999</v>
      </c>
      <c r="AE7736">
        <v>79.473511999999999</v>
      </c>
      <c r="AF7736">
        <v>-4.60137397871957</v>
      </c>
      <c r="AG7736">
        <v>-1.1097804760640999</v>
      </c>
      <c r="AH7736">
        <v>79.438022208345103</v>
      </c>
      <c r="AI7736">
        <v>90.799053356187599</v>
      </c>
      <c r="AJ7736">
        <v>93.315100750339795</v>
      </c>
      <c r="AK7736">
        <v>79.578914465897498</v>
      </c>
      <c r="AL7736">
        <v>89.388407482021293</v>
      </c>
      <c r="AM7736">
        <v>90.405894481110593</v>
      </c>
      <c r="AN7736">
        <v>0.99999996120513301</v>
      </c>
    </row>
    <row r="7737" spans="1:40" x14ac:dyDescent="0.25">
      <c r="A7737" t="str">
        <f>"20190312160835477"</f>
        <v>20190312160835477</v>
      </c>
      <c r="B7737" t="str">
        <f>"1552378115473118"</f>
        <v>1552378115473118</v>
      </c>
      <c r="C7737" t="s">
        <v>40</v>
      </c>
      <c r="D7737">
        <v>6.2422050000000002</v>
      </c>
      <c r="E7737">
        <v>0.48159649999999998</v>
      </c>
      <c r="F7737" t="s">
        <v>47</v>
      </c>
      <c r="G7737">
        <v>-190.2801</v>
      </c>
      <c r="H7737" s="1">
        <v>-2.9037810000000002E-6</v>
      </c>
      <c r="I7737">
        <v>46.184150000000002</v>
      </c>
      <c r="J7737">
        <v>-187.3965</v>
      </c>
      <c r="K7737">
        <v>1.1097840000000001</v>
      </c>
      <c r="L7737">
        <v>-9.5810239999999993</v>
      </c>
      <c r="M7737">
        <v>4.2367899999999998E-3</v>
      </c>
      <c r="N7737">
        <v>0</v>
      </c>
      <c r="O7737">
        <v>0.99992999999999999</v>
      </c>
      <c r="P7737">
        <v>-1.4976169999999999E-3</v>
      </c>
      <c r="Q7737">
        <v>-3.6908489999999997E-4</v>
      </c>
      <c r="R7737">
        <v>0.99999879999999997</v>
      </c>
      <c r="S7737">
        <v>-0.1544952</v>
      </c>
      <c r="T7737">
        <v>-5.9470769999999999E-2</v>
      </c>
      <c r="U7737">
        <v>2.999603</v>
      </c>
      <c r="V7737">
        <v>-5.7396330000000001E-3</v>
      </c>
      <c r="W7737">
        <v>1.067124E-2</v>
      </c>
      <c r="X7737">
        <v>0.9999266</v>
      </c>
      <c r="Y7737">
        <v>-5.5657949999999998E-2</v>
      </c>
      <c r="Z7737">
        <v>-1.9793580000000002E-2</v>
      </c>
      <c r="AA7737">
        <v>0.99825370000000002</v>
      </c>
      <c r="AB7737">
        <v>23</v>
      </c>
      <c r="AC7737">
        <v>-2.8835999999999999</v>
      </c>
      <c r="AD7737">
        <v>-1.109786903781</v>
      </c>
      <c r="AE7737">
        <v>55.765174000000002</v>
      </c>
      <c r="AF7737">
        <v>-3.1186220210864199</v>
      </c>
      <c r="AG7737">
        <v>-1.109786903781</v>
      </c>
      <c r="AH7737">
        <v>55.730442144786601</v>
      </c>
      <c r="AI7737">
        <v>91.139025919288798</v>
      </c>
      <c r="AJ7737">
        <v>93.202876406591898</v>
      </c>
      <c r="AK7737">
        <v>55.828662996131399</v>
      </c>
      <c r="AL7737">
        <v>89.388571388391199</v>
      </c>
      <c r="AM7737">
        <v>90.3288772747688</v>
      </c>
      <c r="AN7737">
        <v>1.0000000120688299</v>
      </c>
    </row>
    <row r="7738" spans="1:40" x14ac:dyDescent="0.25">
      <c r="A7738" t="str">
        <f>"20190312160835501"</f>
        <v>20190312160835501</v>
      </c>
      <c r="B7738" t="str">
        <f>"1552378115493614"</f>
        <v>1552378115493614</v>
      </c>
      <c r="C7738" t="s">
        <v>40</v>
      </c>
      <c r="D7738">
        <v>6.3270390000000001</v>
      </c>
      <c r="E7738">
        <v>0.4820991</v>
      </c>
      <c r="F7738" t="s">
        <v>47</v>
      </c>
      <c r="G7738">
        <v>-190.35210000000001</v>
      </c>
      <c r="H7738" s="1">
        <v>-4.1081279999999996E-6</v>
      </c>
      <c r="I7738">
        <v>48.946849999999998</v>
      </c>
      <c r="J7738">
        <v>-187.39580000000001</v>
      </c>
      <c r="K7738">
        <v>1.109782</v>
      </c>
      <c r="L7738">
        <v>-9.3333130000000004</v>
      </c>
      <c r="M7738">
        <v>3.8744209999999999E-3</v>
      </c>
      <c r="N7738">
        <v>0</v>
      </c>
      <c r="O7738">
        <v>0.99993200000000004</v>
      </c>
      <c r="P7738">
        <v>-1.2433989999999901E-3</v>
      </c>
      <c r="Q7738">
        <v>-2.5797549999999998E-4</v>
      </c>
      <c r="R7738">
        <v>0.99999919999999998</v>
      </c>
      <c r="S7738">
        <v>-0.15148929999999999</v>
      </c>
      <c r="T7738">
        <v>-5.6880470000000002E-2</v>
      </c>
      <c r="U7738">
        <v>2.9997560000000001</v>
      </c>
      <c r="V7738">
        <v>-5.1231230000000003E-3</v>
      </c>
      <c r="W7738">
        <v>1.0736559999999999E-2</v>
      </c>
      <c r="X7738">
        <v>0.99992919999999996</v>
      </c>
      <c r="Y7738">
        <v>-5.4296560000000001E-2</v>
      </c>
      <c r="Z7738">
        <v>-1.8932040000000001E-2</v>
      </c>
      <c r="AA7738">
        <v>0.99834540000000005</v>
      </c>
      <c r="AB7738">
        <v>23</v>
      </c>
      <c r="AC7738">
        <v>-2.9562999999999899</v>
      </c>
      <c r="AD7738">
        <v>-1.109786108128</v>
      </c>
      <c r="AE7738">
        <v>58.280163000000002</v>
      </c>
      <c r="AF7738">
        <v>-3.1809428822160801</v>
      </c>
      <c r="AG7738">
        <v>-1.109786108128</v>
      </c>
      <c r="AH7738">
        <v>58.247204196191198</v>
      </c>
      <c r="AI7738">
        <v>91.089902865953206</v>
      </c>
      <c r="AJ7738">
        <v>93.125879507643603</v>
      </c>
      <c r="AK7738">
        <v>58.344552612034903</v>
      </c>
      <c r="AL7738">
        <v>89.384828583243603</v>
      </c>
      <c r="AM7738">
        <v>90.293551540888899</v>
      </c>
      <c r="AN7738">
        <v>0.99999996256127199</v>
      </c>
    </row>
    <row r="7739" spans="1:40" x14ac:dyDescent="0.25">
      <c r="A7739" t="str">
        <f>"20190312160835524"</f>
        <v>20190312160835524</v>
      </c>
      <c r="B7739" t="str">
        <f>"1552378115513133"</f>
        <v>1552378115513133</v>
      </c>
      <c r="C7739" t="s">
        <v>40</v>
      </c>
      <c r="D7739">
        <v>6.400163</v>
      </c>
      <c r="E7739">
        <v>0.48229559999999999</v>
      </c>
      <c r="F7739" t="s">
        <v>47</v>
      </c>
      <c r="G7739">
        <v>-190.8032</v>
      </c>
      <c r="H7739" s="1">
        <v>-5.2509869999999895E-7</v>
      </c>
      <c r="I7739">
        <v>60.314979999999998</v>
      </c>
      <c r="J7739">
        <v>-187.39529999999999</v>
      </c>
      <c r="K7739">
        <v>1.1097859999999999</v>
      </c>
      <c r="L7739">
        <v>-9.0973509999999997</v>
      </c>
      <c r="M7739">
        <v>3.5188089999999999E-3</v>
      </c>
      <c r="N7739">
        <v>0</v>
      </c>
      <c r="O7739">
        <v>0.99993379999999998</v>
      </c>
      <c r="P7739">
        <v>-1.2881559999999999E-3</v>
      </c>
      <c r="Q7739">
        <v>1.8563560000000001E-4</v>
      </c>
      <c r="R7739">
        <v>0.99999919999999998</v>
      </c>
      <c r="S7739">
        <v>-0.146759</v>
      </c>
      <c r="T7739">
        <v>-4.7799349999999997E-2</v>
      </c>
      <c r="U7739">
        <v>2.9998170000000002</v>
      </c>
      <c r="V7739">
        <v>-4.8127029999999998E-3</v>
      </c>
      <c r="W7739">
        <v>1.1140890000000001E-2</v>
      </c>
      <c r="X7739">
        <v>0.99992630000000005</v>
      </c>
      <c r="Y7739">
        <v>-5.2372549999999997E-2</v>
      </c>
      <c r="Z7739">
        <v>-1.591147E-2</v>
      </c>
      <c r="AA7739">
        <v>0.99850079999999997</v>
      </c>
      <c r="AB7739">
        <v>23</v>
      </c>
      <c r="AC7739">
        <v>-3.4079000000000099</v>
      </c>
      <c r="AD7739">
        <v>-1.1097865250987</v>
      </c>
      <c r="AE7739">
        <v>69.412330999999995</v>
      </c>
      <c r="AF7739">
        <v>-3.65121119056086</v>
      </c>
      <c r="AG7739">
        <v>-1.1097865250987</v>
      </c>
      <c r="AH7739">
        <v>69.3822154716878</v>
      </c>
      <c r="AI7739">
        <v>90.915116655459897</v>
      </c>
      <c r="AJ7739">
        <v>93.012388624376698</v>
      </c>
      <c r="AK7739">
        <v>69.487083641847306</v>
      </c>
      <c r="AL7739">
        <v>89.3616607813901</v>
      </c>
      <c r="AM7739">
        <v>90.275765764637299</v>
      </c>
      <c r="AN7739">
        <v>0.99999994348592203</v>
      </c>
    </row>
    <row r="7740" spans="1:40" x14ac:dyDescent="0.25">
      <c r="A7740" t="str">
        <f>"20190312160835544"</f>
        <v>20190312160835544</v>
      </c>
      <c r="B7740" t="str">
        <f>"1552378115533629"</f>
        <v>1552378115533629</v>
      </c>
      <c r="C7740" t="s">
        <v>40</v>
      </c>
      <c r="D7740">
        <v>6.398371</v>
      </c>
      <c r="E7740">
        <v>0.48176570000000002</v>
      </c>
      <c r="F7740" t="s">
        <v>47</v>
      </c>
      <c r="G7740">
        <v>-190.7705</v>
      </c>
      <c r="H7740" s="1">
        <v>-6.3981460000000002E-7</v>
      </c>
      <c r="I7740">
        <v>60.602670000000003</v>
      </c>
      <c r="J7740">
        <v>-187.39490000000001</v>
      </c>
      <c r="K7740">
        <v>1.1097840000000001</v>
      </c>
      <c r="L7740">
        <v>-8.8920899999999996</v>
      </c>
      <c r="M7740">
        <v>3.2007899999999998E-3</v>
      </c>
      <c r="N7740">
        <v>0</v>
      </c>
      <c r="O7740">
        <v>0.99993520000000002</v>
      </c>
      <c r="P7740">
        <v>-1.4413379999999999E-3</v>
      </c>
      <c r="Q7740">
        <v>-1.7477709999999999E-4</v>
      </c>
      <c r="R7740">
        <v>0.99999890000000002</v>
      </c>
      <c r="S7740">
        <v>-0.1452637</v>
      </c>
      <c r="T7740">
        <v>-4.7764059999999997E-2</v>
      </c>
      <c r="U7740">
        <v>2.9998170000000002</v>
      </c>
      <c r="V7740">
        <v>-4.6482260000000001E-3</v>
      </c>
      <c r="W7740">
        <v>1.0748479999999999E-2</v>
      </c>
      <c r="X7740">
        <v>0.99993149999999997</v>
      </c>
      <c r="Y7740">
        <v>-5.1558380000000001E-2</v>
      </c>
      <c r="Z7740">
        <v>-1.5900290000000001E-2</v>
      </c>
      <c r="AA7740">
        <v>0.99854339999999997</v>
      </c>
      <c r="AB7740">
        <v>23</v>
      </c>
      <c r="AC7740">
        <v>-3.3755999999999902</v>
      </c>
      <c r="AD7740">
        <v>-1.1097846398146001</v>
      </c>
      <c r="AE7740">
        <v>69.494759999999999</v>
      </c>
      <c r="AF7740">
        <v>-3.5971189383761</v>
      </c>
      <c r="AG7740">
        <v>-1.1097846398146001</v>
      </c>
      <c r="AH7740">
        <v>69.465925272705903</v>
      </c>
      <c r="AI7740">
        <v>90.914052595905702</v>
      </c>
      <c r="AJ7740">
        <v>92.964270824737</v>
      </c>
      <c r="AK7740">
        <v>69.567849331402797</v>
      </c>
      <c r="AL7740">
        <v>89.384145644444203</v>
      </c>
      <c r="AM7740">
        <v>90.266340058015004</v>
      </c>
      <c r="AN7740">
        <v>1.00000007025975</v>
      </c>
    </row>
    <row r="7741" spans="1:40" x14ac:dyDescent="0.25">
      <c r="A7741" t="str">
        <f>"20190312160835566"</f>
        <v>20190312160835566</v>
      </c>
      <c r="B7741" t="str">
        <f>"1552378115553150"</f>
        <v>1552378115553150</v>
      </c>
      <c r="C7741" t="s">
        <v>40</v>
      </c>
      <c r="D7741">
        <v>6.3483499999999999</v>
      </c>
      <c r="E7741">
        <v>0.48130499999999998</v>
      </c>
      <c r="F7741" t="s">
        <v>47</v>
      </c>
      <c r="G7741">
        <v>-191.53059999999999</v>
      </c>
      <c r="H7741" s="1">
        <v>-2.2398799999999998E-6</v>
      </c>
      <c r="I7741">
        <v>73.861019999999996</v>
      </c>
      <c r="J7741">
        <v>-187.3946</v>
      </c>
      <c r="K7741">
        <v>1.109796</v>
      </c>
      <c r="L7741">
        <v>-8.6690369999999994</v>
      </c>
      <c r="M7741">
        <v>2.8434939999999998E-3</v>
      </c>
      <c r="N7741">
        <v>0</v>
      </c>
      <c r="O7741">
        <v>0.99993670000000001</v>
      </c>
      <c r="P7741">
        <v>-1.6490329999999901E-3</v>
      </c>
      <c r="Q7741" s="1">
        <v>-8.6201030000000006E-6</v>
      </c>
      <c r="R7741">
        <v>0.99999859999999896</v>
      </c>
      <c r="S7741">
        <v>-0.14991760000000001</v>
      </c>
      <c r="T7741">
        <v>-4.0229559999999998E-2</v>
      </c>
      <c r="U7741">
        <v>2.9997859999999998</v>
      </c>
      <c r="V7741">
        <v>-4.4985030000000001E-3</v>
      </c>
      <c r="W7741">
        <v>1.0877700000000001E-2</v>
      </c>
      <c r="X7741">
        <v>0.99993069999999895</v>
      </c>
      <c r="Y7741">
        <v>-5.2749240000000003E-2</v>
      </c>
      <c r="Z7741">
        <v>-1.339183E-2</v>
      </c>
      <c r="AA7741">
        <v>0.99851800000000002</v>
      </c>
      <c r="AB7741">
        <v>23</v>
      </c>
      <c r="AC7741">
        <v>-4.1359999999999904</v>
      </c>
      <c r="AD7741">
        <v>-1.1097982398799999</v>
      </c>
      <c r="AE7741">
        <v>82.530056999999999</v>
      </c>
      <c r="AF7741">
        <v>-4.3698826919822498</v>
      </c>
      <c r="AG7741">
        <v>-1.1097982398799999</v>
      </c>
      <c r="AH7741">
        <v>82.503080498425007</v>
      </c>
      <c r="AI7741">
        <v>90.769594653969406</v>
      </c>
      <c r="AJ7741">
        <v>93.031912140141401</v>
      </c>
      <c r="AK7741">
        <v>82.626181193399802</v>
      </c>
      <c r="AL7741">
        <v>89.3767413969736</v>
      </c>
      <c r="AM7741">
        <v>90.257761360046302</v>
      </c>
      <c r="AN7741">
        <v>0.99999998284450997</v>
      </c>
    </row>
    <row r="7742" spans="1:40" x14ac:dyDescent="0.25">
      <c r="A7742" t="str">
        <f>"20190312160835589"</f>
        <v>20190312160835589</v>
      </c>
      <c r="B7742" t="str">
        <f>"1552378115583405"</f>
        <v>1552378115583405</v>
      </c>
      <c r="C7742" t="s">
        <v>40</v>
      </c>
      <c r="D7742">
        <v>6.2858369999999999</v>
      </c>
      <c r="E7742">
        <v>0.48077120000000001</v>
      </c>
      <c r="F7742" t="s">
        <v>47</v>
      </c>
      <c r="G7742">
        <v>-192.54929999999999</v>
      </c>
      <c r="H7742" s="1">
        <v>-1.5227E-6</v>
      </c>
      <c r="I7742">
        <v>91.557379999999995</v>
      </c>
      <c r="J7742">
        <v>-187.39429999999999</v>
      </c>
      <c r="K7742">
        <v>1.1098110000000001</v>
      </c>
      <c r="L7742">
        <v>-8.4342649999999999</v>
      </c>
      <c r="M7742">
        <v>2.4500870000000001E-3</v>
      </c>
      <c r="N7742">
        <v>0</v>
      </c>
      <c r="O7742">
        <v>0.99993810000000005</v>
      </c>
      <c r="P7742">
        <v>-2.104243E-3</v>
      </c>
      <c r="Q7742">
        <v>7.2596869999999895E-4</v>
      </c>
      <c r="R7742">
        <v>0.99999749999999998</v>
      </c>
      <c r="S7742">
        <v>-0.15428159999999999</v>
      </c>
      <c r="T7742">
        <v>-3.3216000000000002E-2</v>
      </c>
      <c r="U7742">
        <v>2.9997560000000001</v>
      </c>
      <c r="V7742">
        <v>-4.5614050000000001E-3</v>
      </c>
      <c r="W7742">
        <v>1.157384E-2</v>
      </c>
      <c r="X7742">
        <v>0.99992259999999999</v>
      </c>
      <c r="Y7742">
        <v>-5.3807210000000001E-2</v>
      </c>
      <c r="Z7742">
        <v>-1.105685E-2</v>
      </c>
      <c r="AA7742">
        <v>0.99849019999999999</v>
      </c>
      <c r="AB7742">
        <v>23</v>
      </c>
      <c r="AC7742">
        <v>-5.1550000000000002</v>
      </c>
      <c r="AD7742">
        <v>-1.1098125227</v>
      </c>
      <c r="AE7742">
        <v>99.991644999999906</v>
      </c>
      <c r="AF7742">
        <v>-5.3993238114086903</v>
      </c>
      <c r="AG7742">
        <v>-1.1098125227</v>
      </c>
      <c r="AH7742">
        <v>99.966431782989503</v>
      </c>
      <c r="AI7742">
        <v>90.635137459154393</v>
      </c>
      <c r="AJ7742">
        <v>93.091619491634106</v>
      </c>
      <c r="AK7742">
        <v>100.118289362529</v>
      </c>
      <c r="AL7742">
        <v>89.336852998290098</v>
      </c>
      <c r="AM7742">
        <v>90.2613676721693</v>
      </c>
      <c r="AN7742">
        <v>0.99999998308933902</v>
      </c>
    </row>
    <row r="7743" spans="1:40" x14ac:dyDescent="0.25">
      <c r="A7743" t="str">
        <f>"20190312160835612"</f>
        <v>20190312160835612</v>
      </c>
      <c r="B7743" t="str">
        <f>"1552378115602925"</f>
        <v>1552378115602925</v>
      </c>
      <c r="C7743" t="s">
        <v>40</v>
      </c>
      <c r="D7743">
        <v>6.1776689999999999</v>
      </c>
      <c r="E7743">
        <v>0.48082979999999997</v>
      </c>
      <c r="F7743" t="s">
        <v>47</v>
      </c>
      <c r="G7743">
        <v>-193.4975</v>
      </c>
      <c r="H7743" s="1">
        <v>-3.7239270000000001E-6</v>
      </c>
      <c r="I7743">
        <v>106.1066</v>
      </c>
      <c r="J7743">
        <v>-187.39420000000001</v>
      </c>
      <c r="K7743">
        <v>1.1098269999999999</v>
      </c>
      <c r="L7743">
        <v>-8.1993709999999993</v>
      </c>
      <c r="M7743">
        <v>2.0323590000000001E-3</v>
      </c>
      <c r="N7743">
        <v>0</v>
      </c>
      <c r="O7743">
        <v>0.99993940000000003</v>
      </c>
      <c r="P7743">
        <v>-2.7891669999999999E-3</v>
      </c>
      <c r="Q7743">
        <v>9.6647279999999996E-4</v>
      </c>
      <c r="R7743">
        <v>0.99999559999999998</v>
      </c>
      <c r="S7743">
        <v>-0.1598358</v>
      </c>
      <c r="T7743">
        <v>-2.906477E-2</v>
      </c>
      <c r="U7743">
        <v>2.999695</v>
      </c>
      <c r="V7743">
        <v>-4.8284010000000004E-3</v>
      </c>
      <c r="W7743">
        <v>1.177981E-2</v>
      </c>
      <c r="X7743">
        <v>0.99991890000000005</v>
      </c>
      <c r="Y7743">
        <v>-5.5235550000000001E-2</v>
      </c>
      <c r="Z7743">
        <v>-9.6745019999999998E-3</v>
      </c>
      <c r="AA7743">
        <v>0.99842649999999999</v>
      </c>
      <c r="AB7743">
        <v>23</v>
      </c>
      <c r="AC7743">
        <v>-6.1032999999999902</v>
      </c>
      <c r="AD7743">
        <v>-1.109830723927</v>
      </c>
      <c r="AE7743">
        <v>114.305971</v>
      </c>
      <c r="AF7743">
        <v>-6.3350162544968498</v>
      </c>
      <c r="AG7743">
        <v>-1.109830723927</v>
      </c>
      <c r="AH7743">
        <v>114.282587234619</v>
      </c>
      <c r="AI7743">
        <v>90.555545294190793</v>
      </c>
      <c r="AJ7743">
        <v>93.172824562264097</v>
      </c>
      <c r="AK7743">
        <v>114.463417300982</v>
      </c>
      <c r="AL7743">
        <v>89.325050953994804</v>
      </c>
      <c r="AM7743">
        <v>90.276667286629106</v>
      </c>
      <c r="AN7743">
        <v>0.99999994197852904</v>
      </c>
    </row>
    <row r="7744" spans="1:40" x14ac:dyDescent="0.25">
      <c r="A7744" t="str">
        <f>"20190312160835637"</f>
        <v>20190312160835637</v>
      </c>
      <c r="B7744" t="str">
        <f>"1552378115633182"</f>
        <v>1552378115633182</v>
      </c>
      <c r="C7744" t="s">
        <v>40</v>
      </c>
      <c r="D7744">
        <v>6.2656199999999904</v>
      </c>
      <c r="E7744">
        <v>0.48028660000000001</v>
      </c>
      <c r="F7744" t="s">
        <v>47</v>
      </c>
      <c r="G7744">
        <v>-191.42760000000001</v>
      </c>
      <c r="H7744" s="1">
        <v>-3.439453E-6</v>
      </c>
      <c r="I7744">
        <v>66.721130000000002</v>
      </c>
      <c r="J7744">
        <v>-187.39429999999999</v>
      </c>
      <c r="K7744">
        <v>1.1098410000000001</v>
      </c>
      <c r="L7744">
        <v>-7.9536740000000004</v>
      </c>
      <c r="M7744">
        <v>1.56054E-3</v>
      </c>
      <c r="N7744">
        <v>0</v>
      </c>
      <c r="O7744">
        <v>0.99994070000000002</v>
      </c>
      <c r="P7744">
        <v>-3.166332E-3</v>
      </c>
      <c r="Q7744">
        <v>6.7283559999999998E-4</v>
      </c>
      <c r="R7744">
        <v>0.99999479999999996</v>
      </c>
      <c r="S7744">
        <v>-0.16148379999999901</v>
      </c>
      <c r="T7744">
        <v>-4.4434429999999997E-2</v>
      </c>
      <c r="U7744">
        <v>2.999603</v>
      </c>
      <c r="V7744">
        <v>-4.7344910000000004E-3</v>
      </c>
      <c r="W7744">
        <v>1.1449869999999999E-2</v>
      </c>
      <c r="X7744">
        <v>0.99992320000000001</v>
      </c>
      <c r="Y7744">
        <v>-5.5309629999999999E-2</v>
      </c>
      <c r="Z7744">
        <v>-1.4789739999999999E-2</v>
      </c>
      <c r="AA7744">
        <v>0.99835969999999996</v>
      </c>
      <c r="AB7744">
        <v>23</v>
      </c>
      <c r="AC7744">
        <v>-4.0333000000000201</v>
      </c>
      <c r="AD7744">
        <v>-1.109844439453</v>
      </c>
      <c r="AE7744">
        <v>74.674803999999995</v>
      </c>
      <c r="AF7744">
        <v>-4.1489210864446502</v>
      </c>
      <c r="AG7744">
        <v>-1.109844439453</v>
      </c>
      <c r="AH7744">
        <v>74.651976661177102</v>
      </c>
      <c r="AI7744">
        <v>90.850436416271407</v>
      </c>
      <c r="AJ7744">
        <v>93.1810459697044</v>
      </c>
      <c r="AK7744">
        <v>74.775416550376093</v>
      </c>
      <c r="AL7744">
        <v>89.343956412022493</v>
      </c>
      <c r="AM7744">
        <v>90.271285160010393</v>
      </c>
      <c r="AN7744">
        <v>0.99999996041314199</v>
      </c>
    </row>
    <row r="7745" spans="1:40" x14ac:dyDescent="0.25">
      <c r="A7745" t="str">
        <f>"20190312160835656"</f>
        <v>20190312160835656</v>
      </c>
      <c r="B7745" t="str">
        <f>"1552378115652702"</f>
        <v>1552378115652702</v>
      </c>
      <c r="C7745" t="s">
        <v>40</v>
      </c>
      <c r="D7745">
        <v>6.2822050000000003</v>
      </c>
      <c r="E7745">
        <v>0.48025780000000001</v>
      </c>
      <c r="F7745" t="s">
        <v>47</v>
      </c>
      <c r="G7745">
        <v>-192.62909999999999</v>
      </c>
      <c r="H7745" s="1">
        <v>-3.4780640000000001E-6</v>
      </c>
      <c r="I7745">
        <v>86.065919999999906</v>
      </c>
      <c r="J7745">
        <v>-187.39439999999999</v>
      </c>
      <c r="K7745">
        <v>1.1098520000000001</v>
      </c>
      <c r="L7745">
        <v>-7.7421879999999996</v>
      </c>
      <c r="M7745">
        <v>1.1256790000000001E-3</v>
      </c>
      <c r="N7745">
        <v>0</v>
      </c>
      <c r="O7745">
        <v>0.99994159999999999</v>
      </c>
      <c r="P7745">
        <v>-3.5616620000000002E-3</v>
      </c>
      <c r="Q7745">
        <v>9.5621430000000004E-4</v>
      </c>
      <c r="R7745">
        <v>0.99999320000000003</v>
      </c>
      <c r="S7745">
        <v>-0.167007399999999</v>
      </c>
      <c r="T7745">
        <v>-3.5407420000000002E-2</v>
      </c>
      <c r="U7745">
        <v>2.9995120000000002</v>
      </c>
      <c r="V7745">
        <v>-4.6953780000000001E-3</v>
      </c>
      <c r="W7745">
        <v>1.1700189999999999E-2</v>
      </c>
      <c r="X7745">
        <v>0.99992049999999999</v>
      </c>
      <c r="Y7745">
        <v>-5.6712209999999999E-2</v>
      </c>
      <c r="Z7745">
        <v>-1.1784940000000001E-2</v>
      </c>
      <c r="AA7745">
        <v>0.99832100000000001</v>
      </c>
      <c r="AB7745">
        <v>23</v>
      </c>
      <c r="AC7745">
        <v>-5.2347000000000001</v>
      </c>
      <c r="AD7745">
        <v>-1.109855478064</v>
      </c>
      <c r="AE7745">
        <v>93.808108000000004</v>
      </c>
      <c r="AF7745">
        <v>-5.3395555136225203</v>
      </c>
      <c r="AG7745">
        <v>-1.109855478064</v>
      </c>
      <c r="AH7745">
        <v>93.7890682048683</v>
      </c>
      <c r="AI7745">
        <v>90.676883545384101</v>
      </c>
      <c r="AJ7745">
        <v>93.258419254171201</v>
      </c>
      <c r="AK7745">
        <v>93.947495693087404</v>
      </c>
      <c r="AL7745">
        <v>89.329613179882003</v>
      </c>
      <c r="AM7745">
        <v>90.2690447543592</v>
      </c>
      <c r="AN7745">
        <v>0.99999997367042404</v>
      </c>
    </row>
    <row r="7746" spans="1:40" x14ac:dyDescent="0.25">
      <c r="A7746" t="str">
        <f>"20190312160835680"</f>
        <v>20190312160835680</v>
      </c>
      <c r="B7746" t="str">
        <f>"1552378115673197"</f>
        <v>1552378115673197</v>
      </c>
      <c r="C7746" t="s">
        <v>40</v>
      </c>
      <c r="D7746">
        <v>8.3281240000000007</v>
      </c>
      <c r="E7746">
        <v>0.47984110000000002</v>
      </c>
      <c r="F7746" t="s">
        <v>47</v>
      </c>
      <c r="G7746">
        <v>-192.8083</v>
      </c>
      <c r="H7746" s="1">
        <v>-4.5076010000000001E-6</v>
      </c>
      <c r="I7746">
        <v>88.768739999999994</v>
      </c>
      <c r="J7746">
        <v>-187.3947</v>
      </c>
      <c r="K7746">
        <v>1.1098650000000001</v>
      </c>
      <c r="L7746">
        <v>-7.5088499999999998</v>
      </c>
      <c r="M7746">
        <v>6.1967969999999995E-4</v>
      </c>
      <c r="N7746">
        <v>0</v>
      </c>
      <c r="O7746">
        <v>0.99994240000000001</v>
      </c>
      <c r="P7746">
        <v>-4.3478190000000002E-3</v>
      </c>
      <c r="Q7746">
        <v>1.517654E-3</v>
      </c>
      <c r="R7746">
        <v>0.99998940000000003</v>
      </c>
      <c r="S7746">
        <v>-0.16825870000000001</v>
      </c>
      <c r="T7746">
        <v>-3.4493089999999997E-2</v>
      </c>
      <c r="U7746">
        <v>2.9994510000000001</v>
      </c>
      <c r="V7746">
        <v>-4.9766599999999999E-3</v>
      </c>
      <c r="W7746">
        <v>1.222753E-2</v>
      </c>
      <c r="X7746">
        <v>0.99991289999999999</v>
      </c>
      <c r="Y7746">
        <v>-5.6623479999999997E-2</v>
      </c>
      <c r="Z7746">
        <v>-1.1480789999999999E-2</v>
      </c>
      <c r="AA7746">
        <v>0.99832960000000004</v>
      </c>
      <c r="AB7746">
        <v>23</v>
      </c>
      <c r="AC7746">
        <v>-5.4135999999999997</v>
      </c>
      <c r="AD7746">
        <v>-1.1098695076009999</v>
      </c>
      <c r="AE7746">
        <v>96.277590000000004</v>
      </c>
      <c r="AF7746">
        <v>-5.4725386983393101</v>
      </c>
      <c r="AG7746">
        <v>-1.1098695076009999</v>
      </c>
      <c r="AH7746">
        <v>96.261464720667504</v>
      </c>
      <c r="AI7746">
        <v>90.659511260283296</v>
      </c>
      <c r="AJ7746">
        <v>93.253806936346194</v>
      </c>
      <c r="AK7746">
        <v>96.423285985787899</v>
      </c>
      <c r="AL7746">
        <v>89.299396708788095</v>
      </c>
      <c r="AM7746">
        <v>90.285164097441395</v>
      </c>
      <c r="AN7746">
        <v>1.0000000436105301</v>
      </c>
    </row>
    <row r="7747" spans="1:40" x14ac:dyDescent="0.25">
      <c r="A7747" t="str">
        <f>"20190312160835701"</f>
        <v>20190312160835701</v>
      </c>
      <c r="B7747" t="str">
        <f>"1552378115692719"</f>
        <v>1552378115692719</v>
      </c>
      <c r="C7747" t="s">
        <v>40</v>
      </c>
      <c r="D7747">
        <v>6.4117480000000002</v>
      </c>
      <c r="E7747">
        <v>0.47953030000000002</v>
      </c>
      <c r="F7747" t="s">
        <v>47</v>
      </c>
      <c r="G7747">
        <v>-194.5701</v>
      </c>
      <c r="H7747" s="1">
        <v>-3.9315399999999998E-6</v>
      </c>
      <c r="I7747">
        <v>116.1576</v>
      </c>
      <c r="J7747">
        <v>-187.39519999999999</v>
      </c>
      <c r="K7747">
        <v>1.1098790000000001</v>
      </c>
      <c r="L7747">
        <v>-7.2826539999999902</v>
      </c>
      <c r="M7747">
        <v>1.078271E-4</v>
      </c>
      <c r="N7747">
        <v>0</v>
      </c>
      <c r="O7747">
        <v>0.99994289999999997</v>
      </c>
      <c r="P7747">
        <v>-5.1919519999999997E-3</v>
      </c>
      <c r="Q7747">
        <v>1.5933239999999999E-3</v>
      </c>
      <c r="R7747">
        <v>0.99998529999999997</v>
      </c>
      <c r="S7747">
        <v>-0.1740265</v>
      </c>
      <c r="T7747">
        <v>-2.6918049999999999E-2</v>
      </c>
      <c r="U7747">
        <v>2.9993289999999999</v>
      </c>
      <c r="V7747">
        <v>-5.3094600000000002E-3</v>
      </c>
      <c r="W7747">
        <v>1.227235E-2</v>
      </c>
      <c r="X7747">
        <v>0.99991059999999998</v>
      </c>
      <c r="Y7747">
        <v>-5.8029730000000002E-2</v>
      </c>
      <c r="Z7747">
        <v>-8.9592379999999996E-3</v>
      </c>
      <c r="AA7747">
        <v>0.99827460000000001</v>
      </c>
      <c r="AB7747">
        <v>23</v>
      </c>
      <c r="AC7747">
        <v>-7.1749000000000001</v>
      </c>
      <c r="AD7747">
        <v>-1.1098829315400001</v>
      </c>
      <c r="AE7747">
        <v>123.440254</v>
      </c>
      <c r="AF7747">
        <v>-7.1876318119179503</v>
      </c>
      <c r="AG7747">
        <v>-1.1098829315400001</v>
      </c>
      <c r="AH7747">
        <v>123.429534812399</v>
      </c>
      <c r="AI7747">
        <v>90.5143206212568</v>
      </c>
      <c r="AJ7747">
        <v>93.332722690159301</v>
      </c>
      <c r="AK7747">
        <v>123.643616718335</v>
      </c>
      <c r="AL7747">
        <v>89.296828491835797</v>
      </c>
      <c r="AM7747">
        <v>90.304233988955502</v>
      </c>
      <c r="AN7747">
        <v>1.0000000044661801</v>
      </c>
    </row>
    <row r="7748" spans="1:40" x14ac:dyDescent="0.25">
      <c r="A7748" t="str">
        <f>"20190312160835725"</f>
        <v>20190312160835725</v>
      </c>
      <c r="B7748" t="str">
        <f>"1552378115713213"</f>
        <v>1552378115713213</v>
      </c>
      <c r="C7748" t="s">
        <v>40</v>
      </c>
      <c r="D7748">
        <v>6.3109010000000003</v>
      </c>
      <c r="E7748">
        <v>0.47928399999999999</v>
      </c>
      <c r="F7748" t="s">
        <v>89</v>
      </c>
      <c r="G7748">
        <v>-196.53579999999999</v>
      </c>
      <c r="H7748" s="1">
        <v>-1.0843339999999899E-5</v>
      </c>
      <c r="I7748">
        <v>145.82929999999999</v>
      </c>
      <c r="J7748">
        <v>-187.39580000000001</v>
      </c>
      <c r="K7748">
        <v>1.1098790000000001</v>
      </c>
      <c r="L7748">
        <v>-7.0384520000000004</v>
      </c>
      <c r="M7748">
        <v>-4.6147069999999998E-4</v>
      </c>
      <c r="N7748">
        <v>0</v>
      </c>
      <c r="O7748">
        <v>0.99994320000000003</v>
      </c>
      <c r="P7748">
        <v>-5.9009809999999996E-3</v>
      </c>
      <c r="Q7748">
        <v>1.41486E-3</v>
      </c>
      <c r="R7748">
        <v>0.99998160000000003</v>
      </c>
      <c r="S7748">
        <v>-0.1790466</v>
      </c>
      <c r="T7748">
        <v>-2.174044E-2</v>
      </c>
      <c r="U7748">
        <v>2.9991460000000001</v>
      </c>
      <c r="V7748">
        <v>-5.4491740000000002E-3</v>
      </c>
      <c r="W7748">
        <v>1.205875E-2</v>
      </c>
      <c r="X7748">
        <v>0.99991240000000003</v>
      </c>
      <c r="Y7748">
        <v>-5.9130870000000002E-2</v>
      </c>
      <c r="Z7748">
        <v>-7.2359030000000001E-3</v>
      </c>
      <c r="AA7748">
        <v>0.998224</v>
      </c>
      <c r="AB7748">
        <v>23</v>
      </c>
      <c r="AC7748">
        <v>-9.1399999999999793</v>
      </c>
      <c r="AD7748">
        <v>-1.10988984334</v>
      </c>
      <c r="AE7748">
        <v>152.867752</v>
      </c>
      <c r="AF7748">
        <v>-9.0689746773198401</v>
      </c>
      <c r="AG7748">
        <v>-1.10988984334</v>
      </c>
      <c r="AH7748">
        <v>152.86392440012901</v>
      </c>
      <c r="AI7748">
        <v>90.415266547914896</v>
      </c>
      <c r="AJ7748">
        <v>93.395213293876907</v>
      </c>
      <c r="AK7748">
        <v>153.13672825344801</v>
      </c>
      <c r="AL7748">
        <v>89.309067743470195</v>
      </c>
      <c r="AM7748">
        <v>90.312238933428006</v>
      </c>
      <c r="AN7748">
        <v>0.99999995731130098</v>
      </c>
    </row>
    <row r="7749" spans="1:40" x14ac:dyDescent="0.25">
      <c r="A7749" t="str">
        <f>"20190312160835747"</f>
        <v>20190312160835747</v>
      </c>
      <c r="B7749" t="str">
        <f>"1552378115732733"</f>
        <v>1552378115732733</v>
      </c>
      <c r="C7749" t="s">
        <v>40</v>
      </c>
      <c r="D7749">
        <v>6.3087339999999896</v>
      </c>
      <c r="E7749">
        <v>0.47906559999999998</v>
      </c>
      <c r="F7749" t="s">
        <v>47</v>
      </c>
      <c r="G7749">
        <v>-198.69540000000001</v>
      </c>
      <c r="H7749" s="1">
        <v>-5.3374940000000004E-6</v>
      </c>
      <c r="I7749">
        <v>178.1388</v>
      </c>
      <c r="J7749">
        <v>-187.3965</v>
      </c>
      <c r="K7749">
        <v>1.1098730000000001</v>
      </c>
      <c r="L7749">
        <v>-6.8138120000000004</v>
      </c>
      <c r="M7749">
        <v>-9.9310780000000007E-4</v>
      </c>
      <c r="N7749">
        <v>0</v>
      </c>
      <c r="O7749">
        <v>0.99994309999999997</v>
      </c>
      <c r="P7749">
        <v>-6.8309019999999998E-3</v>
      </c>
      <c r="Q7749">
        <v>1.9731839999999998E-3</v>
      </c>
      <c r="R7749">
        <v>0.99997469999999999</v>
      </c>
      <c r="S7749">
        <v>-0.18299869999999999</v>
      </c>
      <c r="T7749">
        <v>-1.7974850000000001E-2</v>
      </c>
      <c r="U7749">
        <v>2.998993</v>
      </c>
      <c r="V7749">
        <v>-5.8477379999999999E-3</v>
      </c>
      <c r="W7749">
        <v>1.258418E-2</v>
      </c>
      <c r="X7749">
        <v>0.99990369999999995</v>
      </c>
      <c r="Y7749">
        <v>-5.991432E-2</v>
      </c>
      <c r="Z7749">
        <v>-5.9825719999999898E-3</v>
      </c>
      <c r="AA7749">
        <v>0.99818560000000001</v>
      </c>
      <c r="AB7749">
        <v>23</v>
      </c>
      <c r="AC7749">
        <v>-11.2989</v>
      </c>
      <c r="AD7749">
        <v>-1.10987833749399</v>
      </c>
      <c r="AE7749">
        <v>184.95261199999999</v>
      </c>
      <c r="AF7749">
        <v>-11.114807422477501</v>
      </c>
      <c r="AG7749">
        <v>-1.10987833749399</v>
      </c>
      <c r="AH7749">
        <v>184.957106799174</v>
      </c>
      <c r="AI7749">
        <v>90.343193474786403</v>
      </c>
      <c r="AJ7749">
        <v>93.438995287237404</v>
      </c>
      <c r="AK7749">
        <v>185.29409631578599</v>
      </c>
      <c r="AL7749">
        <v>89.278960553754303</v>
      </c>
      <c r="AM7749">
        <v>90.335079155427806</v>
      </c>
      <c r="AN7749">
        <v>0.99999998344983898</v>
      </c>
    </row>
    <row r="7750" spans="1:40" x14ac:dyDescent="0.25">
      <c r="A7750" t="str">
        <f>"20190312160835767"</f>
        <v>20190312160835767</v>
      </c>
      <c r="B7750" t="str">
        <f>"1552378115762990"</f>
        <v>1552378115762990</v>
      </c>
      <c r="C7750" t="s">
        <v>40</v>
      </c>
      <c r="D7750">
        <v>6.4149599999999998</v>
      </c>
      <c r="E7750">
        <v>0.47904980000000003</v>
      </c>
      <c r="F7750" t="s">
        <v>47</v>
      </c>
      <c r="G7750">
        <v>-202.9606</v>
      </c>
      <c r="H7750">
        <v>7.9986139999999997E-2</v>
      </c>
      <c r="I7750">
        <v>242.01130000000001</v>
      </c>
      <c r="J7750">
        <v>-187.3973</v>
      </c>
      <c r="K7750">
        <v>1.1098790000000001</v>
      </c>
      <c r="L7750">
        <v>-6.6022639999999999</v>
      </c>
      <c r="M7750">
        <v>-1.4951369999999999E-3</v>
      </c>
      <c r="N7750">
        <v>0</v>
      </c>
      <c r="O7750">
        <v>0.99994280000000002</v>
      </c>
      <c r="P7750">
        <v>-7.8552569999999992E-3</v>
      </c>
      <c r="Q7750">
        <v>2.4889170000000002E-3</v>
      </c>
      <c r="R7750">
        <v>0.99996600000000002</v>
      </c>
      <c r="S7750">
        <v>-0.1875763</v>
      </c>
      <c r="T7750">
        <v>-1.2412070000000001E-2</v>
      </c>
      <c r="U7750">
        <v>2.9988100000000002</v>
      </c>
      <c r="V7750">
        <v>-6.3707360000000001E-3</v>
      </c>
      <c r="W7750">
        <v>1.307147E-2</v>
      </c>
      <c r="X7750">
        <v>0.99989430000000001</v>
      </c>
      <c r="Y7750">
        <v>-6.0935339999999998E-2</v>
      </c>
      <c r="Z7750">
        <v>-4.1310749999999997E-3</v>
      </c>
      <c r="AA7750">
        <v>0.99813320000000005</v>
      </c>
      <c r="AB7750">
        <v>23</v>
      </c>
      <c r="AC7750">
        <v>-15.5632999999999</v>
      </c>
      <c r="AD7750">
        <v>-1.0298928599999999</v>
      </c>
      <c r="AE7750">
        <v>248.613564</v>
      </c>
      <c r="AF7750">
        <v>-15.1912907416246</v>
      </c>
      <c r="AG7750">
        <v>-1.0298928599999999</v>
      </c>
      <c r="AH7750">
        <v>248.63230661573499</v>
      </c>
      <c r="AI7750">
        <v>90.236889338083202</v>
      </c>
      <c r="AJ7750">
        <v>93.496392612629705</v>
      </c>
      <c r="AK7750">
        <v>249.09809290068901</v>
      </c>
      <c r="AL7750">
        <v>89.251038630357499</v>
      </c>
      <c r="AM7750">
        <v>90.365049931828594</v>
      </c>
      <c r="AN7750">
        <v>1.0000000303888099</v>
      </c>
    </row>
    <row r="7751" spans="1:40" x14ac:dyDescent="0.25">
      <c r="A7751" t="str">
        <f>"20190312160835791"</f>
        <v>20190312160835791</v>
      </c>
      <c r="B7751" t="str">
        <f>"1552378115783487"</f>
        <v>1552378115783487</v>
      </c>
      <c r="C7751" t="s">
        <v>40</v>
      </c>
      <c r="D7751">
        <v>6.406199</v>
      </c>
      <c r="E7751">
        <v>0.47885870000000003</v>
      </c>
      <c r="F7751" t="s">
        <v>47</v>
      </c>
      <c r="G7751">
        <v>-210.6386</v>
      </c>
      <c r="H7751">
        <v>7.9986699999999994E-2</v>
      </c>
      <c r="I7751">
        <v>358.52089999999998</v>
      </c>
      <c r="J7751">
        <v>-187.39830000000001</v>
      </c>
      <c r="K7751">
        <v>1.1098809999999999</v>
      </c>
      <c r="L7751">
        <v>-6.3634029999999999</v>
      </c>
      <c r="M7751">
        <v>-2.0592179999999998E-3</v>
      </c>
      <c r="N7751">
        <v>0</v>
      </c>
      <c r="O7751">
        <v>0.99994209999999994</v>
      </c>
      <c r="P7751">
        <v>-9.1328869999999993E-3</v>
      </c>
      <c r="Q7751">
        <v>3.3374350000000001E-3</v>
      </c>
      <c r="R7751">
        <v>0.99995270000000003</v>
      </c>
      <c r="S7751">
        <v>-0.19087219999999999</v>
      </c>
      <c r="T7751">
        <v>-8.4581380000000005E-3</v>
      </c>
      <c r="U7751">
        <v>2.9986269999999999</v>
      </c>
      <c r="V7751">
        <v>-7.0848830000000002E-3</v>
      </c>
      <c r="W7751">
        <v>1.389203E-2</v>
      </c>
      <c r="X7751">
        <v>0.99987839999999995</v>
      </c>
      <c r="Y7751">
        <v>-6.1469080000000002E-2</v>
      </c>
      <c r="Z7751">
        <v>-2.8151349999999999E-3</v>
      </c>
      <c r="AA7751">
        <v>0.99810500000000002</v>
      </c>
      <c r="AB7751">
        <v>23</v>
      </c>
      <c r="AC7751">
        <v>-23.240299999999898</v>
      </c>
      <c r="AD7751">
        <v>-1.02989429999999</v>
      </c>
      <c r="AE7751">
        <v>364.88430299999999</v>
      </c>
      <c r="AF7751">
        <v>-22.488654047029399</v>
      </c>
      <c r="AG7751">
        <v>-1.02989429999999</v>
      </c>
      <c r="AH7751">
        <v>364.92849329662897</v>
      </c>
      <c r="AI7751">
        <v>90.1613924757511</v>
      </c>
      <c r="AJ7751">
        <v>93.526382867752503</v>
      </c>
      <c r="AK7751">
        <v>365.6222168617</v>
      </c>
      <c r="AL7751">
        <v>89.204019707766705</v>
      </c>
      <c r="AM7751">
        <v>90.4059764675076</v>
      </c>
      <c r="AN7751">
        <v>0.99999999942560203</v>
      </c>
    </row>
    <row r="7752" spans="1:40" x14ac:dyDescent="0.25">
      <c r="A7752" t="str">
        <f>"20190312160835813"</f>
        <v>20190312160835813</v>
      </c>
      <c r="B7752" t="str">
        <f>"1552378115803006"</f>
        <v>1552378115803006</v>
      </c>
      <c r="C7752" t="s">
        <v>40</v>
      </c>
      <c r="D7752">
        <v>6.3546339999999999</v>
      </c>
      <c r="E7752">
        <v>0.47866769999999997</v>
      </c>
      <c r="F7752" t="s">
        <v>46</v>
      </c>
      <c r="G7752">
        <v>-213.42230000000001</v>
      </c>
      <c r="H7752">
        <v>0.67000869999999901</v>
      </c>
      <c r="I7752">
        <v>391.87</v>
      </c>
      <c r="J7752">
        <v>-187.39940000000001</v>
      </c>
      <c r="K7752">
        <v>1.1098779999999999</v>
      </c>
      <c r="L7752">
        <v>-6.1282649999999999</v>
      </c>
      <c r="M7752">
        <v>-2.6093169999999999E-3</v>
      </c>
      <c r="N7752">
        <v>0</v>
      </c>
      <c r="O7752">
        <v>0.99994110000000003</v>
      </c>
      <c r="P7752">
        <v>-9.9667950000000005E-3</v>
      </c>
      <c r="Q7752">
        <v>3.6686100000000001E-3</v>
      </c>
      <c r="R7752">
        <v>0.99994360000000004</v>
      </c>
      <c r="S7752">
        <v>-0.1959381</v>
      </c>
      <c r="T7752">
        <v>-3.311872E-3</v>
      </c>
      <c r="U7752">
        <v>2.9983520000000001</v>
      </c>
      <c r="V7752">
        <v>-7.3685349999999998E-3</v>
      </c>
      <c r="W7752">
        <v>1.419431E-2</v>
      </c>
      <c r="X7752">
        <v>0.99987210000000004</v>
      </c>
      <c r="Y7752">
        <v>-6.2605339999999995E-2</v>
      </c>
      <c r="Z7752">
        <v>-1.1022989999999999E-3</v>
      </c>
      <c r="AA7752">
        <v>0.99803779999999997</v>
      </c>
      <c r="AB7752">
        <v>23</v>
      </c>
      <c r="AC7752">
        <v>-26.0229</v>
      </c>
      <c r="AD7752">
        <v>-0.43986930000000002</v>
      </c>
      <c r="AE7752">
        <v>397.998265</v>
      </c>
      <c r="AF7752">
        <v>-24.984219739034899</v>
      </c>
      <c r="AG7752">
        <v>-0.43986930000000002</v>
      </c>
      <c r="AH7752">
        <v>398.06433156231799</v>
      </c>
      <c r="AI7752">
        <v>90.063188654011597</v>
      </c>
      <c r="AJ7752">
        <v>93.591417131980606</v>
      </c>
      <c r="AK7752">
        <v>398.84786170057998</v>
      </c>
      <c r="AL7752">
        <v>89.1866986278675</v>
      </c>
      <c r="AM7752">
        <v>90.422232317596396</v>
      </c>
      <c r="AN7752">
        <v>0.99999999505141601</v>
      </c>
    </row>
    <row r="7753" spans="1:40" x14ac:dyDescent="0.25">
      <c r="A7753" t="str">
        <f>"20190312160835835"</f>
        <v>20190312160835835</v>
      </c>
      <c r="B7753" t="str">
        <f>"1552378115823506"</f>
        <v>1552378115823506</v>
      </c>
      <c r="C7753" t="s">
        <v>40</v>
      </c>
      <c r="D7753">
        <v>6.2363369999999998</v>
      </c>
      <c r="E7753">
        <v>0.47879909999999998</v>
      </c>
      <c r="F7753" t="s">
        <v>46</v>
      </c>
      <c r="G7753">
        <v>-213.96260000000001</v>
      </c>
      <c r="H7753">
        <v>1.201268</v>
      </c>
      <c r="I7753">
        <v>391.87</v>
      </c>
      <c r="J7753">
        <v>-187.40049999999999</v>
      </c>
      <c r="K7753">
        <v>1.1098760000000001</v>
      </c>
      <c r="L7753">
        <v>-5.91275</v>
      </c>
      <c r="M7753">
        <v>-3.1083819999999998E-3</v>
      </c>
      <c r="N7753">
        <v>0</v>
      </c>
      <c r="O7753">
        <v>0.99994000000000005</v>
      </c>
      <c r="P7753">
        <v>-1.08556E-2</v>
      </c>
      <c r="Q7753">
        <v>4.073307E-3</v>
      </c>
      <c r="R7753">
        <v>0.99993279999999995</v>
      </c>
      <c r="S7753">
        <v>-0.2001038</v>
      </c>
      <c r="T7753">
        <v>6.884336E-4</v>
      </c>
      <c r="U7753">
        <v>2.9981689999999999</v>
      </c>
      <c r="V7753">
        <v>-7.7584949999999998E-3</v>
      </c>
      <c r="W7753">
        <v>1.4569550000000001E-2</v>
      </c>
      <c r="X7753">
        <v>0.99986370000000002</v>
      </c>
      <c r="Y7753">
        <v>-6.3491870000000006E-2</v>
      </c>
      <c r="Z7753">
        <v>2.2912980000000001E-4</v>
      </c>
      <c r="AA7753">
        <v>0.99798229999999999</v>
      </c>
      <c r="AB7753">
        <v>23</v>
      </c>
      <c r="AC7753">
        <v>-26.562100000000001</v>
      </c>
      <c r="AD7753">
        <v>9.1391999999999904E-2</v>
      </c>
      <c r="AE7753">
        <v>397.78275000000002</v>
      </c>
      <c r="AF7753">
        <v>-25.325441374891</v>
      </c>
      <c r="AG7753">
        <v>9.1391999999999904E-2</v>
      </c>
      <c r="AH7753">
        <v>397.863376887274</v>
      </c>
      <c r="AI7753">
        <v>89.986865341486705</v>
      </c>
      <c r="AJ7753">
        <v>93.642169580069407</v>
      </c>
      <c r="AK7753">
        <v>398.66860047096202</v>
      </c>
      <c r="AL7753">
        <v>89.165196691454398</v>
      </c>
      <c r="AM7753">
        <v>90.444580693749401</v>
      </c>
      <c r="AN7753">
        <v>0.99999994230477696</v>
      </c>
    </row>
    <row r="7754" spans="1:40" x14ac:dyDescent="0.25">
      <c r="A7754" t="str">
        <f>"20190312160835855"</f>
        <v>20190312160835855</v>
      </c>
      <c r="B7754" t="str">
        <f>"1552378115852782"</f>
        <v>1552378115852782</v>
      </c>
      <c r="C7754" t="s">
        <v>40</v>
      </c>
      <c r="D7754">
        <v>6.3408179999999996</v>
      </c>
      <c r="E7754">
        <v>0.4788694</v>
      </c>
      <c r="F7754" t="s">
        <v>46</v>
      </c>
      <c r="G7754">
        <v>-214.16329999999999</v>
      </c>
      <c r="H7754">
        <v>1.0533490000000001</v>
      </c>
      <c r="I7754">
        <v>391.87</v>
      </c>
      <c r="J7754">
        <v>-187.40180000000001</v>
      </c>
      <c r="K7754">
        <v>1.1098709999999901</v>
      </c>
      <c r="L7754">
        <v>-5.6894530000000003</v>
      </c>
      <c r="M7754">
        <v>-3.6213410000000001E-3</v>
      </c>
      <c r="N7754">
        <v>0</v>
      </c>
      <c r="O7754">
        <v>0.99993860000000001</v>
      </c>
      <c r="P7754">
        <v>-1.1939180000000001E-2</v>
      </c>
      <c r="Q7754">
        <v>4.6711540000000003E-3</v>
      </c>
      <c r="R7754">
        <v>0.99991779999999997</v>
      </c>
      <c r="S7754">
        <v>-0.20170589999999999</v>
      </c>
      <c r="T7754">
        <v>-4.2605399999999998E-4</v>
      </c>
      <c r="U7754">
        <v>2.9980159999999998</v>
      </c>
      <c r="V7754">
        <v>-8.3300739999999998E-3</v>
      </c>
      <c r="W7754">
        <v>1.5138830000000001E-2</v>
      </c>
      <c r="X7754">
        <v>0.99985069999999998</v>
      </c>
      <c r="Y7754">
        <v>-6.3514249999999994E-2</v>
      </c>
      <c r="Z7754">
        <v>-1.4180679999999999E-4</v>
      </c>
      <c r="AA7754">
        <v>0.99798089999999995</v>
      </c>
      <c r="AB7754">
        <v>23</v>
      </c>
      <c r="AC7754">
        <v>-26.761499999999899</v>
      </c>
      <c r="AD7754">
        <v>-5.6521999999999899E-2</v>
      </c>
      <c r="AE7754">
        <v>397.559452999999</v>
      </c>
      <c r="AF7754">
        <v>-25.321546685859001</v>
      </c>
      <c r="AG7754">
        <v>-5.6521999999999899E-2</v>
      </c>
      <c r="AH7754">
        <v>397.65375571704601</v>
      </c>
      <c r="AI7754">
        <v>90.0081274882739</v>
      </c>
      <c r="AJ7754">
        <v>93.643525461189498</v>
      </c>
      <c r="AK7754">
        <v>398.45914891889799</v>
      </c>
      <c r="AL7754">
        <v>89.132575797289704</v>
      </c>
      <c r="AM7754">
        <v>90.477338307540506</v>
      </c>
      <c r="AN7754">
        <v>0.99999999829855202</v>
      </c>
    </row>
    <row r="7755" spans="1:40" x14ac:dyDescent="0.25">
      <c r="A7755" t="str">
        <f>"20190312160835879"</f>
        <v>20190312160835879</v>
      </c>
      <c r="B7755" t="str">
        <f>"1552378115873278"</f>
        <v>1552378115873278</v>
      </c>
      <c r="C7755" t="s">
        <v>40</v>
      </c>
      <c r="D7755">
        <v>6.2883110000000002</v>
      </c>
      <c r="E7755">
        <v>0.47883569999999998</v>
      </c>
      <c r="F7755" t="s">
        <v>46</v>
      </c>
      <c r="G7755">
        <v>-214.51169999999999</v>
      </c>
      <c r="H7755">
        <v>1.174485</v>
      </c>
      <c r="I7755">
        <v>391.87</v>
      </c>
      <c r="J7755">
        <v>-187.4033</v>
      </c>
      <c r="K7755">
        <v>1.109864</v>
      </c>
      <c r="L7755">
        <v>-5.4486080000000001</v>
      </c>
      <c r="M7755">
        <v>-4.1720699999999999E-3</v>
      </c>
      <c r="N7755">
        <v>0</v>
      </c>
      <c r="O7755">
        <v>0.99993670000000001</v>
      </c>
      <c r="P7755">
        <v>-1.312324E-2</v>
      </c>
      <c r="Q7755">
        <v>4.9842139999999998E-3</v>
      </c>
      <c r="R7755">
        <v>0.9999015</v>
      </c>
      <c r="S7755">
        <v>-0.20442199999999999</v>
      </c>
      <c r="T7755">
        <v>4.8720840000000002E-4</v>
      </c>
      <c r="U7755">
        <v>2.9978030000000002</v>
      </c>
      <c r="V7755">
        <v>-8.9636560000000004E-3</v>
      </c>
      <c r="W7755">
        <v>1.5425370000000001E-2</v>
      </c>
      <c r="X7755">
        <v>0.99984090000000003</v>
      </c>
      <c r="Y7755">
        <v>-6.3869399999999896E-2</v>
      </c>
      <c r="Z7755">
        <v>1.6216549999999901E-4</v>
      </c>
      <c r="AA7755">
        <v>0.99795820000000002</v>
      </c>
      <c r="AB7755">
        <v>23</v>
      </c>
      <c r="AC7755">
        <v>-27.1083999999999</v>
      </c>
      <c r="AD7755">
        <v>6.4620999999999998E-2</v>
      </c>
      <c r="AE7755">
        <v>397.31860799999998</v>
      </c>
      <c r="AF7755">
        <v>-25.450431825355299</v>
      </c>
      <c r="AG7755">
        <v>6.4620999999999998E-2</v>
      </c>
      <c r="AH7755">
        <v>397.428243563254</v>
      </c>
      <c r="AI7755">
        <v>89.990702869856804</v>
      </c>
      <c r="AJ7755">
        <v>93.664092724082707</v>
      </c>
      <c r="AK7755">
        <v>398.24230995430901</v>
      </c>
      <c r="AL7755">
        <v>89.116156399211206</v>
      </c>
      <c r="AM7755">
        <v>90.513647620545498</v>
      </c>
      <c r="AN7755">
        <v>1.00000005724066</v>
      </c>
    </row>
    <row r="7756" spans="1:40" x14ac:dyDescent="0.25">
      <c r="A7756" t="str">
        <f>"20190312160835902"</f>
        <v>20190312160835902</v>
      </c>
      <c r="B7756" t="str">
        <f>"1552378115892799"</f>
        <v>1552378115892799</v>
      </c>
      <c r="C7756" t="s">
        <v>40</v>
      </c>
      <c r="D7756">
        <v>6.145448</v>
      </c>
      <c r="E7756">
        <v>0.4788039</v>
      </c>
      <c r="F7756" t="s">
        <v>46</v>
      </c>
      <c r="G7756">
        <v>-214.99850000000001</v>
      </c>
      <c r="H7756">
        <v>1.45777</v>
      </c>
      <c r="I7756">
        <v>391.87</v>
      </c>
      <c r="J7756">
        <v>-187.405</v>
      </c>
      <c r="K7756">
        <v>1.1098600000000001</v>
      </c>
      <c r="L7756">
        <v>-5.2059939999999996</v>
      </c>
      <c r="M7756">
        <v>-4.7255159999999999E-3</v>
      </c>
      <c r="N7756">
        <v>0</v>
      </c>
      <c r="O7756">
        <v>0.99993449999999995</v>
      </c>
      <c r="P7756">
        <v>-1.4090399999999999E-2</v>
      </c>
      <c r="Q7756">
        <v>4.9154910000000001E-3</v>
      </c>
      <c r="R7756">
        <v>0.99988869999999996</v>
      </c>
      <c r="S7756">
        <v>-0.20819090000000001</v>
      </c>
      <c r="T7756">
        <v>2.6247499999999999E-3</v>
      </c>
      <c r="U7756">
        <v>2.9975589999999999</v>
      </c>
      <c r="V7756">
        <v>-9.3770190000000003E-3</v>
      </c>
      <c r="W7756">
        <v>1.5333350000000001E-2</v>
      </c>
      <c r="X7756">
        <v>0.99983849999999996</v>
      </c>
      <c r="Y7756">
        <v>-6.4571370000000003E-2</v>
      </c>
      <c r="Z7756">
        <v>8.7364840000000001E-4</v>
      </c>
      <c r="AA7756">
        <v>0.99791269999999999</v>
      </c>
      <c r="AB7756">
        <v>23</v>
      </c>
      <c r="AC7756">
        <v>-27.593499999999999</v>
      </c>
      <c r="AD7756">
        <v>0.347909999999999</v>
      </c>
      <c r="AE7756">
        <v>397.07599399999998</v>
      </c>
      <c r="AF7756">
        <v>-25.716681308590601</v>
      </c>
      <c r="AG7756">
        <v>0.347909999999999</v>
      </c>
      <c r="AH7756">
        <v>397.20165718857601</v>
      </c>
      <c r="AI7756">
        <v>89.949919341399095</v>
      </c>
      <c r="AJ7756">
        <v>93.704424670386402</v>
      </c>
      <c r="AK7756">
        <v>398.03344735367</v>
      </c>
      <c r="AL7756">
        <v>89.121429358958693</v>
      </c>
      <c r="AM7756">
        <v>90.537334641477102</v>
      </c>
      <c r="AN7756">
        <v>1.0000000330948899</v>
      </c>
    </row>
    <row r="7757" spans="1:40" x14ac:dyDescent="0.25">
      <c r="A7757" t="str">
        <f>"20190312160835925"</f>
        <v>20190312160835925</v>
      </c>
      <c r="B7757" t="str">
        <f>"1552378115913294"</f>
        <v>1552378115913294</v>
      </c>
      <c r="C7757" t="s">
        <v>40</v>
      </c>
      <c r="D7757">
        <v>6.2355720000000003</v>
      </c>
      <c r="E7757">
        <v>0.47893669999999999</v>
      </c>
      <c r="F7757" t="s">
        <v>46</v>
      </c>
      <c r="G7757">
        <v>-215.40170000000001</v>
      </c>
      <c r="H7757">
        <v>1.745741</v>
      </c>
      <c r="I7757">
        <v>391.87</v>
      </c>
      <c r="J7757">
        <v>-187.4068</v>
      </c>
      <c r="K7757">
        <v>1.1098570000000001</v>
      </c>
      <c r="L7757">
        <v>-4.9656370000000001</v>
      </c>
      <c r="M7757">
        <v>-5.273341E-3</v>
      </c>
      <c r="N7757">
        <v>0</v>
      </c>
      <c r="O7757">
        <v>0.99993189999999998</v>
      </c>
      <c r="P7757">
        <v>-1.4445360000000001E-2</v>
      </c>
      <c r="Q7757">
        <v>4.6483100000000001E-3</v>
      </c>
      <c r="R7757">
        <v>0.99988480000000002</v>
      </c>
      <c r="S7757">
        <v>-0.2113342</v>
      </c>
      <c r="T7757">
        <v>4.7999619999999996E-3</v>
      </c>
      <c r="U7757">
        <v>2.9973450000000001</v>
      </c>
      <c r="V7757">
        <v>-9.1839720000000003E-3</v>
      </c>
      <c r="W7757">
        <v>1.5045859999999999E-2</v>
      </c>
      <c r="X7757">
        <v>0.99984459999999997</v>
      </c>
      <c r="Y7757">
        <v>-6.5070900000000001E-2</v>
      </c>
      <c r="Z7757">
        <v>1.597689E-3</v>
      </c>
      <c r="AA7757">
        <v>0.99787939999999997</v>
      </c>
      <c r="AB7757">
        <v>23</v>
      </c>
      <c r="AC7757">
        <v>-27.994900000000001</v>
      </c>
      <c r="AD7757">
        <v>0.635884</v>
      </c>
      <c r="AE7757">
        <v>396.83563700000002</v>
      </c>
      <c r="AF7757">
        <v>-25.901681483021999</v>
      </c>
      <c r="AG7757">
        <v>0.635884</v>
      </c>
      <c r="AH7757">
        <v>396.976739144416</v>
      </c>
      <c r="AI7757">
        <v>89.908417473717094</v>
      </c>
      <c r="AJ7757">
        <v>93.733106411272004</v>
      </c>
      <c r="AK7757">
        <v>397.82135799104998</v>
      </c>
      <c r="AL7757">
        <v>89.137903171480104</v>
      </c>
      <c r="AM7757">
        <v>90.526269818993498</v>
      </c>
      <c r="AN7757">
        <v>0.999999973696997</v>
      </c>
    </row>
    <row r="7758" spans="1:40" x14ac:dyDescent="0.25">
      <c r="A7758" t="str">
        <f>"20190312160835948"</f>
        <v>20190312160835948</v>
      </c>
      <c r="B7758" t="str">
        <f>"1552378115943550"</f>
        <v>1552378115943550</v>
      </c>
      <c r="C7758" t="s">
        <v>40</v>
      </c>
      <c r="D7758">
        <v>6.4088269999999996</v>
      </c>
      <c r="E7758">
        <v>0.47907620000000001</v>
      </c>
      <c r="F7758" t="s">
        <v>46</v>
      </c>
      <c r="G7758">
        <v>-215.37299999999999</v>
      </c>
      <c r="H7758">
        <v>1.4078919999999999</v>
      </c>
      <c r="I7758">
        <v>391.87</v>
      </c>
      <c r="J7758">
        <v>-187.40860000000001</v>
      </c>
      <c r="K7758">
        <v>1.1098509999999999</v>
      </c>
      <c r="L7758">
        <v>-4.7326350000000001</v>
      </c>
      <c r="M7758">
        <v>-5.8047069999999897E-3</v>
      </c>
      <c r="N7758">
        <v>0</v>
      </c>
      <c r="O7758">
        <v>0.99992919999999996</v>
      </c>
      <c r="P7758">
        <v>-1.4376659999999999E-2</v>
      </c>
      <c r="Q7758">
        <v>4.4896839999999999E-3</v>
      </c>
      <c r="R7758">
        <v>0.99988659999999996</v>
      </c>
      <c r="S7758">
        <v>-0.21122740000000001</v>
      </c>
      <c r="T7758">
        <v>2.2510289999999999E-3</v>
      </c>
      <c r="U7758">
        <v>2.9972840000000001</v>
      </c>
      <c r="V7758">
        <v>-8.5832719999999994E-3</v>
      </c>
      <c r="W7758">
        <v>1.486992E-2</v>
      </c>
      <c r="X7758">
        <v>0.99985259999999998</v>
      </c>
      <c r="Y7758">
        <v>-6.4506720000000004E-2</v>
      </c>
      <c r="Z7758">
        <v>7.4929259999999905E-4</v>
      </c>
      <c r="AA7758">
        <v>0.99791700000000005</v>
      </c>
      <c r="AB7758">
        <v>23</v>
      </c>
      <c r="AC7758">
        <v>-27.964399999999898</v>
      </c>
      <c r="AD7758">
        <v>0.298041</v>
      </c>
      <c r="AE7758">
        <v>396.60263500000002</v>
      </c>
      <c r="AF7758">
        <v>-25.661628096310601</v>
      </c>
      <c r="AG7758">
        <v>0.298041</v>
      </c>
      <c r="AH7758">
        <v>396.758063488348</v>
      </c>
      <c r="AI7758">
        <v>89.957049689462195</v>
      </c>
      <c r="AJ7758">
        <v>93.700637798378295</v>
      </c>
      <c r="AK7758">
        <v>397.58718405906302</v>
      </c>
      <c r="AL7758">
        <v>89.147984945270196</v>
      </c>
      <c r="AM7758">
        <v>90.491845678012695</v>
      </c>
      <c r="AN7758">
        <v>1.0000000044028901</v>
      </c>
    </row>
    <row r="7759" spans="1:40" x14ac:dyDescent="0.25">
      <c r="A7759" t="str">
        <f>"20190312160835969"</f>
        <v>20190312160835969</v>
      </c>
      <c r="B7759" t="str">
        <f>"1552378115963071"</f>
        <v>1552378115963071</v>
      </c>
      <c r="C7759" t="s">
        <v>40</v>
      </c>
      <c r="D7759">
        <v>6.2962879999999997</v>
      </c>
      <c r="E7759">
        <v>0.47888069999999999</v>
      </c>
      <c r="F7759" t="s">
        <v>46</v>
      </c>
      <c r="G7759">
        <v>-215.2046</v>
      </c>
      <c r="H7759">
        <v>1.0824860000000001</v>
      </c>
      <c r="I7759">
        <v>391.87</v>
      </c>
      <c r="J7759">
        <v>-187.41040000000001</v>
      </c>
      <c r="K7759">
        <v>1.1098509999999999</v>
      </c>
      <c r="L7759">
        <v>-4.5116269999999998</v>
      </c>
      <c r="M7759">
        <v>-6.3077709999999898E-3</v>
      </c>
      <c r="N7759">
        <v>0</v>
      </c>
      <c r="O7759">
        <v>0.99992630000000005</v>
      </c>
      <c r="P7759">
        <v>-1.415227E-2</v>
      </c>
      <c r="Q7759">
        <v>3.821007E-3</v>
      </c>
      <c r="R7759">
        <v>0.99989249999999996</v>
      </c>
      <c r="S7759">
        <v>-0.2100677</v>
      </c>
      <c r="T7759">
        <v>-2.068281E-4</v>
      </c>
      <c r="U7759">
        <v>2.9973139999999998</v>
      </c>
      <c r="V7759">
        <v>-7.8553230000000009E-3</v>
      </c>
      <c r="W7759">
        <v>1.418764E-2</v>
      </c>
      <c r="X7759">
        <v>0.99986850000000005</v>
      </c>
      <c r="Y7759">
        <v>-6.3619759999999997E-2</v>
      </c>
      <c r="Z7759" s="1">
        <v>-6.8848079999999994E-5</v>
      </c>
      <c r="AA7759">
        <v>0.99797420000000003</v>
      </c>
      <c r="AB7759">
        <v>23</v>
      </c>
      <c r="AC7759">
        <v>-27.794199999999901</v>
      </c>
      <c r="AD7759">
        <v>-2.7364999999999799E-2</v>
      </c>
      <c r="AE7759">
        <v>396.38162699999998</v>
      </c>
      <c r="AF7759">
        <v>-25.293227811433301</v>
      </c>
      <c r="AG7759">
        <v>-2.7364999999999799E-2</v>
      </c>
      <c r="AH7759">
        <v>396.549067463283</v>
      </c>
      <c r="AI7759">
        <v>90.003945840444004</v>
      </c>
      <c r="AJ7759">
        <v>93.649572889445295</v>
      </c>
      <c r="AK7759">
        <v>397.35489304646001</v>
      </c>
      <c r="AL7759">
        <v>89.187080838317698</v>
      </c>
      <c r="AM7759">
        <v>90.450126786696501</v>
      </c>
      <c r="AN7759">
        <v>1.0000000062602199</v>
      </c>
    </row>
    <row r="7760" spans="1:40" x14ac:dyDescent="0.25">
      <c r="A7760" t="str">
        <f>"20190312160835993"</f>
        <v>20190312160835993</v>
      </c>
      <c r="B7760" t="str">
        <f>"1552378115983566"</f>
        <v>1552378115983566</v>
      </c>
      <c r="C7760" t="s">
        <v>40</v>
      </c>
      <c r="D7760">
        <v>6.3876089999999897</v>
      </c>
      <c r="E7760">
        <v>0.47863650000000002</v>
      </c>
      <c r="F7760" t="s">
        <v>46</v>
      </c>
      <c r="G7760">
        <v>-215.2997</v>
      </c>
      <c r="H7760">
        <v>0.7765069</v>
      </c>
      <c r="I7760">
        <v>391.87</v>
      </c>
      <c r="J7760">
        <v>-187.4127</v>
      </c>
      <c r="K7760">
        <v>1.109847</v>
      </c>
      <c r="L7760">
        <v>-4.2609560000000002</v>
      </c>
      <c r="M7760">
        <v>-6.8754169999999896E-3</v>
      </c>
      <c r="N7760">
        <v>0</v>
      </c>
      <c r="O7760">
        <v>0.99992270000000005</v>
      </c>
      <c r="P7760">
        <v>-1.4561370000000001E-2</v>
      </c>
      <c r="Q7760">
        <v>3.7722770000000001E-3</v>
      </c>
      <c r="R7760">
        <v>0.99988690000000002</v>
      </c>
      <c r="S7760">
        <v>-0.21089169999999999</v>
      </c>
      <c r="T7760">
        <v>-2.52068E-3</v>
      </c>
      <c r="U7760">
        <v>2.9973450000000001</v>
      </c>
      <c r="V7760">
        <v>-7.697041E-3</v>
      </c>
      <c r="W7760">
        <v>1.4125179999999999E-2</v>
      </c>
      <c r="X7760">
        <v>0.99987060000000005</v>
      </c>
      <c r="Y7760">
        <v>-6.3325489999999998E-2</v>
      </c>
      <c r="Z7760">
        <v>-8.3905990000000005E-4</v>
      </c>
      <c r="AA7760">
        <v>0.99799260000000001</v>
      </c>
      <c r="AB7760">
        <v>23</v>
      </c>
      <c r="AC7760">
        <v>-27.886999999999901</v>
      </c>
      <c r="AD7760">
        <v>-0.33334009999999997</v>
      </c>
      <c r="AE7760">
        <v>396.13095600000003</v>
      </c>
      <c r="AF7760">
        <v>-25.162611392340999</v>
      </c>
      <c r="AG7760">
        <v>-0.33334009999999997</v>
      </c>
      <c r="AH7760">
        <v>396.31305785626398</v>
      </c>
      <c r="AI7760">
        <v>90.048094797997194</v>
      </c>
      <c r="AJ7760">
        <v>93.632933109190105</v>
      </c>
      <c r="AK7760">
        <v>397.11120351242403</v>
      </c>
      <c r="AL7760">
        <v>89.190659878936202</v>
      </c>
      <c r="AM7760">
        <v>90.441056325693097</v>
      </c>
      <c r="AN7760">
        <v>0.99999999094727399</v>
      </c>
    </row>
    <row r="7761" spans="1:40" x14ac:dyDescent="0.25">
      <c r="A7761" t="str">
        <f>"20190312160836013"</f>
        <v>20190312160836013</v>
      </c>
      <c r="B7761" t="str">
        <f>"1552378116003086"</f>
        <v>1552378116003086</v>
      </c>
      <c r="C7761" t="s">
        <v>40</v>
      </c>
      <c r="D7761">
        <v>6.338031</v>
      </c>
      <c r="E7761">
        <v>0.47742119999999999</v>
      </c>
      <c r="F7761" t="s">
        <v>46</v>
      </c>
      <c r="G7761">
        <v>-215.71469999999999</v>
      </c>
      <c r="H7761">
        <v>0.43609049999999999</v>
      </c>
      <c r="I7761">
        <v>391.87</v>
      </c>
      <c r="J7761">
        <v>-187.41470000000001</v>
      </c>
      <c r="K7761">
        <v>1.1098399999999999</v>
      </c>
      <c r="L7761">
        <v>-4.0428470000000001</v>
      </c>
      <c r="M7761">
        <v>-7.3645259999999997E-3</v>
      </c>
      <c r="N7761">
        <v>0</v>
      </c>
      <c r="O7761">
        <v>0.99991940000000001</v>
      </c>
      <c r="P7761">
        <v>-1.5440219999999999E-2</v>
      </c>
      <c r="Q7761">
        <v>3.8892839999999998E-3</v>
      </c>
      <c r="R7761">
        <v>0.99987320000000002</v>
      </c>
      <c r="S7761">
        <v>-0.21414179999999999</v>
      </c>
      <c r="T7761">
        <v>-5.0978660000000004E-3</v>
      </c>
      <c r="U7761">
        <v>2.9972530000000002</v>
      </c>
      <c r="V7761">
        <v>-8.0865550000000005E-3</v>
      </c>
      <c r="W7761">
        <v>1.422674E-2</v>
      </c>
      <c r="X7761">
        <v>0.99986609999999998</v>
      </c>
      <c r="Y7761">
        <v>-6.3916150000000005E-2</v>
      </c>
      <c r="Z7761">
        <v>-1.69687299999999E-3</v>
      </c>
      <c r="AA7761">
        <v>0.9979538</v>
      </c>
      <c r="AB7761">
        <v>23</v>
      </c>
      <c r="AC7761">
        <v>-28.299999999999901</v>
      </c>
      <c r="AD7761">
        <v>-0.6737495</v>
      </c>
      <c r="AE7761">
        <v>395.912847</v>
      </c>
      <c r="AF7761">
        <v>-25.383292932292001</v>
      </c>
      <c r="AG7761">
        <v>-0.6737495</v>
      </c>
      <c r="AH7761">
        <v>396.10939522650102</v>
      </c>
      <c r="AI7761">
        <v>90.097255831481505</v>
      </c>
      <c r="AJ7761">
        <v>93.666587365157</v>
      </c>
      <c r="AK7761">
        <v>396.92243383963603</v>
      </c>
      <c r="AL7761">
        <v>89.184840346374799</v>
      </c>
      <c r="AM7761">
        <v>90.463377416910603</v>
      </c>
      <c r="AN7761">
        <v>1.0000000052160001</v>
      </c>
    </row>
    <row r="7762" spans="1:40" x14ac:dyDescent="0.25">
      <c r="A7762" t="str">
        <f>"20190312160836036"</f>
        <v>20190312160836036</v>
      </c>
      <c r="B7762" t="str">
        <f>"1552378116033342"</f>
        <v>1552378116033342</v>
      </c>
      <c r="C7762" t="s">
        <v>40</v>
      </c>
      <c r="D7762">
        <v>6.3131839999999997</v>
      </c>
      <c r="E7762">
        <v>0.4770952</v>
      </c>
      <c r="F7762" t="s">
        <v>47</v>
      </c>
      <c r="G7762">
        <v>-188.28899999999999</v>
      </c>
      <c r="H7762" s="1">
        <v>-3.6666490000000001E-6</v>
      </c>
      <c r="I7762">
        <v>7.4723800000000002</v>
      </c>
      <c r="J7762">
        <v>-187.417</v>
      </c>
      <c r="K7762">
        <v>1.109826</v>
      </c>
      <c r="L7762">
        <v>-3.8158259999999999</v>
      </c>
      <c r="M7762">
        <v>-7.8637869999999901E-3</v>
      </c>
      <c r="N7762">
        <v>0</v>
      </c>
      <c r="O7762">
        <v>0.99991580000000002</v>
      </c>
      <c r="P7762">
        <v>-1.5942439999999999E-2</v>
      </c>
      <c r="Q7762">
        <v>3.0515450000000001E-3</v>
      </c>
      <c r="R7762">
        <v>0.99986830000000004</v>
      </c>
      <c r="S7762">
        <v>-0.22763059999999999</v>
      </c>
      <c r="T7762">
        <v>-0.28894760000000003</v>
      </c>
      <c r="U7762">
        <v>2.997986</v>
      </c>
      <c r="V7762">
        <v>-8.0890340000000002E-3</v>
      </c>
      <c r="W7762">
        <v>1.3370419999999999E-2</v>
      </c>
      <c r="X7762">
        <v>0.99987789999999999</v>
      </c>
      <c r="Y7762">
        <v>-6.7518599999999998E-2</v>
      </c>
      <c r="Z7762">
        <v>-9.5685740000000005E-2</v>
      </c>
      <c r="AA7762">
        <v>0.99311910000000003</v>
      </c>
      <c r="AB7762">
        <v>23</v>
      </c>
      <c r="AC7762">
        <v>-0.87200000000001399</v>
      </c>
      <c r="AD7762">
        <v>-1.109829666649</v>
      </c>
      <c r="AE7762">
        <v>11.288206000000001</v>
      </c>
      <c r="AF7762">
        <v>-0.77574610096758201</v>
      </c>
      <c r="AG7762">
        <v>-1.109829666649</v>
      </c>
      <c r="AH7762">
        <v>11.187216378506699</v>
      </c>
      <c r="AI7762">
        <v>95.652015986264701</v>
      </c>
      <c r="AJ7762">
        <v>93.9666653579213</v>
      </c>
      <c r="AK7762">
        <v>11.268864814242299</v>
      </c>
      <c r="AL7762">
        <v>89.233908543011495</v>
      </c>
      <c r="AM7762">
        <v>90.463513992916305</v>
      </c>
      <c r="AN7762">
        <v>1.00000000775521</v>
      </c>
    </row>
    <row r="7763" spans="1:40" x14ac:dyDescent="0.25">
      <c r="A7763" t="str">
        <f>"20190312160836070"</f>
        <v>20190312160836070</v>
      </c>
      <c r="B7763" t="str">
        <f>"1552378116063598"</f>
        <v>1552378116063598</v>
      </c>
      <c r="C7763" t="s">
        <v>40</v>
      </c>
      <c r="D7763">
        <v>6.3692609999999998</v>
      </c>
      <c r="E7763">
        <v>0.47691830000000002</v>
      </c>
      <c r="F7763" t="s">
        <v>47</v>
      </c>
      <c r="G7763">
        <v>-188.35599999999999</v>
      </c>
      <c r="H7763" s="1">
        <v>-4.0247830000000002E-6</v>
      </c>
      <c r="I7763">
        <v>8.3348829999999996</v>
      </c>
      <c r="J7763">
        <v>-187.42080000000001</v>
      </c>
      <c r="K7763">
        <v>1.1097939999999999</v>
      </c>
      <c r="L7763">
        <v>-3.4536739999999999</v>
      </c>
      <c r="M7763">
        <v>-8.6332279999999997E-3</v>
      </c>
      <c r="N7763">
        <v>0</v>
      </c>
      <c r="O7763">
        <v>0.99990970000000001</v>
      </c>
      <c r="P7763">
        <v>-1.6696699999999998E-2</v>
      </c>
      <c r="Q7763">
        <v>1.743068E-3</v>
      </c>
      <c r="R7763">
        <v>0.9998591</v>
      </c>
      <c r="S7763">
        <v>-0.23164370000000001</v>
      </c>
      <c r="T7763">
        <v>-0.27379039999999999</v>
      </c>
      <c r="U7763">
        <v>2.997528</v>
      </c>
      <c r="V7763">
        <v>-8.0724839999999996E-3</v>
      </c>
      <c r="W7763">
        <v>1.203443E-2</v>
      </c>
      <c r="X7763">
        <v>0.99989499999999998</v>
      </c>
      <c r="Y7763">
        <v>-6.8119970000000002E-2</v>
      </c>
      <c r="Z7763">
        <v>-9.0715299999999999E-2</v>
      </c>
      <c r="AA7763">
        <v>0.99354430000000005</v>
      </c>
      <c r="AB7763">
        <v>23</v>
      </c>
      <c r="AC7763">
        <v>-0.93519999999998005</v>
      </c>
      <c r="AD7763">
        <v>-1.1097980247829999</v>
      </c>
      <c r="AE7763">
        <v>11.788557000000001</v>
      </c>
      <c r="AF7763">
        <v>-0.82611065591195598</v>
      </c>
      <c r="AG7763">
        <v>-1.1097980247829999</v>
      </c>
      <c r="AH7763">
        <v>11.6932064714715</v>
      </c>
      <c r="AI7763">
        <v>95.4082815414219</v>
      </c>
      <c r="AJ7763">
        <v>94.041161799799397</v>
      </c>
      <c r="AK7763">
        <v>11.774769129629901</v>
      </c>
      <c r="AL7763">
        <v>89.310461308659697</v>
      </c>
      <c r="AM7763">
        <v>90.462557783547993</v>
      </c>
      <c r="AN7763">
        <v>1.0000000017641699</v>
      </c>
    </row>
    <row r="7764" spans="1:40" x14ac:dyDescent="0.25">
      <c r="A7764" t="str">
        <f>"20190312160836091"</f>
        <v>20190312160836091</v>
      </c>
      <c r="B7764" t="str">
        <f>"1552378116083118"</f>
        <v>1552378116083118</v>
      </c>
      <c r="C7764" t="s">
        <v>40</v>
      </c>
      <c r="D7764">
        <v>6.5024410000000001</v>
      </c>
      <c r="E7764">
        <v>0.47763919999999999</v>
      </c>
      <c r="F7764" t="s">
        <v>47</v>
      </c>
      <c r="G7764">
        <v>-188.36689999999999</v>
      </c>
      <c r="H7764" s="1">
        <v>-4.1341659999999996E-6</v>
      </c>
      <c r="I7764">
        <v>8.5943509999999996</v>
      </c>
      <c r="J7764">
        <v>-187.42330000000001</v>
      </c>
      <c r="K7764">
        <v>1.1097729999999999</v>
      </c>
      <c r="L7764">
        <v>-3.2226870000000001</v>
      </c>
      <c r="M7764">
        <v>-9.1060299999999993E-3</v>
      </c>
      <c r="N7764">
        <v>0</v>
      </c>
      <c r="O7764">
        <v>0.99990559999999995</v>
      </c>
      <c r="P7764">
        <v>-1.7447049999999999E-2</v>
      </c>
      <c r="Q7764">
        <v>1.43271E-3</v>
      </c>
      <c r="R7764">
        <v>0.99984680000000004</v>
      </c>
      <c r="S7764">
        <v>-0.2353363</v>
      </c>
      <c r="T7764">
        <v>-0.27606530000000001</v>
      </c>
      <c r="U7764">
        <v>2.9969790000000001</v>
      </c>
      <c r="V7764">
        <v>-8.3495280000000002E-3</v>
      </c>
      <c r="W7764">
        <v>1.170972E-2</v>
      </c>
      <c r="X7764">
        <v>0.99989660000000002</v>
      </c>
      <c r="Y7764">
        <v>-6.8873580000000004E-2</v>
      </c>
      <c r="Z7764">
        <v>-9.1472090000000006E-2</v>
      </c>
      <c r="AA7764">
        <v>0.99342299999999994</v>
      </c>
      <c r="AB7764">
        <v>23</v>
      </c>
      <c r="AC7764">
        <v>-0.94359999999997501</v>
      </c>
      <c r="AD7764">
        <v>-1.1097771341660001</v>
      </c>
      <c r="AE7764">
        <v>11.817038</v>
      </c>
      <c r="AF7764">
        <v>-0.82868640749982603</v>
      </c>
      <c r="AG7764">
        <v>-1.1097771341660001</v>
      </c>
      <c r="AH7764">
        <v>11.7224077212817</v>
      </c>
      <c r="AI7764">
        <v>95.394771312975294</v>
      </c>
      <c r="AJ7764">
        <v>94.043655371023704</v>
      </c>
      <c r="AK7764">
        <v>11.803947188693201</v>
      </c>
      <c r="AL7764">
        <v>89.329067145722604</v>
      </c>
      <c r="AM7764">
        <v>90.478431066275903</v>
      </c>
      <c r="AN7764">
        <v>1.0000000214259299</v>
      </c>
    </row>
    <row r="7765" spans="1:40" x14ac:dyDescent="0.25">
      <c r="A7765" t="str">
        <f>"20190312160836117"</f>
        <v>20190312160836117</v>
      </c>
      <c r="B7765" t="str">
        <f>"1552378116113374"</f>
        <v>1552378116113374</v>
      </c>
      <c r="C7765" t="s">
        <v>40</v>
      </c>
      <c r="D7765">
        <v>6.3344779999999998</v>
      </c>
      <c r="E7765">
        <v>0.4781376</v>
      </c>
      <c r="F7765" t="s">
        <v>47</v>
      </c>
      <c r="G7765">
        <v>-188.3382</v>
      </c>
      <c r="H7765" s="1">
        <v>-4.1537910000000003E-6</v>
      </c>
      <c r="I7765">
        <v>8.6282490000000003</v>
      </c>
      <c r="J7765">
        <v>-187.4263</v>
      </c>
      <c r="K7765">
        <v>1.1097520000000001</v>
      </c>
      <c r="L7765">
        <v>-2.9649049999999999</v>
      </c>
      <c r="M7765">
        <v>-9.6048750000000006E-3</v>
      </c>
      <c r="N7765">
        <v>0</v>
      </c>
      <c r="O7765">
        <v>0.99990109999999999</v>
      </c>
      <c r="P7765">
        <v>-1.8006439999999999E-2</v>
      </c>
      <c r="Q7765">
        <v>1.1312609999999999E-3</v>
      </c>
      <c r="R7765">
        <v>0.99983719999999998</v>
      </c>
      <c r="S7765">
        <v>-0.2313538</v>
      </c>
      <c r="T7765">
        <v>-0.28063680000000002</v>
      </c>
      <c r="U7765">
        <v>2.996826</v>
      </c>
      <c r="V7765">
        <v>-8.4091589999999994E-3</v>
      </c>
      <c r="W7765">
        <v>1.139456E-2</v>
      </c>
      <c r="X7765">
        <v>0.99989969999999995</v>
      </c>
      <c r="Y7765">
        <v>-6.7056660000000004E-2</v>
      </c>
      <c r="Z7765">
        <v>-9.2988299999999996E-2</v>
      </c>
      <c r="AA7765">
        <v>0.99340649999999997</v>
      </c>
      <c r="AB7765">
        <v>24</v>
      </c>
      <c r="AC7765">
        <v>-0.91190000000000204</v>
      </c>
      <c r="AD7765">
        <v>-1.1097561537909999</v>
      </c>
      <c r="AE7765">
        <v>11.593154</v>
      </c>
      <c r="AF7765">
        <v>-0.79327692379857295</v>
      </c>
      <c r="AG7765">
        <v>-1.1097561537909999</v>
      </c>
      <c r="AH7765">
        <v>11.496678600339999</v>
      </c>
      <c r="AI7765">
        <v>95.500590053203794</v>
      </c>
      <c r="AJ7765">
        <v>93.947182846676597</v>
      </c>
      <c r="AK7765">
        <v>11.577325504546501</v>
      </c>
      <c r="AL7765">
        <v>89.347125661252804</v>
      </c>
      <c r="AM7765">
        <v>90.481846290459998</v>
      </c>
      <c r="AN7765">
        <v>0.99999998000638501</v>
      </c>
    </row>
    <row r="7766" spans="1:40" x14ac:dyDescent="0.25">
      <c r="A7766" t="str">
        <f>"20190312160836138"</f>
        <v>20190312160836138</v>
      </c>
      <c r="B7766" t="str">
        <f>"1552378116132894"</f>
        <v>1552378116132894</v>
      </c>
      <c r="C7766" t="s">
        <v>40</v>
      </c>
      <c r="D7766">
        <v>6.4327629999999996</v>
      </c>
      <c r="E7766">
        <v>0.47387780000000002</v>
      </c>
      <c r="F7766" t="s">
        <v>47</v>
      </c>
      <c r="G7766">
        <v>-188.35429999999999</v>
      </c>
      <c r="H7766" s="1">
        <v>-4.3902860000000002E-6</v>
      </c>
      <c r="I7766">
        <v>9.1861709999999999</v>
      </c>
      <c r="J7766">
        <v>-187.429</v>
      </c>
      <c r="K7766">
        <v>1.109737</v>
      </c>
      <c r="L7766">
        <v>-2.73468</v>
      </c>
      <c r="M7766">
        <v>-1.001898E-2</v>
      </c>
      <c r="N7766">
        <v>0</v>
      </c>
      <c r="O7766">
        <v>0.99989720000000004</v>
      </c>
      <c r="P7766">
        <v>-1.8905559999999998E-2</v>
      </c>
      <c r="Q7766">
        <v>8.2932229999999995E-4</v>
      </c>
      <c r="R7766">
        <v>0.99982090000000001</v>
      </c>
      <c r="S7766">
        <v>-0.2288666</v>
      </c>
      <c r="T7766">
        <v>-0.27368589999999998</v>
      </c>
      <c r="U7766">
        <v>2.9966740000000001</v>
      </c>
      <c r="V7766">
        <v>-8.8936050000000006E-3</v>
      </c>
      <c r="W7766">
        <v>1.108082E-2</v>
      </c>
      <c r="X7766">
        <v>0.99989899999999998</v>
      </c>
      <c r="Y7766">
        <v>-6.5843589999999994E-2</v>
      </c>
      <c r="Z7766">
        <v>-9.0714929999999999E-2</v>
      </c>
      <c r="AA7766">
        <v>0.99369790000000002</v>
      </c>
      <c r="AB7766">
        <v>24</v>
      </c>
      <c r="AC7766">
        <v>-0.92529999999999202</v>
      </c>
      <c r="AD7766">
        <v>-1.1097413902860001</v>
      </c>
      <c r="AE7766">
        <v>11.920851000000001</v>
      </c>
      <c r="AF7766">
        <v>-0.79893027192842203</v>
      </c>
      <c r="AG7766">
        <v>-1.1097413902860001</v>
      </c>
      <c r="AH7766">
        <v>11.8276367775614</v>
      </c>
      <c r="AI7766">
        <v>95.348033013532003</v>
      </c>
      <c r="AJ7766">
        <v>93.864330961037396</v>
      </c>
      <c r="AK7766">
        <v>11.9064187426212</v>
      </c>
      <c r="AL7766">
        <v>89.365102752797895</v>
      </c>
      <c r="AM7766">
        <v>90.5096040641765</v>
      </c>
      <c r="AN7766">
        <v>0.99999994549138205</v>
      </c>
    </row>
    <row r="7767" spans="1:40" x14ac:dyDescent="0.25">
      <c r="A7767" t="str">
        <f>"20190312160836160"</f>
        <v>20190312160836160</v>
      </c>
      <c r="B7767" t="str">
        <f>"1552378116153389"</f>
        <v>1552378116153389</v>
      </c>
      <c r="C7767" t="s">
        <v>40</v>
      </c>
      <c r="D7767">
        <v>6.3788780000000003</v>
      </c>
      <c r="E7767">
        <v>0.47400819999999999</v>
      </c>
      <c r="F7767" t="s">
        <v>47</v>
      </c>
      <c r="G7767">
        <v>-190.59360000000001</v>
      </c>
      <c r="H7767" s="1">
        <v>-1.6193889999999901E-6</v>
      </c>
      <c r="I7767">
        <v>32.995759999999997</v>
      </c>
      <c r="J7767">
        <v>-187.43170000000001</v>
      </c>
      <c r="K7767">
        <v>1.109718</v>
      </c>
      <c r="L7767">
        <v>-2.5064090000000001</v>
      </c>
      <c r="M7767">
        <v>-1.0404109999999999E-2</v>
      </c>
      <c r="N7767">
        <v>0</v>
      </c>
      <c r="O7767">
        <v>0.99989340000000004</v>
      </c>
      <c r="P7767">
        <v>-1.901574E-2</v>
      </c>
      <c r="Q7767">
        <v>1.2058240000000001E-3</v>
      </c>
      <c r="R7767">
        <v>0.9998184</v>
      </c>
      <c r="S7767">
        <v>-0.26531979999999999</v>
      </c>
      <c r="T7767">
        <v>-9.303939E-2</v>
      </c>
      <c r="U7767">
        <v>2.9956049999999999</v>
      </c>
      <c r="V7767">
        <v>-8.6184639999999993E-3</v>
      </c>
      <c r="W7767">
        <v>1.144653E-2</v>
      </c>
      <c r="X7767">
        <v>0.99989740000000005</v>
      </c>
      <c r="Y7767">
        <v>-7.7813240000000006E-2</v>
      </c>
      <c r="Z7767">
        <v>-3.093359E-2</v>
      </c>
      <c r="AA7767">
        <v>0.99648789999999998</v>
      </c>
      <c r="AB7767">
        <v>24</v>
      </c>
      <c r="AC7767">
        <v>-3.1619000000000002</v>
      </c>
      <c r="AD7767">
        <v>-1.109719619389</v>
      </c>
      <c r="AE7767">
        <v>35.502168999999903</v>
      </c>
      <c r="AF7767">
        <v>-2.7896368274708001</v>
      </c>
      <c r="AG7767">
        <v>-1.109719619389</v>
      </c>
      <c r="AH7767">
        <v>35.498734668065602</v>
      </c>
      <c r="AI7767">
        <v>91.785030412335999</v>
      </c>
      <c r="AJ7767">
        <v>94.493304186860897</v>
      </c>
      <c r="AK7767">
        <v>35.625464408152801</v>
      </c>
      <c r="AL7767">
        <v>89.344147855004195</v>
      </c>
      <c r="AM7767">
        <v>90.493840052924895</v>
      </c>
      <c r="AN7767">
        <v>1.0000000557487501</v>
      </c>
    </row>
    <row r="7768" spans="1:40" x14ac:dyDescent="0.25">
      <c r="A7768" t="str">
        <f>"20190312160836182"</f>
        <v>20190312160836182</v>
      </c>
      <c r="B7768" t="str">
        <f>"1552378116172910"</f>
        <v>1552378116172910</v>
      </c>
      <c r="C7768" t="s">
        <v>40</v>
      </c>
      <c r="D7768">
        <v>6.413456</v>
      </c>
      <c r="E7768">
        <v>0.47366720000000001</v>
      </c>
      <c r="F7768" t="s">
        <v>47</v>
      </c>
      <c r="G7768">
        <v>-190.56399999999999</v>
      </c>
      <c r="H7768" s="1">
        <v>-1.589033E-6</v>
      </c>
      <c r="I7768">
        <v>32.943350000000002</v>
      </c>
      <c r="J7768">
        <v>-187.43459999999999</v>
      </c>
      <c r="K7768">
        <v>1.1096950000000001</v>
      </c>
      <c r="L7768">
        <v>-2.273285</v>
      </c>
      <c r="M7768">
        <v>-1.076855E-2</v>
      </c>
      <c r="N7768">
        <v>0</v>
      </c>
      <c r="O7768">
        <v>0.99988969999999999</v>
      </c>
      <c r="P7768">
        <v>-1.933197E-2</v>
      </c>
      <c r="Q7768">
        <v>1.4941399999999999E-3</v>
      </c>
      <c r="R7768">
        <v>0.99981200000000003</v>
      </c>
      <c r="S7768">
        <v>-0.26469419999999999</v>
      </c>
      <c r="T7768">
        <v>-9.377539E-2</v>
      </c>
      <c r="U7768">
        <v>2.9956360000000002</v>
      </c>
      <c r="V7768">
        <v>-8.5698040000000003E-3</v>
      </c>
      <c r="W7768">
        <v>1.171926E-2</v>
      </c>
      <c r="X7768">
        <v>0.99989459999999997</v>
      </c>
      <c r="Y7768">
        <v>-7.7241820000000003E-2</v>
      </c>
      <c r="Z7768">
        <v>-3.1178540000000001E-2</v>
      </c>
      <c r="AA7768">
        <v>0.99652479999999999</v>
      </c>
      <c r="AB7768">
        <v>24</v>
      </c>
      <c r="AC7768">
        <v>-3.1294000000000302</v>
      </c>
      <c r="AD7768">
        <v>-1.1096965890329999</v>
      </c>
      <c r="AE7768">
        <v>35.216634999999997</v>
      </c>
      <c r="AF7768">
        <v>-2.74726016592051</v>
      </c>
      <c r="AG7768">
        <v>-1.1096965890329999</v>
      </c>
      <c r="AH7768">
        <v>35.213603454118797</v>
      </c>
      <c r="AI7768">
        <v>91.799516722668201</v>
      </c>
      <c r="AJ7768">
        <v>94.461009357148995</v>
      </c>
      <c r="AK7768">
        <v>35.338035219334103</v>
      </c>
      <c r="AL7768">
        <v>89.328520489987696</v>
      </c>
      <c r="AM7768">
        <v>90.491053335206303</v>
      </c>
      <c r="AN7768">
        <v>0.99999999685235297</v>
      </c>
    </row>
    <row r="7769" spans="1:40" x14ac:dyDescent="0.25">
      <c r="A7769" t="str">
        <f>"20190312160836204"</f>
        <v>20190312160836204</v>
      </c>
      <c r="B7769" t="str">
        <f>"1552378116193409"</f>
        <v>1552378116193409</v>
      </c>
      <c r="C7769" t="s">
        <v>40</v>
      </c>
      <c r="D7769">
        <v>6.3958870000000001</v>
      </c>
      <c r="E7769">
        <v>0.47921370000000002</v>
      </c>
      <c r="F7769" t="s">
        <v>47</v>
      </c>
      <c r="G7769">
        <v>-190.4932</v>
      </c>
      <c r="H7769" s="1">
        <v>-1.1156500000000001E-6</v>
      </c>
      <c r="I7769">
        <v>31.883839999999999</v>
      </c>
      <c r="J7769">
        <v>-187.4375</v>
      </c>
      <c r="K7769">
        <v>1.109661</v>
      </c>
      <c r="L7769">
        <v>-2.038818</v>
      </c>
      <c r="M7769">
        <v>-1.1103119999999999E-2</v>
      </c>
      <c r="N7769">
        <v>0</v>
      </c>
      <c r="O7769">
        <v>0.99988619999999995</v>
      </c>
      <c r="P7769">
        <v>-1.966683E-2</v>
      </c>
      <c r="Q7769">
        <v>1.776522E-3</v>
      </c>
      <c r="R7769">
        <v>0.99980500000000005</v>
      </c>
      <c r="S7769">
        <v>-0.26823429999999998</v>
      </c>
      <c r="T7769">
        <v>-9.7318169999999996E-2</v>
      </c>
      <c r="U7769">
        <v>2.995514</v>
      </c>
      <c r="V7769">
        <v>-8.5697759999999994E-3</v>
      </c>
      <c r="W7769">
        <v>1.1984369999999999E-2</v>
      </c>
      <c r="X7769">
        <v>0.99989150000000004</v>
      </c>
      <c r="Y7769">
        <v>-7.807683E-2</v>
      </c>
      <c r="Z7769">
        <v>-3.235362E-2</v>
      </c>
      <c r="AA7769">
        <v>0.99642220000000004</v>
      </c>
      <c r="AB7769">
        <v>24</v>
      </c>
      <c r="AC7769">
        <v>-3.0556999999999999</v>
      </c>
      <c r="AD7769">
        <v>-1.1096621156499999</v>
      </c>
      <c r="AE7769">
        <v>33.922657999999998</v>
      </c>
      <c r="AF7769">
        <v>-2.6760042388127099</v>
      </c>
      <c r="AG7769">
        <v>-1.1096621156499999</v>
      </c>
      <c r="AH7769">
        <v>33.918494144156497</v>
      </c>
      <c r="AI7769">
        <v>91.867994030169598</v>
      </c>
      <c r="AJ7769">
        <v>94.511014336570497</v>
      </c>
      <c r="AK7769">
        <v>34.041982810997197</v>
      </c>
      <c r="AL7769">
        <v>89.313329767791004</v>
      </c>
      <c r="AM7769">
        <v>90.491053253224194</v>
      </c>
      <c r="AN7769">
        <v>1.0000000389786099</v>
      </c>
    </row>
    <row r="7770" spans="1:40" x14ac:dyDescent="0.25">
      <c r="A7770" t="str">
        <f>"20190312160836225"</f>
        <v>20190312160836225</v>
      </c>
      <c r="B7770" t="str">
        <f>"1552378116222824"</f>
        <v>1552378116222824</v>
      </c>
      <c r="C7770" t="s">
        <v>40</v>
      </c>
      <c r="D7770">
        <v>6.2709809999999999</v>
      </c>
      <c r="E7770">
        <v>0.4796552</v>
      </c>
      <c r="F7770" t="s">
        <v>47</v>
      </c>
      <c r="G7770">
        <v>-188.2747</v>
      </c>
      <c r="H7770" s="1">
        <v>-4.3600370000000001E-6</v>
      </c>
      <c r="I7770">
        <v>9.0827380000000009</v>
      </c>
      <c r="J7770">
        <v>-187.44030000000001</v>
      </c>
      <c r="K7770">
        <v>1.10964</v>
      </c>
      <c r="L7770">
        <v>-1.8166500000000001</v>
      </c>
      <c r="M7770">
        <v>-1.1388560000000001E-2</v>
      </c>
      <c r="N7770">
        <v>0</v>
      </c>
      <c r="O7770">
        <v>0.99988319999999997</v>
      </c>
      <c r="P7770">
        <v>-2.0333239999999999E-2</v>
      </c>
      <c r="Q7770">
        <v>2.1096420000000001E-3</v>
      </c>
      <c r="R7770">
        <v>0.99979099999999999</v>
      </c>
      <c r="S7770">
        <v>-0.22557070000000001</v>
      </c>
      <c r="T7770">
        <v>-0.29899629999999999</v>
      </c>
      <c r="U7770">
        <v>2.9966740000000001</v>
      </c>
      <c r="V7770">
        <v>-8.9502160000000004E-3</v>
      </c>
      <c r="W7770">
        <v>1.230239E-2</v>
      </c>
      <c r="X7770">
        <v>0.9998842</v>
      </c>
      <c r="Y7770">
        <v>-6.333047E-2</v>
      </c>
      <c r="Z7770">
        <v>-9.9035209999999999E-2</v>
      </c>
      <c r="AA7770">
        <v>0.99306660000000002</v>
      </c>
      <c r="AB7770">
        <v>24</v>
      </c>
      <c r="AC7770">
        <v>-0.83439999999998704</v>
      </c>
      <c r="AD7770">
        <v>-1.1096443600370001</v>
      </c>
      <c r="AE7770">
        <v>10.899388</v>
      </c>
      <c r="AF7770">
        <v>-0.70296739453553403</v>
      </c>
      <c r="AG7770">
        <v>-1.1096443600370001</v>
      </c>
      <c r="AH7770">
        <v>10.796927593056701</v>
      </c>
      <c r="AI7770">
        <v>95.855607625077596</v>
      </c>
      <c r="AJ7770">
        <v>93.725161297811297</v>
      </c>
      <c r="AK7770">
        <v>10.876539854809099</v>
      </c>
      <c r="AL7770">
        <v>89.295107147211098</v>
      </c>
      <c r="AM7770">
        <v>90.512855295555497</v>
      </c>
      <c r="AN7770">
        <v>0.99999993428789702</v>
      </c>
    </row>
    <row r="7771" spans="1:40" x14ac:dyDescent="0.25">
      <c r="A7771" t="str">
        <f>"20190312160836629"</f>
        <v>20190312160836629</v>
      </c>
      <c r="B7771" t="str">
        <f>"1552378116623611"</f>
        <v>1552378116623611</v>
      </c>
      <c r="C7771" t="s">
        <v>40</v>
      </c>
      <c r="D7771">
        <v>6.453443</v>
      </c>
      <c r="E7771">
        <v>0.48144779999999998</v>
      </c>
      <c r="F7771" t="s">
        <v>47</v>
      </c>
      <c r="G7771">
        <v>-188.41220000000001</v>
      </c>
      <c r="H7771" s="1">
        <v>-9.5364199999999996E-7</v>
      </c>
      <c r="I7771">
        <v>11.19919</v>
      </c>
      <c r="J7771">
        <v>-187.49680000000001</v>
      </c>
      <c r="K7771">
        <v>1.1094710000000001</v>
      </c>
      <c r="L7771">
        <v>2.5285340000000001</v>
      </c>
      <c r="M7771">
        <v>-1.313017E-2</v>
      </c>
      <c r="N7771">
        <v>0</v>
      </c>
      <c r="O7771">
        <v>0.99986359999999996</v>
      </c>
      <c r="P7771">
        <v>-2.1245300000000002E-2</v>
      </c>
      <c r="Q7771">
        <v>3.2693119999999999E-3</v>
      </c>
      <c r="R7771">
        <v>0.99976900000000002</v>
      </c>
      <c r="S7771">
        <v>-0.22375490000000001</v>
      </c>
      <c r="T7771">
        <v>-0.25547049999999999</v>
      </c>
      <c r="U7771">
        <v>2.996613</v>
      </c>
      <c r="V7771">
        <v>-8.1166969999999904E-3</v>
      </c>
      <c r="W7771">
        <v>1.3282209999999999E-2</v>
      </c>
      <c r="X7771">
        <v>0.99987879999999996</v>
      </c>
      <c r="Y7771">
        <v>-6.1093399999999999E-2</v>
      </c>
      <c r="Z7771">
        <v>-8.4737640000000003E-2</v>
      </c>
      <c r="AA7771">
        <v>0.99452859999999998</v>
      </c>
      <c r="AB7771">
        <v>24</v>
      </c>
      <c r="AC7771">
        <v>-0.91540000000000499</v>
      </c>
      <c r="AD7771">
        <v>-1.1094719536419999</v>
      </c>
      <c r="AE7771">
        <v>8.6706559999999993</v>
      </c>
      <c r="AF7771">
        <v>-0.78869717103148895</v>
      </c>
      <c r="AG7771">
        <v>-1.1094719536419999</v>
      </c>
      <c r="AH7771">
        <v>8.5435861062755691</v>
      </c>
      <c r="AI7771">
        <v>97.368054009631607</v>
      </c>
      <c r="AJ7771">
        <v>95.274284651565395</v>
      </c>
      <c r="AK7771">
        <v>8.6513487271555594</v>
      </c>
      <c r="AL7771">
        <v>89.238963013345497</v>
      </c>
      <c r="AM7771">
        <v>90.465098636897196</v>
      </c>
      <c r="AN7771">
        <v>0.99999995628105498</v>
      </c>
    </row>
    <row r="7772" spans="1:40" x14ac:dyDescent="0.25">
      <c r="A7772" t="str">
        <f>"20190312160836651"</f>
        <v>20190312160836651</v>
      </c>
      <c r="B7772" t="str">
        <f>"1552378116643131"</f>
        <v>1552378116643131</v>
      </c>
      <c r="C7772" t="s">
        <v>40</v>
      </c>
      <c r="D7772">
        <v>6.32484</v>
      </c>
      <c r="E7772">
        <v>0.4713695</v>
      </c>
      <c r="F7772" t="s">
        <v>46</v>
      </c>
      <c r="G7772">
        <v>-214.94329999999999</v>
      </c>
      <c r="H7772">
        <v>38.683889999999998</v>
      </c>
      <c r="I7772">
        <v>391.87</v>
      </c>
      <c r="J7772">
        <v>-187.5001</v>
      </c>
      <c r="K7772">
        <v>1.1094710000000001</v>
      </c>
      <c r="L7772">
        <v>2.779175</v>
      </c>
      <c r="M7772">
        <v>-1.319451E-2</v>
      </c>
      <c r="N7772">
        <v>0</v>
      </c>
      <c r="O7772">
        <v>0.99986280000000005</v>
      </c>
      <c r="P7772">
        <v>-2.1876909999999999E-2</v>
      </c>
      <c r="Q7772">
        <v>3.3809679999999998E-3</v>
      </c>
      <c r="R7772">
        <v>0.99975499999999995</v>
      </c>
      <c r="S7772">
        <v>-0.21115110000000001</v>
      </c>
      <c r="T7772">
        <v>0.2890663</v>
      </c>
      <c r="U7772">
        <v>2.9952700000000001</v>
      </c>
      <c r="V7772">
        <v>-8.683573E-3</v>
      </c>
      <c r="W7772">
        <v>1.339331E-2</v>
      </c>
      <c r="X7772">
        <v>0.9998726</v>
      </c>
      <c r="Y7772">
        <v>-5.682794E-2</v>
      </c>
      <c r="Z7772">
        <v>9.5853430000000003E-2</v>
      </c>
      <c r="AA7772">
        <v>0.99377199999999999</v>
      </c>
      <c r="AB7772">
        <v>24</v>
      </c>
      <c r="AC7772">
        <v>-27.443199999999901</v>
      </c>
      <c r="AD7772">
        <v>37.574418999999999</v>
      </c>
      <c r="AE7772">
        <v>389.090825</v>
      </c>
      <c r="AF7772">
        <v>-22.101597440812402</v>
      </c>
      <c r="AG7772">
        <v>37.574418999999999</v>
      </c>
      <c r="AH7772">
        <v>385.83865508240501</v>
      </c>
      <c r="AI7772">
        <v>84.446906312190805</v>
      </c>
      <c r="AJ7772">
        <v>93.278432376070796</v>
      </c>
      <c r="AK7772">
        <v>388.293426841638</v>
      </c>
      <c r="AL7772">
        <v>89.232596919779297</v>
      </c>
      <c r="AM7772">
        <v>90.497582968066794</v>
      </c>
      <c r="AN7772">
        <v>1.00000000071178</v>
      </c>
    </row>
    <row r="7773" spans="1:40" x14ac:dyDescent="0.25">
      <c r="A7773" t="str">
        <f>"20190312160836674"</f>
        <v>20190312160836674</v>
      </c>
      <c r="B7773" t="str">
        <f>"1552378116652890"</f>
        <v>1552378116652890</v>
      </c>
      <c r="C7773" t="s">
        <v>40</v>
      </c>
      <c r="D7773">
        <v>4.8784919999999996</v>
      </c>
      <c r="E7773">
        <v>0.4713695</v>
      </c>
      <c r="F7773" t="s">
        <v>46</v>
      </c>
      <c r="G7773">
        <v>-225.6635</v>
      </c>
      <c r="H7773">
        <v>27.356729999999999</v>
      </c>
      <c r="I7773">
        <v>391.87</v>
      </c>
      <c r="J7773">
        <v>-187.5033</v>
      </c>
      <c r="K7773">
        <v>1.109472</v>
      </c>
      <c r="L7773">
        <v>3.0174259999999999</v>
      </c>
      <c r="M7773">
        <v>-1.325515E-2</v>
      </c>
      <c r="N7773">
        <v>0</v>
      </c>
      <c r="O7773">
        <v>0.99986200000000003</v>
      </c>
      <c r="P7773">
        <v>-2.2094860000000001E-2</v>
      </c>
      <c r="Q7773">
        <v>3.0312080000000001E-3</v>
      </c>
      <c r="R7773">
        <v>0.99975130000000001</v>
      </c>
      <c r="S7773">
        <v>-0.29362490000000002</v>
      </c>
      <c r="T7773">
        <v>0.2019435</v>
      </c>
      <c r="U7773">
        <v>2.9936219999999998</v>
      </c>
      <c r="V7773">
        <v>-8.841425E-3</v>
      </c>
      <c r="W7773">
        <v>1.304286E-2</v>
      </c>
      <c r="X7773">
        <v>0.99987579999999998</v>
      </c>
      <c r="Y7773">
        <v>-8.419459E-2</v>
      </c>
      <c r="Z7773">
        <v>6.7016619999999999E-2</v>
      </c>
      <c r="AA7773">
        <v>0.99419310000000005</v>
      </c>
      <c r="AB7773">
        <v>24</v>
      </c>
      <c r="AC7773">
        <v>-38.160200000000003</v>
      </c>
      <c r="AD7773">
        <v>26.247257999999999</v>
      </c>
      <c r="AE7773">
        <v>388.852574</v>
      </c>
      <c r="AF7773">
        <v>-32.8540294755365</v>
      </c>
      <c r="AG7773">
        <v>26.247257999999999</v>
      </c>
      <c r="AH7773">
        <v>387.575246418289</v>
      </c>
      <c r="AI7773">
        <v>86.139550389924494</v>
      </c>
      <c r="AJ7773">
        <v>94.845272874037207</v>
      </c>
      <c r="AK7773">
        <v>389.84981395595901</v>
      </c>
      <c r="AL7773">
        <v>89.252677943137499</v>
      </c>
      <c r="AM7773">
        <v>90.5066260578526</v>
      </c>
      <c r="AN7773">
        <v>0.99999995120932395</v>
      </c>
    </row>
    <row r="7774" spans="1:40" x14ac:dyDescent="0.25">
      <c r="A7774" t="str">
        <f>"20190312160836741"</f>
        <v>20190312160836741</v>
      </c>
      <c r="B7774" t="str">
        <f>"1552378116733586"</f>
        <v>1552378116733586</v>
      </c>
      <c r="C7774" t="s">
        <v>40</v>
      </c>
      <c r="D7774">
        <v>6.5952529999999996</v>
      </c>
      <c r="E7774">
        <v>0.49402740000000001</v>
      </c>
      <c r="F7774" t="s">
        <v>46</v>
      </c>
      <c r="G7774">
        <v>-225.72659999999999</v>
      </c>
      <c r="H7774">
        <v>27.209579999999999</v>
      </c>
      <c r="I7774">
        <v>391.87</v>
      </c>
      <c r="J7774">
        <v>-187.51339999999999</v>
      </c>
      <c r="K7774">
        <v>1.109467</v>
      </c>
      <c r="L7774">
        <v>3.7553100000000001</v>
      </c>
      <c r="M7774">
        <v>-1.344014E-2</v>
      </c>
      <c r="N7774">
        <v>0</v>
      </c>
      <c r="O7774">
        <v>0.99985950000000001</v>
      </c>
      <c r="P7774">
        <v>-2.2188240000000001E-2</v>
      </c>
      <c r="Q7774">
        <v>3.1855199999999998E-3</v>
      </c>
      <c r="R7774">
        <v>0.99974870000000005</v>
      </c>
      <c r="S7774">
        <v>-0.29426570000000002</v>
      </c>
      <c r="T7774">
        <v>0.20093430000000001</v>
      </c>
      <c r="U7774">
        <v>2.9936219999999998</v>
      </c>
      <c r="V7774">
        <v>-8.7498679999999992E-3</v>
      </c>
      <c r="W7774">
        <v>1.3197820000000001E-2</v>
      </c>
      <c r="X7774">
        <v>0.99987459999999995</v>
      </c>
      <c r="Y7774">
        <v>-8.4223210000000007E-2</v>
      </c>
      <c r="Z7774">
        <v>6.6682169999999999E-2</v>
      </c>
      <c r="AA7774">
        <v>0.99421320000000002</v>
      </c>
      <c r="AB7774">
        <v>25</v>
      </c>
      <c r="AC7774">
        <v>-38.213200000000001</v>
      </c>
      <c r="AD7774">
        <v>26.100113</v>
      </c>
      <c r="AE7774">
        <v>388.11469</v>
      </c>
      <c r="AF7774">
        <v>-32.846055271270302</v>
      </c>
      <c r="AG7774">
        <v>26.100113</v>
      </c>
      <c r="AH7774">
        <v>386.86052410567402</v>
      </c>
      <c r="AI7774">
        <v>86.154100495600503</v>
      </c>
      <c r="AJ7774">
        <v>94.853009189350999</v>
      </c>
      <c r="AK7774">
        <v>389.12869896322599</v>
      </c>
      <c r="AL7774">
        <v>89.243798645567097</v>
      </c>
      <c r="AM7774">
        <v>90.501380584214104</v>
      </c>
      <c r="AN7774">
        <v>0.99999997918396399</v>
      </c>
    </row>
    <row r="7775" spans="1:40" x14ac:dyDescent="0.25">
      <c r="A7775" t="str">
        <f>"20190312160836762"</f>
        <v>20190312160836762</v>
      </c>
      <c r="B7775" t="str">
        <f>"1552378116753107"</f>
        <v>1552378116753107</v>
      </c>
      <c r="C7775" t="s">
        <v>40</v>
      </c>
      <c r="D7775">
        <v>6.8717079999999999</v>
      </c>
      <c r="E7775">
        <v>0.49378319999999998</v>
      </c>
      <c r="F7775" t="s">
        <v>44</v>
      </c>
      <c r="G7775">
        <v>-187.54329999999999</v>
      </c>
      <c r="H7775">
        <v>0.82251419999999997</v>
      </c>
      <c r="I7775">
        <v>4.5297499999999999</v>
      </c>
      <c r="J7775">
        <v>-187.51660000000001</v>
      </c>
      <c r="K7775">
        <v>1.109469</v>
      </c>
      <c r="L7775">
        <v>3.99057</v>
      </c>
      <c r="M7775">
        <v>-1.349902E-2</v>
      </c>
      <c r="N7775">
        <v>0</v>
      </c>
      <c r="O7775">
        <v>0.99985869999999999</v>
      </c>
      <c r="P7775">
        <v>-2.2397469999999999E-2</v>
      </c>
      <c r="Q7775">
        <v>2.859117E-3</v>
      </c>
      <c r="R7775">
        <v>0.99974510000000005</v>
      </c>
      <c r="S7775">
        <v>-0.11608889999999999</v>
      </c>
      <c r="T7775">
        <v>-1.112222</v>
      </c>
      <c r="U7775">
        <v>3.001709</v>
      </c>
      <c r="V7775">
        <v>-8.9000889999999999E-3</v>
      </c>
      <c r="W7775">
        <v>1.287169E-2</v>
      </c>
      <c r="X7775">
        <v>0.99987760000000003</v>
      </c>
      <c r="Y7775">
        <v>-2.2747449999999999E-2</v>
      </c>
      <c r="Z7775">
        <v>-0.34724270000000002</v>
      </c>
      <c r="AA7775">
        <v>0.93749930000000004</v>
      </c>
      <c r="AB7775">
        <v>25</v>
      </c>
      <c r="AC7775">
        <v>-2.6699999999976801E-2</v>
      </c>
      <c r="AD7775">
        <v>-0.28695480000000001</v>
      </c>
      <c r="AE7775">
        <v>0.53917999999999999</v>
      </c>
      <c r="AF7775">
        <v>-1.5140770823661999E-2</v>
      </c>
      <c r="AG7775">
        <v>-0.28695480000000001</v>
      </c>
      <c r="AH7775">
        <v>0.42063949499287501</v>
      </c>
      <c r="AI7775">
        <v>124.284034646837</v>
      </c>
      <c r="AJ7775">
        <v>92.061451476840503</v>
      </c>
      <c r="AK7775">
        <v>0.50942112729257305</v>
      </c>
      <c r="AL7775">
        <v>89.262486161024896</v>
      </c>
      <c r="AM7775">
        <v>90.509986492360895</v>
      </c>
      <c r="AN7775">
        <v>1.00000005348471</v>
      </c>
    </row>
    <row r="7776" spans="1:40" x14ac:dyDescent="0.25">
      <c r="A7776" t="str">
        <f>"20190312160836784"</f>
        <v>20190312160836784</v>
      </c>
      <c r="B7776" t="str">
        <f>"1552378116773604"</f>
        <v>1552378116773604</v>
      </c>
      <c r="C7776" t="s">
        <v>40</v>
      </c>
      <c r="D7776">
        <v>6.8576729999999904</v>
      </c>
      <c r="E7776">
        <v>0.48676140000000001</v>
      </c>
      <c r="F7776" t="s">
        <v>44</v>
      </c>
      <c r="G7776">
        <v>-187.54679999999999</v>
      </c>
      <c r="H7776">
        <v>0.85122039999999999</v>
      </c>
      <c r="I7776">
        <v>4.7622390000000001</v>
      </c>
      <c r="J7776">
        <v>-187.51990000000001</v>
      </c>
      <c r="K7776">
        <v>1.1094660000000001</v>
      </c>
      <c r="L7776">
        <v>4.2325439999999999</v>
      </c>
      <c r="M7776">
        <v>-1.355864E-2</v>
      </c>
      <c r="N7776">
        <v>0</v>
      </c>
      <c r="O7776">
        <v>0.99985789999999997</v>
      </c>
      <c r="P7776">
        <v>-2.2487170000000001E-2</v>
      </c>
      <c r="Q7776">
        <v>2.9485710000000001E-3</v>
      </c>
      <c r="R7776">
        <v>0.99974280000000004</v>
      </c>
      <c r="S7776">
        <v>-0.1181183</v>
      </c>
      <c r="T7776">
        <v>-1.0043169999999999</v>
      </c>
      <c r="U7776">
        <v>3.001007</v>
      </c>
      <c r="V7776">
        <v>-8.930594E-3</v>
      </c>
      <c r="W7776">
        <v>1.296228E-2</v>
      </c>
      <c r="X7776">
        <v>0.99987610000000005</v>
      </c>
      <c r="Y7776">
        <v>-2.3746050000000001E-2</v>
      </c>
      <c r="Z7776">
        <v>-0.3171638</v>
      </c>
      <c r="AA7776">
        <v>0.94807339999999996</v>
      </c>
      <c r="AB7776">
        <v>25</v>
      </c>
      <c r="AC7776">
        <v>-2.6899999999983399E-2</v>
      </c>
      <c r="AD7776">
        <v>-0.25824560000000002</v>
      </c>
      <c r="AE7776">
        <v>0.52969500000000003</v>
      </c>
      <c r="AF7776">
        <v>-1.5936897972089199E-2</v>
      </c>
      <c r="AG7776">
        <v>-0.25824560000000002</v>
      </c>
      <c r="AH7776">
        <v>0.42843705520858899</v>
      </c>
      <c r="AI7776">
        <v>121.062467384294</v>
      </c>
      <c r="AJ7776">
        <v>92.130292370118994</v>
      </c>
      <c r="AK7776">
        <v>0.50050283207204804</v>
      </c>
      <c r="AL7776">
        <v>89.2572952607144</v>
      </c>
      <c r="AM7776">
        <v>90.511735142766994</v>
      </c>
      <c r="AN7776">
        <v>0.99999999578160004</v>
      </c>
    </row>
    <row r="7777" spans="1:40" x14ac:dyDescent="0.25">
      <c r="A7777" t="str">
        <f>"20190312160836806"</f>
        <v>20190312160836806</v>
      </c>
      <c r="B7777" t="str">
        <f>"1552378116803200"</f>
        <v>1552378116803200</v>
      </c>
      <c r="C7777" t="s">
        <v>40</v>
      </c>
      <c r="D7777">
        <v>6.0616260000000004</v>
      </c>
      <c r="E7777">
        <v>0.4836857</v>
      </c>
      <c r="F7777" t="s">
        <v>44</v>
      </c>
      <c r="G7777">
        <v>-187.56780000000001</v>
      </c>
      <c r="H7777">
        <v>1.0200089999999999</v>
      </c>
      <c r="I7777">
        <v>5.0610970000000002</v>
      </c>
      <c r="J7777">
        <v>-187.5232</v>
      </c>
      <c r="K7777">
        <v>1.1094649999999999</v>
      </c>
      <c r="L7777">
        <v>4.4663389999999996</v>
      </c>
      <c r="M7777">
        <v>-1.3612890000000001E-2</v>
      </c>
      <c r="N7777">
        <v>0</v>
      </c>
      <c r="O7777">
        <v>0.9998572</v>
      </c>
      <c r="P7777">
        <v>-2.2896739999999999E-2</v>
      </c>
      <c r="Q7777">
        <v>3.067901E-3</v>
      </c>
      <c r="R7777">
        <v>0.99973319999999999</v>
      </c>
      <c r="S7777">
        <v>-0.17337040000000001</v>
      </c>
      <c r="T7777">
        <v>-0.3236656</v>
      </c>
      <c r="U7777">
        <v>2.997833</v>
      </c>
      <c r="V7777">
        <v>-9.2857779999999997E-3</v>
      </c>
      <c r="W7777">
        <v>1.308339E-2</v>
      </c>
      <c r="X7777">
        <v>0.99987130000000002</v>
      </c>
      <c r="Y7777">
        <v>-4.3806589999999999E-2</v>
      </c>
      <c r="Z7777">
        <v>-0.1071879</v>
      </c>
      <c r="AA7777">
        <v>0.99327330000000003</v>
      </c>
      <c r="AB7777">
        <v>25</v>
      </c>
      <c r="AC7777">
        <v>-4.4600000000002603E-2</v>
      </c>
      <c r="AD7777">
        <v>-8.9455999999999897E-2</v>
      </c>
      <c r="AE7777">
        <v>0.59475800000000001</v>
      </c>
      <c r="AF7777">
        <v>-3.5696071146221101E-2</v>
      </c>
      <c r="AG7777">
        <v>-8.9455999999999897E-2</v>
      </c>
      <c r="AH7777">
        <v>0.58221266165182795</v>
      </c>
      <c r="AI7777">
        <v>98.718969380210794</v>
      </c>
      <c r="AJ7777">
        <v>93.508472782665194</v>
      </c>
      <c r="AK7777">
        <v>0.59012555343670903</v>
      </c>
      <c r="AL7777">
        <v>89.250355589993006</v>
      </c>
      <c r="AM7777">
        <v>90.532089073896302</v>
      </c>
      <c r="AN7777">
        <v>1.00000000866532</v>
      </c>
    </row>
    <row r="7778" spans="1:40" x14ac:dyDescent="0.25">
      <c r="A7778" t="str">
        <f>"20190312160836829"</f>
        <v>20190312160836829</v>
      </c>
      <c r="B7778" t="str">
        <f>"1552378116822701"</f>
        <v>1552378116822701</v>
      </c>
      <c r="C7778" t="s">
        <v>40</v>
      </c>
      <c r="D7778">
        <v>6.3574310000000001</v>
      </c>
      <c r="E7778">
        <v>0.4887145</v>
      </c>
      <c r="F7778" t="s">
        <v>47</v>
      </c>
      <c r="G7778">
        <v>-188.7467</v>
      </c>
      <c r="H7778" s="1">
        <v>-1.6278009999999999E-6</v>
      </c>
      <c r="I7778">
        <v>22.909009999999999</v>
      </c>
      <c r="J7778">
        <v>-187.52680000000001</v>
      </c>
      <c r="K7778">
        <v>1.1094539999999999</v>
      </c>
      <c r="L7778">
        <v>4.7275700000000001</v>
      </c>
      <c r="M7778">
        <v>-1.3664870000000001E-2</v>
      </c>
      <c r="N7778">
        <v>0</v>
      </c>
      <c r="O7778">
        <v>0.99985650000000004</v>
      </c>
      <c r="P7778">
        <v>-2.3313500000000001E-2</v>
      </c>
      <c r="Q7778">
        <v>2.912198E-3</v>
      </c>
      <c r="R7778">
        <v>0.99972399999999995</v>
      </c>
      <c r="S7778">
        <v>-0.198822</v>
      </c>
      <c r="T7778">
        <v>-0.1802801</v>
      </c>
      <c r="U7778">
        <v>2.9967959999999998</v>
      </c>
      <c r="V7778">
        <v>-9.6505289999999997E-3</v>
      </c>
      <c r="W7778">
        <v>1.2929380000000001E-2</v>
      </c>
      <c r="X7778">
        <v>0.99986980000000003</v>
      </c>
      <c r="Y7778">
        <v>-5.2438579999999999E-2</v>
      </c>
      <c r="Z7778">
        <v>-5.9933729999999998E-2</v>
      </c>
      <c r="AA7778">
        <v>0.99682400000000004</v>
      </c>
      <c r="AB7778">
        <v>25</v>
      </c>
      <c r="AC7778">
        <v>-1.21989999999999</v>
      </c>
      <c r="AD7778">
        <v>-1.1094556278009999</v>
      </c>
      <c r="AE7778">
        <v>18.181439999999998</v>
      </c>
      <c r="AF7778">
        <v>-0.96773929278903603</v>
      </c>
      <c r="AG7778">
        <v>-1.1094556278009999</v>
      </c>
      <c r="AH7778">
        <v>18.129209432654999</v>
      </c>
      <c r="AI7778">
        <v>93.497003705838495</v>
      </c>
      <c r="AJ7778">
        <v>93.055555324116995</v>
      </c>
      <c r="AK7778">
        <v>18.188887975407699</v>
      </c>
      <c r="AL7778">
        <v>89.259180422794699</v>
      </c>
      <c r="AM7778">
        <v>90.552989412046898</v>
      </c>
      <c r="AN7778">
        <v>0.99999995926460095</v>
      </c>
    </row>
    <row r="7779" spans="1:40" x14ac:dyDescent="0.25">
      <c r="A7779" t="str">
        <f>"20190312160836851"</f>
        <v>20190312160836851</v>
      </c>
      <c r="B7779" t="str">
        <f>"1552378116843198"</f>
        <v>1552378116843198</v>
      </c>
      <c r="C7779" t="s">
        <v>40</v>
      </c>
      <c r="D7779">
        <v>6.3615389999999996</v>
      </c>
      <c r="E7779">
        <v>0.49026969999999997</v>
      </c>
      <c r="F7779" t="s">
        <v>47</v>
      </c>
      <c r="G7779">
        <v>-188.4736</v>
      </c>
      <c r="H7779" s="1">
        <v>-1.49291E-6</v>
      </c>
      <c r="I7779">
        <v>22.481649999999998</v>
      </c>
      <c r="J7779">
        <v>-187.53030000000001</v>
      </c>
      <c r="K7779">
        <v>1.10944</v>
      </c>
      <c r="L7779">
        <v>4.9797359999999999</v>
      </c>
      <c r="M7779">
        <v>-1.370149E-2</v>
      </c>
      <c r="N7779">
        <v>0</v>
      </c>
      <c r="O7779">
        <v>0.99985590000000002</v>
      </c>
      <c r="P7779">
        <v>-2.349097E-2</v>
      </c>
      <c r="Q7779">
        <v>2.6342639999999999E-3</v>
      </c>
      <c r="R7779">
        <v>0.99972059999999996</v>
      </c>
      <c r="S7779">
        <v>-0.15986629999999999</v>
      </c>
      <c r="T7779">
        <v>-0.18732370000000001</v>
      </c>
      <c r="U7779">
        <v>2.9976500000000001</v>
      </c>
      <c r="V7779">
        <v>-9.791213E-3</v>
      </c>
      <c r="W7779">
        <v>1.2653319999999999E-2</v>
      </c>
      <c r="X7779">
        <v>0.99987199999999998</v>
      </c>
      <c r="Y7779">
        <v>-3.9463720000000001E-2</v>
      </c>
      <c r="Z7779">
        <v>-6.2291390000000002E-2</v>
      </c>
      <c r="AA7779">
        <v>0.99727750000000004</v>
      </c>
      <c r="AB7779">
        <v>25</v>
      </c>
      <c r="AC7779">
        <v>-0.94329999999999303</v>
      </c>
      <c r="AD7779">
        <v>-1.10944149291</v>
      </c>
      <c r="AE7779">
        <v>17.501913999999999</v>
      </c>
      <c r="AF7779">
        <v>-0.70059010212862605</v>
      </c>
      <c r="AG7779">
        <v>-1.10944149291</v>
      </c>
      <c r="AH7779">
        <v>17.4433075227027</v>
      </c>
      <c r="AI7779">
        <v>93.636340477882698</v>
      </c>
      <c r="AJ7779">
        <v>92.299981964329803</v>
      </c>
      <c r="AK7779">
        <v>17.492588837818399</v>
      </c>
      <c r="AL7779">
        <v>89.274998816703601</v>
      </c>
      <c r="AM7779">
        <v>90.561049064800898</v>
      </c>
      <c r="AN7779">
        <v>0.99999999537151596</v>
      </c>
    </row>
    <row r="7780" spans="1:40" x14ac:dyDescent="0.25">
      <c r="A7780" t="str">
        <f>"20190312160836873"</f>
        <v>20190312160836873</v>
      </c>
      <c r="B7780" t="str">
        <f>"1552378116862717"</f>
        <v>1552378116862717</v>
      </c>
      <c r="C7780" t="s">
        <v>40</v>
      </c>
      <c r="D7780">
        <v>6.7394489999999996</v>
      </c>
      <c r="E7780">
        <v>0.49330619999999997</v>
      </c>
      <c r="F7780" t="s">
        <v>47</v>
      </c>
      <c r="G7780">
        <v>-188.4152</v>
      </c>
      <c r="H7780" s="1">
        <v>-1.684716E-6</v>
      </c>
      <c r="I7780">
        <v>22.904589999999999</v>
      </c>
      <c r="J7780">
        <v>-187.53360000000001</v>
      </c>
      <c r="K7780">
        <v>1.109426</v>
      </c>
      <c r="L7780">
        <v>5.2195130000000001</v>
      </c>
      <c r="M7780">
        <v>-1.3723630000000001E-2</v>
      </c>
      <c r="N7780">
        <v>0</v>
      </c>
      <c r="O7780">
        <v>0.99985559999999996</v>
      </c>
      <c r="P7780">
        <v>-2.4130660000000002E-2</v>
      </c>
      <c r="Q7780">
        <v>2.3240270000000002E-3</v>
      </c>
      <c r="R7780">
        <v>0.99970610000000004</v>
      </c>
      <c r="S7780">
        <v>-0.14799499999999999</v>
      </c>
      <c r="T7780">
        <v>-0.18554989999999999</v>
      </c>
      <c r="U7780">
        <v>2.9978639999999999</v>
      </c>
      <c r="V7780">
        <v>-1.0408199999999999E-2</v>
      </c>
      <c r="W7780">
        <v>1.2345299999999899E-2</v>
      </c>
      <c r="X7780">
        <v>0.99986960000000003</v>
      </c>
      <c r="Y7780">
        <v>-3.5500530000000002E-2</v>
      </c>
      <c r="Z7780">
        <v>-6.17102E-2</v>
      </c>
      <c r="AA7780">
        <v>0.99746259999999998</v>
      </c>
      <c r="AB7780">
        <v>25</v>
      </c>
      <c r="AC7780">
        <v>-0.88159999999999095</v>
      </c>
      <c r="AD7780">
        <v>-1.1094276847160001</v>
      </c>
      <c r="AE7780">
        <v>17.685077</v>
      </c>
      <c r="AF7780">
        <v>-0.63630345174923797</v>
      </c>
      <c r="AG7780">
        <v>-1.1094276847160001</v>
      </c>
      <c r="AH7780">
        <v>17.626316834206602</v>
      </c>
      <c r="AI7780">
        <v>93.599195862330802</v>
      </c>
      <c r="AJ7780">
        <v>92.067458451840494</v>
      </c>
      <c r="AK7780">
        <v>17.6726556298185</v>
      </c>
      <c r="AL7780">
        <v>89.292648428665899</v>
      </c>
      <c r="AM7780">
        <v>90.596402164777103</v>
      </c>
      <c r="AN7780">
        <v>0.99999997703174404</v>
      </c>
    </row>
    <row r="7781" spans="1:40" x14ac:dyDescent="0.25">
      <c r="A7781" t="str">
        <f>"20190312160836895"</f>
        <v>20190312160836895</v>
      </c>
      <c r="B7781" t="str">
        <f>"1552378116883213"</f>
        <v>1552378116883213</v>
      </c>
      <c r="C7781" t="s">
        <v>40</v>
      </c>
      <c r="D7781">
        <v>6.5611940000000004</v>
      </c>
      <c r="E7781">
        <v>0.48761939999999998</v>
      </c>
      <c r="F7781" t="s">
        <v>47</v>
      </c>
      <c r="G7781">
        <v>-188.29830000000001</v>
      </c>
      <c r="H7781" s="1">
        <v>-1.9468309999999999E-6</v>
      </c>
      <c r="I7781">
        <v>23.46724</v>
      </c>
      <c r="J7781">
        <v>-187.53700000000001</v>
      </c>
      <c r="K7781">
        <v>1.1094200000000001</v>
      </c>
      <c r="L7781">
        <v>5.4657900000000001</v>
      </c>
      <c r="M7781">
        <v>-1.3735199999999999E-2</v>
      </c>
      <c r="N7781">
        <v>0</v>
      </c>
      <c r="O7781">
        <v>0.99985539999999995</v>
      </c>
      <c r="P7781">
        <v>-2.434265E-2</v>
      </c>
      <c r="Q7781">
        <v>2.0650769999999998E-3</v>
      </c>
      <c r="R7781">
        <v>0.99970159999999997</v>
      </c>
      <c r="S7781">
        <v>-0.1256409</v>
      </c>
      <c r="T7781">
        <v>-0.1822888</v>
      </c>
      <c r="U7781">
        <v>2.9982600000000001</v>
      </c>
      <c r="V7781">
        <v>-1.0607999999999999E-2</v>
      </c>
      <c r="W7781">
        <v>1.208831E-2</v>
      </c>
      <c r="X7781">
        <v>0.9998707</v>
      </c>
      <c r="Y7781">
        <v>-2.8063000000000001E-2</v>
      </c>
      <c r="Z7781">
        <v>-6.063909E-2</v>
      </c>
      <c r="AA7781">
        <v>0.99776520000000002</v>
      </c>
      <c r="AB7781">
        <v>25</v>
      </c>
      <c r="AC7781">
        <v>-0.76130000000000497</v>
      </c>
      <c r="AD7781">
        <v>-1.109421946831</v>
      </c>
      <c r="AE7781">
        <v>18.001449999999998</v>
      </c>
      <c r="AF7781">
        <v>-0.51202094421273303</v>
      </c>
      <c r="AG7781">
        <v>-1.109421946831</v>
      </c>
      <c r="AH7781">
        <v>17.942182404800501</v>
      </c>
      <c r="AI7781">
        <v>93.5368384955284</v>
      </c>
      <c r="AJ7781">
        <v>91.634621623443095</v>
      </c>
      <c r="AK7781">
        <v>17.983739654214201</v>
      </c>
      <c r="AL7781">
        <v>89.307374011765106</v>
      </c>
      <c r="AM7781">
        <v>90.607849421377097</v>
      </c>
      <c r="AN7781">
        <v>1.0000000368105699</v>
      </c>
    </row>
    <row r="7782" spans="1:40" x14ac:dyDescent="0.25">
      <c r="A7782" t="str">
        <f>"20190312160836919"</f>
        <v>20190312160836919</v>
      </c>
      <c r="B7782" t="str">
        <f>"1552378116913469"</f>
        <v>1552378116913469</v>
      </c>
      <c r="C7782" t="s">
        <v>40</v>
      </c>
      <c r="D7782">
        <v>5.3323989999999997</v>
      </c>
      <c r="E7782">
        <v>0.50178719999999999</v>
      </c>
      <c r="F7782" t="s">
        <v>46</v>
      </c>
      <c r="G7782">
        <v>-209.70330000000001</v>
      </c>
      <c r="H7782">
        <v>21.45044</v>
      </c>
      <c r="I7782">
        <v>391.87</v>
      </c>
      <c r="J7782">
        <v>-187.54050000000001</v>
      </c>
      <c r="K7782">
        <v>1.109416</v>
      </c>
      <c r="L7782">
        <v>5.7192990000000004</v>
      </c>
      <c r="M7782">
        <v>-1.3737950000000001E-2</v>
      </c>
      <c r="N7782">
        <v>0</v>
      </c>
      <c r="O7782">
        <v>0.9998553</v>
      </c>
      <c r="P7782">
        <v>-2.4501970000000001E-2</v>
      </c>
      <c r="Q7782">
        <v>2.0430600000000002E-3</v>
      </c>
      <c r="R7782">
        <v>0.99969770000000002</v>
      </c>
      <c r="S7782">
        <v>-0.171890299999999</v>
      </c>
      <c r="T7782">
        <v>0.15773579999999901</v>
      </c>
      <c r="U7782">
        <v>2.9963989999999998</v>
      </c>
      <c r="V7782">
        <v>-1.076439E-2</v>
      </c>
      <c r="W7782">
        <v>1.206876E-2</v>
      </c>
      <c r="X7782">
        <v>0.99986920000000001</v>
      </c>
      <c r="Y7782">
        <v>-4.3470990000000001E-2</v>
      </c>
      <c r="Z7782">
        <v>5.2493709999999999E-2</v>
      </c>
      <c r="AA7782">
        <v>0.99767459999999997</v>
      </c>
      <c r="AB7782">
        <v>25</v>
      </c>
      <c r="AC7782">
        <v>-22.162800000000001</v>
      </c>
      <c r="AD7782">
        <v>20.341023999999901</v>
      </c>
      <c r="AE7782">
        <v>386.150700999999</v>
      </c>
      <c r="AF7782">
        <v>-16.809033677516101</v>
      </c>
      <c r="AG7782">
        <v>20.341023999999901</v>
      </c>
      <c r="AH7782">
        <v>385.352975617906</v>
      </c>
      <c r="AI7782">
        <v>86.981286838720393</v>
      </c>
      <c r="AJ7782">
        <v>92.497649236363301</v>
      </c>
      <c r="AK7782">
        <v>386.25537755235899</v>
      </c>
      <c r="AL7782">
        <v>89.308494181170204</v>
      </c>
      <c r="AM7782">
        <v>90.616810968801502</v>
      </c>
      <c r="AN7782">
        <v>0.99999997208432401</v>
      </c>
    </row>
    <row r="7783" spans="1:40" x14ac:dyDescent="0.25">
      <c r="A7783" t="str">
        <f>"20190312160836941"</f>
        <v>20190312160836941</v>
      </c>
      <c r="B7783" t="str">
        <f>"1552378116932991"</f>
        <v>1552378116932991</v>
      </c>
      <c r="C7783" t="s">
        <v>40</v>
      </c>
      <c r="D7783">
        <v>6.3869490000000004</v>
      </c>
      <c r="E7783">
        <v>0.50022579999999905</v>
      </c>
      <c r="F7783" t="s">
        <v>47</v>
      </c>
      <c r="G7783">
        <v>-187.96639999999999</v>
      </c>
      <c r="H7783" s="1">
        <v>-3.6469959999999999E-6</v>
      </c>
      <c r="I7783">
        <v>27.293140000000001</v>
      </c>
      <c r="J7783">
        <v>-187.54400000000001</v>
      </c>
      <c r="K7783">
        <v>1.1094139999999999</v>
      </c>
      <c r="L7783">
        <v>5.9741210000000002</v>
      </c>
      <c r="M7783">
        <v>-1.3732980000000001E-2</v>
      </c>
      <c r="N7783">
        <v>0</v>
      </c>
      <c r="O7783">
        <v>0.99985539999999995</v>
      </c>
      <c r="P7783">
        <v>-2.403245E-2</v>
      </c>
      <c r="Q7783">
        <v>2.5887879999999999E-3</v>
      </c>
      <c r="R7783">
        <v>0.99970780000000004</v>
      </c>
      <c r="S7783">
        <v>-5.9219359999999999E-2</v>
      </c>
      <c r="T7783">
        <v>-0.15426039999999999</v>
      </c>
      <c r="U7783">
        <v>2.9997560000000001</v>
      </c>
      <c r="V7783">
        <v>-1.029994E-2</v>
      </c>
      <c r="W7783">
        <v>1.26166E-2</v>
      </c>
      <c r="X7783">
        <v>0.99986739999999996</v>
      </c>
      <c r="Y7783">
        <v>-5.9786569999999897E-3</v>
      </c>
      <c r="Z7783">
        <v>-5.134375E-2</v>
      </c>
      <c r="AA7783">
        <v>0.99866310000000003</v>
      </c>
      <c r="AB7783">
        <v>25</v>
      </c>
      <c r="AC7783">
        <v>-0.42239999999998101</v>
      </c>
      <c r="AD7783">
        <v>-1.109417646996</v>
      </c>
      <c r="AE7783">
        <v>21.319019000000001</v>
      </c>
      <c r="AF7783">
        <v>-0.12922197455954301</v>
      </c>
      <c r="AG7783">
        <v>-1.109417646996</v>
      </c>
      <c r="AH7783">
        <v>21.265244858615301</v>
      </c>
      <c r="AI7783">
        <v>92.986384754838696</v>
      </c>
      <c r="AJ7783">
        <v>90.3481635260774</v>
      </c>
      <c r="AK7783">
        <v>21.2945566925221</v>
      </c>
      <c r="AL7783">
        <v>89.277102919742902</v>
      </c>
      <c r="AM7783">
        <v>90.5902004784311</v>
      </c>
      <c r="AN7783">
        <v>1.0000000424711599</v>
      </c>
    </row>
    <row r="7784" spans="1:40" x14ac:dyDescent="0.25">
      <c r="A7784" t="str">
        <f>"20190312160836964"</f>
        <v>20190312160836964</v>
      </c>
      <c r="B7784" t="str">
        <f>"1552378116953485"</f>
        <v>1552378116953485</v>
      </c>
      <c r="C7784" t="s">
        <v>40</v>
      </c>
      <c r="D7784">
        <v>6.3561809999999896</v>
      </c>
      <c r="E7784">
        <v>0.49801679999999998</v>
      </c>
      <c r="F7784" t="s">
        <v>47</v>
      </c>
      <c r="G7784">
        <v>-188.16290000000001</v>
      </c>
      <c r="H7784" s="1">
        <v>-1.538325E-6</v>
      </c>
      <c r="I7784">
        <v>32.459040000000002</v>
      </c>
      <c r="J7784">
        <v>-187.54740000000001</v>
      </c>
      <c r="K7784">
        <v>1.1094079999999999</v>
      </c>
      <c r="L7784">
        <v>6.2263789999999997</v>
      </c>
      <c r="M7784">
        <v>-1.3719220000000001E-2</v>
      </c>
      <c r="N7784">
        <v>0</v>
      </c>
      <c r="O7784">
        <v>0.99985559999999996</v>
      </c>
      <c r="P7784">
        <v>-2.3461139999999998E-2</v>
      </c>
      <c r="Q7784">
        <v>2.743166E-3</v>
      </c>
      <c r="R7784">
        <v>0.99972099999999997</v>
      </c>
      <c r="S7784">
        <v>-7.0098880000000002E-2</v>
      </c>
      <c r="T7784">
        <v>-0.12564529999999999</v>
      </c>
      <c r="U7784">
        <v>2.9995120000000002</v>
      </c>
      <c r="V7784">
        <v>-9.7420900000000001E-3</v>
      </c>
      <c r="W7784">
        <v>1.2773939999999999E-2</v>
      </c>
      <c r="X7784">
        <v>0.99987099999999995</v>
      </c>
      <c r="Y7784">
        <v>-9.624891E-3</v>
      </c>
      <c r="Z7784">
        <v>-4.1839300000000003E-2</v>
      </c>
      <c r="AA7784">
        <v>0.99907800000000002</v>
      </c>
      <c r="AB7784">
        <v>25</v>
      </c>
      <c r="AC7784">
        <v>-0.61549999999999705</v>
      </c>
      <c r="AD7784">
        <v>-1.109409538325</v>
      </c>
      <c r="AE7784">
        <v>26.232661</v>
      </c>
      <c r="AF7784">
        <v>-0.25507635940123802</v>
      </c>
      <c r="AG7784">
        <v>-1.109409538325</v>
      </c>
      <c r="AH7784">
        <v>26.191817138566599</v>
      </c>
      <c r="AI7784">
        <v>92.425318636619707</v>
      </c>
      <c r="AJ7784">
        <v>90.557973383632799</v>
      </c>
      <c r="AK7784">
        <v>26.216543221656199</v>
      </c>
      <c r="AL7784">
        <v>89.268087280575998</v>
      </c>
      <c r="AM7784">
        <v>90.558234990737802</v>
      </c>
      <c r="AN7784">
        <v>1.0000000492508401</v>
      </c>
    </row>
    <row r="7785" spans="1:40" x14ac:dyDescent="0.25">
      <c r="A7785" t="str">
        <f>"20190312160836986"</f>
        <v>20190312160836986</v>
      </c>
      <c r="B7785" t="str">
        <f>"1552378116973005"</f>
        <v>1552378116973005</v>
      </c>
      <c r="C7785" t="s">
        <v>40</v>
      </c>
      <c r="D7785">
        <v>5.952102</v>
      </c>
      <c r="E7785">
        <v>0.49471540000000003</v>
      </c>
      <c r="F7785" t="s">
        <v>47</v>
      </c>
      <c r="G7785">
        <v>-188.5086</v>
      </c>
      <c r="H7785" s="1">
        <v>-4.2774700000000003E-7</v>
      </c>
      <c r="I7785">
        <v>39.73892</v>
      </c>
      <c r="J7785">
        <v>-187.55080000000001</v>
      </c>
      <c r="K7785">
        <v>1.1094059999999999</v>
      </c>
      <c r="L7785">
        <v>6.4713129999999897</v>
      </c>
      <c r="M7785">
        <v>-1.369738E-2</v>
      </c>
      <c r="N7785">
        <v>0</v>
      </c>
      <c r="O7785">
        <v>0.99985590000000002</v>
      </c>
      <c r="P7785">
        <v>-2.2962130000000001E-2</v>
      </c>
      <c r="Q7785">
        <v>2.9646379999999999E-3</v>
      </c>
      <c r="R7785">
        <v>0.99973199999999995</v>
      </c>
      <c r="S7785">
        <v>-8.6013790000000007E-2</v>
      </c>
      <c r="T7785">
        <v>-9.9282499999999996E-2</v>
      </c>
      <c r="U7785">
        <v>2.9990839999999999</v>
      </c>
      <c r="V7785">
        <v>-9.2648109999999995E-3</v>
      </c>
      <c r="W7785">
        <v>1.299756E-2</v>
      </c>
      <c r="X7785">
        <v>0.9998726</v>
      </c>
      <c r="Y7785">
        <v>-1.4957420000000001E-2</v>
      </c>
      <c r="Z7785">
        <v>-3.3072860000000003E-2</v>
      </c>
      <c r="AA7785">
        <v>0.99934100000000003</v>
      </c>
      <c r="AB7785">
        <v>25</v>
      </c>
      <c r="AC7785">
        <v>-0.95779999999999099</v>
      </c>
      <c r="AD7785">
        <v>-1.1094064277469999</v>
      </c>
      <c r="AE7785">
        <v>33.267606999999998</v>
      </c>
      <c r="AF7785">
        <v>-0.50145097354980905</v>
      </c>
      <c r="AG7785">
        <v>-1.1094064277469999</v>
      </c>
      <c r="AH7785">
        <v>33.240669890358603</v>
      </c>
      <c r="AI7785">
        <v>91.911318196386404</v>
      </c>
      <c r="AJ7785">
        <v>90.864267939171398</v>
      </c>
      <c r="AK7785">
        <v>33.262957933121299</v>
      </c>
      <c r="AL7785">
        <v>89.255273694541401</v>
      </c>
      <c r="AM7785">
        <v>90.530887011836896</v>
      </c>
      <c r="AN7785">
        <v>0.99999999475978896</v>
      </c>
    </row>
    <row r="7786" spans="1:40" x14ac:dyDescent="0.25">
      <c r="A7786" t="str">
        <f>"20190312160837007"</f>
        <v>20190312160837007</v>
      </c>
      <c r="B7786" t="str">
        <f>"1552378117003263"</f>
        <v>1552378117003263</v>
      </c>
      <c r="C7786" t="s">
        <v>40</v>
      </c>
      <c r="D7786">
        <v>6.4072889999999996</v>
      </c>
      <c r="E7786">
        <v>0.49485069999999998</v>
      </c>
      <c r="F7786" t="s">
        <v>47</v>
      </c>
      <c r="G7786">
        <v>-189.36410000000001</v>
      </c>
      <c r="H7786" s="1">
        <v>-2.6231459999999999E-6</v>
      </c>
      <c r="I7786">
        <v>55.484439999999999</v>
      </c>
      <c r="J7786">
        <v>-187.554</v>
      </c>
      <c r="K7786">
        <v>1.1093980000000001</v>
      </c>
      <c r="L7786">
        <v>6.7051089999999904</v>
      </c>
      <c r="M7786">
        <v>-1.366936E-2</v>
      </c>
      <c r="N7786">
        <v>0</v>
      </c>
      <c r="O7786">
        <v>0.99985619999999997</v>
      </c>
      <c r="P7786">
        <v>-2.2703620000000001E-2</v>
      </c>
      <c r="Q7786">
        <v>3.1844759999999999E-3</v>
      </c>
      <c r="R7786">
        <v>0.99973710000000005</v>
      </c>
      <c r="S7786">
        <v>-0.1109314</v>
      </c>
      <c r="T7786">
        <v>-6.7870260000000002E-2</v>
      </c>
      <c r="U7786">
        <v>2.9984739999999999</v>
      </c>
      <c r="V7786">
        <v>-9.0340239999999999E-3</v>
      </c>
      <c r="W7786">
        <v>1.3219750000000001E-2</v>
      </c>
      <c r="X7786">
        <v>0.99987179999999998</v>
      </c>
      <c r="Y7786">
        <v>-2.3297040000000001E-2</v>
      </c>
      <c r="Z7786">
        <v>-2.261517E-2</v>
      </c>
      <c r="AA7786">
        <v>0.99947269999999999</v>
      </c>
      <c r="AB7786">
        <v>25</v>
      </c>
      <c r="AC7786">
        <v>-1.8101</v>
      </c>
      <c r="AD7786">
        <v>-1.1094006231460001</v>
      </c>
      <c r="AE7786">
        <v>48.779330999999999</v>
      </c>
      <c r="AF7786">
        <v>-1.14252488022961</v>
      </c>
      <c r="AG7786">
        <v>-1.1094006231460001</v>
      </c>
      <c r="AH7786">
        <v>48.774323144034199</v>
      </c>
      <c r="AI7786">
        <v>91.302644256190703</v>
      </c>
      <c r="AJ7786">
        <v>91.341892208685493</v>
      </c>
      <c r="AK7786">
        <v>48.800314865820802</v>
      </c>
      <c r="AL7786">
        <v>89.242542052138205</v>
      </c>
      <c r="AM7786">
        <v>90.517663727412298</v>
      </c>
      <c r="AN7786">
        <v>0.99999999590746702</v>
      </c>
    </row>
    <row r="7787" spans="1:40" x14ac:dyDescent="0.25">
      <c r="A7787" t="str">
        <f>"20190312160837030"</f>
        <v>20190312160837030</v>
      </c>
      <c r="B7787" t="str">
        <f>"1552378117022781"</f>
        <v>1552378117022781</v>
      </c>
      <c r="C7787" t="s">
        <v>40</v>
      </c>
      <c r="D7787">
        <v>6.4251239999999896</v>
      </c>
      <c r="E7787">
        <v>0.49474479999999998</v>
      </c>
      <c r="F7787" t="s">
        <v>47</v>
      </c>
      <c r="G7787">
        <v>-189.48990000000001</v>
      </c>
      <c r="H7787" s="1">
        <v>-2.232005E-7</v>
      </c>
      <c r="I7787">
        <v>59.905119999999997</v>
      </c>
      <c r="J7787">
        <v>-187.55760000000001</v>
      </c>
      <c r="K7787">
        <v>1.109383</v>
      </c>
      <c r="L7787">
        <v>6.973541</v>
      </c>
      <c r="M7787">
        <v>-1.363019E-2</v>
      </c>
      <c r="N7787">
        <v>0</v>
      </c>
      <c r="O7787">
        <v>0.99985670000000004</v>
      </c>
      <c r="P7787">
        <v>-2.3011899999999998E-2</v>
      </c>
      <c r="Q7787">
        <v>2.9040469999999999E-3</v>
      </c>
      <c r="R7787">
        <v>0.99973089999999998</v>
      </c>
      <c r="S7787">
        <v>-0.10911559999999999</v>
      </c>
      <c r="T7787">
        <v>-6.2528849999999997E-2</v>
      </c>
      <c r="U7787">
        <v>2.9985050000000002</v>
      </c>
      <c r="V7787">
        <v>-9.3816260000000005E-3</v>
      </c>
      <c r="W7787">
        <v>1.2942250000000001E-2</v>
      </c>
      <c r="X7787">
        <v>0.99987219999999999</v>
      </c>
      <c r="Y7787">
        <v>-2.2732800000000001E-2</v>
      </c>
      <c r="Z7787">
        <v>-2.083633E-2</v>
      </c>
      <c r="AA7787">
        <v>0.99952439999999998</v>
      </c>
      <c r="AB7787">
        <v>25</v>
      </c>
      <c r="AC7787">
        <v>-1.9322999999999899</v>
      </c>
      <c r="AD7787">
        <v>-1.1093832232005001</v>
      </c>
      <c r="AE7787">
        <v>52.931578999999999</v>
      </c>
      <c r="AF7787">
        <v>-1.21008578835109</v>
      </c>
      <c r="AG7787">
        <v>-1.1093832232005001</v>
      </c>
      <c r="AH7787">
        <v>52.929780725106703</v>
      </c>
      <c r="AI7787">
        <v>91.200403114291305</v>
      </c>
      <c r="AJ7787">
        <v>91.309673530451605</v>
      </c>
      <c r="AK7787">
        <v>52.955233229199898</v>
      </c>
      <c r="AL7787">
        <v>89.258442969771707</v>
      </c>
      <c r="AM7787">
        <v>90.537580504213807</v>
      </c>
      <c r="AN7787">
        <v>0.99999996653715195</v>
      </c>
    </row>
    <row r="7788" spans="1:40" x14ac:dyDescent="0.25">
      <c r="A7788" t="str">
        <f>"20190312160837053"</f>
        <v>20190312160837053</v>
      </c>
      <c r="B7788" t="str">
        <f>"1552378117043277"</f>
        <v>1552378117043277</v>
      </c>
      <c r="C7788" t="s">
        <v>40</v>
      </c>
      <c r="D7788">
        <v>6.4268749999999999</v>
      </c>
      <c r="E7788">
        <v>0.49440030000000001</v>
      </c>
      <c r="F7788" t="s">
        <v>47</v>
      </c>
      <c r="G7788">
        <v>-189.38489999999999</v>
      </c>
      <c r="H7788" s="1">
        <v>-2.9744050000000002E-6</v>
      </c>
      <c r="I7788">
        <v>56.311860000000003</v>
      </c>
      <c r="J7788">
        <v>-187.5609</v>
      </c>
      <c r="K7788">
        <v>1.10937</v>
      </c>
      <c r="L7788">
        <v>7.2192990000000004</v>
      </c>
      <c r="M7788">
        <v>-1.3588579999999999E-2</v>
      </c>
      <c r="N7788">
        <v>0</v>
      </c>
      <c r="O7788">
        <v>0.9998572</v>
      </c>
      <c r="P7788">
        <v>-2.248236E-2</v>
      </c>
      <c r="Q7788">
        <v>2.4720160000000001E-3</v>
      </c>
      <c r="R7788">
        <v>0.99974419999999997</v>
      </c>
      <c r="S7788">
        <v>-0.1110535</v>
      </c>
      <c r="T7788">
        <v>-6.7420839999999996E-2</v>
      </c>
      <c r="U7788">
        <v>2.9984440000000001</v>
      </c>
      <c r="V7788">
        <v>-8.8929779999999993E-3</v>
      </c>
      <c r="W7788">
        <v>1.251266E-2</v>
      </c>
      <c r="X7788">
        <v>0.99988220000000005</v>
      </c>
      <c r="Y7788">
        <v>-2.3418950000000001E-2</v>
      </c>
      <c r="Z7788">
        <v>-2.246571E-2</v>
      </c>
      <c r="AA7788">
        <v>0.99947330000000001</v>
      </c>
      <c r="AB7788">
        <v>25</v>
      </c>
      <c r="AC7788">
        <v>-1.8239999999999801</v>
      </c>
      <c r="AD7788">
        <v>-1.109372974405</v>
      </c>
      <c r="AE7788">
        <v>49.092561000000003</v>
      </c>
      <c r="AF7788">
        <v>-1.15611016020983</v>
      </c>
      <c r="AG7788">
        <v>-1.109372974405</v>
      </c>
      <c r="AH7788">
        <v>49.087782548723403</v>
      </c>
      <c r="AI7788">
        <v>91.294292702192394</v>
      </c>
      <c r="AJ7788">
        <v>91.349174597710899</v>
      </c>
      <c r="AK7788">
        <v>49.113925669301103</v>
      </c>
      <c r="AL7788">
        <v>89.283058706018295</v>
      </c>
      <c r="AM7788">
        <v>90.509576700237801</v>
      </c>
      <c r="AN7788">
        <v>1.0000000327974099</v>
      </c>
    </row>
    <row r="7789" spans="1:40" x14ac:dyDescent="0.25">
      <c r="A7789" t="str">
        <f>"20190312160837075"</f>
        <v>20190312160837075</v>
      </c>
      <c r="B7789" t="str">
        <f>"1552378117062798"</f>
        <v>1552378117062798</v>
      </c>
      <c r="C7789" t="s">
        <v>40</v>
      </c>
      <c r="D7789">
        <v>6.5927619999999996</v>
      </c>
      <c r="E7789">
        <v>0.49441040000000003</v>
      </c>
      <c r="F7789" t="s">
        <v>47</v>
      </c>
      <c r="G7789">
        <v>-189.64769999999999</v>
      </c>
      <c r="H7789" s="1">
        <v>-1.5015820000000001E-6</v>
      </c>
      <c r="I7789">
        <v>62.987319999999997</v>
      </c>
      <c r="J7789">
        <v>-187.5641</v>
      </c>
      <c r="K7789">
        <v>1.1093630000000001</v>
      </c>
      <c r="L7789">
        <v>7.459625</v>
      </c>
      <c r="M7789">
        <v>-1.3543049999999999E-2</v>
      </c>
      <c r="N7789">
        <v>0</v>
      </c>
      <c r="O7789">
        <v>0.99985780000000002</v>
      </c>
      <c r="P7789">
        <v>-2.1761160000000002E-2</v>
      </c>
      <c r="Q7789">
        <v>2.1199410000000002E-3</v>
      </c>
      <c r="R7789">
        <v>0.99976089999999995</v>
      </c>
      <c r="S7789">
        <v>-0.1121979</v>
      </c>
      <c r="T7789">
        <v>-5.9645650000000001E-2</v>
      </c>
      <c r="U7789">
        <v>2.998383</v>
      </c>
      <c r="V7789">
        <v>-8.2174139999999993E-3</v>
      </c>
      <c r="W7789">
        <v>1.216364E-2</v>
      </c>
      <c r="X7789">
        <v>0.99989220000000001</v>
      </c>
      <c r="Y7789">
        <v>-2.384822E-2</v>
      </c>
      <c r="Z7789">
        <v>-1.987616E-2</v>
      </c>
      <c r="AA7789">
        <v>0.99951800000000002</v>
      </c>
      <c r="AB7789">
        <v>25</v>
      </c>
      <c r="AC7789">
        <v>-2.0835999999999899</v>
      </c>
      <c r="AD7789">
        <v>-1.109364501582</v>
      </c>
      <c r="AE7789">
        <v>55.527695000000001</v>
      </c>
      <c r="AF7789">
        <v>-1.33082613065945</v>
      </c>
      <c r="AG7789">
        <v>-1.109364501582</v>
      </c>
      <c r="AH7789">
        <v>55.528688931041501</v>
      </c>
      <c r="AI7789">
        <v>91.144187105686697</v>
      </c>
      <c r="AJ7789">
        <v>91.3729142142749</v>
      </c>
      <c r="AK7789">
        <v>55.555711517249001</v>
      </c>
      <c r="AL7789">
        <v>89.303057540085604</v>
      </c>
      <c r="AM7789">
        <v>90.470863300335495</v>
      </c>
      <c r="AN7789">
        <v>0.99999994582586704</v>
      </c>
    </row>
    <row r="7790" spans="1:40" x14ac:dyDescent="0.25">
      <c r="A7790" t="str">
        <f>"20190312160837107"</f>
        <v>20190312160837107</v>
      </c>
      <c r="B7790" t="str">
        <f>"1552378117102813"</f>
        <v>1552378117102813</v>
      </c>
      <c r="C7790" t="s">
        <v>40</v>
      </c>
      <c r="D7790">
        <v>6.371105</v>
      </c>
      <c r="E7790">
        <v>0.49546390000000001</v>
      </c>
      <c r="F7790" t="s">
        <v>47</v>
      </c>
      <c r="G7790">
        <v>-189.86</v>
      </c>
      <c r="H7790" s="1">
        <v>-1.930591E-7</v>
      </c>
      <c r="I7790">
        <v>70.024909999999906</v>
      </c>
      <c r="J7790">
        <v>-187.56899999999999</v>
      </c>
      <c r="K7790">
        <v>1.1093569999999999</v>
      </c>
      <c r="L7790">
        <v>7.8301699999999999</v>
      </c>
      <c r="M7790">
        <v>-1.3466229999999999E-2</v>
      </c>
      <c r="N7790">
        <v>0</v>
      </c>
      <c r="O7790">
        <v>0.99985889999999999</v>
      </c>
      <c r="P7790">
        <v>-2.1826620000000001E-2</v>
      </c>
      <c r="Q7790">
        <v>2.6364589999999999E-3</v>
      </c>
      <c r="R7790">
        <v>0.99975829999999999</v>
      </c>
      <c r="S7790">
        <v>-0.11003110000000001</v>
      </c>
      <c r="T7790">
        <v>-5.3166270000000002E-2</v>
      </c>
      <c r="U7790">
        <v>2.9984440000000001</v>
      </c>
      <c r="V7790">
        <v>-8.3594419999999999E-3</v>
      </c>
      <c r="W7790">
        <v>1.2683349999999999E-2</v>
      </c>
      <c r="X7790">
        <v>0.99988460000000001</v>
      </c>
      <c r="Y7790">
        <v>-2.3204470000000001E-2</v>
      </c>
      <c r="Z7790">
        <v>-1.7717750000000001E-2</v>
      </c>
      <c r="AA7790">
        <v>0.99957370000000001</v>
      </c>
      <c r="AB7790">
        <v>25</v>
      </c>
      <c r="AC7790">
        <v>-2.2909999999999902</v>
      </c>
      <c r="AD7790">
        <v>-1.1093571930591</v>
      </c>
      <c r="AE7790">
        <v>62.194739999999904</v>
      </c>
      <c r="AF7790">
        <v>-1.4527597670607</v>
      </c>
      <c r="AG7790">
        <v>-1.1093571930591</v>
      </c>
      <c r="AH7790">
        <v>62.200190349392599</v>
      </c>
      <c r="AI7790">
        <v>91.021498846258595</v>
      </c>
      <c r="AJ7790">
        <v>91.337968134716505</v>
      </c>
      <c r="AK7790">
        <v>62.227042865809203</v>
      </c>
      <c r="AL7790">
        <v>89.273278075529603</v>
      </c>
      <c r="AM7790">
        <v>90.479004864102706</v>
      </c>
      <c r="AN7790">
        <v>0.99999998047746597</v>
      </c>
    </row>
    <row r="7791" spans="1:40" x14ac:dyDescent="0.25">
      <c r="A7791" t="str">
        <f>"20190312160837132"</f>
        <v>20190312160837132</v>
      </c>
      <c r="B7791" t="str">
        <f>"1552378117123309"</f>
        <v>1552378117123309</v>
      </c>
      <c r="C7791" t="s">
        <v>40</v>
      </c>
      <c r="D7791">
        <v>6.518135</v>
      </c>
      <c r="E7791">
        <v>0.49638779999999999</v>
      </c>
      <c r="F7791" t="s">
        <v>47</v>
      </c>
      <c r="G7791">
        <v>-189.47110000000001</v>
      </c>
      <c r="H7791" s="1">
        <v>-1.9377199999999998E-6</v>
      </c>
      <c r="I7791">
        <v>63.930970000000002</v>
      </c>
      <c r="J7791">
        <v>-187.5727</v>
      </c>
      <c r="K7791">
        <v>1.1093599999999999</v>
      </c>
      <c r="L7791">
        <v>8.1045839999999991</v>
      </c>
      <c r="M7791">
        <v>-1.3408049999999999E-2</v>
      </c>
      <c r="N7791">
        <v>0</v>
      </c>
      <c r="O7791">
        <v>0.99985959999999996</v>
      </c>
      <c r="P7791">
        <v>-2.1652089999999999E-2</v>
      </c>
      <c r="Q7791">
        <v>2.6857130000000002E-3</v>
      </c>
      <c r="R7791">
        <v>0.99976189999999998</v>
      </c>
      <c r="S7791">
        <v>-0.1016693</v>
      </c>
      <c r="T7791">
        <v>-5.929661E-2</v>
      </c>
      <c r="U7791">
        <v>2.9986570000000001</v>
      </c>
      <c r="V7791">
        <v>-8.242625E-3</v>
      </c>
      <c r="W7791">
        <v>1.273532E-2</v>
      </c>
      <c r="X7791">
        <v>0.99988489999999997</v>
      </c>
      <c r="Y7791">
        <v>-2.047479E-2</v>
      </c>
      <c r="Z7791">
        <v>-1.9760110000000001E-2</v>
      </c>
      <c r="AA7791">
        <v>0.99959509999999996</v>
      </c>
      <c r="AB7791">
        <v>25</v>
      </c>
      <c r="AC7791">
        <v>-1.8984000000000001</v>
      </c>
      <c r="AD7791">
        <v>-1.1093619377199999</v>
      </c>
      <c r="AE7791">
        <v>55.826385999999999</v>
      </c>
      <c r="AF7791">
        <v>-1.1492152717088</v>
      </c>
      <c r="AG7791">
        <v>-1.1093619377199999</v>
      </c>
      <c r="AH7791">
        <v>55.824803522255401</v>
      </c>
      <c r="AI7791">
        <v>91.138202541911994</v>
      </c>
      <c r="AJ7791">
        <v>91.179330361614802</v>
      </c>
      <c r="AK7791">
        <v>55.847650514126499</v>
      </c>
      <c r="AL7791">
        <v>89.270300166556893</v>
      </c>
      <c r="AM7791">
        <v>90.472311290188202</v>
      </c>
      <c r="AN7791">
        <v>0.99999997124520101</v>
      </c>
    </row>
    <row r="7792" spans="1:40" x14ac:dyDescent="0.25">
      <c r="A7792" t="str">
        <f>"20190312160837155"</f>
        <v>20190312160837155</v>
      </c>
      <c r="B7792" t="str">
        <f>"1552378117142829"</f>
        <v>1552378117142829</v>
      </c>
      <c r="C7792" t="s">
        <v>40</v>
      </c>
      <c r="D7792">
        <v>6.5275749999999997</v>
      </c>
      <c r="E7792">
        <v>0.49564429999999998</v>
      </c>
      <c r="F7792" t="s">
        <v>47</v>
      </c>
      <c r="G7792">
        <v>-189.1317</v>
      </c>
      <c r="H7792" s="1">
        <v>-3.7283540000000002E-6</v>
      </c>
      <c r="I7792">
        <v>57.964599999999997</v>
      </c>
      <c r="J7792">
        <v>-187.57599999999999</v>
      </c>
      <c r="K7792">
        <v>1.1093679999999999</v>
      </c>
      <c r="L7792">
        <v>8.3580319999999997</v>
      </c>
      <c r="M7792">
        <v>-1.335502E-2</v>
      </c>
      <c r="N7792">
        <v>0</v>
      </c>
      <c r="O7792">
        <v>0.99986030000000004</v>
      </c>
      <c r="P7792">
        <v>-2.137505E-2</v>
      </c>
      <c r="Q7792">
        <v>1.774086E-3</v>
      </c>
      <c r="R7792">
        <v>0.99976989999999999</v>
      </c>
      <c r="S7792">
        <v>-9.3765260000000003E-2</v>
      </c>
      <c r="T7792">
        <v>-6.6723589999999999E-2</v>
      </c>
      <c r="U7792">
        <v>2.9988709999999998</v>
      </c>
      <c r="V7792">
        <v>-8.0191029999999996E-3</v>
      </c>
      <c r="W7792">
        <v>1.1827020000000001E-2</v>
      </c>
      <c r="X7792">
        <v>0.99989790000000001</v>
      </c>
      <c r="Y7792">
        <v>-1.789191E-2</v>
      </c>
      <c r="Z7792">
        <v>-2.2233880000000001E-2</v>
      </c>
      <c r="AA7792">
        <v>0.9995927</v>
      </c>
      <c r="AB7792">
        <v>25</v>
      </c>
      <c r="AC7792">
        <v>-1.5557000000000001</v>
      </c>
      <c r="AD7792">
        <v>-1.1093717283540001</v>
      </c>
      <c r="AE7792">
        <v>49.606568000000003</v>
      </c>
      <c r="AF7792">
        <v>-0.89258510812209502</v>
      </c>
      <c r="AG7792">
        <v>-1.1093717283540001</v>
      </c>
      <c r="AH7792">
        <v>49.598140239891798</v>
      </c>
      <c r="AI7792">
        <v>91.281125373850699</v>
      </c>
      <c r="AJ7792">
        <v>91.031003165735001</v>
      </c>
      <c r="AK7792">
        <v>49.618574436020303</v>
      </c>
      <c r="AL7792">
        <v>89.322345869212199</v>
      </c>
      <c r="AM7792">
        <v>90.459497821780502</v>
      </c>
      <c r="AN7792">
        <v>0.99999999741970702</v>
      </c>
    </row>
    <row r="7793" spans="1:40" x14ac:dyDescent="0.25">
      <c r="A7793" t="str">
        <f>"20190312160837176"</f>
        <v>20190312160837176</v>
      </c>
      <c r="B7793" t="str">
        <f>"1552378117173086"</f>
        <v>1552378117173086</v>
      </c>
      <c r="C7793" t="s">
        <v>40</v>
      </c>
      <c r="D7793">
        <v>6.2635009999999998</v>
      </c>
      <c r="E7793">
        <v>0.43793880000000002</v>
      </c>
      <c r="F7793" t="s">
        <v>47</v>
      </c>
      <c r="G7793">
        <v>-188.94649999999999</v>
      </c>
      <c r="H7793" s="1">
        <v>-3.3005620000000001E-7</v>
      </c>
      <c r="I7793">
        <v>49.794240000000002</v>
      </c>
      <c r="J7793">
        <v>-187.57910000000001</v>
      </c>
      <c r="K7793">
        <v>1.109375</v>
      </c>
      <c r="L7793">
        <v>8.5983280000000004</v>
      </c>
      <c r="M7793">
        <v>-1.3306729999999999E-2</v>
      </c>
      <c r="N7793">
        <v>0</v>
      </c>
      <c r="O7793">
        <v>0.99986090000000005</v>
      </c>
      <c r="P7793">
        <v>-2.0590319999999999E-2</v>
      </c>
      <c r="Q7793">
        <v>2.0451179999999998E-3</v>
      </c>
      <c r="R7793">
        <v>0.99978590000000001</v>
      </c>
      <c r="S7793">
        <v>-9.9182129999999993E-2</v>
      </c>
      <c r="T7793">
        <v>-8.0284480000000005E-2</v>
      </c>
      <c r="U7793">
        <v>2.9987180000000002</v>
      </c>
      <c r="V7793">
        <v>-7.2824379999999996E-3</v>
      </c>
      <c r="W7793">
        <v>1.210023E-2</v>
      </c>
      <c r="X7793">
        <v>0.99990029999999996</v>
      </c>
      <c r="Y7793">
        <v>-1.974188E-2</v>
      </c>
      <c r="Z7793">
        <v>-2.6749869999999999E-2</v>
      </c>
      <c r="AA7793">
        <v>0.99944719999999998</v>
      </c>
      <c r="AB7793">
        <v>25</v>
      </c>
      <c r="AC7793">
        <v>-1.36739999999997</v>
      </c>
      <c r="AD7793">
        <v>-1.1093753300561999</v>
      </c>
      <c r="AE7793">
        <v>41.195912</v>
      </c>
      <c r="AF7793">
        <v>-0.81847543344641804</v>
      </c>
      <c r="AG7793">
        <v>-1.1093753300561999</v>
      </c>
      <c r="AH7793">
        <v>41.1806300455452</v>
      </c>
      <c r="AI7793">
        <v>91.542827612551903</v>
      </c>
      <c r="AJ7793">
        <v>91.138618191331204</v>
      </c>
      <c r="AK7793">
        <v>41.203700156735302</v>
      </c>
      <c r="AL7793">
        <v>89.306690991216996</v>
      </c>
      <c r="AM7793">
        <v>90.417287188077694</v>
      </c>
      <c r="AN7793">
        <v>1.00000002970468</v>
      </c>
    </row>
    <row r="7794" spans="1:40" x14ac:dyDescent="0.25">
      <c r="A7794" t="str">
        <f>"20190312160837196"</f>
        <v>20190312160837196</v>
      </c>
      <c r="B7794" t="str">
        <f>"1552378117193582"</f>
        <v>1552378117193582</v>
      </c>
      <c r="C7794" t="s">
        <v>40</v>
      </c>
      <c r="D7794">
        <v>6.2892999999999999</v>
      </c>
      <c r="E7794">
        <v>0.42985780000000001</v>
      </c>
      <c r="F7794" t="s">
        <v>47</v>
      </c>
      <c r="G7794">
        <v>-190.44990000000001</v>
      </c>
      <c r="H7794" s="1">
        <v>-2.0109620000000001E-6</v>
      </c>
      <c r="I7794">
        <v>23.99765</v>
      </c>
      <c r="J7794">
        <v>-187.5823</v>
      </c>
      <c r="K7794">
        <v>1.109378</v>
      </c>
      <c r="L7794">
        <v>8.8381039999999995</v>
      </c>
      <c r="M7794">
        <v>-1.3260030000000001E-2</v>
      </c>
      <c r="N7794">
        <v>0</v>
      </c>
      <c r="O7794">
        <v>0.99986149999999996</v>
      </c>
      <c r="P7794">
        <v>-2.0179559999999999E-2</v>
      </c>
      <c r="Q7794">
        <v>2.4650560000000002E-3</v>
      </c>
      <c r="R7794">
        <v>0.99979340000000005</v>
      </c>
      <c r="S7794">
        <v>-0.55732729999999997</v>
      </c>
      <c r="T7794">
        <v>-0.21537210000000001</v>
      </c>
      <c r="U7794">
        <v>2.9895939999999999</v>
      </c>
      <c r="V7794">
        <v>-6.9181349999999997E-3</v>
      </c>
      <c r="W7794">
        <v>1.252315E-2</v>
      </c>
      <c r="X7794">
        <v>0.9998977</v>
      </c>
      <c r="Y7794">
        <v>-0.16975419999999999</v>
      </c>
      <c r="Z7794">
        <v>-7.0717539999999995E-2</v>
      </c>
      <c r="AA7794">
        <v>0.98294590000000004</v>
      </c>
      <c r="AB7794">
        <v>25</v>
      </c>
      <c r="AC7794">
        <v>-2.8675999999999999</v>
      </c>
      <c r="AD7794">
        <v>-1.109380010962</v>
      </c>
      <c r="AE7794">
        <v>15.159545999999899</v>
      </c>
      <c r="AF7794">
        <v>-2.65260675397113</v>
      </c>
      <c r="AG7794">
        <v>-1.109380010962</v>
      </c>
      <c r="AH7794">
        <v>15.1180737245815</v>
      </c>
      <c r="AI7794">
        <v>94.133973826359195</v>
      </c>
      <c r="AJ7794">
        <v>99.951777931875597</v>
      </c>
      <c r="AK7794">
        <v>15.3890610415911</v>
      </c>
      <c r="AL7794">
        <v>89.282457638682402</v>
      </c>
      <c r="AM7794">
        <v>90.396414165999005</v>
      </c>
      <c r="AN7794">
        <v>1.00000005017154</v>
      </c>
    </row>
    <row r="7795" spans="1:40" x14ac:dyDescent="0.25">
      <c r="A7795" t="str">
        <f>"20190312160837219"</f>
        <v>20190312160837219</v>
      </c>
      <c r="B7795" t="str">
        <f>"1552378117213101"</f>
        <v>1552378117213101</v>
      </c>
      <c r="C7795" t="s">
        <v>40</v>
      </c>
      <c r="D7795">
        <v>6.229889</v>
      </c>
      <c r="E7795">
        <v>0.42676330000000001</v>
      </c>
      <c r="F7795" t="s">
        <v>47</v>
      </c>
      <c r="G7795">
        <v>-191.691</v>
      </c>
      <c r="H7795" s="1">
        <v>-4.262867E-6</v>
      </c>
      <c r="I7795">
        <v>28.631979999999999</v>
      </c>
      <c r="J7795">
        <v>-187.58580000000001</v>
      </c>
      <c r="K7795">
        <v>1.1093770000000001</v>
      </c>
      <c r="L7795">
        <v>9.1069030000000009</v>
      </c>
      <c r="M7795">
        <v>-1.320844E-2</v>
      </c>
      <c r="N7795">
        <v>0</v>
      </c>
      <c r="O7795">
        <v>0.99986209999999998</v>
      </c>
      <c r="P7795">
        <v>-1.9725039999999999E-2</v>
      </c>
      <c r="Q7795">
        <v>2.800037E-3</v>
      </c>
      <c r="R7795">
        <v>0.99980150000000001</v>
      </c>
      <c r="S7795">
        <v>-0.62034609999999901</v>
      </c>
      <c r="T7795">
        <v>-0.16749720000000001</v>
      </c>
      <c r="U7795">
        <v>2.9885250000000001</v>
      </c>
      <c r="V7795">
        <v>-6.5152209999999999E-3</v>
      </c>
      <c r="W7795">
        <v>1.286025E-2</v>
      </c>
      <c r="X7795">
        <v>0.99989600000000001</v>
      </c>
      <c r="Y7795">
        <v>-0.1899865</v>
      </c>
      <c r="Z7795">
        <v>-5.4859190000000002E-2</v>
      </c>
      <c r="AA7795">
        <v>0.98025289999999998</v>
      </c>
      <c r="AB7795">
        <v>25</v>
      </c>
      <c r="AC7795">
        <v>-4.10519999999996</v>
      </c>
      <c r="AD7795">
        <v>-1.1093812628669999</v>
      </c>
      <c r="AE7795">
        <v>19.525077</v>
      </c>
      <c r="AF7795">
        <v>-3.8350762703696102</v>
      </c>
      <c r="AG7795">
        <v>-1.1093812628669999</v>
      </c>
      <c r="AH7795">
        <v>19.517259115150601</v>
      </c>
      <c r="AI7795">
        <v>93.192334985063198</v>
      </c>
      <c r="AJ7795">
        <v>101.11679686168399</v>
      </c>
      <c r="AK7795">
        <v>19.9213940313895</v>
      </c>
      <c r="AL7795">
        <v>89.263141582423998</v>
      </c>
      <c r="AM7795">
        <v>90.373328209180798</v>
      </c>
      <c r="AN7795">
        <v>0.99999992247536695</v>
      </c>
    </row>
    <row r="7796" spans="1:40" x14ac:dyDescent="0.25">
      <c r="A7796" t="str">
        <f>"20190312160837242"</f>
        <v>20190312160837242</v>
      </c>
      <c r="B7796" t="str">
        <f>"1552378117233597"</f>
        <v>1552378117233597</v>
      </c>
      <c r="C7796" t="s">
        <v>40</v>
      </c>
      <c r="D7796">
        <v>6.16845</v>
      </c>
      <c r="E7796">
        <v>0.42488599999999999</v>
      </c>
      <c r="F7796" t="s">
        <v>47</v>
      </c>
      <c r="G7796">
        <v>-191.99180000000001</v>
      </c>
      <c r="H7796" s="1">
        <v>-4.633653E-6</v>
      </c>
      <c r="I7796">
        <v>29.56476</v>
      </c>
      <c r="J7796">
        <v>-187.589</v>
      </c>
      <c r="K7796">
        <v>1.1093770000000001</v>
      </c>
      <c r="L7796">
        <v>9.3544309999999999</v>
      </c>
      <c r="M7796">
        <v>-1.3160639999999999E-2</v>
      </c>
      <c r="N7796">
        <v>0</v>
      </c>
      <c r="O7796">
        <v>0.99986280000000005</v>
      </c>
      <c r="P7796">
        <v>-1.9393480000000001E-2</v>
      </c>
      <c r="Q7796">
        <v>2.9924499999999998E-3</v>
      </c>
      <c r="R7796">
        <v>0.99980749999999996</v>
      </c>
      <c r="S7796">
        <v>-0.64360050000000002</v>
      </c>
      <c r="T7796">
        <v>-0.16205079999999999</v>
      </c>
      <c r="U7796">
        <v>2.9883419999999998</v>
      </c>
      <c r="V7796">
        <v>-6.2310389999999998E-3</v>
      </c>
      <c r="W7796">
        <v>1.3055260000000001E-2</v>
      </c>
      <c r="X7796">
        <v>0.99989530000000004</v>
      </c>
      <c r="Y7796">
        <v>-0.1973625</v>
      </c>
      <c r="Z7796">
        <v>-5.3002710000000001E-2</v>
      </c>
      <c r="AA7796">
        <v>0.97889669999999895</v>
      </c>
      <c r="AB7796">
        <v>25</v>
      </c>
      <c r="AC7796">
        <v>-4.4027999999999796</v>
      </c>
      <c r="AD7796">
        <v>-1.109381633653</v>
      </c>
      <c r="AE7796">
        <v>20.210328999999899</v>
      </c>
      <c r="AF7796">
        <v>-4.1245596548558003</v>
      </c>
      <c r="AG7796">
        <v>-1.109381633653</v>
      </c>
      <c r="AH7796">
        <v>20.2083937729426</v>
      </c>
      <c r="AI7796">
        <v>93.078867954162106</v>
      </c>
      <c r="AJ7796">
        <v>101.535703034124</v>
      </c>
      <c r="AK7796">
        <v>20.654827494749401</v>
      </c>
      <c r="AL7796">
        <v>89.251967405292007</v>
      </c>
      <c r="AM7796">
        <v>90.3570449979985</v>
      </c>
      <c r="AN7796">
        <v>0.99999993831138601</v>
      </c>
    </row>
    <row r="7797" spans="1:40" x14ac:dyDescent="0.25">
      <c r="A7797" t="str">
        <f>"20190312160837264"</f>
        <v>20190312160837264</v>
      </c>
      <c r="B7797" t="str">
        <f>"1552378117253117"</f>
        <v>1552378117253117</v>
      </c>
      <c r="C7797" t="s">
        <v>40</v>
      </c>
      <c r="D7797">
        <v>6.2140329999999997</v>
      </c>
      <c r="E7797">
        <v>0.4247399</v>
      </c>
      <c r="F7797" t="s">
        <v>47</v>
      </c>
      <c r="G7797">
        <v>-192.60040000000001</v>
      </c>
      <c r="H7797" s="1">
        <v>-1.782358E-6</v>
      </c>
      <c r="I7797">
        <v>32.131</v>
      </c>
      <c r="J7797">
        <v>-187.59229999999999</v>
      </c>
      <c r="K7797">
        <v>1.1093630000000001</v>
      </c>
      <c r="L7797">
        <v>9.6056819999999998</v>
      </c>
      <c r="M7797">
        <v>-1.310997E-2</v>
      </c>
      <c r="N7797">
        <v>0</v>
      </c>
      <c r="O7797">
        <v>0.99986339999999996</v>
      </c>
      <c r="P7797">
        <v>-1.9713370000000001E-2</v>
      </c>
      <c r="Q7797">
        <v>2.9572959999999999E-3</v>
      </c>
      <c r="R7797">
        <v>0.9998013</v>
      </c>
      <c r="S7797">
        <v>-0.65748600000000001</v>
      </c>
      <c r="T7797">
        <v>-0.1455487</v>
      </c>
      <c r="U7797">
        <v>2.988251</v>
      </c>
      <c r="V7797">
        <v>-6.6019809999999998E-3</v>
      </c>
      <c r="W7797">
        <v>1.302236E-2</v>
      </c>
      <c r="X7797">
        <v>0.99989340000000004</v>
      </c>
      <c r="Y7797">
        <v>-0.20181779999999999</v>
      </c>
      <c r="Z7797">
        <v>-4.757492E-2</v>
      </c>
      <c r="AA7797">
        <v>0.978267</v>
      </c>
      <c r="AB7797">
        <v>25</v>
      </c>
      <c r="AC7797">
        <v>-5.0081000000000104</v>
      </c>
      <c r="AD7797">
        <v>-1.109364782358</v>
      </c>
      <c r="AE7797">
        <v>22.525317999999999</v>
      </c>
      <c r="AF7797">
        <v>-4.7014819139397304</v>
      </c>
      <c r="AG7797">
        <v>-1.109364782358</v>
      </c>
      <c r="AH7797">
        <v>22.5369521270052</v>
      </c>
      <c r="AI7797">
        <v>92.758772168381995</v>
      </c>
      <c r="AJ7797">
        <v>101.78359827796599</v>
      </c>
      <c r="AK7797">
        <v>23.048835840067099</v>
      </c>
      <c r="AL7797">
        <v>89.2538526351494</v>
      </c>
      <c r="AM7797">
        <v>90.378300477813497</v>
      </c>
      <c r="AN7797">
        <v>0.99999998968832704</v>
      </c>
    </row>
    <row r="7798" spans="1:40" x14ac:dyDescent="0.25">
      <c r="A7798" t="str">
        <f>"20190312160837286"</f>
        <v>20190312160837286</v>
      </c>
      <c r="B7798" t="str">
        <f>"1552378117273617"</f>
        <v>1552378117273617</v>
      </c>
      <c r="C7798" t="s">
        <v>40</v>
      </c>
      <c r="D7798">
        <v>6.1658239999999997</v>
      </c>
      <c r="E7798">
        <v>0.42425210000000002</v>
      </c>
      <c r="F7798" t="s">
        <v>47</v>
      </c>
      <c r="G7798">
        <v>-193.0018</v>
      </c>
      <c r="H7798" s="1">
        <v>-2.7404620000000001E-6</v>
      </c>
      <c r="I7798">
        <v>34.115380000000002</v>
      </c>
      <c r="J7798">
        <v>-187.59540000000001</v>
      </c>
      <c r="K7798">
        <v>1.1093569999999999</v>
      </c>
      <c r="L7798">
        <v>9.8516239999999993</v>
      </c>
      <c r="M7798">
        <v>-1.305593E-2</v>
      </c>
      <c r="N7798">
        <v>0</v>
      </c>
      <c r="O7798">
        <v>0.99986410000000003</v>
      </c>
      <c r="P7798">
        <v>-2.018346E-2</v>
      </c>
      <c r="Q7798">
        <v>2.5890430000000001E-3</v>
      </c>
      <c r="R7798">
        <v>0.99979289999999998</v>
      </c>
      <c r="S7798">
        <v>-0.65948490000000004</v>
      </c>
      <c r="T7798">
        <v>-0.13524410000000001</v>
      </c>
      <c r="U7798">
        <v>2.9880070000000001</v>
      </c>
      <c r="V7798">
        <v>-7.1260019999999898E-3</v>
      </c>
      <c r="W7798">
        <v>1.265665E-2</v>
      </c>
      <c r="X7798">
        <v>0.99989450000000002</v>
      </c>
      <c r="Y7798">
        <v>-0.2025449</v>
      </c>
      <c r="Z7798">
        <v>-4.4210760000000002E-2</v>
      </c>
      <c r="AA7798">
        <v>0.97827450000000005</v>
      </c>
      <c r="AB7798">
        <v>25</v>
      </c>
      <c r="AC7798">
        <v>-5.4063999999999899</v>
      </c>
      <c r="AD7798">
        <v>-1.1093597404619999</v>
      </c>
      <c r="AE7798">
        <v>24.263756000000001</v>
      </c>
      <c r="AF7798">
        <v>-5.0790222183723097</v>
      </c>
      <c r="AG7798">
        <v>-1.1093597404619999</v>
      </c>
      <c r="AH7798">
        <v>24.283914938142999</v>
      </c>
      <c r="AI7798">
        <v>92.560295202478898</v>
      </c>
      <c r="AJ7798">
        <v>101.81322036710399</v>
      </c>
      <c r="AK7798">
        <v>24.834163373293698</v>
      </c>
      <c r="AL7798">
        <v>89.274808003243095</v>
      </c>
      <c r="AM7798">
        <v>90.408326005574494</v>
      </c>
      <c r="AN7798">
        <v>0.99999999091198799</v>
      </c>
    </row>
    <row r="7799" spans="1:40" x14ac:dyDescent="0.25">
      <c r="A7799" t="str">
        <f>"20190312160837308"</f>
        <v>20190312160837308</v>
      </c>
      <c r="B7799" t="str">
        <f>"1552378117302893"</f>
        <v>1552378117302893</v>
      </c>
      <c r="C7799" t="s">
        <v>40</v>
      </c>
      <c r="D7799">
        <v>6.1356310000000001</v>
      </c>
      <c r="E7799">
        <v>0.42406169999999999</v>
      </c>
      <c r="F7799" t="s">
        <v>47</v>
      </c>
      <c r="G7799">
        <v>-193.1876</v>
      </c>
      <c r="H7799" s="1">
        <v>-3.1630739999999898E-6</v>
      </c>
      <c r="I7799">
        <v>34.985289999999999</v>
      </c>
      <c r="J7799">
        <v>-187.59870000000001</v>
      </c>
      <c r="K7799">
        <v>1.1093519999999999</v>
      </c>
      <c r="L7799">
        <v>10.10403</v>
      </c>
      <c r="M7799">
        <v>-1.299254E-2</v>
      </c>
      <c r="N7799">
        <v>0</v>
      </c>
      <c r="O7799">
        <v>0.99986489999999995</v>
      </c>
      <c r="P7799">
        <v>-2.1585360000000001E-2</v>
      </c>
      <c r="Q7799">
        <v>2.317599E-3</v>
      </c>
      <c r="R7799">
        <v>0.99976430000000005</v>
      </c>
      <c r="S7799">
        <v>-0.66471859999999905</v>
      </c>
      <c r="T7799">
        <v>-0.1318656</v>
      </c>
      <c r="U7799">
        <v>2.987549</v>
      </c>
      <c r="V7799">
        <v>-8.5916659999999995E-3</v>
      </c>
      <c r="W7799">
        <v>1.238821E-2</v>
      </c>
      <c r="X7799">
        <v>0.99988630000000001</v>
      </c>
      <c r="Y7799">
        <v>-0.2042824</v>
      </c>
      <c r="Z7799">
        <v>-4.3099039999999998E-2</v>
      </c>
      <c r="AA7799">
        <v>0.97796280000000002</v>
      </c>
      <c r="AB7799">
        <v>25</v>
      </c>
      <c r="AC7799">
        <v>-5.58889999999999</v>
      </c>
      <c r="AD7799">
        <v>-1.109355163074</v>
      </c>
      <c r="AE7799">
        <v>24.881260000000001</v>
      </c>
      <c r="AF7799">
        <v>-5.2551959909479402</v>
      </c>
      <c r="AG7799">
        <v>-1.109355163074</v>
      </c>
      <c r="AH7799">
        <v>24.904647136612802</v>
      </c>
      <c r="AI7799">
        <v>92.495619560775296</v>
      </c>
      <c r="AJ7799">
        <v>101.915338608526</v>
      </c>
      <c r="AK7799">
        <v>25.477229103266101</v>
      </c>
      <c r="AL7799">
        <v>89.290189658575301</v>
      </c>
      <c r="AM7799">
        <v>90.492310061729</v>
      </c>
      <c r="AN7799">
        <v>0.99999994869967301</v>
      </c>
    </row>
    <row r="7800" spans="1:40" x14ac:dyDescent="0.25">
      <c r="A7800" t="str">
        <f>"20190312160837332"</f>
        <v>20190312160837332</v>
      </c>
      <c r="B7800" t="str">
        <f>"1552378117323389"</f>
        <v>1552378117323389</v>
      </c>
      <c r="C7800" t="s">
        <v>40</v>
      </c>
      <c r="D7800">
        <v>6.1659680000000003</v>
      </c>
      <c r="E7800">
        <v>0.42360880000000001</v>
      </c>
      <c r="F7800" t="s">
        <v>47</v>
      </c>
      <c r="G7800">
        <v>-193.35499999999999</v>
      </c>
      <c r="H7800" s="1">
        <v>-3.5336489999999998E-6</v>
      </c>
      <c r="I7800">
        <v>35.745240000000003</v>
      </c>
      <c r="J7800">
        <v>-187.60210000000001</v>
      </c>
      <c r="K7800">
        <v>1.1093489999999999</v>
      </c>
      <c r="L7800">
        <v>10.373139999999999</v>
      </c>
      <c r="M7800">
        <v>-1.2911870000000001E-2</v>
      </c>
      <c r="N7800">
        <v>0</v>
      </c>
      <c r="O7800">
        <v>0.99986589999999997</v>
      </c>
      <c r="P7800">
        <v>-2.284835E-2</v>
      </c>
      <c r="Q7800">
        <v>2.9590950000000001E-3</v>
      </c>
      <c r="R7800">
        <v>0.99973460000000003</v>
      </c>
      <c r="S7800">
        <v>-0.67047119999999905</v>
      </c>
      <c r="T7800">
        <v>-0.1292114</v>
      </c>
      <c r="U7800">
        <v>2.986542</v>
      </c>
      <c r="V7800">
        <v>-9.9351509999999997E-3</v>
      </c>
      <c r="W7800">
        <v>1.303285E-2</v>
      </c>
      <c r="X7800">
        <v>0.99986569999999997</v>
      </c>
      <c r="Y7800">
        <v>-0.206233</v>
      </c>
      <c r="Z7800">
        <v>-4.2229589999999997E-2</v>
      </c>
      <c r="AA7800">
        <v>0.97759119999999999</v>
      </c>
      <c r="AB7800">
        <v>25</v>
      </c>
      <c r="AC7800">
        <v>-5.7528999999999799</v>
      </c>
      <c r="AD7800">
        <v>-1.109352533649</v>
      </c>
      <c r="AE7800">
        <v>25.3721</v>
      </c>
      <c r="AF7800">
        <v>-5.41495675699485</v>
      </c>
      <c r="AG7800">
        <v>-1.109352533649</v>
      </c>
      <c r="AH7800">
        <v>25.398089116575399</v>
      </c>
      <c r="AI7800">
        <v>92.446101047675498</v>
      </c>
      <c r="AJ7800">
        <v>102.035449648487</v>
      </c>
      <c r="AK7800">
        <v>25.992601841630702</v>
      </c>
      <c r="AL7800">
        <v>89.2532515518038</v>
      </c>
      <c r="AM7800">
        <v>90.569299944745694</v>
      </c>
      <c r="AN7800">
        <v>0.99999999022050201</v>
      </c>
    </row>
    <row r="7801" spans="1:40" x14ac:dyDescent="0.25">
      <c r="A7801" t="str">
        <f>"20190312160837355"</f>
        <v>20190312160837355</v>
      </c>
      <c r="B7801" t="str">
        <f>"1552378117342909"</f>
        <v>1552378117342909</v>
      </c>
      <c r="C7801" t="s">
        <v>40</v>
      </c>
      <c r="D7801">
        <v>6.1785610000000002</v>
      </c>
      <c r="E7801">
        <v>0.42321019999999998</v>
      </c>
      <c r="F7801" t="s">
        <v>47</v>
      </c>
      <c r="G7801">
        <v>-193.8066</v>
      </c>
      <c r="H7801" s="1">
        <v>-4.3238050000000004E-6</v>
      </c>
      <c r="I7801">
        <v>37.708269999999999</v>
      </c>
      <c r="J7801">
        <v>-187.6054</v>
      </c>
      <c r="K7801">
        <v>1.1093409999999999</v>
      </c>
      <c r="L7801">
        <v>10.63678</v>
      </c>
      <c r="M7801">
        <v>-1.281237E-2</v>
      </c>
      <c r="N7801">
        <v>0</v>
      </c>
      <c r="O7801">
        <v>0.99986710000000001</v>
      </c>
      <c r="P7801">
        <v>-2.337819E-2</v>
      </c>
      <c r="Q7801">
        <v>3.6036150000000001E-3</v>
      </c>
      <c r="R7801">
        <v>0.99972019999999995</v>
      </c>
      <c r="S7801">
        <v>-0.67768859999999997</v>
      </c>
      <c r="T7801">
        <v>-0.1211681</v>
      </c>
      <c r="U7801">
        <v>2.9856569999999998</v>
      </c>
      <c r="V7801">
        <v>-1.0563919999999999E-2</v>
      </c>
      <c r="W7801">
        <v>1.3680329999999999E-2</v>
      </c>
      <c r="X7801">
        <v>0.99985060000000003</v>
      </c>
      <c r="Y7801">
        <v>-0.20866409999999999</v>
      </c>
      <c r="Z7801">
        <v>-3.9595980000000003E-2</v>
      </c>
      <c r="AA7801">
        <v>0.97718550000000004</v>
      </c>
      <c r="AB7801">
        <v>25</v>
      </c>
      <c r="AC7801">
        <v>-6.2012</v>
      </c>
      <c r="AD7801">
        <v>-1.1093453238049999</v>
      </c>
      <c r="AE7801">
        <v>27.071490000000001</v>
      </c>
      <c r="AF7801">
        <v>-5.8444984334949499</v>
      </c>
      <c r="AG7801">
        <v>-1.1093453238049999</v>
      </c>
      <c r="AH7801">
        <v>27.1054768310239</v>
      </c>
      <c r="AI7801">
        <v>92.291040587523398</v>
      </c>
      <c r="AJ7801">
        <v>102.167861054176</v>
      </c>
      <c r="AK7801">
        <v>27.7505978894824</v>
      </c>
      <c r="AL7801">
        <v>89.216150365896596</v>
      </c>
      <c r="AM7801">
        <v>90.6053359478381</v>
      </c>
      <c r="AN7801">
        <v>0.99999998507751697</v>
      </c>
    </row>
    <row r="7802" spans="1:40" x14ac:dyDescent="0.25">
      <c r="A7802" t="str">
        <f>"20190312160837378"</f>
        <v>20190312160837378</v>
      </c>
      <c r="B7802" t="str">
        <f>"1552378117373166"</f>
        <v>1552378117373166</v>
      </c>
      <c r="C7802" t="s">
        <v>40</v>
      </c>
      <c r="D7802">
        <v>6.1175860000000002</v>
      </c>
      <c r="E7802">
        <v>0.42315999999999998</v>
      </c>
      <c r="F7802" t="s">
        <v>47</v>
      </c>
      <c r="G7802">
        <v>-194.1431</v>
      </c>
      <c r="H7802" s="1">
        <v>-4.9037220000000003E-6</v>
      </c>
      <c r="I7802">
        <v>39.237009999999998</v>
      </c>
      <c r="J7802">
        <v>-187.60849999999999</v>
      </c>
      <c r="K7802">
        <v>1.109326</v>
      </c>
      <c r="L7802">
        <v>10.88828</v>
      </c>
      <c r="M7802">
        <v>-1.2690709999999999E-2</v>
      </c>
      <c r="N7802">
        <v>0</v>
      </c>
      <c r="O7802">
        <v>0.99986870000000005</v>
      </c>
      <c r="P7802">
        <v>-2.457225E-2</v>
      </c>
      <c r="Q7802">
        <v>4.5656919999999997E-3</v>
      </c>
      <c r="R7802">
        <v>0.99968760000000001</v>
      </c>
      <c r="S7802">
        <v>-0.6824036</v>
      </c>
      <c r="T7802">
        <v>-0.11579349999999999</v>
      </c>
      <c r="U7802">
        <v>2.9852910000000001</v>
      </c>
      <c r="V7802">
        <v>-1.187962E-2</v>
      </c>
      <c r="W7802">
        <v>1.464536E-2</v>
      </c>
      <c r="X7802">
        <v>0.99982219999999999</v>
      </c>
      <c r="Y7802">
        <v>-0.21029120000000001</v>
      </c>
      <c r="Z7802">
        <v>-3.7833650000000003E-2</v>
      </c>
      <c r="AA7802">
        <v>0.97690650000000001</v>
      </c>
      <c r="AB7802">
        <v>26</v>
      </c>
      <c r="AC7802">
        <v>-6.53460000000001</v>
      </c>
      <c r="AD7802">
        <v>-1.1093309037220001</v>
      </c>
      <c r="AE7802">
        <v>28.34873</v>
      </c>
      <c r="AF7802">
        <v>-6.1653254085607196</v>
      </c>
      <c r="AG7802">
        <v>-1.1093309037220001</v>
      </c>
      <c r="AH7802">
        <v>28.3881027882015</v>
      </c>
      <c r="AI7802">
        <v>92.186897397033405</v>
      </c>
      <c r="AJ7802">
        <v>102.253207401572</v>
      </c>
      <c r="AK7802">
        <v>29.071054889028201</v>
      </c>
      <c r="AL7802">
        <v>89.160852701364107</v>
      </c>
      <c r="AM7802">
        <v>90.680741096217005</v>
      </c>
      <c r="AN7802">
        <v>1.0000000217768501</v>
      </c>
    </row>
    <row r="7803" spans="1:40" x14ac:dyDescent="0.25">
      <c r="A7803" t="str">
        <f>"20190312160837398"</f>
        <v>20190312160837398</v>
      </c>
      <c r="B7803" t="str">
        <f>"1552378117393662"</f>
        <v>1552378117393662</v>
      </c>
      <c r="C7803" t="s">
        <v>40</v>
      </c>
      <c r="D7803">
        <v>6.0981579999999997</v>
      </c>
      <c r="E7803">
        <v>0.42321170000000002</v>
      </c>
      <c r="F7803" t="s">
        <v>47</v>
      </c>
      <c r="G7803">
        <v>-194.31829999999999</v>
      </c>
      <c r="H7803" s="1">
        <v>-1.35734E-6</v>
      </c>
      <c r="I7803">
        <v>40.074759999999998</v>
      </c>
      <c r="J7803">
        <v>-187.61150000000001</v>
      </c>
      <c r="K7803">
        <v>1.1093109999999999</v>
      </c>
      <c r="L7803">
        <v>11.13199</v>
      </c>
      <c r="M7803">
        <v>-1.255071E-2</v>
      </c>
      <c r="N7803">
        <v>0</v>
      </c>
      <c r="O7803">
        <v>0.99987040000000005</v>
      </c>
      <c r="P7803">
        <v>-2.4650490000000001E-2</v>
      </c>
      <c r="Q7803">
        <v>5.153024E-3</v>
      </c>
      <c r="R7803">
        <v>0.99968279999999998</v>
      </c>
      <c r="S7803">
        <v>-0.68614200000000003</v>
      </c>
      <c r="T7803">
        <v>-0.113439</v>
      </c>
      <c r="U7803">
        <v>2.9845890000000002</v>
      </c>
      <c r="V7803">
        <v>-1.2096910000000001E-2</v>
      </c>
      <c r="W7803">
        <v>1.5236090000000001E-2</v>
      </c>
      <c r="X7803">
        <v>0.9998108</v>
      </c>
      <c r="Y7803">
        <v>-0.2116468</v>
      </c>
      <c r="Z7803">
        <v>-3.7063430000000001E-2</v>
      </c>
      <c r="AA7803">
        <v>0.97664320000000004</v>
      </c>
      <c r="AB7803">
        <v>26</v>
      </c>
      <c r="AC7803">
        <v>-6.7067999999999799</v>
      </c>
      <c r="AD7803">
        <v>-1.1093123573399899</v>
      </c>
      <c r="AE7803">
        <v>28.942769999999999</v>
      </c>
      <c r="AF7803">
        <v>-6.3341700890928596</v>
      </c>
      <c r="AG7803">
        <v>-1.1093123573399899</v>
      </c>
      <c r="AH7803">
        <v>28.984260906098001</v>
      </c>
      <c r="AI7803">
        <v>92.141318617140499</v>
      </c>
      <c r="AJ7803">
        <v>102.32750924415301</v>
      </c>
      <c r="AK7803">
        <v>29.689049578867799</v>
      </c>
      <c r="AL7803">
        <v>89.127002616238997</v>
      </c>
      <c r="AM7803">
        <v>90.693199223207799</v>
      </c>
      <c r="AN7803">
        <v>1.0000000547333301</v>
      </c>
    </row>
    <row r="7804" spans="1:40" x14ac:dyDescent="0.25">
      <c r="A7804" t="str">
        <f>"20190312160837421"</f>
        <v>20190312160837421</v>
      </c>
      <c r="B7804" t="str">
        <f>"1552378117413182"</f>
        <v>1552378117413182</v>
      </c>
      <c r="C7804" t="s">
        <v>40</v>
      </c>
      <c r="D7804">
        <v>6.0807180000000001</v>
      </c>
      <c r="E7804">
        <v>0.42328840000000001</v>
      </c>
      <c r="F7804" t="s">
        <v>47</v>
      </c>
      <c r="G7804">
        <v>-194.44390000000001</v>
      </c>
      <c r="H7804" s="1">
        <v>-1.72505999999999E-6</v>
      </c>
      <c r="I7804">
        <v>40.854050000000001</v>
      </c>
      <c r="J7804">
        <v>-187.6146</v>
      </c>
      <c r="K7804">
        <v>1.1092850000000001</v>
      </c>
      <c r="L7804">
        <v>11.40164</v>
      </c>
      <c r="M7804">
        <v>-1.23657E-2</v>
      </c>
      <c r="N7804">
        <v>0</v>
      </c>
      <c r="O7804">
        <v>0.99987269999999995</v>
      </c>
      <c r="P7804">
        <v>-2.3475849999999999E-2</v>
      </c>
      <c r="Q7804">
        <v>5.3296019999999897E-3</v>
      </c>
      <c r="R7804">
        <v>0.99971019999999999</v>
      </c>
      <c r="S7804">
        <v>-0.68609619999999905</v>
      </c>
      <c r="T7804">
        <v>-0.11139449999999999</v>
      </c>
      <c r="U7804">
        <v>2.9846189999999999</v>
      </c>
      <c r="V7804">
        <v>-1.11062E-2</v>
      </c>
      <c r="W7804">
        <v>1.541584E-2</v>
      </c>
      <c r="X7804">
        <v>0.99981949999999997</v>
      </c>
      <c r="Y7804">
        <v>-0.2118167</v>
      </c>
      <c r="Z7804">
        <v>-3.6395520000000001E-2</v>
      </c>
      <c r="AA7804">
        <v>0.97663149999999999</v>
      </c>
      <c r="AB7804">
        <v>26</v>
      </c>
      <c r="AC7804">
        <v>-6.8293000000000097</v>
      </c>
      <c r="AD7804">
        <v>-1.10928672506</v>
      </c>
      <c r="AE7804">
        <v>29.452409999999901</v>
      </c>
      <c r="AF7804">
        <v>-6.4558688772265</v>
      </c>
      <c r="AG7804">
        <v>-1.10928672506</v>
      </c>
      <c r="AH7804">
        <v>29.494905947156798</v>
      </c>
      <c r="AI7804">
        <v>92.104080722431604</v>
      </c>
      <c r="AJ7804">
        <v>102.346239630182</v>
      </c>
      <c r="AK7804">
        <v>30.213543930329699</v>
      </c>
      <c r="AL7804">
        <v>89.116702454862903</v>
      </c>
      <c r="AM7804">
        <v>90.636427090387002</v>
      </c>
      <c r="AN7804">
        <v>1.0000000141907901</v>
      </c>
    </row>
    <row r="7805" spans="1:40" x14ac:dyDescent="0.25">
      <c r="A7805" t="str">
        <f>"20190312160837442"</f>
        <v>20190312160837442</v>
      </c>
      <c r="B7805" t="str">
        <f>"1552378117432701"</f>
        <v>1552378117432701</v>
      </c>
      <c r="C7805" t="s">
        <v>40</v>
      </c>
      <c r="D7805">
        <v>6.051571</v>
      </c>
      <c r="E7805">
        <v>0.42332069999999999</v>
      </c>
      <c r="F7805" t="s">
        <v>47</v>
      </c>
      <c r="G7805">
        <v>-194.447</v>
      </c>
      <c r="H7805" s="1">
        <v>-1.9180589999999998E-6</v>
      </c>
      <c r="I7805">
        <v>41.301990000000004</v>
      </c>
      <c r="J7805">
        <v>-187.6174</v>
      </c>
      <c r="K7805">
        <v>1.109267</v>
      </c>
      <c r="L7805">
        <v>11.64612</v>
      </c>
      <c r="M7805">
        <v>-1.216997E-2</v>
      </c>
      <c r="N7805">
        <v>0</v>
      </c>
      <c r="O7805">
        <v>0.99987510000000002</v>
      </c>
      <c r="P7805">
        <v>-2.1633699999999999E-2</v>
      </c>
      <c r="Q7805">
        <v>5.6503129999999997E-3</v>
      </c>
      <c r="R7805">
        <v>0.99975000000000003</v>
      </c>
      <c r="S7805">
        <v>-0.68218990000000002</v>
      </c>
      <c r="T7805">
        <v>-0.1107583</v>
      </c>
      <c r="U7805">
        <v>2.9854430000000001</v>
      </c>
      <c r="V7805">
        <v>-9.4589619999999996E-3</v>
      </c>
      <c r="W7805">
        <v>1.5739090000000001E-2</v>
      </c>
      <c r="X7805">
        <v>0.99983140000000004</v>
      </c>
      <c r="Y7805">
        <v>-0.2107366</v>
      </c>
      <c r="Z7805">
        <v>-3.6187820000000002E-2</v>
      </c>
      <c r="AA7805">
        <v>0.97687290000000004</v>
      </c>
      <c r="AB7805">
        <v>26</v>
      </c>
      <c r="AC7805">
        <v>-6.8295999999999903</v>
      </c>
      <c r="AD7805">
        <v>-1.1092689180589901</v>
      </c>
      <c r="AE7805">
        <v>29.65587</v>
      </c>
      <c r="AF7805">
        <v>-6.4595822757191801</v>
      </c>
      <c r="AG7805">
        <v>-1.1092689180589901</v>
      </c>
      <c r="AH7805">
        <v>29.6973365692455</v>
      </c>
      <c r="AI7805">
        <v>92.090312109640195</v>
      </c>
      <c r="AJ7805">
        <v>102.271478544076</v>
      </c>
      <c r="AK7805">
        <v>30.411979218991998</v>
      </c>
      <c r="AL7805">
        <v>89.098179342720002</v>
      </c>
      <c r="AM7805">
        <v>90.542033820126704</v>
      </c>
      <c r="AN7805">
        <v>1.00000000967105</v>
      </c>
    </row>
    <row r="7806" spans="1:40" x14ac:dyDescent="0.25">
      <c r="A7806" t="str">
        <f>"20190312160837464"</f>
        <v>20190312160837464</v>
      </c>
      <c r="B7806" t="str">
        <f>"1552378117453197"</f>
        <v>1552378117453197</v>
      </c>
      <c r="C7806" t="s">
        <v>40</v>
      </c>
      <c r="D7806">
        <v>6.0655299999999999</v>
      </c>
      <c r="E7806">
        <v>0.42344880000000001</v>
      </c>
      <c r="F7806" t="s">
        <v>47</v>
      </c>
      <c r="G7806">
        <v>-194.46430000000001</v>
      </c>
      <c r="H7806" s="1">
        <v>-2.1702310000000002E-6</v>
      </c>
      <c r="I7806">
        <v>41.879069999999999</v>
      </c>
      <c r="J7806">
        <v>-187.62029999999999</v>
      </c>
      <c r="K7806">
        <v>1.109254</v>
      </c>
      <c r="L7806">
        <v>11.89838</v>
      </c>
      <c r="M7806">
        <v>-1.194331E-2</v>
      </c>
      <c r="N7806">
        <v>0</v>
      </c>
      <c r="O7806">
        <v>0.99987780000000004</v>
      </c>
      <c r="P7806">
        <v>-1.9996389999999999E-2</v>
      </c>
      <c r="Q7806">
        <v>6.1307180000000003E-3</v>
      </c>
      <c r="R7806">
        <v>0.99978129999999998</v>
      </c>
      <c r="S7806">
        <v>-0.67640690000000003</v>
      </c>
      <c r="T7806">
        <v>-0.10958519999999899</v>
      </c>
      <c r="U7806">
        <v>2.9867249999999999</v>
      </c>
      <c r="V7806">
        <v>-8.0472149999999999E-3</v>
      </c>
      <c r="W7806">
        <v>1.6222070000000002E-2</v>
      </c>
      <c r="X7806">
        <v>0.99983599999999995</v>
      </c>
      <c r="Y7806">
        <v>-0.20907139999999999</v>
      </c>
      <c r="Z7806">
        <v>-3.5804269999999999E-2</v>
      </c>
      <c r="AA7806">
        <v>0.97724469999999997</v>
      </c>
      <c r="AB7806">
        <v>26</v>
      </c>
      <c r="AC7806">
        <v>-6.8440000000000198</v>
      </c>
      <c r="AD7806">
        <v>-1.109256170231</v>
      </c>
      <c r="AE7806">
        <v>29.980689999999999</v>
      </c>
      <c r="AF7806">
        <v>-6.4769975443402297</v>
      </c>
      <c r="AG7806">
        <v>-1.109256170231</v>
      </c>
      <c r="AH7806">
        <v>30.021234281173001</v>
      </c>
      <c r="AI7806">
        <v>92.068511129408193</v>
      </c>
      <c r="AJ7806">
        <v>102.17479432717499</v>
      </c>
      <c r="AK7806">
        <v>30.732010253246699</v>
      </c>
      <c r="AL7806">
        <v>89.070503056116607</v>
      </c>
      <c r="AM7806">
        <v>90.461137127307296</v>
      </c>
      <c r="AN7806">
        <v>0.99999997006017005</v>
      </c>
    </row>
    <row r="7807" spans="1:40" x14ac:dyDescent="0.25">
      <c r="A7807" t="str">
        <f>"20190312160837487"</f>
        <v>20190312160837487</v>
      </c>
      <c r="B7807" t="str">
        <f>"1552378117483453"</f>
        <v>1552378117483453</v>
      </c>
      <c r="C7807" t="s">
        <v>40</v>
      </c>
      <c r="D7807">
        <v>6.1004199999999997</v>
      </c>
      <c r="E7807">
        <v>0.4255545</v>
      </c>
      <c r="F7807" t="s">
        <v>47</v>
      </c>
      <c r="G7807">
        <v>-194.43940000000001</v>
      </c>
      <c r="H7807" s="1">
        <v>-2.3396489999999999E-6</v>
      </c>
      <c r="I7807">
        <v>42.289459999999998</v>
      </c>
      <c r="J7807">
        <v>-187.62309999999999</v>
      </c>
      <c r="K7807">
        <v>1.1092409999999999</v>
      </c>
      <c r="L7807">
        <v>12.1554</v>
      </c>
      <c r="M7807">
        <v>-1.1693230000000001E-2</v>
      </c>
      <c r="N7807">
        <v>0</v>
      </c>
      <c r="O7807">
        <v>0.99988069999999896</v>
      </c>
      <c r="P7807">
        <v>-1.8854880000000001E-2</v>
      </c>
      <c r="Q7807">
        <v>7.21690099999999E-3</v>
      </c>
      <c r="R7807">
        <v>0.99979620000000002</v>
      </c>
      <c r="S7807">
        <v>-0.67042539999999995</v>
      </c>
      <c r="T7807">
        <v>-0.1090571</v>
      </c>
      <c r="U7807">
        <v>2.9879150000000001</v>
      </c>
      <c r="V7807">
        <v>-7.15411E-3</v>
      </c>
      <c r="W7807">
        <v>1.7311489999999999E-2</v>
      </c>
      <c r="X7807">
        <v>0.9998245</v>
      </c>
      <c r="Y7807">
        <v>-0.20737140000000001</v>
      </c>
      <c r="Z7807">
        <v>-3.5632549999999999E-2</v>
      </c>
      <c r="AA7807">
        <v>0.97761319999999996</v>
      </c>
      <c r="AB7807">
        <v>26</v>
      </c>
      <c r="AC7807">
        <v>-6.8163000000000098</v>
      </c>
      <c r="AD7807">
        <v>-1.109243339649</v>
      </c>
      <c r="AE7807">
        <v>30.134060000000002</v>
      </c>
      <c r="AF7807">
        <v>-6.45513056041304</v>
      </c>
      <c r="AG7807">
        <v>-1.109243339649</v>
      </c>
      <c r="AH7807">
        <v>30.1728141822305</v>
      </c>
      <c r="AI7807">
        <v>92.058868571583503</v>
      </c>
      <c r="AJ7807">
        <v>102.075742381499</v>
      </c>
      <c r="AK7807">
        <v>30.875521809581599</v>
      </c>
      <c r="AL7807">
        <v>89.008075087386104</v>
      </c>
      <c r="AM7807">
        <v>90.409965262760096</v>
      </c>
      <c r="AN7807">
        <v>0.99999994988807905</v>
      </c>
    </row>
    <row r="7808" spans="1:40" x14ac:dyDescent="0.25">
      <c r="A7808" t="str">
        <f>"20190312160837509"</f>
        <v>20190312160837509</v>
      </c>
      <c r="B7808" t="str">
        <f>"1552378117502974"</f>
        <v>1552378117502974</v>
      </c>
      <c r="C7808" t="s">
        <v>40</v>
      </c>
      <c r="D7808">
        <v>6.3374470000000001</v>
      </c>
      <c r="E7808">
        <v>0.4885641</v>
      </c>
      <c r="F7808" t="s">
        <v>47</v>
      </c>
      <c r="G7808">
        <v>-194.3278</v>
      </c>
      <c r="H7808" s="1">
        <v>-2.6044929999999998E-6</v>
      </c>
      <c r="I7808">
        <v>42.976050000000001</v>
      </c>
      <c r="J7808">
        <v>-187.6258</v>
      </c>
      <c r="K7808">
        <v>1.1092360000000001</v>
      </c>
      <c r="L7808">
        <v>12.41605</v>
      </c>
      <c r="M7808">
        <v>-1.1427090000000001E-2</v>
      </c>
      <c r="N7808">
        <v>0</v>
      </c>
      <c r="O7808">
        <v>0.99988379999999999</v>
      </c>
      <c r="P7808">
        <v>-1.8306889999999999E-2</v>
      </c>
      <c r="Q7808">
        <v>7.7724489999999999E-3</v>
      </c>
      <c r="R7808">
        <v>0.99980219999999997</v>
      </c>
      <c r="S7808">
        <v>-0.65025330000000003</v>
      </c>
      <c r="T7808">
        <v>-0.1075798</v>
      </c>
      <c r="U7808">
        <v>2.9891359999999998</v>
      </c>
      <c r="V7808">
        <v>-6.8713280000000003E-3</v>
      </c>
      <c r="W7808">
        <v>1.7869299999999901E-2</v>
      </c>
      <c r="X7808">
        <v>0.9998167</v>
      </c>
      <c r="Y7808">
        <v>-0.2012555</v>
      </c>
      <c r="Z7808">
        <v>-3.5184600000000003E-2</v>
      </c>
      <c r="AA7808">
        <v>0.97890670000000002</v>
      </c>
      <c r="AB7808">
        <v>26</v>
      </c>
      <c r="AC7808">
        <v>-6.7019999999999902</v>
      </c>
      <c r="AD7808">
        <v>-1.109238604493</v>
      </c>
      <c r="AE7808">
        <v>30.56</v>
      </c>
      <c r="AF7808">
        <v>-6.3443577346199298</v>
      </c>
      <c r="AG7808">
        <v>-1.109238604493</v>
      </c>
      <c r="AH7808">
        <v>30.5961327713425</v>
      </c>
      <c r="AI7808">
        <v>92.033092445343797</v>
      </c>
      <c r="AJ7808">
        <v>101.71472927628901</v>
      </c>
      <c r="AK7808">
        <v>31.266669568538099</v>
      </c>
      <c r="AL7808">
        <v>88.976110012019902</v>
      </c>
      <c r="AM7808">
        <v>90.393764072736701</v>
      </c>
      <c r="AN7808">
        <v>0.99999998031493098</v>
      </c>
    </row>
    <row r="7809" spans="1:40" x14ac:dyDescent="0.25">
      <c r="A7809" t="str">
        <f>"20190312160837533"</f>
        <v>20190312160837533</v>
      </c>
      <c r="B7809" t="str">
        <f>"1552378117523470"</f>
        <v>1552378117523470</v>
      </c>
      <c r="C7809" t="s">
        <v>40</v>
      </c>
      <c r="D7809">
        <v>6.0088119999999998</v>
      </c>
      <c r="E7809">
        <v>0.4918844</v>
      </c>
      <c r="F7809" t="s">
        <v>46</v>
      </c>
      <c r="G7809">
        <v>-206.1037</v>
      </c>
      <c r="H7809">
        <v>3.1894490000000002</v>
      </c>
      <c r="I7809">
        <v>391.87</v>
      </c>
      <c r="J7809">
        <v>-187.62860000000001</v>
      </c>
      <c r="K7809">
        <v>1.1092280000000001</v>
      </c>
      <c r="L7809">
        <v>12.682370000000001</v>
      </c>
      <c r="M7809">
        <v>-1.114769E-2</v>
      </c>
      <c r="N7809">
        <v>0</v>
      </c>
      <c r="O7809">
        <v>0.99988690000000002</v>
      </c>
      <c r="P7809">
        <v>-1.871161E-2</v>
      </c>
      <c r="Q7809">
        <v>7.6753339999999998E-3</v>
      </c>
      <c r="R7809">
        <v>0.9997954</v>
      </c>
      <c r="S7809">
        <v>-0.14598079999999999</v>
      </c>
      <c r="T7809">
        <v>1.6434310000000001E-2</v>
      </c>
      <c r="U7809">
        <v>2.9978030000000002</v>
      </c>
      <c r="V7809">
        <v>-7.5559519999999899E-3</v>
      </c>
      <c r="W7809">
        <v>1.7775860000000001E-2</v>
      </c>
      <c r="X7809">
        <v>0.99981339999999996</v>
      </c>
      <c r="Y7809">
        <v>-3.7499490000000003E-2</v>
      </c>
      <c r="Z7809">
        <v>5.4763540000000001E-3</v>
      </c>
      <c r="AA7809">
        <v>0.99928159999999999</v>
      </c>
      <c r="AB7809">
        <v>26</v>
      </c>
      <c r="AC7809">
        <v>-18.475100000000001</v>
      </c>
      <c r="AD7809">
        <v>2.0802209999999999</v>
      </c>
      <c r="AE7809">
        <v>379.18762999999899</v>
      </c>
      <c r="AF7809">
        <v>-14.246242575655399</v>
      </c>
      <c r="AG7809">
        <v>2.0802209999999999</v>
      </c>
      <c r="AH7809">
        <v>379.35864085117402</v>
      </c>
      <c r="AI7809">
        <v>89.686041849600201</v>
      </c>
      <c r="AJ7809">
        <v>92.150646118516704</v>
      </c>
      <c r="AK7809">
        <v>379.63174410918799</v>
      </c>
      <c r="AL7809">
        <v>88.981464553669696</v>
      </c>
      <c r="AM7809">
        <v>90.432996715302593</v>
      </c>
      <c r="AN7809">
        <v>0.99999995421446097</v>
      </c>
    </row>
    <row r="7810" spans="1:40" x14ac:dyDescent="0.25">
      <c r="A7810" t="str">
        <f>"20190312160837556"</f>
        <v>20190312160837556</v>
      </c>
      <c r="B7810" t="str">
        <f>"1552378117553725"</f>
        <v>1552378117553725</v>
      </c>
      <c r="C7810" t="s">
        <v>40</v>
      </c>
      <c r="D7810">
        <v>6.0574529999999998</v>
      </c>
      <c r="E7810">
        <v>0.493309</v>
      </c>
      <c r="F7810" t="s">
        <v>46</v>
      </c>
      <c r="G7810">
        <v>-202.8723</v>
      </c>
      <c r="H7810">
        <v>4.8038850000000002</v>
      </c>
      <c r="I7810">
        <v>391.00349999999997</v>
      </c>
      <c r="J7810">
        <v>-187.63120000000001</v>
      </c>
      <c r="K7810">
        <v>1.1092200000000001</v>
      </c>
      <c r="L7810">
        <v>12.94638</v>
      </c>
      <c r="M7810">
        <v>-1.0867949999999999E-2</v>
      </c>
      <c r="N7810">
        <v>0</v>
      </c>
      <c r="O7810">
        <v>0.9998899</v>
      </c>
      <c r="P7810">
        <v>-1.8717129999999998E-2</v>
      </c>
      <c r="Q7810">
        <v>7.4225089999999999E-3</v>
      </c>
      <c r="R7810">
        <v>0.9997973</v>
      </c>
      <c r="S7810">
        <v>-0.1208038</v>
      </c>
      <c r="T7810">
        <v>2.9279590000000001E-2</v>
      </c>
      <c r="U7810">
        <v>2.998138</v>
      </c>
      <c r="V7810">
        <v>-7.8406050000000005E-3</v>
      </c>
      <c r="W7810">
        <v>1.7526030000000001E-2</v>
      </c>
      <c r="X7810">
        <v>0.99981560000000003</v>
      </c>
      <c r="Y7810">
        <v>-2.93963E-2</v>
      </c>
      <c r="Z7810">
        <v>9.758526E-3</v>
      </c>
      <c r="AA7810">
        <v>0.99952019999999997</v>
      </c>
      <c r="AB7810">
        <v>26</v>
      </c>
      <c r="AC7810">
        <v>-15.2410999999999</v>
      </c>
      <c r="AD7810">
        <v>3.6946650000000001</v>
      </c>
      <c r="AE7810">
        <v>378.05712</v>
      </c>
      <c r="AF7810">
        <v>-11.130222918452001</v>
      </c>
      <c r="AG7810">
        <v>3.6946650000000001</v>
      </c>
      <c r="AH7810">
        <v>378.16437967515202</v>
      </c>
      <c r="AI7810">
        <v>89.440480469728698</v>
      </c>
      <c r="AJ7810">
        <v>91.685856169061495</v>
      </c>
      <c r="AK7810">
        <v>378.34617807871302</v>
      </c>
      <c r="AL7810">
        <v>88.995780970429806</v>
      </c>
      <c r="AM7810">
        <v>90.449307218966496</v>
      </c>
      <c r="AN7810">
        <v>0.99999993540884102</v>
      </c>
    </row>
    <row r="7811" spans="1:40" x14ac:dyDescent="0.25">
      <c r="A7811" t="str">
        <f>"20190312160837578"</f>
        <v>20190312160837578</v>
      </c>
      <c r="B7811" t="str">
        <f>"1552378117573245"</f>
        <v>1552378117573245</v>
      </c>
      <c r="C7811" t="s">
        <v>40</v>
      </c>
      <c r="D7811">
        <v>6.2180200000000001</v>
      </c>
      <c r="E7811">
        <v>0.49391059999999998</v>
      </c>
      <c r="F7811" t="s">
        <v>46</v>
      </c>
      <c r="G7811">
        <v>-201.4614</v>
      </c>
      <c r="H7811">
        <v>4.2474829999999999</v>
      </c>
      <c r="I7811">
        <v>391.87</v>
      </c>
      <c r="J7811">
        <v>-187.6337</v>
      </c>
      <c r="K7811">
        <v>1.109219</v>
      </c>
      <c r="L7811">
        <v>13.20087</v>
      </c>
      <c r="M7811">
        <v>-1.059946E-2</v>
      </c>
      <c r="N7811">
        <v>0</v>
      </c>
      <c r="O7811">
        <v>0.99989280000000003</v>
      </c>
      <c r="P7811">
        <v>-1.906683E-2</v>
      </c>
      <c r="Q7811">
        <v>6.9677089999999999E-3</v>
      </c>
      <c r="R7811">
        <v>0.99979390000000001</v>
      </c>
      <c r="S7811">
        <v>-0.10943600000000001</v>
      </c>
      <c r="T7811">
        <v>2.4832730000000001E-2</v>
      </c>
      <c r="U7811">
        <v>2.998383</v>
      </c>
      <c r="V7811">
        <v>-8.4594900000000001E-3</v>
      </c>
      <c r="W7811">
        <v>1.7074539999999999E-2</v>
      </c>
      <c r="X7811">
        <v>0.9998184</v>
      </c>
      <c r="Y7811">
        <v>-2.5877830000000001E-2</v>
      </c>
      <c r="Z7811">
        <v>8.2769160000000005E-3</v>
      </c>
      <c r="AA7811">
        <v>0.99963089999999999</v>
      </c>
      <c r="AB7811">
        <v>26</v>
      </c>
      <c r="AC7811">
        <v>-13.827699999999901</v>
      </c>
      <c r="AD7811">
        <v>3.1382639999999999</v>
      </c>
      <c r="AE7811">
        <v>378.66913</v>
      </c>
      <c r="AF7811">
        <v>-9.8123569872758498</v>
      </c>
      <c r="AG7811">
        <v>3.1382639999999999</v>
      </c>
      <c r="AH7811">
        <v>378.76844849750501</v>
      </c>
      <c r="AI7811">
        <v>89.525449212120193</v>
      </c>
      <c r="AJ7811">
        <v>91.483969761044193</v>
      </c>
      <c r="AK7811">
        <v>378.90852277005598</v>
      </c>
      <c r="AL7811">
        <v>89.0216533477209</v>
      </c>
      <c r="AM7811">
        <v>90.484769542252806</v>
      </c>
      <c r="AN7811">
        <v>0.99999996793291501</v>
      </c>
    </row>
    <row r="7812" spans="1:40" x14ac:dyDescent="0.25">
      <c r="A7812" t="str">
        <f>"20190312160837600"</f>
        <v>20190312160837600</v>
      </c>
      <c r="B7812" t="str">
        <f>"1552378117592766"</f>
        <v>1552378117592766</v>
      </c>
      <c r="C7812" t="s">
        <v>40</v>
      </c>
      <c r="D7812">
        <v>6.0282710000000002</v>
      </c>
      <c r="E7812">
        <v>0.49403409999999898</v>
      </c>
      <c r="F7812" t="s">
        <v>46</v>
      </c>
      <c r="G7812">
        <v>-200.97620000000001</v>
      </c>
      <c r="H7812">
        <v>3.4676469999999999</v>
      </c>
      <c r="I7812">
        <v>391.87</v>
      </c>
      <c r="J7812">
        <v>-187.6362</v>
      </c>
      <c r="K7812">
        <v>1.109219</v>
      </c>
      <c r="L7812">
        <v>13.465999999999999</v>
      </c>
      <c r="M7812">
        <v>-1.0323219999999999E-2</v>
      </c>
      <c r="N7812">
        <v>0</v>
      </c>
      <c r="O7812">
        <v>0.9998956</v>
      </c>
      <c r="P7812">
        <v>-1.874526E-2</v>
      </c>
      <c r="Q7812">
        <v>7.0452079999999999E-3</v>
      </c>
      <c r="R7812">
        <v>0.99979949999999995</v>
      </c>
      <c r="S7812">
        <v>-0.10565190000000001</v>
      </c>
      <c r="T7812">
        <v>1.8675089999999998E-2</v>
      </c>
      <c r="U7812">
        <v>2.9984739999999999</v>
      </c>
      <c r="V7812">
        <v>-8.4141870000000001E-3</v>
      </c>
      <c r="W7812">
        <v>1.7154630000000001E-2</v>
      </c>
      <c r="X7812">
        <v>0.99981739999999997</v>
      </c>
      <c r="Y7812">
        <v>-2.4893459999999999E-2</v>
      </c>
      <c r="Z7812">
        <v>6.224683E-3</v>
      </c>
      <c r="AA7812">
        <v>0.99967070000000002</v>
      </c>
      <c r="AB7812">
        <v>26</v>
      </c>
      <c r="AC7812">
        <v>-13.34</v>
      </c>
      <c r="AD7812">
        <v>2.358428</v>
      </c>
      <c r="AE7812">
        <v>378.404</v>
      </c>
      <c r="AF7812">
        <v>-9.4323757392223495</v>
      </c>
      <c r="AG7812">
        <v>2.358428</v>
      </c>
      <c r="AH7812">
        <v>378.50686834719397</v>
      </c>
      <c r="AI7812">
        <v>89.643112722842901</v>
      </c>
      <c r="AJ7812">
        <v>91.427513042933199</v>
      </c>
      <c r="AK7812">
        <v>378.63172249656702</v>
      </c>
      <c r="AL7812">
        <v>89.017063845257596</v>
      </c>
      <c r="AM7812">
        <v>90.482174067181404</v>
      </c>
      <c r="AN7812">
        <v>0.99999995660803298</v>
      </c>
    </row>
    <row r="7813" spans="1:40" x14ac:dyDescent="0.25">
      <c r="A7813" t="str">
        <f>"20190312160837623"</f>
        <v>20190312160837623</v>
      </c>
      <c r="B7813" t="str">
        <f>"1552378117613262"</f>
        <v>1552378117613262</v>
      </c>
      <c r="C7813" t="s">
        <v>40</v>
      </c>
      <c r="D7813">
        <v>6.0557980000000002</v>
      </c>
      <c r="E7813">
        <v>0.49445090000000003</v>
      </c>
      <c r="F7813" t="s">
        <v>46</v>
      </c>
      <c r="G7813">
        <v>-200.7302</v>
      </c>
      <c r="H7813">
        <v>2.7268159999999999</v>
      </c>
      <c r="I7813">
        <v>391.87</v>
      </c>
      <c r="J7813">
        <v>-187.6387</v>
      </c>
      <c r="K7813">
        <v>1.109213</v>
      </c>
      <c r="L7813">
        <v>13.73776</v>
      </c>
      <c r="M7813">
        <v>-1.004412E-2</v>
      </c>
      <c r="N7813">
        <v>0</v>
      </c>
      <c r="O7813">
        <v>0.99989839999999997</v>
      </c>
      <c r="P7813">
        <v>-1.828043E-2</v>
      </c>
      <c r="Q7813">
        <v>6.6387879999999996E-3</v>
      </c>
      <c r="R7813">
        <v>0.99981089999999995</v>
      </c>
      <c r="S7813">
        <v>-0.1037598</v>
      </c>
      <c r="T7813">
        <v>1.281822E-2</v>
      </c>
      <c r="U7813">
        <v>2.9985659999999998</v>
      </c>
      <c r="V7813">
        <v>-8.2283089999999996E-3</v>
      </c>
      <c r="W7813">
        <v>1.6751760000000001E-2</v>
      </c>
      <c r="X7813">
        <v>0.99982579999999999</v>
      </c>
      <c r="Y7813">
        <v>-2.4541750000000001E-2</v>
      </c>
      <c r="Z7813">
        <v>4.2724989999999999E-3</v>
      </c>
      <c r="AA7813">
        <v>0.99968970000000001</v>
      </c>
      <c r="AB7813">
        <v>26</v>
      </c>
      <c r="AC7813">
        <v>-13.0914999999999</v>
      </c>
      <c r="AD7813">
        <v>1.6176029999999999</v>
      </c>
      <c r="AE7813">
        <v>378.132239999999</v>
      </c>
      <c r="AF7813">
        <v>-9.2924698139028905</v>
      </c>
      <c r="AG7813">
        <v>1.6176029999999999</v>
      </c>
      <c r="AH7813">
        <v>378.23774952927897</v>
      </c>
      <c r="AI7813">
        <v>89.755039514794902</v>
      </c>
      <c r="AJ7813">
        <v>91.407348215169506</v>
      </c>
      <c r="AK7813">
        <v>378.355338013991</v>
      </c>
      <c r="AL7813">
        <v>89.040149935895997</v>
      </c>
      <c r="AM7813">
        <v>90.471518873749503</v>
      </c>
      <c r="AN7813">
        <v>0.99999997843886801</v>
      </c>
    </row>
    <row r="7814" spans="1:40" x14ac:dyDescent="0.25">
      <c r="A7814" t="str">
        <f>"20190312160837646"</f>
        <v>20190312160837646</v>
      </c>
      <c r="B7814" t="str">
        <f>"1552378117643519"</f>
        <v>1552378117643519</v>
      </c>
      <c r="C7814" t="s">
        <v>40</v>
      </c>
      <c r="D7814">
        <v>5.8105310000000001</v>
      </c>
      <c r="E7814">
        <v>0.49454809999999999</v>
      </c>
      <c r="F7814" t="s">
        <v>46</v>
      </c>
      <c r="G7814">
        <v>-200.1319</v>
      </c>
      <c r="H7814">
        <v>2.1075240000000002</v>
      </c>
      <c r="I7814">
        <v>391.87</v>
      </c>
      <c r="J7814">
        <v>-187.64089999999999</v>
      </c>
      <c r="K7814">
        <v>1.109213</v>
      </c>
      <c r="L7814">
        <v>13.990690000000001</v>
      </c>
      <c r="M7814">
        <v>-9.787357E-3</v>
      </c>
      <c r="N7814">
        <v>0</v>
      </c>
      <c r="O7814">
        <v>0.99990100000000004</v>
      </c>
      <c r="P7814">
        <v>-1.8013789999999998E-2</v>
      </c>
      <c r="Q7814">
        <v>6.5959719999999899E-3</v>
      </c>
      <c r="R7814">
        <v>0.99981600000000004</v>
      </c>
      <c r="S7814">
        <v>-9.9075319999999995E-2</v>
      </c>
      <c r="T7814">
        <v>7.9169269999999903E-3</v>
      </c>
      <c r="U7814">
        <v>2.9987180000000002</v>
      </c>
      <c r="V7814">
        <v>-8.2183029999999997E-3</v>
      </c>
      <c r="W7814">
        <v>1.6711239999999999E-2</v>
      </c>
      <c r="X7814">
        <v>0.99982660000000001</v>
      </c>
      <c r="Y7814">
        <v>-2.3236989999999999E-2</v>
      </c>
      <c r="Z7814">
        <v>2.6388290000000001E-3</v>
      </c>
      <c r="AA7814">
        <v>0.99972649999999996</v>
      </c>
      <c r="AB7814">
        <v>26</v>
      </c>
      <c r="AC7814">
        <v>-12.491</v>
      </c>
      <c r="AD7814">
        <v>0.99831099999999995</v>
      </c>
      <c r="AE7814">
        <v>377.87930999999998</v>
      </c>
      <c r="AF7814">
        <v>-8.7917116477635702</v>
      </c>
      <c r="AG7814">
        <v>0.99831099999999995</v>
      </c>
      <c r="AH7814">
        <v>377.98083362059202</v>
      </c>
      <c r="AI7814">
        <v>89.848713472887596</v>
      </c>
      <c r="AJ7814">
        <v>91.332441001620893</v>
      </c>
      <c r="AK7814">
        <v>378.08438397144602</v>
      </c>
      <c r="AL7814">
        <v>89.042471923900905</v>
      </c>
      <c r="AM7814">
        <v>90.470945134274203</v>
      </c>
      <c r="AN7814">
        <v>1.0000000180570401</v>
      </c>
    </row>
    <row r="7815" spans="1:40" x14ac:dyDescent="0.25">
      <c r="A7815" t="str">
        <f>"20190312160837667"</f>
        <v>20190312160837667</v>
      </c>
      <c r="B7815" t="str">
        <f>"1552378117663038"</f>
        <v>1552378117663038</v>
      </c>
      <c r="C7815" t="s">
        <v>40</v>
      </c>
      <c r="D7815">
        <v>6.1211190000000002</v>
      </c>
      <c r="E7815">
        <v>0.4945349</v>
      </c>
      <c r="F7815" t="s">
        <v>46</v>
      </c>
      <c r="G7815">
        <v>-199.94110000000001</v>
      </c>
      <c r="H7815">
        <v>1.8854850000000001</v>
      </c>
      <c r="I7815">
        <v>391.87</v>
      </c>
      <c r="J7815">
        <v>-187.64320000000001</v>
      </c>
      <c r="K7815">
        <v>1.1092169999999999</v>
      </c>
      <c r="L7815">
        <v>14.25201</v>
      </c>
      <c r="M7815">
        <v>-9.5241700000000002E-3</v>
      </c>
      <c r="N7815">
        <v>0</v>
      </c>
      <c r="O7815">
        <v>0.99990349999999995</v>
      </c>
      <c r="P7815">
        <v>-1.7519710000000001E-2</v>
      </c>
      <c r="Q7815">
        <v>6.1464459999999999E-3</v>
      </c>
      <c r="R7815">
        <v>0.99982760000000004</v>
      </c>
      <c r="S7815">
        <v>-9.7610470000000005E-2</v>
      </c>
      <c r="T7815">
        <v>6.1602590000000004E-3</v>
      </c>
      <c r="U7815">
        <v>2.9987490000000001</v>
      </c>
      <c r="V7815">
        <v>-7.9880899999999998E-3</v>
      </c>
      <c r="W7815">
        <v>1.6264979999999998E-2</v>
      </c>
      <c r="X7815">
        <v>0.99983580000000005</v>
      </c>
      <c r="Y7815">
        <v>-2.3012009999999999E-2</v>
      </c>
      <c r="Z7815">
        <v>2.0533169999999998E-3</v>
      </c>
      <c r="AA7815">
        <v>0.99973310000000004</v>
      </c>
      <c r="AB7815">
        <v>26</v>
      </c>
      <c r="AC7815">
        <v>-12.297899999999901</v>
      </c>
      <c r="AD7815">
        <v>0.77626799999999996</v>
      </c>
      <c r="AE7815">
        <v>377.617989999999</v>
      </c>
      <c r="AF7815">
        <v>-8.7006235588689904</v>
      </c>
      <c r="AG7815">
        <v>0.77626799999999996</v>
      </c>
      <c r="AH7815">
        <v>377.71639981519502</v>
      </c>
      <c r="AI7815">
        <v>89.882279343571895</v>
      </c>
      <c r="AJ7815">
        <v>91.3195637450753</v>
      </c>
      <c r="AK7815">
        <v>377.81739257433998</v>
      </c>
      <c r="AL7815">
        <v>89.068044191167004</v>
      </c>
      <c r="AM7815">
        <v>90.457749268104095</v>
      </c>
      <c r="AN7815">
        <v>0.99999999305894405</v>
      </c>
    </row>
    <row r="7816" spans="1:40" x14ac:dyDescent="0.25">
      <c r="A7816" t="str">
        <f>"20190312160837691"</f>
        <v>20190312160837691</v>
      </c>
      <c r="B7816" t="str">
        <f>"1552378117683533"</f>
        <v>1552378117683533</v>
      </c>
      <c r="C7816" t="s">
        <v>40</v>
      </c>
      <c r="D7816">
        <v>5.9214399999999996</v>
      </c>
      <c r="E7816">
        <v>0.49438739999999998</v>
      </c>
      <c r="F7816" t="s">
        <v>46</v>
      </c>
      <c r="G7816">
        <v>-199.74250000000001</v>
      </c>
      <c r="H7816">
        <v>1.6420239999999999</v>
      </c>
      <c r="I7816">
        <v>391.87</v>
      </c>
      <c r="J7816">
        <v>-187.6454</v>
      </c>
      <c r="K7816">
        <v>1.109213</v>
      </c>
      <c r="L7816">
        <v>14.516109999999999</v>
      </c>
      <c r="M7816">
        <v>-9.2587399999999997E-3</v>
      </c>
      <c r="N7816">
        <v>0</v>
      </c>
      <c r="O7816">
        <v>0.99990590000000001</v>
      </c>
      <c r="P7816">
        <v>-1.7124400000000001E-2</v>
      </c>
      <c r="Q7816">
        <v>5.7114399999999999E-3</v>
      </c>
      <c r="R7816">
        <v>0.99983699999999998</v>
      </c>
      <c r="S7816">
        <v>-9.6084589999999998E-2</v>
      </c>
      <c r="T7816">
        <v>4.231215E-3</v>
      </c>
      <c r="U7816">
        <v>2.9988100000000002</v>
      </c>
      <c r="V7816">
        <v>-7.8579900000000005E-3</v>
      </c>
      <c r="W7816">
        <v>1.5832539999999999E-2</v>
      </c>
      <c r="X7816">
        <v>0.99984379999999995</v>
      </c>
      <c r="Y7816">
        <v>-2.2768610000000002E-2</v>
      </c>
      <c r="Z7816">
        <v>1.410328E-3</v>
      </c>
      <c r="AA7816">
        <v>0.99973979999999996</v>
      </c>
      <c r="AB7816">
        <v>26</v>
      </c>
      <c r="AC7816">
        <v>-12.097099999999999</v>
      </c>
      <c r="AD7816">
        <v>0.53281100000000003</v>
      </c>
      <c r="AE7816">
        <v>377.35388999999998</v>
      </c>
      <c r="AF7816">
        <v>-8.6025637256021295</v>
      </c>
      <c r="AG7816">
        <v>0.53281100000000003</v>
      </c>
      <c r="AH7816">
        <v>377.44897171731901</v>
      </c>
      <c r="AI7816">
        <v>89.919141717333602</v>
      </c>
      <c r="AJ7816">
        <v>91.305620931177401</v>
      </c>
      <c r="AK7816">
        <v>377.54736688351602</v>
      </c>
      <c r="AL7816">
        <v>89.092824395081493</v>
      </c>
      <c r="AM7816">
        <v>90.4502907283875</v>
      </c>
      <c r="AN7816">
        <v>1.00000002086406</v>
      </c>
    </row>
    <row r="7817" spans="1:40" x14ac:dyDescent="0.25">
      <c r="A7817" t="str">
        <f>"20190312160837714"</f>
        <v>20190312160837714</v>
      </c>
      <c r="B7817" t="str">
        <f>"1552378117703054"</f>
        <v>1552378117703054</v>
      </c>
      <c r="C7817" t="s">
        <v>40</v>
      </c>
      <c r="D7817">
        <v>6.3749229999999999</v>
      </c>
      <c r="E7817">
        <v>0.5128644</v>
      </c>
      <c r="F7817" t="s">
        <v>46</v>
      </c>
      <c r="G7817">
        <v>-199.73990000000001</v>
      </c>
      <c r="H7817">
        <v>1.3758049999999999</v>
      </c>
      <c r="I7817">
        <v>391.87</v>
      </c>
      <c r="J7817">
        <v>-187.64769999999999</v>
      </c>
      <c r="K7817">
        <v>1.1092109999999999</v>
      </c>
      <c r="L7817">
        <v>14.787929999999999</v>
      </c>
      <c r="M7817">
        <v>-8.9857779999999998E-3</v>
      </c>
      <c r="N7817">
        <v>0</v>
      </c>
      <c r="O7817">
        <v>0.99990840000000003</v>
      </c>
      <c r="P7817">
        <v>-1.6997729999999999E-2</v>
      </c>
      <c r="Q7817">
        <v>5.4469200000000001E-3</v>
      </c>
      <c r="R7817">
        <v>0.99984070000000003</v>
      </c>
      <c r="S7817">
        <v>-9.6115110000000004E-2</v>
      </c>
      <c r="T7817">
        <v>2.1185869999999999E-3</v>
      </c>
      <c r="U7817">
        <v>2.99884</v>
      </c>
      <c r="V7817">
        <v>-8.0043890000000006E-3</v>
      </c>
      <c r="W7817">
        <v>1.5570789999999999E-2</v>
      </c>
      <c r="X7817">
        <v>0.99984680000000004</v>
      </c>
      <c r="Y7817">
        <v>-2.3051390000000001E-2</v>
      </c>
      <c r="Z7817">
        <v>7.0615089999999999E-4</v>
      </c>
      <c r="AA7817">
        <v>0.99973400000000001</v>
      </c>
      <c r="AB7817">
        <v>26</v>
      </c>
      <c r="AC7817">
        <v>-12.0922</v>
      </c>
      <c r="AD7817">
        <v>0.266593999999999</v>
      </c>
      <c r="AE7817">
        <v>377.08206999999999</v>
      </c>
      <c r="AF7817">
        <v>-8.7031580595947204</v>
      </c>
      <c r="AG7817">
        <v>0.266593999999999</v>
      </c>
      <c r="AH7817">
        <v>377.175319594879</v>
      </c>
      <c r="AI7817">
        <v>89.959513141686301</v>
      </c>
      <c r="AJ7817">
        <v>91.321840871247602</v>
      </c>
      <c r="AK7817">
        <v>377.27581123638203</v>
      </c>
      <c r="AL7817">
        <v>89.107823459434798</v>
      </c>
      <c r="AM7817">
        <v>90.458678179570299</v>
      </c>
      <c r="AN7817">
        <v>1.00000007160736</v>
      </c>
    </row>
    <row r="7818" spans="1:40" x14ac:dyDescent="0.25">
      <c r="A7818" t="str">
        <f>"20190312160837736"</f>
        <v>20190312160837736</v>
      </c>
      <c r="B7818" t="str">
        <f>"1552378117723550"</f>
        <v>1552378117723550</v>
      </c>
      <c r="C7818" t="s">
        <v>40</v>
      </c>
      <c r="D7818">
        <v>5.92957</v>
      </c>
      <c r="E7818">
        <v>0.51625449999999995</v>
      </c>
      <c r="F7818" t="s">
        <v>47</v>
      </c>
      <c r="G7818">
        <v>-187.0598</v>
      </c>
      <c r="H7818" s="1">
        <v>-4.5074040000000004E-6</v>
      </c>
      <c r="I7818">
        <v>48.923909999999999</v>
      </c>
      <c r="J7818">
        <v>-187.64959999999999</v>
      </c>
      <c r="K7818">
        <v>1.109208</v>
      </c>
      <c r="L7818">
        <v>15.03323</v>
      </c>
      <c r="M7818">
        <v>-8.7393750000000006E-3</v>
      </c>
      <c r="N7818">
        <v>0</v>
      </c>
      <c r="O7818">
        <v>0.99991059999999998</v>
      </c>
      <c r="P7818">
        <v>-1.7301609999999999E-2</v>
      </c>
      <c r="Q7818">
        <v>5.630955E-3</v>
      </c>
      <c r="R7818">
        <v>0.99983449999999996</v>
      </c>
      <c r="S7818">
        <v>5.1696779999999998E-2</v>
      </c>
      <c r="T7818">
        <v>-9.7543599999999994E-2</v>
      </c>
      <c r="U7818">
        <v>3.0018919999999998</v>
      </c>
      <c r="V7818">
        <v>-8.5550260000000003E-3</v>
      </c>
      <c r="W7818">
        <v>1.5757690000000001E-2</v>
      </c>
      <c r="X7818">
        <v>0.99983920000000004</v>
      </c>
      <c r="Y7818">
        <v>2.5947640000000001E-2</v>
      </c>
      <c r="Z7818">
        <v>-3.2467160000000002E-2</v>
      </c>
      <c r="AA7818">
        <v>0.99913589999999997</v>
      </c>
      <c r="AB7818">
        <v>26</v>
      </c>
      <c r="AC7818">
        <v>0.58979999999999599</v>
      </c>
      <c r="AD7818">
        <v>-1.109212507404</v>
      </c>
      <c r="AE7818">
        <v>33.890679999999897</v>
      </c>
      <c r="AF7818">
        <v>0.88502825163014998</v>
      </c>
      <c r="AG7818">
        <v>-1.109212507404</v>
      </c>
      <c r="AH7818">
        <v>33.847984018778803</v>
      </c>
      <c r="AI7818">
        <v>91.876294007538505</v>
      </c>
      <c r="AJ7818">
        <v>88.502220035087205</v>
      </c>
      <c r="AK7818">
        <v>33.877716120309401</v>
      </c>
      <c r="AL7818">
        <v>89.097113463805499</v>
      </c>
      <c r="AM7818">
        <v>90.490233751502601</v>
      </c>
      <c r="AN7818">
        <v>0.99999995956031695</v>
      </c>
    </row>
    <row r="7819" spans="1:40" x14ac:dyDescent="0.25">
      <c r="A7819" t="str">
        <f>"20190312160837757"</f>
        <v>20190312160837757</v>
      </c>
      <c r="B7819" t="str">
        <f>"1552378117752830"</f>
        <v>1552378117752830</v>
      </c>
      <c r="C7819" t="s">
        <v>40</v>
      </c>
      <c r="D7819">
        <v>5.76816</v>
      </c>
      <c r="E7819">
        <v>0.51956539999999996</v>
      </c>
      <c r="F7819" t="s">
        <v>47</v>
      </c>
      <c r="G7819">
        <v>-187.03489999999999</v>
      </c>
      <c r="H7819" s="1">
        <v>-4.4425290000000004E-6</v>
      </c>
      <c r="I7819">
        <v>38.762410000000003</v>
      </c>
      <c r="J7819">
        <v>-187.6516</v>
      </c>
      <c r="K7819">
        <v>1.109202</v>
      </c>
      <c r="L7819">
        <v>15.294129999999999</v>
      </c>
      <c r="M7819">
        <v>-8.4771199999999994E-3</v>
      </c>
      <c r="N7819">
        <v>0</v>
      </c>
      <c r="O7819">
        <v>0.99991280000000005</v>
      </c>
      <c r="P7819">
        <v>-1.745008E-2</v>
      </c>
      <c r="Q7819">
        <v>5.7414170000000004E-3</v>
      </c>
      <c r="R7819">
        <v>0.99983129999999998</v>
      </c>
      <c r="S7819">
        <v>7.7774049999999997E-2</v>
      </c>
      <c r="T7819">
        <v>-0.1403567</v>
      </c>
      <c r="U7819">
        <v>3.0026250000000001</v>
      </c>
      <c r="V7819">
        <v>-8.9654980000000006E-3</v>
      </c>
      <c r="W7819">
        <v>1.5871159999999999E-2</v>
      </c>
      <c r="X7819">
        <v>0.99983379999999999</v>
      </c>
      <c r="Y7819">
        <v>3.4338899999999999E-2</v>
      </c>
      <c r="Z7819">
        <v>-4.666957E-2</v>
      </c>
      <c r="AA7819">
        <v>0.99831999999999999</v>
      </c>
      <c r="AB7819">
        <v>26</v>
      </c>
      <c r="AC7819">
        <v>0.61670000000000802</v>
      </c>
      <c r="AD7819">
        <v>-1.109206442529</v>
      </c>
      <c r="AE7819">
        <v>23.46828</v>
      </c>
      <c r="AF7819">
        <v>0.81381474423324296</v>
      </c>
      <c r="AG7819">
        <v>-1.109206442529</v>
      </c>
      <c r="AH7819">
        <v>23.409949336422802</v>
      </c>
      <c r="AI7819">
        <v>92.711115253909995</v>
      </c>
      <c r="AJ7819">
        <v>88.008992690936793</v>
      </c>
      <c r="AK7819">
        <v>23.450338191675701</v>
      </c>
      <c r="AL7819">
        <v>89.090611290289701</v>
      </c>
      <c r="AM7819">
        <v>90.513756815738702</v>
      </c>
      <c r="AN7819">
        <v>0.99999995074828496</v>
      </c>
    </row>
    <row r="7820" spans="1:40" x14ac:dyDescent="0.25">
      <c r="A7820" t="str">
        <f>"20190312160837780"</f>
        <v>20190312160837780</v>
      </c>
      <c r="B7820" t="str">
        <f>"1552378117773326"</f>
        <v>1552378117773326</v>
      </c>
      <c r="C7820" t="s">
        <v>40</v>
      </c>
      <c r="D7820">
        <v>5.8912809999999904</v>
      </c>
      <c r="E7820">
        <v>0.52158689999999996</v>
      </c>
      <c r="F7820" t="s">
        <v>44</v>
      </c>
      <c r="G7820">
        <v>-187.61940000000001</v>
      </c>
      <c r="H7820">
        <v>1.047091</v>
      </c>
      <c r="I7820">
        <v>16.22223</v>
      </c>
      <c r="J7820">
        <v>-187.65350000000001</v>
      </c>
      <c r="K7820">
        <v>1.1092</v>
      </c>
      <c r="L7820">
        <v>15.55423</v>
      </c>
      <c r="M7820">
        <v>-8.2155449999999994E-3</v>
      </c>
      <c r="N7820">
        <v>0</v>
      </c>
      <c r="O7820">
        <v>0.99991490000000005</v>
      </c>
      <c r="P7820">
        <v>-1.7450960000000001E-2</v>
      </c>
      <c r="Q7820">
        <v>5.4365050000000003E-3</v>
      </c>
      <c r="R7820">
        <v>0.99983290000000002</v>
      </c>
      <c r="S7820">
        <v>0.1037445</v>
      </c>
      <c r="T7820">
        <v>-0.2009919</v>
      </c>
      <c r="U7820">
        <v>3.003479</v>
      </c>
      <c r="V7820">
        <v>-9.2282360000000008E-3</v>
      </c>
      <c r="W7820">
        <v>1.5569360000000001E-2</v>
      </c>
      <c r="X7820">
        <v>0.99983619999999995</v>
      </c>
      <c r="Y7820">
        <v>4.2653839999999998E-2</v>
      </c>
      <c r="Z7820">
        <v>-6.6716769999999995E-2</v>
      </c>
      <c r="AA7820">
        <v>0.99685979999999996</v>
      </c>
      <c r="AB7820">
        <v>26</v>
      </c>
      <c r="AC7820">
        <v>3.40999999999951E-2</v>
      </c>
      <c r="AD7820">
        <v>-6.21089999999999E-2</v>
      </c>
      <c r="AE7820">
        <v>0.66800000000000004</v>
      </c>
      <c r="AF7820">
        <v>3.9248698740283701E-2</v>
      </c>
      <c r="AG7820">
        <v>-6.21089999999999E-2</v>
      </c>
      <c r="AH7820">
        <v>0.66198938201058199</v>
      </c>
      <c r="AI7820">
        <v>95.350558788457406</v>
      </c>
      <c r="AJ7820">
        <v>86.606961641470605</v>
      </c>
      <c r="AK7820">
        <v>0.666053999408875</v>
      </c>
      <c r="AL7820">
        <v>89.107905334935296</v>
      </c>
      <c r="AM7820">
        <v>90.528810580976099</v>
      </c>
      <c r="AN7820">
        <v>0.99999999607045997</v>
      </c>
    </row>
    <row r="7821" spans="1:40" x14ac:dyDescent="0.25">
      <c r="A7821" t="str">
        <f>"20190312160837801"</f>
        <v>20190312160837801</v>
      </c>
      <c r="B7821" t="str">
        <f>"1552378117792846"</f>
        <v>1552378117792846</v>
      </c>
      <c r="C7821" t="s">
        <v>40</v>
      </c>
      <c r="D7821">
        <v>5.9327699999999997</v>
      </c>
      <c r="E7821">
        <v>0.52311279999999905</v>
      </c>
      <c r="F7821" t="s">
        <v>44</v>
      </c>
      <c r="G7821">
        <v>-187.61760000000001</v>
      </c>
      <c r="H7821">
        <v>1.0414239999999999</v>
      </c>
      <c r="I7821">
        <v>16.452919999999999</v>
      </c>
      <c r="J7821">
        <v>-187.65530000000001</v>
      </c>
      <c r="K7821">
        <v>1.109208</v>
      </c>
      <c r="L7821">
        <v>15.806520000000001</v>
      </c>
      <c r="M7821">
        <v>-7.9617980000000008E-3</v>
      </c>
      <c r="N7821">
        <v>0</v>
      </c>
      <c r="O7821">
        <v>0.99991699999999994</v>
      </c>
      <c r="P7821">
        <v>-1.707359E-2</v>
      </c>
      <c r="Q7821">
        <v>5.2481960000000001E-3</v>
      </c>
      <c r="R7821">
        <v>0.99984039999999996</v>
      </c>
      <c r="S7821">
        <v>0.119751</v>
      </c>
      <c r="T7821">
        <v>-0.2265327</v>
      </c>
      <c r="U7821">
        <v>3.0038149999999999</v>
      </c>
      <c r="V7821">
        <v>-9.1047820000000005E-3</v>
      </c>
      <c r="W7821">
        <v>1.5383890000000001E-2</v>
      </c>
      <c r="X7821">
        <v>0.99984019999999996</v>
      </c>
      <c r="Y7821">
        <v>4.7676700000000002E-2</v>
      </c>
      <c r="Z7821">
        <v>-7.5125440000000002E-2</v>
      </c>
      <c r="AA7821">
        <v>0.99603370000000002</v>
      </c>
      <c r="AB7821">
        <v>26</v>
      </c>
      <c r="AC7821">
        <v>3.7700000000000899E-2</v>
      </c>
      <c r="AD7821">
        <v>-6.7783999999999997E-2</v>
      </c>
      <c r="AE7821">
        <v>0.64640000000000097</v>
      </c>
      <c r="AF7821">
        <v>4.2381114191089898E-2</v>
      </c>
      <c r="AG7821">
        <v>-6.7783999999999997E-2</v>
      </c>
      <c r="AH7821">
        <v>0.63907560853779499</v>
      </c>
      <c r="AI7821">
        <v>96.041309000322599</v>
      </c>
      <c r="AJ7821">
        <v>86.205912726943097</v>
      </c>
      <c r="AK7821">
        <v>0.64405625757695395</v>
      </c>
      <c r="AL7821">
        <v>89.118533253711504</v>
      </c>
      <c r="AM7821">
        <v>90.521734536427999</v>
      </c>
      <c r="AN7821">
        <v>0.99999999333141898</v>
      </c>
    </row>
    <row r="7822" spans="1:40" x14ac:dyDescent="0.25">
      <c r="A7822" t="str">
        <f>"20190312160837823"</f>
        <v>20190312160837823</v>
      </c>
      <c r="B7822" t="str">
        <f>"1552378117813342"</f>
        <v>1552378117813342</v>
      </c>
      <c r="C7822" t="s">
        <v>40</v>
      </c>
      <c r="D7822">
        <v>5.7900549999999997</v>
      </c>
      <c r="E7822">
        <v>0.52352730000000003</v>
      </c>
      <c r="F7822" t="s">
        <v>44</v>
      </c>
      <c r="G7822">
        <v>-187.61609999999999</v>
      </c>
      <c r="H7822">
        <v>1.0376540000000001</v>
      </c>
      <c r="I7822">
        <v>16.685879999999901</v>
      </c>
      <c r="J7822">
        <v>-187.65700000000001</v>
      </c>
      <c r="K7822">
        <v>1.1092040000000001</v>
      </c>
      <c r="L7822">
        <v>16.063229999999901</v>
      </c>
      <c r="M7822">
        <v>-7.7036789999999997E-3</v>
      </c>
      <c r="N7822">
        <v>0</v>
      </c>
      <c r="O7822">
        <v>0.99991890000000005</v>
      </c>
      <c r="P7822">
        <v>-1.6959209999999999E-2</v>
      </c>
      <c r="Q7822">
        <v>5.01608E-3</v>
      </c>
      <c r="R7822">
        <v>0.99984360000000005</v>
      </c>
      <c r="S7822">
        <v>0.13316349999999999</v>
      </c>
      <c r="T7822">
        <v>-0.24442150000000001</v>
      </c>
      <c r="U7822">
        <v>3.0040279999999999</v>
      </c>
      <c r="V7822">
        <v>-9.2483180000000002E-3</v>
      </c>
      <c r="W7822">
        <v>1.5154559999999999E-2</v>
      </c>
      <c r="X7822">
        <v>0.99984240000000002</v>
      </c>
      <c r="Y7822">
        <v>5.1834480000000002E-2</v>
      </c>
      <c r="Z7822">
        <v>-8.0998940000000005E-2</v>
      </c>
      <c r="AA7822">
        <v>0.99536539999999996</v>
      </c>
      <c r="AB7822">
        <v>26</v>
      </c>
      <c r="AC7822">
        <v>4.0900000000021898E-2</v>
      </c>
      <c r="AD7822">
        <v>-7.1550000000000002E-2</v>
      </c>
      <c r="AE7822">
        <v>0.62265000000000004</v>
      </c>
      <c r="AF7822">
        <v>4.5102715743233698E-2</v>
      </c>
      <c r="AG7822">
        <v>-7.1550000000000002E-2</v>
      </c>
      <c r="AH7822">
        <v>0.61424036039631302</v>
      </c>
      <c r="AI7822">
        <v>96.626494497759893</v>
      </c>
      <c r="AJ7822">
        <v>85.800396788094503</v>
      </c>
      <c r="AK7822">
        <v>0.62003619072374105</v>
      </c>
      <c r="AL7822">
        <v>89.1316744400945</v>
      </c>
      <c r="AM7822">
        <v>90.529957998991307</v>
      </c>
      <c r="AN7822">
        <v>1.00000000845619</v>
      </c>
    </row>
    <row r="7823" spans="1:40" x14ac:dyDescent="0.25">
      <c r="A7823" t="str">
        <f>"20190312160837845"</f>
        <v>20190312160837845</v>
      </c>
      <c r="B7823" t="str">
        <f>"1552378117832861"</f>
        <v>1552378117832861</v>
      </c>
      <c r="C7823" t="s">
        <v>40</v>
      </c>
      <c r="D7823">
        <v>5.9401960000000003</v>
      </c>
      <c r="E7823">
        <v>0.52407009999999998</v>
      </c>
      <c r="F7823" t="s">
        <v>44</v>
      </c>
      <c r="G7823">
        <v>-187.61789999999999</v>
      </c>
      <c r="H7823">
        <v>1.0366359999999999</v>
      </c>
      <c r="I7823">
        <v>16.920449999999999</v>
      </c>
      <c r="J7823">
        <v>-187.65880000000001</v>
      </c>
      <c r="K7823">
        <v>1.1092</v>
      </c>
      <c r="L7823">
        <v>16.325679999999998</v>
      </c>
      <c r="M7823">
        <v>-7.4395569999999899E-3</v>
      </c>
      <c r="N7823">
        <v>0</v>
      </c>
      <c r="O7823">
        <v>0.99992099999999995</v>
      </c>
      <c r="P7823">
        <v>-1.6621710000000001E-2</v>
      </c>
      <c r="Q7823">
        <v>4.6921230000000003E-3</v>
      </c>
      <c r="R7823">
        <v>0.99985089999999999</v>
      </c>
      <c r="S7823">
        <v>0.13684079999999901</v>
      </c>
      <c r="T7823">
        <v>-0.25430199999999997</v>
      </c>
      <c r="U7823">
        <v>3.0040589999999998</v>
      </c>
      <c r="V7823">
        <v>-9.1749420000000002E-3</v>
      </c>
      <c r="W7823">
        <v>1.4833209999999999E-2</v>
      </c>
      <c r="X7823">
        <v>0.99984790000000001</v>
      </c>
      <c r="Y7823">
        <v>5.2773970000000003E-2</v>
      </c>
      <c r="Z7823">
        <v>-8.424545E-2</v>
      </c>
      <c r="AA7823">
        <v>0.9950466</v>
      </c>
      <c r="AB7823">
        <v>26</v>
      </c>
      <c r="AC7823">
        <v>4.0900000000021898E-2</v>
      </c>
      <c r="AD7823">
        <v>-7.2563999999999795E-2</v>
      </c>
      <c r="AE7823">
        <v>0.59477000000000002</v>
      </c>
      <c r="AF7823">
        <v>4.46622585024921E-2</v>
      </c>
      <c r="AG7823">
        <v>-7.2563999999999795E-2</v>
      </c>
      <c r="AH7823">
        <v>0.58577116875297097</v>
      </c>
      <c r="AI7823">
        <v>97.041463800470794</v>
      </c>
      <c r="AJ7823">
        <v>85.639905852415595</v>
      </c>
      <c r="AK7823">
        <v>0.59193590326382794</v>
      </c>
      <c r="AL7823">
        <v>89.150088512983103</v>
      </c>
      <c r="AM7823">
        <v>90.525750666153996</v>
      </c>
      <c r="AN7823">
        <v>1.000000013407</v>
      </c>
    </row>
    <row r="7824" spans="1:40" x14ac:dyDescent="0.25">
      <c r="A7824" t="str">
        <f>"20190312160837867"</f>
        <v>20190312160837867</v>
      </c>
      <c r="B7824" t="str">
        <f>"1552378117863118"</f>
        <v>1552378117863118</v>
      </c>
      <c r="C7824" t="s">
        <v>40</v>
      </c>
      <c r="D7824">
        <v>6.0159279999999997</v>
      </c>
      <c r="E7824">
        <v>0.52669849999999996</v>
      </c>
      <c r="F7824" t="s">
        <v>44</v>
      </c>
      <c r="G7824">
        <v>-187.61940000000001</v>
      </c>
      <c r="H7824">
        <v>1.0364580000000001</v>
      </c>
      <c r="I7824">
        <v>17.1557</v>
      </c>
      <c r="J7824">
        <v>-187.66050000000001</v>
      </c>
      <c r="K7824">
        <v>1.1091930000000001</v>
      </c>
      <c r="L7824">
        <v>16.5929</v>
      </c>
      <c r="M7824">
        <v>-7.1706349999999999E-3</v>
      </c>
      <c r="N7824">
        <v>0</v>
      </c>
      <c r="O7824">
        <v>0.99992289999999995</v>
      </c>
      <c r="P7824">
        <v>-1.6292669999999999E-2</v>
      </c>
      <c r="Q7824">
        <v>4.5264279999999999E-3</v>
      </c>
      <c r="R7824">
        <v>0.999857</v>
      </c>
      <c r="S7824">
        <v>0.1421356</v>
      </c>
      <c r="T7824">
        <v>-0.26325690000000002</v>
      </c>
      <c r="U7824">
        <v>3.0040589999999998</v>
      </c>
      <c r="V7824">
        <v>-9.114891E-3</v>
      </c>
      <c r="W7824">
        <v>1.4671099999999999E-2</v>
      </c>
      <c r="X7824">
        <v>0.99985080000000004</v>
      </c>
      <c r="Y7824">
        <v>5.4243449999999999E-2</v>
      </c>
      <c r="Z7824">
        <v>-8.7183129999999998E-2</v>
      </c>
      <c r="AA7824">
        <v>0.9947144</v>
      </c>
      <c r="AB7824">
        <v>26</v>
      </c>
      <c r="AC7824">
        <v>4.1100000000000102E-2</v>
      </c>
      <c r="AD7824">
        <v>-7.2734999999999994E-2</v>
      </c>
      <c r="AE7824">
        <v>0.56279999999999897</v>
      </c>
      <c r="AF7824">
        <v>4.4397178557620598E-2</v>
      </c>
      <c r="AG7824">
        <v>-7.2734999999999994E-2</v>
      </c>
      <c r="AH7824">
        <v>0.55329841665311197</v>
      </c>
      <c r="AI7824">
        <v>97.465271977919301</v>
      </c>
      <c r="AJ7824">
        <v>85.412362615404803</v>
      </c>
      <c r="AK7824">
        <v>0.55982196059079203</v>
      </c>
      <c r="AL7824">
        <v>89.159377708002907</v>
      </c>
      <c r="AM7824">
        <v>90.522308246902398</v>
      </c>
      <c r="AN7824">
        <v>0.99999997233689497</v>
      </c>
    </row>
    <row r="7825" spans="1:40" x14ac:dyDescent="0.25">
      <c r="A7825" t="str">
        <f>"20190312160837890"</f>
        <v>20190312160837890</v>
      </c>
      <c r="B7825" t="str">
        <f>"1552378117883614"</f>
        <v>1552378117883614</v>
      </c>
      <c r="C7825" t="s">
        <v>40</v>
      </c>
      <c r="D7825">
        <v>6.0262859999999998</v>
      </c>
      <c r="E7825">
        <v>0.52826799999999996</v>
      </c>
      <c r="F7825" t="s">
        <v>44</v>
      </c>
      <c r="G7825">
        <v>-187.61670000000001</v>
      </c>
      <c r="H7825">
        <v>1.0364340000000001</v>
      </c>
      <c r="I7825">
        <v>17.391310000000001</v>
      </c>
      <c r="J7825">
        <v>-187.66210000000001</v>
      </c>
      <c r="K7825">
        <v>1.1091850000000001</v>
      </c>
      <c r="L7825">
        <v>16.854340000000001</v>
      </c>
      <c r="M7825">
        <v>-6.907626E-3</v>
      </c>
      <c r="N7825">
        <v>0</v>
      </c>
      <c r="O7825">
        <v>0.9999247</v>
      </c>
      <c r="P7825">
        <v>-1.624925E-2</v>
      </c>
      <c r="Q7825">
        <v>4.3565959999999999E-3</v>
      </c>
      <c r="R7825">
        <v>0.99985849999999998</v>
      </c>
      <c r="S7825">
        <v>0.1643066</v>
      </c>
      <c r="T7825">
        <v>-0.27377410000000002</v>
      </c>
      <c r="U7825">
        <v>3.0043329999999999</v>
      </c>
      <c r="V7825">
        <v>-9.3347050000000004E-3</v>
      </c>
      <c r="W7825">
        <v>1.4503749999999999E-2</v>
      </c>
      <c r="X7825">
        <v>0.99985119999999905</v>
      </c>
      <c r="Y7825">
        <v>6.1280050000000003E-2</v>
      </c>
      <c r="Z7825">
        <v>-9.05947E-2</v>
      </c>
      <c r="AA7825">
        <v>0.99400069999999996</v>
      </c>
      <c r="AB7825">
        <v>26</v>
      </c>
      <c r="AC7825">
        <v>4.5400000000000697E-2</v>
      </c>
      <c r="AD7825">
        <v>-7.2750999999999996E-2</v>
      </c>
      <c r="AE7825">
        <v>0.53696999999999995</v>
      </c>
      <c r="AF7825">
        <v>4.8229282674328799E-2</v>
      </c>
      <c r="AG7825">
        <v>-7.2750999999999996E-2</v>
      </c>
      <c r="AH7825">
        <v>0.527037926121386</v>
      </c>
      <c r="AI7825">
        <v>97.827003741204095</v>
      </c>
      <c r="AJ7825">
        <v>84.771421067061098</v>
      </c>
      <c r="AK7825">
        <v>0.53421694776430595</v>
      </c>
      <c r="AL7825">
        <v>89.168967166080193</v>
      </c>
      <c r="AM7825">
        <v>90.534903254581593</v>
      </c>
      <c r="AN7825">
        <v>0.99999995881146797</v>
      </c>
    </row>
    <row r="7826" spans="1:40" x14ac:dyDescent="0.25">
      <c r="A7826" t="str">
        <f>"20190312160837912"</f>
        <v>20190312160837912</v>
      </c>
      <c r="B7826" t="str">
        <f>"1552378117903134"</f>
        <v>1552378117903134</v>
      </c>
      <c r="C7826" t="s">
        <v>40</v>
      </c>
      <c r="D7826">
        <v>5.9278849999999998</v>
      </c>
      <c r="E7826">
        <v>0.52923350000000002</v>
      </c>
      <c r="F7826" t="s">
        <v>44</v>
      </c>
      <c r="G7826">
        <v>-187.61619999999999</v>
      </c>
      <c r="H7826">
        <v>1.0377320000000001</v>
      </c>
      <c r="I7826">
        <v>17.627839999999999</v>
      </c>
      <c r="J7826">
        <v>-187.6636</v>
      </c>
      <c r="K7826">
        <v>1.1091819999999999</v>
      </c>
      <c r="L7826">
        <v>17.12012</v>
      </c>
      <c r="M7826">
        <v>-6.6401330000000003E-3</v>
      </c>
      <c r="N7826">
        <v>0</v>
      </c>
      <c r="O7826">
        <v>0.99992650000000005</v>
      </c>
      <c r="P7826">
        <v>-1.5763360000000001E-2</v>
      </c>
      <c r="Q7826">
        <v>4.1558840000000003E-3</v>
      </c>
      <c r="R7826">
        <v>0.99986710000000001</v>
      </c>
      <c r="S7826">
        <v>0.17727660000000001</v>
      </c>
      <c r="T7826">
        <v>-0.27752749999999998</v>
      </c>
      <c r="U7826">
        <v>3.0045169999999999</v>
      </c>
      <c r="V7826">
        <v>-9.1163689999999992E-3</v>
      </c>
      <c r="W7826">
        <v>1.430588E-2</v>
      </c>
      <c r="X7826">
        <v>0.99985610000000003</v>
      </c>
      <c r="Y7826">
        <v>6.527985E-2</v>
      </c>
      <c r="Z7826">
        <v>-9.1798199999999996E-2</v>
      </c>
      <c r="AA7826">
        <v>0.9936355</v>
      </c>
      <c r="AB7826">
        <v>26</v>
      </c>
      <c r="AC7826">
        <v>4.7400000000010302E-2</v>
      </c>
      <c r="AD7826">
        <v>-7.145E-2</v>
      </c>
      <c r="AE7826">
        <v>0.50771999999999895</v>
      </c>
      <c r="AF7826">
        <v>4.9792872295706198E-2</v>
      </c>
      <c r="AG7826">
        <v>-7.145E-2</v>
      </c>
      <c r="AH7826">
        <v>0.49762418204557102</v>
      </c>
      <c r="AI7826">
        <v>98.130757642985699</v>
      </c>
      <c r="AJ7826">
        <v>84.2859351576748</v>
      </c>
      <c r="AK7826">
        <v>0.50518735058191999</v>
      </c>
      <c r="AL7826">
        <v>89.180305487333797</v>
      </c>
      <c r="AM7826">
        <v>90.522390166734297</v>
      </c>
      <c r="AN7826">
        <v>0.99999999354676405</v>
      </c>
    </row>
    <row r="7827" spans="1:40" x14ac:dyDescent="0.25">
      <c r="A7827" t="str">
        <f>"20190312160837935"</f>
        <v>20190312160837935</v>
      </c>
      <c r="B7827" t="str">
        <f>"1552378117923634"</f>
        <v>1552378117923634</v>
      </c>
      <c r="C7827" t="s">
        <v>40</v>
      </c>
      <c r="D7827">
        <v>6.0455880000000004</v>
      </c>
      <c r="E7827">
        <v>0.52947739999999999</v>
      </c>
      <c r="F7827" t="s">
        <v>44</v>
      </c>
      <c r="G7827">
        <v>-187.6174</v>
      </c>
      <c r="H7827">
        <v>1.0399099999999999</v>
      </c>
      <c r="I7827">
        <v>17.86506</v>
      </c>
      <c r="J7827">
        <v>-187.6651</v>
      </c>
      <c r="K7827">
        <v>1.109189</v>
      </c>
      <c r="L7827">
        <v>17.390139999999999</v>
      </c>
      <c r="M7827">
        <v>-6.3681529999999997E-3</v>
      </c>
      <c r="N7827">
        <v>0</v>
      </c>
      <c r="O7827">
        <v>0.99992820000000004</v>
      </c>
      <c r="P7827">
        <v>-1.5345289999999999E-2</v>
      </c>
      <c r="Q7827">
        <v>4.4019669999999997E-3</v>
      </c>
      <c r="R7827">
        <v>0.9998726</v>
      </c>
      <c r="S7827">
        <v>0.18611150000000001</v>
      </c>
      <c r="T7827">
        <v>-0.27937410000000001</v>
      </c>
      <c r="U7827">
        <v>3.004486</v>
      </c>
      <c r="V7827">
        <v>-8.9699689999999995E-3</v>
      </c>
      <c r="W7827">
        <v>1.455477E-2</v>
      </c>
      <c r="X7827">
        <v>0.99985380000000001</v>
      </c>
      <c r="Y7827">
        <v>6.7916599999999994E-2</v>
      </c>
      <c r="Z7827">
        <v>-9.2388739999999997E-2</v>
      </c>
      <c r="AA7827">
        <v>0.99340410000000001</v>
      </c>
      <c r="AB7827">
        <v>26</v>
      </c>
      <c r="AC7827">
        <v>4.7699999999991798E-2</v>
      </c>
      <c r="AD7827">
        <v>-6.9278999999999799E-2</v>
      </c>
      <c r="AE7827">
        <v>0.47492000000000001</v>
      </c>
      <c r="AF7827">
        <v>4.9677005103273199E-2</v>
      </c>
      <c r="AG7827">
        <v>-6.9278999999999799E-2</v>
      </c>
      <c r="AH7827">
        <v>0.46481433790587401</v>
      </c>
      <c r="AI7827">
        <v>98.430022220585499</v>
      </c>
      <c r="AJ7827">
        <v>83.899673091250804</v>
      </c>
      <c r="AK7827">
        <v>0.47256719458708302</v>
      </c>
      <c r="AL7827">
        <v>89.166043628956004</v>
      </c>
      <c r="AM7827">
        <v>90.514002725929799</v>
      </c>
      <c r="AN7827">
        <v>0.99999996152402604</v>
      </c>
    </row>
    <row r="7828" spans="1:40" x14ac:dyDescent="0.25">
      <c r="A7828" t="str">
        <f>"20190312160837957"</f>
        <v>20190312160837957</v>
      </c>
      <c r="B7828" t="str">
        <f>"1552378117952910"</f>
        <v>1552378117952910</v>
      </c>
      <c r="C7828" t="s">
        <v>40</v>
      </c>
      <c r="D7828">
        <v>6.0342770000000003</v>
      </c>
      <c r="E7828">
        <v>0.52964330000000004</v>
      </c>
      <c r="F7828" t="s">
        <v>44</v>
      </c>
      <c r="G7828">
        <v>-187.60579999999999</v>
      </c>
      <c r="H7828">
        <v>1.0233289999999999</v>
      </c>
      <c r="I7828">
        <v>18.330069999999999</v>
      </c>
      <c r="J7828">
        <v>-187.66640000000001</v>
      </c>
      <c r="K7828">
        <v>1.1091850000000001</v>
      </c>
      <c r="L7828">
        <v>17.646179999999902</v>
      </c>
      <c r="M7828">
        <v>-6.110458E-3</v>
      </c>
      <c r="N7828">
        <v>0</v>
      </c>
      <c r="O7828">
        <v>0.99992979999999998</v>
      </c>
      <c r="P7828">
        <v>-1.5420329999999999E-2</v>
      </c>
      <c r="Q7828">
        <v>4.9815220000000004E-3</v>
      </c>
      <c r="R7828">
        <v>0.99986870000000005</v>
      </c>
      <c r="S7828">
        <v>0.18914790000000001</v>
      </c>
      <c r="T7828">
        <v>-0.27444420000000003</v>
      </c>
      <c r="U7828">
        <v>3.004486</v>
      </c>
      <c r="V7828">
        <v>-9.3021949999999992E-3</v>
      </c>
      <c r="W7828">
        <v>1.5137400000000001E-2</v>
      </c>
      <c r="X7828">
        <v>0.99984220000000001</v>
      </c>
      <c r="Y7828">
        <v>6.8668919999999994E-2</v>
      </c>
      <c r="Z7828">
        <v>-9.0767059999999997E-2</v>
      </c>
      <c r="AA7828">
        <v>0.99350179999999999</v>
      </c>
      <c r="AB7828">
        <v>26</v>
      </c>
      <c r="AC7828">
        <v>6.0600000000022101E-2</v>
      </c>
      <c r="AD7828">
        <v>-8.5855999999999905E-2</v>
      </c>
      <c r="AE7828">
        <v>0.68389000000000499</v>
      </c>
      <c r="AF7828">
        <v>6.37805851579097E-2</v>
      </c>
      <c r="AG7828">
        <v>-8.5855999999999905E-2</v>
      </c>
      <c r="AH7828">
        <v>0.67298303057906905</v>
      </c>
      <c r="AI7828">
        <v>97.238165406918498</v>
      </c>
      <c r="AJ7828">
        <v>84.586080591926503</v>
      </c>
      <c r="AK7828">
        <v>0.681428921624606</v>
      </c>
      <c r="AL7828">
        <v>89.132657783020704</v>
      </c>
      <c r="AM7828">
        <v>90.533045251226994</v>
      </c>
      <c r="AN7828">
        <v>1.0000000483057001</v>
      </c>
    </row>
    <row r="7829" spans="1:40" x14ac:dyDescent="0.25">
      <c r="A7829" t="str">
        <f>"20190312160837981"</f>
        <v>20190312160837981</v>
      </c>
      <c r="B7829" t="str">
        <f>"1552378117973406"</f>
        <v>1552378117973406</v>
      </c>
      <c r="C7829" t="s">
        <v>40</v>
      </c>
      <c r="D7829">
        <v>6.0099140000000002</v>
      </c>
      <c r="E7829">
        <v>0.53046079999999995</v>
      </c>
      <c r="F7829" t="s">
        <v>44</v>
      </c>
      <c r="G7829">
        <v>-187.60769999999999</v>
      </c>
      <c r="H7829">
        <v>1.024232</v>
      </c>
      <c r="I7829">
        <v>18.56748</v>
      </c>
      <c r="J7829">
        <v>-187.6678</v>
      </c>
      <c r="K7829">
        <v>1.109183</v>
      </c>
      <c r="L7829">
        <v>17.924379999999999</v>
      </c>
      <c r="M7829">
        <v>-5.830521E-3</v>
      </c>
      <c r="N7829">
        <v>0</v>
      </c>
      <c r="O7829">
        <v>0.99993149999999997</v>
      </c>
      <c r="P7829">
        <v>-1.5257150000000001E-2</v>
      </c>
      <c r="Q7829">
        <v>4.3790390000000004E-3</v>
      </c>
      <c r="R7829">
        <v>0.99987400000000004</v>
      </c>
      <c r="S7829">
        <v>0.19102479999999999</v>
      </c>
      <c r="T7829">
        <v>-0.27705869999999999</v>
      </c>
      <c r="U7829">
        <v>3.0047299999999999</v>
      </c>
      <c r="V7829">
        <v>-9.4195630000000006E-3</v>
      </c>
      <c r="W7829">
        <v>1.4537599999999999E-2</v>
      </c>
      <c r="X7829">
        <v>0.99985000000000002</v>
      </c>
      <c r="Y7829">
        <v>6.8997749999999997E-2</v>
      </c>
      <c r="Z7829">
        <v>-9.1614550000000003E-2</v>
      </c>
      <c r="AA7829">
        <v>0.99340130000000004</v>
      </c>
      <c r="AB7829">
        <v>26</v>
      </c>
      <c r="AC7829">
        <v>6.0100000000005503E-2</v>
      </c>
      <c r="AD7829">
        <v>-8.4950999999999999E-2</v>
      </c>
      <c r="AE7829">
        <v>0.6431</v>
      </c>
      <c r="AF7829">
        <v>6.2763084664952701E-2</v>
      </c>
      <c r="AG7829">
        <v>-8.4950999999999999E-2</v>
      </c>
      <c r="AH7829">
        <v>0.63180940489489801</v>
      </c>
      <c r="AI7829">
        <v>97.620807920945595</v>
      </c>
      <c r="AJ7829">
        <v>84.326927482798297</v>
      </c>
      <c r="AK7829">
        <v>0.64057708459740004</v>
      </c>
      <c r="AL7829">
        <v>89.167027572194598</v>
      </c>
      <c r="AM7829">
        <v>90.539766203515697</v>
      </c>
      <c r="AN7829">
        <v>1.0000000462404299</v>
      </c>
    </row>
    <row r="7830" spans="1:40" x14ac:dyDescent="0.25">
      <c r="A7830" t="str">
        <f>"20190312160838002"</f>
        <v>20190312160838002</v>
      </c>
      <c r="B7830" t="str">
        <f>"1552378117992927"</f>
        <v>1552378117992927</v>
      </c>
      <c r="C7830" t="s">
        <v>40</v>
      </c>
      <c r="D7830">
        <v>6.0099450000000001</v>
      </c>
      <c r="E7830">
        <v>0.53138869999999905</v>
      </c>
      <c r="F7830" t="s">
        <v>44</v>
      </c>
      <c r="G7830">
        <v>-187.6097</v>
      </c>
      <c r="H7830">
        <v>1.0270999999999999</v>
      </c>
      <c r="I7830">
        <v>18.80611</v>
      </c>
      <c r="J7830">
        <v>-187.66909999999999</v>
      </c>
      <c r="K7830">
        <v>1.1091869999999999</v>
      </c>
      <c r="L7830">
        <v>18.189699999999998</v>
      </c>
      <c r="M7830">
        <v>-5.5637009999999999E-3</v>
      </c>
      <c r="N7830">
        <v>0</v>
      </c>
      <c r="O7830">
        <v>0.99993290000000001</v>
      </c>
      <c r="P7830">
        <v>-1.4556690000000001E-2</v>
      </c>
      <c r="Q7830">
        <v>3.5049690000000001E-3</v>
      </c>
      <c r="R7830">
        <v>0.99988790000000005</v>
      </c>
      <c r="S7830">
        <v>0.197876</v>
      </c>
      <c r="T7830">
        <v>-0.27970620000000002</v>
      </c>
      <c r="U7830">
        <v>3.0046390000000001</v>
      </c>
      <c r="V7830">
        <v>-8.9862919999999999E-3</v>
      </c>
      <c r="W7830">
        <v>1.366651E-2</v>
      </c>
      <c r="X7830">
        <v>0.99986620000000004</v>
      </c>
      <c r="Y7830">
        <v>7.09838E-2</v>
      </c>
      <c r="Z7830">
        <v>-9.2472310000000002E-2</v>
      </c>
      <c r="AA7830">
        <v>0.9931818</v>
      </c>
      <c r="AB7830">
        <v>26</v>
      </c>
      <c r="AC7830">
        <v>5.93999999999823E-2</v>
      </c>
      <c r="AD7830">
        <v>-8.2087000000000201E-2</v>
      </c>
      <c r="AE7830">
        <v>0.61641000000000101</v>
      </c>
      <c r="AF7830">
        <v>6.1743880189921899E-2</v>
      </c>
      <c r="AG7830">
        <v>-8.2087000000000201E-2</v>
      </c>
      <c r="AH7830">
        <v>0.60543194611422402</v>
      </c>
      <c r="AI7830">
        <v>97.6819521789714</v>
      </c>
      <c r="AJ7830">
        <v>84.176925804092505</v>
      </c>
      <c r="AK7830">
        <v>0.614083401245762</v>
      </c>
      <c r="AL7830">
        <v>89.216942257701305</v>
      </c>
      <c r="AM7830">
        <v>90.514931640534996</v>
      </c>
      <c r="AN7830">
        <v>0.99999997242096395</v>
      </c>
    </row>
    <row r="7831" spans="1:40" x14ac:dyDescent="0.25">
      <c r="A7831" t="str">
        <f>"20190312160838025"</f>
        <v>20190312160838025</v>
      </c>
      <c r="B7831" t="str">
        <f>"1552378118013425"</f>
        <v>1552378118013425</v>
      </c>
      <c r="C7831" t="s">
        <v>40</v>
      </c>
      <c r="D7831">
        <v>6.033328</v>
      </c>
      <c r="E7831">
        <v>0.53201259999999995</v>
      </c>
      <c r="F7831" t="s">
        <v>44</v>
      </c>
      <c r="G7831">
        <v>-187.61009999999999</v>
      </c>
      <c r="H7831">
        <v>1.0285770000000001</v>
      </c>
      <c r="I7831">
        <v>19.044339999999998</v>
      </c>
      <c r="J7831">
        <v>-187.67019999999999</v>
      </c>
      <c r="K7831">
        <v>1.109189</v>
      </c>
      <c r="L7831">
        <v>18.450410000000002</v>
      </c>
      <c r="M7831">
        <v>-5.3015839999999998E-3</v>
      </c>
      <c r="N7831">
        <v>0</v>
      </c>
      <c r="O7831">
        <v>0.99993430000000005</v>
      </c>
      <c r="P7831">
        <v>-1.3925140000000001E-2</v>
      </c>
      <c r="Q7831">
        <v>3.9866229999999999E-3</v>
      </c>
      <c r="R7831">
        <v>0.99989510000000004</v>
      </c>
      <c r="S7831">
        <v>0.20689389999999999</v>
      </c>
      <c r="T7831">
        <v>-0.28336260000000002</v>
      </c>
      <c r="U7831">
        <v>3.0043329999999999</v>
      </c>
      <c r="V7831">
        <v>-8.6167339999999992E-3</v>
      </c>
      <c r="W7831">
        <v>1.4150920000000001E-2</v>
      </c>
      <c r="X7831">
        <v>0.99986269999999999</v>
      </c>
      <c r="Y7831">
        <v>7.3688779999999995E-2</v>
      </c>
      <c r="Z7831">
        <v>-9.3661629999999996E-2</v>
      </c>
      <c r="AA7831">
        <v>0.99287329999999996</v>
      </c>
      <c r="AB7831">
        <v>27</v>
      </c>
      <c r="AC7831">
        <v>6.0100000000005503E-2</v>
      </c>
      <c r="AD7831">
        <v>-8.0611999999999906E-2</v>
      </c>
      <c r="AE7831">
        <v>0.59392999999999596</v>
      </c>
      <c r="AF7831">
        <v>6.2115416334459703E-2</v>
      </c>
      <c r="AG7831">
        <v>-8.0611999999999906E-2</v>
      </c>
      <c r="AH7831">
        <v>0.58297253688351702</v>
      </c>
      <c r="AI7831">
        <v>97.829033130498601</v>
      </c>
      <c r="AJ7831">
        <v>83.918111115101397</v>
      </c>
      <c r="AK7831">
        <v>0.59178847424633596</v>
      </c>
      <c r="AL7831">
        <v>89.189184911220394</v>
      </c>
      <c r="AM7831">
        <v>90.493758062732695</v>
      </c>
      <c r="AN7831">
        <v>0.99999995774647998</v>
      </c>
    </row>
    <row r="7832" spans="1:40" x14ac:dyDescent="0.25">
      <c r="A7832" t="str">
        <f>"20190312160838047"</f>
        <v>20190312160838047</v>
      </c>
      <c r="B7832" t="str">
        <f>"1552378118042702"</f>
        <v>1552378118042702</v>
      </c>
      <c r="C7832" t="s">
        <v>40</v>
      </c>
      <c r="D7832">
        <v>6.2838209999999997</v>
      </c>
      <c r="E7832">
        <v>0.49138559999999998</v>
      </c>
      <c r="F7832" t="s">
        <v>44</v>
      </c>
      <c r="G7832">
        <v>-187.61099999999999</v>
      </c>
      <c r="H7832">
        <v>1.0306470000000001</v>
      </c>
      <c r="I7832">
        <v>19.28313</v>
      </c>
      <c r="J7832">
        <v>-187.6713</v>
      </c>
      <c r="K7832">
        <v>1.109191</v>
      </c>
      <c r="L7832">
        <v>18.709779999999999</v>
      </c>
      <c r="M7832">
        <v>-5.0407949999999998E-3</v>
      </c>
      <c r="N7832">
        <v>0</v>
      </c>
      <c r="O7832">
        <v>0.99993560000000004</v>
      </c>
      <c r="P7832">
        <v>-1.407334E-2</v>
      </c>
      <c r="Q7832">
        <v>4.7993360000000004E-3</v>
      </c>
      <c r="R7832">
        <v>0.99988940000000004</v>
      </c>
      <c r="S7832">
        <v>0.21385190000000001</v>
      </c>
      <c r="T7832">
        <v>-0.28337760000000001</v>
      </c>
      <c r="U7832">
        <v>3.0044249999999999</v>
      </c>
      <c r="V7832">
        <v>-9.0252189999999993E-3</v>
      </c>
      <c r="W7832">
        <v>1.4966230000000001E-2</v>
      </c>
      <c r="X7832">
        <v>0.99984729999999999</v>
      </c>
      <c r="Y7832">
        <v>7.5714729999999994E-2</v>
      </c>
      <c r="Z7832">
        <v>-9.3649300000000005E-2</v>
      </c>
      <c r="AA7832">
        <v>0.99272199999999999</v>
      </c>
      <c r="AB7832">
        <v>27</v>
      </c>
      <c r="AC7832">
        <v>6.0300000000012198E-2</v>
      </c>
      <c r="AD7832">
        <v>-7.85440000000001E-2</v>
      </c>
      <c r="AE7832">
        <v>0.57335000000000103</v>
      </c>
      <c r="AF7832">
        <v>6.20380151324358E-2</v>
      </c>
      <c r="AG7832">
        <v>-7.85440000000001E-2</v>
      </c>
      <c r="AH7832">
        <v>0.56259620686925105</v>
      </c>
      <c r="AI7832">
        <v>97.900409806265003</v>
      </c>
      <c r="AJ7832">
        <v>83.7073635776201</v>
      </c>
      <c r="AK7832">
        <v>0.57143010704830899</v>
      </c>
      <c r="AL7832">
        <v>89.142466199132201</v>
      </c>
      <c r="AM7832">
        <v>90.517171886182894</v>
      </c>
      <c r="AN7832">
        <v>1.00000003296784</v>
      </c>
    </row>
    <row r="7833" spans="1:40" x14ac:dyDescent="0.25">
      <c r="A7833" t="str">
        <f>"20190312160838069"</f>
        <v>20190312160838069</v>
      </c>
      <c r="B7833" t="str">
        <f>"1552378118063198"</f>
        <v>1552378118063198</v>
      </c>
      <c r="C7833" t="s">
        <v>40</v>
      </c>
      <c r="D7833">
        <v>6.0308789999999997</v>
      </c>
      <c r="E7833">
        <v>0.48525800000000002</v>
      </c>
      <c r="F7833" t="s">
        <v>46</v>
      </c>
      <c r="G7833">
        <v>-201.4975</v>
      </c>
      <c r="H7833">
        <v>14.10524</v>
      </c>
      <c r="I7833">
        <v>391.83879999999999</v>
      </c>
      <c r="J7833">
        <v>-187.67230000000001</v>
      </c>
      <c r="K7833">
        <v>1.109189</v>
      </c>
      <c r="L7833">
        <v>18.972200000000001</v>
      </c>
      <c r="M7833">
        <v>-4.7769179999999998E-3</v>
      </c>
      <c r="N7833">
        <v>0</v>
      </c>
      <c r="O7833">
        <v>0.99993690000000002</v>
      </c>
      <c r="P7833">
        <v>-1.45992E-2</v>
      </c>
      <c r="Q7833">
        <v>5.0549610000000002E-3</v>
      </c>
      <c r="R7833">
        <v>0.99988069999999896</v>
      </c>
      <c r="S7833">
        <v>-0.1110992</v>
      </c>
      <c r="T7833">
        <v>0.1044291</v>
      </c>
      <c r="U7833">
        <v>2.9982600000000001</v>
      </c>
      <c r="V7833">
        <v>-9.8147010000000003E-3</v>
      </c>
      <c r="W7833">
        <v>1.522512E-2</v>
      </c>
      <c r="X7833">
        <v>0.9998359</v>
      </c>
      <c r="Y7833">
        <v>-3.2232429999999999E-2</v>
      </c>
      <c r="Z7833">
        <v>3.4787239999999997E-2</v>
      </c>
      <c r="AA7833">
        <v>0.99887479999999995</v>
      </c>
      <c r="AB7833">
        <v>27</v>
      </c>
      <c r="AC7833">
        <v>-13.825199999999899</v>
      </c>
      <c r="AD7833">
        <v>12.996051</v>
      </c>
      <c r="AE7833">
        <v>372.86660000000001</v>
      </c>
      <c r="AF7833">
        <v>-12.0292036130072</v>
      </c>
      <c r="AG7833">
        <v>12.996051</v>
      </c>
      <c r="AH7833">
        <v>372.476515816926</v>
      </c>
      <c r="AI7833">
        <v>88.002748187545606</v>
      </c>
      <c r="AJ7833">
        <v>91.849735764246702</v>
      </c>
      <c r="AK7833">
        <v>372.89724310629401</v>
      </c>
      <c r="AL7833">
        <v>89.127631158429097</v>
      </c>
      <c r="AM7833">
        <v>90.562415175470207</v>
      </c>
      <c r="AN7833">
        <v>0.99999997978177102</v>
      </c>
    </row>
    <row r="7834" spans="1:40" x14ac:dyDescent="0.25">
      <c r="A7834" t="str">
        <f>"20190312160838091"</f>
        <v>20190312160838091</v>
      </c>
      <c r="B7834" t="str">
        <f>"1552378118083694"</f>
        <v>1552378118083694</v>
      </c>
      <c r="C7834" t="s">
        <v>40</v>
      </c>
      <c r="D7834">
        <v>6.2896179999999999</v>
      </c>
      <c r="E7834">
        <v>0.47895460000000001</v>
      </c>
      <c r="F7834" t="s">
        <v>46</v>
      </c>
      <c r="G7834">
        <v>-207.64830000000001</v>
      </c>
      <c r="H7834">
        <v>6.786842</v>
      </c>
      <c r="I7834">
        <v>390.11860000000001</v>
      </c>
      <c r="J7834">
        <v>-187.67330000000001</v>
      </c>
      <c r="K7834">
        <v>1.109194</v>
      </c>
      <c r="L7834">
        <v>19.240390000000001</v>
      </c>
      <c r="M7834">
        <v>-4.5075189999999998E-3</v>
      </c>
      <c r="N7834">
        <v>0</v>
      </c>
      <c r="O7834">
        <v>0.99993810000000005</v>
      </c>
      <c r="P7834">
        <v>-1.484096E-2</v>
      </c>
      <c r="Q7834">
        <v>4.7672230000000001E-3</v>
      </c>
      <c r="R7834">
        <v>0.9998785</v>
      </c>
      <c r="S7834">
        <v>-0.1613464</v>
      </c>
      <c r="T7834">
        <v>4.5858740000000002E-2</v>
      </c>
      <c r="U7834">
        <v>2.9977719999999999</v>
      </c>
      <c r="V7834">
        <v>-1.0325829999999999E-2</v>
      </c>
      <c r="W7834">
        <v>1.4940480000000001E-2</v>
      </c>
      <c r="X7834">
        <v>0.99983509999999998</v>
      </c>
      <c r="Y7834">
        <v>-4.923628E-2</v>
      </c>
      <c r="Z7834">
        <v>1.5275260000000001E-2</v>
      </c>
      <c r="AA7834">
        <v>0.99867030000000001</v>
      </c>
      <c r="AB7834">
        <v>27</v>
      </c>
      <c r="AC7834">
        <v>-19.974999999999898</v>
      </c>
      <c r="AD7834">
        <v>5.6776479999999996</v>
      </c>
      <c r="AE7834">
        <v>370.87821000000002</v>
      </c>
      <c r="AF7834">
        <v>-18.298693987628599</v>
      </c>
      <c r="AG7834">
        <v>5.6776479999999996</v>
      </c>
      <c r="AH7834">
        <v>370.877818551774</v>
      </c>
      <c r="AI7834">
        <v>89.124011446474995</v>
      </c>
      <c r="AJ7834">
        <v>92.824618723686399</v>
      </c>
      <c r="AK7834">
        <v>371.37236593773099</v>
      </c>
      <c r="AL7834">
        <v>89.143941731222498</v>
      </c>
      <c r="AM7834">
        <v>90.591703018256396</v>
      </c>
      <c r="AN7834">
        <v>1.00000003394991</v>
      </c>
    </row>
    <row r="7835" spans="1:40" x14ac:dyDescent="0.25">
      <c r="A7835" t="str">
        <f>"20190312160838112"</f>
        <v>20190312160838112</v>
      </c>
      <c r="B7835" t="str">
        <f>"1552378118103214"</f>
        <v>1552378118103214</v>
      </c>
      <c r="C7835" t="s">
        <v>40</v>
      </c>
      <c r="D7835">
        <v>6.0184280000000001</v>
      </c>
      <c r="E7835">
        <v>0.47770629999999997</v>
      </c>
      <c r="F7835" t="s">
        <v>46</v>
      </c>
      <c r="G7835">
        <v>-214.08459999999999</v>
      </c>
      <c r="H7835">
        <v>13.75597</v>
      </c>
      <c r="I7835">
        <v>391.87</v>
      </c>
      <c r="J7835">
        <v>-187.67420000000001</v>
      </c>
      <c r="K7835">
        <v>1.1091949999999999</v>
      </c>
      <c r="L7835">
        <v>19.504639999999998</v>
      </c>
      <c r="M7835">
        <v>-4.2420180000000002E-3</v>
      </c>
      <c r="N7835">
        <v>0</v>
      </c>
      <c r="O7835">
        <v>0.99993929999999998</v>
      </c>
      <c r="P7835">
        <v>-1.498533E-2</v>
      </c>
      <c r="Q7835">
        <v>4.5820039999999998E-3</v>
      </c>
      <c r="R7835">
        <v>0.99987720000000002</v>
      </c>
      <c r="S7835">
        <v>-0.21240229999999999</v>
      </c>
      <c r="T7835">
        <v>0.10170700000000001</v>
      </c>
      <c r="U7835">
        <v>2.9967350000000001</v>
      </c>
      <c r="V7835">
        <v>-1.073587E-2</v>
      </c>
      <c r="W7835">
        <v>1.475835E-2</v>
      </c>
      <c r="X7835">
        <v>0.99983350000000004</v>
      </c>
      <c r="Y7835">
        <v>-6.6427829999999993E-2</v>
      </c>
      <c r="Z7835">
        <v>3.3839429999999997E-2</v>
      </c>
      <c r="AA7835">
        <v>0.99721720000000003</v>
      </c>
      <c r="AB7835">
        <v>27</v>
      </c>
      <c r="AC7835">
        <v>-26.4103999999999</v>
      </c>
      <c r="AD7835">
        <v>12.646775</v>
      </c>
      <c r="AE7835">
        <v>372.36536000000001</v>
      </c>
      <c r="AF7835">
        <v>-24.802033945385201</v>
      </c>
      <c r="AG7835">
        <v>12.646775</v>
      </c>
      <c r="AH7835">
        <v>372.04703694625999</v>
      </c>
      <c r="AI7835">
        <v>88.057436390016093</v>
      </c>
      <c r="AJ7835">
        <v>93.813905898437199</v>
      </c>
      <c r="AK7835">
        <v>373.087227744693</v>
      </c>
      <c r="AL7835">
        <v>89.154378173591596</v>
      </c>
      <c r="AM7835">
        <v>90.615198832082896</v>
      </c>
      <c r="AN7835">
        <v>1.00000004776081</v>
      </c>
    </row>
    <row r="7836" spans="1:40" x14ac:dyDescent="0.25">
      <c r="A7836" t="str">
        <f>"20190312160838146"</f>
        <v>20190312160838146</v>
      </c>
      <c r="B7836" t="str">
        <f>"1552378118133470"</f>
        <v>1552378118133470</v>
      </c>
      <c r="C7836" t="s">
        <v>40</v>
      </c>
      <c r="D7836">
        <v>6.0856110000000001</v>
      </c>
      <c r="E7836">
        <v>0.47746230000000001</v>
      </c>
      <c r="F7836" t="s">
        <v>46</v>
      </c>
      <c r="G7836">
        <v>-215.3466</v>
      </c>
      <c r="H7836">
        <v>14.889889999999999</v>
      </c>
      <c r="I7836">
        <v>391.87</v>
      </c>
      <c r="J7836">
        <v>-187.6754</v>
      </c>
      <c r="K7836">
        <v>1.109199</v>
      </c>
      <c r="L7836">
        <v>19.891020000000001</v>
      </c>
      <c r="M7836">
        <v>-3.85397E-3</v>
      </c>
      <c r="N7836">
        <v>0</v>
      </c>
      <c r="O7836">
        <v>0.99994079999999996</v>
      </c>
      <c r="P7836">
        <v>-1.4502259999999999E-2</v>
      </c>
      <c r="Q7836">
        <v>4.6038119999999997E-3</v>
      </c>
      <c r="R7836">
        <v>0.9998842</v>
      </c>
      <c r="S7836">
        <v>-0.22268679999999999</v>
      </c>
      <c r="T7836">
        <v>0.1108968</v>
      </c>
      <c r="U7836">
        <v>2.996521</v>
      </c>
      <c r="V7836">
        <v>-1.0640989999999999E-2</v>
      </c>
      <c r="W7836">
        <v>1.4783620000000001E-2</v>
      </c>
      <c r="X7836">
        <v>0.99983409999999995</v>
      </c>
      <c r="Y7836">
        <v>-7.0216210000000001E-2</v>
      </c>
      <c r="Z7836">
        <v>3.6886370000000002E-2</v>
      </c>
      <c r="AA7836">
        <v>0.9968496</v>
      </c>
      <c r="AB7836">
        <v>27</v>
      </c>
      <c r="AC7836">
        <v>-27.671199999999999</v>
      </c>
      <c r="AD7836">
        <v>13.780690999999999</v>
      </c>
      <c r="AE7836">
        <v>371.97897999999998</v>
      </c>
      <c r="AF7836">
        <v>-26.201561275940801</v>
      </c>
      <c r="AG7836">
        <v>13.780690999999999</v>
      </c>
      <c r="AH7836">
        <v>371.57569401688198</v>
      </c>
      <c r="AI7836">
        <v>87.881291238872095</v>
      </c>
      <c r="AJ7836">
        <v>94.033520172979706</v>
      </c>
      <c r="AK7836">
        <v>372.75316986158799</v>
      </c>
      <c r="AL7836">
        <v>89.152930116643205</v>
      </c>
      <c r="AM7836">
        <v>90.609761958641599</v>
      </c>
      <c r="AN7836">
        <v>1.0000000068056401</v>
      </c>
    </row>
    <row r="7837" spans="1:40" x14ac:dyDescent="0.25">
      <c r="A7837" t="str">
        <f>"20190312160838170"</f>
        <v>20190312160838170</v>
      </c>
      <c r="B7837" t="str">
        <f>"1552378118163726"</f>
        <v>1552378118163726</v>
      </c>
      <c r="C7837" t="s">
        <v>40</v>
      </c>
      <c r="D7837">
        <v>6.0423660000000003</v>
      </c>
      <c r="E7837">
        <v>0.47774620000000001</v>
      </c>
      <c r="F7837" t="s">
        <v>46</v>
      </c>
      <c r="G7837">
        <v>-215.4127</v>
      </c>
      <c r="H7837">
        <v>13.927809999999999</v>
      </c>
      <c r="I7837">
        <v>391.87</v>
      </c>
      <c r="J7837">
        <v>-187.67619999999999</v>
      </c>
      <c r="K7837">
        <v>1.109199</v>
      </c>
      <c r="L7837">
        <v>20.189029999999999</v>
      </c>
      <c r="M7837">
        <v>-3.5546750000000002E-3</v>
      </c>
      <c r="N7837">
        <v>0</v>
      </c>
      <c r="O7837">
        <v>0.99994190000000005</v>
      </c>
      <c r="P7837">
        <v>-1.403974E-2</v>
      </c>
      <c r="Q7837">
        <v>4.7103680000000004E-3</v>
      </c>
      <c r="R7837">
        <v>0.99989030000000001</v>
      </c>
      <c r="S7837">
        <v>-0.2234497</v>
      </c>
      <c r="T7837">
        <v>0.103266</v>
      </c>
      <c r="U7837">
        <v>2.9966430000000002</v>
      </c>
      <c r="V7837">
        <v>-1.047792E-2</v>
      </c>
      <c r="W7837">
        <v>1.489328E-2</v>
      </c>
      <c r="X7837">
        <v>0.99983420000000001</v>
      </c>
      <c r="Y7837">
        <v>-7.077087E-2</v>
      </c>
      <c r="Z7837">
        <v>3.4348990000000003E-2</v>
      </c>
      <c r="AA7837">
        <v>0.99690100000000004</v>
      </c>
      <c r="AB7837">
        <v>27</v>
      </c>
      <c r="AC7837">
        <v>-27.736499999999999</v>
      </c>
      <c r="AD7837">
        <v>12.818611000000001</v>
      </c>
      <c r="AE7837">
        <v>371.68097</v>
      </c>
      <c r="AF7837">
        <v>-26.383843160502</v>
      </c>
      <c r="AG7837">
        <v>12.818611000000001</v>
      </c>
      <c r="AH7837">
        <v>371.33798392351099</v>
      </c>
      <c r="AI7837">
        <v>88.027898668451797</v>
      </c>
      <c r="AJ7837">
        <v>94.064078653626595</v>
      </c>
      <c r="AK7837">
        <v>372.49472784492502</v>
      </c>
      <c r="AL7837">
        <v>89.146646374156703</v>
      </c>
      <c r="AM7837">
        <v>90.6004181677432</v>
      </c>
      <c r="AN7837">
        <v>1.00000001204316</v>
      </c>
    </row>
    <row r="7838" spans="1:40" x14ac:dyDescent="0.25">
      <c r="A7838" t="str">
        <f>"20190312160838194"</f>
        <v>20190312160838194</v>
      </c>
      <c r="B7838" t="str">
        <f>"1552378118183246"</f>
        <v>1552378118183246</v>
      </c>
      <c r="C7838" t="s">
        <v>40</v>
      </c>
      <c r="D7838">
        <v>6.0756959999999998</v>
      </c>
      <c r="E7838">
        <v>0.47866130000000001</v>
      </c>
      <c r="F7838" t="s">
        <v>46</v>
      </c>
      <c r="G7838">
        <v>-214.9237</v>
      </c>
      <c r="H7838">
        <v>11.58028</v>
      </c>
      <c r="I7838">
        <v>391.87</v>
      </c>
      <c r="J7838">
        <v>-187.67689999999999</v>
      </c>
      <c r="K7838">
        <v>1.1091959999999901</v>
      </c>
      <c r="L7838">
        <v>20.464289999999998</v>
      </c>
      <c r="M7838">
        <v>-3.2781780000000001E-3</v>
      </c>
      <c r="N7838">
        <v>0</v>
      </c>
      <c r="O7838">
        <v>0.99994280000000002</v>
      </c>
      <c r="P7838">
        <v>-1.3549469999999999E-2</v>
      </c>
      <c r="Q7838">
        <v>5.3937919999999997E-3</v>
      </c>
      <c r="R7838">
        <v>0.9998937</v>
      </c>
      <c r="S7838">
        <v>-0.219696</v>
      </c>
      <c r="T7838">
        <v>8.4428069999999994E-2</v>
      </c>
      <c r="U7838">
        <v>2.9968569999999999</v>
      </c>
      <c r="V7838">
        <v>-1.026327E-2</v>
      </c>
      <c r="W7838">
        <v>1.557937E-2</v>
      </c>
      <c r="X7838">
        <v>0.99982599999999999</v>
      </c>
      <c r="Y7838">
        <v>-6.9813819999999999E-2</v>
      </c>
      <c r="Z7838">
        <v>2.8088800000000001E-2</v>
      </c>
      <c r="AA7838">
        <v>0.99716450000000001</v>
      </c>
      <c r="AB7838">
        <v>27</v>
      </c>
      <c r="AC7838">
        <v>-27.2468</v>
      </c>
      <c r="AD7838">
        <v>10.471083999999999</v>
      </c>
      <c r="AE7838">
        <v>371.40571</v>
      </c>
      <c r="AF7838">
        <v>-26.008494216162099</v>
      </c>
      <c r="AG7838">
        <v>10.471083999999999</v>
      </c>
      <c r="AH7838">
        <v>371.199569419174</v>
      </c>
      <c r="AI7838">
        <v>88.388134510242494</v>
      </c>
      <c r="AJ7838">
        <v>94.007939874174596</v>
      </c>
      <c r="AK7838">
        <v>372.256908207903</v>
      </c>
      <c r="AL7838">
        <v>89.107331774611197</v>
      </c>
      <c r="AM7838">
        <v>90.588123735571898</v>
      </c>
      <c r="AN7838">
        <v>1.00000004087834</v>
      </c>
    </row>
    <row r="7839" spans="1:40" x14ac:dyDescent="0.25">
      <c r="A7839" t="str">
        <f>"20190312160838214"</f>
        <v>20190312160838214</v>
      </c>
      <c r="B7839" t="str">
        <f>"1552378118203752"</f>
        <v>1552378118203752</v>
      </c>
      <c r="C7839" t="s">
        <v>40</v>
      </c>
      <c r="D7839">
        <v>6.3341589999999997</v>
      </c>
      <c r="E7839">
        <v>0.4788096</v>
      </c>
      <c r="F7839" t="s">
        <v>46</v>
      </c>
      <c r="G7839">
        <v>-213.815</v>
      </c>
      <c r="H7839">
        <v>10.432359999999999</v>
      </c>
      <c r="I7839">
        <v>391.87</v>
      </c>
      <c r="J7839">
        <v>-187.67740000000001</v>
      </c>
      <c r="K7839">
        <v>1.1091979999999999</v>
      </c>
      <c r="L7839">
        <v>20.712679999999999</v>
      </c>
      <c r="M7839">
        <v>-3.0287460000000001E-3</v>
      </c>
      <c r="N7839">
        <v>0</v>
      </c>
      <c r="O7839">
        <v>0.99994360000000004</v>
      </c>
      <c r="P7839">
        <v>-1.303644E-2</v>
      </c>
      <c r="Q7839">
        <v>5.9440910000000003E-3</v>
      </c>
      <c r="R7839">
        <v>0.99989740000000005</v>
      </c>
      <c r="S7839">
        <v>-0.2109222</v>
      </c>
      <c r="T7839">
        <v>7.5233579999999994E-2</v>
      </c>
      <c r="U7839">
        <v>2.9970699999999999</v>
      </c>
      <c r="V7839">
        <v>-1.000002E-2</v>
      </c>
      <c r="W7839">
        <v>1.613243E-2</v>
      </c>
      <c r="X7839">
        <v>0.99981989999999998</v>
      </c>
      <c r="Y7839">
        <v>-6.7158750000000003E-2</v>
      </c>
      <c r="Z7839">
        <v>2.503503E-2</v>
      </c>
      <c r="AA7839">
        <v>0.99742819999999999</v>
      </c>
      <c r="AB7839">
        <v>27</v>
      </c>
      <c r="AC7839">
        <v>-26.1375999999999</v>
      </c>
      <c r="AD7839">
        <v>9.3231619999999999</v>
      </c>
      <c r="AE7839">
        <v>371.15732000000003</v>
      </c>
      <c r="AF7839">
        <v>-24.997585653744299</v>
      </c>
      <c r="AG7839">
        <v>9.3231619999999999</v>
      </c>
      <c r="AH7839">
        <v>371.001848946211</v>
      </c>
      <c r="AI7839">
        <v>88.563732883858293</v>
      </c>
      <c r="AJ7839">
        <v>93.854683266717402</v>
      </c>
      <c r="AK7839">
        <v>371.95990719390898</v>
      </c>
      <c r="AL7839">
        <v>89.075639790547896</v>
      </c>
      <c r="AM7839">
        <v>90.573043041655893</v>
      </c>
      <c r="AN7839">
        <v>1.0000000440668499</v>
      </c>
    </row>
    <row r="7840" spans="1:40" x14ac:dyDescent="0.25">
      <c r="A7840" t="str">
        <f>"20190312160838258"</f>
        <v>20190312160838258</v>
      </c>
      <c r="B7840" t="str">
        <f>"1552378118253519"</f>
        <v>1552378118253519</v>
      </c>
      <c r="C7840" t="s">
        <v>40</v>
      </c>
      <c r="D7840">
        <v>6.0598869999999998</v>
      </c>
      <c r="E7840">
        <v>0.47931049999999997</v>
      </c>
      <c r="F7840" t="s">
        <v>46</v>
      </c>
      <c r="G7840">
        <v>-213.45529999999999</v>
      </c>
      <c r="H7840">
        <v>10.058450000000001</v>
      </c>
      <c r="I7840">
        <v>391.87</v>
      </c>
      <c r="J7840">
        <v>-187.67840000000001</v>
      </c>
      <c r="K7840">
        <v>1.1091899999999999</v>
      </c>
      <c r="L7840">
        <v>21.242069999999998</v>
      </c>
      <c r="M7840">
        <v>-2.4973360000000002E-3</v>
      </c>
      <c r="N7840">
        <v>0</v>
      </c>
      <c r="O7840">
        <v>0.99994499999999997</v>
      </c>
      <c r="P7840">
        <v>-1.159145E-2</v>
      </c>
      <c r="Q7840">
        <v>7.2864540000000004E-3</v>
      </c>
      <c r="R7840">
        <v>0.99990619999999997</v>
      </c>
      <c r="S7840">
        <v>-0.2081604</v>
      </c>
      <c r="T7840">
        <v>7.2266819999999996E-2</v>
      </c>
      <c r="U7840">
        <v>2.9971619999999999</v>
      </c>
      <c r="V7840">
        <v>-9.0853960000000008E-3</v>
      </c>
      <c r="W7840">
        <v>1.7479789999999999E-2</v>
      </c>
      <c r="X7840">
        <v>0.99980590000000003</v>
      </c>
      <c r="Y7840">
        <v>-6.6773879999999994E-2</v>
      </c>
      <c r="Z7840">
        <v>2.4048779999999999E-2</v>
      </c>
      <c r="AA7840">
        <v>0.99747819999999998</v>
      </c>
      <c r="AB7840">
        <v>27</v>
      </c>
      <c r="AC7840">
        <v>-25.776899999999898</v>
      </c>
      <c r="AD7840">
        <v>8.9492600000000007</v>
      </c>
      <c r="AE7840">
        <v>370.62792999999999</v>
      </c>
      <c r="AF7840">
        <v>-24.8367780009036</v>
      </c>
      <c r="AG7840">
        <v>8.9492600000000007</v>
      </c>
      <c r="AH7840">
        <v>370.47618860407499</v>
      </c>
      <c r="AI7840">
        <v>88.619324467948005</v>
      </c>
      <c r="AJ7840">
        <v>93.835378444857199</v>
      </c>
      <c r="AK7840">
        <v>371.41561776346498</v>
      </c>
      <c r="AL7840">
        <v>88.998430760570301</v>
      </c>
      <c r="AM7840">
        <v>90.520641574716706</v>
      </c>
      <c r="AN7840">
        <v>0.99999996257686397</v>
      </c>
    </row>
    <row r="7841" spans="1:40" x14ac:dyDescent="0.25">
      <c r="A7841" t="str">
        <f>"20190312160838280"</f>
        <v>20190312160838280</v>
      </c>
      <c r="B7841" t="str">
        <f>"1552378118273039"</f>
        <v>1552378118273039</v>
      </c>
      <c r="C7841" t="s">
        <v>40</v>
      </c>
      <c r="D7841">
        <v>6.1887679999999996</v>
      </c>
      <c r="E7841">
        <v>0.47995670000000001</v>
      </c>
      <c r="F7841" t="s">
        <v>46</v>
      </c>
      <c r="G7841">
        <v>-212.39779999999999</v>
      </c>
      <c r="H7841">
        <v>8.773733</v>
      </c>
      <c r="I7841">
        <v>391.87</v>
      </c>
      <c r="J7841">
        <v>-187.67869999999999</v>
      </c>
      <c r="K7841">
        <v>1.109191</v>
      </c>
      <c r="L7841">
        <v>21.50873</v>
      </c>
      <c r="M7841">
        <v>-2.2301370000000001E-3</v>
      </c>
      <c r="N7841">
        <v>0</v>
      </c>
      <c r="O7841">
        <v>0.99994559999999999</v>
      </c>
      <c r="P7841">
        <v>-1.057955E-2</v>
      </c>
      <c r="Q7841">
        <v>7.7386590000000002E-3</v>
      </c>
      <c r="R7841">
        <v>0.99991410000000003</v>
      </c>
      <c r="S7841">
        <v>-0.19992070000000001</v>
      </c>
      <c r="T7841">
        <v>6.1987880000000002E-2</v>
      </c>
      <c r="U7841">
        <v>2.9974980000000002</v>
      </c>
      <c r="V7841">
        <v>-8.3401769999999903E-3</v>
      </c>
      <c r="W7841">
        <v>1.7934619999999998E-2</v>
      </c>
      <c r="X7841">
        <v>0.99980440000000004</v>
      </c>
      <c r="Y7841">
        <v>-6.4308359999999995E-2</v>
      </c>
      <c r="Z7841">
        <v>2.0631070000000001E-2</v>
      </c>
      <c r="AA7841">
        <v>0.99771679999999996</v>
      </c>
      <c r="AB7841">
        <v>27</v>
      </c>
      <c r="AC7841">
        <v>-24.719100000000001</v>
      </c>
      <c r="AD7841">
        <v>7.664542</v>
      </c>
      <c r="AE7841">
        <v>370.36126999999999</v>
      </c>
      <c r="AF7841">
        <v>-23.8828562368852</v>
      </c>
      <c r="AG7841">
        <v>7.664542</v>
      </c>
      <c r="AH7841">
        <v>370.25761044208099</v>
      </c>
      <c r="AI7841">
        <v>88.816572995107506</v>
      </c>
      <c r="AJ7841">
        <v>93.690656836258</v>
      </c>
      <c r="AK7841">
        <v>371.10623023115801</v>
      </c>
      <c r="AL7841">
        <v>88.972366896367305</v>
      </c>
      <c r="AM7841">
        <v>90.477939343875804</v>
      </c>
      <c r="AN7841">
        <v>1.0000000237031399</v>
      </c>
    </row>
    <row r="7842" spans="1:40" x14ac:dyDescent="0.25">
      <c r="A7842" t="str">
        <f>"20190312160838303"</f>
        <v>20190312160838303</v>
      </c>
      <c r="B7842" t="str">
        <f>"1552378118293538"</f>
        <v>1552378118293538</v>
      </c>
      <c r="C7842" t="s">
        <v>40</v>
      </c>
      <c r="D7842">
        <v>6.1895699999999998</v>
      </c>
      <c r="E7842">
        <v>0.47999150000000002</v>
      </c>
      <c r="F7842" t="s">
        <v>46</v>
      </c>
      <c r="G7842">
        <v>-211.36009999999999</v>
      </c>
      <c r="H7842">
        <v>8.3579500000000007</v>
      </c>
      <c r="I7842">
        <v>391.87</v>
      </c>
      <c r="J7842">
        <v>-187.679</v>
      </c>
      <c r="K7842">
        <v>1.109191</v>
      </c>
      <c r="L7842">
        <v>21.78424</v>
      </c>
      <c r="M7842">
        <v>-1.9559849999999999E-3</v>
      </c>
      <c r="N7842">
        <v>0</v>
      </c>
      <c r="O7842">
        <v>0.99994609999999995</v>
      </c>
      <c r="P7842">
        <v>-9.3704519999999996E-3</v>
      </c>
      <c r="Q7842">
        <v>7.7166800000000001E-3</v>
      </c>
      <c r="R7842">
        <v>0.99992630000000005</v>
      </c>
      <c r="S7842">
        <v>-0.19168089999999999</v>
      </c>
      <c r="T7842">
        <v>5.8672790000000002E-2</v>
      </c>
      <c r="U7842">
        <v>2.9977719999999999</v>
      </c>
      <c r="V7842">
        <v>-7.4057569999999998E-3</v>
      </c>
      <c r="W7842">
        <v>1.7914599999999999E-2</v>
      </c>
      <c r="X7842">
        <v>0.99981209999999998</v>
      </c>
      <c r="Y7842">
        <v>-6.1846419999999999E-2</v>
      </c>
      <c r="Z7842">
        <v>1.9529660000000001E-2</v>
      </c>
      <c r="AA7842">
        <v>0.99789459999999996</v>
      </c>
      <c r="AB7842">
        <v>27</v>
      </c>
      <c r="AC7842">
        <v>-23.681099999999901</v>
      </c>
      <c r="AD7842">
        <v>7.2487589999999997</v>
      </c>
      <c r="AE7842">
        <v>370.08575999999999</v>
      </c>
      <c r="AF7842">
        <v>-22.948366880533101</v>
      </c>
      <c r="AG7842">
        <v>7.2487589999999997</v>
      </c>
      <c r="AH7842">
        <v>369.99001053068503</v>
      </c>
      <c r="AI7842">
        <v>88.879770035095902</v>
      </c>
      <c r="AJ7842">
        <v>93.5491833248104</v>
      </c>
      <c r="AK7842">
        <v>370.77187048375202</v>
      </c>
      <c r="AL7842">
        <v>88.973514124724304</v>
      </c>
      <c r="AM7842">
        <v>90.424390603248199</v>
      </c>
      <c r="AN7842">
        <v>1.00000000671815</v>
      </c>
    </row>
    <row r="7843" spans="1:40" x14ac:dyDescent="0.25">
      <c r="A7843" t="str">
        <f>"20190312160838324"</f>
        <v>20190312160838324</v>
      </c>
      <c r="B7843" t="str">
        <f>"1552378118313054"</f>
        <v>1552378118313054</v>
      </c>
      <c r="C7843" t="s">
        <v>40</v>
      </c>
      <c r="D7843">
        <v>6.2500249999999999</v>
      </c>
      <c r="E7843">
        <v>0.4801009</v>
      </c>
      <c r="F7843" t="s">
        <v>46</v>
      </c>
      <c r="G7843">
        <v>-210.8511</v>
      </c>
      <c r="H7843">
        <v>8.1419039999999896</v>
      </c>
      <c r="I7843">
        <v>391.87</v>
      </c>
      <c r="J7843">
        <v>-187.67920000000001</v>
      </c>
      <c r="K7843">
        <v>1.1091949999999999</v>
      </c>
      <c r="L7843">
        <v>22.0473</v>
      </c>
      <c r="M7843">
        <v>-1.6958120000000001E-3</v>
      </c>
      <c r="N7843">
        <v>0</v>
      </c>
      <c r="O7843">
        <v>0.99994649999999996</v>
      </c>
      <c r="P7843">
        <v>-7.8047500000000001E-3</v>
      </c>
      <c r="Q7843">
        <v>7.4702700000000002E-3</v>
      </c>
      <c r="R7843">
        <v>0.99994159999999999</v>
      </c>
      <c r="S7843">
        <v>-0.18771360000000001</v>
      </c>
      <c r="T7843">
        <v>5.6971069999999999E-2</v>
      </c>
      <c r="U7843">
        <v>2.9980159999999998</v>
      </c>
      <c r="V7843">
        <v>-6.0999660000000001E-3</v>
      </c>
      <c r="W7843">
        <v>1.7670970000000001E-2</v>
      </c>
      <c r="X7843">
        <v>0.99982519999999997</v>
      </c>
      <c r="Y7843">
        <v>-6.078633E-2</v>
      </c>
      <c r="Z7843">
        <v>1.896333E-2</v>
      </c>
      <c r="AA7843">
        <v>0.99797060000000004</v>
      </c>
      <c r="AB7843">
        <v>27</v>
      </c>
      <c r="AC7843">
        <v>-23.171899999999901</v>
      </c>
      <c r="AD7843">
        <v>7.0327089999999899</v>
      </c>
      <c r="AE7843">
        <v>369.8227</v>
      </c>
      <c r="AF7843">
        <v>-22.536566342316899</v>
      </c>
      <c r="AG7843">
        <v>7.0327089999999899</v>
      </c>
      <c r="AH7843">
        <v>369.72828535554299</v>
      </c>
      <c r="AI7843">
        <v>88.912310025094399</v>
      </c>
      <c r="AJ7843">
        <v>93.488114260457195</v>
      </c>
      <c r="AK7843">
        <v>370.48125568013597</v>
      </c>
      <c r="AL7843">
        <v>88.987475249787295</v>
      </c>
      <c r="AM7843">
        <v>90.349559073535005</v>
      </c>
      <c r="AN7843">
        <v>0.99999995166048905</v>
      </c>
    </row>
    <row r="7844" spans="1:40" x14ac:dyDescent="0.25">
      <c r="A7844" t="str">
        <f>"20190312160838347"</f>
        <v>20190312160838347</v>
      </c>
      <c r="B7844" t="str">
        <f>"1552378118343310"</f>
        <v>1552378118343310</v>
      </c>
      <c r="C7844" t="s">
        <v>40</v>
      </c>
      <c r="D7844">
        <v>6.2378359999999997</v>
      </c>
      <c r="E7844">
        <v>0.48009200000000002</v>
      </c>
      <c r="F7844" t="s">
        <v>46</v>
      </c>
      <c r="G7844">
        <v>-210.13589999999999</v>
      </c>
      <c r="H7844">
        <v>7.9369050000000003</v>
      </c>
      <c r="I7844">
        <v>391.87</v>
      </c>
      <c r="J7844">
        <v>-187.67939999999999</v>
      </c>
      <c r="K7844">
        <v>1.1091949999999999</v>
      </c>
      <c r="L7844">
        <v>22.316220000000001</v>
      </c>
      <c r="M7844">
        <v>-1.4310340000000001E-3</v>
      </c>
      <c r="N7844">
        <v>0</v>
      </c>
      <c r="O7844">
        <v>0.99994700000000003</v>
      </c>
      <c r="P7844">
        <v>-7.0288019999999998E-3</v>
      </c>
      <c r="Q7844">
        <v>8.1692750000000001E-3</v>
      </c>
      <c r="R7844">
        <v>0.99994190000000005</v>
      </c>
      <c r="S7844">
        <v>-0.1820679</v>
      </c>
      <c r="T7844">
        <v>5.5355910000000001E-2</v>
      </c>
      <c r="U7844">
        <v>2.9983520000000001</v>
      </c>
      <c r="V7844">
        <v>-5.588338E-3</v>
      </c>
      <c r="W7844">
        <v>1.8372280000000001E-2</v>
      </c>
      <c r="X7844">
        <v>0.99981560000000003</v>
      </c>
      <c r="Y7844">
        <v>-5.9172179999999998E-2</v>
      </c>
      <c r="Z7844">
        <v>1.8425799999999999E-2</v>
      </c>
      <c r="AA7844">
        <v>0.99807780000000001</v>
      </c>
      <c r="AB7844">
        <v>27</v>
      </c>
      <c r="AC7844">
        <v>-22.456499999999998</v>
      </c>
      <c r="AD7844">
        <v>6.8277099999999997</v>
      </c>
      <c r="AE7844">
        <v>369.55377999999899</v>
      </c>
      <c r="AF7844">
        <v>-21.920150662522001</v>
      </c>
      <c r="AG7844">
        <v>6.8277099999999997</v>
      </c>
      <c r="AH7844">
        <v>369.45988955882098</v>
      </c>
      <c r="AI7844">
        <v>88.943138420173995</v>
      </c>
      <c r="AJ7844">
        <v>93.395393110378293</v>
      </c>
      <c r="AK7844">
        <v>370.17255519788</v>
      </c>
      <c r="AL7844">
        <v>88.947286670251103</v>
      </c>
      <c r="AM7844">
        <v>90.3202439005928</v>
      </c>
      <c r="AN7844">
        <v>1.0000000020986799</v>
      </c>
    </row>
    <row r="7845" spans="1:40" x14ac:dyDescent="0.25">
      <c r="A7845" t="str">
        <f>"20190312160838371"</f>
        <v>20190312160838371</v>
      </c>
      <c r="B7845" t="str">
        <f>"1552378118362831"</f>
        <v>1552378118362831</v>
      </c>
      <c r="C7845" t="s">
        <v>40</v>
      </c>
      <c r="D7845">
        <v>6.5668129999999998</v>
      </c>
      <c r="E7845">
        <v>0.48008610000000002</v>
      </c>
      <c r="F7845" t="s">
        <v>46</v>
      </c>
      <c r="G7845">
        <v>-209.8536</v>
      </c>
      <c r="H7845">
        <v>7.9195839999999897</v>
      </c>
      <c r="I7845">
        <v>391.87</v>
      </c>
      <c r="J7845">
        <v>-187.67949999999999</v>
      </c>
      <c r="K7845">
        <v>1.1091979999999999</v>
      </c>
      <c r="L7845">
        <v>22.60971</v>
      </c>
      <c r="M7845">
        <v>-1.143465E-3</v>
      </c>
      <c r="N7845">
        <v>0</v>
      </c>
      <c r="O7845">
        <v>0.99994729999999998</v>
      </c>
      <c r="P7845">
        <v>-6.6543089999999997E-3</v>
      </c>
      <c r="Q7845">
        <v>8.4780210000000005E-3</v>
      </c>
      <c r="R7845">
        <v>0.99994190000000005</v>
      </c>
      <c r="S7845">
        <v>-0.1799164</v>
      </c>
      <c r="T7845">
        <v>5.5257920000000002E-2</v>
      </c>
      <c r="U7845">
        <v>2.9984739999999999</v>
      </c>
      <c r="V7845">
        <v>-5.5010609999999998E-3</v>
      </c>
      <c r="W7845">
        <v>1.8683600000000002E-2</v>
      </c>
      <c r="X7845">
        <v>0.99981030000000004</v>
      </c>
      <c r="Y7845">
        <v>-5.8743289999999997E-2</v>
      </c>
      <c r="Z7845">
        <v>1.8393090000000001E-2</v>
      </c>
      <c r="AA7845">
        <v>0.99810370000000004</v>
      </c>
      <c r="AB7845">
        <v>27</v>
      </c>
      <c r="AC7845">
        <v>-22.174099999999999</v>
      </c>
      <c r="AD7845">
        <v>6.8103859999999896</v>
      </c>
      <c r="AE7845">
        <v>369.26029</v>
      </c>
      <c r="AF7845">
        <v>-21.744457374178499</v>
      </c>
      <c r="AG7845">
        <v>6.8103859999999896</v>
      </c>
      <c r="AH7845">
        <v>369.16028426632801</v>
      </c>
      <c r="AI7845">
        <v>88.944937450565106</v>
      </c>
      <c r="AJ7845">
        <v>93.370968751861398</v>
      </c>
      <c r="AK7845">
        <v>369.862837094459</v>
      </c>
      <c r="AL7845">
        <v>88.929446269849095</v>
      </c>
      <c r="AM7845">
        <v>90.315244199452096</v>
      </c>
      <c r="AN7845">
        <v>0.99999998728358797</v>
      </c>
    </row>
    <row r="7846" spans="1:40" x14ac:dyDescent="0.25">
      <c r="A7846" t="str">
        <f>"20190312160838396"</f>
        <v>20190312160838396</v>
      </c>
      <c r="B7846" t="str">
        <f>"1552378118393086"</f>
        <v>1552378118393086</v>
      </c>
      <c r="C7846" t="s">
        <v>40</v>
      </c>
      <c r="D7846">
        <v>6.1320370000000004</v>
      </c>
      <c r="E7846">
        <v>0.47997010000000001</v>
      </c>
      <c r="F7846" t="s">
        <v>46</v>
      </c>
      <c r="G7846">
        <v>-209.71</v>
      </c>
      <c r="H7846">
        <v>7.9000309999999896</v>
      </c>
      <c r="I7846">
        <v>391.87</v>
      </c>
      <c r="J7846">
        <v>-187.67949999999999</v>
      </c>
      <c r="K7846">
        <v>1.109197</v>
      </c>
      <c r="L7846">
        <v>22.91602</v>
      </c>
      <c r="M7846">
        <v>-8.4428849999999996E-4</v>
      </c>
      <c r="N7846">
        <v>0</v>
      </c>
      <c r="O7846">
        <v>0.99994749999999999</v>
      </c>
      <c r="P7846">
        <v>-6.3273690000000002E-3</v>
      </c>
      <c r="Q7846">
        <v>8.2586669999999904E-3</v>
      </c>
      <c r="R7846">
        <v>0.99994590000000005</v>
      </c>
      <c r="S7846">
        <v>-0.178894</v>
      </c>
      <c r="T7846">
        <v>5.5143589999999999E-2</v>
      </c>
      <c r="U7846">
        <v>2.9985050000000002</v>
      </c>
      <c r="V7846">
        <v>-5.4734319999999899E-3</v>
      </c>
      <c r="W7846">
        <v>1.8468109999999999E-2</v>
      </c>
      <c r="X7846">
        <v>0.99981450000000005</v>
      </c>
      <c r="Y7846">
        <v>-5.8702299999999999E-2</v>
      </c>
      <c r="Z7846">
        <v>1.8355079999999999E-2</v>
      </c>
      <c r="AA7846">
        <v>0.99810679999999996</v>
      </c>
      <c r="AB7846">
        <v>27</v>
      </c>
      <c r="AC7846">
        <v>-22.0305</v>
      </c>
      <c r="AD7846">
        <v>6.7908339999999896</v>
      </c>
      <c r="AE7846">
        <v>368.95398</v>
      </c>
      <c r="AF7846">
        <v>-21.7116432313518</v>
      </c>
      <c r="AG7846">
        <v>6.7908339999999896</v>
      </c>
      <c r="AH7846">
        <v>368.84793975725398</v>
      </c>
      <c r="AI7846">
        <v>88.947072669591506</v>
      </c>
      <c r="AJ7846">
        <v>93.368737106566897</v>
      </c>
      <c r="AK7846">
        <v>369.54879723981202</v>
      </c>
      <c r="AL7846">
        <v>88.9417951155949</v>
      </c>
      <c r="AM7846">
        <v>90.313659604099598</v>
      </c>
      <c r="AN7846">
        <v>1.0000000319775399</v>
      </c>
    </row>
    <row r="7847" spans="1:40" x14ac:dyDescent="0.25">
      <c r="A7847" t="str">
        <f>"20190312160838415"</f>
        <v>20190312160838415</v>
      </c>
      <c r="B7847" t="str">
        <f>"1552378118402847"</f>
        <v>1552378118402847</v>
      </c>
      <c r="C7847" t="s">
        <v>40</v>
      </c>
      <c r="D7847">
        <v>6.1824019999999997</v>
      </c>
      <c r="E7847">
        <v>0.48023149999999998</v>
      </c>
      <c r="F7847" t="s">
        <v>46</v>
      </c>
      <c r="G7847">
        <v>-209.56970000000001</v>
      </c>
      <c r="H7847">
        <v>7.5579039999999997</v>
      </c>
      <c r="I7847">
        <v>390.11860000000001</v>
      </c>
      <c r="J7847">
        <v>-187.67949999999999</v>
      </c>
      <c r="K7847">
        <v>1.1091930000000001</v>
      </c>
      <c r="L7847">
        <v>23.13852</v>
      </c>
      <c r="M7847">
        <v>-6.2723559999999995E-4</v>
      </c>
      <c r="N7847">
        <v>0</v>
      </c>
      <c r="O7847">
        <v>0.99994769999999999</v>
      </c>
      <c r="P7847">
        <v>-5.6165210000000002E-3</v>
      </c>
      <c r="Q7847">
        <v>7.6174140000000003E-3</v>
      </c>
      <c r="R7847">
        <v>0.99995520000000004</v>
      </c>
      <c r="S7847">
        <v>-0.17875669999999999</v>
      </c>
      <c r="T7847">
        <v>5.2660470000000001E-2</v>
      </c>
      <c r="U7847">
        <v>2.998596</v>
      </c>
      <c r="V7847">
        <v>-4.9805309999999998E-3</v>
      </c>
      <c r="W7847">
        <v>1.7828779999999999E-2</v>
      </c>
      <c r="X7847">
        <v>0.99982859999999996</v>
      </c>
      <c r="Y7847">
        <v>-5.8872510000000003E-2</v>
      </c>
      <c r="Z7847">
        <v>1.7528209999999999E-2</v>
      </c>
      <c r="AA7847">
        <v>0.99811159999999999</v>
      </c>
      <c r="AB7847">
        <v>27</v>
      </c>
      <c r="AC7847">
        <v>-21.8902</v>
      </c>
      <c r="AD7847">
        <v>6.4487109999999896</v>
      </c>
      <c r="AE7847">
        <v>366.98007999999999</v>
      </c>
      <c r="AF7847">
        <v>-21.653338137237899</v>
      </c>
      <c r="AG7847">
        <v>6.4487109999999896</v>
      </c>
      <c r="AH7847">
        <v>366.88085197323301</v>
      </c>
      <c r="AI7847">
        <v>88.994757488849402</v>
      </c>
      <c r="AJ7847">
        <v>93.377683360902793</v>
      </c>
      <c r="AK7847">
        <v>367.57585947754097</v>
      </c>
      <c r="AL7847">
        <v>88.978431976225806</v>
      </c>
      <c r="AM7847">
        <v>90.285409964982804</v>
      </c>
      <c r="AN7847">
        <v>0.99999995023164301</v>
      </c>
    </row>
    <row r="7848" spans="1:40" x14ac:dyDescent="0.25">
      <c r="A7848" t="str">
        <f>"20190312160838436"</f>
        <v>20190312160838436</v>
      </c>
      <c r="B7848" t="str">
        <f>"1552378118433694"</f>
        <v>1552378118433694</v>
      </c>
      <c r="C7848" t="s">
        <v>40</v>
      </c>
      <c r="D7848">
        <v>6.5156780000000003</v>
      </c>
      <c r="E7848">
        <v>0.48012369999999999</v>
      </c>
      <c r="F7848" t="s">
        <v>46</v>
      </c>
      <c r="G7848">
        <v>-209.03970000000001</v>
      </c>
      <c r="H7848">
        <v>7.3243850000000004</v>
      </c>
      <c r="I7848">
        <v>390.11860000000001</v>
      </c>
      <c r="J7848">
        <v>-187.67930000000001</v>
      </c>
      <c r="K7848">
        <v>1.1091869999999999</v>
      </c>
      <c r="L7848">
        <v>23.399539999999998</v>
      </c>
      <c r="M7848">
        <v>-3.730149E-4</v>
      </c>
      <c r="N7848">
        <v>0</v>
      </c>
      <c r="O7848">
        <v>0.99994780000000005</v>
      </c>
      <c r="P7848">
        <v>-5.4722390000000003E-3</v>
      </c>
      <c r="Q7848">
        <v>7.3479050000000001E-3</v>
      </c>
      <c r="R7848">
        <v>0.99995800000000001</v>
      </c>
      <c r="S7848">
        <v>-0.17454529999999999</v>
      </c>
      <c r="T7848">
        <v>5.0787449999999998E-2</v>
      </c>
      <c r="U7848">
        <v>2.9987789999999999</v>
      </c>
      <c r="V7848">
        <v>-5.0902090000000001E-3</v>
      </c>
      <c r="W7848">
        <v>1.7562270000000001E-2</v>
      </c>
      <c r="X7848">
        <v>0.99983279999999997</v>
      </c>
      <c r="Y7848">
        <v>-5.7726390000000002E-2</v>
      </c>
      <c r="Z7848">
        <v>1.690519E-2</v>
      </c>
      <c r="AA7848">
        <v>0.99818929999999995</v>
      </c>
      <c r="AB7848">
        <v>27</v>
      </c>
      <c r="AC7848">
        <v>-21.360399999999998</v>
      </c>
      <c r="AD7848">
        <v>6.215198</v>
      </c>
      <c r="AE7848">
        <v>366.71906000000001</v>
      </c>
      <c r="AF7848">
        <v>-21.217525821299699</v>
      </c>
      <c r="AG7848">
        <v>6.215198</v>
      </c>
      <c r="AH7848">
        <v>366.62205067734197</v>
      </c>
      <c r="AI7848">
        <v>89.030402503100007</v>
      </c>
      <c r="AJ7848">
        <v>93.312185357168005</v>
      </c>
      <c r="AK7848">
        <v>367.288088740999</v>
      </c>
      <c r="AL7848">
        <v>88.993704302286105</v>
      </c>
      <c r="AM7848">
        <v>90.291693744045801</v>
      </c>
      <c r="AN7848">
        <v>0.99999998575552795</v>
      </c>
    </row>
    <row r="7849" spans="1:40" x14ac:dyDescent="0.25">
      <c r="A7849" t="str">
        <f>"20190312160838460"</f>
        <v>20190312160838460</v>
      </c>
      <c r="B7849" t="str">
        <f>"1552378118453214"</f>
        <v>1552378118453214</v>
      </c>
      <c r="C7849" t="s">
        <v>40</v>
      </c>
      <c r="D7849">
        <v>5.7070270000000001</v>
      </c>
      <c r="E7849">
        <v>0.47994559999999997</v>
      </c>
      <c r="F7849" t="s">
        <v>46</v>
      </c>
      <c r="G7849">
        <v>-209.06899999999999</v>
      </c>
      <c r="H7849">
        <v>7.2932759999999996</v>
      </c>
      <c r="I7849">
        <v>390.11860000000001</v>
      </c>
      <c r="J7849">
        <v>-187.67910000000001</v>
      </c>
      <c r="K7849">
        <v>1.109189</v>
      </c>
      <c r="L7849">
        <v>23.680209999999999</v>
      </c>
      <c r="M7849" s="1">
        <v>-9.9773229999999997E-5</v>
      </c>
      <c r="N7849">
        <v>0</v>
      </c>
      <c r="O7849">
        <v>0.99994780000000005</v>
      </c>
      <c r="P7849">
        <v>-4.9636510000000003E-3</v>
      </c>
      <c r="Q7849">
        <v>7.4321090000000001E-3</v>
      </c>
      <c r="R7849">
        <v>0.99996010000000002</v>
      </c>
      <c r="S7849">
        <v>-0.1749115</v>
      </c>
      <c r="T7849">
        <v>5.056977E-2</v>
      </c>
      <c r="U7849">
        <v>2.9988100000000002</v>
      </c>
      <c r="V7849">
        <v>-4.8546830000000003E-3</v>
      </c>
      <c r="W7849">
        <v>1.764951E-2</v>
      </c>
      <c r="X7849">
        <v>0.99983250000000001</v>
      </c>
      <c r="Y7849">
        <v>-5.8120150000000002E-2</v>
      </c>
      <c r="Z7849">
        <v>1.683233E-2</v>
      </c>
      <c r="AA7849">
        <v>0.99816769999999999</v>
      </c>
      <c r="AB7849">
        <v>27</v>
      </c>
      <c r="AC7849">
        <v>-21.389900000000001</v>
      </c>
      <c r="AD7849">
        <v>6.1840869999999999</v>
      </c>
      <c r="AE7849">
        <v>366.438389999999</v>
      </c>
      <c r="AF7849">
        <v>-21.347278054613401</v>
      </c>
      <c r="AG7849">
        <v>6.1840869999999999</v>
      </c>
      <c r="AH7849">
        <v>366.33654185133298</v>
      </c>
      <c r="AI7849">
        <v>89.034525597463798</v>
      </c>
      <c r="AJ7849">
        <v>93.334986246486295</v>
      </c>
      <c r="AK7849">
        <v>367.01009673843902</v>
      </c>
      <c r="AL7849">
        <v>88.988705109131999</v>
      </c>
      <c r="AM7849">
        <v>90.278197258949604</v>
      </c>
      <c r="AN7849">
        <v>1.00000005060325</v>
      </c>
    </row>
    <row r="7850" spans="1:40" x14ac:dyDescent="0.25">
      <c r="A7850" t="str">
        <f>"20190312160838482"</f>
        <v>20190312160838482</v>
      </c>
      <c r="B7850" t="str">
        <f>"1552378118473710"</f>
        <v>1552378118473710</v>
      </c>
      <c r="C7850" t="s">
        <v>40</v>
      </c>
      <c r="D7850">
        <v>6.2276189999999998</v>
      </c>
      <c r="E7850">
        <v>0.4801358</v>
      </c>
      <c r="F7850" t="s">
        <v>46</v>
      </c>
      <c r="G7850">
        <v>-209.0333</v>
      </c>
      <c r="H7850">
        <v>7.3673409999999997</v>
      </c>
      <c r="I7850">
        <v>390.11860000000001</v>
      </c>
      <c r="J7850">
        <v>-187.6789</v>
      </c>
      <c r="K7850">
        <v>1.1091899999999999</v>
      </c>
      <c r="L7850">
        <v>23.961849999999998</v>
      </c>
      <c r="M7850">
        <v>1.7487000000000001E-4</v>
      </c>
      <c r="N7850">
        <v>0</v>
      </c>
      <c r="O7850">
        <v>0.99994780000000005</v>
      </c>
      <c r="P7850">
        <v>-5.0032089999999998E-3</v>
      </c>
      <c r="Q7850">
        <v>7.29655699999999E-3</v>
      </c>
      <c r="R7850">
        <v>0.99996079999999998</v>
      </c>
      <c r="S7850">
        <v>-0.17475889999999999</v>
      </c>
      <c r="T7850">
        <v>5.1215650000000001E-2</v>
      </c>
      <c r="U7850">
        <v>2.9988709999999998</v>
      </c>
      <c r="V7850">
        <v>-5.1688769999999997E-3</v>
      </c>
      <c r="W7850">
        <v>1.751697E-2</v>
      </c>
      <c r="X7850">
        <v>0.99983319999999998</v>
      </c>
      <c r="Y7850">
        <v>-5.8342339999999999E-2</v>
      </c>
      <c r="Z7850">
        <v>1.7046820000000001E-2</v>
      </c>
      <c r="AA7850">
        <v>0.99815109999999996</v>
      </c>
      <c r="AB7850">
        <v>27</v>
      </c>
      <c r="AC7850">
        <v>-21.354399999999998</v>
      </c>
      <c r="AD7850">
        <v>6.2581509999999998</v>
      </c>
      <c r="AE7850">
        <v>366.15674999999999</v>
      </c>
      <c r="AF7850">
        <v>-21.412199164288499</v>
      </c>
      <c r="AG7850">
        <v>6.2581509999999998</v>
      </c>
      <c r="AH7850">
        <v>366.04644374898402</v>
      </c>
      <c r="AI7850">
        <v>89.022203326132995</v>
      </c>
      <c r="AJ7850">
        <v>93.347750599962296</v>
      </c>
      <c r="AK7850">
        <v>366.72557274925401</v>
      </c>
      <c r="AL7850">
        <v>88.996300209417996</v>
      </c>
      <c r="AM7850">
        <v>90.296201605027306</v>
      </c>
      <c r="AN7850">
        <v>0.99999999467483003</v>
      </c>
    </row>
    <row r="7851" spans="1:40" x14ac:dyDescent="0.25">
      <c r="A7851" t="str">
        <f>"20190312160838504"</f>
        <v>20190312160838504</v>
      </c>
      <c r="B7851" t="str">
        <f>"1552378118493230"</f>
        <v>1552378118493230</v>
      </c>
      <c r="C7851" t="s">
        <v>40</v>
      </c>
      <c r="D7851">
        <v>6.3306259999999996</v>
      </c>
      <c r="E7851">
        <v>0.48008859999999998</v>
      </c>
      <c r="F7851" t="s">
        <v>46</v>
      </c>
      <c r="G7851">
        <v>-208.85429999999999</v>
      </c>
      <c r="H7851">
        <v>7.0164489999999997</v>
      </c>
      <c r="I7851">
        <v>390.11860000000001</v>
      </c>
      <c r="J7851">
        <v>-187.67850000000001</v>
      </c>
      <c r="K7851">
        <v>1.1091879999999901</v>
      </c>
      <c r="L7851">
        <v>24.229340000000001</v>
      </c>
      <c r="M7851">
        <v>4.3594439999999999E-4</v>
      </c>
      <c r="N7851">
        <v>0</v>
      </c>
      <c r="O7851">
        <v>0.99994769999999999</v>
      </c>
      <c r="P7851">
        <v>-4.7649989999999998E-3</v>
      </c>
      <c r="Q7851">
        <v>7.5413919999999897E-3</v>
      </c>
      <c r="R7851">
        <v>0.99996019999999997</v>
      </c>
      <c r="S7851">
        <v>-0.17343140000000001</v>
      </c>
      <c r="T7851">
        <v>4.8381689999999998E-2</v>
      </c>
      <c r="U7851">
        <v>2.998901</v>
      </c>
      <c r="V7851">
        <v>-5.1917400000000002E-3</v>
      </c>
      <c r="W7851">
        <v>1.776442E-2</v>
      </c>
      <c r="X7851">
        <v>0.99982870000000001</v>
      </c>
      <c r="Y7851">
        <v>-5.8162930000000002E-2</v>
      </c>
      <c r="Z7851">
        <v>1.6103929999999999E-2</v>
      </c>
      <c r="AA7851">
        <v>0.99817719999999999</v>
      </c>
      <c r="AB7851">
        <v>27</v>
      </c>
      <c r="AC7851">
        <v>-21.175799999999899</v>
      </c>
      <c r="AD7851">
        <v>5.9072610000000001</v>
      </c>
      <c r="AE7851">
        <v>365.88925999999998</v>
      </c>
      <c r="AF7851">
        <v>-21.3297724487878</v>
      </c>
      <c r="AG7851">
        <v>5.9072610000000001</v>
      </c>
      <c r="AH7851">
        <v>365.784966364654</v>
      </c>
      <c r="AI7851">
        <v>89.076348378244901</v>
      </c>
      <c r="AJ7851">
        <v>93.337271030688399</v>
      </c>
      <c r="AK7851">
        <v>366.45394873521298</v>
      </c>
      <c r="AL7851">
        <v>88.9821201462277</v>
      </c>
      <c r="AM7851">
        <v>90.297513080809097</v>
      </c>
      <c r="AN7851">
        <v>0.99999997906292604</v>
      </c>
    </row>
    <row r="7852" spans="1:40" x14ac:dyDescent="0.25">
      <c r="A7852" t="str">
        <f>"20190312160838525"</f>
        <v>20190312160838525</v>
      </c>
      <c r="B7852" t="str">
        <f>"1552378118523063"</f>
        <v>1552378118523063</v>
      </c>
      <c r="C7852" t="s">
        <v>40</v>
      </c>
      <c r="D7852">
        <v>6.1835639999999996</v>
      </c>
      <c r="E7852">
        <v>0.43329069999999997</v>
      </c>
      <c r="F7852" t="s">
        <v>46</v>
      </c>
      <c r="G7852">
        <v>-208.80109999999999</v>
      </c>
      <c r="H7852">
        <v>7.0357929999999902</v>
      </c>
      <c r="I7852">
        <v>390.11860000000001</v>
      </c>
      <c r="J7852">
        <v>-187.6781</v>
      </c>
      <c r="K7852">
        <v>1.109191</v>
      </c>
      <c r="L7852">
        <v>24.48761</v>
      </c>
      <c r="M7852">
        <v>6.8807519999999997E-4</v>
      </c>
      <c r="N7852">
        <v>0</v>
      </c>
      <c r="O7852">
        <v>0.99994749999999999</v>
      </c>
      <c r="P7852">
        <v>-4.8545319999999999E-3</v>
      </c>
      <c r="Q7852">
        <v>7.3835609999999899E-3</v>
      </c>
      <c r="R7852">
        <v>0.99996099999999999</v>
      </c>
      <c r="S7852">
        <v>-0.17312620000000001</v>
      </c>
      <c r="T7852">
        <v>4.857612E-2</v>
      </c>
      <c r="U7852">
        <v>2.9989319999999999</v>
      </c>
      <c r="V7852">
        <v>-5.5335879999999999E-3</v>
      </c>
      <c r="W7852">
        <v>1.7609469999999999E-2</v>
      </c>
      <c r="X7852">
        <v>0.99982959999999999</v>
      </c>
      <c r="Y7852">
        <v>-5.8312759999999998E-2</v>
      </c>
      <c r="Z7852">
        <v>1.6168439999999999E-2</v>
      </c>
      <c r="AA7852">
        <v>0.99816740000000004</v>
      </c>
      <c r="AB7852">
        <v>27</v>
      </c>
      <c r="AC7852">
        <v>-21.122999999999902</v>
      </c>
      <c r="AD7852">
        <v>5.9266019999999902</v>
      </c>
      <c r="AE7852">
        <v>365.63099</v>
      </c>
      <c r="AF7852">
        <v>-21.368993960196899</v>
      </c>
      <c r="AG7852">
        <v>5.9266019999999902</v>
      </c>
      <c r="AH7852">
        <v>365.52065117600199</v>
      </c>
      <c r="AI7852">
        <v>89.072662855165404</v>
      </c>
      <c r="AJ7852">
        <v>93.345805930759298</v>
      </c>
      <c r="AK7852">
        <v>366.192715588753</v>
      </c>
      <c r="AL7852">
        <v>88.990999508826107</v>
      </c>
      <c r="AM7852">
        <v>90.317102035008006</v>
      </c>
      <c r="AN7852">
        <v>0.99999997153299602</v>
      </c>
    </row>
    <row r="7853" spans="1:40" x14ac:dyDescent="0.25">
      <c r="A7853" t="str">
        <f>"20190312160838549"</f>
        <v>20190312160838549</v>
      </c>
      <c r="B7853" t="str">
        <f>"1552378118543559"</f>
        <v>1552378118543559</v>
      </c>
      <c r="C7853" t="s">
        <v>40</v>
      </c>
      <c r="D7853">
        <v>6.2099539999999998</v>
      </c>
      <c r="E7853">
        <v>0.42776589999999998</v>
      </c>
      <c r="F7853" t="s">
        <v>47</v>
      </c>
      <c r="G7853">
        <v>-192.499</v>
      </c>
      <c r="H7853" s="1">
        <v>-1.240868E-6</v>
      </c>
      <c r="I7853">
        <v>50.931660000000001</v>
      </c>
      <c r="J7853">
        <v>-187.67760000000001</v>
      </c>
      <c r="K7853">
        <v>1.1091899999999999</v>
      </c>
      <c r="L7853">
        <v>24.78256</v>
      </c>
      <c r="M7853">
        <v>9.7586129999999995E-4</v>
      </c>
      <c r="N7853">
        <v>0</v>
      </c>
      <c r="O7853">
        <v>0.99994720000000004</v>
      </c>
      <c r="P7853">
        <v>-5.0909500000000003E-3</v>
      </c>
      <c r="Q7853">
        <v>7.4552910000000002E-3</v>
      </c>
      <c r="R7853">
        <v>0.99995919999999905</v>
      </c>
      <c r="S7853">
        <v>-0.54661559999999998</v>
      </c>
      <c r="T7853">
        <v>-0.12576680000000001</v>
      </c>
      <c r="U7853">
        <v>2.998383</v>
      </c>
      <c r="V7853">
        <v>-6.0575330000000004E-3</v>
      </c>
      <c r="W7853">
        <v>1.7684789999999999E-2</v>
      </c>
      <c r="X7853">
        <v>0.99982519999999997</v>
      </c>
      <c r="Y7853">
        <v>-0.18015510000000001</v>
      </c>
      <c r="Z7853">
        <v>-4.1225999999999999E-2</v>
      </c>
      <c r="AA7853">
        <v>0.98277389999999998</v>
      </c>
      <c r="AB7853">
        <v>27</v>
      </c>
      <c r="AC7853">
        <v>-4.8214000000000103</v>
      </c>
      <c r="AD7853">
        <v>-1.10919124086799</v>
      </c>
      <c r="AE7853">
        <v>26.149100000000001</v>
      </c>
      <c r="AF7853">
        <v>-4.8384973457489702</v>
      </c>
      <c r="AG7853">
        <v>-1.10919124086799</v>
      </c>
      <c r="AH7853">
        <v>26.098966829576899</v>
      </c>
      <c r="AI7853">
        <v>92.392848929053997</v>
      </c>
      <c r="AJ7853">
        <v>100.50284350848</v>
      </c>
      <c r="AK7853">
        <v>26.5668483517521</v>
      </c>
      <c r="AL7853">
        <v>88.986683284506896</v>
      </c>
      <c r="AM7853">
        <v>90.347127506550393</v>
      </c>
      <c r="AN7853">
        <v>0.99999993802921305</v>
      </c>
    </row>
    <row r="7854" spans="1:40" x14ac:dyDescent="0.25">
      <c r="A7854" t="str">
        <f>"20190312160838571"</f>
        <v>20190312160838571</v>
      </c>
      <c r="B7854" t="str">
        <f>"1552378118563079"</f>
        <v>1552378118563079</v>
      </c>
      <c r="C7854" t="s">
        <v>40</v>
      </c>
      <c r="D7854">
        <v>6.1688650000000003</v>
      </c>
      <c r="E7854">
        <v>0.42567349999999998</v>
      </c>
      <c r="F7854" t="s">
        <v>47</v>
      </c>
      <c r="G7854">
        <v>-192.684</v>
      </c>
      <c r="H7854" s="1">
        <v>-9.5948489999999995E-7</v>
      </c>
      <c r="I7854">
        <v>50.160980000000002</v>
      </c>
      <c r="J7854">
        <v>-187.6771</v>
      </c>
      <c r="K7854">
        <v>1.109192</v>
      </c>
      <c r="L7854">
        <v>25.044979999999999</v>
      </c>
      <c r="M7854">
        <v>1.2319399999999999E-3</v>
      </c>
      <c r="N7854">
        <v>0</v>
      </c>
      <c r="O7854">
        <v>0.99994689999999997</v>
      </c>
      <c r="P7854">
        <v>-4.8297169999999999E-3</v>
      </c>
      <c r="Q7854">
        <v>7.1958169999999898E-3</v>
      </c>
      <c r="R7854">
        <v>0.99996240000000003</v>
      </c>
      <c r="S7854">
        <v>-0.59143069999999998</v>
      </c>
      <c r="T7854">
        <v>-0.13103409999999999</v>
      </c>
      <c r="U7854">
        <v>2.9980769999999999</v>
      </c>
      <c r="V7854">
        <v>-6.0523169999999998E-3</v>
      </c>
      <c r="W7854">
        <v>1.742782E-2</v>
      </c>
      <c r="X7854">
        <v>0.99982979999999999</v>
      </c>
      <c r="Y7854">
        <v>-0.19457099999999999</v>
      </c>
      <c r="Z7854">
        <v>-4.2835089999999999E-2</v>
      </c>
      <c r="AA7854">
        <v>0.97995270000000001</v>
      </c>
      <c r="AB7854">
        <v>27</v>
      </c>
      <c r="AC7854">
        <v>-5.0069000000000301</v>
      </c>
      <c r="AD7854">
        <v>-1.1091929594848999</v>
      </c>
      <c r="AE7854">
        <v>25.116</v>
      </c>
      <c r="AF7854">
        <v>-5.0284069037088299</v>
      </c>
      <c r="AG7854">
        <v>-1.1091929594848999</v>
      </c>
      <c r="AH7854">
        <v>25.062799439994201</v>
      </c>
      <c r="AI7854">
        <v>92.484610148973204</v>
      </c>
      <c r="AJ7854">
        <v>101.344762543806</v>
      </c>
      <c r="AK7854">
        <v>25.586306899980901</v>
      </c>
      <c r="AL7854">
        <v>89.001408907588797</v>
      </c>
      <c r="AM7854">
        <v>90.346827014833295</v>
      </c>
      <c r="AN7854">
        <v>0.99999999420953001</v>
      </c>
    </row>
    <row r="7855" spans="1:40" x14ac:dyDescent="0.25">
      <c r="A7855" t="str">
        <f>"20190312160838595"</f>
        <v>20190312160838595</v>
      </c>
      <c r="B7855" t="str">
        <f>"1552378118583575"</f>
        <v>1552378118583575</v>
      </c>
      <c r="C7855" t="s">
        <v>40</v>
      </c>
      <c r="D7855">
        <v>6.1854889999999996</v>
      </c>
      <c r="E7855">
        <v>0.42442380000000002</v>
      </c>
      <c r="F7855" t="s">
        <v>47</v>
      </c>
      <c r="G7855">
        <v>-192.52500000000001</v>
      </c>
      <c r="H7855" s="1">
        <v>-4.5305759999999996E-6</v>
      </c>
      <c r="I7855">
        <v>48.983939999999997</v>
      </c>
      <c r="J7855">
        <v>-187.6764</v>
      </c>
      <c r="K7855">
        <v>1.1091899999999999</v>
      </c>
      <c r="L7855">
        <v>25.334900000000001</v>
      </c>
      <c r="M7855">
        <v>1.514771E-3</v>
      </c>
      <c r="N7855">
        <v>0</v>
      </c>
      <c r="O7855">
        <v>0.99994649999999996</v>
      </c>
      <c r="P7855">
        <v>-4.2806609999999998E-3</v>
      </c>
      <c r="Q7855">
        <v>6.9285550000000003E-3</v>
      </c>
      <c r="R7855">
        <v>0.99996689999999999</v>
      </c>
      <c r="S7855">
        <v>-0.60716250000000005</v>
      </c>
      <c r="T7855">
        <v>-0.13891829999999999</v>
      </c>
      <c r="U7855">
        <v>2.9981689999999999</v>
      </c>
      <c r="V7855">
        <v>-5.7867889999999996E-3</v>
      </c>
      <c r="W7855">
        <v>1.7163689999999999E-2</v>
      </c>
      <c r="X7855">
        <v>0.99983599999999995</v>
      </c>
      <c r="Y7855">
        <v>-0.1997623</v>
      </c>
      <c r="Z7855">
        <v>-4.5358790000000003E-2</v>
      </c>
      <c r="AA7855">
        <v>0.97879400000000005</v>
      </c>
      <c r="AB7855">
        <v>27</v>
      </c>
      <c r="AC7855">
        <v>-4.8486000000000002</v>
      </c>
      <c r="AD7855">
        <v>-1.10919453057599</v>
      </c>
      <c r="AE7855">
        <v>23.649039999999999</v>
      </c>
      <c r="AF7855">
        <v>-4.87412947649341</v>
      </c>
      <c r="AG7855">
        <v>-1.10919453057599</v>
      </c>
      <c r="AH7855">
        <v>23.5918634646236</v>
      </c>
      <c r="AI7855">
        <v>92.636240557033304</v>
      </c>
      <c r="AJ7855">
        <v>101.673192114901</v>
      </c>
      <c r="AK7855">
        <v>24.115627140792402</v>
      </c>
      <c r="AL7855">
        <v>89.016544763879295</v>
      </c>
      <c r="AM7855">
        <v>90.331609268453505</v>
      </c>
      <c r="AN7855">
        <v>1.0000000530386699</v>
      </c>
    </row>
    <row r="7856" spans="1:40" x14ac:dyDescent="0.25">
      <c r="A7856" t="str">
        <f>"20190312160838616"</f>
        <v>20190312160838616</v>
      </c>
      <c r="B7856" t="str">
        <f>"1552378118613578"</f>
        <v>1552378118613578</v>
      </c>
      <c r="C7856" t="s">
        <v>40</v>
      </c>
      <c r="D7856">
        <v>6.1826829999999999</v>
      </c>
      <c r="E7856">
        <v>0.42324590000000001</v>
      </c>
      <c r="F7856" t="s">
        <v>47</v>
      </c>
      <c r="G7856">
        <v>-192.4179</v>
      </c>
      <c r="H7856" s="1">
        <v>-4.3235710000000002E-6</v>
      </c>
      <c r="I7856">
        <v>48.431460000000001</v>
      </c>
      <c r="J7856">
        <v>-187.67580000000001</v>
      </c>
      <c r="K7856">
        <v>1.1091899999999999</v>
      </c>
      <c r="L7856">
        <v>25.594329999999999</v>
      </c>
      <c r="M7856">
        <v>1.768082E-3</v>
      </c>
      <c r="N7856">
        <v>0</v>
      </c>
      <c r="O7856">
        <v>0.99994609999999995</v>
      </c>
      <c r="P7856">
        <v>-4.0324169999999999E-3</v>
      </c>
      <c r="Q7856">
        <v>6.6270130000000002E-3</v>
      </c>
      <c r="R7856">
        <v>0.99996989999999997</v>
      </c>
      <c r="S7856">
        <v>-0.61555479999999996</v>
      </c>
      <c r="T7856">
        <v>-0.1439995</v>
      </c>
      <c r="U7856">
        <v>2.9984739999999999</v>
      </c>
      <c r="V7856">
        <v>-5.7920630000000001E-3</v>
      </c>
      <c r="W7856">
        <v>1.6865229999999998E-2</v>
      </c>
      <c r="X7856">
        <v>0.99984099999999998</v>
      </c>
      <c r="Y7856">
        <v>-0.20260529999999999</v>
      </c>
      <c r="Z7856">
        <v>-4.6982639999999999E-2</v>
      </c>
      <c r="AA7856">
        <v>0.97813280000000002</v>
      </c>
      <c r="AB7856">
        <v>27</v>
      </c>
      <c r="AC7856">
        <v>-4.74209999999999</v>
      </c>
      <c r="AD7856">
        <v>-1.109194323571</v>
      </c>
      <c r="AE7856">
        <v>22.837129999999899</v>
      </c>
      <c r="AF7856">
        <v>-4.7716814065620801</v>
      </c>
      <c r="AG7856">
        <v>-1.109194323571</v>
      </c>
      <c r="AH7856">
        <v>22.777198543770499</v>
      </c>
      <c r="AI7856">
        <v>92.728817794194995</v>
      </c>
      <c r="AJ7856">
        <v>101.831997053791</v>
      </c>
      <c r="AK7856">
        <v>23.298069211750398</v>
      </c>
      <c r="AL7856">
        <v>89.033647690368596</v>
      </c>
      <c r="AM7856">
        <v>90.331909826042903</v>
      </c>
      <c r="AN7856">
        <v>1.00000000462887</v>
      </c>
    </row>
    <row r="7857" spans="1:40" x14ac:dyDescent="0.25">
      <c r="A7857" t="str">
        <f>"20190312160838638"</f>
        <v>20190312160838638</v>
      </c>
      <c r="B7857" t="str">
        <f>"1552378118633097"</f>
        <v>1552378118633097</v>
      </c>
      <c r="C7857" t="s">
        <v>40</v>
      </c>
      <c r="D7857">
        <v>6.1926110000000003</v>
      </c>
      <c r="E7857">
        <v>0.4228537</v>
      </c>
      <c r="F7857" t="s">
        <v>47</v>
      </c>
      <c r="G7857">
        <v>-192.3347</v>
      </c>
      <c r="H7857" s="1">
        <v>-4.1545069999999998E-6</v>
      </c>
      <c r="I7857">
        <v>47.97804</v>
      </c>
      <c r="J7857">
        <v>-187.67500000000001</v>
      </c>
      <c r="K7857">
        <v>1.1091850000000001</v>
      </c>
      <c r="L7857">
        <v>25.875399999999999</v>
      </c>
      <c r="M7857">
        <v>2.0423630000000002E-3</v>
      </c>
      <c r="N7857">
        <v>0</v>
      </c>
      <c r="O7857">
        <v>0.99994550000000004</v>
      </c>
      <c r="P7857">
        <v>-3.658536E-3</v>
      </c>
      <c r="Q7857">
        <v>6.9495980000000004E-3</v>
      </c>
      <c r="R7857">
        <v>0.9999692</v>
      </c>
      <c r="S7857">
        <v>-0.62411499999999998</v>
      </c>
      <c r="T7857">
        <v>-0.14858969999999999</v>
      </c>
      <c r="U7857">
        <v>2.9985659999999998</v>
      </c>
      <c r="V7857">
        <v>-5.6919120000000004E-3</v>
      </c>
      <c r="W7857">
        <v>1.719039E-2</v>
      </c>
      <c r="X7857">
        <v>0.99983599999999995</v>
      </c>
      <c r="Y7857">
        <v>-0.20553070000000001</v>
      </c>
      <c r="Z7857">
        <v>-4.8446530000000002E-2</v>
      </c>
      <c r="AA7857">
        <v>0.97745079999999995</v>
      </c>
      <c r="AB7857">
        <v>27</v>
      </c>
      <c r="AC7857">
        <v>-4.6596999999999804</v>
      </c>
      <c r="AD7857">
        <v>-1.1091891545070001</v>
      </c>
      <c r="AE7857">
        <v>22.102640000000001</v>
      </c>
      <c r="AF7857">
        <v>-4.6935171502579998</v>
      </c>
      <c r="AG7857">
        <v>-1.1091891545070001</v>
      </c>
      <c r="AH7857">
        <v>22.039933432649502</v>
      </c>
      <c r="AI7857">
        <v>92.817972503821807</v>
      </c>
      <c r="AJ7857">
        <v>102.02184800988999</v>
      </c>
      <c r="AK7857">
        <v>22.561428800850798</v>
      </c>
      <c r="AL7857">
        <v>89.015014656289694</v>
      </c>
      <c r="AM7857">
        <v>90.326172504272606</v>
      </c>
      <c r="AN7857">
        <v>0.99999996713328299</v>
      </c>
    </row>
    <row r="7858" spans="1:40" x14ac:dyDescent="0.25">
      <c r="A7858" t="str">
        <f>"20190312160838661"</f>
        <v>20190312160838661</v>
      </c>
      <c r="B7858" t="str">
        <f>"1552378118653593"</f>
        <v>1552378118653593</v>
      </c>
      <c r="C7858" t="s">
        <v>40</v>
      </c>
      <c r="D7858">
        <v>6.2700259999999997</v>
      </c>
      <c r="E7858">
        <v>0.42266890000000001</v>
      </c>
      <c r="F7858" t="s">
        <v>47</v>
      </c>
      <c r="G7858">
        <v>-192.29349999999999</v>
      </c>
      <c r="H7858" s="1">
        <v>-4.1532509999999998E-6</v>
      </c>
      <c r="I7858">
        <v>47.995820000000002</v>
      </c>
      <c r="J7858">
        <v>-187.67410000000001</v>
      </c>
      <c r="K7858">
        <v>1.109178</v>
      </c>
      <c r="L7858">
        <v>26.151250000000001</v>
      </c>
      <c r="M7858">
        <v>2.3114799999999999E-3</v>
      </c>
      <c r="N7858">
        <v>0</v>
      </c>
      <c r="O7858">
        <v>0.99994490000000003</v>
      </c>
      <c r="P7858">
        <v>-3.4883800000000001E-3</v>
      </c>
      <c r="Q7858">
        <v>6.9508840000000001E-3</v>
      </c>
      <c r="R7858">
        <v>0.99996980000000002</v>
      </c>
      <c r="S7858">
        <v>-0.62612919999999905</v>
      </c>
      <c r="T7858">
        <v>-0.15037159999999999</v>
      </c>
      <c r="U7858">
        <v>2.99884</v>
      </c>
      <c r="V7858">
        <v>-5.7910770000000004E-3</v>
      </c>
      <c r="W7858">
        <v>1.719468E-2</v>
      </c>
      <c r="X7858">
        <v>0.99983540000000004</v>
      </c>
      <c r="Y7858">
        <v>-0.20639969999999999</v>
      </c>
      <c r="Z7858">
        <v>-4.9013769999999998E-2</v>
      </c>
      <c r="AA7858">
        <v>0.97723939999999998</v>
      </c>
      <c r="AB7858">
        <v>27</v>
      </c>
      <c r="AC7858">
        <v>-4.6193999999999802</v>
      </c>
      <c r="AD7858">
        <v>-1.109182153251</v>
      </c>
      <c r="AE7858">
        <v>21.844570000000001</v>
      </c>
      <c r="AF7858">
        <v>-4.6583873688492003</v>
      </c>
      <c r="AG7858">
        <v>-1.109182153251</v>
      </c>
      <c r="AH7858">
        <v>21.780083344279301</v>
      </c>
      <c r="AI7858">
        <v>92.850980489907201</v>
      </c>
      <c r="AJ7858">
        <v>102.072688899315</v>
      </c>
      <c r="AK7858">
        <v>22.300288975954899</v>
      </c>
      <c r="AL7858">
        <v>89.014768863628305</v>
      </c>
      <c r="AM7858">
        <v>90.331855183959107</v>
      </c>
      <c r="AN7858">
        <v>1.0000000103431399</v>
      </c>
    </row>
    <row r="7859" spans="1:40" x14ac:dyDescent="0.25">
      <c r="A7859" t="str">
        <f>"20190312160839274"</f>
        <v>20190312160839274</v>
      </c>
      <c r="B7859" t="str">
        <f>"1552378119263830"</f>
        <v>1552378119263830</v>
      </c>
      <c r="C7859" t="s">
        <v>40</v>
      </c>
      <c r="D7859">
        <v>6.3745159999999998</v>
      </c>
      <c r="E7859">
        <v>0.42266890000000001</v>
      </c>
      <c r="F7859" t="s">
        <v>47</v>
      </c>
      <c r="G7859">
        <v>-192.26429999999999</v>
      </c>
      <c r="H7859" s="1">
        <v>-4.1857520000000002E-6</v>
      </c>
      <c r="I7859">
        <v>48.106529999999999</v>
      </c>
      <c r="J7859">
        <v>-187.62100000000001</v>
      </c>
      <c r="K7859">
        <v>1.10921</v>
      </c>
      <c r="L7859">
        <v>33.820039999999999</v>
      </c>
      <c r="M7859">
        <v>9.5563390000000005E-3</v>
      </c>
      <c r="N7859">
        <v>0</v>
      </c>
      <c r="O7859">
        <v>0.99990179999999995</v>
      </c>
      <c r="P7859">
        <v>3.721893E-3</v>
      </c>
      <c r="Q7859">
        <v>7.9104429999999996E-3</v>
      </c>
      <c r="R7859">
        <v>0.99996180000000001</v>
      </c>
      <c r="S7859">
        <v>-0.62699890000000003</v>
      </c>
      <c r="T7859">
        <v>-0.1515077</v>
      </c>
      <c r="U7859">
        <v>2.9989620000000001</v>
      </c>
      <c r="V7859">
        <v>-5.8272130000000004E-3</v>
      </c>
      <c r="W7859">
        <v>1.8156309999999998E-2</v>
      </c>
      <c r="X7859">
        <v>0.99981819999999999</v>
      </c>
      <c r="Y7859">
        <v>-0.21374299999999999</v>
      </c>
      <c r="Z7859">
        <v>-4.9337159999999998E-2</v>
      </c>
      <c r="AA7859">
        <v>0.97564329999999999</v>
      </c>
      <c r="AB7859">
        <v>28</v>
      </c>
      <c r="AC7859">
        <v>-4.6433000000000098</v>
      </c>
      <c r="AD7859">
        <v>-1.1092141857519999</v>
      </c>
      <c r="AE7859">
        <v>14.286489999999899</v>
      </c>
      <c r="AF7859">
        <v>-4.75370371869362</v>
      </c>
      <c r="AG7859">
        <v>-1.1092141857519999</v>
      </c>
      <c r="AH7859">
        <v>14.1642366236804</v>
      </c>
      <c r="AI7859">
        <v>94.245924581597805</v>
      </c>
      <c r="AJ7859">
        <v>108.55242851394399</v>
      </c>
      <c r="AK7859">
        <v>14.9817774074575</v>
      </c>
      <c r="AL7859">
        <v>88.959662923357101</v>
      </c>
      <c r="AM7859">
        <v>90.333931639636106</v>
      </c>
      <c r="AN7859">
        <v>1.0000000205277</v>
      </c>
    </row>
    <row r="7860" spans="1:40" x14ac:dyDescent="0.25">
      <c r="A7860" t="str">
        <f>"20190312160839296"</f>
        <v>20190312160839296</v>
      </c>
      <c r="B7860" t="str">
        <f>"1552378119293096"</f>
        <v>1552378119293096</v>
      </c>
      <c r="C7860" t="s">
        <v>40</v>
      </c>
      <c r="D7860">
        <v>6.7674779999999997</v>
      </c>
      <c r="E7860">
        <v>0.49785970000000002</v>
      </c>
      <c r="F7860" t="s">
        <v>47</v>
      </c>
      <c r="G7860">
        <v>-192.08250000000001</v>
      </c>
      <c r="H7860" s="1">
        <v>-3.2928430000000002E-6</v>
      </c>
      <c r="I7860">
        <v>55.973179999999999</v>
      </c>
      <c r="J7860">
        <v>-187.6182</v>
      </c>
      <c r="K7860">
        <v>1.1092249999999999</v>
      </c>
      <c r="L7860">
        <v>34.095610000000001</v>
      </c>
      <c r="M7860">
        <v>9.7175850000000008E-3</v>
      </c>
      <c r="N7860">
        <v>0</v>
      </c>
      <c r="O7860">
        <v>0.99990029999999996</v>
      </c>
      <c r="P7860">
        <v>2.9135210000000001E-3</v>
      </c>
      <c r="Q7860">
        <v>7.8459480000000002E-3</v>
      </c>
      <c r="R7860">
        <v>0.99996499999999999</v>
      </c>
      <c r="S7860">
        <v>-0.60488889999999995</v>
      </c>
      <c r="T7860">
        <v>-0.15038799999999999</v>
      </c>
      <c r="U7860">
        <v>3.0035400000000001</v>
      </c>
      <c r="V7860">
        <v>-6.7978810000000004E-3</v>
      </c>
      <c r="W7860">
        <v>1.8090519999999999E-2</v>
      </c>
      <c r="X7860">
        <v>0.99981330000000002</v>
      </c>
      <c r="Y7860">
        <v>-0.20670849999999999</v>
      </c>
      <c r="Z7860">
        <v>-4.8973599999999999E-2</v>
      </c>
      <c r="AA7860">
        <v>0.97717609999999999</v>
      </c>
      <c r="AB7860">
        <v>28</v>
      </c>
      <c r="AC7860">
        <v>-4.4642999999999997</v>
      </c>
      <c r="AD7860">
        <v>-1.109228292843</v>
      </c>
      <c r="AE7860">
        <v>21.877569999999999</v>
      </c>
      <c r="AF7860">
        <v>-4.6651843205658503</v>
      </c>
      <c r="AG7860">
        <v>-1.109228292843</v>
      </c>
      <c r="AH7860">
        <v>21.779403195358501</v>
      </c>
      <c r="AI7860">
        <v>92.851002081998999</v>
      </c>
      <c r="AJ7860">
        <v>102.090152479924</v>
      </c>
      <c r="AK7860">
        <v>22.301047860952401</v>
      </c>
      <c r="AL7860">
        <v>88.963433069096197</v>
      </c>
      <c r="AM7860">
        <v>90.389556619481993</v>
      </c>
      <c r="AN7860">
        <v>1.0000000564784199</v>
      </c>
    </row>
    <row r="7861" spans="1:40" x14ac:dyDescent="0.25">
      <c r="A7861" t="str">
        <f>"20190312160839318"</f>
        <v>20190312160839318</v>
      </c>
      <c r="B7861" t="str">
        <f>"1552378119313593"</f>
        <v>1552378119313593</v>
      </c>
      <c r="C7861" t="s">
        <v>40</v>
      </c>
      <c r="D7861">
        <v>6.674531</v>
      </c>
      <c r="E7861">
        <v>0.49515930000000002</v>
      </c>
      <c r="F7861" t="s">
        <v>44</v>
      </c>
      <c r="G7861">
        <v>-187.61959999999999</v>
      </c>
      <c r="H7861">
        <v>0.85098949999999995</v>
      </c>
      <c r="I7861">
        <v>34.968910000000001</v>
      </c>
      <c r="J7861">
        <v>-187.61529999999999</v>
      </c>
      <c r="K7861">
        <v>1.1092489999999999</v>
      </c>
      <c r="L7861">
        <v>34.38373</v>
      </c>
      <c r="M7861">
        <v>9.8631529999999995E-3</v>
      </c>
      <c r="N7861">
        <v>0</v>
      </c>
      <c r="O7861">
        <v>0.99989890000000003</v>
      </c>
      <c r="P7861">
        <v>2.1886929999999998E-3</v>
      </c>
      <c r="Q7861">
        <v>7.811892E-3</v>
      </c>
      <c r="R7861">
        <v>0.9999671</v>
      </c>
      <c r="S7861">
        <v>-4.9896239999999998E-3</v>
      </c>
      <c r="T7861">
        <v>-0.88919400000000004</v>
      </c>
      <c r="U7861">
        <v>3.0070800000000002</v>
      </c>
      <c r="V7861">
        <v>-7.6693789999999996E-3</v>
      </c>
      <c r="W7861">
        <v>1.805524E-2</v>
      </c>
      <c r="X7861">
        <v>0.99980760000000002</v>
      </c>
      <c r="Y7861">
        <v>-1.145476E-2</v>
      </c>
      <c r="Z7861">
        <v>-0.28353289999999998</v>
      </c>
      <c r="AA7861">
        <v>0.95889409999999997</v>
      </c>
      <c r="AB7861">
        <v>28</v>
      </c>
      <c r="AC7861">
        <v>-4.3000000000006297E-3</v>
      </c>
      <c r="AD7861">
        <v>-0.25825949999999898</v>
      </c>
      <c r="AE7861">
        <v>0.58518000000000103</v>
      </c>
      <c r="AF7861">
        <v>-8.4299557796871493E-3</v>
      </c>
      <c r="AG7861">
        <v>-0.25825949999999898</v>
      </c>
      <c r="AH7861">
        <v>0.48972749706672197</v>
      </c>
      <c r="AI7861">
        <v>117.80157719057</v>
      </c>
      <c r="AJ7861">
        <v>90.986167192057096</v>
      </c>
      <c r="AK7861">
        <v>0.55371658353162401</v>
      </c>
      <c r="AL7861">
        <v>88.965454760726502</v>
      </c>
      <c r="AM7861">
        <v>90.439498989250296</v>
      </c>
      <c r="AN7861">
        <v>1.0000000240417299</v>
      </c>
    </row>
    <row r="7862" spans="1:40" x14ac:dyDescent="0.25">
      <c r="A7862" t="str">
        <f>"20190312160839341"</f>
        <v>20190312160839341</v>
      </c>
      <c r="B7862" t="str">
        <f>"1552378119333112"</f>
        <v>1552378119333112</v>
      </c>
      <c r="C7862" t="s">
        <v>40</v>
      </c>
      <c r="D7862">
        <v>6.7544659999999999</v>
      </c>
      <c r="E7862">
        <v>0.49330869999999999</v>
      </c>
      <c r="F7862" t="s">
        <v>44</v>
      </c>
      <c r="G7862">
        <v>-187.62350000000001</v>
      </c>
      <c r="H7862">
        <v>0.90305820000000003</v>
      </c>
      <c r="I7862">
        <v>35.246600000000001</v>
      </c>
      <c r="J7862">
        <v>-187.6122</v>
      </c>
      <c r="K7862">
        <v>1.109264</v>
      </c>
      <c r="L7862">
        <v>34.678249999999998</v>
      </c>
      <c r="M7862">
        <v>9.9913580000000005E-3</v>
      </c>
      <c r="N7862">
        <v>0</v>
      </c>
      <c r="O7862">
        <v>0.9998977</v>
      </c>
      <c r="P7862">
        <v>1.6335849999999999E-3</v>
      </c>
      <c r="Q7862">
        <v>7.8064850000000002E-3</v>
      </c>
      <c r="R7862">
        <v>0.99996819999999997</v>
      </c>
      <c r="S7862">
        <v>-2.9052729999999999E-2</v>
      </c>
      <c r="T7862">
        <v>-0.71824160000000004</v>
      </c>
      <c r="U7862">
        <v>3.0057680000000002</v>
      </c>
      <c r="V7862">
        <v>-8.3530310000000003E-3</v>
      </c>
      <c r="W7862">
        <v>1.8049039999999999E-2</v>
      </c>
      <c r="X7862">
        <v>0.99980219999999997</v>
      </c>
      <c r="Y7862">
        <v>-1.939155E-2</v>
      </c>
      <c r="Z7862">
        <v>-0.23236689999999999</v>
      </c>
      <c r="AA7862">
        <v>0.97243489999999999</v>
      </c>
      <c r="AB7862">
        <v>28</v>
      </c>
      <c r="AC7862">
        <v>-1.1300000000005601E-2</v>
      </c>
      <c r="AD7862">
        <v>-0.20620579999999999</v>
      </c>
      <c r="AE7862">
        <v>0.56835000000000202</v>
      </c>
      <c r="AF7862">
        <v>-1.5004050137288999E-2</v>
      </c>
      <c r="AG7862">
        <v>-0.20620579999999999</v>
      </c>
      <c r="AH7862">
        <v>0.502136328342357</v>
      </c>
      <c r="AI7862">
        <v>112.31686541294199</v>
      </c>
      <c r="AJ7862">
        <v>91.711513363998094</v>
      </c>
      <c r="AK7862">
        <v>0.54303484760676701</v>
      </c>
      <c r="AL7862">
        <v>88.965810017287396</v>
      </c>
      <c r="AM7862">
        <v>90.478676969821606</v>
      </c>
      <c r="AN7862">
        <v>0.99999999004832396</v>
      </c>
    </row>
    <row r="7863" spans="1:40" x14ac:dyDescent="0.25">
      <c r="A7863" t="str">
        <f>"20190312160839364"</f>
        <v>20190312160839364</v>
      </c>
      <c r="B7863" t="str">
        <f>"1552378119353608"</f>
        <v>1552378119353608</v>
      </c>
      <c r="C7863" t="s">
        <v>40</v>
      </c>
      <c r="D7863">
        <v>6.2704829999999996</v>
      </c>
      <c r="E7863">
        <v>0.49545869999999997</v>
      </c>
      <c r="F7863" t="s">
        <v>44</v>
      </c>
      <c r="G7863">
        <v>-187.6251</v>
      </c>
      <c r="H7863">
        <v>0.94746649999999999</v>
      </c>
      <c r="I7863">
        <v>35.521270000000001</v>
      </c>
      <c r="J7863">
        <v>-187.60929999999999</v>
      </c>
      <c r="K7863">
        <v>1.109273</v>
      </c>
      <c r="L7863">
        <v>34.961359999999999</v>
      </c>
      <c r="M7863">
        <v>1.009931E-2</v>
      </c>
      <c r="N7863">
        <v>0</v>
      </c>
      <c r="O7863">
        <v>0.99989660000000002</v>
      </c>
      <c r="P7863">
        <v>1.5128590000000001E-3</v>
      </c>
      <c r="Q7863">
        <v>7.798073E-3</v>
      </c>
      <c r="R7863">
        <v>0.99996850000000004</v>
      </c>
      <c r="S7863">
        <v>-4.627991E-2</v>
      </c>
      <c r="T7863">
        <v>-0.57668160000000002</v>
      </c>
      <c r="U7863">
        <v>3.0046689999999998</v>
      </c>
      <c r="V7863">
        <v>-8.5818700000000001E-3</v>
      </c>
      <c r="W7863">
        <v>1.8040460000000001E-2</v>
      </c>
      <c r="X7863">
        <v>0.99980040000000003</v>
      </c>
      <c r="Y7863">
        <v>-2.522276E-2</v>
      </c>
      <c r="Z7863">
        <v>-0.18843299999999999</v>
      </c>
      <c r="AA7863">
        <v>0.98176209999999997</v>
      </c>
      <c r="AB7863">
        <v>28</v>
      </c>
      <c r="AC7863">
        <v>-1.5800000000012901E-2</v>
      </c>
      <c r="AD7863">
        <v>-0.16180649999999899</v>
      </c>
      <c r="AE7863">
        <v>0.55991000000000202</v>
      </c>
      <c r="AF7863">
        <v>-1.980179803584E-2</v>
      </c>
      <c r="AG7863">
        <v>-0.16180649999999899</v>
      </c>
      <c r="AH7863">
        <v>0.51661221808584501</v>
      </c>
      <c r="AI7863">
        <v>107.378922450204</v>
      </c>
      <c r="AJ7863">
        <v>92.195078384755604</v>
      </c>
      <c r="AK7863">
        <v>0.54172099693779496</v>
      </c>
      <c r="AL7863">
        <v>88.9663016777845</v>
      </c>
      <c r="AM7863">
        <v>90.491791017421505</v>
      </c>
      <c r="AN7863">
        <v>0.99999997326493295</v>
      </c>
    </row>
    <row r="7864" spans="1:40" x14ac:dyDescent="0.25">
      <c r="A7864" t="str">
        <f>"20190312160839387"</f>
        <v>20190312160839387</v>
      </c>
      <c r="B7864" t="str">
        <f>"1552378119382889"</f>
        <v>1552378119382889</v>
      </c>
      <c r="C7864" t="s">
        <v>40</v>
      </c>
      <c r="D7864">
        <v>6.3806500000000002</v>
      </c>
      <c r="E7864">
        <v>0.47619699999999998</v>
      </c>
      <c r="F7864" t="s">
        <v>44</v>
      </c>
      <c r="G7864">
        <v>-187.61709999999999</v>
      </c>
      <c r="H7864">
        <v>0.9626169</v>
      </c>
      <c r="I7864">
        <v>35.783439999999999</v>
      </c>
      <c r="J7864">
        <v>-187.6061</v>
      </c>
      <c r="K7864">
        <v>1.1092789999999999</v>
      </c>
      <c r="L7864">
        <v>35.262599999999999</v>
      </c>
      <c r="M7864">
        <v>1.020418E-2</v>
      </c>
      <c r="N7864">
        <v>0</v>
      </c>
      <c r="O7864">
        <v>0.99989550000000005</v>
      </c>
      <c r="P7864">
        <v>1.7175199999999999E-3</v>
      </c>
      <c r="Q7864">
        <v>7.5027359999999899E-3</v>
      </c>
      <c r="R7864">
        <v>0.99997040000000004</v>
      </c>
      <c r="S7864">
        <v>-2.9312129999999999E-2</v>
      </c>
      <c r="T7864">
        <v>-0.53596639999999995</v>
      </c>
      <c r="U7864">
        <v>3.0043329999999999</v>
      </c>
      <c r="V7864">
        <v>-8.4827519999999997E-3</v>
      </c>
      <c r="W7864">
        <v>1.7744869999999999E-2</v>
      </c>
      <c r="X7864">
        <v>0.99980659999999999</v>
      </c>
      <c r="Y7864">
        <v>-1.9808280000000001E-2</v>
      </c>
      <c r="Z7864">
        <v>-0.17559</v>
      </c>
      <c r="AA7864">
        <v>0.98426409999999998</v>
      </c>
      <c r="AB7864">
        <v>29</v>
      </c>
      <c r="AC7864">
        <v>-1.09999999999956E-2</v>
      </c>
      <c r="AD7864">
        <v>-0.14666209999999999</v>
      </c>
      <c r="AE7864">
        <v>0.52083999999999897</v>
      </c>
      <c r="AF7864">
        <v>-1.5116383321154E-2</v>
      </c>
      <c r="AG7864">
        <v>-0.14666209999999999</v>
      </c>
      <c r="AH7864">
        <v>0.48246246702000201</v>
      </c>
      <c r="AI7864">
        <v>106.900745873666</v>
      </c>
      <c r="AJ7864">
        <v>91.794588760696001</v>
      </c>
      <c r="AK7864">
        <v>0.50448816507837702</v>
      </c>
      <c r="AL7864">
        <v>88.983240514700697</v>
      </c>
      <c r="AM7864">
        <v>90.486108239914699</v>
      </c>
      <c r="AN7864">
        <v>1.0000000374481799</v>
      </c>
    </row>
    <row r="7865" spans="1:40" x14ac:dyDescent="0.25">
      <c r="A7865" t="str">
        <f>"20190312160839410"</f>
        <v>20190312160839410</v>
      </c>
      <c r="B7865" t="str">
        <f>"1552378119403386"</f>
        <v>1552378119403386</v>
      </c>
      <c r="C7865" t="s">
        <v>40</v>
      </c>
      <c r="D7865">
        <v>6.4869199999999996</v>
      </c>
      <c r="E7865">
        <v>0.4795838</v>
      </c>
      <c r="F7865" t="s">
        <v>46</v>
      </c>
      <c r="G7865">
        <v>-209.57560000000001</v>
      </c>
      <c r="H7865">
        <v>4.9642010000000001</v>
      </c>
      <c r="I7865">
        <v>391.87</v>
      </c>
      <c r="J7865">
        <v>-187.60300000000001</v>
      </c>
      <c r="K7865">
        <v>1.1092820000000001</v>
      </c>
      <c r="L7865">
        <v>35.55151</v>
      </c>
      <c r="M7865">
        <v>1.030058E-2</v>
      </c>
      <c r="N7865">
        <v>0</v>
      </c>
      <c r="O7865">
        <v>0.99989450000000002</v>
      </c>
      <c r="P7865">
        <v>1.9034239999999999E-3</v>
      </c>
      <c r="Q7865">
        <v>7.730443E-3</v>
      </c>
      <c r="R7865">
        <v>0.99996830000000003</v>
      </c>
      <c r="S7865">
        <v>-0.18482970000000001</v>
      </c>
      <c r="T7865">
        <v>3.2431599999999998E-2</v>
      </c>
      <c r="U7865">
        <v>3.0001530000000001</v>
      </c>
      <c r="V7865">
        <v>-8.3935669999999993E-3</v>
      </c>
      <c r="W7865">
        <v>1.797323E-2</v>
      </c>
      <c r="X7865">
        <v>0.9998032</v>
      </c>
      <c r="Y7865">
        <v>-7.1764980000000006E-2</v>
      </c>
      <c r="Z7865">
        <v>1.078433E-2</v>
      </c>
      <c r="AA7865">
        <v>0.99736329999999995</v>
      </c>
      <c r="AB7865">
        <v>29</v>
      </c>
      <c r="AC7865">
        <v>-21.9726</v>
      </c>
      <c r="AD7865">
        <v>3.8549190000000002</v>
      </c>
      <c r="AE7865">
        <v>356.31849</v>
      </c>
      <c r="AF7865">
        <v>-25.638924242267599</v>
      </c>
      <c r="AG7865">
        <v>3.8549190000000002</v>
      </c>
      <c r="AH7865">
        <v>356.03172811813897</v>
      </c>
      <c r="AI7865">
        <v>89.381258686042798</v>
      </c>
      <c r="AJ7865">
        <v>94.118932533040805</v>
      </c>
      <c r="AK7865">
        <v>356.974517666998</v>
      </c>
      <c r="AL7865">
        <v>88.970154288094605</v>
      </c>
      <c r="AM7865">
        <v>90.4809993270338</v>
      </c>
      <c r="AN7865">
        <v>0.99999996384692702</v>
      </c>
    </row>
    <row r="7866" spans="1:40" x14ac:dyDescent="0.25">
      <c r="A7866" t="str">
        <f>"20190312160839431"</f>
        <v>20190312160839431</v>
      </c>
      <c r="B7866" t="str">
        <f>"1552378119422906"</f>
        <v>1552378119422906</v>
      </c>
      <c r="C7866" t="s">
        <v>40</v>
      </c>
      <c r="D7866">
        <v>6.4529769999999997</v>
      </c>
      <c r="E7866">
        <v>0.48122480000000001</v>
      </c>
      <c r="F7866" t="s">
        <v>46</v>
      </c>
      <c r="G7866">
        <v>-206.18549999999999</v>
      </c>
      <c r="H7866">
        <v>6.9050729999999998</v>
      </c>
      <c r="I7866">
        <v>390.11860000000001</v>
      </c>
      <c r="J7866">
        <v>-187.6001</v>
      </c>
      <c r="K7866">
        <v>1.1092820000000001</v>
      </c>
      <c r="L7866">
        <v>35.828800000000001</v>
      </c>
      <c r="M7866">
        <v>1.0392719999999999E-2</v>
      </c>
      <c r="N7866">
        <v>0</v>
      </c>
      <c r="O7866">
        <v>0.99989349999999999</v>
      </c>
      <c r="P7866">
        <v>2.14935E-3</v>
      </c>
      <c r="Q7866">
        <v>7.9696339999999997E-3</v>
      </c>
      <c r="R7866">
        <v>0.99996589999999996</v>
      </c>
      <c r="S7866">
        <v>-0.15722659999999999</v>
      </c>
      <c r="T7866">
        <v>4.9038289999999998E-2</v>
      </c>
      <c r="U7866">
        <v>3</v>
      </c>
      <c r="V7866">
        <v>-8.2395430000000002E-3</v>
      </c>
      <c r="W7866">
        <v>1.821352E-2</v>
      </c>
      <c r="X7866">
        <v>0.99980009999999997</v>
      </c>
      <c r="Y7866">
        <v>-6.2706239999999996E-2</v>
      </c>
      <c r="Z7866">
        <v>1.631531E-2</v>
      </c>
      <c r="AA7866">
        <v>0.99789859999999997</v>
      </c>
      <c r="AB7866">
        <v>29</v>
      </c>
      <c r="AC7866">
        <v>-18.5854</v>
      </c>
      <c r="AD7866">
        <v>5.7957910000000004</v>
      </c>
      <c r="AE7866">
        <v>354.28980000000001</v>
      </c>
      <c r="AF7866">
        <v>-22.2606832388764</v>
      </c>
      <c r="AG7866">
        <v>5.7957910000000004</v>
      </c>
      <c r="AH7866">
        <v>353.98303060614001</v>
      </c>
      <c r="AI7866">
        <v>89.063824656307204</v>
      </c>
      <c r="AJ7866">
        <v>93.598381110519</v>
      </c>
      <c r="AK7866">
        <v>354.729636721666</v>
      </c>
      <c r="AL7866">
        <v>88.956384396493107</v>
      </c>
      <c r="AM7866">
        <v>90.472174739478902</v>
      </c>
      <c r="AN7866">
        <v>0.999999931169822</v>
      </c>
    </row>
    <row r="7867" spans="1:40" x14ac:dyDescent="0.25">
      <c r="A7867" t="str">
        <f>"20190312160839453"</f>
        <v>20190312160839453</v>
      </c>
      <c r="B7867" t="str">
        <f>"1552378119443400"</f>
        <v>1552378119443400</v>
      </c>
      <c r="C7867" t="s">
        <v>40</v>
      </c>
      <c r="D7867">
        <v>6.4286320000000003</v>
      </c>
      <c r="E7867">
        <v>0.48235220000000001</v>
      </c>
      <c r="F7867" t="s">
        <v>43</v>
      </c>
      <c r="G7867">
        <v>-201.9675</v>
      </c>
      <c r="H7867">
        <v>8.3579810000000005</v>
      </c>
      <c r="I7867">
        <v>336.0933</v>
      </c>
      <c r="J7867">
        <v>-187.59710000000001</v>
      </c>
      <c r="K7867">
        <v>1.109283</v>
      </c>
      <c r="L7867">
        <v>36.107849999999999</v>
      </c>
      <c r="M7867">
        <v>1.0486769999999999E-2</v>
      </c>
      <c r="N7867">
        <v>0</v>
      </c>
      <c r="O7867">
        <v>0.99989249999999996</v>
      </c>
      <c r="P7867">
        <v>2.36353E-3</v>
      </c>
      <c r="Q7867">
        <v>7.8253249999999993E-3</v>
      </c>
      <c r="R7867">
        <v>0.99996660000000004</v>
      </c>
      <c r="S7867">
        <v>-0.14353940000000001</v>
      </c>
      <c r="T7867">
        <v>7.2418689999999994E-2</v>
      </c>
      <c r="U7867">
        <v>2.9998170000000002</v>
      </c>
      <c r="V7867">
        <v>-8.1198999999999993E-3</v>
      </c>
      <c r="W7867">
        <v>1.8070019999999999E-2</v>
      </c>
      <c r="X7867">
        <v>0.99980369999999996</v>
      </c>
      <c r="Y7867">
        <v>-5.8253550000000001E-2</v>
      </c>
      <c r="Z7867">
        <v>2.4097750000000001E-2</v>
      </c>
      <c r="AA7867">
        <v>0.99801090000000003</v>
      </c>
      <c r="AB7867">
        <v>29</v>
      </c>
      <c r="AC7867">
        <v>-14.370399999999901</v>
      </c>
      <c r="AD7867">
        <v>7.2486980000000001</v>
      </c>
      <c r="AE7867">
        <v>299.98545000000001</v>
      </c>
      <c r="AF7867">
        <v>-17.505455745362401</v>
      </c>
      <c r="AG7867">
        <v>7.2486980000000001</v>
      </c>
      <c r="AH7867">
        <v>299.64369196814403</v>
      </c>
      <c r="AI7867">
        <v>88.616582614688895</v>
      </c>
      <c r="AJ7867">
        <v>93.343471005530901</v>
      </c>
      <c r="AK7867">
        <v>300.242113534807</v>
      </c>
      <c r="AL7867">
        <v>88.964607712689997</v>
      </c>
      <c r="AM7867">
        <v>90.465317113439994</v>
      </c>
      <c r="AN7867">
        <v>0.99999994846624796</v>
      </c>
    </row>
    <row r="7868" spans="1:40" x14ac:dyDescent="0.25">
      <c r="A7868" t="str">
        <f>"20190312160839476"</f>
        <v>20190312160839476</v>
      </c>
      <c r="B7868" t="str">
        <f>"1552378119473657"</f>
        <v>1552378119473657</v>
      </c>
      <c r="C7868" t="s">
        <v>40</v>
      </c>
      <c r="D7868">
        <v>6.530049</v>
      </c>
      <c r="E7868">
        <v>0.48308069999999997</v>
      </c>
      <c r="F7868" t="s">
        <v>43</v>
      </c>
      <c r="G7868">
        <v>-200.99539999999999</v>
      </c>
      <c r="H7868">
        <v>9.0398829999999997</v>
      </c>
      <c r="I7868">
        <v>336.11340000000001</v>
      </c>
      <c r="J7868">
        <v>-187.59399999999999</v>
      </c>
      <c r="K7868">
        <v>1.1092820000000001</v>
      </c>
      <c r="L7868">
        <v>36.389130000000002</v>
      </c>
      <c r="M7868">
        <v>1.0583449999999999E-2</v>
      </c>
      <c r="N7868">
        <v>0</v>
      </c>
      <c r="O7868">
        <v>0.99989150000000004</v>
      </c>
      <c r="P7868">
        <v>2.7617269999999998E-3</v>
      </c>
      <c r="Q7868">
        <v>8.2291459999999997E-3</v>
      </c>
      <c r="R7868">
        <v>0.99996229999999997</v>
      </c>
      <c r="S7868">
        <v>-0.13397220000000001</v>
      </c>
      <c r="T7868">
        <v>7.9299690000000006E-2</v>
      </c>
      <c r="U7868">
        <v>2.9998170000000002</v>
      </c>
      <c r="V7868">
        <v>-7.8175869999999904E-3</v>
      </c>
      <c r="W7868">
        <v>1.847526E-2</v>
      </c>
      <c r="X7868">
        <v>0.99979879999999999</v>
      </c>
      <c r="Y7868">
        <v>-5.5171070000000003E-2</v>
      </c>
      <c r="Z7868">
        <v>2.639012E-2</v>
      </c>
      <c r="AA7868">
        <v>0.99812809999999996</v>
      </c>
      <c r="AB7868">
        <v>29</v>
      </c>
      <c r="AC7868">
        <v>-13.401399999999899</v>
      </c>
      <c r="AD7868">
        <v>7.9306009999999896</v>
      </c>
      <c r="AE7868">
        <v>299.72426999999999</v>
      </c>
      <c r="AF7868">
        <v>-16.561361003363999</v>
      </c>
      <c r="AG7868">
        <v>7.9306009999999896</v>
      </c>
      <c r="AH7868">
        <v>299.35647599423402</v>
      </c>
      <c r="AI7868">
        <v>88.484781666204498</v>
      </c>
      <c r="AJ7868">
        <v>93.166558455982496</v>
      </c>
      <c r="AK7868">
        <v>299.91911047846099</v>
      </c>
      <c r="AL7868">
        <v>88.941385394865605</v>
      </c>
      <c r="AM7868">
        <v>90.447995749763095</v>
      </c>
      <c r="AN7868">
        <v>1.00000004519</v>
      </c>
    </row>
    <row r="7869" spans="1:40" x14ac:dyDescent="0.25">
      <c r="A7869" t="str">
        <f>"20190312160839497"</f>
        <v>20190312160839497</v>
      </c>
      <c r="B7869" t="str">
        <f>"1552378119493177"</f>
        <v>1552378119493177</v>
      </c>
      <c r="C7869" t="s">
        <v>40</v>
      </c>
      <c r="D7869">
        <v>6.0508410000000001</v>
      </c>
      <c r="E7869">
        <v>0.4844656</v>
      </c>
      <c r="F7869" t="s">
        <v>46</v>
      </c>
      <c r="G7869">
        <v>-202.60849999999999</v>
      </c>
      <c r="H7869">
        <v>10.056240000000001</v>
      </c>
      <c r="I7869">
        <v>391.00349999999997</v>
      </c>
      <c r="J7869">
        <v>-187.5909</v>
      </c>
      <c r="K7869">
        <v>1.1092770000000001</v>
      </c>
      <c r="L7869">
        <v>36.6691</v>
      </c>
      <c r="M7869">
        <v>1.068147E-2</v>
      </c>
      <c r="N7869">
        <v>0</v>
      </c>
      <c r="O7869">
        <v>0.99989039999999996</v>
      </c>
      <c r="P7869">
        <v>3.2493660000000001E-3</v>
      </c>
      <c r="Q7869">
        <v>8.4925750000000005E-3</v>
      </c>
      <c r="R7869">
        <v>0.99995860000000003</v>
      </c>
      <c r="S7869">
        <v>-0.12701419999999999</v>
      </c>
      <c r="T7869">
        <v>7.5686450000000002E-2</v>
      </c>
      <c r="U7869">
        <v>2.9998469999999999</v>
      </c>
      <c r="V7869">
        <v>-7.4285289999999997E-3</v>
      </c>
      <c r="W7869">
        <v>1.8740340000000001E-2</v>
      </c>
      <c r="X7869">
        <v>0.99979680000000004</v>
      </c>
      <c r="Y7869">
        <v>-5.2958940000000003E-2</v>
      </c>
      <c r="Z7869">
        <v>2.519095E-2</v>
      </c>
      <c r="AA7869">
        <v>0.99827889999999997</v>
      </c>
      <c r="AB7869">
        <v>29</v>
      </c>
      <c r="AC7869">
        <v>-15.0175999999999</v>
      </c>
      <c r="AD7869">
        <v>8.9469629999999896</v>
      </c>
      <c r="AE7869">
        <v>354.33440000000002</v>
      </c>
      <c r="AF7869">
        <v>-18.7897960971477</v>
      </c>
      <c r="AG7869">
        <v>8.9469629999999896</v>
      </c>
      <c r="AH7869">
        <v>353.92851722563603</v>
      </c>
      <c r="AI7869">
        <v>88.553963244055694</v>
      </c>
      <c r="AJ7869">
        <v>93.038936501093801</v>
      </c>
      <c r="AK7869">
        <v>354.539842457563</v>
      </c>
      <c r="AL7869">
        <v>88.926194764892799</v>
      </c>
      <c r="AM7869">
        <v>90.425702030355694</v>
      </c>
      <c r="AN7869">
        <v>1.0000000123383199</v>
      </c>
    </row>
    <row r="7870" spans="1:40" x14ac:dyDescent="0.25">
      <c r="A7870" t="str">
        <f>"20190312160839520"</f>
        <v>20190312160839520</v>
      </c>
      <c r="B7870" t="str">
        <f>"1552378119513673"</f>
        <v>1552378119513673</v>
      </c>
      <c r="C7870" t="s">
        <v>40</v>
      </c>
      <c r="D7870">
        <v>6.5680519999999998</v>
      </c>
      <c r="E7870">
        <v>0.48498069999999999</v>
      </c>
      <c r="F7870" t="s">
        <v>46</v>
      </c>
      <c r="G7870">
        <v>-201.12299999999999</v>
      </c>
      <c r="H7870">
        <v>8.8211580000000005</v>
      </c>
      <c r="I7870">
        <v>391.87</v>
      </c>
      <c r="J7870">
        <v>-187.58760000000001</v>
      </c>
      <c r="K7870">
        <v>1.1092770000000001</v>
      </c>
      <c r="L7870">
        <v>36.967959999999998</v>
      </c>
      <c r="M7870">
        <v>1.0787110000000001E-2</v>
      </c>
      <c r="N7870">
        <v>0</v>
      </c>
      <c r="O7870">
        <v>0.99988929999999998</v>
      </c>
      <c r="P7870">
        <v>3.3225540000000001E-3</v>
      </c>
      <c r="Q7870">
        <v>9.0107969999999992E-3</v>
      </c>
      <c r="R7870">
        <v>0.99995389999999995</v>
      </c>
      <c r="S7870">
        <v>-0.1142883</v>
      </c>
      <c r="T7870">
        <v>6.5132620000000002E-2</v>
      </c>
      <c r="U7870">
        <v>2.9999389999999999</v>
      </c>
      <c r="V7870">
        <v>-7.4603969999999997E-3</v>
      </c>
      <c r="W7870">
        <v>1.9260469999999998E-2</v>
      </c>
      <c r="X7870">
        <v>0.99978670000000003</v>
      </c>
      <c r="Y7870">
        <v>-4.883796E-2</v>
      </c>
      <c r="Z7870">
        <v>2.168349E-2</v>
      </c>
      <c r="AA7870">
        <v>0.99857130000000005</v>
      </c>
      <c r="AB7870">
        <v>29</v>
      </c>
      <c r="AC7870">
        <v>-13.5353999999999</v>
      </c>
      <c r="AD7870">
        <v>7.711881</v>
      </c>
      <c r="AE7870">
        <v>354.90204</v>
      </c>
      <c r="AF7870">
        <v>-17.354998086022601</v>
      </c>
      <c r="AG7870">
        <v>7.711881</v>
      </c>
      <c r="AH7870">
        <v>354.568197874117</v>
      </c>
      <c r="AI7870">
        <v>88.755499004662695</v>
      </c>
      <c r="AJ7870">
        <v>92.802211785175004</v>
      </c>
      <c r="AK7870">
        <v>355.07643685666199</v>
      </c>
      <c r="AL7870">
        <v>88.896388154622599</v>
      </c>
      <c r="AM7870">
        <v>90.427532520903895</v>
      </c>
      <c r="AN7870">
        <v>1.00000003436245</v>
      </c>
    </row>
    <row r="7871" spans="1:40" x14ac:dyDescent="0.25">
      <c r="A7871" t="str">
        <f>"20190312160839542"</f>
        <v>20190312160839542</v>
      </c>
      <c r="B7871" t="str">
        <f>"1552378119533193"</f>
        <v>1552378119533193</v>
      </c>
      <c r="C7871" t="s">
        <v>40</v>
      </c>
      <c r="D7871">
        <v>6.4938840000000004</v>
      </c>
      <c r="E7871">
        <v>0.48406100000000002</v>
      </c>
      <c r="F7871" t="s">
        <v>46</v>
      </c>
      <c r="G7871">
        <v>-200.60550000000001</v>
      </c>
      <c r="H7871">
        <v>11.00582</v>
      </c>
      <c r="I7871">
        <v>391.87</v>
      </c>
      <c r="J7871">
        <v>-187.58439999999999</v>
      </c>
      <c r="K7871">
        <v>1.109275</v>
      </c>
      <c r="L7871">
        <v>37.253270000000001</v>
      </c>
      <c r="M7871">
        <v>1.088864E-2</v>
      </c>
      <c r="N7871">
        <v>0</v>
      </c>
      <c r="O7871">
        <v>0.9998882</v>
      </c>
      <c r="P7871">
        <v>2.679369E-3</v>
      </c>
      <c r="Q7871">
        <v>9.4103529999999998E-3</v>
      </c>
      <c r="R7871">
        <v>0.99995210000000001</v>
      </c>
      <c r="S7871">
        <v>-0.11003110000000001</v>
      </c>
      <c r="T7871">
        <v>8.3649039999999994E-2</v>
      </c>
      <c r="U7871">
        <v>2.9997560000000001</v>
      </c>
      <c r="V7871">
        <v>-8.2049930000000007E-3</v>
      </c>
      <c r="W7871">
        <v>1.96619E-2</v>
      </c>
      <c r="X7871">
        <v>0.99977300000000002</v>
      </c>
      <c r="Y7871">
        <v>-4.7520880000000001E-2</v>
      </c>
      <c r="Z7871">
        <v>2.7846869999999999E-2</v>
      </c>
      <c r="AA7871">
        <v>0.99848199999999998</v>
      </c>
      <c r="AB7871">
        <v>29</v>
      </c>
      <c r="AC7871">
        <v>-13.021100000000001</v>
      </c>
      <c r="AD7871">
        <v>9.8965449999999997</v>
      </c>
      <c r="AE7871">
        <v>354.616729999999</v>
      </c>
      <c r="AF7871">
        <v>-16.868704334651401</v>
      </c>
      <c r="AG7871">
        <v>9.8965449999999997</v>
      </c>
      <c r="AH7871">
        <v>354.17843828667202</v>
      </c>
      <c r="AI7871">
        <v>88.401254390157604</v>
      </c>
      <c r="AJ7871">
        <v>92.726805605634695</v>
      </c>
      <c r="AK7871">
        <v>354.71800199038802</v>
      </c>
      <c r="AL7871">
        <v>88.873383494580594</v>
      </c>
      <c r="AM7871">
        <v>90.470207653006199</v>
      </c>
      <c r="AN7871">
        <v>0.99999998187536898</v>
      </c>
    </row>
    <row r="7872" spans="1:40" x14ac:dyDescent="0.25">
      <c r="A7872" t="str">
        <f>"20190312160839565"</f>
        <v>20190312160839565</v>
      </c>
      <c r="B7872" t="str">
        <f>"1552378119553692"</f>
        <v>1552378119553692</v>
      </c>
      <c r="C7872" t="s">
        <v>40</v>
      </c>
      <c r="D7872">
        <v>6.6524710000000002</v>
      </c>
      <c r="E7872">
        <v>0.48401149999999998</v>
      </c>
      <c r="F7872" t="s">
        <v>46</v>
      </c>
      <c r="G7872">
        <v>-201.68680000000001</v>
      </c>
      <c r="H7872">
        <v>10.826169999999999</v>
      </c>
      <c r="I7872">
        <v>391.00349999999997</v>
      </c>
      <c r="J7872">
        <v>-187.5812</v>
      </c>
      <c r="K7872">
        <v>1.1092770000000001</v>
      </c>
      <c r="L7872">
        <v>37.540619999999997</v>
      </c>
      <c r="M7872">
        <v>1.099119E-2</v>
      </c>
      <c r="N7872">
        <v>0</v>
      </c>
      <c r="O7872">
        <v>0.99988699999999997</v>
      </c>
      <c r="P7872">
        <v>1.949779E-3</v>
      </c>
      <c r="Q7872">
        <v>8.309047E-3</v>
      </c>
      <c r="R7872">
        <v>0.99996359999999995</v>
      </c>
      <c r="S7872">
        <v>-0.1195831</v>
      </c>
      <c r="T7872">
        <v>8.2396269999999994E-2</v>
      </c>
      <c r="U7872">
        <v>2.999695</v>
      </c>
      <c r="V7872">
        <v>-9.0370699999999995E-3</v>
      </c>
      <c r="W7872">
        <v>1.856346E-2</v>
      </c>
      <c r="X7872">
        <v>0.99978690000000003</v>
      </c>
      <c r="Y7872">
        <v>-5.07991E-2</v>
      </c>
      <c r="Z7872">
        <v>2.7426760000000001E-2</v>
      </c>
      <c r="AA7872">
        <v>0.9983322</v>
      </c>
      <c r="AB7872">
        <v>29</v>
      </c>
      <c r="AC7872">
        <v>-14.105600000000001</v>
      </c>
      <c r="AD7872">
        <v>9.7168930000000007</v>
      </c>
      <c r="AE7872">
        <v>353.46287999999998</v>
      </c>
      <c r="AF7872">
        <v>-17.976366167701698</v>
      </c>
      <c r="AG7872">
        <v>9.7168930000000007</v>
      </c>
      <c r="AH7872">
        <v>353.02011732785598</v>
      </c>
      <c r="AI7872">
        <v>88.4253686188149</v>
      </c>
      <c r="AJ7872">
        <v>92.915077646142194</v>
      </c>
      <c r="AK7872">
        <v>353.61104477708602</v>
      </c>
      <c r="AL7872">
        <v>88.936331054204004</v>
      </c>
      <c r="AM7872">
        <v>90.517882229924894</v>
      </c>
      <c r="AN7872">
        <v>1.0000000580464801</v>
      </c>
    </row>
    <row r="7873" spans="1:40" x14ac:dyDescent="0.25">
      <c r="A7873" t="str">
        <f>"20190312160839587"</f>
        <v>20190312160839587</v>
      </c>
      <c r="B7873" t="str">
        <f>"1552378119582968"</f>
        <v>1552378119582968</v>
      </c>
      <c r="C7873" t="s">
        <v>40</v>
      </c>
      <c r="D7873">
        <v>6.6756219999999997</v>
      </c>
      <c r="E7873">
        <v>0.4816646</v>
      </c>
      <c r="F7873" t="s">
        <v>46</v>
      </c>
      <c r="G7873">
        <v>-201.91480000000001</v>
      </c>
      <c r="H7873">
        <v>4.9713070000000004</v>
      </c>
      <c r="I7873">
        <v>391.00349999999997</v>
      </c>
      <c r="J7873">
        <v>-187.5778</v>
      </c>
      <c r="K7873">
        <v>1.109275</v>
      </c>
      <c r="L7873">
        <v>37.838709999999999</v>
      </c>
      <c r="M7873">
        <v>1.10977E-2</v>
      </c>
      <c r="N7873">
        <v>0</v>
      </c>
      <c r="O7873">
        <v>0.99988580000000005</v>
      </c>
      <c r="P7873">
        <v>2.0986640000000001E-3</v>
      </c>
      <c r="Q7873">
        <v>7.4340150000000004E-3</v>
      </c>
      <c r="R7873">
        <v>0.99997009999999997</v>
      </c>
      <c r="S7873">
        <v>-0.1216583</v>
      </c>
      <c r="T7873">
        <v>3.2779460000000003E-2</v>
      </c>
      <c r="U7873">
        <v>3.0000610000000001</v>
      </c>
      <c r="V7873">
        <v>-8.9952599999999997E-3</v>
      </c>
      <c r="W7873">
        <v>1.769099E-2</v>
      </c>
      <c r="X7873">
        <v>0.99980309999999994</v>
      </c>
      <c r="Y7873">
        <v>-5.1602910000000002E-2</v>
      </c>
      <c r="Z7873">
        <v>1.091284E-2</v>
      </c>
      <c r="AA7873">
        <v>0.9986081</v>
      </c>
      <c r="AB7873">
        <v>29</v>
      </c>
      <c r="AC7873">
        <v>-14.337</v>
      </c>
      <c r="AD7873">
        <v>3.8620320000000001</v>
      </c>
      <c r="AE7873">
        <v>353.16478999999998</v>
      </c>
      <c r="AF7873">
        <v>-18.2534608823828</v>
      </c>
      <c r="AG7873">
        <v>3.8620320000000001</v>
      </c>
      <c r="AH7873">
        <v>352.94178611989997</v>
      </c>
      <c r="AI7873">
        <v>89.373908087202594</v>
      </c>
      <c r="AJ7873">
        <v>92.960588242425402</v>
      </c>
      <c r="AK7873">
        <v>353.43458873582102</v>
      </c>
      <c r="AL7873">
        <v>88.986328121051997</v>
      </c>
      <c r="AM7873">
        <v>90.515478025557798</v>
      </c>
      <c r="AN7873">
        <v>1.0000000622996199</v>
      </c>
    </row>
    <row r="7874" spans="1:40" x14ac:dyDescent="0.25">
      <c r="A7874" t="str">
        <f>"20190312160839612"</f>
        <v>20190312160839612</v>
      </c>
      <c r="B7874" t="str">
        <f>"1552378119603465"</f>
        <v>1552378119603465</v>
      </c>
      <c r="C7874" t="s">
        <v>40</v>
      </c>
      <c r="D7874">
        <v>6.6828599999999998</v>
      </c>
      <c r="E7874">
        <v>0.48067690000000002</v>
      </c>
      <c r="F7874" t="s">
        <v>46</v>
      </c>
      <c r="G7874">
        <v>-204.03360000000001</v>
      </c>
      <c r="H7874">
        <v>1.8489420000000001</v>
      </c>
      <c r="I7874">
        <v>391.00349999999997</v>
      </c>
      <c r="J7874">
        <v>-187.57419999999999</v>
      </c>
      <c r="K7874">
        <v>1.1092740000000001</v>
      </c>
      <c r="L7874">
        <v>38.151000000000003</v>
      </c>
      <c r="M7874">
        <v>1.12092999999999E-2</v>
      </c>
      <c r="N7874">
        <v>0</v>
      </c>
      <c r="O7874">
        <v>0.99988449999999995</v>
      </c>
      <c r="P7874">
        <v>2.704209E-3</v>
      </c>
      <c r="Q7874">
        <v>7.9699139999999998E-3</v>
      </c>
      <c r="R7874">
        <v>0.99996459999999998</v>
      </c>
      <c r="S7874">
        <v>-0.13980100000000001</v>
      </c>
      <c r="T7874">
        <v>6.283879E-3</v>
      </c>
      <c r="U7874">
        <v>3.0003359999999999</v>
      </c>
      <c r="V7874">
        <v>-8.5007940000000008E-3</v>
      </c>
      <c r="W7874">
        <v>1.8229260000000001E-2</v>
      </c>
      <c r="X7874">
        <v>0.99979770000000001</v>
      </c>
      <c r="Y7874">
        <v>-5.773934E-2</v>
      </c>
      <c r="Z7874">
        <v>2.0913080000000001E-3</v>
      </c>
      <c r="AA7874">
        <v>0.99832949999999998</v>
      </c>
      <c r="AB7874">
        <v>29</v>
      </c>
      <c r="AC7874">
        <v>-16.459399999999999</v>
      </c>
      <c r="AD7874">
        <v>0.73966799999999999</v>
      </c>
      <c r="AE7874">
        <v>352.85250000000002</v>
      </c>
      <c r="AF7874">
        <v>-20.413714164359501</v>
      </c>
      <c r="AG7874">
        <v>0.73966799999999999</v>
      </c>
      <c r="AH7874">
        <v>352.64427496887299</v>
      </c>
      <c r="AI7874">
        <v>89.880023675471904</v>
      </c>
      <c r="AJ7874">
        <v>93.313015171920398</v>
      </c>
      <c r="AK7874">
        <v>353.23540522299902</v>
      </c>
      <c r="AL7874">
        <v>88.955482488416095</v>
      </c>
      <c r="AM7874">
        <v>90.487146431983405</v>
      </c>
      <c r="AN7874">
        <v>1.0000000051720299</v>
      </c>
    </row>
    <row r="7875" spans="1:40" x14ac:dyDescent="0.25">
      <c r="A7875" t="str">
        <f>"20190312160839633"</f>
        <v>20190312160839633</v>
      </c>
      <c r="B7875" t="str">
        <f>"1552378119622986"</f>
        <v>1552378119622986</v>
      </c>
      <c r="C7875" t="s">
        <v>40</v>
      </c>
      <c r="D7875">
        <v>7.2048030000000001</v>
      </c>
      <c r="E7875">
        <v>0.48074800000000001</v>
      </c>
      <c r="F7875" t="s">
        <v>46</v>
      </c>
      <c r="G7875">
        <v>-204.74639999999999</v>
      </c>
      <c r="H7875">
        <v>0.64198109999999997</v>
      </c>
      <c r="I7875">
        <v>391.00349999999997</v>
      </c>
      <c r="J7875">
        <v>-187.5711</v>
      </c>
      <c r="K7875">
        <v>1.1092630000000001</v>
      </c>
      <c r="L7875">
        <v>38.4238</v>
      </c>
      <c r="M7875">
        <v>1.1306750000000001E-2</v>
      </c>
      <c r="N7875">
        <v>0</v>
      </c>
      <c r="O7875">
        <v>0.99988339999999998</v>
      </c>
      <c r="P7875">
        <v>2.754149E-3</v>
      </c>
      <c r="Q7875">
        <v>7.9222479999999998E-3</v>
      </c>
      <c r="R7875">
        <v>0.99996479999999999</v>
      </c>
      <c r="S7875">
        <v>-0.14602660000000001</v>
      </c>
      <c r="T7875">
        <v>-3.9737219999999998E-3</v>
      </c>
      <c r="U7875">
        <v>3.0005489999999999</v>
      </c>
      <c r="V7875">
        <v>-8.5489520000000003E-3</v>
      </c>
      <c r="W7875">
        <v>1.8183959999999999E-2</v>
      </c>
      <c r="X7875">
        <v>0.99979810000000002</v>
      </c>
      <c r="Y7875">
        <v>-5.9899929999999997E-2</v>
      </c>
      <c r="Z7875">
        <v>-1.322232E-3</v>
      </c>
      <c r="AA7875">
        <v>0.99820350000000002</v>
      </c>
      <c r="AB7875">
        <v>29</v>
      </c>
      <c r="AC7875">
        <v>-17.175299999999901</v>
      </c>
      <c r="AD7875">
        <v>-0.46728189999999897</v>
      </c>
      <c r="AE7875">
        <v>352.5797</v>
      </c>
      <c r="AF7875">
        <v>-21.160905418767399</v>
      </c>
      <c r="AG7875">
        <v>-0.46728189999999897</v>
      </c>
      <c r="AH7875">
        <v>352.36233504794097</v>
      </c>
      <c r="AI7875">
        <v>90.075845552504603</v>
      </c>
      <c r="AJ7875">
        <v>93.436735544519706</v>
      </c>
      <c r="AK7875">
        <v>352.99747510563498</v>
      </c>
      <c r="AL7875">
        <v>88.958078402600094</v>
      </c>
      <c r="AM7875">
        <v>90.489905843817994</v>
      </c>
      <c r="AN7875">
        <v>0.99999999087259495</v>
      </c>
    </row>
    <row r="7876" spans="1:40" x14ac:dyDescent="0.25">
      <c r="A7876" t="str">
        <f>"20190312160839656"</f>
        <v>20190312160839656</v>
      </c>
      <c r="B7876" t="str">
        <f>"1552378119643481"</f>
        <v>1552378119643481</v>
      </c>
      <c r="C7876" t="s">
        <v>40</v>
      </c>
      <c r="D7876">
        <v>7.3702949999999996</v>
      </c>
      <c r="E7876">
        <v>0.47961520000000002</v>
      </c>
      <c r="F7876" t="s">
        <v>46</v>
      </c>
      <c r="G7876">
        <v>-204.624</v>
      </c>
      <c r="H7876">
        <v>0.1187897</v>
      </c>
      <c r="I7876">
        <v>391.00349999999997</v>
      </c>
      <c r="J7876">
        <v>-187.5677</v>
      </c>
      <c r="K7876">
        <v>1.1092630000000001</v>
      </c>
      <c r="L7876">
        <v>38.708860000000001</v>
      </c>
      <c r="M7876">
        <v>1.140852E-2</v>
      </c>
      <c r="N7876">
        <v>0</v>
      </c>
      <c r="O7876">
        <v>0.99988220000000005</v>
      </c>
      <c r="P7876">
        <v>3.0402559999999999E-3</v>
      </c>
      <c r="Q7876">
        <v>7.9103100000000003E-3</v>
      </c>
      <c r="R7876">
        <v>0.99996410000000002</v>
      </c>
      <c r="S7876">
        <v>-0.14512630000000001</v>
      </c>
      <c r="T7876">
        <v>-8.4292889999999995E-3</v>
      </c>
      <c r="U7876">
        <v>3.0005799999999998</v>
      </c>
      <c r="V7876">
        <v>-8.3639779999999993E-3</v>
      </c>
      <c r="W7876">
        <v>1.8174909999999999E-2</v>
      </c>
      <c r="X7876">
        <v>0.99979980000000002</v>
      </c>
      <c r="Y7876">
        <v>-5.9702110000000003E-2</v>
      </c>
      <c r="Z7876">
        <v>-2.8047900000000001E-3</v>
      </c>
      <c r="AA7876">
        <v>0.99821230000000005</v>
      </c>
      <c r="AB7876">
        <v>29</v>
      </c>
      <c r="AC7876">
        <v>-17.0563</v>
      </c>
      <c r="AD7876">
        <v>-0.9904733</v>
      </c>
      <c r="AE7876">
        <v>352.29464000000002</v>
      </c>
      <c r="AF7876">
        <v>-21.074396015282499</v>
      </c>
      <c r="AG7876">
        <v>-0.9904733</v>
      </c>
      <c r="AH7876">
        <v>352.074336644271</v>
      </c>
      <c r="AI7876">
        <v>90.160898966798499</v>
      </c>
      <c r="AJ7876">
        <v>93.425512186949803</v>
      </c>
      <c r="AK7876">
        <v>352.70589692868799</v>
      </c>
      <c r="AL7876">
        <v>88.958596984815401</v>
      </c>
      <c r="AM7876">
        <v>90.479305417471707</v>
      </c>
      <c r="AN7876">
        <v>0.999999961780765</v>
      </c>
    </row>
    <row r="7877" spans="1:40" x14ac:dyDescent="0.25">
      <c r="A7877" t="str">
        <f>"20190312160839678"</f>
        <v>20190312160839678</v>
      </c>
      <c r="B7877" t="str">
        <f>"1552378119673737"</f>
        <v>1552378119673737</v>
      </c>
      <c r="C7877" t="s">
        <v>40</v>
      </c>
      <c r="D7877">
        <v>6.3939029999999999</v>
      </c>
      <c r="E7877">
        <v>0.47759079999999898</v>
      </c>
      <c r="F7877" t="s">
        <v>61</v>
      </c>
      <c r="G7877">
        <v>-199.4572</v>
      </c>
      <c r="H7877" s="1">
        <v>4.8545519999999996E-6</v>
      </c>
      <c r="I7877">
        <v>271.6551</v>
      </c>
      <c r="J7877">
        <v>-187.5643</v>
      </c>
      <c r="K7877">
        <v>1.109262</v>
      </c>
      <c r="L7877">
        <v>39.000030000000002</v>
      </c>
      <c r="M7877">
        <v>1.1512420000000001E-2</v>
      </c>
      <c r="N7877">
        <v>0</v>
      </c>
      <c r="O7877">
        <v>0.99988100000000002</v>
      </c>
      <c r="P7877">
        <v>3.1719109999999999E-3</v>
      </c>
      <c r="Q7877">
        <v>7.3571299999999999E-3</v>
      </c>
      <c r="R7877">
        <v>0.99996790000000002</v>
      </c>
      <c r="S7877">
        <v>-0.1531525</v>
      </c>
      <c r="T7877">
        <v>-1.4288779999999999E-2</v>
      </c>
      <c r="U7877">
        <v>3.0006710000000001</v>
      </c>
      <c r="V7877">
        <v>-8.3368859999999999E-3</v>
      </c>
      <c r="W7877">
        <v>1.7624250000000001E-2</v>
      </c>
      <c r="X7877">
        <v>0.99980990000000003</v>
      </c>
      <c r="Y7877">
        <v>-6.2467170000000002E-2</v>
      </c>
      <c r="Z7877">
        <v>-4.7535909999999997E-3</v>
      </c>
      <c r="AA7877">
        <v>0.99803569999999997</v>
      </c>
      <c r="AB7877">
        <v>29</v>
      </c>
      <c r="AC7877">
        <v>-11.8928999999999</v>
      </c>
      <c r="AD7877">
        <v>-1.109257145448</v>
      </c>
      <c r="AE7877">
        <v>232.65506999999999</v>
      </c>
      <c r="AF7877">
        <v>-14.5703455339667</v>
      </c>
      <c r="AG7877">
        <v>-1.109257145448</v>
      </c>
      <c r="AH7877">
        <v>232.49745563983501</v>
      </c>
      <c r="AI7877">
        <v>90.272823785373504</v>
      </c>
      <c r="AJ7877">
        <v>93.5859703746479</v>
      </c>
      <c r="AK7877">
        <v>232.95620253470599</v>
      </c>
      <c r="AL7877">
        <v>88.990152551259996</v>
      </c>
      <c r="AM7877">
        <v>90.477748131686397</v>
      </c>
      <c r="AN7877">
        <v>0.99999997699712395</v>
      </c>
    </row>
    <row r="7878" spans="1:40" x14ac:dyDescent="0.25">
      <c r="A7878" t="str">
        <f>"20190312160839699"</f>
        <v>20190312160839699</v>
      </c>
      <c r="B7878" t="str">
        <f>"1552378119693257"</f>
        <v>1552378119693257</v>
      </c>
      <c r="C7878" t="s">
        <v>40</v>
      </c>
      <c r="D7878">
        <v>6.5870069999999998</v>
      </c>
      <c r="E7878">
        <v>0.47642469999999998</v>
      </c>
      <c r="F7878" t="s">
        <v>61</v>
      </c>
      <c r="G7878">
        <v>-201.7013</v>
      </c>
      <c r="H7878">
        <v>4.4259949999999999E-2</v>
      </c>
      <c r="I7878">
        <v>290.02710000000002</v>
      </c>
      <c r="J7878">
        <v>-187.56100000000001</v>
      </c>
      <c r="K7878">
        <v>1.1092649999999999</v>
      </c>
      <c r="L7878">
        <v>39.280090000000001</v>
      </c>
      <c r="M7878">
        <v>1.1612249999999999E-2</v>
      </c>
      <c r="N7878">
        <v>0</v>
      </c>
      <c r="O7878">
        <v>0.99987979999999999</v>
      </c>
      <c r="P7878">
        <v>3.4836340000000002E-3</v>
      </c>
      <c r="Q7878">
        <v>7.1479500000000001E-3</v>
      </c>
      <c r="R7878">
        <v>0.99996839999999998</v>
      </c>
      <c r="S7878">
        <v>-0.16899110000000001</v>
      </c>
      <c r="T7878">
        <v>-1.273084E-2</v>
      </c>
      <c r="U7878">
        <v>3.0007320000000002</v>
      </c>
      <c r="V7878">
        <v>-8.1252400000000006E-3</v>
      </c>
      <c r="W7878">
        <v>1.7417809999999999E-2</v>
      </c>
      <c r="X7878">
        <v>0.99981529999999996</v>
      </c>
      <c r="Y7878">
        <v>-6.7817710000000003E-2</v>
      </c>
      <c r="Z7878">
        <v>-4.2338710000000002E-3</v>
      </c>
      <c r="AA7878">
        <v>0.99768880000000004</v>
      </c>
      <c r="AB7878">
        <v>29</v>
      </c>
      <c r="AC7878">
        <v>-14.1403</v>
      </c>
      <c r="AD7878">
        <v>-1.0650050499999999</v>
      </c>
      <c r="AE7878">
        <v>250.74700999999999</v>
      </c>
      <c r="AF7878">
        <v>-17.050930510240299</v>
      </c>
      <c r="AG7878">
        <v>-1.0650050499999999</v>
      </c>
      <c r="AH7878">
        <v>250.56138662299901</v>
      </c>
      <c r="AI7878">
        <v>90.242970910272305</v>
      </c>
      <c r="AJ7878">
        <v>93.893027928188303</v>
      </c>
      <c r="AK7878">
        <v>251.14314032730701</v>
      </c>
      <c r="AL7878">
        <v>89.001982548033794</v>
      </c>
      <c r="AM7878">
        <v>90.465617710789601</v>
      </c>
      <c r="AN7878">
        <v>1.0000000168721701</v>
      </c>
    </row>
    <row r="7879" spans="1:40" x14ac:dyDescent="0.25">
      <c r="A7879" t="str">
        <f>"20190312160839722"</f>
        <v>20190312160839722</v>
      </c>
      <c r="B7879" t="str">
        <f>"1552378119713752"</f>
        <v>1552378119713752</v>
      </c>
      <c r="C7879" t="s">
        <v>40</v>
      </c>
      <c r="D7879">
        <v>6.4261679999999997</v>
      </c>
      <c r="E7879">
        <v>0.4756456</v>
      </c>
      <c r="F7879" t="s">
        <v>61</v>
      </c>
      <c r="G7879">
        <v>-201.4676</v>
      </c>
      <c r="H7879">
        <v>8.0001390000000006E-2</v>
      </c>
      <c r="I7879">
        <v>274.58260000000001</v>
      </c>
      <c r="J7879">
        <v>-187.5574</v>
      </c>
      <c r="K7879">
        <v>1.1092649999999999</v>
      </c>
      <c r="L7879">
        <v>39.579900000000002</v>
      </c>
      <c r="M7879">
        <v>1.1718910000000001E-2</v>
      </c>
      <c r="N7879">
        <v>0</v>
      </c>
      <c r="O7879">
        <v>0.99987859999999995</v>
      </c>
      <c r="P7879">
        <v>3.4261489999999999E-3</v>
      </c>
      <c r="Q7879">
        <v>7.3597569999999998E-3</v>
      </c>
      <c r="R7879">
        <v>0.99996700000000005</v>
      </c>
      <c r="S7879">
        <v>-0.17735290000000001</v>
      </c>
      <c r="T7879">
        <v>-1.3126250000000001E-2</v>
      </c>
      <c r="U7879">
        <v>3.0008240000000002</v>
      </c>
      <c r="V7879">
        <v>-8.28921E-3</v>
      </c>
      <c r="W7879">
        <v>1.7631870000000001E-2</v>
      </c>
      <c r="X7879">
        <v>0.99981019999999998</v>
      </c>
      <c r="Y7879">
        <v>-7.0692950000000004E-2</v>
      </c>
      <c r="Z7879">
        <v>-4.3644440000000003E-3</v>
      </c>
      <c r="AA7879">
        <v>0.99748859999999995</v>
      </c>
      <c r="AB7879">
        <v>29</v>
      </c>
      <c r="AC7879">
        <v>-13.9102</v>
      </c>
      <c r="AD7879">
        <v>-1.0292636100000001</v>
      </c>
      <c r="AE7879">
        <v>235.0027</v>
      </c>
      <c r="AF7879">
        <v>-16.663046887356</v>
      </c>
      <c r="AG7879">
        <v>-1.0292636100000001</v>
      </c>
      <c r="AH7879">
        <v>234.81905125724501</v>
      </c>
      <c r="AI7879">
        <v>90.250508493009903</v>
      </c>
      <c r="AJ7879">
        <v>94.058974686716098</v>
      </c>
      <c r="AK7879">
        <v>235.41177402267201</v>
      </c>
      <c r="AL7879">
        <v>88.989715927888895</v>
      </c>
      <c r="AM7879">
        <v>90.475016025064207</v>
      </c>
      <c r="AN7879">
        <v>1.0000000149330801</v>
      </c>
    </row>
    <row r="7880" spans="1:40" x14ac:dyDescent="0.25">
      <c r="A7880" t="str">
        <f>"20190312160839744"</f>
        <v>20190312160839744</v>
      </c>
      <c r="B7880" t="str">
        <f>"1552378119733274"</f>
        <v>1552378119733274</v>
      </c>
      <c r="C7880" t="s">
        <v>40</v>
      </c>
      <c r="D7880">
        <v>6.5677130000000004</v>
      </c>
      <c r="E7880">
        <v>0.474858</v>
      </c>
      <c r="F7880" t="s">
        <v>48</v>
      </c>
      <c r="G7880">
        <v>-207.4716</v>
      </c>
      <c r="H7880" s="1">
        <v>-5.1674340000000004E-6</v>
      </c>
      <c r="I7880">
        <v>364.8304</v>
      </c>
      <c r="J7880">
        <v>-187.5539</v>
      </c>
      <c r="K7880">
        <v>1.109267</v>
      </c>
      <c r="L7880">
        <v>39.8645</v>
      </c>
      <c r="M7880">
        <v>1.1820260000000001E-2</v>
      </c>
      <c r="N7880">
        <v>0</v>
      </c>
      <c r="O7880">
        <v>0.99987740000000003</v>
      </c>
      <c r="P7880">
        <v>3.4511659999999999E-3</v>
      </c>
      <c r="Q7880">
        <v>7.8173069999999904E-3</v>
      </c>
      <c r="R7880">
        <v>0.99996350000000001</v>
      </c>
      <c r="S7880">
        <v>-0.18373110000000001</v>
      </c>
      <c r="T7880">
        <v>-1.023424E-2</v>
      </c>
      <c r="U7880">
        <v>3.0007929999999998</v>
      </c>
      <c r="V7880">
        <v>-8.3649439999999992E-3</v>
      </c>
      <c r="W7880">
        <v>1.8090040000000002E-2</v>
      </c>
      <c r="X7880">
        <v>0.99980139999999995</v>
      </c>
      <c r="Y7880">
        <v>-7.2907219999999995E-2</v>
      </c>
      <c r="Z7880">
        <v>-3.4024089999999999E-3</v>
      </c>
      <c r="AA7880">
        <v>0.99733289999999997</v>
      </c>
      <c r="AB7880">
        <v>29</v>
      </c>
      <c r="AC7880">
        <v>-19.9177</v>
      </c>
      <c r="AD7880">
        <v>-1.109272167434</v>
      </c>
      <c r="AE7880">
        <v>324.96589999999998</v>
      </c>
      <c r="AF7880">
        <v>-23.7574165860674</v>
      </c>
      <c r="AG7880">
        <v>-1.109272167434</v>
      </c>
      <c r="AH7880">
        <v>324.70398082965397</v>
      </c>
      <c r="AI7880">
        <v>90.195214510879893</v>
      </c>
      <c r="AJ7880">
        <v>94.184668423294795</v>
      </c>
      <c r="AK7880">
        <v>325.57383263126297</v>
      </c>
      <c r="AL7880">
        <v>88.963460548783203</v>
      </c>
      <c r="AM7880">
        <v>90.479360005309303</v>
      </c>
      <c r="AN7880">
        <v>1.0000000306386401</v>
      </c>
    </row>
    <row r="7881" spans="1:40" x14ac:dyDescent="0.25">
      <c r="A7881" t="str">
        <f>"20190312160839766"</f>
        <v>20190312160839766</v>
      </c>
      <c r="B7881" t="str">
        <f>"1552378119753783"</f>
        <v>1552378119753783</v>
      </c>
      <c r="C7881" t="s">
        <v>40</v>
      </c>
      <c r="D7881">
        <v>6.2603540000000004</v>
      </c>
      <c r="E7881">
        <v>0.47436590000000001</v>
      </c>
      <c r="F7881" t="s">
        <v>46</v>
      </c>
      <c r="G7881">
        <v>-209.84180000000001</v>
      </c>
      <c r="H7881">
        <v>0.13898940000000001</v>
      </c>
      <c r="I7881">
        <v>391.87</v>
      </c>
      <c r="J7881">
        <v>-187.5505</v>
      </c>
      <c r="K7881">
        <v>1.1092690000000001</v>
      </c>
      <c r="L7881">
        <v>40.149659999999997</v>
      </c>
      <c r="M7881">
        <v>1.192182E-2</v>
      </c>
      <c r="N7881">
        <v>0</v>
      </c>
      <c r="O7881">
        <v>0.99987619999999999</v>
      </c>
      <c r="P7881">
        <v>3.7602740000000001E-3</v>
      </c>
      <c r="Q7881">
        <v>7.749901E-3</v>
      </c>
      <c r="R7881">
        <v>0.99996289999999999</v>
      </c>
      <c r="S7881">
        <v>-0.19000239999999999</v>
      </c>
      <c r="T7881">
        <v>-8.2715749999999998E-3</v>
      </c>
      <c r="U7881">
        <v>3.0008240000000002</v>
      </c>
      <c r="V7881">
        <v>-8.1575699999999994E-3</v>
      </c>
      <c r="W7881">
        <v>1.8018050000000001E-2</v>
      </c>
      <c r="X7881">
        <v>0.99980440000000004</v>
      </c>
      <c r="Y7881">
        <v>-7.5084120000000004E-2</v>
      </c>
      <c r="Z7881">
        <v>-2.7494870000000001E-3</v>
      </c>
      <c r="AA7881">
        <v>0.99717339999999999</v>
      </c>
      <c r="AB7881">
        <v>29</v>
      </c>
      <c r="AC7881">
        <v>-22.2913</v>
      </c>
      <c r="AD7881">
        <v>-0.97027960000000002</v>
      </c>
      <c r="AE7881">
        <v>351.720339999999</v>
      </c>
      <c r="AF7881">
        <v>-26.482882607891099</v>
      </c>
      <c r="AG7881">
        <v>-0.97027960000000002</v>
      </c>
      <c r="AH7881">
        <v>351.42691087989402</v>
      </c>
      <c r="AI7881">
        <v>90.1577443315213</v>
      </c>
      <c r="AJ7881">
        <v>94.309558604853805</v>
      </c>
      <c r="AK7881">
        <v>352.42468444237898</v>
      </c>
      <c r="AL7881">
        <v>88.967585930302803</v>
      </c>
      <c r="AM7881">
        <v>90.467475398894706</v>
      </c>
      <c r="AN7881">
        <v>1.00000001716673</v>
      </c>
    </row>
    <row r="7882" spans="1:40" x14ac:dyDescent="0.25">
      <c r="A7882" t="str">
        <f>"20190312160839787"</f>
        <v>20190312160839787</v>
      </c>
      <c r="B7882" t="str">
        <f>"1552378119783049"</f>
        <v>1552378119783049</v>
      </c>
      <c r="C7882" t="s">
        <v>40</v>
      </c>
      <c r="D7882">
        <v>5.6502309999999998</v>
      </c>
      <c r="E7882">
        <v>0.47361510000000001</v>
      </c>
      <c r="F7882" t="s">
        <v>61</v>
      </c>
      <c r="G7882">
        <v>-202.88980000000001</v>
      </c>
      <c r="H7882">
        <v>8.0001269999999999E-2</v>
      </c>
      <c r="I7882">
        <v>278.9323</v>
      </c>
      <c r="J7882">
        <v>-187.547</v>
      </c>
      <c r="K7882">
        <v>1.10927</v>
      </c>
      <c r="L7882">
        <v>40.431789999999999</v>
      </c>
      <c r="M7882">
        <v>1.2022329999999999E-2</v>
      </c>
      <c r="N7882">
        <v>0</v>
      </c>
      <c r="O7882">
        <v>0.99987510000000002</v>
      </c>
      <c r="P7882">
        <v>3.9453470000000001E-3</v>
      </c>
      <c r="Q7882">
        <v>8.1825189999999992E-3</v>
      </c>
      <c r="R7882">
        <v>0.99995880000000004</v>
      </c>
      <c r="S7882">
        <v>-0.19277949999999999</v>
      </c>
      <c r="T7882">
        <v>-1.2935520000000001E-2</v>
      </c>
      <c r="U7882">
        <v>3.0009459999999999</v>
      </c>
      <c r="V7882">
        <v>-8.0726489999999995E-3</v>
      </c>
      <c r="W7882">
        <v>1.8444269999999999E-2</v>
      </c>
      <c r="X7882">
        <v>0.9997973</v>
      </c>
      <c r="Y7882">
        <v>-7.610045E-2</v>
      </c>
      <c r="Z7882">
        <v>-4.2992919999999997E-3</v>
      </c>
      <c r="AA7882">
        <v>0.9970909</v>
      </c>
      <c r="AB7882">
        <v>29</v>
      </c>
      <c r="AC7882">
        <v>-15.3428</v>
      </c>
      <c r="AD7882">
        <v>-1.0292687300000001</v>
      </c>
      <c r="AE7882">
        <v>238.50050999999999</v>
      </c>
      <c r="AF7882">
        <v>-18.208836056898701</v>
      </c>
      <c r="AG7882">
        <v>-1.0292687300000001</v>
      </c>
      <c r="AH7882">
        <v>238.294385880704</v>
      </c>
      <c r="AI7882">
        <v>90.246757683775698</v>
      </c>
      <c r="AJ7882">
        <v>94.369662153189907</v>
      </c>
      <c r="AK7882">
        <v>238.991287387066</v>
      </c>
      <c r="AL7882">
        <v>88.943161245752606</v>
      </c>
      <c r="AM7882">
        <v>90.462612437745307</v>
      </c>
      <c r="AN7882">
        <v>0.99999999992249999</v>
      </c>
    </row>
    <row r="7883" spans="1:40" x14ac:dyDescent="0.25">
      <c r="A7883" t="str">
        <f>"20190312160839812"</f>
        <v>20190312160839812</v>
      </c>
      <c r="B7883" t="str">
        <f>"1552378119803546"</f>
        <v>1552378119803546</v>
      </c>
      <c r="C7883" t="s">
        <v>40</v>
      </c>
      <c r="D7883">
        <v>6.2922349999999998</v>
      </c>
      <c r="E7883">
        <v>0.47320879999999998</v>
      </c>
      <c r="F7883" t="s">
        <v>47</v>
      </c>
      <c r="G7883">
        <v>-201.5436</v>
      </c>
      <c r="H7883">
        <v>7.9986150000000006E-2</v>
      </c>
      <c r="I7883">
        <v>252.12029999999999</v>
      </c>
      <c r="J7883">
        <v>-187.54300000000001</v>
      </c>
      <c r="K7883">
        <v>1.10927</v>
      </c>
      <c r="L7883">
        <v>40.750369999999997</v>
      </c>
      <c r="M7883">
        <v>1.213585E-2</v>
      </c>
      <c r="N7883">
        <v>0</v>
      </c>
      <c r="O7883">
        <v>0.99987380000000003</v>
      </c>
      <c r="P7883">
        <v>3.8607310000000001E-3</v>
      </c>
      <c r="Q7883">
        <v>8.5727000000000008E-3</v>
      </c>
      <c r="R7883">
        <v>0.99995579999999995</v>
      </c>
      <c r="S7883">
        <v>-0.1984253</v>
      </c>
      <c r="T7883">
        <v>-1.459181E-2</v>
      </c>
      <c r="U7883">
        <v>3.0010379999999999</v>
      </c>
      <c r="V7883">
        <v>-8.2709140000000007E-3</v>
      </c>
      <c r="W7883">
        <v>1.8827110000000001E-2</v>
      </c>
      <c r="X7883">
        <v>0.99978849999999997</v>
      </c>
      <c r="Y7883">
        <v>-7.8079250000000003E-2</v>
      </c>
      <c r="Z7883">
        <v>-4.8489470000000002E-3</v>
      </c>
      <c r="AA7883">
        <v>0.99693540000000003</v>
      </c>
      <c r="AB7883">
        <v>29</v>
      </c>
      <c r="AC7883">
        <v>-14.000599999999899</v>
      </c>
      <c r="AD7883">
        <v>-1.0292838499999999</v>
      </c>
      <c r="AE7883">
        <v>211.36993000000001</v>
      </c>
      <c r="AF7883">
        <v>-16.564466363579001</v>
      </c>
      <c r="AG7883">
        <v>-1.0292838499999999</v>
      </c>
      <c r="AH7883">
        <v>211.17945872456701</v>
      </c>
      <c r="AI7883">
        <v>90.278401002951597</v>
      </c>
      <c r="AJ7883">
        <v>94.484975857058501</v>
      </c>
      <c r="AK7883">
        <v>211.83060392293501</v>
      </c>
      <c r="AL7883">
        <v>88.921222272538998</v>
      </c>
      <c r="AM7883">
        <v>90.473977901189599</v>
      </c>
      <c r="AN7883">
        <v>0.99999995641079698</v>
      </c>
    </row>
    <row r="7884" spans="1:40" x14ac:dyDescent="0.25">
      <c r="A7884" t="str">
        <f>"20190312160839834"</f>
        <v>20190312160839834</v>
      </c>
      <c r="B7884" t="str">
        <f>"1552378119823065"</f>
        <v>1552378119823065</v>
      </c>
      <c r="C7884" t="s">
        <v>40</v>
      </c>
      <c r="D7884">
        <v>6.2556349999999998</v>
      </c>
      <c r="E7884">
        <v>0.47356100000000001</v>
      </c>
      <c r="F7884" t="s">
        <v>61</v>
      </c>
      <c r="G7884">
        <v>-199.97489999999999</v>
      </c>
      <c r="H7884">
        <v>6.7091869999999998E-2</v>
      </c>
      <c r="I7884">
        <v>225.71709999999999</v>
      </c>
      <c r="J7884">
        <v>-187.5393</v>
      </c>
      <c r="K7884">
        <v>1.1092660000000001</v>
      </c>
      <c r="L7884">
        <v>41.043030000000002</v>
      </c>
      <c r="M7884">
        <v>1.223993E-2</v>
      </c>
      <c r="N7884">
        <v>0</v>
      </c>
      <c r="O7884">
        <v>0.9998726</v>
      </c>
      <c r="P7884">
        <v>4.1871850000000004E-3</v>
      </c>
      <c r="Q7884">
        <v>9.2735490000000007E-3</v>
      </c>
      <c r="R7884">
        <v>0.99994819999999995</v>
      </c>
      <c r="S7884">
        <v>-0.20170589999999999</v>
      </c>
      <c r="T7884">
        <v>-1.6909239999999999E-2</v>
      </c>
      <c r="U7884">
        <v>3.0010680000000001</v>
      </c>
      <c r="V7884">
        <v>-8.0481690000000009E-3</v>
      </c>
      <c r="W7884">
        <v>1.9521730000000001E-2</v>
      </c>
      <c r="X7884">
        <v>0.99977700000000003</v>
      </c>
      <c r="Y7884">
        <v>-7.9267019999999994E-2</v>
      </c>
      <c r="Z7884">
        <v>-5.6184829999999996E-3</v>
      </c>
      <c r="AA7884">
        <v>0.99683759999999999</v>
      </c>
      <c r="AB7884">
        <v>29</v>
      </c>
      <c r="AC7884">
        <v>-12.4355999999999</v>
      </c>
      <c r="AD7884">
        <v>-1.04217413</v>
      </c>
      <c r="AE7884">
        <v>184.67407</v>
      </c>
      <c r="AF7884">
        <v>-14.6947188051455</v>
      </c>
      <c r="AG7884">
        <v>-1.04217413</v>
      </c>
      <c r="AH7884">
        <v>184.502166291957</v>
      </c>
      <c r="AI7884">
        <v>90.322614414488598</v>
      </c>
      <c r="AJ7884">
        <v>94.553723543870802</v>
      </c>
      <c r="AK7884">
        <v>185.08935748471399</v>
      </c>
      <c r="AL7884">
        <v>88.881416161842495</v>
      </c>
      <c r="AM7884">
        <v>90.461219008114398</v>
      </c>
      <c r="AN7884">
        <v>0.99999996034772198</v>
      </c>
    </row>
    <row r="7885" spans="1:40" x14ac:dyDescent="0.25">
      <c r="A7885" t="str">
        <f>"20190312160839855"</f>
        <v>20190312160839855</v>
      </c>
      <c r="B7885" t="str">
        <f>"1552378119843564"</f>
        <v>1552378119843564</v>
      </c>
      <c r="C7885" t="s">
        <v>40</v>
      </c>
      <c r="D7885">
        <v>6.380782</v>
      </c>
      <c r="E7885">
        <v>0.47470479999999998</v>
      </c>
      <c r="F7885" t="s">
        <v>47</v>
      </c>
      <c r="G7885">
        <v>-200.0505</v>
      </c>
      <c r="H7885">
        <v>7.9986450000000001E-2</v>
      </c>
      <c r="I7885">
        <v>230.708</v>
      </c>
      <c r="J7885">
        <v>-187.5359</v>
      </c>
      <c r="K7885">
        <v>1.1092660000000001</v>
      </c>
      <c r="L7885">
        <v>41.312289999999997</v>
      </c>
      <c r="M7885">
        <v>1.2335820000000001E-2</v>
      </c>
      <c r="N7885">
        <v>0</v>
      </c>
      <c r="O7885">
        <v>0.99987139999999997</v>
      </c>
      <c r="P7885">
        <v>4.7004330000000004E-3</v>
      </c>
      <c r="Q7885">
        <v>9.7605160000000003E-3</v>
      </c>
      <c r="R7885">
        <v>0.99994130000000003</v>
      </c>
      <c r="S7885">
        <v>-0.19796749999999999</v>
      </c>
      <c r="T7885">
        <v>-1.628661E-2</v>
      </c>
      <c r="U7885">
        <v>3.0011290000000002</v>
      </c>
      <c r="V7885">
        <v>-7.6309569999999998E-3</v>
      </c>
      <c r="W7885">
        <v>2.0003719999999999E-2</v>
      </c>
      <c r="X7885">
        <v>0.99977079999999996</v>
      </c>
      <c r="Y7885">
        <v>-7.8125040000000007E-2</v>
      </c>
      <c r="Z7885">
        <v>-5.4119559999999999E-3</v>
      </c>
      <c r="AA7885">
        <v>0.99692890000000001</v>
      </c>
      <c r="AB7885">
        <v>29</v>
      </c>
      <c r="AC7885">
        <v>-12.5146</v>
      </c>
      <c r="AD7885">
        <v>-1.02927955</v>
      </c>
      <c r="AE7885">
        <v>189.39571000000001</v>
      </c>
      <c r="AF7885">
        <v>-14.849685075116501</v>
      </c>
      <c r="AG7885">
        <v>-1.02927955</v>
      </c>
      <c r="AH7885">
        <v>189.221347351205</v>
      </c>
      <c r="AI7885">
        <v>90.310705062602295</v>
      </c>
      <c r="AJ7885">
        <v>94.487252849529895</v>
      </c>
      <c r="AK7885">
        <v>189.805929455925</v>
      </c>
      <c r="AL7885">
        <v>88.853794837492401</v>
      </c>
      <c r="AM7885">
        <v>90.437313371684596</v>
      </c>
      <c r="AN7885">
        <v>1.0000000164256</v>
      </c>
    </row>
    <row r="7886" spans="1:40" x14ac:dyDescent="0.25">
      <c r="A7886" t="str">
        <f>"20190312160839877"</f>
        <v>20190312160839877</v>
      </c>
      <c r="B7886" t="str">
        <f>"1552378119872841"</f>
        <v>1552378119872841</v>
      </c>
      <c r="C7886" t="s">
        <v>40</v>
      </c>
      <c r="D7886">
        <v>7.1808990000000001</v>
      </c>
      <c r="E7886">
        <v>0.47617189999999998</v>
      </c>
      <c r="F7886" t="s">
        <v>45</v>
      </c>
      <c r="G7886">
        <v>-207.28630000000001</v>
      </c>
      <c r="H7886">
        <v>-0.05</v>
      </c>
      <c r="I7886">
        <v>357.51799999999997</v>
      </c>
      <c r="J7886">
        <v>-187.53219999999999</v>
      </c>
      <c r="K7886">
        <v>1.109264</v>
      </c>
      <c r="L7886">
        <v>41.603940000000001</v>
      </c>
      <c r="M7886">
        <v>1.2439749999999999E-2</v>
      </c>
      <c r="N7886">
        <v>0</v>
      </c>
      <c r="O7886">
        <v>0.99987020000000004</v>
      </c>
      <c r="P7886">
        <v>5.1630620000000004E-3</v>
      </c>
      <c r="Q7886">
        <v>9.7378380000000004E-3</v>
      </c>
      <c r="R7886">
        <v>0.99993929999999998</v>
      </c>
      <c r="S7886">
        <v>-0.18745419999999999</v>
      </c>
      <c r="T7886">
        <v>-1.100278E-2</v>
      </c>
      <c r="U7886">
        <v>3.00116</v>
      </c>
      <c r="V7886">
        <v>-7.2719840000000004E-3</v>
      </c>
      <c r="W7886">
        <v>1.9976069999999999E-2</v>
      </c>
      <c r="X7886">
        <v>0.99977400000000005</v>
      </c>
      <c r="Y7886">
        <v>-7.4750079999999997E-2</v>
      </c>
      <c r="Z7886">
        <v>-3.657034E-3</v>
      </c>
      <c r="AA7886">
        <v>0.99719559999999996</v>
      </c>
      <c r="AB7886">
        <v>29</v>
      </c>
      <c r="AC7886">
        <v>-19.754100000000001</v>
      </c>
      <c r="AD7886">
        <v>-1.1592639999999901</v>
      </c>
      <c r="AE7886">
        <v>315.91406000000001</v>
      </c>
      <c r="AF7886">
        <v>-23.682351617866502</v>
      </c>
      <c r="AG7886">
        <v>-1.1592639999999901</v>
      </c>
      <c r="AH7886">
        <v>315.63963037358701</v>
      </c>
      <c r="AI7886">
        <v>90.209842050080198</v>
      </c>
      <c r="AJ7886">
        <v>94.2908463654489</v>
      </c>
      <c r="AK7886">
        <v>316.52894643862902</v>
      </c>
      <c r="AL7886">
        <v>88.855379349963997</v>
      </c>
      <c r="AM7886">
        <v>90.416740827761799</v>
      </c>
      <c r="AN7886">
        <v>0.99999998809997004</v>
      </c>
    </row>
    <row r="7887" spans="1:40" x14ac:dyDescent="0.25">
      <c r="A7887" t="str">
        <f>"20190312160839901"</f>
        <v>20190312160839901</v>
      </c>
      <c r="B7887" t="str">
        <f>"1552378119893337"</f>
        <v>1552378119893337</v>
      </c>
      <c r="C7887" t="s">
        <v>40</v>
      </c>
      <c r="D7887">
        <v>6.9096690000000001</v>
      </c>
      <c r="E7887">
        <v>0.47668100000000002</v>
      </c>
      <c r="F7887" t="s">
        <v>46</v>
      </c>
      <c r="G7887">
        <v>-207.88570000000001</v>
      </c>
      <c r="H7887">
        <v>0.43443300000000001</v>
      </c>
      <c r="I7887">
        <v>391.87</v>
      </c>
      <c r="J7887">
        <v>-187.5283</v>
      </c>
      <c r="K7887">
        <v>1.1092569999999999</v>
      </c>
      <c r="L7887">
        <v>41.909520000000001</v>
      </c>
      <c r="M7887">
        <v>1.2548449999999999E-2</v>
      </c>
      <c r="N7887">
        <v>0</v>
      </c>
      <c r="O7887">
        <v>0.99986889999999995</v>
      </c>
      <c r="P7887">
        <v>5.7644439999999996E-3</v>
      </c>
      <c r="Q7887">
        <v>9.6561489999999993E-3</v>
      </c>
      <c r="R7887">
        <v>0.99993679999999996</v>
      </c>
      <c r="S7887">
        <v>-0.17439270000000001</v>
      </c>
      <c r="T7887">
        <v>-5.7821269999999998E-3</v>
      </c>
      <c r="U7887">
        <v>3.00116</v>
      </c>
      <c r="V7887">
        <v>-6.7795329999999999E-3</v>
      </c>
      <c r="W7887">
        <v>1.9890250000000002E-2</v>
      </c>
      <c r="X7887">
        <v>0.99977919999999998</v>
      </c>
      <c r="Y7887">
        <v>-7.0533890000000002E-2</v>
      </c>
      <c r="Z7887">
        <v>-1.9223790000000001E-3</v>
      </c>
      <c r="AA7887">
        <v>0.99750749999999999</v>
      </c>
      <c r="AB7887">
        <v>29</v>
      </c>
      <c r="AC7887">
        <v>-20.357399999999998</v>
      </c>
      <c r="AD7887">
        <v>-0.67482399999999898</v>
      </c>
      <c r="AE7887">
        <v>349.960479999999</v>
      </c>
      <c r="AF7887">
        <v>-24.747396825203101</v>
      </c>
      <c r="AG7887">
        <v>-0.67482399999999898</v>
      </c>
      <c r="AH7887">
        <v>349.67616000689401</v>
      </c>
      <c r="AI7887">
        <v>90.110296485917701</v>
      </c>
      <c r="AJ7887">
        <v>94.048206077130004</v>
      </c>
      <c r="AK7887">
        <v>350.55143119693798</v>
      </c>
      <c r="AL7887">
        <v>88.860297483270799</v>
      </c>
      <c r="AM7887">
        <v>90.388518459233296</v>
      </c>
      <c r="AN7887">
        <v>1.0000000164327001</v>
      </c>
    </row>
    <row r="7888" spans="1:40" x14ac:dyDescent="0.25">
      <c r="A7888" t="str">
        <f>"20190312160839922"</f>
        <v>20190312160839922</v>
      </c>
      <c r="B7888" t="str">
        <f>"1552378119912856"</f>
        <v>1552378119912856</v>
      </c>
      <c r="C7888" t="s">
        <v>40</v>
      </c>
      <c r="D7888">
        <v>6.2307420000000002</v>
      </c>
      <c r="E7888">
        <v>0.47768339999999998</v>
      </c>
      <c r="F7888" t="s">
        <v>46</v>
      </c>
      <c r="G7888">
        <v>-207.16990000000001</v>
      </c>
      <c r="H7888">
        <v>0.70775319999999997</v>
      </c>
      <c r="I7888">
        <v>391.87</v>
      </c>
      <c r="J7888">
        <v>-187.52449999999999</v>
      </c>
      <c r="K7888">
        <v>1.1092519999999999</v>
      </c>
      <c r="L7888">
        <v>42.203000000000003</v>
      </c>
      <c r="M7888">
        <v>1.265229E-2</v>
      </c>
      <c r="N7888">
        <v>0</v>
      </c>
      <c r="O7888">
        <v>0.99986759999999997</v>
      </c>
      <c r="P7888">
        <v>6.1475189999999997E-3</v>
      </c>
      <c r="Q7888">
        <v>9.9167100000000005E-3</v>
      </c>
      <c r="R7888">
        <v>0.99993189999999998</v>
      </c>
      <c r="S7888">
        <v>-0.1684418</v>
      </c>
      <c r="T7888">
        <v>-3.4432410000000001E-3</v>
      </c>
      <c r="U7888">
        <v>3.0011899999999998</v>
      </c>
      <c r="V7888">
        <v>-6.5001349999999998E-3</v>
      </c>
      <c r="W7888">
        <v>2.0147689999999999E-2</v>
      </c>
      <c r="X7888">
        <v>0.99977590000000005</v>
      </c>
      <c r="Y7888">
        <v>-6.8665359999999995E-2</v>
      </c>
      <c r="Z7888">
        <v>-1.1448980000000001E-3</v>
      </c>
      <c r="AA7888">
        <v>0.9976391</v>
      </c>
      <c r="AB7888">
        <v>29</v>
      </c>
      <c r="AC7888">
        <v>-19.645399999999999</v>
      </c>
      <c r="AD7888">
        <v>-0.40149879999999999</v>
      </c>
      <c r="AE7888">
        <v>349.66699999999997</v>
      </c>
      <c r="AF7888">
        <v>-24.068115628934699</v>
      </c>
      <c r="AG7888">
        <v>-0.40149879999999999</v>
      </c>
      <c r="AH7888">
        <v>349.38997701464598</v>
      </c>
      <c r="AI7888">
        <v>90.065685311044703</v>
      </c>
      <c r="AJ7888">
        <v>93.9406579174738</v>
      </c>
      <c r="AK7888">
        <v>350.21820545127099</v>
      </c>
      <c r="AL7888">
        <v>88.845544300609205</v>
      </c>
      <c r="AM7888">
        <v>90.372508533431002</v>
      </c>
      <c r="AN7888">
        <v>1.00000001569408</v>
      </c>
    </row>
    <row r="7889" spans="1:40" x14ac:dyDescent="0.25">
      <c r="A7889" t="str">
        <f>"20190312160839945"</f>
        <v>20190312160839945</v>
      </c>
      <c r="B7889" t="str">
        <f>"1552378119933353"</f>
        <v>1552378119933353</v>
      </c>
      <c r="C7889" t="s">
        <v>40</v>
      </c>
      <c r="D7889">
        <v>6.8309309999999996</v>
      </c>
      <c r="E7889">
        <v>0.47818850000000002</v>
      </c>
      <c r="F7889" t="s">
        <v>43</v>
      </c>
      <c r="G7889">
        <v>-203.13059999999999</v>
      </c>
      <c r="H7889">
        <v>1.138358</v>
      </c>
      <c r="I7889">
        <v>336.13150000000002</v>
      </c>
      <c r="J7889">
        <v>-187.52080000000001</v>
      </c>
      <c r="K7889">
        <v>1.1092519999999999</v>
      </c>
      <c r="L7889">
        <v>42.491030000000002</v>
      </c>
      <c r="M7889">
        <v>1.27528E-2</v>
      </c>
      <c r="N7889">
        <v>0</v>
      </c>
      <c r="O7889">
        <v>0.99986640000000004</v>
      </c>
      <c r="P7889">
        <v>6.1789159999999996E-3</v>
      </c>
      <c r="Q7889">
        <v>1.0619450000000001E-2</v>
      </c>
      <c r="R7889">
        <v>0.99992449999999999</v>
      </c>
      <c r="S7889">
        <v>-0.1593475</v>
      </c>
      <c r="T7889">
        <v>2.9718879999999999E-4</v>
      </c>
      <c r="U7889">
        <v>3.0011899999999998</v>
      </c>
      <c r="V7889">
        <v>-6.5691669999999999E-3</v>
      </c>
      <c r="W7889">
        <v>2.0847540000000001E-2</v>
      </c>
      <c r="X7889">
        <v>0.99976109999999896</v>
      </c>
      <c r="Y7889">
        <v>-6.5751309999999993E-2</v>
      </c>
      <c r="Z7889" s="1">
        <v>9.8834799999999998E-5</v>
      </c>
      <c r="AA7889">
        <v>0.9978361</v>
      </c>
      <c r="AB7889">
        <v>29</v>
      </c>
      <c r="AC7889">
        <v>-15.6097999999999</v>
      </c>
      <c r="AD7889">
        <v>2.9105999999999799E-2</v>
      </c>
      <c r="AE7889">
        <v>293.64046999999999</v>
      </c>
      <c r="AF7889">
        <v>-19.353464238720498</v>
      </c>
      <c r="AG7889">
        <v>2.9105999999999799E-2</v>
      </c>
      <c r="AH7889">
        <v>293.41750664454702</v>
      </c>
      <c r="AI7889">
        <v>89.994328780322803</v>
      </c>
      <c r="AJ7889">
        <v>93.773694164196499</v>
      </c>
      <c r="AK7889">
        <v>294.055080946923</v>
      </c>
      <c r="AL7889">
        <v>88.805437422484403</v>
      </c>
      <c r="AM7889">
        <v>90.376470066092907</v>
      </c>
      <c r="AN7889">
        <v>1.0000000154761599</v>
      </c>
    </row>
    <row r="7890" spans="1:40" x14ac:dyDescent="0.25">
      <c r="A7890" t="str">
        <f>"20190312160839966"</f>
        <v>20190312160839966</v>
      </c>
      <c r="B7890" t="str">
        <f>"1552378119963609"</f>
        <v>1552378119963609</v>
      </c>
      <c r="C7890" t="s">
        <v>40</v>
      </c>
      <c r="D7890">
        <v>6.8470300000000002</v>
      </c>
      <c r="E7890">
        <v>0.4800316</v>
      </c>
      <c r="F7890" t="s">
        <v>46</v>
      </c>
      <c r="G7890">
        <v>-205.59530000000001</v>
      </c>
      <c r="H7890">
        <v>1.789811</v>
      </c>
      <c r="I7890">
        <v>391.87</v>
      </c>
      <c r="J7890">
        <v>-187.517</v>
      </c>
      <c r="K7890">
        <v>1.1092599999999999</v>
      </c>
      <c r="L7890">
        <v>42.77563</v>
      </c>
      <c r="M7890">
        <v>1.2848149999999999E-2</v>
      </c>
      <c r="N7890">
        <v>0</v>
      </c>
      <c r="O7890">
        <v>0.99986520000000001</v>
      </c>
      <c r="P7890">
        <v>6.35975E-3</v>
      </c>
      <c r="Q7890">
        <v>1.0390720000000001E-2</v>
      </c>
      <c r="R7890">
        <v>0.99992579999999998</v>
      </c>
      <c r="S7890">
        <v>-0.15525820000000001</v>
      </c>
      <c r="T7890">
        <v>5.8459039999999999E-3</v>
      </c>
      <c r="U7890">
        <v>3.0011290000000002</v>
      </c>
      <c r="V7890">
        <v>-6.4838639999999998E-3</v>
      </c>
      <c r="W7890">
        <v>2.0616809999999999E-2</v>
      </c>
      <c r="X7890">
        <v>0.99976640000000006</v>
      </c>
      <c r="Y7890">
        <v>-6.4491469999999995E-2</v>
      </c>
      <c r="Z7890">
        <v>1.9443290000000001E-3</v>
      </c>
      <c r="AA7890">
        <v>0.99791629999999998</v>
      </c>
      <c r="AB7890">
        <v>29</v>
      </c>
      <c r="AC7890">
        <v>-18.078299999999999</v>
      </c>
      <c r="AD7890">
        <v>0.68055099999999902</v>
      </c>
      <c r="AE7890">
        <v>349.09437000000003</v>
      </c>
      <c r="AF7890">
        <v>-22.5621733442158</v>
      </c>
      <c r="AG7890">
        <v>0.68055099999999902</v>
      </c>
      <c r="AH7890">
        <v>348.83194540711298</v>
      </c>
      <c r="AI7890">
        <v>89.888452461475197</v>
      </c>
      <c r="AJ7890">
        <v>93.700690795195698</v>
      </c>
      <c r="AK7890">
        <v>349.56149809752998</v>
      </c>
      <c r="AL7890">
        <v>88.818660070477605</v>
      </c>
      <c r="AM7890">
        <v>90.371579634850903</v>
      </c>
      <c r="AN7890">
        <v>0.99999997395795204</v>
      </c>
    </row>
    <row r="7891" spans="1:40" x14ac:dyDescent="0.25">
      <c r="A7891" t="str">
        <f>"20190312160839991"</f>
        <v>20190312160839991</v>
      </c>
      <c r="B7891" t="str">
        <f>"1552378119983129"</f>
        <v>1552378119983129</v>
      </c>
      <c r="C7891" t="s">
        <v>40</v>
      </c>
      <c r="D7891">
        <v>6.1098600000000003</v>
      </c>
      <c r="E7891">
        <v>0.4808559</v>
      </c>
      <c r="F7891" t="s">
        <v>46</v>
      </c>
      <c r="G7891">
        <v>-203.76730000000001</v>
      </c>
      <c r="H7891">
        <v>1.8658049999999999</v>
      </c>
      <c r="I7891">
        <v>391.00349999999997</v>
      </c>
      <c r="J7891">
        <v>-187.5127</v>
      </c>
      <c r="K7891">
        <v>1.109264</v>
      </c>
      <c r="L7891">
        <v>43.100009999999997</v>
      </c>
      <c r="M7891">
        <v>1.294911E-2</v>
      </c>
      <c r="N7891">
        <v>0</v>
      </c>
      <c r="O7891">
        <v>0.99986390000000003</v>
      </c>
      <c r="P7891">
        <v>6.8272970000000004E-3</v>
      </c>
      <c r="Q7891">
        <v>9.5340579999999998E-3</v>
      </c>
      <c r="R7891">
        <v>0.99993120000000002</v>
      </c>
      <c r="S7891">
        <v>-0.14004520000000001</v>
      </c>
      <c r="T7891">
        <v>6.5199139999999999E-3</v>
      </c>
      <c r="U7891">
        <v>3.0010379999999999</v>
      </c>
      <c r="V7891">
        <v>-6.1178439999999999E-3</v>
      </c>
      <c r="W7891">
        <v>1.9758680000000001E-2</v>
      </c>
      <c r="X7891">
        <v>0.99978610000000001</v>
      </c>
      <c r="Y7891">
        <v>-5.9546549999999997E-2</v>
      </c>
      <c r="Z7891">
        <v>2.1691670000000001E-3</v>
      </c>
      <c r="AA7891">
        <v>0.99822319999999998</v>
      </c>
      <c r="AB7891">
        <v>29</v>
      </c>
      <c r="AC7891">
        <v>-16.2546</v>
      </c>
      <c r="AD7891">
        <v>0.75654099999999902</v>
      </c>
      <c r="AE7891">
        <v>347.90348999999998</v>
      </c>
      <c r="AF7891">
        <v>-20.758415044241602</v>
      </c>
      <c r="AG7891">
        <v>0.75654099999999902</v>
      </c>
      <c r="AH7891">
        <v>347.6621835629</v>
      </c>
      <c r="AI7891">
        <v>89.875541607623106</v>
      </c>
      <c r="AJ7891">
        <v>93.416992789017101</v>
      </c>
      <c r="AK7891">
        <v>348.28218161306597</v>
      </c>
      <c r="AL7891">
        <v>88.867837396866406</v>
      </c>
      <c r="AM7891">
        <v>90.350597258727703</v>
      </c>
      <c r="AN7891">
        <v>1.00000003960187</v>
      </c>
    </row>
    <row r="7892" spans="1:40" x14ac:dyDescent="0.25">
      <c r="A7892" t="str">
        <f>"20190312160840013"</f>
        <v>20190312160840013</v>
      </c>
      <c r="B7892" t="str">
        <f>"1552378120003625"</f>
        <v>1552378120003625</v>
      </c>
      <c r="C7892" t="s">
        <v>40</v>
      </c>
      <c r="D7892">
        <v>6.2298150000000003</v>
      </c>
      <c r="E7892">
        <v>0.48164360000000001</v>
      </c>
      <c r="F7892" t="s">
        <v>46</v>
      </c>
      <c r="G7892">
        <v>-202.84399999999999</v>
      </c>
      <c r="H7892">
        <v>1.8434079999999999</v>
      </c>
      <c r="I7892">
        <v>391.00349999999997</v>
      </c>
      <c r="J7892">
        <v>-187.50890000000001</v>
      </c>
      <c r="K7892">
        <v>1.1092690000000001</v>
      </c>
      <c r="L7892">
        <v>43.391240000000003</v>
      </c>
      <c r="M7892">
        <v>1.302976E-2</v>
      </c>
      <c r="N7892">
        <v>0</v>
      </c>
      <c r="O7892">
        <v>0.99986280000000005</v>
      </c>
      <c r="P7892">
        <v>7.8543889999999998E-3</v>
      </c>
      <c r="Q7892">
        <v>9.6910409999999992E-3</v>
      </c>
      <c r="R7892">
        <v>0.99992219999999998</v>
      </c>
      <c r="S7892">
        <v>-0.1322479</v>
      </c>
      <c r="T7892">
        <v>6.3327549999999998E-3</v>
      </c>
      <c r="U7892">
        <v>3.0010379999999999</v>
      </c>
      <c r="V7892">
        <v>-5.1715049999999999E-3</v>
      </c>
      <c r="W7892">
        <v>1.9915519999999999E-2</v>
      </c>
      <c r="X7892">
        <v>0.99978829999999996</v>
      </c>
      <c r="Y7892">
        <v>-5.7038650000000003E-2</v>
      </c>
      <c r="Z7892">
        <v>2.1071750000000002E-3</v>
      </c>
      <c r="AA7892">
        <v>0.99836979999999997</v>
      </c>
      <c r="AB7892">
        <v>29</v>
      </c>
      <c r="AC7892">
        <v>-15.335100000000001</v>
      </c>
      <c r="AD7892">
        <v>0.73413899999999999</v>
      </c>
      <c r="AE7892">
        <v>347.61225999999999</v>
      </c>
      <c r="AF7892">
        <v>-19.863250865364499</v>
      </c>
      <c r="AG7892">
        <v>0.73413899999999999</v>
      </c>
      <c r="AH7892">
        <v>347.38137823785502</v>
      </c>
      <c r="AI7892">
        <v>89.879111514991706</v>
      </c>
      <c r="AJ7892">
        <v>93.272606434623199</v>
      </c>
      <c r="AK7892">
        <v>347.94957916549299</v>
      </c>
      <c r="AL7892">
        <v>88.858849323164094</v>
      </c>
      <c r="AM7892">
        <v>90.296365508222706</v>
      </c>
      <c r="AN7892">
        <v>1.0000000086088601</v>
      </c>
    </row>
    <row r="7893" spans="1:40" x14ac:dyDescent="0.25">
      <c r="A7893" t="str">
        <f>"20190312160840035"</f>
        <v>20190312160840035</v>
      </c>
      <c r="B7893" t="str">
        <f>"1552378120033880"</f>
        <v>1552378120033880</v>
      </c>
      <c r="C7893" t="s">
        <v>40</v>
      </c>
      <c r="D7893">
        <v>6.2406249999999996</v>
      </c>
      <c r="E7893">
        <v>0.4827747</v>
      </c>
      <c r="F7893" t="s">
        <v>46</v>
      </c>
      <c r="G7893">
        <v>-201.72409999999999</v>
      </c>
      <c r="H7893">
        <v>2.1343079999999999</v>
      </c>
      <c r="I7893">
        <v>391.00349999999997</v>
      </c>
      <c r="J7893">
        <v>-187.50489999999999</v>
      </c>
      <c r="K7893">
        <v>1.1092770000000001</v>
      </c>
      <c r="L7893">
        <v>43.688139999999997</v>
      </c>
      <c r="M7893">
        <v>1.3099070000000001E-2</v>
      </c>
      <c r="N7893">
        <v>0</v>
      </c>
      <c r="O7893">
        <v>0.99986200000000003</v>
      </c>
      <c r="P7893">
        <v>8.3129720000000001E-3</v>
      </c>
      <c r="Q7893">
        <v>1.0106759999999999E-2</v>
      </c>
      <c r="R7893">
        <v>0.99991430000000003</v>
      </c>
      <c r="S7893">
        <v>-0.1227264</v>
      </c>
      <c r="T7893">
        <v>8.8496210000000002E-3</v>
      </c>
      <c r="U7893">
        <v>3.001099</v>
      </c>
      <c r="V7893">
        <v>-4.7824490000000002E-3</v>
      </c>
      <c r="W7893">
        <v>2.033076E-2</v>
      </c>
      <c r="X7893">
        <v>0.99978180000000005</v>
      </c>
      <c r="Y7893">
        <v>-5.3944829999999999E-2</v>
      </c>
      <c r="Z7893">
        <v>2.9450240000000001E-3</v>
      </c>
      <c r="AA7893">
        <v>0.99853959999999997</v>
      </c>
      <c r="AB7893">
        <v>29</v>
      </c>
      <c r="AC7893">
        <v>-14.219200000000001</v>
      </c>
      <c r="AD7893">
        <v>1.025031</v>
      </c>
      <c r="AE7893">
        <v>347.31535999999898</v>
      </c>
      <c r="AF7893">
        <v>-18.767562425158999</v>
      </c>
      <c r="AG7893">
        <v>1.025031</v>
      </c>
      <c r="AH7893">
        <v>347.09627222356301</v>
      </c>
      <c r="AI7893">
        <v>89.831043656636993</v>
      </c>
      <c r="AJ7893">
        <v>93.094980057083404</v>
      </c>
      <c r="AK7893">
        <v>347.60479611108201</v>
      </c>
      <c r="AL7893">
        <v>88.835052913140103</v>
      </c>
      <c r="AM7893">
        <v>90.274071855965005</v>
      </c>
      <c r="AN7893">
        <v>0.99999992961592499</v>
      </c>
    </row>
    <row r="7894" spans="1:40" x14ac:dyDescent="0.25">
      <c r="A7894" t="str">
        <f>"20190312160840056"</f>
        <v>20190312160840056</v>
      </c>
      <c r="B7894" t="str">
        <f>"1552378120053401"</f>
        <v>1552378120053401</v>
      </c>
      <c r="C7894" t="s">
        <v>40</v>
      </c>
      <c r="D7894">
        <v>6.0690030000000004</v>
      </c>
      <c r="E7894">
        <v>0.48334969999999999</v>
      </c>
      <c r="F7894" t="s">
        <v>46</v>
      </c>
      <c r="G7894">
        <v>-200.53800000000001</v>
      </c>
      <c r="H7894">
        <v>2.5382280000000002</v>
      </c>
      <c r="I7894">
        <v>391.87</v>
      </c>
      <c r="J7894">
        <v>-187.50129999999999</v>
      </c>
      <c r="K7894">
        <v>1.1092900000000001</v>
      </c>
      <c r="L7894">
        <v>43.961150000000004</v>
      </c>
      <c r="M7894">
        <v>1.3151049999999999E-2</v>
      </c>
      <c r="N7894">
        <v>0</v>
      </c>
      <c r="O7894">
        <v>0.99986120000000001</v>
      </c>
      <c r="P7894">
        <v>8.5029069999999901E-3</v>
      </c>
      <c r="Q7894">
        <v>1.0110310000000001E-2</v>
      </c>
      <c r="R7894">
        <v>0.99991269999999999</v>
      </c>
      <c r="S7894">
        <v>-0.112335199999999</v>
      </c>
      <c r="T7894">
        <v>1.231647E-2</v>
      </c>
      <c r="U7894">
        <v>3.0010680000000001</v>
      </c>
      <c r="V7894">
        <v>-4.6451490000000003E-3</v>
      </c>
      <c r="W7894">
        <v>2.0334580000000001E-2</v>
      </c>
      <c r="X7894">
        <v>0.99978239999999996</v>
      </c>
      <c r="Y7894">
        <v>-5.0544529999999997E-2</v>
      </c>
      <c r="Z7894">
        <v>4.0994020000000003E-3</v>
      </c>
      <c r="AA7894">
        <v>0.99871339999999997</v>
      </c>
      <c r="AB7894">
        <v>30</v>
      </c>
      <c r="AC7894">
        <v>-13.0366999999999</v>
      </c>
      <c r="AD7894">
        <v>1.42893799999999</v>
      </c>
      <c r="AE7894">
        <v>347.90884999999997</v>
      </c>
      <c r="AF7894">
        <v>-17.610881880340401</v>
      </c>
      <c r="AG7894">
        <v>1.42893799999999</v>
      </c>
      <c r="AH7894">
        <v>347.70144761013</v>
      </c>
      <c r="AI7894">
        <v>89.764836057838195</v>
      </c>
      <c r="AJ7894">
        <v>92.899521112223496</v>
      </c>
      <c r="AK7894">
        <v>348.15008501304601</v>
      </c>
      <c r="AL7894">
        <v>88.834834033341295</v>
      </c>
      <c r="AM7894">
        <v>90.266203443712797</v>
      </c>
      <c r="AN7894">
        <v>0.99999995995138302</v>
      </c>
    </row>
    <row r="7895" spans="1:40" x14ac:dyDescent="0.25">
      <c r="A7895" t="str">
        <f>"20190312160840078"</f>
        <v>20190312160840078</v>
      </c>
      <c r="B7895" t="str">
        <f>"1552378120072922"</f>
        <v>1552378120072922</v>
      </c>
      <c r="C7895" t="s">
        <v>40</v>
      </c>
      <c r="D7895">
        <v>5.6781249999999996</v>
      </c>
      <c r="E7895">
        <v>0.48387780000000002</v>
      </c>
      <c r="F7895" t="s">
        <v>46</v>
      </c>
      <c r="G7895">
        <v>-199.93700000000001</v>
      </c>
      <c r="H7895">
        <v>2.6860019999999998</v>
      </c>
      <c r="I7895">
        <v>391.87</v>
      </c>
      <c r="J7895">
        <v>-187.4973</v>
      </c>
      <c r="K7895">
        <v>1.109302</v>
      </c>
      <c r="L7895">
        <v>44.259030000000003</v>
      </c>
      <c r="M7895">
        <v>1.319679E-2</v>
      </c>
      <c r="N7895">
        <v>0</v>
      </c>
      <c r="O7895">
        <v>0.99986059999999999</v>
      </c>
      <c r="P7895">
        <v>8.3350750000000008E-3</v>
      </c>
      <c r="Q7895">
        <v>9.6487050000000005E-3</v>
      </c>
      <c r="R7895">
        <v>0.99991870000000005</v>
      </c>
      <c r="S7895">
        <v>-0.1072693</v>
      </c>
      <c r="T7895">
        <v>1.3600589999999999E-2</v>
      </c>
      <c r="U7895">
        <v>3.0010379999999999</v>
      </c>
      <c r="V7895">
        <v>-4.8592469999999997E-3</v>
      </c>
      <c r="W7895">
        <v>1.987214E-2</v>
      </c>
      <c r="X7895">
        <v>0.99979070000000003</v>
      </c>
      <c r="Y7895">
        <v>-4.8906829999999998E-2</v>
      </c>
      <c r="Z7895">
        <v>4.527166E-3</v>
      </c>
      <c r="AA7895">
        <v>0.99879309999999999</v>
      </c>
      <c r="AB7895">
        <v>30</v>
      </c>
      <c r="AC7895">
        <v>-12.4397</v>
      </c>
      <c r="AD7895">
        <v>1.5767</v>
      </c>
      <c r="AE7895">
        <v>347.61097000000001</v>
      </c>
      <c r="AF7895">
        <v>-17.025855752000702</v>
      </c>
      <c r="AG7895">
        <v>1.5767</v>
      </c>
      <c r="AH7895">
        <v>347.40938534213399</v>
      </c>
      <c r="AI7895">
        <v>89.740279480978103</v>
      </c>
      <c r="AJ7895">
        <v>92.805709495659798</v>
      </c>
      <c r="AK7895">
        <v>347.82991069023598</v>
      </c>
      <c r="AL7895">
        <v>88.861335272340298</v>
      </c>
      <c r="AM7895">
        <v>90.278470436354795</v>
      </c>
      <c r="AN7895">
        <v>0.99999997901803805</v>
      </c>
    </row>
    <row r="7896" spans="1:40" x14ac:dyDescent="0.25">
      <c r="A7896" t="str">
        <f>"20190312160840101"</f>
        <v>20190312160840101</v>
      </c>
      <c r="B7896" t="str">
        <f>"1552378120093418"</f>
        <v>1552378120093418</v>
      </c>
      <c r="C7896" t="s">
        <v>40</v>
      </c>
      <c r="D7896">
        <v>6.1837499999999999</v>
      </c>
      <c r="E7896">
        <v>0.484458</v>
      </c>
      <c r="F7896" t="s">
        <v>46</v>
      </c>
      <c r="G7896">
        <v>-199.50020000000001</v>
      </c>
      <c r="H7896">
        <v>2.7221299999999999</v>
      </c>
      <c r="I7896">
        <v>391.87</v>
      </c>
      <c r="J7896">
        <v>-187.4933</v>
      </c>
      <c r="K7896">
        <v>1.1093029999999999</v>
      </c>
      <c r="L7896">
        <v>44.558259999999997</v>
      </c>
      <c r="M7896">
        <v>1.3230230000000001E-2</v>
      </c>
      <c r="N7896">
        <v>0</v>
      </c>
      <c r="O7896">
        <v>0.99986030000000004</v>
      </c>
      <c r="P7896">
        <v>7.9602519999999993E-3</v>
      </c>
      <c r="Q7896">
        <v>9.8465099999999993E-3</v>
      </c>
      <c r="R7896">
        <v>0.99991980000000003</v>
      </c>
      <c r="S7896">
        <v>-0.1036224</v>
      </c>
      <c r="T7896">
        <v>1.392376E-2</v>
      </c>
      <c r="U7896">
        <v>3.0009769999999998</v>
      </c>
      <c r="V7896">
        <v>-5.267791E-3</v>
      </c>
      <c r="W7896">
        <v>2.0064740000000001E-2</v>
      </c>
      <c r="X7896">
        <v>0.99978480000000003</v>
      </c>
      <c r="Y7896">
        <v>-4.7728659999999999E-2</v>
      </c>
      <c r="Z7896">
        <v>4.6350619999999997E-3</v>
      </c>
      <c r="AA7896">
        <v>0.9988496</v>
      </c>
      <c r="AB7896">
        <v>30</v>
      </c>
      <c r="AC7896">
        <v>-12.0069</v>
      </c>
      <c r="AD7896">
        <v>1.61282699999999</v>
      </c>
      <c r="AE7896">
        <v>347.31173999999999</v>
      </c>
      <c r="AF7896">
        <v>-16.600745395366999</v>
      </c>
      <c r="AG7896">
        <v>1.61282699999999</v>
      </c>
      <c r="AH7896">
        <v>347.115000234744</v>
      </c>
      <c r="AI7896">
        <v>89.734088070766504</v>
      </c>
      <c r="AJ7896">
        <v>92.738079526720398</v>
      </c>
      <c r="AK7896">
        <v>347.51548072939102</v>
      </c>
      <c r="AL7896">
        <v>88.850297922444099</v>
      </c>
      <c r="AM7896">
        <v>90.301884364199395</v>
      </c>
      <c r="AN7896">
        <v>0.99999999486216296</v>
      </c>
    </row>
    <row r="7897" spans="1:40" x14ac:dyDescent="0.25">
      <c r="A7897" t="str">
        <f>"20190312160840123"</f>
        <v>20190312160840123</v>
      </c>
      <c r="B7897" t="str">
        <f>"1552378120112937"</f>
        <v>1552378120112937</v>
      </c>
      <c r="C7897" t="s">
        <v>40</v>
      </c>
      <c r="D7897">
        <v>6.0769419999999998</v>
      </c>
      <c r="E7897">
        <v>0.48472979999999999</v>
      </c>
      <c r="F7897" t="s">
        <v>46</v>
      </c>
      <c r="G7897">
        <v>-199.05889999999999</v>
      </c>
      <c r="H7897">
        <v>2.8798279999999998</v>
      </c>
      <c r="I7897">
        <v>391.87</v>
      </c>
      <c r="J7897">
        <v>-187.48939999999999</v>
      </c>
      <c r="K7897">
        <v>1.109313</v>
      </c>
      <c r="L7897">
        <v>44.851619999999997</v>
      </c>
      <c r="M7897">
        <v>1.32534E-2</v>
      </c>
      <c r="N7897">
        <v>0</v>
      </c>
      <c r="O7897">
        <v>0.99985999999999997</v>
      </c>
      <c r="P7897">
        <v>7.356891E-3</v>
      </c>
      <c r="Q7897">
        <v>1.015863E-2</v>
      </c>
      <c r="R7897">
        <v>0.99992130000000001</v>
      </c>
      <c r="S7897">
        <v>-9.9929809999999994E-2</v>
      </c>
      <c r="T7897">
        <v>1.529789E-2</v>
      </c>
      <c r="U7897">
        <v>3.0008849999999998</v>
      </c>
      <c r="V7897">
        <v>-5.8951359999999996E-3</v>
      </c>
      <c r="W7897">
        <v>2.0368420000000002E-2</v>
      </c>
      <c r="X7897">
        <v>0.99977519999999998</v>
      </c>
      <c r="Y7897">
        <v>-4.652506E-2</v>
      </c>
      <c r="Z7897">
        <v>5.0928830000000003E-3</v>
      </c>
      <c r="AA7897">
        <v>0.99890420000000002</v>
      </c>
      <c r="AB7897">
        <v>30</v>
      </c>
      <c r="AC7897">
        <v>-11.5695</v>
      </c>
      <c r="AD7897">
        <v>1.7705149999999901</v>
      </c>
      <c r="AE7897">
        <v>347.01837999999998</v>
      </c>
      <c r="AF7897">
        <v>-16.1674766783512</v>
      </c>
      <c r="AG7897">
        <v>1.7705149999999901</v>
      </c>
      <c r="AH7897">
        <v>346.825536666088</v>
      </c>
      <c r="AI7897">
        <v>89.707829704558407</v>
      </c>
      <c r="AJ7897">
        <v>92.668944412153294</v>
      </c>
      <c r="AK7897">
        <v>347.20667463231501</v>
      </c>
      <c r="AL7897">
        <v>88.832894833358594</v>
      </c>
      <c r="AM7897">
        <v>90.3378384441028</v>
      </c>
      <c r="AN7897">
        <v>1.00000003784839</v>
      </c>
    </row>
    <row r="7898" spans="1:40" x14ac:dyDescent="0.25">
      <c r="A7898" t="str">
        <f>"20190312160840168"</f>
        <v>20190312160840168</v>
      </c>
      <c r="B7898" t="str">
        <f>"1552378120163336"</f>
        <v>1552378120163336</v>
      </c>
      <c r="C7898" t="s">
        <v>40</v>
      </c>
      <c r="D7898">
        <v>6.1586080000000001</v>
      </c>
      <c r="E7898">
        <v>0.53096999999999905</v>
      </c>
      <c r="F7898" t="s">
        <v>46</v>
      </c>
      <c r="G7898">
        <v>-199.00319999999999</v>
      </c>
      <c r="H7898">
        <v>3.0256690000000002</v>
      </c>
      <c r="I7898">
        <v>391.87</v>
      </c>
      <c r="J7898">
        <v>-187.48159999999999</v>
      </c>
      <c r="K7898">
        <v>1.1093219999999999</v>
      </c>
      <c r="L7898">
        <v>45.443510000000003</v>
      </c>
      <c r="M7898">
        <v>1.327917E-2</v>
      </c>
      <c r="N7898">
        <v>0</v>
      </c>
      <c r="O7898">
        <v>0.99985990000000002</v>
      </c>
      <c r="P7898">
        <v>6.8713189999999999E-3</v>
      </c>
      <c r="Q7898">
        <v>1.013708E-2</v>
      </c>
      <c r="R7898">
        <v>0.99992499999999995</v>
      </c>
      <c r="S7898">
        <v>-9.9563600000000002E-2</v>
      </c>
      <c r="T7898">
        <v>1.65714E-2</v>
      </c>
      <c r="U7898">
        <v>3.0007929999999998</v>
      </c>
      <c r="V7898">
        <v>-6.4066720000000004E-3</v>
      </c>
      <c r="W7898">
        <v>2.033219E-2</v>
      </c>
      <c r="X7898">
        <v>0.99977269999999896</v>
      </c>
      <c r="Y7898">
        <v>-4.6429970000000001E-2</v>
      </c>
      <c r="Z7898">
        <v>5.51703E-3</v>
      </c>
      <c r="AA7898">
        <v>0.99890630000000002</v>
      </c>
      <c r="AB7898">
        <v>30</v>
      </c>
      <c r="AC7898">
        <v>-11.521599999999999</v>
      </c>
      <c r="AD7898">
        <v>1.916347</v>
      </c>
      <c r="AE7898">
        <v>346.42649</v>
      </c>
      <c r="AF7898">
        <v>-16.120586387358699</v>
      </c>
      <c r="AG7898">
        <v>1.916347</v>
      </c>
      <c r="AH7898">
        <v>346.23235334078902</v>
      </c>
      <c r="AI7898">
        <v>89.683222387921006</v>
      </c>
      <c r="AJ7898">
        <v>92.665767617481904</v>
      </c>
      <c r="AK7898">
        <v>346.61273518322702</v>
      </c>
      <c r="AL7898">
        <v>88.834970984104302</v>
      </c>
      <c r="AM7898">
        <v>90.3671536959436</v>
      </c>
      <c r="AN7898">
        <v>0.99999994753079902</v>
      </c>
    </row>
    <row r="7899" spans="1:40" x14ac:dyDescent="0.25">
      <c r="A7899" t="str">
        <f>"20190312160840190"</f>
        <v>20190312160840190</v>
      </c>
      <c r="B7899" t="str">
        <f>"1552378120182855"</f>
        <v>1552378120182855</v>
      </c>
      <c r="C7899" t="s">
        <v>40</v>
      </c>
      <c r="D7899">
        <v>6.1440149999999996</v>
      </c>
      <c r="E7899">
        <v>0.53459250000000003</v>
      </c>
      <c r="F7899" t="s">
        <v>44</v>
      </c>
      <c r="G7899">
        <v>-187.4083</v>
      </c>
      <c r="H7899">
        <v>1.051865</v>
      </c>
      <c r="I7899">
        <v>46.260570000000001</v>
      </c>
      <c r="J7899">
        <v>-187.47749999999999</v>
      </c>
      <c r="K7899">
        <v>1.1093170000000001</v>
      </c>
      <c r="L7899">
        <v>45.744720000000001</v>
      </c>
      <c r="M7899">
        <v>1.32862E-2</v>
      </c>
      <c r="N7899">
        <v>0</v>
      </c>
      <c r="O7899">
        <v>0.99985979999999997</v>
      </c>
      <c r="P7899">
        <v>6.9947840000000004E-3</v>
      </c>
      <c r="Q7899">
        <v>1.00871E-2</v>
      </c>
      <c r="R7899">
        <v>0.9999247</v>
      </c>
      <c r="S7899">
        <v>0.26852419999999999</v>
      </c>
      <c r="T7899">
        <v>-0.21101929999999999</v>
      </c>
      <c r="U7899">
        <v>3.0005190000000002</v>
      </c>
      <c r="V7899">
        <v>-6.290833E-3</v>
      </c>
      <c r="W7899">
        <v>2.0275939999999999E-2</v>
      </c>
      <c r="X7899">
        <v>0.99977459999999996</v>
      </c>
      <c r="Y7899">
        <v>7.5676450000000006E-2</v>
      </c>
      <c r="Z7899">
        <v>-6.9905510000000004E-2</v>
      </c>
      <c r="AA7899">
        <v>0.99467899999999998</v>
      </c>
      <c r="AB7899">
        <v>30</v>
      </c>
      <c r="AC7899">
        <v>6.9199999999995002E-2</v>
      </c>
      <c r="AD7899">
        <v>-5.7452000000000003E-2</v>
      </c>
      <c r="AE7899">
        <v>0.51585000000000003</v>
      </c>
      <c r="AF7899">
        <v>6.15893961975537E-2</v>
      </c>
      <c r="AG7899">
        <v>-5.7452000000000003E-2</v>
      </c>
      <c r="AH7899">
        <v>0.51050354496581596</v>
      </c>
      <c r="AI7899">
        <v>96.375198851528793</v>
      </c>
      <c r="AJ7899">
        <v>83.120831830787694</v>
      </c>
      <c r="AK7899">
        <v>0.51740492406880301</v>
      </c>
      <c r="AL7899">
        <v>88.838194562004603</v>
      </c>
      <c r="AM7899">
        <v>90.360514683770305</v>
      </c>
      <c r="AN7899">
        <v>0.999999969563938</v>
      </c>
    </row>
    <row r="7900" spans="1:40" x14ac:dyDescent="0.25">
      <c r="A7900" t="str">
        <f>"20190312160840226"</f>
        <v>20190312160840226</v>
      </c>
      <c r="B7900" t="str">
        <f>"1552378120213112"</f>
        <v>1552378120213112</v>
      </c>
      <c r="C7900" t="s">
        <v>40</v>
      </c>
      <c r="D7900">
        <v>5.6799019999999896</v>
      </c>
      <c r="E7900">
        <v>0.53504750000000001</v>
      </c>
      <c r="F7900" t="s">
        <v>44</v>
      </c>
      <c r="G7900">
        <v>-187.40039999999999</v>
      </c>
      <c r="H7900">
        <v>1.0425180000000001</v>
      </c>
      <c r="I7900">
        <v>46.520130000000002</v>
      </c>
      <c r="J7900">
        <v>-187.47139999999999</v>
      </c>
      <c r="K7900">
        <v>1.1093139999999999</v>
      </c>
      <c r="L7900">
        <v>46.208680000000001</v>
      </c>
      <c r="M7900">
        <v>1.329437E-2</v>
      </c>
      <c r="N7900">
        <v>0</v>
      </c>
      <c r="O7900">
        <v>0.99985979999999997</v>
      </c>
      <c r="P7900">
        <v>7.1101879999999999E-3</v>
      </c>
      <c r="Q7900">
        <v>1.0023610000000001E-2</v>
      </c>
      <c r="R7900">
        <v>0.99992449999999999</v>
      </c>
      <c r="S7900">
        <v>0.29829410000000001</v>
      </c>
      <c r="T7900">
        <v>-0.25851859999999999</v>
      </c>
      <c r="U7900">
        <v>3.0007630000000001</v>
      </c>
      <c r="V7900">
        <v>-6.1835769999999896E-3</v>
      </c>
      <c r="W7900">
        <v>2.0203949999999998E-2</v>
      </c>
      <c r="X7900">
        <v>0.99977680000000002</v>
      </c>
      <c r="Y7900">
        <v>8.5318169999999999E-2</v>
      </c>
      <c r="Z7900">
        <v>-8.5456240000000003E-2</v>
      </c>
      <c r="AA7900">
        <v>0.99268219999999996</v>
      </c>
      <c r="AB7900">
        <v>30</v>
      </c>
      <c r="AC7900">
        <v>7.0999999999997898E-2</v>
      </c>
      <c r="AD7900">
        <v>-6.67959999999998E-2</v>
      </c>
      <c r="AE7900">
        <v>0.31145</v>
      </c>
      <c r="AF7900">
        <v>6.4052343510152293E-2</v>
      </c>
      <c r="AG7900">
        <v>-6.67959999999998E-2</v>
      </c>
      <c r="AH7900">
        <v>0.29928062704473701</v>
      </c>
      <c r="AI7900">
        <v>102.311531579814</v>
      </c>
      <c r="AJ7900">
        <v>77.919744040887693</v>
      </c>
      <c r="AK7900">
        <v>0.31326235338679598</v>
      </c>
      <c r="AL7900">
        <v>88.842320215464696</v>
      </c>
      <c r="AM7900">
        <v>90.354367441639894</v>
      </c>
      <c r="AN7900">
        <v>1.00000004301917</v>
      </c>
    </row>
    <row r="7901" spans="1:40" x14ac:dyDescent="0.25">
      <c r="A7901" t="str">
        <f>"20190312160840246"</f>
        <v>20190312160840246</v>
      </c>
      <c r="B7901" t="str">
        <f>"1552378120233253"</f>
        <v>1552378120233253</v>
      </c>
      <c r="C7901" t="s">
        <v>40</v>
      </c>
      <c r="D7901">
        <v>6.0788739999999999</v>
      </c>
      <c r="E7901">
        <v>0.53558079999999997</v>
      </c>
      <c r="F7901" t="s">
        <v>44</v>
      </c>
      <c r="G7901">
        <v>-187.38679999999999</v>
      </c>
      <c r="H7901">
        <v>1.0285820000000001</v>
      </c>
      <c r="I7901">
        <v>47.047040000000003</v>
      </c>
      <c r="J7901">
        <v>-187.4676</v>
      </c>
      <c r="K7901">
        <v>1.109316</v>
      </c>
      <c r="L7901">
        <v>46.491</v>
      </c>
      <c r="M7901">
        <v>1.3298870000000001E-2</v>
      </c>
      <c r="N7901">
        <v>0</v>
      </c>
      <c r="O7901">
        <v>0.99985979999999997</v>
      </c>
      <c r="P7901">
        <v>7.0312660000000004E-3</v>
      </c>
      <c r="Q7901">
        <v>1.0220419999999999E-2</v>
      </c>
      <c r="R7901">
        <v>0.99992309999999995</v>
      </c>
      <c r="S7901">
        <v>0.30233759999999998</v>
      </c>
      <c r="T7901">
        <v>-0.28899560000000002</v>
      </c>
      <c r="U7901">
        <v>3.0009769999999998</v>
      </c>
      <c r="V7901">
        <v>-6.2665050000000003E-3</v>
      </c>
      <c r="W7901">
        <v>2.039703E-2</v>
      </c>
      <c r="X7901">
        <v>0.99977229999999995</v>
      </c>
      <c r="Y7901">
        <v>8.6540199999999998E-2</v>
      </c>
      <c r="Z7901">
        <v>-9.5425410000000002E-2</v>
      </c>
      <c r="AA7901">
        <v>0.99166770000000004</v>
      </c>
      <c r="AB7901">
        <v>30</v>
      </c>
      <c r="AC7901">
        <v>8.0800000000010599E-2</v>
      </c>
      <c r="AD7901">
        <v>-8.0734E-2</v>
      </c>
      <c r="AE7901">
        <v>0.55603999999999498</v>
      </c>
      <c r="AF7901">
        <v>7.1913084376888495E-2</v>
      </c>
      <c r="AG7901">
        <v>-8.0734E-2</v>
      </c>
      <c r="AH7901">
        <v>0.54579716065064499</v>
      </c>
      <c r="AI7901">
        <v>98.343066071561495</v>
      </c>
      <c r="AJ7901">
        <v>82.4940642007642</v>
      </c>
      <c r="AK7901">
        <v>0.55640274175717697</v>
      </c>
      <c r="AL7901">
        <v>88.8312551927919</v>
      </c>
      <c r="AM7901">
        <v>90.359121358920603</v>
      </c>
      <c r="AN7901">
        <v>0.99999997988251199</v>
      </c>
    </row>
    <row r="7902" spans="1:40" x14ac:dyDescent="0.25">
      <c r="A7902" t="str">
        <f>"20190312160840268"</f>
        <v>20190312160840268</v>
      </c>
      <c r="B7902" t="str">
        <f>"1552378120263509"</f>
        <v>1552378120263509</v>
      </c>
      <c r="C7902" t="s">
        <v>40</v>
      </c>
      <c r="D7902">
        <v>6.2320460000000004</v>
      </c>
      <c r="E7902">
        <v>0.53587839999999998</v>
      </c>
      <c r="F7902" t="s">
        <v>44</v>
      </c>
      <c r="G7902">
        <v>-187.3835</v>
      </c>
      <c r="H7902">
        <v>1.026435</v>
      </c>
      <c r="I7902">
        <v>47.313319999999997</v>
      </c>
      <c r="J7902">
        <v>-187.46369999999999</v>
      </c>
      <c r="K7902">
        <v>1.109324</v>
      </c>
      <c r="L7902">
        <v>46.780850000000001</v>
      </c>
      <c r="M7902">
        <v>1.3303540000000001E-2</v>
      </c>
      <c r="N7902">
        <v>0</v>
      </c>
      <c r="O7902">
        <v>0.99985979999999997</v>
      </c>
      <c r="P7902">
        <v>7.1623169999999996E-3</v>
      </c>
      <c r="Q7902">
        <v>1.01809E-2</v>
      </c>
      <c r="R7902">
        <v>0.99992250000000005</v>
      </c>
      <c r="S7902">
        <v>0.30673220000000001</v>
      </c>
      <c r="T7902">
        <v>-0.30248760000000002</v>
      </c>
      <c r="U7902">
        <v>3.00116</v>
      </c>
      <c r="V7902">
        <v>-6.1406539999999997E-3</v>
      </c>
      <c r="W7902">
        <v>2.0353639999999999E-2</v>
      </c>
      <c r="X7902">
        <v>0.99977400000000005</v>
      </c>
      <c r="Y7902">
        <v>8.7922929999999996E-2</v>
      </c>
      <c r="Z7902">
        <v>-9.9817509999999998E-2</v>
      </c>
      <c r="AA7902">
        <v>0.99111349999999998</v>
      </c>
      <c r="AB7902">
        <v>30</v>
      </c>
      <c r="AC7902">
        <v>8.0199999999990695E-2</v>
      </c>
      <c r="AD7902">
        <v>-8.2888999999999893E-2</v>
      </c>
      <c r="AE7902">
        <v>0.532470000000003</v>
      </c>
      <c r="AF7902">
        <v>7.1416566706749701E-2</v>
      </c>
      <c r="AG7902">
        <v>-8.2888999999999893E-2</v>
      </c>
      <c r="AH7902">
        <v>0.52114130228196898</v>
      </c>
      <c r="AI7902">
        <v>98.955035054844899</v>
      </c>
      <c r="AJ7902">
        <v>82.196860885700303</v>
      </c>
      <c r="AK7902">
        <v>0.53250274108714801</v>
      </c>
      <c r="AL7902">
        <v>88.833741813519595</v>
      </c>
      <c r="AM7902">
        <v>90.351908664838902</v>
      </c>
      <c r="AN7902">
        <v>1.0000000146843899</v>
      </c>
    </row>
    <row r="7903" spans="1:40" x14ac:dyDescent="0.25">
      <c r="A7903" t="str">
        <f>"20190312160840290"</f>
        <v>20190312160840290</v>
      </c>
      <c r="B7903" t="str">
        <f>"1552378120283028"</f>
        <v>1552378120283028</v>
      </c>
      <c r="C7903" t="s">
        <v>40</v>
      </c>
      <c r="D7903">
        <v>6.0205159999999998</v>
      </c>
      <c r="E7903">
        <v>0.53645540000000003</v>
      </c>
      <c r="F7903" t="s">
        <v>44</v>
      </c>
      <c r="G7903">
        <v>-187.38120000000001</v>
      </c>
      <c r="H7903">
        <v>1.026961</v>
      </c>
      <c r="I7903">
        <v>47.581209999999999</v>
      </c>
      <c r="J7903">
        <v>-187.45959999999999</v>
      </c>
      <c r="K7903">
        <v>1.1093200000000001</v>
      </c>
      <c r="L7903">
        <v>47.088259999999998</v>
      </c>
      <c r="M7903">
        <v>1.330901E-2</v>
      </c>
      <c r="N7903">
        <v>0</v>
      </c>
      <c r="O7903">
        <v>0.99985970000000002</v>
      </c>
      <c r="P7903">
        <v>7.5360729999999999E-3</v>
      </c>
      <c r="Q7903">
        <v>1.0419889999999999E-2</v>
      </c>
      <c r="R7903">
        <v>0.99991730000000001</v>
      </c>
      <c r="S7903">
        <v>0.30937189999999998</v>
      </c>
      <c r="T7903">
        <v>-0.3088399</v>
      </c>
      <c r="U7903">
        <v>3.00116</v>
      </c>
      <c r="V7903">
        <v>-5.7721140000000001E-3</v>
      </c>
      <c r="W7903">
        <v>2.0590109999999998E-2</v>
      </c>
      <c r="X7903">
        <v>0.99977139999999998</v>
      </c>
      <c r="Y7903">
        <v>8.8758630000000005E-2</v>
      </c>
      <c r="Z7903">
        <v>-0.10188369999999999</v>
      </c>
      <c r="AA7903">
        <v>0.99082879999999995</v>
      </c>
      <c r="AB7903">
        <v>30</v>
      </c>
      <c r="AC7903">
        <v>7.8399999999987799E-2</v>
      </c>
      <c r="AD7903">
        <v>-8.2359000000000002E-2</v>
      </c>
      <c r="AE7903">
        <v>0.49295</v>
      </c>
      <c r="AF7903">
        <v>6.9928243785967598E-2</v>
      </c>
      <c r="AG7903">
        <v>-8.2359000000000002E-2</v>
      </c>
      <c r="AH7903">
        <v>0.48085844867248301</v>
      </c>
      <c r="AI7903">
        <v>99.619759643406695</v>
      </c>
      <c r="AJ7903">
        <v>81.725834494155805</v>
      </c>
      <c r="AK7903">
        <v>0.49284664127870098</v>
      </c>
      <c r="AL7903">
        <v>88.820190295453799</v>
      </c>
      <c r="AM7903">
        <v>90.330789715116495</v>
      </c>
      <c r="AN7903">
        <v>1.0000000610938899</v>
      </c>
    </row>
    <row r="7904" spans="1:40" x14ac:dyDescent="0.25">
      <c r="A7904" t="str">
        <f>"20190312160840313"</f>
        <v>20190312160840313</v>
      </c>
      <c r="B7904" t="str">
        <f>"1552378120303524"</f>
        <v>1552378120303524</v>
      </c>
      <c r="C7904" t="s">
        <v>40</v>
      </c>
      <c r="D7904">
        <v>6.1538719999999998</v>
      </c>
      <c r="E7904">
        <v>0.53758519999999999</v>
      </c>
      <c r="F7904" t="s">
        <v>44</v>
      </c>
      <c r="G7904">
        <v>-187.37950000000001</v>
      </c>
      <c r="H7904">
        <v>1.029684</v>
      </c>
      <c r="I7904">
        <v>47.850470000000001</v>
      </c>
      <c r="J7904">
        <v>-187.4556</v>
      </c>
      <c r="K7904">
        <v>1.1093219999999999</v>
      </c>
      <c r="L7904">
        <v>47.388089999999998</v>
      </c>
      <c r="M7904">
        <v>1.3314940000000001E-2</v>
      </c>
      <c r="N7904">
        <v>0</v>
      </c>
      <c r="O7904">
        <v>0.99985959999999996</v>
      </c>
      <c r="P7904">
        <v>7.4344650000000003E-3</v>
      </c>
      <c r="Q7904">
        <v>1.039237E-2</v>
      </c>
      <c r="R7904">
        <v>0.99991830000000004</v>
      </c>
      <c r="S7904">
        <v>0.31498720000000002</v>
      </c>
      <c r="T7904">
        <v>-0.31357249999999998</v>
      </c>
      <c r="U7904">
        <v>3.00116</v>
      </c>
      <c r="V7904">
        <v>-5.8793810000000004E-3</v>
      </c>
      <c r="W7904">
        <v>2.056055E-2</v>
      </c>
      <c r="X7904">
        <v>0.99977130000000003</v>
      </c>
      <c r="Y7904">
        <v>9.0570159999999997E-2</v>
      </c>
      <c r="Z7904">
        <v>-0.10341</v>
      </c>
      <c r="AA7904">
        <v>0.99050660000000001</v>
      </c>
      <c r="AB7904">
        <v>30</v>
      </c>
      <c r="AC7904">
        <v>7.6099999999996698E-2</v>
      </c>
      <c r="AD7904">
        <v>-7.9637999999999806E-2</v>
      </c>
      <c r="AE7904">
        <v>0.46237999999999602</v>
      </c>
      <c r="AF7904">
        <v>6.7973137061882294E-2</v>
      </c>
      <c r="AG7904">
        <v>-7.9637999999999806E-2</v>
      </c>
      <c r="AH7904">
        <v>0.45034522071435601</v>
      </c>
      <c r="AI7904">
        <v>99.918302607086403</v>
      </c>
      <c r="AJ7904">
        <v>81.4168138964923</v>
      </c>
      <c r="AK7904">
        <v>0.46235633036252</v>
      </c>
      <c r="AL7904">
        <v>88.821884219088304</v>
      </c>
      <c r="AM7904">
        <v>90.336936891751506</v>
      </c>
      <c r="AN7904">
        <v>0.99999997782046701</v>
      </c>
    </row>
    <row r="7905" spans="1:40" x14ac:dyDescent="0.25">
      <c r="A7905" t="str">
        <f>"20190312160840335"</f>
        <v>20190312160840335</v>
      </c>
      <c r="B7905" t="str">
        <f>"1552378120323598"</f>
        <v>1552378120323598</v>
      </c>
      <c r="C7905" t="s">
        <v>40</v>
      </c>
      <c r="D7905">
        <v>6.1572430000000002</v>
      </c>
      <c r="E7905">
        <v>0.53836700000000004</v>
      </c>
      <c r="F7905" t="s">
        <v>44</v>
      </c>
      <c r="G7905">
        <v>-187.3767</v>
      </c>
      <c r="H7905">
        <v>1.031666</v>
      </c>
      <c r="I7905">
        <v>48.119639999999997</v>
      </c>
      <c r="J7905">
        <v>-187.45179999999999</v>
      </c>
      <c r="K7905">
        <v>1.109324</v>
      </c>
      <c r="L7905">
        <v>47.672910000000002</v>
      </c>
      <c r="M7905">
        <v>1.332129E-2</v>
      </c>
      <c r="N7905">
        <v>0</v>
      </c>
      <c r="O7905">
        <v>0.99985959999999996</v>
      </c>
      <c r="P7905">
        <v>7.5322799999999997E-3</v>
      </c>
      <c r="Q7905">
        <v>1.062458E-2</v>
      </c>
      <c r="R7905">
        <v>0.9999152</v>
      </c>
      <c r="S7905">
        <v>0.32371519999999998</v>
      </c>
      <c r="T7905">
        <v>-0.31857859999999899</v>
      </c>
      <c r="U7905">
        <v>3.00116</v>
      </c>
      <c r="V7905">
        <v>-5.7882979999999999E-3</v>
      </c>
      <c r="W7905">
        <v>2.079081E-2</v>
      </c>
      <c r="X7905">
        <v>0.99976710000000002</v>
      </c>
      <c r="Y7905">
        <v>9.3393809999999994E-2</v>
      </c>
      <c r="Z7905">
        <v>-0.1050131</v>
      </c>
      <c r="AA7905">
        <v>0.99007559999999994</v>
      </c>
      <c r="AB7905">
        <v>30</v>
      </c>
      <c r="AC7905">
        <v>7.5099999999991895E-2</v>
      </c>
      <c r="AD7905">
        <v>-7.7658000000000005E-2</v>
      </c>
      <c r="AE7905">
        <v>0.44673000000000901</v>
      </c>
      <c r="AF7905">
        <v>6.7168034371791599E-2</v>
      </c>
      <c r="AG7905">
        <v>-7.7658000000000005E-2</v>
      </c>
      <c r="AH7905">
        <v>0.43490946140526998</v>
      </c>
      <c r="AI7905">
        <v>100.007898264838</v>
      </c>
      <c r="AJ7905">
        <v>81.220523120760902</v>
      </c>
      <c r="AK7905">
        <v>0.44686524750218898</v>
      </c>
      <c r="AL7905">
        <v>88.808688507997005</v>
      </c>
      <c r="AM7905">
        <v>90.331718597718705</v>
      </c>
      <c r="AN7905">
        <v>1.0000000082083</v>
      </c>
    </row>
    <row r="7906" spans="1:40" x14ac:dyDescent="0.25">
      <c r="A7906" t="str">
        <f>"20190312160840357"</f>
        <v>20190312160840357</v>
      </c>
      <c r="B7906" t="str">
        <f>"1552378120353850"</f>
        <v>1552378120353850</v>
      </c>
      <c r="C7906" t="s">
        <v>40</v>
      </c>
      <c r="D7906">
        <v>6.1607320000000003</v>
      </c>
      <c r="E7906">
        <v>0.53902260000000002</v>
      </c>
      <c r="F7906" t="s">
        <v>44</v>
      </c>
      <c r="G7906">
        <v>-187.3449</v>
      </c>
      <c r="H7906">
        <v>1.005101</v>
      </c>
      <c r="I7906">
        <v>48.643659999999997</v>
      </c>
      <c r="J7906">
        <v>-187.4477</v>
      </c>
      <c r="K7906">
        <v>1.109326</v>
      </c>
      <c r="L7906">
        <v>47.982149999999997</v>
      </c>
      <c r="M7906">
        <v>1.332822E-2</v>
      </c>
      <c r="N7906">
        <v>0</v>
      </c>
      <c r="O7906">
        <v>0.99985950000000001</v>
      </c>
      <c r="P7906">
        <v>8.0750630000000004E-3</v>
      </c>
      <c r="Q7906">
        <v>1.0737099999999999E-2</v>
      </c>
      <c r="R7906">
        <v>0.99990979999999996</v>
      </c>
      <c r="S7906">
        <v>0.33041379999999998</v>
      </c>
      <c r="T7906">
        <v>-0.3222198</v>
      </c>
      <c r="U7906">
        <v>3.0011899999999998</v>
      </c>
      <c r="V7906">
        <v>-5.252446E-3</v>
      </c>
      <c r="W7906">
        <v>2.0902839999999999E-2</v>
      </c>
      <c r="X7906">
        <v>0.99976770000000004</v>
      </c>
      <c r="Y7906">
        <v>9.5556009999999997E-2</v>
      </c>
      <c r="Z7906">
        <v>-0.1061752</v>
      </c>
      <c r="AA7906">
        <v>0.9897454</v>
      </c>
      <c r="AB7906">
        <v>30</v>
      </c>
      <c r="AC7906">
        <v>0.102800000000001</v>
      </c>
      <c r="AD7906">
        <v>-0.104225</v>
      </c>
      <c r="AE7906">
        <v>0.66150999999999904</v>
      </c>
      <c r="AF7906">
        <v>9.1749775536193096E-2</v>
      </c>
      <c r="AG7906">
        <v>-0.104225</v>
      </c>
      <c r="AH7906">
        <v>0.64713578313509601</v>
      </c>
      <c r="AI7906">
        <v>99.0601711142791</v>
      </c>
      <c r="AJ7906">
        <v>81.930486749221004</v>
      </c>
      <c r="AK7906">
        <v>0.66186523836035904</v>
      </c>
      <c r="AL7906">
        <v>88.802268239350298</v>
      </c>
      <c r="AM7906">
        <v>90.301010143845701</v>
      </c>
      <c r="AN7906">
        <v>0.99999998543616897</v>
      </c>
    </row>
    <row r="7907" spans="1:40" x14ac:dyDescent="0.25">
      <c r="A7907" t="str">
        <f>"20190312160840380"</f>
        <v>20190312160840380</v>
      </c>
      <c r="B7907" t="str">
        <f>"1552378120373371"</f>
        <v>1552378120373371</v>
      </c>
      <c r="C7907" t="s">
        <v>40</v>
      </c>
      <c r="D7907">
        <v>6.112743</v>
      </c>
      <c r="E7907">
        <v>0.53933809999999904</v>
      </c>
      <c r="F7907" t="s">
        <v>44</v>
      </c>
      <c r="G7907">
        <v>-187.34289999999999</v>
      </c>
      <c r="H7907">
        <v>1.0081819999999999</v>
      </c>
      <c r="I7907">
        <v>48.91422</v>
      </c>
      <c r="J7907">
        <v>-187.4436</v>
      </c>
      <c r="K7907">
        <v>1.109329</v>
      </c>
      <c r="L7907">
        <v>48.284999999999997</v>
      </c>
      <c r="M7907">
        <v>1.33348999999999E-2</v>
      </c>
      <c r="N7907">
        <v>0</v>
      </c>
      <c r="O7907">
        <v>0.99985939999999995</v>
      </c>
      <c r="P7907">
        <v>8.9577860000000006E-3</v>
      </c>
      <c r="Q7907">
        <v>1.076854E-2</v>
      </c>
      <c r="R7907">
        <v>0.99990190000000001</v>
      </c>
      <c r="S7907">
        <v>0.33702090000000001</v>
      </c>
      <c r="T7907">
        <v>-0.32566289999999998</v>
      </c>
      <c r="U7907">
        <v>3.0010379999999999</v>
      </c>
      <c r="V7907">
        <v>-4.3762180000000003E-3</v>
      </c>
      <c r="W7907">
        <v>2.0934310000000001E-2</v>
      </c>
      <c r="X7907">
        <v>0.99977130000000003</v>
      </c>
      <c r="Y7907">
        <v>9.7693820000000001E-2</v>
      </c>
      <c r="Z7907">
        <v>-0.107278</v>
      </c>
      <c r="AA7907">
        <v>0.98941769999999996</v>
      </c>
      <c r="AB7907">
        <v>30</v>
      </c>
      <c r="AC7907">
        <v>0.100700000000017</v>
      </c>
      <c r="AD7907">
        <v>-0.101147</v>
      </c>
      <c r="AE7907">
        <v>0.629220000000003</v>
      </c>
      <c r="AF7907">
        <v>9.0031661291555903E-2</v>
      </c>
      <c r="AG7907">
        <v>-0.101147</v>
      </c>
      <c r="AH7907">
        <v>0.61501160799628496</v>
      </c>
      <c r="AI7907">
        <v>99.242677635590198</v>
      </c>
      <c r="AJ7907">
        <v>81.671616839498299</v>
      </c>
      <c r="AK7907">
        <v>0.62974256138051699</v>
      </c>
      <c r="AL7907">
        <v>88.800464793326199</v>
      </c>
      <c r="AM7907">
        <v>90.250794576978095</v>
      </c>
      <c r="AN7907">
        <v>1.00000002446142</v>
      </c>
    </row>
    <row r="7908" spans="1:40" x14ac:dyDescent="0.25">
      <c r="A7908" t="str">
        <f>"20190312160840402"</f>
        <v>20190312160840402</v>
      </c>
      <c r="B7908" t="str">
        <f>"1552378120393869"</f>
        <v>1552378120393869</v>
      </c>
      <c r="C7908" t="s">
        <v>40</v>
      </c>
      <c r="D7908">
        <v>6.2186879999999896</v>
      </c>
      <c r="E7908">
        <v>0.53968760000000005</v>
      </c>
      <c r="F7908" t="s">
        <v>44</v>
      </c>
      <c r="G7908">
        <v>-187.3409</v>
      </c>
      <c r="H7908">
        <v>1.0112369999999999</v>
      </c>
      <c r="I7908">
        <v>49.18506</v>
      </c>
      <c r="J7908">
        <v>-187.43960000000001</v>
      </c>
      <c r="K7908">
        <v>1.1093249999999999</v>
      </c>
      <c r="L7908">
        <v>48.586060000000003</v>
      </c>
      <c r="M7908">
        <v>1.334166E-2</v>
      </c>
      <c r="N7908">
        <v>0</v>
      </c>
      <c r="O7908">
        <v>0.99985930000000001</v>
      </c>
      <c r="P7908">
        <v>8.4380519999999997E-3</v>
      </c>
      <c r="Q7908">
        <v>1.139187E-2</v>
      </c>
      <c r="R7908">
        <v>0.99989950000000005</v>
      </c>
      <c r="S7908">
        <v>0.34219359999999999</v>
      </c>
      <c r="T7908">
        <v>-0.32704290000000003</v>
      </c>
      <c r="U7908">
        <v>3.0007630000000001</v>
      </c>
      <c r="V7908">
        <v>-4.9029369999999996E-3</v>
      </c>
      <c r="W7908">
        <v>2.155787E-2</v>
      </c>
      <c r="X7908">
        <v>0.99975559999999997</v>
      </c>
      <c r="Y7908">
        <v>9.9375599999999994E-2</v>
      </c>
      <c r="Z7908">
        <v>-0.1077177</v>
      </c>
      <c r="AA7908">
        <v>0.98920240000000004</v>
      </c>
      <c r="AB7908">
        <v>30</v>
      </c>
      <c r="AC7908">
        <v>9.8700000000008004E-2</v>
      </c>
      <c r="AD7908">
        <v>-9.8087999999999703E-2</v>
      </c>
      <c r="AE7908">
        <v>0.59900000000000297</v>
      </c>
      <c r="AF7908">
        <v>8.8391577176323205E-2</v>
      </c>
      <c r="AG7908">
        <v>-9.8087999999999703E-2</v>
      </c>
      <c r="AH7908">
        <v>0.58499165157800803</v>
      </c>
      <c r="AI7908">
        <v>99.413570529984995</v>
      </c>
      <c r="AJ7908">
        <v>81.407669198634693</v>
      </c>
      <c r="AK7908">
        <v>0.59970789479185904</v>
      </c>
      <c r="AL7908">
        <v>88.764729365679699</v>
      </c>
      <c r="AM7908">
        <v>90.280984017771104</v>
      </c>
      <c r="AN7908">
        <v>1.0000000201407599</v>
      </c>
    </row>
    <row r="7909" spans="1:40" x14ac:dyDescent="0.25">
      <c r="A7909" t="str">
        <f>"20190312160840425"</f>
        <v>20190312160840425</v>
      </c>
      <c r="B7909" t="str">
        <f>"1552378120413387"</f>
        <v>1552378120413387</v>
      </c>
      <c r="C7909" t="s">
        <v>40</v>
      </c>
      <c r="D7909">
        <v>6.1561789999999998</v>
      </c>
      <c r="E7909">
        <v>0.54004649999999998</v>
      </c>
      <c r="F7909" t="s">
        <v>44</v>
      </c>
      <c r="G7909">
        <v>-187.33969999999999</v>
      </c>
      <c r="H7909">
        <v>1.0147349999999999</v>
      </c>
      <c r="I7909">
        <v>49.456409999999998</v>
      </c>
      <c r="J7909">
        <v>-187.43539999999999</v>
      </c>
      <c r="K7909">
        <v>1.1093170000000001</v>
      </c>
      <c r="L7909">
        <v>48.90005</v>
      </c>
      <c r="M7909">
        <v>1.3348809999999999E-2</v>
      </c>
      <c r="N7909">
        <v>0</v>
      </c>
      <c r="O7909">
        <v>0.99985919999999895</v>
      </c>
      <c r="P7909">
        <v>7.6908280000000002E-3</v>
      </c>
      <c r="Q7909">
        <v>1.141709E-2</v>
      </c>
      <c r="R7909">
        <v>0.99990520000000005</v>
      </c>
      <c r="S7909">
        <v>0.34399410000000002</v>
      </c>
      <c r="T7909">
        <v>-0.326183</v>
      </c>
      <c r="U7909">
        <v>3.001099</v>
      </c>
      <c r="V7909">
        <v>-5.6566269999999896E-3</v>
      </c>
      <c r="W7909">
        <v>2.158361E-2</v>
      </c>
      <c r="X7909">
        <v>0.99975099999999995</v>
      </c>
      <c r="Y7909">
        <v>9.9945530000000005E-2</v>
      </c>
      <c r="Z7909">
        <v>-0.1074193</v>
      </c>
      <c r="AA7909">
        <v>0.98917739999999998</v>
      </c>
      <c r="AB7909">
        <v>30</v>
      </c>
      <c r="AC7909">
        <v>9.5699999999993596E-2</v>
      </c>
      <c r="AD7909">
        <v>-9.4582000000000097E-2</v>
      </c>
      <c r="AE7909">
        <v>0.55635999999999797</v>
      </c>
      <c r="AF7909">
        <v>8.5854414312306504E-2</v>
      </c>
      <c r="AG7909">
        <v>-9.4582000000000097E-2</v>
      </c>
      <c r="AH7909">
        <v>0.54236383859499104</v>
      </c>
      <c r="AI7909">
        <v>99.772947635827506</v>
      </c>
      <c r="AJ7909">
        <v>81.004903321413806</v>
      </c>
      <c r="AK7909">
        <v>0.55720307662144397</v>
      </c>
      <c r="AL7909">
        <v>88.7632541495624</v>
      </c>
      <c r="AM7909">
        <v>90.324178115276695</v>
      </c>
      <c r="AN7909">
        <v>0.99999995582532297</v>
      </c>
    </row>
    <row r="7910" spans="1:40" x14ac:dyDescent="0.25">
      <c r="A7910" t="str">
        <f>"20190312160840447"</f>
        <v>20190312160840447</v>
      </c>
      <c r="B7910" t="str">
        <f>"1552378120443385"</f>
        <v>1552378120443385</v>
      </c>
      <c r="C7910" t="s">
        <v>40</v>
      </c>
      <c r="D7910">
        <v>6.1061540000000001</v>
      </c>
      <c r="E7910">
        <v>0.5404466</v>
      </c>
      <c r="F7910" t="s">
        <v>44</v>
      </c>
      <c r="G7910">
        <v>-187.34030000000001</v>
      </c>
      <c r="H7910">
        <v>1.018689</v>
      </c>
      <c r="I7910">
        <v>49.728270000000002</v>
      </c>
      <c r="J7910">
        <v>-187.4316</v>
      </c>
      <c r="K7910">
        <v>1.1093150000000001</v>
      </c>
      <c r="L7910">
        <v>49.186799999999998</v>
      </c>
      <c r="M7910">
        <v>1.3355580000000001E-2</v>
      </c>
      <c r="N7910">
        <v>0</v>
      </c>
      <c r="O7910">
        <v>0.9998591</v>
      </c>
      <c r="P7910">
        <v>7.7154909999999997E-3</v>
      </c>
      <c r="Q7910">
        <v>1.083139E-2</v>
      </c>
      <c r="R7910">
        <v>0.99991149999999995</v>
      </c>
      <c r="S7910">
        <v>0.34461979999999998</v>
      </c>
      <c r="T7910">
        <v>-0.32843909999999998</v>
      </c>
      <c r="U7910">
        <v>3.0013730000000001</v>
      </c>
      <c r="V7910">
        <v>-5.6395350000000002E-3</v>
      </c>
      <c r="W7910">
        <v>2.0999150000000001E-2</v>
      </c>
      <c r="X7910">
        <v>0.99976359999999997</v>
      </c>
      <c r="Y7910">
        <v>0.10012310000000001</v>
      </c>
      <c r="Z7910">
        <v>-0.1081416</v>
      </c>
      <c r="AA7910">
        <v>0.98908079999999998</v>
      </c>
      <c r="AB7910">
        <v>30</v>
      </c>
      <c r="AC7910">
        <v>9.1299999999989695E-2</v>
      </c>
      <c r="AD7910">
        <v>-9.0626000000000095E-2</v>
      </c>
      <c r="AE7910">
        <v>0.541470000000003</v>
      </c>
      <c r="AF7910">
        <v>8.1830893408326499E-2</v>
      </c>
      <c r="AG7910">
        <v>-9.0626000000000095E-2</v>
      </c>
      <c r="AH7910">
        <v>0.52825237757115695</v>
      </c>
      <c r="AI7910">
        <v>99.622207847438901</v>
      </c>
      <c r="AJ7910">
        <v>81.194375002228398</v>
      </c>
      <c r="AK7910">
        <v>0.54218072761910696</v>
      </c>
      <c r="AL7910">
        <v>88.796748903555695</v>
      </c>
      <c r="AM7910">
        <v>90.3231945299909</v>
      </c>
      <c r="AN7910">
        <v>1.0000000122703401</v>
      </c>
    </row>
    <row r="7911" spans="1:40" x14ac:dyDescent="0.25">
      <c r="A7911" t="str">
        <f>"20190312160840469"</f>
        <v>20190312160840469</v>
      </c>
      <c r="B7911" t="str">
        <f>"1552378120463881"</f>
        <v>1552378120463881</v>
      </c>
      <c r="C7911" t="s">
        <v>40</v>
      </c>
      <c r="D7911">
        <v>6.1080639999999997</v>
      </c>
      <c r="E7911">
        <v>0.54063030000000001</v>
      </c>
      <c r="F7911" t="s">
        <v>44</v>
      </c>
      <c r="G7911">
        <v>-187.33750000000001</v>
      </c>
      <c r="H7911">
        <v>1.019244</v>
      </c>
      <c r="I7911">
        <v>49.998730000000002</v>
      </c>
      <c r="J7911">
        <v>-187.42760000000001</v>
      </c>
      <c r="K7911">
        <v>1.109316</v>
      </c>
      <c r="L7911">
        <v>49.487639999999999</v>
      </c>
      <c r="M7911">
        <v>1.336236E-2</v>
      </c>
      <c r="N7911">
        <v>0</v>
      </c>
      <c r="O7911">
        <v>0.99985900000000005</v>
      </c>
      <c r="P7911">
        <v>8.0008459999999903E-3</v>
      </c>
      <c r="Q7911">
        <v>1.1494849999999999E-2</v>
      </c>
      <c r="R7911">
        <v>0.99990199999999996</v>
      </c>
      <c r="S7911">
        <v>0.34716799999999998</v>
      </c>
      <c r="T7911">
        <v>-0.33294309999999899</v>
      </c>
      <c r="U7911">
        <v>3.0011899999999998</v>
      </c>
      <c r="V7911">
        <v>-5.3605750000000002E-3</v>
      </c>
      <c r="W7911">
        <v>2.1663700000000001E-2</v>
      </c>
      <c r="X7911">
        <v>0.99975099999999995</v>
      </c>
      <c r="Y7911">
        <v>0.1009336</v>
      </c>
      <c r="Z7911">
        <v>-0.1096036</v>
      </c>
      <c r="AA7911">
        <v>0.98883739999999998</v>
      </c>
      <c r="AB7911">
        <v>30</v>
      </c>
      <c r="AC7911">
        <v>9.0100000000006703E-2</v>
      </c>
      <c r="AD7911">
        <v>-9.0071999999999902E-2</v>
      </c>
      <c r="AE7911">
        <v>0.51109000000000204</v>
      </c>
      <c r="AF7911">
        <v>8.0827494377434597E-2</v>
      </c>
      <c r="AG7911">
        <v>-9.0071999999999902E-2</v>
      </c>
      <c r="AH7911">
        <v>0.49726930340894998</v>
      </c>
      <c r="AI7911">
        <v>100.136632582091</v>
      </c>
      <c r="AJ7911">
        <v>80.767730276924198</v>
      </c>
      <c r="AK7911">
        <v>0.51178394772028202</v>
      </c>
      <c r="AL7911">
        <v>88.758664382577294</v>
      </c>
      <c r="AM7911">
        <v>90.307211875654005</v>
      </c>
      <c r="AN7911">
        <v>1.0000000568315</v>
      </c>
    </row>
    <row r="7912" spans="1:40" x14ac:dyDescent="0.25">
      <c r="A7912" t="str">
        <f>"20190312160840492"</f>
        <v>20190312160840492</v>
      </c>
      <c r="B7912" t="str">
        <f>"1552378120483401"</f>
        <v>1552378120483401</v>
      </c>
      <c r="C7912" t="s">
        <v>40</v>
      </c>
      <c r="D7912">
        <v>6.1561199999999996</v>
      </c>
      <c r="E7912">
        <v>0.54081089999999998</v>
      </c>
      <c r="F7912" t="s">
        <v>44</v>
      </c>
      <c r="G7912">
        <v>-187.33629999999999</v>
      </c>
      <c r="H7912">
        <v>1.0227090000000001</v>
      </c>
      <c r="I7912">
        <v>50.270899999999997</v>
      </c>
      <c r="J7912">
        <v>-187.42339999999999</v>
      </c>
      <c r="K7912">
        <v>1.109318</v>
      </c>
      <c r="L7912">
        <v>49.796570000000003</v>
      </c>
      <c r="M7912">
        <v>1.3369199999999999E-2</v>
      </c>
      <c r="N7912">
        <v>0</v>
      </c>
      <c r="O7912">
        <v>0.99985889999999999</v>
      </c>
      <c r="P7912">
        <v>8.0977419999999998E-3</v>
      </c>
      <c r="Q7912">
        <v>1.19586E-2</v>
      </c>
      <c r="R7912">
        <v>0.99989570000000005</v>
      </c>
      <c r="S7912">
        <v>0.34945680000000001</v>
      </c>
      <c r="T7912">
        <v>-0.33185829999999999</v>
      </c>
      <c r="U7912">
        <v>3.001312</v>
      </c>
      <c r="V7912">
        <v>-5.2704219999999899E-3</v>
      </c>
      <c r="W7912">
        <v>2.2128510000000001E-2</v>
      </c>
      <c r="X7912">
        <v>0.99974130000000005</v>
      </c>
      <c r="Y7912">
        <v>0.10167089999999999</v>
      </c>
      <c r="Z7912">
        <v>-0.1092375</v>
      </c>
      <c r="AA7912">
        <v>0.98880239999999997</v>
      </c>
      <c r="AB7912">
        <v>30</v>
      </c>
      <c r="AC7912">
        <v>8.7099999999992406E-2</v>
      </c>
      <c r="AD7912">
        <v>-8.6608999999999894E-2</v>
      </c>
      <c r="AE7912">
        <v>0.47432999999999398</v>
      </c>
      <c r="AF7912">
        <v>7.8227449462398305E-2</v>
      </c>
      <c r="AG7912">
        <v>-8.6608999999999894E-2</v>
      </c>
      <c r="AH7912">
        <v>0.46059675988163301</v>
      </c>
      <c r="AI7912">
        <v>100.502368091056</v>
      </c>
      <c r="AJ7912">
        <v>80.360901534255404</v>
      </c>
      <c r="AK7912">
        <v>0.47515263646943101</v>
      </c>
      <c r="AL7912">
        <v>88.732026347140703</v>
      </c>
      <c r="AM7912">
        <v>90.302048279339701</v>
      </c>
      <c r="AN7912">
        <v>1.00000005761428</v>
      </c>
    </row>
    <row r="7913" spans="1:40" x14ac:dyDescent="0.25">
      <c r="A7913" t="str">
        <f>"20190312160840514"</f>
        <v>20190312160840514</v>
      </c>
      <c r="B7913" t="str">
        <f>"1552378120503897"</f>
        <v>1552378120503897</v>
      </c>
      <c r="C7913" t="s">
        <v>40</v>
      </c>
      <c r="D7913">
        <v>4.9578239999999996</v>
      </c>
      <c r="E7913">
        <v>0.54073660000000001</v>
      </c>
      <c r="F7913" t="s">
        <v>44</v>
      </c>
      <c r="G7913">
        <v>-187.3357</v>
      </c>
      <c r="H7913">
        <v>1.0270589999999999</v>
      </c>
      <c r="I7913">
        <v>50.543799999999997</v>
      </c>
      <c r="J7913">
        <v>-187.4194</v>
      </c>
      <c r="K7913">
        <v>1.109321</v>
      </c>
      <c r="L7913">
        <v>50.09628</v>
      </c>
      <c r="M7913">
        <v>1.3376030000000001E-2</v>
      </c>
      <c r="N7913">
        <v>0</v>
      </c>
      <c r="O7913">
        <v>0.99985880000000005</v>
      </c>
      <c r="P7913">
        <v>8.3423519999999904E-3</v>
      </c>
      <c r="Q7913">
        <v>1.163058E-2</v>
      </c>
      <c r="R7913">
        <v>0.99989749999999999</v>
      </c>
      <c r="S7913">
        <v>0.35142519999999999</v>
      </c>
      <c r="T7913">
        <v>-0.3304359</v>
      </c>
      <c r="U7913">
        <v>3.001404</v>
      </c>
      <c r="V7913">
        <v>-5.0325780000000002E-3</v>
      </c>
      <c r="W7913">
        <v>2.1802910000000002E-2</v>
      </c>
      <c r="X7913">
        <v>0.99974960000000002</v>
      </c>
      <c r="Y7913">
        <v>0.10230640000000001</v>
      </c>
      <c r="Z7913">
        <v>-0.108764</v>
      </c>
      <c r="AA7913">
        <v>0.98878900000000003</v>
      </c>
      <c r="AB7913">
        <v>30</v>
      </c>
      <c r="AC7913">
        <v>8.3699999999993197E-2</v>
      </c>
      <c r="AD7913">
        <v>-8.2262000000000002E-2</v>
      </c>
      <c r="AE7913">
        <v>0.44751999999999698</v>
      </c>
      <c r="AF7913">
        <v>7.5249500368578706E-2</v>
      </c>
      <c r="AG7913">
        <v>-8.2262000000000002E-2</v>
      </c>
      <c r="AH7913">
        <v>0.43441723095061802</v>
      </c>
      <c r="AI7913">
        <v>100.568902666818</v>
      </c>
      <c r="AJ7913">
        <v>80.172772590540006</v>
      </c>
      <c r="AK7913">
        <v>0.44849509974638901</v>
      </c>
      <c r="AL7913">
        <v>88.750686254943602</v>
      </c>
      <c r="AM7913">
        <v>90.288415263176304</v>
      </c>
      <c r="AN7913">
        <v>0.99999997821297604</v>
      </c>
    </row>
    <row r="7914" spans="1:40" x14ac:dyDescent="0.25">
      <c r="A7914" t="str">
        <f>"20190312160840536"</f>
        <v>20190312160840536</v>
      </c>
      <c r="B7914" t="str">
        <f>"1552378120533177"</f>
        <v>1552378120533177</v>
      </c>
      <c r="C7914" t="s">
        <v>40</v>
      </c>
      <c r="D7914">
        <v>5.9219609999999996</v>
      </c>
      <c r="E7914">
        <v>0.48091230000000001</v>
      </c>
      <c r="F7914" t="s">
        <v>44</v>
      </c>
      <c r="G7914">
        <v>-187.3048</v>
      </c>
      <c r="H7914">
        <v>1.001614</v>
      </c>
      <c r="I7914">
        <v>51.073540000000001</v>
      </c>
      <c r="J7914">
        <v>-187.41550000000001</v>
      </c>
      <c r="K7914">
        <v>1.1093189999999999</v>
      </c>
      <c r="L7914">
        <v>50.39273</v>
      </c>
      <c r="M7914">
        <v>1.338263E-2</v>
      </c>
      <c r="N7914">
        <v>0</v>
      </c>
      <c r="O7914">
        <v>0.99985869999999999</v>
      </c>
      <c r="P7914">
        <v>8.5481480000000002E-3</v>
      </c>
      <c r="Q7914">
        <v>1.1457220000000001E-2</v>
      </c>
      <c r="R7914">
        <v>0.99989779999999995</v>
      </c>
      <c r="S7914">
        <v>0.3517151</v>
      </c>
      <c r="T7914">
        <v>-0.33078289999999999</v>
      </c>
      <c r="U7914">
        <v>3.0012210000000001</v>
      </c>
      <c r="V7914">
        <v>-4.8338039999999997E-3</v>
      </c>
      <c r="W7914">
        <v>2.1631290000000001E-2</v>
      </c>
      <c r="X7914">
        <v>0.99975429999999998</v>
      </c>
      <c r="Y7914">
        <v>0.1023995</v>
      </c>
      <c r="Z7914">
        <v>-0.108882199999999</v>
      </c>
      <c r="AA7914">
        <v>0.98876640000000005</v>
      </c>
      <c r="AB7914">
        <v>30</v>
      </c>
      <c r="AC7914">
        <v>0.110700000000008</v>
      </c>
      <c r="AD7914">
        <v>-0.107704999999999</v>
      </c>
      <c r="AE7914">
        <v>0.68081000000000103</v>
      </c>
      <c r="AF7914">
        <v>9.9160751265105096E-2</v>
      </c>
      <c r="AG7914">
        <v>-0.107704999999999</v>
      </c>
      <c r="AH7914">
        <v>0.66599169802769198</v>
      </c>
      <c r="AI7914">
        <v>99.087925940512903</v>
      </c>
      <c r="AJ7914">
        <v>81.531338354002301</v>
      </c>
      <c r="AK7914">
        <v>0.68189307333207905</v>
      </c>
      <c r="AL7914">
        <v>88.760521665511007</v>
      </c>
      <c r="AM7914">
        <v>90.277022474494203</v>
      </c>
      <c r="AN7914">
        <v>0.99999996936833102</v>
      </c>
    </row>
    <row r="7915" spans="1:40" x14ac:dyDescent="0.25">
      <c r="A7915" t="str">
        <f>"20190312160840558"</f>
        <v>20190312160840558</v>
      </c>
      <c r="B7915" t="str">
        <f>"1552378120553674"</f>
        <v>1552378120553674</v>
      </c>
      <c r="C7915" t="s">
        <v>40</v>
      </c>
      <c r="D7915">
        <v>6.1203640000000004</v>
      </c>
      <c r="E7915">
        <v>0.47866300000000001</v>
      </c>
      <c r="F7915" t="s">
        <v>46</v>
      </c>
      <c r="G7915">
        <v>-201.7587</v>
      </c>
      <c r="H7915">
        <v>1.1325350000000001</v>
      </c>
      <c r="I7915">
        <v>391.00349999999997</v>
      </c>
      <c r="J7915">
        <v>-187.41139999999999</v>
      </c>
      <c r="K7915">
        <v>1.1093189999999999</v>
      </c>
      <c r="L7915">
        <v>50.692079999999997</v>
      </c>
      <c r="M7915">
        <v>1.338927E-2</v>
      </c>
      <c r="N7915">
        <v>0</v>
      </c>
      <c r="O7915">
        <v>0.99985860000000004</v>
      </c>
      <c r="P7915">
        <v>8.4961640000000005E-3</v>
      </c>
      <c r="Q7915">
        <v>1.1309929999999999E-2</v>
      </c>
      <c r="R7915">
        <v>0.99989989999999995</v>
      </c>
      <c r="S7915">
        <v>-0.12638849999999999</v>
      </c>
      <c r="T7915">
        <v>2.0456310000000001E-4</v>
      </c>
      <c r="U7915">
        <v>3.0013730000000001</v>
      </c>
      <c r="V7915">
        <v>-4.8919790000000003E-3</v>
      </c>
      <c r="W7915">
        <v>2.1486359999999999E-2</v>
      </c>
      <c r="X7915">
        <v>0.99975720000000001</v>
      </c>
      <c r="Y7915">
        <v>-5.5447299999999998E-2</v>
      </c>
      <c r="Z7915" s="1">
        <v>6.8064760000000003E-5</v>
      </c>
      <c r="AA7915">
        <v>0.99846159999999995</v>
      </c>
      <c r="AB7915">
        <v>30</v>
      </c>
      <c r="AC7915">
        <v>-14.347300000000001</v>
      </c>
      <c r="AD7915">
        <v>2.3216000000000101E-2</v>
      </c>
      <c r="AE7915">
        <v>340.31142</v>
      </c>
      <c r="AF7915">
        <v>-18.9027710046065</v>
      </c>
      <c r="AG7915">
        <v>2.3216000000000101E-2</v>
      </c>
      <c r="AH7915">
        <v>340.08879983040902</v>
      </c>
      <c r="AI7915">
        <v>89.996094758562293</v>
      </c>
      <c r="AJ7915">
        <v>93.1813331085919</v>
      </c>
      <c r="AK7915">
        <v>340.613721186806</v>
      </c>
      <c r="AL7915">
        <v>88.768827544533394</v>
      </c>
      <c r="AM7915">
        <v>90.280355583534103</v>
      </c>
      <c r="AN7915">
        <v>1.0000000270382099</v>
      </c>
    </row>
    <row r="7916" spans="1:40" x14ac:dyDescent="0.25">
      <c r="A7916" t="str">
        <f>"20190312160840581"</f>
        <v>20190312160840581</v>
      </c>
      <c r="B7916" t="str">
        <f>"1552378120573194"</f>
        <v>1552378120573194</v>
      </c>
      <c r="C7916" t="s">
        <v>40</v>
      </c>
      <c r="D7916">
        <v>6.156657</v>
      </c>
      <c r="E7916">
        <v>0.47787689999999999</v>
      </c>
      <c r="F7916" t="s">
        <v>46</v>
      </c>
      <c r="G7916">
        <v>-203.8133</v>
      </c>
      <c r="H7916">
        <v>3.2507950000000001</v>
      </c>
      <c r="I7916">
        <v>391.00349999999997</v>
      </c>
      <c r="J7916">
        <v>-187.40729999999999</v>
      </c>
      <c r="K7916">
        <v>1.109316</v>
      </c>
      <c r="L7916">
        <v>51.002290000000002</v>
      </c>
      <c r="M7916">
        <v>1.339597E-2</v>
      </c>
      <c r="N7916">
        <v>0</v>
      </c>
      <c r="O7916">
        <v>0.99985840000000004</v>
      </c>
      <c r="P7916">
        <v>8.4248740000000006E-3</v>
      </c>
      <c r="Q7916">
        <v>1.143051E-2</v>
      </c>
      <c r="R7916">
        <v>0.99989910000000004</v>
      </c>
      <c r="S7916">
        <v>-0.14465329999999901</v>
      </c>
      <c r="T7916">
        <v>1.888633E-2</v>
      </c>
      <c r="U7916">
        <v>3.001312</v>
      </c>
      <c r="V7916">
        <v>-4.9701490000000001E-3</v>
      </c>
      <c r="W7916">
        <v>2.1607919999999999E-2</v>
      </c>
      <c r="X7916">
        <v>0.99975420000000004</v>
      </c>
      <c r="Y7916">
        <v>-6.1516679999999997E-2</v>
      </c>
      <c r="Z7916">
        <v>6.2821140000000001E-3</v>
      </c>
      <c r="AA7916">
        <v>0.99808629999999998</v>
      </c>
      <c r="AB7916">
        <v>30</v>
      </c>
      <c r="AC7916">
        <v>-16.405999999999999</v>
      </c>
      <c r="AD7916">
        <v>2.1414789999999999</v>
      </c>
      <c r="AE7916">
        <v>340.00121000000001</v>
      </c>
      <c r="AF7916">
        <v>-20.958580481725001</v>
      </c>
      <c r="AG7916">
        <v>2.1414789999999999</v>
      </c>
      <c r="AH7916">
        <v>339.73746661432699</v>
      </c>
      <c r="AI7916">
        <v>89.639535545389194</v>
      </c>
      <c r="AJ7916">
        <v>93.5301326516161</v>
      </c>
      <c r="AK7916">
        <v>340.39006191373699</v>
      </c>
      <c r="AL7916">
        <v>88.761861059140202</v>
      </c>
      <c r="AM7916">
        <v>90.284836228057102</v>
      </c>
      <c r="AN7916">
        <v>1.0000000325027201</v>
      </c>
    </row>
    <row r="7917" spans="1:40" x14ac:dyDescent="0.25">
      <c r="A7917" t="str">
        <f>"20190312160840603"</f>
        <v>20190312160840603</v>
      </c>
      <c r="B7917" t="str">
        <f>"1552378120593692"</f>
        <v>1552378120593692</v>
      </c>
      <c r="C7917" t="s">
        <v>40</v>
      </c>
      <c r="D7917">
        <v>6.176215</v>
      </c>
      <c r="E7917">
        <v>0.4789873</v>
      </c>
      <c r="F7917" t="s">
        <v>46</v>
      </c>
      <c r="G7917">
        <v>-204.48830000000001</v>
      </c>
      <c r="H7917">
        <v>7.4808949999999896</v>
      </c>
      <c r="I7917">
        <v>390.11860000000001</v>
      </c>
      <c r="J7917">
        <v>-187.4032</v>
      </c>
      <c r="K7917">
        <v>1.1093189999999999</v>
      </c>
      <c r="L7917">
        <v>51.307499999999997</v>
      </c>
      <c r="M7917">
        <v>1.340267E-2</v>
      </c>
      <c r="N7917">
        <v>0</v>
      </c>
      <c r="O7917">
        <v>0.99985840000000004</v>
      </c>
      <c r="P7917">
        <v>8.2903909999999994E-3</v>
      </c>
      <c r="Q7917">
        <v>1.1719200000000001E-2</v>
      </c>
      <c r="R7917">
        <v>0.99989689999999998</v>
      </c>
      <c r="S7917">
        <v>-0.1511536</v>
      </c>
      <c r="T7917">
        <v>5.6383490000000001E-2</v>
      </c>
      <c r="U7917">
        <v>3.0009160000000001</v>
      </c>
      <c r="V7917">
        <v>-5.111226E-3</v>
      </c>
      <c r="W7917">
        <v>2.189205E-2</v>
      </c>
      <c r="X7917">
        <v>0.99974730000000001</v>
      </c>
      <c r="Y7917">
        <v>-6.3678399999999996E-2</v>
      </c>
      <c r="Z7917">
        <v>1.875197E-2</v>
      </c>
      <c r="AA7917">
        <v>0.99779430000000002</v>
      </c>
      <c r="AB7917">
        <v>30</v>
      </c>
      <c r="AC7917">
        <v>-17.085100000000001</v>
      </c>
      <c r="AD7917">
        <v>6.3715759999999904</v>
      </c>
      <c r="AE7917">
        <v>338.81110000000001</v>
      </c>
      <c r="AF7917">
        <v>-21.61714815122</v>
      </c>
      <c r="AG7917">
        <v>6.3715759999999904</v>
      </c>
      <c r="AH7917">
        <v>338.43228275680002</v>
      </c>
      <c r="AI7917">
        <v>88.923627787321493</v>
      </c>
      <c r="AJ7917">
        <v>93.654766694781003</v>
      </c>
      <c r="AK7917">
        <v>339.18182157493999</v>
      </c>
      <c r="AL7917">
        <v>88.745577748623006</v>
      </c>
      <c r="AM7917">
        <v>90.292923148153704</v>
      </c>
      <c r="AN7917">
        <v>1.0000000251708501</v>
      </c>
    </row>
    <row r="7918" spans="1:40" x14ac:dyDescent="0.25">
      <c r="A7918" t="str">
        <f>"20190312160840627"</f>
        <v>20190312160840627</v>
      </c>
      <c r="B7918" t="str">
        <f>"1552378120613213"</f>
        <v>1552378120613213</v>
      </c>
      <c r="C7918" t="s">
        <v>40</v>
      </c>
      <c r="D7918">
        <v>6.0615589999999999</v>
      </c>
      <c r="E7918">
        <v>0.47860399999999997</v>
      </c>
      <c r="F7918" t="s">
        <v>46</v>
      </c>
      <c r="G7918">
        <v>-203.5265</v>
      </c>
      <c r="H7918">
        <v>6.7778239999999998</v>
      </c>
      <c r="I7918">
        <v>390.11860000000001</v>
      </c>
      <c r="J7918">
        <v>-187.39879999999999</v>
      </c>
      <c r="K7918">
        <v>1.109318</v>
      </c>
      <c r="L7918">
        <v>51.631990000000002</v>
      </c>
      <c r="M7918">
        <v>1.3409819999999999E-2</v>
      </c>
      <c r="N7918">
        <v>0</v>
      </c>
      <c r="O7918">
        <v>0.99985840000000004</v>
      </c>
      <c r="P7918">
        <v>8.4765399999999994E-3</v>
      </c>
      <c r="Q7918">
        <v>1.1909289999999999E-2</v>
      </c>
      <c r="R7918">
        <v>0.99989309999999998</v>
      </c>
      <c r="S7918">
        <v>-0.14280699999999999</v>
      </c>
      <c r="T7918">
        <v>5.0207019999999998E-2</v>
      </c>
      <c r="U7918">
        <v>3.0009160000000001</v>
      </c>
      <c r="V7918">
        <v>-4.9319610000000003E-3</v>
      </c>
      <c r="W7918">
        <v>2.2075109999999998E-2</v>
      </c>
      <c r="X7918">
        <v>0.99974419999999997</v>
      </c>
      <c r="Y7918">
        <v>-6.0918460000000001E-2</v>
      </c>
      <c r="Z7918">
        <v>1.6700989999999999E-2</v>
      </c>
      <c r="AA7918">
        <v>0.99800299999999997</v>
      </c>
      <c r="AB7918">
        <v>30</v>
      </c>
      <c r="AC7918">
        <v>-16.127700000000001</v>
      </c>
      <c r="AD7918">
        <v>5.6685059999999998</v>
      </c>
      <c r="AE7918">
        <v>338.48660999999998</v>
      </c>
      <c r="AF7918">
        <v>-20.659747931513099</v>
      </c>
      <c r="AG7918">
        <v>5.6685059999999998</v>
      </c>
      <c r="AH7918">
        <v>338.14527309175901</v>
      </c>
      <c r="AI7918">
        <v>89.041398017118993</v>
      </c>
      <c r="AJ7918">
        <v>93.496268788072697</v>
      </c>
      <c r="AK7918">
        <v>338.82323246667403</v>
      </c>
      <c r="AL7918">
        <v>88.735086679619997</v>
      </c>
      <c r="AM7918">
        <v>90.282650559711499</v>
      </c>
      <c r="AN7918">
        <v>1.0000000500772199</v>
      </c>
    </row>
    <row r="7919" spans="1:40" x14ac:dyDescent="0.25">
      <c r="A7919" t="str">
        <f>"20190312160840651"</f>
        <v>20190312160840651</v>
      </c>
      <c r="B7919" t="str">
        <f>"1552378120643466"</f>
        <v>1552378120643466</v>
      </c>
      <c r="C7919" t="s">
        <v>40</v>
      </c>
      <c r="D7919">
        <v>5.9815559999999897</v>
      </c>
      <c r="E7919">
        <v>0.47851650000000001</v>
      </c>
      <c r="F7919" t="s">
        <v>46</v>
      </c>
      <c r="G7919">
        <v>-203.7852</v>
      </c>
      <c r="H7919">
        <v>6.4827620000000001</v>
      </c>
      <c r="I7919">
        <v>390.11860000000001</v>
      </c>
      <c r="J7919">
        <v>-187.3946</v>
      </c>
      <c r="K7919">
        <v>1.109313</v>
      </c>
      <c r="L7919">
        <v>51.947719999999997</v>
      </c>
      <c r="M7919">
        <v>1.3416849999999999E-2</v>
      </c>
      <c r="N7919">
        <v>0</v>
      </c>
      <c r="O7919">
        <v>0.99985840000000004</v>
      </c>
      <c r="P7919">
        <v>8.5044819999999903E-3</v>
      </c>
      <c r="Q7919">
        <v>1.208796E-2</v>
      </c>
      <c r="R7919">
        <v>0.99989070000000002</v>
      </c>
      <c r="S7919">
        <v>-0.14527889999999999</v>
      </c>
      <c r="T7919">
        <v>4.7640200000000001E-2</v>
      </c>
      <c r="U7919">
        <v>3.0009769999999998</v>
      </c>
      <c r="V7919">
        <v>-4.9114429999999997E-3</v>
      </c>
      <c r="W7919">
        <v>2.224721E-2</v>
      </c>
      <c r="X7919">
        <v>0.99974039999999997</v>
      </c>
      <c r="Y7919">
        <v>-6.1745349999999997E-2</v>
      </c>
      <c r="Z7919">
        <v>1.584634E-2</v>
      </c>
      <c r="AA7919">
        <v>0.99796609999999997</v>
      </c>
      <c r="AB7919">
        <v>30</v>
      </c>
      <c r="AC7919">
        <v>-16.390599999999999</v>
      </c>
      <c r="AD7919">
        <v>5.3734489999999999</v>
      </c>
      <c r="AE7919">
        <v>338.17087999999899</v>
      </c>
      <c r="AF7919">
        <v>-20.921276658635499</v>
      </c>
      <c r="AG7919">
        <v>5.3734489999999999</v>
      </c>
      <c r="AH7919">
        <v>337.83541841412301</v>
      </c>
      <c r="AI7919">
        <v>89.090499510164094</v>
      </c>
      <c r="AJ7919">
        <v>93.543654584719306</v>
      </c>
      <c r="AK7919">
        <v>338.525248255176</v>
      </c>
      <c r="AL7919">
        <v>88.7252235444641</v>
      </c>
      <c r="AM7919">
        <v>90.281475762475495</v>
      </c>
      <c r="AN7919">
        <v>0.99999996400864199</v>
      </c>
    </row>
    <row r="7920" spans="1:40" x14ac:dyDescent="0.25">
      <c r="A7920" t="str">
        <f>"20190312160840672"</f>
        <v>20190312160840672</v>
      </c>
      <c r="B7920" t="str">
        <f>"1552378120662986"</f>
        <v>1552378120662986</v>
      </c>
      <c r="C7920" t="s">
        <v>40</v>
      </c>
      <c r="D7920">
        <v>6.0144729999999997</v>
      </c>
      <c r="E7920">
        <v>0.47876819999999998</v>
      </c>
      <c r="F7920" t="s">
        <v>46</v>
      </c>
      <c r="G7920">
        <v>-203.82380000000001</v>
      </c>
      <c r="H7920">
        <v>6.0693890000000001</v>
      </c>
      <c r="I7920">
        <v>390.11860000000001</v>
      </c>
      <c r="J7920">
        <v>-187.39060000000001</v>
      </c>
      <c r="K7920">
        <v>1.109313</v>
      </c>
      <c r="L7920">
        <v>52.246769999999998</v>
      </c>
      <c r="M7920">
        <v>1.342377E-2</v>
      </c>
      <c r="N7920">
        <v>0</v>
      </c>
      <c r="O7920">
        <v>0.99985829999999998</v>
      </c>
      <c r="P7920">
        <v>8.2816179999999993E-3</v>
      </c>
      <c r="Q7920">
        <v>1.210662E-2</v>
      </c>
      <c r="R7920">
        <v>0.99989240000000001</v>
      </c>
      <c r="S7920">
        <v>-0.1457977</v>
      </c>
      <c r="T7920">
        <v>4.4017309999999997E-2</v>
      </c>
      <c r="U7920">
        <v>3.0010379999999999</v>
      </c>
      <c r="V7920">
        <v>-5.1407400000000004E-3</v>
      </c>
      <c r="W7920">
        <v>2.2260080000000002E-2</v>
      </c>
      <c r="X7920">
        <v>0.99973900000000004</v>
      </c>
      <c r="Y7920">
        <v>-6.1924279999999998E-2</v>
      </c>
      <c r="Z7920">
        <v>1.4641100000000001E-2</v>
      </c>
      <c r="AA7920">
        <v>0.99797340000000001</v>
      </c>
      <c r="AB7920">
        <v>31</v>
      </c>
      <c r="AC7920">
        <v>-16.433199999999999</v>
      </c>
      <c r="AD7920">
        <v>4.9600759999999999</v>
      </c>
      <c r="AE7920">
        <v>337.87182999999999</v>
      </c>
      <c r="AF7920">
        <v>-20.962959794570999</v>
      </c>
      <c r="AG7920">
        <v>4.9600759999999999</v>
      </c>
      <c r="AH7920">
        <v>337.54820254721301</v>
      </c>
      <c r="AI7920">
        <v>89.159750750754796</v>
      </c>
      <c r="AJ7920">
        <v>93.553710354717396</v>
      </c>
      <c r="AK7920">
        <v>338.23488448137402</v>
      </c>
      <c r="AL7920">
        <v>88.7244860151539</v>
      </c>
      <c r="AM7920">
        <v>90.2946170046514</v>
      </c>
      <c r="AN7920">
        <v>1.0000000032451699</v>
      </c>
    </row>
    <row r="7921" spans="1:40" x14ac:dyDescent="0.25">
      <c r="A7921" t="str">
        <f>"20190312160840694"</f>
        <v>20190312160840694</v>
      </c>
      <c r="B7921" t="str">
        <f>"1552378120683481"</f>
        <v>1552378120683481</v>
      </c>
      <c r="C7921" t="s">
        <v>40</v>
      </c>
      <c r="D7921">
        <v>5.966291</v>
      </c>
      <c r="E7921">
        <v>0.47939320000000002</v>
      </c>
      <c r="F7921" t="s">
        <v>46</v>
      </c>
      <c r="G7921">
        <v>-203.66810000000001</v>
      </c>
      <c r="H7921">
        <v>6.0158500000000004</v>
      </c>
      <c r="I7921">
        <v>390.11860000000001</v>
      </c>
      <c r="J7921">
        <v>-187.38650000000001</v>
      </c>
      <c r="K7921">
        <v>1.1093150000000001</v>
      </c>
      <c r="L7921">
        <v>52.546810000000001</v>
      </c>
      <c r="M7921">
        <v>1.3430330000000001E-2</v>
      </c>
      <c r="N7921">
        <v>0</v>
      </c>
      <c r="O7921">
        <v>0.99985829999999998</v>
      </c>
      <c r="P7921">
        <v>8.1782859999999999E-3</v>
      </c>
      <c r="Q7921">
        <v>1.256812E-2</v>
      </c>
      <c r="R7921">
        <v>0.99988759999999999</v>
      </c>
      <c r="S7921">
        <v>-0.14457700000000001</v>
      </c>
      <c r="T7921">
        <v>4.3579819999999998E-2</v>
      </c>
      <c r="U7921">
        <v>3.0009769999999998</v>
      </c>
      <c r="V7921">
        <v>-5.250808E-3</v>
      </c>
      <c r="W7921">
        <v>2.2716299999999998E-2</v>
      </c>
      <c r="X7921">
        <v>0.99972810000000001</v>
      </c>
      <c r="Y7921">
        <v>-6.1526919999999999E-2</v>
      </c>
      <c r="Z7921">
        <v>1.4496220000000001E-2</v>
      </c>
      <c r="AA7921">
        <v>0.99800009999999995</v>
      </c>
      <c r="AB7921">
        <v>31</v>
      </c>
      <c r="AC7921">
        <v>-16.281599999999901</v>
      </c>
      <c r="AD7921">
        <v>4.9065349999999999</v>
      </c>
      <c r="AE7921">
        <v>337.571789999999</v>
      </c>
      <c r="AF7921">
        <v>-20.809679399673499</v>
      </c>
      <c r="AG7921">
        <v>4.9065349999999999</v>
      </c>
      <c r="AH7921">
        <v>337.25157996995102</v>
      </c>
      <c r="AI7921">
        <v>89.168067993799596</v>
      </c>
      <c r="AJ7921">
        <v>93.530886567433299</v>
      </c>
      <c r="AK7921">
        <v>337.92860937578502</v>
      </c>
      <c r="AL7921">
        <v>88.698339836899706</v>
      </c>
      <c r="AM7921">
        <v>90.300928193448598</v>
      </c>
      <c r="AN7921">
        <v>0.99999993759997396</v>
      </c>
    </row>
    <row r="7922" spans="1:40" x14ac:dyDescent="0.25">
      <c r="A7922" t="str">
        <f>"20190312160840715"</f>
        <v>20190312160840715</v>
      </c>
      <c r="B7922" t="str">
        <f>"1552378120703001"</f>
        <v>1552378120703001</v>
      </c>
      <c r="C7922" t="s">
        <v>40</v>
      </c>
      <c r="D7922">
        <v>5.9068239999999896</v>
      </c>
      <c r="E7922">
        <v>0.47960809999999998</v>
      </c>
      <c r="F7922" t="s">
        <v>46</v>
      </c>
      <c r="G7922">
        <v>-203.11250000000001</v>
      </c>
      <c r="H7922">
        <v>5.9907849999999998</v>
      </c>
      <c r="I7922">
        <v>390.11860000000001</v>
      </c>
      <c r="J7922">
        <v>-187.3826</v>
      </c>
      <c r="K7922">
        <v>1.1093120000000001</v>
      </c>
      <c r="L7922">
        <v>52.839970000000001</v>
      </c>
      <c r="M7922">
        <v>1.343597E-2</v>
      </c>
      <c r="N7922">
        <v>0</v>
      </c>
      <c r="O7922">
        <v>0.99985829999999998</v>
      </c>
      <c r="P7922">
        <v>8.5446510000000003E-3</v>
      </c>
      <c r="Q7922">
        <v>1.2906290000000001E-2</v>
      </c>
      <c r="R7922">
        <v>0.9998802</v>
      </c>
      <c r="S7922">
        <v>-0.13980100000000001</v>
      </c>
      <c r="T7922">
        <v>4.3395280000000001E-2</v>
      </c>
      <c r="U7922">
        <v>3.0009459999999999</v>
      </c>
      <c r="V7922">
        <v>-4.8899019999999998E-3</v>
      </c>
      <c r="W7922">
        <v>2.3050000000000001E-2</v>
      </c>
      <c r="X7922">
        <v>0.99972240000000001</v>
      </c>
      <c r="Y7922">
        <v>-5.994824E-2</v>
      </c>
      <c r="Z7922">
        <v>1.443623E-2</v>
      </c>
      <c r="AA7922">
        <v>0.99809709999999996</v>
      </c>
      <c r="AB7922">
        <v>31</v>
      </c>
      <c r="AC7922">
        <v>-15.729900000000001</v>
      </c>
      <c r="AD7922">
        <v>4.8814729999999997</v>
      </c>
      <c r="AE7922">
        <v>337.278629999999</v>
      </c>
      <c r="AF7922">
        <v>-20.2561447230437</v>
      </c>
      <c r="AG7922">
        <v>4.8814729999999997</v>
      </c>
      <c r="AH7922">
        <v>336.96639296820899</v>
      </c>
      <c r="AI7922">
        <v>89.171536465755494</v>
      </c>
      <c r="AJ7922">
        <v>93.440095739315097</v>
      </c>
      <c r="AK7922">
        <v>337.60996751828299</v>
      </c>
      <c r="AL7922">
        <v>88.679215368488201</v>
      </c>
      <c r="AM7922">
        <v>90.280246308932206</v>
      </c>
      <c r="AN7922">
        <v>1.00000004535166</v>
      </c>
    </row>
    <row r="7923" spans="1:40" x14ac:dyDescent="0.25">
      <c r="A7923" t="str">
        <f>"20190312160840738"</f>
        <v>20190312160840738</v>
      </c>
      <c r="B7923" t="str">
        <f>"1552378120733259"</f>
        <v>1552378120733259</v>
      </c>
      <c r="C7923" t="s">
        <v>40</v>
      </c>
      <c r="D7923">
        <v>6.0509409999999999</v>
      </c>
      <c r="E7923">
        <v>0.480128</v>
      </c>
      <c r="F7923" t="s">
        <v>46</v>
      </c>
      <c r="G7923">
        <v>-202.77600000000001</v>
      </c>
      <c r="H7923">
        <v>6.1718640000000002</v>
      </c>
      <c r="I7923">
        <v>390.11860000000001</v>
      </c>
      <c r="J7923">
        <v>-187.3785</v>
      </c>
      <c r="K7923">
        <v>1.1093090000000001</v>
      </c>
      <c r="L7923">
        <v>53.140349999999998</v>
      </c>
      <c r="M7923">
        <v>1.3440280000000001E-2</v>
      </c>
      <c r="N7923">
        <v>0</v>
      </c>
      <c r="O7923">
        <v>0.99985829999999998</v>
      </c>
      <c r="P7923">
        <v>9.0413349999999993E-3</v>
      </c>
      <c r="Q7923">
        <v>1.3430249999999999E-2</v>
      </c>
      <c r="R7923">
        <v>0.99986889999999995</v>
      </c>
      <c r="S7923">
        <v>-0.1369629</v>
      </c>
      <c r="T7923">
        <v>4.5044180000000003E-2</v>
      </c>
      <c r="U7923">
        <v>3.0009459999999999</v>
      </c>
      <c r="V7923">
        <v>-4.3978890000000003E-3</v>
      </c>
      <c r="W7923">
        <v>2.3570089999999998E-2</v>
      </c>
      <c r="X7923">
        <v>0.9997125</v>
      </c>
      <c r="Y7923">
        <v>-5.9010199999999999E-2</v>
      </c>
      <c r="Z7923">
        <v>1.4985389999999999E-2</v>
      </c>
      <c r="AA7923">
        <v>0.9981449</v>
      </c>
      <c r="AB7923">
        <v>31</v>
      </c>
      <c r="AC7923">
        <v>-15.3974999999999</v>
      </c>
      <c r="AD7923">
        <v>5.0625549999999997</v>
      </c>
      <c r="AE7923">
        <v>336.97825</v>
      </c>
      <c r="AF7923">
        <v>-19.920936960193099</v>
      </c>
      <c r="AG7923">
        <v>5.0625549999999997</v>
      </c>
      <c r="AH7923">
        <v>336.66502437319798</v>
      </c>
      <c r="AI7923">
        <v>89.139991369481706</v>
      </c>
      <c r="AJ7923">
        <v>93.386322389610996</v>
      </c>
      <c r="AK7923">
        <v>337.29187928070002</v>
      </c>
      <c r="AL7923">
        <v>88.649408229135005</v>
      </c>
      <c r="AM7923">
        <v>90.252051317751096</v>
      </c>
      <c r="AN7923">
        <v>0.99999998661325695</v>
      </c>
    </row>
    <row r="7924" spans="1:40" x14ac:dyDescent="0.25">
      <c r="A7924" t="str">
        <f>"20190312160840759"</f>
        <v>20190312160840759</v>
      </c>
      <c r="B7924" t="str">
        <f>"1552378120753753"</f>
        <v>1552378120753753</v>
      </c>
      <c r="C7924" t="s">
        <v>40</v>
      </c>
      <c r="D7924">
        <v>6.1341539999999997</v>
      </c>
      <c r="E7924">
        <v>0.48038029999999998</v>
      </c>
      <c r="F7924" t="s">
        <v>46</v>
      </c>
      <c r="G7924">
        <v>-202.1241</v>
      </c>
      <c r="H7924">
        <v>6.1103170000000002</v>
      </c>
      <c r="I7924">
        <v>390.11860000000001</v>
      </c>
      <c r="J7924">
        <v>-187.37440000000001</v>
      </c>
      <c r="K7924">
        <v>1.1093109999999999</v>
      </c>
      <c r="L7924">
        <v>53.44614</v>
      </c>
      <c r="M7924">
        <v>1.344307E-2</v>
      </c>
      <c r="N7924">
        <v>0</v>
      </c>
      <c r="O7924">
        <v>0.99985829999999998</v>
      </c>
      <c r="P7924">
        <v>8.9632500000000007E-3</v>
      </c>
      <c r="Q7924">
        <v>1.351276E-2</v>
      </c>
      <c r="R7924">
        <v>0.99986850000000005</v>
      </c>
      <c r="S7924">
        <v>-0.13131709999999999</v>
      </c>
      <c r="T7924">
        <v>4.453671E-2</v>
      </c>
      <c r="U7924">
        <v>3.0009769999999998</v>
      </c>
      <c r="V7924">
        <v>-4.4789189999999996E-3</v>
      </c>
      <c r="W7924">
        <v>2.3649699999999999E-2</v>
      </c>
      <c r="X7924">
        <v>0.99971030000000005</v>
      </c>
      <c r="Y7924">
        <v>-5.7138469999999997E-2</v>
      </c>
      <c r="Z7924">
        <v>1.481789E-2</v>
      </c>
      <c r="AA7924">
        <v>0.99825629999999999</v>
      </c>
      <c r="AB7924">
        <v>31</v>
      </c>
      <c r="AC7924">
        <v>-14.749699999999899</v>
      </c>
      <c r="AD7924">
        <v>5.0010059999999896</v>
      </c>
      <c r="AE7924">
        <v>336.67246</v>
      </c>
      <c r="AF7924">
        <v>-19.270267040514199</v>
      </c>
      <c r="AG7924">
        <v>5.0010059999999896</v>
      </c>
      <c r="AH7924">
        <v>336.36966595902101</v>
      </c>
      <c r="AI7924">
        <v>89.149606804194505</v>
      </c>
      <c r="AJ7924">
        <v>93.278831465272106</v>
      </c>
      <c r="AK7924">
        <v>336.95831408381702</v>
      </c>
      <c r="AL7924">
        <v>88.644845694262898</v>
      </c>
      <c r="AM7924">
        <v>90.256695803266396</v>
      </c>
      <c r="AN7924">
        <v>1.00000002647579</v>
      </c>
    </row>
    <row r="7925" spans="1:40" x14ac:dyDescent="0.25">
      <c r="A7925" t="str">
        <f>"20190312160840783"</f>
        <v>20190312160840783</v>
      </c>
      <c r="B7925" t="str">
        <f>"1552378120773274"</f>
        <v>1552378120773274</v>
      </c>
      <c r="C7925" t="s">
        <v>40</v>
      </c>
      <c r="D7925">
        <v>6.1223199999999904</v>
      </c>
      <c r="E7925">
        <v>0.48122520000000002</v>
      </c>
      <c r="F7925" t="s">
        <v>46</v>
      </c>
      <c r="G7925">
        <v>-201.91309999999999</v>
      </c>
      <c r="H7925">
        <v>6.0493160000000001</v>
      </c>
      <c r="I7925">
        <v>390.11860000000001</v>
      </c>
      <c r="J7925">
        <v>-187.37</v>
      </c>
      <c r="K7925">
        <v>1.1093139999999999</v>
      </c>
      <c r="L7925">
        <v>53.771819999999998</v>
      </c>
      <c r="M7925">
        <v>1.344478E-2</v>
      </c>
      <c r="N7925">
        <v>0</v>
      </c>
      <c r="O7925">
        <v>0.99985829999999998</v>
      </c>
      <c r="P7925">
        <v>9.4014219999999996E-3</v>
      </c>
      <c r="Q7925">
        <v>1.3237250000000001E-2</v>
      </c>
      <c r="R7925">
        <v>0.99986819999999998</v>
      </c>
      <c r="S7925">
        <v>-0.12959289999999901</v>
      </c>
      <c r="T7925">
        <v>4.4033410000000002E-2</v>
      </c>
      <c r="U7925">
        <v>3.0009769999999998</v>
      </c>
      <c r="V7925">
        <v>-4.0422890000000001E-3</v>
      </c>
      <c r="W7925">
        <v>2.3371780000000002E-2</v>
      </c>
      <c r="X7925">
        <v>0.99971869999999996</v>
      </c>
      <c r="Y7925">
        <v>-5.6567800000000001E-2</v>
      </c>
      <c r="Z7925">
        <v>1.465089E-2</v>
      </c>
      <c r="AA7925">
        <v>0.99829129999999999</v>
      </c>
      <c r="AB7925">
        <v>31</v>
      </c>
      <c r="AC7925">
        <v>-14.5430999999999</v>
      </c>
      <c r="AD7925">
        <v>4.9400019999999998</v>
      </c>
      <c r="AE7925">
        <v>336.346779999999</v>
      </c>
      <c r="AF7925">
        <v>-19.060022033926298</v>
      </c>
      <c r="AG7925">
        <v>4.9400019999999998</v>
      </c>
      <c r="AH7925">
        <v>336.04848199804002</v>
      </c>
      <c r="AI7925">
        <v>89.159148679222398</v>
      </c>
      <c r="AJ7925">
        <v>93.246228161650805</v>
      </c>
      <c r="AK7925">
        <v>336.624821296471</v>
      </c>
      <c r="AL7925">
        <v>88.660773743967894</v>
      </c>
      <c r="AM7925">
        <v>90.231670005858206</v>
      </c>
      <c r="AN7925">
        <v>1.0000000296652001</v>
      </c>
    </row>
    <row r="7926" spans="1:40" x14ac:dyDescent="0.25">
      <c r="A7926" t="str">
        <f>"20190312160840804"</f>
        <v>20190312160840804</v>
      </c>
      <c r="B7926" t="str">
        <f>"1552378120793774"</f>
        <v>1552378120793774</v>
      </c>
      <c r="C7926" t="s">
        <v>40</v>
      </c>
      <c r="D7926">
        <v>6.1487290000000003</v>
      </c>
      <c r="E7926">
        <v>0.48140919999999998</v>
      </c>
      <c r="F7926" t="s">
        <v>46</v>
      </c>
      <c r="G7926">
        <v>-201.04849999999999</v>
      </c>
      <c r="H7926">
        <v>5.1685970000000001</v>
      </c>
      <c r="I7926">
        <v>391.87</v>
      </c>
      <c r="J7926">
        <v>-187.36619999999999</v>
      </c>
      <c r="K7926">
        <v>1.1093120000000001</v>
      </c>
      <c r="L7926">
        <v>54.055880000000002</v>
      </c>
      <c r="M7926">
        <v>1.344535E-2</v>
      </c>
      <c r="N7926">
        <v>0</v>
      </c>
      <c r="O7926">
        <v>0.99985829999999998</v>
      </c>
      <c r="P7926">
        <v>9.5480070000000007E-3</v>
      </c>
      <c r="Q7926">
        <v>1.3069249999999999E-2</v>
      </c>
      <c r="R7926">
        <v>0.99986900000000001</v>
      </c>
      <c r="S7926">
        <v>-0.1214142</v>
      </c>
      <c r="T7926">
        <v>3.6031479999999998E-2</v>
      </c>
      <c r="U7926">
        <v>3.0010680000000001</v>
      </c>
      <c r="V7926">
        <v>-3.8964329999999999E-3</v>
      </c>
      <c r="W7926">
        <v>2.3202549999999999E-2</v>
      </c>
      <c r="X7926">
        <v>0.99972320000000003</v>
      </c>
      <c r="Y7926">
        <v>-5.3852419999999998E-2</v>
      </c>
      <c r="Z7926">
        <v>1.199011E-2</v>
      </c>
      <c r="AA7926">
        <v>0.9984769</v>
      </c>
      <c r="AB7926">
        <v>31</v>
      </c>
      <c r="AC7926">
        <v>-13.6822999999999</v>
      </c>
      <c r="AD7926">
        <v>4.059285</v>
      </c>
      <c r="AE7926">
        <v>337.81412</v>
      </c>
      <c r="AF7926">
        <v>-18.2206985831765</v>
      </c>
      <c r="AG7926">
        <v>4.059285</v>
      </c>
      <c r="AH7926">
        <v>337.55094827761098</v>
      </c>
      <c r="AI7926">
        <v>89.312013083776307</v>
      </c>
      <c r="AJ7926">
        <v>93.089776372929293</v>
      </c>
      <c r="AK7926">
        <v>338.06673059424901</v>
      </c>
      <c r="AL7926">
        <v>88.6704725105498</v>
      </c>
      <c r="AM7926">
        <v>90.223309847802199</v>
      </c>
      <c r="AN7926">
        <v>1.0000000085674301</v>
      </c>
    </row>
    <row r="7927" spans="1:40" x14ac:dyDescent="0.25">
      <c r="A7927" t="str">
        <f>"20190312160840825"</f>
        <v>20190312160840825</v>
      </c>
      <c r="B7927" t="str">
        <f>"1552378120823050"</f>
        <v>1552378120823050</v>
      </c>
      <c r="C7927" t="s">
        <v>40</v>
      </c>
      <c r="D7927">
        <v>6.0193479999999999</v>
      </c>
      <c r="E7927">
        <v>0.48142570000000001</v>
      </c>
      <c r="F7927" t="s">
        <v>46</v>
      </c>
      <c r="G7927">
        <v>-200.8322</v>
      </c>
      <c r="H7927">
        <v>5.0873699999999999</v>
      </c>
      <c r="I7927">
        <v>391.87</v>
      </c>
      <c r="J7927">
        <v>-187.3622</v>
      </c>
      <c r="K7927">
        <v>1.1093090000000001</v>
      </c>
      <c r="L7927">
        <v>54.3551</v>
      </c>
      <c r="M7927">
        <v>1.344504E-2</v>
      </c>
      <c r="N7927">
        <v>0</v>
      </c>
      <c r="O7927">
        <v>0.99985829999999998</v>
      </c>
      <c r="P7927">
        <v>9.1642749999999995E-3</v>
      </c>
      <c r="Q7927">
        <v>1.370324E-2</v>
      </c>
      <c r="R7927">
        <v>0.99986410000000003</v>
      </c>
      <c r="S7927">
        <v>-0.1196289</v>
      </c>
      <c r="T7927">
        <v>3.534019E-2</v>
      </c>
      <c r="U7927">
        <v>3.0010680000000001</v>
      </c>
      <c r="V7927">
        <v>-4.2796409999999998E-3</v>
      </c>
      <c r="W7927">
        <v>2.383513E-2</v>
      </c>
      <c r="X7927">
        <v>0.99970669999999995</v>
      </c>
      <c r="Y7927">
        <v>-5.3259180000000003E-2</v>
      </c>
      <c r="Z7927">
        <v>1.1760430000000001E-2</v>
      </c>
      <c r="AA7927">
        <v>0.9985115</v>
      </c>
      <c r="AB7927">
        <v>31</v>
      </c>
      <c r="AC7927">
        <v>-13.47</v>
      </c>
      <c r="AD7927">
        <v>3.9780609999999998</v>
      </c>
      <c r="AE7927">
        <v>337.51490000000001</v>
      </c>
      <c r="AF7927">
        <v>-18.004419356361701</v>
      </c>
      <c r="AG7927">
        <v>3.9780609999999998</v>
      </c>
      <c r="AH7927">
        <v>337.25649904842601</v>
      </c>
      <c r="AI7927">
        <v>89.3251679794935</v>
      </c>
      <c r="AJ7927">
        <v>93.055831199650598</v>
      </c>
      <c r="AK7927">
        <v>337.760166739775</v>
      </c>
      <c r="AL7927">
        <v>88.634218248002497</v>
      </c>
      <c r="AM7927">
        <v>90.245275808658207</v>
      </c>
      <c r="AN7927">
        <v>0.99999995738704694</v>
      </c>
    </row>
    <row r="7928" spans="1:40" x14ac:dyDescent="0.25">
      <c r="A7928" t="str">
        <f>"20190312160841183"</f>
        <v>20190312160841183</v>
      </c>
      <c r="B7928" t="str">
        <f>"1552378121173434"</f>
        <v>1552378121173434</v>
      </c>
      <c r="C7928" t="s">
        <v>40</v>
      </c>
      <c r="D7928">
        <v>7.9854599999999998</v>
      </c>
      <c r="E7928">
        <v>0.45501370000000002</v>
      </c>
      <c r="F7928" t="s">
        <v>46</v>
      </c>
      <c r="G7928">
        <v>-200.93299999999999</v>
      </c>
      <c r="H7928">
        <v>4.682912</v>
      </c>
      <c r="I7928">
        <v>391.87</v>
      </c>
      <c r="J7928">
        <v>-187.29650000000001</v>
      </c>
      <c r="K7928">
        <v>1.109327</v>
      </c>
      <c r="L7928">
        <v>59.3339199999999</v>
      </c>
      <c r="M7928">
        <v>1.301096E-2</v>
      </c>
      <c r="N7928">
        <v>0</v>
      </c>
      <c r="O7928">
        <v>0.99986370000000002</v>
      </c>
      <c r="P7928">
        <v>9.2221939999999995E-3</v>
      </c>
      <c r="Q7928">
        <v>9.8832290000000003E-3</v>
      </c>
      <c r="R7928">
        <v>0.99990860000000004</v>
      </c>
      <c r="S7928">
        <v>-0.1206665</v>
      </c>
      <c r="T7928">
        <v>3.1775240000000003E-2</v>
      </c>
      <c r="U7928">
        <v>3.0010680000000001</v>
      </c>
      <c r="V7928">
        <v>-3.7899100000000001E-3</v>
      </c>
      <c r="W7928">
        <v>2.0048059999999999E-2</v>
      </c>
      <c r="X7928">
        <v>0.99979189999999996</v>
      </c>
      <c r="Y7928">
        <v>-5.3170870000000002E-2</v>
      </c>
      <c r="Z7928">
        <v>1.057428E-2</v>
      </c>
      <c r="AA7928">
        <v>0.99852940000000001</v>
      </c>
      <c r="AB7928">
        <v>31</v>
      </c>
      <c r="AC7928">
        <v>-13.6364999999999</v>
      </c>
      <c r="AD7928">
        <v>3.573585</v>
      </c>
      <c r="AE7928">
        <v>332.536079999999</v>
      </c>
      <c r="AF7928">
        <v>-17.960112052470102</v>
      </c>
      <c r="AG7928">
        <v>3.573585</v>
      </c>
      <c r="AH7928">
        <v>332.29218529168998</v>
      </c>
      <c r="AI7928">
        <v>89.384743092991997</v>
      </c>
      <c r="AJ7928">
        <v>93.093778220050595</v>
      </c>
      <c r="AK7928">
        <v>332.79638300410699</v>
      </c>
      <c r="AL7928">
        <v>88.851253889732206</v>
      </c>
      <c r="AM7928">
        <v>90.217190004898399</v>
      </c>
      <c r="AN7928">
        <v>1.00000006571658</v>
      </c>
    </row>
    <row r="7929" spans="1:40" x14ac:dyDescent="0.25">
      <c r="A7929" t="str">
        <f>"20190312160841205"</f>
        <v>20190312160841205</v>
      </c>
      <c r="B7929" t="str">
        <f>"1552378121203690"</f>
        <v>1552378121203690</v>
      </c>
      <c r="C7929" t="s">
        <v>40</v>
      </c>
      <c r="D7929">
        <v>6.0157540000000003</v>
      </c>
      <c r="E7929">
        <v>0.47605170000000002</v>
      </c>
      <c r="F7929" t="s">
        <v>47</v>
      </c>
      <c r="G7929">
        <v>-188.15649999999999</v>
      </c>
      <c r="H7929" s="1">
        <v>-3.5657250000000001E-6</v>
      </c>
      <c r="I7929">
        <v>67.182319999999905</v>
      </c>
      <c r="J7929">
        <v>-187.29249999999999</v>
      </c>
      <c r="K7929">
        <v>1.109327</v>
      </c>
      <c r="L7929">
        <v>59.642429999999997</v>
      </c>
      <c r="M7929">
        <v>1.2976680000000001E-2</v>
      </c>
      <c r="N7929">
        <v>0</v>
      </c>
      <c r="O7929">
        <v>0.99986410000000003</v>
      </c>
      <c r="P7929">
        <v>9.9852759999999995E-3</v>
      </c>
      <c r="Q7929">
        <v>1.0002469999999999E-2</v>
      </c>
      <c r="R7929">
        <v>0.99990009999999996</v>
      </c>
      <c r="S7929">
        <v>-0.329574599999999</v>
      </c>
      <c r="T7929">
        <v>-0.42509590000000003</v>
      </c>
      <c r="U7929">
        <v>3.0075069999999999</v>
      </c>
      <c r="V7929">
        <v>-2.9923189999999998E-3</v>
      </c>
      <c r="W7929">
        <v>2.01701E-2</v>
      </c>
      <c r="X7929">
        <v>0.99979209999999996</v>
      </c>
      <c r="Y7929">
        <v>-0.1207645</v>
      </c>
      <c r="Z7929">
        <v>-0.13901559999999999</v>
      </c>
      <c r="AA7929">
        <v>0.98289910000000003</v>
      </c>
      <c r="AB7929">
        <v>31</v>
      </c>
      <c r="AC7929">
        <v>-0.86400000000000399</v>
      </c>
      <c r="AD7929">
        <v>-1.1093305657250001</v>
      </c>
      <c r="AE7929">
        <v>7.5398899999999802</v>
      </c>
      <c r="AF7929">
        <v>-0.94165548570125701</v>
      </c>
      <c r="AG7929">
        <v>-1.1093305657250001</v>
      </c>
      <c r="AH7929">
        <v>7.3705620805744996</v>
      </c>
      <c r="AI7929">
        <v>98.491244687817996</v>
      </c>
      <c r="AJ7929">
        <v>97.280609014898403</v>
      </c>
      <c r="AK7929">
        <v>7.5128233535339897</v>
      </c>
      <c r="AL7929">
        <v>88.844260040507095</v>
      </c>
      <c r="AM7929">
        <v>90.171482388924005</v>
      </c>
      <c r="AN7929">
        <v>1.0000000150646999</v>
      </c>
    </row>
    <row r="7930" spans="1:40" x14ac:dyDescent="0.25">
      <c r="A7930" t="str">
        <f>"20190312160841220"</f>
        <v>20190312160841220</v>
      </c>
      <c r="B7930" t="str">
        <f>"1552378121213450"</f>
        <v>1552378121213450</v>
      </c>
      <c r="C7930" t="s">
        <v>40</v>
      </c>
      <c r="D7930">
        <v>9.7431830000000001</v>
      </c>
      <c r="E7930">
        <v>0.47691460000000002</v>
      </c>
      <c r="F7930" t="s">
        <v>44</v>
      </c>
      <c r="G7930">
        <v>-187.3373</v>
      </c>
      <c r="H7930">
        <v>1.009501</v>
      </c>
      <c r="I7930">
        <v>60.487259999999999</v>
      </c>
      <c r="J7930">
        <v>-187.28989999999999</v>
      </c>
      <c r="K7930">
        <v>1.109329</v>
      </c>
      <c r="L7930">
        <v>59.843899999999998</v>
      </c>
      <c r="M7930">
        <v>1.295426E-2</v>
      </c>
      <c r="N7930">
        <v>0</v>
      </c>
      <c r="O7930">
        <v>0.99986430000000004</v>
      </c>
      <c r="P7930">
        <v>1.025158E-2</v>
      </c>
      <c r="Q7930">
        <v>1.031929E-2</v>
      </c>
      <c r="R7930">
        <v>0.99989419999999996</v>
      </c>
      <c r="S7930">
        <v>-0.15977479999999999</v>
      </c>
      <c r="T7930">
        <v>-0.35514020000000002</v>
      </c>
      <c r="U7930">
        <v>3.0054630000000002</v>
      </c>
      <c r="V7930">
        <v>-2.7038750000000001E-3</v>
      </c>
      <c r="W7930">
        <v>2.048904E-2</v>
      </c>
      <c r="X7930">
        <v>0.99978639999999996</v>
      </c>
      <c r="Y7930">
        <v>-6.5653199999999995E-2</v>
      </c>
      <c r="Z7930">
        <v>-0.11712549999999999</v>
      </c>
      <c r="AA7930">
        <v>0.99094459999999995</v>
      </c>
      <c r="AB7930">
        <v>31</v>
      </c>
      <c r="AC7930">
        <v>-4.7400000000010302E-2</v>
      </c>
      <c r="AD7930">
        <v>-9.9828E-2</v>
      </c>
      <c r="AE7930">
        <v>0.64336000000000104</v>
      </c>
      <c r="AF7930">
        <v>-5.4427351334845497E-2</v>
      </c>
      <c r="AG7930">
        <v>-9.9828E-2</v>
      </c>
      <c r="AH7930">
        <v>0.62766152642850204</v>
      </c>
      <c r="AI7930">
        <v>99.003825610338495</v>
      </c>
      <c r="AJ7930">
        <v>94.955977311570706</v>
      </c>
      <c r="AK7930">
        <v>0.63787691439327399</v>
      </c>
      <c r="AL7930">
        <v>88.825982304647098</v>
      </c>
      <c r="AM7930">
        <v>90.154953346167503</v>
      </c>
      <c r="AN7930">
        <v>0.99999997866254797</v>
      </c>
    </row>
    <row r="7931" spans="1:40" x14ac:dyDescent="0.25">
      <c r="A7931" t="str">
        <f>"20190312160841241"</f>
        <v>20190312160841241</v>
      </c>
      <c r="B7931" t="str">
        <f>"1552378121232970"</f>
        <v>1552378121232970</v>
      </c>
      <c r="C7931" t="s">
        <v>40</v>
      </c>
      <c r="D7931">
        <v>5.809647</v>
      </c>
      <c r="E7931">
        <v>0.47706169999999998</v>
      </c>
      <c r="F7931" t="s">
        <v>47</v>
      </c>
      <c r="G7931">
        <v>-187.84979999999999</v>
      </c>
      <c r="H7931" s="1">
        <v>-9.9576350000000001E-7</v>
      </c>
      <c r="I7931">
        <v>70.893010000000004</v>
      </c>
      <c r="J7931">
        <v>-187.2861</v>
      </c>
      <c r="K7931">
        <v>1.1093329999999999</v>
      </c>
      <c r="L7931">
        <v>60.138240000000003</v>
      </c>
      <c r="M7931">
        <v>1.2921480000000001E-2</v>
      </c>
      <c r="N7931">
        <v>0</v>
      </c>
      <c r="O7931">
        <v>0.9998648</v>
      </c>
      <c r="P7931">
        <v>1.0518049999999999E-2</v>
      </c>
      <c r="Q7931">
        <v>1.048935E-2</v>
      </c>
      <c r="R7931">
        <v>0.99988969999999999</v>
      </c>
      <c r="S7931">
        <v>-0.15228269999999999</v>
      </c>
      <c r="T7931">
        <v>-0.30169950000000001</v>
      </c>
      <c r="U7931">
        <v>3.0049739999999998</v>
      </c>
      <c r="V7931">
        <v>-2.404476E-3</v>
      </c>
      <c r="W7931">
        <v>2.0662090000000001E-2</v>
      </c>
      <c r="X7931">
        <v>0.99978359999999999</v>
      </c>
      <c r="Y7931">
        <v>-6.3260930000000007E-2</v>
      </c>
      <c r="Z7931">
        <v>-9.9721829999999997E-2</v>
      </c>
      <c r="AA7931">
        <v>0.9930023</v>
      </c>
      <c r="AB7931">
        <v>31</v>
      </c>
      <c r="AC7931">
        <v>-0.56369999999998299</v>
      </c>
      <c r="AD7931">
        <v>-1.1093339957635</v>
      </c>
      <c r="AE7931">
        <v>10.754769999999899</v>
      </c>
      <c r="AF7931">
        <v>-0.69525079117845601</v>
      </c>
      <c r="AG7931">
        <v>-1.1093339957635</v>
      </c>
      <c r="AH7931">
        <v>10.633759595370901</v>
      </c>
      <c r="AI7931">
        <v>95.9430637444962</v>
      </c>
      <c r="AJ7931">
        <v>93.740757870433796</v>
      </c>
      <c r="AK7931">
        <v>10.7140486609373</v>
      </c>
      <c r="AL7931">
        <v>88.816065166166396</v>
      </c>
      <c r="AM7931">
        <v>90.137795880156006</v>
      </c>
      <c r="AN7931">
        <v>0.99999997514848105</v>
      </c>
    </row>
    <row r="7932" spans="1:40" x14ac:dyDescent="0.25">
      <c r="A7932" t="str">
        <f>"20190312160841264"</f>
        <v>20190312160841264</v>
      </c>
      <c r="B7932" t="str">
        <f>"1552378121253465"</f>
        <v>1552378121253465</v>
      </c>
      <c r="C7932" t="s">
        <v>40</v>
      </c>
      <c r="D7932">
        <v>5.9782690000000001</v>
      </c>
      <c r="E7932">
        <v>0.47749710000000001</v>
      </c>
      <c r="F7932" t="s">
        <v>47</v>
      </c>
      <c r="G7932">
        <v>-188.00800000000001</v>
      </c>
      <c r="H7932" s="1">
        <v>-2.450151E-6</v>
      </c>
      <c r="I7932">
        <v>74.52046</v>
      </c>
      <c r="J7932">
        <v>-187.28190000000001</v>
      </c>
      <c r="K7932">
        <v>1.1093379999999999</v>
      </c>
      <c r="L7932">
        <v>60.4662199999999</v>
      </c>
      <c r="M7932">
        <v>1.2884949999999999E-2</v>
      </c>
      <c r="N7932">
        <v>0</v>
      </c>
      <c r="O7932">
        <v>0.99986520000000001</v>
      </c>
      <c r="P7932">
        <v>1.033997E-2</v>
      </c>
      <c r="Q7932">
        <v>1.0759019999999999E-2</v>
      </c>
      <c r="R7932">
        <v>0.99988869999999996</v>
      </c>
      <c r="S7932">
        <v>-0.15078739999999999</v>
      </c>
      <c r="T7932">
        <v>-0.23173150000000001</v>
      </c>
      <c r="U7932">
        <v>3.0043329999999999</v>
      </c>
      <c r="V7932">
        <v>-2.546052E-3</v>
      </c>
      <c r="W7932">
        <v>2.0935260000000001E-2</v>
      </c>
      <c r="X7932">
        <v>0.99977760000000004</v>
      </c>
      <c r="Y7932">
        <v>-6.2844140000000007E-2</v>
      </c>
      <c r="Z7932">
        <v>-7.6770370000000004E-2</v>
      </c>
      <c r="AA7932">
        <v>0.99506629999999996</v>
      </c>
      <c r="AB7932">
        <v>31</v>
      </c>
      <c r="AC7932">
        <v>-0.72609999999997399</v>
      </c>
      <c r="AD7932">
        <v>-1.109340450151</v>
      </c>
      <c r="AE7932">
        <v>14.05424</v>
      </c>
      <c r="AF7932">
        <v>-0.90153531362924599</v>
      </c>
      <c r="AG7932">
        <v>-1.109340450151</v>
      </c>
      <c r="AH7932">
        <v>13.956990971569899</v>
      </c>
      <c r="AI7932">
        <v>94.535062449697804</v>
      </c>
      <c r="AJ7932">
        <v>93.695818677590196</v>
      </c>
      <c r="AK7932">
        <v>14.0300035330197</v>
      </c>
      <c r="AL7932">
        <v>88.800410331227795</v>
      </c>
      <c r="AM7932">
        <v>90.145910169091096</v>
      </c>
      <c r="AN7932">
        <v>1.0000000084769001</v>
      </c>
    </row>
    <row r="7933" spans="1:40" x14ac:dyDescent="0.25">
      <c r="A7933" t="str">
        <f>"20190312160841287"</f>
        <v>20190312160841287</v>
      </c>
      <c r="B7933" t="str">
        <f>"1552378121283722"</f>
        <v>1552378121283722</v>
      </c>
      <c r="C7933" t="s">
        <v>40</v>
      </c>
      <c r="D7933">
        <v>6.09084</v>
      </c>
      <c r="E7933">
        <v>0.47908410000000001</v>
      </c>
      <c r="F7933" t="s">
        <v>47</v>
      </c>
      <c r="G7933">
        <v>-188.06950000000001</v>
      </c>
      <c r="H7933" s="1">
        <v>-3.277684E-6</v>
      </c>
      <c r="I7933">
        <v>76.474909999999994</v>
      </c>
      <c r="J7933">
        <v>-187.27789999999999</v>
      </c>
      <c r="K7933">
        <v>1.1093360000000001</v>
      </c>
      <c r="L7933">
        <v>60.784730000000003</v>
      </c>
      <c r="M7933">
        <v>1.28495E-2</v>
      </c>
      <c r="N7933">
        <v>0</v>
      </c>
      <c r="O7933">
        <v>0.99986560000000002</v>
      </c>
      <c r="P7933">
        <v>9.8580119999999993E-3</v>
      </c>
      <c r="Q7933">
        <v>1.113724E-2</v>
      </c>
      <c r="R7933">
        <v>0.99988940000000004</v>
      </c>
      <c r="S7933">
        <v>-0.1477966</v>
      </c>
      <c r="T7933">
        <v>-0.208174</v>
      </c>
      <c r="U7933">
        <v>3.0041199999999999</v>
      </c>
      <c r="V7933">
        <v>-2.992247E-3</v>
      </c>
      <c r="W7933">
        <v>2.1317119999999998E-2</v>
      </c>
      <c r="X7933">
        <v>0.99976830000000005</v>
      </c>
      <c r="Y7933">
        <v>-6.1851940000000001E-2</v>
      </c>
      <c r="Z7933">
        <v>-6.9014099999999995E-2</v>
      </c>
      <c r="AA7933">
        <v>0.99569640000000004</v>
      </c>
      <c r="AB7933">
        <v>32</v>
      </c>
      <c r="AC7933">
        <v>-0.79160000000001596</v>
      </c>
      <c r="AD7933">
        <v>-1.1093392776840001</v>
      </c>
      <c r="AE7933">
        <v>15.6901799999999</v>
      </c>
      <c r="AF7933">
        <v>-0.98822856355508104</v>
      </c>
      <c r="AG7933">
        <v>-1.1093392776840001</v>
      </c>
      <c r="AH7933">
        <v>15.600923143456299</v>
      </c>
      <c r="AI7933">
        <v>94.059193100195301</v>
      </c>
      <c r="AJ7933">
        <v>93.624514798841801</v>
      </c>
      <c r="AK7933">
        <v>15.671503828761001</v>
      </c>
      <c r="AL7933">
        <v>88.778526486849003</v>
      </c>
      <c r="AM7933">
        <v>90.171482344911098</v>
      </c>
      <c r="AN7933">
        <v>1.0000000134160401</v>
      </c>
    </row>
    <row r="7934" spans="1:40" x14ac:dyDescent="0.25">
      <c r="A7934" t="str">
        <f>"20190312160841306"</f>
        <v>20190312160841306</v>
      </c>
      <c r="B7934" t="str">
        <f>"1552378121303242"</f>
        <v>1552378121303242</v>
      </c>
      <c r="C7934" t="s">
        <v>40</v>
      </c>
      <c r="D7934">
        <v>5.9649039999999998</v>
      </c>
      <c r="E7934">
        <v>0.47969430000000002</v>
      </c>
      <c r="F7934" t="s">
        <v>47</v>
      </c>
      <c r="G7934">
        <v>-188.0693</v>
      </c>
      <c r="H7934" s="1">
        <v>-4.0248400000000002E-6</v>
      </c>
      <c r="I7934">
        <v>78.216470000000001</v>
      </c>
      <c r="J7934">
        <v>-187.27440000000001</v>
      </c>
      <c r="K7934">
        <v>1.1093309999999901</v>
      </c>
      <c r="L7934">
        <v>61.057949999999998</v>
      </c>
      <c r="M7934">
        <v>1.281909E-2</v>
      </c>
      <c r="N7934">
        <v>0</v>
      </c>
      <c r="O7934">
        <v>0.99986589999999997</v>
      </c>
      <c r="P7934">
        <v>9.0310719999999994E-3</v>
      </c>
      <c r="Q7934">
        <v>1.130629E-2</v>
      </c>
      <c r="R7934">
        <v>0.99989530000000004</v>
      </c>
      <c r="S7934">
        <v>-0.13638310000000001</v>
      </c>
      <c r="T7934">
        <v>-0.19116</v>
      </c>
      <c r="U7934">
        <v>3.0038149999999999</v>
      </c>
      <c r="V7934">
        <v>-3.7888430000000001E-3</v>
      </c>
      <c r="W7934">
        <v>2.148922E-2</v>
      </c>
      <c r="X7934">
        <v>0.99976189999999998</v>
      </c>
      <c r="Y7934">
        <v>-5.8068069999999999E-2</v>
      </c>
      <c r="Z7934">
        <v>-6.3416650000000005E-2</v>
      </c>
      <c r="AA7934">
        <v>0.99629630000000002</v>
      </c>
      <c r="AB7934">
        <v>32</v>
      </c>
      <c r="AC7934">
        <v>-0.79489999999998395</v>
      </c>
      <c r="AD7934">
        <v>-1.10933502483999</v>
      </c>
      <c r="AE7934">
        <v>17.158519999999999</v>
      </c>
      <c r="AF7934">
        <v>-1.01058760468297</v>
      </c>
      <c r="AG7934">
        <v>-1.10933502483999</v>
      </c>
      <c r="AH7934">
        <v>17.075697710910202</v>
      </c>
      <c r="AI7934">
        <v>93.710563777078704</v>
      </c>
      <c r="AJ7934">
        <v>93.386973944603</v>
      </c>
      <c r="AK7934">
        <v>17.141509963199301</v>
      </c>
      <c r="AL7934">
        <v>88.768663606603894</v>
      </c>
      <c r="AM7934">
        <v>90.217135373809995</v>
      </c>
      <c r="AN7934">
        <v>0.99999999929954797</v>
      </c>
    </row>
    <row r="7935" spans="1:40" x14ac:dyDescent="0.25">
      <c r="A7935" t="str">
        <f>"20190312160841330"</f>
        <v>20190312160841330</v>
      </c>
      <c r="B7935" t="str">
        <f>"1552378121323738"</f>
        <v>1552378121323738</v>
      </c>
      <c r="C7935" t="s">
        <v>40</v>
      </c>
      <c r="D7935">
        <v>6.1331989999999896</v>
      </c>
      <c r="E7935">
        <v>0.48015239999999998</v>
      </c>
      <c r="F7935" t="s">
        <v>47</v>
      </c>
      <c r="G7935">
        <v>-188.108</v>
      </c>
      <c r="H7935" s="1">
        <v>-5.2586069999999997E-7</v>
      </c>
      <c r="I7935">
        <v>79.714069999999893</v>
      </c>
      <c r="J7935">
        <v>-187.27010000000001</v>
      </c>
      <c r="K7935">
        <v>1.1093299999999999</v>
      </c>
      <c r="L7935">
        <v>61.397889999999997</v>
      </c>
      <c r="M7935">
        <v>1.2781249999999999E-2</v>
      </c>
      <c r="N7935">
        <v>0</v>
      </c>
      <c r="O7935">
        <v>0.99986640000000004</v>
      </c>
      <c r="P7935">
        <v>8.6148419999999993E-3</v>
      </c>
      <c r="Q7935">
        <v>1.062929E-2</v>
      </c>
      <c r="R7935">
        <v>0.99990639999999997</v>
      </c>
      <c r="S7935">
        <v>-0.13421629999999901</v>
      </c>
      <c r="T7935">
        <v>-0.1785969</v>
      </c>
      <c r="U7935">
        <v>3.0035400000000001</v>
      </c>
      <c r="V7935">
        <v>-4.1674210000000001E-3</v>
      </c>
      <c r="W7935">
        <v>2.0816080000000001E-2</v>
      </c>
      <c r="X7935">
        <v>0.99977459999999996</v>
      </c>
      <c r="Y7935">
        <v>-5.7328509999999999E-2</v>
      </c>
      <c r="Z7935">
        <v>-5.9271709999999998E-2</v>
      </c>
      <c r="AA7935">
        <v>0.99659439999999999</v>
      </c>
      <c r="AB7935">
        <v>32</v>
      </c>
      <c r="AC7935">
        <v>-0.83789999999998999</v>
      </c>
      <c r="AD7935">
        <v>-1.1093305258607</v>
      </c>
      <c r="AE7935">
        <v>18.3161799999999</v>
      </c>
      <c r="AF7935">
        <v>-1.06803779286578</v>
      </c>
      <c r="AG7935">
        <v>-1.1093305258607</v>
      </c>
      <c r="AH7935">
        <v>18.237215837248499</v>
      </c>
      <c r="AI7935">
        <v>93.474950564285905</v>
      </c>
      <c r="AJ7935">
        <v>93.351621374487294</v>
      </c>
      <c r="AK7935">
        <v>18.3021135510898</v>
      </c>
      <c r="AL7935">
        <v>88.807240277151493</v>
      </c>
      <c r="AM7935">
        <v>90.238828083691502</v>
      </c>
      <c r="AN7935">
        <v>0.99999996369475797</v>
      </c>
    </row>
    <row r="7936" spans="1:40" x14ac:dyDescent="0.25">
      <c r="A7936" t="str">
        <f>"20190312160841352"</f>
        <v>20190312160841352</v>
      </c>
      <c r="B7936" t="str">
        <f>"1552378121343262"</f>
        <v>1552378121343262</v>
      </c>
      <c r="C7936" t="s">
        <v>40</v>
      </c>
      <c r="D7936">
        <v>6.0610689999999998</v>
      </c>
      <c r="E7936">
        <v>0.48085889999999998</v>
      </c>
      <c r="F7936" t="s">
        <v>47</v>
      </c>
      <c r="G7936">
        <v>-188.1122</v>
      </c>
      <c r="H7936" s="1">
        <v>-8.1277450000000001E-7</v>
      </c>
      <c r="I7936">
        <v>80.56044</v>
      </c>
      <c r="J7936">
        <v>-187.26609999999999</v>
      </c>
      <c r="K7936">
        <v>1.1093230000000001</v>
      </c>
      <c r="L7936">
        <v>61.710659999999997</v>
      </c>
      <c r="M7936">
        <v>1.2746469999999999E-2</v>
      </c>
      <c r="N7936">
        <v>0</v>
      </c>
      <c r="O7936">
        <v>0.99986679999999994</v>
      </c>
      <c r="P7936">
        <v>9.0917129999999995E-3</v>
      </c>
      <c r="Q7936">
        <v>1.060005E-2</v>
      </c>
      <c r="R7936">
        <v>0.99990250000000003</v>
      </c>
      <c r="S7936">
        <v>-0.13198850000000001</v>
      </c>
      <c r="T7936">
        <v>-0.17386079999999901</v>
      </c>
      <c r="U7936">
        <v>3.0032649999999999</v>
      </c>
      <c r="V7936">
        <v>-3.6558910000000001E-3</v>
      </c>
      <c r="W7936">
        <v>2.078986E-2</v>
      </c>
      <c r="X7936">
        <v>0.99977720000000003</v>
      </c>
      <c r="Y7936">
        <v>-5.6564030000000001E-2</v>
      </c>
      <c r="Z7936">
        <v>-5.7712739999999998E-2</v>
      </c>
      <c r="AA7936">
        <v>0.99672959999999999</v>
      </c>
      <c r="AB7936">
        <v>32</v>
      </c>
      <c r="AC7936">
        <v>-0.84610000000000696</v>
      </c>
      <c r="AD7936">
        <v>-1.1093238127745</v>
      </c>
      <c r="AE7936">
        <v>18.849779999999999</v>
      </c>
      <c r="AF7936">
        <v>-1.08257004887982</v>
      </c>
      <c r="AG7936">
        <v>-1.1093238127745</v>
      </c>
      <c r="AH7936">
        <v>18.772576718590699</v>
      </c>
      <c r="AI7936">
        <v>93.376238082992202</v>
      </c>
      <c r="AJ7936">
        <v>93.300456558604296</v>
      </c>
      <c r="AK7936">
        <v>18.8364591653446</v>
      </c>
      <c r="AL7936">
        <v>88.808742960906102</v>
      </c>
      <c r="AM7936">
        <v>90.209512870505193</v>
      </c>
      <c r="AN7936">
        <v>1.0000000167288301</v>
      </c>
    </row>
    <row r="7937" spans="1:40" x14ac:dyDescent="0.25">
      <c r="A7937" t="str">
        <f>"20190312160841373"</f>
        <v>20190312160841373</v>
      </c>
      <c r="B7937" t="str">
        <f>"1552378121363754"</f>
        <v>1552378121363754</v>
      </c>
      <c r="C7937" t="s">
        <v>40</v>
      </c>
      <c r="D7937">
        <v>6.166093</v>
      </c>
      <c r="E7937">
        <v>0.48129280000000002</v>
      </c>
      <c r="F7937" t="s">
        <v>47</v>
      </c>
      <c r="G7937">
        <v>-188.0462</v>
      </c>
      <c r="H7937" s="1">
        <v>-7.9738439999999898E-7</v>
      </c>
      <c r="I7937">
        <v>80.463610000000003</v>
      </c>
      <c r="J7937">
        <v>-187.26230000000001</v>
      </c>
      <c r="K7937">
        <v>1.1093219999999999</v>
      </c>
      <c r="L7937">
        <v>62.014530000000001</v>
      </c>
      <c r="M7937">
        <v>1.271269E-2</v>
      </c>
      <c r="N7937">
        <v>0</v>
      </c>
      <c r="O7937">
        <v>0.99986719999999896</v>
      </c>
      <c r="P7937">
        <v>9.1282619999999998E-3</v>
      </c>
      <c r="Q7937">
        <v>1.012677E-2</v>
      </c>
      <c r="R7937">
        <v>0.99990710000000005</v>
      </c>
      <c r="S7937">
        <v>-0.12493899999999999</v>
      </c>
      <c r="T7937">
        <v>-0.1776607</v>
      </c>
      <c r="U7937">
        <v>3.0033259999999999</v>
      </c>
      <c r="V7937">
        <v>-3.5853700000000001E-3</v>
      </c>
      <c r="W7937">
        <v>2.0320270000000001E-2</v>
      </c>
      <c r="X7937">
        <v>0.99978710000000004</v>
      </c>
      <c r="Y7937">
        <v>-5.4190889999999999E-2</v>
      </c>
      <c r="Z7937">
        <v>-5.8975449999999999E-2</v>
      </c>
      <c r="AA7937">
        <v>0.99678750000000005</v>
      </c>
      <c r="AB7937">
        <v>32</v>
      </c>
      <c r="AC7937">
        <v>-0.78389999999998805</v>
      </c>
      <c r="AD7937">
        <v>-1.1093227973844</v>
      </c>
      <c r="AE7937">
        <v>18.449079999999899</v>
      </c>
      <c r="AF7937">
        <v>-1.0147241675471099</v>
      </c>
      <c r="AG7937">
        <v>-1.1093227973844</v>
      </c>
      <c r="AH7937">
        <v>18.3713214689657</v>
      </c>
      <c r="AI7937">
        <v>93.450271770340905</v>
      </c>
      <c r="AJ7937">
        <v>93.161470782152804</v>
      </c>
      <c r="AK7937">
        <v>18.432734868192501</v>
      </c>
      <c r="AL7937">
        <v>88.835654159967405</v>
      </c>
      <c r="AM7937">
        <v>90.205469432822397</v>
      </c>
      <c r="AN7937">
        <v>1.0000000067886501</v>
      </c>
    </row>
    <row r="7938" spans="1:40" x14ac:dyDescent="0.25">
      <c r="A7938" t="str">
        <f>"20190312160841395"</f>
        <v>20190312160841395</v>
      </c>
      <c r="B7938" t="str">
        <f>"1552378121383275"</f>
        <v>1552378121383275</v>
      </c>
      <c r="C7938" t="s">
        <v>40</v>
      </c>
      <c r="D7938">
        <v>6.1136599999999897</v>
      </c>
      <c r="E7938">
        <v>0.4815026</v>
      </c>
      <c r="F7938" t="s">
        <v>47</v>
      </c>
      <c r="G7938">
        <v>-188.02789999999999</v>
      </c>
      <c r="H7938" s="1">
        <v>-9.6778909999999992E-7</v>
      </c>
      <c r="I7938">
        <v>80.950029999999998</v>
      </c>
      <c r="J7938">
        <v>-187.25829999999999</v>
      </c>
      <c r="K7938">
        <v>1.109324</v>
      </c>
      <c r="L7938">
        <v>62.326749999999997</v>
      </c>
      <c r="M7938">
        <v>1.267797E-2</v>
      </c>
      <c r="N7938">
        <v>0</v>
      </c>
      <c r="O7938">
        <v>0.99986759999999997</v>
      </c>
      <c r="P7938">
        <v>9.6965300000000001E-3</v>
      </c>
      <c r="Q7938">
        <v>9.5440279999999995E-3</v>
      </c>
      <c r="R7938">
        <v>0.9999074</v>
      </c>
      <c r="S7938">
        <v>-0.12142940000000001</v>
      </c>
      <c r="T7938">
        <v>-0.17593879999999901</v>
      </c>
      <c r="U7938">
        <v>3.003174</v>
      </c>
      <c r="V7938">
        <v>-2.9828099999999998E-3</v>
      </c>
      <c r="W7938">
        <v>1.974151E-2</v>
      </c>
      <c r="X7938">
        <v>0.99980069999999999</v>
      </c>
      <c r="Y7938">
        <v>-5.2996729999999999E-2</v>
      </c>
      <c r="Z7938">
        <v>-5.841209E-2</v>
      </c>
      <c r="AA7938">
        <v>0.99688480000000002</v>
      </c>
      <c r="AB7938">
        <v>32</v>
      </c>
      <c r="AC7938">
        <v>-0.76959999999999695</v>
      </c>
      <c r="AD7938">
        <v>-1.1093249677890999</v>
      </c>
      <c r="AE7938">
        <v>18.623279999999902</v>
      </c>
      <c r="AF7938">
        <v>-1.0021062233297999</v>
      </c>
      <c r="AG7938">
        <v>-1.1093249677890999</v>
      </c>
      <c r="AH7938">
        <v>18.546332166403499</v>
      </c>
      <c r="AI7938">
        <v>93.418020997972604</v>
      </c>
      <c r="AJ7938">
        <v>93.092831413600194</v>
      </c>
      <c r="AK7938">
        <v>18.606484235168399</v>
      </c>
      <c r="AL7938">
        <v>88.868821348737796</v>
      </c>
      <c r="AM7938">
        <v>90.170935984583195</v>
      </c>
      <c r="AN7938">
        <v>1.0000000320465301</v>
      </c>
    </row>
    <row r="7939" spans="1:40" x14ac:dyDescent="0.25">
      <c r="A7939" t="str">
        <f>"20190312160841419"</f>
        <v>20190312160841419</v>
      </c>
      <c r="B7939" t="str">
        <f>"1552378121413530"</f>
        <v>1552378121413530</v>
      </c>
      <c r="C7939" t="s">
        <v>40</v>
      </c>
      <c r="D7939">
        <v>6.1428969999999996</v>
      </c>
      <c r="E7939">
        <v>0.48172169999999997</v>
      </c>
      <c r="F7939" t="s">
        <v>47</v>
      </c>
      <c r="G7939">
        <v>-188.02590000000001</v>
      </c>
      <c r="H7939" s="1">
        <v>-1.308996E-6</v>
      </c>
      <c r="I7939">
        <v>81.867829999999998</v>
      </c>
      <c r="J7939">
        <v>-187.2542</v>
      </c>
      <c r="K7939">
        <v>1.109327</v>
      </c>
      <c r="L7939">
        <v>62.65869</v>
      </c>
      <c r="M7939">
        <v>1.2641060000000001E-2</v>
      </c>
      <c r="N7939">
        <v>0</v>
      </c>
      <c r="O7939">
        <v>0.99986799999999998</v>
      </c>
      <c r="P7939">
        <v>9.6707939999999999E-3</v>
      </c>
      <c r="Q7939">
        <v>9.7193079999999994E-3</v>
      </c>
      <c r="R7939">
        <v>0.99990599999999996</v>
      </c>
      <c r="S7939">
        <v>-0.11796570000000001</v>
      </c>
      <c r="T7939">
        <v>-0.17047989999999999</v>
      </c>
      <c r="U7939">
        <v>3.0030519999999998</v>
      </c>
      <c r="V7939">
        <v>-2.971357E-3</v>
      </c>
      <c r="W7939">
        <v>1.992029E-2</v>
      </c>
      <c r="X7939">
        <v>0.99979720000000005</v>
      </c>
      <c r="Y7939">
        <v>-5.1817540000000002E-2</v>
      </c>
      <c r="Z7939">
        <v>-5.6611000000000002E-2</v>
      </c>
      <c r="AA7939">
        <v>0.99705069999999996</v>
      </c>
      <c r="AB7939">
        <v>32</v>
      </c>
      <c r="AC7939">
        <v>-0.77170000000000905</v>
      </c>
      <c r="AD7939">
        <v>-1.109328308996</v>
      </c>
      <c r="AE7939">
        <v>19.209140000000001</v>
      </c>
      <c r="AF7939">
        <v>-1.0111081970209299</v>
      </c>
      <c r="AG7939">
        <v>-1.109328308996</v>
      </c>
      <c r="AH7939">
        <v>19.134138610063999</v>
      </c>
      <c r="AI7939">
        <v>93.313475484985702</v>
      </c>
      <c r="AJ7939">
        <v>93.024876132031395</v>
      </c>
      <c r="AK7939">
        <v>19.1929208155602</v>
      </c>
      <c r="AL7939">
        <v>88.858576008496399</v>
      </c>
      <c r="AM7939">
        <v>90.170280247127593</v>
      </c>
      <c r="AN7939">
        <v>1.0000000440219701</v>
      </c>
    </row>
    <row r="7940" spans="1:40" x14ac:dyDescent="0.25">
      <c r="A7940" t="str">
        <f>"20190312160841441"</f>
        <v>20190312160841441</v>
      </c>
      <c r="B7940" t="str">
        <f>"1552378121433050"</f>
        <v>1552378121433050</v>
      </c>
      <c r="C7940" t="s">
        <v>40</v>
      </c>
      <c r="D7940">
        <v>6.2118409999999997</v>
      </c>
      <c r="E7940">
        <v>0.48084979999999999</v>
      </c>
      <c r="F7940" t="s">
        <v>47</v>
      </c>
      <c r="G7940">
        <v>-188.06880000000001</v>
      </c>
      <c r="H7940" s="1">
        <v>-2.082026E-6</v>
      </c>
      <c r="I7940">
        <v>83.687510000000003</v>
      </c>
      <c r="J7940">
        <v>-187.25020000000001</v>
      </c>
      <c r="K7940">
        <v>1.109326</v>
      </c>
      <c r="L7940">
        <v>62.976349999999996</v>
      </c>
      <c r="M7940">
        <v>1.2605750000000001E-2</v>
      </c>
      <c r="N7940">
        <v>0</v>
      </c>
      <c r="O7940">
        <v>0.99986850000000005</v>
      </c>
      <c r="P7940">
        <v>9.974732E-3</v>
      </c>
      <c r="Q7940">
        <v>9.5141010000000005E-3</v>
      </c>
      <c r="R7940">
        <v>0.99990500000000004</v>
      </c>
      <c r="S7940">
        <v>-0.11633300000000001</v>
      </c>
      <c r="T7940">
        <v>-0.1584129</v>
      </c>
      <c r="U7940">
        <v>3.0029300000000001</v>
      </c>
      <c r="V7940">
        <v>-2.6319289999999999E-3</v>
      </c>
      <c r="W7940">
        <v>1.9719110000000001E-2</v>
      </c>
      <c r="X7940">
        <v>0.99980210000000003</v>
      </c>
      <c r="Y7940">
        <v>-5.1251039999999998E-2</v>
      </c>
      <c r="Z7940">
        <v>-5.2618970000000001E-2</v>
      </c>
      <c r="AA7940">
        <v>0.99729869999999998</v>
      </c>
      <c r="AB7940">
        <v>32</v>
      </c>
      <c r="AC7940">
        <v>-0.81860000000000299</v>
      </c>
      <c r="AD7940">
        <v>-1.1093280820260001</v>
      </c>
      <c r="AE7940">
        <v>20.71116</v>
      </c>
      <c r="AF7940">
        <v>-1.0765445920424901</v>
      </c>
      <c r="AG7940">
        <v>-1.1093280820260001</v>
      </c>
      <c r="AH7940">
        <v>20.6400732380894</v>
      </c>
      <c r="AI7940">
        <v>93.072309367480898</v>
      </c>
      <c r="AJ7940">
        <v>92.985726751485799</v>
      </c>
      <c r="AK7940">
        <v>20.697878643134501</v>
      </c>
      <c r="AL7940">
        <v>88.870104993201593</v>
      </c>
      <c r="AM7940">
        <v>90.150827924191802</v>
      </c>
      <c r="AN7940">
        <v>1.00000000475693</v>
      </c>
    </row>
    <row r="7941" spans="1:40" x14ac:dyDescent="0.25">
      <c r="A7941" t="str">
        <f>"20190312160841468"</f>
        <v>20190312160841468</v>
      </c>
      <c r="B7941" t="str">
        <f>"1552378121463306"</f>
        <v>1552378121463306</v>
      </c>
      <c r="C7941" t="s">
        <v>40</v>
      </c>
      <c r="D7941">
        <v>6.1089229999999999</v>
      </c>
      <c r="E7941">
        <v>0.48006290000000001</v>
      </c>
      <c r="F7941" t="s">
        <v>47</v>
      </c>
      <c r="G7941">
        <v>-188.1499</v>
      </c>
      <c r="H7941" s="1">
        <v>-2.652868E-6</v>
      </c>
      <c r="I7941">
        <v>85.051680000000005</v>
      </c>
      <c r="J7941">
        <v>-187.24549999999999</v>
      </c>
      <c r="K7941">
        <v>1.1093150000000001</v>
      </c>
      <c r="L7941">
        <v>63.346829999999997</v>
      </c>
      <c r="M7941">
        <v>1.25646E-2</v>
      </c>
      <c r="N7941">
        <v>0</v>
      </c>
      <c r="O7941">
        <v>0.99986889999999995</v>
      </c>
      <c r="P7941">
        <v>9.9631819999999992E-3</v>
      </c>
      <c r="Q7941">
        <v>9.0990770000000006E-3</v>
      </c>
      <c r="R7941">
        <v>0.99990900000000005</v>
      </c>
      <c r="S7941">
        <v>-0.12239070000000001</v>
      </c>
      <c r="T7941">
        <v>-0.1509047</v>
      </c>
      <c r="U7941">
        <v>3.0029599999999999</v>
      </c>
      <c r="V7941">
        <v>-2.6023909999999999E-3</v>
      </c>
      <c r="W7941">
        <v>1.930815E-2</v>
      </c>
      <c r="X7941">
        <v>0.99981019999999998</v>
      </c>
      <c r="Y7941">
        <v>-5.3223289999999999E-2</v>
      </c>
      <c r="Z7941">
        <v>-5.0126370000000003E-2</v>
      </c>
      <c r="AA7941">
        <v>0.99732379999999998</v>
      </c>
      <c r="AB7941">
        <v>32</v>
      </c>
      <c r="AC7941">
        <v>-0.90440000000000897</v>
      </c>
      <c r="AD7941">
        <v>-1.109317652868</v>
      </c>
      <c r="AE7941">
        <v>21.70485</v>
      </c>
      <c r="AF7941">
        <v>-1.1739942495353901</v>
      </c>
      <c r="AG7941">
        <v>-1.109317652868</v>
      </c>
      <c r="AH7941">
        <v>21.635355611249</v>
      </c>
      <c r="AI7941">
        <v>92.9308733112901</v>
      </c>
      <c r="AJ7941">
        <v>93.105981427950098</v>
      </c>
      <c r="AK7941">
        <v>21.695563154205299</v>
      </c>
      <c r="AL7941">
        <v>88.893655753075294</v>
      </c>
      <c r="AM7941">
        <v>90.149133989843804</v>
      </c>
      <c r="AN7941">
        <v>1.0000000065596799</v>
      </c>
    </row>
    <row r="7942" spans="1:40" x14ac:dyDescent="0.25">
      <c r="A7942" t="str">
        <f>"20190312160841486"</f>
        <v>20190312160841486</v>
      </c>
      <c r="B7942" t="str">
        <f>"1552378121473066"</f>
        <v>1552378121473066</v>
      </c>
      <c r="C7942" t="s">
        <v>40</v>
      </c>
      <c r="D7942">
        <v>6.0767069999999999</v>
      </c>
      <c r="E7942">
        <v>0.47975370000000001</v>
      </c>
      <c r="F7942" t="s">
        <v>47</v>
      </c>
      <c r="G7942">
        <v>-188.2011</v>
      </c>
      <c r="H7942" s="1">
        <v>-2.9036189999999999E-6</v>
      </c>
      <c r="I7942">
        <v>85.65737</v>
      </c>
      <c r="J7942">
        <v>-187.24209999999999</v>
      </c>
      <c r="K7942">
        <v>1.109313</v>
      </c>
      <c r="L7942">
        <v>63.626710000000003</v>
      </c>
      <c r="M7942">
        <v>1.25335E-2</v>
      </c>
      <c r="N7942">
        <v>0</v>
      </c>
      <c r="O7942">
        <v>0.99986929999999996</v>
      </c>
      <c r="P7942">
        <v>9.8062440000000004E-3</v>
      </c>
      <c r="Q7942">
        <v>8.5507680000000003E-3</v>
      </c>
      <c r="R7942">
        <v>0.99991540000000001</v>
      </c>
      <c r="S7942">
        <v>-0.12861629999999999</v>
      </c>
      <c r="T7942">
        <v>-0.14930929999999901</v>
      </c>
      <c r="U7942">
        <v>3.0028990000000002</v>
      </c>
      <c r="V7942">
        <v>-2.72828E-3</v>
      </c>
      <c r="W7942">
        <v>1.876369E-2</v>
      </c>
      <c r="X7942">
        <v>0.99982020000000005</v>
      </c>
      <c r="Y7942">
        <v>-5.5258130000000003E-2</v>
      </c>
      <c r="Z7942">
        <v>-4.9593890000000002E-2</v>
      </c>
      <c r="AA7942">
        <v>0.99723969999999995</v>
      </c>
      <c r="AB7942">
        <v>32</v>
      </c>
      <c r="AC7942">
        <v>-0.95900000000000296</v>
      </c>
      <c r="AD7942">
        <v>-1.1093159036189999</v>
      </c>
      <c r="AE7942">
        <v>22.030660000000001</v>
      </c>
      <c r="AF7942">
        <v>-1.2319427177682001</v>
      </c>
      <c r="AG7942">
        <v>-1.1093159036189999</v>
      </c>
      <c r="AH7942">
        <v>21.9613325129637</v>
      </c>
      <c r="AI7942">
        <v>92.887148651752597</v>
      </c>
      <c r="AJ7942">
        <v>93.210698604701307</v>
      </c>
      <c r="AK7942">
        <v>22.023814165099601</v>
      </c>
      <c r="AL7942">
        <v>88.924856634048894</v>
      </c>
      <c r="AM7942">
        <v>90.156346652466297</v>
      </c>
      <c r="AN7942">
        <v>0.99999997595110701</v>
      </c>
    </row>
    <row r="7943" spans="1:40" x14ac:dyDescent="0.25">
      <c r="A7943" t="str">
        <f>"20190312160841508"</f>
        <v>20190312160841508</v>
      </c>
      <c r="B7943" t="str">
        <f>"1552378121503323"</f>
        <v>1552378121503323</v>
      </c>
      <c r="C7943" t="s">
        <v>40</v>
      </c>
      <c r="D7943">
        <v>6.186007</v>
      </c>
      <c r="E7943">
        <v>0.47938900000000001</v>
      </c>
      <c r="F7943" t="s">
        <v>47</v>
      </c>
      <c r="G7943">
        <v>-188.23650000000001</v>
      </c>
      <c r="H7943" s="1">
        <v>-3.1844610000000002E-6</v>
      </c>
      <c r="I7943">
        <v>86.326650000000001</v>
      </c>
      <c r="J7943">
        <v>-187.23840000000001</v>
      </c>
      <c r="K7943">
        <v>1.109313</v>
      </c>
      <c r="L7943">
        <v>63.921140000000001</v>
      </c>
      <c r="M7943">
        <v>1.2500799999999999E-2</v>
      </c>
      <c r="N7943">
        <v>0</v>
      </c>
      <c r="O7943">
        <v>0.99986960000000003</v>
      </c>
      <c r="P7943">
        <v>9.5849319999999991E-3</v>
      </c>
      <c r="Q7943">
        <v>8.4037580000000008E-3</v>
      </c>
      <c r="R7943">
        <v>0.9999188</v>
      </c>
      <c r="S7943">
        <v>-0.131546</v>
      </c>
      <c r="T7943">
        <v>-0.14674319999999999</v>
      </c>
      <c r="U7943">
        <v>3.0028079999999999</v>
      </c>
      <c r="V7943">
        <v>-2.9166050000000001E-3</v>
      </c>
      <c r="W7943">
        <v>1.8619719999999999E-2</v>
      </c>
      <c r="X7943">
        <v>0.9998224</v>
      </c>
      <c r="Y7943">
        <v>-5.6199720000000002E-2</v>
      </c>
      <c r="Z7943">
        <v>-4.8742790000000001E-2</v>
      </c>
      <c r="AA7943">
        <v>0.99722900000000003</v>
      </c>
      <c r="AB7943">
        <v>32</v>
      </c>
      <c r="AC7943">
        <v>-0.99809999999999299</v>
      </c>
      <c r="AD7943">
        <v>-1.109316184461</v>
      </c>
      <c r="AE7943">
        <v>22.40551</v>
      </c>
      <c r="AF7943">
        <v>-1.2750041785614501</v>
      </c>
      <c r="AG7943">
        <v>-1.109316184461</v>
      </c>
      <c r="AH7943">
        <v>22.3366354651092</v>
      </c>
      <c r="AI7943">
        <v>92.838561646566603</v>
      </c>
      <c r="AJ7943">
        <v>93.266972396332804</v>
      </c>
      <c r="AK7943">
        <v>22.400479949180301</v>
      </c>
      <c r="AL7943">
        <v>88.9331069917896</v>
      </c>
      <c r="AM7943">
        <v>90.167138366771994</v>
      </c>
      <c r="AN7943">
        <v>1.00000001604968</v>
      </c>
    </row>
    <row r="7944" spans="1:40" x14ac:dyDescent="0.25">
      <c r="A7944" t="str">
        <f>"20190312160841531"</f>
        <v>20190312160841531</v>
      </c>
      <c r="B7944" t="str">
        <f>"1552378121523818"</f>
        <v>1552378121523818</v>
      </c>
      <c r="C7944" t="s">
        <v>40</v>
      </c>
      <c r="D7944">
        <v>6.1655239999999996</v>
      </c>
      <c r="E7944">
        <v>0.47921740000000002</v>
      </c>
      <c r="F7944" t="s">
        <v>47</v>
      </c>
      <c r="G7944">
        <v>-188.26429999999999</v>
      </c>
      <c r="H7944" s="1">
        <v>-3.337092E-6</v>
      </c>
      <c r="I7944">
        <v>86.693919999999906</v>
      </c>
      <c r="J7944">
        <v>-187.23419999999999</v>
      </c>
      <c r="K7944">
        <v>1.1093170000000001</v>
      </c>
      <c r="L7944">
        <v>64.258209999999906</v>
      </c>
      <c r="M7944">
        <v>1.246337E-2</v>
      </c>
      <c r="N7944">
        <v>0</v>
      </c>
      <c r="O7944">
        <v>0.99987009999999998</v>
      </c>
      <c r="P7944">
        <v>9.0036760000000004E-3</v>
      </c>
      <c r="Q7944">
        <v>8.2331569999999996E-3</v>
      </c>
      <c r="R7944">
        <v>0.99992559999999997</v>
      </c>
      <c r="S7944">
        <v>-0.13526920000000001</v>
      </c>
      <c r="T7944">
        <v>-0.1462724</v>
      </c>
      <c r="U7944">
        <v>3.002777</v>
      </c>
      <c r="V7944">
        <v>-3.461067E-3</v>
      </c>
      <c r="W7944">
        <v>1.845333E-2</v>
      </c>
      <c r="X7944">
        <v>0.99982369999999998</v>
      </c>
      <c r="Y7944">
        <v>-5.7397120000000003E-2</v>
      </c>
      <c r="Z7944">
        <v>-4.8584339999999997E-2</v>
      </c>
      <c r="AA7944">
        <v>0.99716850000000001</v>
      </c>
      <c r="AB7944">
        <v>32</v>
      </c>
      <c r="AC7944">
        <v>-1.0301</v>
      </c>
      <c r="AD7944">
        <v>-1.109320337092</v>
      </c>
      <c r="AE7944">
        <v>22.43571</v>
      </c>
      <c r="AF7944">
        <v>-1.3064718649259</v>
      </c>
      <c r="AG7944">
        <v>-1.109320337092</v>
      </c>
      <c r="AH7944">
        <v>22.366562420944</v>
      </c>
      <c r="AI7944">
        <v>92.834563661753194</v>
      </c>
      <c r="AJ7944">
        <v>93.342952857816201</v>
      </c>
      <c r="AK7944">
        <v>22.43213264213</v>
      </c>
      <c r="AL7944">
        <v>88.942642023581996</v>
      </c>
      <c r="AM7944">
        <v>90.198338706723405</v>
      </c>
      <c r="AN7944">
        <v>0.99999996772727795</v>
      </c>
    </row>
    <row r="7945" spans="1:40" x14ac:dyDescent="0.25">
      <c r="A7945" t="str">
        <f>"20190312160841553"</f>
        <v>20190312160841553</v>
      </c>
      <c r="B7945" t="str">
        <f>"1552378121543342"</f>
        <v>1552378121543342</v>
      </c>
      <c r="C7945" t="s">
        <v>40</v>
      </c>
      <c r="D7945">
        <v>6.1190160000000002</v>
      </c>
      <c r="E7945">
        <v>0.47928150000000003</v>
      </c>
      <c r="F7945" t="s">
        <v>47</v>
      </c>
      <c r="G7945">
        <v>-188.273</v>
      </c>
      <c r="H7945" s="1">
        <v>-3.3862229999999999E-6</v>
      </c>
      <c r="I7945">
        <v>86.812039999999996</v>
      </c>
      <c r="J7945">
        <v>-187.2303</v>
      </c>
      <c r="K7945">
        <v>1.1093200000000001</v>
      </c>
      <c r="L7945">
        <v>64.571809999999999</v>
      </c>
      <c r="M7945">
        <v>1.242855E-2</v>
      </c>
      <c r="N7945">
        <v>0</v>
      </c>
      <c r="O7945">
        <v>0.9998705</v>
      </c>
      <c r="P7945">
        <v>8.5809479999999997E-3</v>
      </c>
      <c r="Q7945">
        <v>8.3682440000000004E-3</v>
      </c>
      <c r="R7945">
        <v>0.99992820000000004</v>
      </c>
      <c r="S7945">
        <v>-0.13829040000000001</v>
      </c>
      <c r="T7945">
        <v>-0.1476884</v>
      </c>
      <c r="U7945">
        <v>3.0026860000000002</v>
      </c>
      <c r="V7945">
        <v>-3.8486570000000001E-3</v>
      </c>
      <c r="W7945">
        <v>1.8592069999999999E-2</v>
      </c>
      <c r="X7945">
        <v>0.99981980000000004</v>
      </c>
      <c r="Y7945">
        <v>-5.8363900000000003E-2</v>
      </c>
      <c r="Z7945">
        <v>-4.9052539999999999E-2</v>
      </c>
      <c r="AA7945">
        <v>0.99708949999999996</v>
      </c>
      <c r="AB7945">
        <v>32</v>
      </c>
      <c r="AC7945">
        <v>-1.04269999999999</v>
      </c>
      <c r="AD7945">
        <v>-1.1093233862230001</v>
      </c>
      <c r="AE7945">
        <v>22.24023</v>
      </c>
      <c r="AF7945">
        <v>-1.31578132311887</v>
      </c>
      <c r="AG7945">
        <v>-1.1093233862230001</v>
      </c>
      <c r="AH7945">
        <v>22.170514451322301</v>
      </c>
      <c r="AI7945">
        <v>92.859438522215896</v>
      </c>
      <c r="AJ7945">
        <v>93.396420573138002</v>
      </c>
      <c r="AK7945">
        <v>22.237211828414601</v>
      </c>
      <c r="AL7945">
        <v>88.9346915356914</v>
      </c>
      <c r="AM7945">
        <v>90.220550456950903</v>
      </c>
      <c r="AN7945">
        <v>1.00000005484981</v>
      </c>
    </row>
    <row r="7946" spans="1:40" x14ac:dyDescent="0.25">
      <c r="A7946" t="str">
        <f>"20190312160841574"</f>
        <v>20190312160841574</v>
      </c>
      <c r="B7946" t="str">
        <f>"1552378121563835"</f>
        <v>1552378121563835</v>
      </c>
      <c r="C7946" t="s">
        <v>40</v>
      </c>
      <c r="D7946">
        <v>6.068009</v>
      </c>
      <c r="E7946">
        <v>0.4791436</v>
      </c>
      <c r="F7946" t="s">
        <v>47</v>
      </c>
      <c r="G7946">
        <v>-188.2748</v>
      </c>
      <c r="H7946" s="1">
        <v>-3.5411950000000002E-6</v>
      </c>
      <c r="I7946">
        <v>87.174030000000002</v>
      </c>
      <c r="J7946">
        <v>-187.22659999999999</v>
      </c>
      <c r="K7946">
        <v>1.1093189999999999</v>
      </c>
      <c r="L7946">
        <v>64.875730000000004</v>
      </c>
      <c r="M7946">
        <v>1.2394830000000001E-2</v>
      </c>
      <c r="N7946">
        <v>0</v>
      </c>
      <c r="O7946">
        <v>0.99987079999999995</v>
      </c>
      <c r="P7946">
        <v>7.9808819999999999E-3</v>
      </c>
      <c r="Q7946">
        <v>8.0009119999999902E-3</v>
      </c>
      <c r="R7946">
        <v>0.99993620000000005</v>
      </c>
      <c r="S7946">
        <v>-0.13874819999999999</v>
      </c>
      <c r="T7946">
        <v>-0.14737120000000001</v>
      </c>
      <c r="U7946">
        <v>3.0026549999999999</v>
      </c>
      <c r="V7946">
        <v>-4.4155430000000001E-3</v>
      </c>
      <c r="W7946">
        <v>1.8228299999999999E-2</v>
      </c>
      <c r="X7946">
        <v>0.99982409999999999</v>
      </c>
      <c r="Y7946">
        <v>-5.8482609999999997E-2</v>
      </c>
      <c r="Z7946">
        <v>-4.8947619999999997E-2</v>
      </c>
      <c r="AA7946">
        <v>0.99708770000000002</v>
      </c>
      <c r="AB7946">
        <v>32</v>
      </c>
      <c r="AC7946">
        <v>-1.0482</v>
      </c>
      <c r="AD7946">
        <v>-1.1093225411949901</v>
      </c>
      <c r="AE7946">
        <v>22.298300000000001</v>
      </c>
      <c r="AF7946">
        <v>-1.3212547123710801</v>
      </c>
      <c r="AG7946">
        <v>-1.1093225411949901</v>
      </c>
      <c r="AH7946">
        <v>22.228699605600301</v>
      </c>
      <c r="AI7946">
        <v>92.851948634026996</v>
      </c>
      <c r="AJ7946">
        <v>93.401609457977003</v>
      </c>
      <c r="AK7946">
        <v>22.295546565881299</v>
      </c>
      <c r="AL7946">
        <v>88.9555374955183</v>
      </c>
      <c r="AM7946">
        <v>90.253034842231301</v>
      </c>
      <c r="AN7946">
        <v>0.99999999944084195</v>
      </c>
    </row>
    <row r="7947" spans="1:40" x14ac:dyDescent="0.25">
      <c r="A7947" t="str">
        <f>"20190312160841597"</f>
        <v>20190312160841597</v>
      </c>
      <c r="B7947" t="str">
        <f>"1552378121583354"</f>
        <v>1552378121583354</v>
      </c>
      <c r="C7947" t="s">
        <v>40</v>
      </c>
      <c r="D7947">
        <v>6.0877169999999996</v>
      </c>
      <c r="E7947">
        <v>0.47905589999999998</v>
      </c>
      <c r="F7947" t="s">
        <v>47</v>
      </c>
      <c r="G7947">
        <v>-188.2901</v>
      </c>
      <c r="H7947" s="1">
        <v>-3.617843E-6</v>
      </c>
      <c r="I7947">
        <v>87.359049999999996</v>
      </c>
      <c r="J7947">
        <v>-187.2227</v>
      </c>
      <c r="K7947">
        <v>1.1093170000000001</v>
      </c>
      <c r="L7947">
        <v>65.194090000000003</v>
      </c>
      <c r="M7947">
        <v>1.2359500000000001E-2</v>
      </c>
      <c r="N7947">
        <v>0</v>
      </c>
      <c r="O7947">
        <v>0.99987130000000002</v>
      </c>
      <c r="P7947">
        <v>8.0630289999999993E-3</v>
      </c>
      <c r="Q7947">
        <v>8.3977569999999901E-3</v>
      </c>
      <c r="R7947">
        <v>0.99993220000000005</v>
      </c>
      <c r="S7947">
        <v>-0.14202879999999901</v>
      </c>
      <c r="T7947">
        <v>-0.14814289999999999</v>
      </c>
      <c r="U7947">
        <v>3.0025019999999998</v>
      </c>
      <c r="V7947">
        <v>-4.2977529999999996E-3</v>
      </c>
      <c r="W7947">
        <v>1.8628780000000001E-2</v>
      </c>
      <c r="X7947">
        <v>0.99981730000000002</v>
      </c>
      <c r="Y7947">
        <v>-5.9536140000000001E-2</v>
      </c>
      <c r="Z7947">
        <v>-4.9203080000000003E-2</v>
      </c>
      <c r="AA7947">
        <v>0.99701280000000003</v>
      </c>
      <c r="AB7947">
        <v>32</v>
      </c>
      <c r="AC7947">
        <v>-1.0673999999999899</v>
      </c>
      <c r="AD7947">
        <v>-1.109320617843</v>
      </c>
      <c r="AE7947">
        <v>22.164959999999901</v>
      </c>
      <c r="AF7947">
        <v>-1.3379370508302799</v>
      </c>
      <c r="AG7947">
        <v>-1.109320617843</v>
      </c>
      <c r="AH7947">
        <v>22.094857542370001</v>
      </c>
      <c r="AI7947">
        <v>92.868999944139901</v>
      </c>
      <c r="AJ7947">
        <v>93.465270353244804</v>
      </c>
      <c r="AK7947">
        <v>22.163108933603599</v>
      </c>
      <c r="AL7947">
        <v>88.932587857178206</v>
      </c>
      <c r="AM7947">
        <v>90.246286588219405</v>
      </c>
      <c r="AN7947">
        <v>1.0000000677522101</v>
      </c>
    </row>
    <row r="7948" spans="1:40" x14ac:dyDescent="0.25">
      <c r="A7948" t="str">
        <f>"20190312160841623"</f>
        <v>20190312160841623</v>
      </c>
      <c r="B7948" t="str">
        <f>"1552378121613610"</f>
        <v>1552378121613610</v>
      </c>
      <c r="C7948" t="s">
        <v>40</v>
      </c>
      <c r="D7948">
        <v>6.0369390000000003</v>
      </c>
      <c r="E7948">
        <v>0.47885230000000001</v>
      </c>
      <c r="F7948" t="s">
        <v>47</v>
      </c>
      <c r="G7948">
        <v>-188.31180000000001</v>
      </c>
      <c r="H7948" s="1">
        <v>-3.9453129999999999E-6</v>
      </c>
      <c r="I7948">
        <v>88.131330000000005</v>
      </c>
      <c r="J7948">
        <v>-187.21809999999999</v>
      </c>
      <c r="K7948">
        <v>1.109318</v>
      </c>
      <c r="L7948">
        <v>65.565399999999997</v>
      </c>
      <c r="M7948">
        <v>1.2318310000000001E-2</v>
      </c>
      <c r="N7948">
        <v>0</v>
      </c>
      <c r="O7948">
        <v>0.99987170000000003</v>
      </c>
      <c r="P7948">
        <v>8.1564050000000003E-3</v>
      </c>
      <c r="Q7948">
        <v>8.4860609999999996E-3</v>
      </c>
      <c r="R7948">
        <v>0.99993069999999895</v>
      </c>
      <c r="S7948">
        <v>-0.14256289999999999</v>
      </c>
      <c r="T7948">
        <v>-0.1452138</v>
      </c>
      <c r="U7948">
        <v>3.0025629999999999</v>
      </c>
      <c r="V7948">
        <v>-4.1628250000000002E-3</v>
      </c>
      <c r="W7948">
        <v>1.8721740000000001E-2</v>
      </c>
      <c r="X7948">
        <v>0.99981609999999999</v>
      </c>
      <c r="Y7948">
        <v>-5.9673240000000002E-2</v>
      </c>
      <c r="Z7948">
        <v>-4.8231179999999998E-2</v>
      </c>
      <c r="AA7948">
        <v>0.9970521</v>
      </c>
      <c r="AB7948">
        <v>32</v>
      </c>
      <c r="AC7948">
        <v>-1.0937000000000101</v>
      </c>
      <c r="AD7948">
        <v>-1.1093219453129901</v>
      </c>
      <c r="AE7948">
        <v>22.565930000000002</v>
      </c>
      <c r="AF7948">
        <v>-1.3683067718098501</v>
      </c>
      <c r="AG7948">
        <v>-1.1093219453129901</v>
      </c>
      <c r="AH7948">
        <v>22.496506281913099</v>
      </c>
      <c r="AI7948">
        <v>92.817818252654504</v>
      </c>
      <c r="AJ7948">
        <v>93.480617811679494</v>
      </c>
      <c r="AK7948">
        <v>22.565364023039599</v>
      </c>
      <c r="AL7948">
        <v>88.927260675804106</v>
      </c>
      <c r="AM7948">
        <v>90.238554795350396</v>
      </c>
      <c r="AN7948">
        <v>1.0000000332398999</v>
      </c>
    </row>
    <row r="7949" spans="1:40" x14ac:dyDescent="0.25">
      <c r="A7949" t="str">
        <f>"20190312160841643"</f>
        <v>20190312160841643</v>
      </c>
      <c r="B7949" t="str">
        <f>"1552378121633130"</f>
        <v>1552378121633130</v>
      </c>
      <c r="C7949" t="s">
        <v>40</v>
      </c>
      <c r="D7949">
        <v>5.9382349999999997</v>
      </c>
      <c r="E7949">
        <v>0.47878959999999998</v>
      </c>
      <c r="F7949" t="s">
        <v>47</v>
      </c>
      <c r="G7949">
        <v>-188.3494</v>
      </c>
      <c r="H7949" s="1">
        <v>-4.3805039999999999E-6</v>
      </c>
      <c r="I7949">
        <v>89.161330000000007</v>
      </c>
      <c r="J7949">
        <v>-187.21449999999999</v>
      </c>
      <c r="K7949">
        <v>1.1093120000000001</v>
      </c>
      <c r="L7949">
        <v>65.865939999999995</v>
      </c>
      <c r="M7949">
        <v>1.2284969999999999E-2</v>
      </c>
      <c r="N7949">
        <v>0</v>
      </c>
      <c r="O7949">
        <v>0.99987210000000004</v>
      </c>
      <c r="P7949">
        <v>8.2083490000000002E-3</v>
      </c>
      <c r="Q7949">
        <v>8.4708040000000002E-3</v>
      </c>
      <c r="R7949">
        <v>0.9999304</v>
      </c>
      <c r="S7949">
        <v>-0.14395139999999901</v>
      </c>
      <c r="T7949">
        <v>-0.1411618</v>
      </c>
      <c r="U7949">
        <v>3.0025940000000002</v>
      </c>
      <c r="V7949">
        <v>-4.0774890000000001E-3</v>
      </c>
      <c r="W7949">
        <v>1.870983E-2</v>
      </c>
      <c r="X7949">
        <v>0.9998167</v>
      </c>
      <c r="Y7949">
        <v>-6.0102570000000001E-2</v>
      </c>
      <c r="Z7949">
        <v>-4.6886780000000003E-2</v>
      </c>
      <c r="AA7949">
        <v>0.99709040000000004</v>
      </c>
      <c r="AB7949">
        <v>32</v>
      </c>
      <c r="AC7949">
        <v>-1.13490000000001</v>
      </c>
      <c r="AD7949">
        <v>-1.1093163805040001</v>
      </c>
      <c r="AE7949">
        <v>23.295390000000001</v>
      </c>
      <c r="AF7949">
        <v>-1.4178050864335201</v>
      </c>
      <c r="AG7949">
        <v>-1.1093163805040001</v>
      </c>
      <c r="AH7949">
        <v>23.227143235592301</v>
      </c>
      <c r="AI7949">
        <v>92.729266981072101</v>
      </c>
      <c r="AJ7949">
        <v>93.493050313795493</v>
      </c>
      <c r="AK7949">
        <v>23.296801003182601</v>
      </c>
      <c r="AL7949">
        <v>88.927943215280905</v>
      </c>
      <c r="AM7949">
        <v>90.233664446210398</v>
      </c>
      <c r="AN7949">
        <v>1.0000000586270299</v>
      </c>
    </row>
    <row r="7950" spans="1:40" x14ac:dyDescent="0.25">
      <c r="A7950" t="str">
        <f>"20190312160841667"</f>
        <v>20190312160841667</v>
      </c>
      <c r="B7950" t="str">
        <f>"1552378121663387"</f>
        <v>1552378121663387</v>
      </c>
      <c r="C7950" t="s">
        <v>40</v>
      </c>
      <c r="D7950">
        <v>5.9432749999999999</v>
      </c>
      <c r="E7950">
        <v>0.47832219999999998</v>
      </c>
      <c r="F7950" t="s">
        <v>47</v>
      </c>
      <c r="G7950">
        <v>-188.37989999999999</v>
      </c>
      <c r="H7950" s="1">
        <v>-5.971381E-7</v>
      </c>
      <c r="I7950">
        <v>90.136080000000007</v>
      </c>
      <c r="J7950">
        <v>-187.21039999999999</v>
      </c>
      <c r="K7950">
        <v>1.109307</v>
      </c>
      <c r="L7950">
        <v>66.198759999999993</v>
      </c>
      <c r="M7950">
        <v>1.224805E-2</v>
      </c>
      <c r="N7950">
        <v>0</v>
      </c>
      <c r="O7950">
        <v>0.99987250000000005</v>
      </c>
      <c r="P7950">
        <v>8.4736810000000003E-3</v>
      </c>
      <c r="Q7950">
        <v>8.3320659999999904E-3</v>
      </c>
      <c r="R7950">
        <v>0.99992939999999997</v>
      </c>
      <c r="S7950">
        <v>-0.14418029999999901</v>
      </c>
      <c r="T7950">
        <v>-0.13723779999999999</v>
      </c>
      <c r="U7950">
        <v>3.0025629999999999</v>
      </c>
      <c r="V7950">
        <v>-3.7757149999999998E-3</v>
      </c>
      <c r="W7950">
        <v>1.8574899999999998E-2</v>
      </c>
      <c r="X7950">
        <v>0.99982040000000005</v>
      </c>
      <c r="Y7950">
        <v>-6.0144919999999998E-2</v>
      </c>
      <c r="Z7950">
        <v>-4.5586519999999998E-2</v>
      </c>
      <c r="AA7950">
        <v>0.99714820000000004</v>
      </c>
      <c r="AB7950">
        <v>32</v>
      </c>
      <c r="AC7950">
        <v>-1.16949999999999</v>
      </c>
      <c r="AD7950">
        <v>-1.1093075971380999</v>
      </c>
      <c r="AE7950">
        <v>23.93732</v>
      </c>
      <c r="AF7950">
        <v>-1.45948622223497</v>
      </c>
      <c r="AG7950">
        <v>-1.1093075971380999</v>
      </c>
      <c r="AH7950">
        <v>23.870058214439901</v>
      </c>
      <c r="AI7950">
        <v>92.655826265687395</v>
      </c>
      <c r="AJ7950">
        <v>93.498878249704902</v>
      </c>
      <c r="AK7950">
        <v>23.9403496745288</v>
      </c>
      <c r="AL7950">
        <v>88.935675477007905</v>
      </c>
      <c r="AM7950">
        <v>90.2163703658874</v>
      </c>
      <c r="AN7950">
        <v>1.0000000575949599</v>
      </c>
    </row>
    <row r="7951" spans="1:40" x14ac:dyDescent="0.25">
      <c r="A7951" t="str">
        <f>"20190312160841688"</f>
        <v>20190312160841688</v>
      </c>
      <c r="B7951" t="str">
        <f>"1552378121683882"</f>
        <v>1552378121683882</v>
      </c>
      <c r="C7951" t="s">
        <v>40</v>
      </c>
      <c r="D7951">
        <v>6.1204609999999997</v>
      </c>
      <c r="E7951">
        <v>0.47832970000000002</v>
      </c>
      <c r="F7951" t="s">
        <v>47</v>
      </c>
      <c r="G7951">
        <v>-188.4599</v>
      </c>
      <c r="H7951" s="1">
        <v>-1.157788E-6</v>
      </c>
      <c r="I7951">
        <v>91.694789999999998</v>
      </c>
      <c r="J7951">
        <v>-187.20660000000001</v>
      </c>
      <c r="K7951">
        <v>1.10931</v>
      </c>
      <c r="L7951">
        <v>66.511380000000003</v>
      </c>
      <c r="M7951">
        <v>1.2213379999999999E-2</v>
      </c>
      <c r="N7951">
        <v>0</v>
      </c>
      <c r="O7951">
        <v>0.99987289999999995</v>
      </c>
      <c r="P7951">
        <v>9.0611879999999995E-3</v>
      </c>
      <c r="Q7951">
        <v>8.2051580000000006E-3</v>
      </c>
      <c r="R7951">
        <v>0.99992530000000002</v>
      </c>
      <c r="S7951">
        <v>-0.14714050000000001</v>
      </c>
      <c r="T7951">
        <v>-0.13063739999999999</v>
      </c>
      <c r="U7951">
        <v>3.0025330000000001</v>
      </c>
      <c r="V7951">
        <v>-3.153084E-3</v>
      </c>
      <c r="W7951">
        <v>1.845142E-2</v>
      </c>
      <c r="X7951">
        <v>0.99982479999999996</v>
      </c>
      <c r="Y7951">
        <v>-6.1096320000000003E-2</v>
      </c>
      <c r="Z7951">
        <v>-4.3396490000000003E-2</v>
      </c>
      <c r="AA7951">
        <v>0.99718799999999996</v>
      </c>
      <c r="AB7951">
        <v>32</v>
      </c>
      <c r="AC7951">
        <v>-1.2532999999999901</v>
      </c>
      <c r="AD7951">
        <v>-1.1093111577879999</v>
      </c>
      <c r="AE7951">
        <v>25.183409999999899</v>
      </c>
      <c r="AF7951">
        <v>-1.55778206096736</v>
      </c>
      <c r="AG7951">
        <v>-1.1093111577879999</v>
      </c>
      <c r="AH7951">
        <v>25.117607365410201</v>
      </c>
      <c r="AI7951">
        <v>92.5239634453593</v>
      </c>
      <c r="AJ7951">
        <v>93.548911446036399</v>
      </c>
      <c r="AK7951">
        <v>25.190304800799399</v>
      </c>
      <c r="AL7951">
        <v>88.942751525840706</v>
      </c>
      <c r="AM7951">
        <v>90.180689463539693</v>
      </c>
      <c r="AN7951">
        <v>1.0000000137668801</v>
      </c>
    </row>
    <row r="7952" spans="1:40" x14ac:dyDescent="0.25">
      <c r="A7952" t="str">
        <f>"20190312160841709"</f>
        <v>20190312160841709</v>
      </c>
      <c r="B7952" t="str">
        <f>"1552378121703403"</f>
        <v>1552378121703403</v>
      </c>
      <c r="C7952" t="s">
        <v>40</v>
      </c>
      <c r="D7952">
        <v>6.105308</v>
      </c>
      <c r="E7952">
        <v>0.47862880000000002</v>
      </c>
      <c r="F7952" t="s">
        <v>47</v>
      </c>
      <c r="G7952">
        <v>-188.4366</v>
      </c>
      <c r="H7952" s="1">
        <v>-1.2467939999999999E-6</v>
      </c>
      <c r="I7952">
        <v>91.892629999999997</v>
      </c>
      <c r="J7952">
        <v>-187.203</v>
      </c>
      <c r="K7952">
        <v>1.109305</v>
      </c>
      <c r="L7952">
        <v>66.808779999999999</v>
      </c>
      <c r="M7952">
        <v>1.2180399999999999E-2</v>
      </c>
      <c r="N7952">
        <v>0</v>
      </c>
      <c r="O7952">
        <v>0.99987329999999996</v>
      </c>
      <c r="P7952">
        <v>9.2263039999999994E-3</v>
      </c>
      <c r="Q7952">
        <v>8.3708089999999999E-3</v>
      </c>
      <c r="R7952">
        <v>0.99992239999999999</v>
      </c>
      <c r="S7952">
        <v>-0.14550779999999999</v>
      </c>
      <c r="T7952">
        <v>-0.1312325</v>
      </c>
      <c r="U7952">
        <v>3.0026250000000001</v>
      </c>
      <c r="V7952">
        <v>-2.955222E-3</v>
      </c>
      <c r="W7952">
        <v>1.8620669999999999E-2</v>
      </c>
      <c r="X7952">
        <v>0.99982230000000005</v>
      </c>
      <c r="Y7952">
        <v>-6.0520560000000001E-2</v>
      </c>
      <c r="Z7952">
        <v>-4.3593840000000002E-2</v>
      </c>
      <c r="AA7952">
        <v>0.99721459999999995</v>
      </c>
      <c r="AB7952">
        <v>32</v>
      </c>
      <c r="AC7952">
        <v>-1.23359999999999</v>
      </c>
      <c r="AD7952">
        <v>-1.109306246794</v>
      </c>
      <c r="AE7952">
        <v>25.083850000000002</v>
      </c>
      <c r="AF7952">
        <v>-1.5360589415157</v>
      </c>
      <c r="AG7952">
        <v>-1.109306246794</v>
      </c>
      <c r="AH7952">
        <v>25.018151129251901</v>
      </c>
      <c r="AI7952">
        <v>92.534069588100195</v>
      </c>
      <c r="AJ7952">
        <v>93.513423264607795</v>
      </c>
      <c r="AK7952">
        <v>25.089797196212501</v>
      </c>
      <c r="AL7952">
        <v>88.933052584529406</v>
      </c>
      <c r="AM7952">
        <v>90.169351348771599</v>
      </c>
      <c r="AN7952">
        <v>1.0000000471328001</v>
      </c>
    </row>
    <row r="7953" spans="1:40" x14ac:dyDescent="0.25">
      <c r="A7953" t="str">
        <f>"20190312160841732"</f>
        <v>20190312160841732</v>
      </c>
      <c r="B7953" t="str">
        <f>"1552378121723899"</f>
        <v>1552378121723899</v>
      </c>
      <c r="C7953" t="s">
        <v>40</v>
      </c>
      <c r="D7953">
        <v>6.5621109999999998</v>
      </c>
      <c r="E7953">
        <v>0.51200779999999901</v>
      </c>
      <c r="F7953" t="s">
        <v>47</v>
      </c>
      <c r="G7953">
        <v>-188.44649999999999</v>
      </c>
      <c r="H7953" s="1">
        <v>-1.7215909999999999E-6</v>
      </c>
      <c r="I7953">
        <v>93.003479999999996</v>
      </c>
      <c r="J7953">
        <v>-187.19890000000001</v>
      </c>
      <c r="K7953">
        <v>1.1093059999999999</v>
      </c>
      <c r="L7953">
        <v>67.146419999999907</v>
      </c>
      <c r="M7953">
        <v>1.2141829999999999E-2</v>
      </c>
      <c r="N7953">
        <v>0</v>
      </c>
      <c r="O7953">
        <v>0.99987369999999998</v>
      </c>
      <c r="P7953">
        <v>9.7649599999999996E-3</v>
      </c>
      <c r="Q7953">
        <v>7.7326749999999996E-3</v>
      </c>
      <c r="R7953">
        <v>0.99992239999999999</v>
      </c>
      <c r="S7953">
        <v>-0.142532299999999</v>
      </c>
      <c r="T7953">
        <v>-0.127155399999999</v>
      </c>
      <c r="U7953">
        <v>3.0025940000000002</v>
      </c>
      <c r="V7953">
        <v>-2.3779019999999999E-3</v>
      </c>
      <c r="W7953">
        <v>1.7986579999999999E-2</v>
      </c>
      <c r="X7953">
        <v>0.99983540000000004</v>
      </c>
      <c r="Y7953">
        <v>-5.9499320000000001E-2</v>
      </c>
      <c r="Z7953">
        <v>-4.2244700000000003E-2</v>
      </c>
      <c r="AA7953">
        <v>0.9973341</v>
      </c>
      <c r="AB7953">
        <v>32</v>
      </c>
      <c r="AC7953">
        <v>-1.2475999999999701</v>
      </c>
      <c r="AD7953">
        <v>-1.1093077215910001</v>
      </c>
      <c r="AE7953">
        <v>25.857060000000001</v>
      </c>
      <c r="AF7953">
        <v>-1.5586145266526199</v>
      </c>
      <c r="AG7953">
        <v>-1.1093077215910001</v>
      </c>
      <c r="AH7953">
        <v>25.792642623247101</v>
      </c>
      <c r="AI7953">
        <v>92.458219962808201</v>
      </c>
      <c r="AJ7953">
        <v>93.458101367448606</v>
      </c>
      <c r="AK7953">
        <v>25.8634927330864</v>
      </c>
      <c r="AL7953">
        <v>88.969389302270798</v>
      </c>
      <c r="AM7953">
        <v>90.136265921189604</v>
      </c>
      <c r="AN7953">
        <v>0.99999999928558903</v>
      </c>
    </row>
    <row r="7954" spans="1:40" x14ac:dyDescent="0.25">
      <c r="A7954" t="str">
        <f>"20190312160841755"</f>
        <v>20190312160841755</v>
      </c>
      <c r="B7954" t="str">
        <f>"1552378121743418"</f>
        <v>1552378121743418</v>
      </c>
      <c r="C7954" t="s">
        <v>40</v>
      </c>
      <c r="D7954">
        <v>6.2112800000000004</v>
      </c>
      <c r="E7954">
        <v>0.51491419999999999</v>
      </c>
      <c r="F7954" t="s">
        <v>46</v>
      </c>
      <c r="G7954">
        <v>-173.71180000000001</v>
      </c>
      <c r="H7954">
        <v>12.04918</v>
      </c>
      <c r="I7954">
        <v>391.00349999999997</v>
      </c>
      <c r="J7954">
        <v>-187.1951</v>
      </c>
      <c r="K7954">
        <v>1.109308</v>
      </c>
      <c r="L7954">
        <v>67.460939999999994</v>
      </c>
      <c r="M7954">
        <v>1.210195E-2</v>
      </c>
      <c r="N7954">
        <v>0</v>
      </c>
      <c r="O7954">
        <v>0.99987409999999999</v>
      </c>
      <c r="P7954">
        <v>1.036102E-2</v>
      </c>
      <c r="Q7954">
        <v>7.2957050000000004E-3</v>
      </c>
      <c r="R7954">
        <v>0.99991969999999997</v>
      </c>
      <c r="S7954">
        <v>0.12486269999999999</v>
      </c>
      <c r="T7954">
        <v>0.10128</v>
      </c>
      <c r="U7954">
        <v>2.99823</v>
      </c>
      <c r="V7954">
        <v>-1.741919E-3</v>
      </c>
      <c r="W7954">
        <v>1.755369E-2</v>
      </c>
      <c r="X7954">
        <v>0.99984439999999997</v>
      </c>
      <c r="Y7954">
        <v>2.9490570000000001E-2</v>
      </c>
      <c r="Z7954">
        <v>3.3735019999999998E-2</v>
      </c>
      <c r="AA7954">
        <v>0.99899559999999998</v>
      </c>
      <c r="AB7954">
        <v>32</v>
      </c>
      <c r="AC7954">
        <v>13.4832999999999</v>
      </c>
      <c r="AD7954">
        <v>10.939871999999999</v>
      </c>
      <c r="AE7954">
        <v>323.54255999999998</v>
      </c>
      <c r="AF7954">
        <v>9.5557042606882092</v>
      </c>
      <c r="AG7954">
        <v>10.939871999999999</v>
      </c>
      <c r="AH7954">
        <v>323.31304271205801</v>
      </c>
      <c r="AI7954">
        <v>88.062879989547895</v>
      </c>
      <c r="AJ7954">
        <v>88.307082871627898</v>
      </c>
      <c r="AK7954">
        <v>323.63917542693002</v>
      </c>
      <c r="AL7954">
        <v>88.994195985437898</v>
      </c>
      <c r="AM7954">
        <v>90.099820037975206</v>
      </c>
      <c r="AN7954">
        <v>0.99999999526288896</v>
      </c>
    </row>
    <row r="7955" spans="1:40" x14ac:dyDescent="0.25">
      <c r="A7955" t="str">
        <f>"20190312160841775"</f>
        <v>20190312160841775</v>
      </c>
      <c r="B7955" t="str">
        <f>"1552378121762938"</f>
        <v>1552378121762938</v>
      </c>
      <c r="C7955" t="s">
        <v>40</v>
      </c>
      <c r="D7955">
        <v>6.3816709999999999</v>
      </c>
      <c r="E7955">
        <v>0.51595469999999999</v>
      </c>
      <c r="F7955" t="s">
        <v>41</v>
      </c>
      <c r="G7955">
        <v>0</v>
      </c>
      <c r="H7955">
        <v>0</v>
      </c>
      <c r="I7955">
        <v>0</v>
      </c>
      <c r="J7955">
        <v>-187.19149999999999</v>
      </c>
      <c r="K7955">
        <v>1.1093150000000001</v>
      </c>
      <c r="L7955">
        <v>67.768769999999904</v>
      </c>
      <c r="M7955">
        <v>1.20544E-2</v>
      </c>
      <c r="N7955">
        <v>0</v>
      </c>
      <c r="O7955">
        <v>0.99987470000000001</v>
      </c>
      <c r="P7955">
        <v>1.085793E-2</v>
      </c>
      <c r="Q7955">
        <v>7.7462399999999997E-3</v>
      </c>
      <c r="R7955">
        <v>0.99991110000000005</v>
      </c>
      <c r="S7955">
        <v>0.15000920000000001</v>
      </c>
      <c r="T7955">
        <v>0.1015562</v>
      </c>
      <c r="U7955">
        <v>2.9979550000000001</v>
      </c>
      <c r="V7955">
        <v>-1.1979219999999999E-3</v>
      </c>
      <c r="W7955">
        <v>1.8007559999999999E-2</v>
      </c>
      <c r="X7955">
        <v>0.99983719999999998</v>
      </c>
      <c r="Y7955">
        <v>3.7902449999999997E-2</v>
      </c>
      <c r="Z7955">
        <v>3.3818750000000002E-2</v>
      </c>
      <c r="AA7955">
        <v>0.99870899999999996</v>
      </c>
      <c r="AB7955">
        <v>32</v>
      </c>
      <c r="AC7955">
        <v>0.15000920000000001</v>
      </c>
      <c r="AD7955">
        <v>0.1015562</v>
      </c>
      <c r="AE7955">
        <v>2.9979550000000001</v>
      </c>
      <c r="AF7955">
        <v>0.11372766892439599</v>
      </c>
      <c r="AG7955">
        <v>0.1015562</v>
      </c>
      <c r="AH7955">
        <v>2.9961159855484398</v>
      </c>
      <c r="AI7955">
        <v>88.060044354363896</v>
      </c>
      <c r="AJ7955">
        <v>87.826189432361303</v>
      </c>
      <c r="AK7955">
        <v>2.9999931072081401</v>
      </c>
      <c r="AL7955">
        <v>88.968187111838304</v>
      </c>
      <c r="AM7955">
        <v>90.068647017678401</v>
      </c>
      <c r="AN7955">
        <v>1.0000000668690501</v>
      </c>
    </row>
    <row r="7956" spans="1:40" x14ac:dyDescent="0.25">
      <c r="A7956" t="str">
        <f>"20190312160841799"</f>
        <v>20190312160841799</v>
      </c>
      <c r="B7956" t="str">
        <f>"1552378121793195"</f>
        <v>1552378121793195</v>
      </c>
      <c r="C7956" t="s">
        <v>40</v>
      </c>
      <c r="D7956">
        <v>6.3817240000000002</v>
      </c>
      <c r="E7956">
        <v>0.51654520000000004</v>
      </c>
      <c r="F7956" t="s">
        <v>41</v>
      </c>
      <c r="G7956">
        <v>0</v>
      </c>
      <c r="H7956">
        <v>0</v>
      </c>
      <c r="I7956">
        <v>0</v>
      </c>
      <c r="J7956">
        <v>-187.1875</v>
      </c>
      <c r="K7956">
        <v>1.1093249999999999</v>
      </c>
      <c r="L7956">
        <v>68.101839999999996</v>
      </c>
      <c r="M7956">
        <v>1.199328E-2</v>
      </c>
      <c r="N7956">
        <v>0</v>
      </c>
      <c r="O7956">
        <v>0.99987539999999997</v>
      </c>
      <c r="P7956">
        <v>1.1085640000000001E-2</v>
      </c>
      <c r="Q7956">
        <v>8.3246740000000007E-3</v>
      </c>
      <c r="R7956">
        <v>0.99990389999999996</v>
      </c>
      <c r="S7956">
        <v>0.15969849999999999</v>
      </c>
      <c r="T7956">
        <v>0.1061637</v>
      </c>
      <c r="U7956">
        <v>2.9977109999999998</v>
      </c>
      <c r="V7956">
        <v>-9.0947320000000001E-4</v>
      </c>
      <c r="W7956">
        <v>1.8590160000000001E-2</v>
      </c>
      <c r="X7956">
        <v>0.99982680000000002</v>
      </c>
      <c r="Y7956">
        <v>4.118405E-2</v>
      </c>
      <c r="Z7956">
        <v>3.5348900000000003E-2</v>
      </c>
      <c r="AA7956">
        <v>0.99852609999999997</v>
      </c>
      <c r="AB7956">
        <v>32</v>
      </c>
      <c r="AC7956">
        <v>0.15969849999999999</v>
      </c>
      <c r="AD7956">
        <v>0.1061637</v>
      </c>
      <c r="AE7956">
        <v>2.9977109999999998</v>
      </c>
      <c r="AF7956">
        <v>0.12357817654094801</v>
      </c>
      <c r="AG7956">
        <v>0.1061637</v>
      </c>
      <c r="AH7956">
        <v>2.9956642067669801</v>
      </c>
      <c r="AI7956">
        <v>87.972060832019807</v>
      </c>
      <c r="AJ7956">
        <v>87.637754056907198</v>
      </c>
      <c r="AK7956">
        <v>3.0000910547214601</v>
      </c>
      <c r="AL7956">
        <v>88.934800958374595</v>
      </c>
      <c r="AM7956">
        <v>90.052117988403694</v>
      </c>
      <c r="AN7956">
        <v>1.00000002559428</v>
      </c>
    </row>
    <row r="7957" spans="1:40" x14ac:dyDescent="0.25">
      <c r="A7957" t="str">
        <f>"20190312160841820"</f>
        <v>20190312160841820</v>
      </c>
      <c r="B7957" t="str">
        <f>"1552378121813690"</f>
        <v>1552378121813690</v>
      </c>
      <c r="C7957" t="s">
        <v>40</v>
      </c>
      <c r="D7957">
        <v>6.42171</v>
      </c>
      <c r="E7957">
        <v>0.51691480000000001</v>
      </c>
      <c r="F7957" t="s">
        <v>41</v>
      </c>
      <c r="G7957">
        <v>0</v>
      </c>
      <c r="H7957">
        <v>0</v>
      </c>
      <c r="I7957">
        <v>0</v>
      </c>
      <c r="J7957">
        <v>-187.18379999999999</v>
      </c>
      <c r="K7957">
        <v>1.1093309999999901</v>
      </c>
      <c r="L7957">
        <v>68.413759999999996</v>
      </c>
      <c r="M7957">
        <v>1.1923339999999999E-2</v>
      </c>
      <c r="N7957">
        <v>0</v>
      </c>
      <c r="O7957">
        <v>0.99987619999999999</v>
      </c>
      <c r="P7957">
        <v>1.1083590000000001E-2</v>
      </c>
      <c r="Q7957">
        <v>8.1997530000000006E-3</v>
      </c>
      <c r="R7957">
        <v>0.99990489999999999</v>
      </c>
      <c r="S7957">
        <v>0.16506960000000001</v>
      </c>
      <c r="T7957">
        <v>0.1042463</v>
      </c>
      <c r="U7957">
        <v>2.9975890000000001</v>
      </c>
      <c r="V7957">
        <v>-8.4177609999999995E-4</v>
      </c>
      <c r="W7957">
        <v>1.846859E-2</v>
      </c>
      <c r="X7957">
        <v>0.99982910000000003</v>
      </c>
      <c r="Y7957">
        <v>4.3041169999999997E-2</v>
      </c>
      <c r="Z7957">
        <v>3.4709619999999997E-2</v>
      </c>
      <c r="AA7957">
        <v>0.99847019999999997</v>
      </c>
      <c r="AB7957">
        <v>32</v>
      </c>
      <c r="AC7957">
        <v>0.16506960000000001</v>
      </c>
      <c r="AD7957">
        <v>0.1042463</v>
      </c>
      <c r="AE7957">
        <v>2.9975890000000001</v>
      </c>
      <c r="AF7957">
        <v>0.12915897264367401</v>
      </c>
      <c r="AG7957">
        <v>0.1042463</v>
      </c>
      <c r="AH7957">
        <v>2.99573203248735</v>
      </c>
      <c r="AI7957">
        <v>88.008858296481193</v>
      </c>
      <c r="AJ7957">
        <v>87.531259895558307</v>
      </c>
      <c r="AK7957">
        <v>3.0003266058462401</v>
      </c>
      <c r="AL7957">
        <v>88.941767589168293</v>
      </c>
      <c r="AM7957">
        <v>90.048238450380495</v>
      </c>
      <c r="AN7957">
        <v>1.0000000133052001</v>
      </c>
    </row>
    <row r="7958" spans="1:40" x14ac:dyDescent="0.25">
      <c r="A7958" t="str">
        <f>"20190312160841842"</f>
        <v>20190312160841842</v>
      </c>
      <c r="B7958" t="str">
        <f>"1552378121833210"</f>
        <v>1552378121833210</v>
      </c>
      <c r="C7958" t="s">
        <v>40</v>
      </c>
      <c r="D7958">
        <v>6.1133499999999996</v>
      </c>
      <c r="E7958">
        <v>0.51712139999999995</v>
      </c>
      <c r="F7958" t="s">
        <v>41</v>
      </c>
      <c r="G7958">
        <v>0</v>
      </c>
      <c r="H7958">
        <v>0</v>
      </c>
      <c r="I7958">
        <v>0</v>
      </c>
      <c r="J7958">
        <v>-187.1799</v>
      </c>
      <c r="K7958">
        <v>1.1093489999999999</v>
      </c>
      <c r="L7958">
        <v>68.748469999999998</v>
      </c>
      <c r="M7958">
        <v>1.1827320000000001E-2</v>
      </c>
      <c r="N7958">
        <v>0</v>
      </c>
      <c r="O7958">
        <v>0.99987729999999997</v>
      </c>
      <c r="P7958">
        <v>1.0698279999999999E-2</v>
      </c>
      <c r="Q7958">
        <v>8.4193269999999903E-3</v>
      </c>
      <c r="R7958">
        <v>0.99990730000000005</v>
      </c>
      <c r="S7958">
        <v>0.16818239999999901</v>
      </c>
      <c r="T7958">
        <v>0.1028913</v>
      </c>
      <c r="U7958">
        <v>2.9975589999999999</v>
      </c>
      <c r="V7958">
        <v>-1.131639E-3</v>
      </c>
      <c r="W7958">
        <v>1.8692179999999999E-2</v>
      </c>
      <c r="X7958">
        <v>0.99982459999999995</v>
      </c>
      <c r="Y7958">
        <v>4.4172179999999998E-2</v>
      </c>
      <c r="Z7958">
        <v>3.4257589999999997E-2</v>
      </c>
      <c r="AA7958">
        <v>0.9984364</v>
      </c>
      <c r="AB7958">
        <v>32</v>
      </c>
      <c r="AC7958">
        <v>0.16818239999999901</v>
      </c>
      <c r="AD7958">
        <v>0.1028913</v>
      </c>
      <c r="AE7958">
        <v>2.9975589999999999</v>
      </c>
      <c r="AF7958">
        <v>0.13255998233698399</v>
      </c>
      <c r="AG7958">
        <v>0.1028913</v>
      </c>
      <c r="AH7958">
        <v>2.99581994351374</v>
      </c>
      <c r="AI7958">
        <v>88.034873560222806</v>
      </c>
      <c r="AJ7958">
        <v>87.466410995590905</v>
      </c>
      <c r="AK7958">
        <v>3.0005159393823502</v>
      </c>
      <c r="AL7958">
        <v>88.928954551054503</v>
      </c>
      <c r="AM7958">
        <v>90.064849485544997</v>
      </c>
      <c r="AN7958">
        <v>0.99999995448256795</v>
      </c>
    </row>
    <row r="7959" spans="1:40" x14ac:dyDescent="0.25">
      <c r="A7959" t="str">
        <f>"20190312160841867"</f>
        <v>20190312160841867</v>
      </c>
      <c r="B7959" t="str">
        <f>"1552378121863467"</f>
        <v>1552378121863467</v>
      </c>
      <c r="C7959" t="s">
        <v>40</v>
      </c>
      <c r="D7959">
        <v>6.2468320000000004</v>
      </c>
      <c r="E7959">
        <v>0.51735339999999996</v>
      </c>
      <c r="F7959" t="s">
        <v>41</v>
      </c>
      <c r="G7959">
        <v>0</v>
      </c>
      <c r="H7959">
        <v>0</v>
      </c>
      <c r="I7959">
        <v>0</v>
      </c>
      <c r="J7959">
        <v>-187.17590000000001</v>
      </c>
      <c r="K7959">
        <v>1.1093679999999999</v>
      </c>
      <c r="L7959">
        <v>69.096680000000006</v>
      </c>
      <c r="M7959">
        <v>1.1699950000000001E-2</v>
      </c>
      <c r="N7959">
        <v>0</v>
      </c>
      <c r="O7959">
        <v>0.99987870000000001</v>
      </c>
      <c r="P7959">
        <v>9.5514669999999992E-3</v>
      </c>
      <c r="Q7959">
        <v>9.3971569999999997E-3</v>
      </c>
      <c r="R7959">
        <v>0.99991019999999997</v>
      </c>
      <c r="S7959">
        <v>0.16862489999999999</v>
      </c>
      <c r="T7959">
        <v>0.1017141</v>
      </c>
      <c r="U7959">
        <v>2.99762</v>
      </c>
      <c r="V7959">
        <v>-2.1523269999999999E-3</v>
      </c>
      <c r="W7959">
        <v>1.967381E-2</v>
      </c>
      <c r="X7959">
        <v>0.99980409999999997</v>
      </c>
      <c r="Y7959">
        <v>4.4445980000000003E-2</v>
      </c>
      <c r="Z7959">
        <v>3.3865149999999997E-2</v>
      </c>
      <c r="AA7959">
        <v>0.99843760000000004</v>
      </c>
      <c r="AB7959">
        <v>32</v>
      </c>
      <c r="AC7959">
        <v>0.16862489999999999</v>
      </c>
      <c r="AD7959">
        <v>0.1017141</v>
      </c>
      <c r="AE7959">
        <v>2.99762</v>
      </c>
      <c r="AF7959">
        <v>0.133386408553579</v>
      </c>
      <c r="AG7959">
        <v>0.1017141</v>
      </c>
      <c r="AH7959">
        <v>2.9959492884213801</v>
      </c>
      <c r="AI7959">
        <v>88.057447000476699</v>
      </c>
      <c r="AJ7959">
        <v>87.450746391963307</v>
      </c>
      <c r="AK7959">
        <v>3.00064156988438</v>
      </c>
      <c r="AL7959">
        <v>88.872700950611005</v>
      </c>
      <c r="AM7959">
        <v>90.123343225669899</v>
      </c>
      <c r="AN7959">
        <v>0.99999996484411902</v>
      </c>
    </row>
    <row r="7960" spans="1:40" x14ac:dyDescent="0.25">
      <c r="A7960" t="str">
        <f>"20190312160841889"</f>
        <v>20190312160841889</v>
      </c>
      <c r="B7960" t="str">
        <f>"1552378121883964"</f>
        <v>1552378121883964</v>
      </c>
      <c r="C7960" t="s">
        <v>40</v>
      </c>
      <c r="D7960">
        <v>6.0681459999999996</v>
      </c>
      <c r="E7960">
        <v>0.51791069999999995</v>
      </c>
      <c r="F7960" t="s">
        <v>41</v>
      </c>
      <c r="G7960">
        <v>0</v>
      </c>
      <c r="H7960">
        <v>0</v>
      </c>
      <c r="I7960">
        <v>0</v>
      </c>
      <c r="J7960">
        <v>-187.17230000000001</v>
      </c>
      <c r="K7960">
        <v>1.1093869999999999</v>
      </c>
      <c r="L7960">
        <v>69.417209999999997</v>
      </c>
      <c r="M7960">
        <v>1.1556240000000001E-2</v>
      </c>
      <c r="N7960">
        <v>0</v>
      </c>
      <c r="O7960">
        <v>0.9998804</v>
      </c>
      <c r="P7960">
        <v>8.8355900000000008E-3</v>
      </c>
      <c r="Q7960">
        <v>9.5637359999999998E-3</v>
      </c>
      <c r="R7960">
        <v>0.9999152</v>
      </c>
      <c r="S7960">
        <v>0.16694639999999999</v>
      </c>
      <c r="T7960">
        <v>0.10601720000000001</v>
      </c>
      <c r="U7960">
        <v>2.997681</v>
      </c>
      <c r="V7960">
        <v>-2.7253630000000002E-3</v>
      </c>
      <c r="W7960">
        <v>1.9843530000000002E-2</v>
      </c>
      <c r="X7960">
        <v>0.9997994</v>
      </c>
      <c r="Y7960">
        <v>4.4028360000000002E-2</v>
      </c>
      <c r="Z7960">
        <v>3.5296340000000002E-2</v>
      </c>
      <c r="AA7960">
        <v>0.99840660000000003</v>
      </c>
      <c r="AB7960">
        <v>32</v>
      </c>
      <c r="AC7960">
        <v>0.16694639999999999</v>
      </c>
      <c r="AD7960">
        <v>0.10601720000000001</v>
      </c>
      <c r="AE7960">
        <v>2.997681</v>
      </c>
      <c r="AF7960">
        <v>0.13212674903761201</v>
      </c>
      <c r="AG7960">
        <v>0.10601720000000001</v>
      </c>
      <c r="AH7960">
        <v>2.9956748291322799</v>
      </c>
      <c r="AI7960">
        <v>87.975110079722697</v>
      </c>
      <c r="AJ7960">
        <v>87.474558377420493</v>
      </c>
      <c r="AK7960">
        <v>3.0004607656831301</v>
      </c>
      <c r="AL7960">
        <v>88.862974870847395</v>
      </c>
      <c r="AM7960">
        <v>90.1561827410343</v>
      </c>
      <c r="AN7960">
        <v>1.00000001676335</v>
      </c>
    </row>
    <row r="7961" spans="1:40" x14ac:dyDescent="0.25">
      <c r="A7961" t="str">
        <f>"20190312160841910"</f>
        <v>20190312160841910</v>
      </c>
      <c r="B7961" t="str">
        <f>"1552378121903483"</f>
        <v>1552378121903483</v>
      </c>
      <c r="C7961" t="s">
        <v>40</v>
      </c>
      <c r="D7961">
        <v>6.1129239999999996</v>
      </c>
      <c r="E7961">
        <v>0.51848950000000005</v>
      </c>
      <c r="F7961" t="s">
        <v>42</v>
      </c>
      <c r="G7961">
        <v>-169.59799999999899</v>
      </c>
      <c r="H7961">
        <v>12.649789999999999</v>
      </c>
      <c r="I7961">
        <v>380.7176</v>
      </c>
      <c r="J7961">
        <v>-187.16900000000001</v>
      </c>
      <c r="K7961">
        <v>1.1094029999999999</v>
      </c>
      <c r="L7961">
        <v>69.721590000000006</v>
      </c>
      <c r="M7961">
        <v>1.1396949999999999E-2</v>
      </c>
      <c r="N7961">
        <v>0</v>
      </c>
      <c r="O7961">
        <v>0.99988220000000005</v>
      </c>
      <c r="P7961">
        <v>8.4946659999999997E-3</v>
      </c>
      <c r="Q7961">
        <v>9.4637809999999992E-3</v>
      </c>
      <c r="R7961">
        <v>0.99991909999999895</v>
      </c>
      <c r="S7961">
        <v>0.1692352</v>
      </c>
      <c r="T7961">
        <v>0.1111307</v>
      </c>
      <c r="U7961">
        <v>2.9977109999999998</v>
      </c>
      <c r="V7961">
        <v>-2.9079610000000001E-3</v>
      </c>
      <c r="W7961">
        <v>1.9746759999999999E-2</v>
      </c>
      <c r="X7961">
        <v>0.99980080000000005</v>
      </c>
      <c r="Y7961">
        <v>4.494339E-2</v>
      </c>
      <c r="Z7961">
        <v>3.6994680000000002E-2</v>
      </c>
      <c r="AA7961">
        <v>0.99830430000000003</v>
      </c>
      <c r="AB7961">
        <v>32</v>
      </c>
      <c r="AC7961">
        <v>17.571000000000002</v>
      </c>
      <c r="AD7961">
        <v>11.540387000000001</v>
      </c>
      <c r="AE7961">
        <v>310.99601000000001</v>
      </c>
      <c r="AF7961">
        <v>14.0060405607131</v>
      </c>
      <c r="AG7961">
        <v>11.540387000000001</v>
      </c>
      <c r="AH7961">
        <v>310.74953813823299</v>
      </c>
      <c r="AI7961">
        <v>87.8753240559885</v>
      </c>
      <c r="AJ7961">
        <v>87.419322746606099</v>
      </c>
      <c r="AK7961">
        <v>311.27901496474698</v>
      </c>
      <c r="AL7961">
        <v>88.868520468220098</v>
      </c>
      <c r="AM7961">
        <v>90.166646618467993</v>
      </c>
      <c r="AN7961">
        <v>1.0000000152241499</v>
      </c>
    </row>
    <row r="7962" spans="1:40" x14ac:dyDescent="0.25">
      <c r="A7962" t="str">
        <f>"20190312160841933"</f>
        <v>20190312160841933</v>
      </c>
      <c r="B7962" t="str">
        <f>"1552378121923002"</f>
        <v>1552378121923002</v>
      </c>
      <c r="C7962" t="s">
        <v>40</v>
      </c>
      <c r="D7962">
        <v>5.8988019999999999</v>
      </c>
      <c r="E7962">
        <v>0.51904209999999995</v>
      </c>
      <c r="F7962" t="s">
        <v>42</v>
      </c>
      <c r="G7962">
        <v>-169.76419999999999</v>
      </c>
      <c r="H7962">
        <v>12.64978</v>
      </c>
      <c r="I7962">
        <v>371.4314</v>
      </c>
      <c r="J7962">
        <v>-187.1653</v>
      </c>
      <c r="K7962">
        <v>1.109424</v>
      </c>
      <c r="L7962">
        <v>70.056640000000002</v>
      </c>
      <c r="M7962">
        <v>1.120113E-2</v>
      </c>
      <c r="N7962">
        <v>0</v>
      </c>
      <c r="O7962">
        <v>0.99988429999999995</v>
      </c>
      <c r="P7962">
        <v>7.8414839999999993E-3</v>
      </c>
      <c r="Q7962">
        <v>9.5168170000000003E-3</v>
      </c>
      <c r="R7962">
        <v>0.99992389999999998</v>
      </c>
      <c r="S7962">
        <v>0.1729279</v>
      </c>
      <c r="T7962">
        <v>0.1146619</v>
      </c>
      <c r="U7962">
        <v>2.997681</v>
      </c>
      <c r="V7962">
        <v>-3.3661059999999998E-3</v>
      </c>
      <c r="W7962">
        <v>1.9803009999999999E-2</v>
      </c>
      <c r="X7962">
        <v>0.99979819999999997</v>
      </c>
      <c r="Y7962">
        <v>4.6362769999999998E-2</v>
      </c>
      <c r="Z7962">
        <v>3.8166449999999998E-2</v>
      </c>
      <c r="AA7962">
        <v>0.99819530000000001</v>
      </c>
      <c r="AB7962">
        <v>33</v>
      </c>
      <c r="AC7962">
        <v>17.4011</v>
      </c>
      <c r="AD7962">
        <v>11.540355999999999</v>
      </c>
      <c r="AE7962">
        <v>301.37475999999998</v>
      </c>
      <c r="AF7962">
        <v>14.0036261961361</v>
      </c>
      <c r="AG7962">
        <v>11.540355999999999</v>
      </c>
      <c r="AH7962">
        <v>301.11072021975201</v>
      </c>
      <c r="AI7962">
        <v>87.807526158435905</v>
      </c>
      <c r="AJ7962">
        <v>87.337288517461801</v>
      </c>
      <c r="AK7962">
        <v>301.65700256169299</v>
      </c>
      <c r="AL7962">
        <v>88.865296893679798</v>
      </c>
      <c r="AM7962">
        <v>90.192901866076198</v>
      </c>
      <c r="AN7962">
        <v>0.99999996529895097</v>
      </c>
    </row>
    <row r="7963" spans="1:40" x14ac:dyDescent="0.25">
      <c r="A7963" t="str">
        <f>"20190312160841954"</f>
        <v>20190312160841954</v>
      </c>
      <c r="B7963" t="str">
        <f>"1552378121943142"</f>
        <v>1552378121943142</v>
      </c>
      <c r="C7963" t="s">
        <v>40</v>
      </c>
      <c r="D7963">
        <v>5.8154000000000003</v>
      </c>
      <c r="E7963">
        <v>0.51897269999999995</v>
      </c>
      <c r="F7963" t="s">
        <v>42</v>
      </c>
      <c r="G7963">
        <v>-169.91370000000001</v>
      </c>
      <c r="H7963">
        <v>12.64978</v>
      </c>
      <c r="I7963">
        <v>364.7235</v>
      </c>
      <c r="J7963">
        <v>-187.16200000000001</v>
      </c>
      <c r="K7963">
        <v>1.1094349999999999</v>
      </c>
      <c r="L7963">
        <v>70.369079999999997</v>
      </c>
      <c r="M7963">
        <v>1.100286E-2</v>
      </c>
      <c r="N7963">
        <v>0</v>
      </c>
      <c r="O7963">
        <v>0.99988650000000001</v>
      </c>
      <c r="P7963">
        <v>7.2649749999999999E-3</v>
      </c>
      <c r="Q7963">
        <v>9.8246540000000004E-3</v>
      </c>
      <c r="R7963">
        <v>0.99992539999999996</v>
      </c>
      <c r="S7963">
        <v>0.17550660000000001</v>
      </c>
      <c r="T7963">
        <v>0.1174047</v>
      </c>
      <c r="U7963">
        <v>2.9977420000000001</v>
      </c>
      <c r="V7963">
        <v>-3.7450909999999999E-3</v>
      </c>
      <c r="W7963">
        <v>2.0113849999999999E-2</v>
      </c>
      <c r="X7963">
        <v>0.99979070000000003</v>
      </c>
      <c r="Y7963">
        <v>4.7413379999999998E-2</v>
      </c>
      <c r="Z7963">
        <v>3.9075430000000001E-2</v>
      </c>
      <c r="AA7963">
        <v>0.99811079999999996</v>
      </c>
      <c r="AB7963">
        <v>33</v>
      </c>
      <c r="AC7963">
        <v>17.2483</v>
      </c>
      <c r="AD7963">
        <v>11.540345</v>
      </c>
      <c r="AE7963">
        <v>294.35442</v>
      </c>
      <c r="AF7963">
        <v>13.986918329971701</v>
      </c>
      <c r="AG7963">
        <v>11.540345</v>
      </c>
      <c r="AH7963">
        <v>294.07591909312401</v>
      </c>
      <c r="AI7963">
        <v>87.755244693112104</v>
      </c>
      <c r="AJ7963">
        <v>87.276934760047098</v>
      </c>
      <c r="AK7963">
        <v>294.63445086675398</v>
      </c>
      <c r="AL7963">
        <v>88.847483585673999</v>
      </c>
      <c r="AM7963">
        <v>90.214621824926496</v>
      </c>
      <c r="AN7963">
        <v>1.00000001823745</v>
      </c>
    </row>
    <row r="7964" spans="1:40" x14ac:dyDescent="0.25">
      <c r="A7964" t="str">
        <f>"20190312160842066"</f>
        <v>20190312160842066</v>
      </c>
      <c r="B7964" t="str">
        <f>"1552378122063701"</f>
        <v>1552378122063701</v>
      </c>
      <c r="C7964" t="s">
        <v>40</v>
      </c>
      <c r="D7964">
        <v>4.1498350000000004</v>
      </c>
      <c r="E7964">
        <v>0.53443640000000003</v>
      </c>
      <c r="F7964" t="s">
        <v>42</v>
      </c>
      <c r="G7964">
        <v>-170.08879999999999</v>
      </c>
      <c r="H7964">
        <v>12.93205</v>
      </c>
      <c r="I7964">
        <v>366.1875</v>
      </c>
      <c r="J7964">
        <v>-187.14590000000001</v>
      </c>
      <c r="K7964">
        <v>1.1094619999999999</v>
      </c>
      <c r="L7964">
        <v>71.999690000000001</v>
      </c>
      <c r="M7964">
        <v>9.8930800000000003E-3</v>
      </c>
      <c r="N7964">
        <v>0</v>
      </c>
      <c r="O7964">
        <v>0.99989790000000001</v>
      </c>
      <c r="P7964">
        <v>6.05801E-3</v>
      </c>
      <c r="Q7964">
        <v>9.5343460000000008E-3</v>
      </c>
      <c r="R7964">
        <v>0.99993620000000005</v>
      </c>
      <c r="S7964">
        <v>0.17301939999999999</v>
      </c>
      <c r="T7964">
        <v>0.1198105</v>
      </c>
      <c r="U7964">
        <v>2.9978030000000002</v>
      </c>
      <c r="V7964">
        <v>-3.8437969999999999E-3</v>
      </c>
      <c r="W7964">
        <v>1.9842100000000001E-2</v>
      </c>
      <c r="X7964">
        <v>0.99979569999999995</v>
      </c>
      <c r="Y7964">
        <v>4.7693699999999999E-2</v>
      </c>
      <c r="Z7964">
        <v>3.9875430000000003E-2</v>
      </c>
      <c r="AA7964">
        <v>0.9980658</v>
      </c>
      <c r="AB7964">
        <v>33</v>
      </c>
      <c r="AC7964">
        <v>17.057099999999998</v>
      </c>
      <c r="AD7964">
        <v>11.822588</v>
      </c>
      <c r="AE7964">
        <v>294.18781000000001</v>
      </c>
      <c r="AF7964">
        <v>14.122954588922701</v>
      </c>
      <c r="AG7964">
        <v>11.822588</v>
      </c>
      <c r="AH7964">
        <v>293.8691557244</v>
      </c>
      <c r="AI7964">
        <v>87.698840991049195</v>
      </c>
      <c r="AJ7964">
        <v>87.248559217114604</v>
      </c>
      <c r="AK7964">
        <v>294.44577110142001</v>
      </c>
      <c r="AL7964">
        <v>88.863056758496796</v>
      </c>
      <c r="AM7964">
        <v>90.220277262983402</v>
      </c>
      <c r="AN7964">
        <v>0.99999996272313696</v>
      </c>
    </row>
    <row r="7965" spans="1:40" x14ac:dyDescent="0.25">
      <c r="A7965" t="str">
        <f>"20190312160842177"</f>
        <v>20190312160842177</v>
      </c>
      <c r="B7965" t="str">
        <f>"1552378122173691"</f>
        <v>1552378122173691</v>
      </c>
      <c r="C7965" t="s">
        <v>40</v>
      </c>
      <c r="D7965">
        <v>6.0954189999999997</v>
      </c>
      <c r="E7965">
        <v>0.5157699</v>
      </c>
      <c r="F7965" t="s">
        <v>44</v>
      </c>
      <c r="G7965">
        <v>-187.08099999999999</v>
      </c>
      <c r="H7965">
        <v>0.85841749999999895</v>
      </c>
      <c r="I7965">
        <v>73.932009999999906</v>
      </c>
      <c r="J7965">
        <v>-187.13159999999999</v>
      </c>
      <c r="K7965">
        <v>1.1094630000000001</v>
      </c>
      <c r="L7965">
        <v>73.630129999999994</v>
      </c>
      <c r="M7965">
        <v>8.7954820000000003E-3</v>
      </c>
      <c r="N7965">
        <v>0</v>
      </c>
      <c r="O7965">
        <v>0.99990800000000002</v>
      </c>
      <c r="P7965">
        <v>5.1489259999999999E-3</v>
      </c>
      <c r="Q7965">
        <v>9.4422110000000007E-3</v>
      </c>
      <c r="R7965">
        <v>0.9999422</v>
      </c>
      <c r="S7965">
        <v>0.24836730000000001</v>
      </c>
      <c r="T7965">
        <v>-1.1690069999999999</v>
      </c>
      <c r="U7965">
        <v>3.0109560000000002</v>
      </c>
      <c r="V7965">
        <v>-3.65549E-3</v>
      </c>
      <c r="W7965">
        <v>1.976868E-2</v>
      </c>
      <c r="X7965">
        <v>0.99979790000000002</v>
      </c>
      <c r="Y7965">
        <v>6.7897390000000002E-2</v>
      </c>
      <c r="Z7965">
        <v>-0.36096309999999998</v>
      </c>
      <c r="AA7965">
        <v>0.93010510000000002</v>
      </c>
      <c r="AB7965">
        <v>33</v>
      </c>
      <c r="AC7965">
        <v>5.0600000000002802E-2</v>
      </c>
      <c r="AD7965">
        <v>-0.25104549999999898</v>
      </c>
      <c r="AE7965">
        <v>0.301879999999982</v>
      </c>
      <c r="AF7965">
        <v>2.86623692802438E-2</v>
      </c>
      <c r="AG7965">
        <v>-0.25104549999999898</v>
      </c>
      <c r="AH7965">
        <v>0.18073688903832</v>
      </c>
      <c r="AI7965">
        <v>143.910434757042</v>
      </c>
      <c r="AJ7965">
        <v>80.988725478295805</v>
      </c>
      <c r="AK7965">
        <v>0.31066251389933902</v>
      </c>
      <c r="AL7965">
        <v>88.867264284654098</v>
      </c>
      <c r="AM7965">
        <v>90.2094855528061</v>
      </c>
      <c r="AN7965">
        <v>1.00000000208024</v>
      </c>
    </row>
    <row r="7966" spans="1:40" x14ac:dyDescent="0.25">
      <c r="A7966" t="str">
        <f>"20190312160842201"</f>
        <v>20190312160842201</v>
      </c>
      <c r="B7966" t="str">
        <f>"1552378122193214"</f>
        <v>1552378122193214</v>
      </c>
      <c r="C7966" t="s">
        <v>40</v>
      </c>
      <c r="D7966">
        <v>5.9343579999999996</v>
      </c>
      <c r="E7966">
        <v>0.51320849999999996</v>
      </c>
      <c r="F7966" t="s">
        <v>44</v>
      </c>
      <c r="G7966">
        <v>-187.08670000000001</v>
      </c>
      <c r="H7966">
        <v>0.98842540000000001</v>
      </c>
      <c r="I7966">
        <v>74.580159999999907</v>
      </c>
      <c r="J7966">
        <v>-187.12880000000001</v>
      </c>
      <c r="K7966">
        <v>1.1094729999999999</v>
      </c>
      <c r="L7966">
        <v>73.974980000000002</v>
      </c>
      <c r="M7966">
        <v>8.5640040000000001E-3</v>
      </c>
      <c r="N7966">
        <v>0</v>
      </c>
      <c r="O7966">
        <v>0.99990990000000002</v>
      </c>
      <c r="P7966">
        <v>5.474909E-3</v>
      </c>
      <c r="Q7966">
        <v>9.6710679999999997E-3</v>
      </c>
      <c r="R7966">
        <v>0.9999382</v>
      </c>
      <c r="S7966">
        <v>0.14163210000000001</v>
      </c>
      <c r="T7966">
        <v>-0.38260889999999997</v>
      </c>
      <c r="U7966">
        <v>3.0030519999999998</v>
      </c>
      <c r="V7966">
        <v>-3.0981649999999999E-3</v>
      </c>
      <c r="W7966">
        <v>2.0001809999999998E-2</v>
      </c>
      <c r="X7966">
        <v>0.99979510000000005</v>
      </c>
      <c r="Y7966">
        <v>3.8176660000000001E-2</v>
      </c>
      <c r="Z7966">
        <v>-0.12626309999999999</v>
      </c>
      <c r="AA7966">
        <v>0.99126190000000003</v>
      </c>
      <c r="AB7966">
        <v>33</v>
      </c>
      <c r="AC7966">
        <v>4.2100000000004897E-2</v>
      </c>
      <c r="AD7966">
        <v>-0.12104759999999901</v>
      </c>
      <c r="AE7966">
        <v>0.60517999999998995</v>
      </c>
      <c r="AF7966">
        <v>3.55019071899716E-2</v>
      </c>
      <c r="AG7966">
        <v>-0.12104759999999901</v>
      </c>
      <c r="AH7966">
        <v>0.58233279670813598</v>
      </c>
      <c r="AI7966">
        <v>101.721504033537</v>
      </c>
      <c r="AJ7966">
        <v>86.5112818899605</v>
      </c>
      <c r="AK7966">
        <v>0.59583923419140905</v>
      </c>
      <c r="AL7966">
        <v>88.853904225647298</v>
      </c>
      <c r="AM7966">
        <v>90.177547590050395</v>
      </c>
      <c r="AN7966">
        <v>0.99999995650682505</v>
      </c>
    </row>
    <row r="7967" spans="1:40" x14ac:dyDescent="0.25">
      <c r="A7967" t="str">
        <f>"20190312160842223"</f>
        <v>20190312160842223</v>
      </c>
      <c r="B7967" t="str">
        <f>"1552378122213711"</f>
        <v>1552378122213711</v>
      </c>
      <c r="C7967" t="s">
        <v>40</v>
      </c>
      <c r="D7967">
        <v>5.7740239999999998</v>
      </c>
      <c r="E7967">
        <v>0.51463679999999901</v>
      </c>
      <c r="F7967" t="s">
        <v>44</v>
      </c>
      <c r="G7967">
        <v>-187.0907</v>
      </c>
      <c r="H7967">
        <v>1.051207</v>
      </c>
      <c r="I7967">
        <v>74.909130000000005</v>
      </c>
      <c r="J7967">
        <v>-187.12620000000001</v>
      </c>
      <c r="K7967">
        <v>1.109472</v>
      </c>
      <c r="L7967">
        <v>74.307649999999995</v>
      </c>
      <c r="M7967">
        <v>8.3405649999999994E-3</v>
      </c>
      <c r="N7967">
        <v>0</v>
      </c>
      <c r="O7967">
        <v>0.99991180000000002</v>
      </c>
      <c r="P7967">
        <v>5.5992890000000003E-3</v>
      </c>
      <c r="Q7967">
        <v>9.9266100000000006E-3</v>
      </c>
      <c r="R7967">
        <v>0.99993500000000002</v>
      </c>
      <c r="S7967">
        <v>0.1218567</v>
      </c>
      <c r="T7967">
        <v>-0.18725939999999999</v>
      </c>
      <c r="U7967">
        <v>3.0013429999999999</v>
      </c>
      <c r="V7967">
        <v>-2.7506079999999999E-3</v>
      </c>
      <c r="W7967">
        <v>2.026116E-2</v>
      </c>
      <c r="X7967">
        <v>0.99979099999999999</v>
      </c>
      <c r="Y7967">
        <v>3.2153139999999997E-2</v>
      </c>
      <c r="Z7967">
        <v>-6.222594E-2</v>
      </c>
      <c r="AA7967">
        <v>0.99754410000000004</v>
      </c>
      <c r="AB7967">
        <v>33</v>
      </c>
      <c r="AC7967">
        <v>3.5500000000013097E-2</v>
      </c>
      <c r="AD7967">
        <v>-5.8264999999999997E-2</v>
      </c>
      <c r="AE7967">
        <v>0.60148000000000901</v>
      </c>
      <c r="AF7967">
        <v>3.0199416168268201E-2</v>
      </c>
      <c r="AG7967">
        <v>-5.8264999999999997E-2</v>
      </c>
      <c r="AH7967">
        <v>0.59618023885212901</v>
      </c>
      <c r="AI7967">
        <v>95.5747173540652</v>
      </c>
      <c r="AJ7967">
        <v>87.100169848915797</v>
      </c>
      <c r="AK7967">
        <v>0.59978137030061696</v>
      </c>
      <c r="AL7967">
        <v>88.839041675055</v>
      </c>
      <c r="AM7967">
        <v>90.157630776708302</v>
      </c>
      <c r="AN7967">
        <v>1.0000000620649501</v>
      </c>
    </row>
    <row r="7968" spans="1:40" x14ac:dyDescent="0.25">
      <c r="A7968" t="str">
        <f>"20190312160842256"</f>
        <v>20190312160842256</v>
      </c>
      <c r="B7968" t="str">
        <f>"1552378122253537"</f>
        <v>1552378122253537</v>
      </c>
      <c r="C7968" t="s">
        <v>40</v>
      </c>
      <c r="D7968">
        <v>5.8166960000000003</v>
      </c>
      <c r="E7968">
        <v>0.51369169999999997</v>
      </c>
      <c r="F7968" t="s">
        <v>47</v>
      </c>
      <c r="G7968">
        <v>-186.28579999999999</v>
      </c>
      <c r="H7968" s="1">
        <v>-2.1837419999999998E-6</v>
      </c>
      <c r="I7968">
        <v>93.161079999999998</v>
      </c>
      <c r="J7968">
        <v>-187.1225</v>
      </c>
      <c r="K7968">
        <v>1.109464</v>
      </c>
      <c r="L7968">
        <v>74.786100000000005</v>
      </c>
      <c r="M7968">
        <v>8.0191459999999996E-3</v>
      </c>
      <c r="N7968">
        <v>0</v>
      </c>
      <c r="O7968">
        <v>0.99991430000000003</v>
      </c>
      <c r="P7968">
        <v>5.5542439999999998E-3</v>
      </c>
      <c r="Q7968">
        <v>9.7412360000000003E-3</v>
      </c>
      <c r="R7968">
        <v>0.99993710000000002</v>
      </c>
      <c r="S7968">
        <v>0.133773799999999</v>
      </c>
      <c r="T7968">
        <v>-0.17661199999999999</v>
      </c>
      <c r="U7968">
        <v>3.0011899999999998</v>
      </c>
      <c r="V7968">
        <v>-2.4736319999999999E-3</v>
      </c>
      <c r="W7968">
        <v>2.0081430000000001E-2</v>
      </c>
      <c r="X7968">
        <v>0.99979530000000005</v>
      </c>
      <c r="Y7968">
        <v>3.6439550000000001E-2</v>
      </c>
      <c r="Z7968">
        <v>-5.8694330000000003E-2</v>
      </c>
      <c r="AA7968">
        <v>0.99761069999999996</v>
      </c>
      <c r="AB7968">
        <v>33</v>
      </c>
      <c r="AC7968">
        <v>0.83670000000000699</v>
      </c>
      <c r="AD7968">
        <v>-1.1094661837419999</v>
      </c>
      <c r="AE7968">
        <v>18.374979999999901</v>
      </c>
      <c r="AF7968">
        <v>0.68681485396054098</v>
      </c>
      <c r="AG7968">
        <v>-1.1094661837419999</v>
      </c>
      <c r="AH7968">
        <v>18.314469185106901</v>
      </c>
      <c r="AI7968">
        <v>93.464236472863703</v>
      </c>
      <c r="AJ7968">
        <v>87.852345031850504</v>
      </c>
      <c r="AK7968">
        <v>18.360893534594599</v>
      </c>
      <c r="AL7968">
        <v>88.849341483228102</v>
      </c>
      <c r="AM7968">
        <v>90.141757402219</v>
      </c>
      <c r="AN7968">
        <v>1.0000000122941</v>
      </c>
    </row>
    <row r="7969" spans="1:40" x14ac:dyDescent="0.25">
      <c r="A7969" t="str">
        <f>"20190312160842278"</f>
        <v>20190312160842278</v>
      </c>
      <c r="B7969" t="str">
        <f>"1552378122273057"</f>
        <v>1552378122273057</v>
      </c>
      <c r="C7969" t="s">
        <v>40</v>
      </c>
      <c r="D7969">
        <v>6.1597369999999998</v>
      </c>
      <c r="E7969">
        <v>0.51292879999999996</v>
      </c>
      <c r="F7969" t="s">
        <v>47</v>
      </c>
      <c r="G7969">
        <v>-185.90379999999999</v>
      </c>
      <c r="H7969" s="1">
        <v>-2.506898E-6</v>
      </c>
      <c r="I7969">
        <v>103.78270000000001</v>
      </c>
      <c r="J7969">
        <v>-187.12</v>
      </c>
      <c r="K7969">
        <v>1.1094599999999999</v>
      </c>
      <c r="L7969">
        <v>75.131529999999998</v>
      </c>
      <c r="M7969">
        <v>7.7874559999999999E-3</v>
      </c>
      <c r="N7969">
        <v>0</v>
      </c>
      <c r="O7969">
        <v>0.99991609999999997</v>
      </c>
      <c r="P7969">
        <v>5.1475999999999996E-3</v>
      </c>
      <c r="Q7969">
        <v>9.0360639999999999E-3</v>
      </c>
      <c r="R7969">
        <v>0.99994590000000005</v>
      </c>
      <c r="S7969">
        <v>0.1261139</v>
      </c>
      <c r="T7969">
        <v>-0.1148092</v>
      </c>
      <c r="U7969">
        <v>3.00061</v>
      </c>
      <c r="V7969">
        <v>-2.6486320000000002E-3</v>
      </c>
      <c r="W7969">
        <v>1.9380140000000001E-2</v>
      </c>
      <c r="X7969">
        <v>0.99980869999999999</v>
      </c>
      <c r="Y7969">
        <v>3.417941E-2</v>
      </c>
      <c r="Z7969">
        <v>-3.8204210000000002E-2</v>
      </c>
      <c r="AA7969">
        <v>0.99868520000000005</v>
      </c>
      <c r="AB7969">
        <v>33</v>
      </c>
      <c r="AC7969">
        <v>1.2162000000000099</v>
      </c>
      <c r="AD7969">
        <v>-1.109462506898</v>
      </c>
      <c r="AE7969">
        <v>28.65117</v>
      </c>
      <c r="AF7969">
        <v>0.99154730677652503</v>
      </c>
      <c r="AG7969">
        <v>-1.109462506898</v>
      </c>
      <c r="AH7969">
        <v>28.616939403598298</v>
      </c>
      <c r="AI7969">
        <v>92.218882727910398</v>
      </c>
      <c r="AJ7969">
        <v>88.015554479523004</v>
      </c>
      <c r="AK7969">
        <v>28.655597951272998</v>
      </c>
      <c r="AL7969">
        <v>88.889530273846603</v>
      </c>
      <c r="AM7969">
        <v>90.151784116382899</v>
      </c>
      <c r="AN7969">
        <v>1.0000000208367901</v>
      </c>
    </row>
    <row r="7970" spans="1:40" x14ac:dyDescent="0.25">
      <c r="A7970" t="str">
        <f>"20190312160842302"</f>
        <v>20190312160842302</v>
      </c>
      <c r="B7970" t="str">
        <f>"1552378122293553"</f>
        <v>1552378122293553</v>
      </c>
      <c r="C7970" t="s">
        <v>40</v>
      </c>
      <c r="D7970">
        <v>6.0658599999999998</v>
      </c>
      <c r="E7970">
        <v>0.51154160000000004</v>
      </c>
      <c r="F7970" t="s">
        <v>47</v>
      </c>
      <c r="G7970">
        <v>-185.86439999999999</v>
      </c>
      <c r="H7970" s="1">
        <v>-3.8460820000000003E-6</v>
      </c>
      <c r="I7970">
        <v>106.88809999999999</v>
      </c>
      <c r="J7970">
        <v>-187.11760000000001</v>
      </c>
      <c r="K7970">
        <v>1.1094649999999999</v>
      </c>
      <c r="L7970">
        <v>75.471159999999998</v>
      </c>
      <c r="M7970">
        <v>7.5595380000000002E-3</v>
      </c>
      <c r="N7970">
        <v>0</v>
      </c>
      <c r="O7970">
        <v>0.99991790000000003</v>
      </c>
      <c r="P7970">
        <v>4.5787659999999997E-3</v>
      </c>
      <c r="Q7970">
        <v>9.008093E-3</v>
      </c>
      <c r="R7970">
        <v>0.99994890000000003</v>
      </c>
      <c r="S7970">
        <v>0.1186371</v>
      </c>
      <c r="T7970">
        <v>-0.10482669999999999</v>
      </c>
      <c r="U7970">
        <v>3.0004879999999998</v>
      </c>
      <c r="V7970">
        <v>-2.9895059999999998E-3</v>
      </c>
      <c r="W7970">
        <v>1.93563E-2</v>
      </c>
      <c r="X7970">
        <v>0.99980820000000004</v>
      </c>
      <c r="Y7970">
        <v>3.192917E-2</v>
      </c>
      <c r="Z7970">
        <v>-3.4891230000000002E-2</v>
      </c>
      <c r="AA7970">
        <v>0.99888089999999996</v>
      </c>
      <c r="AB7970">
        <v>33</v>
      </c>
      <c r="AC7970">
        <v>1.2532000000000201</v>
      </c>
      <c r="AD7970">
        <v>-1.1094688460819999</v>
      </c>
      <c r="AE7970">
        <v>31.41694</v>
      </c>
      <c r="AF7970">
        <v>1.01439088252542</v>
      </c>
      <c r="AG7970">
        <v>-1.1094688460819999</v>
      </c>
      <c r="AH7970">
        <v>31.386436376568302</v>
      </c>
      <c r="AI7970">
        <v>92.023431155688996</v>
      </c>
      <c r="AJ7970">
        <v>88.148878964276406</v>
      </c>
      <c r="AK7970">
        <v>31.4224171317762</v>
      </c>
      <c r="AL7970">
        <v>88.890896460702095</v>
      </c>
      <c r="AM7970">
        <v>90.171318425040297</v>
      </c>
      <c r="AN7970">
        <v>1.00000002014152</v>
      </c>
    </row>
    <row r="7971" spans="1:40" x14ac:dyDescent="0.25">
      <c r="A7971" t="str">
        <f>"20190312160842324"</f>
        <v>20190312160842324</v>
      </c>
      <c r="B7971" t="str">
        <f>"1552378122313073"</f>
        <v>1552378122313073</v>
      </c>
      <c r="C7971" t="s">
        <v>40</v>
      </c>
      <c r="D7971">
        <v>6.0381400000000003</v>
      </c>
      <c r="E7971">
        <v>0.51056610000000002</v>
      </c>
      <c r="F7971" t="s">
        <v>47</v>
      </c>
      <c r="G7971">
        <v>-185.78139999999999</v>
      </c>
      <c r="H7971" s="1">
        <v>-2.3827410000000001E-6</v>
      </c>
      <c r="I7971">
        <v>113.3515</v>
      </c>
      <c r="J7971">
        <v>-187.11529999999999</v>
      </c>
      <c r="K7971">
        <v>1.109469</v>
      </c>
      <c r="L7971">
        <v>75.801090000000002</v>
      </c>
      <c r="M7971">
        <v>7.3381660000000001E-3</v>
      </c>
      <c r="N7971">
        <v>0</v>
      </c>
      <c r="O7971">
        <v>0.99991949999999996</v>
      </c>
      <c r="P7971">
        <v>4.3184690000000001E-3</v>
      </c>
      <c r="Q7971">
        <v>9.2821640000000007E-3</v>
      </c>
      <c r="R7971">
        <v>0.99994760000000005</v>
      </c>
      <c r="S7971">
        <v>0.105834999999999</v>
      </c>
      <c r="T7971">
        <v>-8.7879659999999998E-2</v>
      </c>
      <c r="U7971">
        <v>3.0004580000000001</v>
      </c>
      <c r="V7971">
        <v>-3.028584E-3</v>
      </c>
      <c r="W7971">
        <v>1.9633769999999998E-2</v>
      </c>
      <c r="X7971">
        <v>0.99980259999999999</v>
      </c>
      <c r="Y7971">
        <v>2.7900979999999999E-2</v>
      </c>
      <c r="Z7971">
        <v>-2.926022E-2</v>
      </c>
      <c r="AA7971">
        <v>0.99918229999999997</v>
      </c>
      <c r="AB7971">
        <v>33</v>
      </c>
      <c r="AC7971">
        <v>1.3339000000000001</v>
      </c>
      <c r="AD7971">
        <v>-1.1094713827410001</v>
      </c>
      <c r="AE7971">
        <v>37.550409999999999</v>
      </c>
      <c r="AF7971">
        <v>1.0573762742867401</v>
      </c>
      <c r="AG7971">
        <v>-1.1094713827410001</v>
      </c>
      <c r="AH7971">
        <v>37.526469301086401</v>
      </c>
      <c r="AI7971">
        <v>91.692786980895093</v>
      </c>
      <c r="AJ7971">
        <v>88.386014628066107</v>
      </c>
      <c r="AK7971">
        <v>37.5577537871998</v>
      </c>
      <c r="AL7971">
        <v>88.874995498076302</v>
      </c>
      <c r="AM7971">
        <v>90.173558810860897</v>
      </c>
      <c r="AN7971">
        <v>0.99999994810610704</v>
      </c>
    </row>
    <row r="7972" spans="1:40" x14ac:dyDescent="0.25">
      <c r="A7972" t="str">
        <f>"20190312160842345"</f>
        <v>20190312160842345</v>
      </c>
      <c r="B7972" t="str">
        <f>"1552378122333569"</f>
        <v>1552378122333569</v>
      </c>
      <c r="C7972" t="s">
        <v>40</v>
      </c>
      <c r="D7972">
        <v>6.1422910000000002</v>
      </c>
      <c r="E7972">
        <v>0.50972890000000004</v>
      </c>
      <c r="F7972" t="s">
        <v>47</v>
      </c>
      <c r="G7972">
        <v>-185.6927</v>
      </c>
      <c r="H7972" s="1">
        <v>-5.0453809999999997E-6</v>
      </c>
      <c r="I7972">
        <v>119.6127</v>
      </c>
      <c r="J7972">
        <v>-187.11330000000001</v>
      </c>
      <c r="K7972">
        <v>1.1094729999999999</v>
      </c>
      <c r="L7972">
        <v>76.110439999999997</v>
      </c>
      <c r="M7972">
        <v>7.1307269999999999E-3</v>
      </c>
      <c r="N7972">
        <v>0</v>
      </c>
      <c r="O7972">
        <v>0.9999209</v>
      </c>
      <c r="P7972">
        <v>4.0159990000000001E-3</v>
      </c>
      <c r="Q7972">
        <v>9.54407E-3</v>
      </c>
      <c r="R7972">
        <v>0.99994640000000001</v>
      </c>
      <c r="S7972">
        <v>9.7427369999999999E-2</v>
      </c>
      <c r="T7972">
        <v>-7.5982090000000002E-2</v>
      </c>
      <c r="U7972">
        <v>3.0004270000000002</v>
      </c>
      <c r="V7972">
        <v>-3.1239150000000001E-3</v>
      </c>
      <c r="W7972">
        <v>1.989931E-2</v>
      </c>
      <c r="X7972">
        <v>0.99979709999999999</v>
      </c>
      <c r="Y7972">
        <v>2.531549E-2</v>
      </c>
      <c r="Z7972">
        <v>-2.530396E-2</v>
      </c>
      <c r="AA7972">
        <v>0.9993592</v>
      </c>
      <c r="AB7972">
        <v>33</v>
      </c>
      <c r="AC7972">
        <v>1.4206000000000001</v>
      </c>
      <c r="AD7972">
        <v>-1.109478045381</v>
      </c>
      <c r="AE7972">
        <v>43.50226</v>
      </c>
      <c r="AF7972">
        <v>1.1096235024510701</v>
      </c>
      <c r="AG7972">
        <v>-1.109478045381</v>
      </c>
      <c r="AH7972">
        <v>43.4830309367374</v>
      </c>
      <c r="AI7972">
        <v>91.461120451231196</v>
      </c>
      <c r="AJ7972">
        <v>88.538212556630398</v>
      </c>
      <c r="AK7972">
        <v>43.511333986625097</v>
      </c>
      <c r="AL7972">
        <v>88.859778252067798</v>
      </c>
      <c r="AM7972">
        <v>90.179022886332305</v>
      </c>
      <c r="AN7972">
        <v>0.999999991275906</v>
      </c>
    </row>
    <row r="7973" spans="1:40" x14ac:dyDescent="0.25">
      <c r="A7973" t="str">
        <f>"20190312160842366"</f>
        <v>20190312160842366</v>
      </c>
      <c r="B7973" t="str">
        <f>"1552378122363824"</f>
        <v>1552378122363824</v>
      </c>
      <c r="C7973" t="s">
        <v>40</v>
      </c>
      <c r="D7973">
        <v>6.1220089999999896</v>
      </c>
      <c r="E7973">
        <v>0.50895950000000001</v>
      </c>
      <c r="F7973" t="s">
        <v>89</v>
      </c>
      <c r="G7973">
        <v>-185.60419999999999</v>
      </c>
      <c r="H7973" s="1">
        <v>-3.8422360000000004E-6</v>
      </c>
      <c r="I7973">
        <v>126.5224</v>
      </c>
      <c r="J7973">
        <v>-187.1112</v>
      </c>
      <c r="K7973">
        <v>1.109478</v>
      </c>
      <c r="L7973">
        <v>76.425960000000003</v>
      </c>
      <c r="M7973">
        <v>6.9190359999999999E-3</v>
      </c>
      <c r="N7973">
        <v>0</v>
      </c>
      <c r="O7973">
        <v>0.99992239999999999</v>
      </c>
      <c r="P7973">
        <v>4.0798190000000002E-3</v>
      </c>
      <c r="Q7973">
        <v>1.036744E-2</v>
      </c>
      <c r="R7973">
        <v>0.99993799999999999</v>
      </c>
      <c r="S7973">
        <v>8.9813229999999994E-2</v>
      </c>
      <c r="T7973">
        <v>-6.6034079999999995E-2</v>
      </c>
      <c r="U7973">
        <v>3.0004270000000002</v>
      </c>
      <c r="V7973">
        <v>-2.848312E-3</v>
      </c>
      <c r="W7973">
        <v>2.0726459999999999E-2</v>
      </c>
      <c r="X7973">
        <v>0.99978109999999998</v>
      </c>
      <c r="Y7973">
        <v>2.299582E-2</v>
      </c>
      <c r="Z7973">
        <v>-2.1994280000000001E-2</v>
      </c>
      <c r="AA7973">
        <v>0.99949359999999998</v>
      </c>
      <c r="AB7973">
        <v>33</v>
      </c>
      <c r="AC7973">
        <v>1.5069999999999999</v>
      </c>
      <c r="AD7973">
        <v>-1.109481842236</v>
      </c>
      <c r="AE7973">
        <v>50.096440000000001</v>
      </c>
      <c r="AF7973">
        <v>1.1597579194836201</v>
      </c>
      <c r="AG7973">
        <v>-1.109481842236</v>
      </c>
      <c r="AH7973">
        <v>50.081126383073503</v>
      </c>
      <c r="AI7973">
        <v>91.268765406072006</v>
      </c>
      <c r="AJ7973">
        <v>88.673405245927995</v>
      </c>
      <c r="AK7973">
        <v>50.106837938423602</v>
      </c>
      <c r="AL7973">
        <v>88.812376244774597</v>
      </c>
      <c r="AM7973">
        <v>90.163231546200194</v>
      </c>
      <c r="AN7973">
        <v>0.99999997347129499</v>
      </c>
    </row>
    <row r="7974" spans="1:40" x14ac:dyDescent="0.25">
      <c r="A7974" t="str">
        <f>"20190312160842391"</f>
        <v>20190312160842391</v>
      </c>
      <c r="B7974" t="str">
        <f>"1552378122383345"</f>
        <v>1552378122383345</v>
      </c>
      <c r="C7974" t="s">
        <v>40</v>
      </c>
      <c r="D7974">
        <v>6.1235299999999997</v>
      </c>
      <c r="E7974">
        <v>0.50855740000000005</v>
      </c>
      <c r="F7974" t="s">
        <v>89</v>
      </c>
      <c r="G7974">
        <v>-185.297</v>
      </c>
      <c r="H7974" s="1">
        <v>-8.9218130000000004E-6</v>
      </c>
      <c r="I7974">
        <v>141.3683</v>
      </c>
      <c r="J7974">
        <v>-187.10890000000001</v>
      </c>
      <c r="K7974">
        <v>1.1094850000000001</v>
      </c>
      <c r="L7974">
        <v>76.786559999999994</v>
      </c>
      <c r="M7974">
        <v>6.6770819999999896E-3</v>
      </c>
      <c r="N7974">
        <v>0</v>
      </c>
      <c r="O7974">
        <v>0.99992400000000004</v>
      </c>
      <c r="P7974">
        <v>3.732403E-3</v>
      </c>
      <c r="Q7974">
        <v>1.083343E-2</v>
      </c>
      <c r="R7974">
        <v>0.9999344</v>
      </c>
      <c r="S7974">
        <v>8.381653E-2</v>
      </c>
      <c r="T7974">
        <v>-5.12588E-2</v>
      </c>
      <c r="U7974">
        <v>3.0003660000000001</v>
      </c>
      <c r="V7974">
        <v>-2.9545940000000001E-3</v>
      </c>
      <c r="W7974">
        <v>2.1196039999999999E-2</v>
      </c>
      <c r="X7974">
        <v>0.99977099999999997</v>
      </c>
      <c r="Y7974">
        <v>2.1245010000000002E-2</v>
      </c>
      <c r="Z7974">
        <v>-1.7075860000000002E-2</v>
      </c>
      <c r="AA7974">
        <v>0.99962850000000003</v>
      </c>
      <c r="AB7974">
        <v>33</v>
      </c>
      <c r="AC7974">
        <v>1.8119000000000001</v>
      </c>
      <c r="AD7974">
        <v>-1.109493921813</v>
      </c>
      <c r="AE7974">
        <v>64.581739999999996</v>
      </c>
      <c r="AF7974">
        <v>1.3802118331144599</v>
      </c>
      <c r="AG7974">
        <v>-1.109493921813</v>
      </c>
      <c r="AH7974">
        <v>64.573355754987105</v>
      </c>
      <c r="AI7974">
        <v>90.984129629560996</v>
      </c>
      <c r="AJ7974">
        <v>88.775527888797797</v>
      </c>
      <c r="AK7974">
        <v>64.597633353915796</v>
      </c>
      <c r="AL7974">
        <v>88.785465444182805</v>
      </c>
      <c r="AM7974">
        <v>90.169324048758199</v>
      </c>
      <c r="AN7974">
        <v>1.00000002708919</v>
      </c>
    </row>
    <row r="7975" spans="1:40" x14ac:dyDescent="0.25">
      <c r="A7975" t="str">
        <f>"20190312160842412"</f>
        <v>20190312160842412</v>
      </c>
      <c r="B7975" t="str">
        <f>"1552378122403844"</f>
        <v>1552378122403844</v>
      </c>
      <c r="C7975" t="s">
        <v>40</v>
      </c>
      <c r="D7975">
        <v>6.1315059999999999</v>
      </c>
      <c r="E7975">
        <v>0.50827100000000003</v>
      </c>
      <c r="F7975" t="s">
        <v>89</v>
      </c>
      <c r="G7975">
        <v>-185.1096</v>
      </c>
      <c r="H7975" s="1">
        <v>-1.175331E-5</v>
      </c>
      <c r="I7975">
        <v>152.18690000000001</v>
      </c>
      <c r="J7975">
        <v>-187.1069</v>
      </c>
      <c r="K7975">
        <v>1.109488</v>
      </c>
      <c r="L7975">
        <v>77.120819999999995</v>
      </c>
      <c r="M7975">
        <v>6.4528550000000004E-3</v>
      </c>
      <c r="N7975">
        <v>0</v>
      </c>
      <c r="O7975">
        <v>0.99992539999999996</v>
      </c>
      <c r="P7975">
        <v>3.4897729999999998E-3</v>
      </c>
      <c r="Q7975">
        <v>1.119179E-2</v>
      </c>
      <c r="R7975">
        <v>0.99993129999999997</v>
      </c>
      <c r="S7975">
        <v>7.9559329999999998E-2</v>
      </c>
      <c r="T7975">
        <v>-4.4149639999999997E-2</v>
      </c>
      <c r="U7975">
        <v>3.0003660000000001</v>
      </c>
      <c r="V7975">
        <v>-2.9726869999999999E-3</v>
      </c>
      <c r="W7975">
        <v>2.155835E-2</v>
      </c>
      <c r="X7975">
        <v>0.99976319999999996</v>
      </c>
      <c r="Y7975">
        <v>2.005287E-2</v>
      </c>
      <c r="Z7975">
        <v>-1.470863E-2</v>
      </c>
      <c r="AA7975">
        <v>0.99969070000000004</v>
      </c>
      <c r="AB7975">
        <v>33</v>
      </c>
      <c r="AC7975">
        <v>1.9972999999999901</v>
      </c>
      <c r="AD7975">
        <v>-1.1094997533099999</v>
      </c>
      <c r="AE7975">
        <v>75.066079999999999</v>
      </c>
      <c r="AF7975">
        <v>1.5125116451254099</v>
      </c>
      <c r="AG7975">
        <v>-1.1094997533099999</v>
      </c>
      <c r="AH7975">
        <v>75.061019903316094</v>
      </c>
      <c r="AI7975">
        <v>90.846672814400193</v>
      </c>
      <c r="AJ7975">
        <v>88.845621768905303</v>
      </c>
      <c r="AK7975">
        <v>75.084455049665493</v>
      </c>
      <c r="AL7975">
        <v>88.764701866650597</v>
      </c>
      <c r="AM7975">
        <v>90.170362258755603</v>
      </c>
      <c r="AN7975">
        <v>1.00000002769848</v>
      </c>
    </row>
    <row r="7976" spans="1:40" x14ac:dyDescent="0.25">
      <c r="A7976" t="str">
        <f>"20190312160842436"</f>
        <v>20190312160842436</v>
      </c>
      <c r="B7976" t="str">
        <f>"1552378122433121"</f>
        <v>1552378122433121</v>
      </c>
      <c r="C7976" t="s">
        <v>40</v>
      </c>
      <c r="D7976">
        <v>6.230696</v>
      </c>
      <c r="E7976">
        <v>0.50860669999999997</v>
      </c>
      <c r="F7976" t="s">
        <v>47</v>
      </c>
      <c r="G7976">
        <v>-184.91650000000001</v>
      </c>
      <c r="H7976" s="1">
        <v>-2.617297E-6</v>
      </c>
      <c r="I7976">
        <v>162.93780000000001</v>
      </c>
      <c r="J7976">
        <v>-187.10499999999999</v>
      </c>
      <c r="K7976">
        <v>1.1094889999999999</v>
      </c>
      <c r="L7976">
        <v>77.451449999999994</v>
      </c>
      <c r="M7976">
        <v>6.2313539999999997E-3</v>
      </c>
      <c r="N7976">
        <v>0</v>
      </c>
      <c r="O7976">
        <v>0.9999268</v>
      </c>
      <c r="P7976">
        <v>4.0032560000000002E-3</v>
      </c>
      <c r="Q7976">
        <v>1.1204850000000001E-2</v>
      </c>
      <c r="R7976">
        <v>0.99992919999999996</v>
      </c>
      <c r="S7976">
        <v>7.6583860000000004E-2</v>
      </c>
      <c r="T7976">
        <v>-3.8790819999999997E-2</v>
      </c>
      <c r="U7976">
        <v>3.000397</v>
      </c>
      <c r="V7976">
        <v>-2.2375759999999998E-3</v>
      </c>
      <c r="W7976">
        <v>2.1575509999999999E-2</v>
      </c>
      <c r="X7976">
        <v>0.99976469999999995</v>
      </c>
      <c r="Y7976">
        <v>1.9283979999999999E-2</v>
      </c>
      <c r="Z7976">
        <v>-1.2923799999999999E-2</v>
      </c>
      <c r="AA7976">
        <v>0.99973049999999997</v>
      </c>
      <c r="AB7976">
        <v>33</v>
      </c>
      <c r="AC7976">
        <v>2.1884999999999701</v>
      </c>
      <c r="AD7976">
        <v>-1.109491617297</v>
      </c>
      <c r="AE7976">
        <v>85.486350000000002</v>
      </c>
      <c r="AF7976">
        <v>1.6554544764691499</v>
      </c>
      <c r="AG7976">
        <v>-1.109491617297</v>
      </c>
      <c r="AH7976">
        <v>85.483938358337795</v>
      </c>
      <c r="AI7976">
        <v>90.743457828218496</v>
      </c>
      <c r="AJ7976">
        <v>88.890567024471096</v>
      </c>
      <c r="AK7976">
        <v>85.507164719832701</v>
      </c>
      <c r="AL7976">
        <v>88.763718386318601</v>
      </c>
      <c r="AM7976">
        <v>90.128233620449393</v>
      </c>
      <c r="AN7976">
        <v>0.99999998237210197</v>
      </c>
    </row>
    <row r="7977" spans="1:40" x14ac:dyDescent="0.25">
      <c r="A7977" t="str">
        <f>"20190312160842456"</f>
        <v>20190312160842456</v>
      </c>
      <c r="B7977" t="str">
        <f>"1552378122453617"</f>
        <v>1552378122453617</v>
      </c>
      <c r="C7977" t="s">
        <v>40</v>
      </c>
      <c r="D7977">
        <v>6.2171110000000001</v>
      </c>
      <c r="E7977">
        <v>0.50848749999999998</v>
      </c>
      <c r="F7977" t="s">
        <v>47</v>
      </c>
      <c r="G7977">
        <v>-184.6277</v>
      </c>
      <c r="H7977" s="1">
        <v>-1.4253210000000001E-6</v>
      </c>
      <c r="I7977">
        <v>169.636</v>
      </c>
      <c r="J7977">
        <v>-187.10319999999999</v>
      </c>
      <c r="K7977">
        <v>1.109488</v>
      </c>
      <c r="L7977">
        <v>77.771209999999996</v>
      </c>
      <c r="M7977">
        <v>6.0168069999999999E-3</v>
      </c>
      <c r="N7977">
        <v>0</v>
      </c>
      <c r="O7977">
        <v>0.99992809999999999</v>
      </c>
      <c r="P7977">
        <v>4.1967790000000003E-3</v>
      </c>
      <c r="Q7977">
        <v>1.1651740000000001E-2</v>
      </c>
      <c r="R7977">
        <v>0.99992329999999996</v>
      </c>
      <c r="S7977">
        <v>8.0627439999999995E-2</v>
      </c>
      <c r="T7977">
        <v>-3.6109919999999997E-2</v>
      </c>
      <c r="U7977">
        <v>3.0002749999999998</v>
      </c>
      <c r="V7977">
        <v>-1.829958E-3</v>
      </c>
      <c r="W7977">
        <v>2.2026009999999999E-2</v>
      </c>
      <c r="X7977">
        <v>0.99975570000000002</v>
      </c>
      <c r="Y7977">
        <v>2.084627E-2</v>
      </c>
      <c r="Z7977">
        <v>-1.2030860000000001E-2</v>
      </c>
      <c r="AA7977">
        <v>0.99971030000000005</v>
      </c>
      <c r="AB7977">
        <v>33</v>
      </c>
      <c r="AC7977">
        <v>2.4754999999999798</v>
      </c>
      <c r="AD7977">
        <v>-1.1094894253209999</v>
      </c>
      <c r="AE7977">
        <v>91.864789999999999</v>
      </c>
      <c r="AF7977">
        <v>1.92241252948039</v>
      </c>
      <c r="AG7977">
        <v>-1.1094894253209999</v>
      </c>
      <c r="AH7977">
        <v>91.864632349215896</v>
      </c>
      <c r="AI7977">
        <v>90.691801150990898</v>
      </c>
      <c r="AJ7977">
        <v>88.8011702940627</v>
      </c>
      <c r="AK7977">
        <v>91.891443091155196</v>
      </c>
      <c r="AL7977">
        <v>88.737900493902998</v>
      </c>
      <c r="AM7977">
        <v>90.104874373801294</v>
      </c>
      <c r="AN7977">
        <v>0.99999997677264496</v>
      </c>
    </row>
    <row r="7978" spans="1:40" x14ac:dyDescent="0.25">
      <c r="A7978" t="str">
        <f>"20190312160842480"</f>
        <v>20190312160842480</v>
      </c>
      <c r="B7978" t="str">
        <f>"1552378122473139"</f>
        <v>1552378122473139</v>
      </c>
      <c r="C7978" t="s">
        <v>40</v>
      </c>
      <c r="D7978">
        <v>6.1021720000000004</v>
      </c>
      <c r="E7978">
        <v>0.50848919999999997</v>
      </c>
      <c r="F7978" t="s">
        <v>47</v>
      </c>
      <c r="G7978">
        <v>-184.26929999999999</v>
      </c>
      <c r="H7978" s="1">
        <v>-2.9271249999999999E-6</v>
      </c>
      <c r="I7978">
        <v>183.7689</v>
      </c>
      <c r="J7978">
        <v>-187.10130000000001</v>
      </c>
      <c r="K7978">
        <v>1.109491</v>
      </c>
      <c r="L7978">
        <v>78.127229999999997</v>
      </c>
      <c r="M7978">
        <v>5.7781739999999996E-3</v>
      </c>
      <c r="N7978">
        <v>0</v>
      </c>
      <c r="O7978">
        <v>0.99992939999999997</v>
      </c>
      <c r="P7978">
        <v>4.1045129999999997E-3</v>
      </c>
      <c r="Q7978">
        <v>1.2395349999999999E-2</v>
      </c>
      <c r="R7978">
        <v>0.99991479999999999</v>
      </c>
      <c r="S7978">
        <v>8.0215449999999994E-2</v>
      </c>
      <c r="T7978">
        <v>-3.1404260000000003E-2</v>
      </c>
      <c r="U7978">
        <v>3.0002749999999998</v>
      </c>
      <c r="V7978">
        <v>-1.683576E-3</v>
      </c>
      <c r="W7978">
        <v>2.277351E-2</v>
      </c>
      <c r="X7978">
        <v>0.99973920000000005</v>
      </c>
      <c r="Y7978">
        <v>2.094816E-2</v>
      </c>
      <c r="Z7978">
        <v>-1.046328E-2</v>
      </c>
      <c r="AA7978">
        <v>0.9997258</v>
      </c>
      <c r="AB7978">
        <v>33</v>
      </c>
      <c r="AC7978">
        <v>2.8320000000000198</v>
      </c>
      <c r="AD7978">
        <v>-1.1094939271249999</v>
      </c>
      <c r="AE7978">
        <v>105.64167</v>
      </c>
      <c r="AF7978">
        <v>2.2212590296664501</v>
      </c>
      <c r="AG7978">
        <v>-1.1094939271249999</v>
      </c>
      <c r="AH7978">
        <v>105.64462658434</v>
      </c>
      <c r="AI7978">
        <v>90.601572832077807</v>
      </c>
      <c r="AJ7978">
        <v>88.795489915110807</v>
      </c>
      <c r="AK7978">
        <v>105.67380041711399</v>
      </c>
      <c r="AL7978">
        <v>88.695061136099099</v>
      </c>
      <c r="AM7978">
        <v>90.096486871880302</v>
      </c>
      <c r="AN7978">
        <v>0.99999996760125298</v>
      </c>
    </row>
    <row r="7979" spans="1:40" x14ac:dyDescent="0.25">
      <c r="A7979" t="str">
        <f>"20190312160842503"</f>
        <v>20190312160842503</v>
      </c>
      <c r="B7979" t="str">
        <f>"1552378122493633"</f>
        <v>1552378122493633</v>
      </c>
      <c r="C7979" t="s">
        <v>40</v>
      </c>
      <c r="D7979">
        <v>6.2583339999999996</v>
      </c>
      <c r="E7979">
        <v>0.50817250000000003</v>
      </c>
      <c r="F7979" t="s">
        <v>61</v>
      </c>
      <c r="G7979">
        <v>-183.8629</v>
      </c>
      <c r="H7979" s="1">
        <v>6.3203840000000001E-6</v>
      </c>
      <c r="I7979">
        <v>199.62430000000001</v>
      </c>
      <c r="J7979">
        <v>-187.09960000000001</v>
      </c>
      <c r="K7979">
        <v>1.1094809999999999</v>
      </c>
      <c r="L7979">
        <v>78.462069999999997</v>
      </c>
      <c r="M7979">
        <v>5.553751E-3</v>
      </c>
      <c r="N7979">
        <v>0</v>
      </c>
      <c r="O7979">
        <v>0.99993069999999895</v>
      </c>
      <c r="P7979">
        <v>3.791062E-3</v>
      </c>
      <c r="Q7979">
        <v>1.218989E-2</v>
      </c>
      <c r="R7979">
        <v>0.99991850000000004</v>
      </c>
      <c r="S7979">
        <v>7.9971310000000004E-2</v>
      </c>
      <c r="T7979">
        <v>-2.7397870000000001E-2</v>
      </c>
      <c r="U7979">
        <v>3.0002749999999998</v>
      </c>
      <c r="V7979">
        <v>-1.7727299999999999E-3</v>
      </c>
      <c r="W7979">
        <v>2.2572330000000002E-2</v>
      </c>
      <c r="X7979">
        <v>0.99974359999999995</v>
      </c>
      <c r="Y7979">
        <v>2.1091599999999999E-2</v>
      </c>
      <c r="Z7979">
        <v>-9.1285589999999996E-3</v>
      </c>
      <c r="AA7979">
        <v>0.99973590000000001</v>
      </c>
      <c r="AB7979">
        <v>33</v>
      </c>
      <c r="AC7979">
        <v>3.2367000000000101</v>
      </c>
      <c r="AD7979">
        <v>-1.109474679616</v>
      </c>
      <c r="AE7979">
        <v>121.16222999999999</v>
      </c>
      <c r="AF7979">
        <v>2.5634941712277199</v>
      </c>
      <c r="AG7979">
        <v>-1.109474679616</v>
      </c>
      <c r="AH7979">
        <v>121.16818536378101</v>
      </c>
      <c r="AI7979">
        <v>90.524495926521197</v>
      </c>
      <c r="AJ7979">
        <v>88.788002904519999</v>
      </c>
      <c r="AK7979">
        <v>121.200377807918</v>
      </c>
      <c r="AL7979">
        <v>88.706590854417598</v>
      </c>
      <c r="AM7979">
        <v>90.101595889951</v>
      </c>
      <c r="AN7979">
        <v>0.99999995919712004</v>
      </c>
    </row>
    <row r="7980" spans="1:40" x14ac:dyDescent="0.25">
      <c r="A7980" t="str">
        <f>"20190312160842524"</f>
        <v>20190312160842524</v>
      </c>
      <c r="B7980" t="str">
        <f>"1552378122513156"</f>
        <v>1552378122513156</v>
      </c>
      <c r="C7980" t="s">
        <v>40</v>
      </c>
      <c r="D7980">
        <v>6.2610070000000002</v>
      </c>
      <c r="E7980">
        <v>0.50776960000000004</v>
      </c>
      <c r="F7980" t="s">
        <v>61</v>
      </c>
      <c r="G7980">
        <v>-183.93369999999999</v>
      </c>
      <c r="H7980" s="1">
        <v>5.4422729999999999E-6</v>
      </c>
      <c r="I7980">
        <v>202.9153</v>
      </c>
      <c r="J7980">
        <v>-187.09800000000001</v>
      </c>
      <c r="K7980">
        <v>1.1094809999999999</v>
      </c>
      <c r="L7980">
        <v>78.782619999999994</v>
      </c>
      <c r="M7980">
        <v>5.3390919999999897E-3</v>
      </c>
      <c r="N7980">
        <v>0</v>
      </c>
      <c r="O7980">
        <v>0.99993180000000004</v>
      </c>
      <c r="P7980">
        <v>3.8062590000000002E-3</v>
      </c>
      <c r="Q7980">
        <v>1.1377689999999999E-2</v>
      </c>
      <c r="R7980">
        <v>0.99992809999999999</v>
      </c>
      <c r="S7980">
        <v>7.6324459999999997E-2</v>
      </c>
      <c r="T7980">
        <v>-2.6747110000000001E-2</v>
      </c>
      <c r="U7980">
        <v>3.000305</v>
      </c>
      <c r="V7980">
        <v>-1.5425040000000001E-3</v>
      </c>
      <c r="W7980">
        <v>2.1763810000000001E-2</v>
      </c>
      <c r="X7980">
        <v>0.99976189999999998</v>
      </c>
      <c r="Y7980">
        <v>2.0091649999999999E-2</v>
      </c>
      <c r="Z7980">
        <v>-8.9119100000000003E-3</v>
      </c>
      <c r="AA7980">
        <v>0.99975840000000005</v>
      </c>
      <c r="AB7980">
        <v>33</v>
      </c>
      <c r="AC7980">
        <v>3.1642999999999901</v>
      </c>
      <c r="AD7980">
        <v>-1.1094755577269999</v>
      </c>
      <c r="AE7980">
        <v>124.13267999999999</v>
      </c>
      <c r="AF7980">
        <v>2.5012636576388698</v>
      </c>
      <c r="AG7980">
        <v>-1.1094755577269999</v>
      </c>
      <c r="AH7980">
        <v>124.137895669842</v>
      </c>
      <c r="AI7980">
        <v>90.511960309722696</v>
      </c>
      <c r="AJ7980">
        <v>88.845699286112605</v>
      </c>
      <c r="AK7980">
        <v>124.16804901920101</v>
      </c>
      <c r="AL7980">
        <v>88.752927016139196</v>
      </c>
      <c r="AM7980">
        <v>90.088399946982193</v>
      </c>
      <c r="AN7980">
        <v>0.99999994971795603</v>
      </c>
    </row>
    <row r="7981" spans="1:40" x14ac:dyDescent="0.25">
      <c r="A7981" t="str">
        <f>"20190312160842546"</f>
        <v>20190312160842546</v>
      </c>
      <c r="B7981" t="str">
        <f>"1552378122533649"</f>
        <v>1552378122533649</v>
      </c>
      <c r="C7981" t="s">
        <v>40</v>
      </c>
      <c r="D7981">
        <v>6.2567349999999999</v>
      </c>
      <c r="E7981">
        <v>0.50742480000000001</v>
      </c>
      <c r="F7981" t="s">
        <v>47</v>
      </c>
      <c r="G7981">
        <v>-184.1645</v>
      </c>
      <c r="H7981" s="1">
        <v>-5.0006890000000002E-6</v>
      </c>
      <c r="I7981">
        <v>198.8766</v>
      </c>
      <c r="J7981">
        <v>-187.0966</v>
      </c>
      <c r="K7981">
        <v>1.1094820000000001</v>
      </c>
      <c r="L7981">
        <v>79.098659999999995</v>
      </c>
      <c r="M7981">
        <v>5.1275269999999998E-3</v>
      </c>
      <c r="N7981">
        <v>0</v>
      </c>
      <c r="O7981">
        <v>0.99993290000000001</v>
      </c>
      <c r="P7981">
        <v>3.177596E-3</v>
      </c>
      <c r="Q7981">
        <v>1.1241859999999999E-2</v>
      </c>
      <c r="R7981">
        <v>0.99993180000000004</v>
      </c>
      <c r="S7981">
        <v>7.3287959999999999E-2</v>
      </c>
      <c r="T7981">
        <v>-2.771771E-2</v>
      </c>
      <c r="U7981">
        <v>3.0002439999999999</v>
      </c>
      <c r="V7981">
        <v>-1.9596430000000001E-3</v>
      </c>
      <c r="W7981">
        <v>2.1631290000000001E-2</v>
      </c>
      <c r="X7981">
        <v>0.99976410000000004</v>
      </c>
      <c r="Y7981">
        <v>1.9292420000000001E-2</v>
      </c>
      <c r="Z7981">
        <v>-9.2356729999999998E-3</v>
      </c>
      <c r="AA7981">
        <v>0.99977119999999997</v>
      </c>
      <c r="AB7981">
        <v>33</v>
      </c>
      <c r="AC7981">
        <v>2.9320999999999899</v>
      </c>
      <c r="AD7981">
        <v>-1.1094870006890001</v>
      </c>
      <c r="AE7981">
        <v>119.77793999999901</v>
      </c>
      <c r="AF7981">
        <v>2.3176649533010698</v>
      </c>
      <c r="AG7981">
        <v>-1.1094870006890001</v>
      </c>
      <c r="AH7981">
        <v>119.781129331938</v>
      </c>
      <c r="AI7981">
        <v>90.5305945067674</v>
      </c>
      <c r="AJ7981">
        <v>88.891512773753107</v>
      </c>
      <c r="AK7981">
        <v>119.808686981683</v>
      </c>
      <c r="AL7981">
        <v>88.760521708787905</v>
      </c>
      <c r="AM7981">
        <v>90.112305622356104</v>
      </c>
      <c r="AN7981">
        <v>1.00000000427828</v>
      </c>
    </row>
    <row r="7982" spans="1:40" x14ac:dyDescent="0.25">
      <c r="A7982" t="str">
        <f>"20190312160842567"</f>
        <v>20190312160842567</v>
      </c>
      <c r="B7982" t="str">
        <f>"1552378122563905"</f>
        <v>1552378122563905</v>
      </c>
      <c r="C7982" t="s">
        <v>40</v>
      </c>
      <c r="D7982">
        <v>6.1621129999999997</v>
      </c>
      <c r="E7982">
        <v>0.50703469999999995</v>
      </c>
      <c r="F7982" t="s">
        <v>61</v>
      </c>
      <c r="G7982">
        <v>-184.3075</v>
      </c>
      <c r="H7982" s="1">
        <v>6.0258659999999997E-6</v>
      </c>
      <c r="I7982">
        <v>201.1832</v>
      </c>
      <c r="J7982">
        <v>-187.0951</v>
      </c>
      <c r="K7982">
        <v>1.109477</v>
      </c>
      <c r="L7982">
        <v>79.425839999999994</v>
      </c>
      <c r="M7982">
        <v>4.9085049999999996E-3</v>
      </c>
      <c r="N7982">
        <v>0</v>
      </c>
      <c r="O7982">
        <v>0.99993390000000004</v>
      </c>
      <c r="P7982">
        <v>2.831418E-3</v>
      </c>
      <c r="Q7982">
        <v>1.142954E-2</v>
      </c>
      <c r="R7982">
        <v>0.99993069999999895</v>
      </c>
      <c r="S7982">
        <v>6.8542480000000003E-2</v>
      </c>
      <c r="T7982">
        <v>-2.7265790000000002E-2</v>
      </c>
      <c r="U7982">
        <v>3.0002749999999998</v>
      </c>
      <c r="V7982">
        <v>-2.086919E-3</v>
      </c>
      <c r="W7982">
        <v>2.182245E-2</v>
      </c>
      <c r="X7982">
        <v>0.99975970000000003</v>
      </c>
      <c r="Y7982">
        <v>1.7930740000000001E-2</v>
      </c>
      <c r="Z7982">
        <v>-9.0853110000000004E-3</v>
      </c>
      <c r="AA7982">
        <v>0.99979790000000002</v>
      </c>
      <c r="AB7982">
        <v>33</v>
      </c>
      <c r="AC7982">
        <v>2.7875999999999901</v>
      </c>
      <c r="AD7982">
        <v>-1.1094709741339901</v>
      </c>
      <c r="AE7982">
        <v>121.75736000000001</v>
      </c>
      <c r="AF7982">
        <v>2.1897057796293602</v>
      </c>
      <c r="AG7982">
        <v>-1.1094709741339901</v>
      </c>
      <c r="AH7982">
        <v>121.759472203458</v>
      </c>
      <c r="AI7982">
        <v>90.521979667917606</v>
      </c>
      <c r="AJ7982">
        <v>88.969711559952302</v>
      </c>
      <c r="AK7982">
        <v>121.784214118696</v>
      </c>
      <c r="AL7982">
        <v>88.749566476397803</v>
      </c>
      <c r="AM7982">
        <v>90.119600217147394</v>
      </c>
      <c r="AN7982">
        <v>1.0000000161495</v>
      </c>
    </row>
    <row r="7983" spans="1:40" x14ac:dyDescent="0.25">
      <c r="A7983" t="str">
        <f>"20190312160842591"</f>
        <v>20190312160842591</v>
      </c>
      <c r="B7983" t="str">
        <f>"1552378122583425"</f>
        <v>1552378122583425</v>
      </c>
      <c r="C7983" t="s">
        <v>40</v>
      </c>
      <c r="D7983">
        <v>6.1316009999999999</v>
      </c>
      <c r="E7983">
        <v>0.47347689999999998</v>
      </c>
      <c r="F7983" t="s">
        <v>61</v>
      </c>
      <c r="G7983">
        <v>-184.3655</v>
      </c>
      <c r="H7983" s="1">
        <v>4.4334970000000001E-6</v>
      </c>
      <c r="I7983">
        <v>206.51669999999999</v>
      </c>
      <c r="J7983">
        <v>-187.09360000000001</v>
      </c>
      <c r="K7983">
        <v>1.10948</v>
      </c>
      <c r="L7983">
        <v>79.786769999999905</v>
      </c>
      <c r="M7983">
        <v>4.6666770000000002E-3</v>
      </c>
      <c r="N7983">
        <v>0</v>
      </c>
      <c r="O7983">
        <v>0.99993500000000002</v>
      </c>
      <c r="P7983">
        <v>2.9166499999999998E-3</v>
      </c>
      <c r="Q7983">
        <v>1.1224990000000001E-2</v>
      </c>
      <c r="R7983">
        <v>0.99993279999999995</v>
      </c>
      <c r="S7983">
        <v>6.4437869999999994E-2</v>
      </c>
      <c r="T7983">
        <v>-2.6191949999999999E-2</v>
      </c>
      <c r="U7983">
        <v>3.000305</v>
      </c>
      <c r="V7983">
        <v>-1.759895E-3</v>
      </c>
      <c r="W7983">
        <v>2.1621749999999999E-2</v>
      </c>
      <c r="X7983">
        <v>0.99976469999999995</v>
      </c>
      <c r="Y7983">
        <v>1.6805250000000001E-2</v>
      </c>
      <c r="Z7983">
        <v>-8.7276650000000008E-3</v>
      </c>
      <c r="AA7983">
        <v>0.99982070000000001</v>
      </c>
      <c r="AB7983">
        <v>33</v>
      </c>
      <c r="AC7983">
        <v>2.7281000000000102</v>
      </c>
      <c r="AD7983">
        <v>-1.1094755665030001</v>
      </c>
      <c r="AE7983">
        <v>126.72993</v>
      </c>
      <c r="AF7983">
        <v>2.1364669668010601</v>
      </c>
      <c r="AG7983">
        <v>-1.1094755665030001</v>
      </c>
      <c r="AH7983">
        <v>126.731573047604</v>
      </c>
      <c r="AI7983">
        <v>90.501513644770498</v>
      </c>
      <c r="AJ7983">
        <v>89.034187432711406</v>
      </c>
      <c r="AK7983">
        <v>126.75443595493201</v>
      </c>
      <c r="AL7983">
        <v>88.761068465722303</v>
      </c>
      <c r="AM7983">
        <v>90.100858183665295</v>
      </c>
      <c r="AN7983">
        <v>1.0000000263347799</v>
      </c>
    </row>
    <row r="7984" spans="1:40" x14ac:dyDescent="0.25">
      <c r="A7984" t="str">
        <f>"20190312160842614"</f>
        <v>20190312160842614</v>
      </c>
      <c r="B7984" t="str">
        <f>"1552378122603922"</f>
        <v>1552378122603922</v>
      </c>
      <c r="C7984" t="s">
        <v>40</v>
      </c>
      <c r="D7984">
        <v>6.1451019999999996</v>
      </c>
      <c r="E7984">
        <v>0.4729119</v>
      </c>
      <c r="F7984" t="s">
        <v>46</v>
      </c>
      <c r="G7984">
        <v>-208.1772</v>
      </c>
      <c r="H7984">
        <v>0.82087659999999996</v>
      </c>
      <c r="I7984">
        <v>391.87</v>
      </c>
      <c r="J7984">
        <v>-187.09229999999999</v>
      </c>
      <c r="K7984">
        <v>1.1094809999999999</v>
      </c>
      <c r="L7984">
        <v>80.124179999999996</v>
      </c>
      <c r="M7984">
        <v>4.4406640000000004E-3</v>
      </c>
      <c r="N7984">
        <v>0</v>
      </c>
      <c r="O7984">
        <v>0.99993600000000005</v>
      </c>
      <c r="P7984">
        <v>2.9228560000000002E-3</v>
      </c>
      <c r="Q7984">
        <v>1.142439E-2</v>
      </c>
      <c r="R7984">
        <v>0.9999304</v>
      </c>
      <c r="S7984">
        <v>-0.2027283</v>
      </c>
      <c r="T7984">
        <v>-2.7750729999999999E-3</v>
      </c>
      <c r="U7984">
        <v>3.0008240000000002</v>
      </c>
      <c r="V7984">
        <v>-1.5277239999999901E-3</v>
      </c>
      <c r="W7984">
        <v>2.1824840000000002E-2</v>
      </c>
      <c r="X7984">
        <v>0.9997606</v>
      </c>
      <c r="Y7984">
        <v>-7.1834010000000004E-2</v>
      </c>
      <c r="Z7984">
        <v>-9.2251029999999997E-4</v>
      </c>
      <c r="AA7984">
        <v>0.99741619999999998</v>
      </c>
      <c r="AB7984">
        <v>34</v>
      </c>
      <c r="AC7984">
        <v>-21.084900000000001</v>
      </c>
      <c r="AD7984">
        <v>-0.28860439999999998</v>
      </c>
      <c r="AE7984">
        <v>311.74581999999998</v>
      </c>
      <c r="AF7984">
        <v>-22.469106308055199</v>
      </c>
      <c r="AG7984">
        <v>-0.28860439999999998</v>
      </c>
      <c r="AH7984">
        <v>311.64884400942901</v>
      </c>
      <c r="AI7984">
        <v>90.052921740337297</v>
      </c>
      <c r="AJ7984">
        <v>94.123747884250704</v>
      </c>
      <c r="AK7984">
        <v>312.457910770708</v>
      </c>
      <c r="AL7984">
        <v>88.749429433442401</v>
      </c>
      <c r="AM7984">
        <v>90.087553029525296</v>
      </c>
      <c r="AN7984">
        <v>0.99999995744700199</v>
      </c>
    </row>
    <row r="7985" spans="1:40" x14ac:dyDescent="0.25">
      <c r="A7985" t="str">
        <f>"20190312160842637"</f>
        <v>20190312160842637</v>
      </c>
      <c r="B7985" t="str">
        <f>"1552378122633200"</f>
        <v>1552378122633200</v>
      </c>
      <c r="C7985" t="s">
        <v>40</v>
      </c>
      <c r="D7985">
        <v>6.20235</v>
      </c>
      <c r="E7985">
        <v>0.4732807</v>
      </c>
      <c r="F7985" t="s">
        <v>46</v>
      </c>
      <c r="G7985">
        <v>-208.6343</v>
      </c>
      <c r="H7985">
        <v>0.2248144</v>
      </c>
      <c r="I7985">
        <v>391.87</v>
      </c>
      <c r="J7985">
        <v>-187.09100000000001</v>
      </c>
      <c r="K7985">
        <v>1.1094869999999999</v>
      </c>
      <c r="L7985">
        <v>80.457759999999993</v>
      </c>
      <c r="M7985">
        <v>4.2175709999999998E-3</v>
      </c>
      <c r="N7985">
        <v>0</v>
      </c>
      <c r="O7985">
        <v>0.99993690000000002</v>
      </c>
      <c r="P7985">
        <v>2.8084439999999998E-3</v>
      </c>
      <c r="Q7985">
        <v>1.1817869999999999E-2</v>
      </c>
      <c r="R7985">
        <v>0.99992619999999999</v>
      </c>
      <c r="S7985">
        <v>-0.20736689999999999</v>
      </c>
      <c r="T7985">
        <v>-8.5159539999999992E-3</v>
      </c>
      <c r="U7985">
        <v>3.0009160000000001</v>
      </c>
      <c r="V7985">
        <v>-1.419018E-3</v>
      </c>
      <c r="W7985">
        <v>2.2221950000000001E-2</v>
      </c>
      <c r="X7985">
        <v>0.99975199999999997</v>
      </c>
      <c r="Y7985">
        <v>-7.3143719999999995E-2</v>
      </c>
      <c r="Z7985">
        <v>-2.8305610000000001E-3</v>
      </c>
      <c r="AA7985">
        <v>0.99731740000000002</v>
      </c>
      <c r="AB7985">
        <v>34</v>
      </c>
      <c r="AC7985">
        <v>-21.543299999999999</v>
      </c>
      <c r="AD7985">
        <v>-0.88467260000000003</v>
      </c>
      <c r="AE7985">
        <v>311.41224</v>
      </c>
      <c r="AF7985">
        <v>-22.856399222159101</v>
      </c>
      <c r="AG7985">
        <v>-0.88467260000000003</v>
      </c>
      <c r="AH7985">
        <v>311.31610420751502</v>
      </c>
      <c r="AI7985">
        <v>90.162380963877993</v>
      </c>
      <c r="AJ7985">
        <v>94.199043271464603</v>
      </c>
      <c r="AK7985">
        <v>312.15527285304103</v>
      </c>
      <c r="AL7985">
        <v>88.726671169697994</v>
      </c>
      <c r="AM7985">
        <v>90.081323856170997</v>
      </c>
      <c r="AN7985">
        <v>0.99999994508894097</v>
      </c>
    </row>
    <row r="7986" spans="1:40" x14ac:dyDescent="0.25">
      <c r="A7986" t="str">
        <f>"20190312160842658"</f>
        <v>20190312160842658</v>
      </c>
      <c r="B7986" t="str">
        <f>"1552378122653698"</f>
        <v>1552378122653698</v>
      </c>
      <c r="C7986" t="s">
        <v>40</v>
      </c>
      <c r="D7986">
        <v>6.2517719999999999</v>
      </c>
      <c r="E7986">
        <v>0.47382629999999998</v>
      </c>
      <c r="F7986" t="s">
        <v>46</v>
      </c>
      <c r="G7986">
        <v>-208.33150000000001</v>
      </c>
      <c r="H7986">
        <v>0.42121599999999998</v>
      </c>
      <c r="I7986">
        <v>391.87</v>
      </c>
      <c r="J7986">
        <v>-187.0898</v>
      </c>
      <c r="K7986">
        <v>1.109483</v>
      </c>
      <c r="L7986">
        <v>80.791079999999994</v>
      </c>
      <c r="M7986">
        <v>3.9946160000000003E-3</v>
      </c>
      <c r="N7986">
        <v>0</v>
      </c>
      <c r="O7986">
        <v>0.99993779999999999</v>
      </c>
      <c r="P7986">
        <v>1.940687E-3</v>
      </c>
      <c r="Q7986">
        <v>1.204614E-2</v>
      </c>
      <c r="R7986">
        <v>0.99992559999999997</v>
      </c>
      <c r="S7986">
        <v>-0.20468140000000001</v>
      </c>
      <c r="T7986">
        <v>-6.6324469999999996E-3</v>
      </c>
      <c r="U7986">
        <v>3.0008849999999998</v>
      </c>
      <c r="V7986">
        <v>-2.064008E-3</v>
      </c>
      <c r="W7986">
        <v>2.2453629999999999E-2</v>
      </c>
      <c r="X7986">
        <v>0.99974569999999996</v>
      </c>
      <c r="Y7986">
        <v>-7.2033780000000006E-2</v>
      </c>
      <c r="Z7986">
        <v>-2.20469999999999E-3</v>
      </c>
      <c r="AA7986">
        <v>0.9973997</v>
      </c>
      <c r="AB7986">
        <v>34</v>
      </c>
      <c r="AC7986">
        <v>-21.241700000000002</v>
      </c>
      <c r="AD7986">
        <v>-0.68826699999999996</v>
      </c>
      <c r="AE7986">
        <v>311.07891999999998</v>
      </c>
      <c r="AF7986">
        <v>-22.484129162473302</v>
      </c>
      <c r="AG7986">
        <v>-0.68826699999999996</v>
      </c>
      <c r="AH7986">
        <v>310.99006544753001</v>
      </c>
      <c r="AI7986">
        <v>90.126473713003193</v>
      </c>
      <c r="AJ7986">
        <v>94.135206476726495</v>
      </c>
      <c r="AK7986">
        <v>311.80255063536202</v>
      </c>
      <c r="AL7986">
        <v>88.713393569797503</v>
      </c>
      <c r="AM7986">
        <v>90.118288860120501</v>
      </c>
      <c r="AN7986">
        <v>0.99999994514884305</v>
      </c>
    </row>
    <row r="7987" spans="1:40" x14ac:dyDescent="0.25">
      <c r="A7987" t="str">
        <f>"20190312160842683"</f>
        <v>20190312160842683</v>
      </c>
      <c r="B7987" t="str">
        <f>"1552378122673218"</f>
        <v>1552378122673218</v>
      </c>
      <c r="C7987" t="s">
        <v>40</v>
      </c>
      <c r="D7987">
        <v>6.1475619999999997</v>
      </c>
      <c r="E7987">
        <v>0.47407690000000002</v>
      </c>
      <c r="F7987" t="s">
        <v>46</v>
      </c>
      <c r="G7987">
        <v>-208.12989999999999</v>
      </c>
      <c r="H7987">
        <v>0.2769413</v>
      </c>
      <c r="I7987">
        <v>391.87</v>
      </c>
      <c r="J7987">
        <v>-187.08860000000001</v>
      </c>
      <c r="K7987">
        <v>1.10948</v>
      </c>
      <c r="L7987">
        <v>81.162629999999993</v>
      </c>
      <c r="M7987">
        <v>3.7463219999999998E-3</v>
      </c>
      <c r="N7987">
        <v>0</v>
      </c>
      <c r="O7987">
        <v>0.99993880000000002</v>
      </c>
      <c r="P7987">
        <v>1.898631E-3</v>
      </c>
      <c r="Q7987">
        <v>1.170561E-2</v>
      </c>
      <c r="R7987">
        <v>0.99992970000000003</v>
      </c>
      <c r="S7987">
        <v>-0.2029572</v>
      </c>
      <c r="T7987">
        <v>-8.0308910000000001E-3</v>
      </c>
      <c r="U7987">
        <v>3.0007320000000002</v>
      </c>
      <c r="V7987">
        <v>-1.8580809999999999E-3</v>
      </c>
      <c r="W7987">
        <v>2.2117069999999999E-2</v>
      </c>
      <c r="X7987">
        <v>0.99975369999999997</v>
      </c>
      <c r="Y7987">
        <v>-7.1218970000000006E-2</v>
      </c>
      <c r="Z7987">
        <v>-2.6698249999999998E-3</v>
      </c>
      <c r="AA7987">
        <v>0.99745709999999999</v>
      </c>
      <c r="AB7987">
        <v>34</v>
      </c>
      <c r="AC7987">
        <v>-21.0412999999999</v>
      </c>
      <c r="AD7987">
        <v>-0.83253869999999897</v>
      </c>
      <c r="AE7987">
        <v>310.70737000000003</v>
      </c>
      <c r="AF7987">
        <v>-22.205066556939101</v>
      </c>
      <c r="AG7987">
        <v>-0.83253869999999897</v>
      </c>
      <c r="AH7987">
        <v>310.624137617629</v>
      </c>
      <c r="AI7987">
        <v>90.153173627773199</v>
      </c>
      <c r="AJ7987">
        <v>94.088851840441606</v>
      </c>
      <c r="AK7987">
        <v>311.41790727602802</v>
      </c>
      <c r="AL7987">
        <v>88.732681947628805</v>
      </c>
      <c r="AM7987">
        <v>90.106486304293298</v>
      </c>
      <c r="AN7987">
        <v>1.00000003895703</v>
      </c>
    </row>
    <row r="7988" spans="1:40" x14ac:dyDescent="0.25">
      <c r="A7988" t="str">
        <f>"20190312160842705"</f>
        <v>20190312160842705</v>
      </c>
      <c r="B7988" t="str">
        <f>"1552378122693713"</f>
        <v>1552378122693713</v>
      </c>
      <c r="C7988" t="s">
        <v>40</v>
      </c>
      <c r="D7988">
        <v>6.1076790000000001</v>
      </c>
      <c r="E7988">
        <v>0.47409780000000001</v>
      </c>
      <c r="F7988" t="s">
        <v>47</v>
      </c>
      <c r="G7988">
        <v>-204.7698</v>
      </c>
      <c r="H7988">
        <v>7.9986899999999903E-2</v>
      </c>
      <c r="I7988">
        <v>345.0403</v>
      </c>
      <c r="J7988">
        <v>-187.08750000000001</v>
      </c>
      <c r="K7988">
        <v>1.10948</v>
      </c>
      <c r="L7988">
        <v>81.495090000000005</v>
      </c>
      <c r="M7988">
        <v>3.5239999999999998E-3</v>
      </c>
      <c r="N7988">
        <v>0</v>
      </c>
      <c r="O7988">
        <v>0.99993949999999998</v>
      </c>
      <c r="P7988">
        <v>1.2313420000000001E-3</v>
      </c>
      <c r="Q7988">
        <v>1.1727049999999999E-2</v>
      </c>
      <c r="R7988">
        <v>0.99993050000000006</v>
      </c>
      <c r="S7988">
        <v>-0.2010651</v>
      </c>
      <c r="T7988">
        <v>-1.170707E-2</v>
      </c>
      <c r="U7988">
        <v>3.0007320000000002</v>
      </c>
      <c r="V7988">
        <v>-2.302382E-3</v>
      </c>
      <c r="W7988">
        <v>2.2141859999999999E-2</v>
      </c>
      <c r="X7988">
        <v>0.99975219999999998</v>
      </c>
      <c r="Y7988">
        <v>-7.0370799999999997E-2</v>
      </c>
      <c r="Z7988">
        <v>-3.8921379999999998E-3</v>
      </c>
      <c r="AA7988">
        <v>0.99751330000000005</v>
      </c>
      <c r="AB7988">
        <v>34</v>
      </c>
      <c r="AC7988">
        <v>-17.682299999999898</v>
      </c>
      <c r="AD7988">
        <v>-1.0294931</v>
      </c>
      <c r="AE7988">
        <v>263.54521</v>
      </c>
      <c r="AF7988">
        <v>-18.610691222514902</v>
      </c>
      <c r="AG7988">
        <v>-1.0294931</v>
      </c>
      <c r="AH7988">
        <v>263.47725510121001</v>
      </c>
      <c r="AI7988">
        <v>90.223316095677404</v>
      </c>
      <c r="AJ7988">
        <v>94.040371405172095</v>
      </c>
      <c r="AK7988">
        <v>264.13572579166703</v>
      </c>
      <c r="AL7988">
        <v>88.731261203400706</v>
      </c>
      <c r="AM7988">
        <v>90.131949235237201</v>
      </c>
      <c r="AN7988">
        <v>1.00000001216598</v>
      </c>
    </row>
    <row r="7989" spans="1:40" x14ac:dyDescent="0.25">
      <c r="A7989" t="str">
        <f>"20190312160842724"</f>
        <v>20190312160842724</v>
      </c>
      <c r="B7989" t="str">
        <f>"1552378122713237"</f>
        <v>1552378122713237</v>
      </c>
      <c r="C7989" t="s">
        <v>40</v>
      </c>
      <c r="D7989">
        <v>6.1076300000000003</v>
      </c>
      <c r="E7989">
        <v>0.4801223</v>
      </c>
      <c r="F7989" t="s">
        <v>47</v>
      </c>
      <c r="G7989">
        <v>-204.01169999999999</v>
      </c>
      <c r="H7989">
        <v>7.9986370000000001E-2</v>
      </c>
      <c r="I7989">
        <v>331.72750000000002</v>
      </c>
      <c r="J7989">
        <v>-187.08670000000001</v>
      </c>
      <c r="K7989">
        <v>1.109488</v>
      </c>
      <c r="L7989">
        <v>81.791780000000003</v>
      </c>
      <c r="M7989">
        <v>3.3255910000000001E-3</v>
      </c>
      <c r="N7989">
        <v>0</v>
      </c>
      <c r="O7989">
        <v>0.99994019999999995</v>
      </c>
      <c r="P7989">
        <v>5.0736930000000002E-4</v>
      </c>
      <c r="Q7989">
        <v>1.217331E-2</v>
      </c>
      <c r="R7989">
        <v>0.99992579999999998</v>
      </c>
      <c r="S7989">
        <v>-0.20294190000000001</v>
      </c>
      <c r="T7989">
        <v>-1.234496E-2</v>
      </c>
      <c r="U7989">
        <v>3.00061</v>
      </c>
      <c r="V7989">
        <v>-2.8286510000000002E-3</v>
      </c>
      <c r="W7989">
        <v>2.259092E-2</v>
      </c>
      <c r="X7989">
        <v>0.99974079999999999</v>
      </c>
      <c r="Y7989">
        <v>-7.0796639999999994E-2</v>
      </c>
      <c r="Z7989">
        <v>-4.1042300000000004E-3</v>
      </c>
      <c r="AA7989">
        <v>0.99748230000000004</v>
      </c>
      <c r="AB7989">
        <v>34</v>
      </c>
      <c r="AC7989">
        <v>-16.924999999999901</v>
      </c>
      <c r="AD7989">
        <v>-1.0295016299999999</v>
      </c>
      <c r="AE7989">
        <v>249.93572</v>
      </c>
      <c r="AF7989">
        <v>-17.755835607023101</v>
      </c>
      <c r="AG7989">
        <v>-1.0295016299999999</v>
      </c>
      <c r="AH7989">
        <v>249.87382889230801</v>
      </c>
      <c r="AI7989">
        <v>90.235468462272394</v>
      </c>
      <c r="AJ7989">
        <v>94.064560512291393</v>
      </c>
      <c r="AK7989">
        <v>250.506007786265</v>
      </c>
      <c r="AL7989">
        <v>88.705525518714296</v>
      </c>
      <c r="AM7989">
        <v>90.162111350800998</v>
      </c>
      <c r="AN7989">
        <v>1.0000000090587799</v>
      </c>
    </row>
    <row r="7990" spans="1:40" x14ac:dyDescent="0.25">
      <c r="A7990" t="str">
        <f>"20190312160842748"</f>
        <v>20190312160842748</v>
      </c>
      <c r="B7990" t="str">
        <f>"1552378122743490"</f>
        <v>1552378122743490</v>
      </c>
      <c r="C7990" t="s">
        <v>40</v>
      </c>
      <c r="D7990">
        <v>6.1390260000000003</v>
      </c>
      <c r="E7990">
        <v>0.47290529999999997</v>
      </c>
      <c r="F7990" t="s">
        <v>47</v>
      </c>
      <c r="G7990">
        <v>-188.0308</v>
      </c>
      <c r="H7990" s="1">
        <v>-5.8210990000000002E-7</v>
      </c>
      <c r="I7990">
        <v>99.818920000000006</v>
      </c>
      <c r="J7990">
        <v>-187.08580000000001</v>
      </c>
      <c r="K7990">
        <v>1.109491</v>
      </c>
      <c r="L7990">
        <v>82.140199999999993</v>
      </c>
      <c r="M7990">
        <v>3.092413E-3</v>
      </c>
      <c r="N7990">
        <v>0</v>
      </c>
      <c r="O7990">
        <v>0.99994090000000002</v>
      </c>
      <c r="P7990">
        <v>2.1522070000000001E-4</v>
      </c>
      <c r="Q7990">
        <v>1.211191E-2</v>
      </c>
      <c r="R7990">
        <v>0.9999266</v>
      </c>
      <c r="S7990">
        <v>-0.15724179999999999</v>
      </c>
      <c r="T7990">
        <v>-0.18479219999999999</v>
      </c>
      <c r="U7990">
        <v>3.0025330000000001</v>
      </c>
      <c r="V7990">
        <v>-2.8877669999999999E-3</v>
      </c>
      <c r="W7990">
        <v>2.253324E-2</v>
      </c>
      <c r="X7990">
        <v>0.99974189999999996</v>
      </c>
      <c r="Y7990">
        <v>-5.5287669999999997E-2</v>
      </c>
      <c r="Z7990">
        <v>-6.1339900000000003E-2</v>
      </c>
      <c r="AA7990">
        <v>0.99658449999999998</v>
      </c>
      <c r="AB7990">
        <v>34</v>
      </c>
      <c r="AC7990">
        <v>-0.94499999999999296</v>
      </c>
      <c r="AD7990">
        <v>-1.1094915821099001</v>
      </c>
      <c r="AE7990">
        <v>17.678719999999998</v>
      </c>
      <c r="AF7990">
        <v>-0.99575759700709199</v>
      </c>
      <c r="AG7990">
        <v>-1.1094915821099001</v>
      </c>
      <c r="AH7990">
        <v>17.606564615224801</v>
      </c>
      <c r="AI7990">
        <v>93.600033293084806</v>
      </c>
      <c r="AJ7990">
        <v>93.2369741695491</v>
      </c>
      <c r="AK7990">
        <v>17.669567688906699</v>
      </c>
      <c r="AL7990">
        <v>88.708831138495995</v>
      </c>
      <c r="AM7990">
        <v>90.165499116478003</v>
      </c>
      <c r="AN7990">
        <v>0.99999997635937599</v>
      </c>
    </row>
    <row r="7991" spans="1:40" x14ac:dyDescent="0.25">
      <c r="A7991" t="str">
        <f>"20190312160842769"</f>
        <v>20190312160842769</v>
      </c>
      <c r="B7991" t="str">
        <f>"1552378122763985"</f>
        <v>1552378122763985</v>
      </c>
      <c r="C7991" t="s">
        <v>40</v>
      </c>
      <c r="D7991">
        <v>6.0710329999999999</v>
      </c>
      <c r="E7991">
        <v>0.47383609999999998</v>
      </c>
      <c r="F7991" t="s">
        <v>89</v>
      </c>
      <c r="G7991">
        <v>-190.9436</v>
      </c>
      <c r="H7991" s="1">
        <v>-6.9806970000000001E-6</v>
      </c>
      <c r="I7991">
        <v>135.8297</v>
      </c>
      <c r="J7991">
        <v>-187.08500000000001</v>
      </c>
      <c r="K7991">
        <v>1.109491</v>
      </c>
      <c r="L7991">
        <v>82.46378</v>
      </c>
      <c r="M7991">
        <v>2.8759369999999999E-3</v>
      </c>
      <c r="N7991">
        <v>0</v>
      </c>
      <c r="O7991">
        <v>0.99994150000000004</v>
      </c>
      <c r="P7991" s="1">
        <v>8.7630139999999996E-5</v>
      </c>
      <c r="Q7991">
        <v>1.2250840000000001E-2</v>
      </c>
      <c r="R7991">
        <v>0.99992499999999995</v>
      </c>
      <c r="S7991">
        <v>-0.2156372</v>
      </c>
      <c r="T7991">
        <v>-6.2016010000000003E-2</v>
      </c>
      <c r="U7991">
        <v>3.001007</v>
      </c>
      <c r="V7991">
        <v>-2.7986130000000001E-3</v>
      </c>
      <c r="W7991">
        <v>2.267578E-2</v>
      </c>
      <c r="X7991">
        <v>0.99973889999999999</v>
      </c>
      <c r="Y7991">
        <v>-7.4523350000000002E-2</v>
      </c>
      <c r="Z7991">
        <v>-2.0605249999999999E-2</v>
      </c>
      <c r="AA7991">
        <v>0.99700639999999996</v>
      </c>
      <c r="AB7991">
        <v>34</v>
      </c>
      <c r="AC7991">
        <v>-3.8585999999999898</v>
      </c>
      <c r="AD7991">
        <v>-1.109497980697</v>
      </c>
      <c r="AE7991">
        <v>53.365919999999903</v>
      </c>
      <c r="AF7991">
        <v>-4.0103449922934997</v>
      </c>
      <c r="AG7991">
        <v>-1.109497980697</v>
      </c>
      <c r="AH7991">
        <v>53.3316693901793</v>
      </c>
      <c r="AI7991">
        <v>91.188440061465002</v>
      </c>
      <c r="AJ7991">
        <v>94.300338249736498</v>
      </c>
      <c r="AK7991">
        <v>53.493745547211098</v>
      </c>
      <c r="AL7991">
        <v>88.7006620707389</v>
      </c>
      <c r="AM7991">
        <v>90.160390172418104</v>
      </c>
      <c r="AN7991">
        <v>0.999999945703269</v>
      </c>
    </row>
    <row r="7992" spans="1:40" x14ac:dyDescent="0.25">
      <c r="A7992" t="str">
        <f>"20190312160842793"</f>
        <v>20190312160842793</v>
      </c>
      <c r="B7992" t="str">
        <f>"1552378122783505"</f>
        <v>1552378122783505</v>
      </c>
      <c r="C7992" t="s">
        <v>40</v>
      </c>
      <c r="D7992">
        <v>6.1539250000000001</v>
      </c>
      <c r="E7992">
        <v>0.47454180000000001</v>
      </c>
      <c r="F7992" t="s">
        <v>89</v>
      </c>
      <c r="G7992">
        <v>-191.11760000000001</v>
      </c>
      <c r="H7992" s="1">
        <v>-8.467798E-6</v>
      </c>
      <c r="I7992">
        <v>140.45959999999999</v>
      </c>
      <c r="J7992">
        <v>-187.08420000000001</v>
      </c>
      <c r="K7992">
        <v>1.1094919999999999</v>
      </c>
      <c r="L7992">
        <v>82.817779999999999</v>
      </c>
      <c r="M7992">
        <v>2.6389849999999999E-3</v>
      </c>
      <c r="N7992">
        <v>0</v>
      </c>
      <c r="O7992">
        <v>0.99994209999999994</v>
      </c>
      <c r="P7992" s="1">
        <v>-7.5534129999999994E-5</v>
      </c>
      <c r="Q7992">
        <v>1.239358E-2</v>
      </c>
      <c r="R7992">
        <v>0.99992320000000001</v>
      </c>
      <c r="S7992">
        <v>-0.20866390000000001</v>
      </c>
      <c r="T7992">
        <v>-5.7410120000000002E-2</v>
      </c>
      <c r="U7992">
        <v>3.0009459999999999</v>
      </c>
      <c r="V7992">
        <v>-2.7247130000000001E-3</v>
      </c>
      <c r="W7992">
        <v>2.282261E-2</v>
      </c>
      <c r="X7992">
        <v>0.99973579999999995</v>
      </c>
      <c r="Y7992">
        <v>-7.1985160000000006E-2</v>
      </c>
      <c r="Z7992">
        <v>-1.9079249999999999E-2</v>
      </c>
      <c r="AA7992">
        <v>0.99722319999999998</v>
      </c>
      <c r="AB7992">
        <v>34</v>
      </c>
      <c r="AC7992">
        <v>-4.0334000000000003</v>
      </c>
      <c r="AD7992">
        <v>-1.1095004677979901</v>
      </c>
      <c r="AE7992">
        <v>57.641820000000003</v>
      </c>
      <c r="AF7992">
        <v>-4.1839675538885404</v>
      </c>
      <c r="AG7992">
        <v>-1.1095004677979901</v>
      </c>
      <c r="AH7992">
        <v>57.609734613938798</v>
      </c>
      <c r="AI7992">
        <v>91.100420066218803</v>
      </c>
      <c r="AJ7992">
        <v>94.153873217177207</v>
      </c>
      <c r="AK7992">
        <v>57.772122153063499</v>
      </c>
      <c r="AL7992">
        <v>88.6922472016022</v>
      </c>
      <c r="AM7992">
        <v>90.156155425010496</v>
      </c>
      <c r="AN7992">
        <v>0.99999998269489199</v>
      </c>
    </row>
    <row r="7993" spans="1:40" x14ac:dyDescent="0.25">
      <c r="A7993" t="str">
        <f>"20190312160842815"</f>
        <v>20190312160842815</v>
      </c>
      <c r="B7993" t="str">
        <f>"1552378122804000"</f>
        <v>1552378122804000</v>
      </c>
      <c r="C7993" t="s">
        <v>40</v>
      </c>
      <c r="D7993">
        <v>6.2060469999999999</v>
      </c>
      <c r="E7993">
        <v>0.47483550000000002</v>
      </c>
      <c r="F7993" t="s">
        <v>89</v>
      </c>
      <c r="G7993">
        <v>-191.3064</v>
      </c>
      <c r="H7993" s="1">
        <v>-9.7408449999999997E-6</v>
      </c>
      <c r="I7993">
        <v>145.11940000000001</v>
      </c>
      <c r="J7993">
        <v>-187.08359999999999</v>
      </c>
      <c r="K7993">
        <v>1.1094850000000001</v>
      </c>
      <c r="L7993">
        <v>83.150599999999997</v>
      </c>
      <c r="M7993">
        <v>2.416432E-3</v>
      </c>
      <c r="N7993">
        <v>0</v>
      </c>
      <c r="O7993">
        <v>0.99994269999999996</v>
      </c>
      <c r="P7993">
        <v>-6.1651160000000002E-4</v>
      </c>
      <c r="Q7993">
        <v>1.261167E-2</v>
      </c>
      <c r="R7993">
        <v>0.99992029999999998</v>
      </c>
      <c r="S7993">
        <v>-0.2033691</v>
      </c>
      <c r="T7993">
        <v>-5.3441410000000002E-2</v>
      </c>
      <c r="U7993">
        <v>3.0008849999999998</v>
      </c>
      <c r="V7993">
        <v>-3.0436180000000001E-3</v>
      </c>
      <c r="W7993">
        <v>2.30438E-2</v>
      </c>
      <c r="X7993">
        <v>0.9997298</v>
      </c>
      <c r="Y7993">
        <v>-7.0014809999999997E-2</v>
      </c>
      <c r="Z7993">
        <v>-1.7763439999999998E-2</v>
      </c>
      <c r="AA7993">
        <v>0.99738780000000005</v>
      </c>
      <c r="AB7993">
        <v>34</v>
      </c>
      <c r="AC7993">
        <v>-4.2228000000000003</v>
      </c>
      <c r="AD7993">
        <v>-1.109494740845</v>
      </c>
      <c r="AE7993">
        <v>61.968800000000002</v>
      </c>
      <c r="AF7993">
        <v>-4.3711444833280897</v>
      </c>
      <c r="AG7993">
        <v>-1.109494740845</v>
      </c>
      <c r="AH7993">
        <v>61.938651340233598</v>
      </c>
      <c r="AI7993">
        <v>91.0236726952336</v>
      </c>
      <c r="AJ7993">
        <v>94.036794205111093</v>
      </c>
      <c r="AK7993">
        <v>62.102611962147897</v>
      </c>
      <c r="AL7993">
        <v>88.679570605978299</v>
      </c>
      <c r="AM7993">
        <v>90.174433058891594</v>
      </c>
      <c r="AN7993">
        <v>0.99999997666850404</v>
      </c>
    </row>
    <row r="7994" spans="1:40" x14ac:dyDescent="0.25">
      <c r="A7994" t="str">
        <f>"20190312160842837"</f>
        <v>20190312160842837</v>
      </c>
      <c r="B7994" t="str">
        <f>"1552378122833281"</f>
        <v>1552378122833281</v>
      </c>
      <c r="C7994" t="s">
        <v>40</v>
      </c>
      <c r="D7994">
        <v>6.3929780000000003</v>
      </c>
      <c r="E7994">
        <v>0.4756724</v>
      </c>
      <c r="F7994" t="s">
        <v>89</v>
      </c>
      <c r="G7994">
        <v>-191.3792</v>
      </c>
      <c r="H7994" s="1">
        <v>-1.018336E-5</v>
      </c>
      <c r="I7994">
        <v>146.7484</v>
      </c>
      <c r="J7994">
        <v>-187.083</v>
      </c>
      <c r="K7994">
        <v>1.109483</v>
      </c>
      <c r="L7994">
        <v>83.477869999999996</v>
      </c>
      <c r="M7994">
        <v>2.1976999999999899E-3</v>
      </c>
      <c r="N7994">
        <v>0</v>
      </c>
      <c r="O7994">
        <v>0.99994309999999997</v>
      </c>
      <c r="P7994">
        <v>-1.006601E-3</v>
      </c>
      <c r="Q7994">
        <v>1.217763E-2</v>
      </c>
      <c r="R7994">
        <v>0.99992530000000002</v>
      </c>
      <c r="S7994">
        <v>-0.20268249999999999</v>
      </c>
      <c r="T7994">
        <v>-5.2349809999999997E-2</v>
      </c>
      <c r="U7994">
        <v>3.0007630000000001</v>
      </c>
      <c r="V7994">
        <v>-3.2147870000000002E-3</v>
      </c>
      <c r="W7994">
        <v>2.2613330000000001E-2</v>
      </c>
      <c r="X7994">
        <v>0.99973909999999999</v>
      </c>
      <c r="Y7994">
        <v>-6.9572560000000006E-2</v>
      </c>
      <c r="Z7994">
        <v>-1.740183E-2</v>
      </c>
      <c r="AA7994">
        <v>0.99742509999999995</v>
      </c>
      <c r="AB7994">
        <v>34</v>
      </c>
      <c r="AC7994">
        <v>-4.29619999999999</v>
      </c>
      <c r="AD7994">
        <v>-1.1094931833599999</v>
      </c>
      <c r="AE7994">
        <v>63.270530000000001</v>
      </c>
      <c r="AF7994">
        <v>-4.4338896766835996</v>
      </c>
      <c r="AG7994">
        <v>-1.1094931833599999</v>
      </c>
      <c r="AH7994">
        <v>63.241577327837497</v>
      </c>
      <c r="AI7994">
        <v>91.002617962194094</v>
      </c>
      <c r="AJ7994">
        <v>94.010465152938906</v>
      </c>
      <c r="AK7994">
        <v>63.406525340076598</v>
      </c>
      <c r="AL7994">
        <v>88.7042411581929</v>
      </c>
      <c r="AM7994">
        <v>90.184241160786499</v>
      </c>
      <c r="AN7994">
        <v>0.99999998280897695</v>
      </c>
    </row>
    <row r="7995" spans="1:40" x14ac:dyDescent="0.25">
      <c r="A7995" t="str">
        <f>"20190312160842859"</f>
        <v>20190312160842859</v>
      </c>
      <c r="B7995" t="str">
        <f>"1552378122853777"</f>
        <v>1552378122853777</v>
      </c>
      <c r="C7995" t="s">
        <v>40</v>
      </c>
      <c r="D7995">
        <v>6.3299949999999896</v>
      </c>
      <c r="E7995">
        <v>0.51206980000000002</v>
      </c>
      <c r="F7995" t="s">
        <v>89</v>
      </c>
      <c r="G7995">
        <v>-191.22380000000001</v>
      </c>
      <c r="H7995" s="1">
        <v>-1.009656E-5</v>
      </c>
      <c r="I7995">
        <v>146.52379999999999</v>
      </c>
      <c r="J7995">
        <v>-187.08250000000001</v>
      </c>
      <c r="K7995">
        <v>1.109483</v>
      </c>
      <c r="L7995">
        <v>83.822329999999994</v>
      </c>
      <c r="M7995">
        <v>1.9674359999999999E-3</v>
      </c>
      <c r="N7995">
        <v>0</v>
      </c>
      <c r="O7995">
        <v>0.99994360000000004</v>
      </c>
      <c r="P7995">
        <v>-1.073671E-3</v>
      </c>
      <c r="Q7995">
        <v>1.166711E-2</v>
      </c>
      <c r="R7995">
        <v>0.99993129999999997</v>
      </c>
      <c r="S7995">
        <v>-0.19708249999999999</v>
      </c>
      <c r="T7995">
        <v>-5.280638E-2</v>
      </c>
      <c r="U7995">
        <v>3.0006710000000001</v>
      </c>
      <c r="V7995">
        <v>-3.0513089999999999E-3</v>
      </c>
      <c r="W7995">
        <v>2.2108010000000001E-2</v>
      </c>
      <c r="X7995">
        <v>0.9997509</v>
      </c>
      <c r="Y7995">
        <v>-6.749136E-2</v>
      </c>
      <c r="Z7995">
        <v>-1.755644E-2</v>
      </c>
      <c r="AA7995">
        <v>0.99756540000000005</v>
      </c>
      <c r="AB7995">
        <v>34</v>
      </c>
      <c r="AC7995">
        <v>-4.1413000000000002</v>
      </c>
      <c r="AD7995">
        <v>-1.1094930965600001</v>
      </c>
      <c r="AE7995">
        <v>62.701469999999901</v>
      </c>
      <c r="AF7995">
        <v>-4.26333074869871</v>
      </c>
      <c r="AG7995">
        <v>-1.1094930965600001</v>
      </c>
      <c r="AH7995">
        <v>62.673662073459298</v>
      </c>
      <c r="AI7995">
        <v>91.011846245541406</v>
      </c>
      <c r="AJ7995">
        <v>93.891509150462696</v>
      </c>
      <c r="AK7995">
        <v>62.828296823185397</v>
      </c>
      <c r="AL7995">
        <v>88.733201084832899</v>
      </c>
      <c r="AM7995">
        <v>90.174870145000796</v>
      </c>
      <c r="AN7995">
        <v>0.99999996832179106</v>
      </c>
    </row>
    <row r="7996" spans="1:40" x14ac:dyDescent="0.25">
      <c r="A7996" t="str">
        <f>"20190312160842883"</f>
        <v>20190312160842883</v>
      </c>
      <c r="B7996" t="str">
        <f>"1552378122873297"</f>
        <v>1552378122873297</v>
      </c>
      <c r="C7996" t="s">
        <v>40</v>
      </c>
      <c r="D7996">
        <v>6.1257820000000001</v>
      </c>
      <c r="E7996">
        <v>0.51749420000000002</v>
      </c>
      <c r="F7996" t="s">
        <v>46</v>
      </c>
      <c r="G7996">
        <v>-177.54830000000001</v>
      </c>
      <c r="H7996">
        <v>4.6055429999999999</v>
      </c>
      <c r="I7996">
        <v>391.87</v>
      </c>
      <c r="J7996">
        <v>-187.08199999999999</v>
      </c>
      <c r="K7996">
        <v>1.1094790000000001</v>
      </c>
      <c r="L7996">
        <v>84.178619999999995</v>
      </c>
      <c r="M7996">
        <v>1.7295380000000001E-3</v>
      </c>
      <c r="N7996">
        <v>0</v>
      </c>
      <c r="O7996">
        <v>0.9999439</v>
      </c>
      <c r="P7996">
        <v>-1.3713810000000001E-3</v>
      </c>
      <c r="Q7996">
        <v>1.157998E-2</v>
      </c>
      <c r="R7996">
        <v>0.99993200000000004</v>
      </c>
      <c r="S7996">
        <v>9.2849730000000005E-2</v>
      </c>
      <c r="T7996">
        <v>3.4046529999999998E-2</v>
      </c>
      <c r="U7996">
        <v>2.9999389999999999</v>
      </c>
      <c r="V7996">
        <v>-3.1109039999999998E-3</v>
      </c>
      <c r="W7996">
        <v>2.2032690000000001E-2</v>
      </c>
      <c r="X7996">
        <v>0.99975239999999999</v>
      </c>
      <c r="Y7996">
        <v>2.9204890000000001E-2</v>
      </c>
      <c r="Z7996">
        <v>1.134318E-2</v>
      </c>
      <c r="AA7996">
        <v>0.99950910000000004</v>
      </c>
      <c r="AB7996">
        <v>34</v>
      </c>
      <c r="AC7996">
        <v>9.5336999999999801</v>
      </c>
      <c r="AD7996">
        <v>3.4960640000000001</v>
      </c>
      <c r="AE7996">
        <v>307.69137999999998</v>
      </c>
      <c r="AF7996">
        <v>9.0003319120171099</v>
      </c>
      <c r="AG7996">
        <v>3.4960640000000001</v>
      </c>
      <c r="AH7996">
        <v>307.66772757133702</v>
      </c>
      <c r="AI7996">
        <v>89.349247806161898</v>
      </c>
      <c r="AJ7996">
        <v>88.3243806160785</v>
      </c>
      <c r="AK7996">
        <v>307.819198600297</v>
      </c>
      <c r="AL7996">
        <v>88.737517680912305</v>
      </c>
      <c r="AM7996">
        <v>90.178285237822493</v>
      </c>
      <c r="AN7996">
        <v>0.99999998922904598</v>
      </c>
    </row>
    <row r="7997" spans="1:40" x14ac:dyDescent="0.25">
      <c r="A7997" t="str">
        <f>"20190312160842906"</f>
        <v>20190312160842906</v>
      </c>
      <c r="B7997" t="str">
        <f>"1552378122893793"</f>
        <v>1552378122893793</v>
      </c>
      <c r="C7997" t="s">
        <v>40</v>
      </c>
      <c r="D7997">
        <v>6.14445</v>
      </c>
      <c r="E7997">
        <v>0.51691620000000005</v>
      </c>
      <c r="F7997" t="s">
        <v>41</v>
      </c>
      <c r="G7997">
        <v>0</v>
      </c>
      <c r="H7997">
        <v>0</v>
      </c>
      <c r="I7997">
        <v>0</v>
      </c>
      <c r="J7997">
        <v>-187.08170000000001</v>
      </c>
      <c r="K7997">
        <v>1.1094809999999999</v>
      </c>
      <c r="L7997">
        <v>84.530360000000002</v>
      </c>
      <c r="M7997">
        <v>1.4946670000000001E-3</v>
      </c>
      <c r="N7997">
        <v>0</v>
      </c>
      <c r="O7997">
        <v>0.99994400000000006</v>
      </c>
      <c r="P7997">
        <v>-2.496112E-3</v>
      </c>
      <c r="Q7997">
        <v>1.155308E-2</v>
      </c>
      <c r="R7997">
        <v>0.99993010000000004</v>
      </c>
      <c r="S7997">
        <v>0.13540650000000001</v>
      </c>
      <c r="T7997">
        <v>3.32818E-2</v>
      </c>
      <c r="U7997">
        <v>3.0000309999999999</v>
      </c>
      <c r="V7997">
        <v>-4.001414E-3</v>
      </c>
      <c r="W7997">
        <v>2.2027439999999999E-2</v>
      </c>
      <c r="X7997">
        <v>0.99974940000000001</v>
      </c>
      <c r="Y7997">
        <v>4.3593090000000001E-2</v>
      </c>
      <c r="Z7997">
        <v>1.108221E-2</v>
      </c>
      <c r="AA7997">
        <v>0.99898790000000004</v>
      </c>
      <c r="AB7997">
        <v>34</v>
      </c>
      <c r="AC7997">
        <v>0.13540650000000001</v>
      </c>
      <c r="AD7997">
        <v>3.32818E-2</v>
      </c>
      <c r="AE7997">
        <v>3.0000309999999999</v>
      </c>
      <c r="AF7997">
        <v>0.13090597707364601</v>
      </c>
      <c r="AG7997">
        <v>3.32818E-2</v>
      </c>
      <c r="AH7997">
        <v>2.9998615964780901</v>
      </c>
      <c r="AI7997">
        <v>89.364965479175893</v>
      </c>
      <c r="AJ7997">
        <v>87.501349839529595</v>
      </c>
      <c r="AK7997">
        <v>3.0029008726677802</v>
      </c>
      <c r="AL7997">
        <v>88.737818622276293</v>
      </c>
      <c r="AM7997">
        <v>90.229320377762804</v>
      </c>
      <c r="AN7997">
        <v>1.00000004111365</v>
      </c>
    </row>
    <row r="7998" spans="1:40" x14ac:dyDescent="0.25">
      <c r="A7998" t="str">
        <f>"20190312160842926"</f>
        <v>20190312160842926</v>
      </c>
      <c r="B7998" t="str">
        <f>"1552378122913313"</f>
        <v>1552378122913313</v>
      </c>
      <c r="C7998" t="s">
        <v>40</v>
      </c>
      <c r="D7998">
        <v>6.3221959999999999</v>
      </c>
      <c r="E7998">
        <v>0.51850829999999903</v>
      </c>
      <c r="F7998" t="s">
        <v>46</v>
      </c>
      <c r="G7998">
        <v>-174.07660000000001</v>
      </c>
      <c r="H7998">
        <v>5.7657379999999998</v>
      </c>
      <c r="I7998">
        <v>391.00349999999997</v>
      </c>
      <c r="J7998">
        <v>-187.0814</v>
      </c>
      <c r="K7998">
        <v>1.1094820000000001</v>
      </c>
      <c r="L7998">
        <v>84.841579999999993</v>
      </c>
      <c r="M7998">
        <v>1.2870010000000001E-3</v>
      </c>
      <c r="N7998">
        <v>0</v>
      </c>
      <c r="O7998">
        <v>0.99994400000000006</v>
      </c>
      <c r="P7998">
        <v>-4.3865730000000004E-3</v>
      </c>
      <c r="Q7998">
        <v>1.1269990000000001E-2</v>
      </c>
      <c r="R7998">
        <v>0.99992689999999995</v>
      </c>
      <c r="S7998">
        <v>0.1273041</v>
      </c>
      <c r="T7998">
        <v>4.5579080000000001E-2</v>
      </c>
      <c r="U7998">
        <v>3</v>
      </c>
      <c r="V7998">
        <v>-5.6837769999999897E-3</v>
      </c>
      <c r="W7998">
        <v>2.1772400000000001E-2</v>
      </c>
      <c r="X7998">
        <v>0.99974680000000005</v>
      </c>
      <c r="Y7998">
        <v>4.1105709999999997E-2</v>
      </c>
      <c r="Z7998">
        <v>1.5178000000000001E-2</v>
      </c>
      <c r="AA7998">
        <v>0.99903949999999997</v>
      </c>
      <c r="AB7998">
        <v>34</v>
      </c>
      <c r="AC7998">
        <v>13.0047999999999</v>
      </c>
      <c r="AD7998">
        <v>4.656256</v>
      </c>
      <c r="AE7998">
        <v>306.16191999999899</v>
      </c>
      <c r="AF7998">
        <v>12.6078258813583</v>
      </c>
      <c r="AG7998">
        <v>4.656256</v>
      </c>
      <c r="AH7998">
        <v>306.10773002357098</v>
      </c>
      <c r="AI7998">
        <v>89.129269634221103</v>
      </c>
      <c r="AJ7998">
        <v>87.641460590974404</v>
      </c>
      <c r="AK7998">
        <v>306.402644201344</v>
      </c>
      <c r="AL7998">
        <v>88.752434795722394</v>
      </c>
      <c r="AM7998">
        <v>90.325735401476805</v>
      </c>
      <c r="AN7998">
        <v>1.00000000341649</v>
      </c>
    </row>
    <row r="7999" spans="1:40" x14ac:dyDescent="0.25">
      <c r="A7999" t="str">
        <f>"20190312160842949"</f>
        <v>20190312160842949</v>
      </c>
      <c r="B7999" t="str">
        <f>"1552378122943569"</f>
        <v>1552378122943569</v>
      </c>
      <c r="C7999" t="s">
        <v>40</v>
      </c>
      <c r="D7999">
        <v>6.2761290000000001</v>
      </c>
      <c r="E7999">
        <v>0.52122259999999998</v>
      </c>
      <c r="F7999" t="s">
        <v>46</v>
      </c>
      <c r="G7999">
        <v>-173.41679999999999</v>
      </c>
      <c r="H7999">
        <v>6.8118610000000004</v>
      </c>
      <c r="I7999">
        <v>390.11860000000001</v>
      </c>
      <c r="J7999">
        <v>-187.0812</v>
      </c>
      <c r="K7999">
        <v>1.109491</v>
      </c>
      <c r="L7999">
        <v>85.19614</v>
      </c>
      <c r="M7999">
        <v>1.0506879999999999E-3</v>
      </c>
      <c r="N7999">
        <v>0</v>
      </c>
      <c r="O7999">
        <v>0.99994380000000005</v>
      </c>
      <c r="P7999">
        <v>-6.1375450000000003E-3</v>
      </c>
      <c r="Q7999">
        <v>9.8053110000000006E-3</v>
      </c>
      <c r="R7999">
        <v>0.99993310000000002</v>
      </c>
      <c r="S7999">
        <v>0.13429260000000001</v>
      </c>
      <c r="T7999">
        <v>5.6041479999999998E-2</v>
      </c>
      <c r="U7999">
        <v>3.0001829999999998</v>
      </c>
      <c r="V7999">
        <v>-7.1975590000000001E-3</v>
      </c>
      <c r="W7999">
        <v>2.035317E-2</v>
      </c>
      <c r="X7999">
        <v>0.99976690000000001</v>
      </c>
      <c r="Y7999">
        <v>4.3659200000000002E-2</v>
      </c>
      <c r="Z7999">
        <v>1.8657839999999998E-2</v>
      </c>
      <c r="AA7999">
        <v>0.99887219999999999</v>
      </c>
      <c r="AB7999">
        <v>34</v>
      </c>
      <c r="AC7999">
        <v>13.664400000000001</v>
      </c>
      <c r="AD7999">
        <v>5.7023699999999904</v>
      </c>
      <c r="AE7999">
        <v>304.92246</v>
      </c>
      <c r="AF7999">
        <v>13.339340449884</v>
      </c>
      <c r="AG7999">
        <v>5.7023699999999904</v>
      </c>
      <c r="AH7999">
        <v>304.83025509484702</v>
      </c>
      <c r="AI7999">
        <v>88.929334083424905</v>
      </c>
      <c r="AJ7999">
        <v>87.494341181658299</v>
      </c>
      <c r="AK7999">
        <v>305.17526021688701</v>
      </c>
      <c r="AL7999">
        <v>88.833768678919697</v>
      </c>
      <c r="AM7999">
        <v>90.412478777936101</v>
      </c>
      <c r="AN7999">
        <v>0.999999955360107</v>
      </c>
    </row>
    <row r="8000" spans="1:40" x14ac:dyDescent="0.25">
      <c r="A8000" t="str">
        <f>"20190312160842971"</f>
        <v>20190312160842971</v>
      </c>
      <c r="B8000" t="str">
        <f>"1552378122963090"</f>
        <v>1552378122963090</v>
      </c>
      <c r="C8000" t="s">
        <v>40</v>
      </c>
      <c r="D8000">
        <v>6.257911</v>
      </c>
      <c r="E8000">
        <v>0.52121419999999996</v>
      </c>
      <c r="F8000" t="s">
        <v>41</v>
      </c>
      <c r="G8000">
        <v>0</v>
      </c>
      <c r="H8000">
        <v>0</v>
      </c>
      <c r="I8000">
        <v>0</v>
      </c>
      <c r="J8000">
        <v>-187.08109999999999</v>
      </c>
      <c r="K8000">
        <v>1.1095029999999999</v>
      </c>
      <c r="L8000">
        <v>85.533720000000002</v>
      </c>
      <c r="M8000">
        <v>8.2559460000000001E-4</v>
      </c>
      <c r="N8000">
        <v>0</v>
      </c>
      <c r="O8000">
        <v>0.99994329999999998</v>
      </c>
      <c r="P8000">
        <v>-6.8220360000000001E-3</v>
      </c>
      <c r="Q8000">
        <v>9.1104389999999997E-3</v>
      </c>
      <c r="R8000">
        <v>0.99993520000000002</v>
      </c>
      <c r="S8000">
        <v>0.1508331</v>
      </c>
      <c r="T8000">
        <v>5.6512359999999998E-2</v>
      </c>
      <c r="U8000">
        <v>3.0005799999999998</v>
      </c>
      <c r="V8000">
        <v>-7.6567429999999997E-3</v>
      </c>
      <c r="W8000">
        <v>1.972339E-2</v>
      </c>
      <c r="X8000">
        <v>0.9997762</v>
      </c>
      <c r="Y8000">
        <v>4.9371119999999998E-2</v>
      </c>
      <c r="Z8000">
        <v>1.880712E-2</v>
      </c>
      <c r="AA8000">
        <v>0.99860340000000003</v>
      </c>
      <c r="AB8000">
        <v>34</v>
      </c>
      <c r="AC8000">
        <v>0.1508331</v>
      </c>
      <c r="AD8000">
        <v>5.6512359999999998E-2</v>
      </c>
      <c r="AE8000">
        <v>3.0005799999999998</v>
      </c>
      <c r="AF8000">
        <v>0.148303173924972</v>
      </c>
      <c r="AG8000">
        <v>5.6512359999999998E-2</v>
      </c>
      <c r="AH8000">
        <v>2.9996421826125501</v>
      </c>
      <c r="AI8000">
        <v>88.922008736992495</v>
      </c>
      <c r="AJ8000">
        <v>87.169584816127397</v>
      </c>
      <c r="AK8000">
        <v>3.0038376623808398</v>
      </c>
      <c r="AL8000">
        <v>88.869859763871602</v>
      </c>
      <c r="AM8000">
        <v>90.438788683071706</v>
      </c>
      <c r="AN8000">
        <v>1.00000004395644</v>
      </c>
    </row>
    <row r="8001" spans="1:40" x14ac:dyDescent="0.25">
      <c r="A8001" t="str">
        <f>"20190312160842999"</f>
        <v>20190312160842999</v>
      </c>
      <c r="B8001" t="str">
        <f>"1552378122993345"</f>
        <v>1552378122993345</v>
      </c>
      <c r="C8001" t="s">
        <v>40</v>
      </c>
      <c r="D8001">
        <v>6.1771449999999897</v>
      </c>
      <c r="E8001">
        <v>0.52168359999999903</v>
      </c>
      <c r="F8001" t="s">
        <v>41</v>
      </c>
      <c r="G8001">
        <v>0</v>
      </c>
      <c r="H8001">
        <v>0</v>
      </c>
      <c r="I8001">
        <v>0</v>
      </c>
      <c r="J8001">
        <v>-187.08099999999999</v>
      </c>
      <c r="K8001">
        <v>1.109532</v>
      </c>
      <c r="L8001">
        <v>85.937929999999994</v>
      </c>
      <c r="M8001">
        <v>5.5596140000000003E-4</v>
      </c>
      <c r="N8001">
        <v>0</v>
      </c>
      <c r="O8001">
        <v>0.9999422</v>
      </c>
      <c r="P8001">
        <v>-6.3753550000000001E-3</v>
      </c>
      <c r="Q8001">
        <v>8.9010870000000002E-3</v>
      </c>
      <c r="R8001">
        <v>0.99994000000000005</v>
      </c>
      <c r="S8001">
        <v>0.1488342</v>
      </c>
      <c r="T8001">
        <v>5.9134840000000001E-2</v>
      </c>
      <c r="U8001">
        <v>3.0006710000000001</v>
      </c>
      <c r="V8001">
        <v>-6.9402279999999997E-3</v>
      </c>
      <c r="W8001">
        <v>1.962995E-2</v>
      </c>
      <c r="X8001">
        <v>0.99978319999999998</v>
      </c>
      <c r="Y8001">
        <v>4.8974499999999997E-2</v>
      </c>
      <c r="Z8001">
        <v>1.9679459999999999E-2</v>
      </c>
      <c r="AA8001">
        <v>0.99860610000000005</v>
      </c>
      <c r="AB8001">
        <v>34</v>
      </c>
      <c r="AC8001">
        <v>0.1488342</v>
      </c>
      <c r="AD8001">
        <v>5.9134840000000001E-2</v>
      </c>
      <c r="AE8001">
        <v>3.0006710000000001</v>
      </c>
      <c r="AF8001">
        <v>0.14710883054881899</v>
      </c>
      <c r="AG8001">
        <v>5.9134840000000001E-2</v>
      </c>
      <c r="AH8001">
        <v>2.99959118297022</v>
      </c>
      <c r="AI8001">
        <v>88.871955549941205</v>
      </c>
      <c r="AJ8001">
        <v>87.192294974276805</v>
      </c>
      <c r="AK8001">
        <v>3.0037784875519602</v>
      </c>
      <c r="AL8001">
        <v>88.875214439679695</v>
      </c>
      <c r="AM8001">
        <v>90.397725613150101</v>
      </c>
      <c r="AN8001">
        <v>0.99999997435196697</v>
      </c>
    </row>
    <row r="8002" spans="1:40" x14ac:dyDescent="0.25">
      <c r="A8002" t="str">
        <f>"20190312160843015"</f>
        <v>20190312160843015</v>
      </c>
      <c r="B8002" t="str">
        <f>"1552378123003106"</f>
        <v>1552378123003106</v>
      </c>
      <c r="C8002" t="s">
        <v>40</v>
      </c>
      <c r="D8002">
        <v>6.1697959999999998</v>
      </c>
      <c r="E8002">
        <v>0.54020299999999999</v>
      </c>
      <c r="F8002" t="s">
        <v>41</v>
      </c>
      <c r="G8002">
        <v>0</v>
      </c>
      <c r="H8002">
        <v>0</v>
      </c>
      <c r="I8002">
        <v>0</v>
      </c>
      <c r="J8002">
        <v>-187.08099999999999</v>
      </c>
      <c r="K8002">
        <v>1.109558</v>
      </c>
      <c r="L8002">
        <v>86.191009999999906</v>
      </c>
      <c r="M8002">
        <v>3.870662E-4</v>
      </c>
      <c r="N8002">
        <v>0</v>
      </c>
      <c r="O8002">
        <v>0.99994130000000003</v>
      </c>
      <c r="P8002">
        <v>-4.9547219999999999E-3</v>
      </c>
      <c r="Q8002">
        <v>9.973506E-3</v>
      </c>
      <c r="R8002">
        <v>0.99993799999999999</v>
      </c>
      <c r="S8002">
        <v>0.15388489999999999</v>
      </c>
      <c r="T8002">
        <v>6.2437529999999998E-2</v>
      </c>
      <c r="U8002">
        <v>3.00061</v>
      </c>
      <c r="V8002">
        <v>-5.3516170000000004E-3</v>
      </c>
      <c r="W8002">
        <v>2.079367E-2</v>
      </c>
      <c r="X8002">
        <v>0.99976940000000003</v>
      </c>
      <c r="Y8002">
        <v>5.0819580000000003E-2</v>
      </c>
      <c r="Z8002">
        <v>2.077669E-2</v>
      </c>
      <c r="AA8002">
        <v>0.99849169999999998</v>
      </c>
      <c r="AB8002">
        <v>34</v>
      </c>
      <c r="AC8002">
        <v>0.15388489999999999</v>
      </c>
      <c r="AD8002">
        <v>6.2437529999999998E-2</v>
      </c>
      <c r="AE8002">
        <v>3.00061</v>
      </c>
      <c r="AF8002">
        <v>0.15265746074653999</v>
      </c>
      <c r="AG8002">
        <v>6.2437529999999998E-2</v>
      </c>
      <c r="AH8002">
        <v>2.9993740666395499</v>
      </c>
      <c r="AI8002">
        <v>88.808995576461797</v>
      </c>
      <c r="AJ8002">
        <v>87.086362962980402</v>
      </c>
      <c r="AK8002">
        <v>3.0039053808507301</v>
      </c>
      <c r="AL8002">
        <v>88.808524519214998</v>
      </c>
      <c r="AM8002">
        <v>90.306692862516996</v>
      </c>
      <c r="AN8002">
        <v>0.99999993484646899</v>
      </c>
    </row>
    <row r="8003" spans="1:40" x14ac:dyDescent="0.25">
      <c r="A8003" t="str">
        <f>"20190312160843038"</f>
        <v>20190312160843038</v>
      </c>
      <c r="B8003" t="str">
        <f>"1552378123033362"</f>
        <v>1552378123033362</v>
      </c>
      <c r="C8003" t="s">
        <v>40</v>
      </c>
      <c r="D8003">
        <v>6.3075609999999998</v>
      </c>
      <c r="E8003">
        <v>0.52533249999999998</v>
      </c>
      <c r="F8003" t="s">
        <v>44</v>
      </c>
      <c r="G8003">
        <v>-186.97790000000001</v>
      </c>
      <c r="H8003">
        <v>1.0323040000000001</v>
      </c>
      <c r="I8003">
        <v>87.204539999999994</v>
      </c>
      <c r="J8003">
        <v>-187.08109999999999</v>
      </c>
      <c r="K8003">
        <v>1.109591</v>
      </c>
      <c r="L8003">
        <v>86.532589999999999</v>
      </c>
      <c r="M8003">
        <v>1.601432E-4</v>
      </c>
      <c r="N8003">
        <v>0</v>
      </c>
      <c r="O8003">
        <v>0.99993989999999999</v>
      </c>
      <c r="P8003">
        <v>-4.0821980000000004E-3</v>
      </c>
      <c r="Q8003">
        <v>1.1160110000000001E-2</v>
      </c>
      <c r="R8003">
        <v>0.99992939999999997</v>
      </c>
      <c r="S8003">
        <v>0.30558780000000002</v>
      </c>
      <c r="T8003">
        <v>-0.2289764</v>
      </c>
      <c r="U8003">
        <v>3.0039669999999998</v>
      </c>
      <c r="V8003">
        <v>-4.2531130000000002E-3</v>
      </c>
      <c r="W8003">
        <v>2.2114680000000001E-2</v>
      </c>
      <c r="X8003">
        <v>0.99974640000000004</v>
      </c>
      <c r="Y8003">
        <v>0.1007566</v>
      </c>
      <c r="Z8003">
        <v>-7.5616779999999995E-2</v>
      </c>
      <c r="AA8003">
        <v>0.99203339999999995</v>
      </c>
      <c r="AB8003">
        <v>34</v>
      </c>
      <c r="AC8003">
        <v>0.103199999999986</v>
      </c>
      <c r="AD8003">
        <v>-7.72869999999998E-2</v>
      </c>
      <c r="AE8003">
        <v>0.67195000000000904</v>
      </c>
      <c r="AF8003">
        <v>0.101776967041736</v>
      </c>
      <c r="AG8003">
        <v>-7.72869999999998E-2</v>
      </c>
      <c r="AH8003">
        <v>0.66339249931117095</v>
      </c>
      <c r="AI8003">
        <v>96.5689797979676</v>
      </c>
      <c r="AJ8003">
        <v>81.277751458048499</v>
      </c>
      <c r="AK8003">
        <v>0.67558969762092802</v>
      </c>
      <c r="AL8003">
        <v>88.7328188764929</v>
      </c>
      <c r="AM8003">
        <v>90.243745768549999</v>
      </c>
      <c r="AN8003">
        <v>1.00000000617732</v>
      </c>
    </row>
    <row r="8004" spans="1:40" x14ac:dyDescent="0.25">
      <c r="A8004" t="str">
        <f>"20190312160843060"</f>
        <v>20190312160843060</v>
      </c>
      <c r="B8004" t="str">
        <f>"1552378123053857"</f>
        <v>1552378123053857</v>
      </c>
      <c r="C8004" t="s">
        <v>40</v>
      </c>
      <c r="D8004">
        <v>6.3008730000000002</v>
      </c>
      <c r="E8004">
        <v>0.52516439999999998</v>
      </c>
      <c r="F8004" t="s">
        <v>42</v>
      </c>
      <c r="G8004">
        <v>-168.84350000000001</v>
      </c>
      <c r="H8004">
        <v>12.01193</v>
      </c>
      <c r="I8004">
        <v>374.62740000000002</v>
      </c>
      <c r="J8004">
        <v>-187.0813</v>
      </c>
      <c r="K8004">
        <v>1.1096220000000001</v>
      </c>
      <c r="L8004">
        <v>86.885249999999999</v>
      </c>
      <c r="M8004" s="1">
        <v>-7.1840659999999995E-5</v>
      </c>
      <c r="N8004">
        <v>0</v>
      </c>
      <c r="O8004">
        <v>0.9999382</v>
      </c>
      <c r="P8004">
        <v>-3.0799590000000002E-3</v>
      </c>
      <c r="Q8004">
        <v>1.216295E-2</v>
      </c>
      <c r="R8004">
        <v>0.99992130000000001</v>
      </c>
      <c r="S8004">
        <v>0.1898956</v>
      </c>
      <c r="T8004">
        <v>0.1135192</v>
      </c>
      <c r="U8004">
        <v>2.9997250000000002</v>
      </c>
      <c r="V8004">
        <v>-3.0197660000000001E-3</v>
      </c>
      <c r="W8004">
        <v>2.3273100000000001E-2</v>
      </c>
      <c r="X8004">
        <v>0.99972459999999996</v>
      </c>
      <c r="Y8004">
        <v>6.3204570000000002E-2</v>
      </c>
      <c r="Z8004">
        <v>3.7740599999999999E-2</v>
      </c>
      <c r="AA8004">
        <v>0.99728669999999997</v>
      </c>
      <c r="AB8004">
        <v>34</v>
      </c>
      <c r="AC8004">
        <v>18.2378</v>
      </c>
      <c r="AD8004">
        <v>10.902308</v>
      </c>
      <c r="AE8004">
        <v>287.74214999999998</v>
      </c>
      <c r="AF8004">
        <v>18.232403320484199</v>
      </c>
      <c r="AG8004">
        <v>10.902308</v>
      </c>
      <c r="AH8004">
        <v>287.33000182733502</v>
      </c>
      <c r="AI8004">
        <v>87.831396945858998</v>
      </c>
      <c r="AJ8004">
        <v>86.369188540168196</v>
      </c>
      <c r="AK8004">
        <v>288.11423220775498</v>
      </c>
      <c r="AL8004">
        <v>88.666429211429104</v>
      </c>
      <c r="AM8004">
        <v>90.173066983355497</v>
      </c>
      <c r="AN8004">
        <v>1.00000001600773</v>
      </c>
    </row>
    <row r="8005" spans="1:40" x14ac:dyDescent="0.25">
      <c r="A8005" t="str">
        <f>"20190312160843084"</f>
        <v>20190312160843084</v>
      </c>
      <c r="B8005" t="str">
        <f>"1552378123073381"</f>
        <v>1552378123073381</v>
      </c>
      <c r="C8005" t="s">
        <v>40</v>
      </c>
      <c r="D8005">
        <v>6.3015210000000002</v>
      </c>
      <c r="E8005">
        <v>0.52476129999999999</v>
      </c>
      <c r="F8005" t="s">
        <v>42</v>
      </c>
      <c r="G8005">
        <v>-168.84350000000001</v>
      </c>
      <c r="H8005">
        <v>11.67109</v>
      </c>
      <c r="I8005">
        <v>372.9375</v>
      </c>
      <c r="J8005">
        <v>-187.08160000000001</v>
      </c>
      <c r="K8005">
        <v>1.1096469999999901</v>
      </c>
      <c r="L8005">
        <v>87.238860000000003</v>
      </c>
      <c r="M8005">
        <v>-2.9293739999999998E-4</v>
      </c>
      <c r="N8005">
        <v>0</v>
      </c>
      <c r="O8005">
        <v>0.99993609999999999</v>
      </c>
      <c r="P8005">
        <v>-2.6506020000000002E-3</v>
      </c>
      <c r="Q8005">
        <v>1.2503159999999999E-2</v>
      </c>
      <c r="R8005">
        <v>0.99991830000000004</v>
      </c>
      <c r="S8005">
        <v>0.1912384</v>
      </c>
      <c r="T8005">
        <v>0.1107461</v>
      </c>
      <c r="U8005">
        <v>2.9994809999999998</v>
      </c>
      <c r="V8005">
        <v>-2.3695090000000001E-3</v>
      </c>
      <c r="W8005">
        <v>2.379891E-2</v>
      </c>
      <c r="X8005">
        <v>0.99971399999999999</v>
      </c>
      <c r="Y8005">
        <v>6.387719E-2</v>
      </c>
      <c r="Z8005">
        <v>3.6821619999999999E-2</v>
      </c>
      <c r="AA8005">
        <v>0.9972782</v>
      </c>
      <c r="AB8005">
        <v>34</v>
      </c>
      <c r="AC8005">
        <v>18.238099999999999</v>
      </c>
      <c r="AD8005">
        <v>10.561442999999899</v>
      </c>
      <c r="AE8005">
        <v>285.69864000000001</v>
      </c>
      <c r="AF8005">
        <v>18.296893971715001</v>
      </c>
      <c r="AG8005">
        <v>10.561442999999899</v>
      </c>
      <c r="AH8005">
        <v>285.30497948593501</v>
      </c>
      <c r="AI8005">
        <v>87.884330406725397</v>
      </c>
      <c r="AJ8005">
        <v>86.330589291489403</v>
      </c>
      <c r="AK8005">
        <v>286.08609145976402</v>
      </c>
      <c r="AL8005">
        <v>88.636294205810202</v>
      </c>
      <c r="AM8005">
        <v>90.135801450204895</v>
      </c>
      <c r="AN8005">
        <v>1.00000004224304</v>
      </c>
    </row>
    <row r="8006" spans="1:40" x14ac:dyDescent="0.25">
      <c r="A8006" t="str">
        <f>"20190312160843108"</f>
        <v>20190312160843108</v>
      </c>
      <c r="B8006" t="str">
        <f>"1552378123103635"</f>
        <v>1552378123103635</v>
      </c>
      <c r="C8006" t="s">
        <v>40</v>
      </c>
      <c r="D8006">
        <v>6.3100870000000002</v>
      </c>
      <c r="E8006">
        <v>0.52488539999999995</v>
      </c>
      <c r="F8006" t="s">
        <v>42</v>
      </c>
      <c r="G8006">
        <v>-168.84350000000001</v>
      </c>
      <c r="H8006">
        <v>11.484389999999999</v>
      </c>
      <c r="I8006">
        <v>375.84300000000002</v>
      </c>
      <c r="J8006">
        <v>-187.08199999999999</v>
      </c>
      <c r="K8006">
        <v>1.1096790000000001</v>
      </c>
      <c r="L8006">
        <v>87.597499999999997</v>
      </c>
      <c r="M8006">
        <v>-5.1389619999999997E-4</v>
      </c>
      <c r="N8006">
        <v>0</v>
      </c>
      <c r="O8006">
        <v>0.99993350000000003</v>
      </c>
      <c r="P8006">
        <v>-2.4780549999999998E-3</v>
      </c>
      <c r="Q8006">
        <v>1.282545E-2</v>
      </c>
      <c r="R8006">
        <v>0.99991470000000005</v>
      </c>
      <c r="S8006">
        <v>0.18954470000000001</v>
      </c>
      <c r="T8006">
        <v>0.107823</v>
      </c>
      <c r="U8006">
        <v>2.99939</v>
      </c>
      <c r="V8006">
        <v>-1.976205E-3</v>
      </c>
      <c r="W8006">
        <v>2.4348060000000001E-2</v>
      </c>
      <c r="X8006">
        <v>0.99970159999999997</v>
      </c>
      <c r="Y8006">
        <v>6.3540970000000002E-2</v>
      </c>
      <c r="Z8006">
        <v>3.5853099999999999E-2</v>
      </c>
      <c r="AA8006">
        <v>0.99733499999999997</v>
      </c>
      <c r="AB8006">
        <v>34</v>
      </c>
      <c r="AC8006">
        <v>18.238499999999899</v>
      </c>
      <c r="AD8006">
        <v>10.374711</v>
      </c>
      <c r="AE8006">
        <v>288.24549999999999</v>
      </c>
      <c r="AF8006">
        <v>18.362941933421101</v>
      </c>
      <c r="AG8006">
        <v>10.374711</v>
      </c>
      <c r="AH8006">
        <v>287.86465602354002</v>
      </c>
      <c r="AI8006">
        <v>87.9401229140677</v>
      </c>
      <c r="AJ8006">
        <v>86.350036609016797</v>
      </c>
      <c r="AK8006">
        <v>288.63626323165801</v>
      </c>
      <c r="AL8006">
        <v>88.604821064977202</v>
      </c>
      <c r="AM8006">
        <v>90.113261855802804</v>
      </c>
      <c r="AN8006">
        <v>1.00000001122726</v>
      </c>
    </row>
    <row r="8007" spans="1:40" x14ac:dyDescent="0.25">
      <c r="A8007" t="str">
        <f>"20190312160843129"</f>
        <v>20190312160843129</v>
      </c>
      <c r="B8007" t="str">
        <f>"1552378123123154"</f>
        <v>1552378123123154</v>
      </c>
      <c r="C8007" t="s">
        <v>40</v>
      </c>
      <c r="D8007">
        <v>6.3126379999999997</v>
      </c>
      <c r="E8007">
        <v>0.52473479999999995</v>
      </c>
      <c r="F8007" t="s">
        <v>42</v>
      </c>
      <c r="G8007">
        <v>-168.84350000000001</v>
      </c>
      <c r="H8007">
        <v>11.37433</v>
      </c>
      <c r="I8007">
        <v>373.87650000000002</v>
      </c>
      <c r="J8007">
        <v>-187.08240000000001</v>
      </c>
      <c r="K8007">
        <v>1.1097129999999999</v>
      </c>
      <c r="L8007">
        <v>87.907349999999994</v>
      </c>
      <c r="M8007">
        <v>-7.0889909999999996E-4</v>
      </c>
      <c r="N8007">
        <v>0</v>
      </c>
      <c r="O8007">
        <v>0.9999306</v>
      </c>
      <c r="P8007">
        <v>-2.6711130000000001E-3</v>
      </c>
      <c r="Q8007">
        <v>1.292655E-2</v>
      </c>
      <c r="R8007">
        <v>0.99991289999999999</v>
      </c>
      <c r="S8007">
        <v>0.1910858</v>
      </c>
      <c r="T8007">
        <v>0.10754420000000001</v>
      </c>
      <c r="U8007">
        <v>2.9993590000000001</v>
      </c>
      <c r="V8007">
        <v>-1.9733279999999999E-3</v>
      </c>
      <c r="W8007">
        <v>2.4680319999999999E-2</v>
      </c>
      <c r="X8007">
        <v>0.99969350000000001</v>
      </c>
      <c r="Y8007">
        <v>6.4246819999999996E-2</v>
      </c>
      <c r="Z8007">
        <v>3.5759470000000002E-2</v>
      </c>
      <c r="AA8007">
        <v>0.99729310000000004</v>
      </c>
      <c r="AB8007">
        <v>34</v>
      </c>
      <c r="AC8007">
        <v>18.238900000000001</v>
      </c>
      <c r="AD8007">
        <v>10.264616999999999</v>
      </c>
      <c r="AE8007">
        <v>285.96915000000001</v>
      </c>
      <c r="AF8007">
        <v>18.417999290129899</v>
      </c>
      <c r="AG8007">
        <v>10.264616999999999</v>
      </c>
      <c r="AH8007">
        <v>285.58968766977699</v>
      </c>
      <c r="AI8007">
        <v>87.9458343437867</v>
      </c>
      <c r="AJ8007">
        <v>86.310040894034799</v>
      </c>
      <c r="AK8007">
        <v>286.366993145734</v>
      </c>
      <c r="AL8007">
        <v>88.585778305896</v>
      </c>
      <c r="AM8007">
        <v>90.113097883649502</v>
      </c>
      <c r="AN8007">
        <v>1.00000005308047</v>
      </c>
    </row>
    <row r="8008" spans="1:40" x14ac:dyDescent="0.25">
      <c r="A8008" t="str">
        <f>"20190312160843150"</f>
        <v>20190312160843150</v>
      </c>
      <c r="B8008" t="str">
        <f>"1552378123143650"</f>
        <v>1552378123143650</v>
      </c>
      <c r="C8008" t="s">
        <v>40</v>
      </c>
      <c r="D8008">
        <v>6.3558459999999997</v>
      </c>
      <c r="E8008">
        <v>0.52472220000000003</v>
      </c>
      <c r="F8008" t="s">
        <v>42</v>
      </c>
      <c r="G8008">
        <v>-168.84350000000001</v>
      </c>
      <c r="H8008">
        <v>11.40934</v>
      </c>
      <c r="I8008">
        <v>376.75540000000001</v>
      </c>
      <c r="J8008">
        <v>-187.08279999999999</v>
      </c>
      <c r="K8008">
        <v>1.1097459999999999</v>
      </c>
      <c r="L8008">
        <v>88.238889999999998</v>
      </c>
      <c r="M8008">
        <v>-9.1530460000000002E-4</v>
      </c>
      <c r="N8008">
        <v>0</v>
      </c>
      <c r="O8008">
        <v>0.99992720000000002</v>
      </c>
      <c r="P8008">
        <v>-2.8959670000000002E-3</v>
      </c>
      <c r="Q8008">
        <v>1.307056E-2</v>
      </c>
      <c r="R8008">
        <v>0.99991039999999998</v>
      </c>
      <c r="S8008">
        <v>0.18939210000000001</v>
      </c>
      <c r="T8008">
        <v>0.10695200000000001</v>
      </c>
      <c r="U8008">
        <v>2.99939</v>
      </c>
      <c r="V8008">
        <v>-1.9914220000000001E-3</v>
      </c>
      <c r="W8008">
        <v>2.5095039999999999E-2</v>
      </c>
      <c r="X8008">
        <v>0.99968310000000005</v>
      </c>
      <c r="Y8008">
        <v>6.3891690000000001E-2</v>
      </c>
      <c r="Z8008">
        <v>3.5563459999999998E-2</v>
      </c>
      <c r="AA8008">
        <v>0.99732299999999996</v>
      </c>
      <c r="AB8008">
        <v>34</v>
      </c>
      <c r="AC8008">
        <v>18.239299999999901</v>
      </c>
      <c r="AD8008">
        <v>10.299594000000001</v>
      </c>
      <c r="AE8008">
        <v>288.51650999999998</v>
      </c>
      <c r="AF8008">
        <v>18.479935251159901</v>
      </c>
      <c r="AG8008">
        <v>10.299594000000001</v>
      </c>
      <c r="AH8008">
        <v>288.133962932163</v>
      </c>
      <c r="AI8008">
        <v>87.956979308183804</v>
      </c>
      <c r="AJ8008">
        <v>86.330269316030297</v>
      </c>
      <c r="AK8008">
        <v>288.909622959231</v>
      </c>
      <c r="AL8008">
        <v>88.562009182157396</v>
      </c>
      <c r="AM8008">
        <v>90.114136094631306</v>
      </c>
      <c r="AN8008">
        <v>1.0000000136098901</v>
      </c>
    </row>
    <row r="8009" spans="1:40" x14ac:dyDescent="0.25">
      <c r="A8009" t="str">
        <f>"20190312160843172"</f>
        <v>20190312160843172</v>
      </c>
      <c r="B8009" t="str">
        <f>"1552378123163170"</f>
        <v>1552378123163170</v>
      </c>
      <c r="C8009" t="s">
        <v>40</v>
      </c>
      <c r="D8009">
        <v>5.3614660000000001</v>
      </c>
      <c r="E8009">
        <v>0.52484489999999995</v>
      </c>
      <c r="F8009" t="s">
        <v>42</v>
      </c>
      <c r="G8009">
        <v>-168.84350000000001</v>
      </c>
      <c r="H8009">
        <v>11.512589999999999</v>
      </c>
      <c r="I8009">
        <v>378.28559999999999</v>
      </c>
      <c r="J8009">
        <v>-187.08330000000001</v>
      </c>
      <c r="K8009">
        <v>1.109775</v>
      </c>
      <c r="L8009">
        <v>88.584689999999995</v>
      </c>
      <c r="M8009">
        <v>-1.116452E-3</v>
      </c>
      <c r="N8009">
        <v>0</v>
      </c>
      <c r="O8009">
        <v>0.99992360000000002</v>
      </c>
      <c r="P8009">
        <v>-3.1112050000000001E-3</v>
      </c>
      <c r="Q8009">
        <v>1.2517159999999999E-2</v>
      </c>
      <c r="R8009">
        <v>0.99991680000000005</v>
      </c>
      <c r="S8009">
        <v>0.1886139</v>
      </c>
      <c r="T8009">
        <v>0.1075773</v>
      </c>
      <c r="U8009">
        <v>2.99939</v>
      </c>
      <c r="V8009">
        <v>-2.004306E-3</v>
      </c>
      <c r="W8009">
        <v>2.4826190000000001E-2</v>
      </c>
      <c r="X8009">
        <v>0.99968979999999996</v>
      </c>
      <c r="Y8009">
        <v>6.3834260000000004E-2</v>
      </c>
      <c r="Z8009">
        <v>3.5771490000000003E-2</v>
      </c>
      <c r="AA8009">
        <v>0.99731919999999996</v>
      </c>
      <c r="AB8009">
        <v>34</v>
      </c>
      <c r="AC8009">
        <v>18.239799999999999</v>
      </c>
      <c r="AD8009">
        <v>10.402814999999899</v>
      </c>
      <c r="AE8009">
        <v>289.70091000000002</v>
      </c>
      <c r="AF8009">
        <v>18.539439147183</v>
      </c>
      <c r="AG8009">
        <v>10.402814999999899</v>
      </c>
      <c r="AH8009">
        <v>289.30878986681103</v>
      </c>
      <c r="AI8009">
        <v>87.944887074672707</v>
      </c>
      <c r="AJ8009">
        <v>86.333394576331202</v>
      </c>
      <c r="AK8009">
        <v>290.088788576902</v>
      </c>
      <c r="AL8009">
        <v>88.577417971611695</v>
      </c>
      <c r="AM8009">
        <v>90.1148737546186</v>
      </c>
      <c r="AN8009">
        <v>1.0000000265882401</v>
      </c>
    </row>
    <row r="8010" spans="1:40" x14ac:dyDescent="0.25">
      <c r="A8010" t="str">
        <f>"20190312160843195"</f>
        <v>20190312160843195</v>
      </c>
      <c r="B8010" t="str">
        <f>"1552378123183682"</f>
        <v>1552378123183682</v>
      </c>
      <c r="C8010" t="s">
        <v>40</v>
      </c>
      <c r="D8010">
        <v>6.3560480000000004</v>
      </c>
      <c r="E8010">
        <v>0.52377149999999995</v>
      </c>
      <c r="F8010" t="s">
        <v>42</v>
      </c>
      <c r="G8010">
        <v>-168.84350000000001</v>
      </c>
      <c r="H8010">
        <v>11.444929999999999</v>
      </c>
      <c r="I8010">
        <v>378.20350000000002</v>
      </c>
      <c r="J8010">
        <v>-187.0839</v>
      </c>
      <c r="K8010">
        <v>1.1097939999999999</v>
      </c>
      <c r="L8010">
        <v>88.922969999999907</v>
      </c>
      <c r="M8010">
        <v>-1.288137E-3</v>
      </c>
      <c r="N8010">
        <v>0</v>
      </c>
      <c r="O8010">
        <v>0.99992009999999998</v>
      </c>
      <c r="P8010">
        <v>-3.5663890000000001E-3</v>
      </c>
      <c r="Q8010">
        <v>1.2638379999999999E-2</v>
      </c>
      <c r="R8010">
        <v>0.99991379999999996</v>
      </c>
      <c r="S8010">
        <v>0.18890380000000001</v>
      </c>
      <c r="T8010">
        <v>0.10703849999999999</v>
      </c>
      <c r="U8010">
        <v>2.9994809999999998</v>
      </c>
      <c r="V8010">
        <v>-2.2869610000000001E-3</v>
      </c>
      <c r="W8010">
        <v>2.5207540000000001E-2</v>
      </c>
      <c r="X8010">
        <v>0.9996796</v>
      </c>
      <c r="Y8010">
        <v>6.4100119999999997E-2</v>
      </c>
      <c r="Z8010">
        <v>3.5591039999999997E-2</v>
      </c>
      <c r="AA8010">
        <v>0.99730859999999999</v>
      </c>
      <c r="AB8010">
        <v>34</v>
      </c>
      <c r="AC8010">
        <v>18.240399999999902</v>
      </c>
      <c r="AD8010">
        <v>10.335136</v>
      </c>
      <c r="AE8010">
        <v>289.28053</v>
      </c>
      <c r="AF8010">
        <v>18.5894133303518</v>
      </c>
      <c r="AG8010">
        <v>10.335136</v>
      </c>
      <c r="AH8010">
        <v>288.88950756753297</v>
      </c>
      <c r="AI8010">
        <v>87.955319895446294</v>
      </c>
      <c r="AJ8010">
        <v>86.318216890577702</v>
      </c>
      <c r="AK8010">
        <v>289.67141541187101</v>
      </c>
      <c r="AL8010">
        <v>88.555561313648397</v>
      </c>
      <c r="AM8010">
        <v>90.131074981046297</v>
      </c>
      <c r="AN8010">
        <v>0.99999997645981298</v>
      </c>
    </row>
    <row r="8011" spans="1:40" x14ac:dyDescent="0.25">
      <c r="A8011" t="str">
        <f>"20190312160843216"</f>
        <v>20190312160843216</v>
      </c>
      <c r="B8011" t="str">
        <f>"1552378123213921"</f>
        <v>1552378123213921</v>
      </c>
      <c r="C8011" t="s">
        <v>40</v>
      </c>
      <c r="D8011">
        <v>6.3675420000000003</v>
      </c>
      <c r="E8011">
        <v>0.55097839999999998</v>
      </c>
      <c r="F8011" t="s">
        <v>41</v>
      </c>
      <c r="G8011">
        <v>0</v>
      </c>
      <c r="H8011">
        <v>0</v>
      </c>
      <c r="I8011">
        <v>0</v>
      </c>
      <c r="J8011">
        <v>-187.08449999999999</v>
      </c>
      <c r="K8011">
        <v>1.109799</v>
      </c>
      <c r="L8011">
        <v>89.247100000000003</v>
      </c>
      <c r="M8011">
        <v>-1.4232159999999999E-3</v>
      </c>
      <c r="N8011">
        <v>0</v>
      </c>
      <c r="O8011">
        <v>0.9999171</v>
      </c>
      <c r="P8011">
        <v>-3.6914999999999999E-3</v>
      </c>
      <c r="Q8011">
        <v>1.238441E-2</v>
      </c>
      <c r="R8011">
        <v>0.99991649999999999</v>
      </c>
      <c r="S8011">
        <v>0.17887879999999901</v>
      </c>
      <c r="T8011">
        <v>8.9029430000000007E-2</v>
      </c>
      <c r="U8011">
        <v>2.9997560000000001</v>
      </c>
      <c r="V8011">
        <v>-2.2764759999999999E-3</v>
      </c>
      <c r="W8011">
        <v>2.518132E-2</v>
      </c>
      <c r="X8011">
        <v>0.99968029999999997</v>
      </c>
      <c r="Y8011">
        <v>6.0920019999999998E-2</v>
      </c>
      <c r="Z8011">
        <v>2.961196E-2</v>
      </c>
      <c r="AA8011">
        <v>0.99770329999999996</v>
      </c>
      <c r="AB8011">
        <v>34</v>
      </c>
      <c r="AC8011">
        <v>0.17887879999999901</v>
      </c>
      <c r="AD8011">
        <v>8.9029430000000007E-2</v>
      </c>
      <c r="AE8011">
        <v>2.9997560000000001</v>
      </c>
      <c r="AF8011">
        <v>0.18298765806743</v>
      </c>
      <c r="AG8011">
        <v>8.9029430000000007E-2</v>
      </c>
      <c r="AH8011">
        <v>2.9968679599474402</v>
      </c>
      <c r="AI8011">
        <v>88.301547914554803</v>
      </c>
      <c r="AJ8011">
        <v>86.505878768966994</v>
      </c>
      <c r="AK8011">
        <v>3.0037690143835398</v>
      </c>
      <c r="AL8011">
        <v>88.557064108063202</v>
      </c>
      <c r="AM8011">
        <v>90.130473954027195</v>
      </c>
      <c r="AN8011">
        <v>0.999999991714005</v>
      </c>
    </row>
    <row r="8012" spans="1:40" x14ac:dyDescent="0.25">
      <c r="A8012" t="str">
        <f>"20190312160843239"</f>
        <v>20190312160843239</v>
      </c>
      <c r="B8012" t="str">
        <f>"1552378123233442"</f>
        <v>1552378123233442</v>
      </c>
      <c r="C8012" t="s">
        <v>40</v>
      </c>
      <c r="D8012">
        <v>6.2443559999999998</v>
      </c>
      <c r="E8012">
        <v>0.55791020000000002</v>
      </c>
      <c r="F8012" t="s">
        <v>44</v>
      </c>
      <c r="G8012">
        <v>-186.95949999999999</v>
      </c>
      <c r="H8012">
        <v>0.95542110000000002</v>
      </c>
      <c r="I8012">
        <v>90.199029999999993</v>
      </c>
      <c r="J8012">
        <v>-187.08510000000001</v>
      </c>
      <c r="K8012">
        <v>1.1097980000000001</v>
      </c>
      <c r="L8012">
        <v>89.581819999999993</v>
      </c>
      <c r="M8012">
        <v>-1.538679E-3</v>
      </c>
      <c r="N8012">
        <v>0</v>
      </c>
      <c r="O8012">
        <v>0.99991410000000003</v>
      </c>
      <c r="P8012">
        <v>-3.3977080000000002E-3</v>
      </c>
      <c r="Q8012">
        <v>1.202895E-2</v>
      </c>
      <c r="R8012">
        <v>0.99992190000000003</v>
      </c>
      <c r="S8012">
        <v>0.39471440000000002</v>
      </c>
      <c r="T8012">
        <v>-0.48778379999999999</v>
      </c>
      <c r="U8012">
        <v>3.0077210000000001</v>
      </c>
      <c r="V8012">
        <v>-1.8655799999999999E-3</v>
      </c>
      <c r="W8012">
        <v>2.503975E-2</v>
      </c>
      <c r="X8012">
        <v>0.99968469999999998</v>
      </c>
      <c r="Y8012">
        <v>0.12999359999999999</v>
      </c>
      <c r="Z8012">
        <v>-0.15874289999999999</v>
      </c>
      <c r="AA8012">
        <v>0.97872479999999995</v>
      </c>
      <c r="AB8012">
        <v>34</v>
      </c>
      <c r="AC8012">
        <v>0.125600000000019</v>
      </c>
      <c r="AD8012">
        <v>-0.15437690000000001</v>
      </c>
      <c r="AE8012">
        <v>0.61721000000001403</v>
      </c>
      <c r="AF8012">
        <v>0.119378253965921</v>
      </c>
      <c r="AG8012">
        <v>-0.15437690000000001</v>
      </c>
      <c r="AH8012">
        <v>0.58205067886849404</v>
      </c>
      <c r="AI8012">
        <v>104.564599619079</v>
      </c>
      <c r="AJ8012">
        <v>78.409407523274595</v>
      </c>
      <c r="AK8012">
        <v>0.61389444332461396</v>
      </c>
      <c r="AL8012">
        <v>88.565178019681298</v>
      </c>
      <c r="AM8012">
        <v>90.106923449223402</v>
      </c>
      <c r="AN8012">
        <v>0.999999984441444</v>
      </c>
    </row>
    <row r="8013" spans="1:40" x14ac:dyDescent="0.25">
      <c r="A8013" t="str">
        <f>"20190312160843261"</f>
        <v>20190312160843261</v>
      </c>
      <c r="B8013" t="str">
        <f>"1552378123253171"</f>
        <v>1552378123253171</v>
      </c>
      <c r="C8013" t="s">
        <v>40</v>
      </c>
      <c r="D8013">
        <v>6.3326799999999999</v>
      </c>
      <c r="E8013">
        <v>0.55416189999999999</v>
      </c>
      <c r="F8013" t="s">
        <v>44</v>
      </c>
      <c r="G8013">
        <v>-186.94749999999999</v>
      </c>
      <c r="H8013">
        <v>0.95228420000000003</v>
      </c>
      <c r="I8013">
        <v>90.49924</v>
      </c>
      <c r="J8013">
        <v>-187.0857</v>
      </c>
      <c r="K8013">
        <v>1.1097870000000001</v>
      </c>
      <c r="L8013">
        <v>89.927890000000005</v>
      </c>
      <c r="M8013">
        <v>-1.6339569999999999E-3</v>
      </c>
      <c r="N8013">
        <v>0</v>
      </c>
      <c r="O8013">
        <v>0.99991140000000001</v>
      </c>
      <c r="P8013">
        <v>-2.191475E-3</v>
      </c>
      <c r="Q8013">
        <v>1.1405999999999999E-2</v>
      </c>
      <c r="R8013">
        <v>0.9999325</v>
      </c>
      <c r="S8013">
        <v>0.45063779999999998</v>
      </c>
      <c r="T8013">
        <v>-0.51645980000000002</v>
      </c>
      <c r="U8013">
        <v>3.007965</v>
      </c>
      <c r="V8013">
        <v>-5.627993E-4</v>
      </c>
      <c r="W8013">
        <v>2.4615959999999999E-2</v>
      </c>
      <c r="X8013">
        <v>0.9996969</v>
      </c>
      <c r="Y8013">
        <v>0.14768680000000001</v>
      </c>
      <c r="Z8013">
        <v>-0.16738549999999999</v>
      </c>
      <c r="AA8013">
        <v>0.97476700000000005</v>
      </c>
      <c r="AB8013">
        <v>34</v>
      </c>
      <c r="AC8013">
        <v>0.13820000000001101</v>
      </c>
      <c r="AD8013">
        <v>-0.1575028</v>
      </c>
      <c r="AE8013">
        <v>0.57134999999999503</v>
      </c>
      <c r="AF8013">
        <v>0.12981381953535301</v>
      </c>
      <c r="AG8013">
        <v>-0.1575028</v>
      </c>
      <c r="AH8013">
        <v>0.53286758978610305</v>
      </c>
      <c r="AI8013">
        <v>106.022850734006</v>
      </c>
      <c r="AJ8013">
        <v>76.308657271856006</v>
      </c>
      <c r="AK8013">
        <v>0.57061951245523301</v>
      </c>
      <c r="AL8013">
        <v>88.589467016549094</v>
      </c>
      <c r="AM8013">
        <v>90.032255797928599</v>
      </c>
      <c r="AN8013">
        <v>1.00000007704968</v>
      </c>
    </row>
    <row r="8014" spans="1:40" x14ac:dyDescent="0.25">
      <c r="A8014" t="str">
        <f>"20190312160843297"</f>
        <v>20190312160843297</v>
      </c>
      <c r="B8014" t="str">
        <f>"1552378123293183"</f>
        <v>1552378123293183</v>
      </c>
      <c r="C8014" t="s">
        <v>40</v>
      </c>
      <c r="D8014">
        <v>6.3292619999999999</v>
      </c>
      <c r="E8014">
        <v>0.5503091</v>
      </c>
      <c r="F8014" t="s">
        <v>44</v>
      </c>
      <c r="G8014">
        <v>-186.96180000000001</v>
      </c>
      <c r="H8014">
        <v>0.96672689999999994</v>
      </c>
      <c r="I8014">
        <v>90.80659</v>
      </c>
      <c r="J8014">
        <v>-187.08670000000001</v>
      </c>
      <c r="K8014">
        <v>1.109782</v>
      </c>
      <c r="L8014">
        <v>90.448700000000002</v>
      </c>
      <c r="M8014">
        <v>-1.7355750000000001E-3</v>
      </c>
      <c r="N8014">
        <v>0</v>
      </c>
      <c r="O8014">
        <v>0.99990780000000001</v>
      </c>
      <c r="P8014">
        <v>-6.8887850000000004E-4</v>
      </c>
      <c r="Q8014">
        <v>1.208889E-2</v>
      </c>
      <c r="R8014">
        <v>0.99992669999999995</v>
      </c>
      <c r="S8014">
        <v>0.4237976</v>
      </c>
      <c r="T8014">
        <v>-0.48953530000000001</v>
      </c>
      <c r="U8014">
        <v>3.0067140000000001</v>
      </c>
      <c r="V8014">
        <v>1.0429879999999999E-3</v>
      </c>
      <c r="W8014">
        <v>2.5556470000000001E-2</v>
      </c>
      <c r="X8014">
        <v>0.99967280000000003</v>
      </c>
      <c r="Y8014">
        <v>0.13951040000000001</v>
      </c>
      <c r="Z8014">
        <v>-0.1591455</v>
      </c>
      <c r="AA8014">
        <v>0.9773482</v>
      </c>
      <c r="AB8014">
        <v>34</v>
      </c>
      <c r="AC8014">
        <v>0.124899999999996</v>
      </c>
      <c r="AD8014">
        <v>-0.14305509999999999</v>
      </c>
      <c r="AE8014">
        <v>0.35788999999999699</v>
      </c>
      <c r="AF8014">
        <v>0.109872172174727</v>
      </c>
      <c r="AG8014">
        <v>-0.14305509999999999</v>
      </c>
      <c r="AH8014">
        <v>0.31308122815731199</v>
      </c>
      <c r="AI8014">
        <v>113.323173132875</v>
      </c>
      <c r="AJ8014">
        <v>70.662077694490705</v>
      </c>
      <c r="AK8014">
        <v>0.36132604566913501</v>
      </c>
      <c r="AL8014">
        <v>88.535562635442901</v>
      </c>
      <c r="AM8014">
        <v>89.940221651724798</v>
      </c>
      <c r="AN8014">
        <v>0.99999996402133395</v>
      </c>
    </row>
    <row r="8015" spans="1:40" x14ac:dyDescent="0.25">
      <c r="A8015" t="str">
        <f>"20190312160843318"</f>
        <v>20190312160843318</v>
      </c>
      <c r="B8015" t="str">
        <f>"1552378123313679"</f>
        <v>1552378123313679</v>
      </c>
      <c r="C8015" t="s">
        <v>40</v>
      </c>
      <c r="D8015">
        <v>6.27536</v>
      </c>
      <c r="E8015">
        <v>0.54911509999999997</v>
      </c>
      <c r="F8015" t="s">
        <v>44</v>
      </c>
      <c r="G8015">
        <v>-186.96</v>
      </c>
      <c r="H8015">
        <v>0.96358690000000002</v>
      </c>
      <c r="I8015">
        <v>91.405959999999993</v>
      </c>
      <c r="J8015">
        <v>-187.0873</v>
      </c>
      <c r="K8015">
        <v>1.109775</v>
      </c>
      <c r="L8015">
        <v>90.764160000000004</v>
      </c>
      <c r="M8015">
        <v>-1.7735870000000001E-3</v>
      </c>
      <c r="N8015">
        <v>0</v>
      </c>
      <c r="O8015">
        <v>0.99990590000000001</v>
      </c>
      <c r="P8015">
        <v>2.3199629999999999E-4</v>
      </c>
      <c r="Q8015">
        <v>1.2547549999999999E-2</v>
      </c>
      <c r="R8015">
        <v>0.99992130000000001</v>
      </c>
      <c r="S8015">
        <v>0.39767459999999999</v>
      </c>
      <c r="T8015">
        <v>-0.45910289999999998</v>
      </c>
      <c r="U8015">
        <v>3.0060419999999999</v>
      </c>
      <c r="V8015">
        <v>2.0028020000000001E-3</v>
      </c>
      <c r="W8015">
        <v>2.6147549999999999E-2</v>
      </c>
      <c r="X8015">
        <v>0.99965610000000005</v>
      </c>
      <c r="Y8015">
        <v>0.13142970000000001</v>
      </c>
      <c r="Z8015">
        <v>-0.1496835</v>
      </c>
      <c r="AA8015">
        <v>0.97995969999999999</v>
      </c>
      <c r="AB8015">
        <v>34</v>
      </c>
      <c r="AC8015">
        <v>0.127299999999991</v>
      </c>
      <c r="AD8015">
        <v>-0.14618809999999899</v>
      </c>
      <c r="AE8015">
        <v>0.64179999999998905</v>
      </c>
      <c r="AF8015">
        <v>0.12233152273086199</v>
      </c>
      <c r="AG8015">
        <v>-0.14618809999999899</v>
      </c>
      <c r="AH8015">
        <v>0.61106921189808305</v>
      </c>
      <c r="AI8015">
        <v>103.201681927621</v>
      </c>
      <c r="AJ8015">
        <v>78.679458225308906</v>
      </c>
      <c r="AK8015">
        <v>0.640110571514802</v>
      </c>
      <c r="AL8015">
        <v>88.501684993591198</v>
      </c>
      <c r="AM8015">
        <v>89.885208574965603</v>
      </c>
      <c r="AN8015">
        <v>1.00000001192703</v>
      </c>
    </row>
    <row r="8016" spans="1:40" x14ac:dyDescent="0.25">
      <c r="A8016" t="str">
        <f>"20190312160843340"</f>
        <v>20190312160843340</v>
      </c>
      <c r="B8016" t="str">
        <f>"1552378123333199"</f>
        <v>1552378123333199</v>
      </c>
      <c r="C8016" t="s">
        <v>40</v>
      </c>
      <c r="D8016">
        <v>6.185225</v>
      </c>
      <c r="E8016">
        <v>0.54843540000000002</v>
      </c>
      <c r="F8016" t="s">
        <v>44</v>
      </c>
      <c r="G8016">
        <v>-186.96420000000001</v>
      </c>
      <c r="H8016">
        <v>0.96979950000000004</v>
      </c>
      <c r="I8016">
        <v>91.708680000000001</v>
      </c>
      <c r="J8016">
        <v>-187.08789999999999</v>
      </c>
      <c r="K8016">
        <v>1.1097680000000001</v>
      </c>
      <c r="L8016">
        <v>91.099149999999995</v>
      </c>
      <c r="M8016">
        <v>-1.8003079999999901E-3</v>
      </c>
      <c r="N8016">
        <v>0</v>
      </c>
      <c r="O8016">
        <v>0.99990420000000002</v>
      </c>
      <c r="P8016">
        <v>6.4168699999999897E-4</v>
      </c>
      <c r="Q8016">
        <v>1.1796910000000001E-2</v>
      </c>
      <c r="R8016">
        <v>0.99993019999999999</v>
      </c>
      <c r="S8016">
        <v>0.3911133</v>
      </c>
      <c r="T8016">
        <v>-0.44547310000000001</v>
      </c>
      <c r="U8016">
        <v>3.0057369999999999</v>
      </c>
      <c r="V8016">
        <v>2.4401789999999998E-3</v>
      </c>
      <c r="W8016">
        <v>2.5519759999999999E-2</v>
      </c>
      <c r="X8016">
        <v>0.99967130000000004</v>
      </c>
      <c r="Y8016">
        <v>0.12944849999999999</v>
      </c>
      <c r="Z8016">
        <v>-0.145389299999999</v>
      </c>
      <c r="AA8016">
        <v>0.98086949999999995</v>
      </c>
      <c r="AB8016">
        <v>34</v>
      </c>
      <c r="AC8016">
        <v>0.123699999999985</v>
      </c>
      <c r="AD8016">
        <v>-0.1399685</v>
      </c>
      <c r="AE8016">
        <v>0.60953000000000601</v>
      </c>
      <c r="AF8016">
        <v>0.118781479472407</v>
      </c>
      <c r="AG8016">
        <v>-0.1399685</v>
      </c>
      <c r="AH8016">
        <v>0.57993510326946296</v>
      </c>
      <c r="AI8016">
        <v>103.30290272613701</v>
      </c>
      <c r="AJ8016">
        <v>78.424849977766002</v>
      </c>
      <c r="AK8016">
        <v>0.60829675723454801</v>
      </c>
      <c r="AL8016">
        <v>88.5376666444172</v>
      </c>
      <c r="AM8016">
        <v>89.860142348517201</v>
      </c>
      <c r="AN8016">
        <v>0.99999996033384897</v>
      </c>
    </row>
    <row r="8017" spans="1:40" x14ac:dyDescent="0.25">
      <c r="A8017" t="str">
        <f>"20190312160843362"</f>
        <v>20190312160843362</v>
      </c>
      <c r="B8017" t="str">
        <f>"1552378123353695"</f>
        <v>1552378123353695</v>
      </c>
      <c r="C8017" t="s">
        <v>40</v>
      </c>
      <c r="D8017">
        <v>6.1727879999999997</v>
      </c>
      <c r="E8017">
        <v>0.54778309999999997</v>
      </c>
      <c r="F8017" t="s">
        <v>44</v>
      </c>
      <c r="G8017">
        <v>-186.97049999999999</v>
      </c>
      <c r="H8017">
        <v>0.97578039999999999</v>
      </c>
      <c r="I8017">
        <v>92.010930000000002</v>
      </c>
      <c r="J8017">
        <v>-187.08860000000001</v>
      </c>
      <c r="K8017">
        <v>1.109758</v>
      </c>
      <c r="L8017">
        <v>91.439729999999997</v>
      </c>
      <c r="M8017">
        <v>-1.8166079999999999E-3</v>
      </c>
      <c r="N8017">
        <v>0</v>
      </c>
      <c r="O8017">
        <v>0.99990270000000003</v>
      </c>
      <c r="P8017">
        <v>1.405445E-3</v>
      </c>
      <c r="Q8017">
        <v>1.128795E-2</v>
      </c>
      <c r="R8017">
        <v>0.99993529999999997</v>
      </c>
      <c r="S8017">
        <v>0.38674930000000002</v>
      </c>
      <c r="T8017">
        <v>-0.44162059999999997</v>
      </c>
      <c r="U8017">
        <v>3.0051570000000001</v>
      </c>
      <c r="V8017">
        <v>3.2209830000000002E-3</v>
      </c>
      <c r="W8017">
        <v>2.5120779999999999E-2</v>
      </c>
      <c r="X8017">
        <v>0.99967919999999999</v>
      </c>
      <c r="Y8017">
        <v>0.1281099</v>
      </c>
      <c r="Z8017">
        <v>-0.14421110000000001</v>
      </c>
      <c r="AA8017">
        <v>0.98121919999999996</v>
      </c>
      <c r="AB8017">
        <v>34</v>
      </c>
      <c r="AC8017">
        <v>0.118100000000026</v>
      </c>
      <c r="AD8017">
        <v>-0.1339776</v>
      </c>
      <c r="AE8017">
        <v>0.57119999999999005</v>
      </c>
      <c r="AF8017">
        <v>0.113166820894239</v>
      </c>
      <c r="AG8017">
        <v>-0.1339776</v>
      </c>
      <c r="AH8017">
        <v>0.54236888089433599</v>
      </c>
      <c r="AI8017">
        <v>103.594035056528</v>
      </c>
      <c r="AJ8017">
        <v>78.214165927499494</v>
      </c>
      <c r="AK8017">
        <v>0.570018183583334</v>
      </c>
      <c r="AL8017">
        <v>88.560533854632595</v>
      </c>
      <c r="AM8017">
        <v>89.815392684810107</v>
      </c>
      <c r="AN8017">
        <v>0.99999996561596605</v>
      </c>
    </row>
    <row r="8018" spans="1:40" x14ac:dyDescent="0.25">
      <c r="A8018" t="str">
        <f>"20190312160843384"</f>
        <v>20190312160843384</v>
      </c>
      <c r="B8018" t="str">
        <f>"1552378123373219"</f>
        <v>1552378123373219</v>
      </c>
      <c r="C8018" t="s">
        <v>40</v>
      </c>
      <c r="D8018">
        <v>6.3441890000000001</v>
      </c>
      <c r="E8018">
        <v>0.54845200000000005</v>
      </c>
      <c r="F8018" t="s">
        <v>44</v>
      </c>
      <c r="G8018">
        <v>-186.9769</v>
      </c>
      <c r="H8018">
        <v>0.98236259999999997</v>
      </c>
      <c r="I8018">
        <v>92.313130000000001</v>
      </c>
      <c r="J8018">
        <v>-187.0891</v>
      </c>
      <c r="K8018">
        <v>1.109753</v>
      </c>
      <c r="L8018">
        <v>91.770110000000003</v>
      </c>
      <c r="M8018">
        <v>-1.8255280000000001E-3</v>
      </c>
      <c r="N8018">
        <v>0</v>
      </c>
      <c r="O8018">
        <v>0.99990140000000005</v>
      </c>
      <c r="P8018">
        <v>1.9033660000000001E-3</v>
      </c>
      <c r="Q8018">
        <v>1.0837670000000001E-2</v>
      </c>
      <c r="R8018">
        <v>0.99993940000000003</v>
      </c>
      <c r="S8018">
        <v>0.38368229999999998</v>
      </c>
      <c r="T8018">
        <v>-0.43829259999999898</v>
      </c>
      <c r="U8018">
        <v>3.0046080000000002</v>
      </c>
      <c r="V8018">
        <v>3.7283619999999998E-3</v>
      </c>
      <c r="W8018">
        <v>2.4762309999999999E-2</v>
      </c>
      <c r="X8018">
        <v>0.99968639999999998</v>
      </c>
      <c r="Y8018">
        <v>0.1271747</v>
      </c>
      <c r="Z8018">
        <v>-0.14319000000000001</v>
      </c>
      <c r="AA8018">
        <v>0.98149030000000004</v>
      </c>
      <c r="AB8018">
        <v>33</v>
      </c>
      <c r="AC8018">
        <v>0.11220000000000099</v>
      </c>
      <c r="AD8018">
        <v>-0.12739039999999999</v>
      </c>
      <c r="AE8018">
        <v>0.54301999999999795</v>
      </c>
      <c r="AF8018">
        <v>0.107516288360716</v>
      </c>
      <c r="AG8018">
        <v>-0.12739039999999999</v>
      </c>
      <c r="AH8018">
        <v>0.51559988542999202</v>
      </c>
      <c r="AI8018">
        <v>103.59697159086799</v>
      </c>
      <c r="AJ8018">
        <v>78.221099024202104</v>
      </c>
      <c r="AK8018">
        <v>0.54187757670016701</v>
      </c>
      <c r="AL8018">
        <v>88.581079093151899</v>
      </c>
      <c r="AM8018">
        <v>89.7863145715841</v>
      </c>
      <c r="AN8018">
        <v>0.99999998551234903</v>
      </c>
    </row>
    <row r="8019" spans="1:40" x14ac:dyDescent="0.25">
      <c r="A8019" t="str">
        <f>"20190312160843406"</f>
        <v>20190312160843406</v>
      </c>
      <c r="B8019" t="str">
        <f>"1552378123393711"</f>
        <v>1552378123393711</v>
      </c>
      <c r="C8019" t="s">
        <v>40</v>
      </c>
      <c r="D8019">
        <v>8.1718019999999996</v>
      </c>
      <c r="E8019">
        <v>0.54803840000000004</v>
      </c>
      <c r="F8019" t="s">
        <v>44</v>
      </c>
      <c r="G8019">
        <v>-186.9794</v>
      </c>
      <c r="H8019">
        <v>0.98837209999999998</v>
      </c>
      <c r="I8019">
        <v>92.614810000000006</v>
      </c>
      <c r="J8019">
        <v>-187.0898</v>
      </c>
      <c r="K8019">
        <v>1.1097509999999999</v>
      </c>
      <c r="L8019">
        <v>92.090389999999999</v>
      </c>
      <c r="M8019">
        <v>-1.830627E-3</v>
      </c>
      <c r="N8019">
        <v>0</v>
      </c>
      <c r="O8019">
        <v>0.99990029999999996</v>
      </c>
      <c r="P8019">
        <v>2.6826599999999999E-3</v>
      </c>
      <c r="Q8019">
        <v>1.1173300000000001E-2</v>
      </c>
      <c r="R8019">
        <v>0.99993399999999999</v>
      </c>
      <c r="S8019">
        <v>0.39004519999999998</v>
      </c>
      <c r="T8019">
        <v>-0.4316951</v>
      </c>
      <c r="U8019">
        <v>3.0041199999999999</v>
      </c>
      <c r="V8019">
        <v>4.5131080000000001E-3</v>
      </c>
      <c r="W8019">
        <v>2.5175119999999999E-2</v>
      </c>
      <c r="X8019">
        <v>0.99967289999999998</v>
      </c>
      <c r="Y8019">
        <v>0.1292838</v>
      </c>
      <c r="Z8019">
        <v>-0.14106250000000001</v>
      </c>
      <c r="AA8019">
        <v>0.98152280000000003</v>
      </c>
      <c r="AB8019">
        <v>33</v>
      </c>
      <c r="AC8019">
        <v>0.110399999999998</v>
      </c>
      <c r="AD8019">
        <v>-0.121378899999999</v>
      </c>
      <c r="AE8019">
        <v>0.524419999999992</v>
      </c>
      <c r="AF8019">
        <v>0.10592619074839001</v>
      </c>
      <c r="AG8019">
        <v>-0.121378899999999</v>
      </c>
      <c r="AH8019">
        <v>0.498638169827536</v>
      </c>
      <c r="AI8019">
        <v>103.39316516300001</v>
      </c>
      <c r="AJ8019">
        <v>78.006884918733306</v>
      </c>
      <c r="AK8019">
        <v>0.52401643071627901</v>
      </c>
      <c r="AL8019">
        <v>88.557419511096299</v>
      </c>
      <c r="AM8019">
        <v>89.741335106566297</v>
      </c>
      <c r="AN8019">
        <v>1.00000003090262</v>
      </c>
    </row>
    <row r="8020" spans="1:40" x14ac:dyDescent="0.25">
      <c r="A8020" t="str">
        <f>"20190312160843428"</f>
        <v>20190312160843428</v>
      </c>
      <c r="B8020" t="str">
        <f>"1552378123413235"</f>
        <v>1552378123413235</v>
      </c>
      <c r="C8020" t="s">
        <v>40</v>
      </c>
      <c r="D8020">
        <v>6.3885040000000002</v>
      </c>
      <c r="E8020">
        <v>0.54769190000000001</v>
      </c>
      <c r="F8020" t="s">
        <v>44</v>
      </c>
      <c r="G8020">
        <v>-186.9828</v>
      </c>
      <c r="H8020">
        <v>0.99238110000000002</v>
      </c>
      <c r="I8020">
        <v>92.915180000000007</v>
      </c>
      <c r="J8020">
        <v>-187.09039999999999</v>
      </c>
      <c r="K8020">
        <v>1.109747</v>
      </c>
      <c r="L8020">
        <v>92.428070000000005</v>
      </c>
      <c r="M8020">
        <v>-1.834483E-3</v>
      </c>
      <c r="N8020">
        <v>0</v>
      </c>
      <c r="O8020">
        <v>0.99989930000000005</v>
      </c>
      <c r="P8020">
        <v>2.7777570000000001E-3</v>
      </c>
      <c r="Q8020">
        <v>1.105342E-2</v>
      </c>
      <c r="R8020">
        <v>0.99993500000000002</v>
      </c>
      <c r="S8020">
        <v>0.3890228</v>
      </c>
      <c r="T8020">
        <v>-0.42750759999999999</v>
      </c>
      <c r="U8020">
        <v>3.0039370000000001</v>
      </c>
      <c r="V8020">
        <v>4.6123450000000003E-3</v>
      </c>
      <c r="W8020">
        <v>2.5126019999999999E-2</v>
      </c>
      <c r="X8020">
        <v>0.9996737</v>
      </c>
      <c r="Y8020">
        <v>0.12899089999999999</v>
      </c>
      <c r="Z8020">
        <v>-0.1397352</v>
      </c>
      <c r="AA8020">
        <v>0.98175120000000005</v>
      </c>
      <c r="AB8020">
        <v>33</v>
      </c>
      <c r="AC8020">
        <v>0.10759999999999</v>
      </c>
      <c r="AD8020">
        <v>-0.1173659</v>
      </c>
      <c r="AE8020">
        <v>0.48711000000001498</v>
      </c>
      <c r="AF8020">
        <v>0.102803067404341</v>
      </c>
      <c r="AG8020">
        <v>-0.1173659</v>
      </c>
      <c r="AH8020">
        <v>0.461373468698276</v>
      </c>
      <c r="AI8020">
        <v>103.944244621705</v>
      </c>
      <c r="AJ8020">
        <v>77.438578034912794</v>
      </c>
      <c r="AK8020">
        <v>0.487040760890945</v>
      </c>
      <c r="AL8020">
        <v>88.560233649358096</v>
      </c>
      <c r="AM8020">
        <v>89.735647714878397</v>
      </c>
      <c r="AN8020">
        <v>1.0000000485395599</v>
      </c>
    </row>
    <row r="8021" spans="1:40" x14ac:dyDescent="0.25">
      <c r="A8021" t="str">
        <f>"20190312160843452"</f>
        <v>20190312160843452</v>
      </c>
      <c r="B8021" t="str">
        <f>"1552378123443488"</f>
        <v>1552378123443488</v>
      </c>
      <c r="C8021" t="s">
        <v>40</v>
      </c>
      <c r="D8021">
        <v>6.0294689999999997</v>
      </c>
      <c r="E8021">
        <v>0.54748419999999998</v>
      </c>
      <c r="F8021" t="s">
        <v>44</v>
      </c>
      <c r="G8021">
        <v>-186.9888</v>
      </c>
      <c r="H8021">
        <v>0.99819029999999997</v>
      </c>
      <c r="I8021">
        <v>93.216030000000003</v>
      </c>
      <c r="J8021">
        <v>-187.09100000000001</v>
      </c>
      <c r="K8021">
        <v>1.1097440000000001</v>
      </c>
      <c r="L8021">
        <v>92.78134</v>
      </c>
      <c r="M8021">
        <v>-1.8375240000000001E-3</v>
      </c>
      <c r="N8021">
        <v>0</v>
      </c>
      <c r="O8021">
        <v>0.99989839999999997</v>
      </c>
      <c r="P8021">
        <v>3.1660410000000001E-3</v>
      </c>
      <c r="Q8021">
        <v>1.044455E-2</v>
      </c>
      <c r="R8021">
        <v>0.99994050000000001</v>
      </c>
      <c r="S8021">
        <v>0.38700869999999998</v>
      </c>
      <c r="T8021">
        <v>-0.42528250000000001</v>
      </c>
      <c r="U8021">
        <v>3.0038149999999999</v>
      </c>
      <c r="V8021">
        <v>5.0038970000000002E-3</v>
      </c>
      <c r="W8021">
        <v>2.4580689999999999E-2</v>
      </c>
      <c r="X8021">
        <v>0.9996853</v>
      </c>
      <c r="Y8021">
        <v>0.12836400000000001</v>
      </c>
      <c r="Z8021">
        <v>-0.1390391</v>
      </c>
      <c r="AA8021">
        <v>0.98193220000000003</v>
      </c>
      <c r="AB8021">
        <v>33</v>
      </c>
      <c r="AC8021">
        <v>0.102199999999982</v>
      </c>
      <c r="AD8021">
        <v>-0.11155370000000001</v>
      </c>
      <c r="AE8021">
        <v>0.43469000000000302</v>
      </c>
      <c r="AF8021">
        <v>9.6948283826231399E-2</v>
      </c>
      <c r="AG8021">
        <v>-0.11155370000000001</v>
      </c>
      <c r="AH8021">
        <v>0.40897784392608</v>
      </c>
      <c r="AI8021">
        <v>104.86402141108</v>
      </c>
      <c r="AJ8021">
        <v>76.664179051958001</v>
      </c>
      <c r="AK8021">
        <v>0.434863282587719</v>
      </c>
      <c r="AL8021">
        <v>88.591488305256505</v>
      </c>
      <c r="AM8021">
        <v>89.713209962338297</v>
      </c>
      <c r="AN8021">
        <v>0.999999974171076</v>
      </c>
    </row>
    <row r="8022" spans="1:40" x14ac:dyDescent="0.25">
      <c r="A8022" t="str">
        <f>"20190312160843474"</f>
        <v>20190312160843474</v>
      </c>
      <c r="B8022" t="str">
        <f>"1552378123463984"</f>
        <v>1552378123463984</v>
      </c>
      <c r="C8022" t="s">
        <v>40</v>
      </c>
      <c r="D8022">
        <v>6.2107000000000001</v>
      </c>
      <c r="E8022">
        <v>0.54919189999999996</v>
      </c>
      <c r="F8022" t="s">
        <v>44</v>
      </c>
      <c r="G8022">
        <v>-186.99619999999999</v>
      </c>
      <c r="H8022">
        <v>1.005504</v>
      </c>
      <c r="I8022">
        <v>93.517269999999996</v>
      </c>
      <c r="J8022">
        <v>-187.0916</v>
      </c>
      <c r="K8022">
        <v>1.109742</v>
      </c>
      <c r="L8022">
        <v>93.106629999999996</v>
      </c>
      <c r="M8022">
        <v>-1.8392079999999999E-3</v>
      </c>
      <c r="N8022">
        <v>0</v>
      </c>
      <c r="O8022">
        <v>0.9998977</v>
      </c>
      <c r="P8022">
        <v>3.731112E-3</v>
      </c>
      <c r="Q8022">
        <v>9.8438220000000003E-3</v>
      </c>
      <c r="R8022">
        <v>0.99994459999999996</v>
      </c>
      <c r="S8022">
        <v>0.3864899</v>
      </c>
      <c r="T8022">
        <v>-0.4254308</v>
      </c>
      <c r="U8022">
        <v>3.003387</v>
      </c>
      <c r="V8022">
        <v>5.5708090000000004E-3</v>
      </c>
      <c r="W8022">
        <v>2.402963E-2</v>
      </c>
      <c r="X8022">
        <v>0.99969569999999996</v>
      </c>
      <c r="Y8022">
        <v>0.1282153</v>
      </c>
      <c r="Z8022">
        <v>-0.1391087</v>
      </c>
      <c r="AA8022">
        <v>0.98194179999999998</v>
      </c>
      <c r="AB8022">
        <v>33</v>
      </c>
      <c r="AC8022">
        <v>9.54000000000121E-2</v>
      </c>
      <c r="AD8022">
        <v>-0.104237999999999</v>
      </c>
      <c r="AE8022">
        <v>0.41063999999998602</v>
      </c>
      <c r="AF8022">
        <v>9.0615270352877905E-2</v>
      </c>
      <c r="AG8022">
        <v>-0.104237999999999</v>
      </c>
      <c r="AH8022">
        <v>0.38681530949442999</v>
      </c>
      <c r="AI8022">
        <v>104.701568419571</v>
      </c>
      <c r="AJ8022">
        <v>76.815647165444304</v>
      </c>
      <c r="AK8022">
        <v>0.41073442943634098</v>
      </c>
      <c r="AL8022">
        <v>88.623071049603496</v>
      </c>
      <c r="AM8022">
        <v>89.680722303413503</v>
      </c>
      <c r="AN8022">
        <v>0.99999997481466996</v>
      </c>
    </row>
    <row r="8023" spans="1:40" x14ac:dyDescent="0.25">
      <c r="A8023" t="str">
        <f>"20190312160843497"</f>
        <v>20190312160843497</v>
      </c>
      <c r="B8023" t="str">
        <f>"1552378123493264"</f>
        <v>1552378123493264</v>
      </c>
      <c r="C8023" t="s">
        <v>40</v>
      </c>
      <c r="D8023">
        <v>6.2799649999999998</v>
      </c>
      <c r="E8023">
        <v>0.54951079999999997</v>
      </c>
      <c r="F8023" t="s">
        <v>44</v>
      </c>
      <c r="G8023">
        <v>-186.95920000000001</v>
      </c>
      <c r="H8023">
        <v>0.97090779999999999</v>
      </c>
      <c r="I8023">
        <v>94.095669999999998</v>
      </c>
      <c r="J8023">
        <v>-187.09229999999999</v>
      </c>
      <c r="K8023">
        <v>1.109742</v>
      </c>
      <c r="L8023">
        <v>93.432860000000005</v>
      </c>
      <c r="M8023">
        <v>-1.8405590000000001E-3</v>
      </c>
      <c r="N8023">
        <v>0</v>
      </c>
      <c r="O8023">
        <v>0.99989709999999998</v>
      </c>
      <c r="P8023">
        <v>3.8619750000000001E-3</v>
      </c>
      <c r="Q8023">
        <v>9.4105009999999999E-3</v>
      </c>
      <c r="R8023">
        <v>0.99994830000000001</v>
      </c>
      <c r="S8023">
        <v>0.40165709999999999</v>
      </c>
      <c r="T8023">
        <v>-0.42153259999999998</v>
      </c>
      <c r="U8023">
        <v>3.0028079999999999</v>
      </c>
      <c r="V8023">
        <v>5.7031620000000003E-3</v>
      </c>
      <c r="W8023">
        <v>2.3639210000000001E-2</v>
      </c>
      <c r="X8023">
        <v>0.99970429999999999</v>
      </c>
      <c r="Y8023">
        <v>0.13313920000000001</v>
      </c>
      <c r="Z8023">
        <v>-0.13779539999999901</v>
      </c>
      <c r="AA8023">
        <v>0.98147150000000005</v>
      </c>
      <c r="AB8023">
        <v>33</v>
      </c>
      <c r="AC8023">
        <v>0.13309999999998401</v>
      </c>
      <c r="AD8023">
        <v>-0.13883419999999899</v>
      </c>
      <c r="AE8023">
        <v>0.662810000000007</v>
      </c>
      <c r="AF8023">
        <v>0.12888426332904299</v>
      </c>
      <c r="AG8023">
        <v>-0.13883419999999899</v>
      </c>
      <c r="AH8023">
        <v>0.63575163205468999</v>
      </c>
      <c r="AI8023">
        <v>102.080436089234</v>
      </c>
      <c r="AJ8023">
        <v>78.539889503214297</v>
      </c>
      <c r="AK8023">
        <v>0.66337487598168199</v>
      </c>
      <c r="AL8023">
        <v>88.645446876621307</v>
      </c>
      <c r="AM8023">
        <v>89.673139779795605</v>
      </c>
      <c r="AN8023">
        <v>1.0000000128723501</v>
      </c>
    </row>
    <row r="8024" spans="1:40" x14ac:dyDescent="0.25">
      <c r="A8024" t="str">
        <f>"20190312160843519"</f>
        <v>20190312160843519</v>
      </c>
      <c r="B8024" t="str">
        <f>"1552378123513759"</f>
        <v>1552378123513759</v>
      </c>
      <c r="C8024" t="s">
        <v>40</v>
      </c>
      <c r="D8024">
        <v>6.3729389999999997</v>
      </c>
      <c r="E8024">
        <v>0.54903500000000005</v>
      </c>
      <c r="F8024" t="s">
        <v>44</v>
      </c>
      <c r="G8024">
        <v>-186.96260000000001</v>
      </c>
      <c r="H8024">
        <v>0.97606769999999998</v>
      </c>
      <c r="I8024">
        <v>94.394750000000002</v>
      </c>
      <c r="J8024">
        <v>-187.09289999999999</v>
      </c>
      <c r="K8024">
        <v>1.1097440000000001</v>
      </c>
      <c r="L8024">
        <v>93.772829999999999</v>
      </c>
      <c r="M8024">
        <v>-1.8416210000000001E-3</v>
      </c>
      <c r="N8024">
        <v>0</v>
      </c>
      <c r="O8024">
        <v>0.99989649999999997</v>
      </c>
      <c r="P8024">
        <v>3.3389259999999999E-3</v>
      </c>
      <c r="Q8024">
        <v>9.5484999999999997E-3</v>
      </c>
      <c r="R8024">
        <v>0.99994890000000003</v>
      </c>
      <c r="S8024">
        <v>0.40460210000000002</v>
      </c>
      <c r="T8024">
        <v>-0.41725899999999999</v>
      </c>
      <c r="U8024">
        <v>3.0025019999999998</v>
      </c>
      <c r="V8024">
        <v>5.1812990000000003E-3</v>
      </c>
      <c r="W8024">
        <v>2.3815119999999999E-2</v>
      </c>
      <c r="X8024">
        <v>0.99970289999999995</v>
      </c>
      <c r="Y8024">
        <v>0.1341244</v>
      </c>
      <c r="Z8024">
        <v>-0.1364204</v>
      </c>
      <c r="AA8024">
        <v>0.98152950000000005</v>
      </c>
      <c r="AB8024">
        <v>33</v>
      </c>
      <c r="AC8024">
        <v>0.13029999999997699</v>
      </c>
      <c r="AD8024">
        <v>-0.1336763</v>
      </c>
      <c r="AE8024">
        <v>0.62192000000000203</v>
      </c>
      <c r="AF8024">
        <v>0.12587440285420501</v>
      </c>
      <c r="AG8024">
        <v>-0.1336763</v>
      </c>
      <c r="AH8024">
        <v>0.59533133038720998</v>
      </c>
      <c r="AI8024">
        <v>102.390158444279</v>
      </c>
      <c r="AJ8024">
        <v>78.061448754676206</v>
      </c>
      <c r="AK8024">
        <v>0.62300329968323398</v>
      </c>
      <c r="AL8024">
        <v>88.635365048001901</v>
      </c>
      <c r="AM8024">
        <v>89.703047868508705</v>
      </c>
      <c r="AN8024">
        <v>0.99999994703417405</v>
      </c>
    </row>
    <row r="8025" spans="1:40" x14ac:dyDescent="0.25">
      <c r="A8025" t="str">
        <f>"20190312160843541"</f>
        <v>20190312160843541</v>
      </c>
      <c r="B8025" t="str">
        <f>"1552378123533280"</f>
        <v>1552378123533280</v>
      </c>
      <c r="C8025" t="s">
        <v>40</v>
      </c>
      <c r="D8025">
        <v>6.3224989999999996</v>
      </c>
      <c r="E8025">
        <v>0.54876659999999999</v>
      </c>
      <c r="F8025" t="s">
        <v>44</v>
      </c>
      <c r="G8025">
        <v>-186.97020000000001</v>
      </c>
      <c r="H8025">
        <v>0.98230119999999999</v>
      </c>
      <c r="I8025">
        <v>94.693929999999995</v>
      </c>
      <c r="J8025">
        <v>-187.09350000000001</v>
      </c>
      <c r="K8025">
        <v>1.109747</v>
      </c>
      <c r="L8025">
        <v>94.097530000000006</v>
      </c>
      <c r="M8025">
        <v>-1.8422919999999999E-3</v>
      </c>
      <c r="N8025">
        <v>0</v>
      </c>
      <c r="O8025">
        <v>0.99989600000000001</v>
      </c>
      <c r="P8025">
        <v>2.8163189999999999E-3</v>
      </c>
      <c r="Q8025">
        <v>9.0461039999999993E-3</v>
      </c>
      <c r="R8025">
        <v>0.99995509999999999</v>
      </c>
      <c r="S8025">
        <v>0.39964290000000002</v>
      </c>
      <c r="T8025">
        <v>-0.41548849999999998</v>
      </c>
      <c r="U8025">
        <v>3.0028079999999999</v>
      </c>
      <c r="V8025">
        <v>4.6594419999999998E-3</v>
      </c>
      <c r="W8025">
        <v>2.3343650000000001E-2</v>
      </c>
      <c r="X8025">
        <v>0.99971659999999996</v>
      </c>
      <c r="Y8025">
        <v>0.13252920000000001</v>
      </c>
      <c r="Z8025">
        <v>-0.13586809999999999</v>
      </c>
      <c r="AA8025">
        <v>0.98182270000000005</v>
      </c>
      <c r="AB8025">
        <v>33</v>
      </c>
      <c r="AC8025">
        <v>0.12330000000000001</v>
      </c>
      <c r="AD8025">
        <v>-0.1274458</v>
      </c>
      <c r="AE8025">
        <v>0.59640000000000204</v>
      </c>
      <c r="AF8025">
        <v>0.11917948632070199</v>
      </c>
      <c r="AG8025">
        <v>-0.1274458</v>
      </c>
      <c r="AH8025">
        <v>0.57115935177408494</v>
      </c>
      <c r="AI8025">
        <v>102.32162722839701</v>
      </c>
      <c r="AJ8025">
        <v>78.213641906651105</v>
      </c>
      <c r="AK8025">
        <v>0.59721787231821799</v>
      </c>
      <c r="AL8025">
        <v>88.662385818641496</v>
      </c>
      <c r="AM8025">
        <v>89.732959892399904</v>
      </c>
      <c r="AN8025">
        <v>0.99999995835531597</v>
      </c>
    </row>
    <row r="8026" spans="1:40" x14ac:dyDescent="0.25">
      <c r="A8026" t="str">
        <f>"20190312160843562"</f>
        <v>20190312160843562</v>
      </c>
      <c r="B8026" t="str">
        <f>"1552378123553782"</f>
        <v>1552378123553782</v>
      </c>
      <c r="C8026" t="s">
        <v>40</v>
      </c>
      <c r="D8026">
        <v>5.7272360000000004</v>
      </c>
      <c r="E8026">
        <v>0.50939420000000002</v>
      </c>
      <c r="F8026" t="s">
        <v>44</v>
      </c>
      <c r="G8026">
        <v>-186.97540000000001</v>
      </c>
      <c r="H8026">
        <v>0.98607400000000001</v>
      </c>
      <c r="I8026">
        <v>94.991650000000007</v>
      </c>
      <c r="J8026">
        <v>-187.0941</v>
      </c>
      <c r="K8026">
        <v>1.109756</v>
      </c>
      <c r="L8026">
        <v>94.423220000000001</v>
      </c>
      <c r="M8026">
        <v>-1.8426060000000001E-3</v>
      </c>
      <c r="N8026">
        <v>0</v>
      </c>
      <c r="O8026">
        <v>0.99989570000000005</v>
      </c>
      <c r="P8026">
        <v>2.2033220000000002E-3</v>
      </c>
      <c r="Q8026">
        <v>8.6071930000000008E-3</v>
      </c>
      <c r="R8026">
        <v>0.99996050000000003</v>
      </c>
      <c r="S8026">
        <v>0.396347</v>
      </c>
      <c r="T8026">
        <v>-0.41533940000000003</v>
      </c>
      <c r="U8026">
        <v>3.002777</v>
      </c>
      <c r="V8026">
        <v>4.0468099999999996E-3</v>
      </c>
      <c r="W8026">
        <v>2.2930820000000001E-2</v>
      </c>
      <c r="X8026">
        <v>0.99972890000000003</v>
      </c>
      <c r="Y8026">
        <v>0.13147220000000001</v>
      </c>
      <c r="Z8026">
        <v>-0.13584079999999901</v>
      </c>
      <c r="AA8026">
        <v>0.98196859999999997</v>
      </c>
      <c r="AB8026">
        <v>33</v>
      </c>
      <c r="AC8026">
        <v>0.11869999999998899</v>
      </c>
      <c r="AD8026">
        <v>-0.123681999999999</v>
      </c>
      <c r="AE8026">
        <v>0.56843000000000599</v>
      </c>
      <c r="AF8026">
        <v>0.11455068870031899</v>
      </c>
      <c r="AG8026">
        <v>-0.123681999999999</v>
      </c>
      <c r="AH8026">
        <v>0.54355197540077804</v>
      </c>
      <c r="AI8026">
        <v>102.552344527728</v>
      </c>
      <c r="AJ8026">
        <v>78.099361966242796</v>
      </c>
      <c r="AK8026">
        <v>0.56909388273623696</v>
      </c>
      <c r="AL8026">
        <v>88.686045672687598</v>
      </c>
      <c r="AM8026">
        <v>89.768073257569199</v>
      </c>
      <c r="AN8026">
        <v>1.0000000363361199</v>
      </c>
    </row>
    <row r="8027" spans="1:40" x14ac:dyDescent="0.25">
      <c r="A8027" t="str">
        <f>"20190312160843585"</f>
        <v>20190312160843585</v>
      </c>
      <c r="B8027" t="str">
        <f>"1552378123573299"</f>
        <v>1552378123573299</v>
      </c>
      <c r="C8027" t="s">
        <v>40</v>
      </c>
      <c r="D8027">
        <v>6.1738249999999999</v>
      </c>
      <c r="E8027">
        <v>0.52124090000000001</v>
      </c>
      <c r="F8027" t="s">
        <v>47</v>
      </c>
      <c r="G8027">
        <v>-186.47280000000001</v>
      </c>
      <c r="H8027" s="1">
        <v>-3.9646579999999996E-6</v>
      </c>
      <c r="I8027">
        <v>117.416</v>
      </c>
      <c r="J8027">
        <v>-187.09469999999999</v>
      </c>
      <c r="K8027">
        <v>1.109766</v>
      </c>
      <c r="L8027">
        <v>94.743380000000002</v>
      </c>
      <c r="M8027">
        <v>-1.8426479999999999E-3</v>
      </c>
      <c r="N8027">
        <v>0</v>
      </c>
      <c r="O8027">
        <v>0.99989539999999999</v>
      </c>
      <c r="P8027">
        <v>1.9629780000000002E-3</v>
      </c>
      <c r="Q8027">
        <v>8.6312960000000001E-3</v>
      </c>
      <c r="R8027">
        <v>0.99996079999999998</v>
      </c>
      <c r="S8027">
        <v>8.1100459999999999E-2</v>
      </c>
      <c r="T8027">
        <v>-0.14485410000000001</v>
      </c>
      <c r="U8027">
        <v>3.0011899999999998</v>
      </c>
      <c r="V8027">
        <v>3.8065450000000002E-3</v>
      </c>
      <c r="W8027">
        <v>2.2977540000000001E-2</v>
      </c>
      <c r="X8027">
        <v>0.99972870000000003</v>
      </c>
      <c r="Y8027">
        <v>2.8823640000000001E-2</v>
      </c>
      <c r="Z8027">
        <v>-4.8190509999999999E-2</v>
      </c>
      <c r="AA8027">
        <v>0.99842220000000004</v>
      </c>
      <c r="AB8027">
        <v>33</v>
      </c>
      <c r="AC8027">
        <v>0.62189999999998202</v>
      </c>
      <c r="AD8027">
        <v>-1.1097699646579999</v>
      </c>
      <c r="AE8027">
        <v>22.672619999999899</v>
      </c>
      <c r="AF8027">
        <v>0.66209580116272404</v>
      </c>
      <c r="AG8027">
        <v>-1.1097699646579999</v>
      </c>
      <c r="AH8027">
        <v>22.617288189305899</v>
      </c>
      <c r="AI8027">
        <v>92.807897079111797</v>
      </c>
      <c r="AJ8027">
        <v>88.323209044951895</v>
      </c>
      <c r="AK8027">
        <v>22.654175890164002</v>
      </c>
      <c r="AL8027">
        <v>88.6833680150188</v>
      </c>
      <c r="AM8027">
        <v>89.781842904918406</v>
      </c>
      <c r="AN8027">
        <v>0.99999996536648805</v>
      </c>
    </row>
    <row r="8028" spans="1:40" x14ac:dyDescent="0.25">
      <c r="A8028" t="str">
        <f>"20190312160843606"</f>
        <v>20190312160843606</v>
      </c>
      <c r="B8028" t="str">
        <f>"1552378123603552"</f>
        <v>1552378123603552</v>
      </c>
      <c r="C8028" t="s">
        <v>40</v>
      </c>
      <c r="D8028">
        <v>6.1108960000000003</v>
      </c>
      <c r="E8028">
        <v>0.52038779999999996</v>
      </c>
      <c r="F8028" t="s">
        <v>41</v>
      </c>
      <c r="G8028">
        <v>0</v>
      </c>
      <c r="H8028">
        <v>0</v>
      </c>
      <c r="I8028">
        <v>0</v>
      </c>
      <c r="J8028">
        <v>-187.09530000000001</v>
      </c>
      <c r="K8028">
        <v>1.1097699999999999</v>
      </c>
      <c r="L8028">
        <v>95.064970000000002</v>
      </c>
      <c r="M8028">
        <v>-1.839654E-3</v>
      </c>
      <c r="N8028">
        <v>0</v>
      </c>
      <c r="O8028">
        <v>0.99989510000000004</v>
      </c>
      <c r="P8028">
        <v>2.059726E-3</v>
      </c>
      <c r="Q8028">
        <v>8.8711769999999992E-3</v>
      </c>
      <c r="R8028">
        <v>0.99995849999999997</v>
      </c>
      <c r="S8028">
        <v>0.17544560000000001</v>
      </c>
      <c r="T8028">
        <v>7.3835129999999999E-2</v>
      </c>
      <c r="U8028">
        <v>2.9991460000000001</v>
      </c>
      <c r="V8028">
        <v>3.9004019999999999E-3</v>
      </c>
      <c r="W8028">
        <v>2.323544E-2</v>
      </c>
      <c r="X8028">
        <v>0.99972240000000001</v>
      </c>
      <c r="Y8028">
        <v>6.0217649999999998E-2</v>
      </c>
      <c r="Z8028">
        <v>2.456788E-2</v>
      </c>
      <c r="AA8028">
        <v>0.99788290000000002</v>
      </c>
      <c r="AB8028">
        <v>33</v>
      </c>
      <c r="AC8028">
        <v>0.17544560000000001</v>
      </c>
      <c r="AD8028">
        <v>7.3835129999999999E-2</v>
      </c>
      <c r="AE8028">
        <v>2.9991460000000001</v>
      </c>
      <c r="AF8028">
        <v>0.18085402506992901</v>
      </c>
      <c r="AG8028">
        <v>7.3835129999999999E-2</v>
      </c>
      <c r="AH8028">
        <v>2.9970078957650901</v>
      </c>
      <c r="AI8028">
        <v>88.591292066341197</v>
      </c>
      <c r="AJ8028">
        <v>86.546681838439298</v>
      </c>
      <c r="AK8028">
        <v>3.0033674653768898</v>
      </c>
      <c r="AL8028">
        <v>88.668587516720507</v>
      </c>
      <c r="AM8028">
        <v>89.776462506866395</v>
      </c>
      <c r="AN8028">
        <v>0.99999998793475697</v>
      </c>
    </row>
    <row r="8029" spans="1:40" x14ac:dyDescent="0.25">
      <c r="A8029" t="str">
        <f>"20190312160843630"</f>
        <v>20190312160843630</v>
      </c>
      <c r="B8029" t="str">
        <f>"1552378123624048"</f>
        <v>1552378123624048</v>
      </c>
      <c r="C8029" t="s">
        <v>40</v>
      </c>
      <c r="D8029">
        <v>6.4832470000000004</v>
      </c>
      <c r="E8029">
        <v>0.52211200000000002</v>
      </c>
      <c r="F8029" t="s">
        <v>41</v>
      </c>
      <c r="G8029">
        <v>0</v>
      </c>
      <c r="H8029">
        <v>0</v>
      </c>
      <c r="I8029">
        <v>0</v>
      </c>
      <c r="J8029">
        <v>-187.0959</v>
      </c>
      <c r="K8029">
        <v>1.109766</v>
      </c>
      <c r="L8029">
        <v>95.411900000000003</v>
      </c>
      <c r="M8029">
        <v>-1.8248959999999999E-3</v>
      </c>
      <c r="N8029">
        <v>0</v>
      </c>
      <c r="O8029">
        <v>0.99989490000000003</v>
      </c>
      <c r="P8029">
        <v>2.3244030000000001E-3</v>
      </c>
      <c r="Q8029">
        <v>9.0923029999999995E-3</v>
      </c>
      <c r="R8029">
        <v>0.99995599999999996</v>
      </c>
      <c r="S8029">
        <v>0.16937260000000001</v>
      </c>
      <c r="T8029">
        <v>0.1992794</v>
      </c>
      <c r="U8029">
        <v>2.9980159999999998</v>
      </c>
      <c r="V8029">
        <v>4.1506909999999998E-3</v>
      </c>
      <c r="W8029">
        <v>2.3473790000000001E-2</v>
      </c>
      <c r="X8029">
        <v>0.99971589999999999</v>
      </c>
      <c r="Y8029">
        <v>5.8103229999999999E-2</v>
      </c>
      <c r="Z8029">
        <v>6.6215319999999994E-2</v>
      </c>
      <c r="AA8029">
        <v>0.9961122</v>
      </c>
      <c r="AB8029">
        <v>33</v>
      </c>
      <c r="AC8029">
        <v>0.16937260000000001</v>
      </c>
      <c r="AD8029">
        <v>0.1992794</v>
      </c>
      <c r="AE8029">
        <v>2.9980159999999998</v>
      </c>
      <c r="AF8029">
        <v>0.174077269628412</v>
      </c>
      <c r="AG8029">
        <v>0.1992794</v>
      </c>
      <c r="AH8029">
        <v>2.9845571203827399</v>
      </c>
      <c r="AI8029">
        <v>86.186482844315506</v>
      </c>
      <c r="AJ8029">
        <v>86.661948372283803</v>
      </c>
      <c r="AK8029">
        <v>2.9962637367049298</v>
      </c>
      <c r="AL8029">
        <v>88.654927443752896</v>
      </c>
      <c r="AM8029">
        <v>89.762116707478697</v>
      </c>
      <c r="AN8029">
        <v>1.00000006388277</v>
      </c>
    </row>
    <row r="8030" spans="1:40" x14ac:dyDescent="0.25">
      <c r="A8030" t="str">
        <f>"20190312160843653"</f>
        <v>20190312160843653</v>
      </c>
      <c r="B8030" t="str">
        <f>"1552378123643179"</f>
        <v>1552378123643179</v>
      </c>
      <c r="C8030" t="s">
        <v>40</v>
      </c>
      <c r="D8030">
        <v>6.4789089999999998</v>
      </c>
      <c r="E8030">
        <v>0.52542500000000003</v>
      </c>
      <c r="F8030" t="s">
        <v>41</v>
      </c>
      <c r="G8030">
        <v>0</v>
      </c>
      <c r="H8030">
        <v>0</v>
      </c>
      <c r="I8030">
        <v>0</v>
      </c>
      <c r="J8030">
        <v>-187.09649999999999</v>
      </c>
      <c r="K8030">
        <v>1.1097619999999999</v>
      </c>
      <c r="L8030">
        <v>95.752589999999998</v>
      </c>
      <c r="M8030">
        <v>-1.7896779999999901E-3</v>
      </c>
      <c r="N8030">
        <v>0</v>
      </c>
      <c r="O8030">
        <v>0.99989470000000003</v>
      </c>
      <c r="P8030">
        <v>3.6582709999999998E-3</v>
      </c>
      <c r="Q8030">
        <v>8.9915800000000008E-3</v>
      </c>
      <c r="R8030">
        <v>0.99995290000000003</v>
      </c>
      <c r="S8030">
        <v>0.18371580000000001</v>
      </c>
      <c r="T8030">
        <v>0.2412021</v>
      </c>
      <c r="U8030">
        <v>2.997528</v>
      </c>
      <c r="V8030">
        <v>5.4500959999999998E-3</v>
      </c>
      <c r="W8030">
        <v>2.3386560000000001E-2</v>
      </c>
      <c r="X8030">
        <v>0.99971160000000003</v>
      </c>
      <c r="Y8030">
        <v>6.2764390000000003E-2</v>
      </c>
      <c r="Z8030">
        <v>8.0053869999999999E-2</v>
      </c>
      <c r="AA8030">
        <v>0.99481249999999999</v>
      </c>
      <c r="AB8030">
        <v>33</v>
      </c>
      <c r="AC8030">
        <v>0.18371580000000001</v>
      </c>
      <c r="AD8030">
        <v>0.2412021</v>
      </c>
      <c r="AE8030">
        <v>2.997528</v>
      </c>
      <c r="AF8030">
        <v>0.18786878537323701</v>
      </c>
      <c r="AG8030">
        <v>0.2412021</v>
      </c>
      <c r="AH8030">
        <v>2.9779842662139102</v>
      </c>
      <c r="AI8030">
        <v>85.378578613816302</v>
      </c>
      <c r="AJ8030">
        <v>86.390228490227699</v>
      </c>
      <c r="AK8030">
        <v>2.9936371562665398</v>
      </c>
      <c r="AL8030">
        <v>88.659926586069503</v>
      </c>
      <c r="AM8030">
        <v>89.687645511770796</v>
      </c>
      <c r="AN8030">
        <v>0.99999995895479998</v>
      </c>
    </row>
    <row r="8031" spans="1:40" x14ac:dyDescent="0.25">
      <c r="A8031" t="str">
        <f>"20190312160843676"</f>
        <v>20190312160843676</v>
      </c>
      <c r="B8031" t="str">
        <f>"1552378123663675"</f>
        <v>1552378123663675</v>
      </c>
      <c r="C8031" t="s">
        <v>40</v>
      </c>
      <c r="D8031">
        <v>6.4740399999999996</v>
      </c>
      <c r="E8031">
        <v>0.52672269999999999</v>
      </c>
      <c r="F8031" t="s">
        <v>43</v>
      </c>
      <c r="G8031">
        <v>-179.24860000000001</v>
      </c>
      <c r="H8031">
        <v>8.6782780000000006</v>
      </c>
      <c r="I8031">
        <v>205.6379</v>
      </c>
      <c r="J8031">
        <v>-187.09700000000001</v>
      </c>
      <c r="K8031">
        <v>1.1097490000000001</v>
      </c>
      <c r="L8031">
        <v>96.075410000000005</v>
      </c>
      <c r="M8031">
        <v>-1.726724E-3</v>
      </c>
      <c r="N8031">
        <v>0</v>
      </c>
      <c r="O8031">
        <v>0.99989470000000003</v>
      </c>
      <c r="P8031">
        <v>5.6621569999999897E-3</v>
      </c>
      <c r="Q8031">
        <v>8.8805940000000003E-3</v>
      </c>
      <c r="R8031">
        <v>0.99994450000000001</v>
      </c>
      <c r="S8031">
        <v>0.21408079999999999</v>
      </c>
      <c r="T8031">
        <v>0.20645930000000001</v>
      </c>
      <c r="U8031">
        <v>2.997528</v>
      </c>
      <c r="V8031">
        <v>7.3921780000000001E-3</v>
      </c>
      <c r="W8031">
        <v>2.328502E-2</v>
      </c>
      <c r="X8031">
        <v>0.99970159999999997</v>
      </c>
      <c r="Y8031">
        <v>7.2792570000000001E-2</v>
      </c>
      <c r="Z8031">
        <v>6.8535540000000006E-2</v>
      </c>
      <c r="AA8031">
        <v>0.99498949999999997</v>
      </c>
      <c r="AB8031">
        <v>33</v>
      </c>
      <c r="AC8031">
        <v>7.8483999999999901</v>
      </c>
      <c r="AD8031">
        <v>7.5685289999999998</v>
      </c>
      <c r="AE8031">
        <v>109.56249</v>
      </c>
      <c r="AF8031">
        <v>7.9996129647463201</v>
      </c>
      <c r="AG8031">
        <v>7.5685289999999998</v>
      </c>
      <c r="AH8031">
        <v>109.031134372716</v>
      </c>
      <c r="AI8031">
        <v>86.039724625384594</v>
      </c>
      <c r="AJ8031">
        <v>85.8037283224334</v>
      </c>
      <c r="AK8031">
        <v>109.585878202489</v>
      </c>
      <c r="AL8031">
        <v>88.665746122992203</v>
      </c>
      <c r="AM8031">
        <v>89.576340698300399</v>
      </c>
      <c r="AN8031">
        <v>1.00000006274727</v>
      </c>
    </row>
    <row r="8032" spans="1:40" x14ac:dyDescent="0.25">
      <c r="A8032" t="str">
        <f>"20190312160843697"</f>
        <v>20190312160843697</v>
      </c>
      <c r="B8032" t="str">
        <f>"1552378123693932"</f>
        <v>1552378123693932</v>
      </c>
      <c r="C8032" t="s">
        <v>40</v>
      </c>
      <c r="D8032">
        <v>6.069229</v>
      </c>
      <c r="E8032">
        <v>0.53048209999999996</v>
      </c>
      <c r="F8032" t="s">
        <v>43</v>
      </c>
      <c r="G8032">
        <v>-178.66659999999999</v>
      </c>
      <c r="H8032">
        <v>8.4039509999999993</v>
      </c>
      <c r="I8032">
        <v>205.6721</v>
      </c>
      <c r="J8032">
        <v>-187.0975</v>
      </c>
      <c r="K8032">
        <v>1.109726</v>
      </c>
      <c r="L8032">
        <v>96.396000000000001</v>
      </c>
      <c r="M8032">
        <v>-1.631696E-3</v>
      </c>
      <c r="N8032">
        <v>0</v>
      </c>
      <c r="O8032">
        <v>0.99989470000000003</v>
      </c>
      <c r="P8032">
        <v>7.5919739999999996E-3</v>
      </c>
      <c r="Q8032">
        <v>9.1308859999999995E-3</v>
      </c>
      <c r="R8032">
        <v>0.99992950000000003</v>
      </c>
      <c r="S8032">
        <v>0.230545</v>
      </c>
      <c r="T8032">
        <v>0.1994717</v>
      </c>
      <c r="U8032">
        <v>2.9971009999999998</v>
      </c>
      <c r="V8032">
        <v>9.2284689999999996E-3</v>
      </c>
      <c r="W8032">
        <v>2.3543390000000001E-2</v>
      </c>
      <c r="X8032">
        <v>0.99968020000000002</v>
      </c>
      <c r="Y8032">
        <v>7.8154790000000002E-2</v>
      </c>
      <c r="Z8032">
        <v>6.6208909999999996E-2</v>
      </c>
      <c r="AA8032">
        <v>0.99474019999999996</v>
      </c>
      <c r="AB8032">
        <v>33</v>
      </c>
      <c r="AC8032">
        <v>8.4308999999999994</v>
      </c>
      <c r="AD8032">
        <v>7.2942249999999902</v>
      </c>
      <c r="AE8032">
        <v>109.2761</v>
      </c>
      <c r="AF8032">
        <v>8.5712484628997405</v>
      </c>
      <c r="AG8032">
        <v>7.2942249999999902</v>
      </c>
      <c r="AH8032">
        <v>108.780380591455</v>
      </c>
      <c r="AI8032">
        <v>86.175615241965502</v>
      </c>
      <c r="AJ8032">
        <v>85.494740835471703</v>
      </c>
      <c r="AK8032">
        <v>109.36106811925799</v>
      </c>
      <c r="AL8032">
        <v>88.650938440914402</v>
      </c>
      <c r="AM8032">
        <v>89.471093549821006</v>
      </c>
      <c r="AN8032">
        <v>0.99999997906240701</v>
      </c>
    </row>
    <row r="8033" spans="1:40" x14ac:dyDescent="0.25">
      <c r="A8033" t="str">
        <f>"20190312160843720"</f>
        <v>20190312160843720</v>
      </c>
      <c r="B8033" t="str">
        <f>"1552378123713452"</f>
        <v>1552378123713452</v>
      </c>
      <c r="C8033" t="s">
        <v>40</v>
      </c>
      <c r="D8033">
        <v>6.1822319999999999</v>
      </c>
      <c r="E8033">
        <v>0.53290740000000003</v>
      </c>
      <c r="F8033" t="s">
        <v>43</v>
      </c>
      <c r="G8033">
        <v>-177.3811</v>
      </c>
      <c r="H8033">
        <v>7.0347439999999999</v>
      </c>
      <c r="I8033">
        <v>205.70590000000001</v>
      </c>
      <c r="J8033">
        <v>-187.09790000000001</v>
      </c>
      <c r="K8033">
        <v>1.1097030000000001</v>
      </c>
      <c r="L8033">
        <v>96.727720000000005</v>
      </c>
      <c r="M8033">
        <v>-1.5024630000000001E-3</v>
      </c>
      <c r="N8033">
        <v>0</v>
      </c>
      <c r="O8033">
        <v>0.99989490000000003</v>
      </c>
      <c r="P8033">
        <v>8.9686739999999994E-3</v>
      </c>
      <c r="Q8033">
        <v>9.5814479999999994E-3</v>
      </c>
      <c r="R8033">
        <v>0.99991390000000002</v>
      </c>
      <c r="S8033">
        <v>0.26637270000000002</v>
      </c>
      <c r="T8033">
        <v>0.16243289999999999</v>
      </c>
      <c r="U8033">
        <v>2.9967039999999998</v>
      </c>
      <c r="V8033">
        <v>1.047756E-2</v>
      </c>
      <c r="W8033">
        <v>2.3999599999999999E-2</v>
      </c>
      <c r="X8033">
        <v>0.99965700000000002</v>
      </c>
      <c r="Y8033">
        <v>8.9907329999999994E-2</v>
      </c>
      <c r="Z8033">
        <v>5.3908749999999998E-2</v>
      </c>
      <c r="AA8033">
        <v>0.99449010000000004</v>
      </c>
      <c r="AB8033">
        <v>33</v>
      </c>
      <c r="AC8033">
        <v>9.7167999999999992</v>
      </c>
      <c r="AD8033">
        <v>5.9250410000000002</v>
      </c>
      <c r="AE8033">
        <v>108.97817999999999</v>
      </c>
      <c r="AF8033">
        <v>9.8516500056224903</v>
      </c>
      <c r="AG8033">
        <v>5.9250410000000002</v>
      </c>
      <c r="AH8033">
        <v>108.644835820315</v>
      </c>
      <c r="AI8033">
        <v>86.891146688007794</v>
      </c>
      <c r="AJ8033">
        <v>84.818727649606004</v>
      </c>
      <c r="AK8033">
        <v>109.251368271103</v>
      </c>
      <c r="AL8033">
        <v>88.624792088795004</v>
      </c>
      <c r="AM8033">
        <v>89.399496040736807</v>
      </c>
      <c r="AN8033">
        <v>0.99999993885635496</v>
      </c>
    </row>
    <row r="8034" spans="1:40" x14ac:dyDescent="0.25">
      <c r="A8034" t="str">
        <f>"20190312160843742"</f>
        <v>20190312160843742</v>
      </c>
      <c r="B8034" t="str">
        <f>"1552378123733949"</f>
        <v>1552378123733949</v>
      </c>
      <c r="C8034" t="s">
        <v>40</v>
      </c>
      <c r="D8034">
        <v>6.2734240000000003</v>
      </c>
      <c r="E8034">
        <v>0.53344859999999905</v>
      </c>
      <c r="F8034" t="s">
        <v>50</v>
      </c>
      <c r="G8034">
        <v>-167.89850000000001</v>
      </c>
      <c r="H8034">
        <v>9.2185070000000007</v>
      </c>
      <c r="I8034">
        <v>295.334</v>
      </c>
      <c r="J8034">
        <v>-187.09819999999999</v>
      </c>
      <c r="K8034">
        <v>1.109675</v>
      </c>
      <c r="L8034">
        <v>97.062259999999995</v>
      </c>
      <c r="M8034">
        <v>-1.3373650000000001E-3</v>
      </c>
      <c r="N8034">
        <v>0</v>
      </c>
      <c r="O8034">
        <v>0.99989499999999998</v>
      </c>
      <c r="P8034">
        <v>1.0313279999999999E-2</v>
      </c>
      <c r="Q8034">
        <v>9.4109469999999994E-3</v>
      </c>
      <c r="R8034">
        <v>0.99990250000000003</v>
      </c>
      <c r="S8034">
        <v>0.28967290000000001</v>
      </c>
      <c r="T8034">
        <v>0.1223434</v>
      </c>
      <c r="U8034">
        <v>2.9964900000000001</v>
      </c>
      <c r="V8034">
        <v>1.165852E-2</v>
      </c>
      <c r="W8034">
        <v>2.383418E-2</v>
      </c>
      <c r="X8034">
        <v>0.99964790000000003</v>
      </c>
      <c r="Y8034">
        <v>9.7473989999999996E-2</v>
      </c>
      <c r="Z8034">
        <v>4.0603239999999999E-2</v>
      </c>
      <c r="AA8034">
        <v>0.99440949999999995</v>
      </c>
      <c r="AB8034">
        <v>33</v>
      </c>
      <c r="AC8034">
        <v>19.199699999999901</v>
      </c>
      <c r="AD8034">
        <v>8.1088319999999996</v>
      </c>
      <c r="AE8034">
        <v>198.27173999999999</v>
      </c>
      <c r="AF8034">
        <v>19.432670773786199</v>
      </c>
      <c r="AG8034">
        <v>8.1088319999999996</v>
      </c>
      <c r="AH8034">
        <v>197.91791861541</v>
      </c>
      <c r="AI8034">
        <v>87.665080280074704</v>
      </c>
      <c r="AJ8034">
        <v>84.3923588211142</v>
      </c>
      <c r="AK8034">
        <v>199.03488226655799</v>
      </c>
      <c r="AL8034">
        <v>88.634272693387302</v>
      </c>
      <c r="AM8034">
        <v>89.3318110225146</v>
      </c>
      <c r="AN8034">
        <v>0.99999995659963503</v>
      </c>
    </row>
    <row r="8035" spans="1:40" x14ac:dyDescent="0.25">
      <c r="A8035" t="str">
        <f>"20190312160843764"</f>
        <v>20190312160843764</v>
      </c>
      <c r="B8035" t="str">
        <f>"1552378123753078"</f>
        <v>1552378123753078</v>
      </c>
      <c r="C8035" t="s">
        <v>40</v>
      </c>
      <c r="D8035">
        <v>7.1154899999999897</v>
      </c>
      <c r="E8035">
        <v>0.53332919999999995</v>
      </c>
      <c r="F8035" t="s">
        <v>50</v>
      </c>
      <c r="G8035">
        <v>-169.1438</v>
      </c>
      <c r="H8035">
        <v>7.7980089999999898</v>
      </c>
      <c r="I8035">
        <v>277.66050000000001</v>
      </c>
      <c r="J8035">
        <v>-187.0984</v>
      </c>
      <c r="K8035">
        <v>1.109642</v>
      </c>
      <c r="L8035">
        <v>97.379329999999996</v>
      </c>
      <c r="M8035">
        <v>-1.144588E-3</v>
      </c>
      <c r="N8035">
        <v>0</v>
      </c>
      <c r="O8035">
        <v>0.99989519999999998</v>
      </c>
      <c r="P8035">
        <v>1.2245819999999999E-2</v>
      </c>
      <c r="Q8035">
        <v>7.96399699999999E-3</v>
      </c>
      <c r="R8035">
        <v>0.99989329999999998</v>
      </c>
      <c r="S8035">
        <v>0.29786679999999999</v>
      </c>
      <c r="T8035">
        <v>0.1109618</v>
      </c>
      <c r="U8035">
        <v>2.9961549999999999</v>
      </c>
      <c r="V8035">
        <v>1.33992E-2</v>
      </c>
      <c r="W8035">
        <v>2.2390230000000001E-2</v>
      </c>
      <c r="X8035">
        <v>0.99965950000000003</v>
      </c>
      <c r="Y8035">
        <v>0.1000006</v>
      </c>
      <c r="Z8035">
        <v>3.682593E-2</v>
      </c>
      <c r="AA8035">
        <v>0.99430569999999896</v>
      </c>
      <c r="AB8035">
        <v>33</v>
      </c>
      <c r="AC8035">
        <v>17.954599999999999</v>
      </c>
      <c r="AD8035">
        <v>6.6883670000000004</v>
      </c>
      <c r="AE8035">
        <v>180.28117</v>
      </c>
      <c r="AF8035">
        <v>18.136240131957599</v>
      </c>
      <c r="AG8035">
        <v>6.6883670000000004</v>
      </c>
      <c r="AH8035">
        <v>180.01516262221901</v>
      </c>
      <c r="AI8035">
        <v>87.882892363069899</v>
      </c>
      <c r="AJ8035">
        <v>84.246954246136397</v>
      </c>
      <c r="AK8035">
        <v>181.05003792641099</v>
      </c>
      <c r="AL8035">
        <v>88.717027091446894</v>
      </c>
      <c r="AM8035">
        <v>89.232066881241906</v>
      </c>
      <c r="AN8035">
        <v>0.99999998845017102</v>
      </c>
    </row>
    <row r="8036" spans="1:40" x14ac:dyDescent="0.25">
      <c r="A8036" t="str">
        <f>"20190312160843786"</f>
        <v>20190312160843786</v>
      </c>
      <c r="B8036" t="str">
        <f>"1552378123773575"</f>
        <v>1552378123773575</v>
      </c>
      <c r="C8036" t="s">
        <v>40</v>
      </c>
      <c r="D8036">
        <v>6.5640790000000004</v>
      </c>
      <c r="E8036">
        <v>0.53374869999999996</v>
      </c>
      <c r="F8036" t="s">
        <v>50</v>
      </c>
      <c r="G8036">
        <v>-169.1438</v>
      </c>
      <c r="H8036">
        <v>7.3328829999999998</v>
      </c>
      <c r="I8036">
        <v>274.9203</v>
      </c>
      <c r="J8036">
        <v>-187.0986</v>
      </c>
      <c r="K8036">
        <v>1.1096239999999999</v>
      </c>
      <c r="L8036">
        <v>97.694760000000002</v>
      </c>
      <c r="M8036">
        <v>-9.164377E-4</v>
      </c>
      <c r="N8036">
        <v>0</v>
      </c>
      <c r="O8036">
        <v>0.99989530000000004</v>
      </c>
      <c r="P8036">
        <v>1.3858850000000001E-2</v>
      </c>
      <c r="Q8036">
        <v>7.9094660000000004E-3</v>
      </c>
      <c r="R8036">
        <v>0.99987269999999995</v>
      </c>
      <c r="S8036">
        <v>0.30296329999999999</v>
      </c>
      <c r="T8036">
        <v>0.10501099999999999</v>
      </c>
      <c r="U8036">
        <v>2.9957889999999998</v>
      </c>
      <c r="V8036">
        <v>1.478556E-2</v>
      </c>
      <c r="W8036">
        <v>2.233684E-2</v>
      </c>
      <c r="X8036">
        <v>0.99964120000000001</v>
      </c>
      <c r="Y8036">
        <v>0.10146719999999999</v>
      </c>
      <c r="Z8036">
        <v>3.485216E-2</v>
      </c>
      <c r="AA8036">
        <v>0.99422820000000001</v>
      </c>
      <c r="AB8036">
        <v>33</v>
      </c>
      <c r="AC8036">
        <v>17.954799999999999</v>
      </c>
      <c r="AD8036">
        <v>6.2232589999999997</v>
      </c>
      <c r="AE8036">
        <v>177.22554</v>
      </c>
      <c r="AF8036">
        <v>18.0951399083886</v>
      </c>
      <c r="AG8036">
        <v>6.2232589999999997</v>
      </c>
      <c r="AH8036">
        <v>176.992984202613</v>
      </c>
      <c r="AI8036">
        <v>87.996683716918497</v>
      </c>
      <c r="AJ8036">
        <v>84.1625629436369</v>
      </c>
      <c r="AK8036">
        <v>178.02437894241299</v>
      </c>
      <c r="AL8036">
        <v>88.720086941782199</v>
      </c>
      <c r="AM8036">
        <v>89.152607538683199</v>
      </c>
      <c r="AN8036">
        <v>1.0000000379715599</v>
      </c>
    </row>
    <row r="8037" spans="1:40" x14ac:dyDescent="0.25">
      <c r="A8037" t="str">
        <f>"20190312160843808"</f>
        <v>20190312160843808</v>
      </c>
      <c r="B8037" t="str">
        <f>"1552378123803831"</f>
        <v>1552378123803831</v>
      </c>
      <c r="C8037" t="s">
        <v>40</v>
      </c>
      <c r="D8037">
        <v>6.1840820000000001</v>
      </c>
      <c r="E8037">
        <v>0.53459579999999995</v>
      </c>
      <c r="F8037" t="s">
        <v>50</v>
      </c>
      <c r="G8037">
        <v>-169.1266</v>
      </c>
      <c r="H8037">
        <v>6.6740899999999996</v>
      </c>
      <c r="I8037">
        <v>270.7253</v>
      </c>
      <c r="J8037">
        <v>-187.0986</v>
      </c>
      <c r="K8037">
        <v>1.1095930000000001</v>
      </c>
      <c r="L8037">
        <v>98.022890000000004</v>
      </c>
      <c r="M8037">
        <v>-6.4140339999999897E-4</v>
      </c>
      <c r="N8037">
        <v>0</v>
      </c>
      <c r="O8037">
        <v>0.99989550000000005</v>
      </c>
      <c r="P8037">
        <v>1.5957840000000001E-2</v>
      </c>
      <c r="Q8037">
        <v>8.1296179999999999E-3</v>
      </c>
      <c r="R8037">
        <v>0.99983960000000005</v>
      </c>
      <c r="S8037">
        <v>0.31111149999999999</v>
      </c>
      <c r="T8037">
        <v>9.6326830000000002E-2</v>
      </c>
      <c r="U8037">
        <v>2.9952999999999999</v>
      </c>
      <c r="V8037">
        <v>1.661137E-2</v>
      </c>
      <c r="W8037">
        <v>2.255708E-2</v>
      </c>
      <c r="X8037">
        <v>0.99960760000000004</v>
      </c>
      <c r="Y8037">
        <v>0.103896</v>
      </c>
      <c r="Z8037">
        <v>3.1969810000000001E-2</v>
      </c>
      <c r="AA8037">
        <v>0.99407420000000002</v>
      </c>
      <c r="AB8037">
        <v>33</v>
      </c>
      <c r="AC8037">
        <v>17.972000000000001</v>
      </c>
      <c r="AD8037">
        <v>5.5644969999999896</v>
      </c>
      <c r="AE8037">
        <v>172.70240999999999</v>
      </c>
      <c r="AF8037">
        <v>18.064227516864602</v>
      </c>
      <c r="AG8037">
        <v>5.5644969999999896</v>
      </c>
      <c r="AH8037">
        <v>172.51367164448601</v>
      </c>
      <c r="AI8037">
        <v>88.162581253662495</v>
      </c>
      <c r="AJ8037">
        <v>84.022236688401307</v>
      </c>
      <c r="AK8037">
        <v>173.54609430034901</v>
      </c>
      <c r="AL8037">
        <v>88.707464963699493</v>
      </c>
      <c r="AM8037">
        <v>89.047952620163599</v>
      </c>
      <c r="AN8037">
        <v>1.0000000567245799</v>
      </c>
    </row>
    <row r="8038" spans="1:40" x14ac:dyDescent="0.25">
      <c r="A8038" t="str">
        <f>"20190312160843831"</f>
        <v>20190312160843831</v>
      </c>
      <c r="B8038" t="str">
        <f>"1552378123823351"</f>
        <v>1552378123823351</v>
      </c>
      <c r="C8038" t="s">
        <v>40</v>
      </c>
      <c r="D8038">
        <v>6.2960260000000003</v>
      </c>
      <c r="E8038">
        <v>0.53376250000000003</v>
      </c>
      <c r="F8038" t="s">
        <v>50</v>
      </c>
      <c r="G8038">
        <v>-168.35050000000001</v>
      </c>
      <c r="H8038">
        <v>5.347677</v>
      </c>
      <c r="I8038">
        <v>271.25009999999997</v>
      </c>
      <c r="J8038">
        <v>-187.0985</v>
      </c>
      <c r="K8038">
        <v>1.1095630000000001</v>
      </c>
      <c r="L8038">
        <v>98.358549999999994</v>
      </c>
      <c r="M8038">
        <v>-3.1894559999999999E-4</v>
      </c>
      <c r="N8038">
        <v>0</v>
      </c>
      <c r="O8038">
        <v>0.99989570000000005</v>
      </c>
      <c r="P8038">
        <v>1.8493309999999999E-2</v>
      </c>
      <c r="Q8038">
        <v>7.9660559999999991E-3</v>
      </c>
      <c r="R8038">
        <v>0.99979720000000005</v>
      </c>
      <c r="S8038">
        <v>0.32411190000000001</v>
      </c>
      <c r="T8038">
        <v>7.3267819999999997E-2</v>
      </c>
      <c r="U8038">
        <v>2.9946899999999999</v>
      </c>
      <c r="V8038">
        <v>1.8826249999999999E-2</v>
      </c>
      <c r="W8038">
        <v>2.2392140000000001E-2</v>
      </c>
      <c r="X8038">
        <v>0.99957200000000002</v>
      </c>
      <c r="Y8038">
        <v>0.1078858</v>
      </c>
      <c r="Z8038">
        <v>2.4316259999999999E-2</v>
      </c>
      <c r="AA8038">
        <v>0.99386580000000002</v>
      </c>
      <c r="AB8038">
        <v>33</v>
      </c>
      <c r="AC8038">
        <v>18.747999999999902</v>
      </c>
      <c r="AD8038">
        <v>4.2381140000000004</v>
      </c>
      <c r="AE8038">
        <v>172.89155</v>
      </c>
      <c r="AF8038">
        <v>18.791987042658199</v>
      </c>
      <c r="AG8038">
        <v>4.2381140000000004</v>
      </c>
      <c r="AH8038">
        <v>172.782943444258</v>
      </c>
      <c r="AI8038">
        <v>88.603133810155001</v>
      </c>
      <c r="AJ8038">
        <v>83.792870916966507</v>
      </c>
      <c r="AK8038">
        <v>173.853518608483</v>
      </c>
      <c r="AL8038">
        <v>88.716917655952201</v>
      </c>
      <c r="AM8038">
        <v>88.921001037610296</v>
      </c>
      <c r="AN8038">
        <v>1.00000000940342</v>
      </c>
    </row>
    <row r="8039" spans="1:40" x14ac:dyDescent="0.25">
      <c r="A8039" t="str">
        <f>"20190312160843854"</f>
        <v>20190312160843854</v>
      </c>
      <c r="B8039" t="str">
        <f>"1552378123843633"</f>
        <v>1552378123843633</v>
      </c>
      <c r="C8039" t="s">
        <v>40</v>
      </c>
      <c r="D8039">
        <v>6.271236</v>
      </c>
      <c r="E8039">
        <v>0.53340299999999996</v>
      </c>
      <c r="F8039" t="s">
        <v>50</v>
      </c>
      <c r="G8039">
        <v>-168.35050000000001</v>
      </c>
      <c r="H8039">
        <v>5.7753379999999996</v>
      </c>
      <c r="I8039">
        <v>270.92500000000001</v>
      </c>
      <c r="J8039">
        <v>-187.09829999999999</v>
      </c>
      <c r="K8039">
        <v>1.1095280000000001</v>
      </c>
      <c r="L8039">
        <v>98.686369999999997</v>
      </c>
      <c r="M8039" s="1">
        <v>4.3311479999999999E-5</v>
      </c>
      <c r="N8039">
        <v>0</v>
      </c>
      <c r="O8039">
        <v>0.99989570000000005</v>
      </c>
      <c r="P8039">
        <v>2.1468270000000001E-2</v>
      </c>
      <c r="Q8039">
        <v>7.9617430000000003E-3</v>
      </c>
      <c r="R8039">
        <v>0.99973780000000001</v>
      </c>
      <c r="S8039">
        <v>0.32527159999999999</v>
      </c>
      <c r="T8039">
        <v>8.0950620000000001E-2</v>
      </c>
      <c r="U8039">
        <v>2.9939580000000001</v>
      </c>
      <c r="V8039">
        <v>2.1441080000000001E-2</v>
      </c>
      <c r="W8039">
        <v>2.238451E-2</v>
      </c>
      <c r="X8039">
        <v>0.99951950000000001</v>
      </c>
      <c r="Y8039">
        <v>0.1079251</v>
      </c>
      <c r="Z8039">
        <v>2.6870189999999999E-2</v>
      </c>
      <c r="AA8039">
        <v>0.99379580000000001</v>
      </c>
      <c r="AB8039">
        <v>33</v>
      </c>
      <c r="AC8039">
        <v>18.747799999999899</v>
      </c>
      <c r="AD8039">
        <v>4.6658099999999996</v>
      </c>
      <c r="AE8039">
        <v>172.23863</v>
      </c>
      <c r="AF8039">
        <v>18.726758025000098</v>
      </c>
      <c r="AG8039">
        <v>4.6658099999999996</v>
      </c>
      <c r="AH8039">
        <v>172.114618658137</v>
      </c>
      <c r="AI8039">
        <v>88.456270311709204</v>
      </c>
      <c r="AJ8039">
        <v>83.790417095001999</v>
      </c>
      <c r="AK8039">
        <v>173.193253924392</v>
      </c>
      <c r="AL8039">
        <v>88.717354931241303</v>
      </c>
      <c r="AM8039">
        <v>88.771114510110905</v>
      </c>
      <c r="AN8039">
        <v>1.0000000085398699</v>
      </c>
    </row>
    <row r="8040" spans="1:40" x14ac:dyDescent="0.25">
      <c r="A8040" t="str">
        <f>"20190312160843873"</f>
        <v>20190312160843873</v>
      </c>
      <c r="B8040" t="str">
        <f>"1552378123863153"</f>
        <v>1552378123863153</v>
      </c>
      <c r="C8040" t="s">
        <v>40</v>
      </c>
      <c r="D8040">
        <v>6.1648319999999996</v>
      </c>
      <c r="E8040">
        <v>0.53391899999999903</v>
      </c>
      <c r="F8040" t="s">
        <v>50</v>
      </c>
      <c r="G8040">
        <v>-168.16800000000001</v>
      </c>
      <c r="H8040">
        <v>5.7720979999999997</v>
      </c>
      <c r="I8040">
        <v>269.69009999999997</v>
      </c>
      <c r="J8040">
        <v>-187.09790000000001</v>
      </c>
      <c r="K8040">
        <v>1.1094869999999999</v>
      </c>
      <c r="L8040">
        <v>98.975040000000007</v>
      </c>
      <c r="M8040">
        <v>4.1354800000000002E-4</v>
      </c>
      <c r="N8040">
        <v>0</v>
      </c>
      <c r="O8040">
        <v>0.9998956</v>
      </c>
      <c r="P8040">
        <v>2.516616E-2</v>
      </c>
      <c r="Q8040">
        <v>7.5378140000000003E-3</v>
      </c>
      <c r="R8040">
        <v>0.99965490000000001</v>
      </c>
      <c r="S8040">
        <v>0.33132929999999999</v>
      </c>
      <c r="T8040">
        <v>8.1608529999999999E-2</v>
      </c>
      <c r="U8040">
        <v>2.9930110000000001</v>
      </c>
      <c r="V8040">
        <v>2.4770589999999999E-2</v>
      </c>
      <c r="W8040">
        <v>2.195546E-2</v>
      </c>
      <c r="X8040">
        <v>0.99945209999999995</v>
      </c>
      <c r="Y8040">
        <v>0.10957740000000001</v>
      </c>
      <c r="Z8040">
        <v>2.7091480000000001E-2</v>
      </c>
      <c r="AA8040">
        <v>0.99360899999999996</v>
      </c>
      <c r="AB8040">
        <v>33</v>
      </c>
      <c r="AC8040">
        <v>18.9299</v>
      </c>
      <c r="AD8040">
        <v>4.6626110000000001</v>
      </c>
      <c r="AE8040">
        <v>170.715059999999</v>
      </c>
      <c r="AF8040">
        <v>18.845405004998</v>
      </c>
      <c r="AG8040">
        <v>4.6626110000000001</v>
      </c>
      <c r="AH8040">
        <v>170.59716195033701</v>
      </c>
      <c r="AI8040">
        <v>88.443893202526496</v>
      </c>
      <c r="AJ8040">
        <v>83.6962495841628</v>
      </c>
      <c r="AK8040">
        <v>171.69822624782401</v>
      </c>
      <c r="AL8040">
        <v>88.741943796572201</v>
      </c>
      <c r="AM8040">
        <v>88.580262349518193</v>
      </c>
      <c r="AN8040">
        <v>1.0000000622735801</v>
      </c>
    </row>
    <row r="8041" spans="1:40" x14ac:dyDescent="0.25">
      <c r="A8041" t="str">
        <f>"20190312160843897"</f>
        <v>20190312160843897</v>
      </c>
      <c r="B8041" t="str">
        <f>"1552378123893410"</f>
        <v>1552378123893410</v>
      </c>
      <c r="C8041" t="s">
        <v>40</v>
      </c>
      <c r="D8041">
        <v>6.3141600000000002</v>
      </c>
      <c r="E8041">
        <v>0.53326479999999998</v>
      </c>
      <c r="F8041" t="s">
        <v>50</v>
      </c>
      <c r="G8041">
        <v>-167.33430000000001</v>
      </c>
      <c r="H8041">
        <v>5.084327</v>
      </c>
      <c r="I8041">
        <v>269.69009999999997</v>
      </c>
      <c r="J8041">
        <v>-187.09719999999999</v>
      </c>
      <c r="K8041">
        <v>1.1094269999999999</v>
      </c>
      <c r="L8041">
        <v>99.312290000000004</v>
      </c>
      <c r="M8041">
        <v>9.1817560000000001E-4</v>
      </c>
      <c r="N8041">
        <v>0</v>
      </c>
      <c r="O8041">
        <v>0.99989530000000004</v>
      </c>
      <c r="P8041">
        <v>2.8885589999999999E-2</v>
      </c>
      <c r="Q8041">
        <v>6.4928429999999999E-3</v>
      </c>
      <c r="R8041">
        <v>0.99956160000000005</v>
      </c>
      <c r="S8041">
        <v>0.34635929999999998</v>
      </c>
      <c r="T8041">
        <v>6.9660659999999999E-2</v>
      </c>
      <c r="U8041">
        <v>2.9917910000000001</v>
      </c>
      <c r="V8041">
        <v>2.7987519999999998E-2</v>
      </c>
      <c r="W8041">
        <v>2.090332E-2</v>
      </c>
      <c r="X8041">
        <v>0.99938970000000005</v>
      </c>
      <c r="Y8041">
        <v>0.1140588</v>
      </c>
      <c r="Z8041">
        <v>2.3124479999999999E-2</v>
      </c>
      <c r="AA8041">
        <v>0.9932048</v>
      </c>
      <c r="AB8041">
        <v>33</v>
      </c>
      <c r="AC8041">
        <v>19.762899999999899</v>
      </c>
      <c r="AD8041">
        <v>3.9748999999999999</v>
      </c>
      <c r="AE8041">
        <v>170.37780999999899</v>
      </c>
      <c r="AF8041">
        <v>19.5959144430559</v>
      </c>
      <c r="AG8041">
        <v>3.9748999999999999</v>
      </c>
      <c r="AH8041">
        <v>170.304422350191</v>
      </c>
      <c r="AI8041">
        <v>88.671721951156101</v>
      </c>
      <c r="AJ8041">
        <v>83.4361824363788</v>
      </c>
      <c r="AK8041">
        <v>171.47418454362699</v>
      </c>
      <c r="AL8041">
        <v>88.802240762305999</v>
      </c>
      <c r="AM8041">
        <v>88.395873232738595</v>
      </c>
      <c r="AN8041">
        <v>1.0000000112644301</v>
      </c>
    </row>
    <row r="8042" spans="1:40" x14ac:dyDescent="0.25">
      <c r="A8042" t="str">
        <f>"20190312160843921"</f>
        <v>20190312160843921</v>
      </c>
      <c r="B8042" t="str">
        <f>"1552378123913907"</f>
        <v>1552378123913907</v>
      </c>
      <c r="C8042" t="s">
        <v>40</v>
      </c>
      <c r="D8042">
        <v>6.2619930000000004</v>
      </c>
      <c r="E8042">
        <v>0.53336759999999905</v>
      </c>
      <c r="F8042" t="s">
        <v>50</v>
      </c>
      <c r="G8042">
        <v>-167.02099999999999</v>
      </c>
      <c r="H8042">
        <v>5.2457830000000003</v>
      </c>
      <c r="I8042">
        <v>269.69009999999997</v>
      </c>
      <c r="J8042">
        <v>-187.09620000000001</v>
      </c>
      <c r="K8042">
        <v>1.109362</v>
      </c>
      <c r="L8042">
        <v>99.666110000000003</v>
      </c>
      <c r="M8042">
        <v>1.5327100000000001E-3</v>
      </c>
      <c r="N8042">
        <v>0</v>
      </c>
      <c r="O8042">
        <v>0.99989450000000002</v>
      </c>
      <c r="P8042">
        <v>3.237375E-2</v>
      </c>
      <c r="Q8042">
        <v>5.6919309999999999E-3</v>
      </c>
      <c r="R8042">
        <v>0.9994596</v>
      </c>
      <c r="S8042">
        <v>0.35240169999999998</v>
      </c>
      <c r="T8042">
        <v>7.2607279999999996E-2</v>
      </c>
      <c r="U8042">
        <v>2.9906619999999999</v>
      </c>
      <c r="V8042">
        <v>3.0863890000000001E-2</v>
      </c>
      <c r="W8042">
        <v>2.0093340000000001E-2</v>
      </c>
      <c r="X8042">
        <v>0.99932160000000003</v>
      </c>
      <c r="Y8042">
        <v>0.115467899999999</v>
      </c>
      <c r="Z8042">
        <v>2.4106289999999999E-2</v>
      </c>
      <c r="AA8042">
        <v>0.99301859999999997</v>
      </c>
      <c r="AB8042">
        <v>32</v>
      </c>
      <c r="AC8042">
        <v>20.075199999999999</v>
      </c>
      <c r="AD8042">
        <v>4.1364210000000003</v>
      </c>
      <c r="AE8042">
        <v>170.023989999999</v>
      </c>
      <c r="AF8042">
        <v>19.8029920406013</v>
      </c>
      <c r="AG8042">
        <v>4.1364210000000003</v>
      </c>
      <c r="AH8042">
        <v>169.95535389989001</v>
      </c>
      <c r="AI8042">
        <v>88.615159867044397</v>
      </c>
      <c r="AJ8042">
        <v>83.353934080549195</v>
      </c>
      <c r="AK8042">
        <v>171.155165834065</v>
      </c>
      <c r="AL8042">
        <v>88.8486589284079</v>
      </c>
      <c r="AM8042">
        <v>88.230991213789096</v>
      </c>
      <c r="AN8042">
        <v>0.99999999112242299</v>
      </c>
    </row>
    <row r="8043" spans="1:40" x14ac:dyDescent="0.25">
      <c r="A8043" t="str">
        <f>"20190312160843943"</f>
        <v>20190312160843943</v>
      </c>
      <c r="B8043" t="str">
        <f>"1552378123933425"</f>
        <v>1552378123933425</v>
      </c>
      <c r="C8043" t="s">
        <v>40</v>
      </c>
      <c r="D8043">
        <v>6.1499540000000001</v>
      </c>
      <c r="E8043">
        <v>0.53288740000000001</v>
      </c>
      <c r="F8043" t="s">
        <v>50</v>
      </c>
      <c r="G8043">
        <v>-166.40170000000001</v>
      </c>
      <c r="H8043">
        <v>5.0052079999999997</v>
      </c>
      <c r="I8043">
        <v>269.69009999999997</v>
      </c>
      <c r="J8043">
        <v>-187.0951</v>
      </c>
      <c r="K8043">
        <v>1.1093040000000001</v>
      </c>
      <c r="L8043">
        <v>99.983670000000004</v>
      </c>
      <c r="M8043">
        <v>2.1517229999999999E-3</v>
      </c>
      <c r="N8043">
        <v>0</v>
      </c>
      <c r="O8043">
        <v>0.99989340000000004</v>
      </c>
      <c r="P8043">
        <v>3.6963490000000002E-2</v>
      </c>
      <c r="Q8043">
        <v>5.0389900000000001E-3</v>
      </c>
      <c r="R8043">
        <v>0.99930390000000002</v>
      </c>
      <c r="S8043">
        <v>0.36386109999999999</v>
      </c>
      <c r="T8043">
        <v>6.8499920000000006E-2</v>
      </c>
      <c r="U8043">
        <v>2.9894409999999998</v>
      </c>
      <c r="V8043">
        <v>3.4837220000000002E-2</v>
      </c>
      <c r="W8043">
        <v>1.9428279999999999E-2</v>
      </c>
      <c r="X8043">
        <v>0.99920419999999999</v>
      </c>
      <c r="Y8043">
        <v>0.118656</v>
      </c>
      <c r="Z8043">
        <v>2.2743070000000001E-2</v>
      </c>
      <c r="AA8043">
        <v>0.99267490000000003</v>
      </c>
      <c r="AB8043">
        <v>32</v>
      </c>
      <c r="AC8043">
        <v>20.6934</v>
      </c>
      <c r="AD8043">
        <v>3.8959039999999998</v>
      </c>
      <c r="AE8043">
        <v>169.70642999999899</v>
      </c>
      <c r="AF8043">
        <v>20.3176020406117</v>
      </c>
      <c r="AG8043">
        <v>3.8959039999999998</v>
      </c>
      <c r="AH8043">
        <v>169.66246410851801</v>
      </c>
      <c r="AI8043">
        <v>88.693895500098904</v>
      </c>
      <c r="AJ8043">
        <v>83.171173835396601</v>
      </c>
      <c r="AK8043">
        <v>170.919088307983</v>
      </c>
      <c r="AL8043">
        <v>88.886771581081604</v>
      </c>
      <c r="AM8043">
        <v>88.003193442883003</v>
      </c>
      <c r="AN8043">
        <v>1.0000000616293601</v>
      </c>
    </row>
    <row r="8044" spans="1:40" x14ac:dyDescent="0.25">
      <c r="A8044" t="str">
        <f>"20190312160843966"</f>
        <v>20190312160843966</v>
      </c>
      <c r="B8044" t="str">
        <f>"1552378123953496"</f>
        <v>1552378123953496</v>
      </c>
      <c r="C8044" t="s">
        <v>40</v>
      </c>
      <c r="D8044">
        <v>6.1813609999999999</v>
      </c>
      <c r="E8044">
        <v>0.53217539999999997</v>
      </c>
      <c r="F8044" t="s">
        <v>52</v>
      </c>
      <c r="G8044">
        <v>-168.35059999999999</v>
      </c>
      <c r="H8044">
        <v>4.4723579999999998</v>
      </c>
      <c r="I8044">
        <v>249.8623</v>
      </c>
      <c r="J8044">
        <v>-187.09370000000001</v>
      </c>
      <c r="K8044">
        <v>1.1092390000000001</v>
      </c>
      <c r="L8044">
        <v>100.3014</v>
      </c>
      <c r="M8044">
        <v>2.852355E-3</v>
      </c>
      <c r="N8044">
        <v>0</v>
      </c>
      <c r="O8044">
        <v>0.99989159999999999</v>
      </c>
      <c r="P8044">
        <v>4.2086310000000002E-2</v>
      </c>
      <c r="Q8044">
        <v>4.4367089999999996E-3</v>
      </c>
      <c r="R8044">
        <v>0.99910410000000005</v>
      </c>
      <c r="S8044">
        <v>0.37368770000000001</v>
      </c>
      <c r="T8044">
        <v>6.7046170000000002E-2</v>
      </c>
      <c r="U8044">
        <v>2.987946</v>
      </c>
      <c r="V8044">
        <v>3.9262400000000003E-2</v>
      </c>
      <c r="W8044">
        <v>1.8811370000000001E-2</v>
      </c>
      <c r="X8044">
        <v>0.99905189999999999</v>
      </c>
      <c r="Y8044">
        <v>0.1212365</v>
      </c>
      <c r="Z8044">
        <v>2.2263689999999999E-2</v>
      </c>
      <c r="AA8044">
        <v>0.99237390000000003</v>
      </c>
      <c r="AB8044">
        <v>32</v>
      </c>
      <c r="AC8044">
        <v>18.743099999999998</v>
      </c>
      <c r="AD8044">
        <v>3.3631190000000002</v>
      </c>
      <c r="AE8044">
        <v>149.5609</v>
      </c>
      <c r="AF8044">
        <v>18.3072645483205</v>
      </c>
      <c r="AG8044">
        <v>3.3631190000000002</v>
      </c>
      <c r="AH8044">
        <v>149.539313939045</v>
      </c>
      <c r="AI8044">
        <v>88.721187241365698</v>
      </c>
      <c r="AJ8044">
        <v>83.020328679813503</v>
      </c>
      <c r="AK8044">
        <v>150.693307475848</v>
      </c>
      <c r="AL8044">
        <v>88.922124370173705</v>
      </c>
      <c r="AM8044">
        <v>87.749453497267496</v>
      </c>
      <c r="AN8044">
        <v>1.0000000512943199</v>
      </c>
    </row>
    <row r="8045" spans="1:40" x14ac:dyDescent="0.25">
      <c r="A8045" t="str">
        <f>"20190312160843988"</f>
        <v>20190312160843988</v>
      </c>
      <c r="B8045" t="str">
        <f>"1552378123973992"</f>
        <v>1552378123973992</v>
      </c>
      <c r="C8045" t="s">
        <v>40</v>
      </c>
      <c r="D8045">
        <v>6.1513359999999997</v>
      </c>
      <c r="E8045">
        <v>0.48633510000000002</v>
      </c>
      <c r="F8045" t="s">
        <v>52</v>
      </c>
      <c r="G8045">
        <v>-167.9614</v>
      </c>
      <c r="H8045">
        <v>4.0207110000000004</v>
      </c>
      <c r="I8045">
        <v>249.3853</v>
      </c>
      <c r="J8045">
        <v>-187.09190000000001</v>
      </c>
      <c r="K8045">
        <v>1.1091629999999999</v>
      </c>
      <c r="L8045">
        <v>100.6339</v>
      </c>
      <c r="M8045">
        <v>3.6886639999999999E-3</v>
      </c>
      <c r="N8045">
        <v>0</v>
      </c>
      <c r="O8045">
        <v>0.99988900000000003</v>
      </c>
      <c r="P8045">
        <v>4.672867E-2</v>
      </c>
      <c r="Q8045">
        <v>3.7746519999999999E-3</v>
      </c>
      <c r="R8045">
        <v>0.99890049999999997</v>
      </c>
      <c r="S8045">
        <v>0.38323970000000002</v>
      </c>
      <c r="T8045">
        <v>5.8320759999999999E-2</v>
      </c>
      <c r="U8045">
        <v>2.9862980000000001</v>
      </c>
      <c r="V8045">
        <v>4.3072119999999998E-2</v>
      </c>
      <c r="W8045">
        <v>1.8132949999999998E-2</v>
      </c>
      <c r="X8045">
        <v>0.9989074</v>
      </c>
      <c r="Y8045">
        <v>0.1236051</v>
      </c>
      <c r="Z8045">
        <v>1.9371260000000001E-2</v>
      </c>
      <c r="AA8045">
        <v>0.99214239999999998</v>
      </c>
      <c r="AB8045">
        <v>32</v>
      </c>
      <c r="AC8045">
        <v>19.130500000000001</v>
      </c>
      <c r="AD8045">
        <v>2.9115479999999998</v>
      </c>
      <c r="AE8045">
        <v>148.75139999999999</v>
      </c>
      <c r="AF8045">
        <v>18.574618338647198</v>
      </c>
      <c r="AG8045">
        <v>2.9115479999999998</v>
      </c>
      <c r="AH8045">
        <v>148.76489485755999</v>
      </c>
      <c r="AI8045">
        <v>88.8874170923756</v>
      </c>
      <c r="AJ8045">
        <v>82.882944906627898</v>
      </c>
      <c r="AK8045">
        <v>149.948282751633</v>
      </c>
      <c r="AL8045">
        <v>88.961001554473896</v>
      </c>
      <c r="AM8045">
        <v>87.530979418899094</v>
      </c>
      <c r="AN8045">
        <v>1.00000000258587</v>
      </c>
    </row>
    <row r="8046" spans="1:40" x14ac:dyDescent="0.25">
      <c r="A8046" t="str">
        <f>"20190312160844010"</f>
        <v>20190312160844010</v>
      </c>
      <c r="B8046" t="str">
        <f>"1552378124003272"</f>
        <v>1552378124003272</v>
      </c>
      <c r="C8046" t="s">
        <v>40</v>
      </c>
      <c r="D8046">
        <v>6.260211</v>
      </c>
      <c r="E8046">
        <v>0.46465139999999999</v>
      </c>
      <c r="F8046" t="s">
        <v>89</v>
      </c>
      <c r="G8046">
        <v>-186.79</v>
      </c>
      <c r="H8046" s="1">
        <v>-5.4719250000000001E-6</v>
      </c>
      <c r="I8046">
        <v>130.98089999999999</v>
      </c>
      <c r="J8046">
        <v>-187.0898</v>
      </c>
      <c r="K8046">
        <v>1.1090789999999999</v>
      </c>
      <c r="L8046">
        <v>100.947</v>
      </c>
      <c r="M8046">
        <v>4.5836000000000002E-3</v>
      </c>
      <c r="N8046">
        <v>0</v>
      </c>
      <c r="O8046">
        <v>0.99988529999999998</v>
      </c>
      <c r="P8046">
        <v>5.1189999999999999E-2</v>
      </c>
      <c r="Q8046">
        <v>3.1856089999999998E-3</v>
      </c>
      <c r="R8046">
        <v>0.99868389999999996</v>
      </c>
      <c r="S8046">
        <v>2.9861450000000001E-2</v>
      </c>
      <c r="T8046">
        <v>-0.1097335</v>
      </c>
      <c r="U8046">
        <v>3.002319</v>
      </c>
      <c r="V8046">
        <v>4.6642799999999998E-2</v>
      </c>
      <c r="W8046">
        <v>1.7525559999999999E-2</v>
      </c>
      <c r="X8046">
        <v>0.99875789999999998</v>
      </c>
      <c r="Y8046">
        <v>5.3550450000000001E-3</v>
      </c>
      <c r="Z8046">
        <v>-3.6523439999999997E-2</v>
      </c>
      <c r="AA8046">
        <v>0.99931840000000005</v>
      </c>
      <c r="AB8046">
        <v>32</v>
      </c>
      <c r="AC8046">
        <v>0.29980000000000401</v>
      </c>
      <c r="AD8046">
        <v>-1.1090844719249999</v>
      </c>
      <c r="AE8046">
        <v>30.0338999999999</v>
      </c>
      <c r="AF8046">
        <v>0.16189836859062301</v>
      </c>
      <c r="AG8046">
        <v>-1.1090844719249999</v>
      </c>
      <c r="AH8046">
        <v>29.994061145240501</v>
      </c>
      <c r="AI8046">
        <v>92.117619105688505</v>
      </c>
      <c r="AJ8046">
        <v>89.690738673207406</v>
      </c>
      <c r="AK8046">
        <v>30.014995975879199</v>
      </c>
      <c r="AL8046">
        <v>88.995807987965307</v>
      </c>
      <c r="AM8046">
        <v>87.326183559364594</v>
      </c>
      <c r="AN8046">
        <v>1.0000000194287799</v>
      </c>
    </row>
    <row r="8047" spans="1:40" x14ac:dyDescent="0.25">
      <c r="A8047" t="str">
        <f>"20190312160844032"</f>
        <v>20190312160844032</v>
      </c>
      <c r="B8047" t="str">
        <f>"1552378124023783"</f>
        <v>1552378124023783</v>
      </c>
      <c r="C8047" t="s">
        <v>40</v>
      </c>
      <c r="D8047">
        <v>6.260427</v>
      </c>
      <c r="E8047">
        <v>0.46157019999999999</v>
      </c>
      <c r="F8047" t="s">
        <v>89</v>
      </c>
      <c r="G8047">
        <v>-188.37739999999999</v>
      </c>
      <c r="H8047" s="1">
        <v>-5.3466109999999999E-6</v>
      </c>
      <c r="I8047">
        <v>130.87710000000001</v>
      </c>
      <c r="J8047">
        <v>-187.0872</v>
      </c>
      <c r="K8047">
        <v>1.10897</v>
      </c>
      <c r="L8047">
        <v>101.27460000000001</v>
      </c>
      <c r="M8047">
        <v>5.6383630000000004E-3</v>
      </c>
      <c r="N8047">
        <v>0</v>
      </c>
      <c r="O8047">
        <v>0.99987979999999999</v>
      </c>
      <c r="P8047">
        <v>5.5851690000000002E-2</v>
      </c>
      <c r="Q8047">
        <v>2.6511170000000001E-3</v>
      </c>
      <c r="R8047">
        <v>0.99843559999999998</v>
      </c>
      <c r="S8047">
        <v>-0.12953190000000001</v>
      </c>
      <c r="T8047">
        <v>-0.1115732</v>
      </c>
      <c r="U8047">
        <v>3.0109560000000002</v>
      </c>
      <c r="V8047">
        <v>5.025516E-2</v>
      </c>
      <c r="W8047">
        <v>1.6969649999999999E-2</v>
      </c>
      <c r="X8047">
        <v>0.99859229999999999</v>
      </c>
      <c r="Y8047">
        <v>-4.8584059999999998E-2</v>
      </c>
      <c r="Z8047">
        <v>-3.6990500000000003E-2</v>
      </c>
      <c r="AA8047">
        <v>0.99813390000000002</v>
      </c>
      <c r="AB8047">
        <v>32</v>
      </c>
      <c r="AC8047">
        <v>-1.29019999999999</v>
      </c>
      <c r="AD8047">
        <v>-1.1089753466109999</v>
      </c>
      <c r="AE8047">
        <v>29.602499999999999</v>
      </c>
      <c r="AF8047">
        <v>-1.4550683415333601</v>
      </c>
      <c r="AG8047">
        <v>-1.1089753466109999</v>
      </c>
      <c r="AH8047">
        <v>29.553356902403799</v>
      </c>
      <c r="AI8047">
        <v>92.146390450175204</v>
      </c>
      <c r="AJ8047">
        <v>92.818698647371093</v>
      </c>
      <c r="AK8047">
        <v>29.609929996519501</v>
      </c>
      <c r="AL8047">
        <v>89.027664068327496</v>
      </c>
      <c r="AM8047">
        <v>87.118963009184696</v>
      </c>
      <c r="AN8047">
        <v>1.00000006587351</v>
      </c>
    </row>
    <row r="8048" spans="1:40" x14ac:dyDescent="0.25">
      <c r="A8048" t="str">
        <f>"20190312160844055"</f>
        <v>20190312160844055</v>
      </c>
      <c r="B8048" t="str">
        <f>"1552378124043096"</f>
        <v>1552378124043096</v>
      </c>
      <c r="C8048" t="s">
        <v>40</v>
      </c>
      <c r="D8048">
        <v>6.264005</v>
      </c>
      <c r="E8048">
        <v>0.4601093</v>
      </c>
      <c r="F8048" t="s">
        <v>89</v>
      </c>
      <c r="G8048">
        <v>-188.155</v>
      </c>
      <c r="H8048" s="1">
        <v>-2.7427870000000001E-6</v>
      </c>
      <c r="I8048">
        <v>124.1617</v>
      </c>
      <c r="J8048">
        <v>-187.08430000000001</v>
      </c>
      <c r="K8048">
        <v>1.10887</v>
      </c>
      <c r="L8048">
        <v>101.59</v>
      </c>
      <c r="M8048">
        <v>6.7820049999999998E-3</v>
      </c>
      <c r="N8048">
        <v>0</v>
      </c>
      <c r="O8048">
        <v>0.99987269999999995</v>
      </c>
      <c r="P8048">
        <v>6.0934559999999999E-2</v>
      </c>
      <c r="Q8048">
        <v>3.0452220000000002E-3</v>
      </c>
      <c r="R8048">
        <v>0.9981371</v>
      </c>
      <c r="S8048">
        <v>-0.14056399999999999</v>
      </c>
      <c r="T8048">
        <v>-0.1459907</v>
      </c>
      <c r="U8048">
        <v>3.0129700000000001</v>
      </c>
      <c r="V8048">
        <v>5.4202710000000001E-2</v>
      </c>
      <c r="W8048">
        <v>1.733867E-2</v>
      </c>
      <c r="X8048">
        <v>0.99837940000000003</v>
      </c>
      <c r="Y8048">
        <v>-5.3322069999999999E-2</v>
      </c>
      <c r="Z8048">
        <v>-4.8334990000000001E-2</v>
      </c>
      <c r="AA8048">
        <v>0.99740689999999999</v>
      </c>
      <c r="AB8048">
        <v>32</v>
      </c>
      <c r="AC8048">
        <v>-1.07069999999998</v>
      </c>
      <c r="AD8048">
        <v>-1.108872742787</v>
      </c>
      <c r="AE8048">
        <v>22.5717</v>
      </c>
      <c r="AF8048">
        <v>-1.2208329399625899</v>
      </c>
      <c r="AG8048">
        <v>-1.108872742787</v>
      </c>
      <c r="AH8048">
        <v>22.509714858865699</v>
      </c>
      <c r="AI8048">
        <v>92.816090652091205</v>
      </c>
      <c r="AJ8048">
        <v>93.104442283235201</v>
      </c>
      <c r="AK8048">
        <v>22.570053053868399</v>
      </c>
      <c r="AL8048">
        <v>89.006517598870204</v>
      </c>
      <c r="AM8048">
        <v>86.892423172548604</v>
      </c>
      <c r="AN8048">
        <v>0.99999999479653601</v>
      </c>
    </row>
    <row r="8049" spans="1:40" x14ac:dyDescent="0.25">
      <c r="A8049" t="str">
        <f>"20190312160844076"</f>
        <v>20190312160844076</v>
      </c>
      <c r="B8049" t="str">
        <f>"1552378124063585"</f>
        <v>1552378124063585</v>
      </c>
      <c r="C8049" t="s">
        <v>40</v>
      </c>
      <c r="D8049">
        <v>6.1870310000000002</v>
      </c>
      <c r="E8049">
        <v>0.458735</v>
      </c>
      <c r="F8049" t="s">
        <v>89</v>
      </c>
      <c r="G8049">
        <v>-187.93969999999999</v>
      </c>
      <c r="H8049" s="1">
        <v>-7.4514859999999998E-7</v>
      </c>
      <c r="I8049">
        <v>120.3232</v>
      </c>
      <c r="J8049">
        <v>-187.08099999999999</v>
      </c>
      <c r="K8049">
        <v>1.1087689999999999</v>
      </c>
      <c r="L8049">
        <v>101.8925</v>
      </c>
      <c r="M8049">
        <v>8.0050150000000007E-3</v>
      </c>
      <c r="N8049">
        <v>0</v>
      </c>
      <c r="O8049">
        <v>0.99986370000000002</v>
      </c>
      <c r="P8049">
        <v>6.5177659999999998E-2</v>
      </c>
      <c r="Q8049">
        <v>3.1042830000000002E-3</v>
      </c>
      <c r="R8049">
        <v>0.9978688</v>
      </c>
      <c r="S8049">
        <v>-0.13764949999999901</v>
      </c>
      <c r="T8049">
        <v>-0.1784405</v>
      </c>
      <c r="U8049">
        <v>3.0145569999999999</v>
      </c>
      <c r="V8049">
        <v>5.7230860000000001E-2</v>
      </c>
      <c r="W8049">
        <v>1.7372990000000001E-2</v>
      </c>
      <c r="X8049">
        <v>0.99820980000000004</v>
      </c>
      <c r="Y8049">
        <v>-5.3530630000000003E-2</v>
      </c>
      <c r="Z8049">
        <v>-5.9013650000000001E-2</v>
      </c>
      <c r="AA8049">
        <v>0.99682090000000001</v>
      </c>
      <c r="AB8049">
        <v>32</v>
      </c>
      <c r="AC8049">
        <v>-0.85869999999999802</v>
      </c>
      <c r="AD8049">
        <v>-1.1087697451486</v>
      </c>
      <c r="AE8049">
        <v>18.430700000000002</v>
      </c>
      <c r="AF8049">
        <v>-1.0026052375985699</v>
      </c>
      <c r="AG8049">
        <v>-1.1087697451486</v>
      </c>
      <c r="AH8049">
        <v>18.356943238629299</v>
      </c>
      <c r="AI8049">
        <v>93.451366688731795</v>
      </c>
      <c r="AJ8049">
        <v>93.126230200433397</v>
      </c>
      <c r="AK8049">
        <v>18.417707584725999</v>
      </c>
      <c r="AL8049">
        <v>89.004550915131205</v>
      </c>
      <c r="AM8049">
        <v>86.718624804737203</v>
      </c>
      <c r="AN8049">
        <v>0.99999999846695897</v>
      </c>
    </row>
    <row r="8050" spans="1:40" x14ac:dyDescent="0.25">
      <c r="A8050" t="str">
        <f>"20190312160844098"</f>
        <v>20190312160844098</v>
      </c>
      <c r="B8050" t="str">
        <f>"1552378124093841"</f>
        <v>1552378124093841</v>
      </c>
      <c r="C8050" t="s">
        <v>40</v>
      </c>
      <c r="D8050">
        <v>6.2629390000000003</v>
      </c>
      <c r="E8050">
        <v>0.4566288</v>
      </c>
      <c r="F8050" t="s">
        <v>47</v>
      </c>
      <c r="G8050">
        <v>-187.8329</v>
      </c>
      <c r="H8050" s="1">
        <v>-4.2069619999999999E-6</v>
      </c>
      <c r="I8050">
        <v>118.5433</v>
      </c>
      <c r="J8050">
        <v>-187.07689999999999</v>
      </c>
      <c r="K8050">
        <v>1.108671</v>
      </c>
      <c r="L8050">
        <v>102.2167</v>
      </c>
      <c r="M8050">
        <v>9.4288830000000007E-3</v>
      </c>
      <c r="N8050">
        <v>0</v>
      </c>
      <c r="O8050">
        <v>0.9998513</v>
      </c>
      <c r="P8050">
        <v>6.9821750000000002E-2</v>
      </c>
      <c r="Q8050">
        <v>3.4285549999999998E-3</v>
      </c>
      <c r="R8050">
        <v>0.99755360000000004</v>
      </c>
      <c r="S8050">
        <v>-0.13619999999999999</v>
      </c>
      <c r="T8050">
        <v>-0.2008306</v>
      </c>
      <c r="U8050">
        <v>3.01593</v>
      </c>
      <c r="V8050">
        <v>6.0460979999999998E-2</v>
      </c>
      <c r="W8050">
        <v>1.7671449999999998E-2</v>
      </c>
      <c r="X8050">
        <v>0.99801419999999996</v>
      </c>
      <c r="Y8050">
        <v>-5.4433000000000002E-2</v>
      </c>
      <c r="Z8050">
        <v>-6.6355410000000004E-2</v>
      </c>
      <c r="AA8050">
        <v>0.99631020000000003</v>
      </c>
      <c r="AB8050">
        <v>32</v>
      </c>
      <c r="AC8050">
        <v>-0.75600000000000001</v>
      </c>
      <c r="AD8050">
        <v>-1.1086752069620001</v>
      </c>
      <c r="AE8050">
        <v>16.326599999999999</v>
      </c>
      <c r="AF8050">
        <v>-0.90575631848299698</v>
      </c>
      <c r="AG8050">
        <v>-1.1086752069620001</v>
      </c>
      <c r="AH8050">
        <v>16.24400047964</v>
      </c>
      <c r="AI8050">
        <v>93.898423124941402</v>
      </c>
      <c r="AJ8050">
        <v>93.191475581112599</v>
      </c>
      <c r="AK8050">
        <v>16.3069649783627</v>
      </c>
      <c r="AL8050">
        <v>88.9874478702652</v>
      </c>
      <c r="AM8050">
        <v>86.533185239384807</v>
      </c>
      <c r="AN8050">
        <v>1.00000007682464</v>
      </c>
    </row>
    <row r="8051" spans="1:40" x14ac:dyDescent="0.25">
      <c r="A8051" t="str">
        <f>"20190312160844123"</f>
        <v>20190312160844123</v>
      </c>
      <c r="B8051" t="str">
        <f>"1552378124113362"</f>
        <v>1552378124113362</v>
      </c>
      <c r="C8051" t="s">
        <v>40</v>
      </c>
      <c r="D8051">
        <v>6.2286739999999998</v>
      </c>
      <c r="E8051">
        <v>0.45614559999999998</v>
      </c>
      <c r="F8051" t="s">
        <v>47</v>
      </c>
      <c r="G8051">
        <v>-187.8433</v>
      </c>
      <c r="H8051" s="1">
        <v>-4.3327150000000002E-6</v>
      </c>
      <c r="I8051">
        <v>118.8407</v>
      </c>
      <c r="J8051">
        <v>-187.0718</v>
      </c>
      <c r="K8051">
        <v>1.1085769999999999</v>
      </c>
      <c r="L8051">
        <v>102.56399999999999</v>
      </c>
      <c r="M8051">
        <v>1.107646E-2</v>
      </c>
      <c r="N8051">
        <v>0</v>
      </c>
      <c r="O8051">
        <v>0.99983440000000001</v>
      </c>
      <c r="P8051">
        <v>7.4764490000000003E-2</v>
      </c>
      <c r="Q8051">
        <v>3.0188369999999999E-3</v>
      </c>
      <c r="R8051">
        <v>0.99719669999999905</v>
      </c>
      <c r="S8051">
        <v>-0.13912959999999999</v>
      </c>
      <c r="T8051">
        <v>-0.20126040000000001</v>
      </c>
      <c r="U8051">
        <v>3.017792</v>
      </c>
      <c r="V8051">
        <v>6.376532E-2</v>
      </c>
      <c r="W8051">
        <v>1.723425E-2</v>
      </c>
      <c r="X8051">
        <v>0.99781609999999998</v>
      </c>
      <c r="Y8051">
        <v>-5.7015440000000001E-2</v>
      </c>
      <c r="Z8051">
        <v>-6.6448090000000001E-2</v>
      </c>
      <c r="AA8051">
        <v>0.99615960000000003</v>
      </c>
      <c r="AB8051">
        <v>32</v>
      </c>
      <c r="AC8051">
        <v>-0.77150000000000296</v>
      </c>
      <c r="AD8051">
        <v>-1.108581332715</v>
      </c>
      <c r="AE8051">
        <v>16.276700000000002</v>
      </c>
      <c r="AF8051">
        <v>-0.94737487631703399</v>
      </c>
      <c r="AG8051">
        <v>-1.108581332715</v>
      </c>
      <c r="AH8051">
        <v>16.192211407712701</v>
      </c>
      <c r="AI8051">
        <v>93.909912913733507</v>
      </c>
      <c r="AJ8051">
        <v>93.348447591950404</v>
      </c>
      <c r="AK8051">
        <v>16.257742217158601</v>
      </c>
      <c r="AL8051">
        <v>89.012501325822697</v>
      </c>
      <c r="AM8051">
        <v>86.343492093091598</v>
      </c>
      <c r="AN8051">
        <v>1.0000000024134801</v>
      </c>
    </row>
    <row r="8052" spans="1:40" x14ac:dyDescent="0.25">
      <c r="A8052" t="str">
        <f>"20190312160844145"</f>
        <v>20190312160844145</v>
      </c>
      <c r="B8052" t="str">
        <f>"1552378124133858"</f>
        <v>1552378124133858</v>
      </c>
      <c r="C8052" t="s">
        <v>40</v>
      </c>
      <c r="D8052">
        <v>6.2041779999999997</v>
      </c>
      <c r="E8052">
        <v>0.45538269999999997</v>
      </c>
      <c r="F8052" t="s">
        <v>47</v>
      </c>
      <c r="G8052">
        <v>-187.7509</v>
      </c>
      <c r="H8052" s="1">
        <v>-4.2050259999999998E-6</v>
      </c>
      <c r="I8052">
        <v>118.5048</v>
      </c>
      <c r="J8052">
        <v>-187.06659999999999</v>
      </c>
      <c r="K8052">
        <v>1.108492</v>
      </c>
      <c r="L8052">
        <v>102.883</v>
      </c>
      <c r="M8052">
        <v>1.2698360000000001E-2</v>
      </c>
      <c r="N8052">
        <v>0</v>
      </c>
      <c r="O8052">
        <v>0.99981520000000002</v>
      </c>
      <c r="P8052">
        <v>7.9762589999999994E-2</v>
      </c>
      <c r="Q8052">
        <v>2.899661E-3</v>
      </c>
      <c r="R8052">
        <v>0.99680970000000002</v>
      </c>
      <c r="S8052">
        <v>-0.1286011</v>
      </c>
      <c r="T8052">
        <v>-0.2099319</v>
      </c>
      <c r="U8052">
        <v>3.018707</v>
      </c>
      <c r="V8052">
        <v>6.7152020000000007E-2</v>
      </c>
      <c r="W8052">
        <v>1.708693E-2</v>
      </c>
      <c r="X8052">
        <v>0.99759640000000005</v>
      </c>
      <c r="Y8052">
        <v>-5.514521E-2</v>
      </c>
      <c r="Z8052">
        <v>-6.9283620000000004E-2</v>
      </c>
      <c r="AA8052">
        <v>0.9960717</v>
      </c>
      <c r="AB8052">
        <v>32</v>
      </c>
      <c r="AC8052">
        <v>-0.68430000000000701</v>
      </c>
      <c r="AD8052">
        <v>-1.1084962050260001</v>
      </c>
      <c r="AE8052">
        <v>15.6218</v>
      </c>
      <c r="AF8052">
        <v>-0.87822326592019195</v>
      </c>
      <c r="AG8052">
        <v>-1.1084962050260001</v>
      </c>
      <c r="AH8052">
        <v>15.533785752979201</v>
      </c>
      <c r="AI8052">
        <v>94.075241342684393</v>
      </c>
      <c r="AJ8052">
        <v>93.235848494657503</v>
      </c>
      <c r="AK8052">
        <v>15.5980299961508</v>
      </c>
      <c r="AL8052">
        <v>89.020943348624598</v>
      </c>
      <c r="AM8052">
        <v>86.149011926123094</v>
      </c>
      <c r="AN8052">
        <v>0.999999967129932</v>
      </c>
    </row>
    <row r="8053" spans="1:40" x14ac:dyDescent="0.25">
      <c r="A8053" t="str">
        <f>"20190312160844166"</f>
        <v>20190312160844166</v>
      </c>
      <c r="B8053" t="str">
        <f>"1552378124153377"</f>
        <v>1552378124153377</v>
      </c>
      <c r="C8053" t="s">
        <v>40</v>
      </c>
      <c r="D8053">
        <v>6.1601249999999999</v>
      </c>
      <c r="E8053">
        <v>0.45463559999999997</v>
      </c>
      <c r="F8053" t="s">
        <v>47</v>
      </c>
      <c r="G8053">
        <v>-187.7028</v>
      </c>
      <c r="H8053" s="1">
        <v>-4.3702689999999997E-6</v>
      </c>
      <c r="I8053">
        <v>118.87009999999999</v>
      </c>
      <c r="J8053">
        <v>-187.06110000000001</v>
      </c>
      <c r="K8053">
        <v>1.108417</v>
      </c>
      <c r="L8053">
        <v>103.1874</v>
      </c>
      <c r="M8053">
        <v>1.434087E-2</v>
      </c>
      <c r="N8053">
        <v>0</v>
      </c>
      <c r="O8053">
        <v>0.99979300000000004</v>
      </c>
      <c r="P8053">
        <v>8.4352449999999995E-2</v>
      </c>
      <c r="Q8053">
        <v>2.7159250000000001E-3</v>
      </c>
      <c r="R8053">
        <v>0.99643230000000005</v>
      </c>
      <c r="S8053">
        <v>-0.12016300000000001</v>
      </c>
      <c r="T8053">
        <v>-0.2093855</v>
      </c>
      <c r="U8053">
        <v>3.0198209999999999</v>
      </c>
      <c r="V8053">
        <v>7.0110229999999996E-2</v>
      </c>
      <c r="W8053">
        <v>1.6876680000000002E-2</v>
      </c>
      <c r="X8053">
        <v>0.99739650000000002</v>
      </c>
      <c r="Y8053">
        <v>-5.3991860000000003E-2</v>
      </c>
      <c r="Z8053">
        <v>-6.9082640000000001E-2</v>
      </c>
      <c r="AA8053">
        <v>0.99614879999999995</v>
      </c>
      <c r="AB8053">
        <v>32</v>
      </c>
      <c r="AC8053">
        <v>-0.64169999999998595</v>
      </c>
      <c r="AD8053">
        <v>-1.108421370269</v>
      </c>
      <c r="AE8053">
        <v>15.682699999999899</v>
      </c>
      <c r="AF8053">
        <v>-0.86226086857129203</v>
      </c>
      <c r="AG8053">
        <v>-1.108421370269</v>
      </c>
      <c r="AH8053">
        <v>15.594115178131499</v>
      </c>
      <c r="AI8053">
        <v>94.059535172524704</v>
      </c>
      <c r="AJ8053">
        <v>93.164889486705405</v>
      </c>
      <c r="AK8053">
        <v>15.657219418797499</v>
      </c>
      <c r="AL8053">
        <v>89.032991577543001</v>
      </c>
      <c r="AM8053">
        <v>85.979108000976495</v>
      </c>
      <c r="AN8053">
        <v>1.00000002244536</v>
      </c>
    </row>
    <row r="8054" spans="1:40" x14ac:dyDescent="0.25">
      <c r="A8054" t="str">
        <f>"20190312160844187"</f>
        <v>20190312160844187</v>
      </c>
      <c r="B8054" t="str">
        <f>"1552378124183634"</f>
        <v>1552378124183634</v>
      </c>
      <c r="C8054" t="s">
        <v>40</v>
      </c>
      <c r="D8054">
        <v>6.1771770000000004</v>
      </c>
      <c r="E8054">
        <v>0.4531462</v>
      </c>
      <c r="F8054" t="s">
        <v>47</v>
      </c>
      <c r="G8054">
        <v>-187.6447</v>
      </c>
      <c r="H8054" s="1">
        <v>-4.3762669999999997E-6</v>
      </c>
      <c r="I8054">
        <v>118.8601</v>
      </c>
      <c r="J8054">
        <v>-187.0548</v>
      </c>
      <c r="K8054">
        <v>1.108333</v>
      </c>
      <c r="L8054">
        <v>103.4956</v>
      </c>
      <c r="M8054">
        <v>1.6094299999999999E-2</v>
      </c>
      <c r="N8054">
        <v>0</v>
      </c>
      <c r="O8054">
        <v>0.9997663</v>
      </c>
      <c r="P8054">
        <v>8.8582579999999994E-2</v>
      </c>
      <c r="Q8054">
        <v>2.2949170000000001E-3</v>
      </c>
      <c r="R8054">
        <v>0.99606620000000001</v>
      </c>
      <c r="S8054">
        <v>-0.1124878</v>
      </c>
      <c r="T8054">
        <v>-0.2136451</v>
      </c>
      <c r="U8054">
        <v>3.0208590000000002</v>
      </c>
      <c r="V8054">
        <v>7.2597919999999996E-2</v>
      </c>
      <c r="W8054">
        <v>1.6429470000000002E-2</v>
      </c>
      <c r="X8054">
        <v>0.9972259</v>
      </c>
      <c r="Y8054">
        <v>-5.3198719999999998E-2</v>
      </c>
      <c r="Z8054">
        <v>-7.0459129999999995E-2</v>
      </c>
      <c r="AA8054">
        <v>0.99609510000000001</v>
      </c>
      <c r="AB8054">
        <v>32</v>
      </c>
      <c r="AC8054">
        <v>-0.58989999999999998</v>
      </c>
      <c r="AD8054">
        <v>-1.1083373762669999</v>
      </c>
      <c r="AE8054">
        <v>15.3645</v>
      </c>
      <c r="AF8054">
        <v>-0.83280298549918097</v>
      </c>
      <c r="AG8054">
        <v>-1.1083373762669999</v>
      </c>
      <c r="AH8054">
        <v>15.273652954331901</v>
      </c>
      <c r="AI8054">
        <v>94.144276832023706</v>
      </c>
      <c r="AJ8054">
        <v>93.120988376848103</v>
      </c>
      <c r="AK8054">
        <v>15.336441801202101</v>
      </c>
      <c r="AL8054">
        <v>89.058618299358699</v>
      </c>
      <c r="AM8054">
        <v>85.836219860260201</v>
      </c>
      <c r="AN8054">
        <v>0.99999994055180597</v>
      </c>
    </row>
    <row r="8055" spans="1:40" x14ac:dyDescent="0.25">
      <c r="A8055" t="str">
        <f>"20190312160844210"</f>
        <v>20190312160844210</v>
      </c>
      <c r="B8055" t="str">
        <f>"1552378124203154"</f>
        <v>1552378124203154</v>
      </c>
      <c r="C8055" t="s">
        <v>40</v>
      </c>
      <c r="D8055">
        <v>6.261978</v>
      </c>
      <c r="E8055">
        <v>0.45216529999999999</v>
      </c>
      <c r="F8055" t="s">
        <v>47</v>
      </c>
      <c r="G8055">
        <v>-187.63149999999999</v>
      </c>
      <c r="H8055" s="1">
        <v>-4.4784059999999999E-6</v>
      </c>
      <c r="I8055">
        <v>119.09269999999999</v>
      </c>
      <c r="J8055">
        <v>-187.04740000000001</v>
      </c>
      <c r="K8055">
        <v>1.1082419999999999</v>
      </c>
      <c r="L8055">
        <v>103.82769999999999</v>
      </c>
      <c r="M8055">
        <v>1.807955E-2</v>
      </c>
      <c r="N8055">
        <v>0</v>
      </c>
      <c r="O8055">
        <v>0.99973239999999997</v>
      </c>
      <c r="P8055">
        <v>9.448078E-2</v>
      </c>
      <c r="Q8055">
        <v>1.557964E-3</v>
      </c>
      <c r="R8055">
        <v>0.99552549999999995</v>
      </c>
      <c r="S8055">
        <v>-0.11174009999999999</v>
      </c>
      <c r="T8055">
        <v>-0.21476400000000001</v>
      </c>
      <c r="U8055">
        <v>3.022278</v>
      </c>
      <c r="V8055">
        <v>7.652494E-2</v>
      </c>
      <c r="W8055">
        <v>1.5657089999999999E-2</v>
      </c>
      <c r="X8055">
        <v>0.99694470000000002</v>
      </c>
      <c r="Y8055">
        <v>-5.4917229999999997E-2</v>
      </c>
      <c r="Z8055">
        <v>-7.0786639999999998E-2</v>
      </c>
      <c r="AA8055">
        <v>0.99597860000000005</v>
      </c>
      <c r="AB8055">
        <v>32</v>
      </c>
      <c r="AC8055">
        <v>-0.58409999999997797</v>
      </c>
      <c r="AD8055">
        <v>-1.108246478406</v>
      </c>
      <c r="AE8055">
        <v>15.265000000000001</v>
      </c>
      <c r="AF8055">
        <v>-0.85551490108930495</v>
      </c>
      <c r="AG8055">
        <v>-1.108246478406</v>
      </c>
      <c r="AH8055">
        <v>15.1720904632464</v>
      </c>
      <c r="AI8055">
        <v>94.171152305349395</v>
      </c>
      <c r="AJ8055">
        <v>93.227343075916394</v>
      </c>
      <c r="AK8055">
        <v>15.236549643138201</v>
      </c>
      <c r="AL8055">
        <v>89.102878142592999</v>
      </c>
      <c r="AM8055">
        <v>85.610613994628693</v>
      </c>
      <c r="AN8055">
        <v>0.99999997288368003</v>
      </c>
    </row>
    <row r="8056" spans="1:40" x14ac:dyDescent="0.25">
      <c r="A8056" t="str">
        <f>"20190312160844233"</f>
        <v>20190312160844233</v>
      </c>
      <c r="B8056" t="str">
        <f>"1552378124223649"</f>
        <v>1552378124223649</v>
      </c>
      <c r="C8056" t="s">
        <v>40</v>
      </c>
      <c r="D8056">
        <v>6.62242</v>
      </c>
      <c r="E8056">
        <v>0.45242739999999998</v>
      </c>
      <c r="F8056" t="s">
        <v>89</v>
      </c>
      <c r="G8056">
        <v>-187.58580000000001</v>
      </c>
      <c r="H8056" s="1">
        <v>-6.8092939999999898E-7</v>
      </c>
      <c r="I8056">
        <v>119.7854</v>
      </c>
      <c r="J8056">
        <v>-187.0394</v>
      </c>
      <c r="K8056">
        <v>1.108152</v>
      </c>
      <c r="L8056">
        <v>104.152</v>
      </c>
      <c r="M8056">
        <v>2.011075E-2</v>
      </c>
      <c r="N8056">
        <v>0</v>
      </c>
      <c r="O8056">
        <v>0.99969359999999996</v>
      </c>
      <c r="P8056">
        <v>9.9615519999999999E-2</v>
      </c>
      <c r="Q8056">
        <v>1.3363100000000001E-3</v>
      </c>
      <c r="R8056">
        <v>0.9950251</v>
      </c>
      <c r="S8056">
        <v>-0.102005</v>
      </c>
      <c r="T8056">
        <v>-0.209978</v>
      </c>
      <c r="U8056">
        <v>3.0234990000000002</v>
      </c>
      <c r="V8056">
        <v>7.9644950000000006E-2</v>
      </c>
      <c r="W8056">
        <v>1.540297E-2</v>
      </c>
      <c r="X8056">
        <v>0.99670429999999999</v>
      </c>
      <c r="Y8056">
        <v>-5.3731950000000001E-2</v>
      </c>
      <c r="Z8056">
        <v>-6.9191130000000003E-2</v>
      </c>
      <c r="AA8056">
        <v>0.99615529999999997</v>
      </c>
      <c r="AB8056">
        <v>32</v>
      </c>
      <c r="AC8056">
        <v>-0.54640000000000499</v>
      </c>
      <c r="AD8056">
        <v>-1.10815268092939</v>
      </c>
      <c r="AE8056">
        <v>15.6333999999999</v>
      </c>
      <c r="AF8056">
        <v>-0.85642376942843501</v>
      </c>
      <c r="AG8056">
        <v>-1.10815268092939</v>
      </c>
      <c r="AH8056">
        <v>15.5412562836286</v>
      </c>
      <c r="AI8056">
        <v>94.072353869685102</v>
      </c>
      <c r="AJ8056">
        <v>93.154177934277598</v>
      </c>
      <c r="AK8056">
        <v>15.6042337495476</v>
      </c>
      <c r="AL8056">
        <v>89.117439940334407</v>
      </c>
      <c r="AM8056">
        <v>85.4312991730486</v>
      </c>
      <c r="AN8056">
        <v>1.0000000155919</v>
      </c>
    </row>
    <row r="8057" spans="1:40" x14ac:dyDescent="0.25">
      <c r="A8057" t="str">
        <f>"20190312160844255"</f>
        <v>20190312160844255</v>
      </c>
      <c r="B8057" t="str">
        <f>"1552378124243173"</f>
        <v>1552378124243173</v>
      </c>
      <c r="C8057" t="s">
        <v>40</v>
      </c>
      <c r="D8057">
        <v>6.2637299999999998</v>
      </c>
      <c r="E8057">
        <v>0.50535600000000003</v>
      </c>
      <c r="F8057" t="s">
        <v>89</v>
      </c>
      <c r="G8057">
        <v>-187.47730000000001</v>
      </c>
      <c r="H8057" s="1">
        <v>-6.9570550000000001E-7</v>
      </c>
      <c r="I8057">
        <v>119.7376</v>
      </c>
      <c r="J8057">
        <v>-187.03120000000001</v>
      </c>
      <c r="K8057">
        <v>1.1080859999999999</v>
      </c>
      <c r="L8057">
        <v>104.4576</v>
      </c>
      <c r="M8057">
        <v>2.2111909999999999E-2</v>
      </c>
      <c r="N8057">
        <v>0</v>
      </c>
      <c r="O8057">
        <v>0.99965130000000002</v>
      </c>
      <c r="P8057">
        <v>0.1049409</v>
      </c>
      <c r="Q8057">
        <v>1.64235799999999E-3</v>
      </c>
      <c r="R8057">
        <v>0.9944771</v>
      </c>
      <c r="S8057">
        <v>-8.4945679999999996E-2</v>
      </c>
      <c r="T8057">
        <v>-0.21499470000000001</v>
      </c>
      <c r="U8057">
        <v>3.0237880000000001</v>
      </c>
      <c r="V8057">
        <v>8.2989510000000002E-2</v>
      </c>
      <c r="W8057">
        <v>1.5677110000000001E-2</v>
      </c>
      <c r="X8057">
        <v>0.99642710000000001</v>
      </c>
      <c r="Y8057">
        <v>-5.0109420000000002E-2</v>
      </c>
      <c r="Z8057">
        <v>-7.0837590000000006E-2</v>
      </c>
      <c r="AA8057">
        <v>0.99622849999999996</v>
      </c>
      <c r="AB8057">
        <v>32</v>
      </c>
      <c r="AC8057">
        <v>-0.446100000000001</v>
      </c>
      <c r="AD8057">
        <v>-1.1080866957055</v>
      </c>
      <c r="AE8057">
        <v>15.28</v>
      </c>
      <c r="AF8057">
        <v>-0.77979864717937597</v>
      </c>
      <c r="AG8057">
        <v>-1.1080866957055</v>
      </c>
      <c r="AH8057">
        <v>15.1866002644856</v>
      </c>
      <c r="AI8057">
        <v>94.167706403069502</v>
      </c>
      <c r="AJ8057">
        <v>92.939431181516497</v>
      </c>
      <c r="AK8057">
        <v>15.246926564019899</v>
      </c>
      <c r="AL8057">
        <v>89.101730962888297</v>
      </c>
      <c r="AM8057">
        <v>85.238989797502597</v>
      </c>
      <c r="AN8057">
        <v>0.99999999808120099</v>
      </c>
    </row>
    <row r="8058" spans="1:40" x14ac:dyDescent="0.25">
      <c r="A8058" t="str">
        <f>"20190312160844276"</f>
        <v>20190312160844276</v>
      </c>
      <c r="B8058" t="str">
        <f>"1552378124263666"</f>
        <v>1552378124263666</v>
      </c>
      <c r="C8058" t="s">
        <v>40</v>
      </c>
      <c r="D8058">
        <v>6.3925979999999996</v>
      </c>
      <c r="E8058">
        <v>0.55100669999999996</v>
      </c>
      <c r="F8058" t="s">
        <v>50</v>
      </c>
      <c r="G8058">
        <v>-167.14930000000001</v>
      </c>
      <c r="H8058">
        <v>3.382139</v>
      </c>
      <c r="I8058">
        <v>269.69009999999997</v>
      </c>
      <c r="J8058">
        <v>-187.0223</v>
      </c>
      <c r="K8058">
        <v>1.108017</v>
      </c>
      <c r="L8058">
        <v>104.76309999999999</v>
      </c>
      <c r="M8058">
        <v>2.4188359999999999E-2</v>
      </c>
      <c r="N8058">
        <v>0</v>
      </c>
      <c r="O8058">
        <v>0.99960329999999997</v>
      </c>
      <c r="P8058">
        <v>0.1097244</v>
      </c>
      <c r="Q8058">
        <v>1.484303E-3</v>
      </c>
      <c r="R8058">
        <v>0.99396099999999998</v>
      </c>
      <c r="S8058">
        <v>0.358429</v>
      </c>
      <c r="T8058">
        <v>4.0997739999999998E-2</v>
      </c>
      <c r="U8058">
        <v>2.97879</v>
      </c>
      <c r="V8058">
        <v>8.5715520000000003E-2</v>
      </c>
      <c r="W8058">
        <v>1.548974E-2</v>
      </c>
      <c r="X8058">
        <v>0.99619930000000001</v>
      </c>
      <c r="Y8058">
        <v>9.54015E-2</v>
      </c>
      <c r="Z8058">
        <v>1.367518E-2</v>
      </c>
      <c r="AA8058">
        <v>0.99534489999999998</v>
      </c>
      <c r="AB8058">
        <v>32</v>
      </c>
      <c r="AC8058">
        <v>19.872999999999902</v>
      </c>
      <c r="AD8058">
        <v>2.2741220000000002</v>
      </c>
      <c r="AE8058">
        <v>164.926999999999</v>
      </c>
      <c r="AF8058">
        <v>15.874480414896899</v>
      </c>
      <c r="AG8058">
        <v>2.2741220000000002</v>
      </c>
      <c r="AH8058">
        <v>165.32849716450701</v>
      </c>
      <c r="AI8058">
        <v>89.215543733291895</v>
      </c>
      <c r="AJ8058">
        <v>84.515398373824993</v>
      </c>
      <c r="AK8058">
        <v>166.104433215938</v>
      </c>
      <c r="AL8058">
        <v>89.112467835283894</v>
      </c>
      <c r="AM8058">
        <v>85.082237546121306</v>
      </c>
      <c r="AN8058">
        <v>1.0000000638673101</v>
      </c>
    </row>
    <row r="8059" spans="1:40" x14ac:dyDescent="0.25">
      <c r="A8059" t="str">
        <f>"20190312160844299"</f>
        <v>20190312160844299</v>
      </c>
      <c r="B8059" t="str">
        <f>"1552378124293922"</f>
        <v>1552378124293922</v>
      </c>
      <c r="C8059" t="s">
        <v>40</v>
      </c>
      <c r="D8059">
        <v>6.0968640000000001</v>
      </c>
      <c r="E8059">
        <v>0.55107379999999995</v>
      </c>
      <c r="F8059" t="s">
        <v>89</v>
      </c>
      <c r="G8059">
        <v>-179.13910000000001</v>
      </c>
      <c r="H8059" s="1">
        <v>-7.3164599999999999E-6</v>
      </c>
      <c r="I8059">
        <v>136.46279999999999</v>
      </c>
      <c r="J8059">
        <v>-187.01179999999999</v>
      </c>
      <c r="K8059">
        <v>1.107961</v>
      </c>
      <c r="L8059">
        <v>105.0934</v>
      </c>
      <c r="M8059">
        <v>2.6499559999999998E-2</v>
      </c>
      <c r="N8059">
        <v>0</v>
      </c>
      <c r="O8059">
        <v>0.99954469999999995</v>
      </c>
      <c r="P8059">
        <v>0.1147121</v>
      </c>
      <c r="Q8059">
        <v>1.077256E-3</v>
      </c>
      <c r="R8059">
        <v>0.99339820000000001</v>
      </c>
      <c r="S8059">
        <v>0.73056030000000005</v>
      </c>
      <c r="T8059">
        <v>-0.1026851</v>
      </c>
      <c r="U8059">
        <v>2.9377439999999999</v>
      </c>
      <c r="V8059">
        <v>8.8412899999999905E-2</v>
      </c>
      <c r="W8059">
        <v>1.5054440000000001E-2</v>
      </c>
      <c r="X8059">
        <v>0.99597009999999997</v>
      </c>
      <c r="Y8059">
        <v>0.21538740000000001</v>
      </c>
      <c r="Z8059">
        <v>-3.3987139999999999E-2</v>
      </c>
      <c r="AA8059">
        <v>0.9759371</v>
      </c>
      <c r="AB8059">
        <v>32</v>
      </c>
      <c r="AC8059">
        <v>7.8726999999999796</v>
      </c>
      <c r="AD8059">
        <v>-1.10796831646</v>
      </c>
      <c r="AE8059">
        <v>31.369399999999899</v>
      </c>
      <c r="AF8059">
        <v>7.0303222022302396</v>
      </c>
      <c r="AG8059">
        <v>-1.10796831646</v>
      </c>
      <c r="AH8059">
        <v>31.530023138479098</v>
      </c>
      <c r="AI8059">
        <v>91.9643525484192</v>
      </c>
      <c r="AJ8059">
        <v>77.430244190643506</v>
      </c>
      <c r="AK8059">
        <v>32.323294744974199</v>
      </c>
      <c r="AL8059">
        <v>89.137411504946698</v>
      </c>
      <c r="AM8059">
        <v>84.927114442357507</v>
      </c>
      <c r="AN8059">
        <v>0.99999995857206503</v>
      </c>
    </row>
    <row r="8060" spans="1:40" x14ac:dyDescent="0.25">
      <c r="A8060" t="str">
        <f>"20190312160844325"</f>
        <v>20190312160844325</v>
      </c>
      <c r="B8060" t="str">
        <f>"1552378124313445"</f>
        <v>1552378124313445</v>
      </c>
      <c r="C8060" t="s">
        <v>40</v>
      </c>
      <c r="D8060">
        <v>6.1676599999999997</v>
      </c>
      <c r="E8060">
        <v>0.55066979999999999</v>
      </c>
      <c r="F8060" t="s">
        <v>89</v>
      </c>
      <c r="G8060">
        <v>-181.2209</v>
      </c>
      <c r="H8060" s="1">
        <v>-4.8148369999999996E-6</v>
      </c>
      <c r="I8060">
        <v>127.9173</v>
      </c>
      <c r="J8060">
        <v>-186.9999</v>
      </c>
      <c r="K8060">
        <v>1.107901</v>
      </c>
      <c r="L8060">
        <v>105.4415</v>
      </c>
      <c r="M8060">
        <v>2.8998579999999999E-2</v>
      </c>
      <c r="N8060">
        <v>0</v>
      </c>
      <c r="O8060">
        <v>0.99947529999999996</v>
      </c>
      <c r="P8060">
        <v>0.12123829999999999</v>
      </c>
      <c r="Q8060">
        <v>1.717848E-4</v>
      </c>
      <c r="R8060">
        <v>0.99262340000000004</v>
      </c>
      <c r="S8060">
        <v>0.74444580000000005</v>
      </c>
      <c r="T8060">
        <v>-0.14243420000000001</v>
      </c>
      <c r="U8060">
        <v>2.934113</v>
      </c>
      <c r="V8060">
        <v>9.2465790000000006E-2</v>
      </c>
      <c r="W8060">
        <v>1.4112309999999999E-2</v>
      </c>
      <c r="X8060">
        <v>0.99561580000000005</v>
      </c>
      <c r="Y8060">
        <v>0.2174413</v>
      </c>
      <c r="Z8060">
        <v>-4.7131670000000001E-2</v>
      </c>
      <c r="AA8060">
        <v>0.97493479999999999</v>
      </c>
      <c r="AB8060">
        <v>32</v>
      </c>
      <c r="AC8060">
        <v>5.7789999999999901</v>
      </c>
      <c r="AD8060">
        <v>-1.107905814837</v>
      </c>
      <c r="AE8060">
        <v>22.4757999999999</v>
      </c>
      <c r="AF8060">
        <v>5.1130815266830796</v>
      </c>
      <c r="AG8060">
        <v>-1.107905814837</v>
      </c>
      <c r="AH8060">
        <v>22.5824772906759</v>
      </c>
      <c r="AI8060">
        <v>92.739470570537307</v>
      </c>
      <c r="AJ8060">
        <v>77.242304205740396</v>
      </c>
      <c r="AK8060">
        <v>23.180581066421698</v>
      </c>
      <c r="AL8060">
        <v>89.191397316352806</v>
      </c>
      <c r="AM8060">
        <v>84.693991679725997</v>
      </c>
      <c r="AN8060">
        <v>0.99999995041174905</v>
      </c>
    </row>
    <row r="8061" spans="1:40" x14ac:dyDescent="0.25">
      <c r="A8061" t="str">
        <f>"20190312160844357"</f>
        <v>20190312160844357</v>
      </c>
      <c r="B8061" t="str">
        <f>"1552378124353457"</f>
        <v>1552378124353457</v>
      </c>
      <c r="C8061" t="s">
        <v>40</v>
      </c>
      <c r="D8061">
        <v>6.4354089999999999</v>
      </c>
      <c r="E8061">
        <v>0.54791369999999995</v>
      </c>
      <c r="F8061" t="s">
        <v>89</v>
      </c>
      <c r="G8061">
        <v>-181.1377</v>
      </c>
      <c r="H8061" s="1">
        <v>-4.8575679999999998E-6</v>
      </c>
      <c r="I8061">
        <v>128.03720000000001</v>
      </c>
      <c r="J8061">
        <v>-186.98320000000001</v>
      </c>
      <c r="K8061">
        <v>1.1078479999999999</v>
      </c>
      <c r="L8061">
        <v>105.8918</v>
      </c>
      <c r="M8061">
        <v>3.231647E-2</v>
      </c>
      <c r="N8061">
        <v>0</v>
      </c>
      <c r="O8061">
        <v>0.99937359999999997</v>
      </c>
      <c r="P8061">
        <v>0.12747530000000001</v>
      </c>
      <c r="Q8061">
        <v>4.0208870000000001E-4</v>
      </c>
      <c r="R8061">
        <v>0.99184170000000005</v>
      </c>
      <c r="S8061">
        <v>0.76002499999999995</v>
      </c>
      <c r="T8061">
        <v>-0.143638299999999</v>
      </c>
      <c r="U8061">
        <v>2.9294889999999998</v>
      </c>
      <c r="V8061">
        <v>9.5421770000000003E-2</v>
      </c>
      <c r="W8061">
        <v>1.4309219999999999E-2</v>
      </c>
      <c r="X8061">
        <v>0.9953341</v>
      </c>
      <c r="Y8061">
        <v>0.2194265</v>
      </c>
      <c r="Z8061">
        <v>-4.7552770000000001E-2</v>
      </c>
      <c r="AA8061">
        <v>0.97446949999999999</v>
      </c>
      <c r="AB8061">
        <v>32</v>
      </c>
      <c r="AC8061">
        <v>5.8455000000000101</v>
      </c>
      <c r="AD8061">
        <v>-1.107852857568</v>
      </c>
      <c r="AE8061">
        <v>22.145399999999999</v>
      </c>
      <c r="AF8061">
        <v>5.1147440096971097</v>
      </c>
      <c r="AG8061">
        <v>-1.107852857568</v>
      </c>
      <c r="AH8061">
        <v>22.270651470838899</v>
      </c>
      <c r="AI8061">
        <v>92.775685442138993</v>
      </c>
      <c r="AJ8061">
        <v>77.065576916418493</v>
      </c>
      <c r="AK8061">
        <v>22.8772782728701</v>
      </c>
      <c r="AL8061">
        <v>89.180114120950805</v>
      </c>
      <c r="AM8061">
        <v>84.523841996056703</v>
      </c>
      <c r="AN8061">
        <v>1.0000000192948699</v>
      </c>
    </row>
    <row r="8062" spans="1:40" x14ac:dyDescent="0.25">
      <c r="A8062" t="str">
        <f>"20190312160844377"</f>
        <v>20190312160844377</v>
      </c>
      <c r="B8062" t="str">
        <f>"1552378124373954"</f>
        <v>1552378124373954</v>
      </c>
      <c r="C8062" t="s">
        <v>40</v>
      </c>
      <c r="D8062">
        <v>6.4046849999999997</v>
      </c>
      <c r="E8062">
        <v>0.54681289999999905</v>
      </c>
      <c r="F8062" t="s">
        <v>89</v>
      </c>
      <c r="G8062">
        <v>-179.3871</v>
      </c>
      <c r="H8062" s="1">
        <v>-7.0438530000000002E-6</v>
      </c>
      <c r="I8062">
        <v>135.24180000000001</v>
      </c>
      <c r="J8062">
        <v>-186.97120000000001</v>
      </c>
      <c r="K8062">
        <v>1.107812</v>
      </c>
      <c r="L8062">
        <v>106.1897</v>
      </c>
      <c r="M8062">
        <v>3.4565270000000002E-2</v>
      </c>
      <c r="N8062">
        <v>0</v>
      </c>
      <c r="O8062">
        <v>0.99929829999999997</v>
      </c>
      <c r="P8062">
        <v>0.1308269</v>
      </c>
      <c r="Q8062">
        <v>1.0048069999999999E-3</v>
      </c>
      <c r="R8062">
        <v>0.99140470000000003</v>
      </c>
      <c r="S8062">
        <v>0.75762940000000001</v>
      </c>
      <c r="T8062">
        <v>-0.11049680000000001</v>
      </c>
      <c r="U8062">
        <v>2.9273530000000001</v>
      </c>
      <c r="V8062">
        <v>9.6550380000000005E-2</v>
      </c>
      <c r="W8062">
        <v>1.4895190000000001E-2</v>
      </c>
      <c r="X8062">
        <v>0.99521669999999995</v>
      </c>
      <c r="Y8062">
        <v>0.21677099999999999</v>
      </c>
      <c r="Z8062">
        <v>-3.663462E-2</v>
      </c>
      <c r="AA8062">
        <v>0.97553489999999998</v>
      </c>
      <c r="AB8062">
        <v>32</v>
      </c>
      <c r="AC8062">
        <v>7.5841000000000003</v>
      </c>
      <c r="AD8062">
        <v>-1.107819043853</v>
      </c>
      <c r="AE8062">
        <v>29.052099999999999</v>
      </c>
      <c r="AF8062">
        <v>6.56633022210071</v>
      </c>
      <c r="AG8062">
        <v>-1.107819043853</v>
      </c>
      <c r="AH8062">
        <v>29.2570824156046</v>
      </c>
      <c r="AI8062">
        <v>92.115882405760402</v>
      </c>
      <c r="AJ8062">
        <v>77.350400914133601</v>
      </c>
      <c r="AK8062">
        <v>30.005346641774999</v>
      </c>
      <c r="AL8062">
        <v>89.146536969087407</v>
      </c>
      <c r="AM8062">
        <v>84.458823390124294</v>
      </c>
      <c r="AN8062">
        <v>1.00000006126108</v>
      </c>
    </row>
    <row r="8063" spans="1:40" x14ac:dyDescent="0.25">
      <c r="A8063" t="str">
        <f>"20190312160844400"</f>
        <v>20190312160844400</v>
      </c>
      <c r="B8063" t="str">
        <f>"1552378124393473"</f>
        <v>1552378124393473</v>
      </c>
      <c r="C8063" t="s">
        <v>40</v>
      </c>
      <c r="D8063">
        <v>6.2961669999999996</v>
      </c>
      <c r="E8063">
        <v>0.54706719999999998</v>
      </c>
      <c r="F8063" t="s">
        <v>89</v>
      </c>
      <c r="G8063">
        <v>-177.9366</v>
      </c>
      <c r="H8063" s="1">
        <v>-8.1172560000000007E-6</v>
      </c>
      <c r="I8063">
        <v>140.99690000000001</v>
      </c>
      <c r="J8063">
        <v>-186.95750000000001</v>
      </c>
      <c r="K8063">
        <v>1.107764</v>
      </c>
      <c r="L8063">
        <v>106.5103</v>
      </c>
      <c r="M8063">
        <v>3.70208E-2</v>
      </c>
      <c r="N8063">
        <v>0</v>
      </c>
      <c r="O8063">
        <v>0.99921040000000005</v>
      </c>
      <c r="P8063">
        <v>0.13399440000000001</v>
      </c>
      <c r="Q8063">
        <v>6.4015669999999895E-4</v>
      </c>
      <c r="R8063">
        <v>0.99098189999999997</v>
      </c>
      <c r="S8063">
        <v>0.75944519999999904</v>
      </c>
      <c r="T8063">
        <v>-9.3122960000000005E-2</v>
      </c>
      <c r="U8063">
        <v>2.9258730000000002</v>
      </c>
      <c r="V8063">
        <v>9.7284659999999995E-2</v>
      </c>
      <c r="W8063">
        <v>1.451567E-2</v>
      </c>
      <c r="X8063">
        <v>0.99515070000000005</v>
      </c>
      <c r="Y8063">
        <v>0.21510750000000001</v>
      </c>
      <c r="Z8063">
        <v>-3.0894959999999999E-2</v>
      </c>
      <c r="AA8063">
        <v>0.97610160000000001</v>
      </c>
      <c r="AB8063">
        <v>32</v>
      </c>
      <c r="AC8063">
        <v>9.0209000000000099</v>
      </c>
      <c r="AD8063">
        <v>-1.107772117256</v>
      </c>
      <c r="AE8063">
        <v>34.486600000000003</v>
      </c>
      <c r="AF8063">
        <v>7.7303950006411402</v>
      </c>
      <c r="AG8063">
        <v>-1.107772117256</v>
      </c>
      <c r="AH8063">
        <v>34.763377887197102</v>
      </c>
      <c r="AI8063">
        <v>91.781682699373306</v>
      </c>
      <c r="AJ8063">
        <v>77.463025541853099</v>
      </c>
      <c r="AK8063">
        <v>35.629743306088699</v>
      </c>
      <c r="AL8063">
        <v>89.168284131714103</v>
      </c>
      <c r="AM8063">
        <v>84.416579237099299</v>
      </c>
      <c r="AN8063">
        <v>0.99999996272867597</v>
      </c>
    </row>
    <row r="8064" spans="1:40" x14ac:dyDescent="0.25">
      <c r="A8064" t="str">
        <f>"20190312160844423"</f>
        <v>20190312160844423</v>
      </c>
      <c r="B8064" t="str">
        <f>"1552378124413970"</f>
        <v>1552378124413970</v>
      </c>
      <c r="C8064" t="s">
        <v>40</v>
      </c>
      <c r="D8064">
        <v>6.2699280000000002</v>
      </c>
      <c r="E8064">
        <v>0.54720100000000005</v>
      </c>
      <c r="F8064" t="s">
        <v>89</v>
      </c>
      <c r="G8064">
        <v>-177.4442</v>
      </c>
      <c r="H8064" s="1">
        <v>-8.3239479999999997E-6</v>
      </c>
      <c r="I8064">
        <v>142.58279999999999</v>
      </c>
      <c r="J8064">
        <v>-186.94239999999999</v>
      </c>
      <c r="K8064">
        <v>1.1077300000000001</v>
      </c>
      <c r="L8064">
        <v>106.8419</v>
      </c>
      <c r="M8064">
        <v>3.9602079999999998E-2</v>
      </c>
      <c r="N8064">
        <v>0</v>
      </c>
      <c r="O8064">
        <v>0.99911139999999998</v>
      </c>
      <c r="P8064">
        <v>0.137025799999999</v>
      </c>
      <c r="Q8064">
        <v>-1.506612E-4</v>
      </c>
      <c r="R8064">
        <v>0.99056750000000005</v>
      </c>
      <c r="S8064">
        <v>0.77090449999999999</v>
      </c>
      <c r="T8064">
        <v>-8.9767929999999996E-2</v>
      </c>
      <c r="U8064">
        <v>2.9231259999999999</v>
      </c>
      <c r="V8064">
        <v>9.7755739999999994E-2</v>
      </c>
      <c r="W8064">
        <v>1.371228E-2</v>
      </c>
      <c r="X8064">
        <v>0.995116</v>
      </c>
      <c r="Y8064">
        <v>0.21639720000000001</v>
      </c>
      <c r="Z8064">
        <v>-2.9786670000000001E-2</v>
      </c>
      <c r="AA8064">
        <v>0.97585089999999997</v>
      </c>
      <c r="AB8064">
        <v>32</v>
      </c>
      <c r="AC8064">
        <v>9.49819999999999</v>
      </c>
      <c r="AD8064">
        <v>-1.1077383239480001</v>
      </c>
      <c r="AE8064">
        <v>35.740900000000003</v>
      </c>
      <c r="AF8064">
        <v>8.0679472783560406</v>
      </c>
      <c r="AG8064">
        <v>-1.1077383239480001</v>
      </c>
      <c r="AH8064">
        <v>36.056692768176099</v>
      </c>
      <c r="AI8064">
        <v>91.717256949554397</v>
      </c>
      <c r="AJ8064">
        <v>77.387406523131602</v>
      </c>
      <c r="AK8064">
        <v>36.9649016075969</v>
      </c>
      <c r="AL8064">
        <v>89.214319631165097</v>
      </c>
      <c r="AM8064">
        <v>84.389520414683304</v>
      </c>
      <c r="AN8064">
        <v>1.00000003239087</v>
      </c>
    </row>
    <row r="8065" spans="1:40" x14ac:dyDescent="0.25">
      <c r="A8065" t="str">
        <f>"20190312160844444"</f>
        <v>20190312160844444</v>
      </c>
      <c r="B8065" t="str">
        <f>"1552378124433490"</f>
        <v>1552378124433490</v>
      </c>
      <c r="C8065" t="s">
        <v>40</v>
      </c>
      <c r="D8065">
        <v>6.236739</v>
      </c>
      <c r="E8065">
        <v>0.54712799999999995</v>
      </c>
      <c r="F8065" t="s">
        <v>89</v>
      </c>
      <c r="G8065">
        <v>-177.45590000000001</v>
      </c>
      <c r="H8065" s="1">
        <v>-8.2460459999999995E-6</v>
      </c>
      <c r="I8065">
        <v>142.31960000000001</v>
      </c>
      <c r="J8065">
        <v>-186.92840000000001</v>
      </c>
      <c r="K8065">
        <v>1.1076979999999901</v>
      </c>
      <c r="L8065">
        <v>107.1358</v>
      </c>
      <c r="M8065">
        <v>4.1926829999999998E-2</v>
      </c>
      <c r="N8065">
        <v>0</v>
      </c>
      <c r="O8065">
        <v>0.99901660000000003</v>
      </c>
      <c r="P8065">
        <v>0.13950879999999999</v>
      </c>
      <c r="Q8065">
        <v>-3.1551000000000002E-4</v>
      </c>
      <c r="R8065">
        <v>0.99022080000000001</v>
      </c>
      <c r="S8065">
        <v>0.780929599999999</v>
      </c>
      <c r="T8065">
        <v>-9.1188669999999999E-2</v>
      </c>
      <c r="U8065">
        <v>2.9205169999999998</v>
      </c>
      <c r="V8065">
        <v>9.7935240000000007E-2</v>
      </c>
      <c r="W8065">
        <v>1.353825E-2</v>
      </c>
      <c r="X8065">
        <v>0.99510069999999995</v>
      </c>
      <c r="Y8065">
        <v>0.21746550000000001</v>
      </c>
      <c r="Z8065">
        <v>-3.026268E-2</v>
      </c>
      <c r="AA8065">
        <v>0.97559879999999999</v>
      </c>
      <c r="AB8065">
        <v>31</v>
      </c>
      <c r="AC8065">
        <v>9.4724999999999895</v>
      </c>
      <c r="AD8065">
        <v>-1.1077062460460001</v>
      </c>
      <c r="AE8065">
        <v>35.183799999999998</v>
      </c>
      <c r="AF8065">
        <v>7.9814937109237496</v>
      </c>
      <c r="AG8065">
        <v>-1.1077062460460001</v>
      </c>
      <c r="AH8065">
        <v>35.5172235466123</v>
      </c>
      <c r="AI8065">
        <v>91.742915120243893</v>
      </c>
      <c r="AJ8065">
        <v>77.334790102251901</v>
      </c>
      <c r="AK8065">
        <v>36.419835576853899</v>
      </c>
      <c r="AL8065">
        <v>89.224291715381298</v>
      </c>
      <c r="AM8065">
        <v>84.3791984409837</v>
      </c>
      <c r="AN8065">
        <v>0.99999999929370498</v>
      </c>
    </row>
    <row r="8066" spans="1:40" x14ac:dyDescent="0.25">
      <c r="A8066" t="str">
        <f>"20190312160844466"</f>
        <v>20190312160844466</v>
      </c>
      <c r="B8066" t="str">
        <f>"1552378124453010"</f>
        <v>1552378124453010</v>
      </c>
      <c r="C8066" t="s">
        <v>40</v>
      </c>
      <c r="D8066">
        <v>6.1715359999999997</v>
      </c>
      <c r="E8066">
        <v>0.54725900000000005</v>
      </c>
      <c r="F8066" t="s">
        <v>89</v>
      </c>
      <c r="G8066">
        <v>-177.3235</v>
      </c>
      <c r="H8066" s="1">
        <v>-8.2989499999999995E-6</v>
      </c>
      <c r="I8066">
        <v>142.7379</v>
      </c>
      <c r="J8066">
        <v>-186.9128</v>
      </c>
      <c r="K8066">
        <v>1.1076710000000001</v>
      </c>
      <c r="L8066">
        <v>107.44410000000001</v>
      </c>
      <c r="M8066">
        <v>4.4402169999999998E-2</v>
      </c>
      <c r="N8066">
        <v>0</v>
      </c>
      <c r="O8066">
        <v>0.99890970000000001</v>
      </c>
      <c r="P8066">
        <v>0.14198479999999999</v>
      </c>
      <c r="Q8066">
        <v>-5.9041010000000001E-4</v>
      </c>
      <c r="R8066">
        <v>0.98986859999999999</v>
      </c>
      <c r="S8066">
        <v>0.78741459999999996</v>
      </c>
      <c r="T8066">
        <v>-9.0810059999999998E-2</v>
      </c>
      <c r="U8066">
        <v>2.9186709999999998</v>
      </c>
      <c r="V8066">
        <v>9.7957719999999998E-2</v>
      </c>
      <c r="W8066">
        <v>1.325408E-2</v>
      </c>
      <c r="X8066">
        <v>0.9951023</v>
      </c>
      <c r="Y8066">
        <v>0.21722359999999999</v>
      </c>
      <c r="Z8066">
        <v>-3.014296E-2</v>
      </c>
      <c r="AA8066">
        <v>0.97565630000000003</v>
      </c>
      <c r="AB8066">
        <v>31</v>
      </c>
      <c r="AC8066">
        <v>9.5892999999999997</v>
      </c>
      <c r="AD8066">
        <v>-1.1076792989499999</v>
      </c>
      <c r="AE8066">
        <v>35.293799999999898</v>
      </c>
      <c r="AF8066">
        <v>8.0052132792249893</v>
      </c>
      <c r="AG8066">
        <v>-1.1076792989499999</v>
      </c>
      <c r="AH8066">
        <v>35.652110998675099</v>
      </c>
      <c r="AI8066">
        <v>91.736351359678807</v>
      </c>
      <c r="AJ8066">
        <v>77.344875986160304</v>
      </c>
      <c r="AK8066">
        <v>36.556578227961303</v>
      </c>
      <c r="AL8066">
        <v>89.240574908533901</v>
      </c>
      <c r="AM8066">
        <v>84.377925491760905</v>
      </c>
      <c r="AN8066">
        <v>0.99999998650476696</v>
      </c>
    </row>
    <row r="8067" spans="1:40" x14ac:dyDescent="0.25">
      <c r="A8067" t="str">
        <f>"20190312160844490"</f>
        <v>20190312160844490</v>
      </c>
      <c r="B8067" t="str">
        <f>"1552378124483266"</f>
        <v>1552378124483266</v>
      </c>
      <c r="C8067" t="s">
        <v>40</v>
      </c>
      <c r="D8067">
        <v>6.1580120000000003</v>
      </c>
      <c r="E8067">
        <v>0.54686619999999997</v>
      </c>
      <c r="F8067" t="s">
        <v>89</v>
      </c>
      <c r="G8067">
        <v>-177.0874</v>
      </c>
      <c r="H8067" s="1">
        <v>-8.3804830000000007E-6</v>
      </c>
      <c r="I8067">
        <v>143.44399999999999</v>
      </c>
      <c r="J8067">
        <v>-186.89510000000001</v>
      </c>
      <c r="K8067">
        <v>1.1076330000000001</v>
      </c>
      <c r="L8067">
        <v>107.77800000000001</v>
      </c>
      <c r="M8067">
        <v>4.7122860000000003E-2</v>
      </c>
      <c r="N8067">
        <v>0</v>
      </c>
      <c r="O8067">
        <v>0.99878500000000003</v>
      </c>
      <c r="P8067">
        <v>0.14448259999999999</v>
      </c>
      <c r="Q8067">
        <v>-6.2705789999999996E-4</v>
      </c>
      <c r="R8067">
        <v>0.98950709999999997</v>
      </c>
      <c r="S8067">
        <v>0.79598999999999998</v>
      </c>
      <c r="T8067">
        <v>-8.9736819999999995E-2</v>
      </c>
      <c r="U8067">
        <v>2.9164729999999999</v>
      </c>
      <c r="V8067">
        <v>9.7759429999999994E-2</v>
      </c>
      <c r="W8067">
        <v>1.321021E-2</v>
      </c>
      <c r="X8067">
        <v>0.99512239999999996</v>
      </c>
      <c r="Y8067">
        <v>0.21742439999999999</v>
      </c>
      <c r="Z8067">
        <v>-2.9791120000000001E-2</v>
      </c>
      <c r="AA8067">
        <v>0.9756224</v>
      </c>
      <c r="AB8067">
        <v>31</v>
      </c>
      <c r="AC8067">
        <v>9.8077000000000094</v>
      </c>
      <c r="AD8067">
        <v>-1.1076413804829901</v>
      </c>
      <c r="AE8067">
        <v>35.665999999999997</v>
      </c>
      <c r="AF8067">
        <v>8.1086728750361203</v>
      </c>
      <c r="AG8067">
        <v>-1.1076413804829901</v>
      </c>
      <c r="AH8067">
        <v>36.056254893996602</v>
      </c>
      <c r="AI8067">
        <v>91.716712666456701</v>
      </c>
      <c r="AJ8067">
        <v>77.325643155683906</v>
      </c>
      <c r="AK8067">
        <v>36.973381806415198</v>
      </c>
      <c r="AL8067">
        <v>89.243088707276797</v>
      </c>
      <c r="AM8067">
        <v>84.389345840545204</v>
      </c>
      <c r="AN8067">
        <v>1.00000000339196</v>
      </c>
    </row>
    <row r="8068" spans="1:40" x14ac:dyDescent="0.25">
      <c r="A8068" t="str">
        <f>"20190312160844511"</f>
        <v>20190312160844511</v>
      </c>
      <c r="B8068" t="str">
        <f>"1552378124503762"</f>
        <v>1552378124503762</v>
      </c>
      <c r="C8068" t="s">
        <v>40</v>
      </c>
      <c r="D8068">
        <v>6.1363209999999997</v>
      </c>
      <c r="E8068">
        <v>0.54674209999999901</v>
      </c>
      <c r="F8068" t="s">
        <v>89</v>
      </c>
      <c r="G8068">
        <v>-177.79589999999999</v>
      </c>
      <c r="H8068" s="1">
        <v>-8.0116679999999905E-6</v>
      </c>
      <c r="I8068">
        <v>140.94120000000001</v>
      </c>
      <c r="J8068">
        <v>-186.87799999999999</v>
      </c>
      <c r="K8068">
        <v>1.1076079999999999</v>
      </c>
      <c r="L8068">
        <v>108.0855</v>
      </c>
      <c r="M8068">
        <v>4.9663279999999997E-2</v>
      </c>
      <c r="N8068">
        <v>0</v>
      </c>
      <c r="O8068">
        <v>0.99866189999999999</v>
      </c>
      <c r="P8068">
        <v>0.14745220000000001</v>
      </c>
      <c r="Q8068">
        <v>-6.7469779999999998E-4</v>
      </c>
      <c r="R8068">
        <v>0.98906890000000003</v>
      </c>
      <c r="S8068">
        <v>0.79980469999999904</v>
      </c>
      <c r="T8068">
        <v>-9.7359539999999994E-2</v>
      </c>
      <c r="U8068">
        <v>2.9149780000000001</v>
      </c>
      <c r="V8068">
        <v>9.8215930000000007E-2</v>
      </c>
      <c r="W8068">
        <v>1.3151090000000001E-2</v>
      </c>
      <c r="X8068">
        <v>0.99507820000000002</v>
      </c>
      <c r="Y8068">
        <v>0.2162355</v>
      </c>
      <c r="Z8068">
        <v>-3.2327929999999998E-2</v>
      </c>
      <c r="AA8068">
        <v>0.9758059</v>
      </c>
      <c r="AB8068">
        <v>31</v>
      </c>
      <c r="AC8068">
        <v>9.0820999999999898</v>
      </c>
      <c r="AD8068">
        <v>-1.1076160116679901</v>
      </c>
      <c r="AE8068">
        <v>32.855699999999999</v>
      </c>
      <c r="AF8068">
        <v>7.4311532233735003</v>
      </c>
      <c r="AG8068">
        <v>-1.1076160116679901</v>
      </c>
      <c r="AH8068">
        <v>33.231156743868802</v>
      </c>
      <c r="AI8068">
        <v>91.863019618104005</v>
      </c>
      <c r="AJ8068">
        <v>77.394893735286004</v>
      </c>
      <c r="AK8068">
        <v>34.069907983352898</v>
      </c>
      <c r="AL8068">
        <v>89.246476304443604</v>
      </c>
      <c r="AM8068">
        <v>84.363065753000797</v>
      </c>
      <c r="AN8068">
        <v>0.99999997209459601</v>
      </c>
    </row>
    <row r="8069" spans="1:40" x14ac:dyDescent="0.25">
      <c r="A8069" t="str">
        <f>"20190312160844535"</f>
        <v>20190312160844535</v>
      </c>
      <c r="B8069" t="str">
        <f>"1552378124523285"</f>
        <v>1552378124523285</v>
      </c>
      <c r="C8069" t="s">
        <v>40</v>
      </c>
      <c r="D8069">
        <v>6.0878629999999996</v>
      </c>
      <c r="E8069">
        <v>0.54657809999999996</v>
      </c>
      <c r="F8069" t="s">
        <v>89</v>
      </c>
      <c r="G8069">
        <v>-178.08599999999899</v>
      </c>
      <c r="H8069" s="1">
        <v>-7.8227810000000004E-6</v>
      </c>
      <c r="I8069">
        <v>139.79939999999999</v>
      </c>
      <c r="J8069">
        <v>-186.8588</v>
      </c>
      <c r="K8069">
        <v>1.1075759999999999</v>
      </c>
      <c r="L8069">
        <v>108.4134</v>
      </c>
      <c r="M8069">
        <v>5.2409459999999998E-2</v>
      </c>
      <c r="N8069">
        <v>0</v>
      </c>
      <c r="O8069">
        <v>0.99852160000000001</v>
      </c>
      <c r="P8069">
        <v>0.15027199999999999</v>
      </c>
      <c r="Q8069">
        <v>-5.1614480000000001E-4</v>
      </c>
      <c r="R8069">
        <v>0.98864450000000004</v>
      </c>
      <c r="S8069">
        <v>0.80747990000000003</v>
      </c>
      <c r="T8069">
        <v>-0.1017265</v>
      </c>
      <c r="U8069">
        <v>2.9126889999999999</v>
      </c>
      <c r="V8069">
        <v>9.8318719999999998E-2</v>
      </c>
      <c r="W8069">
        <v>1.330128E-2</v>
      </c>
      <c r="X8069">
        <v>0.99506609999999995</v>
      </c>
      <c r="Y8069">
        <v>0.2161228</v>
      </c>
      <c r="Z8069">
        <v>-3.3783510000000003E-2</v>
      </c>
      <c r="AA8069">
        <v>0.97578160000000003</v>
      </c>
      <c r="AB8069">
        <v>31</v>
      </c>
      <c r="AC8069">
        <v>8.7728000000000108</v>
      </c>
      <c r="AD8069">
        <v>-1.107583822781</v>
      </c>
      <c r="AE8069">
        <v>31.385999999999999</v>
      </c>
      <c r="AF8069">
        <v>7.1074369185733497</v>
      </c>
      <c r="AG8069">
        <v>-1.107583822781</v>
      </c>
      <c r="AH8069">
        <v>31.765989939679599</v>
      </c>
      <c r="AI8069">
        <v>91.948776436852398</v>
      </c>
      <c r="AJ8069">
        <v>77.388152673055004</v>
      </c>
      <c r="AK8069">
        <v>32.570239764604302</v>
      </c>
      <c r="AL8069">
        <v>89.237870334100805</v>
      </c>
      <c r="AM8069">
        <v>84.357136178033102</v>
      </c>
      <c r="AN8069">
        <v>1.00000001906064</v>
      </c>
    </row>
    <row r="8070" spans="1:40" x14ac:dyDescent="0.25">
      <c r="A8070" t="str">
        <f>"20190312160844556"</f>
        <v>20190312160844556</v>
      </c>
      <c r="B8070" t="str">
        <f>"1552378124543778"</f>
        <v>1552378124543778</v>
      </c>
      <c r="C8070" t="s">
        <v>40</v>
      </c>
      <c r="D8070">
        <v>6.074503</v>
      </c>
      <c r="E8070">
        <v>0.54650489999999996</v>
      </c>
      <c r="F8070" t="s">
        <v>89</v>
      </c>
      <c r="G8070">
        <v>-178.2749</v>
      </c>
      <c r="H8070" s="1">
        <v>-7.6990619999999999E-6</v>
      </c>
      <c r="I8070">
        <v>139.09559999999999</v>
      </c>
      <c r="J8070">
        <v>-186.8407</v>
      </c>
      <c r="K8070">
        <v>1.10755</v>
      </c>
      <c r="L8070">
        <v>108.7081</v>
      </c>
      <c r="M8070">
        <v>5.4910689999999998E-2</v>
      </c>
      <c r="N8070">
        <v>0</v>
      </c>
      <c r="O8070">
        <v>0.99838720000000003</v>
      </c>
      <c r="P8070">
        <v>0.15314</v>
      </c>
      <c r="Q8070">
        <v>-4.746509E-4</v>
      </c>
      <c r="R8070">
        <v>0.98820439999999998</v>
      </c>
      <c r="S8070">
        <v>0.81430049999999998</v>
      </c>
      <c r="T8070">
        <v>-0.10506939999999999</v>
      </c>
      <c r="U8070">
        <v>2.9106290000000001</v>
      </c>
      <c r="V8070">
        <v>9.8714189999999993E-2</v>
      </c>
      <c r="W8070">
        <v>1.333323E-2</v>
      </c>
      <c r="X8070">
        <v>0.99502650000000004</v>
      </c>
      <c r="Y8070">
        <v>0.2159664</v>
      </c>
      <c r="Z8070">
        <v>-3.489884E-2</v>
      </c>
      <c r="AA8070">
        <v>0.97577689999999995</v>
      </c>
      <c r="AB8070">
        <v>31</v>
      </c>
      <c r="AC8070">
        <v>8.5657999999999905</v>
      </c>
      <c r="AD8070">
        <v>-1.107557699062</v>
      </c>
      <c r="AE8070">
        <v>30.3874999999999</v>
      </c>
      <c r="AF8070">
        <v>6.8756402893672197</v>
      </c>
      <c r="AG8070">
        <v>-1.107557699062</v>
      </c>
      <c r="AH8070">
        <v>30.774174397430102</v>
      </c>
      <c r="AI8070">
        <v>92.0116224813587</v>
      </c>
      <c r="AJ8070">
        <v>77.405679167008699</v>
      </c>
      <c r="AK8070">
        <v>31.552352103907602</v>
      </c>
      <c r="AL8070">
        <v>89.236039557844506</v>
      </c>
      <c r="AM8070">
        <v>84.334362096450306</v>
      </c>
      <c r="AN8070">
        <v>1.00000000101591</v>
      </c>
    </row>
    <row r="8071" spans="1:40" x14ac:dyDescent="0.25">
      <c r="A8071" t="str">
        <f>"20190312160844578"</f>
        <v>20190312160844578</v>
      </c>
      <c r="B8071" t="str">
        <f>"1552378124574034"</f>
        <v>1552378124574034</v>
      </c>
      <c r="C8071" t="s">
        <v>40</v>
      </c>
      <c r="D8071">
        <v>6.0024240000000004</v>
      </c>
      <c r="E8071">
        <v>0.54629890000000003</v>
      </c>
      <c r="F8071" t="s">
        <v>89</v>
      </c>
      <c r="G8071">
        <v>-178.32859999999999</v>
      </c>
      <c r="H8071" s="1">
        <v>-7.6366859999999993E-6</v>
      </c>
      <c r="I8071">
        <v>138.82169999999999</v>
      </c>
      <c r="J8071">
        <v>-186.82069999999999</v>
      </c>
      <c r="K8071">
        <v>1.1075250000000001</v>
      </c>
      <c r="L8071">
        <v>109.0192</v>
      </c>
      <c r="M8071">
        <v>5.7577860000000002E-2</v>
      </c>
      <c r="N8071">
        <v>0</v>
      </c>
      <c r="O8071">
        <v>0.99823700000000004</v>
      </c>
      <c r="P8071">
        <v>0.15529949999999901</v>
      </c>
      <c r="Q8071">
        <v>5.3228040000000002E-4</v>
      </c>
      <c r="R8071">
        <v>0.9878673</v>
      </c>
      <c r="S8071">
        <v>0.82209779999999999</v>
      </c>
      <c r="T8071">
        <v>-0.1069676</v>
      </c>
      <c r="U8071">
        <v>2.9083559999999999</v>
      </c>
      <c r="V8071">
        <v>9.8236740000000003E-2</v>
      </c>
      <c r="W8071">
        <v>1.4336399999999999E-2</v>
      </c>
      <c r="X8071">
        <v>0.99505980000000005</v>
      </c>
      <c r="Y8071">
        <v>0.21597379999999999</v>
      </c>
      <c r="Z8071">
        <v>-3.5534459999999997E-2</v>
      </c>
      <c r="AA8071">
        <v>0.97575239999999996</v>
      </c>
      <c r="AB8071">
        <v>31</v>
      </c>
      <c r="AC8071">
        <v>8.49209999999999</v>
      </c>
      <c r="AD8071">
        <v>-1.1075326366859899</v>
      </c>
      <c r="AE8071">
        <v>29.802499999999899</v>
      </c>
      <c r="AF8071">
        <v>6.75324031634982</v>
      </c>
      <c r="AG8071">
        <v>-1.1075326366859899</v>
      </c>
      <c r="AH8071">
        <v>30.203475780977101</v>
      </c>
      <c r="AI8071">
        <v>92.049480187322601</v>
      </c>
      <c r="AJ8071">
        <v>77.396452363565103</v>
      </c>
      <c r="AK8071">
        <v>30.969062507020901</v>
      </c>
      <c r="AL8071">
        <v>89.178556644041194</v>
      </c>
      <c r="AM8071">
        <v>84.361775508615395</v>
      </c>
      <c r="AN8071">
        <v>0.99999999751341295</v>
      </c>
    </row>
    <row r="8072" spans="1:40" x14ac:dyDescent="0.25">
      <c r="A8072" t="str">
        <f>"20190312160844601"</f>
        <v>20190312160844601</v>
      </c>
      <c r="B8072" t="str">
        <f>"1552378124593554"</f>
        <v>1552378124593554</v>
      </c>
      <c r="C8072" t="s">
        <v>40</v>
      </c>
      <c r="D8072">
        <v>6.0536779999999997</v>
      </c>
      <c r="E8072">
        <v>0.54630570000000001</v>
      </c>
      <c r="F8072" t="s">
        <v>89</v>
      </c>
      <c r="G8072">
        <v>-178.24260000000001</v>
      </c>
      <c r="H8072" s="1">
        <v>-7.7072910000000003E-6</v>
      </c>
      <c r="I8072">
        <v>139.17670000000001</v>
      </c>
      <c r="J8072">
        <v>-186.7998</v>
      </c>
      <c r="K8072">
        <v>1.1075120000000001</v>
      </c>
      <c r="L8072">
        <v>109.3318</v>
      </c>
      <c r="M8072">
        <v>6.0284669999999999E-2</v>
      </c>
      <c r="N8072">
        <v>0</v>
      </c>
      <c r="O8072">
        <v>0.9980772</v>
      </c>
      <c r="P8072">
        <v>0.15690699999999999</v>
      </c>
      <c r="Q8072">
        <v>6.0288449999999999E-4</v>
      </c>
      <c r="R8072">
        <v>0.98761319999999997</v>
      </c>
      <c r="S8072">
        <v>0.82685849999999905</v>
      </c>
      <c r="T8072">
        <v>-0.10675610000000001</v>
      </c>
      <c r="U8072">
        <v>2.9069060000000002</v>
      </c>
      <c r="V8072">
        <v>9.7158510000000003E-2</v>
      </c>
      <c r="W8072">
        <v>1.4407909999999999E-2</v>
      </c>
      <c r="X8072">
        <v>0.99516459999999995</v>
      </c>
      <c r="Y8072">
        <v>0.21493300000000001</v>
      </c>
      <c r="Z8072">
        <v>-3.5469069999999998E-2</v>
      </c>
      <c r="AA8072">
        <v>0.97598450000000003</v>
      </c>
      <c r="AB8072">
        <v>31</v>
      </c>
      <c r="AC8072">
        <v>8.5571999999999893</v>
      </c>
      <c r="AD8072">
        <v>-1.1075197072909999</v>
      </c>
      <c r="AE8072">
        <v>29.844899999999999</v>
      </c>
      <c r="AF8072">
        <v>6.7336878690732602</v>
      </c>
      <c r="AG8072">
        <v>-1.1075197072909999</v>
      </c>
      <c r="AH8072">
        <v>30.2680136492386</v>
      </c>
      <c r="AI8072">
        <v>92.045577588381803</v>
      </c>
      <c r="AJ8072">
        <v>77.457731422322198</v>
      </c>
      <c r="AK8072">
        <v>31.027758579869001</v>
      </c>
      <c r="AL8072">
        <v>89.174458978974002</v>
      </c>
      <c r="AM8072">
        <v>84.423851049579795</v>
      </c>
      <c r="AN8072">
        <v>0.99999997251457295</v>
      </c>
    </row>
    <row r="8073" spans="1:40" x14ac:dyDescent="0.25">
      <c r="A8073" t="str">
        <f>"20190312160844623"</f>
        <v>20190312160844623</v>
      </c>
      <c r="B8073" t="str">
        <f>"1552378124614050"</f>
        <v>1552378124614050</v>
      </c>
      <c r="C8073" t="s">
        <v>40</v>
      </c>
      <c r="D8073">
        <v>5.9951739999999996</v>
      </c>
      <c r="E8073">
        <v>0.54649639999999999</v>
      </c>
      <c r="F8073" t="s">
        <v>89</v>
      </c>
      <c r="G8073">
        <v>-178.26240000000001</v>
      </c>
      <c r="H8073" s="1">
        <v>-7.7138289999999999E-6</v>
      </c>
      <c r="I8073">
        <v>139.16</v>
      </c>
      <c r="J8073">
        <v>-186.77789999999999</v>
      </c>
      <c r="K8073">
        <v>1.1074919999999999</v>
      </c>
      <c r="L8073">
        <v>109.64709999999999</v>
      </c>
      <c r="M8073">
        <v>6.3042420000000002E-2</v>
      </c>
      <c r="N8073">
        <v>0</v>
      </c>
      <c r="O8073">
        <v>0.99790690000000004</v>
      </c>
      <c r="P8073">
        <v>0.1585715</v>
      </c>
      <c r="Q8073">
        <v>-5.7350450000000002E-4</v>
      </c>
      <c r="R8073">
        <v>0.98734730000000004</v>
      </c>
      <c r="S8073">
        <v>0.83163449999999906</v>
      </c>
      <c r="T8073">
        <v>-0.10788399999999999</v>
      </c>
      <c r="U8073">
        <v>2.9055789999999999</v>
      </c>
      <c r="V8073">
        <v>9.6080029999999997E-2</v>
      </c>
      <c r="W8073">
        <v>1.323215E-2</v>
      </c>
      <c r="X8073">
        <v>0.99528559999999999</v>
      </c>
      <c r="Y8073">
        <v>0.2138314</v>
      </c>
      <c r="Z8073">
        <v>-3.5846309999999999E-2</v>
      </c>
      <c r="AA8073">
        <v>0.97621270000000004</v>
      </c>
      <c r="AB8073">
        <v>31</v>
      </c>
      <c r="AC8073">
        <v>8.5154999999999692</v>
      </c>
      <c r="AD8073">
        <v>-1.1074997138289999</v>
      </c>
      <c r="AE8073">
        <v>29.512899999999998</v>
      </c>
      <c r="AF8073">
        <v>6.6291824367760404</v>
      </c>
      <c r="AG8073">
        <v>-1.1074997138289999</v>
      </c>
      <c r="AH8073">
        <v>29.952138668749502</v>
      </c>
      <c r="AI8073">
        <v>92.067593595007594</v>
      </c>
      <c r="AJ8073">
        <v>77.520143259476001</v>
      </c>
      <c r="AK8073">
        <v>30.6969579311728</v>
      </c>
      <c r="AL8073">
        <v>89.241831482784903</v>
      </c>
      <c r="AM8073">
        <v>84.486030105293807</v>
      </c>
      <c r="AN8073">
        <v>0.99999994376289003</v>
      </c>
    </row>
    <row r="8074" spans="1:40" x14ac:dyDescent="0.25">
      <c r="A8074" t="str">
        <f>"20190312160844646"</f>
        <v>20190312160844646</v>
      </c>
      <c r="B8074" t="str">
        <f>"1552378124633570"</f>
        <v>1552378124633570</v>
      </c>
      <c r="C8074" t="s">
        <v>40</v>
      </c>
      <c r="D8074">
        <v>6.0161959999999999</v>
      </c>
      <c r="E8074">
        <v>0.54649199999999998</v>
      </c>
      <c r="F8074" t="s">
        <v>89</v>
      </c>
      <c r="G8074">
        <v>-178.50829999999999</v>
      </c>
      <c r="H8074" s="1">
        <v>-7.5692769999999899E-6</v>
      </c>
      <c r="I8074">
        <v>138.30889999999999</v>
      </c>
      <c r="J8074">
        <v>-186.75579999999999</v>
      </c>
      <c r="K8074">
        <v>1.1074809999999999</v>
      </c>
      <c r="L8074">
        <v>109.9517</v>
      </c>
      <c r="M8074">
        <v>6.5732760000000001E-2</v>
      </c>
      <c r="N8074">
        <v>0</v>
      </c>
      <c r="O8074">
        <v>0.99773330000000005</v>
      </c>
      <c r="P8074">
        <v>0.160405399999999</v>
      </c>
      <c r="Q8074">
        <v>-1.8287570000000001E-4</v>
      </c>
      <c r="R8074">
        <v>0.98705120000000002</v>
      </c>
      <c r="S8074">
        <v>0.83781430000000001</v>
      </c>
      <c r="T8074">
        <v>-0.112204</v>
      </c>
      <c r="U8074">
        <v>2.9038089999999999</v>
      </c>
      <c r="V8074">
        <v>9.524813E-2</v>
      </c>
      <c r="W8074">
        <v>1.362264E-2</v>
      </c>
      <c r="X8074">
        <v>0.99536040000000003</v>
      </c>
      <c r="Y8074">
        <v>0.21325939999999999</v>
      </c>
      <c r="Z8074">
        <v>-3.7283320000000002E-2</v>
      </c>
      <c r="AA8074">
        <v>0.97628400000000004</v>
      </c>
      <c r="AB8074">
        <v>31</v>
      </c>
      <c r="AC8074">
        <v>8.2475000000000005</v>
      </c>
      <c r="AD8074">
        <v>-1.107488569277</v>
      </c>
      <c r="AE8074">
        <v>28.357199999999899</v>
      </c>
      <c r="AF8074">
        <v>6.3565293558070302</v>
      </c>
      <c r="AG8074">
        <v>-1.107488569277</v>
      </c>
      <c r="AH8074">
        <v>28.797546523984199</v>
      </c>
      <c r="AI8074">
        <v>92.150661587227603</v>
      </c>
      <c r="AJ8074">
        <v>77.552603589141796</v>
      </c>
      <c r="AK8074">
        <v>29.5115347310734</v>
      </c>
      <c r="AL8074">
        <v>89.219456121497799</v>
      </c>
      <c r="AM8074">
        <v>84.533890164348605</v>
      </c>
      <c r="AN8074">
        <v>1.00000005423861</v>
      </c>
    </row>
    <row r="8075" spans="1:40" x14ac:dyDescent="0.25">
      <c r="A8075" t="str">
        <f>"20190312160844668"</f>
        <v>20190312160844668</v>
      </c>
      <c r="B8075" t="str">
        <f>"1552378124663827"</f>
        <v>1552378124663827</v>
      </c>
      <c r="C8075" t="s">
        <v>40</v>
      </c>
      <c r="D8075">
        <v>6.006405</v>
      </c>
      <c r="E8075">
        <v>0.54684500000000003</v>
      </c>
      <c r="F8075" t="s">
        <v>89</v>
      </c>
      <c r="G8075">
        <v>-178.56190000000001</v>
      </c>
      <c r="H8075" s="1">
        <v>-7.5497669999999998E-6</v>
      </c>
      <c r="I8075">
        <v>138.15770000000001</v>
      </c>
      <c r="J8075">
        <v>-186.73220000000001</v>
      </c>
      <c r="K8075">
        <v>1.1074649999999999</v>
      </c>
      <c r="L8075">
        <v>110.2651</v>
      </c>
      <c r="M8075">
        <v>6.8524459999999995E-2</v>
      </c>
      <c r="N8075">
        <v>0</v>
      </c>
      <c r="O8075">
        <v>0.99754549999999997</v>
      </c>
      <c r="P8075">
        <v>0.16268640000000001</v>
      </c>
      <c r="Q8075">
        <v>6.1856300000000003E-4</v>
      </c>
      <c r="R8075">
        <v>0.98667760000000004</v>
      </c>
      <c r="S8075">
        <v>0.8431244</v>
      </c>
      <c r="T8075">
        <v>-0.1139565</v>
      </c>
      <c r="U8075">
        <v>2.902298</v>
      </c>
      <c r="V8075">
        <v>9.4768489999999997E-2</v>
      </c>
      <c r="W8075">
        <v>1.4421740000000001E-2</v>
      </c>
      <c r="X8075">
        <v>0.99539489999999997</v>
      </c>
      <c r="Y8075">
        <v>0.21230270000000001</v>
      </c>
      <c r="Z8075">
        <v>-3.7867499999999998E-2</v>
      </c>
      <c r="AA8075">
        <v>0.97646999999999995</v>
      </c>
      <c r="AB8075">
        <v>31</v>
      </c>
      <c r="AC8075">
        <v>8.1702999999999903</v>
      </c>
      <c r="AD8075">
        <v>-1.1074725497669999</v>
      </c>
      <c r="AE8075">
        <v>27.892600000000002</v>
      </c>
      <c r="AF8075">
        <v>6.2305215349133496</v>
      </c>
      <c r="AG8075">
        <v>-1.1074725497669999</v>
      </c>
      <c r="AH8075">
        <v>28.3457912093819</v>
      </c>
      <c r="AI8075">
        <v>92.185298135731301</v>
      </c>
      <c r="AJ8075">
        <v>77.603287192760703</v>
      </c>
      <c r="AK8075">
        <v>29.043584030408098</v>
      </c>
      <c r="AL8075">
        <v>89.173666543582797</v>
      </c>
      <c r="AM8075">
        <v>84.561437706555097</v>
      </c>
      <c r="AN8075">
        <v>1.0000000301137499</v>
      </c>
    </row>
    <row r="8076" spans="1:40" x14ac:dyDescent="0.25">
      <c r="A8076" t="str">
        <f>"20190312160844691"</f>
        <v>20190312160844691</v>
      </c>
      <c r="B8076" t="str">
        <f>"1552378124683346"</f>
        <v>1552378124683346</v>
      </c>
      <c r="C8076" t="s">
        <v>40</v>
      </c>
      <c r="D8076">
        <v>6.0627529999999998</v>
      </c>
      <c r="E8076">
        <v>0.54694549999999997</v>
      </c>
      <c r="F8076" t="s">
        <v>89</v>
      </c>
      <c r="G8076">
        <v>-178.2422</v>
      </c>
      <c r="H8076" s="1">
        <v>-7.6938290000000001E-6</v>
      </c>
      <c r="I8076">
        <v>139.1387</v>
      </c>
      <c r="J8076">
        <v>-186.7081</v>
      </c>
      <c r="K8076">
        <v>1.1074580000000001</v>
      </c>
      <c r="L8076">
        <v>110.57389999999999</v>
      </c>
      <c r="M8076">
        <v>7.1295860000000003E-2</v>
      </c>
      <c r="N8076">
        <v>0</v>
      </c>
      <c r="O8076">
        <v>0.99735119999999999</v>
      </c>
      <c r="P8076">
        <v>0.1647556</v>
      </c>
      <c r="Q8076">
        <v>2.3090679999999999E-4</v>
      </c>
      <c r="R8076">
        <v>0.98633439999999994</v>
      </c>
      <c r="S8076">
        <v>0.85270689999999905</v>
      </c>
      <c r="T8076">
        <v>-0.1112316</v>
      </c>
      <c r="U8076">
        <v>2.899994</v>
      </c>
      <c r="V8076">
        <v>9.40888E-2</v>
      </c>
      <c r="W8076">
        <v>1.4033159999999999E-2</v>
      </c>
      <c r="X8076">
        <v>0.99546489999999999</v>
      </c>
      <c r="Y8076">
        <v>0.21277740000000001</v>
      </c>
      <c r="Z8076">
        <v>-3.6961889999999997E-2</v>
      </c>
      <c r="AA8076">
        <v>0.97640130000000003</v>
      </c>
      <c r="AB8076">
        <v>31</v>
      </c>
      <c r="AC8076">
        <v>8.4658999999999995</v>
      </c>
      <c r="AD8076">
        <v>-1.107465693829</v>
      </c>
      <c r="AE8076">
        <v>28.564800000000002</v>
      </c>
      <c r="AF8076">
        <v>6.3987467561758198</v>
      </c>
      <c r="AG8076">
        <v>-1.107465693829</v>
      </c>
      <c r="AH8076">
        <v>29.055591820546798</v>
      </c>
      <c r="AI8076">
        <v>92.131762262348403</v>
      </c>
      <c r="AJ8076">
        <v>77.580325054781198</v>
      </c>
      <c r="AK8076">
        <v>29.772434505006501</v>
      </c>
      <c r="AL8076">
        <v>89.195932766121899</v>
      </c>
      <c r="AM8076">
        <v>84.600589753778095</v>
      </c>
      <c r="AN8076">
        <v>0.99999999949851703</v>
      </c>
    </row>
    <row r="8077" spans="1:40" x14ac:dyDescent="0.25">
      <c r="A8077" t="str">
        <f>"20190312160844712"</f>
        <v>20190312160844712</v>
      </c>
      <c r="B8077" t="str">
        <f>"1552378124703842"</f>
        <v>1552378124703842</v>
      </c>
      <c r="C8077" t="s">
        <v>40</v>
      </c>
      <c r="D8077">
        <v>6.0292130000000004</v>
      </c>
      <c r="E8077">
        <v>0.54713059999999902</v>
      </c>
      <c r="F8077" t="s">
        <v>89</v>
      </c>
      <c r="G8077">
        <v>-178.33260000000001</v>
      </c>
      <c r="H8077" s="1">
        <v>-7.6324879999999905E-6</v>
      </c>
      <c r="I8077">
        <v>138.80240000000001</v>
      </c>
      <c r="J8077">
        <v>-186.6831</v>
      </c>
      <c r="K8077">
        <v>1.1074409999999999</v>
      </c>
      <c r="L8077">
        <v>110.8819</v>
      </c>
      <c r="M8077">
        <v>7.4078679999999994E-2</v>
      </c>
      <c r="N8077">
        <v>0</v>
      </c>
      <c r="O8077">
        <v>0.99714849999999999</v>
      </c>
      <c r="P8077">
        <v>0.1667912</v>
      </c>
      <c r="Q8077" s="1">
        <v>-8.8032569999999999E-5</v>
      </c>
      <c r="R8077">
        <v>0.98599230000000004</v>
      </c>
      <c r="S8077">
        <v>0.85983279999999995</v>
      </c>
      <c r="T8077">
        <v>-0.11369369999999999</v>
      </c>
      <c r="U8077">
        <v>2.89798</v>
      </c>
      <c r="V8077">
        <v>9.3364219999999998E-2</v>
      </c>
      <c r="W8077">
        <v>1.3714179999999999E-2</v>
      </c>
      <c r="X8077">
        <v>0.99553760000000002</v>
      </c>
      <c r="Y8077">
        <v>0.21243400000000001</v>
      </c>
      <c r="Z8077">
        <v>-3.7780979999999999E-2</v>
      </c>
      <c r="AA8077">
        <v>0.9764448</v>
      </c>
      <c r="AB8077">
        <v>31</v>
      </c>
      <c r="AC8077">
        <v>8.3504999999999807</v>
      </c>
      <c r="AD8077">
        <v>-1.107448632488</v>
      </c>
      <c r="AE8077">
        <v>27.920500000000001</v>
      </c>
      <c r="AF8077">
        <v>6.2499977430440303</v>
      </c>
      <c r="AG8077">
        <v>-1.107448632488</v>
      </c>
      <c r="AH8077">
        <v>28.4213848505856</v>
      </c>
      <c r="AI8077">
        <v>92.179398432980506</v>
      </c>
      <c r="AJ8077">
        <v>77.597786645255496</v>
      </c>
      <c r="AK8077">
        <v>29.1215389546423</v>
      </c>
      <c r="AL8077">
        <v>89.214210760734602</v>
      </c>
      <c r="AM8077">
        <v>84.642316805996103</v>
      </c>
      <c r="AN8077">
        <v>1.0000000346615101</v>
      </c>
    </row>
    <row r="8078" spans="1:40" x14ac:dyDescent="0.25">
      <c r="A8078" t="str">
        <f>"20190312160844737"</f>
        <v>20190312160844737</v>
      </c>
      <c r="B8078" t="str">
        <f>"1552378124723365"</f>
        <v>1552378124723365</v>
      </c>
      <c r="C8078" t="s">
        <v>40</v>
      </c>
      <c r="D8078">
        <v>6.1562839999999897</v>
      </c>
      <c r="E8078">
        <v>0.54725500000000005</v>
      </c>
      <c r="F8078" t="s">
        <v>89</v>
      </c>
      <c r="G8078">
        <v>-178.3194</v>
      </c>
      <c r="H8078" s="1">
        <v>-7.6275659999999999E-6</v>
      </c>
      <c r="I8078">
        <v>138.81200000000001</v>
      </c>
      <c r="J8078">
        <v>-186.65610000000001</v>
      </c>
      <c r="K8078">
        <v>1.1074310000000001</v>
      </c>
      <c r="L8078">
        <v>111.2033</v>
      </c>
      <c r="M8078">
        <v>7.6998800000000006E-2</v>
      </c>
      <c r="N8078">
        <v>0</v>
      </c>
      <c r="O8078">
        <v>0.99692729999999996</v>
      </c>
      <c r="P8078">
        <v>0.1688433</v>
      </c>
      <c r="Q8078">
        <v>-5.5499309999999997E-4</v>
      </c>
      <c r="R8078">
        <v>0.98564269999999998</v>
      </c>
      <c r="S8078">
        <v>0.8671875</v>
      </c>
      <c r="T8078">
        <v>-0.11482489999999999</v>
      </c>
      <c r="U8078">
        <v>2.895905</v>
      </c>
      <c r="V8078">
        <v>9.2518299999999998E-2</v>
      </c>
      <c r="W8078">
        <v>1.324883E-2</v>
      </c>
      <c r="X8078">
        <v>0.99562280000000003</v>
      </c>
      <c r="Y8078">
        <v>0.21203620000000001</v>
      </c>
      <c r="Z8078">
        <v>-3.8157839999999998E-2</v>
      </c>
      <c r="AA8078">
        <v>0.97651659999999996</v>
      </c>
      <c r="AB8078">
        <v>31</v>
      </c>
      <c r="AC8078">
        <v>8.3367000000000004</v>
      </c>
      <c r="AD8078">
        <v>-1.107438627566</v>
      </c>
      <c r="AE8078">
        <v>27.608699999999999</v>
      </c>
      <c r="AF8078">
        <v>6.1767799695962902</v>
      </c>
      <c r="AG8078">
        <v>-1.107438627566</v>
      </c>
      <c r="AH8078">
        <v>28.127226057055999</v>
      </c>
      <c r="AI8078">
        <v>92.202288591163807</v>
      </c>
      <c r="AJ8078">
        <v>77.614363657809093</v>
      </c>
      <c r="AK8078">
        <v>28.8187417624601</v>
      </c>
      <c r="AL8078">
        <v>89.240875720410202</v>
      </c>
      <c r="AM8078">
        <v>84.691032799365004</v>
      </c>
      <c r="AN8078">
        <v>0.99999996360554799</v>
      </c>
    </row>
    <row r="8079" spans="1:40" x14ac:dyDescent="0.25">
      <c r="A8079" t="str">
        <f>"20190312160844758"</f>
        <v>20190312160844758</v>
      </c>
      <c r="B8079" t="str">
        <f>"1552378124753618"</f>
        <v>1552378124753618</v>
      </c>
      <c r="C8079" t="s">
        <v>40</v>
      </c>
      <c r="D8079">
        <v>6.0304359999999999</v>
      </c>
      <c r="E8079">
        <v>0.54734459999999996</v>
      </c>
      <c r="F8079" t="s">
        <v>89</v>
      </c>
      <c r="G8079">
        <v>-178.59010000000001</v>
      </c>
      <c r="H8079" s="1">
        <v>-7.4802110000000001E-6</v>
      </c>
      <c r="I8079">
        <v>137.9085</v>
      </c>
      <c r="J8079">
        <v>-186.63040000000001</v>
      </c>
      <c r="K8079">
        <v>1.107429</v>
      </c>
      <c r="L8079">
        <v>111.49939999999999</v>
      </c>
      <c r="M8079">
        <v>7.9698939999999996E-2</v>
      </c>
      <c r="N8079">
        <v>0</v>
      </c>
      <c r="O8079">
        <v>0.99671509999999996</v>
      </c>
      <c r="P8079">
        <v>0.17023089999999999</v>
      </c>
      <c r="Q8079">
        <v>-3.2625459999999998E-4</v>
      </c>
      <c r="R8079">
        <v>0.98540410000000001</v>
      </c>
      <c r="S8079">
        <v>0.87406919999999899</v>
      </c>
      <c r="T8079">
        <v>-0.1200074</v>
      </c>
      <c r="U8079">
        <v>2.8939059999999999</v>
      </c>
      <c r="V8079">
        <v>9.1224600000000003E-2</v>
      </c>
      <c r="W8079">
        <v>1.3483419999999999E-2</v>
      </c>
      <c r="X8079">
        <v>0.99573900000000004</v>
      </c>
      <c r="Y8079">
        <v>0.2116845</v>
      </c>
      <c r="Z8079">
        <v>-3.9879039999999998E-2</v>
      </c>
      <c r="AA8079">
        <v>0.97652410000000001</v>
      </c>
      <c r="AB8079">
        <v>31</v>
      </c>
      <c r="AC8079">
        <v>8.0403000000000002</v>
      </c>
      <c r="AD8079">
        <v>-1.1074364802109999</v>
      </c>
      <c r="AE8079">
        <v>26.409099999999999</v>
      </c>
      <c r="AF8079">
        <v>5.9002279399691799</v>
      </c>
      <c r="AG8079">
        <v>-1.1074364802109999</v>
      </c>
      <c r="AH8079">
        <v>26.922618266436199</v>
      </c>
      <c r="AI8079">
        <v>92.300932996249102</v>
      </c>
      <c r="AJ8079">
        <v>77.638766367907607</v>
      </c>
      <c r="AK8079">
        <v>27.583808287137199</v>
      </c>
      <c r="AL8079">
        <v>89.227433486399306</v>
      </c>
      <c r="AM8079">
        <v>84.765461187008398</v>
      </c>
      <c r="AN8079">
        <v>0.99999994319052599</v>
      </c>
    </row>
    <row r="8080" spans="1:40" x14ac:dyDescent="0.25">
      <c r="A8080" t="str">
        <f>"20190312160844780"</f>
        <v>20190312160844780</v>
      </c>
      <c r="B8080" t="str">
        <f>"1552378124774114"</f>
        <v>1552378124774114</v>
      </c>
      <c r="C8080" t="s">
        <v>40</v>
      </c>
      <c r="D8080">
        <v>6.0879649999999996</v>
      </c>
      <c r="E8080">
        <v>0.54744569999999904</v>
      </c>
      <c r="F8080" t="s">
        <v>89</v>
      </c>
      <c r="G8080">
        <v>-178.43610000000001</v>
      </c>
      <c r="H8080" s="1">
        <v>-7.5777210000000003E-6</v>
      </c>
      <c r="I8080">
        <v>138.4616</v>
      </c>
      <c r="J8080">
        <v>-186.6026</v>
      </c>
      <c r="K8080">
        <v>1.1074269999999999</v>
      </c>
      <c r="L8080">
        <v>111.8083</v>
      </c>
      <c r="M8080">
        <v>8.2522020000000001E-2</v>
      </c>
      <c r="N8080">
        <v>0</v>
      </c>
      <c r="O8080">
        <v>0.99648539999999997</v>
      </c>
      <c r="P8080">
        <v>0.171800799999999</v>
      </c>
      <c r="Q8080" s="1">
        <v>2.495106E-5</v>
      </c>
      <c r="R8080">
        <v>0.98513170000000005</v>
      </c>
      <c r="S8080">
        <v>0.87908940000000002</v>
      </c>
      <c r="T8080">
        <v>-0.118807</v>
      </c>
      <c r="U8080">
        <v>2.8925320000000001</v>
      </c>
      <c r="V8080">
        <v>8.9992379999999997E-2</v>
      </c>
      <c r="W8080">
        <v>1.384006E-2</v>
      </c>
      <c r="X8080">
        <v>0.99584629999999996</v>
      </c>
      <c r="Y8080">
        <v>0.21060119999999999</v>
      </c>
      <c r="Z8080">
        <v>-3.9479939999999998E-2</v>
      </c>
      <c r="AA8080">
        <v>0.97677449999999999</v>
      </c>
      <c r="AB8080">
        <v>31</v>
      </c>
      <c r="AC8080">
        <v>8.1664999999999797</v>
      </c>
      <c r="AD8080">
        <v>-1.107434577721</v>
      </c>
      <c r="AE8080">
        <v>26.653300000000002</v>
      </c>
      <c r="AF8080">
        <v>5.9295703600579301</v>
      </c>
      <c r="AG8080">
        <v>-1.107434577721</v>
      </c>
      <c r="AH8080">
        <v>27.193442044107901</v>
      </c>
      <c r="AI8080">
        <v>92.2785620036898</v>
      </c>
      <c r="AJ8080">
        <v>77.699112711218206</v>
      </c>
      <c r="AK8080">
        <v>27.8544342287734</v>
      </c>
      <c r="AL8080">
        <v>89.206997667656694</v>
      </c>
      <c r="AM8080">
        <v>84.836335447060804</v>
      </c>
      <c r="AN8080">
        <v>1.00000001447127</v>
      </c>
    </row>
    <row r="8081" spans="1:40" x14ac:dyDescent="0.25">
      <c r="A8081" t="str">
        <f>"20190312160844803"</f>
        <v>20190312160844803</v>
      </c>
      <c r="B8081" t="str">
        <f>"1552378124793634"</f>
        <v>1552378124793634</v>
      </c>
      <c r="C8081" t="s">
        <v>40</v>
      </c>
      <c r="D8081">
        <v>6.1369429999999996</v>
      </c>
      <c r="E8081">
        <v>0.54753799999999997</v>
      </c>
      <c r="F8081" t="s">
        <v>89</v>
      </c>
      <c r="G8081">
        <v>-178.25540000000001</v>
      </c>
      <c r="H8081" s="1">
        <v>-7.6850140000000001E-6</v>
      </c>
      <c r="I8081">
        <v>139.09010000000001</v>
      </c>
      <c r="J8081">
        <v>-186.57300000000001</v>
      </c>
      <c r="K8081">
        <v>1.107434</v>
      </c>
      <c r="L8081">
        <v>112.128</v>
      </c>
      <c r="M8081">
        <v>8.5448709999999997E-2</v>
      </c>
      <c r="N8081">
        <v>0</v>
      </c>
      <c r="O8081">
        <v>0.99623859999999997</v>
      </c>
      <c r="P8081">
        <v>0.17325779999999999</v>
      </c>
      <c r="Q8081">
        <v>-2.67314E-4</v>
      </c>
      <c r="R8081">
        <v>0.98487650000000004</v>
      </c>
      <c r="S8081">
        <v>0.884552</v>
      </c>
      <c r="T8081">
        <v>-0.117354</v>
      </c>
      <c r="U8081">
        <v>2.8910369999999999</v>
      </c>
      <c r="V8081">
        <v>8.8538329999999998E-2</v>
      </c>
      <c r="W8081">
        <v>1.3555889999999999E-2</v>
      </c>
      <c r="X8081">
        <v>0.99598050000000005</v>
      </c>
      <c r="Y8081">
        <v>0.20956420000000001</v>
      </c>
      <c r="Z8081">
        <v>-3.8996509999999998E-2</v>
      </c>
      <c r="AA8081">
        <v>0.97701689999999997</v>
      </c>
      <c r="AB8081">
        <v>31</v>
      </c>
      <c r="AC8081">
        <v>8.3175999999999704</v>
      </c>
      <c r="AD8081">
        <v>-1.1074416850139901</v>
      </c>
      <c r="AE8081">
        <v>26.9621</v>
      </c>
      <c r="AF8081">
        <v>5.9738547471510799</v>
      </c>
      <c r="AG8081">
        <v>-1.1074416850139901</v>
      </c>
      <c r="AH8081">
        <v>27.531857323262599</v>
      </c>
      <c r="AI8081">
        <v>92.251098357767802</v>
      </c>
      <c r="AJ8081">
        <v>77.757745961803906</v>
      </c>
      <c r="AK8081">
        <v>28.1942642268646</v>
      </c>
      <c r="AL8081">
        <v>89.223280907917498</v>
      </c>
      <c r="AM8081">
        <v>84.920008018477503</v>
      </c>
      <c r="AN8081">
        <v>0.99999997720656497</v>
      </c>
    </row>
    <row r="8082" spans="1:40" x14ac:dyDescent="0.25">
      <c r="A8082" t="str">
        <f>"20190312160844823"</f>
        <v>20190312160844823</v>
      </c>
      <c r="B8082" t="str">
        <f>"1552378124813158"</f>
        <v>1552378124813158</v>
      </c>
      <c r="C8082" t="s">
        <v>40</v>
      </c>
      <c r="D8082">
        <v>6.075253</v>
      </c>
      <c r="E8082">
        <v>0.54771000000000003</v>
      </c>
      <c r="F8082" t="s">
        <v>89</v>
      </c>
      <c r="G8082">
        <v>-178.38980000000001</v>
      </c>
      <c r="H8082" s="1">
        <v>-7.6366239999999997E-6</v>
      </c>
      <c r="I8082">
        <v>138.71250000000001</v>
      </c>
      <c r="J8082">
        <v>-186.54599999999999</v>
      </c>
      <c r="K8082">
        <v>1.107437</v>
      </c>
      <c r="L8082">
        <v>112.41079999999999</v>
      </c>
      <c r="M8082">
        <v>8.8038630000000007E-2</v>
      </c>
      <c r="N8082">
        <v>0</v>
      </c>
      <c r="O8082">
        <v>0.99601320000000004</v>
      </c>
      <c r="P8082">
        <v>0.17523720000000001</v>
      </c>
      <c r="Q8082">
        <v>-2.1887640000000001E-4</v>
      </c>
      <c r="R8082">
        <v>0.98452620000000002</v>
      </c>
      <c r="S8082">
        <v>0.88946530000000001</v>
      </c>
      <c r="T8082">
        <v>-0.12037150000000001</v>
      </c>
      <c r="U8082">
        <v>2.8895569999999999</v>
      </c>
      <c r="V8082">
        <v>8.7951009999999996E-2</v>
      </c>
      <c r="W8082">
        <v>1.360595E-2</v>
      </c>
      <c r="X8082">
        <v>0.99603189999999997</v>
      </c>
      <c r="Y8082">
        <v>0.20866860000000001</v>
      </c>
      <c r="Z8082">
        <v>-3.9997619999999998E-2</v>
      </c>
      <c r="AA8082">
        <v>0.97716809999999998</v>
      </c>
      <c r="AB8082">
        <v>31</v>
      </c>
      <c r="AC8082">
        <v>8.1561999999999806</v>
      </c>
      <c r="AD8082">
        <v>-1.1074446366240001</v>
      </c>
      <c r="AE8082">
        <v>26.3017</v>
      </c>
      <c r="AF8082">
        <v>5.7993386838197098</v>
      </c>
      <c r="AG8082">
        <v>-1.1074446366240001</v>
      </c>
      <c r="AH8082">
        <v>26.874221156846101</v>
      </c>
      <c r="AI8082">
        <v>92.306696044324994</v>
      </c>
      <c r="AJ8082">
        <v>77.822556473658395</v>
      </c>
      <c r="AK8082">
        <v>27.515132665133802</v>
      </c>
      <c r="AL8082">
        <v>89.220412453007498</v>
      </c>
      <c r="AM8082">
        <v>84.953790694195504</v>
      </c>
      <c r="AN8082">
        <v>1.0000000239265101</v>
      </c>
    </row>
    <row r="8083" spans="1:40" x14ac:dyDescent="0.25">
      <c r="A8083" t="str">
        <f>"20190312160844845"</f>
        <v>20190312160844845</v>
      </c>
      <c r="B8083" t="str">
        <f>"1552378124833650"</f>
        <v>1552378124833650</v>
      </c>
      <c r="C8083" t="s">
        <v>40</v>
      </c>
      <c r="D8083">
        <v>6.0789499999999999</v>
      </c>
      <c r="E8083">
        <v>0.54781599999999997</v>
      </c>
      <c r="F8083" t="s">
        <v>89</v>
      </c>
      <c r="G8083">
        <v>-178.35489999999999</v>
      </c>
      <c r="H8083" s="1">
        <v>-7.6415009999999905E-6</v>
      </c>
      <c r="I8083">
        <v>138.7886</v>
      </c>
      <c r="J8083">
        <v>-186.51730000000001</v>
      </c>
      <c r="K8083">
        <v>1.107443</v>
      </c>
      <c r="L8083">
        <v>112.7039</v>
      </c>
      <c r="M8083">
        <v>9.0726639999999997E-2</v>
      </c>
      <c r="N8083">
        <v>0</v>
      </c>
      <c r="O8083">
        <v>0.99577190000000004</v>
      </c>
      <c r="P8083">
        <v>0.17729529999999999</v>
      </c>
      <c r="Q8083">
        <v>-2.1557790000000001E-4</v>
      </c>
      <c r="R8083">
        <v>0.98415770000000002</v>
      </c>
      <c r="S8083">
        <v>0.89666749999999995</v>
      </c>
      <c r="T8083">
        <v>-0.1212299</v>
      </c>
      <c r="U8083">
        <v>2.887527</v>
      </c>
      <c r="V8083">
        <v>8.7344969999999994E-2</v>
      </c>
      <c r="W8083">
        <v>1.36112E-2</v>
      </c>
      <c r="X8083">
        <v>0.99608509999999995</v>
      </c>
      <c r="Y8083">
        <v>0.2084432</v>
      </c>
      <c r="Z8083">
        <v>-4.028118E-2</v>
      </c>
      <c r="AA8083">
        <v>0.97720459999999998</v>
      </c>
      <c r="AB8083">
        <v>31</v>
      </c>
      <c r="AC8083">
        <v>8.1624000000000194</v>
      </c>
      <c r="AD8083">
        <v>-1.1074506415009999</v>
      </c>
      <c r="AE8083">
        <v>26.084700000000002</v>
      </c>
      <c r="AF8083">
        <v>5.7524636511742404</v>
      </c>
      <c r="AG8083">
        <v>-1.1074506415009999</v>
      </c>
      <c r="AH8083">
        <v>26.673931905649098</v>
      </c>
      <c r="AI8083">
        <v>92.324075778128005</v>
      </c>
      <c r="AJ8083">
        <v>77.830055223213904</v>
      </c>
      <c r="AK8083">
        <v>27.3096306875183</v>
      </c>
      <c r="AL8083">
        <v>89.220111578302706</v>
      </c>
      <c r="AM8083">
        <v>84.9886509868914</v>
      </c>
      <c r="AN8083">
        <v>0.99999996749587405</v>
      </c>
    </row>
    <row r="8084" spans="1:40" x14ac:dyDescent="0.25">
      <c r="A8084" t="str">
        <f>"20190312160844868"</f>
        <v>20190312160844868</v>
      </c>
      <c r="B8084" t="str">
        <f>"1552378124863906"</f>
        <v>1552378124863906</v>
      </c>
      <c r="C8084" t="s">
        <v>40</v>
      </c>
      <c r="D8084">
        <v>6.0688139999999997</v>
      </c>
      <c r="E8084">
        <v>0.54742389999999996</v>
      </c>
      <c r="F8084" t="s">
        <v>89</v>
      </c>
      <c r="G8084">
        <v>-178.3777</v>
      </c>
      <c r="H8084" s="1">
        <v>-7.6239290000000001E-6</v>
      </c>
      <c r="I8084">
        <v>138.6977</v>
      </c>
      <c r="J8084">
        <v>-186.48560000000001</v>
      </c>
      <c r="K8084">
        <v>1.1074469999999901</v>
      </c>
      <c r="L8084">
        <v>113.01730000000001</v>
      </c>
      <c r="M8084">
        <v>9.3604599999999996E-2</v>
      </c>
      <c r="N8084">
        <v>0</v>
      </c>
      <c r="O8084">
        <v>0.99550559999999999</v>
      </c>
      <c r="P8084">
        <v>0.17919060000000001</v>
      </c>
      <c r="Q8084">
        <v>1.865402E-4</v>
      </c>
      <c r="R8084">
        <v>0.98381439999999998</v>
      </c>
      <c r="S8084">
        <v>0.90354920000000005</v>
      </c>
      <c r="T8084">
        <v>-0.122935199999999</v>
      </c>
      <c r="U8084">
        <v>2.8854980000000001</v>
      </c>
      <c r="V8084">
        <v>8.6386470000000007E-2</v>
      </c>
      <c r="W8084">
        <v>1.4017430000000001E-2</v>
      </c>
      <c r="X8084">
        <v>0.99616309999999997</v>
      </c>
      <c r="Y8084">
        <v>0.2079279</v>
      </c>
      <c r="Z8084">
        <v>-4.0845890000000003E-2</v>
      </c>
      <c r="AA8084">
        <v>0.97729089999999996</v>
      </c>
      <c r="AB8084">
        <v>31</v>
      </c>
      <c r="AC8084">
        <v>8.1079000000000008</v>
      </c>
      <c r="AD8084">
        <v>-1.10745462392899</v>
      </c>
      <c r="AE8084">
        <v>25.680399999999899</v>
      </c>
      <c r="AF8084">
        <v>5.6586727012250897</v>
      </c>
      <c r="AG8084">
        <v>-1.10745462392899</v>
      </c>
      <c r="AH8084">
        <v>26.282193719217201</v>
      </c>
      <c r="AI8084">
        <v>92.358857796531197</v>
      </c>
      <c r="AJ8084">
        <v>77.849449053338901</v>
      </c>
      <c r="AK8084">
        <v>26.907261829812999</v>
      </c>
      <c r="AL8084">
        <v>89.196834130783003</v>
      </c>
      <c r="AM8084">
        <v>85.043754871346906</v>
      </c>
      <c r="AN8084">
        <v>1.00000001617223</v>
      </c>
    </row>
    <row r="8085" spans="1:40" x14ac:dyDescent="0.25">
      <c r="A8085" t="str">
        <f>"20190312160844891"</f>
        <v>20190312160844891</v>
      </c>
      <c r="B8085" t="str">
        <f>"1552378124883430"</f>
        <v>1552378124883430</v>
      </c>
      <c r="C8085" t="s">
        <v>40</v>
      </c>
      <c r="D8085">
        <v>5.9738379999999998</v>
      </c>
      <c r="E8085">
        <v>0.54667119999999902</v>
      </c>
      <c r="F8085" t="s">
        <v>89</v>
      </c>
      <c r="G8085">
        <v>-178.56899999999999</v>
      </c>
      <c r="H8085" s="1">
        <v>-7.5774800000000002E-6</v>
      </c>
      <c r="I8085">
        <v>138.2243</v>
      </c>
      <c r="J8085">
        <v>-186.4529</v>
      </c>
      <c r="K8085">
        <v>1.107451</v>
      </c>
      <c r="L8085">
        <v>113.33280000000001</v>
      </c>
      <c r="M8085">
        <v>9.6510299999999993E-2</v>
      </c>
      <c r="N8085">
        <v>0</v>
      </c>
      <c r="O8085">
        <v>0.99522820000000001</v>
      </c>
      <c r="P8085">
        <v>0.1813381</v>
      </c>
      <c r="Q8085">
        <v>3.7482189999999999E-4</v>
      </c>
      <c r="R8085">
        <v>0.98342070000000004</v>
      </c>
      <c r="S8085">
        <v>0.90588380000000002</v>
      </c>
      <c r="T8085">
        <v>-0.12672359999999999</v>
      </c>
      <c r="U8085">
        <v>2.8843839999999998</v>
      </c>
      <c r="V8085">
        <v>8.5654419999999995E-2</v>
      </c>
      <c r="W8085">
        <v>1.420766E-2</v>
      </c>
      <c r="X8085">
        <v>0.99622359999999999</v>
      </c>
      <c r="Y8085">
        <v>0.20588429999999999</v>
      </c>
      <c r="Z8085">
        <v>-4.2104460000000003E-2</v>
      </c>
      <c r="AA8085">
        <v>0.97767009999999999</v>
      </c>
      <c r="AB8085">
        <v>31</v>
      </c>
      <c r="AC8085">
        <v>7.8838999999999801</v>
      </c>
      <c r="AD8085">
        <v>-1.1074585774800001</v>
      </c>
      <c r="AE8085">
        <v>24.891499999999901</v>
      </c>
      <c r="AF8085">
        <v>5.4347786608934099</v>
      </c>
      <c r="AG8085">
        <v>-1.1074585774800001</v>
      </c>
      <c r="AH8085">
        <v>25.4903806720008</v>
      </c>
      <c r="AI8085">
        <v>92.433096439609201</v>
      </c>
      <c r="AJ8085">
        <v>77.964238517556694</v>
      </c>
      <c r="AK8085">
        <v>26.086831743185101</v>
      </c>
      <c r="AL8085">
        <v>89.1859336554717</v>
      </c>
      <c r="AM8085">
        <v>85.085845150183502</v>
      </c>
      <c r="AN8085">
        <v>0.99999999923258598</v>
      </c>
    </row>
    <row r="8086" spans="1:40" x14ac:dyDescent="0.25">
      <c r="A8086" t="str">
        <f>"20190312160844904"</f>
        <v>20190312160844904</v>
      </c>
      <c r="B8086" t="str">
        <f>"1552378124894162"</f>
        <v>1552378124894162</v>
      </c>
      <c r="C8086" t="s">
        <v>40</v>
      </c>
      <c r="D8086">
        <v>5.9623629999999999</v>
      </c>
      <c r="E8086">
        <v>0.50914409999999999</v>
      </c>
      <c r="F8086" t="s">
        <v>89</v>
      </c>
      <c r="G8086">
        <v>-178.7346</v>
      </c>
      <c r="H8086" s="1">
        <v>-7.5641499999999901E-6</v>
      </c>
      <c r="I8086">
        <v>137.8913</v>
      </c>
      <c r="J8086">
        <v>-186.43360000000001</v>
      </c>
      <c r="K8086">
        <v>1.1074520000000001</v>
      </c>
      <c r="L8086">
        <v>113.5134</v>
      </c>
      <c r="M8086">
        <v>9.8180320000000001E-2</v>
      </c>
      <c r="N8086">
        <v>0</v>
      </c>
      <c r="O8086">
        <v>0.99506479999999997</v>
      </c>
      <c r="P8086">
        <v>0.18278539999999999</v>
      </c>
      <c r="Q8086">
        <v>7.7655979999999996E-4</v>
      </c>
      <c r="R8086">
        <v>0.98315249999999998</v>
      </c>
      <c r="S8086">
        <v>0.90623469999999995</v>
      </c>
      <c r="T8086">
        <v>-0.1300317</v>
      </c>
      <c r="U8086">
        <v>2.8835299999999999</v>
      </c>
      <c r="V8086">
        <v>8.5451299999999994E-2</v>
      </c>
      <c r="W8086">
        <v>1.4608640000000001E-2</v>
      </c>
      <c r="X8086">
        <v>0.99623530000000005</v>
      </c>
      <c r="Y8086">
        <v>0.20441880000000001</v>
      </c>
      <c r="Z8086">
        <v>-4.3208980000000001E-2</v>
      </c>
      <c r="AA8086">
        <v>0.97792939999999995</v>
      </c>
      <c r="AB8086">
        <v>31</v>
      </c>
      <c r="AC8086">
        <v>7.6990000000000096</v>
      </c>
      <c r="AD8086">
        <v>-1.10745956415</v>
      </c>
      <c r="AE8086">
        <v>24.3779</v>
      </c>
      <c r="AF8086">
        <v>5.2582506255701098</v>
      </c>
      <c r="AG8086">
        <v>-1.10745956415</v>
      </c>
      <c r="AH8086">
        <v>24.969208316151398</v>
      </c>
      <c r="AI8086">
        <v>92.485138945463504</v>
      </c>
      <c r="AJ8086">
        <v>78.107880883089393</v>
      </c>
      <c r="AK8086">
        <v>25.540889378854899</v>
      </c>
      <c r="AL8086">
        <v>89.162956855253498</v>
      </c>
      <c r="AM8086">
        <v>85.097498958018704</v>
      </c>
      <c r="AN8086">
        <v>1.0000000550002099</v>
      </c>
    </row>
    <row r="8087" spans="1:40" x14ac:dyDescent="0.25">
      <c r="A8087" t="str">
        <f>"20190312160844924"</f>
        <v>20190312160844924</v>
      </c>
      <c r="B8087" t="str">
        <f>"1552378124913682"</f>
        <v>1552378124913682</v>
      </c>
      <c r="C8087" t="s">
        <v>40</v>
      </c>
      <c r="D8087">
        <v>6.0348680000000003</v>
      </c>
      <c r="E8087">
        <v>0.50579269999999998</v>
      </c>
      <c r="F8087" t="s">
        <v>44</v>
      </c>
      <c r="G8087">
        <v>-186.27420000000001</v>
      </c>
      <c r="H8087">
        <v>0.91150370000000003</v>
      </c>
      <c r="I8087">
        <v>114.297</v>
      </c>
      <c r="J8087">
        <v>-186.40479999999999</v>
      </c>
      <c r="K8087">
        <v>1.1074469999999901</v>
      </c>
      <c r="L8087">
        <v>113.7788</v>
      </c>
      <c r="M8087">
        <v>0.10064380000000001</v>
      </c>
      <c r="N8087">
        <v>0</v>
      </c>
      <c r="O8087">
        <v>0.99481869999999994</v>
      </c>
      <c r="P8087">
        <v>0.18424670000000001</v>
      </c>
      <c r="Q8087">
        <v>6.320481E-4</v>
      </c>
      <c r="R8087">
        <v>0.98287979999999997</v>
      </c>
      <c r="S8087">
        <v>0.59806819999999905</v>
      </c>
      <c r="T8087">
        <v>-0.73535010000000001</v>
      </c>
      <c r="U8087">
        <v>2.9407960000000002</v>
      </c>
      <c r="V8087">
        <v>8.4464860000000003E-2</v>
      </c>
      <c r="W8087">
        <v>1.4467509999999999E-2</v>
      </c>
      <c r="X8087">
        <v>0.99632140000000002</v>
      </c>
      <c r="Y8087">
        <v>9.3895220000000001E-2</v>
      </c>
      <c r="Z8087">
        <v>-0.23796510000000001</v>
      </c>
      <c r="AA8087">
        <v>0.96672449999999999</v>
      </c>
      <c r="AB8087">
        <v>31</v>
      </c>
      <c r="AC8087">
        <v>0.13059999999998601</v>
      </c>
      <c r="AD8087">
        <v>-0.19594329999999899</v>
      </c>
      <c r="AE8087">
        <v>0.51820000000000699</v>
      </c>
      <c r="AF8087">
        <v>6.8560600822924006E-2</v>
      </c>
      <c r="AG8087">
        <v>-0.19594329999999899</v>
      </c>
      <c r="AH8087">
        <v>0.466057928313797</v>
      </c>
      <c r="AI8087">
        <v>112.58488310724501</v>
      </c>
      <c r="AJ8087">
        <v>81.631385886058993</v>
      </c>
      <c r="AK8087">
        <v>0.51020027963951498</v>
      </c>
      <c r="AL8087">
        <v>89.171043797977603</v>
      </c>
      <c r="AM8087">
        <v>85.154238575742099</v>
      </c>
      <c r="AN8087">
        <v>0.99999997675918895</v>
      </c>
    </row>
    <row r="8088" spans="1:40" x14ac:dyDescent="0.25">
      <c r="A8088" t="str">
        <f>"20190312160844947"</f>
        <v>20190312160844947</v>
      </c>
      <c r="B8088" t="str">
        <f>"1552378124933202"</f>
        <v>1552378124933202</v>
      </c>
      <c r="C8088" t="s">
        <v>40</v>
      </c>
      <c r="D8088">
        <v>5.8859279999999998</v>
      </c>
      <c r="E8088">
        <v>0.50559279999999995</v>
      </c>
      <c r="F8088" t="s">
        <v>44</v>
      </c>
      <c r="G8088">
        <v>-186.24719999999999</v>
      </c>
      <c r="H8088">
        <v>0.93118690000000004</v>
      </c>
      <c r="I8088">
        <v>114.5789</v>
      </c>
      <c r="J8088">
        <v>-186.36949999999999</v>
      </c>
      <c r="K8088">
        <v>1.1074269999999999</v>
      </c>
      <c r="L8088">
        <v>114.0964</v>
      </c>
      <c r="M8088">
        <v>0.1036127</v>
      </c>
      <c r="N8088">
        <v>0</v>
      </c>
      <c r="O8088">
        <v>0.99451389999999995</v>
      </c>
      <c r="P8088">
        <v>0.18706680000000001</v>
      </c>
      <c r="Q8088">
        <v>1.5672409999999999E-4</v>
      </c>
      <c r="R8088">
        <v>0.98234719999999998</v>
      </c>
      <c r="S8088">
        <v>0.57943730000000004</v>
      </c>
      <c r="T8088">
        <v>-0.64848519999999998</v>
      </c>
      <c r="U8088">
        <v>2.9440770000000001</v>
      </c>
      <c r="V8088">
        <v>8.4347870000000005E-2</v>
      </c>
      <c r="W8088">
        <v>1.3988820000000001E-2</v>
      </c>
      <c r="X8088">
        <v>0.99633819999999995</v>
      </c>
      <c r="Y8088">
        <v>8.6026909999999998E-2</v>
      </c>
      <c r="Z8088">
        <v>-0.21108740000000001</v>
      </c>
      <c r="AA8088">
        <v>0.97367420000000005</v>
      </c>
      <c r="AB8088">
        <v>31</v>
      </c>
      <c r="AC8088">
        <v>0.122299999999995</v>
      </c>
      <c r="AD8088">
        <v>-0.17624009999999901</v>
      </c>
      <c r="AE8088">
        <v>0.48250000000000098</v>
      </c>
      <c r="AF8088">
        <v>6.36623656469337E-2</v>
      </c>
      <c r="AG8088">
        <v>-0.17624009999999901</v>
      </c>
      <c r="AH8088">
        <v>0.437703491445535</v>
      </c>
      <c r="AI8088">
        <v>111.72504239587801</v>
      </c>
      <c r="AJ8088">
        <v>81.724568235919193</v>
      </c>
      <c r="AK8088">
        <v>0.47612794086399202</v>
      </c>
      <c r="AL8088">
        <v>89.198473534446904</v>
      </c>
      <c r="AM8088">
        <v>85.160999623544996</v>
      </c>
      <c r="AN8088">
        <v>1.00000002951888</v>
      </c>
    </row>
    <row r="8089" spans="1:40" x14ac:dyDescent="0.25">
      <c r="A8089" t="str">
        <f>"20190312160844971"</f>
        <v>20190312160844971</v>
      </c>
      <c r="B8089" t="str">
        <f>"1552378124963458"</f>
        <v>1552378124963458</v>
      </c>
      <c r="C8089" t="s">
        <v>40</v>
      </c>
      <c r="D8089">
        <v>6.6129600000000002</v>
      </c>
      <c r="E8089">
        <v>0.50608039999999999</v>
      </c>
      <c r="F8089" t="s">
        <v>44</v>
      </c>
      <c r="G8089">
        <v>-186.2175</v>
      </c>
      <c r="H8089">
        <v>0.94603340000000002</v>
      </c>
      <c r="I8089">
        <v>114.85809999999999</v>
      </c>
      <c r="J8089">
        <v>-186.333</v>
      </c>
      <c r="K8089">
        <v>1.107413</v>
      </c>
      <c r="L8089">
        <v>114.4158</v>
      </c>
      <c r="M8089">
        <v>0.1066254</v>
      </c>
      <c r="N8089">
        <v>0</v>
      </c>
      <c r="O8089">
        <v>0.99419550000000001</v>
      </c>
      <c r="P8089">
        <v>0.18947369999999999</v>
      </c>
      <c r="Q8089">
        <v>-2.3205280000000001E-4</v>
      </c>
      <c r="R8089">
        <v>0.98188580000000003</v>
      </c>
      <c r="S8089">
        <v>0.58715819999999996</v>
      </c>
      <c r="T8089">
        <v>-0.62339639999999996</v>
      </c>
      <c r="U8089">
        <v>2.9422000000000001</v>
      </c>
      <c r="V8089">
        <v>8.3769049999999998E-2</v>
      </c>
      <c r="W8089">
        <v>1.3598799999999999E-2</v>
      </c>
      <c r="X8089">
        <v>0.99639239999999996</v>
      </c>
      <c r="Y8089">
        <v>8.5910899999999998E-2</v>
      </c>
      <c r="Z8089">
        <v>-0.2032467</v>
      </c>
      <c r="AA8089">
        <v>0.97535130000000003</v>
      </c>
      <c r="AB8089">
        <v>31</v>
      </c>
      <c r="AC8089">
        <v>0.11549999999999699</v>
      </c>
      <c r="AD8089">
        <v>-0.16137959999999901</v>
      </c>
      <c r="AE8089">
        <v>0.44229999999998798</v>
      </c>
      <c r="AF8089">
        <v>6.01764950314463E-2</v>
      </c>
      <c r="AG8089">
        <v>-0.16137959999999901</v>
      </c>
      <c r="AH8089">
        <v>0.401994883138593</v>
      </c>
      <c r="AI8089">
        <v>111.654225860319</v>
      </c>
      <c r="AJ8089">
        <v>81.486343810102795</v>
      </c>
      <c r="AK8089">
        <v>0.43733793789247299</v>
      </c>
      <c r="AL8089">
        <v>89.220822135475004</v>
      </c>
      <c r="AM8089">
        <v>85.194310403671395</v>
      </c>
      <c r="AN8089">
        <v>0.99999999793855099</v>
      </c>
    </row>
    <row r="8090" spans="1:40" x14ac:dyDescent="0.25">
      <c r="A8090" t="str">
        <f>"20190312160844992"</f>
        <v>20190312160844992</v>
      </c>
      <c r="B8090" t="str">
        <f>"1552378124983954"</f>
        <v>1552378124983954</v>
      </c>
      <c r="C8090" t="s">
        <v>40</v>
      </c>
      <c r="D8090">
        <v>6.0176470000000002</v>
      </c>
      <c r="E8090">
        <v>0.50610829999999996</v>
      </c>
      <c r="F8090" t="s">
        <v>44</v>
      </c>
      <c r="G8090">
        <v>-186.18639999999999</v>
      </c>
      <c r="H8090">
        <v>0.95724560000000003</v>
      </c>
      <c r="I8090">
        <v>115.13509999999999</v>
      </c>
      <c r="J8090">
        <v>-186.29920000000001</v>
      </c>
      <c r="K8090">
        <v>1.1073930000000001</v>
      </c>
      <c r="L8090">
        <v>114.7038</v>
      </c>
      <c r="M8090">
        <v>0.1093758</v>
      </c>
      <c r="N8090">
        <v>0</v>
      </c>
      <c r="O8090">
        <v>0.99389669999999997</v>
      </c>
      <c r="P8090">
        <v>0.19181619999999999</v>
      </c>
      <c r="Q8090">
        <v>3.0131309999999997E-4</v>
      </c>
      <c r="R8090">
        <v>0.98143080000000005</v>
      </c>
      <c r="S8090">
        <v>0.59887699999999999</v>
      </c>
      <c r="T8090">
        <v>-0.61364890000000005</v>
      </c>
      <c r="U8090">
        <v>2.9396209999999998</v>
      </c>
      <c r="V8090">
        <v>8.339357E-2</v>
      </c>
      <c r="W8090">
        <v>1.412947E-2</v>
      </c>
      <c r="X8090">
        <v>0.99641650000000004</v>
      </c>
      <c r="Y8090">
        <v>8.7180939999999998E-2</v>
      </c>
      <c r="Z8090">
        <v>-0.20018920000000001</v>
      </c>
      <c r="AA8090">
        <v>0.97587080000000004</v>
      </c>
      <c r="AB8090">
        <v>30</v>
      </c>
      <c r="AC8090">
        <v>0.11280000000002099</v>
      </c>
      <c r="AD8090">
        <v>-0.15014739999999999</v>
      </c>
      <c r="AE8090">
        <v>0.43129999999999302</v>
      </c>
      <c r="AF8090">
        <v>5.8328085382514598E-2</v>
      </c>
      <c r="AG8090">
        <v>-0.15014739999999999</v>
      </c>
      <c r="AH8090">
        <v>0.39611759086258702</v>
      </c>
      <c r="AI8090">
        <v>110.556238891696</v>
      </c>
      <c r="AJ8090">
        <v>81.623424981456793</v>
      </c>
      <c r="AK8090">
        <v>0.42761612815927602</v>
      </c>
      <c r="AL8090">
        <v>89.190414051061794</v>
      </c>
      <c r="AM8090">
        <v>85.215866027507602</v>
      </c>
      <c r="AN8090">
        <v>0.99999998545603697</v>
      </c>
    </row>
    <row r="8091" spans="1:40" x14ac:dyDescent="0.25">
      <c r="A8091" t="str">
        <f>"20190312160845015"</f>
        <v>20190312160845015</v>
      </c>
      <c r="B8091" t="str">
        <f>"1552378125003474"</f>
        <v>1552378125003474</v>
      </c>
      <c r="C8091" t="s">
        <v>40</v>
      </c>
      <c r="D8091">
        <v>5.9996090000000004</v>
      </c>
      <c r="E8091">
        <v>0.5064497</v>
      </c>
      <c r="F8091" t="s">
        <v>44</v>
      </c>
      <c r="G8091">
        <v>-186.15360000000001</v>
      </c>
      <c r="H8091">
        <v>0.96202580000000004</v>
      </c>
      <c r="I8091">
        <v>115.4083</v>
      </c>
      <c r="J8091">
        <v>-186.26349999999999</v>
      </c>
      <c r="K8091">
        <v>1.10737</v>
      </c>
      <c r="L8091">
        <v>115.00060000000001</v>
      </c>
      <c r="M8091">
        <v>0.1122513</v>
      </c>
      <c r="N8091">
        <v>0</v>
      </c>
      <c r="O8091">
        <v>0.99357600000000001</v>
      </c>
      <c r="P8091">
        <v>0.19417699999999999</v>
      </c>
      <c r="Q8091" s="1">
        <v>9.3227490000000001E-5</v>
      </c>
      <c r="R8091">
        <v>0.98096649999999996</v>
      </c>
      <c r="S8091">
        <v>0.6068268</v>
      </c>
      <c r="T8091">
        <v>-0.60621309999999995</v>
      </c>
      <c r="U8091">
        <v>2.9383539999999999</v>
      </c>
      <c r="V8091">
        <v>8.2907170000000002E-2</v>
      </c>
      <c r="W8091">
        <v>1.3917779999999999E-2</v>
      </c>
      <c r="X8091">
        <v>0.99646009999999996</v>
      </c>
      <c r="Y8091">
        <v>8.7012779999999998E-2</v>
      </c>
      <c r="Z8091">
        <v>-0.19779679999999999</v>
      </c>
      <c r="AA8091">
        <v>0.97637350000000001</v>
      </c>
      <c r="AB8091">
        <v>30</v>
      </c>
      <c r="AC8091">
        <v>0.109899999999981</v>
      </c>
      <c r="AD8091">
        <v>-0.14534420000000001</v>
      </c>
      <c r="AE8091">
        <v>0.40769999999999101</v>
      </c>
      <c r="AF8091">
        <v>5.6715906363467301E-2</v>
      </c>
      <c r="AG8091">
        <v>-0.14534420000000001</v>
      </c>
      <c r="AH8091">
        <v>0.37323855806617101</v>
      </c>
      <c r="AI8091">
        <v>111.05641402952401</v>
      </c>
      <c r="AJ8091">
        <v>81.359651312033606</v>
      </c>
      <c r="AK8091">
        <v>0.40453510568995599</v>
      </c>
      <c r="AL8091">
        <v>89.202544212941405</v>
      </c>
      <c r="AM8091">
        <v>85.243848656910501</v>
      </c>
      <c r="AN8091">
        <v>1.00000001716477</v>
      </c>
    </row>
    <row r="8092" spans="1:40" x14ac:dyDescent="0.25">
      <c r="A8092" t="str">
        <f>"20190312160845036"</f>
        <v>20190312160845036</v>
      </c>
      <c r="B8092" t="str">
        <f>"1552378125033730"</f>
        <v>1552378125033730</v>
      </c>
      <c r="C8092" t="s">
        <v>40</v>
      </c>
      <c r="D8092">
        <v>6.0195119999999998</v>
      </c>
      <c r="E8092">
        <v>0.50663259999999999</v>
      </c>
      <c r="F8092" t="s">
        <v>44</v>
      </c>
      <c r="G8092">
        <v>-186.06909999999999</v>
      </c>
      <c r="H8092">
        <v>0.91755960000000003</v>
      </c>
      <c r="I8092">
        <v>115.925</v>
      </c>
      <c r="J8092">
        <v>-186.22749999999999</v>
      </c>
      <c r="K8092">
        <v>1.1073329999999999</v>
      </c>
      <c r="L8092">
        <v>115.2911</v>
      </c>
      <c r="M8092">
        <v>0.11511680000000001</v>
      </c>
      <c r="N8092">
        <v>0</v>
      </c>
      <c r="O8092">
        <v>0.99324809999999997</v>
      </c>
      <c r="P8092">
        <v>0.19706870000000001</v>
      </c>
      <c r="Q8092">
        <v>-5.9941900000000002E-4</v>
      </c>
      <c r="R8092">
        <v>0.98038950000000002</v>
      </c>
      <c r="S8092">
        <v>0.61712650000000002</v>
      </c>
      <c r="T8092">
        <v>-0.60282550000000001</v>
      </c>
      <c r="U8092">
        <v>2.9361109999999999</v>
      </c>
      <c r="V8092">
        <v>8.2968059999999996E-2</v>
      </c>
      <c r="W8092">
        <v>1.321689E-2</v>
      </c>
      <c r="X8092">
        <v>0.99646460000000003</v>
      </c>
      <c r="Y8092">
        <v>8.7614570000000003E-2</v>
      </c>
      <c r="Z8092">
        <v>-0.19670850000000001</v>
      </c>
      <c r="AA8092">
        <v>0.97653959999999995</v>
      </c>
      <c r="AB8092">
        <v>30</v>
      </c>
      <c r="AC8092">
        <v>0.15840000000000001</v>
      </c>
      <c r="AD8092">
        <v>-0.18977340000000001</v>
      </c>
      <c r="AE8092">
        <v>0.63389999999999702</v>
      </c>
      <c r="AF8092">
        <v>7.7803356465235202E-2</v>
      </c>
      <c r="AG8092">
        <v>-0.18977340000000001</v>
      </c>
      <c r="AH8092">
        <v>0.597516259127852</v>
      </c>
      <c r="AI8092">
        <v>107.481561603358</v>
      </c>
      <c r="AJ8092">
        <v>82.581183966125195</v>
      </c>
      <c r="AK8092">
        <v>0.63173806719791603</v>
      </c>
      <c r="AL8092">
        <v>89.242705967374704</v>
      </c>
      <c r="AM8092">
        <v>85.240393006413598</v>
      </c>
      <c r="AN8092">
        <v>1.0000000421072901</v>
      </c>
    </row>
    <row r="8093" spans="1:40" x14ac:dyDescent="0.25">
      <c r="A8093" t="str">
        <f>"20190312160845058"</f>
        <v>20190312160845058</v>
      </c>
      <c r="B8093" t="str">
        <f>"1552378125053251"</f>
        <v>1552378125053251</v>
      </c>
      <c r="C8093" t="s">
        <v>40</v>
      </c>
      <c r="D8093">
        <v>6.0330599999999999</v>
      </c>
      <c r="E8093">
        <v>0.50731499999999996</v>
      </c>
      <c r="F8093" t="s">
        <v>44</v>
      </c>
      <c r="G8093">
        <v>-186.03389999999999</v>
      </c>
      <c r="H8093">
        <v>0.92113639999999997</v>
      </c>
      <c r="I8093">
        <v>116.19629999999999</v>
      </c>
      <c r="J8093">
        <v>-186.18969999999999</v>
      </c>
      <c r="K8093">
        <v>1.10731</v>
      </c>
      <c r="L8093">
        <v>115.5891</v>
      </c>
      <c r="M8093">
        <v>0.11810089999999999</v>
      </c>
      <c r="N8093">
        <v>0</v>
      </c>
      <c r="O8093">
        <v>0.99289769999999999</v>
      </c>
      <c r="P8093">
        <v>0.20032259999999999</v>
      </c>
      <c r="Q8093">
        <v>-1.591985E-3</v>
      </c>
      <c r="R8093">
        <v>0.97972870000000001</v>
      </c>
      <c r="S8093">
        <v>0.62713619999999903</v>
      </c>
      <c r="T8093">
        <v>-0.60334869999999996</v>
      </c>
      <c r="U8093">
        <v>2.9335779999999998</v>
      </c>
      <c r="V8093">
        <v>8.3277359999999995E-2</v>
      </c>
      <c r="W8093">
        <v>1.221847E-2</v>
      </c>
      <c r="X8093">
        <v>0.99645150000000005</v>
      </c>
      <c r="Y8093">
        <v>8.7973049999999997E-2</v>
      </c>
      <c r="Z8093">
        <v>-0.1968606</v>
      </c>
      <c r="AA8093">
        <v>0.97647669999999998</v>
      </c>
      <c r="AB8093">
        <v>30</v>
      </c>
      <c r="AC8093">
        <v>0.15579999999999899</v>
      </c>
      <c r="AD8093">
        <v>-0.18617359999999999</v>
      </c>
      <c r="AE8093">
        <v>0.60719999999999097</v>
      </c>
      <c r="AF8093">
        <v>7.6264430295381005E-2</v>
      </c>
      <c r="AG8093">
        <v>-0.18617359999999999</v>
      </c>
      <c r="AH8093">
        <v>0.57098895304411201</v>
      </c>
      <c r="AI8093">
        <v>107.910034820094</v>
      </c>
      <c r="AJ8093">
        <v>82.392286690032407</v>
      </c>
      <c r="AK8093">
        <v>0.60539677663797498</v>
      </c>
      <c r="AL8093">
        <v>89.299915817319402</v>
      </c>
      <c r="AM8093">
        <v>85.222668930350494</v>
      </c>
      <c r="AN8093">
        <v>1.0000000007749801</v>
      </c>
    </row>
    <row r="8094" spans="1:40" x14ac:dyDescent="0.25">
      <c r="A8094" t="str">
        <f>"20190312160845070"</f>
        <v>20190312160845070</v>
      </c>
      <c r="B8094" t="str">
        <f>"1552378125063987"</f>
        <v>1552378125063987</v>
      </c>
      <c r="C8094" t="s">
        <v>40</v>
      </c>
      <c r="D8094">
        <v>6.5530089999999896</v>
      </c>
      <c r="E8094">
        <v>0.50769149999999996</v>
      </c>
      <c r="F8094" t="s">
        <v>44</v>
      </c>
      <c r="G8094">
        <v>-185.99719999999999</v>
      </c>
      <c r="H8094">
        <v>0.9259906</v>
      </c>
      <c r="I8094">
        <v>116.46769999999999</v>
      </c>
      <c r="J8094">
        <v>-186.1662</v>
      </c>
      <c r="K8094">
        <v>1.107291</v>
      </c>
      <c r="L8094">
        <v>115.7714</v>
      </c>
      <c r="M8094">
        <v>0.119947499999999</v>
      </c>
      <c r="N8094">
        <v>0</v>
      </c>
      <c r="O8094">
        <v>0.99267629999999996</v>
      </c>
      <c r="P8094">
        <v>0.20228499999999999</v>
      </c>
      <c r="Q8094">
        <v>-1.883235E-3</v>
      </c>
      <c r="R8094">
        <v>0.97932490000000005</v>
      </c>
      <c r="S8094">
        <v>0.6420593</v>
      </c>
      <c r="T8094">
        <v>-0.60466279999999994</v>
      </c>
      <c r="U8094">
        <v>2.9298099999999998</v>
      </c>
      <c r="V8094">
        <v>8.3419090000000001E-2</v>
      </c>
      <c r="W8094">
        <v>1.192476E-2</v>
      </c>
      <c r="X8094">
        <v>0.99644319999999997</v>
      </c>
      <c r="Y8094">
        <v>9.1107770000000005E-2</v>
      </c>
      <c r="Z8094">
        <v>-0.1973172</v>
      </c>
      <c r="AA8094">
        <v>0.97609699999999999</v>
      </c>
      <c r="AB8094">
        <v>30</v>
      </c>
      <c r="AC8094">
        <v>0.169000000000011</v>
      </c>
      <c r="AD8094">
        <v>-0.1813004</v>
      </c>
      <c r="AE8094">
        <v>0.69629999999999304</v>
      </c>
      <c r="AF8094">
        <v>7.91819591636478E-2</v>
      </c>
      <c r="AG8094">
        <v>-0.1813004</v>
      </c>
      <c r="AH8094">
        <v>0.66872995943004698</v>
      </c>
      <c r="AI8094">
        <v>105.06848847137501</v>
      </c>
      <c r="AJ8094">
        <v>83.247249487668398</v>
      </c>
      <c r="AK8094">
        <v>0.69738036704259598</v>
      </c>
      <c r="AL8094">
        <v>89.316745384913503</v>
      </c>
      <c r="AM8094">
        <v>85.214536426945799</v>
      </c>
      <c r="AN8094">
        <v>0.99999999765186198</v>
      </c>
    </row>
    <row r="8095" spans="1:40" x14ac:dyDescent="0.25">
      <c r="A8095" t="str">
        <f>"20190312160845085"</f>
        <v>20190312160845085</v>
      </c>
      <c r="B8095" t="str">
        <f>"1552378125073746"</f>
        <v>1552378125073746</v>
      </c>
      <c r="C8095" t="s">
        <v>40</v>
      </c>
      <c r="D8095">
        <v>6.0915080000000001</v>
      </c>
      <c r="E8095">
        <v>0.5079591</v>
      </c>
      <c r="F8095" t="s">
        <v>44</v>
      </c>
      <c r="G8095">
        <v>-186.00729999999999</v>
      </c>
      <c r="H8095">
        <v>0.95978799999999997</v>
      </c>
      <c r="I8095">
        <v>116.48560000000001</v>
      </c>
      <c r="J8095">
        <v>-186.14099999999999</v>
      </c>
      <c r="K8095">
        <v>1.1072709999999999</v>
      </c>
      <c r="L8095">
        <v>115.96250000000001</v>
      </c>
      <c r="M8095">
        <v>0.1219083</v>
      </c>
      <c r="N8095">
        <v>0</v>
      </c>
      <c r="O8095">
        <v>0.99243720000000002</v>
      </c>
      <c r="P8095">
        <v>0.2045611</v>
      </c>
      <c r="Q8095">
        <v>-1.810732E-3</v>
      </c>
      <c r="R8095">
        <v>0.97885219999999995</v>
      </c>
      <c r="S8095">
        <v>0.65095519999999996</v>
      </c>
      <c r="T8095">
        <v>-0.60460709999999995</v>
      </c>
      <c r="U8095">
        <v>2.9277190000000002</v>
      </c>
      <c r="V8095">
        <v>8.376815E-2</v>
      </c>
      <c r="W8095">
        <v>1.1998190000000001E-2</v>
      </c>
      <c r="X8095">
        <v>0.99641310000000005</v>
      </c>
      <c r="Y8095">
        <v>9.2115249999999996E-2</v>
      </c>
      <c r="Z8095">
        <v>-0.19729150000000001</v>
      </c>
      <c r="AA8095">
        <v>0.97600759999999998</v>
      </c>
      <c r="AB8095">
        <v>30</v>
      </c>
      <c r="AC8095">
        <v>0.13370000000000401</v>
      </c>
      <c r="AD8095">
        <v>-0.147482999999999</v>
      </c>
      <c r="AE8095">
        <v>0.52309999999999901</v>
      </c>
      <c r="AF8095">
        <v>6.4139891052854794E-2</v>
      </c>
      <c r="AG8095">
        <v>-0.147482999999999</v>
      </c>
      <c r="AH8095">
        <v>0.49831608985507297</v>
      </c>
      <c r="AI8095">
        <v>106.359135859335</v>
      </c>
      <c r="AJ8095">
        <v>82.665598993924704</v>
      </c>
      <c r="AK8095">
        <v>0.52362590302783996</v>
      </c>
      <c r="AL8095">
        <v>89.312537899511895</v>
      </c>
      <c r="AM8095">
        <v>85.194461160613898</v>
      </c>
      <c r="AN8095">
        <v>1.0000000626846499</v>
      </c>
    </row>
    <row r="8096" spans="1:40" x14ac:dyDescent="0.25">
      <c r="A8096" t="str">
        <f>"20190312160845104"</f>
        <v>20190312160845104</v>
      </c>
      <c r="B8096" t="str">
        <f>"1552378125093266"</f>
        <v>1552378125093266</v>
      </c>
      <c r="C8096" t="s">
        <v>40</v>
      </c>
      <c r="D8096">
        <v>6.0426950000000001</v>
      </c>
      <c r="E8096">
        <v>0.53521790000000002</v>
      </c>
      <c r="F8096" t="s">
        <v>44</v>
      </c>
      <c r="G8096">
        <v>-185.9641</v>
      </c>
      <c r="H8096">
        <v>0.94545789999999996</v>
      </c>
      <c r="I8096">
        <v>116.74639999999999</v>
      </c>
      <c r="J8096">
        <v>-186.1069</v>
      </c>
      <c r="K8096">
        <v>1.1072500000000001</v>
      </c>
      <c r="L8096">
        <v>116.21720000000001</v>
      </c>
      <c r="M8096">
        <v>0.1245566</v>
      </c>
      <c r="N8096">
        <v>0</v>
      </c>
      <c r="O8096">
        <v>0.99210810000000005</v>
      </c>
      <c r="P8096">
        <v>0.2076539</v>
      </c>
      <c r="Q8096">
        <v>-1.549929E-3</v>
      </c>
      <c r="R8096">
        <v>0.97820119999999999</v>
      </c>
      <c r="S8096">
        <v>0.66001889999999996</v>
      </c>
      <c r="T8096">
        <v>-0.60385610000000001</v>
      </c>
      <c r="U8096">
        <v>2.9257659999999999</v>
      </c>
      <c r="V8096">
        <v>8.426061E-2</v>
      </c>
      <c r="W8096">
        <v>1.226854E-2</v>
      </c>
      <c r="X8096">
        <v>0.99636820000000004</v>
      </c>
      <c r="Y8096">
        <v>9.2486750000000006E-2</v>
      </c>
      <c r="Z8096">
        <v>-0.19701650000000001</v>
      </c>
      <c r="AA8096">
        <v>0.97602800000000001</v>
      </c>
      <c r="AB8096">
        <v>30</v>
      </c>
      <c r="AC8096">
        <v>0.14279999999999399</v>
      </c>
      <c r="AD8096">
        <v>-0.16179209999999999</v>
      </c>
      <c r="AE8096">
        <v>0.52919999999998801</v>
      </c>
      <c r="AF8096">
        <v>6.9693389699944902E-2</v>
      </c>
      <c r="AG8096">
        <v>-0.16179209999999999</v>
      </c>
      <c r="AH8096">
        <v>0.49935910163769698</v>
      </c>
      <c r="AI8096">
        <v>107.79088194937199</v>
      </c>
      <c r="AJ8096">
        <v>82.054797723121595</v>
      </c>
      <c r="AK8096">
        <v>0.529521826347777</v>
      </c>
      <c r="AL8096">
        <v>89.297046787092</v>
      </c>
      <c r="AM8096">
        <v>85.166126816423699</v>
      </c>
      <c r="AN8096">
        <v>0.999999978721271</v>
      </c>
    </row>
    <row r="8097" spans="1:40" x14ac:dyDescent="0.25">
      <c r="A8097" t="str">
        <f>"20190312160845126"</f>
        <v>20190312160845126</v>
      </c>
      <c r="B8097" t="str">
        <f>"1552378125113762"</f>
        <v>1552378125113762</v>
      </c>
      <c r="C8097" t="s">
        <v>40</v>
      </c>
      <c r="D8097">
        <v>6.0718670000000001</v>
      </c>
      <c r="E8097">
        <v>0.51401640000000004</v>
      </c>
      <c r="F8097" t="s">
        <v>44</v>
      </c>
      <c r="G8097">
        <v>-185.8809</v>
      </c>
      <c r="H8097">
        <v>0.84107219999999905</v>
      </c>
      <c r="I8097">
        <v>116.9641</v>
      </c>
      <c r="J8097">
        <v>-186.06710000000001</v>
      </c>
      <c r="K8097">
        <v>1.1072249999999999</v>
      </c>
      <c r="L8097">
        <v>116.508</v>
      </c>
      <c r="M8097">
        <v>0.12763830000000001</v>
      </c>
      <c r="N8097">
        <v>0</v>
      </c>
      <c r="O8097">
        <v>0.99171569999999998</v>
      </c>
      <c r="P8097">
        <v>0.21114469999999999</v>
      </c>
      <c r="Q8097">
        <v>-1.373315E-3</v>
      </c>
      <c r="R8097">
        <v>0.97745380000000004</v>
      </c>
      <c r="S8097">
        <v>0.87150569999999905</v>
      </c>
      <c r="T8097">
        <v>-1.0263389999999999</v>
      </c>
      <c r="U8097">
        <v>2.8802189999999999</v>
      </c>
      <c r="V8097">
        <v>8.4724579999999994E-2</v>
      </c>
      <c r="W8097">
        <v>1.247642E-2</v>
      </c>
      <c r="X8097">
        <v>0.9963263</v>
      </c>
      <c r="Y8097">
        <v>0.1494047</v>
      </c>
      <c r="Z8097">
        <v>-0.32349830000000002</v>
      </c>
      <c r="AA8097">
        <v>0.93435919999999895</v>
      </c>
      <c r="AB8097">
        <v>30</v>
      </c>
      <c r="AC8097">
        <v>0.18620000000001299</v>
      </c>
      <c r="AD8097">
        <v>-0.26615280000000002</v>
      </c>
      <c r="AE8097">
        <v>0.456100000000006</v>
      </c>
      <c r="AF8097">
        <v>9.7884733317881695E-2</v>
      </c>
      <c r="AG8097">
        <v>-0.26615280000000002</v>
      </c>
      <c r="AH8097">
        <v>0.36856313750106601</v>
      </c>
      <c r="AI8097">
        <v>124.912764540075</v>
      </c>
      <c r="AJ8097">
        <v>75.126474422803199</v>
      </c>
      <c r="AK8097">
        <v>0.46503496673818301</v>
      </c>
      <c r="AL8097">
        <v>89.285135247789498</v>
      </c>
      <c r="AM8097">
        <v>85.139433467932307</v>
      </c>
      <c r="AN8097">
        <v>1.00000000579194</v>
      </c>
    </row>
    <row r="8098" spans="1:40" x14ac:dyDescent="0.25">
      <c r="A8098" t="str">
        <f>"20190312160845149"</f>
        <v>20190312160845149</v>
      </c>
      <c r="B8098" t="str">
        <f>"1552378125143442"</f>
        <v>1552378125143442</v>
      </c>
      <c r="C8098" t="s">
        <v>40</v>
      </c>
      <c r="D8098">
        <v>6.0488819999999999</v>
      </c>
      <c r="E8098">
        <v>0.51275499999999996</v>
      </c>
      <c r="F8098" t="s">
        <v>44</v>
      </c>
      <c r="G8098">
        <v>-185.87309999999999</v>
      </c>
      <c r="H8098">
        <v>0.95083450000000003</v>
      </c>
      <c r="I8098">
        <v>117.2831</v>
      </c>
      <c r="J8098">
        <v>-186.02529999999999</v>
      </c>
      <c r="K8098">
        <v>1.107192</v>
      </c>
      <c r="L8098">
        <v>116.8058</v>
      </c>
      <c r="M8098">
        <v>0.1308549</v>
      </c>
      <c r="N8098">
        <v>0</v>
      </c>
      <c r="O8098">
        <v>0.99129540000000005</v>
      </c>
      <c r="P8098">
        <v>0.21446799999999999</v>
      </c>
      <c r="Q8098">
        <v>-2.2001719999999998E-3</v>
      </c>
      <c r="R8098">
        <v>0.9767285</v>
      </c>
      <c r="S8098">
        <v>0.72833249999999905</v>
      </c>
      <c r="T8098">
        <v>-0.58728840000000004</v>
      </c>
      <c r="U8098">
        <v>2.911041</v>
      </c>
      <c r="V8098">
        <v>8.4877770000000005E-2</v>
      </c>
      <c r="W8098">
        <v>1.1706390000000001E-2</v>
      </c>
      <c r="X8098">
        <v>0.99632259999999995</v>
      </c>
      <c r="Y8098">
        <v>0.10913249999999999</v>
      </c>
      <c r="Z8098">
        <v>-0.19183649999999999</v>
      </c>
      <c r="AA8098">
        <v>0.9753404</v>
      </c>
      <c r="AB8098">
        <v>30</v>
      </c>
      <c r="AC8098">
        <v>0.15219999999999301</v>
      </c>
      <c r="AD8098">
        <v>-0.15635750000000001</v>
      </c>
      <c r="AE8098">
        <v>0.477299999999999</v>
      </c>
      <c r="AF8098">
        <v>8.0578378843736295E-2</v>
      </c>
      <c r="AG8098">
        <v>-0.15635750000000001</v>
      </c>
      <c r="AH8098">
        <v>0.44934331166813701</v>
      </c>
      <c r="AI8098">
        <v>108.90661115910299</v>
      </c>
      <c r="AJ8098">
        <v>79.833505253048898</v>
      </c>
      <c r="AK8098">
        <v>0.48254528770284699</v>
      </c>
      <c r="AL8098">
        <v>89.329257938927199</v>
      </c>
      <c r="AM8098">
        <v>85.130669328290296</v>
      </c>
      <c r="AN8098">
        <v>0.99999999933888195</v>
      </c>
    </row>
    <row r="8099" spans="1:40" x14ac:dyDescent="0.25">
      <c r="A8099" t="str">
        <f>"20190312160845171"</f>
        <v>20190312160845171</v>
      </c>
      <c r="B8099" t="str">
        <f>"1552378125163938"</f>
        <v>1552378125163938</v>
      </c>
      <c r="C8099" t="s">
        <v>40</v>
      </c>
      <c r="D8099">
        <v>6.0380659999999997</v>
      </c>
      <c r="E8099">
        <v>0.51237929999999998</v>
      </c>
      <c r="F8099" t="s">
        <v>44</v>
      </c>
      <c r="G8099">
        <v>-185.8382</v>
      </c>
      <c r="H8099">
        <v>0.95619399999999999</v>
      </c>
      <c r="I8099">
        <v>117.55329999999999</v>
      </c>
      <c r="J8099">
        <v>-185.98150000000001</v>
      </c>
      <c r="K8099">
        <v>1.1071599999999999</v>
      </c>
      <c r="L8099">
        <v>117.1101</v>
      </c>
      <c r="M8099">
        <v>0.13420509999999999</v>
      </c>
      <c r="N8099">
        <v>0</v>
      </c>
      <c r="O8099">
        <v>0.99084629999999996</v>
      </c>
      <c r="P8099">
        <v>0.21758479999999999</v>
      </c>
      <c r="Q8099">
        <v>-2.8016209999999998E-3</v>
      </c>
      <c r="R8099">
        <v>0.97603740000000005</v>
      </c>
      <c r="S8099">
        <v>0.72837830000000003</v>
      </c>
      <c r="T8099">
        <v>-0.5879238</v>
      </c>
      <c r="U8099">
        <v>2.9102329999999998</v>
      </c>
      <c r="V8099">
        <v>8.4688009999999994E-2</v>
      </c>
      <c r="W8099">
        <v>1.1173799999999999E-2</v>
      </c>
      <c r="X8099">
        <v>0.99634489999999998</v>
      </c>
      <c r="Y8099">
        <v>0.1058417</v>
      </c>
      <c r="Z8099">
        <v>-0.19199189999999999</v>
      </c>
      <c r="AA8099">
        <v>0.9756724</v>
      </c>
      <c r="AB8099">
        <v>30</v>
      </c>
      <c r="AC8099">
        <v>0.14330000000001</v>
      </c>
      <c r="AD8099">
        <v>-0.15096599999999999</v>
      </c>
      <c r="AE8099">
        <v>0.44319999999998999</v>
      </c>
      <c r="AF8099">
        <v>7.4673274777834295E-2</v>
      </c>
      <c r="AG8099">
        <v>-0.15096599999999999</v>
      </c>
      <c r="AH8099">
        <v>0.41484582636287698</v>
      </c>
      <c r="AI8099">
        <v>109.70512249642699</v>
      </c>
      <c r="AJ8099">
        <v>79.795889016734193</v>
      </c>
      <c r="AK8099">
        <v>0.447731940755564</v>
      </c>
      <c r="AL8099">
        <v>89.359775119227194</v>
      </c>
      <c r="AM8099">
        <v>85.141611673591498</v>
      </c>
      <c r="AN8099">
        <v>1.0000000363001</v>
      </c>
    </row>
    <row r="8100" spans="1:40" x14ac:dyDescent="0.25">
      <c r="A8100" t="str">
        <f>"20190312160845193"</f>
        <v>20190312160845193</v>
      </c>
      <c r="B8100" t="str">
        <f>"1552378125183457"</f>
        <v>1552378125183457</v>
      </c>
      <c r="C8100" t="s">
        <v>40</v>
      </c>
      <c r="D8100">
        <v>6.0363490000000004</v>
      </c>
      <c r="E8100">
        <v>0.51236150000000003</v>
      </c>
      <c r="F8100" t="s">
        <v>44</v>
      </c>
      <c r="G8100">
        <v>-185.8013</v>
      </c>
      <c r="H8100">
        <v>0.96227839999999998</v>
      </c>
      <c r="I8100">
        <v>117.8232</v>
      </c>
      <c r="J8100">
        <v>-185.93799999999999</v>
      </c>
      <c r="K8100">
        <v>1.1071359999999999</v>
      </c>
      <c r="L8100">
        <v>117.405</v>
      </c>
      <c r="M8100">
        <v>0.137512</v>
      </c>
      <c r="N8100">
        <v>0</v>
      </c>
      <c r="O8100">
        <v>0.99039160000000004</v>
      </c>
      <c r="P8100">
        <v>0.2204865</v>
      </c>
      <c r="Q8100">
        <v>-2.8522249999999999E-3</v>
      </c>
      <c r="R8100">
        <v>0.97538579999999997</v>
      </c>
      <c r="S8100">
        <v>0.73432919999999902</v>
      </c>
      <c r="T8100">
        <v>-0.5907905</v>
      </c>
      <c r="U8100">
        <v>2.9082490000000001</v>
      </c>
      <c r="V8100">
        <v>8.4326269999999995E-2</v>
      </c>
      <c r="W8100">
        <v>1.119859E-2</v>
      </c>
      <c r="X8100">
        <v>0.99637529999999996</v>
      </c>
      <c r="Y8100">
        <v>0.1045143</v>
      </c>
      <c r="Z8100">
        <v>-0.1928532</v>
      </c>
      <c r="AA8100">
        <v>0.97564569999999995</v>
      </c>
      <c r="AB8100">
        <v>30</v>
      </c>
      <c r="AC8100">
        <v>0.13669999999999</v>
      </c>
      <c r="AD8100">
        <v>-0.1448576</v>
      </c>
      <c r="AE8100">
        <v>0.41819999999999802</v>
      </c>
      <c r="AF8100">
        <v>7.0270152039357395E-2</v>
      </c>
      <c r="AG8100">
        <v>-0.1448576</v>
      </c>
      <c r="AH8100">
        <v>0.39067709087255698</v>
      </c>
      <c r="AI8100">
        <v>110.04853424274</v>
      </c>
      <c r="AJ8100">
        <v>79.803374148618005</v>
      </c>
      <c r="AK8100">
        <v>0.42255201795523201</v>
      </c>
      <c r="AL8100">
        <v>89.358354666131206</v>
      </c>
      <c r="AM8100">
        <v>85.162412203303703</v>
      </c>
      <c r="AN8100">
        <v>1.00000003334009</v>
      </c>
    </row>
    <row r="8101" spans="1:40" x14ac:dyDescent="0.25">
      <c r="A8101" t="str">
        <f>"20190312160845213"</f>
        <v>20190312160845213</v>
      </c>
      <c r="B8101" t="str">
        <f>"1552378125203954"</f>
        <v>1552378125203954</v>
      </c>
      <c r="C8101" t="s">
        <v>40</v>
      </c>
      <c r="D8101">
        <v>6.0984559999999997</v>
      </c>
      <c r="E8101">
        <v>0.51241999999999999</v>
      </c>
      <c r="F8101" t="s">
        <v>44</v>
      </c>
      <c r="G8101">
        <v>-185.76230000000001</v>
      </c>
      <c r="H8101">
        <v>0.96758319999999998</v>
      </c>
      <c r="I8101">
        <v>118.0919</v>
      </c>
      <c r="J8101">
        <v>-185.89689999999999</v>
      </c>
      <c r="K8101">
        <v>1.1071150000000001</v>
      </c>
      <c r="L8101">
        <v>117.6763</v>
      </c>
      <c r="M8101">
        <v>0.14060790000000001</v>
      </c>
      <c r="N8101">
        <v>0</v>
      </c>
      <c r="O8101">
        <v>0.98995540000000004</v>
      </c>
      <c r="P8101">
        <v>0.22292010000000001</v>
      </c>
      <c r="Q8101">
        <v>-2.4132089999999999E-3</v>
      </c>
      <c r="R8101">
        <v>0.97483370000000003</v>
      </c>
      <c r="S8101">
        <v>0.74275210000000003</v>
      </c>
      <c r="T8101">
        <v>-0.59026409999999996</v>
      </c>
      <c r="U8101">
        <v>2.9060820000000001</v>
      </c>
      <c r="V8101">
        <v>8.3701800000000007E-2</v>
      </c>
      <c r="W8101">
        <v>1.172164E-2</v>
      </c>
      <c r="X8101">
        <v>0.99642189999999997</v>
      </c>
      <c r="Y8101">
        <v>0.1042438</v>
      </c>
      <c r="Z8101">
        <v>-0.19263479999999999</v>
      </c>
      <c r="AA8101">
        <v>0.97571770000000002</v>
      </c>
      <c r="AB8101">
        <v>30</v>
      </c>
      <c r="AC8101">
        <v>0.13459999999997699</v>
      </c>
      <c r="AD8101">
        <v>-0.13953179999999901</v>
      </c>
      <c r="AE8101">
        <v>0.41559999999999703</v>
      </c>
      <c r="AF8101">
        <v>6.7893187820384504E-2</v>
      </c>
      <c r="AG8101">
        <v>-0.13953179999999901</v>
      </c>
      <c r="AH8101">
        <v>0.39055463362744702</v>
      </c>
      <c r="AI8101">
        <v>109.39140051503</v>
      </c>
      <c r="AJ8101">
        <v>80.138373473212198</v>
      </c>
      <c r="AK8101">
        <v>0.42025174599461601</v>
      </c>
      <c r="AL8101">
        <v>89.328384115745607</v>
      </c>
      <c r="AM8101">
        <v>85.198291874528294</v>
      </c>
      <c r="AN8101">
        <v>0.99999999548356899</v>
      </c>
    </row>
    <row r="8102" spans="1:40" x14ac:dyDescent="0.25">
      <c r="A8102" t="str">
        <f>"20190312160845228"</f>
        <v>20190312160845228</v>
      </c>
      <c r="B8102" t="str">
        <f>"1552378125223475"</f>
        <v>1552378125223475</v>
      </c>
      <c r="C8102" t="s">
        <v>40</v>
      </c>
      <c r="D8102">
        <v>6.065906</v>
      </c>
      <c r="E8102">
        <v>0.51231150000000003</v>
      </c>
      <c r="F8102" t="s">
        <v>44</v>
      </c>
      <c r="G8102">
        <v>-185.72059999999999</v>
      </c>
      <c r="H8102">
        <v>0.96862530000000002</v>
      </c>
      <c r="I8102">
        <v>118.35769999999999</v>
      </c>
      <c r="J8102">
        <v>-185.86699999999999</v>
      </c>
      <c r="K8102">
        <v>1.107105</v>
      </c>
      <c r="L8102">
        <v>117.8699</v>
      </c>
      <c r="M8102">
        <v>0.14284929999999901</v>
      </c>
      <c r="N8102">
        <v>0</v>
      </c>
      <c r="O8102">
        <v>0.9896334</v>
      </c>
      <c r="P8102">
        <v>0.22477569999999999</v>
      </c>
      <c r="Q8102">
        <v>-2.459658E-3</v>
      </c>
      <c r="R8102">
        <v>0.97440740000000003</v>
      </c>
      <c r="S8102">
        <v>0.75085449999999998</v>
      </c>
      <c r="T8102">
        <v>-0.59009999999999996</v>
      </c>
      <c r="U8102">
        <v>2.9042819999999998</v>
      </c>
      <c r="V8102">
        <v>8.3343280000000006E-2</v>
      </c>
      <c r="W8102">
        <v>1.174978E-2</v>
      </c>
      <c r="X8102">
        <v>0.99645159999999999</v>
      </c>
      <c r="Y8102">
        <v>0.1046946</v>
      </c>
      <c r="Z8102">
        <v>-0.1925347</v>
      </c>
      <c r="AA8102">
        <v>0.97568920000000003</v>
      </c>
      <c r="AB8102">
        <v>30</v>
      </c>
      <c r="AC8102">
        <v>0.14640000000002801</v>
      </c>
      <c r="AD8102">
        <v>-0.13847969999999901</v>
      </c>
      <c r="AE8102">
        <v>0.48779999999999202</v>
      </c>
      <c r="AF8102">
        <v>7.0031160509628196E-2</v>
      </c>
      <c r="AG8102">
        <v>-0.13847969999999901</v>
      </c>
      <c r="AH8102">
        <v>0.46903495934148598</v>
      </c>
      <c r="AI8102">
        <v>106.278170536977</v>
      </c>
      <c r="AJ8102">
        <v>81.507956127375905</v>
      </c>
      <c r="AK8102">
        <v>0.49403925333811699</v>
      </c>
      <c r="AL8102">
        <v>89.326771687939001</v>
      </c>
      <c r="AM8102">
        <v>85.218905331348495</v>
      </c>
      <c r="AN8102">
        <v>0.99999997539688301</v>
      </c>
    </row>
    <row r="8103" spans="1:40" x14ac:dyDescent="0.25">
      <c r="A8103" t="str">
        <f>"20190312160845247"</f>
        <v>20190312160845247</v>
      </c>
      <c r="B8103" t="str">
        <f>"1552378125233234"</f>
        <v>1552378125233234</v>
      </c>
      <c r="C8103" t="s">
        <v>40</v>
      </c>
      <c r="D8103">
        <v>5.9982259999999998</v>
      </c>
      <c r="E8103">
        <v>0.51231150000000003</v>
      </c>
      <c r="F8103" t="s">
        <v>44</v>
      </c>
      <c r="G8103">
        <v>-185.67310000000001</v>
      </c>
      <c r="H8103">
        <v>0.95533849999999998</v>
      </c>
      <c r="I8103">
        <v>118.61490000000001</v>
      </c>
      <c r="J8103">
        <v>-185.828</v>
      </c>
      <c r="K8103">
        <v>1.107091</v>
      </c>
      <c r="L8103">
        <v>118.1183</v>
      </c>
      <c r="M8103">
        <v>0.14575350000000001</v>
      </c>
      <c r="N8103">
        <v>0</v>
      </c>
      <c r="O8103">
        <v>0.98920799999999998</v>
      </c>
      <c r="P8103">
        <v>0.2272324</v>
      </c>
      <c r="Q8103">
        <v>-2.7361629999999998E-3</v>
      </c>
      <c r="R8103">
        <v>0.9738367</v>
      </c>
      <c r="S8103">
        <v>0.7555847</v>
      </c>
      <c r="T8103">
        <v>-0.591368</v>
      </c>
      <c r="U8103">
        <v>2.9030149999999999</v>
      </c>
      <c r="V8103">
        <v>8.2931060000000001E-2</v>
      </c>
      <c r="W8103">
        <v>1.1587190000000001E-2</v>
      </c>
      <c r="X8103">
        <v>0.99648789999999998</v>
      </c>
      <c r="Y8103">
        <v>0.1033507</v>
      </c>
      <c r="Z8103">
        <v>-0.1928656</v>
      </c>
      <c r="AA8103">
        <v>0.9757671</v>
      </c>
      <c r="AB8103">
        <v>30</v>
      </c>
      <c r="AC8103">
        <v>0.15489999999999701</v>
      </c>
      <c r="AD8103">
        <v>-0.15175250000000001</v>
      </c>
      <c r="AE8103">
        <v>0.49659999999999999</v>
      </c>
      <c r="AF8103">
        <v>7.4514870667005503E-2</v>
      </c>
      <c r="AG8103">
        <v>-0.15175250000000001</v>
      </c>
      <c r="AH8103">
        <v>0.47357370119861297</v>
      </c>
      <c r="AI8103">
        <v>107.565007123708</v>
      </c>
      <c r="AJ8103">
        <v>81.058058236847501</v>
      </c>
      <c r="AK8103">
        <v>0.50284524227014704</v>
      </c>
      <c r="AL8103">
        <v>89.336088045787093</v>
      </c>
      <c r="AM8103">
        <v>85.242616560510598</v>
      </c>
      <c r="AN8103">
        <v>0.99999997926561401</v>
      </c>
    </row>
    <row r="8104" spans="1:40" x14ac:dyDescent="0.25">
      <c r="A8104" t="str">
        <f>"20190312160845271"</f>
        <v>20190312160845271</v>
      </c>
      <c r="B8104" t="str">
        <f>"1552378125263493"</f>
        <v>1552378125263493</v>
      </c>
      <c r="C8104" t="s">
        <v>40</v>
      </c>
      <c r="D8104">
        <v>6.1022639999999999</v>
      </c>
      <c r="E8104">
        <v>0.51331649999999995</v>
      </c>
      <c r="F8104" t="s">
        <v>44</v>
      </c>
      <c r="G8104">
        <v>-185.6285</v>
      </c>
      <c r="H8104">
        <v>0.95224030000000004</v>
      </c>
      <c r="I8104">
        <v>118.8768</v>
      </c>
      <c r="J8104">
        <v>-185.7783</v>
      </c>
      <c r="K8104">
        <v>1.107086</v>
      </c>
      <c r="L8104">
        <v>118.4281</v>
      </c>
      <c r="M8104">
        <v>0.1494183</v>
      </c>
      <c r="N8104">
        <v>0</v>
      </c>
      <c r="O8104">
        <v>0.9886585</v>
      </c>
      <c r="P8104">
        <v>0.2306935</v>
      </c>
      <c r="Q8104">
        <v>-3.1165110000000002E-3</v>
      </c>
      <c r="R8104">
        <v>0.97302149999999998</v>
      </c>
      <c r="S8104">
        <v>0.76287839999999996</v>
      </c>
      <c r="T8104">
        <v>-0.59216809999999998</v>
      </c>
      <c r="U8104">
        <v>2.900925</v>
      </c>
      <c r="V8104">
        <v>8.2780430000000002E-2</v>
      </c>
      <c r="W8104">
        <v>1.1372149999999999E-2</v>
      </c>
      <c r="X8104">
        <v>0.99650289999999997</v>
      </c>
      <c r="Y8104">
        <v>0.102122</v>
      </c>
      <c r="Z8104">
        <v>-0.19304289999999999</v>
      </c>
      <c r="AA8104">
        <v>0.97586139999999999</v>
      </c>
      <c r="AB8104">
        <v>30</v>
      </c>
      <c r="AC8104">
        <v>0.14979999999999899</v>
      </c>
      <c r="AD8104">
        <v>-0.154845699999999</v>
      </c>
      <c r="AE8104">
        <v>0.44870000000000199</v>
      </c>
      <c r="AF8104">
        <v>7.3220701628368495E-2</v>
      </c>
      <c r="AG8104">
        <v>-0.154845699999999</v>
      </c>
      <c r="AH8104">
        <v>0.42094304752793998</v>
      </c>
      <c r="AI8104">
        <v>109.921146188069</v>
      </c>
      <c r="AJ8104">
        <v>80.132447127542207</v>
      </c>
      <c r="AK8104">
        <v>0.45445738107940298</v>
      </c>
      <c r="AL8104">
        <v>89.348409741294006</v>
      </c>
      <c r="AM8104">
        <v>85.2512891301282</v>
      </c>
      <c r="AN8104">
        <v>0.99999997754750802</v>
      </c>
    </row>
    <row r="8105" spans="1:40" x14ac:dyDescent="0.25">
      <c r="A8105" t="str">
        <f>"20190312160845283"</f>
        <v>20190312160845283</v>
      </c>
      <c r="B8105" t="str">
        <f>"1552378125273251"</f>
        <v>1552378125273251</v>
      </c>
      <c r="C8105" t="s">
        <v>40</v>
      </c>
      <c r="D8105">
        <v>6.0578709999999996</v>
      </c>
      <c r="E8105">
        <v>0.51331649999999995</v>
      </c>
      <c r="F8105" t="s">
        <v>44</v>
      </c>
      <c r="G8105">
        <v>-185.58529999999999</v>
      </c>
      <c r="H8105">
        <v>0.95933939999999995</v>
      </c>
      <c r="I8105">
        <v>119.1434</v>
      </c>
      <c r="J8105">
        <v>-185.75059999999999</v>
      </c>
      <c r="K8105">
        <v>1.107091</v>
      </c>
      <c r="L8105">
        <v>118.5972</v>
      </c>
      <c r="M8105">
        <v>0.151442299999999</v>
      </c>
      <c r="N8105">
        <v>0</v>
      </c>
      <c r="O8105">
        <v>0.98834900000000003</v>
      </c>
      <c r="P8105">
        <v>0.23277310000000001</v>
      </c>
      <c r="Q8105">
        <v>-3.4988990000000002E-3</v>
      </c>
      <c r="R8105">
        <v>0.97252479999999997</v>
      </c>
      <c r="S8105">
        <v>0.78097530000000004</v>
      </c>
      <c r="T8105">
        <v>-0.59808459999999997</v>
      </c>
      <c r="U8105">
        <v>2.8961030000000001</v>
      </c>
      <c r="V8105">
        <v>8.2868670000000005E-2</v>
      </c>
      <c r="W8105">
        <v>1.1087970000000001E-2</v>
      </c>
      <c r="X8105">
        <v>0.99649880000000002</v>
      </c>
      <c r="Y8105">
        <v>0.1060796</v>
      </c>
      <c r="Z8105">
        <v>-0.1949206</v>
      </c>
      <c r="AA8105">
        <v>0.97506570000000004</v>
      </c>
      <c r="AB8105">
        <v>30</v>
      </c>
      <c r="AC8105">
        <v>0.165300000000001</v>
      </c>
      <c r="AD8105">
        <v>-0.14775159999999901</v>
      </c>
      <c r="AE8105">
        <v>0.54619999999999802</v>
      </c>
      <c r="AF8105">
        <v>7.5597931396005805E-2</v>
      </c>
      <c r="AG8105">
        <v>-0.14775159999999901</v>
      </c>
      <c r="AH8105">
        <v>0.52944373978329895</v>
      </c>
      <c r="AI8105">
        <v>105.44374074997</v>
      </c>
      <c r="AJ8105">
        <v>81.873809881274894</v>
      </c>
      <c r="AK8105">
        <v>0.55484795766916195</v>
      </c>
      <c r="AL8105">
        <v>89.364693103115798</v>
      </c>
      <c r="AM8105">
        <v>85.246230946850801</v>
      </c>
      <c r="AN8105">
        <v>1.0000000089738601</v>
      </c>
    </row>
    <row r="8106" spans="1:40" x14ac:dyDescent="0.25">
      <c r="A8106" t="str">
        <f>"20190312160845295"</f>
        <v>20190312160845295</v>
      </c>
      <c r="B8106" t="str">
        <f>"1552378125283987"</f>
        <v>1552378125283987</v>
      </c>
      <c r="C8106" t="s">
        <v>40</v>
      </c>
      <c r="D8106">
        <v>5.3419569999999998</v>
      </c>
      <c r="E8106">
        <v>0.51271250000000002</v>
      </c>
      <c r="F8106" t="s">
        <v>44</v>
      </c>
      <c r="G8106">
        <v>-185.5334</v>
      </c>
      <c r="H8106">
        <v>0.94174789999999997</v>
      </c>
      <c r="I8106">
        <v>119.39570000000001</v>
      </c>
      <c r="J8106">
        <v>-185.72470000000001</v>
      </c>
      <c r="K8106">
        <v>1.107094</v>
      </c>
      <c r="L8106">
        <v>118.754</v>
      </c>
      <c r="M8106">
        <v>0.15332609999999999</v>
      </c>
      <c r="N8106">
        <v>0</v>
      </c>
      <c r="O8106">
        <v>0.98805699999999996</v>
      </c>
      <c r="P8106">
        <v>0.23476089999999999</v>
      </c>
      <c r="Q8106">
        <v>-3.7584060000000002E-3</v>
      </c>
      <c r="R8106">
        <v>0.97204590000000002</v>
      </c>
      <c r="S8106">
        <v>0.7870026</v>
      </c>
      <c r="T8106">
        <v>-0.59924359999999999</v>
      </c>
      <c r="U8106">
        <v>2.8942260000000002</v>
      </c>
      <c r="V8106">
        <v>8.3005599999999999E-2</v>
      </c>
      <c r="W8106">
        <v>1.092299E-2</v>
      </c>
      <c r="X8106">
        <v>0.99648919999999996</v>
      </c>
      <c r="Y8106">
        <v>0.10621609999999999</v>
      </c>
      <c r="Z8106">
        <v>-0.19526489999999999</v>
      </c>
      <c r="AA8106">
        <v>0.97498189999999996</v>
      </c>
      <c r="AB8106">
        <v>30</v>
      </c>
      <c r="AC8106">
        <v>0.19130000000001199</v>
      </c>
      <c r="AD8106">
        <v>-0.1653461</v>
      </c>
      <c r="AE8106">
        <v>0.64170000000001404</v>
      </c>
      <c r="AF8106">
        <v>8.5427678078486294E-2</v>
      </c>
      <c r="AG8106">
        <v>-0.1653461</v>
      </c>
      <c r="AH8106">
        <v>0.62531697020774901</v>
      </c>
      <c r="AI8106">
        <v>104.680756963389</v>
      </c>
      <c r="AJ8106">
        <v>82.220695282961202</v>
      </c>
      <c r="AK8106">
        <v>0.65242511769312705</v>
      </c>
      <c r="AL8106">
        <v>89.374146317328197</v>
      </c>
      <c r="AM8106">
        <v>85.238366370725799</v>
      </c>
      <c r="AN8106">
        <v>0.999999983529269</v>
      </c>
    </row>
    <row r="8107" spans="1:40" x14ac:dyDescent="0.25">
      <c r="A8107" t="str">
        <f>"20190312160845307"</f>
        <v>20190312160845307</v>
      </c>
      <c r="B8107" t="str">
        <f>"1552378125303507"</f>
        <v>1552378125303507</v>
      </c>
      <c r="C8107" t="s">
        <v>40</v>
      </c>
      <c r="D8107">
        <v>6.238702</v>
      </c>
      <c r="E8107">
        <v>0.54236300000000004</v>
      </c>
      <c r="F8107" t="s">
        <v>44</v>
      </c>
      <c r="G8107">
        <v>-185.4811</v>
      </c>
      <c r="H8107">
        <v>0.92480370000000001</v>
      </c>
      <c r="I8107">
        <v>119.6476</v>
      </c>
      <c r="J8107">
        <v>-185.69710000000001</v>
      </c>
      <c r="K8107">
        <v>1.1070990000000001</v>
      </c>
      <c r="L8107">
        <v>118.9178</v>
      </c>
      <c r="M8107">
        <v>0.1553098</v>
      </c>
      <c r="N8107">
        <v>0</v>
      </c>
      <c r="O8107">
        <v>0.98774530000000005</v>
      </c>
      <c r="P8107">
        <v>0.2367609</v>
      </c>
      <c r="Q8107">
        <v>-4.0163229999999996E-3</v>
      </c>
      <c r="R8107">
        <v>0.97155959999999997</v>
      </c>
      <c r="S8107">
        <v>0.78868099999999997</v>
      </c>
      <c r="T8107">
        <v>-0.5902598</v>
      </c>
      <c r="U8107">
        <v>2.8935089999999999</v>
      </c>
      <c r="V8107">
        <v>8.3054509999999998E-2</v>
      </c>
      <c r="W8107">
        <v>1.077328E-2</v>
      </c>
      <c r="X8107">
        <v>0.99648680000000001</v>
      </c>
      <c r="Y8107">
        <v>0.10495640000000001</v>
      </c>
      <c r="Z8107">
        <v>-0.19240380000000001</v>
      </c>
      <c r="AA8107">
        <v>0.97568690000000002</v>
      </c>
      <c r="AB8107">
        <v>30</v>
      </c>
      <c r="AC8107">
        <v>0.21600000000000799</v>
      </c>
      <c r="AD8107">
        <v>-0.18229529999999999</v>
      </c>
      <c r="AE8107">
        <v>0.72979999999999701</v>
      </c>
      <c r="AF8107">
        <v>9.4593123636351695E-2</v>
      </c>
      <c r="AG8107">
        <v>-0.18229529999999999</v>
      </c>
      <c r="AH8107">
        <v>0.71355745625480804</v>
      </c>
      <c r="AI8107">
        <v>104.211810933237</v>
      </c>
      <c r="AJ8107">
        <v>82.448584344875698</v>
      </c>
      <c r="AK8107">
        <v>0.74252520416360601</v>
      </c>
      <c r="AL8107">
        <v>89.382724601393903</v>
      </c>
      <c r="AM8107">
        <v>85.235562128512797</v>
      </c>
      <c r="AN8107">
        <v>1.0000000288837601</v>
      </c>
    </row>
    <row r="8108" spans="1:40" x14ac:dyDescent="0.25">
      <c r="A8108" t="str">
        <f>"20190312160845325"</f>
        <v>20190312160845325</v>
      </c>
      <c r="B8108" t="str">
        <f>"1552378125313266"</f>
        <v>1552378125313266</v>
      </c>
      <c r="C8108" t="s">
        <v>40</v>
      </c>
      <c r="D8108">
        <v>6.2639889999999996</v>
      </c>
      <c r="E8108">
        <v>0.54236300000000004</v>
      </c>
      <c r="F8108" t="s">
        <v>89</v>
      </c>
      <c r="G8108">
        <v>-181.3664</v>
      </c>
      <c r="H8108" s="1">
        <v>-5.7318750000000001E-6</v>
      </c>
      <c r="I8108">
        <v>130.80940000000001</v>
      </c>
      <c r="J8108">
        <v>-185.6566</v>
      </c>
      <c r="K8108">
        <v>1.107111</v>
      </c>
      <c r="L8108">
        <v>119.15519999999999</v>
      </c>
      <c r="M8108">
        <v>0.15820279999999901</v>
      </c>
      <c r="N8108">
        <v>0</v>
      </c>
      <c r="O8108">
        <v>0.98728349999999998</v>
      </c>
      <c r="P8108">
        <v>0.24032229999999999</v>
      </c>
      <c r="Q8108">
        <v>-4.2055720000000003E-3</v>
      </c>
      <c r="R8108">
        <v>0.97068410000000005</v>
      </c>
      <c r="S8108">
        <v>1.032486</v>
      </c>
      <c r="T8108">
        <v>-0.2639474</v>
      </c>
      <c r="U8108">
        <v>2.8351139999999999</v>
      </c>
      <c r="V8108">
        <v>8.3789710000000003E-2</v>
      </c>
      <c r="W8108">
        <v>1.074467E-2</v>
      </c>
      <c r="X8108">
        <v>0.99642549999999996</v>
      </c>
      <c r="Y8108">
        <v>0.18789239999999999</v>
      </c>
      <c r="Z8108">
        <v>-8.7362270000000006E-2</v>
      </c>
      <c r="AA8108">
        <v>0.97829659999999996</v>
      </c>
      <c r="AB8108">
        <v>30</v>
      </c>
      <c r="AC8108">
        <v>4.2901999999999898</v>
      </c>
      <c r="AD8108">
        <v>-1.1071167318749999</v>
      </c>
      <c r="AE8108">
        <v>11.654199999999999</v>
      </c>
      <c r="AF8108">
        <v>2.3733453856481899</v>
      </c>
      <c r="AG8108">
        <v>-1.1071167318749999</v>
      </c>
      <c r="AH8108">
        <v>12.0901169400402</v>
      </c>
      <c r="AI8108">
        <v>95.134640831384303</v>
      </c>
      <c r="AJ8108">
        <v>78.8937996213849</v>
      </c>
      <c r="AK8108">
        <v>12.3705053818113</v>
      </c>
      <c r="AL8108">
        <v>89.3843638923789</v>
      </c>
      <c r="AM8108">
        <v>85.193289657148199</v>
      </c>
      <c r="AN8108">
        <v>0.99999997024277099</v>
      </c>
    </row>
    <row r="8109" spans="1:40" x14ac:dyDescent="0.25">
      <c r="A8109" t="str">
        <f>"20190312160845339"</f>
        <v>20190312160845339</v>
      </c>
      <c r="B8109" t="str">
        <f>"1552378125333762"</f>
        <v>1552378125333762</v>
      </c>
      <c r="C8109" t="s">
        <v>40</v>
      </c>
      <c r="D8109">
        <v>6.3409550000000001</v>
      </c>
      <c r="E8109">
        <v>0.59601959999999998</v>
      </c>
      <c r="F8109" t="s">
        <v>89</v>
      </c>
      <c r="G8109">
        <v>-181.2937</v>
      </c>
      <c r="H8109" s="1">
        <v>-5.7994349999999998E-6</v>
      </c>
      <c r="I8109">
        <v>131.0027</v>
      </c>
      <c r="J8109">
        <v>-185.62710000000001</v>
      </c>
      <c r="K8109">
        <v>1.107121</v>
      </c>
      <c r="L8109">
        <v>119.3252</v>
      </c>
      <c r="M8109">
        <v>0.16028719999999999</v>
      </c>
      <c r="N8109">
        <v>0</v>
      </c>
      <c r="O8109">
        <v>0.98694519999999997</v>
      </c>
      <c r="P8109">
        <v>0.24263870000000001</v>
      </c>
      <c r="Q8109">
        <v>-4.3796620000000003E-3</v>
      </c>
      <c r="R8109">
        <v>0.97010680000000005</v>
      </c>
      <c r="S8109">
        <v>1.0426329999999999</v>
      </c>
      <c r="T8109">
        <v>-0.2645787</v>
      </c>
      <c r="U8109">
        <v>2.8313139999999999</v>
      </c>
      <c r="V8109">
        <v>8.4063810000000003E-2</v>
      </c>
      <c r="W8109">
        <v>1.069079E-2</v>
      </c>
      <c r="X8109">
        <v>0.99640300000000004</v>
      </c>
      <c r="Y8109">
        <v>0.18932470000000001</v>
      </c>
      <c r="Z8109">
        <v>-8.7570289999999995E-2</v>
      </c>
      <c r="AA8109">
        <v>0.97800180000000003</v>
      </c>
      <c r="AB8109">
        <v>30</v>
      </c>
      <c r="AC8109">
        <v>4.3334000000000099</v>
      </c>
      <c r="AD8109">
        <v>-1.107126799435</v>
      </c>
      <c r="AE8109">
        <v>11.6775</v>
      </c>
      <c r="AF8109">
        <v>2.38651675784525</v>
      </c>
      <c r="AG8109">
        <v>-1.107126799435</v>
      </c>
      <c r="AH8109">
        <v>12.1253531623135</v>
      </c>
      <c r="AI8109">
        <v>95.119348211210493</v>
      </c>
      <c r="AJ8109">
        <v>78.865345445050096</v>
      </c>
      <c r="AK8109">
        <v>12.4074728005477</v>
      </c>
      <c r="AL8109">
        <v>89.387451171008095</v>
      </c>
      <c r="AM8109">
        <v>85.177531191568406</v>
      </c>
      <c r="AN8109">
        <v>0.99999997777576899</v>
      </c>
    </row>
    <row r="8110" spans="1:40" x14ac:dyDescent="0.25">
      <c r="A8110" t="str">
        <f>"20190312160845371"</f>
        <v>20190312160845371</v>
      </c>
      <c r="B8110" t="str">
        <f>"1552378125364018"</f>
        <v>1552378125364018</v>
      </c>
      <c r="C8110" t="s">
        <v>40</v>
      </c>
      <c r="D8110">
        <v>6.0670149999999996</v>
      </c>
      <c r="E8110">
        <v>0.59841469999999997</v>
      </c>
      <c r="F8110" t="s">
        <v>51</v>
      </c>
      <c r="G8110">
        <v>-160.76779999999999</v>
      </c>
      <c r="H8110">
        <v>1.9185540000000001</v>
      </c>
      <c r="I8110">
        <v>165.31099999999901</v>
      </c>
      <c r="J8110">
        <v>-185.55269999999999</v>
      </c>
      <c r="K8110">
        <v>1.1071329999999999</v>
      </c>
      <c r="L8110">
        <v>119.74509999999999</v>
      </c>
      <c r="M8110">
        <v>0.16549420000000001</v>
      </c>
      <c r="N8110">
        <v>0</v>
      </c>
      <c r="O8110">
        <v>0.98608039999999997</v>
      </c>
      <c r="P8110">
        <v>0.24828159999999999</v>
      </c>
      <c r="Q8110">
        <v>-4.6192200000000003E-3</v>
      </c>
      <c r="R8110">
        <v>0.96867689999999995</v>
      </c>
      <c r="S8110">
        <v>1.4727170000000001</v>
      </c>
      <c r="T8110">
        <v>4.8072810000000001E-2</v>
      </c>
      <c r="U8110">
        <v>2.7242890000000002</v>
      </c>
      <c r="V8110">
        <v>8.4605189999999997E-2</v>
      </c>
      <c r="W8110">
        <v>1.074991E-2</v>
      </c>
      <c r="X8110">
        <v>0.99635649999999998</v>
      </c>
      <c r="Y8110">
        <v>0.32332870000000002</v>
      </c>
      <c r="Z8110">
        <v>1.5733879999999999E-2</v>
      </c>
      <c r="AA8110">
        <v>0.94615590000000005</v>
      </c>
      <c r="AB8110">
        <v>29</v>
      </c>
      <c r="AC8110">
        <v>24.7849</v>
      </c>
      <c r="AD8110">
        <v>0.81142099999999995</v>
      </c>
      <c r="AE8110">
        <v>45.5658999999999</v>
      </c>
      <c r="AF8110">
        <v>16.897049961953201</v>
      </c>
      <c r="AG8110">
        <v>0.81142099999999995</v>
      </c>
      <c r="AH8110">
        <v>49.027705315691499</v>
      </c>
      <c r="AI8110">
        <v>89.103563005430104</v>
      </c>
      <c r="AJ8110">
        <v>70.983852324270401</v>
      </c>
      <c r="AK8110">
        <v>51.864097311900302</v>
      </c>
      <c r="AL8110">
        <v>89.384063624616999</v>
      </c>
      <c r="AM8110">
        <v>85.146396427312894</v>
      </c>
      <c r="AN8110">
        <v>0.99999993691609501</v>
      </c>
    </row>
    <row r="8111" spans="1:40" x14ac:dyDescent="0.25">
      <c r="A8111" t="str">
        <f>"20190312160845393"</f>
        <v>20190312160845393</v>
      </c>
      <c r="B8111" t="str">
        <f>"1552378125383539"</f>
        <v>1552378125383539</v>
      </c>
      <c r="C8111" t="s">
        <v>40</v>
      </c>
      <c r="D8111">
        <v>6.5187710000000001</v>
      </c>
      <c r="E8111">
        <v>0.59808619999999901</v>
      </c>
      <c r="F8111" t="s">
        <v>51</v>
      </c>
      <c r="G8111">
        <v>-160.43819999999999</v>
      </c>
      <c r="H8111">
        <v>0.71678730000000002</v>
      </c>
      <c r="I8111">
        <v>164.98259999999999</v>
      </c>
      <c r="J8111">
        <v>-185.5026</v>
      </c>
      <c r="K8111">
        <v>1.1071409999999999</v>
      </c>
      <c r="L8111">
        <v>120.0205</v>
      </c>
      <c r="M8111">
        <v>0.1689533</v>
      </c>
      <c r="N8111">
        <v>0</v>
      </c>
      <c r="O8111">
        <v>0.98549039999999999</v>
      </c>
      <c r="P8111">
        <v>0.25216050000000001</v>
      </c>
      <c r="Q8111">
        <v>-4.7005609999999998E-3</v>
      </c>
      <c r="R8111">
        <v>0.96767400000000003</v>
      </c>
      <c r="S8111">
        <v>1.5051270000000001</v>
      </c>
      <c r="T8111">
        <v>-2.3391720000000001E-2</v>
      </c>
      <c r="U8111">
        <v>2.7111049999999999</v>
      </c>
      <c r="V8111">
        <v>8.5101540000000003E-2</v>
      </c>
      <c r="W8111">
        <v>1.085767E-2</v>
      </c>
      <c r="X8111">
        <v>0.99631309999999995</v>
      </c>
      <c r="Y8111">
        <v>0.33065660000000002</v>
      </c>
      <c r="Z8111">
        <v>-7.6517119999999997E-3</v>
      </c>
      <c r="AA8111">
        <v>0.94372009999999995</v>
      </c>
      <c r="AB8111">
        <v>29</v>
      </c>
      <c r="AC8111">
        <v>25.064399999999999</v>
      </c>
      <c r="AD8111">
        <v>-0.39035369999999903</v>
      </c>
      <c r="AE8111">
        <v>44.9620999999999</v>
      </c>
      <c r="AF8111">
        <v>17.105500303833299</v>
      </c>
      <c r="AG8111">
        <v>-0.39035369999999903</v>
      </c>
      <c r="AH8111">
        <v>48.548035154764001</v>
      </c>
      <c r="AI8111">
        <v>90.434500056635997</v>
      </c>
      <c r="AJ8111">
        <v>70.590510526524099</v>
      </c>
      <c r="AK8111">
        <v>51.474869927409699</v>
      </c>
      <c r="AL8111">
        <v>89.377889095704205</v>
      </c>
      <c r="AM8111">
        <v>85.117847565399103</v>
      </c>
      <c r="AN8111">
        <v>0.99999997716990496</v>
      </c>
    </row>
    <row r="8112" spans="1:40" x14ac:dyDescent="0.25">
      <c r="A8112" t="str">
        <f>"20190312160845414"</f>
        <v>20190312160845414</v>
      </c>
      <c r="B8112" t="str">
        <f>"1552378125404034"</f>
        <v>1552378125404034</v>
      </c>
      <c r="C8112" t="s">
        <v>40</v>
      </c>
      <c r="D8112">
        <v>6.7158300000000004</v>
      </c>
      <c r="E8112">
        <v>0.5987517</v>
      </c>
      <c r="F8112" t="s">
        <v>45</v>
      </c>
      <c r="G8112">
        <v>-161.46940000000001</v>
      </c>
      <c r="H8112">
        <v>-0.05</v>
      </c>
      <c r="I8112">
        <v>163.02850000000001</v>
      </c>
      <c r="J8112">
        <v>-185.45140000000001</v>
      </c>
      <c r="K8112">
        <v>1.107159</v>
      </c>
      <c r="L8112">
        <v>120.2961</v>
      </c>
      <c r="M8112">
        <v>0.17245389999999999</v>
      </c>
      <c r="N8112">
        <v>0</v>
      </c>
      <c r="O8112">
        <v>0.98488070000000005</v>
      </c>
      <c r="P8112">
        <v>0.255907</v>
      </c>
      <c r="Q8112">
        <v>-4.7146940000000002E-3</v>
      </c>
      <c r="R8112">
        <v>0.96668989999999999</v>
      </c>
      <c r="S8112">
        <v>1.512054</v>
      </c>
      <c r="T8112">
        <v>-7.2801710000000006E-2</v>
      </c>
      <c r="U8112">
        <v>2.7058559999999998</v>
      </c>
      <c r="V8112">
        <v>8.5422049999999999E-2</v>
      </c>
      <c r="W8112">
        <v>1.1029799999999999E-2</v>
      </c>
      <c r="X8112">
        <v>0.99628380000000005</v>
      </c>
      <c r="Y8112">
        <v>0.32979760000000002</v>
      </c>
      <c r="Z8112">
        <v>-2.3815780000000002E-2</v>
      </c>
      <c r="AA8112">
        <v>0.94375120000000001</v>
      </c>
      <c r="AB8112">
        <v>29</v>
      </c>
      <c r="AC8112">
        <v>23.981999999999999</v>
      </c>
      <c r="AD8112">
        <v>-1.157159</v>
      </c>
      <c r="AE8112">
        <v>42.732399999999998</v>
      </c>
      <c r="AF8112">
        <v>16.243173395870201</v>
      </c>
      <c r="AG8112">
        <v>-1.157159</v>
      </c>
      <c r="AH8112">
        <v>46.202574130863702</v>
      </c>
      <c r="AI8112">
        <v>91.353515807151496</v>
      </c>
      <c r="AJ8112">
        <v>70.630148645922304</v>
      </c>
      <c r="AK8112">
        <v>48.988341013322199</v>
      </c>
      <c r="AL8112">
        <v>89.368026194601697</v>
      </c>
      <c r="AM8112">
        <v>85.0994063257005</v>
      </c>
      <c r="AN8112">
        <v>0.99999999662834105</v>
      </c>
    </row>
    <row r="8113" spans="1:40" x14ac:dyDescent="0.25">
      <c r="A8113" t="str">
        <f>"20190312160845438"</f>
        <v>20190312160845438</v>
      </c>
      <c r="B8113" t="str">
        <f>"1552378125433314"</f>
        <v>1552378125433314</v>
      </c>
      <c r="C8113" t="s">
        <v>40</v>
      </c>
      <c r="D8113">
        <v>6.0333759999999996</v>
      </c>
      <c r="E8113">
        <v>0.59480180000000005</v>
      </c>
      <c r="F8113" t="s">
        <v>47</v>
      </c>
      <c r="G8113">
        <v>-168.85550000000001</v>
      </c>
      <c r="H8113">
        <v>5.4631159999999998E-2</v>
      </c>
      <c r="I8113">
        <v>149.62100000000001</v>
      </c>
      <c r="J8113">
        <v>-185.39609999999999</v>
      </c>
      <c r="K8113">
        <v>1.107172</v>
      </c>
      <c r="L8113">
        <v>120.587</v>
      </c>
      <c r="M8113">
        <v>0.17619599999999999</v>
      </c>
      <c r="N8113">
        <v>0</v>
      </c>
      <c r="O8113">
        <v>0.9842147</v>
      </c>
      <c r="P8113">
        <v>0.25955270000000003</v>
      </c>
      <c r="Q8113">
        <v>-4.5074249999999998E-3</v>
      </c>
      <c r="R8113">
        <v>0.96571839999999998</v>
      </c>
      <c r="S8113">
        <v>1.527237</v>
      </c>
      <c r="T8113">
        <v>-9.6858860000000005E-2</v>
      </c>
      <c r="U8113">
        <v>2.6986240000000001</v>
      </c>
      <c r="V8113">
        <v>8.5397050000000002E-2</v>
      </c>
      <c r="W8113">
        <v>1.1440809999999999E-2</v>
      </c>
      <c r="X8113">
        <v>0.99628130000000004</v>
      </c>
      <c r="Y8113">
        <v>0.33120820000000001</v>
      </c>
      <c r="Z8113">
        <v>-3.1670909999999997E-2</v>
      </c>
      <c r="AA8113">
        <v>0.94302609999999998</v>
      </c>
      <c r="AB8113">
        <v>29</v>
      </c>
      <c r="AC8113">
        <v>16.540599999999898</v>
      </c>
      <c r="AD8113">
        <v>-1.05254084</v>
      </c>
      <c r="AE8113">
        <v>29.033999999999999</v>
      </c>
      <c r="AF8113">
        <v>11.1543029617582</v>
      </c>
      <c r="AG8113">
        <v>-1.05254084</v>
      </c>
      <c r="AH8113">
        <v>31.463212464153901</v>
      </c>
      <c r="AI8113">
        <v>91.805953198536301</v>
      </c>
      <c r="AJ8113">
        <v>70.479622130787007</v>
      </c>
      <c r="AK8113">
        <v>33.398503789047901</v>
      </c>
      <c r="AL8113">
        <v>89.344475564224993</v>
      </c>
      <c r="AM8113">
        <v>85.100821340017703</v>
      </c>
      <c r="AN8113">
        <v>0.99999998850592398</v>
      </c>
    </row>
    <row r="8114" spans="1:40" x14ac:dyDescent="0.25">
      <c r="A8114" t="str">
        <f>"20190312160845460"</f>
        <v>20190312160845460</v>
      </c>
      <c r="B8114" t="str">
        <f>"1552378125453812"</f>
        <v>1552378125453812</v>
      </c>
      <c r="C8114" t="s">
        <v>40</v>
      </c>
      <c r="D8114">
        <v>5.9320899999999996</v>
      </c>
      <c r="E8114">
        <v>0.59488450000000004</v>
      </c>
      <c r="F8114" t="s">
        <v>47</v>
      </c>
      <c r="G8114">
        <v>-168.15559999999999</v>
      </c>
      <c r="H8114">
        <v>7.9986310000000005E-2</v>
      </c>
      <c r="I8114">
        <v>151.48349999999999</v>
      </c>
      <c r="J8114">
        <v>-185.33969999999999</v>
      </c>
      <c r="K8114">
        <v>1.1072</v>
      </c>
      <c r="L8114">
        <v>120.87739999999999</v>
      </c>
      <c r="M8114">
        <v>0.17996799999999999</v>
      </c>
      <c r="N8114">
        <v>0</v>
      </c>
      <c r="O8114">
        <v>0.98352799999999996</v>
      </c>
      <c r="P8114">
        <v>0.26335710000000001</v>
      </c>
      <c r="Q8114">
        <v>-5.2190140000000001E-3</v>
      </c>
      <c r="R8114">
        <v>0.96468430000000005</v>
      </c>
      <c r="S8114">
        <v>1.5071559999999999</v>
      </c>
      <c r="T8114">
        <v>-8.9796420000000002E-2</v>
      </c>
      <c r="U8114">
        <v>2.700974</v>
      </c>
      <c r="V8114">
        <v>8.5500909999999999E-2</v>
      </c>
      <c r="W8114">
        <v>1.095351E-2</v>
      </c>
      <c r="X8114">
        <v>0.99627790000000005</v>
      </c>
      <c r="Y8114">
        <v>0.32192690000000002</v>
      </c>
      <c r="Z8114">
        <v>-2.9409939999999999E-2</v>
      </c>
      <c r="AA8114">
        <v>0.94630769999999997</v>
      </c>
      <c r="AB8114">
        <v>29</v>
      </c>
      <c r="AC8114">
        <v>17.184100000000001</v>
      </c>
      <c r="AD8114">
        <v>-1.02721369</v>
      </c>
      <c r="AE8114">
        <v>30.606100000000001</v>
      </c>
      <c r="AF8114">
        <v>11.3847936404142</v>
      </c>
      <c r="AG8114">
        <v>-1.02721369</v>
      </c>
      <c r="AH8114">
        <v>33.1708531071381</v>
      </c>
      <c r="AI8114">
        <v>91.677725949868602</v>
      </c>
      <c r="AJ8114">
        <v>71.056918982073597</v>
      </c>
      <c r="AK8114">
        <v>35.085241769939003</v>
      </c>
      <c r="AL8114">
        <v>89.372397568072003</v>
      </c>
      <c r="AM8114">
        <v>85.094875347742004</v>
      </c>
      <c r="AN8114">
        <v>1.0000000195102701</v>
      </c>
    </row>
    <row r="8115" spans="1:40" x14ac:dyDescent="0.25">
      <c r="A8115" t="str">
        <f>"20190312160845482"</f>
        <v>20190312160845482</v>
      </c>
      <c r="B8115" t="str">
        <f>"1552378125473333"</f>
        <v>1552378125473333</v>
      </c>
      <c r="C8115" t="s">
        <v>40</v>
      </c>
      <c r="D8115">
        <v>6.7756030000000003</v>
      </c>
      <c r="E8115">
        <v>0.59598989999999996</v>
      </c>
      <c r="F8115" t="s">
        <v>47</v>
      </c>
      <c r="G8115">
        <v>-169.1472</v>
      </c>
      <c r="H8115">
        <v>5.0896169999999998E-2</v>
      </c>
      <c r="I8115">
        <v>149.6172</v>
      </c>
      <c r="J8115">
        <v>-185.28450000000001</v>
      </c>
      <c r="K8115">
        <v>1.1072299999999999</v>
      </c>
      <c r="L8115">
        <v>121.1558</v>
      </c>
      <c r="M8115">
        <v>0.18361910000000001</v>
      </c>
      <c r="N8115">
        <v>0</v>
      </c>
      <c r="O8115">
        <v>0.98284910000000003</v>
      </c>
      <c r="P8115">
        <v>0.26698699999999997</v>
      </c>
      <c r="Q8115">
        <v>-5.7657979999999999E-3</v>
      </c>
      <c r="R8115">
        <v>0.96368290000000001</v>
      </c>
      <c r="S8115">
        <v>1.518295</v>
      </c>
      <c r="T8115">
        <v>-9.9045040000000001E-2</v>
      </c>
      <c r="U8115">
        <v>2.6948089999999998</v>
      </c>
      <c r="V8115">
        <v>8.5549650000000005E-2</v>
      </c>
      <c r="W8115">
        <v>1.062976E-2</v>
      </c>
      <c r="X8115">
        <v>0.99627719999999997</v>
      </c>
      <c r="Y8115">
        <v>0.32225920000000002</v>
      </c>
      <c r="Z8115">
        <v>-3.243422E-2</v>
      </c>
      <c r="AA8115">
        <v>0.94609560000000004</v>
      </c>
      <c r="AB8115">
        <v>29</v>
      </c>
      <c r="AC8115">
        <v>16.1373</v>
      </c>
      <c r="AD8115">
        <v>-1.05633383</v>
      </c>
      <c r="AE8115">
        <v>28.461400000000001</v>
      </c>
      <c r="AF8115">
        <v>10.624950014941099</v>
      </c>
      <c r="AG8115">
        <v>-1.05633383</v>
      </c>
      <c r="AH8115">
        <v>30.908671609956901</v>
      </c>
      <c r="AI8115">
        <v>91.851139556136502</v>
      </c>
      <c r="AJ8115">
        <v>71.029436109754002</v>
      </c>
      <c r="AK8115">
        <v>32.700938590085698</v>
      </c>
      <c r="AL8115">
        <v>89.3909481428188</v>
      </c>
      <c r="AM8115">
        <v>85.092089392103006</v>
      </c>
      <c r="AN8115">
        <v>0.99999999682630902</v>
      </c>
    </row>
    <row r="8116" spans="1:40" x14ac:dyDescent="0.25">
      <c r="A8116" t="str">
        <f>"20190312160845503"</f>
        <v>20190312160845503</v>
      </c>
      <c r="B8116" t="str">
        <f>"1552378125493826"</f>
        <v>1552378125493826</v>
      </c>
      <c r="C8116" t="s">
        <v>40</v>
      </c>
      <c r="D8116">
        <v>6.6581489999999999</v>
      </c>
      <c r="E8116">
        <v>0.59480310000000003</v>
      </c>
      <c r="F8116" t="s">
        <v>89</v>
      </c>
      <c r="G8116">
        <v>-170.23650000000001</v>
      </c>
      <c r="H8116" s="1">
        <v>-6.2632420000000003E-6</v>
      </c>
      <c r="I8116">
        <v>147.4683</v>
      </c>
      <c r="J8116">
        <v>-185.2295</v>
      </c>
      <c r="K8116">
        <v>1.1072569999999999</v>
      </c>
      <c r="L8116">
        <v>121.4276</v>
      </c>
      <c r="M8116">
        <v>0.1872144</v>
      </c>
      <c r="N8116">
        <v>0</v>
      </c>
      <c r="O8116">
        <v>0.98216669999999995</v>
      </c>
      <c r="P8116">
        <v>0.2706363</v>
      </c>
      <c r="Q8116">
        <v>-5.9922739999999997E-3</v>
      </c>
      <c r="R8116">
        <v>0.96266300000000005</v>
      </c>
      <c r="S8116">
        <v>1.5364990000000001</v>
      </c>
      <c r="T8116">
        <v>-0.1130565</v>
      </c>
      <c r="U8116">
        <v>2.6866910000000002</v>
      </c>
      <c r="V8116">
        <v>8.5678149999999995E-2</v>
      </c>
      <c r="W8116">
        <v>1.062022E-2</v>
      </c>
      <c r="X8116">
        <v>0.99626619999999999</v>
      </c>
      <c r="Y8116">
        <v>0.32478020000000002</v>
      </c>
      <c r="Z8116">
        <v>-3.7000350000000001E-2</v>
      </c>
      <c r="AA8116">
        <v>0.9450655</v>
      </c>
      <c r="AB8116">
        <v>29</v>
      </c>
      <c r="AC8116">
        <v>14.992999999999901</v>
      </c>
      <c r="AD8116">
        <v>-1.1072632632420001</v>
      </c>
      <c r="AE8116">
        <v>26.040700000000001</v>
      </c>
      <c r="AF8116">
        <v>9.8385464929624202</v>
      </c>
      <c r="AG8116">
        <v>-1.1072632632420001</v>
      </c>
      <c r="AH8116">
        <v>28.348968762143301</v>
      </c>
      <c r="AI8116">
        <v>92.113216890847198</v>
      </c>
      <c r="AJ8116">
        <v>70.860602413674599</v>
      </c>
      <c r="AK8116">
        <v>30.0281044840543</v>
      </c>
      <c r="AL8116">
        <v>89.391494739530899</v>
      </c>
      <c r="AM8116">
        <v>85.084699540859802</v>
      </c>
      <c r="AN8116">
        <v>0.99999993786135299</v>
      </c>
    </row>
    <row r="8117" spans="1:40" x14ac:dyDescent="0.25">
      <c r="A8117" t="str">
        <f>"20190312160845527"</f>
        <v>20190312160845527</v>
      </c>
      <c r="B8117" t="str">
        <f>"1552378125524082"</f>
        <v>1552378125524082</v>
      </c>
      <c r="C8117" t="s">
        <v>40</v>
      </c>
      <c r="D8117">
        <v>6.5607620000000004</v>
      </c>
      <c r="E8117">
        <v>0.59322540000000001</v>
      </c>
      <c r="F8117" t="s">
        <v>47</v>
      </c>
      <c r="G8117">
        <v>-169.49639999999999</v>
      </c>
      <c r="H8117" s="1">
        <v>-2.684382E-6</v>
      </c>
      <c r="I8117">
        <v>148.88390000000001</v>
      </c>
      <c r="J8117">
        <v>-185.1711</v>
      </c>
      <c r="K8117">
        <v>1.1072850000000001</v>
      </c>
      <c r="L8117">
        <v>121.7106</v>
      </c>
      <c r="M8117">
        <v>0.1909882</v>
      </c>
      <c r="N8117">
        <v>0</v>
      </c>
      <c r="O8117">
        <v>0.98143590000000003</v>
      </c>
      <c r="P8117">
        <v>0.27452979999999999</v>
      </c>
      <c r="Q8117">
        <v>-6.2795589999999997E-3</v>
      </c>
      <c r="R8117">
        <v>0.96155809999999997</v>
      </c>
      <c r="S8117">
        <v>1.5376430000000001</v>
      </c>
      <c r="T8117">
        <v>-0.1082162</v>
      </c>
      <c r="U8117">
        <v>2.683395</v>
      </c>
      <c r="V8117">
        <v>8.5879709999999998E-2</v>
      </c>
      <c r="W8117">
        <v>1.055442E-2</v>
      </c>
      <c r="X8117">
        <v>0.99624959999999996</v>
      </c>
      <c r="Y8117">
        <v>0.32197500000000001</v>
      </c>
      <c r="Z8117">
        <v>-3.5430799999999998E-2</v>
      </c>
      <c r="AA8117">
        <v>0.94608499999999995</v>
      </c>
      <c r="AB8117">
        <v>29</v>
      </c>
      <c r="AC8117">
        <v>15.6747</v>
      </c>
      <c r="AD8117">
        <v>-1.1072876843819901</v>
      </c>
      <c r="AE8117">
        <v>27.173300000000001</v>
      </c>
      <c r="AF8117">
        <v>10.182812269187</v>
      </c>
      <c r="AG8117">
        <v>-1.1072876843819901</v>
      </c>
      <c r="AH8117">
        <v>29.630173648425099</v>
      </c>
      <c r="AI8117">
        <v>92.024076661921498</v>
      </c>
      <c r="AJ8117">
        <v>71.034019311069898</v>
      </c>
      <c r="AK8117">
        <v>31.350645003912</v>
      </c>
      <c r="AL8117">
        <v>89.395265046677906</v>
      </c>
      <c r="AM8117">
        <v>85.073111334298503</v>
      </c>
      <c r="AN8117">
        <v>0.99999999293568997</v>
      </c>
    </row>
    <row r="8118" spans="1:40" x14ac:dyDescent="0.25">
      <c r="A8118" t="str">
        <f>"20190312160845550"</f>
        <v>20190312160845550</v>
      </c>
      <c r="B8118" t="str">
        <f>"1552378125543602"</f>
        <v>1552378125543602</v>
      </c>
      <c r="C8118" t="s">
        <v>40</v>
      </c>
      <c r="D8118">
        <v>6.0708510000000002</v>
      </c>
      <c r="E8118">
        <v>0.59234730000000002</v>
      </c>
      <c r="F8118" t="s">
        <v>47</v>
      </c>
      <c r="G8118">
        <v>-169.17599999999999</v>
      </c>
      <c r="H8118">
        <v>5.7708840000000004E-3</v>
      </c>
      <c r="I8118">
        <v>149.6163</v>
      </c>
      <c r="J8118">
        <v>-185.10919999999999</v>
      </c>
      <c r="K8118">
        <v>1.1073</v>
      </c>
      <c r="L8118">
        <v>122.0048</v>
      </c>
      <c r="M8118">
        <v>0.19494539999999999</v>
      </c>
      <c r="N8118">
        <v>0</v>
      </c>
      <c r="O8118">
        <v>0.98065349999999996</v>
      </c>
      <c r="P8118">
        <v>0.27826529999999999</v>
      </c>
      <c r="Q8118">
        <v>-6.8857800000000002E-3</v>
      </c>
      <c r="R8118">
        <v>0.96047959999999999</v>
      </c>
      <c r="S8118">
        <v>1.5364530000000001</v>
      </c>
      <c r="T8118">
        <v>-0.10580870000000001</v>
      </c>
      <c r="U8118">
        <v>2.6805569999999999</v>
      </c>
      <c r="V8118">
        <v>8.5730879999999995E-2</v>
      </c>
      <c r="W8118">
        <v>1.017011E-2</v>
      </c>
      <c r="X8118">
        <v>0.9962664</v>
      </c>
      <c r="Y8118">
        <v>0.31828269999999997</v>
      </c>
      <c r="Z8118">
        <v>-3.4660120000000003E-2</v>
      </c>
      <c r="AA8118">
        <v>0.94736209999999998</v>
      </c>
      <c r="AB8118">
        <v>28</v>
      </c>
      <c r="AC8118">
        <v>15.933199999999999</v>
      </c>
      <c r="AD8118">
        <v>-1.101529116</v>
      </c>
      <c r="AE8118">
        <v>27.6114999999999</v>
      </c>
      <c r="AF8118">
        <v>10.231610946023901</v>
      </c>
      <c r="AG8118">
        <v>-1.101529116</v>
      </c>
      <c r="AH8118">
        <v>30.1521730285342</v>
      </c>
      <c r="AI8118">
        <v>91.981348477947193</v>
      </c>
      <c r="AJ8118">
        <v>71.256257918618701</v>
      </c>
      <c r="AK8118">
        <v>31.859892769544299</v>
      </c>
      <c r="AL8118">
        <v>89.417285561184499</v>
      </c>
      <c r="AM8118">
        <v>85.081690271197004</v>
      </c>
      <c r="AN8118">
        <v>0.99999997734597201</v>
      </c>
    </row>
    <row r="8119" spans="1:40" x14ac:dyDescent="0.25">
      <c r="A8119" t="str">
        <f>"20190312160845572"</f>
        <v>20190312160845572</v>
      </c>
      <c r="B8119" t="str">
        <f>"1552378125564098"</f>
        <v>1552378125564098</v>
      </c>
      <c r="C8119" t="s">
        <v>40</v>
      </c>
      <c r="D8119">
        <v>6.8394789999999901</v>
      </c>
      <c r="E8119">
        <v>0.59167479999999995</v>
      </c>
      <c r="F8119" t="s">
        <v>47</v>
      </c>
      <c r="G8119">
        <v>-169.21940000000001</v>
      </c>
      <c r="H8119">
        <v>1.716637E-2</v>
      </c>
      <c r="I8119">
        <v>149.6163</v>
      </c>
      <c r="J8119">
        <v>-185.05009999999999</v>
      </c>
      <c r="K8119">
        <v>1.107313</v>
      </c>
      <c r="L8119">
        <v>122.28</v>
      </c>
      <c r="M8119">
        <v>0.19868469999999999</v>
      </c>
      <c r="N8119">
        <v>0</v>
      </c>
      <c r="O8119">
        <v>0.97989930000000003</v>
      </c>
      <c r="P8119">
        <v>0.28151769999999998</v>
      </c>
      <c r="Q8119">
        <v>-7.0957800000000003E-3</v>
      </c>
      <c r="R8119">
        <v>0.95952979999999999</v>
      </c>
      <c r="S8119">
        <v>1.5402370000000001</v>
      </c>
      <c r="T8119">
        <v>-0.10566929999999999</v>
      </c>
      <c r="U8119">
        <v>2.676453</v>
      </c>
      <c r="V8119">
        <v>8.5305389999999995E-2</v>
      </c>
      <c r="W8119">
        <v>1.0151510000000001E-2</v>
      </c>
      <c r="X8119">
        <v>0.9963031</v>
      </c>
      <c r="Y8119">
        <v>0.31629940000000001</v>
      </c>
      <c r="Z8119">
        <v>-3.4621180000000001E-2</v>
      </c>
      <c r="AA8119">
        <v>0.94802739999999996</v>
      </c>
      <c r="AB8119">
        <v>28</v>
      </c>
      <c r="AC8119">
        <v>15.830699999999901</v>
      </c>
      <c r="AD8119">
        <v>-1.09014663</v>
      </c>
      <c r="AE8119">
        <v>27.336299999999898</v>
      </c>
      <c r="AF8119">
        <v>10.0708157656679</v>
      </c>
      <c r="AG8119">
        <v>-1.09014663</v>
      </c>
      <c r="AH8119">
        <v>29.901344951671799</v>
      </c>
      <c r="AI8119">
        <v>91.978844298444599</v>
      </c>
      <c r="AJ8119">
        <v>71.386401011149005</v>
      </c>
      <c r="AK8119">
        <v>31.5705587498827</v>
      </c>
      <c r="AL8119">
        <v>89.418351310481498</v>
      </c>
      <c r="AM8119">
        <v>85.1061608314007</v>
      </c>
      <c r="AN8119">
        <v>0.99999996489397003</v>
      </c>
    </row>
    <row r="8120" spans="1:40" x14ac:dyDescent="0.25">
      <c r="A8120" t="str">
        <f>"20190312160845594"</f>
        <v>20190312160845594</v>
      </c>
      <c r="B8120" t="str">
        <f>"1552378125583618"</f>
        <v>1552378125583618</v>
      </c>
      <c r="C8120" t="s">
        <v>40</v>
      </c>
      <c r="D8120">
        <v>6.7818259999999997</v>
      </c>
      <c r="E8120">
        <v>0.5911054</v>
      </c>
      <c r="F8120" t="s">
        <v>47</v>
      </c>
      <c r="G8120">
        <v>-169.25630000000001</v>
      </c>
      <c r="H8120">
        <v>4.0623230000000003E-2</v>
      </c>
      <c r="I8120">
        <v>149.6163</v>
      </c>
      <c r="J8120">
        <v>-184.99209999999999</v>
      </c>
      <c r="K8120">
        <v>1.1073200000000001</v>
      </c>
      <c r="L8120">
        <v>122.54519999999999</v>
      </c>
      <c r="M8120">
        <v>0.20232559999999999</v>
      </c>
      <c r="N8120">
        <v>0</v>
      </c>
      <c r="O8120">
        <v>0.97915099999999999</v>
      </c>
      <c r="P8120">
        <v>0.2843832</v>
      </c>
      <c r="Q8120">
        <v>-7.2998589999999997E-3</v>
      </c>
      <c r="R8120">
        <v>0.9586829</v>
      </c>
      <c r="S8120">
        <v>1.544189</v>
      </c>
      <c r="T8120">
        <v>-0.104292</v>
      </c>
      <c r="U8120">
        <v>2.672714</v>
      </c>
      <c r="V8120">
        <v>8.4578210000000001E-2</v>
      </c>
      <c r="W8120">
        <v>1.011718E-2</v>
      </c>
      <c r="X8120">
        <v>0.99636550000000002</v>
      </c>
      <c r="Y8120">
        <v>0.31440469999999998</v>
      </c>
      <c r="Z8120">
        <v>-3.4172220000000003E-2</v>
      </c>
      <c r="AA8120">
        <v>0.94867380000000001</v>
      </c>
      <c r="AB8120">
        <v>28</v>
      </c>
      <c r="AC8120">
        <v>15.7357999999999</v>
      </c>
      <c r="AD8120">
        <v>-1.0666967700000001</v>
      </c>
      <c r="AE8120">
        <v>27.071100000000001</v>
      </c>
      <c r="AF8120">
        <v>9.9206620169721997</v>
      </c>
      <c r="AG8120">
        <v>-1.0666967700000001</v>
      </c>
      <c r="AH8120">
        <v>29.660893333421001</v>
      </c>
      <c r="AI8120">
        <v>91.953368189424395</v>
      </c>
      <c r="AJ8120">
        <v>71.506487088982297</v>
      </c>
      <c r="AK8120">
        <v>31.294184287031701</v>
      </c>
      <c r="AL8120">
        <v>89.420318407775795</v>
      </c>
      <c r="AM8120">
        <v>85.147980435518406</v>
      </c>
      <c r="AN8120">
        <v>1.0000000202641</v>
      </c>
    </row>
    <row r="8121" spans="1:40" x14ac:dyDescent="0.25">
      <c r="A8121" t="str">
        <f>"20190312160845615"</f>
        <v>20190312160845615</v>
      </c>
      <c r="B8121" t="str">
        <f>"1552378125604114"</f>
        <v>1552378125604114</v>
      </c>
      <c r="C8121" t="s">
        <v>40</v>
      </c>
      <c r="D8121">
        <v>6.7286919999999997</v>
      </c>
      <c r="E8121">
        <v>0.59044430000000003</v>
      </c>
      <c r="F8121" t="s">
        <v>47</v>
      </c>
      <c r="G8121">
        <v>-169.2902</v>
      </c>
      <c r="H8121">
        <v>5.7054309999999997E-2</v>
      </c>
      <c r="I8121">
        <v>149.6234</v>
      </c>
      <c r="J8121">
        <v>-184.93260000000001</v>
      </c>
      <c r="K8121">
        <v>1.1073360000000001</v>
      </c>
      <c r="L8121">
        <v>122.81140000000001</v>
      </c>
      <c r="M8121">
        <v>0.20602519999999999</v>
      </c>
      <c r="N8121">
        <v>0</v>
      </c>
      <c r="O8121">
        <v>0.97837640000000003</v>
      </c>
      <c r="P8121">
        <v>0.28715390000000002</v>
      </c>
      <c r="Q8121">
        <v>-6.7981459999999997E-3</v>
      </c>
      <c r="R8121">
        <v>0.95786039999999995</v>
      </c>
      <c r="S8121">
        <v>1.547882</v>
      </c>
      <c r="T8121">
        <v>-0.10353469999999999</v>
      </c>
      <c r="U8121">
        <v>2.6693570000000002</v>
      </c>
      <c r="V8121">
        <v>8.3696399999999893E-2</v>
      </c>
      <c r="W8121">
        <v>1.078233E-2</v>
      </c>
      <c r="X8121">
        <v>0.99643300000000001</v>
      </c>
      <c r="Y8121">
        <v>0.31231900000000001</v>
      </c>
      <c r="Z8121">
        <v>-3.3922300000000002E-2</v>
      </c>
      <c r="AA8121">
        <v>0.94937150000000003</v>
      </c>
      <c r="AB8121">
        <v>28</v>
      </c>
      <c r="AC8121">
        <v>15.6424</v>
      </c>
      <c r="AD8121">
        <v>-1.05028169</v>
      </c>
      <c r="AE8121">
        <v>26.812000000000001</v>
      </c>
      <c r="AF8121">
        <v>9.7706518755830203</v>
      </c>
      <c r="AG8121">
        <v>-1.05028169</v>
      </c>
      <c r="AH8121">
        <v>29.426178533906601</v>
      </c>
      <c r="AI8121">
        <v>91.940073167867595</v>
      </c>
      <c r="AJ8121">
        <v>71.631798161032407</v>
      </c>
      <c r="AK8121">
        <v>31.023679872180299</v>
      </c>
      <c r="AL8121">
        <v>89.382206048110305</v>
      </c>
      <c r="AM8121">
        <v>85.198653443464295</v>
      </c>
      <c r="AN8121">
        <v>1.00000003475109</v>
      </c>
    </row>
    <row r="8122" spans="1:40" x14ac:dyDescent="0.25">
      <c r="A8122" t="str">
        <f>"20190312160845640"</f>
        <v>20190312160845640</v>
      </c>
      <c r="B8122" t="str">
        <f>"1552378125633394"</f>
        <v>1552378125633394</v>
      </c>
      <c r="C8122" t="s">
        <v>40</v>
      </c>
      <c r="D8122">
        <v>6.7478479999999896</v>
      </c>
      <c r="E8122">
        <v>0.58979789999999999</v>
      </c>
      <c r="F8122" t="s">
        <v>47</v>
      </c>
      <c r="G8122">
        <v>-169.0531</v>
      </c>
      <c r="H8122">
        <v>7.9986539999999995E-2</v>
      </c>
      <c r="I8122">
        <v>150.11590000000001</v>
      </c>
      <c r="J8122">
        <v>-184.86349999999999</v>
      </c>
      <c r="K8122">
        <v>1.107356</v>
      </c>
      <c r="L8122">
        <v>123.1147</v>
      </c>
      <c r="M8122">
        <v>0.2102977</v>
      </c>
      <c r="N8122">
        <v>0</v>
      </c>
      <c r="O8122">
        <v>0.97746350000000004</v>
      </c>
      <c r="P8122">
        <v>0.2910624</v>
      </c>
      <c r="Q8122">
        <v>-6.7719959999999997E-3</v>
      </c>
      <c r="R8122">
        <v>0.95668010000000003</v>
      </c>
      <c r="S8122">
        <v>1.5506899999999999</v>
      </c>
      <c r="T8122">
        <v>-0.10032430000000001</v>
      </c>
      <c r="U8122">
        <v>2.666382</v>
      </c>
      <c r="V8122">
        <v>8.3412180000000002E-2</v>
      </c>
      <c r="W8122">
        <v>1.098784E-2</v>
      </c>
      <c r="X8122">
        <v>0.99645450000000002</v>
      </c>
      <c r="Y8122">
        <v>0.30939139999999998</v>
      </c>
      <c r="Z8122">
        <v>-3.2865800000000001E-2</v>
      </c>
      <c r="AA8122">
        <v>0.95036670000000001</v>
      </c>
      <c r="AB8122">
        <v>28</v>
      </c>
      <c r="AC8122">
        <v>15.8103999999999</v>
      </c>
      <c r="AD8122">
        <v>-1.0273694600000001</v>
      </c>
      <c r="AE8122">
        <v>27.001200000000001</v>
      </c>
      <c r="AF8122">
        <v>9.7669312442075693</v>
      </c>
      <c r="AG8122">
        <v>-1.0273694600000001</v>
      </c>
      <c r="AH8122">
        <v>29.690622029430902</v>
      </c>
      <c r="AI8122">
        <v>91.8826176263874</v>
      </c>
      <c r="AJ8122">
        <v>71.791029243690403</v>
      </c>
      <c r="AK8122">
        <v>31.272695285679301</v>
      </c>
      <c r="AL8122">
        <v>89.370430440274603</v>
      </c>
      <c r="AM8122">
        <v>85.214985000641093</v>
      </c>
      <c r="AN8122">
        <v>0.99999994748523202</v>
      </c>
    </row>
    <row r="8123" spans="1:40" x14ac:dyDescent="0.25">
      <c r="A8123" t="str">
        <f>"20190312160845661"</f>
        <v>20190312160845661</v>
      </c>
      <c r="B8123" t="str">
        <f>"1552378125653725"</f>
        <v>1552378125653725</v>
      </c>
      <c r="C8123" t="s">
        <v>40</v>
      </c>
      <c r="D8123">
        <v>6.6937920000000002</v>
      </c>
      <c r="E8123">
        <v>0.58953979999999995</v>
      </c>
      <c r="F8123" t="s">
        <v>47</v>
      </c>
      <c r="G8123">
        <v>-168.98050000000001</v>
      </c>
      <c r="H8123">
        <v>7.9986539999999995E-2</v>
      </c>
      <c r="I8123">
        <v>150.27440000000001</v>
      </c>
      <c r="J8123">
        <v>-184.80420000000001</v>
      </c>
      <c r="K8123">
        <v>1.107375</v>
      </c>
      <c r="L8123">
        <v>123.37050000000001</v>
      </c>
      <c r="M8123">
        <v>0.2139421</v>
      </c>
      <c r="N8123">
        <v>0</v>
      </c>
      <c r="O8123">
        <v>0.97666969999999997</v>
      </c>
      <c r="P8123">
        <v>0.29454809999999998</v>
      </c>
      <c r="Q8123">
        <v>-6.7273280000000003E-3</v>
      </c>
      <c r="R8123">
        <v>0.95561300000000005</v>
      </c>
      <c r="S8123">
        <v>1.5564880000000001</v>
      </c>
      <c r="T8123">
        <v>-0.1006792</v>
      </c>
      <c r="U8123">
        <v>2.661575</v>
      </c>
      <c r="V8123">
        <v>8.3329029999999998E-2</v>
      </c>
      <c r="W8123">
        <v>1.1176180000000001E-2</v>
      </c>
      <c r="X8123">
        <v>0.9964594</v>
      </c>
      <c r="Y8123">
        <v>0.30813170000000001</v>
      </c>
      <c r="Z8123">
        <v>-3.2983400000000003E-2</v>
      </c>
      <c r="AA8123">
        <v>0.95077179999999994</v>
      </c>
      <c r="AB8123">
        <v>28</v>
      </c>
      <c r="AC8123">
        <v>15.823700000000001</v>
      </c>
      <c r="AD8123">
        <v>-1.0273884600000001</v>
      </c>
      <c r="AE8123">
        <v>26.9039</v>
      </c>
      <c r="AF8123">
        <v>9.6898266405025701</v>
      </c>
      <c r="AG8123">
        <v>-1.0273884600000001</v>
      </c>
      <c r="AH8123">
        <v>29.634590404274</v>
      </c>
      <c r="AI8123">
        <v>91.887314829205195</v>
      </c>
      <c r="AJ8123">
        <v>71.893450705661905</v>
      </c>
      <c r="AK8123">
        <v>31.195467872750701</v>
      </c>
      <c r="AL8123">
        <v>89.359638713937898</v>
      </c>
      <c r="AM8123">
        <v>85.219756257679904</v>
      </c>
      <c r="AN8123">
        <v>0.99999998504424603</v>
      </c>
    </row>
    <row r="8124" spans="1:40" x14ac:dyDescent="0.25">
      <c r="A8124" t="str">
        <f>"20190312160845683"</f>
        <v>20190312160845683</v>
      </c>
      <c r="B8124" t="str">
        <f>"1552378125673246"</f>
        <v>1552378125673246</v>
      </c>
      <c r="C8124" t="s">
        <v>40</v>
      </c>
      <c r="D8124">
        <v>6.6910889999999998</v>
      </c>
      <c r="E8124">
        <v>0.5892271</v>
      </c>
      <c r="F8124" t="s">
        <v>47</v>
      </c>
      <c r="G8124">
        <v>-168.7509</v>
      </c>
      <c r="H8124">
        <v>7.9986470000000004E-2</v>
      </c>
      <c r="I8124">
        <v>150.63220000000001</v>
      </c>
      <c r="J8124">
        <v>-184.7448</v>
      </c>
      <c r="K8124">
        <v>1.107391</v>
      </c>
      <c r="L8124">
        <v>123.62179999999999</v>
      </c>
      <c r="M8124">
        <v>0.21756429999999999</v>
      </c>
      <c r="N8124">
        <v>0</v>
      </c>
      <c r="O8124">
        <v>0.97586660000000003</v>
      </c>
      <c r="P8124">
        <v>0.29832950000000003</v>
      </c>
      <c r="Q8124">
        <v>-6.6412329999999999E-3</v>
      </c>
      <c r="R8124">
        <v>0.95443979999999995</v>
      </c>
      <c r="S8124">
        <v>1.5642849999999999</v>
      </c>
      <c r="T8124">
        <v>-0.1001124</v>
      </c>
      <c r="U8124">
        <v>2.656479</v>
      </c>
      <c r="V8124">
        <v>8.3578399999999997E-2</v>
      </c>
      <c r="W8124">
        <v>1.139074E-2</v>
      </c>
      <c r="X8124">
        <v>0.99643610000000005</v>
      </c>
      <c r="Y8124">
        <v>0.30747400000000003</v>
      </c>
      <c r="Z8124">
        <v>-3.2792799999999997E-2</v>
      </c>
      <c r="AA8124">
        <v>0.95099129999999998</v>
      </c>
      <c r="AB8124">
        <v>28</v>
      </c>
      <c r="AC8124">
        <v>15.993899999999901</v>
      </c>
      <c r="AD8124">
        <v>-1.0274045300000001</v>
      </c>
      <c r="AE8124">
        <v>27.010400000000001</v>
      </c>
      <c r="AF8124">
        <v>9.7227029322372491</v>
      </c>
      <c r="AG8124">
        <v>-1.0274045300000001</v>
      </c>
      <c r="AH8124">
        <v>29.811539046950902</v>
      </c>
      <c r="AI8124">
        <v>91.876613548419201</v>
      </c>
      <c r="AJ8124">
        <v>71.9368373477825</v>
      </c>
      <c r="AK8124">
        <v>31.373784800764401</v>
      </c>
      <c r="AL8124">
        <v>89.347344558157204</v>
      </c>
      <c r="AM8124">
        <v>85.205405925570403</v>
      </c>
      <c r="AN8124">
        <v>0.99999999964375796</v>
      </c>
    </row>
    <row r="8125" spans="1:40" x14ac:dyDescent="0.25">
      <c r="A8125" t="str">
        <f>"20190312160845705"</f>
        <v>20190312160845705</v>
      </c>
      <c r="B8125" t="str">
        <f>"1552378125693742"</f>
        <v>1552378125693742</v>
      </c>
      <c r="C8125" t="s">
        <v>40</v>
      </c>
      <c r="D8125">
        <v>6.7397179999999901</v>
      </c>
      <c r="E8125">
        <v>0.58918190000000004</v>
      </c>
      <c r="F8125" t="s">
        <v>47</v>
      </c>
      <c r="G8125">
        <v>-168.4879</v>
      </c>
      <c r="H8125">
        <v>7.9986399999999902E-2</v>
      </c>
      <c r="I8125">
        <v>151.02690000000001</v>
      </c>
      <c r="J8125">
        <v>-184.68049999999999</v>
      </c>
      <c r="K8125">
        <v>1.1074040000000001</v>
      </c>
      <c r="L8125">
        <v>123.88930000000001</v>
      </c>
      <c r="M8125">
        <v>0.22146940000000001</v>
      </c>
      <c r="N8125">
        <v>0</v>
      </c>
      <c r="O8125">
        <v>0.9749852</v>
      </c>
      <c r="P8125">
        <v>0.30218390000000001</v>
      </c>
      <c r="Q8125">
        <v>-5.9603750000000004E-3</v>
      </c>
      <c r="R8125">
        <v>0.95323100000000005</v>
      </c>
      <c r="S8125">
        <v>1.572586</v>
      </c>
      <c r="T8125">
        <v>-9.9384550000000002E-2</v>
      </c>
      <c r="U8125">
        <v>2.6509860000000001</v>
      </c>
      <c r="V8125">
        <v>8.3620349999999996E-2</v>
      </c>
      <c r="W8125">
        <v>1.2203220000000001E-2</v>
      </c>
      <c r="X8125">
        <v>0.9964229</v>
      </c>
      <c r="Y8125">
        <v>0.30673499999999998</v>
      </c>
      <c r="Z8125">
        <v>-3.2548630000000002E-2</v>
      </c>
      <c r="AA8125">
        <v>0.95123829999999998</v>
      </c>
      <c r="AB8125">
        <v>27</v>
      </c>
      <c r="AC8125">
        <v>16.192599999999999</v>
      </c>
      <c r="AD8125">
        <v>-1.0274175999999999</v>
      </c>
      <c r="AE8125">
        <v>27.137599999999999</v>
      </c>
      <c r="AF8125">
        <v>9.7688083456628103</v>
      </c>
      <c r="AG8125">
        <v>-1.0274175999999999</v>
      </c>
      <c r="AH8125">
        <v>30.018530623203301</v>
      </c>
      <c r="AI8125">
        <v>91.864097406796404</v>
      </c>
      <c r="AJ8125">
        <v>71.973768409570596</v>
      </c>
      <c r="AK8125">
        <v>31.584765064747199</v>
      </c>
      <c r="AL8125">
        <v>89.300789599613907</v>
      </c>
      <c r="AM8125">
        <v>85.2029473802464</v>
      </c>
      <c r="AN8125">
        <v>0.99999993857844804</v>
      </c>
    </row>
    <row r="8126" spans="1:40" x14ac:dyDescent="0.25">
      <c r="A8126" t="str">
        <f>"20190312160845727"</f>
        <v>20190312160845727</v>
      </c>
      <c r="B8126" t="str">
        <f>"1552378125713266"</f>
        <v>1552378125713266</v>
      </c>
      <c r="C8126" t="s">
        <v>40</v>
      </c>
      <c r="D8126">
        <v>5.9840450000000001</v>
      </c>
      <c r="E8126">
        <v>0.58897500000000003</v>
      </c>
      <c r="F8126" t="s">
        <v>47</v>
      </c>
      <c r="G8126">
        <v>-167.95150000000001</v>
      </c>
      <c r="H8126">
        <v>7.9986249999999995E-2</v>
      </c>
      <c r="I8126">
        <v>151.84</v>
      </c>
      <c r="J8126">
        <v>-184.61490000000001</v>
      </c>
      <c r="K8126">
        <v>1.1073999999999999</v>
      </c>
      <c r="L8126">
        <v>124.1566</v>
      </c>
      <c r="M8126">
        <v>0.22543379999999999</v>
      </c>
      <c r="N8126">
        <v>0</v>
      </c>
      <c r="O8126">
        <v>0.97407370000000004</v>
      </c>
      <c r="P8126">
        <v>0.30677670000000001</v>
      </c>
      <c r="Q8126">
        <v>-6.3954800000000003E-3</v>
      </c>
      <c r="R8126">
        <v>0.9517601</v>
      </c>
      <c r="S8126">
        <v>1.5829470000000001</v>
      </c>
      <c r="T8126">
        <v>-9.7217799999999993E-2</v>
      </c>
      <c r="U8126">
        <v>2.6447910000000001</v>
      </c>
      <c r="V8126">
        <v>8.4369730000000004E-2</v>
      </c>
      <c r="W8126">
        <v>1.188614E-2</v>
      </c>
      <c r="X8126">
        <v>0.99636360000000002</v>
      </c>
      <c r="Y8126">
        <v>0.30660009999999999</v>
      </c>
      <c r="Z8126">
        <v>-3.1830369999999997E-2</v>
      </c>
      <c r="AA8126">
        <v>0.95130599999999998</v>
      </c>
      <c r="AB8126">
        <v>27</v>
      </c>
      <c r="AC8126">
        <v>16.6633999999999</v>
      </c>
      <c r="AD8126">
        <v>-1.02741375</v>
      </c>
      <c r="AE8126">
        <v>27.683399999999999</v>
      </c>
      <c r="AF8126">
        <v>9.9823119285893807</v>
      </c>
      <c r="AG8126">
        <v>-1.02741375</v>
      </c>
      <c r="AH8126">
        <v>30.696661432154901</v>
      </c>
      <c r="AI8126">
        <v>91.823063558190995</v>
      </c>
      <c r="AJ8126">
        <v>71.985883709063401</v>
      </c>
      <c r="AK8126">
        <v>32.295311633946099</v>
      </c>
      <c r="AL8126">
        <v>89.318958291057299</v>
      </c>
      <c r="AM8126">
        <v>85.159874287098603</v>
      </c>
      <c r="AN8126">
        <v>0.99999997753466596</v>
      </c>
    </row>
    <row r="8127" spans="1:40" x14ac:dyDescent="0.25">
      <c r="A8127" t="str">
        <f>"20190312160845752"</f>
        <v>20190312160845752</v>
      </c>
      <c r="B8127" t="str">
        <f>"1552378125743517"</f>
        <v>1552378125743517</v>
      </c>
      <c r="C8127" t="s">
        <v>40</v>
      </c>
      <c r="D8127">
        <v>6.2625650000000004</v>
      </c>
      <c r="E8127">
        <v>0.5885437</v>
      </c>
      <c r="F8127" t="s">
        <v>47</v>
      </c>
      <c r="G8127">
        <v>-167.9255</v>
      </c>
      <c r="H8127">
        <v>7.998624E-2</v>
      </c>
      <c r="I8127">
        <v>151.7687</v>
      </c>
      <c r="J8127">
        <v>-184.5437</v>
      </c>
      <c r="K8127">
        <v>1.107394</v>
      </c>
      <c r="L8127">
        <v>124.4418</v>
      </c>
      <c r="M8127">
        <v>0.22973550000000001</v>
      </c>
      <c r="N8127">
        <v>0</v>
      </c>
      <c r="O8127">
        <v>0.97306570000000003</v>
      </c>
      <c r="P8127">
        <v>0.31129630000000003</v>
      </c>
      <c r="Q8127">
        <v>-6.6391979999999998E-3</v>
      </c>
      <c r="R8127">
        <v>0.95028970000000001</v>
      </c>
      <c r="S8127">
        <v>1.5942080000000001</v>
      </c>
      <c r="T8127">
        <v>-9.8140720000000001E-2</v>
      </c>
      <c r="U8127">
        <v>2.6375579999999998</v>
      </c>
      <c r="V8127">
        <v>8.4701990000000005E-2</v>
      </c>
      <c r="W8127">
        <v>1.1757409999999999E-2</v>
      </c>
      <c r="X8127">
        <v>0.99633689999999997</v>
      </c>
      <c r="Y8127">
        <v>0.30651820000000002</v>
      </c>
      <c r="Z8127">
        <v>-3.2125550000000003E-2</v>
      </c>
      <c r="AA8127">
        <v>0.95132249999999996</v>
      </c>
      <c r="AB8127">
        <v>27</v>
      </c>
      <c r="AC8127">
        <v>16.618200000000002</v>
      </c>
      <c r="AD8127">
        <v>-1.02740776</v>
      </c>
      <c r="AE8127">
        <v>27.326899999999899</v>
      </c>
      <c r="AF8127">
        <v>9.8842463490093806</v>
      </c>
      <c r="AG8127">
        <v>-1.02740776</v>
      </c>
      <c r="AH8127">
        <v>30.382854355941401</v>
      </c>
      <c r="AI8127">
        <v>91.841798347201205</v>
      </c>
      <c r="AJ8127">
        <v>71.979092891077002</v>
      </c>
      <c r="AK8127">
        <v>31.966728506488799</v>
      </c>
      <c r="AL8127">
        <v>89.326334467791895</v>
      </c>
      <c r="AM8127">
        <v>85.140774678064602</v>
      </c>
      <c r="AN8127">
        <v>0.99999994105073697</v>
      </c>
    </row>
    <row r="8128" spans="1:40" x14ac:dyDescent="0.25">
      <c r="A8128" t="str">
        <f>"20190312160845774"</f>
        <v>20190312160845774</v>
      </c>
      <c r="B8128" t="str">
        <f>"1552378125763604"</f>
        <v>1552378125763604</v>
      </c>
      <c r="C8128" t="s">
        <v>40</v>
      </c>
      <c r="D8128">
        <v>5.9125629999999996</v>
      </c>
      <c r="E8128">
        <v>0.5885127</v>
      </c>
      <c r="F8128" t="s">
        <v>47</v>
      </c>
      <c r="G8128">
        <v>-167.21129999999999</v>
      </c>
      <c r="H8128">
        <v>7.9986039999999994E-2</v>
      </c>
      <c r="I8128">
        <v>152.88200000000001</v>
      </c>
      <c r="J8128">
        <v>-184.47800000000001</v>
      </c>
      <c r="K8128">
        <v>1.107383</v>
      </c>
      <c r="L8128">
        <v>124.69970000000001</v>
      </c>
      <c r="M8128">
        <v>0.23369980000000001</v>
      </c>
      <c r="N8128">
        <v>0</v>
      </c>
      <c r="O8128">
        <v>0.97211930000000002</v>
      </c>
      <c r="P8128">
        <v>0.3152375</v>
      </c>
      <c r="Q8128">
        <v>-6.6311410000000001E-3</v>
      </c>
      <c r="R8128">
        <v>0.94898959999999999</v>
      </c>
      <c r="S8128">
        <v>1.603424</v>
      </c>
      <c r="T8128">
        <v>-9.50458E-2</v>
      </c>
      <c r="U8128">
        <v>2.6310120000000001</v>
      </c>
      <c r="V8128">
        <v>8.4776870000000004E-2</v>
      </c>
      <c r="W8128">
        <v>1.1858489999999999E-2</v>
      </c>
      <c r="X8128">
        <v>0.99632940000000003</v>
      </c>
      <c r="Y8128">
        <v>0.30613600000000002</v>
      </c>
      <c r="Z8128">
        <v>-3.1110209999999999E-2</v>
      </c>
      <c r="AA8128">
        <v>0.95147930000000003</v>
      </c>
      <c r="AB8128">
        <v>27</v>
      </c>
      <c r="AC8128">
        <v>17.266699999999901</v>
      </c>
      <c r="AD8128">
        <v>-1.0273969599999999</v>
      </c>
      <c r="AE8128">
        <v>28.182300000000001</v>
      </c>
      <c r="AF8128">
        <v>10.191126524586201</v>
      </c>
      <c r="AG8128">
        <v>-1.0273969599999999</v>
      </c>
      <c r="AH8128">
        <v>31.407226385440001</v>
      </c>
      <c r="AI8128">
        <v>91.782186704540905</v>
      </c>
      <c r="AJ8128">
        <v>72.022608917500705</v>
      </c>
      <c r="AK8128">
        <v>33.035261064199503</v>
      </c>
      <c r="AL8128">
        <v>89.320542651343402</v>
      </c>
      <c r="AM8128">
        <v>85.1364630865301</v>
      </c>
      <c r="AN8128">
        <v>1.00000000738821</v>
      </c>
    </row>
    <row r="8129" spans="1:40" x14ac:dyDescent="0.25">
      <c r="A8129" t="str">
        <f>"20190312160845794"</f>
        <v>20190312160845794</v>
      </c>
      <c r="B8129" t="str">
        <f>"1552378125784100"</f>
        <v>1552378125784100</v>
      </c>
      <c r="C8129" t="s">
        <v>40</v>
      </c>
      <c r="D8129">
        <v>5.8872910000000003</v>
      </c>
      <c r="E8129">
        <v>0.58890129999999996</v>
      </c>
      <c r="F8129" t="s">
        <v>47</v>
      </c>
      <c r="G8129">
        <v>-166.57579999999999</v>
      </c>
      <c r="H8129">
        <v>7.9985860000000006E-2</v>
      </c>
      <c r="I8129">
        <v>153.8091</v>
      </c>
      <c r="J8129">
        <v>-184.4162</v>
      </c>
      <c r="K8129">
        <v>1.1073770000000001</v>
      </c>
      <c r="L8129">
        <v>124.9384</v>
      </c>
      <c r="M8129">
        <v>0.23743649999999999</v>
      </c>
      <c r="N8129">
        <v>0</v>
      </c>
      <c r="O8129">
        <v>0.97121170000000001</v>
      </c>
      <c r="P8129">
        <v>0.31901929999999901</v>
      </c>
      <c r="Q8129">
        <v>-6.9041129999999999E-3</v>
      </c>
      <c r="R8129">
        <v>0.94772310000000004</v>
      </c>
      <c r="S8129">
        <v>1.614044</v>
      </c>
      <c r="T8129">
        <v>-9.2628840000000004E-2</v>
      </c>
      <c r="U8129">
        <v>2.624466</v>
      </c>
      <c r="V8129">
        <v>8.4917690000000004E-2</v>
      </c>
      <c r="W8129">
        <v>1.166824E-2</v>
      </c>
      <c r="X8129">
        <v>0.99631970000000003</v>
      </c>
      <c r="Y8129">
        <v>0.30634040000000001</v>
      </c>
      <c r="Z8129">
        <v>-3.0311339999999999E-2</v>
      </c>
      <c r="AA8129">
        <v>0.95143929999999999</v>
      </c>
      <c r="AB8129">
        <v>27</v>
      </c>
      <c r="AC8129">
        <v>17.840399999999999</v>
      </c>
      <c r="AD8129">
        <v>-1.02739114</v>
      </c>
      <c r="AE8129">
        <v>28.870699999999999</v>
      </c>
      <c r="AF8129">
        <v>10.464204579268101</v>
      </c>
      <c r="AG8129">
        <v>-1.02739114</v>
      </c>
      <c r="AH8129">
        <v>32.251968102161001</v>
      </c>
      <c r="AI8129">
        <v>91.735543086192294</v>
      </c>
      <c r="AJ8129">
        <v>72.024259103952303</v>
      </c>
      <c r="AK8129">
        <v>33.922626025915797</v>
      </c>
      <c r="AL8129">
        <v>89.331443958264501</v>
      </c>
      <c r="AM8129">
        <v>85.128376075672094</v>
      </c>
      <c r="AN8129">
        <v>1.00000005325386</v>
      </c>
    </row>
    <row r="8130" spans="1:40" x14ac:dyDescent="0.25">
      <c r="A8130" t="str">
        <f>"20190312160845817"</f>
        <v>20190312160845817</v>
      </c>
      <c r="B8130" t="str">
        <f>"1552378125813381"</f>
        <v>1552378125813381</v>
      </c>
      <c r="C8130" t="s">
        <v>40</v>
      </c>
      <c r="D8130">
        <v>5.8998970000000002</v>
      </c>
      <c r="E8130">
        <v>0.58941269999999901</v>
      </c>
      <c r="F8130" t="s">
        <v>47</v>
      </c>
      <c r="G8130">
        <v>-166.19970000000001</v>
      </c>
      <c r="H8130">
        <v>7.9985749999999994E-2</v>
      </c>
      <c r="I8130">
        <v>154.2286</v>
      </c>
      <c r="J8130">
        <v>-184.34710000000001</v>
      </c>
      <c r="K8130">
        <v>1.107362</v>
      </c>
      <c r="L8130">
        <v>125.1998</v>
      </c>
      <c r="M8130">
        <v>0.2416169</v>
      </c>
      <c r="N8130">
        <v>0</v>
      </c>
      <c r="O8130">
        <v>0.97017819999999999</v>
      </c>
      <c r="P8130">
        <v>0.32295659999999998</v>
      </c>
      <c r="Q8130">
        <v>-6.9425299999999997E-3</v>
      </c>
      <c r="R8130">
        <v>0.94638829999999996</v>
      </c>
      <c r="S8130">
        <v>1.6275630000000001</v>
      </c>
      <c r="T8130">
        <v>-9.1793059999999996E-2</v>
      </c>
      <c r="U8130">
        <v>2.616959</v>
      </c>
      <c r="V8130">
        <v>8.4769869999999997E-2</v>
      </c>
      <c r="W8130">
        <v>1.172021E-2</v>
      </c>
      <c r="X8130">
        <v>0.99633159999999998</v>
      </c>
      <c r="Y8130">
        <v>0.30701469999999997</v>
      </c>
      <c r="Z8130">
        <v>-3.0022460000000001E-2</v>
      </c>
      <c r="AA8130">
        <v>0.9512311</v>
      </c>
      <c r="AB8130">
        <v>27</v>
      </c>
      <c r="AC8130">
        <v>18.147400000000001</v>
      </c>
      <c r="AD8130">
        <v>-1.0273762500000001</v>
      </c>
      <c r="AE8130">
        <v>29.0288</v>
      </c>
      <c r="AF8130">
        <v>10.584819973032699</v>
      </c>
      <c r="AG8130">
        <v>-1.0273762500000001</v>
      </c>
      <c r="AH8130">
        <v>32.524648910529798</v>
      </c>
      <c r="AI8130">
        <v>91.720476947919195</v>
      </c>
      <c r="AJ8130">
        <v>71.973042448817907</v>
      </c>
      <c r="AK8130">
        <v>34.219098506153102</v>
      </c>
      <c r="AL8130">
        <v>89.328466041033394</v>
      </c>
      <c r="AM8130">
        <v>85.136873428044296</v>
      </c>
      <c r="AN8130">
        <v>0.99999997567040999</v>
      </c>
    </row>
    <row r="8131" spans="1:40" x14ac:dyDescent="0.25">
      <c r="A8131" t="str">
        <f>"20190312160845839"</f>
        <v>20190312160845839</v>
      </c>
      <c r="B8131" t="str">
        <f>"1552378125833876"</f>
        <v>1552378125833876</v>
      </c>
      <c r="C8131" t="s">
        <v>40</v>
      </c>
      <c r="D8131">
        <v>6.4873669999999999</v>
      </c>
      <c r="E8131">
        <v>0.61053369999999996</v>
      </c>
      <c r="F8131" t="s">
        <v>45</v>
      </c>
      <c r="G8131">
        <v>-162.6378</v>
      </c>
      <c r="H8131">
        <v>-0.05</v>
      </c>
      <c r="I8131">
        <v>159.6824</v>
      </c>
      <c r="J8131">
        <v>-184.2756</v>
      </c>
      <c r="K8131">
        <v>1.107351</v>
      </c>
      <c r="L8131">
        <v>125.4654</v>
      </c>
      <c r="M8131">
        <v>0.24593950000000001</v>
      </c>
      <c r="N8131">
        <v>0</v>
      </c>
      <c r="O8131">
        <v>0.96908970000000005</v>
      </c>
      <c r="P8131">
        <v>0.32640219999999998</v>
      </c>
      <c r="Q8131">
        <v>-6.5063530000000003E-3</v>
      </c>
      <c r="R8131">
        <v>0.94520850000000001</v>
      </c>
      <c r="S8131">
        <v>1.642441</v>
      </c>
      <c r="T8131">
        <v>-8.7561369999999999E-2</v>
      </c>
      <c r="U8131">
        <v>2.6088100000000001</v>
      </c>
      <c r="V8131">
        <v>8.3961519999999998E-2</v>
      </c>
      <c r="W8131">
        <v>1.224804E-2</v>
      </c>
      <c r="X8131">
        <v>0.99639370000000005</v>
      </c>
      <c r="Y8131">
        <v>0.30801990000000001</v>
      </c>
      <c r="Z8131">
        <v>-2.8622600000000002E-2</v>
      </c>
      <c r="AA8131">
        <v>0.9509493</v>
      </c>
      <c r="AB8131">
        <v>27</v>
      </c>
      <c r="AC8131">
        <v>21.637799999999999</v>
      </c>
      <c r="AD8131">
        <v>-1.157351</v>
      </c>
      <c r="AE8131">
        <v>34.216999999999999</v>
      </c>
      <c r="AF8131">
        <v>12.5457833343025</v>
      </c>
      <c r="AG8131">
        <v>-1.157351</v>
      </c>
      <c r="AH8131">
        <v>38.456795967955301</v>
      </c>
      <c r="AI8131">
        <v>91.6388337570977</v>
      </c>
      <c r="AJ8131">
        <v>71.932089626062094</v>
      </c>
      <c r="AK8131">
        <v>40.468028083036302</v>
      </c>
      <c r="AL8131">
        <v>89.298221438603207</v>
      </c>
      <c r="AM8131">
        <v>85.183326868331307</v>
      </c>
      <c r="AN8131">
        <v>0.99999997836211996</v>
      </c>
    </row>
    <row r="8132" spans="1:40" x14ac:dyDescent="0.25">
      <c r="A8132" t="str">
        <f>"20190312160845862"</f>
        <v>20190312160845862</v>
      </c>
      <c r="B8132" t="str">
        <f>"1552378125853400"</f>
        <v>1552378125853400</v>
      </c>
      <c r="C8132" t="s">
        <v>40</v>
      </c>
      <c r="D8132">
        <v>6.247376</v>
      </c>
      <c r="E8132">
        <v>0.58275840000000001</v>
      </c>
      <c r="F8132" t="s">
        <v>89</v>
      </c>
      <c r="G8132">
        <v>-170.5565</v>
      </c>
      <c r="H8132" s="1">
        <v>-5.5342539999999997E-6</v>
      </c>
      <c r="I8132">
        <v>144.77699999999999</v>
      </c>
      <c r="J8132">
        <v>-184.20599999999999</v>
      </c>
      <c r="K8132">
        <v>1.107335</v>
      </c>
      <c r="L8132">
        <v>125.7193</v>
      </c>
      <c r="M8132">
        <v>0.25014330000000001</v>
      </c>
      <c r="N8132">
        <v>0</v>
      </c>
      <c r="O8132">
        <v>0.96801159999999997</v>
      </c>
      <c r="P8132">
        <v>0.32963969999999998</v>
      </c>
      <c r="Q8132">
        <v>-6.7809039999999999E-3</v>
      </c>
      <c r="R8132">
        <v>0.94408239999999999</v>
      </c>
      <c r="S8132">
        <v>1.810028</v>
      </c>
      <c r="T8132">
        <v>-0.1460986</v>
      </c>
      <c r="U8132">
        <v>2.5478670000000001</v>
      </c>
      <c r="V8132">
        <v>8.3050669999999993E-2</v>
      </c>
      <c r="W8132">
        <v>1.205255E-2</v>
      </c>
      <c r="X8132">
        <v>0.99647240000000004</v>
      </c>
      <c r="Y8132">
        <v>0.35610029999999998</v>
      </c>
      <c r="Z8132">
        <v>-4.7363879999999997E-2</v>
      </c>
      <c r="AA8132">
        <v>0.93324660000000004</v>
      </c>
      <c r="AB8132">
        <v>26</v>
      </c>
      <c r="AC8132">
        <v>13.6494999999999</v>
      </c>
      <c r="AD8132">
        <v>-1.1073405342539999</v>
      </c>
      <c r="AE8132">
        <v>19.057700000000001</v>
      </c>
      <c r="AF8132">
        <v>8.4285234268614797</v>
      </c>
      <c r="AG8132">
        <v>-1.1073405342539999</v>
      </c>
      <c r="AH8132">
        <v>21.817895192099101</v>
      </c>
      <c r="AI8132">
        <v>92.710578324866901</v>
      </c>
      <c r="AJ8132">
        <v>68.877835287005794</v>
      </c>
      <c r="AK8132">
        <v>23.415523928141699</v>
      </c>
      <c r="AL8132">
        <v>89.309423005583298</v>
      </c>
      <c r="AM8132">
        <v>85.2357128661545</v>
      </c>
      <c r="AN8132">
        <v>0.99999996085535503</v>
      </c>
    </row>
    <row r="8133" spans="1:40" x14ac:dyDescent="0.25">
      <c r="A8133" t="str">
        <f>"20190312160845883"</f>
        <v>20190312160845883</v>
      </c>
      <c r="B8133" t="str">
        <f>"1552378125873892"</f>
        <v>1552378125873892</v>
      </c>
      <c r="C8133" t="s">
        <v>40</v>
      </c>
      <c r="D8133">
        <v>5.9284509999999999</v>
      </c>
      <c r="E8133">
        <v>0.59157090000000001</v>
      </c>
      <c r="F8133" t="s">
        <v>89</v>
      </c>
      <c r="G8133">
        <v>-175.80090000000001</v>
      </c>
      <c r="H8133" s="1">
        <v>-6.2598510000000001E-6</v>
      </c>
      <c r="I8133">
        <v>139.3843</v>
      </c>
      <c r="J8133">
        <v>-184.13900000000001</v>
      </c>
      <c r="K8133">
        <v>1.1073189999999999</v>
      </c>
      <c r="L8133">
        <v>125.9594</v>
      </c>
      <c r="M8133">
        <v>0.25419239999999999</v>
      </c>
      <c r="N8133">
        <v>0</v>
      </c>
      <c r="O8133">
        <v>0.96695489999999995</v>
      </c>
      <c r="P8133">
        <v>0.33270670000000002</v>
      </c>
      <c r="Q8133">
        <v>-6.9428839999999999E-3</v>
      </c>
      <c r="R8133">
        <v>0.94300479999999998</v>
      </c>
      <c r="S8133">
        <v>1.608231</v>
      </c>
      <c r="T8133">
        <v>-0.21187890000000001</v>
      </c>
      <c r="U8133">
        <v>2.614655</v>
      </c>
      <c r="V8133">
        <v>8.2119059999999994E-2</v>
      </c>
      <c r="W8133">
        <v>1.195767E-2</v>
      </c>
      <c r="X8133">
        <v>0.99655079999999996</v>
      </c>
      <c r="Y8133">
        <v>0.28885509999999998</v>
      </c>
      <c r="Z8133">
        <v>-6.918945E-2</v>
      </c>
      <c r="AA8133">
        <v>0.95486939999999998</v>
      </c>
      <c r="AB8133">
        <v>26</v>
      </c>
      <c r="AC8133">
        <v>8.3380999999999901</v>
      </c>
      <c r="AD8133">
        <v>-1.1073252598509999</v>
      </c>
      <c r="AE8133">
        <v>13.4248999999999</v>
      </c>
      <c r="AF8133">
        <v>4.6282306746416699</v>
      </c>
      <c r="AG8133">
        <v>-1.1073252598509999</v>
      </c>
      <c r="AH8133">
        <v>15.029868139755701</v>
      </c>
      <c r="AI8133">
        <v>94.027673576575594</v>
      </c>
      <c r="AJ8133">
        <v>72.884540615355704</v>
      </c>
      <c r="AK8133">
        <v>15.7652664014041</v>
      </c>
      <c r="AL8133">
        <v>89.314859655797306</v>
      </c>
      <c r="AM8133">
        <v>85.289282686208196</v>
      </c>
      <c r="AN8133">
        <v>1.0000000114338701</v>
      </c>
    </row>
    <row r="8134" spans="1:40" x14ac:dyDescent="0.25">
      <c r="A8134" t="str">
        <f>"20190312160845895"</f>
        <v>20190312160845895</v>
      </c>
      <c r="B8134" t="str">
        <f>"1552378125883652"</f>
        <v>1552378125883652</v>
      </c>
      <c r="C8134" t="s">
        <v>40</v>
      </c>
      <c r="D8134">
        <v>5.8812480000000003</v>
      </c>
      <c r="E8134">
        <v>0.594912199999999</v>
      </c>
      <c r="F8134" t="s">
        <v>47</v>
      </c>
      <c r="G8134">
        <v>-168.45869999999999</v>
      </c>
      <c r="H8134">
        <v>7.9986329999999994E-2</v>
      </c>
      <c r="I8134">
        <v>150.02209999999999</v>
      </c>
      <c r="J8134">
        <v>-184.1018</v>
      </c>
      <c r="K8134">
        <v>1.1073090000000001</v>
      </c>
      <c r="L8134">
        <v>126.0912</v>
      </c>
      <c r="M8134">
        <v>0.2564419</v>
      </c>
      <c r="N8134">
        <v>0</v>
      </c>
      <c r="O8134">
        <v>0.9663602</v>
      </c>
      <c r="P8134">
        <v>0.3344452</v>
      </c>
      <c r="Q8134">
        <v>-7.2687740000000004E-3</v>
      </c>
      <c r="R8134">
        <v>0.94238719999999998</v>
      </c>
      <c r="S8134">
        <v>1.68512</v>
      </c>
      <c r="T8134">
        <v>-0.1104053</v>
      </c>
      <c r="U8134">
        <v>2.5859679999999998</v>
      </c>
      <c r="V8134">
        <v>8.163637E-2</v>
      </c>
      <c r="W8134">
        <v>1.166586E-2</v>
      </c>
      <c r="X8134">
        <v>0.99659390000000003</v>
      </c>
      <c r="Y8134">
        <v>0.31243490000000002</v>
      </c>
      <c r="Z8134">
        <v>-3.6021379999999999E-2</v>
      </c>
      <c r="AA8134">
        <v>0.94925590000000004</v>
      </c>
      <c r="AB8134">
        <v>26</v>
      </c>
      <c r="AC8134">
        <v>15.6431</v>
      </c>
      <c r="AD8134">
        <v>-1.02732267</v>
      </c>
      <c r="AE8134">
        <v>23.930899999999902</v>
      </c>
      <c r="AF8134">
        <v>8.9701333141776907</v>
      </c>
      <c r="AG8134">
        <v>-1.02732267</v>
      </c>
      <c r="AH8134">
        <v>27.107647593260101</v>
      </c>
      <c r="AI8134">
        <v>92.060566931447596</v>
      </c>
      <c r="AJ8134">
        <v>71.690215147750294</v>
      </c>
      <c r="AK8134">
        <v>28.571721011916601</v>
      </c>
      <c r="AL8134">
        <v>89.331580292793106</v>
      </c>
      <c r="AM8134">
        <v>85.317050058890402</v>
      </c>
      <c r="AN8134">
        <v>0.99999999535676298</v>
      </c>
    </row>
    <row r="8135" spans="1:40" x14ac:dyDescent="0.25">
      <c r="A8135" t="str">
        <f>"20190312160845908"</f>
        <v>20190312160845908</v>
      </c>
      <c r="B8135" t="str">
        <f>"1552378125904148"</f>
        <v>1552378125904148</v>
      </c>
      <c r="C8135" t="s">
        <v>40</v>
      </c>
      <c r="D8135">
        <v>6.4012690000000001</v>
      </c>
      <c r="E8135">
        <v>0.59039589999999997</v>
      </c>
      <c r="F8135" t="s">
        <v>47</v>
      </c>
      <c r="G8135">
        <v>-168.43029999999999</v>
      </c>
      <c r="H8135">
        <v>2.4725710000000001E-2</v>
      </c>
      <c r="I8135">
        <v>149.6163</v>
      </c>
      <c r="J8135">
        <v>-184.06039999999999</v>
      </c>
      <c r="K8135">
        <v>1.1072979999999999</v>
      </c>
      <c r="L8135">
        <v>126.2358</v>
      </c>
      <c r="M8135">
        <v>0.2589533</v>
      </c>
      <c r="N8135">
        <v>0</v>
      </c>
      <c r="O8135">
        <v>0.96568949999999998</v>
      </c>
      <c r="P8135">
        <v>0.33688269999999998</v>
      </c>
      <c r="Q8135">
        <v>-7.8926320000000001E-3</v>
      </c>
      <c r="R8135">
        <v>0.9415135</v>
      </c>
      <c r="S8135">
        <v>1.7146760000000001</v>
      </c>
      <c r="T8135">
        <v>-0.1184491</v>
      </c>
      <c r="U8135">
        <v>2.5739589999999999</v>
      </c>
      <c r="V8135">
        <v>8.162142E-2</v>
      </c>
      <c r="W8135">
        <v>1.107557E-2</v>
      </c>
      <c r="X8135">
        <v>0.99660190000000004</v>
      </c>
      <c r="Y8135">
        <v>0.31951489999999999</v>
      </c>
      <c r="Z8135">
        <v>-3.8592250000000002E-2</v>
      </c>
      <c r="AA8135">
        <v>0.94679500000000005</v>
      </c>
      <c r="AB8135">
        <v>26</v>
      </c>
      <c r="AC8135">
        <v>15.630100000000001</v>
      </c>
      <c r="AD8135">
        <v>-1.0825722900000001</v>
      </c>
      <c r="AE8135">
        <v>23.380500000000001</v>
      </c>
      <c r="AF8135">
        <v>9.0277387726854599</v>
      </c>
      <c r="AG8135">
        <v>-1.0825722900000001</v>
      </c>
      <c r="AH8135">
        <v>26.5915214433663</v>
      </c>
      <c r="AI8135">
        <v>92.2076674464506</v>
      </c>
      <c r="AJ8135">
        <v>71.247809931636695</v>
      </c>
      <c r="AK8135">
        <v>28.1030433011077</v>
      </c>
      <c r="AL8135">
        <v>89.365403631408597</v>
      </c>
      <c r="AM8135">
        <v>85.317941247854804</v>
      </c>
      <c r="AN8135">
        <v>1.0000000357686201</v>
      </c>
    </row>
    <row r="8136" spans="1:40" x14ac:dyDescent="0.25">
      <c r="A8136" t="str">
        <f>"20190312160845920"</f>
        <v>20190312160845920</v>
      </c>
      <c r="B8136" t="str">
        <f>"1552378125913909"</f>
        <v>1552378125913909</v>
      </c>
      <c r="C8136" t="s">
        <v>40</v>
      </c>
      <c r="D8136">
        <v>5.8442170000000004</v>
      </c>
      <c r="E8136">
        <v>0.59148199999999995</v>
      </c>
      <c r="F8136" t="s">
        <v>47</v>
      </c>
      <c r="G8136">
        <v>-168.33539999999999</v>
      </c>
      <c r="H8136">
        <v>7.998632E-2</v>
      </c>
      <c r="I8136">
        <v>150.2877</v>
      </c>
      <c r="J8136">
        <v>-184.01990000000001</v>
      </c>
      <c r="K8136">
        <v>1.1072839999999999</v>
      </c>
      <c r="L8136">
        <v>126.3759</v>
      </c>
      <c r="M8136">
        <v>0.26141300000000001</v>
      </c>
      <c r="N8136">
        <v>0</v>
      </c>
      <c r="O8136">
        <v>0.96502580000000004</v>
      </c>
      <c r="P8136">
        <v>0.33912759999999997</v>
      </c>
      <c r="Q8136">
        <v>-7.6525380000000004E-3</v>
      </c>
      <c r="R8136">
        <v>0.94070920000000002</v>
      </c>
      <c r="S8136">
        <v>1.687775</v>
      </c>
      <c r="T8136">
        <v>-0.110262</v>
      </c>
      <c r="U8136">
        <v>2.581512</v>
      </c>
      <c r="V8136">
        <v>8.1461450000000005E-2</v>
      </c>
      <c r="W8136">
        <v>1.1349740000000001E-2</v>
      </c>
      <c r="X8136">
        <v>0.9966119</v>
      </c>
      <c r="Y8136">
        <v>0.308977</v>
      </c>
      <c r="Z8136">
        <v>-3.5964679999999999E-2</v>
      </c>
      <c r="AA8136">
        <v>0.95038929999999999</v>
      </c>
      <c r="AB8136">
        <v>26</v>
      </c>
      <c r="AC8136">
        <v>15.6845</v>
      </c>
      <c r="AD8136">
        <v>-1.02729768</v>
      </c>
      <c r="AE8136">
        <v>23.911799999999999</v>
      </c>
      <c r="AF8136">
        <v>8.8753643510168292</v>
      </c>
      <c r="AG8136">
        <v>-1.02729768</v>
      </c>
      <c r="AH8136">
        <v>27.1458841227489</v>
      </c>
      <c r="AI8136">
        <v>92.060033113204994</v>
      </c>
      <c r="AJ8136">
        <v>71.894809906980001</v>
      </c>
      <c r="AK8136">
        <v>28.5784264383528</v>
      </c>
      <c r="AL8136">
        <v>89.349693857913707</v>
      </c>
      <c r="AM8136">
        <v>85.327123627720496</v>
      </c>
      <c r="AN8136">
        <v>1.0000000318278801</v>
      </c>
    </row>
    <row r="8137" spans="1:40" x14ac:dyDescent="0.25">
      <c r="A8137" t="str">
        <f>"20190312160845932"</f>
        <v>20190312160845932</v>
      </c>
      <c r="B8137" t="str">
        <f>"1552378125923669"</f>
        <v>1552378125923669</v>
      </c>
      <c r="C8137" t="s">
        <v>40</v>
      </c>
      <c r="D8137">
        <v>5.8347199999999999</v>
      </c>
      <c r="E8137">
        <v>0.59224330000000003</v>
      </c>
      <c r="F8137" t="s">
        <v>51</v>
      </c>
      <c r="G8137">
        <v>-159.26400000000001</v>
      </c>
      <c r="H8137">
        <v>-2.7143480000000001E-2</v>
      </c>
      <c r="I8137">
        <v>163.81020000000001</v>
      </c>
      <c r="J8137">
        <v>-183.9794</v>
      </c>
      <c r="K8137">
        <v>1.1072679999999999</v>
      </c>
      <c r="L8137">
        <v>126.5147</v>
      </c>
      <c r="M8137">
        <v>0.26387519999999998</v>
      </c>
      <c r="N8137">
        <v>0</v>
      </c>
      <c r="O8137">
        <v>0.96435470000000001</v>
      </c>
      <c r="P8137">
        <v>0.34158660000000002</v>
      </c>
      <c r="Q8137">
        <v>-7.5644110000000001E-3</v>
      </c>
      <c r="R8137">
        <v>0.93981990000000004</v>
      </c>
      <c r="S8137">
        <v>1.7026520000000001</v>
      </c>
      <c r="T8137">
        <v>-7.8021049999999995E-2</v>
      </c>
      <c r="U8137">
        <v>2.574646</v>
      </c>
      <c r="V8137">
        <v>8.1525310000000004E-2</v>
      </c>
      <c r="W8137">
        <v>1.1469409999999999E-2</v>
      </c>
      <c r="X8137">
        <v>0.99660530000000003</v>
      </c>
      <c r="Y8137">
        <v>0.3117222</v>
      </c>
      <c r="Z8137">
        <v>-2.5438849999999999E-2</v>
      </c>
      <c r="AA8137">
        <v>0.94983269999999997</v>
      </c>
      <c r="AB8137">
        <v>26</v>
      </c>
      <c r="AC8137">
        <v>24.715399999999899</v>
      </c>
      <c r="AD8137">
        <v>-1.13441148</v>
      </c>
      <c r="AE8137">
        <v>37.295499999999997</v>
      </c>
      <c r="AF8137">
        <v>13.986791703965901</v>
      </c>
      <c r="AG8137">
        <v>-1.13441148</v>
      </c>
      <c r="AH8137">
        <v>42.468855367063099</v>
      </c>
      <c r="AI8137">
        <v>91.453343494175101</v>
      </c>
      <c r="AJ8137">
        <v>71.771097963481907</v>
      </c>
      <c r="AK8137">
        <v>44.727183096687597</v>
      </c>
      <c r="AL8137">
        <v>89.342836820559597</v>
      </c>
      <c r="AM8137">
        <v>85.323445832585804</v>
      </c>
      <c r="AN8137">
        <v>1.00000002376221</v>
      </c>
    </row>
    <row r="8138" spans="1:40" x14ac:dyDescent="0.25">
      <c r="A8138" t="str">
        <f>"20190312160845944"</f>
        <v>20190312160845944</v>
      </c>
      <c r="B8138" t="str">
        <f>"1552378125933429"</f>
        <v>1552378125933429</v>
      </c>
      <c r="C8138" t="s">
        <v>40</v>
      </c>
      <c r="D8138">
        <v>6.1492060000000004</v>
      </c>
      <c r="E8138">
        <v>0.59307430000000005</v>
      </c>
      <c r="F8138" t="s">
        <v>51</v>
      </c>
      <c r="G8138">
        <v>-159.14349999999999</v>
      </c>
      <c r="H8138">
        <v>0.3533058</v>
      </c>
      <c r="I8138">
        <v>163.68950000000001</v>
      </c>
      <c r="J8138">
        <v>-183.94280000000001</v>
      </c>
      <c r="K8138">
        <v>1.1072519999999999</v>
      </c>
      <c r="L8138">
        <v>126.6387</v>
      </c>
      <c r="M8138">
        <v>0.26611800000000002</v>
      </c>
      <c r="N8138">
        <v>0</v>
      </c>
      <c r="O8138">
        <v>0.96373750000000002</v>
      </c>
      <c r="P8138">
        <v>0.3439662</v>
      </c>
      <c r="Q8138">
        <v>-7.7438689999999996E-3</v>
      </c>
      <c r="R8138">
        <v>0.93895010000000001</v>
      </c>
      <c r="S8138">
        <v>1.715714</v>
      </c>
      <c r="T8138">
        <v>-5.2082780000000002E-2</v>
      </c>
      <c r="U8138">
        <v>2.5680999999999998</v>
      </c>
      <c r="V8138">
        <v>8.1730910000000004E-2</v>
      </c>
      <c r="W8138">
        <v>1.131541E-2</v>
      </c>
      <c r="X8138">
        <v>0.99659019999999998</v>
      </c>
      <c r="Y8138">
        <v>0.31407390000000002</v>
      </c>
      <c r="Z8138">
        <v>-1.6976040000000001E-2</v>
      </c>
      <c r="AA8138">
        <v>0.94924679999999995</v>
      </c>
      <c r="AB8138">
        <v>26</v>
      </c>
      <c r="AC8138">
        <v>24.799299999999999</v>
      </c>
      <c r="AD8138">
        <v>-0.75394620000000001</v>
      </c>
      <c r="AE8138">
        <v>37.050800000000002</v>
      </c>
      <c r="AF8138">
        <v>14.0388632889033</v>
      </c>
      <c r="AG8138">
        <v>-0.75394620000000001</v>
      </c>
      <c r="AH8138">
        <v>42.302966756655302</v>
      </c>
      <c r="AI8138">
        <v>90.969087526614999</v>
      </c>
      <c r="AJ8138">
        <v>71.640814017857707</v>
      </c>
      <c r="AK8138">
        <v>44.578011549773002</v>
      </c>
      <c r="AL8138">
        <v>89.351660929877099</v>
      </c>
      <c r="AM8138">
        <v>85.311633744089207</v>
      </c>
      <c r="AN8138">
        <v>1.0000000034444601</v>
      </c>
    </row>
    <row r="8139" spans="1:40" x14ac:dyDescent="0.25">
      <c r="A8139" t="str">
        <f>"20190312160845958"</f>
        <v>20190312160845958</v>
      </c>
      <c r="B8139" t="str">
        <f>"1552378125953924"</f>
        <v>1552378125953924</v>
      </c>
      <c r="C8139" t="s">
        <v>40</v>
      </c>
      <c r="D8139">
        <v>5.8411119999999999</v>
      </c>
      <c r="E8139">
        <v>0.59448279999999998</v>
      </c>
      <c r="F8139" t="s">
        <v>51</v>
      </c>
      <c r="G8139">
        <v>-159.02119999999999</v>
      </c>
      <c r="H8139">
        <v>0.53725049999999996</v>
      </c>
      <c r="I8139">
        <v>163.56720000000001</v>
      </c>
      <c r="J8139">
        <v>-183.89609999999999</v>
      </c>
      <c r="K8139">
        <v>1.107232</v>
      </c>
      <c r="L8139">
        <v>126.7954</v>
      </c>
      <c r="M8139">
        <v>0.26898139999999998</v>
      </c>
      <c r="N8139">
        <v>0</v>
      </c>
      <c r="O8139">
        <v>0.96294150000000001</v>
      </c>
      <c r="P8139">
        <v>0.34701019999999999</v>
      </c>
      <c r="Q8139">
        <v>-7.8335950000000005E-3</v>
      </c>
      <c r="R8139">
        <v>0.93782869999999996</v>
      </c>
      <c r="S8139">
        <v>1.72865299999999</v>
      </c>
      <c r="T8139">
        <v>-3.9535050000000002E-2</v>
      </c>
      <c r="U8139">
        <v>2.561493</v>
      </c>
      <c r="V8139">
        <v>8.2001920000000006E-2</v>
      </c>
      <c r="W8139">
        <v>1.1255329999999999E-2</v>
      </c>
      <c r="X8139">
        <v>0.99656860000000003</v>
      </c>
      <c r="Y8139">
        <v>0.31571890000000002</v>
      </c>
      <c r="Z8139">
        <v>-1.2878499999999999E-2</v>
      </c>
      <c r="AA8139">
        <v>0.94876530000000003</v>
      </c>
      <c r="AB8139">
        <v>26</v>
      </c>
      <c r="AC8139">
        <v>24.8749</v>
      </c>
      <c r="AD8139">
        <v>-0.56998149999999903</v>
      </c>
      <c r="AE8139">
        <v>36.771799999999999</v>
      </c>
      <c r="AF8139">
        <v>14.0625869903945</v>
      </c>
      <c r="AG8139">
        <v>-0.56998149999999903</v>
      </c>
      <c r="AH8139">
        <v>42.101306098344502</v>
      </c>
      <c r="AI8139">
        <v>90.7356918653214</v>
      </c>
      <c r="AJ8139">
        <v>71.529761428319404</v>
      </c>
      <c r="AK8139">
        <v>44.391454210909302</v>
      </c>
      <c r="AL8139">
        <v>89.355103468225707</v>
      </c>
      <c r="AM8139">
        <v>85.296055827704095</v>
      </c>
      <c r="AN8139">
        <v>0.99999998592152695</v>
      </c>
    </row>
    <row r="8140" spans="1:40" x14ac:dyDescent="0.25">
      <c r="A8140" t="str">
        <f>"20190312160845973"</f>
        <v>20190312160845973</v>
      </c>
      <c r="B8140" t="str">
        <f>"1552378125963684"</f>
        <v>1552378125963684</v>
      </c>
      <c r="C8140" t="s">
        <v>40</v>
      </c>
      <c r="D8140">
        <v>5.9600949999999999</v>
      </c>
      <c r="E8140">
        <v>0.59600229999999998</v>
      </c>
      <c r="F8140" t="s">
        <v>51</v>
      </c>
      <c r="G8140">
        <v>-158.83420000000001</v>
      </c>
      <c r="H8140">
        <v>0.93728449999999996</v>
      </c>
      <c r="I8140">
        <v>163.3802</v>
      </c>
      <c r="J8140">
        <v>-183.8443</v>
      </c>
      <c r="K8140">
        <v>1.107199</v>
      </c>
      <c r="L8140">
        <v>126.9676</v>
      </c>
      <c r="M8140">
        <v>0.272180599999999</v>
      </c>
      <c r="N8140">
        <v>0</v>
      </c>
      <c r="O8140">
        <v>0.96204129999999999</v>
      </c>
      <c r="P8140">
        <v>0.35049599999999997</v>
      </c>
      <c r="Q8140">
        <v>-7.9759150000000001E-3</v>
      </c>
      <c r="R8140">
        <v>0.93653030000000004</v>
      </c>
      <c r="S8140">
        <v>1.7481690000000001</v>
      </c>
      <c r="T8140">
        <v>-1.185226E-2</v>
      </c>
      <c r="U8140">
        <v>2.5519259999999999</v>
      </c>
      <c r="V8140">
        <v>8.2396430000000007E-2</v>
      </c>
      <c r="W8140">
        <v>1.1141369999999999E-2</v>
      </c>
      <c r="X8140">
        <v>0.99653729999999996</v>
      </c>
      <c r="Y8140">
        <v>0.31920979999999999</v>
      </c>
      <c r="Z8140">
        <v>-3.8578219999999999E-3</v>
      </c>
      <c r="AA8140">
        <v>0.94767619999999997</v>
      </c>
      <c r="AB8140">
        <v>26</v>
      </c>
      <c r="AC8140">
        <v>25.010099999999898</v>
      </c>
      <c r="AD8140">
        <v>-0.1699145</v>
      </c>
      <c r="AE8140">
        <v>36.412599999999998</v>
      </c>
      <c r="AF8140">
        <v>14.1525266035376</v>
      </c>
      <c r="AG8140">
        <v>-0.1699145</v>
      </c>
      <c r="AH8140">
        <v>41.845319820894602</v>
      </c>
      <c r="AI8140">
        <v>90.220387089898097</v>
      </c>
      <c r="AJ8140">
        <v>71.313923187036096</v>
      </c>
      <c r="AK8140">
        <v>44.1741289796879</v>
      </c>
      <c r="AL8140">
        <v>89.3616332793423</v>
      </c>
      <c r="AM8140">
        <v>85.273379727612394</v>
      </c>
      <c r="AN8140">
        <v>0.99999994604675402</v>
      </c>
    </row>
    <row r="8141" spans="1:40" x14ac:dyDescent="0.25">
      <c r="A8141" t="str">
        <f>"20190312160845990"</f>
        <v>20190312160845990</v>
      </c>
      <c r="B8141" t="str">
        <f>"1552378125984180"</f>
        <v>1552378125984180</v>
      </c>
      <c r="C8141" t="s">
        <v>40</v>
      </c>
      <c r="D8141">
        <v>6.2589050000000004</v>
      </c>
      <c r="E8141">
        <v>0.59748290000000004</v>
      </c>
      <c r="F8141" t="s">
        <v>51</v>
      </c>
      <c r="G8141">
        <v>-158.636</v>
      </c>
      <c r="H8141">
        <v>0.96773339999999997</v>
      </c>
      <c r="I8141">
        <v>163.18219999999999</v>
      </c>
      <c r="J8141">
        <v>-183.7929</v>
      </c>
      <c r="K8141">
        <v>1.107173</v>
      </c>
      <c r="L8141">
        <v>127.1352</v>
      </c>
      <c r="M8141">
        <v>0.27536820000000001</v>
      </c>
      <c r="N8141">
        <v>0</v>
      </c>
      <c r="O8141">
        <v>0.96113300000000002</v>
      </c>
      <c r="P8141">
        <v>0.35407959999999999</v>
      </c>
      <c r="Q8141">
        <v>-8.5943180000000001E-3</v>
      </c>
      <c r="R8141">
        <v>0.9351758</v>
      </c>
      <c r="S8141">
        <v>1.7689060000000001</v>
      </c>
      <c r="T8141">
        <v>-9.7843410000000002E-3</v>
      </c>
      <c r="U8141">
        <v>2.541245</v>
      </c>
      <c r="V8141">
        <v>8.2906450000000007E-2</v>
      </c>
      <c r="W8141">
        <v>1.054536E-2</v>
      </c>
      <c r="X8141">
        <v>0.99650159999999999</v>
      </c>
      <c r="Y8141">
        <v>0.32315050000000001</v>
      </c>
      <c r="Z8141">
        <v>-3.182299E-3</v>
      </c>
      <c r="AA8141">
        <v>0.94634220000000002</v>
      </c>
      <c r="AB8141">
        <v>26</v>
      </c>
      <c r="AC8141">
        <v>25.1569</v>
      </c>
      <c r="AD8141">
        <v>-0.139439599999999</v>
      </c>
      <c r="AE8141">
        <v>36.046999999999997</v>
      </c>
      <c r="AF8141">
        <v>14.2556066704848</v>
      </c>
      <c r="AG8141">
        <v>-0.139439599999999</v>
      </c>
      <c r="AH8141">
        <v>41.581181066069703</v>
      </c>
      <c r="AI8141">
        <v>90.181752068100707</v>
      </c>
      <c r="AJ8141">
        <v>71.076339841802096</v>
      </c>
      <c r="AK8141">
        <v>43.9572108282008</v>
      </c>
      <c r="AL8141">
        <v>89.395784216724707</v>
      </c>
      <c r="AM8141">
        <v>85.244086934732096</v>
      </c>
      <c r="AN8141">
        <v>1.00000006143584</v>
      </c>
    </row>
    <row r="8142" spans="1:40" x14ac:dyDescent="0.25">
      <c r="A8142" t="str">
        <f>"20190312160846007"</f>
        <v>20190312160846007</v>
      </c>
      <c r="B8142" t="str">
        <f>"1552378126003701"</f>
        <v>1552378126003701</v>
      </c>
      <c r="C8142" t="s">
        <v>40</v>
      </c>
      <c r="D8142">
        <v>6.2728020000000004</v>
      </c>
      <c r="E8142">
        <v>0.59819409999999995</v>
      </c>
      <c r="F8142" t="s">
        <v>51</v>
      </c>
      <c r="G8142">
        <v>-158.43639999999999</v>
      </c>
      <c r="H8142">
        <v>1.0043200000000001</v>
      </c>
      <c r="I8142">
        <v>162.98269999999999</v>
      </c>
      <c r="J8142">
        <v>-183.73259999999999</v>
      </c>
      <c r="K8142">
        <v>1.1071390000000001</v>
      </c>
      <c r="L8142">
        <v>127.3295</v>
      </c>
      <c r="M8142">
        <v>0.27913139999999997</v>
      </c>
      <c r="N8142">
        <v>0</v>
      </c>
      <c r="O8142">
        <v>0.96004610000000001</v>
      </c>
      <c r="P8142">
        <v>0.35796339999999999</v>
      </c>
      <c r="Q8142">
        <v>-8.7974960000000001E-3</v>
      </c>
      <c r="R8142">
        <v>0.93369420000000003</v>
      </c>
      <c r="S8142">
        <v>1.7897639999999999</v>
      </c>
      <c r="T8142">
        <v>-7.2575809999999999E-3</v>
      </c>
      <c r="U8142">
        <v>2.5302579999999999</v>
      </c>
      <c r="V8142">
        <v>8.3144280000000001E-2</v>
      </c>
      <c r="W8142">
        <v>1.036894E-2</v>
      </c>
      <c r="X8142">
        <v>0.99648360000000002</v>
      </c>
      <c r="Y8142">
        <v>0.32658599999999999</v>
      </c>
      <c r="Z8142">
        <v>-2.358354E-3</v>
      </c>
      <c r="AA8142">
        <v>0.94516460000000002</v>
      </c>
      <c r="AB8142">
        <v>26</v>
      </c>
      <c r="AC8142">
        <v>25.296199999999999</v>
      </c>
      <c r="AD8142">
        <v>-0.10281899999999899</v>
      </c>
      <c r="AE8142">
        <v>35.653199999999998</v>
      </c>
      <c r="AF8142">
        <v>14.336358339145001</v>
      </c>
      <c r="AG8142">
        <v>-0.10281899999999899</v>
      </c>
      <c r="AH8142">
        <v>41.297652365885703</v>
      </c>
      <c r="AI8142">
        <v>90.134760236981705</v>
      </c>
      <c r="AJ8142">
        <v>70.855706096100505</v>
      </c>
      <c r="AK8142">
        <v>43.715418711350303</v>
      </c>
      <c r="AL8142">
        <v>89.405892868988701</v>
      </c>
      <c r="AM8142">
        <v>85.230420954118998</v>
      </c>
      <c r="AN8142">
        <v>1.0000000256412001</v>
      </c>
    </row>
    <row r="8143" spans="1:40" x14ac:dyDescent="0.25">
      <c r="A8143" t="str">
        <f>"20190312160846030"</f>
        <v>20190312160846030</v>
      </c>
      <c r="B8143" t="str">
        <f>"1552378126024196"</f>
        <v>1552378126024196</v>
      </c>
      <c r="C8143" t="s">
        <v>40</v>
      </c>
      <c r="D8143">
        <v>5.8573230000000001</v>
      </c>
      <c r="E8143">
        <v>0.5983619</v>
      </c>
      <c r="F8143" t="s">
        <v>51</v>
      </c>
      <c r="G8143">
        <v>-158.2963</v>
      </c>
      <c r="H8143">
        <v>1.049358</v>
      </c>
      <c r="I8143">
        <v>162.84280000000001</v>
      </c>
      <c r="J8143">
        <v>-183.65610000000001</v>
      </c>
      <c r="K8143">
        <v>1.1070990000000001</v>
      </c>
      <c r="L8143">
        <v>127.57170000000001</v>
      </c>
      <c r="M8143">
        <v>0.2839332</v>
      </c>
      <c r="N8143">
        <v>0</v>
      </c>
      <c r="O8143">
        <v>0.95863600000000004</v>
      </c>
      <c r="P8143">
        <v>0.36255290000000001</v>
      </c>
      <c r="Q8143">
        <v>-8.9485629999999997E-3</v>
      </c>
      <c r="R8143">
        <v>0.93192019999999998</v>
      </c>
      <c r="S8143">
        <v>1.8055110000000001</v>
      </c>
      <c r="T8143">
        <v>-4.0990109999999996E-3</v>
      </c>
      <c r="U8143">
        <v>2.5207980000000001</v>
      </c>
      <c r="V8143">
        <v>8.3059949999999994E-2</v>
      </c>
      <c r="W8143">
        <v>1.0251649999999999E-2</v>
      </c>
      <c r="X8143">
        <v>0.99649180000000004</v>
      </c>
      <c r="Y8143">
        <v>0.32744010000000001</v>
      </c>
      <c r="Z8143">
        <v>-1.3307429999999999E-3</v>
      </c>
      <c r="AA8143">
        <v>0.94487100000000002</v>
      </c>
      <c r="AB8143">
        <v>25</v>
      </c>
      <c r="AC8143">
        <v>25.3598</v>
      </c>
      <c r="AD8143">
        <v>-5.7741000000000001E-2</v>
      </c>
      <c r="AE8143">
        <v>35.271099999999997</v>
      </c>
      <c r="AF8143">
        <v>14.2990083180025</v>
      </c>
      <c r="AG8143">
        <v>-5.7741000000000001E-2</v>
      </c>
      <c r="AH8143">
        <v>41.020746511286198</v>
      </c>
      <c r="AI8143">
        <v>90.076155616558907</v>
      </c>
      <c r="AJ8143">
        <v>70.782471283453205</v>
      </c>
      <c r="AK8143">
        <v>43.441531018653002</v>
      </c>
      <c r="AL8143">
        <v>89.412613420937404</v>
      </c>
      <c r="AM8143">
        <v>85.235275296147194</v>
      </c>
      <c r="AN8143">
        <v>0.99999997954448205</v>
      </c>
    </row>
    <row r="8144" spans="1:40" x14ac:dyDescent="0.25">
      <c r="A8144" t="str">
        <f>"20190312160846042"</f>
        <v>20190312160846042</v>
      </c>
      <c r="B8144" t="str">
        <f>"1552378126033957"</f>
        <v>1552378126033957</v>
      </c>
      <c r="C8144" t="s">
        <v>40</v>
      </c>
      <c r="D8144">
        <v>6.2748679999999997</v>
      </c>
      <c r="E8144">
        <v>0.59822790000000003</v>
      </c>
      <c r="F8144" t="s">
        <v>51</v>
      </c>
      <c r="G8144">
        <v>-158.18440000000001</v>
      </c>
      <c r="H8144">
        <v>1.182728</v>
      </c>
      <c r="I8144">
        <v>162.73099999999999</v>
      </c>
      <c r="J8144">
        <v>-183.60990000000001</v>
      </c>
      <c r="K8144">
        <v>1.1070739999999999</v>
      </c>
      <c r="L8144">
        <v>127.7158</v>
      </c>
      <c r="M8144">
        <v>0.28685490000000002</v>
      </c>
      <c r="N8144">
        <v>0</v>
      </c>
      <c r="O8144">
        <v>0.95776519999999998</v>
      </c>
      <c r="P8144">
        <v>0.3653865</v>
      </c>
      <c r="Q8144">
        <v>-8.7638519999999904E-3</v>
      </c>
      <c r="R8144">
        <v>0.93081460000000005</v>
      </c>
      <c r="S8144">
        <v>1.819412</v>
      </c>
      <c r="T8144">
        <v>5.4044719999999996E-3</v>
      </c>
      <c r="U8144">
        <v>2.5113829999999999</v>
      </c>
      <c r="V8144">
        <v>8.3055169999999998E-2</v>
      </c>
      <c r="W8144">
        <v>1.045667E-2</v>
      </c>
      <c r="X8144">
        <v>0.99649010000000005</v>
      </c>
      <c r="Y8144">
        <v>0.32967109999999999</v>
      </c>
      <c r="Z8144">
        <v>1.75423299999999E-3</v>
      </c>
      <c r="AA8144">
        <v>0.94409419999999999</v>
      </c>
      <c r="AB8144">
        <v>25</v>
      </c>
      <c r="AC8144">
        <v>25.4255</v>
      </c>
      <c r="AD8144">
        <v>7.5654000000000096E-2</v>
      </c>
      <c r="AE8144">
        <v>35.015199999999901</v>
      </c>
      <c r="AF8144">
        <v>14.310196621926901</v>
      </c>
      <c r="AG8144">
        <v>7.5654000000000096E-2</v>
      </c>
      <c r="AH8144">
        <v>40.837814668868297</v>
      </c>
      <c r="AI8144">
        <v>89.899828968161302</v>
      </c>
      <c r="AJ8144">
        <v>70.688756435496799</v>
      </c>
      <c r="AK8144">
        <v>43.272561257854399</v>
      </c>
      <c r="AL8144">
        <v>89.400866029261195</v>
      </c>
      <c r="AM8144">
        <v>85.235540147294898</v>
      </c>
      <c r="AN8144">
        <v>1.0000000113046099</v>
      </c>
    </row>
    <row r="8145" spans="1:40" x14ac:dyDescent="0.25">
      <c r="A8145" t="str">
        <f>"20190312160846055"</f>
        <v>20190312160846055</v>
      </c>
      <c r="B8145" t="str">
        <f>"1552378126043717"</f>
        <v>1552378126043717</v>
      </c>
      <c r="C8145" t="s">
        <v>40</v>
      </c>
      <c r="D8145">
        <v>6.1585269999999896</v>
      </c>
      <c r="E8145">
        <v>0.59793949999999996</v>
      </c>
      <c r="F8145" t="s">
        <v>51</v>
      </c>
      <c r="G8145">
        <v>-158.13419999999999</v>
      </c>
      <c r="H8145">
        <v>1.1930289999999999</v>
      </c>
      <c r="I8145">
        <v>162.6808</v>
      </c>
      <c r="J8145">
        <v>-183.56659999999999</v>
      </c>
      <c r="K8145">
        <v>1.1070469999999999</v>
      </c>
      <c r="L8145">
        <v>127.8497</v>
      </c>
      <c r="M8145">
        <v>0.28959659999999998</v>
      </c>
      <c r="N8145">
        <v>0</v>
      </c>
      <c r="O8145">
        <v>0.95693919999999999</v>
      </c>
      <c r="P8145">
        <v>0.36798999999999998</v>
      </c>
      <c r="Q8145">
        <v>-8.8006979999999992E-3</v>
      </c>
      <c r="R8145">
        <v>0.92978810000000001</v>
      </c>
      <c r="S8145">
        <v>1.82605</v>
      </c>
      <c r="T8145">
        <v>6.163478E-3</v>
      </c>
      <c r="U8145">
        <v>2.5062259999999998</v>
      </c>
      <c r="V8145">
        <v>8.2990480000000005E-2</v>
      </c>
      <c r="W8145">
        <v>1.0440939999999999E-2</v>
      </c>
      <c r="X8145">
        <v>0.99649569999999998</v>
      </c>
      <c r="Y8145">
        <v>0.329524599999999</v>
      </c>
      <c r="Z8145">
        <v>2.0000090000000001E-3</v>
      </c>
      <c r="AA8145">
        <v>0.94414480000000001</v>
      </c>
      <c r="AB8145">
        <v>25</v>
      </c>
      <c r="AC8145">
        <v>25.432400000000001</v>
      </c>
      <c r="AD8145">
        <v>8.5982000000000197E-2</v>
      </c>
      <c r="AE8145">
        <v>34.831099999999999</v>
      </c>
      <c r="AF8145">
        <v>14.2530950282021</v>
      </c>
      <c r="AG8145">
        <v>8.5982000000000197E-2</v>
      </c>
      <c r="AH8145">
        <v>40.704385431628097</v>
      </c>
      <c r="AI8145">
        <v>89.885771783764497</v>
      </c>
      <c r="AJ8145">
        <v>70.701727841330097</v>
      </c>
      <c r="AK8145">
        <v>43.127776480521497</v>
      </c>
      <c r="AL8145">
        <v>89.401767368139005</v>
      </c>
      <c r="AM8145">
        <v>85.239260656680003</v>
      </c>
      <c r="AN8145">
        <v>1.0000000565586</v>
      </c>
    </row>
    <row r="8146" spans="1:40" x14ac:dyDescent="0.25">
      <c r="A8146" t="str">
        <f>"20190312160846068"</f>
        <v>20190312160846068</v>
      </c>
      <c r="B8146" t="str">
        <f>"1552378126063237"</f>
        <v>1552378126063237</v>
      </c>
      <c r="C8146" t="s">
        <v>40</v>
      </c>
      <c r="D8146">
        <v>6.0428689999999996</v>
      </c>
      <c r="E8146">
        <v>0.59843570000000001</v>
      </c>
      <c r="F8146" t="s">
        <v>51</v>
      </c>
      <c r="G8146">
        <v>-158.10210000000001</v>
      </c>
      <c r="H8146">
        <v>1.212788</v>
      </c>
      <c r="I8146">
        <v>162.64859999999999</v>
      </c>
      <c r="J8146">
        <v>-183.52189999999999</v>
      </c>
      <c r="K8146">
        <v>1.1070260000000001</v>
      </c>
      <c r="L8146">
        <v>127.98569999999999</v>
      </c>
      <c r="M8146">
        <v>0.2924427</v>
      </c>
      <c r="N8146">
        <v>0</v>
      </c>
      <c r="O8146">
        <v>0.9560727</v>
      </c>
      <c r="P8146">
        <v>0.37058720000000001</v>
      </c>
      <c r="Q8146">
        <v>-8.7743219999999993E-3</v>
      </c>
      <c r="R8146">
        <v>0.92875620000000003</v>
      </c>
      <c r="S8146">
        <v>1.830856</v>
      </c>
      <c r="T8146">
        <v>7.6049569999999999E-3</v>
      </c>
      <c r="U8146">
        <v>2.5019840000000002</v>
      </c>
      <c r="V8146">
        <v>8.2811670000000004E-2</v>
      </c>
      <c r="W8146">
        <v>1.049196E-2</v>
      </c>
      <c r="X8146">
        <v>0.99651000000000001</v>
      </c>
      <c r="Y8146">
        <v>0.32865830000000001</v>
      </c>
      <c r="Z8146">
        <v>2.466949E-3</v>
      </c>
      <c r="AA8146">
        <v>0.94444570000000005</v>
      </c>
      <c r="AB8146">
        <v>25</v>
      </c>
      <c r="AC8146">
        <v>25.419799999999899</v>
      </c>
      <c r="AD8146">
        <v>0.105761999999999</v>
      </c>
      <c r="AE8146">
        <v>34.662899999999901</v>
      </c>
      <c r="AF8146">
        <v>14.169029093814199</v>
      </c>
      <c r="AG8146">
        <v>0.105761999999999</v>
      </c>
      <c r="AH8146">
        <v>40.582004780327203</v>
      </c>
      <c r="AI8146">
        <v>89.859025577554803</v>
      </c>
      <c r="AJ8146">
        <v>70.753575679295906</v>
      </c>
      <c r="AK8146">
        <v>42.984551679091602</v>
      </c>
      <c r="AL8146">
        <v>89.398843953727294</v>
      </c>
      <c r="AM8146">
        <v>85.249538935073303</v>
      </c>
      <c r="AN8146">
        <v>1.0000000170064101</v>
      </c>
    </row>
    <row r="8147" spans="1:40" x14ac:dyDescent="0.25">
      <c r="A8147" t="str">
        <f>"20190312160846084"</f>
        <v>20190312160846084</v>
      </c>
      <c r="B8147" t="str">
        <f>"1552378126073973"</f>
        <v>1552378126073973</v>
      </c>
      <c r="C8147" t="s">
        <v>40</v>
      </c>
      <c r="D8147">
        <v>6.2392949999999896</v>
      </c>
      <c r="E8147">
        <v>0.59810069999999904</v>
      </c>
      <c r="F8147" t="s">
        <v>51</v>
      </c>
      <c r="G8147">
        <v>-158.0078</v>
      </c>
      <c r="H8147">
        <v>1.192375</v>
      </c>
      <c r="I8147">
        <v>162.55449999999999</v>
      </c>
      <c r="J8147">
        <v>-183.46440000000001</v>
      </c>
      <c r="K8147">
        <v>1.106997</v>
      </c>
      <c r="L8147">
        <v>128.15860000000001</v>
      </c>
      <c r="M8147">
        <v>0.29610969999999998</v>
      </c>
      <c r="N8147">
        <v>0</v>
      </c>
      <c r="O8147">
        <v>0.95494259999999997</v>
      </c>
      <c r="P8147">
        <v>0.3737722</v>
      </c>
      <c r="Q8147">
        <v>-9.1266290000000007E-3</v>
      </c>
      <c r="R8147">
        <v>0.92747559999999996</v>
      </c>
      <c r="S8147">
        <v>1.8417049999999999</v>
      </c>
      <c r="T8147">
        <v>6.1631200000000002E-3</v>
      </c>
      <c r="U8147">
        <v>2.4952999999999999</v>
      </c>
      <c r="V8147">
        <v>8.2405709999999993E-2</v>
      </c>
      <c r="W8147">
        <v>1.0172489999999999E-2</v>
      </c>
      <c r="X8147">
        <v>0.99654690000000001</v>
      </c>
      <c r="Y8147">
        <v>0.32890219999999998</v>
      </c>
      <c r="Z8147">
        <v>1.997633E-3</v>
      </c>
      <c r="AA8147">
        <v>0.94436189999999998</v>
      </c>
      <c r="AB8147">
        <v>25</v>
      </c>
      <c r="AC8147">
        <v>25.456600000000002</v>
      </c>
      <c r="AD8147">
        <v>8.5377999999999898E-2</v>
      </c>
      <c r="AE8147">
        <v>34.395899999999898</v>
      </c>
      <c r="AF8147">
        <v>14.1274276745745</v>
      </c>
      <c r="AG8147">
        <v>8.5377999999999898E-2</v>
      </c>
      <c r="AH8147">
        <v>40.392049080864197</v>
      </c>
      <c r="AI8147">
        <v>89.8856827460624</v>
      </c>
      <c r="AJ8147">
        <v>70.722325609203395</v>
      </c>
      <c r="AK8147">
        <v>42.791460959567203</v>
      </c>
      <c r="AL8147">
        <v>89.417149175542093</v>
      </c>
      <c r="AM8147">
        <v>85.272895130003704</v>
      </c>
      <c r="AN8147">
        <v>0.99999995224650595</v>
      </c>
    </row>
    <row r="8148" spans="1:40" x14ac:dyDescent="0.25">
      <c r="A8148" t="str">
        <f>"20190312160846108"</f>
        <v>20190312160846108</v>
      </c>
      <c r="B8148" t="str">
        <f>"1552378126103253"</f>
        <v>1552378126103253</v>
      </c>
      <c r="C8148" t="s">
        <v>40</v>
      </c>
      <c r="D8148">
        <v>6.0032420000000002</v>
      </c>
      <c r="E8148">
        <v>0.59847069999999902</v>
      </c>
      <c r="F8148" t="s">
        <v>51</v>
      </c>
      <c r="G8148">
        <v>-157.97069999999999</v>
      </c>
      <c r="H8148">
        <v>1.163975</v>
      </c>
      <c r="I8148">
        <v>162.51750000000001</v>
      </c>
      <c r="J8148">
        <v>-183.38210000000001</v>
      </c>
      <c r="K8148">
        <v>1.106957</v>
      </c>
      <c r="L8148">
        <v>128.4023</v>
      </c>
      <c r="M8148">
        <v>0.30138819999999999</v>
      </c>
      <c r="N8148">
        <v>0</v>
      </c>
      <c r="O8148">
        <v>0.95328889999999999</v>
      </c>
      <c r="P8148">
        <v>0.37818610000000003</v>
      </c>
      <c r="Q8148">
        <v>-9.7404299999999996E-3</v>
      </c>
      <c r="R8148">
        <v>0.92567840000000001</v>
      </c>
      <c r="S8148">
        <v>1.84758</v>
      </c>
      <c r="T8148">
        <v>4.1315559999999998E-3</v>
      </c>
      <c r="U8148">
        <v>2.4900509999999998</v>
      </c>
      <c r="V8148">
        <v>8.1637329999999994E-2</v>
      </c>
      <c r="W8148">
        <v>9.6041330000000008E-3</v>
      </c>
      <c r="X8148">
        <v>0.99661580000000005</v>
      </c>
      <c r="Y8148">
        <v>0.32606550000000001</v>
      </c>
      <c r="Z8148">
        <v>1.3378299999999999E-3</v>
      </c>
      <c r="AA8148">
        <v>0.94534620000000003</v>
      </c>
      <c r="AB8148">
        <v>25</v>
      </c>
      <c r="AC8148">
        <v>25.4114</v>
      </c>
      <c r="AD8148">
        <v>5.7017999999999999E-2</v>
      </c>
      <c r="AE8148">
        <v>34.115200000000002</v>
      </c>
      <c r="AF8148">
        <v>13.9452889623843</v>
      </c>
      <c r="AG8148">
        <v>5.7017999999999999E-2</v>
      </c>
      <c r="AH8148">
        <v>40.188412940404497</v>
      </c>
      <c r="AI8148">
        <v>89.923202779171604</v>
      </c>
      <c r="AJ8148">
        <v>70.863340759196802</v>
      </c>
      <c r="AK8148">
        <v>42.539192163993803</v>
      </c>
      <c r="AL8148">
        <v>89.4497152384385</v>
      </c>
      <c r="AM8148">
        <v>85.317097683215707</v>
      </c>
      <c r="AN8148">
        <v>0.99999997291492504</v>
      </c>
    </row>
    <row r="8149" spans="1:40" x14ac:dyDescent="0.25">
      <c r="A8149" t="str">
        <f>"20190312160846121"</f>
        <v>20190312160846121</v>
      </c>
      <c r="B8149" t="str">
        <f>"1552378126113989"</f>
        <v>1552378126113989</v>
      </c>
      <c r="C8149" t="s">
        <v>40</v>
      </c>
      <c r="D8149">
        <v>5.9608480000000004</v>
      </c>
      <c r="E8149">
        <v>0.59864910000000005</v>
      </c>
      <c r="F8149" t="s">
        <v>51</v>
      </c>
      <c r="G8149">
        <v>-157.8545</v>
      </c>
      <c r="H8149">
        <v>1.12886</v>
      </c>
      <c r="I8149">
        <v>162.4014</v>
      </c>
      <c r="J8149">
        <v>-183.33150000000001</v>
      </c>
      <c r="K8149">
        <v>1.1069290000000001</v>
      </c>
      <c r="L8149">
        <v>128.5497</v>
      </c>
      <c r="M8149">
        <v>0.30465039999999999</v>
      </c>
      <c r="N8149">
        <v>0</v>
      </c>
      <c r="O8149">
        <v>0.95225079999999995</v>
      </c>
      <c r="P8149">
        <v>0.38104100000000002</v>
      </c>
      <c r="Q8149">
        <v>-1.0180649999999999E-2</v>
      </c>
      <c r="R8149">
        <v>0.92450209999999999</v>
      </c>
      <c r="S8149">
        <v>1.8621369999999999</v>
      </c>
      <c r="T8149">
        <v>1.600146E-3</v>
      </c>
      <c r="U8149">
        <v>2.4801030000000002</v>
      </c>
      <c r="V8149">
        <v>8.1299010000000005E-2</v>
      </c>
      <c r="W8149">
        <v>9.1878729999999992E-3</v>
      </c>
      <c r="X8149">
        <v>0.99664739999999996</v>
      </c>
      <c r="Y8149">
        <v>0.32819870000000001</v>
      </c>
      <c r="Z8149">
        <v>5.1794669999999897E-4</v>
      </c>
      <c r="AA8149">
        <v>0.94460860000000002</v>
      </c>
      <c r="AB8149">
        <v>25</v>
      </c>
      <c r="AC8149">
        <v>25.477</v>
      </c>
      <c r="AD8149">
        <v>2.1930999999999898E-2</v>
      </c>
      <c r="AE8149">
        <v>33.851699999999902</v>
      </c>
      <c r="AF8149">
        <v>13.9503919867339</v>
      </c>
      <c r="AG8149">
        <v>2.1930999999999898E-2</v>
      </c>
      <c r="AH8149">
        <v>40.005008728524601</v>
      </c>
      <c r="AI8149">
        <v>89.970341642960705</v>
      </c>
      <c r="AJ8149">
        <v>70.775512379333605</v>
      </c>
      <c r="AK8149">
        <v>42.367613113339601</v>
      </c>
      <c r="AL8149">
        <v>89.473566243865406</v>
      </c>
      <c r="AM8149">
        <v>85.336565919790701</v>
      </c>
      <c r="AN8149">
        <v>0.99999999298200204</v>
      </c>
    </row>
    <row r="8150" spans="1:40" x14ac:dyDescent="0.25">
      <c r="A8150" t="str">
        <f>"20190312160846135"</f>
        <v>20190312160846135</v>
      </c>
      <c r="B8150" t="str">
        <f>"1552378126123748"</f>
        <v>1552378126123748</v>
      </c>
      <c r="C8150" t="s">
        <v>40</v>
      </c>
      <c r="D8150">
        <v>6.0163159999999998</v>
      </c>
      <c r="E8150">
        <v>0.59889110000000001</v>
      </c>
      <c r="F8150" t="s">
        <v>51</v>
      </c>
      <c r="G8150">
        <v>-157.78190000000001</v>
      </c>
      <c r="H8150">
        <v>1.077766</v>
      </c>
      <c r="I8150">
        <v>162.3289</v>
      </c>
      <c r="J8150">
        <v>-183.28270000000001</v>
      </c>
      <c r="K8150">
        <v>1.1069</v>
      </c>
      <c r="L8150">
        <v>128.69040000000001</v>
      </c>
      <c r="M8150">
        <v>0.30780059999999998</v>
      </c>
      <c r="N8150">
        <v>0</v>
      </c>
      <c r="O8150">
        <v>0.95123670000000005</v>
      </c>
      <c r="P8150">
        <v>0.38394820000000002</v>
      </c>
      <c r="Q8150">
        <v>-1.009022E-2</v>
      </c>
      <c r="R8150">
        <v>0.92329950000000005</v>
      </c>
      <c r="S8150">
        <v>1.871094</v>
      </c>
      <c r="T8150">
        <v>-2.1332500000000002E-3</v>
      </c>
      <c r="U8150">
        <v>2.47377</v>
      </c>
      <c r="V8150">
        <v>8.1137609999999999E-2</v>
      </c>
      <c r="W8150">
        <v>9.2975390000000005E-3</v>
      </c>
      <c r="X8150">
        <v>0.99665950000000003</v>
      </c>
      <c r="Y8150">
        <v>0.32841120000000001</v>
      </c>
      <c r="Z8150">
        <v>-6.9012429999999996E-4</v>
      </c>
      <c r="AA8150">
        <v>0.9445346</v>
      </c>
      <c r="AB8150">
        <v>25</v>
      </c>
      <c r="AC8150">
        <v>25.500800000000002</v>
      </c>
      <c r="AD8150">
        <v>-2.91339999999999E-2</v>
      </c>
      <c r="AE8150">
        <v>33.638499999999901</v>
      </c>
      <c r="AF8150">
        <v>13.9061736219748</v>
      </c>
      <c r="AG8150">
        <v>-2.91339999999999E-2</v>
      </c>
      <c r="AH8150">
        <v>39.855440287453703</v>
      </c>
      <c r="AI8150">
        <v>90.039544728411798</v>
      </c>
      <c r="AJ8150">
        <v>70.7653379298131</v>
      </c>
      <c r="AK8150">
        <v>42.211830499295502</v>
      </c>
      <c r="AL8150">
        <v>89.467282557535398</v>
      </c>
      <c r="AM8150">
        <v>85.345839610953504</v>
      </c>
      <c r="AN8150">
        <v>0.99999995746410797</v>
      </c>
    </row>
    <row r="8151" spans="1:40" x14ac:dyDescent="0.25">
      <c r="A8151" t="str">
        <f>"20190312160846153"</f>
        <v>20190312160846153</v>
      </c>
      <c r="B8151" t="str">
        <f>"1552378126143268"</f>
        <v>1552378126143268</v>
      </c>
      <c r="C8151" t="s">
        <v>40</v>
      </c>
      <c r="D8151">
        <v>6.1723589999999904</v>
      </c>
      <c r="E8151">
        <v>0.59894510000000001</v>
      </c>
      <c r="F8151" t="s">
        <v>51</v>
      </c>
      <c r="G8151">
        <v>-157.7011</v>
      </c>
      <c r="H8151">
        <v>1.050478</v>
      </c>
      <c r="I8151">
        <v>162.2482</v>
      </c>
      <c r="J8151">
        <v>-183.21889999999999</v>
      </c>
      <c r="K8151">
        <v>1.1068629999999999</v>
      </c>
      <c r="L8151">
        <v>128.87139999999999</v>
      </c>
      <c r="M8151">
        <v>0.3119421</v>
      </c>
      <c r="N8151">
        <v>0</v>
      </c>
      <c r="O8151">
        <v>0.94988600000000001</v>
      </c>
      <c r="P8151">
        <v>0.38790750000000002</v>
      </c>
      <c r="Q8151">
        <v>-1.036579E-2</v>
      </c>
      <c r="R8151">
        <v>0.92164000000000001</v>
      </c>
      <c r="S8151">
        <v>1.8807069999999999</v>
      </c>
      <c r="T8151">
        <v>-4.1457409999999997E-3</v>
      </c>
      <c r="U8151">
        <v>2.4671020000000001</v>
      </c>
      <c r="V8151">
        <v>8.1072430000000001E-2</v>
      </c>
      <c r="W8151">
        <v>9.0429180000000005E-3</v>
      </c>
      <c r="X8151">
        <v>0.99666719999999998</v>
      </c>
      <c r="Y8151">
        <v>0.32785439999999999</v>
      </c>
      <c r="Z8151">
        <v>-1.339968E-3</v>
      </c>
      <c r="AA8151">
        <v>0.94472730000000005</v>
      </c>
      <c r="AB8151">
        <v>24</v>
      </c>
      <c r="AC8151">
        <v>25.517799999999902</v>
      </c>
      <c r="AD8151">
        <v>-5.63849999999999E-2</v>
      </c>
      <c r="AE8151">
        <v>33.376800000000003</v>
      </c>
      <c r="AF8151">
        <v>13.830173559355901</v>
      </c>
      <c r="AG8151">
        <v>-5.63849999999999E-2</v>
      </c>
      <c r="AH8151">
        <v>39.6722678439085</v>
      </c>
      <c r="AI8151">
        <v>90.076894204029003</v>
      </c>
      <c r="AJ8151">
        <v>70.780903044434993</v>
      </c>
      <c r="AK8151">
        <v>42.013875277447902</v>
      </c>
      <c r="AL8151">
        <v>89.481871907749905</v>
      </c>
      <c r="AM8151">
        <v>85.349597786944102</v>
      </c>
      <c r="AN8151">
        <v>1.0000000104139399</v>
      </c>
    </row>
    <row r="8152" spans="1:40" x14ac:dyDescent="0.25">
      <c r="A8152" t="str">
        <f>"20190312160846176"</f>
        <v>20190312160846176</v>
      </c>
      <c r="B8152" t="str">
        <f>"1552378126163764"</f>
        <v>1552378126163764</v>
      </c>
      <c r="C8152" t="s">
        <v>40</v>
      </c>
      <c r="D8152">
        <v>5.7170430000000003</v>
      </c>
      <c r="E8152">
        <v>0.59877659999999999</v>
      </c>
      <c r="F8152" t="s">
        <v>51</v>
      </c>
      <c r="G8152">
        <v>-157.61089999999999</v>
      </c>
      <c r="H8152">
        <v>1.0181709999999999</v>
      </c>
      <c r="I8152">
        <v>162.15809999999999</v>
      </c>
      <c r="J8152">
        <v>-183.1362</v>
      </c>
      <c r="K8152">
        <v>1.1068119999999999</v>
      </c>
      <c r="L8152">
        <v>129.1018</v>
      </c>
      <c r="M8152">
        <v>0.31733909999999999</v>
      </c>
      <c r="N8152">
        <v>0</v>
      </c>
      <c r="O8152">
        <v>0.94809589999999999</v>
      </c>
      <c r="P8152">
        <v>0.39334259999999999</v>
      </c>
      <c r="Q8152">
        <v>-1.0498E-2</v>
      </c>
      <c r="R8152">
        <v>0.91933200000000004</v>
      </c>
      <c r="S8152">
        <v>1.891632</v>
      </c>
      <c r="T8152">
        <v>-6.5491200000000003E-3</v>
      </c>
      <c r="U8152">
        <v>2.458847</v>
      </c>
      <c r="V8152">
        <v>8.1289910000000007E-2</v>
      </c>
      <c r="W8152">
        <v>8.9313429999999996E-3</v>
      </c>
      <c r="X8152">
        <v>0.99665049999999999</v>
      </c>
      <c r="Y8152">
        <v>0.32665029999999901</v>
      </c>
      <c r="Z8152">
        <v>-2.1144169999999999E-3</v>
      </c>
      <c r="AA8152">
        <v>0.94514290000000001</v>
      </c>
      <c r="AB8152">
        <v>24</v>
      </c>
      <c r="AC8152">
        <v>25.525300000000001</v>
      </c>
      <c r="AD8152">
        <v>-8.8641000000000095E-2</v>
      </c>
      <c r="AE8152">
        <v>33.056299999999901</v>
      </c>
      <c r="AF8152">
        <v>13.713125915790201</v>
      </c>
      <c r="AG8152">
        <v>-8.8641000000000095E-2</v>
      </c>
      <c r="AH8152">
        <v>39.448629545905597</v>
      </c>
      <c r="AI8152">
        <v>90.121605434545799</v>
      </c>
      <c r="AJ8152">
        <v>70.831534847207607</v>
      </c>
      <c r="AK8152">
        <v>41.764243709892497</v>
      </c>
      <c r="AL8152">
        <v>89.488264946736507</v>
      </c>
      <c r="AM8152">
        <v>85.337100047288104</v>
      </c>
      <c r="AN8152">
        <v>1.0000000187529201</v>
      </c>
    </row>
    <row r="8153" spans="1:40" x14ac:dyDescent="0.25">
      <c r="A8153" t="str">
        <f>"20190312160846196"</f>
        <v>20190312160846196</v>
      </c>
      <c r="B8153" t="str">
        <f>"1552378126194021"</f>
        <v>1552378126194021</v>
      </c>
      <c r="C8153" t="s">
        <v>40</v>
      </c>
      <c r="D8153">
        <v>6.2736739999999998</v>
      </c>
      <c r="E8153">
        <v>0.59828190000000003</v>
      </c>
      <c r="F8153" t="s">
        <v>51</v>
      </c>
      <c r="G8153">
        <v>-157.50210000000001</v>
      </c>
      <c r="H8153">
        <v>1.0010239999999999</v>
      </c>
      <c r="I8153">
        <v>162.04939999999999</v>
      </c>
      <c r="J8153">
        <v>-183.0565</v>
      </c>
      <c r="K8153">
        <v>1.106749</v>
      </c>
      <c r="L8153">
        <v>129.31970000000001</v>
      </c>
      <c r="M8153">
        <v>0.32259739999999998</v>
      </c>
      <c r="N8153">
        <v>0</v>
      </c>
      <c r="O8153">
        <v>0.94631900000000002</v>
      </c>
      <c r="P8153">
        <v>0.39864159999999998</v>
      </c>
      <c r="Q8153">
        <v>-1.1253259999999999E-2</v>
      </c>
      <c r="R8153">
        <v>0.91703780000000001</v>
      </c>
      <c r="S8153">
        <v>1.904739</v>
      </c>
      <c r="T8153">
        <v>-7.8580379999999995E-3</v>
      </c>
      <c r="U8153">
        <v>2.4481660000000001</v>
      </c>
      <c r="V8153">
        <v>8.1505880000000003E-2</v>
      </c>
      <c r="W8153">
        <v>8.1908439999999992E-3</v>
      </c>
      <c r="X8153">
        <v>0.99663919999999995</v>
      </c>
      <c r="Y8153">
        <v>0.32655260000000003</v>
      </c>
      <c r="Z8153">
        <v>-2.5350490000000002E-3</v>
      </c>
      <c r="AA8153">
        <v>0.9451756</v>
      </c>
      <c r="AB8153">
        <v>24</v>
      </c>
      <c r="AC8153">
        <v>25.554399999999902</v>
      </c>
      <c r="AD8153">
        <v>-0.105725</v>
      </c>
      <c r="AE8153">
        <v>32.729699999999902</v>
      </c>
      <c r="AF8153">
        <v>13.626812233537301</v>
      </c>
      <c r="AG8153">
        <v>-0.105725</v>
      </c>
      <c r="AH8153">
        <v>39.224332428583701</v>
      </c>
      <c r="AI8153">
        <v>90.14588167734</v>
      </c>
      <c r="AJ8153">
        <v>70.842409201437604</v>
      </c>
      <c r="AK8153">
        <v>41.524082697776102</v>
      </c>
      <c r="AL8153">
        <v>89.530693958878004</v>
      </c>
      <c r="AM8153">
        <v>85.324713785119101</v>
      </c>
      <c r="AN8153">
        <v>0.99999999668832296</v>
      </c>
    </row>
    <row r="8154" spans="1:40" x14ac:dyDescent="0.25">
      <c r="A8154" t="str">
        <f>"20190312160846210"</f>
        <v>20190312160846210</v>
      </c>
      <c r="B8154" t="str">
        <f>"1552378126203780"</f>
        <v>1552378126203780</v>
      </c>
      <c r="C8154" t="s">
        <v>40</v>
      </c>
      <c r="D8154">
        <v>6.1425479999999997</v>
      </c>
      <c r="E8154">
        <v>0.59799139999999995</v>
      </c>
      <c r="F8154" t="s">
        <v>51</v>
      </c>
      <c r="G8154">
        <v>-157.416</v>
      </c>
      <c r="H8154">
        <v>1.010899</v>
      </c>
      <c r="I8154">
        <v>161.96340000000001</v>
      </c>
      <c r="J8154">
        <v>-183.005</v>
      </c>
      <c r="K8154">
        <v>1.1067119999999999</v>
      </c>
      <c r="L8154">
        <v>129.4579</v>
      </c>
      <c r="M8154">
        <v>0.32600390000000001</v>
      </c>
      <c r="N8154">
        <v>0</v>
      </c>
      <c r="O8154">
        <v>0.9451505</v>
      </c>
      <c r="P8154">
        <v>0.40216190000000002</v>
      </c>
      <c r="Q8154">
        <v>-1.139189E-2</v>
      </c>
      <c r="R8154">
        <v>0.91549769999999997</v>
      </c>
      <c r="S8154">
        <v>1.9154819999999999</v>
      </c>
      <c r="T8154">
        <v>-7.1581600000000002E-3</v>
      </c>
      <c r="U8154">
        <v>2.43866</v>
      </c>
      <c r="V8154">
        <v>8.1745020000000002E-2</v>
      </c>
      <c r="W8154">
        <v>8.0592400000000005E-3</v>
      </c>
      <c r="X8154">
        <v>0.99662070000000003</v>
      </c>
      <c r="Y8154">
        <v>0.32751150000000001</v>
      </c>
      <c r="Z8154">
        <v>-2.3089320000000001E-3</v>
      </c>
      <c r="AA8154">
        <v>0.94484440000000003</v>
      </c>
      <c r="AB8154">
        <v>24</v>
      </c>
      <c r="AC8154">
        <v>25.588999999999999</v>
      </c>
      <c r="AD8154">
        <v>-9.5813000000000106E-2</v>
      </c>
      <c r="AE8154">
        <v>32.505499999999998</v>
      </c>
      <c r="AF8154">
        <v>13.591263500867299</v>
      </c>
      <c r="AG8154">
        <v>-9.5813000000000106E-2</v>
      </c>
      <c r="AH8154">
        <v>39.072543397963997</v>
      </c>
      <c r="AI8154">
        <v>90.132700419388101</v>
      </c>
      <c r="AJ8154">
        <v>70.819927653492101</v>
      </c>
      <c r="AK8154">
        <v>41.3690134190647</v>
      </c>
      <c r="AL8154">
        <v>89.538234567569305</v>
      </c>
      <c r="AM8154">
        <v>85.310970819814301</v>
      </c>
      <c r="AN8154">
        <v>1.00000000965633</v>
      </c>
    </row>
    <row r="8155" spans="1:40" x14ac:dyDescent="0.25">
      <c r="A8155" t="str">
        <f>"20190312160846222"</f>
        <v>20190312160846222</v>
      </c>
      <c r="B8155" t="str">
        <f>"1552378126213541"</f>
        <v>1552378126213541</v>
      </c>
      <c r="C8155" t="s">
        <v>40</v>
      </c>
      <c r="D8155">
        <v>6.4557079999999996</v>
      </c>
      <c r="E8155">
        <v>0.59788980000000003</v>
      </c>
      <c r="F8155" t="s">
        <v>51</v>
      </c>
      <c r="G8155">
        <v>-157.35749999999999</v>
      </c>
      <c r="H8155">
        <v>1.0595589999999999</v>
      </c>
      <c r="I8155">
        <v>161.9049</v>
      </c>
      <c r="J8155">
        <v>-182.96029999999999</v>
      </c>
      <c r="K8155">
        <v>1.106689</v>
      </c>
      <c r="L8155">
        <v>129.57669999999999</v>
      </c>
      <c r="M8155">
        <v>0.32897769999999998</v>
      </c>
      <c r="N8155">
        <v>0</v>
      </c>
      <c r="O8155">
        <v>0.94411920000000005</v>
      </c>
      <c r="P8155">
        <v>0.40502359999999998</v>
      </c>
      <c r="Q8155">
        <v>-1.14964E-2</v>
      </c>
      <c r="R8155">
        <v>0.91423390000000004</v>
      </c>
      <c r="S8155">
        <v>1.922607</v>
      </c>
      <c r="T8155">
        <v>-3.5321710000000002E-3</v>
      </c>
      <c r="U8155">
        <v>2.432312</v>
      </c>
      <c r="V8155">
        <v>8.1725220000000001E-2</v>
      </c>
      <c r="W8155">
        <v>7.9629230000000002E-3</v>
      </c>
      <c r="X8155">
        <v>0.99662309999999998</v>
      </c>
      <c r="Y8155">
        <v>0.32744099999999998</v>
      </c>
      <c r="Z8155">
        <v>-1.13893E-3</v>
      </c>
      <c r="AA8155">
        <v>0.94487089999999996</v>
      </c>
      <c r="AB8155">
        <v>24</v>
      </c>
      <c r="AC8155">
        <v>25.602799999999998</v>
      </c>
      <c r="AD8155">
        <v>-4.7130000000000102E-2</v>
      </c>
      <c r="AE8155">
        <v>32.328200000000002</v>
      </c>
      <c r="AF8155">
        <v>13.5396140638208</v>
      </c>
      <c r="AG8155">
        <v>-4.7130000000000102E-2</v>
      </c>
      <c r="AH8155">
        <v>38.952410600856098</v>
      </c>
      <c r="AI8155">
        <v>90.065481306334405</v>
      </c>
      <c r="AJ8155">
        <v>70.832868592883102</v>
      </c>
      <c r="AK8155">
        <v>41.2384973277616</v>
      </c>
      <c r="AL8155">
        <v>89.543753303087797</v>
      </c>
      <c r="AM8155">
        <v>85.3121127565922</v>
      </c>
      <c r="AN8155">
        <v>1.0000000115901799</v>
      </c>
    </row>
    <row r="8156" spans="1:40" x14ac:dyDescent="0.25">
      <c r="A8156" t="str">
        <f>"20190312160846234"</f>
        <v>20190312160846234</v>
      </c>
      <c r="B8156" t="str">
        <f>"1552378126223301"</f>
        <v>1552378126223301</v>
      </c>
      <c r="C8156" t="s">
        <v>40</v>
      </c>
      <c r="D8156">
        <v>6.3816379999999997</v>
      </c>
      <c r="E8156">
        <v>0.59780330000000004</v>
      </c>
      <c r="F8156" t="s">
        <v>51</v>
      </c>
      <c r="G8156">
        <v>-157.29929999999999</v>
      </c>
      <c r="H8156">
        <v>1.0633999999999999</v>
      </c>
      <c r="I8156">
        <v>161.8468</v>
      </c>
      <c r="J8156">
        <v>-182.9151</v>
      </c>
      <c r="K8156">
        <v>1.1066579999999999</v>
      </c>
      <c r="L8156">
        <v>129.69579999999999</v>
      </c>
      <c r="M8156">
        <v>0.33198240000000001</v>
      </c>
      <c r="N8156">
        <v>0</v>
      </c>
      <c r="O8156">
        <v>0.94306659999999998</v>
      </c>
      <c r="P8156">
        <v>0.40800540000000002</v>
      </c>
      <c r="Q8156">
        <v>-1.133081E-2</v>
      </c>
      <c r="R8156">
        <v>0.91290919999999998</v>
      </c>
      <c r="S8156">
        <v>1.929565</v>
      </c>
      <c r="T8156">
        <v>-3.2526249999999999E-3</v>
      </c>
      <c r="U8156">
        <v>2.4265439999999998</v>
      </c>
      <c r="V8156">
        <v>8.1805989999999995E-2</v>
      </c>
      <c r="W8156">
        <v>8.1350539999999992E-3</v>
      </c>
      <c r="X8156">
        <v>0.99661509999999998</v>
      </c>
      <c r="Y8156">
        <v>0.32718599999999998</v>
      </c>
      <c r="Z8156">
        <v>-1.048237E-3</v>
      </c>
      <c r="AA8156">
        <v>0.9449594</v>
      </c>
      <c r="AB8156">
        <v>24</v>
      </c>
      <c r="AC8156">
        <v>25.6158</v>
      </c>
      <c r="AD8156">
        <v>-4.3257999999999998E-2</v>
      </c>
      <c r="AE8156">
        <v>32.151000000000003</v>
      </c>
      <c r="AF8156">
        <v>13.486610110700299</v>
      </c>
      <c r="AG8156">
        <v>-4.3257999999999998E-2</v>
      </c>
      <c r="AH8156">
        <v>38.832507205420598</v>
      </c>
      <c r="AI8156">
        <v>90.060292673100705</v>
      </c>
      <c r="AJ8156">
        <v>70.847779960865694</v>
      </c>
      <c r="AK8156">
        <v>41.107835498742197</v>
      </c>
      <c r="AL8156">
        <v>89.5338906116787</v>
      </c>
      <c r="AM8156">
        <v>85.307462842845894</v>
      </c>
      <c r="AN8156">
        <v>1.00000002832573</v>
      </c>
    </row>
    <row r="8157" spans="1:40" x14ac:dyDescent="0.25">
      <c r="A8157" t="str">
        <f>"20190312160846252"</f>
        <v>20190312160846252</v>
      </c>
      <c r="B8157" t="str">
        <f>"1552378126243797"</f>
        <v>1552378126243797</v>
      </c>
      <c r="C8157" t="s">
        <v>40</v>
      </c>
      <c r="D8157">
        <v>6.1779650000000004</v>
      </c>
      <c r="E8157">
        <v>0.59835369999999999</v>
      </c>
      <c r="F8157" t="s">
        <v>51</v>
      </c>
      <c r="G8157">
        <v>-157.23910000000001</v>
      </c>
      <c r="H8157">
        <v>1.079418</v>
      </c>
      <c r="I8157">
        <v>161.7867</v>
      </c>
      <c r="J8157">
        <v>-182.84379999999999</v>
      </c>
      <c r="K8157">
        <v>1.1066049999999901</v>
      </c>
      <c r="L8157">
        <v>129.88079999999999</v>
      </c>
      <c r="M8157">
        <v>0.33677889999999999</v>
      </c>
      <c r="N8157">
        <v>0</v>
      </c>
      <c r="O8157">
        <v>0.94136390000000003</v>
      </c>
      <c r="P8157">
        <v>0.41310849999999999</v>
      </c>
      <c r="Q8157">
        <v>-1.234555E-2</v>
      </c>
      <c r="R8157">
        <v>0.91059820000000002</v>
      </c>
      <c r="S8157">
        <v>1.9367220000000001</v>
      </c>
      <c r="T8157">
        <v>-2.0521879999999999E-3</v>
      </c>
      <c r="U8157">
        <v>2.4205930000000002</v>
      </c>
      <c r="V8157">
        <v>8.2306069999999995E-2</v>
      </c>
      <c r="W8157">
        <v>7.1227590000000002E-3</v>
      </c>
      <c r="X8157">
        <v>0.99658170000000001</v>
      </c>
      <c r="Y8157">
        <v>0.32521129999999998</v>
      </c>
      <c r="Z8157">
        <v>-6.605755E-4</v>
      </c>
      <c r="AA8157">
        <v>0.94564119999999996</v>
      </c>
      <c r="AB8157">
        <v>24</v>
      </c>
      <c r="AC8157">
        <v>25.604699999999902</v>
      </c>
      <c r="AD8157">
        <v>-2.7186999999999802E-2</v>
      </c>
      <c r="AE8157">
        <v>31.905899999999999</v>
      </c>
      <c r="AF8157">
        <v>13.360866299214001</v>
      </c>
      <c r="AG8157">
        <v>-2.7186999999999802E-2</v>
      </c>
      <c r="AH8157">
        <v>38.666172429781099</v>
      </c>
      <c r="AI8157">
        <v>90.038076751130902</v>
      </c>
      <c r="AJ8157">
        <v>70.937713497525706</v>
      </c>
      <c r="AK8157">
        <v>40.909490069762597</v>
      </c>
      <c r="AL8157">
        <v>89.591892541923997</v>
      </c>
      <c r="AM8157">
        <v>85.278749127431595</v>
      </c>
      <c r="AN8157">
        <v>1.00000005381475</v>
      </c>
    </row>
    <row r="8158" spans="1:40" x14ac:dyDescent="0.25">
      <c r="A8158" t="str">
        <f>"20190312160846265"</f>
        <v>20190312160846265</v>
      </c>
      <c r="B8158" t="str">
        <f>"1552378126253556"</f>
        <v>1552378126253556</v>
      </c>
      <c r="C8158" t="s">
        <v>40</v>
      </c>
      <c r="D8158">
        <v>6.5051969999999999</v>
      </c>
      <c r="E8158">
        <v>0.59827719999999995</v>
      </c>
      <c r="F8158" t="s">
        <v>51</v>
      </c>
      <c r="G8158">
        <v>-157.07820000000001</v>
      </c>
      <c r="H8158">
        <v>0.92908670000000004</v>
      </c>
      <c r="I8158">
        <v>161.626</v>
      </c>
      <c r="J8158">
        <v>-182.79329999999999</v>
      </c>
      <c r="K8158">
        <v>1.106563</v>
      </c>
      <c r="L8158">
        <v>130.0094</v>
      </c>
      <c r="M8158">
        <v>0.34020509999999998</v>
      </c>
      <c r="N8158">
        <v>0</v>
      </c>
      <c r="O8158">
        <v>0.94013089999999999</v>
      </c>
      <c r="P8158">
        <v>0.41663149999999899</v>
      </c>
      <c r="Q8158">
        <v>-1.294871E-2</v>
      </c>
      <c r="R8158">
        <v>0.90898319999999999</v>
      </c>
      <c r="S8158">
        <v>1.9542390000000001</v>
      </c>
      <c r="T8158">
        <v>-1.3461829999999999E-2</v>
      </c>
      <c r="U8158">
        <v>2.4077760000000001</v>
      </c>
      <c r="V8158">
        <v>8.2533289999999995E-2</v>
      </c>
      <c r="W8158">
        <v>6.5210040000000004E-3</v>
      </c>
      <c r="X8158">
        <v>0.99656699999999998</v>
      </c>
      <c r="Y8158">
        <v>0.3283722</v>
      </c>
      <c r="Z8158">
        <v>-4.3314310000000002E-3</v>
      </c>
      <c r="AA8158">
        <v>0.94453849999999995</v>
      </c>
      <c r="AB8158">
        <v>24</v>
      </c>
      <c r="AC8158">
        <v>25.7150999999999</v>
      </c>
      <c r="AD8158">
        <v>-0.177476299999999</v>
      </c>
      <c r="AE8158">
        <v>31.616599999999998</v>
      </c>
      <c r="AF8158">
        <v>13.421958241704001</v>
      </c>
      <c r="AG8158">
        <v>-0.177476299999999</v>
      </c>
      <c r="AH8158">
        <v>38.479394572235798</v>
      </c>
      <c r="AI8158">
        <v>90.249516870785698</v>
      </c>
      <c r="AJ8158">
        <v>70.770769762084399</v>
      </c>
      <c r="AK8158">
        <v>40.753457123597698</v>
      </c>
      <c r="AL8158">
        <v>89.626371354471004</v>
      </c>
      <c r="AM8158">
        <v>85.265704952977103</v>
      </c>
      <c r="AN8158">
        <v>1.00000002647019</v>
      </c>
    </row>
    <row r="8159" spans="1:40" x14ac:dyDescent="0.25">
      <c r="A8159" t="str">
        <f>"20190312160846277"</f>
        <v>20190312160846277</v>
      </c>
      <c r="B8159" t="str">
        <f>"1552378126274053"</f>
        <v>1552378126274053</v>
      </c>
      <c r="C8159" t="s">
        <v>40</v>
      </c>
      <c r="D8159">
        <v>6.420388</v>
      </c>
      <c r="E8159">
        <v>0.59798209999999996</v>
      </c>
      <c r="F8159" t="s">
        <v>51</v>
      </c>
      <c r="G8159">
        <v>-157.0026</v>
      </c>
      <c r="H8159">
        <v>0.90164949999999999</v>
      </c>
      <c r="I8159">
        <v>161.5506</v>
      </c>
      <c r="J8159">
        <v>-182.7458</v>
      </c>
      <c r="K8159">
        <v>1.1065229999999999</v>
      </c>
      <c r="L8159">
        <v>130.1294</v>
      </c>
      <c r="M8159">
        <v>0.343441099999999</v>
      </c>
      <c r="N8159">
        <v>0</v>
      </c>
      <c r="O8159">
        <v>0.93895329999999999</v>
      </c>
      <c r="P8159">
        <v>0.42032619999999998</v>
      </c>
      <c r="Q8159">
        <v>-1.346867E-2</v>
      </c>
      <c r="R8159">
        <v>0.90727310000000005</v>
      </c>
      <c r="S8159">
        <v>1.96286</v>
      </c>
      <c r="T8159">
        <v>-1.5593050000000001E-2</v>
      </c>
      <c r="U8159">
        <v>2.4005130000000001</v>
      </c>
      <c r="V8159">
        <v>8.3153370000000004E-2</v>
      </c>
      <c r="W8159">
        <v>5.9964930000000003E-3</v>
      </c>
      <c r="X8159">
        <v>0.99651869999999998</v>
      </c>
      <c r="Y8159">
        <v>0.32855000000000001</v>
      </c>
      <c r="Z8159">
        <v>-5.0144459999999997E-3</v>
      </c>
      <c r="AA8159">
        <v>0.94447329999999996</v>
      </c>
      <c r="AB8159">
        <v>24</v>
      </c>
      <c r="AC8159">
        <v>25.743200000000002</v>
      </c>
      <c r="AD8159">
        <v>-0.20487349999999899</v>
      </c>
      <c r="AE8159">
        <v>31.421199999999999</v>
      </c>
      <c r="AF8159">
        <v>13.3827673566435</v>
      </c>
      <c r="AG8159">
        <v>-0.20487349999999899</v>
      </c>
      <c r="AH8159">
        <v>38.351293986761398</v>
      </c>
      <c r="AI8159">
        <v>90.288983645325601</v>
      </c>
      <c r="AJ8159">
        <v>70.763455513112206</v>
      </c>
      <c r="AK8159">
        <v>40.619726559050697</v>
      </c>
      <c r="AL8159">
        <v>89.656424193337003</v>
      </c>
      <c r="AM8159">
        <v>85.230069151607907</v>
      </c>
      <c r="AN8159">
        <v>0.999999980160172</v>
      </c>
    </row>
    <row r="8160" spans="1:40" x14ac:dyDescent="0.25">
      <c r="A8160" t="str">
        <f>"20190312160846297"</f>
        <v>20190312160846297</v>
      </c>
      <c r="B8160" t="str">
        <f>"1552378126293572"</f>
        <v>1552378126293572</v>
      </c>
      <c r="C8160" t="s">
        <v>40</v>
      </c>
      <c r="D8160">
        <v>6.3760079999999997</v>
      </c>
      <c r="E8160">
        <v>0.59788859999999999</v>
      </c>
      <c r="F8160" t="s">
        <v>51</v>
      </c>
      <c r="G8160">
        <v>-156.93350000000001</v>
      </c>
      <c r="H8160">
        <v>0.86810869999999996</v>
      </c>
      <c r="I8160">
        <v>161.48159999999999</v>
      </c>
      <c r="J8160">
        <v>-182.67099999999999</v>
      </c>
      <c r="K8160">
        <v>1.106447</v>
      </c>
      <c r="L8160">
        <v>130.31559999999999</v>
      </c>
      <c r="M8160">
        <v>0.34858660000000002</v>
      </c>
      <c r="N8160">
        <v>0</v>
      </c>
      <c r="O8160">
        <v>0.93705479999999997</v>
      </c>
      <c r="P8160">
        <v>0.4260775</v>
      </c>
      <c r="Q8160">
        <v>-1.3229329999999999E-2</v>
      </c>
      <c r="R8160">
        <v>0.90459000000000001</v>
      </c>
      <c r="S8160">
        <v>1.97052</v>
      </c>
      <c r="T8160">
        <v>-1.819813E-2</v>
      </c>
      <c r="U8160">
        <v>2.3934329999999999</v>
      </c>
      <c r="V8160">
        <v>8.4015439999999997E-2</v>
      </c>
      <c r="W8160">
        <v>6.2291859999999899E-3</v>
      </c>
      <c r="X8160">
        <v>0.99644500000000003</v>
      </c>
      <c r="Y8160">
        <v>0.32653690000000002</v>
      </c>
      <c r="Z8160">
        <v>-5.8450480000000003E-3</v>
      </c>
      <c r="AA8160">
        <v>0.94516639999999996</v>
      </c>
      <c r="AB8160">
        <v>23</v>
      </c>
      <c r="AC8160">
        <v>25.737499999999901</v>
      </c>
      <c r="AD8160">
        <v>-0.238338299999999</v>
      </c>
      <c r="AE8160">
        <v>31.166</v>
      </c>
      <c r="AF8160">
        <v>13.2556925109576</v>
      </c>
      <c r="AG8160">
        <v>-0.238338299999999</v>
      </c>
      <c r="AH8160">
        <v>38.1826069557792</v>
      </c>
      <c r="AI8160">
        <v>90.337858826584096</v>
      </c>
      <c r="AJ8160">
        <v>70.854751251638305</v>
      </c>
      <c r="AK8160">
        <v>40.418828075908202</v>
      </c>
      <c r="AL8160">
        <v>89.643091630436601</v>
      </c>
      <c r="AM8160">
        <v>85.180495139674406</v>
      </c>
      <c r="AN8160">
        <v>1.0000000174707999</v>
      </c>
    </row>
    <row r="8161" spans="1:40" x14ac:dyDescent="0.25">
      <c r="A8161" t="str">
        <f>"20190312160846310"</f>
        <v>20190312160846310</v>
      </c>
      <c r="B8161" t="str">
        <f>"1552378126303333"</f>
        <v>1552378126303333</v>
      </c>
      <c r="C8161" t="s">
        <v>40</v>
      </c>
      <c r="D8161">
        <v>6.9228160000000001</v>
      </c>
      <c r="E8161">
        <v>0.59756640000000005</v>
      </c>
      <c r="F8161" t="s">
        <v>51</v>
      </c>
      <c r="G8161">
        <v>-156.82689999999999</v>
      </c>
      <c r="H8161">
        <v>0.86254120000000001</v>
      </c>
      <c r="I8161">
        <v>161.3168</v>
      </c>
      <c r="J8161">
        <v>-182.61689999999999</v>
      </c>
      <c r="K8161">
        <v>1.1063970000000001</v>
      </c>
      <c r="L8161">
        <v>130.44799999999901</v>
      </c>
      <c r="M8161">
        <v>0.35232839999999999</v>
      </c>
      <c r="N8161">
        <v>0</v>
      </c>
      <c r="O8161">
        <v>0.93565410000000004</v>
      </c>
      <c r="P8161">
        <v>0.4301526</v>
      </c>
      <c r="Q8161">
        <v>-1.352006E-2</v>
      </c>
      <c r="R8161">
        <v>0.90265490000000004</v>
      </c>
      <c r="S8161">
        <v>1.9850460000000001</v>
      </c>
      <c r="T8161">
        <v>-1.8731589999999999E-2</v>
      </c>
      <c r="U8161">
        <v>2.3811490000000002</v>
      </c>
      <c r="V8161">
        <v>8.452643E-2</v>
      </c>
      <c r="W8161">
        <v>5.9340290000000004E-3</v>
      </c>
      <c r="X8161">
        <v>0.99640359999999994</v>
      </c>
      <c r="Y8161">
        <v>0.32855790000000001</v>
      </c>
      <c r="Z8161">
        <v>-6.0144300000000003E-3</v>
      </c>
      <c r="AA8161">
        <v>0.94446470000000005</v>
      </c>
      <c r="AB8161">
        <v>23</v>
      </c>
      <c r="AC8161">
        <v>25.7899999999999</v>
      </c>
      <c r="AD8161">
        <v>-0.24385579999999901</v>
      </c>
      <c r="AE8161">
        <v>30.8688</v>
      </c>
      <c r="AF8161">
        <v>13.2568356020096</v>
      </c>
      <c r="AG8161">
        <v>-0.24385579999999901</v>
      </c>
      <c r="AH8161">
        <v>37.97557502547</v>
      </c>
      <c r="AI8161">
        <v>90.347357096396095</v>
      </c>
      <c r="AJ8161">
        <v>70.756493939268196</v>
      </c>
      <c r="AK8161">
        <v>40.223717559979498</v>
      </c>
      <c r="AL8161">
        <v>89.660003198311699</v>
      </c>
      <c r="AM8161">
        <v>85.151121275745197</v>
      </c>
      <c r="AN8161">
        <v>1.00000003208083</v>
      </c>
    </row>
    <row r="8162" spans="1:40" x14ac:dyDescent="0.25">
      <c r="A8162" t="str">
        <f>"20190312160846322"</f>
        <v>20190312160846322</v>
      </c>
      <c r="B8162" t="str">
        <f>"1552378126314069"</f>
        <v>1552378126314069</v>
      </c>
      <c r="C8162" t="s">
        <v>40</v>
      </c>
      <c r="D8162">
        <v>6.1151790000000004</v>
      </c>
      <c r="E8162">
        <v>0.59775129999999999</v>
      </c>
      <c r="F8162" t="s">
        <v>51</v>
      </c>
      <c r="G8162">
        <v>-156.82689999999999</v>
      </c>
      <c r="H8162">
        <v>0.88636970000000004</v>
      </c>
      <c r="I8162">
        <v>161.1534</v>
      </c>
      <c r="J8162">
        <v>-182.56819999999999</v>
      </c>
      <c r="K8162">
        <v>1.1063559999999999</v>
      </c>
      <c r="L8162">
        <v>130.56559999999999</v>
      </c>
      <c r="M8162">
        <v>0.35571629999999999</v>
      </c>
      <c r="N8162">
        <v>0</v>
      </c>
      <c r="O8162">
        <v>0.93437110000000001</v>
      </c>
      <c r="P8162">
        <v>0.43348179999999997</v>
      </c>
      <c r="Q8162">
        <v>-1.3413309999999999E-2</v>
      </c>
      <c r="R8162">
        <v>0.90106249999999999</v>
      </c>
      <c r="S8162">
        <v>1.993393</v>
      </c>
      <c r="T8162">
        <v>-1.7004249999999999E-2</v>
      </c>
      <c r="U8162">
        <v>2.3733219999999999</v>
      </c>
      <c r="V8162">
        <v>8.4595569999999995E-2</v>
      </c>
      <c r="W8162">
        <v>6.0417919999999998E-3</v>
      </c>
      <c r="X8162">
        <v>0.99639710000000004</v>
      </c>
      <c r="Y8162">
        <v>0.32861879999999999</v>
      </c>
      <c r="Z8162">
        <v>-5.4571300000000001E-3</v>
      </c>
      <c r="AA8162">
        <v>0.94444689999999998</v>
      </c>
      <c r="AB8162">
        <v>23</v>
      </c>
      <c r="AC8162">
        <v>25.741299999999899</v>
      </c>
      <c r="AD8162">
        <v>-0.219986299999999</v>
      </c>
      <c r="AE8162">
        <v>30.587800000000001</v>
      </c>
      <c r="AF8162">
        <v>13.1736930538348</v>
      </c>
      <c r="AG8162">
        <v>-0.219986299999999</v>
      </c>
      <c r="AH8162">
        <v>37.743675792175601</v>
      </c>
      <c r="AI8162">
        <v>90.315288159981804</v>
      </c>
      <c r="AJ8162">
        <v>70.759456257043695</v>
      </c>
      <c r="AK8162">
        <v>39.977239086181399</v>
      </c>
      <c r="AL8162">
        <v>89.653828727993996</v>
      </c>
      <c r="AM8162">
        <v>85.147142470527996</v>
      </c>
      <c r="AN8162">
        <v>1.0000000473013</v>
      </c>
    </row>
    <row r="8163" spans="1:40" x14ac:dyDescent="0.25">
      <c r="A8163" t="str">
        <f>"20190312160846334"</f>
        <v>20190312160846334</v>
      </c>
      <c r="B8163" t="str">
        <f>"1552378126323829"</f>
        <v>1552378126323829</v>
      </c>
      <c r="C8163" t="s">
        <v>40</v>
      </c>
      <c r="D8163">
        <v>6.0947089999999999</v>
      </c>
      <c r="E8163">
        <v>0.59791549999999904</v>
      </c>
      <c r="F8163" t="s">
        <v>51</v>
      </c>
      <c r="G8163">
        <v>-156.827</v>
      </c>
      <c r="H8163">
        <v>0.86598009999999903</v>
      </c>
      <c r="I8163">
        <v>160.9564</v>
      </c>
      <c r="J8163">
        <v>-182.52070000000001</v>
      </c>
      <c r="K8163">
        <v>1.106317</v>
      </c>
      <c r="L8163">
        <v>130.6797</v>
      </c>
      <c r="M8163">
        <v>0.3590257</v>
      </c>
      <c r="N8163">
        <v>0</v>
      </c>
      <c r="O8163">
        <v>0.9331043</v>
      </c>
      <c r="P8163">
        <v>0.43696370000000001</v>
      </c>
      <c r="Q8163">
        <v>-1.378008E-2</v>
      </c>
      <c r="R8163">
        <v>0.899373599999999</v>
      </c>
      <c r="S8163">
        <v>2.0034329999999998</v>
      </c>
      <c r="T8163">
        <v>-1.870573E-2</v>
      </c>
      <c r="U8163">
        <v>2.3653110000000002</v>
      </c>
      <c r="V8163">
        <v>8.4916599999999995E-2</v>
      </c>
      <c r="W8163">
        <v>5.6727260000000003E-3</v>
      </c>
      <c r="X8163">
        <v>0.99637189999999998</v>
      </c>
      <c r="Y8163">
        <v>0.32918140000000001</v>
      </c>
      <c r="Z8163">
        <v>-5.9988799999999998E-3</v>
      </c>
      <c r="AA8163">
        <v>0.94424770000000002</v>
      </c>
      <c r="AB8163">
        <v>23</v>
      </c>
      <c r="AC8163">
        <v>25.6937</v>
      </c>
      <c r="AD8163">
        <v>-0.24033689999999999</v>
      </c>
      <c r="AE8163">
        <v>30.276700000000002</v>
      </c>
      <c r="AF8163">
        <v>13.107041040851501</v>
      </c>
      <c r="AG8163">
        <v>-0.24033689999999999</v>
      </c>
      <c r="AH8163">
        <v>37.482459103289699</v>
      </c>
      <c r="AI8163">
        <v>90.346784134413497</v>
      </c>
      <c r="AJ8163">
        <v>70.726051166244503</v>
      </c>
      <c r="AK8163">
        <v>39.708777708484703</v>
      </c>
      <c r="AL8163">
        <v>89.674974994073196</v>
      </c>
      <c r="AM8163">
        <v>85.128692300028504</v>
      </c>
      <c r="AN8163">
        <v>0.99999998594271999</v>
      </c>
    </row>
    <row r="8164" spans="1:40" x14ac:dyDescent="0.25">
      <c r="A8164" t="str">
        <f>"20190312160846353"</f>
        <v>20190312160846353</v>
      </c>
      <c r="B8164" t="str">
        <f>"1552378126343352"</f>
        <v>1552378126343352</v>
      </c>
      <c r="C8164" t="s">
        <v>40</v>
      </c>
      <c r="D8164">
        <v>6.2199099999999996</v>
      </c>
      <c r="E8164">
        <v>0.59746630000000001</v>
      </c>
      <c r="F8164" t="s">
        <v>51</v>
      </c>
      <c r="G8164">
        <v>-156.8271</v>
      </c>
      <c r="H8164">
        <v>0.82162669999999904</v>
      </c>
      <c r="I8164">
        <v>160.7534</v>
      </c>
      <c r="J8164">
        <v>-182.44540000000001</v>
      </c>
      <c r="K8164">
        <v>1.1062529999999999</v>
      </c>
      <c r="L8164">
        <v>130.8571</v>
      </c>
      <c r="M8164">
        <v>0.3643149</v>
      </c>
      <c r="N8164">
        <v>0</v>
      </c>
      <c r="O8164">
        <v>0.93105159999999998</v>
      </c>
      <c r="P8164">
        <v>0.44249660000000002</v>
      </c>
      <c r="Q8164">
        <v>-1.456008E-2</v>
      </c>
      <c r="R8164">
        <v>0.896652</v>
      </c>
      <c r="S8164">
        <v>2.013687</v>
      </c>
      <c r="T8164">
        <v>-2.230942E-2</v>
      </c>
      <c r="U8164">
        <v>2.3569640000000001</v>
      </c>
      <c r="V8164">
        <v>8.5398379999999996E-2</v>
      </c>
      <c r="W8164">
        <v>4.887387E-3</v>
      </c>
      <c r="X8164">
        <v>0.99633490000000002</v>
      </c>
      <c r="Y8164">
        <v>0.32784380000000002</v>
      </c>
      <c r="Z8164">
        <v>-7.1436290000000003E-3</v>
      </c>
      <c r="AA8164">
        <v>0.94470489999999996</v>
      </c>
      <c r="AB8164">
        <v>23</v>
      </c>
      <c r="AC8164">
        <v>25.618300000000001</v>
      </c>
      <c r="AD8164">
        <v>-0.2846263</v>
      </c>
      <c r="AE8164">
        <v>29.8963</v>
      </c>
      <c r="AF8164">
        <v>12.9623209834993</v>
      </c>
      <c r="AG8164">
        <v>-0.2846263</v>
      </c>
      <c r="AH8164">
        <v>37.173946141623802</v>
      </c>
      <c r="AI8164">
        <v>90.414223645395495</v>
      </c>
      <c r="AJ8164">
        <v>70.7766581854344</v>
      </c>
      <c r="AK8164">
        <v>39.370103494279398</v>
      </c>
      <c r="AL8164">
        <v>89.719972237623395</v>
      </c>
      <c r="AM8164">
        <v>85.101007693365801</v>
      </c>
      <c r="AN8164">
        <v>1.00000000140816</v>
      </c>
    </row>
    <row r="8165" spans="1:40" x14ac:dyDescent="0.25">
      <c r="A8165" t="str">
        <f>"20190312160846376"</f>
        <v>20190312160846376</v>
      </c>
      <c r="B8165" t="str">
        <f>"1552378126363845"</f>
        <v>1552378126363845</v>
      </c>
      <c r="C8165" t="s">
        <v>40</v>
      </c>
      <c r="D8165">
        <v>6.4484110000000001</v>
      </c>
      <c r="E8165">
        <v>0.59728510000000001</v>
      </c>
      <c r="F8165" t="s">
        <v>51</v>
      </c>
      <c r="G8165">
        <v>-156.8271</v>
      </c>
      <c r="H8165">
        <v>0.84425930000000005</v>
      </c>
      <c r="I8165">
        <v>160.5368</v>
      </c>
      <c r="J8165">
        <v>-182.3545</v>
      </c>
      <c r="K8165">
        <v>1.106182</v>
      </c>
      <c r="L8165">
        <v>131.06700000000001</v>
      </c>
      <c r="M8165">
        <v>0.37075419999999998</v>
      </c>
      <c r="N8165">
        <v>0</v>
      </c>
      <c r="O8165">
        <v>0.9285059</v>
      </c>
      <c r="P8165">
        <v>0.4489532</v>
      </c>
      <c r="Q8165">
        <v>-1.5639859999999998E-2</v>
      </c>
      <c r="R8165">
        <v>0.89341839999999995</v>
      </c>
      <c r="S8165">
        <v>2.0250240000000002</v>
      </c>
      <c r="T8165">
        <v>-2.0707130000000001E-2</v>
      </c>
      <c r="U8165">
        <v>2.346069</v>
      </c>
      <c r="V8165">
        <v>8.568133E-2</v>
      </c>
      <c r="W8165">
        <v>3.8049770000000002E-3</v>
      </c>
      <c r="X8165">
        <v>0.99631530000000001</v>
      </c>
      <c r="Y8165">
        <v>0.32608759999999998</v>
      </c>
      <c r="Z8165">
        <v>-6.6203420000000004E-3</v>
      </c>
      <c r="AA8165">
        <v>0.94531639999999995</v>
      </c>
      <c r="AB8165">
        <v>23</v>
      </c>
      <c r="AC8165">
        <v>25.5274</v>
      </c>
      <c r="AD8165">
        <v>-0.26192269999999901</v>
      </c>
      <c r="AE8165">
        <v>29.4697999999999</v>
      </c>
      <c r="AF8165">
        <v>12.778384523692401</v>
      </c>
      <c r="AG8165">
        <v>-0.26192269999999901</v>
      </c>
      <c r="AH8165">
        <v>36.8333131017406</v>
      </c>
      <c r="AI8165">
        <v>90.384919835540401</v>
      </c>
      <c r="AJ8165">
        <v>70.867078807372494</v>
      </c>
      <c r="AK8165">
        <v>38.987801535697997</v>
      </c>
      <c r="AL8165">
        <v>89.781990344725401</v>
      </c>
      <c r="AM8165">
        <v>85.0847590560968</v>
      </c>
      <c r="AN8165">
        <v>0.99999997258731399</v>
      </c>
    </row>
    <row r="8166" spans="1:40" x14ac:dyDescent="0.25">
      <c r="A8166" t="str">
        <f>"20190312160846397"</f>
        <v>20190312160846397</v>
      </c>
      <c r="B8166" t="str">
        <f>"1552378126394102"</f>
        <v>1552378126394102</v>
      </c>
      <c r="C8166" t="s">
        <v>40</v>
      </c>
      <c r="D8166">
        <v>6.4615220000000004</v>
      </c>
      <c r="E8166">
        <v>0.59709639999999997</v>
      </c>
      <c r="F8166" t="s">
        <v>51</v>
      </c>
      <c r="G8166">
        <v>-156.8272</v>
      </c>
      <c r="H8166">
        <v>0.82573510000000006</v>
      </c>
      <c r="I8166">
        <v>160.23939999999999</v>
      </c>
      <c r="J8166">
        <v>-182.26400000000001</v>
      </c>
      <c r="K8166">
        <v>1.1061099999999999</v>
      </c>
      <c r="L8166">
        <v>131.2713</v>
      </c>
      <c r="M8166">
        <v>0.377218</v>
      </c>
      <c r="N8166">
        <v>0</v>
      </c>
      <c r="O8166">
        <v>0.92589829999999995</v>
      </c>
      <c r="P8166">
        <v>0.4557117</v>
      </c>
      <c r="Q8166">
        <v>-1.6087210000000001E-2</v>
      </c>
      <c r="R8166">
        <v>0.8899821</v>
      </c>
      <c r="S8166">
        <v>2.0406490000000002</v>
      </c>
      <c r="T8166">
        <v>-2.2416350000000002E-2</v>
      </c>
      <c r="U8166">
        <v>2.3320470000000002</v>
      </c>
      <c r="V8166">
        <v>8.628566E-2</v>
      </c>
      <c r="W8166">
        <v>3.3510300000000001E-3</v>
      </c>
      <c r="X8166">
        <v>0.99626479999999995</v>
      </c>
      <c r="Y8166">
        <v>0.32589810000000002</v>
      </c>
      <c r="Z8166">
        <v>-7.1562489999999999E-3</v>
      </c>
      <c r="AA8166">
        <v>0.94537780000000005</v>
      </c>
      <c r="AB8166">
        <v>23</v>
      </c>
      <c r="AC8166">
        <v>25.436800000000002</v>
      </c>
      <c r="AD8166">
        <v>-0.28037489999999898</v>
      </c>
      <c r="AE8166">
        <v>28.9681</v>
      </c>
      <c r="AF8166">
        <v>12.626578432254099</v>
      </c>
      <c r="AG8166">
        <v>-0.28037489999999898</v>
      </c>
      <c r="AH8166">
        <v>36.422437058057497</v>
      </c>
      <c r="AI8166">
        <v>90.416716920891005</v>
      </c>
      <c r="AJ8166">
        <v>70.880086073289405</v>
      </c>
      <c r="AK8166">
        <v>38.5500066697604</v>
      </c>
      <c r="AL8166">
        <v>89.807999764275095</v>
      </c>
      <c r="AM8166">
        <v>85.050012719175996</v>
      </c>
      <c r="AN8166">
        <v>0.99999999812136797</v>
      </c>
    </row>
    <row r="8167" spans="1:40" x14ac:dyDescent="0.25">
      <c r="A8167" t="str">
        <f>"20190312160846409"</f>
        <v>20190312160846409</v>
      </c>
      <c r="B8167" t="str">
        <f>"1552378126403861"</f>
        <v>1552378126403861</v>
      </c>
      <c r="C8167" t="s">
        <v>40</v>
      </c>
      <c r="D8167">
        <v>6.1169219999999997</v>
      </c>
      <c r="E8167">
        <v>0.59706870000000001</v>
      </c>
      <c r="F8167" t="s">
        <v>51</v>
      </c>
      <c r="G8167">
        <v>-156.75190000000001</v>
      </c>
      <c r="H8167">
        <v>0.79587549999999996</v>
      </c>
      <c r="I8167">
        <v>160.01169999999999</v>
      </c>
      <c r="J8167">
        <v>-182.21019999999999</v>
      </c>
      <c r="K8167">
        <v>1.1060730000000001</v>
      </c>
      <c r="L8167">
        <v>131.39089999999999</v>
      </c>
      <c r="M8167">
        <v>0.38107960000000002</v>
      </c>
      <c r="N8167">
        <v>0</v>
      </c>
      <c r="O8167">
        <v>0.92431549999999996</v>
      </c>
      <c r="P8167">
        <v>0.45940300000000001</v>
      </c>
      <c r="Q8167">
        <v>-1.6129770000000002E-2</v>
      </c>
      <c r="R8167">
        <v>0.88808149999999997</v>
      </c>
      <c r="S8167">
        <v>2.0569000000000002</v>
      </c>
      <c r="T8167">
        <v>-2.5009750000000001E-2</v>
      </c>
      <c r="U8167">
        <v>2.3171840000000001</v>
      </c>
      <c r="V8167">
        <v>8.6263770000000004E-2</v>
      </c>
      <c r="W8167">
        <v>3.309069E-3</v>
      </c>
      <c r="X8167">
        <v>0.99626680000000001</v>
      </c>
      <c r="Y8167">
        <v>0.3286636</v>
      </c>
      <c r="Z8167">
        <v>-7.9822439999999995E-3</v>
      </c>
      <c r="AA8167">
        <v>0.94441339999999996</v>
      </c>
      <c r="AB8167">
        <v>23</v>
      </c>
      <c r="AC8167">
        <v>25.458299999999898</v>
      </c>
      <c r="AD8167">
        <v>-0.31019749999999902</v>
      </c>
      <c r="AE8167">
        <v>28.620799999999999</v>
      </c>
      <c r="AF8167">
        <v>12.626517180129699</v>
      </c>
      <c r="AG8167">
        <v>-0.31019749999999902</v>
      </c>
      <c r="AH8167">
        <v>36.1614970566865</v>
      </c>
      <c r="AI8167">
        <v>90.464006556961607</v>
      </c>
      <c r="AJ8167">
        <v>70.752320196035001</v>
      </c>
      <c r="AK8167">
        <v>38.303773025250003</v>
      </c>
      <c r="AL8167">
        <v>89.810403959035497</v>
      </c>
      <c r="AM8167">
        <v>85.051272140709202</v>
      </c>
      <c r="AN8167">
        <v>0.99999996236724897</v>
      </c>
    </row>
    <row r="8168" spans="1:40" x14ac:dyDescent="0.25">
      <c r="A8168" t="str">
        <f>"20190312160846422"</f>
        <v>20190312160846422</v>
      </c>
      <c r="B8168" t="str">
        <f>"1552378126413621"</f>
        <v>1552378126413621</v>
      </c>
      <c r="C8168" t="s">
        <v>40</v>
      </c>
      <c r="D8168">
        <v>6.0379750000000003</v>
      </c>
      <c r="E8168">
        <v>0.59656669999999901</v>
      </c>
      <c r="F8168" t="s">
        <v>51</v>
      </c>
      <c r="G8168">
        <v>-156.59280000000001</v>
      </c>
      <c r="H8168">
        <v>0.76128769999999901</v>
      </c>
      <c r="I8168">
        <v>160.01169999999999</v>
      </c>
      <c r="J8168">
        <v>-182.16069999999999</v>
      </c>
      <c r="K8168">
        <v>1.1060410000000001</v>
      </c>
      <c r="L8168">
        <v>131.49950000000001</v>
      </c>
      <c r="M8168">
        <v>0.38463419999999998</v>
      </c>
      <c r="N8168">
        <v>0</v>
      </c>
      <c r="O8168">
        <v>0.92284180000000005</v>
      </c>
      <c r="P8168">
        <v>0.46293079999999998</v>
      </c>
      <c r="Q8168">
        <v>-1.6209749999999998E-2</v>
      </c>
      <c r="R8168">
        <v>0.88624619999999998</v>
      </c>
      <c r="S8168">
        <v>2.066376</v>
      </c>
      <c r="T8168">
        <v>-2.7808670000000001E-2</v>
      </c>
      <c r="U8168">
        <v>2.30864</v>
      </c>
      <c r="V8168">
        <v>8.6390919999999996E-2</v>
      </c>
      <c r="W8168">
        <v>3.2289609999999998E-3</v>
      </c>
      <c r="X8168">
        <v>0.99625609999999998</v>
      </c>
      <c r="Y8168">
        <v>0.32891239999999999</v>
      </c>
      <c r="Z8168">
        <v>-8.8683440000000002E-3</v>
      </c>
      <c r="AA8168">
        <v>0.94431880000000001</v>
      </c>
      <c r="AB8168">
        <v>23</v>
      </c>
      <c r="AC8168">
        <v>25.567899999999899</v>
      </c>
      <c r="AD8168">
        <v>-0.34475329999999998</v>
      </c>
      <c r="AE8168">
        <v>28.512199999999901</v>
      </c>
      <c r="AF8168">
        <v>12.629986029759101</v>
      </c>
      <c r="AG8168">
        <v>-0.34475329999999998</v>
      </c>
      <c r="AH8168">
        <v>36.151194051571302</v>
      </c>
      <c r="AI8168">
        <v>90.515809512938006</v>
      </c>
      <c r="AJ8168">
        <v>70.742338438747595</v>
      </c>
      <c r="AK8168">
        <v>38.295485808436197</v>
      </c>
      <c r="AL8168">
        <v>89.814993844150095</v>
      </c>
      <c r="AM8168">
        <v>85.043961215702694</v>
      </c>
      <c r="AN8168">
        <v>1.0000000170173899</v>
      </c>
    </row>
    <row r="8169" spans="1:40" x14ac:dyDescent="0.25">
      <c r="A8169" t="str">
        <f>"20190312160846435"</f>
        <v>20190312160846435</v>
      </c>
      <c r="B8169" t="str">
        <f>"1552378126423382"</f>
        <v>1552378126423382</v>
      </c>
      <c r="C8169" t="s">
        <v>40</v>
      </c>
      <c r="D8169">
        <v>6.405608</v>
      </c>
      <c r="E8169">
        <v>0.59626899999999905</v>
      </c>
      <c r="F8169" t="s">
        <v>51</v>
      </c>
      <c r="G8169">
        <v>-156.5026</v>
      </c>
      <c r="H8169">
        <v>0.78425409999999995</v>
      </c>
      <c r="I8169">
        <v>160.01169999999999</v>
      </c>
      <c r="J8169">
        <v>-182.1069</v>
      </c>
      <c r="K8169">
        <v>1.1060099999999999</v>
      </c>
      <c r="L8169">
        <v>131.6165</v>
      </c>
      <c r="M8169">
        <v>0.38849650000000002</v>
      </c>
      <c r="N8169">
        <v>0</v>
      </c>
      <c r="O8169">
        <v>0.92122230000000005</v>
      </c>
      <c r="P8169">
        <v>0.46695199999999998</v>
      </c>
      <c r="Q8169">
        <v>-1.6082249999999999E-2</v>
      </c>
      <c r="R8169">
        <v>0.88413639999999905</v>
      </c>
      <c r="S8169">
        <v>2.0718540000000001</v>
      </c>
      <c r="T8169">
        <v>-2.5981310000000001E-2</v>
      </c>
      <c r="U8169">
        <v>2.3023220000000002</v>
      </c>
      <c r="V8169">
        <v>8.674432E-2</v>
      </c>
      <c r="W8169">
        <v>3.3529380000000002E-3</v>
      </c>
      <c r="X8169">
        <v>0.99622489999999997</v>
      </c>
      <c r="Y8169">
        <v>0.32748870000000002</v>
      </c>
      <c r="Z8169">
        <v>-8.2777849999999993E-3</v>
      </c>
      <c r="AA8169">
        <v>0.94481890000000002</v>
      </c>
      <c r="AB8169">
        <v>22</v>
      </c>
      <c r="AC8169">
        <v>25.604299999999899</v>
      </c>
      <c r="AD8169">
        <v>-0.32175589999999898</v>
      </c>
      <c r="AE8169">
        <v>28.3951999999999</v>
      </c>
      <c r="AF8169">
        <v>12.557564211913901</v>
      </c>
      <c r="AG8169">
        <v>-0.32175589999999898</v>
      </c>
      <c r="AH8169">
        <v>36.110498623917799</v>
      </c>
      <c r="AI8169">
        <v>90.482187156934003</v>
      </c>
      <c r="AJ8169">
        <v>70.824685243488105</v>
      </c>
      <c r="AK8169">
        <v>38.233023116979602</v>
      </c>
      <c r="AL8169">
        <v>89.807890431247202</v>
      </c>
      <c r="AM8169">
        <v>85.0236340384606</v>
      </c>
      <c r="AN8169">
        <v>0.99999993531275</v>
      </c>
    </row>
    <row r="8170" spans="1:40" x14ac:dyDescent="0.25">
      <c r="A8170" t="str">
        <f>"20190312160846445"</f>
        <v>20190312160846445</v>
      </c>
      <c r="B8170" t="str">
        <f>"1552378126434117"</f>
        <v>1552378126434117</v>
      </c>
      <c r="C8170" t="s">
        <v>40</v>
      </c>
      <c r="D8170">
        <v>6.289587</v>
      </c>
      <c r="E8170">
        <v>0.59598980000000001</v>
      </c>
      <c r="F8170" t="s">
        <v>51</v>
      </c>
      <c r="G8170">
        <v>-156.35570000000001</v>
      </c>
      <c r="H8170">
        <v>0.825263999999999</v>
      </c>
      <c r="I8170">
        <v>160.01159999999999</v>
      </c>
      <c r="J8170">
        <v>-182.05690000000001</v>
      </c>
      <c r="K8170">
        <v>1.1059810000000001</v>
      </c>
      <c r="L8170">
        <v>131.72319999999999</v>
      </c>
      <c r="M8170">
        <v>0.39210469999999997</v>
      </c>
      <c r="N8170">
        <v>0</v>
      </c>
      <c r="O8170">
        <v>0.91969219999999896</v>
      </c>
      <c r="P8170">
        <v>0.47050360000000002</v>
      </c>
      <c r="Q8170">
        <v>-1.5876330000000001E-2</v>
      </c>
      <c r="R8170">
        <v>0.88225529999999996</v>
      </c>
      <c r="S8170">
        <v>2.0803989999999999</v>
      </c>
      <c r="T8170">
        <v>-2.267802E-2</v>
      </c>
      <c r="U8170">
        <v>2.2939910000000001</v>
      </c>
      <c r="V8170">
        <v>8.6846339999999994E-2</v>
      </c>
      <c r="W8170">
        <v>3.5579769999999999E-3</v>
      </c>
      <c r="X8170">
        <v>0.99621530000000003</v>
      </c>
      <c r="Y8170">
        <v>0.32742890000000002</v>
      </c>
      <c r="Z8170">
        <v>-7.2196049999999996E-3</v>
      </c>
      <c r="AA8170">
        <v>0.94484820000000003</v>
      </c>
      <c r="AB8170">
        <v>22</v>
      </c>
      <c r="AC8170">
        <v>25.7012</v>
      </c>
      <c r="AD8170">
        <v>-0.28071699999999999</v>
      </c>
      <c r="AE8170">
        <v>28.288399999999999</v>
      </c>
      <c r="AF8170">
        <v>12.547138051324101</v>
      </c>
      <c r="AG8170">
        <v>-0.28071699999999999</v>
      </c>
      <c r="AH8170">
        <v>36.099819825102102</v>
      </c>
      <c r="AI8170">
        <v>90.420836863707706</v>
      </c>
      <c r="AJ8170">
        <v>70.834190235544</v>
      </c>
      <c r="AK8170">
        <v>38.219189770557797</v>
      </c>
      <c r="AL8170">
        <v>89.796142490923302</v>
      </c>
      <c r="AM8170">
        <v>85.017763005949206</v>
      </c>
      <c r="AN8170">
        <v>0.99999993496290696</v>
      </c>
    </row>
    <row r="8171" spans="1:40" x14ac:dyDescent="0.25">
      <c r="A8171" t="str">
        <f>"20190312160846457"</f>
        <v>20190312160846457</v>
      </c>
      <c r="B8171" t="str">
        <f>"1552378126453637"</f>
        <v>1552378126453637</v>
      </c>
      <c r="C8171" t="s">
        <v>40</v>
      </c>
      <c r="D8171">
        <v>6.2413290000000003</v>
      </c>
      <c r="E8171">
        <v>0.59535499999999997</v>
      </c>
      <c r="F8171" t="s">
        <v>51</v>
      </c>
      <c r="G8171">
        <v>-156.22839999999999</v>
      </c>
      <c r="H8171">
        <v>0.86375619999999997</v>
      </c>
      <c r="I8171">
        <v>160.01159999999999</v>
      </c>
      <c r="J8171">
        <v>-182.00800000000001</v>
      </c>
      <c r="K8171">
        <v>1.1059509999999999</v>
      </c>
      <c r="L8171">
        <v>131.8271</v>
      </c>
      <c r="M8171">
        <v>0.395644</v>
      </c>
      <c r="N8171">
        <v>0</v>
      </c>
      <c r="O8171">
        <v>0.91817499999999996</v>
      </c>
      <c r="P8171">
        <v>0.47397879999999998</v>
      </c>
      <c r="Q8171">
        <v>-1.5782540000000001E-2</v>
      </c>
      <c r="R8171">
        <v>0.88039480000000003</v>
      </c>
      <c r="S8171">
        <v>2.087799</v>
      </c>
      <c r="T8171">
        <v>-1.9577150000000001E-2</v>
      </c>
      <c r="U8171">
        <v>2.2866360000000001</v>
      </c>
      <c r="V8171">
        <v>8.6938319999999999E-2</v>
      </c>
      <c r="W8171">
        <v>3.6519130000000001E-3</v>
      </c>
      <c r="X8171">
        <v>0.99620699999999995</v>
      </c>
      <c r="Y8171">
        <v>0.32697480000000001</v>
      </c>
      <c r="Z8171">
        <v>-6.2269519999999896E-3</v>
      </c>
      <c r="AA8171">
        <v>0.94501259999999998</v>
      </c>
      <c r="AB8171">
        <v>22</v>
      </c>
      <c r="AC8171">
        <v>25.779599999999899</v>
      </c>
      <c r="AD8171">
        <v>-0.24219479999999999</v>
      </c>
      <c r="AE8171">
        <v>28.1844999999999</v>
      </c>
      <c r="AF8171">
        <v>12.5212854337826</v>
      </c>
      <c r="AG8171">
        <v>-0.24219479999999999</v>
      </c>
      <c r="AH8171">
        <v>36.083984230240802</v>
      </c>
      <c r="AI8171">
        <v>90.3633108054823</v>
      </c>
      <c r="AJ8171">
        <v>70.863023293982494</v>
      </c>
      <c r="AK8171">
        <v>38.195486188339999</v>
      </c>
      <c r="AL8171">
        <v>89.790760332319095</v>
      </c>
      <c r="AM8171">
        <v>85.012471516415602</v>
      </c>
      <c r="AN8171">
        <v>0.99999999740099099</v>
      </c>
    </row>
    <row r="8172" spans="1:40" x14ac:dyDescent="0.25">
      <c r="A8172" t="str">
        <f>"20190312160846469"</f>
        <v>20190312160846469</v>
      </c>
      <c r="B8172" t="str">
        <f>"1552378126463397"</f>
        <v>1552378126463397</v>
      </c>
      <c r="C8172" t="s">
        <v>40</v>
      </c>
      <c r="D8172">
        <v>6.582586</v>
      </c>
      <c r="E8172">
        <v>0.59511359999999902</v>
      </c>
      <c r="F8172" t="s">
        <v>51</v>
      </c>
      <c r="G8172">
        <v>-156.15459999999999</v>
      </c>
      <c r="H8172">
        <v>0.93025210000000003</v>
      </c>
      <c r="I8172">
        <v>160.01150000000001</v>
      </c>
      <c r="J8172">
        <v>-181.9579</v>
      </c>
      <c r="K8172">
        <v>1.105925</v>
      </c>
      <c r="L8172">
        <v>131.93199999999999</v>
      </c>
      <c r="M8172">
        <v>0.39927079999999998</v>
      </c>
      <c r="N8172">
        <v>0</v>
      </c>
      <c r="O8172">
        <v>0.91660339999999996</v>
      </c>
      <c r="P8172">
        <v>0.47775430000000002</v>
      </c>
      <c r="Q8172">
        <v>-1.5975179999999999E-2</v>
      </c>
      <c r="R8172">
        <v>0.87834820000000002</v>
      </c>
      <c r="S8172">
        <v>2.0922390000000002</v>
      </c>
      <c r="T8172">
        <v>-1.421618E-2</v>
      </c>
      <c r="U8172">
        <v>2.2808839999999999</v>
      </c>
      <c r="V8172">
        <v>8.7276409999999999E-2</v>
      </c>
      <c r="W8172">
        <v>3.4592720000000002E-3</v>
      </c>
      <c r="X8172">
        <v>0.99617820000000001</v>
      </c>
      <c r="Y8172">
        <v>0.32543040000000001</v>
      </c>
      <c r="Z8172">
        <v>-4.5176779999999998E-3</v>
      </c>
      <c r="AA8172">
        <v>0.94555520000000004</v>
      </c>
      <c r="AB8172">
        <v>22</v>
      </c>
      <c r="AC8172">
        <v>25.8033</v>
      </c>
      <c r="AD8172">
        <v>-0.17567289999999999</v>
      </c>
      <c r="AE8172">
        <v>28.079499999999999</v>
      </c>
      <c r="AF8172">
        <v>12.4424237241473</v>
      </c>
      <c r="AG8172">
        <v>-0.17567289999999999</v>
      </c>
      <c r="AH8172">
        <v>36.047093961064697</v>
      </c>
      <c r="AI8172">
        <v>90.263943658280098</v>
      </c>
      <c r="AJ8172">
        <v>70.956793242541707</v>
      </c>
      <c r="AK8172">
        <v>38.134469343847499</v>
      </c>
      <c r="AL8172">
        <v>89.801797933227505</v>
      </c>
      <c r="AM8172">
        <v>84.993030157508699</v>
      </c>
      <c r="AN8172">
        <v>1.00000007223024</v>
      </c>
    </row>
    <row r="8173" spans="1:40" x14ac:dyDescent="0.25">
      <c r="A8173" t="str">
        <f>"20190312160846486"</f>
        <v>20190312160846486</v>
      </c>
      <c r="B8173" t="str">
        <f>"1552378126483893"</f>
        <v>1552378126483893</v>
      </c>
      <c r="C8173" t="s">
        <v>40</v>
      </c>
      <c r="D8173">
        <v>6.1198870000000003</v>
      </c>
      <c r="E8173">
        <v>0.59554149999999995</v>
      </c>
      <c r="F8173" t="s">
        <v>51</v>
      </c>
      <c r="G8173">
        <v>-156.00810000000001</v>
      </c>
      <c r="H8173">
        <v>0.92294310000000002</v>
      </c>
      <c r="I8173">
        <v>160.01150000000001</v>
      </c>
      <c r="J8173">
        <v>-181.8844</v>
      </c>
      <c r="K8173">
        <v>1.105882</v>
      </c>
      <c r="L8173">
        <v>132.0838</v>
      </c>
      <c r="M8173">
        <v>0.4046112</v>
      </c>
      <c r="N8173">
        <v>0</v>
      </c>
      <c r="O8173">
        <v>0.91425820000000002</v>
      </c>
      <c r="P8173">
        <v>0.48279280000000002</v>
      </c>
      <c r="Q8173">
        <v>-1.6353070000000001E-2</v>
      </c>
      <c r="R8173">
        <v>0.87558189999999902</v>
      </c>
      <c r="S8173">
        <v>2.100403</v>
      </c>
      <c r="T8173">
        <v>-1.480794E-2</v>
      </c>
      <c r="U8173">
        <v>2.2727810000000002</v>
      </c>
      <c r="V8173">
        <v>8.7187310000000004E-2</v>
      </c>
      <c r="W8173">
        <v>3.0944940000000002E-3</v>
      </c>
      <c r="X8173">
        <v>0.99618720000000005</v>
      </c>
      <c r="Y8173">
        <v>0.3234242</v>
      </c>
      <c r="Z8173">
        <v>-4.6973220000000003E-3</v>
      </c>
      <c r="AA8173">
        <v>0.94624240000000004</v>
      </c>
      <c r="AB8173">
        <v>22</v>
      </c>
      <c r="AC8173">
        <v>25.876299999999901</v>
      </c>
      <c r="AD8173">
        <v>-0.18293889999999999</v>
      </c>
      <c r="AE8173">
        <v>27.927700000000002</v>
      </c>
      <c r="AF8173">
        <v>12.360080468723201</v>
      </c>
      <c r="AG8173">
        <v>-0.18293889999999999</v>
      </c>
      <c r="AH8173">
        <v>36.009732140386099</v>
      </c>
      <c r="AI8173">
        <v>90.275308980739794</v>
      </c>
      <c r="AJ8173">
        <v>71.055586813301005</v>
      </c>
      <c r="AK8173">
        <v>38.072376661522</v>
      </c>
      <c r="AL8173">
        <v>89.822698283543502</v>
      </c>
      <c r="AM8173">
        <v>84.998160760636694</v>
      </c>
      <c r="AN8173">
        <v>1.0000000701809899</v>
      </c>
    </row>
    <row r="8174" spans="1:40" x14ac:dyDescent="0.25">
      <c r="A8174" t="str">
        <f>"20190312160846498"</f>
        <v>20190312160846498</v>
      </c>
      <c r="B8174" t="str">
        <f>"1552378126493654"</f>
        <v>1552378126493654</v>
      </c>
      <c r="C8174" t="s">
        <v>40</v>
      </c>
      <c r="D8174">
        <v>4.8901560000000002</v>
      </c>
      <c r="E8174">
        <v>0.59532180000000001</v>
      </c>
      <c r="F8174" t="s">
        <v>51</v>
      </c>
      <c r="G8174">
        <v>-155.7208</v>
      </c>
      <c r="H8174">
        <v>0.98696709999999999</v>
      </c>
      <c r="I8174">
        <v>160.01130000000001</v>
      </c>
      <c r="J8174">
        <v>-181.8329</v>
      </c>
      <c r="K8174">
        <v>1.105856</v>
      </c>
      <c r="L8174">
        <v>132.18879999999999</v>
      </c>
      <c r="M8174">
        <v>0.40836080000000002</v>
      </c>
      <c r="N8174">
        <v>0</v>
      </c>
      <c r="O8174">
        <v>0.91258910000000004</v>
      </c>
      <c r="P8174">
        <v>0.48660320000000001</v>
      </c>
      <c r="Q8174">
        <v>-1.655473E-2</v>
      </c>
      <c r="R8174">
        <v>0.87346630000000003</v>
      </c>
      <c r="S8174">
        <v>2.1164399999999999</v>
      </c>
      <c r="T8174">
        <v>-9.6166129999999996E-3</v>
      </c>
      <c r="U8174">
        <v>2.2591399999999999</v>
      </c>
      <c r="V8174">
        <v>8.7437680000000004E-2</v>
      </c>
      <c r="W8174">
        <v>2.8994680000000001E-3</v>
      </c>
      <c r="X8174">
        <v>0.99616579999999999</v>
      </c>
      <c r="Y8174">
        <v>0.32597330000000002</v>
      </c>
      <c r="Z8174">
        <v>-3.0481499999999999E-3</v>
      </c>
      <c r="AA8174">
        <v>0.94537409999999999</v>
      </c>
      <c r="AB8174">
        <v>22</v>
      </c>
      <c r="AC8174">
        <v>26.112100000000002</v>
      </c>
      <c r="AD8174">
        <v>-0.11888889999999901</v>
      </c>
      <c r="AE8174">
        <v>27.822500000000002</v>
      </c>
      <c r="AF8174">
        <v>12.4705136842813</v>
      </c>
      <c r="AG8174">
        <v>-0.11888889999999901</v>
      </c>
      <c r="AH8174">
        <v>36.060938595393303</v>
      </c>
      <c r="AI8174">
        <v>90.178523756401205</v>
      </c>
      <c r="AJ8174">
        <v>70.923704693384394</v>
      </c>
      <c r="AK8174">
        <v>38.156508468426701</v>
      </c>
      <c r="AL8174">
        <v>89.833872492638505</v>
      </c>
      <c r="AM8174">
        <v>84.9837632803453</v>
      </c>
      <c r="AN8174">
        <v>1.00000002794405</v>
      </c>
    </row>
    <row r="8175" spans="1:40" x14ac:dyDescent="0.25">
      <c r="A8175" t="str">
        <f>"20190312160846510"</f>
        <v>20190312160846510</v>
      </c>
      <c r="B8175" t="str">
        <f>"1552378126503413"</f>
        <v>1552378126503413</v>
      </c>
      <c r="C8175" t="s">
        <v>40</v>
      </c>
      <c r="D8175">
        <v>4.655926</v>
      </c>
      <c r="E8175">
        <v>0.5949873</v>
      </c>
      <c r="F8175" t="s">
        <v>51</v>
      </c>
      <c r="G8175">
        <v>-155.56790000000001</v>
      </c>
      <c r="H8175">
        <v>0.95618440000000005</v>
      </c>
      <c r="I8175">
        <v>160.01130000000001</v>
      </c>
      <c r="J8175">
        <v>-181.77979999999999</v>
      </c>
      <c r="K8175">
        <v>1.105828</v>
      </c>
      <c r="L8175">
        <v>132.29560000000001</v>
      </c>
      <c r="M8175">
        <v>0.41223009999999899</v>
      </c>
      <c r="N8175">
        <v>0</v>
      </c>
      <c r="O8175">
        <v>0.91084750000000003</v>
      </c>
      <c r="P8175">
        <v>0.49060090000000001</v>
      </c>
      <c r="Q8175">
        <v>-1.6759030000000001E-2</v>
      </c>
      <c r="R8175">
        <v>0.87122319999999998</v>
      </c>
      <c r="S8175">
        <v>2.1247099999999999</v>
      </c>
      <c r="T8175">
        <v>-1.210499E-2</v>
      </c>
      <c r="U8175">
        <v>2.250702</v>
      </c>
      <c r="V8175">
        <v>8.777459E-2</v>
      </c>
      <c r="W8175">
        <v>2.7020590000000001E-3</v>
      </c>
      <c r="X8175">
        <v>0.99613669999999999</v>
      </c>
      <c r="Y8175">
        <v>0.32556449999999998</v>
      </c>
      <c r="Z8175">
        <v>-3.8328379999999999E-3</v>
      </c>
      <c r="AA8175">
        <v>0.94551209999999997</v>
      </c>
      <c r="AB8175">
        <v>22</v>
      </c>
      <c r="AC8175">
        <v>26.211899999999901</v>
      </c>
      <c r="AD8175">
        <v>-0.14964359999999999</v>
      </c>
      <c r="AE8175">
        <v>27.715699999999998</v>
      </c>
      <c r="AF8175">
        <v>12.4522412523187</v>
      </c>
      <c r="AG8175">
        <v>-0.14964359999999999</v>
      </c>
      <c r="AH8175">
        <v>36.057185560076</v>
      </c>
      <c r="AI8175">
        <v>90.224760687283904</v>
      </c>
      <c r="AJ8175">
        <v>70.947800064576199</v>
      </c>
      <c r="AK8175">
        <v>38.1471012781669</v>
      </c>
      <c r="AL8175">
        <v>89.845183235291003</v>
      </c>
      <c r="AM8175">
        <v>84.964387835402107</v>
      </c>
      <c r="AN8175">
        <v>1.00000000242969</v>
      </c>
    </row>
    <row r="8176" spans="1:40" x14ac:dyDescent="0.25">
      <c r="A8176" t="str">
        <f>"20190312160846521"</f>
        <v>20190312160846521</v>
      </c>
      <c r="B8176" t="str">
        <f>"1552378126514148"</f>
        <v>1552378126514148</v>
      </c>
      <c r="C8176" t="s">
        <v>40</v>
      </c>
      <c r="D8176">
        <v>6.1187809999999896</v>
      </c>
      <c r="E8176">
        <v>0.5949873</v>
      </c>
      <c r="F8176" t="s">
        <v>51</v>
      </c>
      <c r="G8176">
        <v>-155.41739999999999</v>
      </c>
      <c r="H8176">
        <v>0.93488119999999997</v>
      </c>
      <c r="I8176">
        <v>160.01130000000001</v>
      </c>
      <c r="J8176">
        <v>-181.72980000000001</v>
      </c>
      <c r="K8176">
        <v>1.1058049999999999</v>
      </c>
      <c r="L8176">
        <v>132.39490000000001</v>
      </c>
      <c r="M8176">
        <v>0.41588530000000001</v>
      </c>
      <c r="N8176">
        <v>0</v>
      </c>
      <c r="O8176">
        <v>0.90918399999999999</v>
      </c>
      <c r="P8176">
        <v>0.49424620000000002</v>
      </c>
      <c r="Q8176">
        <v>-1.685379E-2</v>
      </c>
      <c r="R8176">
        <v>0.869158599999999</v>
      </c>
      <c r="S8176">
        <v>2.132736</v>
      </c>
      <c r="T8176">
        <v>-1.382709E-2</v>
      </c>
      <c r="U8176">
        <v>2.2422179999999998</v>
      </c>
      <c r="V8176">
        <v>8.7946220000000006E-2</v>
      </c>
      <c r="W8176">
        <v>2.6152739999999999E-3</v>
      </c>
      <c r="X8176">
        <v>0.99612179999999995</v>
      </c>
      <c r="Y8176">
        <v>0.32532759999999999</v>
      </c>
      <c r="Z8176">
        <v>-4.3740649999999999E-3</v>
      </c>
      <c r="AA8176">
        <v>0.94559130000000002</v>
      </c>
      <c r="AB8176">
        <v>22</v>
      </c>
      <c r="AC8176">
        <v>26.3124</v>
      </c>
      <c r="AD8176">
        <v>-0.17092379999999899</v>
      </c>
      <c r="AE8176">
        <v>27.616399999999999</v>
      </c>
      <c r="AF8176">
        <v>12.439945303202</v>
      </c>
      <c r="AG8176">
        <v>-0.17092379999999899</v>
      </c>
      <c r="AH8176">
        <v>36.058248369025002</v>
      </c>
      <c r="AI8176">
        <v>90.256742817685193</v>
      </c>
      <c r="AJ8176">
        <v>70.965779185898398</v>
      </c>
      <c r="AK8176">
        <v>38.144183429906498</v>
      </c>
      <c r="AL8176">
        <v>89.850155668041893</v>
      </c>
      <c r="AM8176">
        <v>84.954517147680505</v>
      </c>
      <c r="AN8176">
        <v>1.00000000885281</v>
      </c>
    </row>
    <row r="8177" spans="1:40" x14ac:dyDescent="0.25">
      <c r="A8177" t="str">
        <f>"20190312160846532"</f>
        <v>20190312160846532</v>
      </c>
      <c r="B8177" t="str">
        <f>"1552378126523909"</f>
        <v>1552378126523909</v>
      </c>
      <c r="C8177" t="s">
        <v>40</v>
      </c>
      <c r="D8177">
        <v>6.252389</v>
      </c>
      <c r="E8177">
        <v>0.59510859999999999</v>
      </c>
      <c r="F8177" t="s">
        <v>51</v>
      </c>
      <c r="G8177">
        <v>-155.23929999999999</v>
      </c>
      <c r="H8177">
        <v>0.92506600000000005</v>
      </c>
      <c r="I8177">
        <v>160.0112</v>
      </c>
      <c r="J8177">
        <v>-181.67779999999999</v>
      </c>
      <c r="K8177">
        <v>1.1057779999999999</v>
      </c>
      <c r="L8177">
        <v>132.49760000000001</v>
      </c>
      <c r="M8177">
        <v>0.41968709999999998</v>
      </c>
      <c r="N8177">
        <v>0</v>
      </c>
      <c r="O8177">
        <v>0.90743490000000004</v>
      </c>
      <c r="P8177">
        <v>0.49827660000000001</v>
      </c>
      <c r="Q8177">
        <v>-1.703402E-2</v>
      </c>
      <c r="R8177">
        <v>0.86685080000000003</v>
      </c>
      <c r="S8177">
        <v>2.1421510000000001</v>
      </c>
      <c r="T8177">
        <v>-1.4612669999999999E-2</v>
      </c>
      <c r="U8177">
        <v>2.2331850000000002</v>
      </c>
      <c r="V8177">
        <v>8.8401530000000006E-2</v>
      </c>
      <c r="W8177">
        <v>2.4388449999999998E-3</v>
      </c>
      <c r="X8177">
        <v>0.99608189999999996</v>
      </c>
      <c r="Y8177">
        <v>0.32535560000000002</v>
      </c>
      <c r="Z8177">
        <v>-4.6173899999999999E-3</v>
      </c>
      <c r="AA8177">
        <v>0.94558039999999999</v>
      </c>
      <c r="AB8177">
        <v>22</v>
      </c>
      <c r="AC8177">
        <v>26.438500000000001</v>
      </c>
      <c r="AD8177">
        <v>-0.18071200000000001</v>
      </c>
      <c r="AE8177">
        <v>27.5136</v>
      </c>
      <c r="AF8177">
        <v>12.446478422238799</v>
      </c>
      <c r="AG8177">
        <v>-0.18071200000000001</v>
      </c>
      <c r="AH8177">
        <v>36.069548522794001</v>
      </c>
      <c r="AI8177">
        <v>90.271354204084403</v>
      </c>
      <c r="AJ8177">
        <v>70.962039369146297</v>
      </c>
      <c r="AK8177">
        <v>38.157041454761597</v>
      </c>
      <c r="AL8177">
        <v>89.860264331197101</v>
      </c>
      <c r="AM8177">
        <v>84.928329755209205</v>
      </c>
      <c r="AN8177">
        <v>0.99999996498944099</v>
      </c>
    </row>
    <row r="8178" spans="1:40" x14ac:dyDescent="0.25">
      <c r="A8178" t="str">
        <f>"20190312160846544"</f>
        <v>20190312160846544</v>
      </c>
      <c r="B8178" t="str">
        <f>"1552378126533669"</f>
        <v>1552378126533669</v>
      </c>
      <c r="C8178" t="s">
        <v>40</v>
      </c>
      <c r="D8178">
        <v>4.6054029999999999</v>
      </c>
      <c r="E8178">
        <v>0.59528210000000004</v>
      </c>
      <c r="F8178" t="s">
        <v>51</v>
      </c>
      <c r="G8178">
        <v>-155.023</v>
      </c>
      <c r="H8178">
        <v>0.93684579999999995</v>
      </c>
      <c r="I8178">
        <v>160.0111</v>
      </c>
      <c r="J8178">
        <v>-181.62780000000001</v>
      </c>
      <c r="K8178">
        <v>1.1057520000000001</v>
      </c>
      <c r="L8178">
        <v>132.59440000000001</v>
      </c>
      <c r="M8178">
        <v>0.42335070000000002</v>
      </c>
      <c r="N8178">
        <v>0</v>
      </c>
      <c r="O8178">
        <v>0.90573119999999996</v>
      </c>
      <c r="P8178">
        <v>0.50235779999999997</v>
      </c>
      <c r="Q8178">
        <v>-1.6818380000000001E-2</v>
      </c>
      <c r="R8178">
        <v>0.8644963</v>
      </c>
      <c r="S8178">
        <v>2.153381</v>
      </c>
      <c r="T8178">
        <v>-1.364493E-2</v>
      </c>
      <c r="U8178">
        <v>2.222763</v>
      </c>
      <c r="V8178">
        <v>8.9072990000000005E-2</v>
      </c>
      <c r="W8178">
        <v>2.6543750000000001E-3</v>
      </c>
      <c r="X8178">
        <v>0.99602159999999995</v>
      </c>
      <c r="Y8178">
        <v>0.3262157</v>
      </c>
      <c r="Z8178">
        <v>-4.3072609999999997E-3</v>
      </c>
      <c r="AA8178">
        <v>0.94528559999999995</v>
      </c>
      <c r="AB8178">
        <v>22</v>
      </c>
      <c r="AC8178">
        <v>26.604800000000001</v>
      </c>
      <c r="AD8178">
        <v>-0.16890620000000001</v>
      </c>
      <c r="AE8178">
        <v>27.416699999999899</v>
      </c>
      <c r="AF8178">
        <v>12.4923301672583</v>
      </c>
      <c r="AG8178">
        <v>-0.16890620000000001</v>
      </c>
      <c r="AH8178">
        <v>36.102291506030298</v>
      </c>
      <c r="AI8178">
        <v>90.253322169693007</v>
      </c>
      <c r="AJ8178">
        <v>70.913051431781199</v>
      </c>
      <c r="AK8178">
        <v>38.202909500437002</v>
      </c>
      <c r="AL8178">
        <v>89.847915342056893</v>
      </c>
      <c r="AM8178">
        <v>84.889702992106393</v>
      </c>
      <c r="AN8178">
        <v>1.00000003546036</v>
      </c>
    </row>
    <row r="8179" spans="1:40" x14ac:dyDescent="0.25">
      <c r="A8179" t="str">
        <f>"20190312160846557"</f>
        <v>20190312160846557</v>
      </c>
      <c r="B8179" t="str">
        <f>"1552378126553189"</f>
        <v>1552378126553189</v>
      </c>
      <c r="C8179" t="s">
        <v>40</v>
      </c>
      <c r="D8179">
        <v>6.3370610000000003</v>
      </c>
      <c r="E8179">
        <v>0.59537030000000002</v>
      </c>
      <c r="F8179" t="s">
        <v>51</v>
      </c>
      <c r="G8179">
        <v>-153.9983</v>
      </c>
      <c r="H8179">
        <v>0.96394349999999995</v>
      </c>
      <c r="I8179">
        <v>160.82390000000001</v>
      </c>
      <c r="J8179">
        <v>-181.57159999999999</v>
      </c>
      <c r="K8179">
        <v>1.1057220000000001</v>
      </c>
      <c r="L8179">
        <v>132.70259999999999</v>
      </c>
      <c r="M8179">
        <v>0.42746600000000001</v>
      </c>
      <c r="N8179">
        <v>0</v>
      </c>
      <c r="O8179">
        <v>0.90379580000000004</v>
      </c>
      <c r="P8179">
        <v>0.50709209999999905</v>
      </c>
      <c r="Q8179">
        <v>-1.6890789999999999E-2</v>
      </c>
      <c r="R8179">
        <v>0.86172629999999995</v>
      </c>
      <c r="S8179">
        <v>2.1649479999999999</v>
      </c>
      <c r="T8179">
        <v>-1.1108760000000001E-2</v>
      </c>
      <c r="U8179">
        <v>2.2119599999999999</v>
      </c>
      <c r="V8179">
        <v>9.0005760000000004E-2</v>
      </c>
      <c r="W8179">
        <v>2.5785579999999999E-3</v>
      </c>
      <c r="X8179">
        <v>0.99593790000000004</v>
      </c>
      <c r="Y8179">
        <v>0.32675120000000002</v>
      </c>
      <c r="Z8179">
        <v>-3.5022870000000002E-3</v>
      </c>
      <c r="AA8179">
        <v>0.9451039</v>
      </c>
      <c r="AB8179">
        <v>22</v>
      </c>
      <c r="AC8179">
        <v>27.5732999999999</v>
      </c>
      <c r="AD8179">
        <v>-0.141778499999999</v>
      </c>
      <c r="AE8179">
        <v>28.121300000000002</v>
      </c>
      <c r="AF8179">
        <v>12.902314233532699</v>
      </c>
      <c r="AG8179">
        <v>-0.141778499999999</v>
      </c>
      <c r="AH8179">
        <v>37.210005005301099</v>
      </c>
      <c r="AI8179">
        <v>90.206261251551894</v>
      </c>
      <c r="AJ8179">
        <v>70.876361885912701</v>
      </c>
      <c r="AK8179">
        <v>39.383680455468003</v>
      </c>
      <c r="AL8179">
        <v>89.8522593446488</v>
      </c>
      <c r="AM8179">
        <v>84.836044291392497</v>
      </c>
      <c r="AN8179">
        <v>0.99999999322547295</v>
      </c>
    </row>
    <row r="8180" spans="1:40" x14ac:dyDescent="0.25">
      <c r="A8180" t="str">
        <f>"20190312160846570"</f>
        <v>20190312160846570</v>
      </c>
      <c r="B8180" t="str">
        <f>"1552378126563925"</f>
        <v>1552378126563925</v>
      </c>
      <c r="C8180" t="s">
        <v>40</v>
      </c>
      <c r="D8180">
        <v>6.383273</v>
      </c>
      <c r="E8180">
        <v>0.59550019999999904</v>
      </c>
      <c r="F8180" t="s">
        <v>51</v>
      </c>
      <c r="G8180">
        <v>-153.7311</v>
      </c>
      <c r="H8180">
        <v>0.98509219999999997</v>
      </c>
      <c r="I8180">
        <v>160.82380000000001</v>
      </c>
      <c r="J8180">
        <v>-181.50810000000001</v>
      </c>
      <c r="K8180">
        <v>1.1056900000000001</v>
      </c>
      <c r="L8180">
        <v>132.8228</v>
      </c>
      <c r="M8180">
        <v>0.43212600000000001</v>
      </c>
      <c r="N8180">
        <v>0</v>
      </c>
      <c r="O8180">
        <v>0.90157659999999995</v>
      </c>
      <c r="P8180">
        <v>0.51211519999999999</v>
      </c>
      <c r="Q8180">
        <v>-1.712994E-2</v>
      </c>
      <c r="R8180">
        <v>0.85874589999999995</v>
      </c>
      <c r="S8180">
        <v>2.1777340000000001</v>
      </c>
      <c r="T8180">
        <v>-9.4333890000000004E-3</v>
      </c>
      <c r="U8180">
        <v>2.1996920000000002</v>
      </c>
      <c r="V8180">
        <v>9.067915E-2</v>
      </c>
      <c r="W8180">
        <v>2.3406170000000001E-3</v>
      </c>
      <c r="X8180">
        <v>0.99587740000000002</v>
      </c>
      <c r="Y8180">
        <v>0.32728359999999901</v>
      </c>
      <c r="Z8180">
        <v>-2.9698799999999998E-3</v>
      </c>
      <c r="AA8180">
        <v>0.94492149999999997</v>
      </c>
      <c r="AB8180">
        <v>21</v>
      </c>
      <c r="AC8180">
        <v>27.777000000000001</v>
      </c>
      <c r="AD8180">
        <v>-0.1205978</v>
      </c>
      <c r="AE8180">
        <v>28.001000000000001</v>
      </c>
      <c r="AF8180">
        <v>12.9457747132892</v>
      </c>
      <c r="AG8180">
        <v>-0.1205978</v>
      </c>
      <c r="AH8180">
        <v>37.255812430034901</v>
      </c>
      <c r="AI8180">
        <v>90.175191601358506</v>
      </c>
      <c r="AJ8180">
        <v>70.8385115590943</v>
      </c>
      <c r="AK8180">
        <v>39.441135716134603</v>
      </c>
      <c r="AL8180">
        <v>89.865892400822801</v>
      </c>
      <c r="AM8180">
        <v>84.797306378079995</v>
      </c>
      <c r="AN8180">
        <v>0.99999999128171102</v>
      </c>
    </row>
    <row r="8181" spans="1:40" x14ac:dyDescent="0.25">
      <c r="A8181" t="str">
        <f>"20190312160846588"</f>
        <v>20190312160846588</v>
      </c>
      <c r="B8181" t="str">
        <f>"1552378126583446"</f>
        <v>1552378126583446</v>
      </c>
      <c r="C8181" t="s">
        <v>40</v>
      </c>
      <c r="D8181">
        <v>6.4529719999999999</v>
      </c>
      <c r="E8181">
        <v>0.59603329999999999</v>
      </c>
      <c r="F8181" t="s">
        <v>51</v>
      </c>
      <c r="G8181">
        <v>-153.4408</v>
      </c>
      <c r="H8181">
        <v>1.003757</v>
      </c>
      <c r="I8181">
        <v>160.8237</v>
      </c>
      <c r="J8181">
        <v>-181.43170000000001</v>
      </c>
      <c r="K8181">
        <v>1.1056589999999999</v>
      </c>
      <c r="L8181">
        <v>132.96530000000001</v>
      </c>
      <c r="M8181">
        <v>0.4377376</v>
      </c>
      <c r="N8181">
        <v>0</v>
      </c>
      <c r="O8181">
        <v>0.89886499999999903</v>
      </c>
      <c r="P8181">
        <v>0.51847749999999904</v>
      </c>
      <c r="Q8181">
        <v>-1.752331E-2</v>
      </c>
      <c r="R8181">
        <v>0.85491170000000005</v>
      </c>
      <c r="S8181">
        <v>2.1915589999999998</v>
      </c>
      <c r="T8181">
        <v>-7.9565049999999991E-3</v>
      </c>
      <c r="U8181">
        <v>2.1863709999999998</v>
      </c>
      <c r="V8181">
        <v>9.1864589999999996E-2</v>
      </c>
      <c r="W8181">
        <v>1.943412E-3</v>
      </c>
      <c r="X8181">
        <v>0.99576960000000003</v>
      </c>
      <c r="Y8181">
        <v>0.32725369999999998</v>
      </c>
      <c r="Z8181">
        <v>-2.5001020000000001E-3</v>
      </c>
      <c r="AA8181">
        <v>0.94493320000000003</v>
      </c>
      <c r="AB8181">
        <v>21</v>
      </c>
      <c r="AC8181">
        <v>27.9909</v>
      </c>
      <c r="AD8181">
        <v>-0.10190199999999899</v>
      </c>
      <c r="AE8181">
        <v>27.8583999999999</v>
      </c>
      <c r="AF8181">
        <v>12.9680571000969</v>
      </c>
      <c r="AG8181">
        <v>-0.10190199999999899</v>
      </c>
      <c r="AH8181">
        <v>37.30133590893</v>
      </c>
      <c r="AI8181">
        <v>90.147843865649605</v>
      </c>
      <c r="AJ8181">
        <v>70.829653230061496</v>
      </c>
      <c r="AK8181">
        <v>39.491398424971102</v>
      </c>
      <c r="AL8181">
        <v>89.888650623118593</v>
      </c>
      <c r="AM8181">
        <v>84.729105267585993</v>
      </c>
      <c r="AN8181">
        <v>0.99999998801511403</v>
      </c>
    </row>
    <row r="8182" spans="1:40" x14ac:dyDescent="0.25">
      <c r="A8182" t="str">
        <f>"20190312160846609"</f>
        <v>20190312160846609</v>
      </c>
      <c r="B8182" t="str">
        <f>"1552378126603941"</f>
        <v>1552378126603941</v>
      </c>
      <c r="C8182" t="s">
        <v>40</v>
      </c>
      <c r="D8182">
        <v>6.5141039999999997</v>
      </c>
      <c r="E8182">
        <v>0.59618040000000005</v>
      </c>
      <c r="F8182" t="s">
        <v>51</v>
      </c>
      <c r="G8182">
        <v>-153.0137</v>
      </c>
      <c r="H8182">
        <v>1.0846559999999901</v>
      </c>
      <c r="I8182">
        <v>160.8235</v>
      </c>
      <c r="J8182">
        <v>-181.32939999999999</v>
      </c>
      <c r="K8182">
        <v>1.1056239999999999</v>
      </c>
      <c r="L8182">
        <v>133.15260000000001</v>
      </c>
      <c r="M8182">
        <v>0.44525419999999999</v>
      </c>
      <c r="N8182">
        <v>0</v>
      </c>
      <c r="O8182">
        <v>0.89516479999999998</v>
      </c>
      <c r="P8182">
        <v>0.52638960000000001</v>
      </c>
      <c r="Q8182">
        <v>-1.759668E-2</v>
      </c>
      <c r="R8182">
        <v>0.85006139999999997</v>
      </c>
      <c r="S8182">
        <v>2.2114720000000001</v>
      </c>
      <c r="T8182">
        <v>-1.6317370000000001E-3</v>
      </c>
      <c r="U8182">
        <v>2.1679080000000002</v>
      </c>
      <c r="V8182">
        <v>9.2762029999999995E-2</v>
      </c>
      <c r="W8182">
        <v>1.8752249999999999E-3</v>
      </c>
      <c r="X8182">
        <v>0.99568650000000003</v>
      </c>
      <c r="Y8182">
        <v>0.3276172</v>
      </c>
      <c r="Z8182">
        <v>-5.1129609999999999E-4</v>
      </c>
      <c r="AA8182">
        <v>0.94481040000000005</v>
      </c>
      <c r="AB8182">
        <v>21</v>
      </c>
      <c r="AC8182">
        <v>28.3157</v>
      </c>
      <c r="AD8182">
        <v>-2.0968000000000001E-2</v>
      </c>
      <c r="AE8182">
        <v>27.6708999999999</v>
      </c>
      <c r="AF8182">
        <v>13.0294228450097</v>
      </c>
      <c r="AG8182">
        <v>-2.0968000000000001E-2</v>
      </c>
      <c r="AH8182">
        <v>37.385703608629001</v>
      </c>
      <c r="AI8182">
        <v>90.030344628456106</v>
      </c>
      <c r="AJ8182">
        <v>70.785863767944406</v>
      </c>
      <c r="AK8182">
        <v>39.5911244301465</v>
      </c>
      <c r="AL8182">
        <v>89.892557454431795</v>
      </c>
      <c r="AM8182">
        <v>84.677465677340805</v>
      </c>
      <c r="AN8182">
        <v>0.99999995848038403</v>
      </c>
    </row>
    <row r="8183" spans="1:40" x14ac:dyDescent="0.25">
      <c r="A8183" t="str">
        <f>"20190312160846621"</f>
        <v>20190312160846621</v>
      </c>
      <c r="B8183" t="str">
        <f>"1552378126613701"</f>
        <v>1552378126613701</v>
      </c>
      <c r="C8183" t="s">
        <v>40</v>
      </c>
      <c r="D8183">
        <v>6.5096290000000003</v>
      </c>
      <c r="E8183">
        <v>0.59620059999999997</v>
      </c>
      <c r="F8183" t="s">
        <v>51</v>
      </c>
      <c r="G8183">
        <v>-152.55609999999999</v>
      </c>
      <c r="H8183">
        <v>1.117594</v>
      </c>
      <c r="I8183">
        <v>160.82329999999999</v>
      </c>
      <c r="J8183">
        <v>-181.27440000000001</v>
      </c>
      <c r="K8183">
        <v>1.1056090000000001</v>
      </c>
      <c r="L8183">
        <v>133.25139999999999</v>
      </c>
      <c r="M8183">
        <v>0.44929799999999998</v>
      </c>
      <c r="N8183">
        <v>0</v>
      </c>
      <c r="O8183">
        <v>0.89314169999999904</v>
      </c>
      <c r="P8183">
        <v>0.53055059999999998</v>
      </c>
      <c r="Q8183">
        <v>-1.7986640000000002E-2</v>
      </c>
      <c r="R8183">
        <v>0.84746239999999995</v>
      </c>
      <c r="S8183">
        <v>2.2323460000000002</v>
      </c>
      <c r="T8183">
        <v>9.3150139999999997E-4</v>
      </c>
      <c r="U8183">
        <v>2.1468050000000001</v>
      </c>
      <c r="V8183">
        <v>9.3139250000000007E-2</v>
      </c>
      <c r="W8183">
        <v>1.488987E-3</v>
      </c>
      <c r="X8183">
        <v>0.99565199999999998</v>
      </c>
      <c r="Y8183">
        <v>0.332395099999999</v>
      </c>
      <c r="Z8183">
        <v>2.9180340000000001E-4</v>
      </c>
      <c r="AA8183">
        <v>0.94314019999999998</v>
      </c>
      <c r="AB8183">
        <v>21</v>
      </c>
      <c r="AC8183">
        <v>28.718299999999999</v>
      </c>
      <c r="AD8183">
        <v>1.19849999999999E-2</v>
      </c>
      <c r="AE8183">
        <v>27.571899999999999</v>
      </c>
      <c r="AF8183">
        <v>13.2643574640813</v>
      </c>
      <c r="AG8183">
        <v>1.19849999999999E-2</v>
      </c>
      <c r="AH8183">
        <v>37.536741444678697</v>
      </c>
      <c r="AI8183">
        <v>89.9827514395229</v>
      </c>
      <c r="AJ8183">
        <v>70.538121077261394</v>
      </c>
      <c r="AK8183">
        <v>39.811434046763601</v>
      </c>
      <c r="AL8183">
        <v>89.914687299420706</v>
      </c>
      <c r="AM8183">
        <v>84.655762365265701</v>
      </c>
      <c r="AN8183">
        <v>1.0000000210384199</v>
      </c>
    </row>
    <row r="8184" spans="1:40" x14ac:dyDescent="0.25">
      <c r="A8184" t="str">
        <f>"20190312160846634"</f>
        <v>20190312160846634</v>
      </c>
      <c r="B8184" t="str">
        <f>"1552378126623461"</f>
        <v>1552378126623461</v>
      </c>
      <c r="C8184" t="s">
        <v>40</v>
      </c>
      <c r="D8184">
        <v>6.4438269999999997</v>
      </c>
      <c r="E8184">
        <v>0.59624909999999998</v>
      </c>
      <c r="F8184" t="s">
        <v>51</v>
      </c>
      <c r="G8184">
        <v>-152.31469999999999</v>
      </c>
      <c r="H8184">
        <v>1.1177900000000001</v>
      </c>
      <c r="I8184">
        <v>160.82329999999999</v>
      </c>
      <c r="J8184">
        <v>-181.2159</v>
      </c>
      <c r="K8184">
        <v>1.1055919999999999</v>
      </c>
      <c r="L8184">
        <v>133.35570000000001</v>
      </c>
      <c r="M8184">
        <v>0.45359159999999998</v>
      </c>
      <c r="N8184">
        <v>0</v>
      </c>
      <c r="O8184">
        <v>0.8909686</v>
      </c>
      <c r="P8184">
        <v>0.53504839999999998</v>
      </c>
      <c r="Q8184">
        <v>-1.7984460000000001E-2</v>
      </c>
      <c r="R8184">
        <v>0.84462999999999899</v>
      </c>
      <c r="S8184">
        <v>2.2431640000000002</v>
      </c>
      <c r="T8184">
        <v>9.4616410000000002E-4</v>
      </c>
      <c r="U8184">
        <v>2.1356660000000001</v>
      </c>
      <c r="V8184">
        <v>9.3640139999999997E-2</v>
      </c>
      <c r="W8184">
        <v>1.4937559999999999E-3</v>
      </c>
      <c r="X8184">
        <v>0.99560499999999996</v>
      </c>
      <c r="Y8184">
        <v>0.33258379999999998</v>
      </c>
      <c r="Z8184">
        <v>2.959603E-4</v>
      </c>
      <c r="AA8184">
        <v>0.94307359999999896</v>
      </c>
      <c r="AB8184">
        <v>21</v>
      </c>
      <c r="AC8184">
        <v>28.901199999999999</v>
      </c>
      <c r="AD8184">
        <v>1.2198000000000099E-2</v>
      </c>
      <c r="AE8184">
        <v>27.467599999999901</v>
      </c>
      <c r="AF8184">
        <v>13.293843745148401</v>
      </c>
      <c r="AG8184">
        <v>1.2198000000000099E-2</v>
      </c>
      <c r="AH8184">
        <v>37.590182655810601</v>
      </c>
      <c r="AI8184">
        <v>89.982471405726798</v>
      </c>
      <c r="AJ8184">
        <v>70.523756750518004</v>
      </c>
      <c r="AK8184">
        <v>39.871647350076103</v>
      </c>
      <c r="AL8184">
        <v>89.914414054740206</v>
      </c>
      <c r="AM8184">
        <v>84.626937385781602</v>
      </c>
      <c r="AN8184">
        <v>1.0000000115756</v>
      </c>
    </row>
    <row r="8185" spans="1:40" x14ac:dyDescent="0.25">
      <c r="A8185" t="str">
        <f>"20190312160846653"</f>
        <v>20190312160846653</v>
      </c>
      <c r="B8185" t="str">
        <f>"1552378126643957"</f>
        <v>1552378126643957</v>
      </c>
      <c r="C8185" t="s">
        <v>40</v>
      </c>
      <c r="D8185">
        <v>6.5183519999999904</v>
      </c>
      <c r="E8185">
        <v>0.59632319999999905</v>
      </c>
      <c r="F8185" t="s">
        <v>51</v>
      </c>
      <c r="G8185">
        <v>-152.04929999999999</v>
      </c>
      <c r="H8185">
        <v>1.137615</v>
      </c>
      <c r="I8185">
        <v>160.82320000000001</v>
      </c>
      <c r="J8185">
        <v>-181.12219999999999</v>
      </c>
      <c r="K8185">
        <v>1.1055649999999999</v>
      </c>
      <c r="L8185">
        <v>133.5196</v>
      </c>
      <c r="M8185">
        <v>0.4604762</v>
      </c>
      <c r="N8185">
        <v>0</v>
      </c>
      <c r="O8185">
        <v>0.88742949999999998</v>
      </c>
      <c r="P8185">
        <v>0.54211960000000003</v>
      </c>
      <c r="Q8185">
        <v>-1.869533E-2</v>
      </c>
      <c r="R8185">
        <v>0.84009339999999999</v>
      </c>
      <c r="S8185">
        <v>2.2548680000000001</v>
      </c>
      <c r="T8185">
        <v>2.4783610000000001E-3</v>
      </c>
      <c r="U8185">
        <v>2.1235050000000002</v>
      </c>
      <c r="V8185">
        <v>9.4287270000000006E-2</v>
      </c>
      <c r="W8185">
        <v>7.8708320000000001E-4</v>
      </c>
      <c r="X8185">
        <v>0.99554469999999995</v>
      </c>
      <c r="Y8185">
        <v>0.33041979999999999</v>
      </c>
      <c r="Z8185">
        <v>7.7287350000000005E-4</v>
      </c>
      <c r="AA8185">
        <v>0.94383379999999995</v>
      </c>
      <c r="AB8185">
        <v>21</v>
      </c>
      <c r="AC8185">
        <v>29.072900000000001</v>
      </c>
      <c r="AD8185">
        <v>3.2050000000000099E-2</v>
      </c>
      <c r="AE8185">
        <v>27.303599999999999</v>
      </c>
      <c r="AF8185">
        <v>13.2303310724481</v>
      </c>
      <c r="AG8185">
        <v>3.2050000000000099E-2</v>
      </c>
      <c r="AH8185">
        <v>37.6254750492323</v>
      </c>
      <c r="AI8185">
        <v>89.953958022256998</v>
      </c>
      <c r="AJ8185">
        <v>70.6266804210685</v>
      </c>
      <c r="AK8185">
        <v>39.8838195283437</v>
      </c>
      <c r="AL8185">
        <v>89.954903448921897</v>
      </c>
      <c r="AM8185">
        <v>84.589698948306804</v>
      </c>
      <c r="AN8185">
        <v>0.99999997924105299</v>
      </c>
    </row>
    <row r="8186" spans="1:40" x14ac:dyDescent="0.25">
      <c r="A8186" t="str">
        <f>"20190312160846667"</f>
        <v>20190312160846667</v>
      </c>
      <c r="B8186" t="str">
        <f>"1552378126663478"</f>
        <v>1552378126663478</v>
      </c>
      <c r="C8186" t="s">
        <v>40</v>
      </c>
      <c r="D8186">
        <v>6.4166980000000002</v>
      </c>
      <c r="E8186">
        <v>0.5962982</v>
      </c>
      <c r="F8186" t="s">
        <v>51</v>
      </c>
      <c r="G8186">
        <v>-151.62819999999999</v>
      </c>
      <c r="H8186">
        <v>1.1325700000000001</v>
      </c>
      <c r="I8186">
        <v>160.82299999999901</v>
      </c>
      <c r="J8186">
        <v>-181.06039999999999</v>
      </c>
      <c r="K8186">
        <v>1.105556</v>
      </c>
      <c r="L8186">
        <v>133.62549999999999</v>
      </c>
      <c r="M8186">
        <v>0.46500629999999998</v>
      </c>
      <c r="N8186">
        <v>0</v>
      </c>
      <c r="O8186">
        <v>0.88506390000000001</v>
      </c>
      <c r="P8186">
        <v>0.54684169999999999</v>
      </c>
      <c r="Q8186">
        <v>-1.9167569999999998E-2</v>
      </c>
      <c r="R8186">
        <v>0.837016599999999</v>
      </c>
      <c r="S8186">
        <v>2.273056</v>
      </c>
      <c r="T8186">
        <v>2.0836589999999999E-3</v>
      </c>
      <c r="U8186">
        <v>2.1042329999999998</v>
      </c>
      <c r="V8186">
        <v>9.4803709999999999E-2</v>
      </c>
      <c r="W8186">
        <v>3.1644509999999998E-4</v>
      </c>
      <c r="X8186">
        <v>0.99549589999999999</v>
      </c>
      <c r="Y8186">
        <v>0.33366800000000002</v>
      </c>
      <c r="Z8186">
        <v>6.4923770000000001E-4</v>
      </c>
      <c r="AA8186">
        <v>0.94269040000000004</v>
      </c>
      <c r="AB8186">
        <v>21</v>
      </c>
      <c r="AC8186">
        <v>29.432199999999899</v>
      </c>
      <c r="AD8186">
        <v>2.7014E-2</v>
      </c>
      <c r="AE8186">
        <v>27.197499999999899</v>
      </c>
      <c r="AF8186">
        <v>13.405252153516001</v>
      </c>
      <c r="AG8186">
        <v>2.7014E-2</v>
      </c>
      <c r="AH8186">
        <v>37.765806734124602</v>
      </c>
      <c r="AI8186">
        <v>89.961377132570902</v>
      </c>
      <c r="AJ8186">
        <v>70.457305885169404</v>
      </c>
      <c r="AK8186">
        <v>40.0744017214829</v>
      </c>
      <c r="AL8186">
        <v>89.981869030389603</v>
      </c>
      <c r="AM8186">
        <v>84.559977303421306</v>
      </c>
      <c r="AN8186">
        <v>0.99999996524203705</v>
      </c>
    </row>
    <row r="8187" spans="1:40" x14ac:dyDescent="0.25">
      <c r="A8187" t="str">
        <f>"20190312160846681"</f>
        <v>20190312160846681</v>
      </c>
      <c r="B8187" t="str">
        <f>"1552378126674213"</f>
        <v>1552378126674213</v>
      </c>
      <c r="C8187" t="s">
        <v>40</v>
      </c>
      <c r="D8187">
        <v>6.5174570000000003</v>
      </c>
      <c r="E8187">
        <v>0.59628510000000001</v>
      </c>
      <c r="F8187" t="s">
        <v>51</v>
      </c>
      <c r="G8187">
        <v>-151.34790000000001</v>
      </c>
      <c r="H8187">
        <v>1.1299170000000001</v>
      </c>
      <c r="I8187">
        <v>160.8229</v>
      </c>
      <c r="J8187">
        <v>-180.9956</v>
      </c>
      <c r="K8187">
        <v>1.105542</v>
      </c>
      <c r="L8187">
        <v>133.7354</v>
      </c>
      <c r="M8187">
        <v>0.46974369999999999</v>
      </c>
      <c r="N8187">
        <v>0</v>
      </c>
      <c r="O8187">
        <v>0.88255839999999997</v>
      </c>
      <c r="P8187">
        <v>0.55145299999999997</v>
      </c>
      <c r="Q8187">
        <v>-1.952278E-2</v>
      </c>
      <c r="R8187">
        <v>0.83397759999999999</v>
      </c>
      <c r="S8187">
        <v>2.2848510000000002</v>
      </c>
      <c r="T8187">
        <v>1.8761159999999999E-3</v>
      </c>
      <c r="U8187">
        <v>2.0914459999999999</v>
      </c>
      <c r="V8187">
        <v>9.4961110000000001E-2</v>
      </c>
      <c r="W8187" s="1">
        <v>-3.2267999999999997E-5</v>
      </c>
      <c r="X8187">
        <v>0.99548099999999995</v>
      </c>
      <c r="Y8187">
        <v>0.33390920000000002</v>
      </c>
      <c r="Z8187">
        <v>5.8357949999999895E-4</v>
      </c>
      <c r="AA8187">
        <v>0.94260509999999997</v>
      </c>
      <c r="AB8187">
        <v>21</v>
      </c>
      <c r="AC8187">
        <v>29.647699999999901</v>
      </c>
      <c r="AD8187">
        <v>2.4375000000000001E-2</v>
      </c>
      <c r="AE8187">
        <v>27.087499999999999</v>
      </c>
      <c r="AF8187">
        <v>13.444540403339399</v>
      </c>
      <c r="AG8187">
        <v>2.4375000000000001E-2</v>
      </c>
      <c r="AH8187">
        <v>37.8412726609766</v>
      </c>
      <c r="AI8187">
        <v>89.965223326105004</v>
      </c>
      <c r="AJ8187">
        <v>70.440497647273105</v>
      </c>
      <c r="AK8187">
        <v>40.158662544960698</v>
      </c>
      <c r="AL8187">
        <v>90.001848820181394</v>
      </c>
      <c r="AM8187">
        <v>84.550918632046901</v>
      </c>
      <c r="AN8187">
        <v>1.00000001740732</v>
      </c>
    </row>
    <row r="8188" spans="1:40" x14ac:dyDescent="0.25">
      <c r="A8188" t="str">
        <f>"20190312160846694"</f>
        <v>20190312160846694</v>
      </c>
      <c r="B8188" t="str">
        <f>"1552378126683975"</f>
        <v>1552378126683975</v>
      </c>
      <c r="C8188" t="s">
        <v>40</v>
      </c>
      <c r="D8188">
        <v>6.4082850000000002</v>
      </c>
      <c r="E8188">
        <v>0.59625119999999998</v>
      </c>
      <c r="F8188" t="s">
        <v>51</v>
      </c>
      <c r="G8188">
        <v>-151.07689999999999</v>
      </c>
      <c r="H8188">
        <v>1.1274029999999999</v>
      </c>
      <c r="I8188">
        <v>160.8228</v>
      </c>
      <c r="J8188">
        <v>-180.9314</v>
      </c>
      <c r="K8188">
        <v>1.105531</v>
      </c>
      <c r="L8188">
        <v>133.8432</v>
      </c>
      <c r="M8188">
        <v>0.47443259999999998</v>
      </c>
      <c r="N8188">
        <v>0</v>
      </c>
      <c r="O8188">
        <v>0.88004640000000001</v>
      </c>
      <c r="P8188">
        <v>0.55620340000000001</v>
      </c>
      <c r="Q8188">
        <v>-1.988937E-2</v>
      </c>
      <c r="R8188">
        <v>0.8308082</v>
      </c>
      <c r="S8188">
        <v>2.2962340000000001</v>
      </c>
      <c r="T8188">
        <v>1.6803740000000001E-3</v>
      </c>
      <c r="U8188">
        <v>2.0789339999999998</v>
      </c>
      <c r="V8188">
        <v>9.5345429999999995E-2</v>
      </c>
      <c r="W8188">
        <v>-3.962002E-4</v>
      </c>
      <c r="X8188">
        <v>0.9954442</v>
      </c>
      <c r="Y8188">
        <v>0.33404159999999999</v>
      </c>
      <c r="Z8188">
        <v>5.2178659999999998E-4</v>
      </c>
      <c r="AA8188">
        <v>0.94255820000000001</v>
      </c>
      <c r="AB8188">
        <v>21</v>
      </c>
      <c r="AC8188">
        <v>29.854500000000002</v>
      </c>
      <c r="AD8188">
        <v>2.18720000000001E-2</v>
      </c>
      <c r="AE8188">
        <v>26.979600000000001</v>
      </c>
      <c r="AF8188">
        <v>13.4762509602525</v>
      </c>
      <c r="AG8188">
        <v>2.18720000000001E-2</v>
      </c>
      <c r="AH8188">
        <v>37.915428122308498</v>
      </c>
      <c r="AI8188">
        <v>89.968856866280603</v>
      </c>
      <c r="AJ8188">
        <v>70.433300644737798</v>
      </c>
      <c r="AK8188">
        <v>40.239153917869999</v>
      </c>
      <c r="AL8188">
        <v>90.022700599177497</v>
      </c>
      <c r="AM8188">
        <v>84.528798000797593</v>
      </c>
      <c r="AN8188">
        <v>1.0000000316550599</v>
      </c>
    </row>
    <row r="8189" spans="1:40" x14ac:dyDescent="0.25">
      <c r="A8189" t="str">
        <f>"20190312160846707"</f>
        <v>20190312160846707</v>
      </c>
      <c r="B8189" t="str">
        <f>"1552378126703494"</f>
        <v>1552378126703494</v>
      </c>
      <c r="C8189" t="s">
        <v>40</v>
      </c>
      <c r="D8189">
        <v>6.470815</v>
      </c>
      <c r="E8189">
        <v>0.59622790000000003</v>
      </c>
      <c r="F8189" t="s">
        <v>51</v>
      </c>
      <c r="G8189">
        <v>-150.7938</v>
      </c>
      <c r="H8189">
        <v>1.116938</v>
      </c>
      <c r="I8189">
        <v>160.8228</v>
      </c>
      <c r="J8189">
        <v>-180.8656</v>
      </c>
      <c r="K8189">
        <v>1.105521</v>
      </c>
      <c r="L8189">
        <v>133.95169999999999</v>
      </c>
      <c r="M8189">
        <v>0.479238</v>
      </c>
      <c r="N8189">
        <v>0</v>
      </c>
      <c r="O8189">
        <v>0.87743859999999996</v>
      </c>
      <c r="P8189">
        <v>0.56097390000000003</v>
      </c>
      <c r="Q8189">
        <v>-2.0259429999999998E-2</v>
      </c>
      <c r="R8189">
        <v>0.82758549999999997</v>
      </c>
      <c r="S8189">
        <v>2.307785</v>
      </c>
      <c r="T8189">
        <v>8.7618829999999996E-4</v>
      </c>
      <c r="U8189">
        <v>2.0659480000000001</v>
      </c>
      <c r="V8189">
        <v>9.5628459999999998E-2</v>
      </c>
      <c r="W8189">
        <v>-7.625447E-4</v>
      </c>
      <c r="X8189">
        <v>0.99541679999999999</v>
      </c>
      <c r="Y8189">
        <v>0.33417560000000002</v>
      </c>
      <c r="Z8189">
        <v>2.7158739999999997E-4</v>
      </c>
      <c r="AA8189">
        <v>0.94251079999999998</v>
      </c>
      <c r="AB8189">
        <v>20</v>
      </c>
      <c r="AC8189">
        <v>30.0718</v>
      </c>
      <c r="AD8189">
        <v>1.1417E-2</v>
      </c>
      <c r="AE8189">
        <v>26.871099999999998</v>
      </c>
      <c r="AF8189">
        <v>13.511426561050399</v>
      </c>
      <c r="AG8189">
        <v>1.1417E-2</v>
      </c>
      <c r="AH8189">
        <v>37.997503365873797</v>
      </c>
      <c r="AI8189">
        <v>89.983779468149393</v>
      </c>
      <c r="AJ8189">
        <v>70.425263598549094</v>
      </c>
      <c r="AK8189">
        <v>40.3282660190361</v>
      </c>
      <c r="AL8189">
        <v>90.043690597462302</v>
      </c>
      <c r="AM8189">
        <v>84.512505766098101</v>
      </c>
      <c r="AN8189">
        <v>0.999999994779315</v>
      </c>
    </row>
    <row r="8190" spans="1:40" x14ac:dyDescent="0.25">
      <c r="A8190" t="str">
        <f>"20190312160846722"</f>
        <v>20190312160846722</v>
      </c>
      <c r="B8190" t="str">
        <f>"1552378126713253"</f>
        <v>1552378126713253</v>
      </c>
      <c r="C8190" t="s">
        <v>40</v>
      </c>
      <c r="D8190">
        <v>6.4631280000000002</v>
      </c>
      <c r="E8190">
        <v>0.59620479999999998</v>
      </c>
      <c r="F8190" t="s">
        <v>51</v>
      </c>
      <c r="G8190">
        <v>-150.50200000000001</v>
      </c>
      <c r="H8190">
        <v>1.1169639999999901</v>
      </c>
      <c r="I8190">
        <v>160.8227</v>
      </c>
      <c r="J8190">
        <v>-180.7979</v>
      </c>
      <c r="K8190">
        <v>1.1055120000000001</v>
      </c>
      <c r="L8190">
        <v>134.06200000000001</v>
      </c>
      <c r="M8190">
        <v>0.48416229999999899</v>
      </c>
      <c r="N8190">
        <v>0</v>
      </c>
      <c r="O8190">
        <v>0.87473089999999998</v>
      </c>
      <c r="P8190">
        <v>0.56614929999999997</v>
      </c>
      <c r="Q8190">
        <v>-2.0852329999999999E-2</v>
      </c>
      <c r="R8190">
        <v>0.82403899999999997</v>
      </c>
      <c r="S8190">
        <v>2.3195649999999999</v>
      </c>
      <c r="T8190">
        <v>8.7690350000000001E-4</v>
      </c>
      <c r="U8190">
        <v>2.0527500000000001</v>
      </c>
      <c r="V8190">
        <v>9.6270969999999997E-2</v>
      </c>
      <c r="W8190">
        <v>-1.356891E-3</v>
      </c>
      <c r="X8190">
        <v>0.99535419999999997</v>
      </c>
      <c r="Y8190">
        <v>0.33426109999999998</v>
      </c>
      <c r="Z8190">
        <v>2.7128660000000002E-4</v>
      </c>
      <c r="AA8190">
        <v>0.94248050000000005</v>
      </c>
      <c r="AB8190">
        <v>20</v>
      </c>
      <c r="AC8190">
        <v>30.2958999999999</v>
      </c>
      <c r="AD8190">
        <v>1.14519999999997E-2</v>
      </c>
      <c r="AE8190">
        <v>26.7606999999999</v>
      </c>
      <c r="AF8190">
        <v>13.547168105980299</v>
      </c>
      <c r="AG8190">
        <v>1.14519999999997E-2</v>
      </c>
      <c r="AH8190">
        <v>38.084781676041203</v>
      </c>
      <c r="AI8190">
        <v>89.983767662055499</v>
      </c>
      <c r="AJ8190">
        <v>70.418978056654097</v>
      </c>
      <c r="AK8190">
        <v>40.422475062169603</v>
      </c>
      <c r="AL8190">
        <v>90.077744154359294</v>
      </c>
      <c r="AM8190">
        <v>84.475518335580702</v>
      </c>
      <c r="AN8190">
        <v>0.99999996213778197</v>
      </c>
    </row>
    <row r="8191" spans="1:40" x14ac:dyDescent="0.25">
      <c r="A8191" t="str">
        <f>"20190312160846735"</f>
        <v>20190312160846735</v>
      </c>
      <c r="B8191" t="str">
        <f>"1552378126723990"</f>
        <v>1552378126723990</v>
      </c>
      <c r="C8191" t="s">
        <v>40</v>
      </c>
      <c r="D8191">
        <v>6.4732159999999999</v>
      </c>
      <c r="E8191">
        <v>0.59618819999999995</v>
      </c>
      <c r="F8191" t="s">
        <v>51</v>
      </c>
      <c r="G8191">
        <v>-150.17789999999999</v>
      </c>
      <c r="H8191">
        <v>1.101675</v>
      </c>
      <c r="I8191">
        <v>160.82259999999999</v>
      </c>
      <c r="J8191">
        <v>-180.73339999999999</v>
      </c>
      <c r="K8191">
        <v>1.105504</v>
      </c>
      <c r="L8191">
        <v>134.16589999999999</v>
      </c>
      <c r="M8191">
        <v>0.48884040000000001</v>
      </c>
      <c r="N8191">
        <v>0</v>
      </c>
      <c r="O8191">
        <v>0.87212489999999998</v>
      </c>
      <c r="P8191">
        <v>0.57079269999999904</v>
      </c>
      <c r="Q8191">
        <v>-2.0956220000000001E-2</v>
      </c>
      <c r="R8191">
        <v>0.82082679999999997</v>
      </c>
      <c r="S8191">
        <v>2.33223</v>
      </c>
      <c r="T8191">
        <v>-2.8944019999999998E-4</v>
      </c>
      <c r="U8191">
        <v>2.0382690000000001</v>
      </c>
      <c r="V8191">
        <v>9.6559389999999995E-2</v>
      </c>
      <c r="W8191">
        <v>-1.457376E-3</v>
      </c>
      <c r="X8191">
        <v>0.99532619999999905</v>
      </c>
      <c r="Y8191">
        <v>0.33506649999999999</v>
      </c>
      <c r="Z8191" s="1">
        <v>-8.9397080000000004E-5</v>
      </c>
      <c r="AA8191">
        <v>0.94219450000000005</v>
      </c>
      <c r="AB8191">
        <v>20</v>
      </c>
      <c r="AC8191">
        <v>30.555499999999899</v>
      </c>
      <c r="AD8191">
        <v>-3.8290000000000802E-3</v>
      </c>
      <c r="AE8191">
        <v>26.656700000000001</v>
      </c>
      <c r="AF8191">
        <v>13.6202909951732</v>
      </c>
      <c r="AG8191">
        <v>-3.8290000000000802E-3</v>
      </c>
      <c r="AH8191">
        <v>38.1930082479021</v>
      </c>
      <c r="AI8191">
        <v>90.005410386255306</v>
      </c>
      <c r="AJ8191">
        <v>70.372881556346798</v>
      </c>
      <c r="AK8191">
        <v>40.5489607817359</v>
      </c>
      <c r="AL8191">
        <v>90.083501520009193</v>
      </c>
      <c r="AM8191">
        <v>84.458915381007898</v>
      </c>
      <c r="AN8191">
        <v>1.0000000420741999</v>
      </c>
    </row>
    <row r="8192" spans="1:40" x14ac:dyDescent="0.25">
      <c r="A8192" t="str">
        <f>"20190312160846747"</f>
        <v>20190312160846747</v>
      </c>
      <c r="B8192" t="str">
        <f>"1552378126743509"</f>
        <v>1552378126743509</v>
      </c>
      <c r="C8192" t="s">
        <v>40</v>
      </c>
      <c r="D8192">
        <v>6.47424</v>
      </c>
      <c r="E8192">
        <v>0.59612359999999998</v>
      </c>
      <c r="F8192" t="s">
        <v>51</v>
      </c>
      <c r="G8192">
        <v>-149.88409999999999</v>
      </c>
      <c r="H8192">
        <v>1.1022700000000001</v>
      </c>
      <c r="I8192">
        <v>160.82249999999999</v>
      </c>
      <c r="J8192">
        <v>-180.6747</v>
      </c>
      <c r="K8192">
        <v>1.1054999999999999</v>
      </c>
      <c r="L8192">
        <v>134.25880000000001</v>
      </c>
      <c r="M8192">
        <v>0.49308679999999999</v>
      </c>
      <c r="N8192">
        <v>0</v>
      </c>
      <c r="O8192">
        <v>0.86973089999999997</v>
      </c>
      <c r="P8192">
        <v>0.57513199999999998</v>
      </c>
      <c r="Q8192">
        <v>-2.1248429999999999E-2</v>
      </c>
      <c r="R8192">
        <v>0.81778469999999903</v>
      </c>
      <c r="S8192">
        <v>2.343658</v>
      </c>
      <c r="T8192">
        <v>-2.4306769999999999E-4</v>
      </c>
      <c r="U8192">
        <v>2.025131</v>
      </c>
      <c r="V8192">
        <v>9.6977930000000004E-2</v>
      </c>
      <c r="W8192">
        <v>-1.7492919999999999E-3</v>
      </c>
      <c r="X8192">
        <v>0.99528499999999998</v>
      </c>
      <c r="Y8192">
        <v>0.3357694</v>
      </c>
      <c r="Z8192" s="1">
        <v>-7.4958660000000002E-5</v>
      </c>
      <c r="AA8192">
        <v>0.94194420000000001</v>
      </c>
      <c r="AB8192">
        <v>20</v>
      </c>
      <c r="AC8192">
        <v>30.790600000000001</v>
      </c>
      <c r="AD8192">
        <v>-3.2299999999998402E-3</v>
      </c>
      <c r="AE8192">
        <v>26.563699999999901</v>
      </c>
      <c r="AF8192">
        <v>13.684293200062999</v>
      </c>
      <c r="AG8192">
        <v>-3.2299999999998402E-3</v>
      </c>
      <c r="AH8192">
        <v>38.2940113437976</v>
      </c>
      <c r="AI8192">
        <v>90.004550906869198</v>
      </c>
      <c r="AJ8192">
        <v>70.335746002919507</v>
      </c>
      <c r="AK8192">
        <v>40.6656021179706</v>
      </c>
      <c r="AL8192">
        <v>90.1002270993433</v>
      </c>
      <c r="AM8192">
        <v>84.434818887077299</v>
      </c>
      <c r="AN8192">
        <v>1.0000000050772899</v>
      </c>
    </row>
    <row r="8193" spans="1:40" x14ac:dyDescent="0.25">
      <c r="A8193" t="str">
        <f>"20190312160846759"</f>
        <v>20190312160846759</v>
      </c>
      <c r="B8193" t="str">
        <f>"1552378126754245"</f>
        <v>1552378126754245</v>
      </c>
      <c r="C8193" t="s">
        <v>40</v>
      </c>
      <c r="D8193">
        <v>6.5251640000000002</v>
      </c>
      <c r="E8193">
        <v>0.59608539999999999</v>
      </c>
      <c r="F8193" t="s">
        <v>51</v>
      </c>
      <c r="G8193">
        <v>-149.6131</v>
      </c>
      <c r="H8193">
        <v>1.103588</v>
      </c>
      <c r="I8193">
        <v>160.82239999999999</v>
      </c>
      <c r="J8193">
        <v>-180.61949999999999</v>
      </c>
      <c r="K8193">
        <v>1.105497</v>
      </c>
      <c r="L8193">
        <v>134.34549999999999</v>
      </c>
      <c r="M8193">
        <v>0.49707079999999998</v>
      </c>
      <c r="N8193">
        <v>0</v>
      </c>
      <c r="O8193">
        <v>0.86746000000000001</v>
      </c>
      <c r="P8193">
        <v>0.57900699999999905</v>
      </c>
      <c r="Q8193">
        <v>-2.150821E-2</v>
      </c>
      <c r="R8193">
        <v>0.81503890000000001</v>
      </c>
      <c r="S8193">
        <v>2.3538670000000002</v>
      </c>
      <c r="T8193">
        <v>-1.4221669999999999E-4</v>
      </c>
      <c r="U8193">
        <v>2.0129999999999999</v>
      </c>
      <c r="V8193">
        <v>9.7136929999999996E-2</v>
      </c>
      <c r="W8193">
        <v>-2.0054679999999998E-3</v>
      </c>
      <c r="X8193">
        <v>0.99526899999999996</v>
      </c>
      <c r="Y8193">
        <v>0.33627010000000002</v>
      </c>
      <c r="Z8193" s="1">
        <v>-4.3793569999999998E-5</v>
      </c>
      <c r="AA8193">
        <v>0.94176559999999998</v>
      </c>
      <c r="AB8193">
        <v>20</v>
      </c>
      <c r="AC8193">
        <v>31.0063999999999</v>
      </c>
      <c r="AD8193">
        <v>-1.9089999999999301E-3</v>
      </c>
      <c r="AE8193">
        <v>26.476900000000001</v>
      </c>
      <c r="AF8193">
        <v>13.738897920992599</v>
      </c>
      <c r="AG8193">
        <v>-1.9089999999999301E-3</v>
      </c>
      <c r="AH8193">
        <v>38.388354369495701</v>
      </c>
      <c r="AI8193">
        <v>90.002682611501697</v>
      </c>
      <c r="AJ8193">
        <v>70.308100567496496</v>
      </c>
      <c r="AK8193">
        <v>40.772822700001001</v>
      </c>
      <c r="AL8193">
        <v>90.114904930093303</v>
      </c>
      <c r="AM8193">
        <v>84.425662876632501</v>
      </c>
      <c r="AN8193">
        <v>0.99999999371636195</v>
      </c>
    </row>
    <row r="8194" spans="1:40" x14ac:dyDescent="0.25">
      <c r="A8194" t="str">
        <f>"20190312160846771"</f>
        <v>20190312160846771</v>
      </c>
      <c r="B8194" t="str">
        <f>"1552378126764005"</f>
        <v>1552378126764005</v>
      </c>
      <c r="C8194" t="s">
        <v>40</v>
      </c>
      <c r="D8194">
        <v>6.5454280000000002</v>
      </c>
      <c r="E8194">
        <v>0.59606000000000003</v>
      </c>
      <c r="F8194" t="s">
        <v>51</v>
      </c>
      <c r="G8194">
        <v>-149.3639</v>
      </c>
      <c r="H8194">
        <v>1.099283</v>
      </c>
      <c r="I8194">
        <v>160.82230000000001</v>
      </c>
      <c r="J8194">
        <v>-180.55369999999999</v>
      </c>
      <c r="K8194">
        <v>1.1054980000000001</v>
      </c>
      <c r="L8194">
        <v>134.4477</v>
      </c>
      <c r="M8194">
        <v>0.5018106</v>
      </c>
      <c r="N8194">
        <v>0</v>
      </c>
      <c r="O8194">
        <v>0.86472649999999995</v>
      </c>
      <c r="P8194">
        <v>0.58369099999999996</v>
      </c>
      <c r="Q8194">
        <v>-2.1623940000000001E-2</v>
      </c>
      <c r="R8194">
        <v>0.81168790000000002</v>
      </c>
      <c r="S8194">
        <v>2.363235</v>
      </c>
      <c r="T8194">
        <v>-4.673004E-4</v>
      </c>
      <c r="U8194">
        <v>2.0019070000000001</v>
      </c>
      <c r="V8194">
        <v>9.7421720000000003E-2</v>
      </c>
      <c r="W8194">
        <v>-2.118329E-3</v>
      </c>
      <c r="X8194">
        <v>0.99524089999999998</v>
      </c>
      <c r="Y8194">
        <v>0.33553110000000003</v>
      </c>
      <c r="Z8194">
        <v>-1.4358179999999999E-4</v>
      </c>
      <c r="AA8194">
        <v>0.94202909999999995</v>
      </c>
      <c r="AB8194">
        <v>20</v>
      </c>
      <c r="AC8194">
        <v>31.189799999999899</v>
      </c>
      <c r="AD8194">
        <v>-6.2149999999998604E-3</v>
      </c>
      <c r="AE8194">
        <v>26.374600000000001</v>
      </c>
      <c r="AF8194">
        <v>13.7385754027279</v>
      </c>
      <c r="AG8194">
        <v>-6.2149999999998604E-3</v>
      </c>
      <c r="AH8194">
        <v>38.466538937771702</v>
      </c>
      <c r="AI8194">
        <v>90.008717875620803</v>
      </c>
      <c r="AJ8194">
        <v>70.345481386005702</v>
      </c>
      <c r="AK8194">
        <v>40.846335338360198</v>
      </c>
      <c r="AL8194">
        <v>90.121371406468995</v>
      </c>
      <c r="AM8194">
        <v>84.4092663463219</v>
      </c>
      <c r="AN8194">
        <v>0.99999996393915902</v>
      </c>
    </row>
    <row r="8195" spans="1:40" x14ac:dyDescent="0.25">
      <c r="A8195" t="str">
        <f>"20190312160846787"</f>
        <v>20190312160846787</v>
      </c>
      <c r="B8195" t="str">
        <f>"1552378126783526"</f>
        <v>1552378126783526</v>
      </c>
      <c r="C8195" t="s">
        <v>40</v>
      </c>
      <c r="D8195">
        <v>6.4995960000000004</v>
      </c>
      <c r="E8195">
        <v>0.59599269999999904</v>
      </c>
      <c r="F8195" t="s">
        <v>51</v>
      </c>
      <c r="G8195">
        <v>-149.05850000000001</v>
      </c>
      <c r="H8195">
        <v>1.105734</v>
      </c>
      <c r="I8195">
        <v>160.82220000000001</v>
      </c>
      <c r="J8195">
        <v>-180.47980000000001</v>
      </c>
      <c r="K8195">
        <v>1.1054999999999999</v>
      </c>
      <c r="L8195">
        <v>134.56049999999999</v>
      </c>
      <c r="M8195">
        <v>0.50711289999999998</v>
      </c>
      <c r="N8195">
        <v>0</v>
      </c>
      <c r="O8195">
        <v>0.86162759999999905</v>
      </c>
      <c r="P8195">
        <v>0.58875109999999997</v>
      </c>
      <c r="Q8195">
        <v>-2.1710989999999999E-2</v>
      </c>
      <c r="R8195">
        <v>0.80802280000000004</v>
      </c>
      <c r="S8195">
        <v>2.3745120000000002</v>
      </c>
      <c r="T8195" s="1">
        <v>2.0503999999999999E-5</v>
      </c>
      <c r="U8195">
        <v>1.9884489999999999</v>
      </c>
      <c r="V8195">
        <v>9.7526539999999995E-2</v>
      </c>
      <c r="W8195">
        <v>-2.1994639999999999E-3</v>
      </c>
      <c r="X8195">
        <v>0.99523050000000002</v>
      </c>
      <c r="Y8195">
        <v>0.33508480000000002</v>
      </c>
      <c r="Z8195" s="1">
        <v>6.2848350000000003E-6</v>
      </c>
      <c r="AA8195">
        <v>0.94218800000000003</v>
      </c>
      <c r="AB8195">
        <v>20</v>
      </c>
      <c r="AC8195">
        <v>31.421299999999999</v>
      </c>
      <c r="AD8195">
        <v>2.34000000000067E-4</v>
      </c>
      <c r="AE8195">
        <v>26.261700000000001</v>
      </c>
      <c r="AF8195">
        <v>13.7588010984327</v>
      </c>
      <c r="AG8195">
        <v>2.34000000000067E-4</v>
      </c>
      <c r="AH8195">
        <v>38.570330213834701</v>
      </c>
      <c r="AI8195">
        <v>89.999672602621104</v>
      </c>
      <c r="AJ8195">
        <v>70.367675383228601</v>
      </c>
      <c r="AK8195">
        <v>40.950884978535498</v>
      </c>
      <c r="AL8195">
        <v>90.126020105255705</v>
      </c>
      <c r="AM8195">
        <v>84.403231105040106</v>
      </c>
      <c r="AN8195">
        <v>1.0000000058882501</v>
      </c>
    </row>
    <row r="8196" spans="1:40" x14ac:dyDescent="0.25">
      <c r="A8196" t="str">
        <f>"20190312160846802"</f>
        <v>20190312160846802</v>
      </c>
      <c r="B8196" t="str">
        <f>"1552378126793285"</f>
        <v>1552378126793285</v>
      </c>
      <c r="C8196" t="s">
        <v>40</v>
      </c>
      <c r="D8196">
        <v>6.5488780000000002</v>
      </c>
      <c r="E8196">
        <v>0.59597579999999994</v>
      </c>
      <c r="F8196" t="s">
        <v>51</v>
      </c>
      <c r="G8196">
        <v>-148.73220000000001</v>
      </c>
      <c r="H8196">
        <v>1.118404</v>
      </c>
      <c r="I8196">
        <v>160.82210000000001</v>
      </c>
      <c r="J8196">
        <v>-180.4058</v>
      </c>
      <c r="K8196">
        <v>1.105504</v>
      </c>
      <c r="L8196">
        <v>134.672</v>
      </c>
      <c r="M8196">
        <v>0.51240299999999905</v>
      </c>
      <c r="N8196">
        <v>0</v>
      </c>
      <c r="O8196">
        <v>0.85849200000000003</v>
      </c>
      <c r="P8196">
        <v>0.59432739999999995</v>
      </c>
      <c r="Q8196">
        <v>-2.1984569999999998E-2</v>
      </c>
      <c r="R8196">
        <v>0.80392259999999904</v>
      </c>
      <c r="S8196">
        <v>2.386368</v>
      </c>
      <c r="T8196">
        <v>9.7274779999999999E-4</v>
      </c>
      <c r="U8196">
        <v>1.9739990000000001</v>
      </c>
      <c r="V8196">
        <v>9.8290939999999993E-2</v>
      </c>
      <c r="W8196">
        <v>-2.4772890000000001E-3</v>
      </c>
      <c r="X8196">
        <v>0.9951546</v>
      </c>
      <c r="Y8196">
        <v>0.33497549999999998</v>
      </c>
      <c r="Z8196">
        <v>2.9746900000000002E-4</v>
      </c>
      <c r="AA8196">
        <v>0.94222680000000003</v>
      </c>
      <c r="AB8196">
        <v>20</v>
      </c>
      <c r="AC8196">
        <v>31.6736</v>
      </c>
      <c r="AD8196">
        <v>1.2900000000000101E-2</v>
      </c>
      <c r="AE8196">
        <v>26.150099999999998</v>
      </c>
      <c r="AF8196">
        <v>13.795139525520201</v>
      </c>
      <c r="AG8196">
        <v>1.2900000000000101E-2</v>
      </c>
      <c r="AH8196">
        <v>38.687704243357103</v>
      </c>
      <c r="AI8196">
        <v>89.982005114790397</v>
      </c>
      <c r="AJ8196">
        <v>70.374942631569695</v>
      </c>
      <c r="AK8196">
        <v>41.073647276082603</v>
      </c>
      <c r="AL8196">
        <v>90.141938354924307</v>
      </c>
      <c r="AM8196">
        <v>84.359218734701003</v>
      </c>
      <c r="AN8196">
        <v>0.99999996187401496</v>
      </c>
    </row>
    <row r="8197" spans="1:40" x14ac:dyDescent="0.25">
      <c r="A8197" t="str">
        <f>"20190312160846815"</f>
        <v>20190312160846815</v>
      </c>
      <c r="B8197" t="str">
        <f>"1552378126804022"</f>
        <v>1552378126804022</v>
      </c>
      <c r="C8197" t="s">
        <v>40</v>
      </c>
      <c r="D8197">
        <v>6.4884550000000001</v>
      </c>
      <c r="E8197">
        <v>0.59594409999999998</v>
      </c>
      <c r="F8197" t="s">
        <v>51</v>
      </c>
      <c r="G8197">
        <v>-148.34639999999999</v>
      </c>
      <c r="H8197">
        <v>1.1205099999999999</v>
      </c>
      <c r="I8197">
        <v>160.8219</v>
      </c>
      <c r="J8197">
        <v>-180.3374</v>
      </c>
      <c r="K8197">
        <v>1.105505</v>
      </c>
      <c r="L8197">
        <v>134.7739</v>
      </c>
      <c r="M8197">
        <v>0.51727670000000003</v>
      </c>
      <c r="N8197">
        <v>0</v>
      </c>
      <c r="O8197">
        <v>0.85556409999999905</v>
      </c>
      <c r="P8197">
        <v>0.59898009999999902</v>
      </c>
      <c r="Q8197">
        <v>-2.2137420000000001E-2</v>
      </c>
      <c r="R8197">
        <v>0.80045790000000006</v>
      </c>
      <c r="S8197">
        <v>2.399918</v>
      </c>
      <c r="T8197">
        <v>1.1261699999999999E-3</v>
      </c>
      <c r="U8197">
        <v>1.9575499999999999</v>
      </c>
      <c r="V8197">
        <v>9.8403679999999993E-2</v>
      </c>
      <c r="W8197">
        <v>-2.625634E-3</v>
      </c>
      <c r="X8197">
        <v>0.99514309999999995</v>
      </c>
      <c r="Y8197">
        <v>0.33610060000000003</v>
      </c>
      <c r="Z8197">
        <v>3.4373919999999998E-4</v>
      </c>
      <c r="AA8197">
        <v>0.94182600000000005</v>
      </c>
      <c r="AB8197">
        <v>20</v>
      </c>
      <c r="AC8197">
        <v>31.991</v>
      </c>
      <c r="AD8197">
        <v>1.50050000000001E-2</v>
      </c>
      <c r="AE8197">
        <v>26.047999999999998</v>
      </c>
      <c r="AF8197">
        <v>13.899348450797399</v>
      </c>
      <c r="AG8197">
        <v>1.50050000000001E-2</v>
      </c>
      <c r="AH8197">
        <v>38.842374378291403</v>
      </c>
      <c r="AI8197">
        <v>89.979160428000995</v>
      </c>
      <c r="AJ8197">
        <v>70.310767789073395</v>
      </c>
      <c r="AK8197">
        <v>41.254359282990499</v>
      </c>
      <c r="AL8197">
        <v>90.150437922030306</v>
      </c>
      <c r="AM8197">
        <v>84.352725700790998</v>
      </c>
      <c r="AN8197">
        <v>0.99999998383452704</v>
      </c>
    </row>
    <row r="8198" spans="1:40" x14ac:dyDescent="0.25">
      <c r="A8198" t="str">
        <f>"20190312160846832"</f>
        <v>20190312160846832</v>
      </c>
      <c r="B8198" t="str">
        <f>"1552378126823546"</f>
        <v>1552378126823546</v>
      </c>
      <c r="C8198" t="s">
        <v>40</v>
      </c>
      <c r="D8198">
        <v>6.5535870000000003</v>
      </c>
      <c r="E8198">
        <v>0.5958523</v>
      </c>
      <c r="F8198" t="s">
        <v>51</v>
      </c>
      <c r="G8198">
        <v>-148.02940000000001</v>
      </c>
      <c r="H8198">
        <v>1.123758</v>
      </c>
      <c r="I8198">
        <v>160.8218</v>
      </c>
      <c r="J8198">
        <v>-180.25020000000001</v>
      </c>
      <c r="K8198">
        <v>1.105507</v>
      </c>
      <c r="L8198">
        <v>134.9015</v>
      </c>
      <c r="M8198">
        <v>0.52346619999999999</v>
      </c>
      <c r="N8198">
        <v>0</v>
      </c>
      <c r="O8198">
        <v>0.85179099999999996</v>
      </c>
      <c r="P8198">
        <v>0.60510600000000003</v>
      </c>
      <c r="Q8198">
        <v>-2.25472E-2</v>
      </c>
      <c r="R8198">
        <v>0.79582559999999902</v>
      </c>
      <c r="S8198">
        <v>2.4109500000000001</v>
      </c>
      <c r="T8198">
        <v>1.3643500000000001E-3</v>
      </c>
      <c r="U8198">
        <v>1.943802</v>
      </c>
      <c r="V8198">
        <v>9.8827209999999999E-2</v>
      </c>
      <c r="W8198">
        <v>-3.0341980000000001E-3</v>
      </c>
      <c r="X8198">
        <v>0.99509999999999998</v>
      </c>
      <c r="Y8198">
        <v>0.33463219999999999</v>
      </c>
      <c r="Z8198">
        <v>4.1507520000000001E-4</v>
      </c>
      <c r="AA8198">
        <v>0.94234870000000004</v>
      </c>
      <c r="AB8198">
        <v>20</v>
      </c>
      <c r="AC8198">
        <v>32.220799999999997</v>
      </c>
      <c r="AD8198">
        <v>1.8251E-2</v>
      </c>
      <c r="AE8198">
        <v>25.920300000000001</v>
      </c>
      <c r="AF8198">
        <v>13.880004630223601</v>
      </c>
      <c r="AG8198">
        <v>1.8251E-2</v>
      </c>
      <c r="AH8198">
        <v>38.953648224487999</v>
      </c>
      <c r="AI8198">
        <v>89.974712495245598</v>
      </c>
      <c r="AJ8198">
        <v>70.387946678021905</v>
      </c>
      <c r="AK8198">
        <v>41.352648907067497</v>
      </c>
      <c r="AL8198">
        <v>90.173847003419795</v>
      </c>
      <c r="AM8198">
        <v>84.328333879310605</v>
      </c>
      <c r="AN8198">
        <v>1.0000000168969401</v>
      </c>
    </row>
    <row r="8199" spans="1:40" x14ac:dyDescent="0.25">
      <c r="A8199" t="str">
        <f>"20190312160846845"</f>
        <v>20190312160846845</v>
      </c>
      <c r="B8199" t="str">
        <f>"1552378126834277"</f>
        <v>1552378126834277</v>
      </c>
      <c r="C8199" t="s">
        <v>40</v>
      </c>
      <c r="D8199">
        <v>6.4270009999999997</v>
      </c>
      <c r="E8199">
        <v>0.59599019999999903</v>
      </c>
      <c r="F8199" t="s">
        <v>51</v>
      </c>
      <c r="G8199">
        <v>-147.60499999999999</v>
      </c>
      <c r="H8199">
        <v>1.118258</v>
      </c>
      <c r="I8199">
        <v>160.82169999999999</v>
      </c>
      <c r="J8199">
        <v>-180.18440000000001</v>
      </c>
      <c r="K8199">
        <v>1.105513</v>
      </c>
      <c r="L8199">
        <v>134.99610000000001</v>
      </c>
      <c r="M8199">
        <v>0.52811109999999895</v>
      </c>
      <c r="N8199">
        <v>0</v>
      </c>
      <c r="O8199">
        <v>0.84891890000000003</v>
      </c>
      <c r="P8199">
        <v>0.60984479999999996</v>
      </c>
      <c r="Q8199">
        <v>-2.3013539999999999E-2</v>
      </c>
      <c r="R8199">
        <v>0.79218659999999996</v>
      </c>
      <c r="S8199">
        <v>2.425262</v>
      </c>
      <c r="T8199">
        <v>9.4997880000000003E-4</v>
      </c>
      <c r="U8199">
        <v>1.925659</v>
      </c>
      <c r="V8199">
        <v>9.933169E-2</v>
      </c>
      <c r="W8199">
        <v>-3.5023979999999999E-3</v>
      </c>
      <c r="X8199">
        <v>0.99504820000000005</v>
      </c>
      <c r="Y8199">
        <v>0.33651569999999997</v>
      </c>
      <c r="Z8199">
        <v>2.8855729999999999E-4</v>
      </c>
      <c r="AA8199">
        <v>0.94167780000000001</v>
      </c>
      <c r="AB8199">
        <v>20</v>
      </c>
      <c r="AC8199">
        <v>32.5794</v>
      </c>
      <c r="AD8199">
        <v>1.2744999999999999E-2</v>
      </c>
      <c r="AE8199">
        <v>25.825599999999898</v>
      </c>
      <c r="AF8199">
        <v>14.021533659795301</v>
      </c>
      <c r="AG8199">
        <v>1.2744999999999999E-2</v>
      </c>
      <c r="AH8199">
        <v>39.137899645704302</v>
      </c>
      <c r="AI8199">
        <v>89.982435207686905</v>
      </c>
      <c r="AJ8199">
        <v>70.289442465736698</v>
      </c>
      <c r="AK8199">
        <v>41.573774874132098</v>
      </c>
      <c r="AL8199">
        <v>90.200673036679703</v>
      </c>
      <c r="AM8199">
        <v>84.299277312356395</v>
      </c>
      <c r="AN8199">
        <v>0.99999998587662298</v>
      </c>
    </row>
    <row r="8200" spans="1:40" x14ac:dyDescent="0.25">
      <c r="A8200" t="str">
        <f>"20190312160846858"</f>
        <v>20190312160846858</v>
      </c>
      <c r="B8200" t="str">
        <f>"1552378126853797"</f>
        <v>1552378126853797</v>
      </c>
      <c r="C8200" t="s">
        <v>40</v>
      </c>
      <c r="D8200">
        <v>5.9052179999999996</v>
      </c>
      <c r="E8200">
        <v>0.64618180000000003</v>
      </c>
      <c r="F8200" t="s">
        <v>51</v>
      </c>
      <c r="G8200">
        <v>-147.233</v>
      </c>
      <c r="H8200">
        <v>1.1280349999999999</v>
      </c>
      <c r="I8200">
        <v>160.82159999999999</v>
      </c>
      <c r="J8200">
        <v>-180.1198</v>
      </c>
      <c r="K8200">
        <v>1.1055120000000001</v>
      </c>
      <c r="L8200">
        <v>135.0881</v>
      </c>
      <c r="M8200">
        <v>0.53265459999999998</v>
      </c>
      <c r="N8200">
        <v>0</v>
      </c>
      <c r="O8200">
        <v>0.84607540000000003</v>
      </c>
      <c r="P8200">
        <v>0.61433629999999995</v>
      </c>
      <c r="Q8200">
        <v>-2.3211559999999999E-2</v>
      </c>
      <c r="R8200">
        <v>0.78870280000000004</v>
      </c>
      <c r="S8200">
        <v>2.4376370000000001</v>
      </c>
      <c r="T8200">
        <v>1.668692E-3</v>
      </c>
      <c r="U8200">
        <v>1.9104920000000001</v>
      </c>
      <c r="V8200">
        <v>9.9651669999999998E-2</v>
      </c>
      <c r="W8200">
        <v>-3.6997359999999999E-3</v>
      </c>
      <c r="X8200">
        <v>0.99501550000000005</v>
      </c>
      <c r="Y8200">
        <v>0.33741840000000001</v>
      </c>
      <c r="Z8200">
        <v>5.058482E-4</v>
      </c>
      <c r="AA8200">
        <v>0.94135460000000004</v>
      </c>
      <c r="AB8200">
        <v>20</v>
      </c>
      <c r="AC8200">
        <v>32.886799999999901</v>
      </c>
      <c r="AD8200">
        <v>2.2523000000000001E-2</v>
      </c>
      <c r="AE8200">
        <v>25.7334999999999</v>
      </c>
      <c r="AF8200">
        <v>14.1207162913521</v>
      </c>
      <c r="AG8200">
        <v>2.2523000000000001E-2</v>
      </c>
      <c r="AH8200">
        <v>39.2983332132359</v>
      </c>
      <c r="AI8200">
        <v>89.969096599819196</v>
      </c>
      <c r="AJ8200">
        <v>70.235571584342196</v>
      </c>
      <c r="AK8200">
        <v>41.7582821630022</v>
      </c>
      <c r="AL8200">
        <v>90.2119797429187</v>
      </c>
      <c r="AM8200">
        <v>84.280848247753795</v>
      </c>
      <c r="AN8200">
        <v>0.99999999431025399</v>
      </c>
    </row>
    <row r="8201" spans="1:40" x14ac:dyDescent="0.25">
      <c r="A8201" t="str">
        <f>"20190312160846870"</f>
        <v>20190312160846870</v>
      </c>
      <c r="B8201" t="str">
        <f>"1552378126863557"</f>
        <v>1552378126863557</v>
      </c>
      <c r="C8201" t="s">
        <v>40</v>
      </c>
      <c r="D8201">
        <v>5.2824720000000003</v>
      </c>
      <c r="E8201">
        <v>0.64618180000000003</v>
      </c>
      <c r="F8201" t="s">
        <v>44</v>
      </c>
      <c r="G8201">
        <v>-179.54810000000001</v>
      </c>
      <c r="H8201">
        <v>1.199082</v>
      </c>
      <c r="I8201">
        <v>135.42949999999999</v>
      </c>
      <c r="J8201">
        <v>-180.0538</v>
      </c>
      <c r="K8201">
        <v>1.1055189999999999</v>
      </c>
      <c r="L8201">
        <v>135.18100000000001</v>
      </c>
      <c r="M8201">
        <v>0.53728009999999904</v>
      </c>
      <c r="N8201">
        <v>0</v>
      </c>
      <c r="O8201">
        <v>0.84314549999999999</v>
      </c>
      <c r="P8201">
        <v>0.61903379999999997</v>
      </c>
      <c r="Q8201">
        <v>-2.3383649999999999E-2</v>
      </c>
      <c r="R8201">
        <v>0.78501619999999905</v>
      </c>
      <c r="S8201">
        <v>2.773819</v>
      </c>
      <c r="T8201">
        <v>0.4539859</v>
      </c>
      <c r="U8201">
        <v>1.656509</v>
      </c>
      <c r="V8201">
        <v>0.10014290000000001</v>
      </c>
      <c r="W8201">
        <v>-3.8739640000000001E-3</v>
      </c>
      <c r="X8201">
        <v>0.99496549999999995</v>
      </c>
      <c r="Y8201">
        <v>0.43948870000000001</v>
      </c>
      <c r="Z8201">
        <v>0.1349687</v>
      </c>
      <c r="AA8201">
        <v>0.88805020000000001</v>
      </c>
      <c r="AB8201">
        <v>19</v>
      </c>
      <c r="AC8201">
        <v>0.50569999999999005</v>
      </c>
      <c r="AD8201">
        <v>9.3562999999999799E-2</v>
      </c>
      <c r="AE8201">
        <v>0.24849999999997799</v>
      </c>
      <c r="AF8201">
        <v>0.28506819402720401</v>
      </c>
      <c r="AG8201">
        <v>9.3562999999999799E-2</v>
      </c>
      <c r="AH8201">
        <v>0.46841348017871798</v>
      </c>
      <c r="AI8201">
        <v>80.316874963201002</v>
      </c>
      <c r="AJ8201">
        <v>58.676042538578599</v>
      </c>
      <c r="AK8201">
        <v>0.55626351545654196</v>
      </c>
      <c r="AL8201">
        <v>90.221962347456895</v>
      </c>
      <c r="AM8201">
        <v>84.252557243880403</v>
      </c>
      <c r="AN8201">
        <v>0.99999997710386601</v>
      </c>
    </row>
    <row r="8202" spans="1:40" x14ac:dyDescent="0.25">
      <c r="A8202" t="str">
        <f>"20190312160846882"</f>
        <v>20190312160846882</v>
      </c>
      <c r="B8202" t="str">
        <f>"1552378126873317"</f>
        <v>1552378126873317</v>
      </c>
      <c r="C8202" t="s">
        <v>40</v>
      </c>
      <c r="D8202">
        <v>5.7987919999999997</v>
      </c>
      <c r="E8202">
        <v>0.70045599999999997</v>
      </c>
      <c r="F8202" t="s">
        <v>44</v>
      </c>
      <c r="G8202">
        <v>-179.52420000000001</v>
      </c>
      <c r="H8202">
        <v>1.191897</v>
      </c>
      <c r="I8202">
        <v>135.49289999999999</v>
      </c>
      <c r="J8202">
        <v>-179.99850000000001</v>
      </c>
      <c r="K8202">
        <v>1.1055250000000001</v>
      </c>
      <c r="L8202">
        <v>135.2577</v>
      </c>
      <c r="M8202">
        <v>0.54114640000000003</v>
      </c>
      <c r="N8202">
        <v>0</v>
      </c>
      <c r="O8202">
        <v>0.84066919999999901</v>
      </c>
      <c r="P8202">
        <v>0.62306499999999998</v>
      </c>
      <c r="Q8202">
        <v>-2.3667029999999999E-2</v>
      </c>
      <c r="R8202">
        <v>0.78181199999999995</v>
      </c>
      <c r="S8202">
        <v>2.783585</v>
      </c>
      <c r="T8202">
        <v>0.45401059999999999</v>
      </c>
      <c r="U8202">
        <v>1.6400600000000001</v>
      </c>
      <c r="V8202">
        <v>0.1006944</v>
      </c>
      <c r="W8202">
        <v>-4.1614340000000003E-3</v>
      </c>
      <c r="X8202">
        <v>0.99490869999999998</v>
      </c>
      <c r="Y8202">
        <v>0.44064219999999998</v>
      </c>
      <c r="Z8202">
        <v>0.13481029999999999</v>
      </c>
      <c r="AA8202">
        <v>0.88750249999999997</v>
      </c>
      <c r="AB8202">
        <v>19</v>
      </c>
      <c r="AC8202">
        <v>0.474299999999999</v>
      </c>
      <c r="AD8202">
        <v>8.6371999999999893E-2</v>
      </c>
      <c r="AE8202">
        <v>0.235199999999991</v>
      </c>
      <c r="AF8202">
        <v>0.26447157989130599</v>
      </c>
      <c r="AG8202">
        <v>8.6371999999999893E-2</v>
      </c>
      <c r="AH8202">
        <v>0.44270678982779399</v>
      </c>
      <c r="AI8202">
        <v>80.491855491712698</v>
      </c>
      <c r="AJ8202">
        <v>59.146044080473601</v>
      </c>
      <c r="AK8202">
        <v>0.52287153366179195</v>
      </c>
      <c r="AL8202">
        <v>90.238433292978598</v>
      </c>
      <c r="AM8202">
        <v>84.220791283904802</v>
      </c>
      <c r="AN8202">
        <v>1.0000000005299901</v>
      </c>
    </row>
    <row r="8203" spans="1:40" x14ac:dyDescent="0.25">
      <c r="A8203" t="str">
        <f>"20190312160846899"</f>
        <v>20190312160846899</v>
      </c>
      <c r="B8203" t="str">
        <f>"1552378126893814"</f>
        <v>1552378126893814</v>
      </c>
      <c r="C8203" t="s">
        <v>40</v>
      </c>
      <c r="D8203">
        <v>4.059075</v>
      </c>
      <c r="E8203">
        <v>0.70248069999999996</v>
      </c>
      <c r="F8203" t="s">
        <v>51</v>
      </c>
      <c r="G8203">
        <v>-123.5626</v>
      </c>
      <c r="H8203">
        <v>14.344659999999999</v>
      </c>
      <c r="I8203">
        <v>159.72790000000001</v>
      </c>
      <c r="J8203">
        <v>-179.90770000000001</v>
      </c>
      <c r="K8203">
        <v>1.1055330000000001</v>
      </c>
      <c r="L8203">
        <v>135.38210000000001</v>
      </c>
      <c r="M8203">
        <v>0.54745769999999905</v>
      </c>
      <c r="N8203">
        <v>0</v>
      </c>
      <c r="O8203">
        <v>0.83657280000000001</v>
      </c>
      <c r="P8203">
        <v>0.62937589999999999</v>
      </c>
      <c r="Q8203">
        <v>-2.3647520000000002E-2</v>
      </c>
      <c r="R8203">
        <v>0.77674109999999996</v>
      </c>
      <c r="S8203">
        <v>3.136444</v>
      </c>
      <c r="T8203">
        <v>0.73577060000000005</v>
      </c>
      <c r="U8203">
        <v>1.3599399999999999</v>
      </c>
      <c r="V8203">
        <v>0.10126400000000001</v>
      </c>
      <c r="W8203">
        <v>-4.1437419999999997E-3</v>
      </c>
      <c r="X8203">
        <v>0.99485100000000004</v>
      </c>
      <c r="Y8203">
        <v>0.52639029999999998</v>
      </c>
      <c r="Z8203">
        <v>0.21015500000000001</v>
      </c>
      <c r="AA8203">
        <v>0.82386170000000003</v>
      </c>
      <c r="AB8203">
        <v>19</v>
      </c>
      <c r="AC8203">
        <v>56.345100000000002</v>
      </c>
      <c r="AD8203">
        <v>13.239127</v>
      </c>
      <c r="AE8203">
        <v>24.345800000000001</v>
      </c>
      <c r="AF8203">
        <v>32.312580372127201</v>
      </c>
      <c r="AG8203">
        <v>13.239127</v>
      </c>
      <c r="AH8203">
        <v>48.947578243053997</v>
      </c>
      <c r="AI8203">
        <v>77.280014868750101</v>
      </c>
      <c r="AJ8203">
        <v>56.569335845845998</v>
      </c>
      <c r="AK8203">
        <v>60.126888742784601</v>
      </c>
      <c r="AL8203">
        <v>90.237419597878201</v>
      </c>
      <c r="AM8203">
        <v>84.187988307489405</v>
      </c>
      <c r="AN8203">
        <v>1.0000000402473801</v>
      </c>
    </row>
    <row r="8204" spans="1:40" x14ac:dyDescent="0.25">
      <c r="A8204" t="str">
        <f>"20190312160846913"</f>
        <v>20190312160846913</v>
      </c>
      <c r="B8204" t="str">
        <f>"1552378126903574"</f>
        <v>1552378126903574</v>
      </c>
      <c r="C8204" t="s">
        <v>40</v>
      </c>
      <c r="D8204">
        <v>5.3526680000000004</v>
      </c>
      <c r="E8204">
        <v>0.70248069999999996</v>
      </c>
      <c r="F8204" t="s">
        <v>51</v>
      </c>
      <c r="G8204">
        <v>-121.2097</v>
      </c>
      <c r="H8204">
        <v>14.931559999999999</v>
      </c>
      <c r="I8204">
        <v>159.99529999999999</v>
      </c>
      <c r="J8204">
        <v>-179.83789999999999</v>
      </c>
      <c r="K8204">
        <v>1.1055440000000001</v>
      </c>
      <c r="L8204">
        <v>135.47669999999999</v>
      </c>
      <c r="M8204">
        <v>0.55229980000000001</v>
      </c>
      <c r="N8204">
        <v>0</v>
      </c>
      <c r="O8204">
        <v>0.83338389999999996</v>
      </c>
      <c r="P8204">
        <v>0.63407690000000005</v>
      </c>
      <c r="Q8204">
        <v>-2.3898530000000001E-2</v>
      </c>
      <c r="R8204">
        <v>0.77290059999999905</v>
      </c>
      <c r="S8204">
        <v>3.1595149999999999</v>
      </c>
      <c r="T8204">
        <v>0.74420909999999996</v>
      </c>
      <c r="U8204">
        <v>1.3248439999999999</v>
      </c>
      <c r="V8204">
        <v>0.1015315</v>
      </c>
      <c r="W8204">
        <v>-4.3938850000000002E-3</v>
      </c>
      <c r="X8204">
        <v>0.9948226</v>
      </c>
      <c r="Y8204">
        <v>0.53100380000000003</v>
      </c>
      <c r="Z8204">
        <v>0.2120302</v>
      </c>
      <c r="AA8204">
        <v>0.82041339999999996</v>
      </c>
      <c r="AB8204">
        <v>19</v>
      </c>
      <c r="AC8204">
        <v>58.6281999999999</v>
      </c>
      <c r="AD8204">
        <v>13.826015999999999</v>
      </c>
      <c r="AE8204">
        <v>24.5185999999999</v>
      </c>
      <c r="AF8204">
        <v>33.729310785580601</v>
      </c>
      <c r="AG8204">
        <v>13.826015999999999</v>
      </c>
      <c r="AH8204">
        <v>50.437802013745397</v>
      </c>
      <c r="AI8204">
        <v>77.163502254732194</v>
      </c>
      <c r="AJ8204">
        <v>56.2281346174749</v>
      </c>
      <c r="AK8204">
        <v>62.231800524171803</v>
      </c>
      <c r="AL8204">
        <v>90.251751881622297</v>
      </c>
      <c r="AM8204">
        <v>84.172575545446804</v>
      </c>
      <c r="AN8204">
        <v>0.99999997859420098</v>
      </c>
    </row>
    <row r="8205" spans="1:40" x14ac:dyDescent="0.25">
      <c r="A8205" t="str">
        <f>"20190312160846925"</f>
        <v>20190312160846925</v>
      </c>
      <c r="B8205" t="str">
        <f>"1552378126913334"</f>
        <v>1552378126913334</v>
      </c>
      <c r="C8205" t="s">
        <v>40</v>
      </c>
      <c r="D8205">
        <v>4.5814110000000001</v>
      </c>
      <c r="E8205">
        <v>0.70256209999999997</v>
      </c>
      <c r="F8205" t="s">
        <v>44</v>
      </c>
      <c r="G8205">
        <v>-179.3202</v>
      </c>
      <c r="H8205">
        <v>1.2271529999999999</v>
      </c>
      <c r="I8205">
        <v>135.6902</v>
      </c>
      <c r="J8205">
        <v>-179.7774</v>
      </c>
      <c r="K8205">
        <v>1.1055520000000001</v>
      </c>
      <c r="L8205">
        <v>135.55699999999999</v>
      </c>
      <c r="M8205">
        <v>0.55646879999999999</v>
      </c>
      <c r="N8205">
        <v>0</v>
      </c>
      <c r="O8205">
        <v>0.83060590000000001</v>
      </c>
      <c r="P8205">
        <v>0.63818730000000001</v>
      </c>
      <c r="Q8205">
        <v>-2.4053769999999999E-2</v>
      </c>
      <c r="R8205">
        <v>0.76950529999999995</v>
      </c>
      <c r="S8205">
        <v>3.167465</v>
      </c>
      <c r="T8205">
        <v>0.74406229999999995</v>
      </c>
      <c r="U8205">
        <v>1.3059540000000001</v>
      </c>
      <c r="V8205">
        <v>0.1018496</v>
      </c>
      <c r="W8205">
        <v>-4.5495479999999996E-3</v>
      </c>
      <c r="X8205">
        <v>0.99478940000000005</v>
      </c>
      <c r="Y8205">
        <v>0.531752</v>
      </c>
      <c r="Z8205">
        <v>0.2117222</v>
      </c>
      <c r="AA8205">
        <v>0.82000830000000002</v>
      </c>
      <c r="AB8205">
        <v>19</v>
      </c>
      <c r="AC8205">
        <v>0.4572</v>
      </c>
      <c r="AD8205">
        <v>0.121601</v>
      </c>
      <c r="AE8205">
        <v>0.13319999999998799</v>
      </c>
      <c r="AF8205">
        <v>0.28698520149905699</v>
      </c>
      <c r="AG8205">
        <v>0.121601</v>
      </c>
      <c r="AH8205">
        <v>0.34278275768061001</v>
      </c>
      <c r="AI8205">
        <v>74.783515225497496</v>
      </c>
      <c r="AJ8205">
        <v>50.063195465820399</v>
      </c>
      <c r="AK8205">
        <v>0.463300472742667</v>
      </c>
      <c r="AL8205">
        <v>90.260670799676305</v>
      </c>
      <c r="AM8205">
        <v>84.154250617598606</v>
      </c>
      <c r="AN8205">
        <v>0.99999999487976199</v>
      </c>
    </row>
    <row r="8206" spans="1:40" x14ac:dyDescent="0.25">
      <c r="A8206" t="str">
        <f>"20190312160846936"</f>
        <v>20190312160846936</v>
      </c>
      <c r="B8206" t="str">
        <f>"1552378126933829"</f>
        <v>1552378126933829</v>
      </c>
      <c r="C8206" t="s">
        <v>40</v>
      </c>
      <c r="D8206">
        <v>5.9064540000000001</v>
      </c>
      <c r="E8206">
        <v>0.70044050000000002</v>
      </c>
      <c r="F8206" t="s">
        <v>44</v>
      </c>
      <c r="G8206">
        <v>-179.17920000000001</v>
      </c>
      <c r="H8206">
        <v>1.245825</v>
      </c>
      <c r="I8206">
        <v>135.7997</v>
      </c>
      <c r="J8206">
        <v>-179.71449999999999</v>
      </c>
      <c r="K8206">
        <v>1.1055619999999999</v>
      </c>
      <c r="L8206">
        <v>135.64009999999999</v>
      </c>
      <c r="M8206">
        <v>0.56079159999999995</v>
      </c>
      <c r="N8206">
        <v>0</v>
      </c>
      <c r="O8206">
        <v>0.82769349999999997</v>
      </c>
      <c r="P8206">
        <v>0.64239299999999999</v>
      </c>
      <c r="Q8206">
        <v>-2.441287E-2</v>
      </c>
      <c r="R8206">
        <v>0.76598650000000001</v>
      </c>
      <c r="S8206">
        <v>3.175049</v>
      </c>
      <c r="T8206">
        <v>0.74461790000000005</v>
      </c>
      <c r="U8206">
        <v>1.2886660000000001</v>
      </c>
      <c r="V8206">
        <v>0.1021146</v>
      </c>
      <c r="W8206">
        <v>-4.9082220000000003E-3</v>
      </c>
      <c r="X8206">
        <v>0.99476050000000005</v>
      </c>
      <c r="Y8206">
        <v>0.53191309999999903</v>
      </c>
      <c r="Z8206">
        <v>0.21152019999999999</v>
      </c>
      <c r="AA8206">
        <v>0.81995589999999996</v>
      </c>
      <c r="AB8206">
        <v>19</v>
      </c>
      <c r="AC8206">
        <v>0.53529999999997802</v>
      </c>
      <c r="AD8206">
        <v>0.140262999999999</v>
      </c>
      <c r="AE8206">
        <v>0.15960000000001101</v>
      </c>
      <c r="AF8206">
        <v>0.33266367100845701</v>
      </c>
      <c r="AG8206">
        <v>0.140262999999999</v>
      </c>
      <c r="AH8206">
        <v>0.40673975953686903</v>
      </c>
      <c r="AI8206">
        <v>75.054146269594</v>
      </c>
      <c r="AJ8206">
        <v>50.721007609494997</v>
      </c>
      <c r="AK8206">
        <v>0.54385297568914104</v>
      </c>
      <c r="AL8206">
        <v>90.281221543860497</v>
      </c>
      <c r="AM8206">
        <v>84.138977360300103</v>
      </c>
      <c r="AN8206">
        <v>0.99999996726830498</v>
      </c>
    </row>
    <row r="8207" spans="1:40" x14ac:dyDescent="0.25">
      <c r="A8207" t="str">
        <f>"20190312160846949"</f>
        <v>20190312160846949</v>
      </c>
      <c r="B8207" t="str">
        <f>"1552378126943589"</f>
        <v>1552378126943589</v>
      </c>
      <c r="C8207" t="s">
        <v>40</v>
      </c>
      <c r="D8207">
        <v>5.963851</v>
      </c>
      <c r="E8207">
        <v>0.69967239999999997</v>
      </c>
      <c r="F8207" t="s">
        <v>51</v>
      </c>
      <c r="G8207">
        <v>-119.5123</v>
      </c>
      <c r="H8207">
        <v>15.047180000000001</v>
      </c>
      <c r="I8207">
        <v>159.99469999999999</v>
      </c>
      <c r="J8207">
        <v>-179.65110000000001</v>
      </c>
      <c r="K8207">
        <v>1.105569</v>
      </c>
      <c r="L8207">
        <v>135.7225</v>
      </c>
      <c r="M8207">
        <v>0.56512980000000002</v>
      </c>
      <c r="N8207">
        <v>0</v>
      </c>
      <c r="O8207">
        <v>0.82473739999999995</v>
      </c>
      <c r="P8207">
        <v>0.64655810000000002</v>
      </c>
      <c r="Q8207">
        <v>-2.4447449999999999E-2</v>
      </c>
      <c r="R8207">
        <v>0.76247299999999996</v>
      </c>
      <c r="S8207">
        <v>3.1691590000000001</v>
      </c>
      <c r="T8207">
        <v>0.7339154</v>
      </c>
      <c r="U8207">
        <v>1.2820739999999999</v>
      </c>
      <c r="V8207">
        <v>0.1023131</v>
      </c>
      <c r="W8207">
        <v>-4.9415830000000003E-3</v>
      </c>
      <c r="X8207">
        <v>0.99473990000000001</v>
      </c>
      <c r="Y8207">
        <v>0.52909700000000004</v>
      </c>
      <c r="Z8207">
        <v>0.20847779999999999</v>
      </c>
      <c r="AA8207">
        <v>0.82255299999999998</v>
      </c>
      <c r="AB8207">
        <v>19</v>
      </c>
      <c r="AC8207">
        <v>60.138800000000003</v>
      </c>
      <c r="AD8207">
        <v>13.9416109999999</v>
      </c>
      <c r="AE8207">
        <v>24.272200000000002</v>
      </c>
      <c r="AF8207">
        <v>34.304263077248699</v>
      </c>
      <c r="AG8207">
        <v>13.9416109999999</v>
      </c>
      <c r="AH8207">
        <v>51.630161886179302</v>
      </c>
      <c r="AI8207">
        <v>77.324532116121702</v>
      </c>
      <c r="AJ8207">
        <v>56.3990256928302</v>
      </c>
      <c r="AK8207">
        <v>63.536010253568001</v>
      </c>
      <c r="AL8207">
        <v>90.2831330223935</v>
      </c>
      <c r="AM8207">
        <v>84.127542934257306</v>
      </c>
      <c r="AN8207">
        <v>0.99999992916308</v>
      </c>
    </row>
    <row r="8208" spans="1:40" x14ac:dyDescent="0.25">
      <c r="A8208" t="str">
        <f>"20190312160846961"</f>
        <v>20190312160846961</v>
      </c>
      <c r="B8208" t="str">
        <f>"1552378126953349"</f>
        <v>1552378126953349</v>
      </c>
      <c r="C8208" t="s">
        <v>40</v>
      </c>
      <c r="D8208">
        <v>4.4716550000000002</v>
      </c>
      <c r="E8208">
        <v>0.69967239999999997</v>
      </c>
      <c r="F8208" t="s">
        <v>44</v>
      </c>
      <c r="G8208">
        <v>-179.09520000000001</v>
      </c>
      <c r="H8208">
        <v>1.2335119999999999</v>
      </c>
      <c r="I8208">
        <v>135.94499999999999</v>
      </c>
      <c r="J8208">
        <v>-179.59289999999999</v>
      </c>
      <c r="K8208">
        <v>1.105577</v>
      </c>
      <c r="L8208">
        <v>135.79750000000001</v>
      </c>
      <c r="M8208">
        <v>0.56910260000000001</v>
      </c>
      <c r="N8208">
        <v>0</v>
      </c>
      <c r="O8208">
        <v>0.82200099999999998</v>
      </c>
      <c r="P8208">
        <v>0.6503544</v>
      </c>
      <c r="Q8208">
        <v>-2.4687250000000001E-2</v>
      </c>
      <c r="R8208">
        <v>0.75922970000000001</v>
      </c>
      <c r="S8208">
        <v>3.1712189999999998</v>
      </c>
      <c r="T8208">
        <v>0.72976529999999995</v>
      </c>
      <c r="U8208">
        <v>1.268875</v>
      </c>
      <c r="V8208">
        <v>0.1024781</v>
      </c>
      <c r="W8208">
        <v>-5.1801859999999998E-3</v>
      </c>
      <c r="X8208">
        <v>0.99472179999999999</v>
      </c>
      <c r="Y8208">
        <v>0.52844789999999997</v>
      </c>
      <c r="Z8208">
        <v>0.20713999999999999</v>
      </c>
      <c r="AA8208">
        <v>0.82330789999999998</v>
      </c>
      <c r="AB8208">
        <v>19</v>
      </c>
      <c r="AC8208">
        <v>0.49769999999997999</v>
      </c>
      <c r="AD8208">
        <v>0.12793499999999999</v>
      </c>
      <c r="AE8208">
        <v>0.14749999999997901</v>
      </c>
      <c r="AF8208">
        <v>0.30661421436542602</v>
      </c>
      <c r="AG8208">
        <v>0.12793499999999999</v>
      </c>
      <c r="AH8208">
        <v>0.38140869091004898</v>
      </c>
      <c r="AI8208">
        <v>75.349229766478999</v>
      </c>
      <c r="AJ8208">
        <v>51.204219755487799</v>
      </c>
      <c r="AK8208">
        <v>0.50581837667056495</v>
      </c>
      <c r="AL8208">
        <v>90.296804114208001</v>
      </c>
      <c r="AM8208">
        <v>84.118032510241605</v>
      </c>
      <c r="AN8208">
        <v>1.00000002735092</v>
      </c>
    </row>
    <row r="8209" spans="1:40" x14ac:dyDescent="0.25">
      <c r="A8209" t="str">
        <f>"20190312160846971"</f>
        <v>20190312160846971</v>
      </c>
      <c r="B8209" t="str">
        <f>"1552378126964085"</f>
        <v>1552378126964085</v>
      </c>
      <c r="C8209" t="s">
        <v>40</v>
      </c>
      <c r="D8209">
        <v>5.9130529999999997</v>
      </c>
      <c r="E8209">
        <v>0.69794319999999999</v>
      </c>
      <c r="F8209" t="s">
        <v>117</v>
      </c>
      <c r="G8209">
        <v>-105.0911</v>
      </c>
      <c r="H8209">
        <v>18.202179999999998</v>
      </c>
      <c r="I8209">
        <v>165.17959999999999</v>
      </c>
      <c r="J8209">
        <v>-179.53059999999999</v>
      </c>
      <c r="K8209">
        <v>1.105588</v>
      </c>
      <c r="L8209">
        <v>135.87700000000001</v>
      </c>
      <c r="M8209">
        <v>0.57333009999999995</v>
      </c>
      <c r="N8209">
        <v>0</v>
      </c>
      <c r="O8209">
        <v>0.81905799999999995</v>
      </c>
      <c r="P8209">
        <v>0.65438509999999905</v>
      </c>
      <c r="Q8209">
        <v>-2.5102139999999998E-2</v>
      </c>
      <c r="R8209">
        <v>0.75574459999999999</v>
      </c>
      <c r="S8209">
        <v>3.1775669999999998</v>
      </c>
      <c r="T8209">
        <v>0.72918559999999999</v>
      </c>
      <c r="U8209">
        <v>1.253174</v>
      </c>
      <c r="V8209">
        <v>0.1026492</v>
      </c>
      <c r="W8209">
        <v>-5.5938159999999997E-3</v>
      </c>
      <c r="X8209">
        <v>0.99470190000000003</v>
      </c>
      <c r="Y8209">
        <v>0.5282848</v>
      </c>
      <c r="Z8209">
        <v>0.20661280000000001</v>
      </c>
      <c r="AA8209">
        <v>0.82354499999999997</v>
      </c>
      <c r="AB8209">
        <v>19</v>
      </c>
      <c r="AC8209">
        <v>74.439499999999995</v>
      </c>
      <c r="AD8209">
        <v>17.096591999999902</v>
      </c>
      <c r="AE8209">
        <v>29.302599999999899</v>
      </c>
      <c r="AF8209">
        <v>42.250211752883999</v>
      </c>
      <c r="AG8209">
        <v>17.096591999999902</v>
      </c>
      <c r="AH8209">
        <v>63.780530213788701</v>
      </c>
      <c r="AI8209">
        <v>77.403090547872793</v>
      </c>
      <c r="AJ8209">
        <v>56.478267266422598</v>
      </c>
      <c r="AK8209">
        <v>78.392154489655596</v>
      </c>
      <c r="AL8209">
        <v>90.320503716626902</v>
      </c>
      <c r="AM8209">
        <v>84.108163815595304</v>
      </c>
      <c r="AN8209">
        <v>1.0000000094508401</v>
      </c>
    </row>
    <row r="8210" spans="1:40" x14ac:dyDescent="0.25">
      <c r="A8210" t="str">
        <f>"20190312160846985"</f>
        <v>20190312160846985</v>
      </c>
      <c r="B8210" t="str">
        <f>"1552378126973845"</f>
        <v>1552378126973845</v>
      </c>
      <c r="C8210" t="s">
        <v>40</v>
      </c>
      <c r="D8210">
        <v>6.3641100000000002</v>
      </c>
      <c r="E8210">
        <v>0.69947399999999904</v>
      </c>
      <c r="F8210" t="s">
        <v>44</v>
      </c>
      <c r="G8210">
        <v>-179.0033</v>
      </c>
      <c r="H8210">
        <v>1.2259439999999999</v>
      </c>
      <c r="I8210">
        <v>136.0838</v>
      </c>
      <c r="J8210">
        <v>-179.4631</v>
      </c>
      <c r="K8210">
        <v>1.105607</v>
      </c>
      <c r="L8210">
        <v>135.96170000000001</v>
      </c>
      <c r="M8210">
        <v>0.57789939999999995</v>
      </c>
      <c r="N8210">
        <v>0</v>
      </c>
      <c r="O8210">
        <v>0.81584049999999997</v>
      </c>
      <c r="P8210">
        <v>0.65859609999999902</v>
      </c>
      <c r="Q8210">
        <v>-2.5249089999999998E-2</v>
      </c>
      <c r="R8210">
        <v>0.75207290000000004</v>
      </c>
      <c r="S8210">
        <v>3.1738430000000002</v>
      </c>
      <c r="T8210">
        <v>0.72434180000000004</v>
      </c>
      <c r="U8210">
        <v>1.2454379999999901</v>
      </c>
      <c r="V8210">
        <v>0.1026461</v>
      </c>
      <c r="W8210">
        <v>-5.7367709999999999E-3</v>
      </c>
      <c r="X8210">
        <v>0.99470139999999996</v>
      </c>
      <c r="Y8210">
        <v>0.52530120000000002</v>
      </c>
      <c r="Z8210">
        <v>0.2050295</v>
      </c>
      <c r="AA8210">
        <v>0.82584599999999897</v>
      </c>
      <c r="AB8210">
        <v>19</v>
      </c>
      <c r="AC8210">
        <v>0.45980000000000099</v>
      </c>
      <c r="AD8210">
        <v>0.120337</v>
      </c>
      <c r="AE8210">
        <v>0.122099999999989</v>
      </c>
      <c r="AF8210">
        <v>0.28630941521037501</v>
      </c>
      <c r="AG8210">
        <v>0.120337</v>
      </c>
      <c r="AH8210">
        <v>0.34343774724904402</v>
      </c>
      <c r="AI8210">
        <v>74.936691507034197</v>
      </c>
      <c r="AJ8210">
        <v>50.183473110977801</v>
      </c>
      <c r="AK8210">
        <v>0.46303732143597798</v>
      </c>
      <c r="AL8210">
        <v>90.328694568028595</v>
      </c>
      <c r="AM8210">
        <v>84.108337556371495</v>
      </c>
      <c r="AN8210">
        <v>1.00000000377433</v>
      </c>
    </row>
    <row r="8211" spans="1:40" x14ac:dyDescent="0.25">
      <c r="A8211" t="str">
        <f>"20190312160847002"</f>
        <v>20190312160847002</v>
      </c>
      <c r="B8211" t="str">
        <f>"1552378126993365"</f>
        <v>1552378126993365</v>
      </c>
      <c r="C8211" t="s">
        <v>40</v>
      </c>
      <c r="D8211">
        <v>5.9566330000000001</v>
      </c>
      <c r="E8211">
        <v>0.69658569999999997</v>
      </c>
      <c r="F8211" t="s">
        <v>44</v>
      </c>
      <c r="G8211">
        <v>-178.8665</v>
      </c>
      <c r="H8211">
        <v>1.2420869999999999</v>
      </c>
      <c r="I8211">
        <v>136.18989999999999</v>
      </c>
      <c r="J8211">
        <v>-179.3783</v>
      </c>
      <c r="K8211">
        <v>1.105621</v>
      </c>
      <c r="L8211">
        <v>136.06700000000001</v>
      </c>
      <c r="M8211">
        <v>0.58361149999999995</v>
      </c>
      <c r="N8211">
        <v>0</v>
      </c>
      <c r="O8211">
        <v>0.81176409999999999</v>
      </c>
      <c r="P8211">
        <v>0.66401279999999996</v>
      </c>
      <c r="Q8211">
        <v>-2.5498E-2</v>
      </c>
      <c r="R8211">
        <v>0.74728640000000002</v>
      </c>
      <c r="S8211">
        <v>3.19014</v>
      </c>
      <c r="T8211">
        <v>0.72966830000000005</v>
      </c>
      <c r="U8211">
        <v>1.2198180000000001</v>
      </c>
      <c r="V8211">
        <v>0.10285329999999999</v>
      </c>
      <c r="W8211">
        <v>-5.9839280000000003E-3</v>
      </c>
      <c r="X8211">
        <v>0.99467859999999997</v>
      </c>
      <c r="Y8211">
        <v>0.52638390000000002</v>
      </c>
      <c r="Z8211">
        <v>0.20573530000000001</v>
      </c>
      <c r="AA8211">
        <v>0.82498059999999995</v>
      </c>
      <c r="AB8211">
        <v>19</v>
      </c>
      <c r="AC8211">
        <v>0.51179999999999304</v>
      </c>
      <c r="AD8211">
        <v>0.136466</v>
      </c>
      <c r="AE8211">
        <v>0.12289999999998701</v>
      </c>
      <c r="AF8211">
        <v>0.32215473410254197</v>
      </c>
      <c r="AG8211">
        <v>0.136466</v>
      </c>
      <c r="AH8211">
        <v>0.37344227994796098</v>
      </c>
      <c r="AI8211">
        <v>74.533392983869106</v>
      </c>
      <c r="AJ8211">
        <v>49.216884396573299</v>
      </c>
      <c r="AK8211">
        <v>0.51172822700473597</v>
      </c>
      <c r="AL8211">
        <v>90.342855843857606</v>
      </c>
      <c r="AM8211">
        <v>84.096394273427904</v>
      </c>
      <c r="AN8211">
        <v>1.00000006300657</v>
      </c>
    </row>
    <row r="8212" spans="1:40" x14ac:dyDescent="0.25">
      <c r="A8212" t="str">
        <f>"20190312160847017"</f>
        <v>20190312160847017</v>
      </c>
      <c r="B8212" t="str">
        <f>"1552378127013861"</f>
        <v>1552378127013861</v>
      </c>
      <c r="C8212" t="s">
        <v>40</v>
      </c>
      <c r="D8212">
        <v>5.9771710000000002</v>
      </c>
      <c r="E8212">
        <v>0.69283059999999996</v>
      </c>
      <c r="F8212" t="s">
        <v>44</v>
      </c>
      <c r="G8212">
        <v>-178.74709999999999</v>
      </c>
      <c r="H8212">
        <v>1.2472970000000001</v>
      </c>
      <c r="I8212">
        <v>136.3073</v>
      </c>
      <c r="J8212">
        <v>-179.2927</v>
      </c>
      <c r="K8212">
        <v>1.1056440000000001</v>
      </c>
      <c r="L8212">
        <v>136.17169999999999</v>
      </c>
      <c r="M8212">
        <v>0.58934280000000006</v>
      </c>
      <c r="N8212">
        <v>0</v>
      </c>
      <c r="O8212">
        <v>0.80761280000000002</v>
      </c>
      <c r="P8212">
        <v>0.66935409999999995</v>
      </c>
      <c r="Q8212">
        <v>-2.550171E-2</v>
      </c>
      <c r="R8212">
        <v>0.74250579999999999</v>
      </c>
      <c r="S8212">
        <v>3.1816559999999998</v>
      </c>
      <c r="T8212">
        <v>0.71418890000000002</v>
      </c>
      <c r="U8212">
        <v>1.2117610000000001</v>
      </c>
      <c r="V8212">
        <v>0.1029451</v>
      </c>
      <c r="W8212">
        <v>-5.9842460000000004E-3</v>
      </c>
      <c r="X8212">
        <v>0.99466900000000003</v>
      </c>
      <c r="Y8212">
        <v>0.52245269999999999</v>
      </c>
      <c r="Z8212">
        <v>0.20130509999999999</v>
      </c>
      <c r="AA8212">
        <v>0.82856459999999998</v>
      </c>
      <c r="AB8212">
        <v>18</v>
      </c>
      <c r="AC8212">
        <v>0.54560000000000697</v>
      </c>
      <c r="AD8212">
        <v>0.141652999999999</v>
      </c>
      <c r="AE8212">
        <v>0.13560000000000999</v>
      </c>
      <c r="AF8212">
        <v>0.33925946643368998</v>
      </c>
      <c r="AG8212">
        <v>0.141652999999999</v>
      </c>
      <c r="AH8212">
        <v>0.40541405478240899</v>
      </c>
      <c r="AI8212">
        <v>74.999491828507303</v>
      </c>
      <c r="AJ8212">
        <v>50.076660180143101</v>
      </c>
      <c r="AK8212">
        <v>0.54728704880435997</v>
      </c>
      <c r="AL8212">
        <v>90.342874098809204</v>
      </c>
      <c r="AM8212">
        <v>84.091105747487205</v>
      </c>
      <c r="AN8212">
        <v>0.99999996218759801</v>
      </c>
    </row>
    <row r="8213" spans="1:40" x14ac:dyDescent="0.25">
      <c r="A8213" t="str">
        <f>"20190312160847030"</f>
        <v>20190312160847030</v>
      </c>
      <c r="B8213" t="str">
        <f>"1552378127023621"</f>
        <v>1552378127023621</v>
      </c>
      <c r="C8213" t="s">
        <v>40</v>
      </c>
      <c r="D8213">
        <v>5.534605</v>
      </c>
      <c r="E8213">
        <v>0.69181419999999905</v>
      </c>
      <c r="F8213" t="s">
        <v>117</v>
      </c>
      <c r="G8213">
        <v>-105.0911</v>
      </c>
      <c r="H8213">
        <v>17.52366</v>
      </c>
      <c r="I8213">
        <v>164.48750000000001</v>
      </c>
      <c r="J8213">
        <v>-179.22020000000001</v>
      </c>
      <c r="K8213">
        <v>1.105661</v>
      </c>
      <c r="L8213">
        <v>136.25909999999999</v>
      </c>
      <c r="M8213">
        <v>0.59417019999999998</v>
      </c>
      <c r="N8213">
        <v>0</v>
      </c>
      <c r="O8213">
        <v>0.8040678</v>
      </c>
      <c r="P8213">
        <v>0.67376210000000003</v>
      </c>
      <c r="Q8213">
        <v>-2.5357749999999998E-2</v>
      </c>
      <c r="R8213">
        <v>0.73851309999999903</v>
      </c>
      <c r="S8213">
        <v>3.1677089999999999</v>
      </c>
      <c r="T8213">
        <v>0.7008953</v>
      </c>
      <c r="U8213">
        <v>1.208817</v>
      </c>
      <c r="V8213">
        <v>0.1029065</v>
      </c>
      <c r="W8213">
        <v>-5.8356440000000001E-3</v>
      </c>
      <c r="X8213">
        <v>0.9946739</v>
      </c>
      <c r="Y8213">
        <v>0.51760059999999997</v>
      </c>
      <c r="Z8213">
        <v>0.1976512</v>
      </c>
      <c r="AA8213">
        <v>0.83248040000000001</v>
      </c>
      <c r="AB8213">
        <v>18</v>
      </c>
      <c r="AC8213">
        <v>74.129099999999994</v>
      </c>
      <c r="AD8213">
        <v>16.417998999999998</v>
      </c>
      <c r="AE8213">
        <v>28.228400000000001</v>
      </c>
      <c r="AF8213">
        <v>41.0817441479197</v>
      </c>
      <c r="AG8213">
        <v>16.417998999999998</v>
      </c>
      <c r="AH8213">
        <v>64.014997624870105</v>
      </c>
      <c r="AI8213">
        <v>77.819772644594096</v>
      </c>
      <c r="AJ8213">
        <v>57.309605768527298</v>
      </c>
      <c r="AK8213">
        <v>77.815039126837604</v>
      </c>
      <c r="AL8213">
        <v>90.334359674759298</v>
      </c>
      <c r="AM8213">
        <v>84.093334554189795</v>
      </c>
      <c r="AN8213">
        <v>0.99999998491217701</v>
      </c>
    </row>
    <row r="8214" spans="1:40" x14ac:dyDescent="0.25">
      <c r="A8214" t="str">
        <f>"20190312160847045"</f>
        <v>20190312160847045</v>
      </c>
      <c r="B8214" t="str">
        <f>"1552378127033382"</f>
        <v>1552378127033382</v>
      </c>
      <c r="C8214" t="s">
        <v>40</v>
      </c>
      <c r="D8214">
        <v>5.9151959999999999</v>
      </c>
      <c r="E8214">
        <v>0.69046549999999995</v>
      </c>
      <c r="F8214" t="s">
        <v>44</v>
      </c>
      <c r="G8214">
        <v>-178.6842</v>
      </c>
      <c r="H8214">
        <v>1.2234290000000001</v>
      </c>
      <c r="I8214">
        <v>136.46119999999999</v>
      </c>
      <c r="J8214">
        <v>-179.14879999999999</v>
      </c>
      <c r="K8214">
        <v>1.105677</v>
      </c>
      <c r="L8214">
        <v>136.34379999999999</v>
      </c>
      <c r="M8214">
        <v>0.59889479999999995</v>
      </c>
      <c r="N8214">
        <v>0</v>
      </c>
      <c r="O8214">
        <v>0.80055500000000002</v>
      </c>
      <c r="P8214">
        <v>0.67786569999999902</v>
      </c>
      <c r="Q8214">
        <v>-2.55756E-2</v>
      </c>
      <c r="R8214">
        <v>0.73474079999999997</v>
      </c>
      <c r="S8214">
        <v>3.1685029999999998</v>
      </c>
      <c r="T8214">
        <v>0.69628469999999998</v>
      </c>
      <c r="U8214">
        <v>1.1954499999999999</v>
      </c>
      <c r="V8214">
        <v>0.1025925</v>
      </c>
      <c r="W8214">
        <v>-6.0449719999999896E-3</v>
      </c>
      <c r="X8214">
        <v>0.99470510000000001</v>
      </c>
      <c r="Y8214">
        <v>0.51605059999999903</v>
      </c>
      <c r="Z8214">
        <v>0.19606170000000001</v>
      </c>
      <c r="AA8214">
        <v>0.83381749999999899</v>
      </c>
      <c r="AB8214">
        <v>18</v>
      </c>
      <c r="AC8214">
        <v>0.46459999999999002</v>
      </c>
      <c r="AD8214">
        <v>0.117752</v>
      </c>
      <c r="AE8214">
        <v>0.117400000000003</v>
      </c>
      <c r="AF8214">
        <v>0.284514365132569</v>
      </c>
      <c r="AG8214">
        <v>0.117752</v>
      </c>
      <c r="AH8214">
        <v>0.35111262763366402</v>
      </c>
      <c r="AI8214">
        <v>75.395657574029201</v>
      </c>
      <c r="AJ8214">
        <v>50.981381298023599</v>
      </c>
      <c r="AK8214">
        <v>0.46700539049844503</v>
      </c>
      <c r="AL8214">
        <v>90.346353492510303</v>
      </c>
      <c r="AM8214">
        <v>84.111414205096494</v>
      </c>
      <c r="AN8214">
        <v>0.99999999935437001</v>
      </c>
    </row>
    <row r="8215" spans="1:40" x14ac:dyDescent="0.25">
      <c r="A8215" t="str">
        <f>"20190312160847057"</f>
        <v>20190312160847057</v>
      </c>
      <c r="B8215" t="str">
        <f>"1552378127053877"</f>
        <v>1552378127053877</v>
      </c>
      <c r="C8215" t="s">
        <v>40</v>
      </c>
      <c r="D8215">
        <v>5.3688599999999997</v>
      </c>
      <c r="E8215">
        <v>0.68780730000000001</v>
      </c>
      <c r="F8215" t="s">
        <v>44</v>
      </c>
      <c r="G8215">
        <v>-178.55430000000001</v>
      </c>
      <c r="H8215">
        <v>1.235412</v>
      </c>
      <c r="I8215">
        <v>136.56620000000001</v>
      </c>
      <c r="J8215">
        <v>-179.0814</v>
      </c>
      <c r="K8215">
        <v>1.1056969999999999</v>
      </c>
      <c r="L8215">
        <v>136.423</v>
      </c>
      <c r="M8215">
        <v>0.60333289999999995</v>
      </c>
      <c r="N8215">
        <v>0</v>
      </c>
      <c r="O8215">
        <v>0.79721569999999997</v>
      </c>
      <c r="P8215">
        <v>0.68197350000000001</v>
      </c>
      <c r="Q8215">
        <v>-2.5634759999999999E-2</v>
      </c>
      <c r="R8215">
        <v>0.73092749999999995</v>
      </c>
      <c r="S8215">
        <v>3.166687</v>
      </c>
      <c r="T8215">
        <v>0.69111730000000005</v>
      </c>
      <c r="U8215">
        <v>1.185532</v>
      </c>
      <c r="V8215">
        <v>0.1026431</v>
      </c>
      <c r="W8215">
        <v>-6.1008999999999898E-3</v>
      </c>
      <c r="X8215">
        <v>0.99469949999999996</v>
      </c>
      <c r="Y8215">
        <v>0.51379220000000003</v>
      </c>
      <c r="Z8215">
        <v>0.19434979999999999</v>
      </c>
      <c r="AA8215">
        <v>0.83561099999999999</v>
      </c>
      <c r="AB8215">
        <v>18</v>
      </c>
      <c r="AC8215">
        <v>0.52709999999999002</v>
      </c>
      <c r="AD8215">
        <v>0.129715</v>
      </c>
      <c r="AE8215">
        <v>0.14320000000000699</v>
      </c>
      <c r="AF8215">
        <v>0.31606253961792202</v>
      </c>
      <c r="AG8215">
        <v>0.129715</v>
      </c>
      <c r="AH8215">
        <v>0.40919444704151298</v>
      </c>
      <c r="AI8215">
        <v>75.916444590933494</v>
      </c>
      <c r="AJ8215">
        <v>52.317436546988802</v>
      </c>
      <c r="AK8215">
        <v>0.53306810602805799</v>
      </c>
      <c r="AL8215">
        <v>90.349558003323807</v>
      </c>
      <c r="AM8215">
        <v>84.108497364299396</v>
      </c>
      <c r="AN8215">
        <v>0.99999996112933398</v>
      </c>
    </row>
    <row r="8216" spans="1:40" x14ac:dyDescent="0.25">
      <c r="A8216" t="str">
        <f>"20190312160847070"</f>
        <v>20190312160847070</v>
      </c>
      <c r="B8216" t="str">
        <f>"1552378127063637"</f>
        <v>1552378127063637</v>
      </c>
      <c r="C8216" t="s">
        <v>40</v>
      </c>
      <c r="D8216">
        <v>4.185746</v>
      </c>
      <c r="E8216">
        <v>0.68642950000000003</v>
      </c>
      <c r="F8216" t="s">
        <v>44</v>
      </c>
      <c r="G8216">
        <v>-178.42330000000001</v>
      </c>
      <c r="H8216">
        <v>1.2469950000000001</v>
      </c>
      <c r="I8216">
        <v>136.6694</v>
      </c>
      <c r="J8216">
        <v>-179.0112</v>
      </c>
      <c r="K8216">
        <v>1.1057239999999999</v>
      </c>
      <c r="L8216">
        <v>136.5044</v>
      </c>
      <c r="M8216">
        <v>0.60792539999999995</v>
      </c>
      <c r="N8216">
        <v>0</v>
      </c>
      <c r="O8216">
        <v>0.79371919999999996</v>
      </c>
      <c r="P8216">
        <v>0.68606429999999996</v>
      </c>
      <c r="Q8216">
        <v>-2.633806E-2</v>
      </c>
      <c r="R8216">
        <v>0.72706400000000004</v>
      </c>
      <c r="S8216">
        <v>3.1574249999999999</v>
      </c>
      <c r="T8216">
        <v>0.67793490000000001</v>
      </c>
      <c r="U8216">
        <v>1.18222</v>
      </c>
      <c r="V8216">
        <v>0.10248930000000001</v>
      </c>
      <c r="W8216">
        <v>-6.7981990000000004E-3</v>
      </c>
      <c r="X8216">
        <v>0.99471089999999995</v>
      </c>
      <c r="Y8216">
        <v>0.50961829999999997</v>
      </c>
      <c r="Z8216">
        <v>0.1905318</v>
      </c>
      <c r="AA8216">
        <v>0.83903919999999999</v>
      </c>
      <c r="AB8216">
        <v>18</v>
      </c>
      <c r="AC8216">
        <v>0.58789999999998999</v>
      </c>
      <c r="AD8216">
        <v>0.14127100000000001</v>
      </c>
      <c r="AE8216">
        <v>0.16499999999999199</v>
      </c>
      <c r="AF8216">
        <v>0.34778408450993198</v>
      </c>
      <c r="AG8216">
        <v>0.14127100000000001</v>
      </c>
      <c r="AH8216">
        <v>0.46365189706007298</v>
      </c>
      <c r="AI8216">
        <v>76.301706866223299</v>
      </c>
      <c r="AJ8216">
        <v>53.126530771669003</v>
      </c>
      <c r="AK8216">
        <v>0.59656042990364</v>
      </c>
      <c r="AL8216">
        <v>90.389511102175902</v>
      </c>
      <c r="AM8216">
        <v>84.117330158948803</v>
      </c>
      <c r="AN8216">
        <v>1.0000000233514701</v>
      </c>
    </row>
    <row r="8217" spans="1:40" x14ac:dyDescent="0.25">
      <c r="A8217" t="str">
        <f>"20190312160847082"</f>
        <v>20190312160847082</v>
      </c>
      <c r="B8217" t="str">
        <f>"1552378127073400"</f>
        <v>1552378127073400</v>
      </c>
      <c r="C8217" t="s">
        <v>40</v>
      </c>
      <c r="D8217">
        <v>5.9731439999999996</v>
      </c>
      <c r="E8217">
        <v>0.68523250000000002</v>
      </c>
      <c r="F8217" t="s">
        <v>44</v>
      </c>
      <c r="G8217">
        <v>-178.4718</v>
      </c>
      <c r="H8217">
        <v>1.220105</v>
      </c>
      <c r="I8217">
        <v>136.7046</v>
      </c>
      <c r="J8217">
        <v>-178.95089999999999</v>
      </c>
      <c r="K8217">
        <v>1.1057440000000001</v>
      </c>
      <c r="L8217">
        <v>136.5735</v>
      </c>
      <c r="M8217">
        <v>0.61185540000000005</v>
      </c>
      <c r="N8217">
        <v>0</v>
      </c>
      <c r="O8217">
        <v>0.7906936</v>
      </c>
      <c r="P8217">
        <v>0.68982580000000004</v>
      </c>
      <c r="Q8217">
        <v>-2.693806E-2</v>
      </c>
      <c r="R8217">
        <v>0.72347410000000001</v>
      </c>
      <c r="S8217">
        <v>3.1563870000000001</v>
      </c>
      <c r="T8217">
        <v>0.66926790000000003</v>
      </c>
      <c r="U8217">
        <v>1.1720280000000001</v>
      </c>
      <c r="V8217">
        <v>0.1027198</v>
      </c>
      <c r="W8217">
        <v>-7.3982049999999997E-3</v>
      </c>
      <c r="X8217">
        <v>0.99468279999999998</v>
      </c>
      <c r="Y8217">
        <v>0.50819650000000005</v>
      </c>
      <c r="Z8217">
        <v>0.18792600000000001</v>
      </c>
      <c r="AA8217">
        <v>0.84048809999999996</v>
      </c>
      <c r="AB8217">
        <v>18</v>
      </c>
      <c r="AC8217">
        <v>0.47909999999998798</v>
      </c>
      <c r="AD8217">
        <v>0.11436099999999901</v>
      </c>
      <c r="AE8217">
        <v>0.13110000000000299</v>
      </c>
      <c r="AF8217">
        <v>0.283637126215316</v>
      </c>
      <c r="AG8217">
        <v>0.11436099999999901</v>
      </c>
      <c r="AH8217">
        <v>0.37690726303284</v>
      </c>
      <c r="AI8217">
        <v>76.372159176013199</v>
      </c>
      <c r="AJ8217">
        <v>53.0371404242496</v>
      </c>
      <c r="AK8217">
        <v>0.485373611371271</v>
      </c>
      <c r="AL8217">
        <v>90.423889797121404</v>
      </c>
      <c r="AM8217">
        <v>84.104027652775898</v>
      </c>
      <c r="AN8217">
        <v>0.99999998168255</v>
      </c>
    </row>
    <row r="8218" spans="1:40" x14ac:dyDescent="0.25">
      <c r="A8218" t="str">
        <f>"20190312160847092"</f>
        <v>20190312160847092</v>
      </c>
      <c r="B8218" t="str">
        <f>"1552378127084134"</f>
        <v>1552378127084134</v>
      </c>
      <c r="C8218" t="s">
        <v>40</v>
      </c>
      <c r="D8218">
        <v>5.982208</v>
      </c>
      <c r="E8218">
        <v>0.68414759999999997</v>
      </c>
      <c r="F8218" t="s">
        <v>44</v>
      </c>
      <c r="G8218">
        <v>-178.3347</v>
      </c>
      <c r="H8218">
        <v>1.234764</v>
      </c>
      <c r="I8218">
        <v>136.80019999999999</v>
      </c>
      <c r="J8218">
        <v>-178.89009999999999</v>
      </c>
      <c r="K8218">
        <v>1.105769</v>
      </c>
      <c r="L8218">
        <v>136.64259999999999</v>
      </c>
      <c r="M8218">
        <v>0.61579119999999998</v>
      </c>
      <c r="N8218">
        <v>0</v>
      </c>
      <c r="O8218">
        <v>0.78763229999999995</v>
      </c>
      <c r="P8218">
        <v>0.6938259</v>
      </c>
      <c r="Q8218">
        <v>-2.6693580000000001E-2</v>
      </c>
      <c r="R8218">
        <v>0.71964779999999995</v>
      </c>
      <c r="S8218">
        <v>3.1560359999999998</v>
      </c>
      <c r="T8218">
        <v>0.66090890000000002</v>
      </c>
      <c r="U8218">
        <v>1.162048</v>
      </c>
      <c r="V8218">
        <v>0.103270899999999</v>
      </c>
      <c r="W8218">
        <v>-7.1577269999999896E-3</v>
      </c>
      <c r="X8218">
        <v>0.9946275</v>
      </c>
      <c r="Y8218">
        <v>0.50675219999999999</v>
      </c>
      <c r="Z8218">
        <v>0.18535779999999999</v>
      </c>
      <c r="AA8218">
        <v>0.84192919999999905</v>
      </c>
      <c r="AB8218">
        <v>18</v>
      </c>
      <c r="AC8218">
        <v>0.55539999999999101</v>
      </c>
      <c r="AD8218">
        <v>0.128994999999999</v>
      </c>
      <c r="AE8218">
        <v>0.15760000000000199</v>
      </c>
      <c r="AF8218">
        <v>0.32428719575161202</v>
      </c>
      <c r="AG8218">
        <v>0.128994999999999</v>
      </c>
      <c r="AH8218">
        <v>0.44407354344834699</v>
      </c>
      <c r="AI8218">
        <v>76.797750786463595</v>
      </c>
      <c r="AJ8218">
        <v>53.8610030394725</v>
      </c>
      <c r="AK8218">
        <v>0.56480368920910495</v>
      </c>
      <c r="AL8218">
        <v>90.410111054935001</v>
      </c>
      <c r="AM8218">
        <v>84.072292695778899</v>
      </c>
      <c r="AN8218">
        <v>0.999999987799433</v>
      </c>
    </row>
    <row r="8219" spans="1:40" x14ac:dyDescent="0.25">
      <c r="A8219" t="str">
        <f>"20190312160847103"</f>
        <v>20190312160847103</v>
      </c>
      <c r="B8219" t="str">
        <f>"1552378127093895"</f>
        <v>1552378127093895</v>
      </c>
      <c r="C8219" t="s">
        <v>40</v>
      </c>
      <c r="D8219">
        <v>6.0447790000000001</v>
      </c>
      <c r="E8219">
        <v>0.68414759999999997</v>
      </c>
      <c r="F8219" t="s">
        <v>44</v>
      </c>
      <c r="G8219">
        <v>-178.3742</v>
      </c>
      <c r="H8219">
        <v>1.2130700000000001</v>
      </c>
      <c r="I8219">
        <v>136.8305</v>
      </c>
      <c r="J8219">
        <v>-178.8313</v>
      </c>
      <c r="K8219">
        <v>1.1057950000000001</v>
      </c>
      <c r="L8219">
        <v>136.70840000000001</v>
      </c>
      <c r="M8219">
        <v>0.61958100000000005</v>
      </c>
      <c r="N8219">
        <v>0</v>
      </c>
      <c r="O8219">
        <v>0.78465469999999904</v>
      </c>
      <c r="P8219">
        <v>0.69772279999999998</v>
      </c>
      <c r="Q8219">
        <v>-2.6925319999999999E-2</v>
      </c>
      <c r="R8219">
        <v>0.71586159999999999</v>
      </c>
      <c r="S8219">
        <v>3.1561279999999998</v>
      </c>
      <c r="T8219">
        <v>0.65637529999999999</v>
      </c>
      <c r="U8219">
        <v>1.150131</v>
      </c>
      <c r="V8219">
        <v>0.1038789</v>
      </c>
      <c r="W8219">
        <v>-7.3948449999999997E-3</v>
      </c>
      <c r="X8219">
        <v>0.99456239999999996</v>
      </c>
      <c r="Y8219">
        <v>0.50571299999999997</v>
      </c>
      <c r="Z8219">
        <v>0.1838883</v>
      </c>
      <c r="AA8219">
        <v>0.84287570000000001</v>
      </c>
      <c r="AB8219">
        <v>18</v>
      </c>
      <c r="AC8219">
        <v>0.45709999999999701</v>
      </c>
      <c r="AD8219">
        <v>0.107275</v>
      </c>
      <c r="AE8219">
        <v>0.122099999999989</v>
      </c>
      <c r="AF8219">
        <v>0.26923537574876499</v>
      </c>
      <c r="AG8219">
        <v>0.107275</v>
      </c>
      <c r="AH8219">
        <v>0.36056321412873998</v>
      </c>
      <c r="AI8219">
        <v>76.591374149148606</v>
      </c>
      <c r="AJ8219">
        <v>53.251014755566501</v>
      </c>
      <c r="AK8219">
        <v>0.46260290159317702</v>
      </c>
      <c r="AL8219">
        <v>90.423697296309697</v>
      </c>
      <c r="AM8219">
        <v>84.037256961317397</v>
      </c>
      <c r="AN8219">
        <v>0.99999993854576996</v>
      </c>
    </row>
    <row r="8220" spans="1:40" x14ac:dyDescent="0.25">
      <c r="A8220" t="str">
        <f>"20190312160847116"</f>
        <v>20190312160847116</v>
      </c>
      <c r="B8220" t="str">
        <f>"1552378127113414"</f>
        <v>1552378127113414</v>
      </c>
      <c r="C8220" t="s">
        <v>40</v>
      </c>
      <c r="D8220">
        <v>5.9367159999999997</v>
      </c>
      <c r="E8220">
        <v>0.65592620000000001</v>
      </c>
      <c r="F8220" t="s">
        <v>44</v>
      </c>
      <c r="G8220">
        <v>-178.2345</v>
      </c>
      <c r="H8220">
        <v>1.2294940000000001</v>
      </c>
      <c r="I8220">
        <v>136.9221</v>
      </c>
      <c r="J8220">
        <v>-178.76230000000001</v>
      </c>
      <c r="K8220">
        <v>1.105829</v>
      </c>
      <c r="L8220">
        <v>136.7851</v>
      </c>
      <c r="M8220">
        <v>0.62399989999999905</v>
      </c>
      <c r="N8220">
        <v>0</v>
      </c>
      <c r="O8220">
        <v>0.78114530000000004</v>
      </c>
      <c r="P8220">
        <v>0.70176419999999995</v>
      </c>
      <c r="Q8220">
        <v>-2.6507559999999999E-2</v>
      </c>
      <c r="R8220">
        <v>0.71191590000000005</v>
      </c>
      <c r="S8220">
        <v>3.1625209999999999</v>
      </c>
      <c r="T8220">
        <v>0.65552809999999995</v>
      </c>
      <c r="U8220">
        <v>1.133011</v>
      </c>
      <c r="V8220">
        <v>0.1038916</v>
      </c>
      <c r="W8220">
        <v>-6.9730869999999898E-3</v>
      </c>
      <c r="X8220">
        <v>0.99456420000000001</v>
      </c>
      <c r="Y8220">
        <v>0.50556859999999904</v>
      </c>
      <c r="Z8220">
        <v>0.1832027</v>
      </c>
      <c r="AA8220">
        <v>0.84311159999999996</v>
      </c>
      <c r="AB8220">
        <v>18</v>
      </c>
      <c r="AC8220">
        <v>0.52780000000001304</v>
      </c>
      <c r="AD8220">
        <v>0.123664999999999</v>
      </c>
      <c r="AE8220">
        <v>0.13700000000000001</v>
      </c>
      <c r="AF8220">
        <v>0.310882338740193</v>
      </c>
      <c r="AG8220">
        <v>0.123664999999999</v>
      </c>
      <c r="AH8220">
        <v>0.41510914510944402</v>
      </c>
      <c r="AI8220">
        <v>76.5881828511436</v>
      </c>
      <c r="AJ8220">
        <v>53.169832041200102</v>
      </c>
      <c r="AK8220">
        <v>0.53315707171439197</v>
      </c>
      <c r="AL8220">
        <v>90.399531685848601</v>
      </c>
      <c r="AM8220">
        <v>84.036543938041405</v>
      </c>
      <c r="AN8220">
        <v>1.0000000182072499</v>
      </c>
    </row>
    <row r="8221" spans="1:40" x14ac:dyDescent="0.25">
      <c r="A8221" t="str">
        <f>"20190312160847129"</f>
        <v>20190312160847129</v>
      </c>
      <c r="B8221" t="str">
        <f>"1552378127124150"</f>
        <v>1552378127124150</v>
      </c>
      <c r="C8221" t="s">
        <v>40</v>
      </c>
      <c r="D8221">
        <v>5.380312</v>
      </c>
      <c r="E8221">
        <v>0.6547366</v>
      </c>
      <c r="F8221" t="s">
        <v>44</v>
      </c>
      <c r="G8221">
        <v>-178.1412</v>
      </c>
      <c r="H8221">
        <v>1.213387</v>
      </c>
      <c r="I8221">
        <v>137.0479</v>
      </c>
      <c r="J8221">
        <v>-178.6979</v>
      </c>
      <c r="K8221">
        <v>1.1058570000000001</v>
      </c>
      <c r="L8221">
        <v>136.85570000000001</v>
      </c>
      <c r="M8221">
        <v>0.62810569999999999</v>
      </c>
      <c r="N8221">
        <v>0</v>
      </c>
      <c r="O8221">
        <v>0.77784779999999998</v>
      </c>
      <c r="P8221">
        <v>0.70581359999999904</v>
      </c>
      <c r="Q8221">
        <v>-2.6366130000000002E-2</v>
      </c>
      <c r="R8221">
        <v>0.70790679999999995</v>
      </c>
      <c r="S8221">
        <v>3.0049899999999998</v>
      </c>
      <c r="T8221">
        <v>0.52034929999999902</v>
      </c>
      <c r="U8221">
        <v>1.2711939999999999</v>
      </c>
      <c r="V8221">
        <v>0.1043244</v>
      </c>
      <c r="W8221">
        <v>-6.834311E-3</v>
      </c>
      <c r="X8221">
        <v>0.99451979999999995</v>
      </c>
      <c r="Y8221">
        <v>0.45940880000000001</v>
      </c>
      <c r="Z8221">
        <v>0.14716979999999999</v>
      </c>
      <c r="AA8221">
        <v>0.87594780000000005</v>
      </c>
      <c r="AB8221">
        <v>18</v>
      </c>
      <c r="AC8221">
        <v>0.55670000000000597</v>
      </c>
      <c r="AD8221">
        <v>0.10753</v>
      </c>
      <c r="AE8221">
        <v>0.19219999999998499</v>
      </c>
      <c r="AF8221">
        <v>0.30229677040373698</v>
      </c>
      <c r="AG8221">
        <v>0.10753</v>
      </c>
      <c r="AH8221">
        <v>0.48317078470189301</v>
      </c>
      <c r="AI8221">
        <v>79.315747631822902</v>
      </c>
      <c r="AJ8221">
        <v>57.9677610891749</v>
      </c>
      <c r="AK8221">
        <v>0.58000003921204402</v>
      </c>
      <c r="AL8221">
        <v>90.391580240029199</v>
      </c>
      <c r="AM8221">
        <v>84.011615636757099</v>
      </c>
      <c r="AN8221">
        <v>0.99999996041712103</v>
      </c>
    </row>
    <row r="8222" spans="1:40" x14ac:dyDescent="0.25">
      <c r="A8222" t="str">
        <f>"20190312160847140"</f>
        <v>20190312160847140</v>
      </c>
      <c r="B8222" t="str">
        <f>"1552378127133910"</f>
        <v>1552378127133910</v>
      </c>
      <c r="C8222" t="s">
        <v>40</v>
      </c>
      <c r="D8222">
        <v>5.327229</v>
      </c>
      <c r="E8222">
        <v>0.65418120000000002</v>
      </c>
      <c r="F8222" t="s">
        <v>44</v>
      </c>
      <c r="G8222">
        <v>-178.15199999999999</v>
      </c>
      <c r="H8222">
        <v>1.2000139999999999</v>
      </c>
      <c r="I8222">
        <v>137.0847</v>
      </c>
      <c r="J8222">
        <v>-178.63310000000001</v>
      </c>
      <c r="K8222">
        <v>1.1058829999999999</v>
      </c>
      <c r="L8222">
        <v>136.92590000000001</v>
      </c>
      <c r="M8222">
        <v>0.63220459999999901</v>
      </c>
      <c r="N8222">
        <v>0</v>
      </c>
      <c r="O8222">
        <v>0.77452019999999899</v>
      </c>
      <c r="P8222">
        <v>0.70998819999999996</v>
      </c>
      <c r="Q8222">
        <v>-2.641609E-2</v>
      </c>
      <c r="R8222">
        <v>0.70371810000000001</v>
      </c>
      <c r="S8222">
        <v>3.00528</v>
      </c>
      <c r="T8222">
        <v>0.51839449999999998</v>
      </c>
      <c r="U8222">
        <v>1.2607729999999999</v>
      </c>
      <c r="V8222">
        <v>0.1049554</v>
      </c>
      <c r="W8222">
        <v>-6.8898419999999898E-3</v>
      </c>
      <c r="X8222">
        <v>0.99445309999999998</v>
      </c>
      <c r="Y8222">
        <v>0.45745639999999999</v>
      </c>
      <c r="Z8222">
        <v>0.14631420000000001</v>
      </c>
      <c r="AA8222">
        <v>0.87711219999999901</v>
      </c>
      <c r="AB8222">
        <v>18</v>
      </c>
      <c r="AC8222">
        <v>0.48109999999999697</v>
      </c>
      <c r="AD8222">
        <v>9.4130999999999895E-2</v>
      </c>
      <c r="AE8222">
        <v>0.15879999999998501</v>
      </c>
      <c r="AF8222">
        <v>0.26320097606188297</v>
      </c>
      <c r="AG8222">
        <v>9.4130999999999895E-2</v>
      </c>
      <c r="AH8222">
        <v>0.41298396099137602</v>
      </c>
      <c r="AI8222">
        <v>79.119761173905204</v>
      </c>
      <c r="AJ8222">
        <v>57.490016599126101</v>
      </c>
      <c r="AK8222">
        <v>0.49868943341227301</v>
      </c>
      <c r="AL8222">
        <v>90.394761976765494</v>
      </c>
      <c r="AM8222">
        <v>83.975259725453697</v>
      </c>
      <c r="AN8222">
        <v>1.00000003700577</v>
      </c>
    </row>
    <row r="8223" spans="1:40" x14ac:dyDescent="0.25">
      <c r="A8223" t="str">
        <f>"20190312160847156"</f>
        <v>20190312160847156</v>
      </c>
      <c r="B8223" t="str">
        <f>"1552378127153430"</f>
        <v>1552378127153430</v>
      </c>
      <c r="C8223" t="s">
        <v>40</v>
      </c>
      <c r="D8223">
        <v>5.3564550000000004</v>
      </c>
      <c r="E8223">
        <v>0.64439309999999905</v>
      </c>
      <c r="F8223" t="s">
        <v>44</v>
      </c>
      <c r="G8223">
        <v>-178.0445</v>
      </c>
      <c r="H8223">
        <v>1.206799</v>
      </c>
      <c r="I8223">
        <v>137.16980000000001</v>
      </c>
      <c r="J8223">
        <v>-178.54939999999999</v>
      </c>
      <c r="K8223">
        <v>1.1059209999999999</v>
      </c>
      <c r="L8223">
        <v>137.01570000000001</v>
      </c>
      <c r="M8223">
        <v>0.63746610000000004</v>
      </c>
      <c r="N8223">
        <v>0</v>
      </c>
      <c r="O8223">
        <v>0.77019569999999904</v>
      </c>
      <c r="P8223">
        <v>0.71506819999999904</v>
      </c>
      <c r="Q8223">
        <v>-2.6692859999999999E-2</v>
      </c>
      <c r="R8223">
        <v>0.69854490000000002</v>
      </c>
      <c r="S8223">
        <v>3.0094759999999998</v>
      </c>
      <c r="T8223">
        <v>0.51594249999999997</v>
      </c>
      <c r="U8223">
        <v>1.24614</v>
      </c>
      <c r="V8223">
        <v>0.1053901</v>
      </c>
      <c r="W8223">
        <v>-7.1686619999999897E-3</v>
      </c>
      <c r="X8223">
        <v>0.99440510000000004</v>
      </c>
      <c r="Y8223">
        <v>0.45564949999999999</v>
      </c>
      <c r="Z8223">
        <v>0.14513029999999999</v>
      </c>
      <c r="AA8223">
        <v>0.87824869999999899</v>
      </c>
      <c r="AB8223">
        <v>17</v>
      </c>
      <c r="AC8223">
        <v>0.50489999999999202</v>
      </c>
      <c r="AD8223">
        <v>0.100878</v>
      </c>
      <c r="AE8223">
        <v>0.15409999999999899</v>
      </c>
      <c r="AF8223">
        <v>0.28045989461454002</v>
      </c>
      <c r="AG8223">
        <v>0.100878</v>
      </c>
      <c r="AH8223">
        <v>0.42511559051523801</v>
      </c>
      <c r="AI8223">
        <v>78.796216703059301</v>
      </c>
      <c r="AJ8223">
        <v>56.586117595499097</v>
      </c>
      <c r="AK8223">
        <v>0.51918916463108</v>
      </c>
      <c r="AL8223">
        <v>90.410737602378902</v>
      </c>
      <c r="AM8223">
        <v>83.950201516834795</v>
      </c>
      <c r="AN8223">
        <v>0.99999998289944503</v>
      </c>
    </row>
    <row r="8224" spans="1:40" x14ac:dyDescent="0.25">
      <c r="A8224" t="str">
        <f>"20190312160847169"</f>
        <v>20190312160847169</v>
      </c>
      <c r="B8224" t="str">
        <f>"1552378127164166"</f>
        <v>1552378127164166</v>
      </c>
      <c r="C8224" t="s">
        <v>40</v>
      </c>
      <c r="D8224">
        <v>5.3025390000000003</v>
      </c>
      <c r="E8224">
        <v>0.6450825</v>
      </c>
      <c r="F8224" t="s">
        <v>44</v>
      </c>
      <c r="G8224">
        <v>-177.93599999999901</v>
      </c>
      <c r="H8224">
        <v>1.2031210000000001</v>
      </c>
      <c r="I8224">
        <v>137.28049999999999</v>
      </c>
      <c r="J8224">
        <v>-178.4813</v>
      </c>
      <c r="K8224">
        <v>1.10595</v>
      </c>
      <c r="L8224">
        <v>137.08760000000001</v>
      </c>
      <c r="M8224">
        <v>0.64171449999999997</v>
      </c>
      <c r="N8224">
        <v>0</v>
      </c>
      <c r="O8224">
        <v>0.7666596</v>
      </c>
      <c r="P8224">
        <v>0.71924909999999997</v>
      </c>
      <c r="Q8224">
        <v>-2.665261E-2</v>
      </c>
      <c r="R8224">
        <v>0.69424090000000005</v>
      </c>
      <c r="S8224">
        <v>2.9628450000000002</v>
      </c>
      <c r="T8224">
        <v>0.46952460000000001</v>
      </c>
      <c r="U8224">
        <v>1.279663</v>
      </c>
      <c r="V8224">
        <v>0.1058622</v>
      </c>
      <c r="W8224">
        <v>-7.1319629999999998E-3</v>
      </c>
      <c r="X8224">
        <v>0.99435519999999999</v>
      </c>
      <c r="Y8224">
        <v>0.43937920000000003</v>
      </c>
      <c r="Z8224">
        <v>0.1322132</v>
      </c>
      <c r="AA8224">
        <v>0.88851880000000005</v>
      </c>
      <c r="AB8224">
        <v>17</v>
      </c>
      <c r="AC8224">
        <v>0.54530000000002499</v>
      </c>
      <c r="AD8224">
        <v>9.7170999999999896E-2</v>
      </c>
      <c r="AE8224">
        <v>0.19289999999998</v>
      </c>
      <c r="AF8224">
        <v>0.286257934479131</v>
      </c>
      <c r="AG8224">
        <v>9.7170999999999896E-2</v>
      </c>
      <c r="AH8224">
        <v>0.484257039703547</v>
      </c>
      <c r="AI8224">
        <v>80.199614824451601</v>
      </c>
      <c r="AJ8224">
        <v>59.411474107902002</v>
      </c>
      <c r="AK8224">
        <v>0.570868363807018</v>
      </c>
      <c r="AL8224">
        <v>90.408634857262697</v>
      </c>
      <c r="AM8224">
        <v>83.9230008080266</v>
      </c>
      <c r="AN8224">
        <v>0.99999996702605598</v>
      </c>
    </row>
    <row r="8225" spans="1:40" x14ac:dyDescent="0.25">
      <c r="A8225" t="str">
        <f>"20190312160847181"</f>
        <v>20190312160847181</v>
      </c>
      <c r="B8225" t="str">
        <f>"1552378127173926"</f>
        <v>1552378127173926</v>
      </c>
      <c r="C8225" t="s">
        <v>40</v>
      </c>
      <c r="D8225">
        <v>5.5128019999999998</v>
      </c>
      <c r="E8225">
        <v>0.64495199999999997</v>
      </c>
      <c r="F8225" t="s">
        <v>44</v>
      </c>
      <c r="G8225">
        <v>-177.9144</v>
      </c>
      <c r="H8225">
        <v>1.1960360000000001</v>
      </c>
      <c r="I8225">
        <v>137.32730000000001</v>
      </c>
      <c r="J8225">
        <v>-178.41229999999999</v>
      </c>
      <c r="K8225">
        <v>1.105979</v>
      </c>
      <c r="L8225">
        <v>137.15969999999999</v>
      </c>
      <c r="M8225">
        <v>0.64599050000000002</v>
      </c>
      <c r="N8225">
        <v>0</v>
      </c>
      <c r="O8225">
        <v>0.76306030000000002</v>
      </c>
      <c r="P8225">
        <v>0.72312959999999904</v>
      </c>
      <c r="Q8225">
        <v>-2.711763E-2</v>
      </c>
      <c r="R8225">
        <v>0.69017989999999996</v>
      </c>
      <c r="S8225">
        <v>2.9743650000000001</v>
      </c>
      <c r="T8225">
        <v>0.47268389999999999</v>
      </c>
      <c r="U8225">
        <v>1.2578739999999999</v>
      </c>
      <c r="V8225">
        <v>0.1058843</v>
      </c>
      <c r="W8225">
        <v>-7.5945839999999997E-3</v>
      </c>
      <c r="X8225">
        <v>0.9943495</v>
      </c>
      <c r="Y8225">
        <v>0.44102750000000002</v>
      </c>
      <c r="Z8225">
        <v>0.132724799999999</v>
      </c>
      <c r="AA8225">
        <v>0.88762549999999996</v>
      </c>
      <c r="AB8225">
        <v>17</v>
      </c>
      <c r="AC8225">
        <v>0.49789999999998702</v>
      </c>
      <c r="AD8225">
        <v>9.0056999999999998E-2</v>
      </c>
      <c r="AE8225">
        <v>0.16760000000002101</v>
      </c>
      <c r="AF8225">
        <v>0.26396216012894902</v>
      </c>
      <c r="AG8225">
        <v>9.0056999999999998E-2</v>
      </c>
      <c r="AH8225">
        <v>0.43679008427968002</v>
      </c>
      <c r="AI8225">
        <v>79.9926232395471</v>
      </c>
      <c r="AJ8225">
        <v>58.854478892498697</v>
      </c>
      <c r="AK8225">
        <v>0.518239194729607</v>
      </c>
      <c r="AL8225">
        <v>90.435141773657506</v>
      </c>
      <c r="AM8225">
        <v>83.921707075649394</v>
      </c>
      <c r="AN8225">
        <v>1.00000004542143</v>
      </c>
    </row>
    <row r="8226" spans="1:40" x14ac:dyDescent="0.25">
      <c r="A8226" t="str">
        <f>"20190312160847195"</f>
        <v>20190312160847195</v>
      </c>
      <c r="B8226" t="str">
        <f>"1552378127183685"</f>
        <v>1552378127183685</v>
      </c>
      <c r="C8226" t="s">
        <v>40</v>
      </c>
      <c r="D8226">
        <v>5.556108</v>
      </c>
      <c r="E8226">
        <v>0.64396369999999903</v>
      </c>
      <c r="F8226" t="s">
        <v>44</v>
      </c>
      <c r="G8226">
        <v>-177.83330000000001</v>
      </c>
      <c r="H8226">
        <v>1.196904</v>
      </c>
      <c r="I8226">
        <v>137.40090000000001</v>
      </c>
      <c r="J8226">
        <v>-178.3389</v>
      </c>
      <c r="K8226">
        <v>1.1060110000000001</v>
      </c>
      <c r="L8226">
        <v>137.23560000000001</v>
      </c>
      <c r="M8226">
        <v>0.65050790000000003</v>
      </c>
      <c r="N8226">
        <v>0</v>
      </c>
      <c r="O8226">
        <v>0.75921300000000003</v>
      </c>
      <c r="P8226">
        <v>0.72728909999999902</v>
      </c>
      <c r="Q8226">
        <v>-2.7353079999999998E-2</v>
      </c>
      <c r="R8226">
        <v>0.68578609999999995</v>
      </c>
      <c r="S8226">
        <v>2.9807130000000002</v>
      </c>
      <c r="T8226">
        <v>0.46808309999999997</v>
      </c>
      <c r="U8226">
        <v>1.242065</v>
      </c>
      <c r="V8226">
        <v>0.10599840000000001</v>
      </c>
      <c r="W8226">
        <v>-7.8286439999999992E-3</v>
      </c>
      <c r="X8226">
        <v>0.99433550000000004</v>
      </c>
      <c r="Y8226">
        <v>0.44062839999999998</v>
      </c>
      <c r="Z8226">
        <v>0.13104189999999999</v>
      </c>
      <c r="AA8226">
        <v>0.88807359999999902</v>
      </c>
      <c r="AB8226">
        <v>17</v>
      </c>
      <c r="AC8226">
        <v>0.50559999999998695</v>
      </c>
      <c r="AD8226">
        <v>9.0893000000000099E-2</v>
      </c>
      <c r="AE8226">
        <v>0.165300000000001</v>
      </c>
      <c r="AF8226">
        <v>0.26854838112402502</v>
      </c>
      <c r="AG8226">
        <v>9.0893000000000099E-2</v>
      </c>
      <c r="AH8226">
        <v>0.44160005446871797</v>
      </c>
      <c r="AI8226">
        <v>80.025884257549805</v>
      </c>
      <c r="AJ8226">
        <v>58.695136994186903</v>
      </c>
      <c r="AK8226">
        <v>0.52477650343752003</v>
      </c>
      <c r="AL8226">
        <v>90.448552834526296</v>
      </c>
      <c r="AM8226">
        <v>83.915121241587201</v>
      </c>
      <c r="AN8226">
        <v>1.00000001751484</v>
      </c>
    </row>
    <row r="8227" spans="1:40" x14ac:dyDescent="0.25">
      <c r="A8227" t="str">
        <f>"20190312160847208"</f>
        <v>20190312160847208</v>
      </c>
      <c r="B8227" t="str">
        <f>"1552378127204181"</f>
        <v>1552378127204181</v>
      </c>
      <c r="C8227" t="s">
        <v>40</v>
      </c>
      <c r="D8227">
        <v>5.7021639999999998</v>
      </c>
      <c r="E8227">
        <v>0.64490649999999905</v>
      </c>
      <c r="F8227" t="s">
        <v>44</v>
      </c>
      <c r="G8227">
        <v>-177.71440000000001</v>
      </c>
      <c r="H8227">
        <v>1.2035979999999999</v>
      </c>
      <c r="I8227">
        <v>137.49299999999999</v>
      </c>
      <c r="J8227">
        <v>-178.26660000000001</v>
      </c>
      <c r="K8227">
        <v>1.1060430000000001</v>
      </c>
      <c r="L8227">
        <v>137.3092</v>
      </c>
      <c r="M8227">
        <v>0.65492649999999997</v>
      </c>
      <c r="N8227">
        <v>0</v>
      </c>
      <c r="O8227">
        <v>0.75540479999999999</v>
      </c>
      <c r="P8227">
        <v>0.73133700000000001</v>
      </c>
      <c r="Q8227">
        <v>-2.7743460000000001E-2</v>
      </c>
      <c r="R8227">
        <v>0.68145180000000005</v>
      </c>
      <c r="S8227">
        <v>2.9830320000000001</v>
      </c>
      <c r="T8227">
        <v>0.46612569999999998</v>
      </c>
      <c r="U8227">
        <v>1.229584</v>
      </c>
      <c r="V8227">
        <v>0.10609109999999999</v>
      </c>
      <c r="W8227">
        <v>-8.2179890000000002E-3</v>
      </c>
      <c r="X8227">
        <v>0.9943225</v>
      </c>
      <c r="Y8227">
        <v>0.43893169999999998</v>
      </c>
      <c r="Z8227">
        <v>0.1301177</v>
      </c>
      <c r="AA8227">
        <v>0.88904919999999998</v>
      </c>
      <c r="AB8227">
        <v>17</v>
      </c>
      <c r="AC8227">
        <v>0.55219999999999902</v>
      </c>
      <c r="AD8227">
        <v>9.7554999999999795E-2</v>
      </c>
      <c r="AE8227">
        <v>0.18379999999999</v>
      </c>
      <c r="AF8227">
        <v>0.28871139004579899</v>
      </c>
      <c r="AG8227">
        <v>9.7554999999999795E-2</v>
      </c>
      <c r="AH8227">
        <v>0.48692119121979699</v>
      </c>
      <c r="AI8227">
        <v>80.222015419487704</v>
      </c>
      <c r="AJ8227">
        <v>59.334921320281303</v>
      </c>
      <c r="AK8227">
        <v>0.57442448696594095</v>
      </c>
      <c r="AL8227">
        <v>90.470861364461499</v>
      </c>
      <c r="AM8227">
        <v>83.909760711448698</v>
      </c>
      <c r="AN8227">
        <v>1.0000000454243301</v>
      </c>
    </row>
    <row r="8228" spans="1:40" x14ac:dyDescent="0.25">
      <c r="A8228" t="str">
        <f>"20190312160847224"</f>
        <v>20190312160847224</v>
      </c>
      <c r="B8228" t="str">
        <f>"1552378127213942"</f>
        <v>1552378127213942</v>
      </c>
      <c r="C8228" t="s">
        <v>40</v>
      </c>
      <c r="D8228">
        <v>5.6071749999999998</v>
      </c>
      <c r="E8228">
        <v>0.67773779999999995</v>
      </c>
      <c r="F8228" t="s">
        <v>44</v>
      </c>
      <c r="G8228">
        <v>-177.69470000000001</v>
      </c>
      <c r="H8228">
        <v>1.196051</v>
      </c>
      <c r="I8228">
        <v>137.5395</v>
      </c>
      <c r="J8228">
        <v>-178.18180000000001</v>
      </c>
      <c r="K8228">
        <v>1.1060749999999999</v>
      </c>
      <c r="L8228">
        <v>137.39439999999999</v>
      </c>
      <c r="M8228">
        <v>0.66006779999999998</v>
      </c>
      <c r="N8228">
        <v>0</v>
      </c>
      <c r="O8228">
        <v>0.75091669999999999</v>
      </c>
      <c r="P8228">
        <v>0.73591219999999902</v>
      </c>
      <c r="Q8228">
        <v>-2.8239770000000001E-2</v>
      </c>
      <c r="R8228">
        <v>0.67648790000000003</v>
      </c>
      <c r="S8228">
        <v>2.9956209999999999</v>
      </c>
      <c r="T8228">
        <v>0.47153620000000002</v>
      </c>
      <c r="U8228">
        <v>1.2066650000000001</v>
      </c>
      <c r="V8228">
        <v>0.10601240000000001</v>
      </c>
      <c r="W8228">
        <v>-8.7106400000000004E-3</v>
      </c>
      <c r="X8228">
        <v>0.99432670000000001</v>
      </c>
      <c r="Y8228">
        <v>0.43978800000000001</v>
      </c>
      <c r="Z8228">
        <v>0.1310616</v>
      </c>
      <c r="AA8228">
        <v>0.88848709999999897</v>
      </c>
      <c r="AB8228">
        <v>17</v>
      </c>
      <c r="AC8228">
        <v>0.48709999999999798</v>
      </c>
      <c r="AD8228">
        <v>8.9976E-2</v>
      </c>
      <c r="AE8228">
        <v>0.145100000000013</v>
      </c>
      <c r="AF8228">
        <v>0.26184813902870802</v>
      </c>
      <c r="AG8228">
        <v>8.9976E-2</v>
      </c>
      <c r="AH8228">
        <v>0.41748671165471501</v>
      </c>
      <c r="AI8228">
        <v>79.653003983313496</v>
      </c>
      <c r="AJ8228">
        <v>57.904016557918297</v>
      </c>
      <c r="AK8228">
        <v>0.50095437207101501</v>
      </c>
      <c r="AL8228">
        <v>90.499089197819998</v>
      </c>
      <c r="AM8228">
        <v>83.914270141388499</v>
      </c>
      <c r="AN8228">
        <v>1.0000000452679201</v>
      </c>
    </row>
    <row r="8229" spans="1:40" x14ac:dyDescent="0.25">
      <c r="A8229" t="str">
        <f>"20190312160847239"</f>
        <v>20190312160847239</v>
      </c>
      <c r="B8229" t="str">
        <f>"1552378127233461"</f>
        <v>1552378127233461</v>
      </c>
      <c r="C8229" t="s">
        <v>40</v>
      </c>
      <c r="D8229">
        <v>5.7323539999999999</v>
      </c>
      <c r="E8229">
        <v>0.68881840000000005</v>
      </c>
      <c r="F8229" t="s">
        <v>44</v>
      </c>
      <c r="G8229">
        <v>-177.58539999999999</v>
      </c>
      <c r="H8229">
        <v>1.22333</v>
      </c>
      <c r="I8229">
        <v>137.58090000000001</v>
      </c>
      <c r="J8229">
        <v>-178.10220000000001</v>
      </c>
      <c r="K8229">
        <v>1.1061129999999999</v>
      </c>
      <c r="L8229">
        <v>137.4735</v>
      </c>
      <c r="M8229">
        <v>0.66486210000000001</v>
      </c>
      <c r="N8229">
        <v>0</v>
      </c>
      <c r="O8229">
        <v>0.74667539999999999</v>
      </c>
      <c r="P8229">
        <v>0.74026939999999997</v>
      </c>
      <c r="Q8229">
        <v>-2.853255E-2</v>
      </c>
      <c r="R8229">
        <v>0.67170459999999999</v>
      </c>
      <c r="S8229">
        <v>3.1848450000000001</v>
      </c>
      <c r="T8229">
        <v>0.62614789999999998</v>
      </c>
      <c r="U8229">
        <v>0.99620059999999999</v>
      </c>
      <c r="V8229">
        <v>0.10607900000000001</v>
      </c>
      <c r="W8229">
        <v>-9.0019950000000005E-3</v>
      </c>
      <c r="X8229">
        <v>0.99431689999999995</v>
      </c>
      <c r="Y8229">
        <v>0.49627100000000002</v>
      </c>
      <c r="Z8229">
        <v>0.17136579999999901</v>
      </c>
      <c r="AA8229">
        <v>0.85108689999999998</v>
      </c>
      <c r="AB8229">
        <v>17</v>
      </c>
      <c r="AC8229">
        <v>0.51680000000001702</v>
      </c>
      <c r="AD8229">
        <v>0.117217</v>
      </c>
      <c r="AE8229">
        <v>0.107400000000012</v>
      </c>
      <c r="AF8229">
        <v>0.29976140904818799</v>
      </c>
      <c r="AG8229">
        <v>0.117217</v>
      </c>
      <c r="AH8229">
        <v>0.403964456822481</v>
      </c>
      <c r="AI8229">
        <v>76.883027235316405</v>
      </c>
      <c r="AJ8229">
        <v>53.422775504149001</v>
      </c>
      <c r="AK8229">
        <v>0.51651138401727104</v>
      </c>
      <c r="AL8229">
        <v>90.515783315960704</v>
      </c>
      <c r="AM8229">
        <v>83.910416062975202</v>
      </c>
      <c r="AN8229">
        <v>0.99999994389029301</v>
      </c>
    </row>
    <row r="8230" spans="1:40" x14ac:dyDescent="0.25">
      <c r="A8230" t="str">
        <f>"20190312160847251"</f>
        <v>20190312160847251</v>
      </c>
      <c r="B8230" t="str">
        <f>"1552378127244199"</f>
        <v>1552378127244199</v>
      </c>
      <c r="C8230" t="s">
        <v>40</v>
      </c>
      <c r="D8230">
        <v>5.6508690000000001</v>
      </c>
      <c r="E8230">
        <v>0.69039220000000001</v>
      </c>
      <c r="F8230" t="s">
        <v>44</v>
      </c>
      <c r="G8230">
        <v>-177.446</v>
      </c>
      <c r="H8230">
        <v>1.2412270000000001</v>
      </c>
      <c r="I8230">
        <v>137.65710000000001</v>
      </c>
      <c r="J8230">
        <v>-178.0309</v>
      </c>
      <c r="K8230">
        <v>1.1061379999999901</v>
      </c>
      <c r="L8230">
        <v>137.54329999999999</v>
      </c>
      <c r="M8230">
        <v>0.66912260000000001</v>
      </c>
      <c r="N8230">
        <v>0</v>
      </c>
      <c r="O8230">
        <v>0.74285990000000002</v>
      </c>
      <c r="P8230">
        <v>0.7441392</v>
      </c>
      <c r="Q8230">
        <v>-2.8545669999999999E-2</v>
      </c>
      <c r="R8230">
        <v>0.66741430000000002</v>
      </c>
      <c r="S8230">
        <v>3.2520289999999998</v>
      </c>
      <c r="T8230">
        <v>0.66963899999999998</v>
      </c>
      <c r="U8230">
        <v>0.9107208</v>
      </c>
      <c r="V8230">
        <v>0.1061385</v>
      </c>
      <c r="W8230">
        <v>-9.0140459999999995E-3</v>
      </c>
      <c r="X8230">
        <v>0.99431049999999999</v>
      </c>
      <c r="Y8230">
        <v>0.51450689999999999</v>
      </c>
      <c r="Z8230">
        <v>0.1818728</v>
      </c>
      <c r="AA8230">
        <v>0.83797670000000002</v>
      </c>
      <c r="AB8230">
        <v>17</v>
      </c>
      <c r="AC8230">
        <v>0.58490000000000397</v>
      </c>
      <c r="AD8230">
        <v>0.13508899999999999</v>
      </c>
      <c r="AE8230">
        <v>0.11380000000002601</v>
      </c>
      <c r="AF8230">
        <v>0.34090863610942701</v>
      </c>
      <c r="AG8230">
        <v>0.13508899999999999</v>
      </c>
      <c r="AH8230">
        <v>0.45274094594265302</v>
      </c>
      <c r="AI8230">
        <v>76.593042091190696</v>
      </c>
      <c r="AJ8230">
        <v>53.020680502990203</v>
      </c>
      <c r="AK8230">
        <v>0.58261659796819898</v>
      </c>
      <c r="AL8230">
        <v>90.516473785281505</v>
      </c>
      <c r="AM8230">
        <v>83.906987161495493</v>
      </c>
      <c r="AN8230">
        <v>1.00000000230889</v>
      </c>
    </row>
    <row r="8231" spans="1:40" x14ac:dyDescent="0.25">
      <c r="A8231" t="str">
        <f>"20190312160847263"</f>
        <v>20190312160847263</v>
      </c>
      <c r="B8231" t="str">
        <f>"1552378127253958"</f>
        <v>1552378127253958</v>
      </c>
      <c r="C8231" t="s">
        <v>40</v>
      </c>
      <c r="D8231">
        <v>5.7240859999999998</v>
      </c>
      <c r="E8231">
        <v>0.69099109999999997</v>
      </c>
      <c r="F8231" t="s">
        <v>44</v>
      </c>
      <c r="G8231">
        <v>-177.48419999999999</v>
      </c>
      <c r="H8231">
        <v>1.2194370000000001</v>
      </c>
      <c r="I8231">
        <v>137.6909</v>
      </c>
      <c r="J8231">
        <v>-177.9692</v>
      </c>
      <c r="K8231">
        <v>1.106166</v>
      </c>
      <c r="L8231">
        <v>137.60290000000001</v>
      </c>
      <c r="M8231">
        <v>0.67278719999999903</v>
      </c>
      <c r="N8231">
        <v>0</v>
      </c>
      <c r="O8231">
        <v>0.73954279999999994</v>
      </c>
      <c r="P8231">
        <v>0.74740090000000003</v>
      </c>
      <c r="Q8231">
        <v>-2.853199E-2</v>
      </c>
      <c r="R8231">
        <v>0.66376029999999997</v>
      </c>
      <c r="S8231">
        <v>3.2657470000000002</v>
      </c>
      <c r="T8231">
        <v>0.67680479999999998</v>
      </c>
      <c r="U8231">
        <v>0.88272090000000003</v>
      </c>
      <c r="V8231">
        <v>0.1060957</v>
      </c>
      <c r="W8231">
        <v>-8.9986040000000003E-3</v>
      </c>
      <c r="X8231">
        <v>0.99431519999999995</v>
      </c>
      <c r="Y8231">
        <v>0.5175341</v>
      </c>
      <c r="Z8231">
        <v>0.18328120000000001</v>
      </c>
      <c r="AA8231">
        <v>0.83580290000000002</v>
      </c>
      <c r="AB8231">
        <v>17</v>
      </c>
      <c r="AC8231">
        <v>0.48500000000001298</v>
      </c>
      <c r="AD8231">
        <v>0.113271</v>
      </c>
      <c r="AE8231">
        <v>8.7999999999993805E-2</v>
      </c>
      <c r="AF8231">
        <v>0.284513814075951</v>
      </c>
      <c r="AG8231">
        <v>0.113271</v>
      </c>
      <c r="AH8231">
        <v>0.37183140296433898</v>
      </c>
      <c r="AI8231">
        <v>76.399691156139696</v>
      </c>
      <c r="AJ8231">
        <v>52.577908339749399</v>
      </c>
      <c r="AK8231">
        <v>0.48170221306474598</v>
      </c>
      <c r="AL8231">
        <v>90.515588991898298</v>
      </c>
      <c r="AM8231">
        <v>83.909454250906606</v>
      </c>
      <c r="AN8231">
        <v>0.99999999469173895</v>
      </c>
    </row>
    <row r="8232" spans="1:40" x14ac:dyDescent="0.25">
      <c r="A8232" t="str">
        <f>"20190312160847275"</f>
        <v>20190312160847275</v>
      </c>
      <c r="B8232" t="str">
        <f>"1552378127263392"</f>
        <v>1552378127263392</v>
      </c>
      <c r="C8232" t="s">
        <v>40</v>
      </c>
      <c r="D8232">
        <v>5.6159509999999999</v>
      </c>
      <c r="E8232">
        <v>0.69118619999999897</v>
      </c>
      <c r="F8232" t="s">
        <v>44</v>
      </c>
      <c r="G8232">
        <v>-177.34690000000001</v>
      </c>
      <c r="H8232">
        <v>1.235244</v>
      </c>
      <c r="I8232">
        <v>137.76679999999999</v>
      </c>
      <c r="J8232">
        <v>-177.90459999999999</v>
      </c>
      <c r="K8232">
        <v>1.106196</v>
      </c>
      <c r="L8232">
        <v>137.6651</v>
      </c>
      <c r="M8232">
        <v>0.67660609999999999</v>
      </c>
      <c r="N8232">
        <v>0</v>
      </c>
      <c r="O8232">
        <v>0.73605069999999995</v>
      </c>
      <c r="P8232">
        <v>0.75076449999999995</v>
      </c>
      <c r="Q8232">
        <v>-2.8661760000000001E-2</v>
      </c>
      <c r="R8232">
        <v>0.65994790000000003</v>
      </c>
      <c r="S8232">
        <v>3.2735599999999998</v>
      </c>
      <c r="T8232">
        <v>0.67901250000000002</v>
      </c>
      <c r="U8232">
        <v>0.86280820000000003</v>
      </c>
      <c r="V8232">
        <v>0.1060051</v>
      </c>
      <c r="W8232">
        <v>-9.1259319999999998E-3</v>
      </c>
      <c r="X8232">
        <v>0.99432370000000003</v>
      </c>
      <c r="Y8232">
        <v>0.51832929999999999</v>
      </c>
      <c r="Z8232">
        <v>0.183337</v>
      </c>
      <c r="AA8232">
        <v>0.83529769999999903</v>
      </c>
      <c r="AB8232">
        <v>17</v>
      </c>
      <c r="AC8232">
        <v>0.55769999999998199</v>
      </c>
      <c r="AD8232">
        <v>0.129048</v>
      </c>
      <c r="AE8232">
        <v>0.101699999999993</v>
      </c>
      <c r="AF8232">
        <v>0.32492142154745501</v>
      </c>
      <c r="AG8232">
        <v>0.129048</v>
      </c>
      <c r="AH8232">
        <v>0.43001444811911099</v>
      </c>
      <c r="AI8232">
        <v>76.534856544280601</v>
      </c>
      <c r="AJ8232">
        <v>52.9250932209995</v>
      </c>
      <c r="AK8232">
        <v>0.55420189649224605</v>
      </c>
      <c r="AL8232">
        <v>90.522884649882897</v>
      </c>
      <c r="AM8232">
        <v>83.9146678371131</v>
      </c>
      <c r="AN8232">
        <v>0.99999999212128399</v>
      </c>
    </row>
    <row r="8233" spans="1:40" x14ac:dyDescent="0.25">
      <c r="A8233" t="str">
        <f>"20190312160847286"</f>
        <v>20190312160847286</v>
      </c>
      <c r="B8233" t="str">
        <f>"1552378127283886"</f>
        <v>1552378127283886</v>
      </c>
      <c r="C8233" t="s">
        <v>40</v>
      </c>
      <c r="D8233">
        <v>5.6330169999999997</v>
      </c>
      <c r="E8233">
        <v>0.68404790000000004</v>
      </c>
      <c r="F8233" t="s">
        <v>44</v>
      </c>
      <c r="G8233">
        <v>-177.21180000000001</v>
      </c>
      <c r="H8233">
        <v>1.2496350000000001</v>
      </c>
      <c r="I8233">
        <v>137.84350000000001</v>
      </c>
      <c r="J8233">
        <v>-177.8381</v>
      </c>
      <c r="K8233">
        <v>1.1062299999999901</v>
      </c>
      <c r="L8233">
        <v>137.72790000000001</v>
      </c>
      <c r="M8233">
        <v>0.68050999999999995</v>
      </c>
      <c r="N8233">
        <v>0</v>
      </c>
      <c r="O8233">
        <v>0.73244310000000001</v>
      </c>
      <c r="P8233">
        <v>0.75432549999999998</v>
      </c>
      <c r="Q8233">
        <v>-2.840264E-2</v>
      </c>
      <c r="R8233">
        <v>0.65588579999999996</v>
      </c>
      <c r="S8233">
        <v>3.2790530000000002</v>
      </c>
      <c r="T8233">
        <v>0.67896749999999995</v>
      </c>
      <c r="U8233">
        <v>0.84501649999999995</v>
      </c>
      <c r="V8233">
        <v>0.1060962</v>
      </c>
      <c r="W8233">
        <v>-8.8670880000000004E-3</v>
      </c>
      <c r="X8233">
        <v>0.99431630000000004</v>
      </c>
      <c r="Y8233">
        <v>0.51847929999999998</v>
      </c>
      <c r="Z8233">
        <v>0.1828082</v>
      </c>
      <c r="AA8233">
        <v>0.83532050000000002</v>
      </c>
      <c r="AB8233">
        <v>16</v>
      </c>
      <c r="AC8233">
        <v>0.62629999999998598</v>
      </c>
      <c r="AD8233">
        <v>0.143405</v>
      </c>
      <c r="AE8233">
        <v>0.11559999999999999</v>
      </c>
      <c r="AF8233">
        <v>0.36180092979905698</v>
      </c>
      <c r="AG8233">
        <v>0.143405</v>
      </c>
      <c r="AH8233">
        <v>0.48632736772450302</v>
      </c>
      <c r="AI8233">
        <v>76.689444557614493</v>
      </c>
      <c r="AJ8233">
        <v>53.352772220470598</v>
      </c>
      <c r="AK8233">
        <v>0.62287977606140499</v>
      </c>
      <c r="AL8233">
        <v>90.508053393688002</v>
      </c>
      <c r="AM8233">
        <v>83.909432450853302</v>
      </c>
      <c r="AN8233">
        <v>0.99999996667486402</v>
      </c>
    </row>
    <row r="8234" spans="1:40" x14ac:dyDescent="0.25">
      <c r="A8234" t="str">
        <f>"20190312160847301"</f>
        <v>20190312160847301</v>
      </c>
      <c r="B8234" t="str">
        <f>"1552378127293650"</f>
        <v>1552378127293650</v>
      </c>
      <c r="C8234" t="s">
        <v>40</v>
      </c>
      <c r="D8234">
        <v>4.9319879999999996</v>
      </c>
      <c r="E8234">
        <v>0.68404790000000004</v>
      </c>
      <c r="F8234" t="s">
        <v>117</v>
      </c>
      <c r="G8234">
        <v>-103.5089</v>
      </c>
      <c r="H8234">
        <v>3.2025589999999999</v>
      </c>
      <c r="I8234">
        <v>157.56829999999999</v>
      </c>
      <c r="J8234">
        <v>-177.7577</v>
      </c>
      <c r="K8234">
        <v>1.1062689999999999</v>
      </c>
      <c r="L8234">
        <v>137.8031</v>
      </c>
      <c r="M8234">
        <v>0.685191199999999</v>
      </c>
      <c r="N8234">
        <v>0</v>
      </c>
      <c r="O8234">
        <v>0.72806599999999999</v>
      </c>
      <c r="P8234">
        <v>0.75815900000000003</v>
      </c>
      <c r="Q8234">
        <v>-2.812533E-2</v>
      </c>
      <c r="R8234">
        <v>0.65146289999999996</v>
      </c>
      <c r="S8234">
        <v>3.230667</v>
      </c>
      <c r="T8234">
        <v>9.1115710000000003E-2</v>
      </c>
      <c r="U8234">
        <v>0.86235049999999902</v>
      </c>
      <c r="V8234">
        <v>0.1055493</v>
      </c>
      <c r="W8234">
        <v>-8.5813699999999996E-3</v>
      </c>
      <c r="X8234">
        <v>0.99437699999999996</v>
      </c>
      <c r="Y8234">
        <v>0.52644690000000005</v>
      </c>
      <c r="Z8234">
        <v>2.515158E-2</v>
      </c>
      <c r="AA8234">
        <v>0.84983589999999998</v>
      </c>
      <c r="AB8234">
        <v>16</v>
      </c>
      <c r="AC8234">
        <v>74.248800000000003</v>
      </c>
      <c r="AD8234">
        <v>2.0962900000000002</v>
      </c>
      <c r="AE8234">
        <v>19.7652</v>
      </c>
      <c r="AF8234">
        <v>40.493716076603299</v>
      </c>
      <c r="AG8234">
        <v>2.0962900000000002</v>
      </c>
      <c r="AH8234">
        <v>65.230570523309098</v>
      </c>
      <c r="AI8234">
        <v>88.436014442696305</v>
      </c>
      <c r="AJ8234">
        <v>58.168891301253502</v>
      </c>
      <c r="AK8234">
        <v>76.806007605219705</v>
      </c>
      <c r="AL8234">
        <v>90.491682339584898</v>
      </c>
      <c r="AM8234">
        <v>83.940960805004096</v>
      </c>
      <c r="AN8234">
        <v>0.99999995638528205</v>
      </c>
    </row>
    <row r="8235" spans="1:40" x14ac:dyDescent="0.25">
      <c r="A8235" t="str">
        <f>"20190312160847315"</f>
        <v>20190312160847315</v>
      </c>
      <c r="B8235" t="str">
        <f>"1552378127303408"</f>
        <v>1552378127303408</v>
      </c>
      <c r="C8235" t="s">
        <v>40</v>
      </c>
      <c r="D8235">
        <v>5.7493480000000003</v>
      </c>
      <c r="E8235">
        <v>0.68404790000000004</v>
      </c>
      <c r="F8235" t="s">
        <v>117</v>
      </c>
      <c r="G8235">
        <v>-101.93340000000001</v>
      </c>
      <c r="H8235">
        <v>3.2861889999999998</v>
      </c>
      <c r="I8235">
        <v>157.5684</v>
      </c>
      <c r="J8235">
        <v>-177.6865</v>
      </c>
      <c r="K8235">
        <v>1.106301</v>
      </c>
      <c r="L8235">
        <v>137.869</v>
      </c>
      <c r="M8235">
        <v>0.68930819999999904</v>
      </c>
      <c r="N8235">
        <v>0</v>
      </c>
      <c r="O8235">
        <v>0.72416969999999903</v>
      </c>
      <c r="P8235">
        <v>0.7616965</v>
      </c>
      <c r="Q8235">
        <v>-2.7774770000000001E-2</v>
      </c>
      <c r="R8235">
        <v>0.64733819999999997</v>
      </c>
      <c r="S8235">
        <v>3.2356569999999998</v>
      </c>
      <c r="T8235">
        <v>9.3024019999999999E-2</v>
      </c>
      <c r="U8235">
        <v>0.84344479999999999</v>
      </c>
      <c r="V8235">
        <v>0.1053226</v>
      </c>
      <c r="W8235">
        <v>-8.2266200000000005E-3</v>
      </c>
      <c r="X8235">
        <v>0.99440410000000001</v>
      </c>
      <c r="Y8235">
        <v>0.52658119999999997</v>
      </c>
      <c r="Z8235">
        <v>2.560395E-2</v>
      </c>
      <c r="AA8235">
        <v>0.84973920000000003</v>
      </c>
      <c r="AB8235">
        <v>16</v>
      </c>
      <c r="AC8235">
        <v>75.753099999999904</v>
      </c>
      <c r="AD8235">
        <v>2.179888</v>
      </c>
      <c r="AE8235">
        <v>19.699400000000001</v>
      </c>
      <c r="AF8235">
        <v>41.2560712157455</v>
      </c>
      <c r="AG8235">
        <v>2.179888</v>
      </c>
      <c r="AH8235">
        <v>66.445784892905706</v>
      </c>
      <c r="AI8235">
        <v>88.403490893062795</v>
      </c>
      <c r="AJ8235">
        <v>58.163926719992503</v>
      </c>
      <c r="AK8235">
        <v>78.242300924023894</v>
      </c>
      <c r="AL8235">
        <v>90.471355912673005</v>
      </c>
      <c r="AM8235">
        <v>83.954041534062199</v>
      </c>
      <c r="AN8235">
        <v>1.00000002072209</v>
      </c>
    </row>
    <row r="8236" spans="1:40" x14ac:dyDescent="0.25">
      <c r="A8236" t="str">
        <f>"20190312160847325"</f>
        <v>20190312160847325</v>
      </c>
      <c r="B8236" t="str">
        <f>"1552378127323903"</f>
        <v>1552378127323903</v>
      </c>
      <c r="C8236" t="s">
        <v>40</v>
      </c>
      <c r="D8236">
        <v>5.7593239999999897</v>
      </c>
      <c r="E8236">
        <v>0.68135619999999997</v>
      </c>
      <c r="F8236" t="s">
        <v>117</v>
      </c>
      <c r="G8236">
        <v>-98.095140000000001</v>
      </c>
      <c r="H8236">
        <v>3.4195530000000001</v>
      </c>
      <c r="I8236">
        <v>158.15610000000001</v>
      </c>
      <c r="J8236">
        <v>-177.6217</v>
      </c>
      <c r="K8236">
        <v>1.1063339999999999</v>
      </c>
      <c r="L8236">
        <v>137.9281</v>
      </c>
      <c r="M8236">
        <v>0.69302759999999997</v>
      </c>
      <c r="N8236">
        <v>0</v>
      </c>
      <c r="O8236">
        <v>0.72061119999999901</v>
      </c>
      <c r="P8236">
        <v>0.76492539999999998</v>
      </c>
      <c r="Q8236">
        <v>-2.7488809999999999E-2</v>
      </c>
      <c r="R8236">
        <v>0.64353199999999999</v>
      </c>
      <c r="S8236">
        <v>3.2401430000000002</v>
      </c>
      <c r="T8236">
        <v>9.4172000000000006E-2</v>
      </c>
      <c r="U8236">
        <v>0.82588200000000001</v>
      </c>
      <c r="V8236">
        <v>0.1051724</v>
      </c>
      <c r="W8236">
        <v>-7.9377179999999999E-3</v>
      </c>
      <c r="X8236">
        <v>0.99442229999999998</v>
      </c>
      <c r="Y8236">
        <v>0.5268024</v>
      </c>
      <c r="Z8236">
        <v>2.5852449999999999E-2</v>
      </c>
      <c r="AA8236">
        <v>0.84959459999999998</v>
      </c>
      <c r="AB8236">
        <v>16</v>
      </c>
      <c r="AC8236">
        <v>79.526560000000003</v>
      </c>
      <c r="AD8236">
        <v>2.3132189999999899</v>
      </c>
      <c r="AE8236">
        <v>20.228000000000002</v>
      </c>
      <c r="AF8236">
        <v>43.264145882381698</v>
      </c>
      <c r="AG8236">
        <v>2.3132189999999899</v>
      </c>
      <c r="AH8236">
        <v>69.650342349513906</v>
      </c>
      <c r="AI8236">
        <v>88.383989977952794</v>
      </c>
      <c r="AJ8236">
        <v>58.153020871180303</v>
      </c>
      <c r="AK8236">
        <v>82.026260980727699</v>
      </c>
      <c r="AL8236">
        <v>90.4548025273901</v>
      </c>
      <c r="AM8236">
        <v>83.962709597892996</v>
      </c>
      <c r="AN8236">
        <v>0.99999997591304801</v>
      </c>
    </row>
    <row r="8237" spans="1:40" x14ac:dyDescent="0.25">
      <c r="A8237" t="str">
        <f>"20190312160847338"</f>
        <v>20190312160847338</v>
      </c>
      <c r="B8237" t="str">
        <f>"1552378127333663"</f>
        <v>1552378127333663</v>
      </c>
      <c r="C8237" t="s">
        <v>40</v>
      </c>
      <c r="D8237">
        <v>5.1266290000000003</v>
      </c>
      <c r="E8237">
        <v>0.67883899999999997</v>
      </c>
      <c r="F8237" t="s">
        <v>44</v>
      </c>
      <c r="G8237">
        <v>-177.0393</v>
      </c>
      <c r="H8237">
        <v>1.221427</v>
      </c>
      <c r="I8237">
        <v>138.07749999999999</v>
      </c>
      <c r="J8237">
        <v>-177.55950000000001</v>
      </c>
      <c r="K8237">
        <v>1.1063719999999999</v>
      </c>
      <c r="L8237">
        <v>137.98439999999999</v>
      </c>
      <c r="M8237">
        <v>0.6965768</v>
      </c>
      <c r="N8237">
        <v>0</v>
      </c>
      <c r="O8237">
        <v>0.71718110000000002</v>
      </c>
      <c r="P8237">
        <v>0.76815429999999996</v>
      </c>
      <c r="Q8237">
        <v>-2.8008680000000001E-2</v>
      </c>
      <c r="R8237">
        <v>0.63965190000000005</v>
      </c>
      <c r="S8237">
        <v>3.24437</v>
      </c>
      <c r="T8237">
        <v>0.64114749999999998</v>
      </c>
      <c r="U8237">
        <v>0.83277889999999999</v>
      </c>
      <c r="V8237">
        <v>0.1052782</v>
      </c>
      <c r="W8237">
        <v>-8.4581910000000003E-3</v>
      </c>
      <c r="X8237">
        <v>0.99440680000000004</v>
      </c>
      <c r="Y8237">
        <v>0.50267700000000004</v>
      </c>
      <c r="Z8237">
        <v>0.17136779999999999</v>
      </c>
      <c r="AA8237">
        <v>0.84731859999999903</v>
      </c>
      <c r="AB8237">
        <v>16</v>
      </c>
      <c r="AC8237">
        <v>0.52020000000001598</v>
      </c>
      <c r="AD8237">
        <v>0.115055</v>
      </c>
      <c r="AE8237">
        <v>9.3099999999992605E-2</v>
      </c>
      <c r="AF8237">
        <v>0.29434115422412999</v>
      </c>
      <c r="AG8237">
        <v>0.115055</v>
      </c>
      <c r="AH8237">
        <v>0.409797173153158</v>
      </c>
      <c r="AI8237">
        <v>77.154210858642699</v>
      </c>
      <c r="AJ8237">
        <v>54.311802811918199</v>
      </c>
      <c r="AK8237">
        <v>0.51750177895280003</v>
      </c>
      <c r="AL8237">
        <v>90.484624443500707</v>
      </c>
      <c r="AM8237">
        <v>83.956587701620293</v>
      </c>
      <c r="AN8237">
        <v>0.99999996213823505</v>
      </c>
    </row>
    <row r="8238" spans="1:40" x14ac:dyDescent="0.25">
      <c r="A8238" t="str">
        <f>"20190312160847350"</f>
        <v>20190312160847350</v>
      </c>
      <c r="B8238" t="str">
        <f>"1552378127343423"</f>
        <v>1552378127343423</v>
      </c>
      <c r="C8238" t="s">
        <v>40</v>
      </c>
      <c r="D8238">
        <v>5.7679780000000003</v>
      </c>
      <c r="E8238">
        <v>0.67740649999999902</v>
      </c>
      <c r="F8238" t="s">
        <v>44</v>
      </c>
      <c r="G8238">
        <v>-176.90940000000001</v>
      </c>
      <c r="H8238">
        <v>1.2325569999999999</v>
      </c>
      <c r="I8238">
        <v>138.15129999999999</v>
      </c>
      <c r="J8238">
        <v>-177.4896</v>
      </c>
      <c r="K8238">
        <v>1.1064099999999999</v>
      </c>
      <c r="L8238">
        <v>138.04689999999999</v>
      </c>
      <c r="M8238">
        <v>0.70053290000000001</v>
      </c>
      <c r="N8238">
        <v>0</v>
      </c>
      <c r="O8238">
        <v>0.71331769999999906</v>
      </c>
      <c r="P8238">
        <v>0.77174430000000005</v>
      </c>
      <c r="Q8238">
        <v>-2.7825160000000002E-2</v>
      </c>
      <c r="R8238">
        <v>0.63532390000000005</v>
      </c>
      <c r="S8238">
        <v>3.2360989999999998</v>
      </c>
      <c r="T8238">
        <v>0.62811099999999997</v>
      </c>
      <c r="U8238">
        <v>0.83134459999999999</v>
      </c>
      <c r="V8238">
        <v>0.1053752</v>
      </c>
      <c r="W8238">
        <v>-8.2747310000000004E-3</v>
      </c>
      <c r="X8238">
        <v>0.99439809999999995</v>
      </c>
      <c r="Y8238">
        <v>0.49852869999999999</v>
      </c>
      <c r="Z8238">
        <v>0.16751569999999999</v>
      </c>
      <c r="AA8238">
        <v>0.85053369999999995</v>
      </c>
      <c r="AB8238">
        <v>16</v>
      </c>
      <c r="AC8238">
        <v>0.58019999999998995</v>
      </c>
      <c r="AD8238">
        <v>0.12614699999999901</v>
      </c>
      <c r="AE8238">
        <v>0.10439999999999799</v>
      </c>
      <c r="AF8238">
        <v>0.325883022737116</v>
      </c>
      <c r="AG8238">
        <v>0.12614699999999901</v>
      </c>
      <c r="AH8238">
        <v>0.45996220820799399</v>
      </c>
      <c r="AI8238">
        <v>77.386092212978895</v>
      </c>
      <c r="AJ8238">
        <v>54.682444956791898</v>
      </c>
      <c r="AK8238">
        <v>0.57764871946266305</v>
      </c>
      <c r="AL8238">
        <v>90.474112577019298</v>
      </c>
      <c r="AM8238">
        <v>83.951008227054402</v>
      </c>
      <c r="AN8238">
        <v>0.99999999261588601</v>
      </c>
    </row>
    <row r="8239" spans="1:40" x14ac:dyDescent="0.25">
      <c r="A8239" t="str">
        <f>"20190312160847361"</f>
        <v>20190312160847361</v>
      </c>
      <c r="B8239" t="str">
        <f>"1552378127354160"</f>
        <v>1552378127354160</v>
      </c>
      <c r="C8239" t="s">
        <v>40</v>
      </c>
      <c r="D8239">
        <v>5.7058249999999999</v>
      </c>
      <c r="E8239">
        <v>0.67590810000000001</v>
      </c>
      <c r="F8239" t="s">
        <v>44</v>
      </c>
      <c r="G8239">
        <v>-176.94450000000001</v>
      </c>
      <c r="H8239">
        <v>1.2108129999999999</v>
      </c>
      <c r="I8239">
        <v>138.18530000000001</v>
      </c>
      <c r="J8239">
        <v>-177.42920000000001</v>
      </c>
      <c r="K8239">
        <v>1.1064449999999999</v>
      </c>
      <c r="L8239">
        <v>138.10040000000001</v>
      </c>
      <c r="M8239">
        <v>0.70392940000000004</v>
      </c>
      <c r="N8239">
        <v>0</v>
      </c>
      <c r="O8239">
        <v>0.70996619999999899</v>
      </c>
      <c r="P8239">
        <v>0.77490249999999905</v>
      </c>
      <c r="Q8239">
        <v>-2.74375E-2</v>
      </c>
      <c r="R8239">
        <v>0.63148499999999996</v>
      </c>
      <c r="S8239">
        <v>3.2335210000000001</v>
      </c>
      <c r="T8239">
        <v>0.61927069999999995</v>
      </c>
      <c r="U8239">
        <v>0.82127380000000005</v>
      </c>
      <c r="V8239">
        <v>0.10557999999999999</v>
      </c>
      <c r="W8239">
        <v>-7.8886389999999994E-3</v>
      </c>
      <c r="X8239">
        <v>0.99437949999999997</v>
      </c>
      <c r="Y8239">
        <v>0.49725639999999999</v>
      </c>
      <c r="Z8239">
        <v>0.1649033</v>
      </c>
      <c r="AA8239">
        <v>0.85178809999999905</v>
      </c>
      <c r="AB8239">
        <v>16</v>
      </c>
      <c r="AC8239">
        <v>0.48470000000000302</v>
      </c>
      <c r="AD8239">
        <v>0.104367999999999</v>
      </c>
      <c r="AE8239">
        <v>8.4900000000004597E-2</v>
      </c>
      <c r="AF8239">
        <v>0.27217468118086102</v>
      </c>
      <c r="AG8239">
        <v>0.104367999999999</v>
      </c>
      <c r="AH8239">
        <v>0.38427103392003897</v>
      </c>
      <c r="AI8239">
        <v>77.503152995557201</v>
      </c>
      <c r="AJ8239">
        <v>54.690504374952397</v>
      </c>
      <c r="AK8239">
        <v>0.48232350555397902</v>
      </c>
      <c r="AL8239">
        <v>90.451990418533597</v>
      </c>
      <c r="AM8239">
        <v>83.939226716224596</v>
      </c>
      <c r="AN8239">
        <v>0.99999997852276001</v>
      </c>
    </row>
    <row r="8240" spans="1:40" x14ac:dyDescent="0.25">
      <c r="A8240" t="str">
        <f>"20190312160847374"</f>
        <v>20190312160847374</v>
      </c>
      <c r="B8240" t="str">
        <f>"1552378127363921"</f>
        <v>1552378127363921</v>
      </c>
      <c r="C8240" t="s">
        <v>40</v>
      </c>
      <c r="D8240">
        <v>5.7094709999999997</v>
      </c>
      <c r="E8240">
        <v>0.67418409999999995</v>
      </c>
      <c r="F8240" t="s">
        <v>44</v>
      </c>
      <c r="G8240">
        <v>-176.81290000000001</v>
      </c>
      <c r="H8240">
        <v>1.223816</v>
      </c>
      <c r="I8240">
        <v>138.25559999999999</v>
      </c>
      <c r="J8240">
        <v>-177.3605</v>
      </c>
      <c r="K8240">
        <v>1.1064860000000001</v>
      </c>
      <c r="L8240">
        <v>138.16059999999999</v>
      </c>
      <c r="M8240">
        <v>0.70776079999999997</v>
      </c>
      <c r="N8240">
        <v>0</v>
      </c>
      <c r="O8240">
        <v>0.70614719999999997</v>
      </c>
      <c r="P8240">
        <v>0.7784219</v>
      </c>
      <c r="Q8240">
        <v>-2.7038940000000001E-2</v>
      </c>
      <c r="R8240">
        <v>0.62715889999999996</v>
      </c>
      <c r="S8240">
        <v>3.2299959999999999</v>
      </c>
      <c r="T8240">
        <v>0.6151896</v>
      </c>
      <c r="U8240">
        <v>0.81390379999999996</v>
      </c>
      <c r="V8240">
        <v>0.105753</v>
      </c>
      <c r="W8240">
        <v>-7.4908850000000001E-3</v>
      </c>
      <c r="X8240">
        <v>0.99436420000000003</v>
      </c>
      <c r="Y8240">
        <v>0.49446180000000001</v>
      </c>
      <c r="Z8240">
        <v>0.16336020000000001</v>
      </c>
      <c r="AA8240">
        <v>0.85371010000000003</v>
      </c>
      <c r="AB8240">
        <v>16</v>
      </c>
      <c r="AC8240">
        <v>0.54759999999998799</v>
      </c>
      <c r="AD8240">
        <v>0.117329999999999</v>
      </c>
      <c r="AE8240">
        <v>9.4999999999998794E-2</v>
      </c>
      <c r="AF8240">
        <v>0.30588537156157702</v>
      </c>
      <c r="AG8240">
        <v>0.117329999999999</v>
      </c>
      <c r="AH8240">
        <v>0.43534954286474498</v>
      </c>
      <c r="AI8240">
        <v>77.564307095486299</v>
      </c>
      <c r="AJ8240">
        <v>54.907348802564002</v>
      </c>
      <c r="AK8240">
        <v>0.54484990034678904</v>
      </c>
      <c r="AL8240">
        <v>90.429200115236497</v>
      </c>
      <c r="AM8240">
        <v>83.929277114469201</v>
      </c>
      <c r="AN8240">
        <v>0.99999998630436104</v>
      </c>
    </row>
    <row r="8241" spans="1:40" x14ac:dyDescent="0.25">
      <c r="A8241" t="str">
        <f>"20190312160847391"</f>
        <v>20190312160847391</v>
      </c>
      <c r="B8241" t="str">
        <f>"1552378127383439"</f>
        <v>1552378127383439</v>
      </c>
      <c r="C8241" t="s">
        <v>40</v>
      </c>
      <c r="D8241">
        <v>5.2544529999999998</v>
      </c>
      <c r="E8241">
        <v>0.67200499999999996</v>
      </c>
      <c r="F8241" t="s">
        <v>44</v>
      </c>
      <c r="G8241">
        <v>-176.68709999999999</v>
      </c>
      <c r="H8241">
        <v>1.2331799999999999</v>
      </c>
      <c r="I8241">
        <v>138.32900000000001</v>
      </c>
      <c r="J8241">
        <v>-177.26830000000001</v>
      </c>
      <c r="K8241">
        <v>1.10654599999999</v>
      </c>
      <c r="L8241">
        <v>138.24019999999999</v>
      </c>
      <c r="M8241">
        <v>0.71284950000000002</v>
      </c>
      <c r="N8241">
        <v>0</v>
      </c>
      <c r="O8241">
        <v>0.70101020000000003</v>
      </c>
      <c r="P8241">
        <v>0.78304739999999995</v>
      </c>
      <c r="Q8241">
        <v>-2.6720440000000002E-2</v>
      </c>
      <c r="R8241">
        <v>0.62138780000000005</v>
      </c>
      <c r="S8241">
        <v>3.2254330000000002</v>
      </c>
      <c r="T8241">
        <v>0.60680440000000002</v>
      </c>
      <c r="U8241">
        <v>0.80627439999999995</v>
      </c>
      <c r="V8241">
        <v>0.1059235</v>
      </c>
      <c r="W8241">
        <v>-7.173029E-3</v>
      </c>
      <c r="X8241">
        <v>0.99434840000000002</v>
      </c>
      <c r="Y8241">
        <v>0.49035200000000001</v>
      </c>
      <c r="Z8241">
        <v>0.16047049999999999</v>
      </c>
      <c r="AA8241">
        <v>0.85662359999999904</v>
      </c>
      <c r="AB8241">
        <v>16</v>
      </c>
      <c r="AC8241">
        <v>0.58120000000002303</v>
      </c>
      <c r="AD8241">
        <v>0.126634</v>
      </c>
      <c r="AE8241">
        <v>8.8800000000020404E-2</v>
      </c>
      <c r="AF8241">
        <v>0.32894048389807901</v>
      </c>
      <c r="AG8241">
        <v>0.126634</v>
      </c>
      <c r="AH8241">
        <v>0.45552827366377902</v>
      </c>
      <c r="AI8241">
        <v>77.2991139219465</v>
      </c>
      <c r="AJ8241">
        <v>54.166658775350498</v>
      </c>
      <c r="AK8241">
        <v>0.57597223892320104</v>
      </c>
      <c r="AL8241">
        <v>90.410987816407101</v>
      </c>
      <c r="AM8241">
        <v>83.919466976537393</v>
      </c>
      <c r="AN8241">
        <v>0.99999999038992204</v>
      </c>
    </row>
    <row r="8242" spans="1:40" x14ac:dyDescent="0.25">
      <c r="A8242" t="str">
        <f>"20190312160847405"</f>
        <v>20190312160847405</v>
      </c>
      <c r="B8242" t="str">
        <f>"1552378127394174"</f>
        <v>1552378127394174</v>
      </c>
      <c r="C8242" t="s">
        <v>40</v>
      </c>
      <c r="D8242">
        <v>5.1739649999999999</v>
      </c>
      <c r="E8242">
        <v>0.67065559999999902</v>
      </c>
      <c r="F8242" t="s">
        <v>44</v>
      </c>
      <c r="G8242">
        <v>-176.72980000000001</v>
      </c>
      <c r="H8242">
        <v>1.206575</v>
      </c>
      <c r="I8242">
        <v>138.3733</v>
      </c>
      <c r="J8242">
        <v>-177.18989999999999</v>
      </c>
      <c r="K8242">
        <v>1.1066</v>
      </c>
      <c r="L8242">
        <v>138.30690000000001</v>
      </c>
      <c r="M8242">
        <v>0.71713079999999996</v>
      </c>
      <c r="N8242">
        <v>0</v>
      </c>
      <c r="O8242">
        <v>0.69663009999999903</v>
      </c>
      <c r="P8242">
        <v>0.78693760000000001</v>
      </c>
      <c r="Q8242">
        <v>-2.6823E-2</v>
      </c>
      <c r="R8242">
        <v>0.61644940000000004</v>
      </c>
      <c r="S8242">
        <v>3.2199399999999998</v>
      </c>
      <c r="T8242">
        <v>0.59817359999999997</v>
      </c>
      <c r="U8242">
        <v>0.79600519999999997</v>
      </c>
      <c r="V8242">
        <v>0.1060845</v>
      </c>
      <c r="W8242">
        <v>-7.2765319999999996E-3</v>
      </c>
      <c r="X8242">
        <v>0.99433050000000001</v>
      </c>
      <c r="Y8242">
        <v>0.48776229999999998</v>
      </c>
      <c r="Z8242">
        <v>0.15781719999999999</v>
      </c>
      <c r="AA8242">
        <v>0.85859289999999999</v>
      </c>
      <c r="AB8242">
        <v>16</v>
      </c>
      <c r="AC8242">
        <v>0.46009999999998202</v>
      </c>
      <c r="AD8242">
        <v>9.9974999999999897E-2</v>
      </c>
      <c r="AE8242">
        <v>6.6399999999987303E-2</v>
      </c>
      <c r="AF8242">
        <v>0.26089396075108501</v>
      </c>
      <c r="AG8242">
        <v>9.9974999999999897E-2</v>
      </c>
      <c r="AH8242">
        <v>0.35965444675495301</v>
      </c>
      <c r="AI8242">
        <v>77.319146278992505</v>
      </c>
      <c r="AJ8242">
        <v>54.042803493082701</v>
      </c>
      <c r="AK8242">
        <v>0.45542505470384498</v>
      </c>
      <c r="AL8242">
        <v>90.416918249744299</v>
      </c>
      <c r="AM8242">
        <v>83.910185370773206</v>
      </c>
      <c r="AN8242">
        <v>1.00000000614422</v>
      </c>
    </row>
    <row r="8243" spans="1:40" x14ac:dyDescent="0.25">
      <c r="A8243" t="str">
        <f>"20190312160847421"</f>
        <v>20190312160847421</v>
      </c>
      <c r="B8243" t="str">
        <f>"1552378127413695"</f>
        <v>1552378127413695</v>
      </c>
      <c r="C8243" t="s">
        <v>40</v>
      </c>
      <c r="D8243">
        <v>5.2076710000000004</v>
      </c>
      <c r="E8243">
        <v>0.66865280000000005</v>
      </c>
      <c r="F8243" t="s">
        <v>44</v>
      </c>
      <c r="G8243">
        <v>-176.6088</v>
      </c>
      <c r="H8243">
        <v>1.213829</v>
      </c>
      <c r="I8243">
        <v>138.4485</v>
      </c>
      <c r="J8243">
        <v>-177.10900000000001</v>
      </c>
      <c r="K8243">
        <v>1.1066510000000001</v>
      </c>
      <c r="L8243">
        <v>138.375</v>
      </c>
      <c r="M8243">
        <v>0.72150429999999999</v>
      </c>
      <c r="N8243">
        <v>0</v>
      </c>
      <c r="O8243">
        <v>0.69209989999999999</v>
      </c>
      <c r="P8243">
        <v>0.79100409999999999</v>
      </c>
      <c r="Q8243">
        <v>-2.6598360000000001E-2</v>
      </c>
      <c r="R8243">
        <v>0.61123240000000001</v>
      </c>
      <c r="S8243">
        <v>3.2181090000000001</v>
      </c>
      <c r="T8243">
        <v>0.59382939999999995</v>
      </c>
      <c r="U8243">
        <v>0.78425599999999995</v>
      </c>
      <c r="V8243">
        <v>0.1064051</v>
      </c>
      <c r="W8243">
        <v>-7.0546369999999999E-3</v>
      </c>
      <c r="X8243">
        <v>0.99429789999999996</v>
      </c>
      <c r="Y8243">
        <v>0.48542069999999998</v>
      </c>
      <c r="Z8243">
        <v>0.1561255</v>
      </c>
      <c r="AA8243">
        <v>0.86022759999999998</v>
      </c>
      <c r="AB8243">
        <v>16</v>
      </c>
      <c r="AC8243">
        <v>0.50020000000000597</v>
      </c>
      <c r="AD8243">
        <v>0.107178</v>
      </c>
      <c r="AE8243">
        <v>7.3499999999995597E-2</v>
      </c>
      <c r="AF8243">
        <v>0.28060975267189098</v>
      </c>
      <c r="AG8243">
        <v>0.107178</v>
      </c>
      <c r="AH8243">
        <v>0.39414095728174298</v>
      </c>
      <c r="AI8243">
        <v>77.509475739615098</v>
      </c>
      <c r="AJ8243">
        <v>54.550929094835901</v>
      </c>
      <c r="AK8243">
        <v>0.49555630475814699</v>
      </c>
      <c r="AL8243">
        <v>90.404204253178904</v>
      </c>
      <c r="AM8243">
        <v>83.891721390627296</v>
      </c>
      <c r="AN8243">
        <v>1.0000000635768</v>
      </c>
    </row>
    <row r="8244" spans="1:40" x14ac:dyDescent="0.25">
      <c r="A8244" t="str">
        <f>"20190312160847435"</f>
        <v>20190312160847435</v>
      </c>
      <c r="B8244" t="str">
        <f>"1552378127423456"</f>
        <v>1552378127423456</v>
      </c>
      <c r="C8244" t="s">
        <v>40</v>
      </c>
      <c r="D8244">
        <v>5.2106640000000004</v>
      </c>
      <c r="E8244">
        <v>0.667554599999999</v>
      </c>
      <c r="F8244" t="s">
        <v>44</v>
      </c>
      <c r="G8244">
        <v>-176.48929999999999</v>
      </c>
      <c r="H8244">
        <v>1.219552</v>
      </c>
      <c r="I8244">
        <v>138.52440000000001</v>
      </c>
      <c r="J8244">
        <v>-177.03049999999999</v>
      </c>
      <c r="K8244">
        <v>1.1067020000000001</v>
      </c>
      <c r="L8244">
        <v>138.44040000000001</v>
      </c>
      <c r="M8244">
        <v>0.72570849999999998</v>
      </c>
      <c r="N8244">
        <v>0</v>
      </c>
      <c r="O8244">
        <v>0.68769060000000004</v>
      </c>
      <c r="P8244">
        <v>0.79492859999999999</v>
      </c>
      <c r="Q8244">
        <v>-2.702477E-2</v>
      </c>
      <c r="R8244">
        <v>0.60610069999999905</v>
      </c>
      <c r="S8244">
        <v>3.2130580000000002</v>
      </c>
      <c r="T8244">
        <v>0.58536259999999996</v>
      </c>
      <c r="U8244">
        <v>0.77551269999999894</v>
      </c>
      <c r="V8244">
        <v>0.1067673</v>
      </c>
      <c r="W8244">
        <v>-7.484971E-3</v>
      </c>
      <c r="X8244">
        <v>0.99425580000000002</v>
      </c>
      <c r="Y8244">
        <v>0.48250559999999998</v>
      </c>
      <c r="Z8244">
        <v>0.15345429999999999</v>
      </c>
      <c r="AA8244">
        <v>0.86234580000000005</v>
      </c>
      <c r="AB8244">
        <v>16</v>
      </c>
      <c r="AC8244">
        <v>0.54120000000000301</v>
      </c>
      <c r="AD8244">
        <v>0.11284999999999901</v>
      </c>
      <c r="AE8244">
        <v>8.40000000000031E-2</v>
      </c>
      <c r="AF8244">
        <v>0.29860741304753702</v>
      </c>
      <c r="AG8244">
        <v>0.11284999999999901</v>
      </c>
      <c r="AH8244">
        <v>0.43226346668876298</v>
      </c>
      <c r="AI8244">
        <v>77.877113450907501</v>
      </c>
      <c r="AJ8244">
        <v>55.363300565497902</v>
      </c>
      <c r="AK8244">
        <v>0.53735762231565098</v>
      </c>
      <c r="AL8244">
        <v>90.428861278999406</v>
      </c>
      <c r="AM8244">
        <v>83.870829421459305</v>
      </c>
      <c r="AN8244">
        <v>0.99999993848689805</v>
      </c>
    </row>
    <row r="8245" spans="1:40" x14ac:dyDescent="0.25">
      <c r="A8245" t="str">
        <f>"20190312160847450"</f>
        <v>20190312160847450</v>
      </c>
      <c r="B8245" t="str">
        <f>"1552378127443951"</f>
        <v>1552378127443951</v>
      </c>
      <c r="C8245" t="s">
        <v>40</v>
      </c>
      <c r="D8245">
        <v>5.7291049999999997</v>
      </c>
      <c r="E8245">
        <v>0.66649409999999998</v>
      </c>
      <c r="F8245" t="s">
        <v>44</v>
      </c>
      <c r="G8245">
        <v>-176.3689</v>
      </c>
      <c r="H8245">
        <v>1.2257469999999999</v>
      </c>
      <c r="I8245">
        <v>138.59719999999999</v>
      </c>
      <c r="J8245">
        <v>-176.94479999999999</v>
      </c>
      <c r="K8245">
        <v>1.1067530000000001</v>
      </c>
      <c r="L8245">
        <v>138.51050000000001</v>
      </c>
      <c r="M8245">
        <v>0.73023649999999996</v>
      </c>
      <c r="N8245">
        <v>0</v>
      </c>
      <c r="O8245">
        <v>0.68288110000000002</v>
      </c>
      <c r="P8245">
        <v>0.79912079999999996</v>
      </c>
      <c r="Q8245">
        <v>-2.7110700000000001E-2</v>
      </c>
      <c r="R8245">
        <v>0.60055879999999995</v>
      </c>
      <c r="S8245">
        <v>3.2127379999999999</v>
      </c>
      <c r="T8245">
        <v>0.57811959999999996</v>
      </c>
      <c r="U8245">
        <v>0.76181030000000005</v>
      </c>
      <c r="V8245">
        <v>0.1071091</v>
      </c>
      <c r="W8245">
        <v>-7.5805919999999997E-3</v>
      </c>
      <c r="X8245">
        <v>0.9942183</v>
      </c>
      <c r="Y8245">
        <v>0.48064760000000001</v>
      </c>
      <c r="Z8245">
        <v>0.150978</v>
      </c>
      <c r="AA8245">
        <v>0.86381919999999901</v>
      </c>
      <c r="AB8245">
        <v>15</v>
      </c>
      <c r="AC8245">
        <v>0.57589999999998998</v>
      </c>
      <c r="AD8245">
        <v>0.118993999999999</v>
      </c>
      <c r="AE8245">
        <v>8.6699999999979099E-2</v>
      </c>
      <c r="AF8245">
        <v>0.31680478909677801</v>
      </c>
      <c r="AG8245">
        <v>0.118993999999999</v>
      </c>
      <c r="AH8245">
        <v>0.46062221688226301</v>
      </c>
      <c r="AI8245">
        <v>77.983916979628503</v>
      </c>
      <c r="AJ8245">
        <v>55.480750082567099</v>
      </c>
      <c r="AK8245">
        <v>0.57157473099865497</v>
      </c>
      <c r="AL8245">
        <v>90.434340119780302</v>
      </c>
      <c r="AM8245">
        <v>83.851127696331602</v>
      </c>
      <c r="AN8245">
        <v>0.99999992636638202</v>
      </c>
    </row>
    <row r="8246" spans="1:40" x14ac:dyDescent="0.25">
      <c r="A8246" t="str">
        <f>"20190312160847463"</f>
        <v>20190312160847463</v>
      </c>
      <c r="B8246" t="str">
        <f>"1552378127453712"</f>
        <v>1552378127453712</v>
      </c>
      <c r="C8246" t="s">
        <v>40</v>
      </c>
      <c r="D8246">
        <v>5.1928789999999996</v>
      </c>
      <c r="E8246">
        <v>0.64410279999999998</v>
      </c>
      <c r="F8246" t="s">
        <v>44</v>
      </c>
      <c r="G8246">
        <v>-176.4006</v>
      </c>
      <c r="H8246">
        <v>1.203756</v>
      </c>
      <c r="I8246">
        <v>138.6369</v>
      </c>
      <c r="J8246">
        <v>-176.8783</v>
      </c>
      <c r="K8246">
        <v>1.1068209999999901</v>
      </c>
      <c r="L8246">
        <v>138.5643</v>
      </c>
      <c r="M8246">
        <v>0.7336937</v>
      </c>
      <c r="N8246">
        <v>0</v>
      </c>
      <c r="O8246">
        <v>0.67916430000000005</v>
      </c>
      <c r="P8246">
        <v>0.80217450000000001</v>
      </c>
      <c r="Q8246">
        <v>-2.7320239999999999E-2</v>
      </c>
      <c r="R8246">
        <v>0.5964642</v>
      </c>
      <c r="S8246">
        <v>3.2126920000000001</v>
      </c>
      <c r="T8246">
        <v>0.57268240000000004</v>
      </c>
      <c r="U8246">
        <v>0.74627690000000002</v>
      </c>
      <c r="V8246">
        <v>0.10714029999999999</v>
      </c>
      <c r="W8246">
        <v>-7.7422250000000001E-3</v>
      </c>
      <c r="X8246">
        <v>0.99421380000000004</v>
      </c>
      <c r="Y8246">
        <v>0.48047849999999998</v>
      </c>
      <c r="Z8246">
        <v>0.1492491</v>
      </c>
      <c r="AA8246">
        <v>0.86421360000000003</v>
      </c>
      <c r="AB8246">
        <v>15</v>
      </c>
      <c r="AC8246">
        <v>0.47769999999999802</v>
      </c>
      <c r="AD8246">
        <v>9.6935000000000202E-2</v>
      </c>
      <c r="AE8246">
        <v>7.2599999999994197E-2</v>
      </c>
      <c r="AF8246">
        <v>0.26073505371070799</v>
      </c>
      <c r="AG8246">
        <v>9.6935000000000202E-2</v>
      </c>
      <c r="AH8246">
        <v>0.384407418842583</v>
      </c>
      <c r="AI8246">
        <v>78.212081397546697</v>
      </c>
      <c r="AJ8246">
        <v>55.851822860895197</v>
      </c>
      <c r="AK8246">
        <v>0.47449786735004801</v>
      </c>
      <c r="AL8246">
        <v>90.443601233695205</v>
      </c>
      <c r="AM8246">
        <v>83.849322681459597</v>
      </c>
      <c r="AN8246">
        <v>1.00000003302123</v>
      </c>
    </row>
    <row r="8247" spans="1:40" x14ac:dyDescent="0.25">
      <c r="A8247" t="str">
        <f>"20190312160847475"</f>
        <v>20190312160847475</v>
      </c>
      <c r="B8247" t="str">
        <f>"1552378127463472"</f>
        <v>1552378127463472</v>
      </c>
      <c r="C8247" t="s">
        <v>40</v>
      </c>
      <c r="D8247">
        <v>5.6600010000000003</v>
      </c>
      <c r="E8247">
        <v>0.64395049999999998</v>
      </c>
      <c r="F8247" t="s">
        <v>117</v>
      </c>
      <c r="G8247">
        <v>-107.029</v>
      </c>
      <c r="H8247">
        <v>1.290745</v>
      </c>
      <c r="I8247">
        <v>158.15539999999999</v>
      </c>
      <c r="J8247">
        <v>-176.815</v>
      </c>
      <c r="K8247">
        <v>1.106894</v>
      </c>
      <c r="L8247">
        <v>138.61519999999999</v>
      </c>
      <c r="M8247">
        <v>0.73695710000000003</v>
      </c>
      <c r="N8247">
        <v>0</v>
      </c>
      <c r="O8247">
        <v>0.67562029999999995</v>
      </c>
      <c r="P8247">
        <v>0.80520919999999996</v>
      </c>
      <c r="Q8247">
        <v>-2.7002539999999998E-2</v>
      </c>
      <c r="R8247">
        <v>0.59237589999999996</v>
      </c>
      <c r="S8247">
        <v>3.0947110000000002</v>
      </c>
      <c r="T8247">
        <v>8.1490279999999991E-3</v>
      </c>
      <c r="U8247">
        <v>0.8679962</v>
      </c>
      <c r="V8247">
        <v>0.10741879999999999</v>
      </c>
      <c r="W8247">
        <v>-7.3639500000000002E-3</v>
      </c>
      <c r="X8247">
        <v>0.99418660000000003</v>
      </c>
      <c r="Y8247">
        <v>0.45159199999999999</v>
      </c>
      <c r="Z8247">
        <v>2.1593319999999999E-3</v>
      </c>
      <c r="AA8247">
        <v>0.89222190000000001</v>
      </c>
      <c r="AB8247">
        <v>15</v>
      </c>
      <c r="AC8247">
        <v>69.786000000000001</v>
      </c>
      <c r="AD8247">
        <v>0.18385099999999999</v>
      </c>
      <c r="AE8247">
        <v>19.540199999999999</v>
      </c>
      <c r="AF8247">
        <v>32.755405169766597</v>
      </c>
      <c r="AG8247">
        <v>0.18385099999999999</v>
      </c>
      <c r="AH8247">
        <v>64.644574733512201</v>
      </c>
      <c r="AI8247">
        <v>89.854644304790895</v>
      </c>
      <c r="AJ8247">
        <v>63.128667802566497</v>
      </c>
      <c r="AK8247">
        <v>72.469796546578095</v>
      </c>
      <c r="AL8247">
        <v>90.421927064328301</v>
      </c>
      <c r="AM8247">
        <v>83.833290249532894</v>
      </c>
      <c r="AN8247">
        <v>1.0000000109863001</v>
      </c>
    </row>
    <row r="8248" spans="1:40" x14ac:dyDescent="0.25">
      <c r="A8248" t="str">
        <f>"20190312160847486"</f>
        <v>20190312160847486</v>
      </c>
      <c r="B8248" t="str">
        <f>"1552378127483967"</f>
        <v>1552378127483967</v>
      </c>
      <c r="C8248" t="s">
        <v>40</v>
      </c>
      <c r="D8248">
        <v>5.4005769999999904</v>
      </c>
      <c r="E8248">
        <v>0.64327529999999999</v>
      </c>
      <c r="F8248" t="s">
        <v>117</v>
      </c>
      <c r="G8248">
        <v>-105.8708</v>
      </c>
      <c r="H8248">
        <v>5.021598</v>
      </c>
      <c r="I8248">
        <v>158.1566</v>
      </c>
      <c r="J8248">
        <v>-176.7491</v>
      </c>
      <c r="K8248">
        <v>1.106962</v>
      </c>
      <c r="L8248">
        <v>138.66730000000001</v>
      </c>
      <c r="M8248">
        <v>0.74032279999999995</v>
      </c>
      <c r="N8248">
        <v>0</v>
      </c>
      <c r="O8248">
        <v>0.67192949999999996</v>
      </c>
      <c r="P8248">
        <v>0.80802689999999999</v>
      </c>
      <c r="Q8248">
        <v>-2.7307479999999999E-2</v>
      </c>
      <c r="R8248">
        <v>0.58851239999999905</v>
      </c>
      <c r="S8248">
        <v>3.1027369999999999</v>
      </c>
      <c r="T8248">
        <v>0.17120949999999999</v>
      </c>
      <c r="U8248">
        <v>0.85464479999999998</v>
      </c>
      <c r="V8248">
        <v>0.1072051</v>
      </c>
      <c r="W8248">
        <v>-7.6207569999999997E-3</v>
      </c>
      <c r="X8248">
        <v>0.99420770000000003</v>
      </c>
      <c r="Y8248">
        <v>0.4499224</v>
      </c>
      <c r="Z8248">
        <v>4.5077489999999998E-2</v>
      </c>
      <c r="AA8248">
        <v>0.89192929999999904</v>
      </c>
      <c r="AB8248">
        <v>15</v>
      </c>
      <c r="AC8248">
        <v>70.878299999999996</v>
      </c>
      <c r="AD8248">
        <v>3.9146359999999998</v>
      </c>
      <c r="AE8248">
        <v>19.489299999999901</v>
      </c>
      <c r="AF8248">
        <v>33.110135811152198</v>
      </c>
      <c r="AG8248">
        <v>3.9146359999999998</v>
      </c>
      <c r="AH8248">
        <v>65.396989756906905</v>
      </c>
      <c r="AI8248">
        <v>86.943029049283794</v>
      </c>
      <c r="AJ8248">
        <v>63.147157516127997</v>
      </c>
      <c r="AK8248">
        <v>73.405529340169196</v>
      </c>
      <c r="AL8248">
        <v>90.436641447959602</v>
      </c>
      <c r="AM8248">
        <v>83.845593731770606</v>
      </c>
      <c r="AN8248">
        <v>0.999999980071276</v>
      </c>
    </row>
    <row r="8249" spans="1:40" x14ac:dyDescent="0.25">
      <c r="A8249" t="str">
        <f>"20190312160847498"</f>
        <v>20190312160847498</v>
      </c>
      <c r="B8249" t="str">
        <f>"1552378127493727"</f>
        <v>1552378127493727</v>
      </c>
      <c r="C8249" t="s">
        <v>40</v>
      </c>
      <c r="D8249">
        <v>5.3308280000000003</v>
      </c>
      <c r="E8249">
        <v>0.64307360000000002</v>
      </c>
      <c r="F8249" t="s">
        <v>117</v>
      </c>
      <c r="G8249">
        <v>-105.10429999999999</v>
      </c>
      <c r="H8249">
        <v>7.7510079999999997</v>
      </c>
      <c r="I8249">
        <v>158.1575</v>
      </c>
      <c r="J8249">
        <v>-176.69049999999999</v>
      </c>
      <c r="K8249">
        <v>1.106997</v>
      </c>
      <c r="L8249">
        <v>138.71350000000001</v>
      </c>
      <c r="M8249">
        <v>0.74330609999999997</v>
      </c>
      <c r="N8249">
        <v>0</v>
      </c>
      <c r="O8249">
        <v>0.66862779999999999</v>
      </c>
      <c r="P8249">
        <v>0.81060100000000002</v>
      </c>
      <c r="Q8249">
        <v>-2.7338520000000002E-2</v>
      </c>
      <c r="R8249">
        <v>0.58496049999999999</v>
      </c>
      <c r="S8249">
        <v>3.106903</v>
      </c>
      <c r="T8249">
        <v>0.28812130000000002</v>
      </c>
      <c r="U8249">
        <v>0.84519959999999905</v>
      </c>
      <c r="V8249">
        <v>0.10714310000000001</v>
      </c>
      <c r="W8249">
        <v>-7.6406590000000002E-3</v>
      </c>
      <c r="X8249">
        <v>0.99421420000000005</v>
      </c>
      <c r="Y8249">
        <v>0.44627850000000002</v>
      </c>
      <c r="Z8249">
        <v>7.5331049999999997E-2</v>
      </c>
      <c r="AA8249">
        <v>0.89171789999999995</v>
      </c>
      <c r="AB8249">
        <v>15</v>
      </c>
      <c r="AC8249">
        <v>71.586199999999906</v>
      </c>
      <c r="AD8249">
        <v>6.6440109999999999</v>
      </c>
      <c r="AE8249">
        <v>19.4439999999999</v>
      </c>
      <c r="AF8249">
        <v>33.1529573981121</v>
      </c>
      <c r="AG8249">
        <v>6.6440109999999999</v>
      </c>
      <c r="AH8249">
        <v>65.698553443754307</v>
      </c>
      <c r="AI8249">
        <v>84.841052791143895</v>
      </c>
      <c r="AJ8249">
        <v>63.2234686010476</v>
      </c>
      <c r="AK8249">
        <v>73.888844834731302</v>
      </c>
      <c r="AL8249">
        <v>90.437781795163701</v>
      </c>
      <c r="AM8249">
        <v>83.849165627727103</v>
      </c>
      <c r="AN8249">
        <v>0.99999994951460103</v>
      </c>
    </row>
    <row r="8250" spans="1:40" x14ac:dyDescent="0.25">
      <c r="A8250" t="str">
        <f>"20190312160847509"</f>
        <v>20190312160847509</v>
      </c>
      <c r="B8250" t="str">
        <f>"1552378127503488"</f>
        <v>1552378127503488</v>
      </c>
      <c r="C8250" t="s">
        <v>40</v>
      </c>
      <c r="D8250">
        <v>5.391394</v>
      </c>
      <c r="E8250">
        <v>0.64331539999999998</v>
      </c>
      <c r="F8250" t="s">
        <v>44</v>
      </c>
      <c r="G8250">
        <v>-175.98490000000001</v>
      </c>
      <c r="H8250">
        <v>1.1778420000000001</v>
      </c>
      <c r="I8250">
        <v>138.9025</v>
      </c>
      <c r="J8250">
        <v>-176.62450000000001</v>
      </c>
      <c r="K8250">
        <v>1.1069990000000001</v>
      </c>
      <c r="L8250">
        <v>138.76480000000001</v>
      </c>
      <c r="M8250">
        <v>0.74664129999999995</v>
      </c>
      <c r="N8250">
        <v>0</v>
      </c>
      <c r="O8250">
        <v>0.66490329999999997</v>
      </c>
      <c r="P8250">
        <v>0.8134576</v>
      </c>
      <c r="Q8250">
        <v>-2.7386890000000001E-2</v>
      </c>
      <c r="R8250">
        <v>0.58097919999999903</v>
      </c>
      <c r="S8250">
        <v>3.110306</v>
      </c>
      <c r="T8250">
        <v>0.31229499999999999</v>
      </c>
      <c r="U8250">
        <v>0.83305359999999995</v>
      </c>
      <c r="V8250">
        <v>0.1070443</v>
      </c>
      <c r="W8250">
        <v>-7.7400860000000002E-3</v>
      </c>
      <c r="X8250">
        <v>0.99422410000000006</v>
      </c>
      <c r="Y8250">
        <v>0.44464510000000002</v>
      </c>
      <c r="Z8250">
        <v>8.1260990000000005E-2</v>
      </c>
      <c r="AA8250">
        <v>0.892013099999999</v>
      </c>
      <c r="AB8250">
        <v>15</v>
      </c>
      <c r="AC8250">
        <v>0.63960000000000095</v>
      </c>
      <c r="AD8250">
        <v>7.0842999999999906E-2</v>
      </c>
      <c r="AE8250">
        <v>0.13769999999999499</v>
      </c>
      <c r="AF8250">
        <v>0.31879133733134901</v>
      </c>
      <c r="AG8250">
        <v>7.0842999999999906E-2</v>
      </c>
      <c r="AH8250">
        <v>0.562634766774885</v>
      </c>
      <c r="AI8250">
        <v>83.7481787157691</v>
      </c>
      <c r="AJ8250">
        <v>60.463918057454997</v>
      </c>
      <c r="AK8250">
        <v>0.65054171902372204</v>
      </c>
      <c r="AL8250">
        <v>90.443478699617401</v>
      </c>
      <c r="AM8250">
        <v>83.854854809858296</v>
      </c>
      <c r="AN8250">
        <v>0.99999997605729296</v>
      </c>
    </row>
    <row r="8251" spans="1:40" x14ac:dyDescent="0.25">
      <c r="A8251" t="str">
        <f>"20190312160847523"</f>
        <v>20190312160847523</v>
      </c>
      <c r="B8251" t="str">
        <f>"1552378127514223"</f>
        <v>1552378127514223</v>
      </c>
      <c r="C8251" t="s">
        <v>40</v>
      </c>
      <c r="D8251">
        <v>5.6752310000000001</v>
      </c>
      <c r="E8251">
        <v>0.64217539999999995</v>
      </c>
      <c r="F8251" t="s">
        <v>117</v>
      </c>
      <c r="G8251">
        <v>-103.6973</v>
      </c>
      <c r="H8251">
        <v>8.8593119999999992</v>
      </c>
      <c r="I8251">
        <v>157.8724</v>
      </c>
      <c r="J8251">
        <v>-176.54859999999999</v>
      </c>
      <c r="K8251">
        <v>1.106976</v>
      </c>
      <c r="L8251">
        <v>138.82320000000001</v>
      </c>
      <c r="M8251">
        <v>0.75044789999999995</v>
      </c>
      <c r="N8251">
        <v>0</v>
      </c>
      <c r="O8251">
        <v>0.66060730000000001</v>
      </c>
      <c r="P8251">
        <v>0.81638920000000004</v>
      </c>
      <c r="Q8251">
        <v>-2.784174E-2</v>
      </c>
      <c r="R8251">
        <v>0.57683059999999997</v>
      </c>
      <c r="S8251">
        <v>3.1160130000000001</v>
      </c>
      <c r="T8251">
        <v>0.33123839999999999</v>
      </c>
      <c r="U8251">
        <v>0.81642150000000002</v>
      </c>
      <c r="V8251">
        <v>0.1063829</v>
      </c>
      <c r="W8251">
        <v>-8.2963109999999902E-3</v>
      </c>
      <c r="X8251">
        <v>0.99429060000000002</v>
      </c>
      <c r="Y8251">
        <v>0.44382690000000002</v>
      </c>
      <c r="Z8251">
        <v>8.5741719999999993E-2</v>
      </c>
      <c r="AA8251">
        <v>0.89200119999999905</v>
      </c>
      <c r="AB8251">
        <v>15</v>
      </c>
      <c r="AC8251">
        <v>72.851299999999995</v>
      </c>
      <c r="AD8251">
        <v>7.7523359999999997</v>
      </c>
      <c r="AE8251">
        <v>19.0491999999999</v>
      </c>
      <c r="AF8251">
        <v>33.482987013209097</v>
      </c>
      <c r="AG8251">
        <v>7.7523359999999997</v>
      </c>
      <c r="AH8251">
        <v>66.563957258595906</v>
      </c>
      <c r="AI8251">
        <v>84.060145946198105</v>
      </c>
      <c r="AJ8251">
        <v>63.2966996496909</v>
      </c>
      <c r="AK8251">
        <v>74.913079890682695</v>
      </c>
      <c r="AL8251">
        <v>90.475349071376399</v>
      </c>
      <c r="AM8251">
        <v>83.892941671457706</v>
      </c>
      <c r="AN8251">
        <v>0.99999997371848903</v>
      </c>
    </row>
    <row r="8252" spans="1:40" x14ac:dyDescent="0.25">
      <c r="A8252" t="str">
        <f>"20190312160847537"</f>
        <v>20190312160847537</v>
      </c>
      <c r="B8252" t="str">
        <f>"1552378127533744"</f>
        <v>1552378127533744</v>
      </c>
      <c r="C8252" t="s">
        <v>40</v>
      </c>
      <c r="D8252">
        <v>5.1075749999999998</v>
      </c>
      <c r="E8252">
        <v>0.64018489999999995</v>
      </c>
      <c r="F8252" t="s">
        <v>44</v>
      </c>
      <c r="G8252">
        <v>-175.9041</v>
      </c>
      <c r="H8252">
        <v>1.177953</v>
      </c>
      <c r="I8252">
        <v>138.99029999999999</v>
      </c>
      <c r="J8252">
        <v>-176.47620000000001</v>
      </c>
      <c r="K8252">
        <v>1.1069549999999999</v>
      </c>
      <c r="L8252">
        <v>138.8784</v>
      </c>
      <c r="M8252">
        <v>0.75404640000000001</v>
      </c>
      <c r="N8252">
        <v>0</v>
      </c>
      <c r="O8252">
        <v>0.6565008</v>
      </c>
      <c r="P8252">
        <v>0.81926679999999996</v>
      </c>
      <c r="Q8252">
        <v>-2.7918419999999999E-2</v>
      </c>
      <c r="R8252">
        <v>0.57273260000000004</v>
      </c>
      <c r="S8252">
        <v>3.1152950000000001</v>
      </c>
      <c r="T8252">
        <v>0.34305780000000002</v>
      </c>
      <c r="U8252">
        <v>0.80828859999999902</v>
      </c>
      <c r="V8252">
        <v>0.1059317</v>
      </c>
      <c r="W8252">
        <v>-8.4843820000000004E-3</v>
      </c>
      <c r="X8252">
        <v>0.99433720000000003</v>
      </c>
      <c r="Y8252">
        <v>0.4407237</v>
      </c>
      <c r="Z8252">
        <v>8.8363780000000003E-2</v>
      </c>
      <c r="AA8252">
        <v>0.89328289999999999</v>
      </c>
      <c r="AB8252">
        <v>15</v>
      </c>
      <c r="AC8252">
        <v>0.57210000000000505</v>
      </c>
      <c r="AD8252">
        <v>7.0998000000000103E-2</v>
      </c>
      <c r="AE8252">
        <v>0.11189999999999101</v>
      </c>
      <c r="AF8252">
        <v>0.28701023126160202</v>
      </c>
      <c r="AG8252">
        <v>7.0998000000000103E-2</v>
      </c>
      <c r="AH8252">
        <v>0.49757780665434698</v>
      </c>
      <c r="AI8252">
        <v>82.954010113901106</v>
      </c>
      <c r="AJ8252">
        <v>60.023016445496403</v>
      </c>
      <c r="AK8252">
        <v>0.57879120806020401</v>
      </c>
      <c r="AL8252">
        <v>90.486125118325106</v>
      </c>
      <c r="AM8252">
        <v>83.918931800910698</v>
      </c>
      <c r="AN8252">
        <v>0.99999998855332495</v>
      </c>
    </row>
    <row r="8253" spans="1:40" x14ac:dyDescent="0.25">
      <c r="A8253" t="str">
        <f>"20190312160847549"</f>
        <v>20190312160847549</v>
      </c>
      <c r="B8253" t="str">
        <f>"1552378127543504"</f>
        <v>1552378127543504</v>
      </c>
      <c r="C8253" t="s">
        <v>40</v>
      </c>
      <c r="D8253">
        <v>5.8525710000000002</v>
      </c>
      <c r="E8253">
        <v>0.63941559999999997</v>
      </c>
      <c r="F8253" t="s">
        <v>44</v>
      </c>
      <c r="G8253">
        <v>-175.84649999999999</v>
      </c>
      <c r="H8253">
        <v>1.1790080000000001</v>
      </c>
      <c r="I8253">
        <v>139.04150000000001</v>
      </c>
      <c r="J8253">
        <v>-176.4136</v>
      </c>
      <c r="K8253">
        <v>1.106957</v>
      </c>
      <c r="L8253">
        <v>138.9254</v>
      </c>
      <c r="M8253">
        <v>0.75712179999999996</v>
      </c>
      <c r="N8253">
        <v>0</v>
      </c>
      <c r="O8253">
        <v>0.65295439999999905</v>
      </c>
      <c r="P8253">
        <v>0.82163699999999995</v>
      </c>
      <c r="Q8253">
        <v>-2.7605190000000002E-2</v>
      </c>
      <c r="R8253">
        <v>0.56934229999999997</v>
      </c>
      <c r="S8253">
        <v>3.1105800000000001</v>
      </c>
      <c r="T8253">
        <v>0.35592760000000001</v>
      </c>
      <c r="U8253">
        <v>0.80584719999999999</v>
      </c>
      <c r="V8253">
        <v>0.10538160000000001</v>
      </c>
      <c r="W8253">
        <v>-8.2524230000000001E-3</v>
      </c>
      <c r="X8253">
        <v>0.99439759999999999</v>
      </c>
      <c r="Y8253">
        <v>0.43644509999999997</v>
      </c>
      <c r="Z8253">
        <v>9.1279799999999994E-2</v>
      </c>
      <c r="AA8253">
        <v>0.89508860000000001</v>
      </c>
      <c r="AB8253">
        <v>15</v>
      </c>
      <c r="AC8253">
        <v>0.56710000000001004</v>
      </c>
      <c r="AD8253">
        <v>7.2051000000000004E-2</v>
      </c>
      <c r="AE8253">
        <v>0.116100000000017</v>
      </c>
      <c r="AF8253">
        <v>0.278138376948734</v>
      </c>
      <c r="AG8253">
        <v>7.2051000000000004E-2</v>
      </c>
      <c r="AH8253">
        <v>0.49756845337907002</v>
      </c>
      <c r="AI8253">
        <v>82.7961079369788</v>
      </c>
      <c r="AJ8253">
        <v>60.795019185667798</v>
      </c>
      <c r="AK8253">
        <v>0.57456650540273901</v>
      </c>
      <c r="AL8253">
        <v>90.472834382484905</v>
      </c>
      <c r="AM8253">
        <v>83.950640544349895</v>
      </c>
      <c r="AN8253">
        <v>0.99999998549484503</v>
      </c>
    </row>
    <row r="8254" spans="1:40" x14ac:dyDescent="0.25">
      <c r="A8254" t="str">
        <f>"20190312160847560"</f>
        <v>20190312160847560</v>
      </c>
      <c r="B8254" t="str">
        <f>"1552378127554239"</f>
        <v>1552378127554239</v>
      </c>
      <c r="C8254" t="s">
        <v>40</v>
      </c>
      <c r="D8254">
        <v>5.8581019999999997</v>
      </c>
      <c r="E8254">
        <v>0.63870000000000005</v>
      </c>
      <c r="F8254" t="s">
        <v>44</v>
      </c>
      <c r="G8254">
        <v>-175.80160000000001</v>
      </c>
      <c r="H8254">
        <v>1.1782300000000001</v>
      </c>
      <c r="I8254">
        <v>139.08240000000001</v>
      </c>
      <c r="J8254">
        <v>-176.35669999999999</v>
      </c>
      <c r="K8254">
        <v>1.106976</v>
      </c>
      <c r="L8254">
        <v>138.96770000000001</v>
      </c>
      <c r="M8254">
        <v>0.75989810000000002</v>
      </c>
      <c r="N8254">
        <v>0</v>
      </c>
      <c r="O8254">
        <v>0.64972339999999995</v>
      </c>
      <c r="P8254">
        <v>0.82364689999999996</v>
      </c>
      <c r="Q8254">
        <v>-2.7520320000000001E-2</v>
      </c>
      <c r="R8254">
        <v>0.56643489999999996</v>
      </c>
      <c r="S8254">
        <v>3.1104280000000002</v>
      </c>
      <c r="T8254">
        <v>0.36222529999999997</v>
      </c>
      <c r="U8254">
        <v>0.79804989999999998</v>
      </c>
      <c r="V8254">
        <v>0.1046618</v>
      </c>
      <c r="W8254">
        <v>-8.2194130000000001E-3</v>
      </c>
      <c r="X8254">
        <v>0.99447390000000002</v>
      </c>
      <c r="Y8254">
        <v>0.43452190000000002</v>
      </c>
      <c r="Z8254">
        <v>9.2556239999999998E-2</v>
      </c>
      <c r="AA8254">
        <v>0.89589289999999999</v>
      </c>
      <c r="AB8254">
        <v>15</v>
      </c>
      <c r="AC8254">
        <v>0.55509999999998105</v>
      </c>
      <c r="AD8254">
        <v>7.1253999999999901E-2</v>
      </c>
      <c r="AE8254">
        <v>0.114699999999999</v>
      </c>
      <c r="AF8254">
        <v>0.26930225485460502</v>
      </c>
      <c r="AG8254">
        <v>7.1253999999999901E-2</v>
      </c>
      <c r="AH8254">
        <v>0.48872266945369403</v>
      </c>
      <c r="AI8254">
        <v>82.723089093452401</v>
      </c>
      <c r="AJ8254">
        <v>61.143791100389898</v>
      </c>
      <c r="AK8254">
        <v>0.56253949605669396</v>
      </c>
      <c r="AL8254">
        <v>90.4709429804076</v>
      </c>
      <c r="AM8254">
        <v>83.992114506075794</v>
      </c>
      <c r="AN8254">
        <v>0.999999994455257</v>
      </c>
    </row>
    <row r="8255" spans="1:40" x14ac:dyDescent="0.25">
      <c r="A8255" t="str">
        <f>"20190312160847570"</f>
        <v>20190312160847570</v>
      </c>
      <c r="B8255" t="str">
        <f>"1552378127563999"</f>
        <v>1552378127563999</v>
      </c>
      <c r="C8255" t="s">
        <v>40</v>
      </c>
      <c r="D8255">
        <v>5.9056800000000003</v>
      </c>
      <c r="E8255">
        <v>0.63797399999999904</v>
      </c>
      <c r="F8255" t="s">
        <v>44</v>
      </c>
      <c r="G8255">
        <v>-175.7277</v>
      </c>
      <c r="H8255">
        <v>1.181011</v>
      </c>
      <c r="I8255">
        <v>139.12780000000001</v>
      </c>
      <c r="J8255">
        <v>-176.2955</v>
      </c>
      <c r="K8255">
        <v>1.10701</v>
      </c>
      <c r="L8255">
        <v>139.01300000000001</v>
      </c>
      <c r="M8255">
        <v>0.7628703</v>
      </c>
      <c r="N8255">
        <v>0</v>
      </c>
      <c r="O8255">
        <v>0.6462329</v>
      </c>
      <c r="P8255">
        <v>0.82602919999999902</v>
      </c>
      <c r="Q8255">
        <v>-2.714927E-2</v>
      </c>
      <c r="R8255">
        <v>0.5629731</v>
      </c>
      <c r="S8255">
        <v>3.110001</v>
      </c>
      <c r="T8255">
        <v>0.36604150000000002</v>
      </c>
      <c r="U8255">
        <v>0.79187010000000002</v>
      </c>
      <c r="V8255">
        <v>0.1042874</v>
      </c>
      <c r="W8255">
        <v>-7.8906029999999995E-3</v>
      </c>
      <c r="X8255">
        <v>0.99451590000000001</v>
      </c>
      <c r="Y8255">
        <v>0.43193720000000002</v>
      </c>
      <c r="Z8255">
        <v>9.3130610000000003E-2</v>
      </c>
      <c r="AA8255">
        <v>0.89708239999999995</v>
      </c>
      <c r="AB8255">
        <v>15</v>
      </c>
      <c r="AC8255">
        <v>0.56780000000000497</v>
      </c>
      <c r="AD8255">
        <v>7.40009999999999E-2</v>
      </c>
      <c r="AE8255">
        <v>0.114800000000002</v>
      </c>
      <c r="AF8255">
        <v>0.27492468511781298</v>
      </c>
      <c r="AG8255">
        <v>7.40009999999999E-2</v>
      </c>
      <c r="AH8255">
        <v>0.499301887846689</v>
      </c>
      <c r="AI8255">
        <v>82.602715989672006</v>
      </c>
      <c r="AJ8255">
        <v>61.162021209658398</v>
      </c>
      <c r="AK8255">
        <v>0.57477135079559805</v>
      </c>
      <c r="AL8255">
        <v>90.452102941517893</v>
      </c>
      <c r="AM8255">
        <v>84.013700764918298</v>
      </c>
      <c r="AN8255">
        <v>0.99999999938363604</v>
      </c>
    </row>
    <row r="8256" spans="1:40" x14ac:dyDescent="0.25">
      <c r="A8256" t="str">
        <f>"20190312160847582"</f>
        <v>20190312160847582</v>
      </c>
      <c r="B8256" t="str">
        <f>"1552378127573759"</f>
        <v>1552378127573759</v>
      </c>
      <c r="C8256" t="s">
        <v>40</v>
      </c>
      <c r="D8256">
        <v>5.914644</v>
      </c>
      <c r="E8256">
        <v>0.63727489999999998</v>
      </c>
      <c r="F8256" t="s">
        <v>44</v>
      </c>
      <c r="G8256">
        <v>-175.68029999999999</v>
      </c>
      <c r="H8256">
        <v>1.1798770000000001</v>
      </c>
      <c r="I8256">
        <v>139.1679</v>
      </c>
      <c r="J8256">
        <v>-176.2373</v>
      </c>
      <c r="K8256">
        <v>1.107046</v>
      </c>
      <c r="L8256">
        <v>139.05539999999999</v>
      </c>
      <c r="M8256">
        <v>0.76567850000000004</v>
      </c>
      <c r="N8256">
        <v>0</v>
      </c>
      <c r="O8256">
        <v>0.64290459999999905</v>
      </c>
      <c r="P8256">
        <v>0.82832530000000004</v>
      </c>
      <c r="Q8256">
        <v>-2.6925999999999999E-2</v>
      </c>
      <c r="R8256">
        <v>0.55960010000000004</v>
      </c>
      <c r="S8256">
        <v>3.1099399999999999</v>
      </c>
      <c r="T8256">
        <v>0.36833860000000002</v>
      </c>
      <c r="U8256">
        <v>0.78353879999999998</v>
      </c>
      <c r="V8256">
        <v>0.1040181</v>
      </c>
      <c r="W8256">
        <v>-7.6989299999999997E-3</v>
      </c>
      <c r="X8256">
        <v>0.99454560000000003</v>
      </c>
      <c r="Y8256">
        <v>0.43021209999999999</v>
      </c>
      <c r="Z8256">
        <v>9.3376520000000005E-2</v>
      </c>
      <c r="AA8256">
        <v>0.8978855</v>
      </c>
      <c r="AB8256">
        <v>15</v>
      </c>
      <c r="AC8256">
        <v>0.55700000000001604</v>
      </c>
      <c r="AD8256">
        <v>7.2831000000000007E-2</v>
      </c>
      <c r="AE8256">
        <v>0.11250000000001099</v>
      </c>
      <c r="AF8256">
        <v>0.26761865134538099</v>
      </c>
      <c r="AG8256">
        <v>7.2831000000000007E-2</v>
      </c>
      <c r="AH8256">
        <v>0.490848848022229</v>
      </c>
      <c r="AI8256">
        <v>82.577698411487106</v>
      </c>
      <c r="AJ8256">
        <v>61.400074531306501</v>
      </c>
      <c r="AK8256">
        <v>0.56378780468689604</v>
      </c>
      <c r="AL8256">
        <v>90.441120556032203</v>
      </c>
      <c r="AM8256">
        <v>84.029224307910198</v>
      </c>
      <c r="AN8256">
        <v>0.99999999456505695</v>
      </c>
    </row>
    <row r="8257" spans="1:40" x14ac:dyDescent="0.25">
      <c r="A8257" t="str">
        <f>"20190312160847603"</f>
        <v>20190312160847603</v>
      </c>
      <c r="B8257" t="str">
        <f>"1552378127594256"</f>
        <v>1552378127594256</v>
      </c>
      <c r="C8257" t="s">
        <v>40</v>
      </c>
      <c r="D8257">
        <v>6.0601399999999996</v>
      </c>
      <c r="E8257">
        <v>0.63662929999999995</v>
      </c>
      <c r="F8257" t="s">
        <v>44</v>
      </c>
      <c r="G8257">
        <v>-175.60560000000001</v>
      </c>
      <c r="H8257">
        <v>1.182072</v>
      </c>
      <c r="I8257">
        <v>139.21289999999999</v>
      </c>
      <c r="J8257">
        <v>-176.1249</v>
      </c>
      <c r="K8257">
        <v>1.107124</v>
      </c>
      <c r="L8257">
        <v>139.13659999999999</v>
      </c>
      <c r="M8257">
        <v>0.77106779999999997</v>
      </c>
      <c r="N8257">
        <v>0</v>
      </c>
      <c r="O8257">
        <v>0.63643369999999999</v>
      </c>
      <c r="P8257">
        <v>0.83267199999999997</v>
      </c>
      <c r="Q8257">
        <v>-2.6968949999999998E-2</v>
      </c>
      <c r="R8257">
        <v>0.55310930000000003</v>
      </c>
      <c r="S8257">
        <v>3.109985</v>
      </c>
      <c r="T8257">
        <v>0.3693825</v>
      </c>
      <c r="U8257">
        <v>0.77532959999999995</v>
      </c>
      <c r="V8257">
        <v>0.10341359999999999</v>
      </c>
      <c r="W8257">
        <v>-7.8051300000000004E-3</v>
      </c>
      <c r="X8257">
        <v>0.99460780000000004</v>
      </c>
      <c r="Y8257">
        <v>0.42487150000000001</v>
      </c>
      <c r="Z8257">
        <v>9.2818970000000001E-2</v>
      </c>
      <c r="AA8257">
        <v>0.90048249999999996</v>
      </c>
      <c r="AB8257">
        <v>15</v>
      </c>
      <c r="AC8257">
        <v>0.51929999999998699</v>
      </c>
      <c r="AD8257">
        <v>7.4948000000000001E-2</v>
      </c>
      <c r="AE8257">
        <v>7.6300000000003296E-2</v>
      </c>
      <c r="AF8257">
        <v>0.26629319448263999</v>
      </c>
      <c r="AG8257">
        <v>7.4948000000000001E-2</v>
      </c>
      <c r="AH8257">
        <v>0.44009339603362702</v>
      </c>
      <c r="AI8257">
        <v>81.710141933996795</v>
      </c>
      <c r="AJ8257">
        <v>58.8225651727494</v>
      </c>
      <c r="AK8257">
        <v>0.51981868508565598</v>
      </c>
      <c r="AL8257">
        <v>90.447205555295</v>
      </c>
      <c r="AM8257">
        <v>84.064043486696605</v>
      </c>
      <c r="AN8257">
        <v>0.99999998427005798</v>
      </c>
    </row>
    <row r="8258" spans="1:40" x14ac:dyDescent="0.25">
      <c r="A8258" t="str">
        <f>"20190312160847619"</f>
        <v>20190312160847619</v>
      </c>
      <c r="B8258" t="str">
        <f>"1552378127613775"</f>
        <v>1552378127613775</v>
      </c>
      <c r="C8258" t="s">
        <v>40</v>
      </c>
      <c r="D8258">
        <v>6.1277229999999996</v>
      </c>
      <c r="E8258">
        <v>0.63592729999999997</v>
      </c>
      <c r="F8258" t="s">
        <v>44</v>
      </c>
      <c r="G8258">
        <v>-175.49119999999999</v>
      </c>
      <c r="H8258">
        <v>1.182372</v>
      </c>
      <c r="I8258">
        <v>139.2903</v>
      </c>
      <c r="J8258">
        <v>-176.04079999999999</v>
      </c>
      <c r="K8258">
        <v>1.107167</v>
      </c>
      <c r="L8258">
        <v>139.19640000000001</v>
      </c>
      <c r="M8258">
        <v>0.77504759999999995</v>
      </c>
      <c r="N8258">
        <v>0</v>
      </c>
      <c r="O8258">
        <v>0.63158369999999997</v>
      </c>
      <c r="P8258">
        <v>0.83609129999999998</v>
      </c>
      <c r="Q8258">
        <v>-2.692321E-2</v>
      </c>
      <c r="R8258">
        <v>0.54792919999999901</v>
      </c>
      <c r="S8258">
        <v>3.1129609999999999</v>
      </c>
      <c r="T8258">
        <v>0.36964089999999999</v>
      </c>
      <c r="U8258">
        <v>0.75553890000000001</v>
      </c>
      <c r="V8258">
        <v>0.1033487</v>
      </c>
      <c r="W8258">
        <v>-7.8257719999999999E-3</v>
      </c>
      <c r="X8258">
        <v>0.99461440000000001</v>
      </c>
      <c r="Y8258">
        <v>0.42481429999999998</v>
      </c>
      <c r="Z8258">
        <v>9.2479699999999998E-2</v>
      </c>
      <c r="AA8258">
        <v>0.90054449999999997</v>
      </c>
      <c r="AB8258">
        <v>14</v>
      </c>
      <c r="AC8258">
        <v>0.54959999999999798</v>
      </c>
      <c r="AD8258">
        <v>7.5204999999999897E-2</v>
      </c>
      <c r="AE8258">
        <v>9.3899999999990699E-2</v>
      </c>
      <c r="AF8258">
        <v>0.26949386054720997</v>
      </c>
      <c r="AG8258">
        <v>7.5204999999999897E-2</v>
      </c>
      <c r="AH8258">
        <v>0.47669719032291602</v>
      </c>
      <c r="AI8258">
        <v>82.1801836542746</v>
      </c>
      <c r="AJ8258">
        <v>60.518981119131702</v>
      </c>
      <c r="AK8258">
        <v>0.55274129948774497</v>
      </c>
      <c r="AL8258">
        <v>90.448388283597097</v>
      </c>
      <c r="AM8258">
        <v>84.067781266354999</v>
      </c>
      <c r="AN8258">
        <v>1.0000000005932199</v>
      </c>
    </row>
    <row r="8259" spans="1:40" x14ac:dyDescent="0.25">
      <c r="A8259" t="str">
        <f>"20190312160847637"</f>
        <v>20190312160847637</v>
      </c>
      <c r="B8259" t="str">
        <f>"1552378127634272"</f>
        <v>1552378127634272</v>
      </c>
      <c r="C8259" t="s">
        <v>40</v>
      </c>
      <c r="D8259">
        <v>5.9666290000000002</v>
      </c>
      <c r="E8259">
        <v>0.63485469999999999</v>
      </c>
      <c r="F8259" t="s">
        <v>44</v>
      </c>
      <c r="G8259">
        <v>-175.39779999999999</v>
      </c>
      <c r="H8259">
        <v>1.182712</v>
      </c>
      <c r="I8259">
        <v>139.3493</v>
      </c>
      <c r="J8259">
        <v>-175.94589999999999</v>
      </c>
      <c r="K8259">
        <v>1.1072</v>
      </c>
      <c r="L8259">
        <v>139.2629</v>
      </c>
      <c r="M8259">
        <v>0.77948019999999996</v>
      </c>
      <c r="N8259">
        <v>0</v>
      </c>
      <c r="O8259">
        <v>0.626108199999999</v>
      </c>
      <c r="P8259">
        <v>0.83982649999999903</v>
      </c>
      <c r="Q8259">
        <v>-2.7188239999999999E-2</v>
      </c>
      <c r="R8259">
        <v>0.54217369999999898</v>
      </c>
      <c r="S8259">
        <v>3.1144560000000001</v>
      </c>
      <c r="T8259">
        <v>0.36588169999999998</v>
      </c>
      <c r="U8259">
        <v>0.74078369999999905</v>
      </c>
      <c r="V8259">
        <v>0.1031644</v>
      </c>
      <c r="W8259">
        <v>-8.1788659999999999E-3</v>
      </c>
      <c r="X8259">
        <v>0.99463069999999998</v>
      </c>
      <c r="Y8259">
        <v>0.42273959999999999</v>
      </c>
      <c r="Z8259">
        <v>9.0986670000000006E-2</v>
      </c>
      <c r="AA8259">
        <v>0.90167209999999998</v>
      </c>
      <c r="AB8259">
        <v>14</v>
      </c>
      <c r="AC8259">
        <v>0.54810000000000503</v>
      </c>
      <c r="AD8259">
        <v>7.5511999999999996E-2</v>
      </c>
      <c r="AE8259">
        <v>8.6399999999997507E-2</v>
      </c>
      <c r="AF8259">
        <v>0.270861391698344</v>
      </c>
      <c r="AG8259">
        <v>7.5511999999999996E-2</v>
      </c>
      <c r="AH8259">
        <v>0.47267083780951402</v>
      </c>
      <c r="AI8259">
        <v>82.108488631306699</v>
      </c>
      <c r="AJ8259">
        <v>60.185374712938902</v>
      </c>
      <c r="AK8259">
        <v>0.54998697854795797</v>
      </c>
      <c r="AL8259">
        <v>90.468619723828198</v>
      </c>
      <c r="AM8259">
        <v>84.078381207300495</v>
      </c>
      <c r="AN8259">
        <v>1.00000000832944</v>
      </c>
    </row>
    <row r="8260" spans="1:40" x14ac:dyDescent="0.25">
      <c r="A8260" t="str">
        <f>"20190312160847659"</f>
        <v>20190312160847659</v>
      </c>
      <c r="B8260" t="str">
        <f>"1552378127653791"</f>
        <v>1552378127653791</v>
      </c>
      <c r="C8260" t="s">
        <v>40</v>
      </c>
      <c r="D8260">
        <v>5.4279299999999999</v>
      </c>
      <c r="E8260">
        <v>0.63396750000000002</v>
      </c>
      <c r="F8260" t="s">
        <v>44</v>
      </c>
      <c r="G8260">
        <v>-175.2955</v>
      </c>
      <c r="H8260">
        <v>1.182626</v>
      </c>
      <c r="I8260">
        <v>139.4145</v>
      </c>
      <c r="J8260">
        <v>-175.82409999999999</v>
      </c>
      <c r="K8260">
        <v>1.10724</v>
      </c>
      <c r="L8260">
        <v>139.3468</v>
      </c>
      <c r="M8260">
        <v>0.78505659999999999</v>
      </c>
      <c r="N8260">
        <v>0</v>
      </c>
      <c r="O8260">
        <v>0.61910559999999903</v>
      </c>
      <c r="P8260">
        <v>0.84454669999999898</v>
      </c>
      <c r="Q8260">
        <v>-2.7207060000000002E-2</v>
      </c>
      <c r="R8260">
        <v>0.53479030000000005</v>
      </c>
      <c r="S8260">
        <v>3.1148530000000001</v>
      </c>
      <c r="T8260">
        <v>0.36122569999999998</v>
      </c>
      <c r="U8260">
        <v>0.72650150000000002</v>
      </c>
      <c r="V8260">
        <v>0.10297829999999999</v>
      </c>
      <c r="W8260">
        <v>-8.3045210000000005E-3</v>
      </c>
      <c r="X8260">
        <v>0.99464889999999995</v>
      </c>
      <c r="Y8260">
        <v>0.41878189999999998</v>
      </c>
      <c r="Z8260">
        <v>8.9068320000000006E-2</v>
      </c>
      <c r="AA8260">
        <v>0.90370830000000002</v>
      </c>
      <c r="AB8260">
        <v>14</v>
      </c>
      <c r="AC8260">
        <v>0.52859999999998297</v>
      </c>
      <c r="AD8260">
        <v>7.5385999999999898E-2</v>
      </c>
      <c r="AE8260">
        <v>6.7700000000001995E-2</v>
      </c>
      <c r="AF8260">
        <v>0.26878636838797898</v>
      </c>
      <c r="AG8260">
        <v>7.5385999999999898E-2</v>
      </c>
      <c r="AH8260">
        <v>0.44801933488706303</v>
      </c>
      <c r="AI8260">
        <v>81.789476885015006</v>
      </c>
      <c r="AJ8260">
        <v>59.038616255185097</v>
      </c>
      <c r="AK8260">
        <v>0.52787355044541195</v>
      </c>
      <c r="AL8260">
        <v>90.475819490185003</v>
      </c>
      <c r="AM8260">
        <v>84.089095006628099</v>
      </c>
      <c r="AN8260">
        <v>0.99999996480556896</v>
      </c>
    </row>
    <row r="8261" spans="1:40" x14ac:dyDescent="0.25">
      <c r="A8261" t="str">
        <f>"20190312160847673"</f>
        <v>20190312160847673</v>
      </c>
      <c r="B8261" t="str">
        <f>"1552378127663552"</f>
        <v>1552378127663552</v>
      </c>
      <c r="C8261" t="s">
        <v>40</v>
      </c>
      <c r="D8261">
        <v>5.3923480000000001</v>
      </c>
      <c r="E8261">
        <v>0.63345459999999998</v>
      </c>
      <c r="F8261" t="s">
        <v>44</v>
      </c>
      <c r="G8261">
        <v>-175.1738</v>
      </c>
      <c r="H8261">
        <v>1.181557</v>
      </c>
      <c r="I8261">
        <v>139.49379999999999</v>
      </c>
      <c r="J8261">
        <v>-175.7473</v>
      </c>
      <c r="K8261">
        <v>1.1072649999999999</v>
      </c>
      <c r="L8261">
        <v>139.3989</v>
      </c>
      <c r="M8261">
        <v>0.78851499999999997</v>
      </c>
      <c r="N8261">
        <v>0</v>
      </c>
      <c r="O8261">
        <v>0.61469689999999999</v>
      </c>
      <c r="P8261">
        <v>0.84731219999999996</v>
      </c>
      <c r="Q8261">
        <v>-2.7047580000000002E-2</v>
      </c>
      <c r="R8261">
        <v>0.53040600000000004</v>
      </c>
      <c r="S8261">
        <v>3.1171570000000002</v>
      </c>
      <c r="T8261">
        <v>0.35626729999999901</v>
      </c>
      <c r="U8261">
        <v>0.70513919999999997</v>
      </c>
      <c r="V8261">
        <v>0.1025636</v>
      </c>
      <c r="W8261">
        <v>-8.1992660000000002E-3</v>
      </c>
      <c r="X8261">
        <v>0.99469269999999999</v>
      </c>
      <c r="Y8261">
        <v>0.41990179999999999</v>
      </c>
      <c r="Z8261">
        <v>8.7576689999999999E-2</v>
      </c>
      <c r="AA8261">
        <v>0.90333430000000003</v>
      </c>
      <c r="AB8261">
        <v>14</v>
      </c>
      <c r="AC8261">
        <v>0.57349999999999501</v>
      </c>
      <c r="AD8261">
        <v>7.4291999999999997E-2</v>
      </c>
      <c r="AE8261">
        <v>9.4899999999995502E-2</v>
      </c>
      <c r="AF8261">
        <v>0.27328918703785898</v>
      </c>
      <c r="AG8261">
        <v>7.4291999999999997E-2</v>
      </c>
      <c r="AH8261">
        <v>0.50244139753051198</v>
      </c>
      <c r="AI8261">
        <v>82.599230694600394</v>
      </c>
      <c r="AJ8261">
        <v>61.457235274798101</v>
      </c>
      <c r="AK8261">
        <v>0.57676133622862402</v>
      </c>
      <c r="AL8261">
        <v>90.469788580287201</v>
      </c>
      <c r="AM8261">
        <v>84.112988478534106</v>
      </c>
      <c r="AN8261">
        <v>1.00000004372059</v>
      </c>
    </row>
    <row r="8262" spans="1:40" x14ac:dyDescent="0.25">
      <c r="A8262" t="str">
        <f>"20190312160847686"</f>
        <v>20190312160847686</v>
      </c>
      <c r="B8262" t="str">
        <f>"1552378127674289"</f>
        <v>1552378127674289</v>
      </c>
      <c r="C8262" t="s">
        <v>40</v>
      </c>
      <c r="D8262">
        <v>6.1797360000000001</v>
      </c>
      <c r="E8262">
        <v>0.63314499999999996</v>
      </c>
      <c r="F8262" t="s">
        <v>117</v>
      </c>
      <c r="G8262">
        <v>-93.906970000000001</v>
      </c>
      <c r="H8262">
        <v>10.406180000000001</v>
      </c>
      <c r="I8262">
        <v>157.57069999999999</v>
      </c>
      <c r="J8262">
        <v>-175.68440000000001</v>
      </c>
      <c r="K8262">
        <v>1.1072879999999901</v>
      </c>
      <c r="L8262">
        <v>139.4409</v>
      </c>
      <c r="M8262">
        <v>0.79131779999999996</v>
      </c>
      <c r="N8262">
        <v>0</v>
      </c>
      <c r="O8262">
        <v>0.61108600000000002</v>
      </c>
      <c r="P8262">
        <v>0.84983039999999999</v>
      </c>
      <c r="Q8262">
        <v>-2.684156E-2</v>
      </c>
      <c r="R8262">
        <v>0.52637219999999996</v>
      </c>
      <c r="S8262">
        <v>3.118484</v>
      </c>
      <c r="T8262">
        <v>0.3543308</v>
      </c>
      <c r="U8262">
        <v>0.69242859999999995</v>
      </c>
      <c r="V8262">
        <v>0.10274999999999999</v>
      </c>
      <c r="W8262">
        <v>-8.0339009999999995E-3</v>
      </c>
      <c r="X8262">
        <v>0.99467470000000002</v>
      </c>
      <c r="Y8262">
        <v>0.41942689999999999</v>
      </c>
      <c r="Z8262">
        <v>8.6790290000000006E-2</v>
      </c>
      <c r="AA8262">
        <v>0.90363070000000001</v>
      </c>
      <c r="AB8262">
        <v>14</v>
      </c>
      <c r="AC8262">
        <v>81.777429999999995</v>
      </c>
      <c r="AD8262">
        <v>9.2988920000000004</v>
      </c>
      <c r="AE8262">
        <v>18.1297999999999</v>
      </c>
      <c r="AF8262">
        <v>35.199750926355001</v>
      </c>
      <c r="AG8262">
        <v>9.2988920000000004</v>
      </c>
      <c r="AH8262">
        <v>74.882719720198494</v>
      </c>
      <c r="AI8262">
        <v>83.587861777637698</v>
      </c>
      <c r="AJ8262">
        <v>64.823421848602806</v>
      </c>
      <c r="AK8262">
        <v>83.264119345603405</v>
      </c>
      <c r="AL8262">
        <v>90.460313603227803</v>
      </c>
      <c r="AM8262">
        <v>84.102258743282206</v>
      </c>
      <c r="AN8262">
        <v>0.99999993244268104</v>
      </c>
    </row>
    <row r="8263" spans="1:40" x14ac:dyDescent="0.25">
      <c r="A8263" t="str">
        <f>"20190312160847702"</f>
        <v>20190312160847702</v>
      </c>
      <c r="B8263" t="str">
        <f>"1552378127693808"</f>
        <v>1552378127693808</v>
      </c>
      <c r="C8263" t="s">
        <v>40</v>
      </c>
      <c r="D8263">
        <v>6.2547269999999999</v>
      </c>
      <c r="E8263">
        <v>0.6324301</v>
      </c>
      <c r="F8263" t="s">
        <v>44</v>
      </c>
      <c r="G8263">
        <v>-175.0395</v>
      </c>
      <c r="H8263">
        <v>1.1801140000000001</v>
      </c>
      <c r="I8263">
        <v>139.5814</v>
      </c>
      <c r="J8263">
        <v>-175.59549999999999</v>
      </c>
      <c r="K8263">
        <v>1.107332</v>
      </c>
      <c r="L8263">
        <v>139.49979999999999</v>
      </c>
      <c r="M8263">
        <v>0.79524379999999995</v>
      </c>
      <c r="N8263">
        <v>0</v>
      </c>
      <c r="O8263">
        <v>0.60597009999999996</v>
      </c>
      <c r="P8263">
        <v>0.85305219999999904</v>
      </c>
      <c r="Q8263">
        <v>-2.688513E-2</v>
      </c>
      <c r="R8263">
        <v>0.52113259999999995</v>
      </c>
      <c r="S8263">
        <v>3.1202999999999999</v>
      </c>
      <c r="T8263">
        <v>0.35239340000000002</v>
      </c>
      <c r="U8263">
        <v>0.67961119999999997</v>
      </c>
      <c r="V8263">
        <v>0.1024547</v>
      </c>
      <c r="W8263">
        <v>-8.1258930000000004E-3</v>
      </c>
      <c r="X8263">
        <v>0.99470449999999999</v>
      </c>
      <c r="Y8263">
        <v>0.41732900000000001</v>
      </c>
      <c r="Z8263">
        <v>8.5772829999999994E-2</v>
      </c>
      <c r="AA8263">
        <v>0.90469860000000002</v>
      </c>
      <c r="AB8263">
        <v>14</v>
      </c>
      <c r="AC8263">
        <v>0.55599999999998295</v>
      </c>
      <c r="AD8263">
        <v>7.2781999999999902E-2</v>
      </c>
      <c r="AE8263">
        <v>8.1600000000008693E-2</v>
      </c>
      <c r="AF8263">
        <v>0.267591557226035</v>
      </c>
      <c r="AG8263">
        <v>7.2781999999999902E-2</v>
      </c>
      <c r="AH8263">
        <v>0.483586197844662</v>
      </c>
      <c r="AI8263">
        <v>82.498000457139199</v>
      </c>
      <c r="AJ8263">
        <v>61.042129812715203</v>
      </c>
      <c r="AK8263">
        <v>0.55745678914917796</v>
      </c>
      <c r="AL8263">
        <v>90.465584488690297</v>
      </c>
      <c r="AM8263">
        <v>84.119264634007493</v>
      </c>
      <c r="AN8263">
        <v>1.00000001900469</v>
      </c>
    </row>
    <row r="8264" spans="1:40" x14ac:dyDescent="0.25">
      <c r="A8264" t="str">
        <f>"20190312160847725"</f>
        <v>20190312160847725</v>
      </c>
      <c r="B8264" t="str">
        <f>"1552378127714303"</f>
        <v>1552378127714303</v>
      </c>
      <c r="C8264" t="s">
        <v>40</v>
      </c>
      <c r="D8264">
        <v>5.4611390000000002</v>
      </c>
      <c r="E8264">
        <v>0.63138229999999995</v>
      </c>
      <c r="F8264" t="s">
        <v>44</v>
      </c>
      <c r="G8264">
        <v>-174.94239999999999</v>
      </c>
      <c r="H8264">
        <v>1.1800569999999999</v>
      </c>
      <c r="I8264">
        <v>139.63910000000001</v>
      </c>
      <c r="J8264">
        <v>-175.47739999999999</v>
      </c>
      <c r="K8264">
        <v>1.1073919999999999</v>
      </c>
      <c r="L8264">
        <v>139.57669999999999</v>
      </c>
      <c r="M8264">
        <v>0.80038869999999995</v>
      </c>
      <c r="N8264">
        <v>0</v>
      </c>
      <c r="O8264">
        <v>0.59916059999999904</v>
      </c>
      <c r="P8264">
        <v>0.85731979999999997</v>
      </c>
      <c r="Q8264">
        <v>-2.679277E-2</v>
      </c>
      <c r="R8264">
        <v>0.5140865</v>
      </c>
      <c r="S8264">
        <v>3.121292</v>
      </c>
      <c r="T8264">
        <v>0.34757460000000001</v>
      </c>
      <c r="U8264">
        <v>0.66532899999999995</v>
      </c>
      <c r="V8264">
        <v>0.1021625</v>
      </c>
      <c r="W8264">
        <v>-8.0925279999999999E-3</v>
      </c>
      <c r="X8264">
        <v>0.99473480000000003</v>
      </c>
      <c r="Y8264">
        <v>0.41379539999999998</v>
      </c>
      <c r="Z8264">
        <v>8.3868869999999998E-2</v>
      </c>
      <c r="AA8264">
        <v>0.90649840000000004</v>
      </c>
      <c r="AB8264">
        <v>14</v>
      </c>
      <c r="AC8264">
        <v>0.53499999999999603</v>
      </c>
      <c r="AD8264">
        <v>7.2664999999999896E-2</v>
      </c>
      <c r="AE8264">
        <v>6.2400000000025102E-2</v>
      </c>
      <c r="AF8264">
        <v>0.26582073116003102</v>
      </c>
      <c r="AG8264">
        <v>7.2664999999999896E-2</v>
      </c>
      <c r="AH8264">
        <v>0.457361077595836</v>
      </c>
      <c r="AI8264">
        <v>82.178614037465294</v>
      </c>
      <c r="AJ8264">
        <v>59.834614206478101</v>
      </c>
      <c r="AK8264">
        <v>0.53396630852430904</v>
      </c>
      <c r="AL8264">
        <v>90.463672763837806</v>
      </c>
      <c r="AM8264">
        <v>84.136096779061106</v>
      </c>
      <c r="AN8264">
        <v>0.99999999387336003</v>
      </c>
    </row>
    <row r="8265" spans="1:40" x14ac:dyDescent="0.25">
      <c r="A8265" t="str">
        <f>"20190312160847739"</f>
        <v>20190312160847739</v>
      </c>
      <c r="B8265" t="str">
        <f>"1552378127733824"</f>
        <v>1552378127733824</v>
      </c>
      <c r="C8265" t="s">
        <v>40</v>
      </c>
      <c r="D8265">
        <v>6.0779550000000002</v>
      </c>
      <c r="E8265">
        <v>0.63041550000000002</v>
      </c>
      <c r="F8265" t="s">
        <v>44</v>
      </c>
      <c r="G8265">
        <v>-174.8235</v>
      </c>
      <c r="H8265">
        <v>1.179516</v>
      </c>
      <c r="I8265">
        <v>139.71199999999999</v>
      </c>
      <c r="J8265">
        <v>-175.40389999999999</v>
      </c>
      <c r="K8265">
        <v>1.107434</v>
      </c>
      <c r="L8265">
        <v>139.62389999999999</v>
      </c>
      <c r="M8265">
        <v>0.80355399999999999</v>
      </c>
      <c r="N8265">
        <v>0</v>
      </c>
      <c r="O8265">
        <v>0.5949103</v>
      </c>
      <c r="P8265">
        <v>0.86005200000000004</v>
      </c>
      <c r="Q8265">
        <v>-2.658864E-2</v>
      </c>
      <c r="R8265">
        <v>0.50951329999999995</v>
      </c>
      <c r="S8265">
        <v>3.1220699999999999</v>
      </c>
      <c r="T8265">
        <v>0.34432600000000002</v>
      </c>
      <c r="U8265">
        <v>0.64694209999999996</v>
      </c>
      <c r="V8265">
        <v>0.1021934</v>
      </c>
      <c r="W8265">
        <v>-7.9226590000000003E-3</v>
      </c>
      <c r="X8265">
        <v>0.99473299999999998</v>
      </c>
      <c r="Y8265">
        <v>0.41424680000000003</v>
      </c>
      <c r="Z8265">
        <v>8.2808380000000001E-2</v>
      </c>
      <c r="AA8265">
        <v>0.90638969999999996</v>
      </c>
      <c r="AB8265">
        <v>14</v>
      </c>
      <c r="AC8265">
        <v>0.58039999999999703</v>
      </c>
      <c r="AD8265">
        <v>7.2081999999999896E-2</v>
      </c>
      <c r="AE8265">
        <v>8.8100000000025602E-2</v>
      </c>
      <c r="AF8265">
        <v>0.27046761509358602</v>
      </c>
      <c r="AG8265">
        <v>7.2081999999999896E-2</v>
      </c>
      <c r="AH8265">
        <v>0.51118663913173201</v>
      </c>
      <c r="AI8265">
        <v>82.895384917805103</v>
      </c>
      <c r="AJ8265">
        <v>62.116791271090896</v>
      </c>
      <c r="AK8265">
        <v>0.58280384827590803</v>
      </c>
      <c r="AL8265">
        <v>90.453939671973998</v>
      </c>
      <c r="AM8265">
        <v>84.134325011296795</v>
      </c>
      <c r="AN8265">
        <v>1.0000000004090901</v>
      </c>
    </row>
    <row r="8266" spans="1:40" x14ac:dyDescent="0.25">
      <c r="A8266" t="str">
        <f>"20190312160847750"</f>
        <v>20190312160847750</v>
      </c>
      <c r="B8266" t="str">
        <f>"1552378127743586"</f>
        <v>1552378127743586</v>
      </c>
      <c r="C8266" t="s">
        <v>40</v>
      </c>
      <c r="D8266">
        <v>6.197279</v>
      </c>
      <c r="E8266">
        <v>0.62994539999999999</v>
      </c>
      <c r="F8266" t="s">
        <v>44</v>
      </c>
      <c r="G8266">
        <v>-174.7373</v>
      </c>
      <c r="H8266">
        <v>1.1802950000000001</v>
      </c>
      <c r="I8266">
        <v>139.75980000000001</v>
      </c>
      <c r="J8266">
        <v>-175.3451</v>
      </c>
      <c r="K8266">
        <v>1.107475</v>
      </c>
      <c r="L8266">
        <v>139.66120000000001</v>
      </c>
      <c r="M8266">
        <v>0.80605919999999998</v>
      </c>
      <c r="N8266">
        <v>0</v>
      </c>
      <c r="O8266">
        <v>0.5915125</v>
      </c>
      <c r="P8266">
        <v>0.86205549999999997</v>
      </c>
      <c r="Q8266">
        <v>-2.6618570000000001E-2</v>
      </c>
      <c r="R8266">
        <v>0.50611450000000002</v>
      </c>
      <c r="S8266">
        <v>3.121445</v>
      </c>
      <c r="T8266">
        <v>0.3411785</v>
      </c>
      <c r="U8266">
        <v>0.63684079999999998</v>
      </c>
      <c r="V8266">
        <v>0.1019196</v>
      </c>
      <c r="W8266">
        <v>-7.9727010000000004E-3</v>
      </c>
      <c r="X8266">
        <v>0.99476070000000005</v>
      </c>
      <c r="Y8266">
        <v>0.41329759999999999</v>
      </c>
      <c r="Z8266">
        <v>8.177305E-2</v>
      </c>
      <c r="AA8266">
        <v>0.90691690000000003</v>
      </c>
      <c r="AB8266">
        <v>14</v>
      </c>
      <c r="AC8266">
        <v>0.60779999999999701</v>
      </c>
      <c r="AD8266">
        <v>7.2820000000000107E-2</v>
      </c>
      <c r="AE8266">
        <v>9.8600000000004601E-2</v>
      </c>
      <c r="AF8266">
        <v>0.27623384684970398</v>
      </c>
      <c r="AG8266">
        <v>7.2820000000000107E-2</v>
      </c>
      <c r="AH8266">
        <v>0.54078699568766397</v>
      </c>
      <c r="AI8266">
        <v>83.161906239562995</v>
      </c>
      <c r="AJ8266">
        <v>62.942067451686697</v>
      </c>
      <c r="AK8266">
        <v>0.611603192642317</v>
      </c>
      <c r="AL8266">
        <v>90.456806953756498</v>
      </c>
      <c r="AM8266">
        <v>84.150093155716107</v>
      </c>
      <c r="AN8266">
        <v>1.0000000095449399</v>
      </c>
    </row>
    <row r="8267" spans="1:40" x14ac:dyDescent="0.25">
      <c r="A8267" t="str">
        <f>"20190312160847761"</f>
        <v>20190312160847761</v>
      </c>
      <c r="B8267" t="str">
        <f>"1552378127753344"</f>
        <v>1552378127753344</v>
      </c>
      <c r="C8267" t="s">
        <v>40</v>
      </c>
      <c r="D8267">
        <v>5.7407709999999996</v>
      </c>
      <c r="E8267">
        <v>0.62994539999999999</v>
      </c>
      <c r="F8267" t="s">
        <v>117</v>
      </c>
      <c r="G8267">
        <v>-85.628150000000005</v>
      </c>
      <c r="H8267">
        <v>10.847429999999999</v>
      </c>
      <c r="I8267">
        <v>157.702</v>
      </c>
      <c r="J8267">
        <v>-175.28809999999999</v>
      </c>
      <c r="K8267">
        <v>1.1077030000000001</v>
      </c>
      <c r="L8267">
        <v>139.69710000000001</v>
      </c>
      <c r="M8267">
        <v>0.80835979999999996</v>
      </c>
      <c r="N8267">
        <v>0</v>
      </c>
      <c r="O8267">
        <v>0.58835559999999998</v>
      </c>
      <c r="P8267">
        <v>0.86398770000000003</v>
      </c>
      <c r="Q8267">
        <v>-2.6951599999999999E-2</v>
      </c>
      <c r="R8267">
        <v>0.50279110000000005</v>
      </c>
      <c r="S8267">
        <v>3.1219329999999998</v>
      </c>
      <c r="T8267">
        <v>0.33892699999999998</v>
      </c>
      <c r="U8267">
        <v>0.62777709999999998</v>
      </c>
      <c r="V8267">
        <v>0.1018602</v>
      </c>
      <c r="W8267">
        <v>-7.9982509999999996E-3</v>
      </c>
      <c r="X8267">
        <v>0.99476659999999995</v>
      </c>
      <c r="Y8267">
        <v>0.4123868</v>
      </c>
      <c r="Z8267">
        <v>8.0944420000000003E-2</v>
      </c>
      <c r="AA8267">
        <v>0.90740569999999998</v>
      </c>
      <c r="AB8267">
        <v>14</v>
      </c>
      <c r="AC8267">
        <v>89.659949999999895</v>
      </c>
      <c r="AD8267">
        <v>9.7397270000000002</v>
      </c>
      <c r="AE8267">
        <v>18.0048999999999</v>
      </c>
      <c r="AF8267">
        <v>37.776489594166499</v>
      </c>
      <c r="AG8267">
        <v>9.7397270000000002</v>
      </c>
      <c r="AH8267">
        <v>82.1551900522024</v>
      </c>
      <c r="AI8267">
        <v>83.852287744249097</v>
      </c>
      <c r="AJ8267">
        <v>65.306145703079906</v>
      </c>
      <c r="AK8267">
        <v>90.947241302890504</v>
      </c>
      <c r="AL8267">
        <v>90.458270898020103</v>
      </c>
      <c r="AM8267">
        <v>84.153513365132895</v>
      </c>
      <c r="AN8267">
        <v>1.00000003041932</v>
      </c>
    </row>
    <row r="8268" spans="1:40" x14ac:dyDescent="0.25">
      <c r="A8268" t="str">
        <f>"20190312160847773"</f>
        <v>20190312160847773</v>
      </c>
      <c r="B8268" t="str">
        <f>"1552378127764079"</f>
        <v>1552378127764079</v>
      </c>
      <c r="C8268" t="s">
        <v>40</v>
      </c>
      <c r="D8268">
        <v>6.1150089999999997</v>
      </c>
      <c r="E8268">
        <v>0.60368290000000002</v>
      </c>
      <c r="F8268" t="s">
        <v>44</v>
      </c>
      <c r="G8268">
        <v>-174.6232</v>
      </c>
      <c r="H8268">
        <v>1.179608</v>
      </c>
      <c r="I8268">
        <v>139.8279</v>
      </c>
      <c r="J8268">
        <v>-175.2244</v>
      </c>
      <c r="K8268">
        <v>1.1080779999999999</v>
      </c>
      <c r="L8268">
        <v>139.73689999999999</v>
      </c>
      <c r="M8268">
        <v>0.81084319999999999</v>
      </c>
      <c r="N8268">
        <v>0</v>
      </c>
      <c r="O8268">
        <v>0.58491169999999904</v>
      </c>
      <c r="P8268">
        <v>0.86594459999999995</v>
      </c>
      <c r="Q8268">
        <v>-2.74877E-2</v>
      </c>
      <c r="R8268">
        <v>0.4993841</v>
      </c>
      <c r="S8268">
        <v>3.1244510000000001</v>
      </c>
      <c r="T8268">
        <v>0.33790100000000001</v>
      </c>
      <c r="U8268">
        <v>0.61576839999999999</v>
      </c>
      <c r="V8268">
        <v>0.1015484</v>
      </c>
      <c r="W8268">
        <v>-7.9869820000000001E-3</v>
      </c>
      <c r="X8268">
        <v>0.99479850000000003</v>
      </c>
      <c r="Y8268">
        <v>0.41206999999999999</v>
      </c>
      <c r="Z8268">
        <v>8.037619E-2</v>
      </c>
      <c r="AA8268">
        <v>0.90760019999999997</v>
      </c>
      <c r="AB8268">
        <v>14</v>
      </c>
      <c r="AC8268">
        <v>0.60120000000000495</v>
      </c>
      <c r="AD8268">
        <v>7.1529999999999802E-2</v>
      </c>
      <c r="AE8268">
        <v>9.1000000000008199E-2</v>
      </c>
      <c r="AF8268">
        <v>0.27412579435991602</v>
      </c>
      <c r="AG8268">
        <v>7.1529999999999802E-2</v>
      </c>
      <c r="AH8268">
        <v>0.53343507162135995</v>
      </c>
      <c r="AI8268">
        <v>83.198647890404104</v>
      </c>
      <c r="AJ8268">
        <v>62.801919795330299</v>
      </c>
      <c r="AK8268">
        <v>0.60399873151285699</v>
      </c>
      <c r="AL8268">
        <v>90.457625242352506</v>
      </c>
      <c r="AM8268">
        <v>84.171472016559505</v>
      </c>
      <c r="AN8268">
        <v>0.99999996251313805</v>
      </c>
    </row>
    <row r="8269" spans="1:40" x14ac:dyDescent="0.25">
      <c r="A8269" t="str">
        <f>"20190312160847788"</f>
        <v>20190312160847788</v>
      </c>
      <c r="B8269" t="str">
        <f>"1552378127783601"</f>
        <v>1552378127783601</v>
      </c>
      <c r="C8269" t="s">
        <v>40</v>
      </c>
      <c r="D8269">
        <v>6.1398640000000002</v>
      </c>
      <c r="E8269">
        <v>0.60756529999999997</v>
      </c>
      <c r="F8269" t="s">
        <v>117</v>
      </c>
      <c r="G8269">
        <v>-104.2992</v>
      </c>
      <c r="H8269">
        <v>5.6785249999999996</v>
      </c>
      <c r="I8269">
        <v>158.15690000000001</v>
      </c>
      <c r="J8269">
        <v>-175.15629999999999</v>
      </c>
      <c r="K8269">
        <v>1.1086450000000001</v>
      </c>
      <c r="L8269">
        <v>139.7792</v>
      </c>
      <c r="M8269">
        <v>0.81333109999999997</v>
      </c>
      <c r="N8269">
        <v>0</v>
      </c>
      <c r="O8269">
        <v>0.58141730000000003</v>
      </c>
      <c r="P8269">
        <v>0.86791879999999999</v>
      </c>
      <c r="Q8269">
        <v>-2.8438419999999999E-2</v>
      </c>
      <c r="R8269">
        <v>0.49589159999999999</v>
      </c>
      <c r="S8269">
        <v>3.0185089999999999</v>
      </c>
      <c r="T8269">
        <v>0.19451399999999999</v>
      </c>
      <c r="U8269">
        <v>0.78393550000000001</v>
      </c>
      <c r="V8269">
        <v>0.1012762</v>
      </c>
      <c r="W8269">
        <v>-8.0137719999999902E-3</v>
      </c>
      <c r="X8269">
        <v>0.99482610000000005</v>
      </c>
      <c r="Y8269">
        <v>0.35673700000000003</v>
      </c>
      <c r="Z8269">
        <v>4.5578300000000002E-2</v>
      </c>
      <c r="AA8269">
        <v>0.93309240000000004</v>
      </c>
      <c r="AB8269">
        <v>14</v>
      </c>
      <c r="AC8269">
        <v>70.857099999999903</v>
      </c>
      <c r="AD8269">
        <v>4.5698800000000004</v>
      </c>
      <c r="AE8269">
        <v>18.377700000000001</v>
      </c>
      <c r="AF8269">
        <v>26.154318037251102</v>
      </c>
      <c r="AG8269">
        <v>4.5698800000000004</v>
      </c>
      <c r="AH8269">
        <v>68.065376152493101</v>
      </c>
      <c r="AI8269">
        <v>86.413847491368102</v>
      </c>
      <c r="AJ8269">
        <v>68.980583715368198</v>
      </c>
      <c r="AK8269">
        <v>73.060437898964594</v>
      </c>
      <c r="AL8269">
        <v>90.459160214832195</v>
      </c>
      <c r="AM8269">
        <v>84.187148394256099</v>
      </c>
      <c r="AN8269">
        <v>1.00000002923465</v>
      </c>
    </row>
    <row r="8270" spans="1:40" x14ac:dyDescent="0.25">
      <c r="A8270" t="str">
        <f>"20190312160847804"</f>
        <v>20190312160847804</v>
      </c>
      <c r="B8270" t="str">
        <f>"1552378127793360"</f>
        <v>1552378127793360</v>
      </c>
      <c r="C8270" t="s">
        <v>40</v>
      </c>
      <c r="D8270">
        <v>6.1338929999999996</v>
      </c>
      <c r="E8270">
        <v>0.60782709999999995</v>
      </c>
      <c r="F8270" t="s">
        <v>117</v>
      </c>
      <c r="G8270">
        <v>-102.59739999999999</v>
      </c>
      <c r="H8270">
        <v>6.1710750000000001</v>
      </c>
      <c r="I8270">
        <v>157.5693</v>
      </c>
      <c r="J8270">
        <v>-175.08080000000001</v>
      </c>
      <c r="K8270">
        <v>1.109245</v>
      </c>
      <c r="L8270">
        <v>139.82589999999999</v>
      </c>
      <c r="M8270">
        <v>0.81595680000000004</v>
      </c>
      <c r="N8270">
        <v>0</v>
      </c>
      <c r="O8270">
        <v>0.57768799999999998</v>
      </c>
      <c r="P8270">
        <v>0.87010390000000004</v>
      </c>
      <c r="Q8270">
        <v>-2.9790400000000002E-2</v>
      </c>
      <c r="R8270">
        <v>0.49196719999999999</v>
      </c>
      <c r="S8270">
        <v>3.0379179999999999</v>
      </c>
      <c r="T8270">
        <v>0.21195549999999999</v>
      </c>
      <c r="U8270">
        <v>0.74484249999999996</v>
      </c>
      <c r="V8270">
        <v>0.1012097</v>
      </c>
      <c r="W8270">
        <v>-8.2521350000000007E-3</v>
      </c>
      <c r="X8270">
        <v>0.99483089999999996</v>
      </c>
      <c r="Y8270">
        <v>0.3648998</v>
      </c>
      <c r="Z8270">
        <v>4.9540380000000002E-2</v>
      </c>
      <c r="AA8270">
        <v>0.92972790000000005</v>
      </c>
      <c r="AB8270">
        <v>13</v>
      </c>
      <c r="AC8270">
        <v>72.483400000000003</v>
      </c>
      <c r="AD8270">
        <v>5.0618299999999996</v>
      </c>
      <c r="AE8270">
        <v>17.743400000000001</v>
      </c>
      <c r="AF8270">
        <v>27.276170541448199</v>
      </c>
      <c r="AG8270">
        <v>5.0618299999999996</v>
      </c>
      <c r="AH8270">
        <v>69.092613989199407</v>
      </c>
      <c r="AI8270">
        <v>86.101682834572998</v>
      </c>
      <c r="AJ8270">
        <v>68.457036522663998</v>
      </c>
      <c r="AK8270">
        <v>74.454018764708593</v>
      </c>
      <c r="AL8270">
        <v>90.472817868985899</v>
      </c>
      <c r="AM8270">
        <v>84.190966955597403</v>
      </c>
      <c r="AN8270">
        <v>1.00000001035047</v>
      </c>
    </row>
    <row r="8271" spans="1:40" x14ac:dyDescent="0.25">
      <c r="A8271" t="str">
        <f>"20190312160847826"</f>
        <v>20190312160847826</v>
      </c>
      <c r="B8271" t="str">
        <f>"1552378127823615"</f>
        <v>1552378127823615</v>
      </c>
      <c r="C8271" t="s">
        <v>40</v>
      </c>
      <c r="D8271">
        <v>5.5001939999999996</v>
      </c>
      <c r="E8271">
        <v>0.60754849999999905</v>
      </c>
      <c r="F8271" t="s">
        <v>117</v>
      </c>
      <c r="G8271">
        <v>-98.615930000000006</v>
      </c>
      <c r="H8271">
        <v>6.4656599999999997</v>
      </c>
      <c r="I8271">
        <v>158.15710000000001</v>
      </c>
      <c r="J8271">
        <v>-174.97470000000001</v>
      </c>
      <c r="K8271">
        <v>1.1099920000000001</v>
      </c>
      <c r="L8271">
        <v>139.89109999999999</v>
      </c>
      <c r="M8271">
        <v>0.81945800000000002</v>
      </c>
      <c r="N8271">
        <v>0</v>
      </c>
      <c r="O8271">
        <v>0.57264839999999995</v>
      </c>
      <c r="P8271">
        <v>0.87306340000000004</v>
      </c>
      <c r="Q8271">
        <v>-3.1499510000000001E-2</v>
      </c>
      <c r="R8271">
        <v>0.48658820000000003</v>
      </c>
      <c r="S8271">
        <v>3.0427249999999999</v>
      </c>
      <c r="T8271">
        <v>0.213145</v>
      </c>
      <c r="U8271">
        <v>0.72944639999999905</v>
      </c>
      <c r="V8271">
        <v>0.1012165</v>
      </c>
      <c r="W8271">
        <v>-8.3048099999999993E-3</v>
      </c>
      <c r="X8271">
        <v>0.99482979999999999</v>
      </c>
      <c r="Y8271">
        <v>0.36396240000000002</v>
      </c>
      <c r="Z8271">
        <v>4.947617E-2</v>
      </c>
      <c r="AA8271">
        <v>0.93009869999999994</v>
      </c>
      <c r="AB8271">
        <v>13</v>
      </c>
      <c r="AC8271">
        <v>76.358769999999893</v>
      </c>
      <c r="AD8271">
        <v>5.3556679999999997</v>
      </c>
      <c r="AE8271">
        <v>18.265999999999998</v>
      </c>
      <c r="AF8271">
        <v>28.6333638175503</v>
      </c>
      <c r="AG8271">
        <v>5.3556679999999997</v>
      </c>
      <c r="AH8271">
        <v>72.714995405402405</v>
      </c>
      <c r="AI8271">
        <v>86.079587927330905</v>
      </c>
      <c r="AJ8271">
        <v>68.506708593703493</v>
      </c>
      <c r="AK8271">
        <v>78.332772579822006</v>
      </c>
      <c r="AL8271">
        <v>90.475836013286994</v>
      </c>
      <c r="AM8271">
        <v>84.190572952476401</v>
      </c>
      <c r="AN8271">
        <v>1.00000004035471</v>
      </c>
    </row>
    <row r="8272" spans="1:40" x14ac:dyDescent="0.25">
      <c r="A8272" t="str">
        <f>"20190312160847841"</f>
        <v>20190312160847841</v>
      </c>
      <c r="B8272" t="str">
        <f>"1552378127833376"</f>
        <v>1552378127833376</v>
      </c>
      <c r="C8272" t="s">
        <v>40</v>
      </c>
      <c r="D8272">
        <v>6.2401339999999896</v>
      </c>
      <c r="E8272">
        <v>0.60759240000000003</v>
      </c>
      <c r="F8272" t="s">
        <v>117</v>
      </c>
      <c r="G8272">
        <v>-96.898840000000007</v>
      </c>
      <c r="H8272">
        <v>6.3477810000000003</v>
      </c>
      <c r="I8272">
        <v>158.15710000000001</v>
      </c>
      <c r="J8272">
        <v>-174.90790000000001</v>
      </c>
      <c r="K8272">
        <v>1.110306</v>
      </c>
      <c r="L8272">
        <v>139.93180000000001</v>
      </c>
      <c r="M8272">
        <v>0.82166949999999905</v>
      </c>
      <c r="N8272">
        <v>0</v>
      </c>
      <c r="O8272">
        <v>0.56943169999999899</v>
      </c>
      <c r="P8272">
        <v>0.87494470000000002</v>
      </c>
      <c r="Q8272">
        <v>-3.2361109999999998E-2</v>
      </c>
      <c r="R8272">
        <v>0.48314020000000002</v>
      </c>
      <c r="S8272">
        <v>3.0463100000000001</v>
      </c>
      <c r="T8272">
        <v>0.20436470000000001</v>
      </c>
      <c r="U8272">
        <v>0.71269229999999995</v>
      </c>
      <c r="V8272">
        <v>0.10124229999999999</v>
      </c>
      <c r="W8272">
        <v>-8.2120500000000003E-3</v>
      </c>
      <c r="X8272">
        <v>0.99482789999999999</v>
      </c>
      <c r="Y8272">
        <v>0.36558099999999999</v>
      </c>
      <c r="Z8272">
        <v>4.7315620000000003E-2</v>
      </c>
      <c r="AA8272">
        <v>0.92957610000000002</v>
      </c>
      <c r="AB8272">
        <v>12</v>
      </c>
      <c r="AC8272">
        <v>78.009059999999906</v>
      </c>
      <c r="AD8272">
        <v>5.2374749999999999</v>
      </c>
      <c r="AE8272">
        <v>18.225300000000001</v>
      </c>
      <c r="AF8272">
        <v>29.329231741489899</v>
      </c>
      <c r="AG8272">
        <v>5.2374749999999999</v>
      </c>
      <c r="AH8272">
        <v>74.181255301516401</v>
      </c>
      <c r="AI8272">
        <v>86.243455102583297</v>
      </c>
      <c r="AJ8272">
        <v>68.427518047291699</v>
      </c>
      <c r="AK8272">
        <v>79.940563026728896</v>
      </c>
      <c r="AL8272">
        <v>90.470521096687605</v>
      </c>
      <c r="AM8272">
        <v>84.1890912444821</v>
      </c>
      <c r="AN8272">
        <v>0.99999999584645105</v>
      </c>
    </row>
    <row r="8273" spans="1:40" x14ac:dyDescent="0.25">
      <c r="A8273" t="str">
        <f>"20190312160847851"</f>
        <v>20190312160847851</v>
      </c>
      <c r="B8273" t="str">
        <f>"1552378127844114"</f>
        <v>1552378127844114</v>
      </c>
      <c r="C8273" t="s">
        <v>40</v>
      </c>
      <c r="D8273">
        <v>6.0822940000000001</v>
      </c>
      <c r="E8273">
        <v>0.60743389999999997</v>
      </c>
      <c r="F8273" t="s">
        <v>117</v>
      </c>
      <c r="G8273">
        <v>-95.547709999999995</v>
      </c>
      <c r="H8273">
        <v>6.3069430000000004</v>
      </c>
      <c r="I8273">
        <v>158.15710000000001</v>
      </c>
      <c r="J8273">
        <v>-174.85579999999999</v>
      </c>
      <c r="K8273">
        <v>1.1104540000000001</v>
      </c>
      <c r="L8273">
        <v>139.9633</v>
      </c>
      <c r="M8273">
        <v>0.82343739999999999</v>
      </c>
      <c r="N8273">
        <v>0</v>
      </c>
      <c r="O8273">
        <v>0.5668436</v>
      </c>
      <c r="P8273">
        <v>0.876409199999999</v>
      </c>
      <c r="Q8273">
        <v>-3.3121789999999998E-2</v>
      </c>
      <c r="R8273">
        <v>0.48042679999999999</v>
      </c>
      <c r="S8273">
        <v>3.0494539999999999</v>
      </c>
      <c r="T8273">
        <v>0.19968350000000001</v>
      </c>
      <c r="U8273">
        <v>0.70031739999999998</v>
      </c>
      <c r="V8273">
        <v>0.1011904</v>
      </c>
      <c r="W8273">
        <v>-8.3143249999999991E-3</v>
      </c>
      <c r="X8273">
        <v>0.9948323</v>
      </c>
      <c r="Y8273">
        <v>0.36654199999999998</v>
      </c>
      <c r="Z8273">
        <v>4.6115759999999999E-2</v>
      </c>
      <c r="AA8273">
        <v>0.92925789999999997</v>
      </c>
      <c r="AB8273">
        <v>12</v>
      </c>
      <c r="AC8273">
        <v>79.308089999999893</v>
      </c>
      <c r="AD8273">
        <v>5.1964889999999997</v>
      </c>
      <c r="AE8273">
        <v>18.1938</v>
      </c>
      <c r="AF8273">
        <v>29.861618438535402</v>
      </c>
      <c r="AG8273">
        <v>5.1964889999999997</v>
      </c>
      <c r="AH8273">
        <v>75.335203374082596</v>
      </c>
      <c r="AI8273">
        <v>86.330969488583904</v>
      </c>
      <c r="AJ8273">
        <v>68.377451087259999</v>
      </c>
      <c r="AK8273">
        <v>81.204141649981096</v>
      </c>
      <c r="AL8273">
        <v>90.476381237286304</v>
      </c>
      <c r="AM8273">
        <v>84.1920752426212</v>
      </c>
      <c r="AN8273">
        <v>0.99999996508782696</v>
      </c>
    </row>
    <row r="8274" spans="1:40" x14ac:dyDescent="0.25">
      <c r="A8274" t="str">
        <f>"20190312160847864"</f>
        <v>20190312160847864</v>
      </c>
      <c r="B8274" t="str">
        <f>"1552378127853871"</f>
        <v>1552378127853871</v>
      </c>
      <c r="C8274" t="s">
        <v>40</v>
      </c>
      <c r="D8274">
        <v>6.176126</v>
      </c>
      <c r="E8274">
        <v>0.60730430000000002</v>
      </c>
      <c r="F8274" t="s">
        <v>117</v>
      </c>
      <c r="G8274">
        <v>-94.646919999999994</v>
      </c>
      <c r="H8274">
        <v>6.2220750000000002</v>
      </c>
      <c r="I8274">
        <v>158.15700000000001</v>
      </c>
      <c r="J8274">
        <v>-174.80170000000001</v>
      </c>
      <c r="K8274">
        <v>1.110295</v>
      </c>
      <c r="L8274">
        <v>139.9956</v>
      </c>
      <c r="M8274">
        <v>0.82548049999999995</v>
      </c>
      <c r="N8274">
        <v>0</v>
      </c>
      <c r="O8274">
        <v>0.56385180000000001</v>
      </c>
      <c r="P8274">
        <v>0.87828700000000004</v>
      </c>
      <c r="Q8274">
        <v>-3.3695910000000003E-2</v>
      </c>
      <c r="R8274">
        <v>0.47694500000000001</v>
      </c>
      <c r="S8274">
        <v>3.0510250000000001</v>
      </c>
      <c r="T8274">
        <v>0.19443859999999999</v>
      </c>
      <c r="U8274">
        <v>0.69206239999999997</v>
      </c>
      <c r="V8274">
        <v>0.1015167</v>
      </c>
      <c r="W8274">
        <v>-8.6507630000000005E-3</v>
      </c>
      <c r="X8274">
        <v>0.99479620000000002</v>
      </c>
      <c r="Y8274">
        <v>0.36576170000000002</v>
      </c>
      <c r="Z8274">
        <v>4.4727999999999997E-2</v>
      </c>
      <c r="AA8274">
        <v>0.92963309999999999</v>
      </c>
      <c r="AB8274">
        <v>12</v>
      </c>
      <c r="AC8274">
        <v>80.154780000000002</v>
      </c>
      <c r="AD8274">
        <v>5.1117800000000004</v>
      </c>
      <c r="AE8274">
        <v>18.1614</v>
      </c>
      <c r="AF8274">
        <v>30.096972842102801</v>
      </c>
      <c r="AG8274">
        <v>5.1117800000000004</v>
      </c>
      <c r="AH8274">
        <v>76.136972239511095</v>
      </c>
      <c r="AI8274">
        <v>86.427209311686696</v>
      </c>
      <c r="AJ8274">
        <v>68.431094740054405</v>
      </c>
      <c r="AK8274">
        <v>82.029242412853904</v>
      </c>
      <c r="AL8274">
        <v>90.495658402756604</v>
      </c>
      <c r="AM8274">
        <v>84.173265587757996</v>
      </c>
      <c r="AN8274">
        <v>0.99999997780690497</v>
      </c>
    </row>
    <row r="8275" spans="1:40" x14ac:dyDescent="0.25">
      <c r="A8275" t="str">
        <f>"20190312160847876"</f>
        <v>20190312160847876</v>
      </c>
      <c r="B8275" t="str">
        <f>"1552378127873392"</f>
        <v>1552378127873392</v>
      </c>
      <c r="C8275" t="s">
        <v>40</v>
      </c>
      <c r="D8275">
        <v>6.3458249999999996</v>
      </c>
      <c r="E8275">
        <v>0.60682950000000002</v>
      </c>
      <c r="F8275" t="s">
        <v>117</v>
      </c>
      <c r="G8275">
        <v>-94.225669999999994</v>
      </c>
      <c r="H8275">
        <v>6.0950259999999998</v>
      </c>
      <c r="I8275">
        <v>157.9632</v>
      </c>
      <c r="J8275">
        <v>-174.7482</v>
      </c>
      <c r="K8275">
        <v>1.1100319999999999</v>
      </c>
      <c r="L8275">
        <v>140.0273</v>
      </c>
      <c r="M8275">
        <v>0.82754680000000003</v>
      </c>
      <c r="N8275">
        <v>0</v>
      </c>
      <c r="O8275">
        <v>0.56080980000000002</v>
      </c>
      <c r="P8275">
        <v>0.87996219999999903</v>
      </c>
      <c r="Q8275">
        <v>-3.3958210000000003E-2</v>
      </c>
      <c r="R8275">
        <v>0.47382839999999998</v>
      </c>
      <c r="S8275">
        <v>3.0532680000000001</v>
      </c>
      <c r="T8275">
        <v>0.18888659999999999</v>
      </c>
      <c r="U8275">
        <v>0.68084719999999999</v>
      </c>
      <c r="V8275">
        <v>0.1013737</v>
      </c>
      <c r="W8275">
        <v>-8.8527829999999995E-3</v>
      </c>
      <c r="X8275">
        <v>0.99480900000000005</v>
      </c>
      <c r="Y8275">
        <v>0.36583379999999999</v>
      </c>
      <c r="Z8275">
        <v>4.3299650000000002E-2</v>
      </c>
      <c r="AA8275">
        <v>0.92967239999999995</v>
      </c>
      <c r="AB8275">
        <v>11</v>
      </c>
      <c r="AC8275">
        <v>80.522530000000003</v>
      </c>
      <c r="AD8275">
        <v>4.9849940000000004</v>
      </c>
      <c r="AE8275">
        <v>17.9359</v>
      </c>
      <c r="AF8275">
        <v>30.214688701721698</v>
      </c>
      <c r="AG8275">
        <v>4.9849940000000004</v>
      </c>
      <c r="AH8275">
        <v>76.440941257198304</v>
      </c>
      <c r="AI8275">
        <v>86.529387128292797</v>
      </c>
      <c r="AJ8275">
        <v>68.432678555736601</v>
      </c>
      <c r="AK8275">
        <v>82.346797623273901</v>
      </c>
      <c r="AL8275">
        <v>90.507233742332801</v>
      </c>
      <c r="AM8275">
        <v>84.181491329434806</v>
      </c>
      <c r="AN8275">
        <v>0.99999997264976703</v>
      </c>
    </row>
    <row r="8276" spans="1:40" x14ac:dyDescent="0.25">
      <c r="A8276" t="str">
        <f>"20190312160847891"</f>
        <v>20190312160847891</v>
      </c>
      <c r="B8276" t="str">
        <f>"1552378127884127"</f>
        <v>1552378127884127</v>
      </c>
      <c r="C8276" t="s">
        <v>40</v>
      </c>
      <c r="D8276">
        <v>6.2923150000000003</v>
      </c>
      <c r="E8276">
        <v>0.6067688</v>
      </c>
      <c r="F8276" t="s">
        <v>117</v>
      </c>
      <c r="G8276">
        <v>-94.225669999999994</v>
      </c>
      <c r="H8276">
        <v>5.9853800000000001</v>
      </c>
      <c r="I8276">
        <v>157.78970000000001</v>
      </c>
      <c r="J8276">
        <v>-174.67439999999999</v>
      </c>
      <c r="K8276">
        <v>1.109359</v>
      </c>
      <c r="L8276">
        <v>140.0701</v>
      </c>
      <c r="M8276">
        <v>0.83052329999999996</v>
      </c>
      <c r="N8276">
        <v>0</v>
      </c>
      <c r="O8276">
        <v>0.55641099999999999</v>
      </c>
      <c r="P8276">
        <v>0.88264500000000001</v>
      </c>
      <c r="Q8276">
        <v>-3.3091469999999998E-2</v>
      </c>
      <c r="R8276">
        <v>0.46887420000000002</v>
      </c>
      <c r="S8276">
        <v>3.0536349999999999</v>
      </c>
      <c r="T8276">
        <v>0.18488660000000001</v>
      </c>
      <c r="U8276">
        <v>0.67359919999999995</v>
      </c>
      <c r="V8276">
        <v>0.10169159999999999</v>
      </c>
      <c r="W8276">
        <v>-8.5036439999999994E-3</v>
      </c>
      <c r="X8276">
        <v>0.99477959999999999</v>
      </c>
      <c r="Y8276">
        <v>0.36309079999999999</v>
      </c>
      <c r="Z8276">
        <v>4.2099159999999997E-2</v>
      </c>
      <c r="AA8276">
        <v>0.93080220000000002</v>
      </c>
      <c r="AB8276">
        <v>11</v>
      </c>
      <c r="AC8276">
        <v>80.448729999999998</v>
      </c>
      <c r="AD8276">
        <v>4.8760209999999997</v>
      </c>
      <c r="AE8276">
        <v>17.7196</v>
      </c>
      <c r="AF8276">
        <v>29.9506685105932</v>
      </c>
      <c r="AG8276">
        <v>4.8760209999999997</v>
      </c>
      <c r="AH8276">
        <v>76.430605239251406</v>
      </c>
      <c r="AI8276">
        <v>86.600689775340399</v>
      </c>
      <c r="AJ8276">
        <v>68.601402467272706</v>
      </c>
      <c r="AK8276">
        <v>82.234150705544295</v>
      </c>
      <c r="AL8276">
        <v>90.487228797024002</v>
      </c>
      <c r="AM8276">
        <v>84.163199408670096</v>
      </c>
      <c r="AN8276">
        <v>0.99999997302399901</v>
      </c>
    </row>
    <row r="8277" spans="1:40" x14ac:dyDescent="0.25">
      <c r="A8277" t="str">
        <f>"20190312160847906"</f>
        <v>20190312160847906</v>
      </c>
      <c r="B8277" t="str">
        <f>"1552378127903648"</f>
        <v>1552378127903648</v>
      </c>
      <c r="C8277" t="s">
        <v>40</v>
      </c>
      <c r="D8277">
        <v>6.2947419999999896</v>
      </c>
      <c r="E8277">
        <v>0.60621139999999996</v>
      </c>
      <c r="F8277" t="s">
        <v>117</v>
      </c>
      <c r="G8277">
        <v>-93.307169999999999</v>
      </c>
      <c r="H8277">
        <v>6.123443</v>
      </c>
      <c r="I8277">
        <v>157.5693</v>
      </c>
      <c r="J8277">
        <v>-174.61099999999999</v>
      </c>
      <c r="K8277">
        <v>1.1088180000000001</v>
      </c>
      <c r="L8277">
        <v>140.10589999999999</v>
      </c>
      <c r="M8277">
        <v>0.83306709999999995</v>
      </c>
      <c r="N8277">
        <v>0</v>
      </c>
      <c r="O8277">
        <v>0.55261800000000005</v>
      </c>
      <c r="P8277">
        <v>0.88478670000000004</v>
      </c>
      <c r="Q8277">
        <v>-3.2385780000000003E-2</v>
      </c>
      <c r="R8277">
        <v>0.4648697</v>
      </c>
      <c r="S8277">
        <v>3.0567319999999998</v>
      </c>
      <c r="T8277">
        <v>0.1883647</v>
      </c>
      <c r="U8277">
        <v>0.65739440000000005</v>
      </c>
      <c r="V8277">
        <v>0.1016634</v>
      </c>
      <c r="W8277">
        <v>-8.3863259999999995E-3</v>
      </c>
      <c r="X8277">
        <v>0.99478350000000004</v>
      </c>
      <c r="Y8277">
        <v>0.36369420000000002</v>
      </c>
      <c r="Z8277">
        <v>4.271221E-2</v>
      </c>
      <c r="AA8277">
        <v>0.93053869999999905</v>
      </c>
      <c r="AB8277">
        <v>11</v>
      </c>
      <c r="AC8277">
        <v>81.303829999999905</v>
      </c>
      <c r="AD8277">
        <v>5.0146249999999997</v>
      </c>
      <c r="AE8277">
        <v>17.4634</v>
      </c>
      <c r="AF8277">
        <v>30.280972893083899</v>
      </c>
      <c r="AG8277">
        <v>5.0146249999999997</v>
      </c>
      <c r="AH8277">
        <v>77.125390539675095</v>
      </c>
      <c r="AI8277">
        <v>86.536596546960595</v>
      </c>
      <c r="AJ8277">
        <v>68.5640339395609</v>
      </c>
      <c r="AK8277">
        <v>83.008491427923801</v>
      </c>
      <c r="AL8277">
        <v>90.480506720495995</v>
      </c>
      <c r="AM8277">
        <v>84.1648295545031</v>
      </c>
      <c r="AN8277">
        <v>0.99999999461779399</v>
      </c>
    </row>
    <row r="8278" spans="1:40" x14ac:dyDescent="0.25">
      <c r="A8278" t="str">
        <f>"20190312160847920"</f>
        <v>20190312160847920</v>
      </c>
      <c r="B8278" t="str">
        <f>"1552378127913408"</f>
        <v>1552378127913408</v>
      </c>
      <c r="C8278" t="s">
        <v>40</v>
      </c>
      <c r="D8278">
        <v>6.2306179999999998</v>
      </c>
      <c r="E8278">
        <v>0.60585019999999901</v>
      </c>
      <c r="F8278" t="s">
        <v>117</v>
      </c>
      <c r="G8278">
        <v>-92.189779999999999</v>
      </c>
      <c r="H8278">
        <v>6.1023860000000001</v>
      </c>
      <c r="I8278">
        <v>157.5693</v>
      </c>
      <c r="J8278">
        <v>-174.55090000000001</v>
      </c>
      <c r="K8278">
        <v>1.10843</v>
      </c>
      <c r="L8278">
        <v>140.13929999999999</v>
      </c>
      <c r="M8278">
        <v>0.83545259999999999</v>
      </c>
      <c r="N8278">
        <v>0</v>
      </c>
      <c r="O8278">
        <v>0.54902510000000004</v>
      </c>
      <c r="P8278">
        <v>0.88661119999999904</v>
      </c>
      <c r="Q8278">
        <v>-3.2186230000000003E-2</v>
      </c>
      <c r="R8278">
        <v>0.46139439999999998</v>
      </c>
      <c r="S8278">
        <v>3.057083</v>
      </c>
      <c r="T8278">
        <v>0.18521650000000001</v>
      </c>
      <c r="U8278">
        <v>0.64773559999999997</v>
      </c>
      <c r="V8278">
        <v>0.1012729</v>
      </c>
      <c r="W8278">
        <v>-8.6898159999999995E-3</v>
      </c>
      <c r="X8278">
        <v>0.9948207</v>
      </c>
      <c r="Y8278">
        <v>0.36256709999999998</v>
      </c>
      <c r="Z8278">
        <v>4.1804679999999997E-2</v>
      </c>
      <c r="AA8278">
        <v>0.93101959999999995</v>
      </c>
      <c r="AB8278">
        <v>11</v>
      </c>
      <c r="AC8278">
        <v>82.36112</v>
      </c>
      <c r="AD8278">
        <v>4.9939559999999998</v>
      </c>
      <c r="AE8278">
        <v>17.43</v>
      </c>
      <c r="AF8278">
        <v>30.557904223013299</v>
      </c>
      <c r="AG8278">
        <v>4.9939559999999998</v>
      </c>
      <c r="AH8278">
        <v>78.126540562516894</v>
      </c>
      <c r="AI8278">
        <v>86.593215848814594</v>
      </c>
      <c r="AJ8278">
        <v>68.637869177344697</v>
      </c>
      <c r="AK8278">
        <v>84.038571187874197</v>
      </c>
      <c r="AL8278">
        <v>90.497896063296096</v>
      </c>
      <c r="AM8278">
        <v>84.187305168447693</v>
      </c>
      <c r="AN8278">
        <v>0.999999969162506</v>
      </c>
    </row>
    <row r="8279" spans="1:40" x14ac:dyDescent="0.25">
      <c r="A8279" t="str">
        <f>"20190312160847938"</f>
        <v>20190312160847938</v>
      </c>
      <c r="B8279" t="str">
        <f>"1552378127933904"</f>
        <v>1552378127933904</v>
      </c>
      <c r="C8279" t="s">
        <v>40</v>
      </c>
      <c r="D8279">
        <v>6.2293659999999997</v>
      </c>
      <c r="E8279">
        <v>0.60541259999999997</v>
      </c>
      <c r="F8279" t="s">
        <v>117</v>
      </c>
      <c r="G8279">
        <v>-88.231089999999995</v>
      </c>
      <c r="H8279">
        <v>6.2713269999999897</v>
      </c>
      <c r="I8279">
        <v>158.15710000000001</v>
      </c>
      <c r="J8279">
        <v>-174.4682</v>
      </c>
      <c r="K8279">
        <v>1.108182</v>
      </c>
      <c r="L8279">
        <v>140.18440000000001</v>
      </c>
      <c r="M8279">
        <v>0.83870049999999996</v>
      </c>
      <c r="N8279">
        <v>0</v>
      </c>
      <c r="O8279">
        <v>0.54407269999999996</v>
      </c>
      <c r="P8279">
        <v>0.88916119999999899</v>
      </c>
      <c r="Q8279">
        <v>-3.2292099999999997E-2</v>
      </c>
      <c r="R8279">
        <v>0.45645350000000001</v>
      </c>
      <c r="S8279">
        <v>3.0581510000000001</v>
      </c>
      <c r="T8279">
        <v>0.18291209999999999</v>
      </c>
      <c r="U8279">
        <v>0.63833619999999902</v>
      </c>
      <c r="V8279">
        <v>0.10090730000000001</v>
      </c>
      <c r="W8279">
        <v>-9.3152689999999993E-3</v>
      </c>
      <c r="X8279">
        <v>0.99485219999999996</v>
      </c>
      <c r="Y8279">
        <v>0.3599001</v>
      </c>
      <c r="Z8279">
        <v>4.0970180000000002E-2</v>
      </c>
      <c r="AA8279">
        <v>0.93209089999999994</v>
      </c>
      <c r="AB8279">
        <v>11</v>
      </c>
      <c r="AC8279">
        <v>86.237109999999902</v>
      </c>
      <c r="AD8279">
        <v>5.1631449999999903</v>
      </c>
      <c r="AE8279">
        <v>17.9727</v>
      </c>
      <c r="AF8279">
        <v>31.7455088685733</v>
      </c>
      <c r="AG8279">
        <v>5.1631449999999903</v>
      </c>
      <c r="AH8279">
        <v>81.847645716358002</v>
      </c>
      <c r="AI8279">
        <v>86.634113193728695</v>
      </c>
      <c r="AJ8279">
        <v>68.800669753328805</v>
      </c>
      <c r="AK8279">
        <v>87.940164367177204</v>
      </c>
      <c r="AL8279">
        <v>90.533733329371302</v>
      </c>
      <c r="AM8279">
        <v>84.208328499429896</v>
      </c>
      <c r="AN8279">
        <v>0.99999997863733503</v>
      </c>
    </row>
    <row r="8280" spans="1:40" x14ac:dyDescent="0.25">
      <c r="A8280" t="str">
        <f>"20190312160847960"</f>
        <v>20190312160847960</v>
      </c>
      <c r="B8280" t="str">
        <f>"1552378127953427"</f>
        <v>1552378127953427</v>
      </c>
      <c r="C8280" t="s">
        <v>40</v>
      </c>
      <c r="D8280">
        <v>6.33345</v>
      </c>
      <c r="E8280">
        <v>0.60469899999999999</v>
      </c>
      <c r="F8280" t="s">
        <v>117</v>
      </c>
      <c r="G8280">
        <v>-86.334469999999996</v>
      </c>
      <c r="H8280">
        <v>6.2721749999999998</v>
      </c>
      <c r="I8280">
        <v>158.15710000000001</v>
      </c>
      <c r="J8280">
        <v>-174.3689</v>
      </c>
      <c r="K8280">
        <v>1.1082909999999999</v>
      </c>
      <c r="L8280">
        <v>140.23759999999999</v>
      </c>
      <c r="M8280">
        <v>0.84262440000000005</v>
      </c>
      <c r="N8280">
        <v>0</v>
      </c>
      <c r="O8280">
        <v>0.53799439999999998</v>
      </c>
      <c r="P8280">
        <v>0.89227459999999903</v>
      </c>
      <c r="Q8280">
        <v>-3.1860069999999997E-2</v>
      </c>
      <c r="R8280">
        <v>0.45036769999999998</v>
      </c>
      <c r="S8280">
        <v>3.0601349999999998</v>
      </c>
      <c r="T8280">
        <v>0.17930160000000001</v>
      </c>
      <c r="U8280">
        <v>0.62403869999999995</v>
      </c>
      <c r="V8280">
        <v>0.1005183</v>
      </c>
      <c r="W8280">
        <v>-9.2521870000000003E-3</v>
      </c>
      <c r="X8280">
        <v>0.9948922</v>
      </c>
      <c r="Y8280">
        <v>0.35751470000000002</v>
      </c>
      <c r="Z8280">
        <v>3.9804159999999998E-2</v>
      </c>
      <c r="AA8280">
        <v>0.93305890000000002</v>
      </c>
      <c r="AB8280">
        <v>11</v>
      </c>
      <c r="AC8280">
        <v>88.03443</v>
      </c>
      <c r="AD8280">
        <v>5.1638840000000004</v>
      </c>
      <c r="AE8280">
        <v>17.919499999999999</v>
      </c>
      <c r="AF8280">
        <v>32.165168119650502</v>
      </c>
      <c r="AG8280">
        <v>5.1638840000000004</v>
      </c>
      <c r="AH8280">
        <v>83.5673563431871</v>
      </c>
      <c r="AI8280">
        <v>86.699478269424205</v>
      </c>
      <c r="AJ8280">
        <v>68.948229185789998</v>
      </c>
      <c r="AK8280">
        <v>89.692623912560705</v>
      </c>
      <c r="AL8280">
        <v>90.530118824214995</v>
      </c>
      <c r="AM8280">
        <v>84.230735017689298</v>
      </c>
      <c r="AN8280">
        <v>1.00000001061</v>
      </c>
    </row>
    <row r="8281" spans="1:40" x14ac:dyDescent="0.25">
      <c r="A8281" t="str">
        <f>"20190312160847982"</f>
        <v>20190312160847982</v>
      </c>
      <c r="B8281" t="str">
        <f>"1552378127973919"</f>
        <v>1552378127973919</v>
      </c>
      <c r="C8281" t="s">
        <v>40</v>
      </c>
      <c r="D8281">
        <v>6.2828839999999904</v>
      </c>
      <c r="E8281">
        <v>0.60405249999999999</v>
      </c>
      <c r="F8281" t="s">
        <v>117</v>
      </c>
      <c r="G8281">
        <v>-85.628150000000005</v>
      </c>
      <c r="H8281">
        <v>6.2170430000000003</v>
      </c>
      <c r="I8281">
        <v>157.86000000000001</v>
      </c>
      <c r="J8281">
        <v>-174.27</v>
      </c>
      <c r="K8281">
        <v>1.108608</v>
      </c>
      <c r="L8281">
        <v>140.2901</v>
      </c>
      <c r="M8281">
        <v>0.84660569999999902</v>
      </c>
      <c r="N8281">
        <v>0</v>
      </c>
      <c r="O8281">
        <v>0.53172559999999902</v>
      </c>
      <c r="P8281">
        <v>0.89534599999999898</v>
      </c>
      <c r="Q8281">
        <v>-3.1462950000000003E-2</v>
      </c>
      <c r="R8281">
        <v>0.4442585</v>
      </c>
      <c r="S8281">
        <v>3.0616300000000001</v>
      </c>
      <c r="T8281">
        <v>0.17625639999999901</v>
      </c>
      <c r="U8281">
        <v>0.60798649999999999</v>
      </c>
      <c r="V8281">
        <v>9.9944519999999995E-2</v>
      </c>
      <c r="W8281">
        <v>-9.1724579999999997E-3</v>
      </c>
      <c r="X8281">
        <v>0.99495069999999997</v>
      </c>
      <c r="Y8281">
        <v>0.35542639999999998</v>
      </c>
      <c r="Z8281">
        <v>3.8782990000000003E-2</v>
      </c>
      <c r="AA8281">
        <v>0.93389929999999999</v>
      </c>
      <c r="AB8281">
        <v>11</v>
      </c>
      <c r="AC8281">
        <v>88.641850000000005</v>
      </c>
      <c r="AD8281">
        <v>5.1084350000000001</v>
      </c>
      <c r="AE8281">
        <v>17.569900000000001</v>
      </c>
      <c r="AF8281">
        <v>32.164075752709401</v>
      </c>
      <c r="AG8281">
        <v>5.1084350000000001</v>
      </c>
      <c r="AH8281">
        <v>84.140407023812202</v>
      </c>
      <c r="AI8281">
        <v>86.754180001392996</v>
      </c>
      <c r="AJ8281">
        <v>69.079809377682295</v>
      </c>
      <c r="AK8281">
        <v>90.223234099139106</v>
      </c>
      <c r="AL8281">
        <v>90.525550517467906</v>
      </c>
      <c r="AM8281">
        <v>84.263781994979993</v>
      </c>
      <c r="AN8281">
        <v>0.99999996824713999</v>
      </c>
    </row>
    <row r="8282" spans="1:40" x14ac:dyDescent="0.25">
      <c r="A8282" t="str">
        <f>"20190312160848005"</f>
        <v>20190312160848005</v>
      </c>
      <c r="B8282" t="str">
        <f>"1552378127993440"</f>
        <v>1552378127993440</v>
      </c>
      <c r="C8282" t="s">
        <v>40</v>
      </c>
      <c r="D8282">
        <v>6.3231950000000001</v>
      </c>
      <c r="E8282">
        <v>0.60342879999999999</v>
      </c>
      <c r="F8282" t="s">
        <v>117</v>
      </c>
      <c r="G8282">
        <v>-84.8095</v>
      </c>
      <c r="H8282">
        <v>6.1198259999999998</v>
      </c>
      <c r="I8282">
        <v>157.5693</v>
      </c>
      <c r="J8282">
        <v>-174.17150000000001</v>
      </c>
      <c r="K8282">
        <v>1.1088819999999999</v>
      </c>
      <c r="L8282">
        <v>140.34190000000001</v>
      </c>
      <c r="M8282">
        <v>0.85053799999999902</v>
      </c>
      <c r="N8282">
        <v>0</v>
      </c>
      <c r="O8282">
        <v>0.52543390000000001</v>
      </c>
      <c r="P8282">
        <v>0.89833280000000004</v>
      </c>
      <c r="Q8282">
        <v>-3.0913030000000001E-2</v>
      </c>
      <c r="R8282">
        <v>0.43822680000000003</v>
      </c>
      <c r="S8282">
        <v>3.0631409999999999</v>
      </c>
      <c r="T8282">
        <v>0.17158509999999999</v>
      </c>
      <c r="U8282">
        <v>0.59164430000000001</v>
      </c>
      <c r="V8282">
        <v>9.9270810000000001E-2</v>
      </c>
      <c r="W8282">
        <v>-9.0230269999999994E-3</v>
      </c>
      <c r="X8282">
        <v>0.9950196</v>
      </c>
      <c r="Y8282">
        <v>0.35345589999999999</v>
      </c>
      <c r="Z8282">
        <v>3.7419590000000003E-2</v>
      </c>
      <c r="AA8282">
        <v>0.93470249999999999</v>
      </c>
      <c r="AB8282">
        <v>11</v>
      </c>
      <c r="AC8282">
        <v>89.361999999999995</v>
      </c>
      <c r="AD8282">
        <v>5.0109440000000003</v>
      </c>
      <c r="AE8282">
        <v>17.2273999999999</v>
      </c>
      <c r="AF8282">
        <v>32.21175789382</v>
      </c>
      <c r="AG8282">
        <v>5.0109440000000003</v>
      </c>
      <c r="AH8282">
        <v>84.821939040114401</v>
      </c>
      <c r="AI8282">
        <v>86.838893891936394</v>
      </c>
      <c r="AJ8282">
        <v>69.205356702441307</v>
      </c>
      <c r="AK8282">
        <v>90.870612680371494</v>
      </c>
      <c r="AL8282">
        <v>90.516988351555995</v>
      </c>
      <c r="AM8282">
        <v>84.302585590736598</v>
      </c>
      <c r="AN8282">
        <v>1.00000005655922</v>
      </c>
    </row>
    <row r="8283" spans="1:40" x14ac:dyDescent="0.25">
      <c r="A8283" t="str">
        <f>"20190312160848027"</f>
        <v>20190312160848027</v>
      </c>
      <c r="B8283" t="str">
        <f>"1552378128023696"</f>
        <v>1552378128023696</v>
      </c>
      <c r="C8283" t="s">
        <v>40</v>
      </c>
      <c r="D8283">
        <v>5.9885840000000004</v>
      </c>
      <c r="E8283">
        <v>0.60245819999999894</v>
      </c>
      <c r="F8283" t="s">
        <v>117</v>
      </c>
      <c r="G8283">
        <v>-79.265950000000004</v>
      </c>
      <c r="H8283">
        <v>6.332103</v>
      </c>
      <c r="I8283">
        <v>158.15710000000001</v>
      </c>
      <c r="J8283">
        <v>-174.0728</v>
      </c>
      <c r="K8283">
        <v>1.109003</v>
      </c>
      <c r="L8283">
        <v>140.39330000000001</v>
      </c>
      <c r="M8283">
        <v>0.854294199999999</v>
      </c>
      <c r="N8283">
        <v>0</v>
      </c>
      <c r="O8283">
        <v>0.51932670000000003</v>
      </c>
      <c r="P8283">
        <v>0.90141669999999996</v>
      </c>
      <c r="Q8283">
        <v>-3.0298080000000002E-2</v>
      </c>
      <c r="R8283">
        <v>0.43189129999999998</v>
      </c>
      <c r="S8283">
        <v>3.0646819999999999</v>
      </c>
      <c r="T8283">
        <v>0.16866789999999901</v>
      </c>
      <c r="U8283">
        <v>0.57528690000000005</v>
      </c>
      <c r="V8283">
        <v>9.9155809999999997E-2</v>
      </c>
      <c r="W8283">
        <v>-8.8761240000000009E-3</v>
      </c>
      <c r="X8283">
        <v>0.99503229999999998</v>
      </c>
      <c r="Y8283">
        <v>0.35170119999999999</v>
      </c>
      <c r="Z8283">
        <v>3.6464549999999998E-2</v>
      </c>
      <c r="AA8283">
        <v>0.93540190000000001</v>
      </c>
      <c r="AB8283">
        <v>11</v>
      </c>
      <c r="AC8283">
        <v>94.806849999999997</v>
      </c>
      <c r="AD8283">
        <v>5.2230999999999996</v>
      </c>
      <c r="AE8283">
        <v>17.7638</v>
      </c>
      <c r="AF8283">
        <v>33.968812062082002</v>
      </c>
      <c r="AG8283">
        <v>5.2230999999999996</v>
      </c>
      <c r="AH8283">
        <v>89.976045143419796</v>
      </c>
      <c r="AI8283">
        <v>86.891407453724995</v>
      </c>
      <c r="AJ8283">
        <v>69.316887059342093</v>
      </c>
      <c r="AK8283">
        <v>96.316403930845397</v>
      </c>
      <c r="AL8283">
        <v>90.508571137491003</v>
      </c>
      <c r="AM8283">
        <v>84.309214555318803</v>
      </c>
      <c r="AN8283">
        <v>0.99999996913865397</v>
      </c>
    </row>
    <row r="8284" spans="1:40" x14ac:dyDescent="0.25">
      <c r="A8284" t="str">
        <f>"20190312160848050"</f>
        <v>20190312160848050</v>
      </c>
      <c r="B8284" t="str">
        <f>"1552378128044192"</f>
        <v>1552378128044192</v>
      </c>
      <c r="C8284" t="s">
        <v>40</v>
      </c>
      <c r="D8284">
        <v>6.37554</v>
      </c>
      <c r="E8284">
        <v>0.60186660000000003</v>
      </c>
      <c r="F8284" t="s">
        <v>117</v>
      </c>
      <c r="G8284">
        <v>-76.872810000000001</v>
      </c>
      <c r="H8284">
        <v>6.3109630000000001</v>
      </c>
      <c r="I8284">
        <v>158.15710000000001</v>
      </c>
      <c r="J8284">
        <v>-173.9769</v>
      </c>
      <c r="K8284">
        <v>1.109016</v>
      </c>
      <c r="L8284">
        <v>140.4425</v>
      </c>
      <c r="M8284">
        <v>0.8577207</v>
      </c>
      <c r="N8284">
        <v>0</v>
      </c>
      <c r="O8284">
        <v>0.51366650000000003</v>
      </c>
      <c r="P8284">
        <v>0.90398840000000003</v>
      </c>
      <c r="Q8284">
        <v>-3.0060030000000001E-2</v>
      </c>
      <c r="R8284">
        <v>0.42649910000000002</v>
      </c>
      <c r="S8284">
        <v>3.0652010000000001</v>
      </c>
      <c r="T8284">
        <v>0.16404389999999999</v>
      </c>
      <c r="U8284">
        <v>0.56018069999999998</v>
      </c>
      <c r="V8284">
        <v>9.8518700000000001E-2</v>
      </c>
      <c r="W8284">
        <v>-9.0675500000000006E-3</v>
      </c>
      <c r="X8284">
        <v>0.99509389999999998</v>
      </c>
      <c r="Y8284">
        <v>0.3500645</v>
      </c>
      <c r="Z8284">
        <v>3.5185849999999998E-2</v>
      </c>
      <c r="AA8284">
        <v>0.93606449999999997</v>
      </c>
      <c r="AB8284">
        <v>11</v>
      </c>
      <c r="AC8284">
        <v>97.104089999999999</v>
      </c>
      <c r="AD8284">
        <v>5.2019469999999997</v>
      </c>
      <c r="AE8284">
        <v>17.714600000000001</v>
      </c>
      <c r="AF8284">
        <v>34.5968633011192</v>
      </c>
      <c r="AG8284">
        <v>5.2019469999999997</v>
      </c>
      <c r="AH8284">
        <v>92.152984389528001</v>
      </c>
      <c r="AI8284">
        <v>86.974879550988803</v>
      </c>
      <c r="AJ8284">
        <v>69.422429839885794</v>
      </c>
      <c r="AK8284">
        <v>98.570663661982806</v>
      </c>
      <c r="AL8284">
        <v>90.519539458779903</v>
      </c>
      <c r="AM8284">
        <v>84.345889848062896</v>
      </c>
      <c r="AN8284">
        <v>1.0000000122649499</v>
      </c>
    </row>
    <row r="8285" spans="1:40" x14ac:dyDescent="0.25">
      <c r="A8285" t="str">
        <f>"20190312160848071"</f>
        <v>20190312160848071</v>
      </c>
      <c r="B8285" t="str">
        <f>"1552378128063714"</f>
        <v>1552378128063714</v>
      </c>
      <c r="C8285" t="s">
        <v>40</v>
      </c>
      <c r="D8285">
        <v>6.35745</v>
      </c>
      <c r="E8285">
        <v>0.60125799999999996</v>
      </c>
      <c r="F8285" t="s">
        <v>117</v>
      </c>
      <c r="G8285">
        <v>-76.278319999999994</v>
      </c>
      <c r="H8285">
        <v>6.2718230000000004</v>
      </c>
      <c r="I8285">
        <v>157.83969999999999</v>
      </c>
      <c r="J8285">
        <v>-173.88229999999999</v>
      </c>
      <c r="K8285">
        <v>1.108978</v>
      </c>
      <c r="L8285">
        <v>140.49029999999999</v>
      </c>
      <c r="M8285">
        <v>0.86094619999999999</v>
      </c>
      <c r="N8285">
        <v>0</v>
      </c>
      <c r="O8285">
        <v>0.50825739999999997</v>
      </c>
      <c r="P8285">
        <v>0.90644910000000001</v>
      </c>
      <c r="Q8285">
        <v>-2.9920539999999999E-2</v>
      </c>
      <c r="R8285">
        <v>0.42125410000000002</v>
      </c>
      <c r="S8285">
        <v>3.0664060000000002</v>
      </c>
      <c r="T8285">
        <v>0.16204199999999999</v>
      </c>
      <c r="U8285">
        <v>0.54603579999999996</v>
      </c>
      <c r="V8285">
        <v>9.8017489999999999E-2</v>
      </c>
      <c r="W8285">
        <v>-9.2999220000000004E-3</v>
      </c>
      <c r="X8285">
        <v>0.99514119999999995</v>
      </c>
      <c r="Y8285">
        <v>0.3484467</v>
      </c>
      <c r="Z8285">
        <v>3.4480839999999999E-2</v>
      </c>
      <c r="AA8285">
        <v>0.93669409999999997</v>
      </c>
      <c r="AB8285">
        <v>11</v>
      </c>
      <c r="AC8285">
        <v>97.603980000000007</v>
      </c>
      <c r="AD8285">
        <v>5.1628449999999999</v>
      </c>
      <c r="AE8285">
        <v>17.349399999999999</v>
      </c>
      <c r="AF8285">
        <v>34.5849764038242</v>
      </c>
      <c r="AG8285">
        <v>5.1628449999999999</v>
      </c>
      <c r="AH8285">
        <v>92.619242964570802</v>
      </c>
      <c r="AI8285">
        <v>87.010687197676802</v>
      </c>
      <c r="AJ8285">
        <v>69.523851735602193</v>
      </c>
      <c r="AK8285">
        <v>99.000503678907094</v>
      </c>
      <c r="AL8285">
        <v>90.532853981577304</v>
      </c>
      <c r="AM8285">
        <v>84.374735605969903</v>
      </c>
      <c r="AN8285">
        <v>0.99999996241627198</v>
      </c>
    </row>
    <row r="8286" spans="1:40" x14ac:dyDescent="0.25">
      <c r="A8286" t="str">
        <f>"20190312160848094"</f>
        <v>20190312160848094</v>
      </c>
      <c r="B8286" t="str">
        <f>"1552378128084207"</f>
        <v>1552378128084207</v>
      </c>
      <c r="C8286" t="s">
        <v>40</v>
      </c>
      <c r="D8286">
        <v>6.001779</v>
      </c>
      <c r="E8286">
        <v>0.60063679999999997</v>
      </c>
      <c r="F8286" t="s">
        <v>117</v>
      </c>
      <c r="G8286">
        <v>-75.563999999999993</v>
      </c>
      <c r="H8286">
        <v>6.227398</v>
      </c>
      <c r="I8286">
        <v>157.5693</v>
      </c>
      <c r="J8286">
        <v>-173.78700000000001</v>
      </c>
      <c r="K8286">
        <v>1.108935</v>
      </c>
      <c r="L8286">
        <v>140.5376</v>
      </c>
      <c r="M8286">
        <v>0.86412540000000004</v>
      </c>
      <c r="N8286">
        <v>0</v>
      </c>
      <c r="O8286">
        <v>0.50284740000000006</v>
      </c>
      <c r="P8286">
        <v>0.90899090000000005</v>
      </c>
      <c r="Q8286">
        <v>-2.991982E-2</v>
      </c>
      <c r="R8286">
        <v>0.41574100000000003</v>
      </c>
      <c r="S8286">
        <v>3.0672760000000001</v>
      </c>
      <c r="T8286">
        <v>0.15968160000000001</v>
      </c>
      <c r="U8286">
        <v>0.53282169999999995</v>
      </c>
      <c r="V8286">
        <v>9.781376E-2</v>
      </c>
      <c r="W8286">
        <v>-9.6454020000000008E-3</v>
      </c>
      <c r="X8286">
        <v>0.99515799999999999</v>
      </c>
      <c r="Y8286">
        <v>0.34656379999999998</v>
      </c>
      <c r="Z8286">
        <v>3.3700800000000003E-2</v>
      </c>
      <c r="AA8286">
        <v>0.93742080000000005</v>
      </c>
      <c r="AB8286">
        <v>11</v>
      </c>
      <c r="AC8286">
        <v>98.222999999999999</v>
      </c>
      <c r="AD8286">
        <v>5.1184629999999904</v>
      </c>
      <c r="AE8286">
        <v>17.031700000000001</v>
      </c>
      <c r="AF8286">
        <v>34.589955891874197</v>
      </c>
      <c r="AG8286">
        <v>5.1184629999999904</v>
      </c>
      <c r="AH8286">
        <v>93.215774584678201</v>
      </c>
      <c r="AI8286">
        <v>87.053024885114297</v>
      </c>
      <c r="AJ8286">
        <v>69.641416377911398</v>
      </c>
      <c r="AK8286">
        <v>99.558245984477395</v>
      </c>
      <c r="AL8286">
        <v>90.552649392839101</v>
      </c>
      <c r="AM8286">
        <v>84.3864471593037</v>
      </c>
      <c r="AN8286">
        <v>1.0000000051945299</v>
      </c>
    </row>
    <row r="8287" spans="1:40" x14ac:dyDescent="0.25">
      <c r="A8287" t="str">
        <f>"20190312160848116"</f>
        <v>20190312160848116</v>
      </c>
      <c r="B8287" t="str">
        <f>"1552378128113489"</f>
        <v>1552378128113489</v>
      </c>
      <c r="C8287" t="s">
        <v>40</v>
      </c>
      <c r="D8287">
        <v>6.3479850000000004</v>
      </c>
      <c r="E8287">
        <v>0.58978439999999999</v>
      </c>
      <c r="F8287" t="s">
        <v>118</v>
      </c>
      <c r="G8287">
        <v>-54.230739999999997</v>
      </c>
      <c r="H8287">
        <v>7.1832479999999999</v>
      </c>
      <c r="I8287">
        <v>160.75</v>
      </c>
      <c r="J8287">
        <v>-173.69309999999999</v>
      </c>
      <c r="K8287">
        <v>1.108927</v>
      </c>
      <c r="L8287">
        <v>140.58340000000001</v>
      </c>
      <c r="M8287">
        <v>0.86725200000000002</v>
      </c>
      <c r="N8287">
        <v>0</v>
      </c>
      <c r="O8287">
        <v>0.4974498</v>
      </c>
      <c r="P8287">
        <v>0.9114873</v>
      </c>
      <c r="Q8287">
        <v>-2.9631500000000002E-2</v>
      </c>
      <c r="R8287">
        <v>0.4102596</v>
      </c>
      <c r="S8287">
        <v>3.0682369999999999</v>
      </c>
      <c r="T8287">
        <v>0.1558889</v>
      </c>
      <c r="U8287">
        <v>0.51872249999999998</v>
      </c>
      <c r="V8287">
        <v>9.7602140000000004E-2</v>
      </c>
      <c r="W8287">
        <v>-9.6913329999999999E-3</v>
      </c>
      <c r="X8287">
        <v>0.99517829999999996</v>
      </c>
      <c r="Y8287">
        <v>0.3450028</v>
      </c>
      <c r="Z8287">
        <v>3.263692E-2</v>
      </c>
      <c r="AA8287">
        <v>0.93803409999999998</v>
      </c>
      <c r="AB8287">
        <v>10</v>
      </c>
      <c r="AC8287">
        <v>119.46236</v>
      </c>
      <c r="AD8287">
        <v>6.0743209999999896</v>
      </c>
      <c r="AE8287">
        <v>20.166599999999899</v>
      </c>
      <c r="AF8287">
        <v>41.840584734493298</v>
      </c>
      <c r="AG8287">
        <v>6.0743209999999896</v>
      </c>
      <c r="AH8287">
        <v>113.37457941693501</v>
      </c>
      <c r="AI8287">
        <v>87.122517261609403</v>
      </c>
      <c r="AJ8287">
        <v>69.743552885953903</v>
      </c>
      <c r="AK8287">
        <v>121.001351911878</v>
      </c>
      <c r="AL8287">
        <v>90.555281185477895</v>
      </c>
      <c r="AM8287">
        <v>84.398628289854997</v>
      </c>
      <c r="AN8287">
        <v>0.99999997422939202</v>
      </c>
    </row>
    <row r="8288" spans="1:40" x14ac:dyDescent="0.25">
      <c r="A8288" t="str">
        <f>"20190312160848138"</f>
        <v>20190312160848138</v>
      </c>
      <c r="B8288" t="str">
        <f>"1552378128133983"</f>
        <v>1552378128133983</v>
      </c>
      <c r="C8288" t="s">
        <v>40</v>
      </c>
      <c r="D8288">
        <v>6.3945339999999904</v>
      </c>
      <c r="E8288">
        <v>0.58751549999999997</v>
      </c>
      <c r="F8288" t="s">
        <v>117</v>
      </c>
      <c r="G8288">
        <v>-84.632189999999994</v>
      </c>
      <c r="H8288">
        <v>4.4426420000000002</v>
      </c>
      <c r="I8288">
        <v>157.56870000000001</v>
      </c>
      <c r="J8288">
        <v>-173.59829999999999</v>
      </c>
      <c r="K8288">
        <v>1.108941</v>
      </c>
      <c r="L8288">
        <v>140.62880000000001</v>
      </c>
      <c r="M8288">
        <v>0.87040149999999905</v>
      </c>
      <c r="N8288">
        <v>0</v>
      </c>
      <c r="O8288">
        <v>0.49193199999999998</v>
      </c>
      <c r="P8288">
        <v>0.9141397</v>
      </c>
      <c r="Q8288">
        <v>-2.831608E-2</v>
      </c>
      <c r="R8288">
        <v>0.40440949999999998</v>
      </c>
      <c r="S8288">
        <v>3.0345309999999999</v>
      </c>
      <c r="T8288">
        <v>0.1135882</v>
      </c>
      <c r="U8288">
        <v>0.57873540000000001</v>
      </c>
      <c r="V8288">
        <v>9.7681329999999997E-2</v>
      </c>
      <c r="W8288">
        <v>-8.7037539999999993E-3</v>
      </c>
      <c r="X8288">
        <v>0.9951797</v>
      </c>
      <c r="Y8288">
        <v>0.31971280000000002</v>
      </c>
      <c r="Z8288">
        <v>2.3337859999999998E-2</v>
      </c>
      <c r="AA8288">
        <v>0.94722709999999999</v>
      </c>
      <c r="AB8288">
        <v>10</v>
      </c>
      <c r="AC8288">
        <v>88.966109999999901</v>
      </c>
      <c r="AD8288">
        <v>3.333701</v>
      </c>
      <c r="AE8288">
        <v>16.939899999999898</v>
      </c>
      <c r="AF8288">
        <v>28.9873503243962</v>
      </c>
      <c r="AG8288">
        <v>3.333701</v>
      </c>
      <c r="AH8288">
        <v>85.670767662837505</v>
      </c>
      <c r="AI8288">
        <v>87.889026541718295</v>
      </c>
      <c r="AJ8288">
        <v>71.306363516943605</v>
      </c>
      <c r="AK8288">
        <v>90.503372716858294</v>
      </c>
      <c r="AL8288">
        <v>90.498694658525807</v>
      </c>
      <c r="AM8288">
        <v>84.394120360920496</v>
      </c>
      <c r="AN8288">
        <v>1.0000000164281699</v>
      </c>
    </row>
    <row r="8289" spans="1:40" x14ac:dyDescent="0.25">
      <c r="A8289" t="str">
        <f>"20190312160848161"</f>
        <v>20190312160848161</v>
      </c>
      <c r="B8289" t="str">
        <f>"1552378128153507"</f>
        <v>1552378128153507</v>
      </c>
      <c r="C8289" t="s">
        <v>40</v>
      </c>
      <c r="D8289">
        <v>6.1263740000000002</v>
      </c>
      <c r="E8289">
        <v>0.58693619999999902</v>
      </c>
      <c r="F8289" t="s">
        <v>117</v>
      </c>
      <c r="G8289">
        <v>-84.468850000000003</v>
      </c>
      <c r="H8289">
        <v>0.46976849999999998</v>
      </c>
      <c r="I8289">
        <v>157.56739999999999</v>
      </c>
      <c r="J8289">
        <v>-173.50540000000001</v>
      </c>
      <c r="K8289">
        <v>1.1089639999999901</v>
      </c>
      <c r="L8289">
        <v>140.67269999999999</v>
      </c>
      <c r="M8289">
        <v>0.87345249999999997</v>
      </c>
      <c r="N8289">
        <v>0</v>
      </c>
      <c r="O8289">
        <v>0.48650650000000001</v>
      </c>
      <c r="P8289">
        <v>0.91646550000000004</v>
      </c>
      <c r="Q8289">
        <v>-2.750497E-2</v>
      </c>
      <c r="R8289">
        <v>0.3991672</v>
      </c>
      <c r="S8289">
        <v>3.026627</v>
      </c>
      <c r="T8289">
        <v>-2.1704669999999999E-2</v>
      </c>
      <c r="U8289">
        <v>0.57519529999999996</v>
      </c>
      <c r="V8289">
        <v>9.7200239999999993E-2</v>
      </c>
      <c r="W8289">
        <v>-8.1837290000000007E-3</v>
      </c>
      <c r="X8289">
        <v>0.99523119999999998</v>
      </c>
      <c r="Y8289">
        <v>0.31491859999999999</v>
      </c>
      <c r="Z8289">
        <v>-4.4225519999999997E-3</v>
      </c>
      <c r="AA8289">
        <v>0.94910839999999996</v>
      </c>
      <c r="AB8289">
        <v>10</v>
      </c>
      <c r="AC8289">
        <v>89.036550000000005</v>
      </c>
      <c r="AD8289">
        <v>-0.63919549999999903</v>
      </c>
      <c r="AE8289">
        <v>16.8947</v>
      </c>
      <c r="AF8289">
        <v>28.564323023924999</v>
      </c>
      <c r="AG8289">
        <v>-0.63919549999999903</v>
      </c>
      <c r="AH8289">
        <v>86.001165651255405</v>
      </c>
      <c r="AI8289">
        <v>90.404130350957203</v>
      </c>
      <c r="AJ8289">
        <v>71.626671342446897</v>
      </c>
      <c r="AK8289">
        <v>90.623008193708898</v>
      </c>
      <c r="AL8289">
        <v>90.468898366074001</v>
      </c>
      <c r="AM8289">
        <v>84.421842129122197</v>
      </c>
      <c r="AN8289">
        <v>1.0000000007649199</v>
      </c>
    </row>
    <row r="8290" spans="1:40" x14ac:dyDescent="0.25">
      <c r="A8290" t="str">
        <f>"20190312160848182"</f>
        <v>20190312160848182</v>
      </c>
      <c r="B8290" t="str">
        <f>"1552378128174000"</f>
        <v>1552378128174000</v>
      </c>
      <c r="C8290" t="s">
        <v>40</v>
      </c>
      <c r="D8290">
        <v>4.8631859999999998</v>
      </c>
      <c r="E8290">
        <v>0.58447910000000003</v>
      </c>
      <c r="F8290" t="s">
        <v>117</v>
      </c>
      <c r="G8290">
        <v>-79.323779999999999</v>
      </c>
      <c r="H8290">
        <v>0.27281090000000002</v>
      </c>
      <c r="I8290">
        <v>158.1551</v>
      </c>
      <c r="J8290">
        <v>-173.41460000000001</v>
      </c>
      <c r="K8290">
        <v>1.1089960000000001</v>
      </c>
      <c r="L8290">
        <v>140.7149</v>
      </c>
      <c r="M8290">
        <v>0.87639750000000005</v>
      </c>
      <c r="N8290">
        <v>0</v>
      </c>
      <c r="O8290">
        <v>0.48119240000000002</v>
      </c>
      <c r="P8290">
        <v>0.91873720000000003</v>
      </c>
      <c r="Q8290">
        <v>-2.7310020000000001E-2</v>
      </c>
      <c r="R8290">
        <v>0.39392430000000001</v>
      </c>
      <c r="S8290">
        <v>3.027847</v>
      </c>
      <c r="T8290">
        <v>-2.688134E-2</v>
      </c>
      <c r="U8290">
        <v>0.56204219999999905</v>
      </c>
      <c r="V8290">
        <v>9.6842269999999994E-2</v>
      </c>
      <c r="W8290">
        <v>-8.2507429999999996E-3</v>
      </c>
      <c r="X8290">
        <v>0.99526550000000003</v>
      </c>
      <c r="Y8290">
        <v>0.31319350000000001</v>
      </c>
      <c r="Z8290">
        <v>-5.4300939999999999E-3</v>
      </c>
      <c r="AA8290">
        <v>0.94967380000000001</v>
      </c>
      <c r="AB8290">
        <v>10</v>
      </c>
      <c r="AC8290">
        <v>94.090819999999994</v>
      </c>
      <c r="AD8290">
        <v>-0.83618509999999902</v>
      </c>
      <c r="AE8290">
        <v>17.440200000000001</v>
      </c>
      <c r="AF8290">
        <v>29.994668965623099</v>
      </c>
      <c r="AG8290">
        <v>-0.83618509999999902</v>
      </c>
      <c r="AH8290">
        <v>90.863439110900501</v>
      </c>
      <c r="AI8290">
        <v>90.500685244281996</v>
      </c>
      <c r="AJ8290">
        <v>71.731575012154494</v>
      </c>
      <c r="AK8290">
        <v>95.689831951671394</v>
      </c>
      <c r="AL8290">
        <v>90.472738135411007</v>
      </c>
      <c r="AM8290">
        <v>84.4424469053412</v>
      </c>
      <c r="AN8290">
        <v>0.99999995775452599</v>
      </c>
    </row>
    <row r="8291" spans="1:40" x14ac:dyDescent="0.25">
      <c r="A8291" t="str">
        <f>"20190312160848206"</f>
        <v>20190312160848206</v>
      </c>
      <c r="B8291" t="str">
        <f>"1552378128193520"</f>
        <v>1552378128193520</v>
      </c>
      <c r="C8291" t="s">
        <v>40</v>
      </c>
      <c r="D8291">
        <v>6.2989800000000002</v>
      </c>
      <c r="E8291">
        <v>0.5869337</v>
      </c>
      <c r="F8291" t="s">
        <v>117</v>
      </c>
      <c r="G8291">
        <v>-82.220959999999906</v>
      </c>
      <c r="H8291">
        <v>4.2623350000000002</v>
      </c>
      <c r="I8291">
        <v>157.68190000000001</v>
      </c>
      <c r="J8291">
        <v>-173.3227</v>
      </c>
      <c r="K8291">
        <v>1.1090180000000001</v>
      </c>
      <c r="L8291">
        <v>140.7569</v>
      </c>
      <c r="M8291">
        <v>0.8793377</v>
      </c>
      <c r="N8291">
        <v>0</v>
      </c>
      <c r="O8291">
        <v>0.47580919999999999</v>
      </c>
      <c r="P8291">
        <v>0.92120000000000002</v>
      </c>
      <c r="Q8291">
        <v>-2.7174429999999999E-2</v>
      </c>
      <c r="R8291">
        <v>0.38813920000000002</v>
      </c>
      <c r="S8291">
        <v>3.026993</v>
      </c>
      <c r="T8291">
        <v>0.104669</v>
      </c>
      <c r="U8291">
        <v>0.56318659999999998</v>
      </c>
      <c r="V8291">
        <v>9.6996840000000001E-2</v>
      </c>
      <c r="W8291">
        <v>-8.3791569999999999E-3</v>
      </c>
      <c r="X8291">
        <v>0.99524939999999995</v>
      </c>
      <c r="Y8291">
        <v>0.30656899999999998</v>
      </c>
      <c r="Z8291">
        <v>2.0867670000000001E-2</v>
      </c>
      <c r="AA8291">
        <v>0.95161969999999996</v>
      </c>
      <c r="AB8291">
        <v>10</v>
      </c>
      <c r="AC8291">
        <v>91.101740000000007</v>
      </c>
      <c r="AD8291">
        <v>3.1533169999999999</v>
      </c>
      <c r="AE8291">
        <v>16.925000000000001</v>
      </c>
      <c r="AF8291">
        <v>28.4366020359438</v>
      </c>
      <c r="AG8291">
        <v>3.1533169999999999</v>
      </c>
      <c r="AH8291">
        <v>88.076614362291707</v>
      </c>
      <c r="AI8291">
        <v>88.048673377791303</v>
      </c>
      <c r="AJ8291">
        <v>72.106697532073596</v>
      </c>
      <c r="AK8291">
        <v>92.607093362101594</v>
      </c>
      <c r="AL8291">
        <v>90.4800959583294</v>
      </c>
      <c r="AM8291">
        <v>84.433542676876101</v>
      </c>
      <c r="AN8291">
        <v>0.99999998272118695</v>
      </c>
    </row>
    <row r="8292" spans="1:40" x14ac:dyDescent="0.25">
      <c r="A8292" t="str">
        <f>"20190312160848228"</f>
        <v>20190312160848228</v>
      </c>
      <c r="B8292" t="str">
        <f>"1552378128223775"</f>
        <v>1552378128223775</v>
      </c>
      <c r="C8292" t="s">
        <v>40</v>
      </c>
      <c r="D8292">
        <v>6.3213569999999999</v>
      </c>
      <c r="E8292">
        <v>0.58957619999999999</v>
      </c>
      <c r="F8292" t="s">
        <v>117</v>
      </c>
      <c r="G8292">
        <v>-76.188180000000003</v>
      </c>
      <c r="H8292">
        <v>4.8097729999999999</v>
      </c>
      <c r="I8292">
        <v>157.56890000000001</v>
      </c>
      <c r="J8292">
        <v>-173.22730000000001</v>
      </c>
      <c r="K8292">
        <v>1.1090249999999999</v>
      </c>
      <c r="L8292">
        <v>140.7998</v>
      </c>
      <c r="M8292">
        <v>0.88235839999999999</v>
      </c>
      <c r="N8292">
        <v>0</v>
      </c>
      <c r="O8292">
        <v>0.470196</v>
      </c>
      <c r="P8292">
        <v>0.92388769999999998</v>
      </c>
      <c r="Q8292">
        <v>-2.6416120000000001E-2</v>
      </c>
      <c r="R8292">
        <v>0.3817509</v>
      </c>
      <c r="S8292">
        <v>3.0384519999999999</v>
      </c>
      <c r="T8292">
        <v>0.1157629</v>
      </c>
      <c r="U8292">
        <v>0.52589419999999898</v>
      </c>
      <c r="V8292">
        <v>9.7555909999999996E-2</v>
      </c>
      <c r="W8292">
        <v>-7.9122199999999993E-3</v>
      </c>
      <c r="X8292">
        <v>0.99519860000000004</v>
      </c>
      <c r="Y8292">
        <v>0.3123631</v>
      </c>
      <c r="Z8292">
        <v>2.295328E-2</v>
      </c>
      <c r="AA8292">
        <v>0.94968549999999996</v>
      </c>
      <c r="AB8292">
        <v>10</v>
      </c>
      <c r="AC8292">
        <v>97.039119999999997</v>
      </c>
      <c r="AD8292">
        <v>3.7007479999999999</v>
      </c>
      <c r="AE8292">
        <v>16.769100000000002</v>
      </c>
      <c r="AF8292">
        <v>30.793104266496801</v>
      </c>
      <c r="AG8292">
        <v>3.7007479999999999</v>
      </c>
      <c r="AH8292">
        <v>93.392960645118507</v>
      </c>
      <c r="AI8292">
        <v>87.844819360051801</v>
      </c>
      <c r="AJ8292">
        <v>71.751812494341195</v>
      </c>
      <c r="AK8292">
        <v>98.408108935125398</v>
      </c>
      <c r="AL8292">
        <v>90.453341539994796</v>
      </c>
      <c r="AM8292">
        <v>84.401378038829506</v>
      </c>
      <c r="AN8292">
        <v>1.0000000061215999</v>
      </c>
    </row>
    <row r="8293" spans="1:40" x14ac:dyDescent="0.25">
      <c r="A8293" t="str">
        <f>"20190312160848251"</f>
        <v>20190312160848251</v>
      </c>
      <c r="B8293" t="str">
        <f>"1552378128244274"</f>
        <v>1552378128244274</v>
      </c>
      <c r="C8293" t="s">
        <v>40</v>
      </c>
      <c r="D8293">
        <v>6.3482729999999998</v>
      </c>
      <c r="E8293">
        <v>0.59031369999999905</v>
      </c>
      <c r="F8293" t="s">
        <v>118</v>
      </c>
      <c r="G8293">
        <v>-47.844200000000001</v>
      </c>
      <c r="H8293">
        <v>6.6304550000000004</v>
      </c>
      <c r="I8293">
        <v>160.75</v>
      </c>
      <c r="J8293">
        <v>-173.1362</v>
      </c>
      <c r="K8293">
        <v>1.109011</v>
      </c>
      <c r="L8293">
        <v>140.84010000000001</v>
      </c>
      <c r="M8293">
        <v>0.88521000000000005</v>
      </c>
      <c r="N8293">
        <v>0</v>
      </c>
      <c r="O8293">
        <v>0.46481749999999999</v>
      </c>
      <c r="P8293">
        <v>0.9263072</v>
      </c>
      <c r="Q8293">
        <v>-2.6729599999999999E-2</v>
      </c>
      <c r="R8293">
        <v>0.37581969999999998</v>
      </c>
      <c r="S8293">
        <v>3.05043</v>
      </c>
      <c r="T8293">
        <v>0.13433110000000001</v>
      </c>
      <c r="U8293">
        <v>0.48536679999999999</v>
      </c>
      <c r="V8293">
        <v>9.7870360000000003E-2</v>
      </c>
      <c r="W8293">
        <v>-8.5351239999999998E-3</v>
      </c>
      <c r="X8293">
        <v>0.99516249999999995</v>
      </c>
      <c r="Y8293">
        <v>0.31929760000000001</v>
      </c>
      <c r="Z8293">
        <v>2.651715E-2</v>
      </c>
      <c r="AA8293">
        <v>0.9472834</v>
      </c>
      <c r="AB8293">
        <v>10</v>
      </c>
      <c r="AC8293">
        <v>125.292</v>
      </c>
      <c r="AD8293">
        <v>5.5214439999999998</v>
      </c>
      <c r="AE8293">
        <v>19.9099</v>
      </c>
      <c r="AF8293">
        <v>40.543740793212102</v>
      </c>
      <c r="AG8293">
        <v>5.5214439999999998</v>
      </c>
      <c r="AH8293">
        <v>119.957886705796</v>
      </c>
      <c r="AI8293">
        <v>87.503201231832193</v>
      </c>
      <c r="AJ8293">
        <v>71.325614745266506</v>
      </c>
      <c r="AK8293">
        <v>126.74452983964601</v>
      </c>
      <c r="AL8293">
        <v>90.489032555416699</v>
      </c>
      <c r="AM8293">
        <v>84.383244874109593</v>
      </c>
      <c r="AN8293">
        <v>0.99999992855723496</v>
      </c>
    </row>
    <row r="8294" spans="1:40" x14ac:dyDescent="0.25">
      <c r="A8294" t="str">
        <f>"20190312160848272"</f>
        <v>20190312160848272</v>
      </c>
      <c r="B8294" t="str">
        <f>"1552378128263792"</f>
        <v>1552378128263792</v>
      </c>
      <c r="C8294" t="s">
        <v>40</v>
      </c>
      <c r="D8294">
        <v>6.3478000000000003</v>
      </c>
      <c r="E8294">
        <v>0.59090759999999998</v>
      </c>
      <c r="F8294" t="s">
        <v>41</v>
      </c>
      <c r="G8294">
        <v>0</v>
      </c>
      <c r="H8294">
        <v>0</v>
      </c>
      <c r="I8294">
        <v>0</v>
      </c>
      <c r="J8294">
        <v>-173.04859999999999</v>
      </c>
      <c r="K8294">
        <v>1.10897</v>
      </c>
      <c r="L8294">
        <v>140.8783</v>
      </c>
      <c r="M8294">
        <v>0.88791980000000004</v>
      </c>
      <c r="N8294">
        <v>0</v>
      </c>
      <c r="O8294">
        <v>0.45963379999999998</v>
      </c>
      <c r="P8294">
        <v>0.92855310000000002</v>
      </c>
      <c r="Q8294">
        <v>-2.6645140000000001E-2</v>
      </c>
      <c r="R8294">
        <v>0.37024200000000002</v>
      </c>
      <c r="S8294">
        <v>3.0558930000000002</v>
      </c>
      <c r="T8294">
        <v>0.14025679999999999</v>
      </c>
      <c r="U8294">
        <v>0.4604492</v>
      </c>
      <c r="V8294">
        <v>9.8033739999999994E-2</v>
      </c>
      <c r="W8294">
        <v>-8.7885649999999999E-3</v>
      </c>
      <c r="X8294">
        <v>0.99514429999999998</v>
      </c>
      <c r="Y8294">
        <v>0.32150000000000001</v>
      </c>
      <c r="Z8294">
        <v>2.750443E-2</v>
      </c>
      <c r="AA8294">
        <v>0.94650999999999996</v>
      </c>
      <c r="AB8294">
        <v>10</v>
      </c>
      <c r="AC8294">
        <v>3.0558930000000002</v>
      </c>
      <c r="AD8294">
        <v>0.14025679999999999</v>
      </c>
      <c r="AE8294">
        <v>0.4604492</v>
      </c>
      <c r="AF8294">
        <v>0.99386952156828101</v>
      </c>
      <c r="AG8294">
        <v>0.14025679999999999</v>
      </c>
      <c r="AH8294">
        <v>2.9195027238459299</v>
      </c>
      <c r="AI8294">
        <v>87.396077263122393</v>
      </c>
      <c r="AJ8294">
        <v>71.200180724572803</v>
      </c>
      <c r="AK8294">
        <v>3.0872228216298798</v>
      </c>
      <c r="AL8294">
        <v>90.503554157170399</v>
      </c>
      <c r="AM8294">
        <v>84.373826408483595</v>
      </c>
      <c r="AN8294">
        <v>1.0000000154378099</v>
      </c>
    </row>
    <row r="8295" spans="1:40" x14ac:dyDescent="0.25">
      <c r="A8295" t="str">
        <f>"20190312160848296"</f>
        <v>20190312160848296</v>
      </c>
      <c r="B8295" t="str">
        <f>"1552378128284287"</f>
        <v>1552378128284287</v>
      </c>
      <c r="C8295" t="s">
        <v>40</v>
      </c>
      <c r="D8295">
        <v>6.38652</v>
      </c>
      <c r="E8295">
        <v>0.59127879999999999</v>
      </c>
      <c r="F8295" t="s">
        <v>41</v>
      </c>
      <c r="G8295">
        <v>0</v>
      </c>
      <c r="H8295">
        <v>0</v>
      </c>
      <c r="I8295">
        <v>0</v>
      </c>
      <c r="J8295">
        <v>-172.95779999999999</v>
      </c>
      <c r="K8295">
        <v>1.108927</v>
      </c>
      <c r="L8295">
        <v>140.91720000000001</v>
      </c>
      <c r="M8295">
        <v>0.89068749999999997</v>
      </c>
      <c r="N8295">
        <v>0</v>
      </c>
      <c r="O8295">
        <v>0.45426290000000003</v>
      </c>
      <c r="P8295">
        <v>0.93084719999999999</v>
      </c>
      <c r="Q8295">
        <v>-2.7014130000000001E-2</v>
      </c>
      <c r="R8295">
        <v>0.36440899999999998</v>
      </c>
      <c r="S8295">
        <v>3.0603940000000001</v>
      </c>
      <c r="T8295">
        <v>0.1422515</v>
      </c>
      <c r="U8295">
        <v>0.43769839999999999</v>
      </c>
      <c r="V8295">
        <v>9.8255949999999995E-2</v>
      </c>
      <c r="W8295">
        <v>-9.5467060000000003E-3</v>
      </c>
      <c r="X8295">
        <v>0.99511539999999998</v>
      </c>
      <c r="Y8295">
        <v>0.32285419999999998</v>
      </c>
      <c r="Z8295">
        <v>2.7688790000000001E-2</v>
      </c>
      <c r="AA8295">
        <v>0.94604359999999998</v>
      </c>
      <c r="AB8295">
        <v>10</v>
      </c>
      <c r="AC8295">
        <v>3.0603940000000001</v>
      </c>
      <c r="AD8295">
        <v>0.1422515</v>
      </c>
      <c r="AE8295">
        <v>0.43769839999999999</v>
      </c>
      <c r="AF8295">
        <v>0.99841768932615504</v>
      </c>
      <c r="AG8295">
        <v>0.1422515</v>
      </c>
      <c r="AH8295">
        <v>2.9189742428791199</v>
      </c>
      <c r="AI8295">
        <v>87.359924981240397</v>
      </c>
      <c r="AJ8295">
        <v>71.1170539272605</v>
      </c>
      <c r="AK8295">
        <v>3.0882817232570199</v>
      </c>
      <c r="AL8295">
        <v>90.546994262697297</v>
      </c>
      <c r="AM8295">
        <v>84.360993125497899</v>
      </c>
      <c r="AN8295">
        <v>1.0000000153115001</v>
      </c>
    </row>
    <row r="8296" spans="1:40" x14ac:dyDescent="0.25">
      <c r="A8296" t="str">
        <f>"20190312160848317"</f>
        <v>20190312160848317</v>
      </c>
      <c r="B8296" t="str">
        <f>"1552378128313568"</f>
        <v>1552378128313568</v>
      </c>
      <c r="C8296" t="s">
        <v>40</v>
      </c>
      <c r="D8296">
        <v>6.0224330000000004</v>
      </c>
      <c r="E8296">
        <v>0.591153699999999</v>
      </c>
      <c r="F8296" t="s">
        <v>41</v>
      </c>
      <c r="G8296">
        <v>0</v>
      </c>
      <c r="H8296">
        <v>0</v>
      </c>
      <c r="I8296">
        <v>0</v>
      </c>
      <c r="J8296">
        <v>-172.8665</v>
      </c>
      <c r="K8296">
        <v>1.10887</v>
      </c>
      <c r="L8296">
        <v>140.9556</v>
      </c>
      <c r="M8296">
        <v>0.89342619999999895</v>
      </c>
      <c r="N8296">
        <v>0</v>
      </c>
      <c r="O8296">
        <v>0.44886920000000002</v>
      </c>
      <c r="P8296">
        <v>0.93303919999999996</v>
      </c>
      <c r="Q8296">
        <v>-2.7517050000000001E-2</v>
      </c>
      <c r="R8296">
        <v>0.35872110000000001</v>
      </c>
      <c r="S8296">
        <v>3.0642399999999999</v>
      </c>
      <c r="T8296">
        <v>0.14229059999999999</v>
      </c>
      <c r="U8296">
        <v>0.41578670000000001</v>
      </c>
      <c r="V8296">
        <v>9.8298839999999998E-2</v>
      </c>
      <c r="W8296">
        <v>-1.047325E-2</v>
      </c>
      <c r="X8296">
        <v>0.99510180000000004</v>
      </c>
      <c r="Y8296">
        <v>0.32393569999999999</v>
      </c>
      <c r="Z8296">
        <v>2.7486179999999999E-2</v>
      </c>
      <c r="AA8296">
        <v>0.94567979999999996</v>
      </c>
      <c r="AB8296">
        <v>10</v>
      </c>
      <c r="AC8296">
        <v>3.0642399999999999</v>
      </c>
      <c r="AD8296">
        <v>0.14229059999999999</v>
      </c>
      <c r="AE8296">
        <v>0.41578670000000001</v>
      </c>
      <c r="AF8296">
        <v>1.0020003612564301</v>
      </c>
      <c r="AG8296">
        <v>0.14229059999999999</v>
      </c>
      <c r="AH8296">
        <v>2.9185742489314501</v>
      </c>
      <c r="AI8296">
        <v>87.359869500097403</v>
      </c>
      <c r="AJ8296">
        <v>71.051708611186797</v>
      </c>
      <c r="AK8296">
        <v>3.0890657139873401</v>
      </c>
      <c r="AL8296">
        <v>90.600084010579195</v>
      </c>
      <c r="AM8296">
        <v>84.358470896450001</v>
      </c>
      <c r="AN8296">
        <v>0.99999997163707299</v>
      </c>
    </row>
    <row r="8297" spans="1:40" x14ac:dyDescent="0.25">
      <c r="A8297" t="str">
        <f>"20190312160848339"</f>
        <v>20190312160848339</v>
      </c>
      <c r="B8297" t="str">
        <f>"1552378128334064"</f>
        <v>1552378128334064</v>
      </c>
      <c r="C8297" t="s">
        <v>40</v>
      </c>
      <c r="D8297">
        <v>6.3834359999999997</v>
      </c>
      <c r="E8297">
        <v>0.59127479999999999</v>
      </c>
      <c r="F8297" t="s">
        <v>41</v>
      </c>
      <c r="G8297">
        <v>0</v>
      </c>
      <c r="H8297">
        <v>0</v>
      </c>
      <c r="I8297">
        <v>0</v>
      </c>
      <c r="J8297">
        <v>-172.77520000000001</v>
      </c>
      <c r="K8297">
        <v>1.108822</v>
      </c>
      <c r="L8297">
        <v>140.99340000000001</v>
      </c>
      <c r="M8297">
        <v>0.89612219999999998</v>
      </c>
      <c r="N8297">
        <v>0</v>
      </c>
      <c r="O8297">
        <v>0.44347979999999998</v>
      </c>
      <c r="P8297">
        <v>0.93536079999999999</v>
      </c>
      <c r="Q8297">
        <v>-2.7903500000000001E-2</v>
      </c>
      <c r="R8297">
        <v>0.35259279999999998</v>
      </c>
      <c r="S8297">
        <v>3.0663909999999999</v>
      </c>
      <c r="T8297">
        <v>0.1389146</v>
      </c>
      <c r="U8297">
        <v>0.39793400000000001</v>
      </c>
      <c r="V8297">
        <v>9.8821129999999993E-2</v>
      </c>
      <c r="W8297">
        <v>-1.1297099999999999E-2</v>
      </c>
      <c r="X8297">
        <v>0.99504110000000001</v>
      </c>
      <c r="Y8297">
        <v>0.32377529999999999</v>
      </c>
      <c r="Z8297">
        <v>2.6611099999999999E-2</v>
      </c>
      <c r="AA8297">
        <v>0.94575969999999998</v>
      </c>
      <c r="AB8297">
        <v>10</v>
      </c>
      <c r="AC8297">
        <v>3.0663909999999999</v>
      </c>
      <c r="AD8297">
        <v>0.1389146</v>
      </c>
      <c r="AE8297">
        <v>0.39793400000000001</v>
      </c>
      <c r="AF8297">
        <v>1.0014096656307301</v>
      </c>
      <c r="AG8297">
        <v>0.1389146</v>
      </c>
      <c r="AH8297">
        <v>2.9188706570408098</v>
      </c>
      <c r="AI8297">
        <v>87.422497888877302</v>
      </c>
      <c r="AJ8297">
        <v>71.063868861169396</v>
      </c>
      <c r="AK8297">
        <v>3.0890005660481301</v>
      </c>
      <c r="AL8297">
        <v>90.647289909575207</v>
      </c>
      <c r="AM8297">
        <v>84.328347017290795</v>
      </c>
      <c r="AN8297">
        <v>1.00000001544604</v>
      </c>
    </row>
    <row r="8298" spans="1:40" x14ac:dyDescent="0.25">
      <c r="A8298" t="str">
        <f>"20190312160848362"</f>
        <v>20190312160848362</v>
      </c>
      <c r="B8298" t="str">
        <f>"1552378128353587"</f>
        <v>1552378128353587</v>
      </c>
      <c r="C8298" t="s">
        <v>40</v>
      </c>
      <c r="D8298">
        <v>6.37798</v>
      </c>
      <c r="E8298">
        <v>0.5911052</v>
      </c>
      <c r="F8298" t="s">
        <v>41</v>
      </c>
      <c r="G8298">
        <v>0</v>
      </c>
      <c r="H8298">
        <v>0</v>
      </c>
      <c r="I8298">
        <v>0</v>
      </c>
      <c r="J8298">
        <v>-172.68549999999999</v>
      </c>
      <c r="K8298">
        <v>1.1087800000000001</v>
      </c>
      <c r="L8298">
        <v>141.0299</v>
      </c>
      <c r="M8298">
        <v>0.89872839999999998</v>
      </c>
      <c r="N8298">
        <v>0</v>
      </c>
      <c r="O8298">
        <v>0.43819000000000002</v>
      </c>
      <c r="P8298">
        <v>0.93755239999999995</v>
      </c>
      <c r="Q8298">
        <v>-2.8136600000000001E-2</v>
      </c>
      <c r="R8298">
        <v>0.34670450000000003</v>
      </c>
      <c r="S8298">
        <v>3.0694270000000001</v>
      </c>
      <c r="T8298">
        <v>0.13988100000000001</v>
      </c>
      <c r="U8298">
        <v>0.37684630000000002</v>
      </c>
      <c r="V8298">
        <v>9.9203849999999996E-2</v>
      </c>
      <c r="W8298">
        <v>-1.194188E-2</v>
      </c>
      <c r="X8298">
        <v>0.99499550000000003</v>
      </c>
      <c r="Y8298">
        <v>0.32470500000000002</v>
      </c>
      <c r="Z8298">
        <v>2.6593660000000002E-2</v>
      </c>
      <c r="AA8298">
        <v>0.94544139999999999</v>
      </c>
      <c r="AB8298">
        <v>10</v>
      </c>
      <c r="AC8298">
        <v>3.0694270000000001</v>
      </c>
      <c r="AD8298">
        <v>0.13988100000000001</v>
      </c>
      <c r="AE8298">
        <v>0.37684630000000002</v>
      </c>
      <c r="AF8298">
        <v>1.00439405158008</v>
      </c>
      <c r="AG8298">
        <v>0.13988100000000001</v>
      </c>
      <c r="AH8298">
        <v>2.9181456811605</v>
      </c>
      <c r="AI8298">
        <v>87.4048298990555</v>
      </c>
      <c r="AJ8298">
        <v>71.007093297215505</v>
      </c>
      <c r="AK8298">
        <v>3.0893281343175798</v>
      </c>
      <c r="AL8298">
        <v>90.6842355674478</v>
      </c>
      <c r="AM8298">
        <v>84.306266344737494</v>
      </c>
      <c r="AN8298">
        <v>1.0000000286865001</v>
      </c>
    </row>
    <row r="8299" spans="1:40" x14ac:dyDescent="0.25">
      <c r="A8299" t="str">
        <f>"20190312160848384"</f>
        <v>20190312160848384</v>
      </c>
      <c r="B8299" t="str">
        <f>"1552378128374289"</f>
        <v>1552378128374289</v>
      </c>
      <c r="C8299" t="s">
        <v>40</v>
      </c>
      <c r="D8299">
        <v>6.4315819999999997</v>
      </c>
      <c r="E8299">
        <v>0.59107299999999996</v>
      </c>
      <c r="F8299" t="s">
        <v>41</v>
      </c>
      <c r="G8299">
        <v>0</v>
      </c>
      <c r="H8299">
        <v>0</v>
      </c>
      <c r="I8299">
        <v>0</v>
      </c>
      <c r="J8299">
        <v>-172.5949</v>
      </c>
      <c r="K8299">
        <v>1.108744</v>
      </c>
      <c r="L8299">
        <v>141.06620000000001</v>
      </c>
      <c r="M8299">
        <v>0.90131830000000002</v>
      </c>
      <c r="N8299">
        <v>0</v>
      </c>
      <c r="O8299">
        <v>0.43285230000000002</v>
      </c>
      <c r="P8299">
        <v>0.93966280000000002</v>
      </c>
      <c r="Q8299">
        <v>-2.8231180000000002E-2</v>
      </c>
      <c r="R8299">
        <v>0.3409354</v>
      </c>
      <c r="S8299">
        <v>3.0712890000000002</v>
      </c>
      <c r="T8299">
        <v>0.1397371</v>
      </c>
      <c r="U8299">
        <v>0.35896299999999998</v>
      </c>
      <c r="V8299">
        <v>9.9413070000000006E-2</v>
      </c>
      <c r="W8299">
        <v>-1.2414680000000001E-2</v>
      </c>
      <c r="X8299">
        <v>0.99496879999999999</v>
      </c>
      <c r="Y8299">
        <v>0.32459700000000002</v>
      </c>
      <c r="Z8299">
        <v>2.6344639999999999E-2</v>
      </c>
      <c r="AA8299">
        <v>0.94548549999999998</v>
      </c>
      <c r="AB8299">
        <v>10</v>
      </c>
      <c r="AC8299">
        <v>3.0712890000000002</v>
      </c>
      <c r="AD8299">
        <v>0.1397371</v>
      </c>
      <c r="AE8299">
        <v>0.35896299999999998</v>
      </c>
      <c r="AF8299">
        <v>1.0039572524017299</v>
      </c>
      <c r="AG8299">
        <v>0.1397371</v>
      </c>
      <c r="AH8299">
        <v>2.91801418460006</v>
      </c>
      <c r="AI8299">
        <v>87.407272426337201</v>
      </c>
      <c r="AJ8299">
        <v>71.013967239568203</v>
      </c>
      <c r="AK8299">
        <v>3.08905542250274</v>
      </c>
      <c r="AL8299">
        <v>90.711327042446598</v>
      </c>
      <c r="AM8299">
        <v>84.294185358841801</v>
      </c>
      <c r="AN8299">
        <v>0.99999999786988303</v>
      </c>
    </row>
    <row r="8300" spans="1:40" x14ac:dyDescent="0.25">
      <c r="A8300" t="str">
        <f>"20190312160848407"</f>
        <v>20190312160848407</v>
      </c>
      <c r="B8300" t="str">
        <f>"1552378128403569"</f>
        <v>1552378128403569</v>
      </c>
      <c r="C8300" t="s">
        <v>40</v>
      </c>
      <c r="D8300">
        <v>6.2053250000000002</v>
      </c>
      <c r="E8300">
        <v>0.59070690000000003</v>
      </c>
      <c r="F8300" t="s">
        <v>41</v>
      </c>
      <c r="G8300">
        <v>0</v>
      </c>
      <c r="H8300">
        <v>0</v>
      </c>
      <c r="I8300">
        <v>0</v>
      </c>
      <c r="J8300">
        <v>-172.50229999999999</v>
      </c>
      <c r="K8300">
        <v>1.108716</v>
      </c>
      <c r="L8300">
        <v>141.1027</v>
      </c>
      <c r="M8300">
        <v>0.9039237</v>
      </c>
      <c r="N8300">
        <v>0</v>
      </c>
      <c r="O8300">
        <v>0.42739779999999999</v>
      </c>
      <c r="P8300">
        <v>0.94163419999999998</v>
      </c>
      <c r="Q8300">
        <v>-2.8519019999999999E-2</v>
      </c>
      <c r="R8300">
        <v>0.3354279</v>
      </c>
      <c r="S8300">
        <v>3.073318</v>
      </c>
      <c r="T8300">
        <v>0.140461</v>
      </c>
      <c r="U8300">
        <v>0.34051510000000001</v>
      </c>
      <c r="V8300">
        <v>9.9217620000000006E-2</v>
      </c>
      <c r="W8300">
        <v>-1.3046200000000001E-2</v>
      </c>
      <c r="X8300">
        <v>0.99498019999999998</v>
      </c>
      <c r="Y8300">
        <v>0.32455209999999901</v>
      </c>
      <c r="Z8300">
        <v>2.625253E-2</v>
      </c>
      <c r="AA8300">
        <v>0.94550339999999999</v>
      </c>
      <c r="AB8300">
        <v>10</v>
      </c>
      <c r="AC8300">
        <v>3.073318</v>
      </c>
      <c r="AD8300">
        <v>0.140461</v>
      </c>
      <c r="AE8300">
        <v>0.34051510000000001</v>
      </c>
      <c r="AF8300">
        <v>1.0037856857184799</v>
      </c>
      <c r="AG8300">
        <v>0.140461</v>
      </c>
      <c r="AH8300">
        <v>2.9179293294461099</v>
      </c>
      <c r="AI8300">
        <v>87.393744673231595</v>
      </c>
      <c r="AJ8300">
        <v>71.016466960401502</v>
      </c>
      <c r="AK8300">
        <v>3.0889523413313098</v>
      </c>
      <c r="AL8300">
        <v>90.747513427817395</v>
      </c>
      <c r="AM8300">
        <v>84.305394229194803</v>
      </c>
      <c r="AN8300">
        <v>0.99999996892247101</v>
      </c>
    </row>
    <row r="8301" spans="1:40" x14ac:dyDescent="0.25">
      <c r="A8301" t="str">
        <f>"20190312160848430"</f>
        <v>20190312160848430</v>
      </c>
      <c r="B8301" t="str">
        <f>"1552378128424065"</f>
        <v>1552378128424065</v>
      </c>
      <c r="C8301" t="s">
        <v>40</v>
      </c>
      <c r="D8301">
        <v>6.4708220000000001</v>
      </c>
      <c r="E8301">
        <v>0.59049119999999899</v>
      </c>
      <c r="F8301" t="s">
        <v>41</v>
      </c>
      <c r="G8301">
        <v>0</v>
      </c>
      <c r="H8301">
        <v>0</v>
      </c>
      <c r="I8301">
        <v>0</v>
      </c>
      <c r="J8301">
        <v>-172.40880000000001</v>
      </c>
      <c r="K8301">
        <v>1.1086929999999999</v>
      </c>
      <c r="L8301">
        <v>141.13890000000001</v>
      </c>
      <c r="M8301">
        <v>0.90651360000000003</v>
      </c>
      <c r="N8301">
        <v>0</v>
      </c>
      <c r="O8301">
        <v>0.4218886</v>
      </c>
      <c r="P8301">
        <v>0.94347329999999996</v>
      </c>
      <c r="Q8301">
        <v>-2.9627359999999998E-2</v>
      </c>
      <c r="R8301">
        <v>0.33012170000000002</v>
      </c>
      <c r="S8301">
        <v>3.0742799999999999</v>
      </c>
      <c r="T8301">
        <v>0.13784540000000001</v>
      </c>
      <c r="U8301">
        <v>0.32522579999999901</v>
      </c>
      <c r="V8301">
        <v>9.8741889999999999E-2</v>
      </c>
      <c r="W8301">
        <v>-1.4464289999999999E-2</v>
      </c>
      <c r="X8301">
        <v>0.99500789999999995</v>
      </c>
      <c r="Y8301">
        <v>0.32350759999999901</v>
      </c>
      <c r="Z8301">
        <v>2.5520629999999999E-2</v>
      </c>
      <c r="AA8301">
        <v>0.94588139999999998</v>
      </c>
      <c r="AB8301">
        <v>10</v>
      </c>
      <c r="AC8301">
        <v>3.0742799999999999</v>
      </c>
      <c r="AD8301">
        <v>0.13784540000000001</v>
      </c>
      <c r="AE8301">
        <v>0.32522579999999901</v>
      </c>
      <c r="AF8301">
        <v>1.00031506690893</v>
      </c>
      <c r="AG8301">
        <v>0.13784540000000001</v>
      </c>
      <c r="AH8301">
        <v>2.9186382843015801</v>
      </c>
      <c r="AI8301">
        <v>87.441834077828901</v>
      </c>
      <c r="AJ8301">
        <v>71.081695710774</v>
      </c>
      <c r="AK8301">
        <v>3.0883783806355498</v>
      </c>
      <c r="AL8301">
        <v>90.828771713479497</v>
      </c>
      <c r="AM8301">
        <v>84.332677370833494</v>
      </c>
      <c r="AN8301">
        <v>0.99999994879419096</v>
      </c>
    </row>
    <row r="8302" spans="1:40" x14ac:dyDescent="0.25">
      <c r="A8302" t="str">
        <f>"20190312160848444"</f>
        <v>20190312160848444</v>
      </c>
      <c r="B8302" t="str">
        <f>"1552378128433825"</f>
        <v>1552378128433825</v>
      </c>
      <c r="C8302" t="s">
        <v>40</v>
      </c>
      <c r="D8302">
        <v>6.4971420000000002</v>
      </c>
      <c r="E8302">
        <v>0.59033199999999997</v>
      </c>
      <c r="F8302" t="s">
        <v>41</v>
      </c>
      <c r="G8302">
        <v>0</v>
      </c>
      <c r="H8302">
        <v>0</v>
      </c>
      <c r="I8302">
        <v>0</v>
      </c>
      <c r="J8302">
        <v>-172.35220000000001</v>
      </c>
      <c r="K8302">
        <v>1.1086780000000001</v>
      </c>
      <c r="L8302">
        <v>141.16050000000001</v>
      </c>
      <c r="M8302">
        <v>0.90805999999999998</v>
      </c>
      <c r="N8302">
        <v>0</v>
      </c>
      <c r="O8302">
        <v>0.41855629999999999</v>
      </c>
      <c r="P8302">
        <v>0.94447570000000003</v>
      </c>
      <c r="Q8302">
        <v>-3.019577E-2</v>
      </c>
      <c r="R8302">
        <v>0.32719090000000001</v>
      </c>
      <c r="S8302">
        <v>3.0755919999999999</v>
      </c>
      <c r="T8302">
        <v>0.133604</v>
      </c>
      <c r="U8302">
        <v>0.30961609999999901</v>
      </c>
      <c r="V8302">
        <v>9.8165509999999997E-2</v>
      </c>
      <c r="W8302">
        <v>-1.5201020000000001E-2</v>
      </c>
      <c r="X8302">
        <v>0.99505399999999999</v>
      </c>
      <c r="Y8302">
        <v>0.3248684</v>
      </c>
      <c r="Z8302">
        <v>2.4634639999999999E-2</v>
      </c>
      <c r="AA8302">
        <v>0.94543829999999995</v>
      </c>
      <c r="AB8302">
        <v>9</v>
      </c>
      <c r="AC8302">
        <v>3.0755919999999999</v>
      </c>
      <c r="AD8302">
        <v>0.133604</v>
      </c>
      <c r="AE8302">
        <v>0.30961609999999901</v>
      </c>
      <c r="AF8302">
        <v>1.0044016626558501</v>
      </c>
      <c r="AG8302">
        <v>0.133604</v>
      </c>
      <c r="AH8302">
        <v>2.9173113154260402</v>
      </c>
      <c r="AI8302">
        <v>87.520505453113401</v>
      </c>
      <c r="AJ8302">
        <v>71.001917022962502</v>
      </c>
      <c r="AK8302">
        <v>3.0882645676616902</v>
      </c>
      <c r="AL8302">
        <v>90.870987835273098</v>
      </c>
      <c r="AM8302">
        <v>84.3658047591626</v>
      </c>
      <c r="AN8302">
        <v>1.0000000006392999</v>
      </c>
    </row>
    <row r="8303" spans="1:40" x14ac:dyDescent="0.25">
      <c r="A8303" t="str">
        <f>"20190312160848463"</f>
        <v>20190312160848463</v>
      </c>
      <c r="B8303" t="str">
        <f>"1552378128453346"</f>
        <v>1552378128453346</v>
      </c>
      <c r="C8303" t="s">
        <v>40</v>
      </c>
      <c r="D8303">
        <v>6.0761719999999997</v>
      </c>
      <c r="E8303">
        <v>0.58171329999999999</v>
      </c>
      <c r="F8303" t="s">
        <v>41</v>
      </c>
      <c r="G8303">
        <v>0</v>
      </c>
      <c r="H8303">
        <v>0</v>
      </c>
      <c r="I8303">
        <v>0</v>
      </c>
      <c r="J8303">
        <v>-172.27770000000001</v>
      </c>
      <c r="K8303">
        <v>1.108654</v>
      </c>
      <c r="L8303">
        <v>141.18860000000001</v>
      </c>
      <c r="M8303">
        <v>0.91007450000000001</v>
      </c>
      <c r="N8303">
        <v>0</v>
      </c>
      <c r="O8303">
        <v>0.41416560000000002</v>
      </c>
      <c r="P8303">
        <v>0.94564020000000004</v>
      </c>
      <c r="Q8303">
        <v>-3.1156369999999999E-2</v>
      </c>
      <c r="R8303">
        <v>0.32371939999999999</v>
      </c>
      <c r="S8303">
        <v>3.0761409999999998</v>
      </c>
      <c r="T8303">
        <v>0.13173899999999999</v>
      </c>
      <c r="U8303">
        <v>0.30145260000000001</v>
      </c>
      <c r="V8303">
        <v>9.6996230000000003E-2</v>
      </c>
      <c r="W8303">
        <v>-1.6365149999999998E-2</v>
      </c>
      <c r="X8303">
        <v>0.99515019999999998</v>
      </c>
      <c r="Y8303">
        <v>0.32282430000000001</v>
      </c>
      <c r="Z8303">
        <v>2.4077270000000001E-2</v>
      </c>
      <c r="AA8303">
        <v>0.94615260000000001</v>
      </c>
      <c r="AB8303">
        <v>9</v>
      </c>
      <c r="AC8303">
        <v>3.0761409999999998</v>
      </c>
      <c r="AD8303">
        <v>0.13173899999999999</v>
      </c>
      <c r="AE8303">
        <v>0.30145260000000001</v>
      </c>
      <c r="AF8303">
        <v>0.99799009836048902</v>
      </c>
      <c r="AG8303">
        <v>0.13173899999999999</v>
      </c>
      <c r="AH8303">
        <v>2.91940351993183</v>
      </c>
      <c r="AI8303">
        <v>87.554994418111306</v>
      </c>
      <c r="AJ8303">
        <v>71.127147276814995</v>
      </c>
      <c r="AK8303">
        <v>3.0880829510777299</v>
      </c>
      <c r="AL8303">
        <v>90.937695881165695</v>
      </c>
      <c r="AM8303">
        <v>84.433026068994295</v>
      </c>
      <c r="AN8303">
        <v>1.0000000036643799</v>
      </c>
    </row>
    <row r="8304" spans="1:40" x14ac:dyDescent="0.25">
      <c r="A8304" t="str">
        <f>"20190312160848484"</f>
        <v>20190312160848484</v>
      </c>
      <c r="B8304" t="str">
        <f>"1552378128473841"</f>
        <v>1552378128473841</v>
      </c>
      <c r="C8304" t="s">
        <v>40</v>
      </c>
      <c r="D8304">
        <v>6.1413769999999896</v>
      </c>
      <c r="E8304">
        <v>0.58311619999999997</v>
      </c>
      <c r="F8304" t="s">
        <v>41</v>
      </c>
      <c r="G8304">
        <v>0</v>
      </c>
      <c r="H8304">
        <v>0</v>
      </c>
      <c r="I8304">
        <v>0</v>
      </c>
      <c r="J8304">
        <v>-172.18860000000001</v>
      </c>
      <c r="K8304">
        <v>1.108638</v>
      </c>
      <c r="L8304">
        <v>141.2216</v>
      </c>
      <c r="M8304">
        <v>0.91244769999999997</v>
      </c>
      <c r="N8304">
        <v>0</v>
      </c>
      <c r="O8304">
        <v>0.40891889999999997</v>
      </c>
      <c r="P8304">
        <v>0.94713539999999996</v>
      </c>
      <c r="Q8304">
        <v>-3.1693159999999998E-2</v>
      </c>
      <c r="R8304">
        <v>0.31926520000000003</v>
      </c>
      <c r="S8304">
        <v>3.0537260000000002</v>
      </c>
      <c r="T8304">
        <v>8.6817030000000003E-2</v>
      </c>
      <c r="U8304">
        <v>0.35519410000000001</v>
      </c>
      <c r="V8304">
        <v>9.5939350000000007E-2</v>
      </c>
      <c r="W8304">
        <v>-1.7119889999999999E-2</v>
      </c>
      <c r="X8304">
        <v>0.99524000000000001</v>
      </c>
      <c r="Y8304">
        <v>0.3005216</v>
      </c>
      <c r="Z8304">
        <v>1.550955E-2</v>
      </c>
      <c r="AA8304">
        <v>0.95364890000000002</v>
      </c>
      <c r="AB8304">
        <v>9</v>
      </c>
      <c r="AC8304">
        <v>3.0537260000000002</v>
      </c>
      <c r="AD8304">
        <v>8.6817030000000003E-2</v>
      </c>
      <c r="AE8304">
        <v>0.35519410000000001</v>
      </c>
      <c r="AF8304">
        <v>0.92399719885954201</v>
      </c>
      <c r="AG8304">
        <v>8.6817030000000003E-2</v>
      </c>
      <c r="AH8304">
        <v>2.9296037492684701</v>
      </c>
      <c r="AI8304">
        <v>88.381137469488095</v>
      </c>
      <c r="AJ8304">
        <v>72.494722412235802</v>
      </c>
      <c r="AK8304">
        <v>3.0730906507824001</v>
      </c>
      <c r="AL8304">
        <v>90.980945311817095</v>
      </c>
      <c r="AM8304">
        <v>84.493803268327895</v>
      </c>
      <c r="AN8304">
        <v>1.0000000535560101</v>
      </c>
    </row>
    <row r="8305" spans="1:40" x14ac:dyDescent="0.25">
      <c r="A8305" t="str">
        <f>"20190312160848500"</f>
        <v>20190312160848500</v>
      </c>
      <c r="B8305" t="str">
        <f>"1552378128493361"</f>
        <v>1552378128493361</v>
      </c>
      <c r="C8305" t="s">
        <v>40</v>
      </c>
      <c r="D8305">
        <v>6.4992739999999998</v>
      </c>
      <c r="E8305">
        <v>0.58264879999999997</v>
      </c>
      <c r="F8305" t="s">
        <v>41</v>
      </c>
      <c r="G8305">
        <v>0</v>
      </c>
      <c r="H8305">
        <v>0</v>
      </c>
      <c r="I8305">
        <v>0</v>
      </c>
      <c r="J8305">
        <v>-172.12860000000001</v>
      </c>
      <c r="K8305">
        <v>1.1086320000000001</v>
      </c>
      <c r="L8305">
        <v>141.24350000000001</v>
      </c>
      <c r="M8305">
        <v>0.91402700000000003</v>
      </c>
      <c r="N8305">
        <v>0</v>
      </c>
      <c r="O8305">
        <v>0.40538150000000001</v>
      </c>
      <c r="P8305">
        <v>0.94817770000000001</v>
      </c>
      <c r="Q8305">
        <v>-3.1773469999999998E-2</v>
      </c>
      <c r="R8305">
        <v>0.31614819999999999</v>
      </c>
      <c r="S8305">
        <v>3.0589750000000002</v>
      </c>
      <c r="T8305">
        <v>8.4885840000000004E-2</v>
      </c>
      <c r="U8305">
        <v>0.33024599999999998</v>
      </c>
      <c r="V8305">
        <v>9.5355170000000003E-2</v>
      </c>
      <c r="W8305">
        <v>-1.733233E-2</v>
      </c>
      <c r="X8305">
        <v>0.99529239999999997</v>
      </c>
      <c r="Y8305">
        <v>0.3047048</v>
      </c>
      <c r="Z8305">
        <v>1.511845E-2</v>
      </c>
      <c r="AA8305">
        <v>0.95232680000000003</v>
      </c>
      <c r="AB8305">
        <v>9</v>
      </c>
      <c r="AC8305">
        <v>3.0589750000000002</v>
      </c>
      <c r="AD8305">
        <v>8.4885840000000004E-2</v>
      </c>
      <c r="AE8305">
        <v>0.33024599999999998</v>
      </c>
      <c r="AF8305">
        <v>0.93758788762481104</v>
      </c>
      <c r="AG8305">
        <v>8.4885840000000004E-2</v>
      </c>
      <c r="AH8305">
        <v>2.9279557117573001</v>
      </c>
      <c r="AI8305">
        <v>88.418439527360903</v>
      </c>
      <c r="AJ8305">
        <v>72.243931998226003</v>
      </c>
      <c r="AK8305">
        <v>3.0755814576865701</v>
      </c>
      <c r="AL8305">
        <v>90.993119096250098</v>
      </c>
      <c r="AM8305">
        <v>84.527413007377902</v>
      </c>
      <c r="AN8305">
        <v>0.99999998980335802</v>
      </c>
    </row>
    <row r="8306" spans="1:40" x14ac:dyDescent="0.25">
      <c r="A8306" t="str">
        <f>"20190312160848510"</f>
        <v>20190312160848510</v>
      </c>
      <c r="B8306" t="str">
        <f>"1552378128504098"</f>
        <v>1552378128504098</v>
      </c>
      <c r="C8306" t="s">
        <v>40</v>
      </c>
      <c r="D8306">
        <v>6.5025870000000001</v>
      </c>
      <c r="E8306">
        <v>0.58218499999999995</v>
      </c>
      <c r="F8306" t="s">
        <v>41</v>
      </c>
      <c r="G8306">
        <v>0</v>
      </c>
      <c r="H8306">
        <v>0</v>
      </c>
      <c r="I8306">
        <v>0</v>
      </c>
      <c r="J8306">
        <v>-172.0821</v>
      </c>
      <c r="K8306">
        <v>1.1086279999999999</v>
      </c>
      <c r="L8306">
        <v>141.2603</v>
      </c>
      <c r="M8306">
        <v>0.91523920000000003</v>
      </c>
      <c r="N8306">
        <v>0</v>
      </c>
      <c r="O8306">
        <v>0.40264070000000002</v>
      </c>
      <c r="P8306">
        <v>0.94889559999999995</v>
      </c>
      <c r="Q8306">
        <v>-3.1742310000000003E-2</v>
      </c>
      <c r="R8306">
        <v>0.31399009999999999</v>
      </c>
      <c r="S8306">
        <v>3.059021</v>
      </c>
      <c r="T8306">
        <v>9.0461490000000006E-2</v>
      </c>
      <c r="U8306">
        <v>0.32388309999999998</v>
      </c>
      <c r="V8306">
        <v>9.4636919999999999E-2</v>
      </c>
      <c r="W8306">
        <v>-1.7394010000000001E-2</v>
      </c>
      <c r="X8306">
        <v>0.99535989999999996</v>
      </c>
      <c r="Y8306">
        <v>0.30377609999999999</v>
      </c>
      <c r="Z8306">
        <v>1.6025879999999999E-2</v>
      </c>
      <c r="AA8306">
        <v>0.95260860000000003</v>
      </c>
      <c r="AB8306">
        <v>9</v>
      </c>
      <c r="AC8306">
        <v>3.059021</v>
      </c>
      <c r="AD8306">
        <v>9.0461490000000006E-2</v>
      </c>
      <c r="AE8306">
        <v>0.32388309999999998</v>
      </c>
      <c r="AF8306">
        <v>0.93454944573016296</v>
      </c>
      <c r="AG8306">
        <v>9.0461490000000006E-2</v>
      </c>
      <c r="AH8306">
        <v>2.9279313035934802</v>
      </c>
      <c r="AI8306">
        <v>88.314094389686005</v>
      </c>
      <c r="AJ8306">
        <v>72.297737913955999</v>
      </c>
      <c r="AK8306">
        <v>3.0747922964405601</v>
      </c>
      <c r="AL8306">
        <v>90.996653608316294</v>
      </c>
      <c r="AM8306">
        <v>84.568753220072793</v>
      </c>
      <c r="AN8306">
        <v>1.0000000143694801</v>
      </c>
    </row>
    <row r="8307" spans="1:40" x14ac:dyDescent="0.25">
      <c r="A8307" t="str">
        <f>"20190312160848521"</f>
        <v>20190312160848521</v>
      </c>
      <c r="B8307" t="str">
        <f>"1552378128513857"</f>
        <v>1552378128513857</v>
      </c>
      <c r="C8307" t="s">
        <v>40</v>
      </c>
      <c r="D8307">
        <v>6.4477859999999998</v>
      </c>
      <c r="E8307">
        <v>0.58242419999999995</v>
      </c>
      <c r="F8307" t="s">
        <v>41</v>
      </c>
      <c r="G8307">
        <v>0</v>
      </c>
      <c r="H8307">
        <v>0</v>
      </c>
      <c r="I8307">
        <v>0</v>
      </c>
      <c r="J8307">
        <v>-172.03729999999999</v>
      </c>
      <c r="K8307">
        <v>1.1086259999999999</v>
      </c>
      <c r="L8307">
        <v>141.27629999999999</v>
      </c>
      <c r="M8307">
        <v>0.91639530000000002</v>
      </c>
      <c r="N8307">
        <v>0</v>
      </c>
      <c r="O8307">
        <v>0.40000570000000002</v>
      </c>
      <c r="P8307">
        <v>0.94953650000000001</v>
      </c>
      <c r="Q8307">
        <v>-3.2322469999999999E-2</v>
      </c>
      <c r="R8307">
        <v>0.31198670000000001</v>
      </c>
      <c r="S8307">
        <v>3.058624</v>
      </c>
      <c r="T8307">
        <v>9.2947840000000004E-2</v>
      </c>
      <c r="U8307">
        <v>0.3204803</v>
      </c>
      <c r="V8307">
        <v>9.3863840000000004E-2</v>
      </c>
      <c r="W8307">
        <v>-1.8055439999999999E-2</v>
      </c>
      <c r="X8307">
        <v>0.99542129999999995</v>
      </c>
      <c r="Y8307">
        <v>0.30205460000000001</v>
      </c>
      <c r="Z8307">
        <v>1.6370340000000001E-2</v>
      </c>
      <c r="AA8307">
        <v>0.95315000000000005</v>
      </c>
      <c r="AB8307">
        <v>9</v>
      </c>
      <c r="AC8307">
        <v>3.058624</v>
      </c>
      <c r="AD8307">
        <v>9.2947840000000004E-2</v>
      </c>
      <c r="AE8307">
        <v>0.3204803</v>
      </c>
      <c r="AF8307">
        <v>0.92903178139537201</v>
      </c>
      <c r="AG8307">
        <v>9.2947840000000004E-2</v>
      </c>
      <c r="AH8307">
        <v>2.92874262938679</v>
      </c>
      <c r="AI8307">
        <v>88.267277790764396</v>
      </c>
      <c r="AJ8307">
        <v>72.400357376329097</v>
      </c>
      <c r="AK8307">
        <v>3.0739669388252699</v>
      </c>
      <c r="AL8307">
        <v>91.034556733518798</v>
      </c>
      <c r="AM8307">
        <v>84.613188809845596</v>
      </c>
      <c r="AN8307">
        <v>0.99999999193341405</v>
      </c>
    </row>
    <row r="8308" spans="1:40" x14ac:dyDescent="0.25">
      <c r="A8308" t="str">
        <f>"20190312160848533"</f>
        <v>20190312160848533</v>
      </c>
      <c r="B8308" t="str">
        <f>"1552378128523618"</f>
        <v>1552378128523618</v>
      </c>
      <c r="C8308" t="s">
        <v>40</v>
      </c>
      <c r="D8308">
        <v>6.1339509999999997</v>
      </c>
      <c r="E8308">
        <v>0.58194259999999998</v>
      </c>
      <c r="F8308" t="s">
        <v>41</v>
      </c>
      <c r="G8308">
        <v>0</v>
      </c>
      <c r="H8308">
        <v>0</v>
      </c>
      <c r="I8308">
        <v>0</v>
      </c>
      <c r="J8308">
        <v>-171.9898</v>
      </c>
      <c r="K8308">
        <v>1.108627</v>
      </c>
      <c r="L8308">
        <v>141.29320000000001</v>
      </c>
      <c r="M8308">
        <v>0.91761519999999996</v>
      </c>
      <c r="N8308">
        <v>0</v>
      </c>
      <c r="O8308">
        <v>0.39720260000000002</v>
      </c>
      <c r="P8308">
        <v>0.95026180000000005</v>
      </c>
      <c r="Q8308">
        <v>-3.2574350000000002E-2</v>
      </c>
      <c r="R8308">
        <v>0.30974449999999998</v>
      </c>
      <c r="S8308">
        <v>3.059952</v>
      </c>
      <c r="T8308">
        <v>9.259713E-2</v>
      </c>
      <c r="U8308">
        <v>0.3123322</v>
      </c>
      <c r="V8308">
        <v>9.3165849999999995E-2</v>
      </c>
      <c r="W8308">
        <v>-1.8390960000000001E-2</v>
      </c>
      <c r="X8308">
        <v>0.9954807</v>
      </c>
      <c r="Y8308">
        <v>0.30169810000000002</v>
      </c>
      <c r="Z8308">
        <v>1.6222049999999998E-2</v>
      </c>
      <c r="AA8308">
        <v>0.95326549999999999</v>
      </c>
      <c r="AB8308">
        <v>9</v>
      </c>
      <c r="AC8308">
        <v>3.059952</v>
      </c>
      <c r="AD8308">
        <v>9.259713E-2</v>
      </c>
      <c r="AE8308">
        <v>0.3123322</v>
      </c>
      <c r="AF8308">
        <v>0.928077688358799</v>
      </c>
      <c r="AG8308">
        <v>9.259713E-2</v>
      </c>
      <c r="AH8308">
        <v>2.9295740777109001</v>
      </c>
      <c r="AI8308">
        <v>88.274094803315293</v>
      </c>
      <c r="AJ8308">
        <v>72.422000555987793</v>
      </c>
      <c r="AK8308">
        <v>3.0744603918264</v>
      </c>
      <c r="AL8308">
        <v>91.053783836402403</v>
      </c>
      <c r="AM8308">
        <v>84.653330370084703</v>
      </c>
      <c r="AN8308">
        <v>0.99999996354421605</v>
      </c>
    </row>
    <row r="8309" spans="1:40" x14ac:dyDescent="0.25">
      <c r="A8309" t="str">
        <f>"20190312160848551"</f>
        <v>20190312160848551</v>
      </c>
      <c r="B8309" t="str">
        <f>"1552378128544113"</f>
        <v>1552378128544113</v>
      </c>
      <c r="C8309" t="s">
        <v>40</v>
      </c>
      <c r="D8309">
        <v>6.4530349999999999</v>
      </c>
      <c r="E8309">
        <v>0.58158299999999996</v>
      </c>
      <c r="F8309" t="s">
        <v>41</v>
      </c>
      <c r="G8309">
        <v>0</v>
      </c>
      <c r="H8309">
        <v>0</v>
      </c>
      <c r="I8309">
        <v>0</v>
      </c>
      <c r="J8309">
        <v>-171.91640000000001</v>
      </c>
      <c r="K8309">
        <v>1.1086320000000001</v>
      </c>
      <c r="L8309">
        <v>141.31890000000001</v>
      </c>
      <c r="M8309">
        <v>0.91947420000000002</v>
      </c>
      <c r="N8309">
        <v>0</v>
      </c>
      <c r="O8309">
        <v>0.39288450000000003</v>
      </c>
      <c r="P8309">
        <v>0.95145559999999996</v>
      </c>
      <c r="Q8309">
        <v>-3.3297809999999997E-2</v>
      </c>
      <c r="R8309">
        <v>0.30597970000000002</v>
      </c>
      <c r="S8309">
        <v>3.0594790000000001</v>
      </c>
      <c r="T8309">
        <v>9.1087340000000003E-2</v>
      </c>
      <c r="U8309">
        <v>0.3088379</v>
      </c>
      <c r="V8309">
        <v>9.2414590000000005E-2</v>
      </c>
      <c r="W8309">
        <v>-1.9229860000000001E-2</v>
      </c>
      <c r="X8309">
        <v>0.9955349</v>
      </c>
      <c r="Y8309">
        <v>0.29828949999999999</v>
      </c>
      <c r="Z8309">
        <v>1.5792730000000001E-2</v>
      </c>
      <c r="AA8309">
        <v>0.95434479999999999</v>
      </c>
      <c r="AB8309">
        <v>9</v>
      </c>
      <c r="AC8309">
        <v>3.0594790000000001</v>
      </c>
      <c r="AD8309">
        <v>9.1087340000000003E-2</v>
      </c>
      <c r="AE8309">
        <v>0.3088379</v>
      </c>
      <c r="AF8309">
        <v>0.91734441585123605</v>
      </c>
      <c r="AG8309">
        <v>9.1087340000000003E-2</v>
      </c>
      <c r="AH8309">
        <v>2.93218345780461</v>
      </c>
      <c r="AI8309">
        <v>88.301813489569795</v>
      </c>
      <c r="AJ8309">
        <v>72.627515186448505</v>
      </c>
      <c r="AK8309">
        <v>3.0736814264046202</v>
      </c>
      <c r="AL8309">
        <v>91.101857745041897</v>
      </c>
      <c r="AM8309">
        <v>84.696484471610503</v>
      </c>
      <c r="AN8309">
        <v>0.99999999053924804</v>
      </c>
    </row>
    <row r="8310" spans="1:40" x14ac:dyDescent="0.25">
      <c r="A8310" t="str">
        <f>"20190312160848575"</f>
        <v>20190312160848575</v>
      </c>
      <c r="B8310" t="str">
        <f>"1552378128563637"</f>
        <v>1552378128563637</v>
      </c>
      <c r="C8310" t="s">
        <v>40</v>
      </c>
      <c r="D8310">
        <v>6.4565619999999999</v>
      </c>
      <c r="E8310">
        <v>0.58152429999999999</v>
      </c>
      <c r="F8310" t="s">
        <v>41</v>
      </c>
      <c r="G8310">
        <v>0</v>
      </c>
      <c r="H8310">
        <v>0</v>
      </c>
      <c r="I8310">
        <v>0</v>
      </c>
      <c r="J8310">
        <v>-171.8261</v>
      </c>
      <c r="K8310">
        <v>1.108636</v>
      </c>
      <c r="L8310">
        <v>141.3501</v>
      </c>
      <c r="M8310">
        <v>0.92172480000000001</v>
      </c>
      <c r="N8310">
        <v>0</v>
      </c>
      <c r="O8310">
        <v>0.38757999999999998</v>
      </c>
      <c r="P8310">
        <v>0.95287820000000001</v>
      </c>
      <c r="Q8310">
        <v>-3.3878810000000002E-2</v>
      </c>
      <c r="R8310">
        <v>0.30145539999999998</v>
      </c>
      <c r="S8310">
        <v>3.0598749999999999</v>
      </c>
      <c r="T8310">
        <v>8.8716390000000006E-2</v>
      </c>
      <c r="U8310">
        <v>0.2994232</v>
      </c>
      <c r="V8310">
        <v>9.1398510000000002E-2</v>
      </c>
      <c r="W8310">
        <v>-1.9936590000000001E-2</v>
      </c>
      <c r="X8310">
        <v>0.99561480000000002</v>
      </c>
      <c r="Y8310">
        <v>0.2957263</v>
      </c>
      <c r="Z8310">
        <v>1.5204830000000001E-2</v>
      </c>
      <c r="AA8310">
        <v>0.95515170000000005</v>
      </c>
      <c r="AB8310">
        <v>9</v>
      </c>
      <c r="AC8310">
        <v>3.0598749999999999</v>
      </c>
      <c r="AD8310">
        <v>8.8716390000000006E-2</v>
      </c>
      <c r="AE8310">
        <v>0.2994232</v>
      </c>
      <c r="AF8310">
        <v>0.90929678656243895</v>
      </c>
      <c r="AG8310">
        <v>8.8716390000000006E-2</v>
      </c>
      <c r="AH8310">
        <v>2.9342711301230602</v>
      </c>
      <c r="AI8310">
        <v>88.345776576677906</v>
      </c>
      <c r="AJ8310">
        <v>72.782394014175907</v>
      </c>
      <c r="AK8310">
        <v>3.0732130269444502</v>
      </c>
      <c r="AL8310">
        <v>91.142358156906596</v>
      </c>
      <c r="AM8310">
        <v>84.754887105845199</v>
      </c>
      <c r="AN8310">
        <v>0.99999999261504402</v>
      </c>
    </row>
    <row r="8311" spans="1:40" x14ac:dyDescent="0.25">
      <c r="A8311" t="str">
        <f>"20190312160848596"</f>
        <v>20190312160848596</v>
      </c>
      <c r="B8311" t="str">
        <f>"1552378128593891"</f>
        <v>1552378128593891</v>
      </c>
      <c r="C8311" t="s">
        <v>40</v>
      </c>
      <c r="D8311">
        <v>6.5266719999999996</v>
      </c>
      <c r="E8311">
        <v>0.58126540000000004</v>
      </c>
      <c r="F8311" t="s">
        <v>41</v>
      </c>
      <c r="G8311">
        <v>0</v>
      </c>
      <c r="H8311">
        <v>0</v>
      </c>
      <c r="I8311">
        <v>0</v>
      </c>
      <c r="J8311">
        <v>-171.7362</v>
      </c>
      <c r="K8311">
        <v>1.1086469999999999</v>
      </c>
      <c r="L8311">
        <v>141.38040000000001</v>
      </c>
      <c r="M8311">
        <v>0.92392620000000003</v>
      </c>
      <c r="N8311">
        <v>0</v>
      </c>
      <c r="O8311">
        <v>0.3823068</v>
      </c>
      <c r="P8311">
        <v>0.95445480000000005</v>
      </c>
      <c r="Q8311">
        <v>-3.3733550000000001E-2</v>
      </c>
      <c r="R8311">
        <v>0.29644239999999999</v>
      </c>
      <c r="S8311">
        <v>3.0610810000000002</v>
      </c>
      <c r="T8311">
        <v>8.5774420000000004E-2</v>
      </c>
      <c r="U8311">
        <v>0.28546139999999998</v>
      </c>
      <c r="V8311">
        <v>9.0945479999999995E-2</v>
      </c>
      <c r="W8311">
        <v>-1.990161E-2</v>
      </c>
      <c r="X8311">
        <v>0.99565700000000001</v>
      </c>
      <c r="Y8311">
        <v>0.29464109999999899</v>
      </c>
      <c r="Z8311">
        <v>1.454863E-2</v>
      </c>
      <c r="AA8311">
        <v>0.95549729999999999</v>
      </c>
      <c r="AB8311">
        <v>9</v>
      </c>
      <c r="AC8311">
        <v>3.0610810000000002</v>
      </c>
      <c r="AD8311">
        <v>8.5774420000000004E-2</v>
      </c>
      <c r="AE8311">
        <v>0.28546139999999998</v>
      </c>
      <c r="AF8311">
        <v>0.90591317021699602</v>
      </c>
      <c r="AG8311">
        <v>8.5774420000000004E-2</v>
      </c>
      <c r="AH8311">
        <v>2.9353584258428902</v>
      </c>
      <c r="AI8311">
        <v>88.400624483825695</v>
      </c>
      <c r="AJ8311">
        <v>72.848677007799594</v>
      </c>
      <c r="AK8311">
        <v>3.07316856213026</v>
      </c>
      <c r="AL8311">
        <v>91.140353535218907</v>
      </c>
      <c r="AM8311">
        <v>84.780961324661803</v>
      </c>
      <c r="AN8311">
        <v>1.0000000080310101</v>
      </c>
    </row>
    <row r="8312" spans="1:40" x14ac:dyDescent="0.25">
      <c r="A8312" t="str">
        <f>"20190312160848611"</f>
        <v>20190312160848611</v>
      </c>
      <c r="B8312" t="str">
        <f>"1552378128603649"</f>
        <v>1552378128603649</v>
      </c>
      <c r="C8312" t="s">
        <v>40</v>
      </c>
      <c r="D8312">
        <v>6.3857229999999996</v>
      </c>
      <c r="E8312">
        <v>0.58086159999999998</v>
      </c>
      <c r="F8312" t="s">
        <v>41</v>
      </c>
      <c r="G8312">
        <v>0</v>
      </c>
      <c r="H8312">
        <v>0</v>
      </c>
      <c r="I8312">
        <v>0</v>
      </c>
      <c r="J8312">
        <v>-171.67519999999999</v>
      </c>
      <c r="K8312">
        <v>1.1086549999999999</v>
      </c>
      <c r="L8312">
        <v>141.4008</v>
      </c>
      <c r="M8312">
        <v>0.9253962</v>
      </c>
      <c r="N8312">
        <v>0</v>
      </c>
      <c r="O8312">
        <v>0.37873770000000001</v>
      </c>
      <c r="P8312">
        <v>0.95550449999999998</v>
      </c>
      <c r="Q8312">
        <v>-3.39222E-2</v>
      </c>
      <c r="R8312">
        <v>0.2930198</v>
      </c>
      <c r="S8312">
        <v>3.0619200000000002</v>
      </c>
      <c r="T8312">
        <v>8.551359E-2</v>
      </c>
      <c r="U8312">
        <v>0.27131650000000002</v>
      </c>
      <c r="V8312">
        <v>9.0667600000000001E-2</v>
      </c>
      <c r="W8312">
        <v>-2.01573E-2</v>
      </c>
      <c r="X8312">
        <v>0.99567720000000004</v>
      </c>
      <c r="Y8312">
        <v>0.29535679999999997</v>
      </c>
      <c r="Z8312">
        <v>1.442324E-2</v>
      </c>
      <c r="AA8312">
        <v>0.95527819999999997</v>
      </c>
      <c r="AB8312">
        <v>9</v>
      </c>
      <c r="AC8312">
        <v>3.0619200000000002</v>
      </c>
      <c r="AD8312">
        <v>8.551359E-2</v>
      </c>
      <c r="AE8312">
        <v>0.27131650000000002</v>
      </c>
      <c r="AF8312">
        <v>0.90797729819663697</v>
      </c>
      <c r="AG8312">
        <v>8.551359E-2</v>
      </c>
      <c r="AH8312">
        <v>2.9342692050197599</v>
      </c>
      <c r="AI8312">
        <v>88.405261740704404</v>
      </c>
      <c r="AJ8312">
        <v>72.805893817734699</v>
      </c>
      <c r="AK8312">
        <v>3.0727302380200001</v>
      </c>
      <c r="AL8312">
        <v>91.155006431956807</v>
      </c>
      <c r="AM8312">
        <v>84.796925192019302</v>
      </c>
      <c r="AN8312">
        <v>1.00000000851644</v>
      </c>
    </row>
    <row r="8313" spans="1:40" x14ac:dyDescent="0.25">
      <c r="A8313" t="str">
        <f>"20190312160848630"</f>
        <v>20190312160848630</v>
      </c>
      <c r="B8313" t="str">
        <f>"1552378128624145"</f>
        <v>1552378128624145</v>
      </c>
      <c r="C8313" t="s">
        <v>40</v>
      </c>
      <c r="D8313">
        <v>6.4846360000000001</v>
      </c>
      <c r="E8313">
        <v>0.58075100000000002</v>
      </c>
      <c r="F8313" t="s">
        <v>41</v>
      </c>
      <c r="G8313">
        <v>0</v>
      </c>
      <c r="H8313">
        <v>0</v>
      </c>
      <c r="I8313">
        <v>0</v>
      </c>
      <c r="J8313">
        <v>-171.59909999999999</v>
      </c>
      <c r="K8313">
        <v>1.108663</v>
      </c>
      <c r="L8313">
        <v>141.42580000000001</v>
      </c>
      <c r="M8313">
        <v>0.92720119999999895</v>
      </c>
      <c r="N8313">
        <v>0</v>
      </c>
      <c r="O8313">
        <v>0.37429990000000002</v>
      </c>
      <c r="P8313">
        <v>0.95691440000000005</v>
      </c>
      <c r="Q8313">
        <v>-3.3880100000000003E-2</v>
      </c>
      <c r="R8313">
        <v>0.28838720000000001</v>
      </c>
      <c r="S8313">
        <v>3.06189</v>
      </c>
      <c r="T8313">
        <v>8.4604380000000007E-2</v>
      </c>
      <c r="U8313">
        <v>0.2635345</v>
      </c>
      <c r="V8313">
        <v>9.0721759999999999E-2</v>
      </c>
      <c r="W8313">
        <v>-2.0191790000000001E-2</v>
      </c>
      <c r="X8313">
        <v>0.99567159999999999</v>
      </c>
      <c r="Y8313">
        <v>0.29319499999999998</v>
      </c>
      <c r="Z8313">
        <v>1.4129050000000001E-2</v>
      </c>
      <c r="AA8313">
        <v>0.95594820000000003</v>
      </c>
      <c r="AB8313">
        <v>9</v>
      </c>
      <c r="AC8313">
        <v>3.06189</v>
      </c>
      <c r="AD8313">
        <v>8.4604380000000007E-2</v>
      </c>
      <c r="AE8313">
        <v>0.2635345</v>
      </c>
      <c r="AF8313">
        <v>0.90112173932916895</v>
      </c>
      <c r="AG8313">
        <v>8.4604380000000007E-2</v>
      </c>
      <c r="AH8313">
        <v>2.9356942741974401</v>
      </c>
      <c r="AI8313">
        <v>88.421871398836302</v>
      </c>
      <c r="AJ8313">
        <v>72.935946690730702</v>
      </c>
      <c r="AK8313">
        <v>3.0720480402758099</v>
      </c>
      <c r="AL8313">
        <v>91.156982928546796</v>
      </c>
      <c r="AM8313">
        <v>84.793805105812694</v>
      </c>
      <c r="AN8313">
        <v>1.0000000405837299</v>
      </c>
    </row>
    <row r="8314" spans="1:40" x14ac:dyDescent="0.25">
      <c r="A8314" t="str">
        <f>"20190312160848653"</f>
        <v>20190312160848653</v>
      </c>
      <c r="B8314" t="str">
        <f>"1552378128643666"</f>
        <v>1552378128643666</v>
      </c>
      <c r="C8314" t="s">
        <v>40</v>
      </c>
      <c r="D8314">
        <v>6.1973979999999997</v>
      </c>
      <c r="E8314">
        <v>0.58026519999999904</v>
      </c>
      <c r="F8314" t="s">
        <v>41</v>
      </c>
      <c r="G8314">
        <v>0</v>
      </c>
      <c r="H8314">
        <v>0</v>
      </c>
      <c r="I8314">
        <v>0</v>
      </c>
      <c r="J8314">
        <v>-171.50899999999999</v>
      </c>
      <c r="K8314">
        <v>1.1086750000000001</v>
      </c>
      <c r="L8314">
        <v>141.45490000000001</v>
      </c>
      <c r="M8314">
        <v>0.92930279999999998</v>
      </c>
      <c r="N8314">
        <v>0</v>
      </c>
      <c r="O8314">
        <v>0.3690544</v>
      </c>
      <c r="P8314">
        <v>0.9585456</v>
      </c>
      <c r="Q8314">
        <v>-3.3743699999999897E-2</v>
      </c>
      <c r="R8314">
        <v>0.28293439999999997</v>
      </c>
      <c r="S8314">
        <v>3.0628660000000001</v>
      </c>
      <c r="T8314">
        <v>8.3031770000000005E-2</v>
      </c>
      <c r="U8314">
        <v>0.2494354</v>
      </c>
      <c r="V8314">
        <v>9.0766760000000002E-2</v>
      </c>
      <c r="W8314">
        <v>-2.013595E-2</v>
      </c>
      <c r="X8314">
        <v>0.99566860000000001</v>
      </c>
      <c r="Y8314">
        <v>0.2921993</v>
      </c>
      <c r="Z8314">
        <v>1.372086E-2</v>
      </c>
      <c r="AA8314">
        <v>0.95625899999999997</v>
      </c>
      <c r="AB8314">
        <v>9</v>
      </c>
      <c r="AC8314">
        <v>3.0628660000000001</v>
      </c>
      <c r="AD8314">
        <v>8.3031770000000005E-2</v>
      </c>
      <c r="AE8314">
        <v>0.2494354</v>
      </c>
      <c r="AF8314">
        <v>0.89799525573155803</v>
      </c>
      <c r="AG8314">
        <v>8.3031770000000005E-2</v>
      </c>
      <c r="AH8314">
        <v>2.9365280875352502</v>
      </c>
      <c r="AI8314">
        <v>88.451131124124899</v>
      </c>
      <c r="AJ8314">
        <v>72.996279295233094</v>
      </c>
      <c r="AK8314">
        <v>3.0718865478772401</v>
      </c>
      <c r="AL8314">
        <v>91.153782915747598</v>
      </c>
      <c r="AM8314">
        <v>84.791221311377399</v>
      </c>
      <c r="AN8314">
        <v>1.0000000111146199</v>
      </c>
    </row>
    <row r="8315" spans="1:40" x14ac:dyDescent="0.25">
      <c r="A8315" t="str">
        <f>"20190312160848675"</f>
        <v>20190312160848675</v>
      </c>
      <c r="B8315" t="str">
        <f>"1552378128664162"</f>
        <v>1552378128664162</v>
      </c>
      <c r="C8315" t="s">
        <v>40</v>
      </c>
      <c r="D8315">
        <v>6.2879449999999997</v>
      </c>
      <c r="E8315">
        <v>0.57959879999999997</v>
      </c>
      <c r="F8315" t="s">
        <v>41</v>
      </c>
      <c r="G8315">
        <v>0</v>
      </c>
      <c r="H8315">
        <v>0</v>
      </c>
      <c r="I8315">
        <v>0</v>
      </c>
      <c r="J8315">
        <v>-171.4211</v>
      </c>
      <c r="K8315">
        <v>1.1086860000000001</v>
      </c>
      <c r="L8315">
        <v>141.4828</v>
      </c>
      <c r="M8315">
        <v>0.93130919999999895</v>
      </c>
      <c r="N8315">
        <v>0</v>
      </c>
      <c r="O8315">
        <v>0.36396440000000002</v>
      </c>
      <c r="P8315">
        <v>0.959928</v>
      </c>
      <c r="Q8315">
        <v>-3.3457649999999999E-2</v>
      </c>
      <c r="R8315">
        <v>0.2782425</v>
      </c>
      <c r="S8315">
        <v>3.0629729999999999</v>
      </c>
      <c r="T8315">
        <v>8.1271529999999995E-2</v>
      </c>
      <c r="U8315">
        <v>0.2358856</v>
      </c>
      <c r="V8315">
        <v>9.0194239999999995E-2</v>
      </c>
      <c r="W8315">
        <v>-1.9915329999999998E-2</v>
      </c>
      <c r="X8315">
        <v>0.99572499999999997</v>
      </c>
      <c r="Y8315">
        <v>0.29118460000000002</v>
      </c>
      <c r="Z8315">
        <v>1.3294210000000001E-2</v>
      </c>
      <c r="AA8315">
        <v>0.95657449999999999</v>
      </c>
      <c r="AB8315">
        <v>9</v>
      </c>
      <c r="AC8315">
        <v>3.0629729999999999</v>
      </c>
      <c r="AD8315">
        <v>8.1271529999999995E-2</v>
      </c>
      <c r="AE8315">
        <v>0.2358856</v>
      </c>
      <c r="AF8315">
        <v>0.89459102875575203</v>
      </c>
      <c r="AG8315">
        <v>8.1271529999999995E-2</v>
      </c>
      <c r="AH8315">
        <v>2.9366573239642602</v>
      </c>
      <c r="AI8315">
        <v>88.483521507549995</v>
      </c>
      <c r="AJ8315">
        <v>73.057742945545499</v>
      </c>
      <c r="AK8315">
        <v>3.0709696202847301</v>
      </c>
      <c r="AL8315">
        <v>91.141139857123804</v>
      </c>
      <c r="AM8315">
        <v>84.8241887437445</v>
      </c>
      <c r="AN8315">
        <v>0.99999994846159201</v>
      </c>
    </row>
    <row r="8316" spans="1:40" x14ac:dyDescent="0.25">
      <c r="A8316" t="str">
        <f>"20190312160848697"</f>
        <v>20190312160848697</v>
      </c>
      <c r="B8316" t="str">
        <f>"1552378128693442"</f>
        <v>1552378128693442</v>
      </c>
      <c r="C8316" t="s">
        <v>40</v>
      </c>
      <c r="D8316">
        <v>6.4113040000000003</v>
      </c>
      <c r="E8316">
        <v>0.5789784</v>
      </c>
      <c r="F8316" t="s">
        <v>41</v>
      </c>
      <c r="G8316">
        <v>0</v>
      </c>
      <c r="H8316">
        <v>0</v>
      </c>
      <c r="I8316">
        <v>0</v>
      </c>
      <c r="J8316">
        <v>-171.33170000000001</v>
      </c>
      <c r="K8316">
        <v>1.1086959999999999</v>
      </c>
      <c r="L8316">
        <v>141.51070000000001</v>
      </c>
      <c r="M8316">
        <v>0.93330460000000004</v>
      </c>
      <c r="N8316">
        <v>0</v>
      </c>
      <c r="O8316">
        <v>0.35881940000000001</v>
      </c>
      <c r="P8316">
        <v>0.96128519999999895</v>
      </c>
      <c r="Q8316">
        <v>-3.2883080000000002E-2</v>
      </c>
      <c r="R8316">
        <v>0.27358660000000001</v>
      </c>
      <c r="S8316">
        <v>3.0625610000000001</v>
      </c>
      <c r="T8316">
        <v>8.2609769999999999E-2</v>
      </c>
      <c r="U8316">
        <v>0.22618099999999999</v>
      </c>
      <c r="V8316">
        <v>8.9535199999999995E-2</v>
      </c>
      <c r="W8316">
        <v>-1.9398149999999999E-2</v>
      </c>
      <c r="X8316">
        <v>0.99579470000000003</v>
      </c>
      <c r="Y8316">
        <v>0.28890349999999998</v>
      </c>
      <c r="Z8316">
        <v>1.335706E-2</v>
      </c>
      <c r="AA8316">
        <v>0.95726509999999998</v>
      </c>
      <c r="AB8316">
        <v>9</v>
      </c>
      <c r="AC8316">
        <v>3.0625610000000001</v>
      </c>
      <c r="AD8316">
        <v>8.2609769999999999E-2</v>
      </c>
      <c r="AE8316">
        <v>0.22618099999999999</v>
      </c>
      <c r="AF8316">
        <v>0.88725333821134</v>
      </c>
      <c r="AG8316">
        <v>8.2609769999999999E-2</v>
      </c>
      <c r="AH8316">
        <v>2.93761557905232</v>
      </c>
      <c r="AI8316">
        <v>88.457953724923996</v>
      </c>
      <c r="AJ8316">
        <v>73.194013838295803</v>
      </c>
      <c r="AK8316">
        <v>3.0697928514082999</v>
      </c>
      <c r="AL8316">
        <v>91.111501882095595</v>
      </c>
      <c r="AM8316">
        <v>84.862162402749505</v>
      </c>
      <c r="AN8316">
        <v>0.999999962405275</v>
      </c>
    </row>
    <row r="8317" spans="1:40" x14ac:dyDescent="0.25">
      <c r="A8317" t="str">
        <f>"20190312160848711"</f>
        <v>20190312160848711</v>
      </c>
      <c r="B8317" t="str">
        <f>"1552378128704178"</f>
        <v>1552378128704178</v>
      </c>
      <c r="C8317" t="s">
        <v>40</v>
      </c>
      <c r="D8317">
        <v>5.6314710000000003</v>
      </c>
      <c r="E8317">
        <v>0.57898660000000002</v>
      </c>
      <c r="F8317" t="s">
        <v>41</v>
      </c>
      <c r="G8317">
        <v>0</v>
      </c>
      <c r="H8317">
        <v>0</v>
      </c>
      <c r="I8317">
        <v>0</v>
      </c>
      <c r="J8317">
        <v>-171.27160000000001</v>
      </c>
      <c r="K8317">
        <v>1.1087009999999999</v>
      </c>
      <c r="L8317">
        <v>141.5292</v>
      </c>
      <c r="M8317">
        <v>0.93462590000000001</v>
      </c>
      <c r="N8317">
        <v>0</v>
      </c>
      <c r="O8317">
        <v>0.35536519999999999</v>
      </c>
      <c r="P8317">
        <v>0.96215580000000001</v>
      </c>
      <c r="Q8317">
        <v>-3.3042830000000002E-2</v>
      </c>
      <c r="R8317">
        <v>0.27048919999999999</v>
      </c>
      <c r="S8317">
        <v>3.0621489999999998</v>
      </c>
      <c r="T8317">
        <v>8.4549429999999995E-2</v>
      </c>
      <c r="U8317">
        <v>0.21633910000000001</v>
      </c>
      <c r="V8317">
        <v>8.9057239999999996E-2</v>
      </c>
      <c r="W8317">
        <v>-1.9592809999999999E-2</v>
      </c>
      <c r="X8317">
        <v>0.99583379999999999</v>
      </c>
      <c r="Y8317">
        <v>0.28840440000000001</v>
      </c>
      <c r="Z8317">
        <v>1.3578939999999999E-2</v>
      </c>
      <c r="AA8317">
        <v>0.95741240000000005</v>
      </c>
      <c r="AB8317">
        <v>9</v>
      </c>
      <c r="AC8317">
        <v>3.0621489999999998</v>
      </c>
      <c r="AD8317">
        <v>8.4549429999999995E-2</v>
      </c>
      <c r="AE8317">
        <v>0.21633910000000001</v>
      </c>
      <c r="AF8317">
        <v>0.88539759442047705</v>
      </c>
      <c r="AG8317">
        <v>8.4549429999999995E-2</v>
      </c>
      <c r="AH8317">
        <v>2.9368944897757698</v>
      </c>
      <c r="AI8317">
        <v>88.421134206751304</v>
      </c>
      <c r="AJ8317">
        <v>73.223301779425896</v>
      </c>
      <c r="AK8317">
        <v>3.0686196816148699</v>
      </c>
      <c r="AL8317">
        <v>91.122657141489299</v>
      </c>
      <c r="AM8317">
        <v>84.889643360336706</v>
      </c>
      <c r="AN8317">
        <v>1.0000000137112699</v>
      </c>
    </row>
    <row r="8318" spans="1:40" x14ac:dyDescent="0.25">
      <c r="A8318" t="str">
        <f>"20190312160848725"</f>
        <v>20190312160848725</v>
      </c>
      <c r="B8318" t="str">
        <f>"1552378128713937"</f>
        <v>1552378128713937</v>
      </c>
      <c r="C8318" t="s">
        <v>40</v>
      </c>
      <c r="D8318">
        <v>6.439629</v>
      </c>
      <c r="E8318">
        <v>0.57888229999999996</v>
      </c>
      <c r="F8318" t="s">
        <v>41</v>
      </c>
      <c r="G8318">
        <v>0</v>
      </c>
      <c r="H8318">
        <v>0</v>
      </c>
      <c r="I8318">
        <v>0</v>
      </c>
      <c r="J8318">
        <v>-171.22149999999999</v>
      </c>
      <c r="K8318">
        <v>1.1087049999999901</v>
      </c>
      <c r="L8318">
        <v>141.54429999999999</v>
      </c>
      <c r="M8318">
        <v>0.93571139999999997</v>
      </c>
      <c r="N8318">
        <v>0</v>
      </c>
      <c r="O8318">
        <v>0.35249799999999998</v>
      </c>
      <c r="P8318">
        <v>0.96289630000000004</v>
      </c>
      <c r="Q8318">
        <v>-3.3660509999999998E-2</v>
      </c>
      <c r="R8318">
        <v>0.26776470000000002</v>
      </c>
      <c r="S8318">
        <v>3.062805</v>
      </c>
      <c r="T8318">
        <v>8.2898139999999995E-2</v>
      </c>
      <c r="U8318">
        <v>0.20637510000000001</v>
      </c>
      <c r="V8318">
        <v>8.8813600000000006E-2</v>
      </c>
      <c r="W8318">
        <v>-2.0237560000000002E-2</v>
      </c>
      <c r="X8318">
        <v>0.99584260000000002</v>
      </c>
      <c r="Y8318">
        <v>0.28859309999999899</v>
      </c>
      <c r="Z8318">
        <v>1.3243410000000001E-2</v>
      </c>
      <c r="AA8318">
        <v>0.95736030000000005</v>
      </c>
      <c r="AB8318">
        <v>9</v>
      </c>
      <c r="AC8318">
        <v>3.062805</v>
      </c>
      <c r="AD8318">
        <v>8.2898139999999995E-2</v>
      </c>
      <c r="AE8318">
        <v>0.20637510000000001</v>
      </c>
      <c r="AF8318">
        <v>0.88596294152053801</v>
      </c>
      <c r="AG8318">
        <v>8.2898139999999995E-2</v>
      </c>
      <c r="AH8318">
        <v>2.9367849143284701</v>
      </c>
      <c r="AI8318">
        <v>88.451984461728699</v>
      </c>
      <c r="AJ8318">
        <v>73.212600778597704</v>
      </c>
      <c r="AK8318">
        <v>3.06863293151698</v>
      </c>
      <c r="AL8318">
        <v>91.159605998248495</v>
      </c>
      <c r="AM8318">
        <v>84.903595184324999</v>
      </c>
      <c r="AN8318">
        <v>0.999999949177235</v>
      </c>
    </row>
    <row r="8319" spans="1:40" x14ac:dyDescent="0.25">
      <c r="A8319" t="str">
        <f>"20190312160848742"</f>
        <v>20190312160848742</v>
      </c>
      <c r="B8319" t="str">
        <f>"1552378128733457"</f>
        <v>1552378128733457</v>
      </c>
      <c r="C8319" t="s">
        <v>40</v>
      </c>
      <c r="D8319">
        <v>6.1282319999999997</v>
      </c>
      <c r="E8319">
        <v>0.57852009999999998</v>
      </c>
      <c r="F8319" t="s">
        <v>41</v>
      </c>
      <c r="G8319">
        <v>0</v>
      </c>
      <c r="H8319">
        <v>0</v>
      </c>
      <c r="I8319">
        <v>0</v>
      </c>
      <c r="J8319">
        <v>-171.15360000000001</v>
      </c>
      <c r="K8319">
        <v>1.108717</v>
      </c>
      <c r="L8319">
        <v>141.56469999999999</v>
      </c>
      <c r="M8319">
        <v>0.93716330000000003</v>
      </c>
      <c r="N8319">
        <v>0</v>
      </c>
      <c r="O8319">
        <v>0.34862080000000001</v>
      </c>
      <c r="P8319">
        <v>0.96390379999999998</v>
      </c>
      <c r="Q8319">
        <v>-3.4521639999999999E-2</v>
      </c>
      <c r="R8319">
        <v>0.2640035</v>
      </c>
      <c r="S8319">
        <v>3.0632320000000002</v>
      </c>
      <c r="T8319">
        <v>8.0948229999999996E-2</v>
      </c>
      <c r="U8319">
        <v>0.1985016</v>
      </c>
      <c r="V8319">
        <v>8.8565599999999994E-2</v>
      </c>
      <c r="W8319">
        <v>-2.1133229999999999E-2</v>
      </c>
      <c r="X8319">
        <v>0.99584620000000001</v>
      </c>
      <c r="Y8319">
        <v>0.28710000000000002</v>
      </c>
      <c r="Z8319">
        <v>1.281613E-2</v>
      </c>
      <c r="AA8319">
        <v>0.95781490000000002</v>
      </c>
      <c r="AB8319">
        <v>9</v>
      </c>
      <c r="AC8319">
        <v>3.0632320000000002</v>
      </c>
      <c r="AD8319">
        <v>8.0948229999999996E-2</v>
      </c>
      <c r="AE8319">
        <v>0.1985016</v>
      </c>
      <c r="AF8319">
        <v>0.88134820884066001</v>
      </c>
      <c r="AG8319">
        <v>8.0948229999999996E-2</v>
      </c>
      <c r="AH8319">
        <v>2.9381842915880401</v>
      </c>
      <c r="AI8319">
        <v>88.488384680570206</v>
      </c>
      <c r="AJ8319">
        <v>73.302671451838407</v>
      </c>
      <c r="AK8319">
        <v>3.06859156821195</v>
      </c>
      <c r="AL8319">
        <v>91.210934954005495</v>
      </c>
      <c r="AM8319">
        <v>84.917769850701703</v>
      </c>
      <c r="AN8319">
        <v>1.0000000664840101</v>
      </c>
    </row>
    <row r="8320" spans="1:40" x14ac:dyDescent="0.25">
      <c r="A8320" t="str">
        <f>"20190312160848756"</f>
        <v>20190312160848756</v>
      </c>
      <c r="B8320" t="str">
        <f>"1552378128753953"</f>
        <v>1552378128753953</v>
      </c>
      <c r="C8320" t="s">
        <v>40</v>
      </c>
      <c r="D8320">
        <v>6.6676640000000003</v>
      </c>
      <c r="E8320">
        <v>0.57812559999999902</v>
      </c>
      <c r="F8320" t="s">
        <v>41</v>
      </c>
      <c r="G8320">
        <v>0</v>
      </c>
      <c r="H8320">
        <v>0</v>
      </c>
      <c r="I8320">
        <v>0</v>
      </c>
      <c r="J8320">
        <v>-171.095</v>
      </c>
      <c r="K8320">
        <v>1.108722</v>
      </c>
      <c r="L8320">
        <v>141.5821</v>
      </c>
      <c r="M8320">
        <v>0.93839910000000004</v>
      </c>
      <c r="N8320">
        <v>0</v>
      </c>
      <c r="O8320">
        <v>0.34528209999999998</v>
      </c>
      <c r="P8320">
        <v>0.96479930000000003</v>
      </c>
      <c r="Q8320">
        <v>-3.3973330000000003E-2</v>
      </c>
      <c r="R8320">
        <v>0.2607836</v>
      </c>
      <c r="S8320">
        <v>3.0633089999999998</v>
      </c>
      <c r="T8320">
        <v>7.7150460000000004E-2</v>
      </c>
      <c r="U8320">
        <v>0.18911739999999999</v>
      </c>
      <c r="V8320">
        <v>8.8354119999999994E-2</v>
      </c>
      <c r="W8320">
        <v>-2.0611810000000001E-2</v>
      </c>
      <c r="X8320">
        <v>0.99587579999999998</v>
      </c>
      <c r="Y8320">
        <v>0.28663450000000001</v>
      </c>
      <c r="Z8320">
        <v>1.2131879999999999E-2</v>
      </c>
      <c r="AA8320">
        <v>0.95796320000000001</v>
      </c>
      <c r="AB8320">
        <v>9</v>
      </c>
      <c r="AC8320">
        <v>3.0633089999999998</v>
      </c>
      <c r="AD8320">
        <v>7.7150460000000004E-2</v>
      </c>
      <c r="AE8320">
        <v>0.18911739999999999</v>
      </c>
      <c r="AF8320">
        <v>0.87976473977571301</v>
      </c>
      <c r="AG8320">
        <v>7.7150460000000004E-2</v>
      </c>
      <c r="AH8320">
        <v>2.9383240648536102</v>
      </c>
      <c r="AI8320">
        <v>88.559122485466602</v>
      </c>
      <c r="AJ8320">
        <v>73.331753862972107</v>
      </c>
      <c r="AK8320">
        <v>3.0681731536744601</v>
      </c>
      <c r="AL8320">
        <v>91.181053414331799</v>
      </c>
      <c r="AM8320">
        <v>84.929991959598894</v>
      </c>
      <c r="AN8320">
        <v>0.99999995312904399</v>
      </c>
    </row>
    <row r="8321" spans="1:40" x14ac:dyDescent="0.25">
      <c r="A8321" t="str">
        <f>"20190312160848775"</f>
        <v>20190312160848775</v>
      </c>
      <c r="B8321" t="str">
        <f>"1552378128763713"</f>
        <v>1552378128763713</v>
      </c>
      <c r="C8321" t="s">
        <v>40</v>
      </c>
      <c r="D8321">
        <v>6.453919</v>
      </c>
      <c r="E8321">
        <v>0.5779128</v>
      </c>
      <c r="F8321" t="s">
        <v>41</v>
      </c>
      <c r="G8321">
        <v>0</v>
      </c>
      <c r="H8321">
        <v>0</v>
      </c>
      <c r="I8321">
        <v>0</v>
      </c>
      <c r="J8321">
        <v>-171.02010000000001</v>
      </c>
      <c r="K8321">
        <v>1.1087320000000001</v>
      </c>
      <c r="L8321">
        <v>141.60390000000001</v>
      </c>
      <c r="M8321">
        <v>0.93995059999999997</v>
      </c>
      <c r="N8321">
        <v>0</v>
      </c>
      <c r="O8321">
        <v>0.34103689999999998</v>
      </c>
      <c r="P8321">
        <v>0.96581890000000004</v>
      </c>
      <c r="Q8321">
        <v>-3.3565110000000002E-2</v>
      </c>
      <c r="R8321">
        <v>0.25703559999999998</v>
      </c>
      <c r="S8321">
        <v>3.0630190000000002</v>
      </c>
      <c r="T8321">
        <v>7.7899099999999999E-2</v>
      </c>
      <c r="U8321">
        <v>0.18194579999999999</v>
      </c>
      <c r="V8321">
        <v>8.7725999999999998E-2</v>
      </c>
      <c r="W8321">
        <v>-2.023293E-2</v>
      </c>
      <c r="X8321">
        <v>0.99593909999999997</v>
      </c>
      <c r="Y8321">
        <v>0.28453070000000003</v>
      </c>
      <c r="Z8321">
        <v>1.2123699999999999E-2</v>
      </c>
      <c r="AA8321">
        <v>0.95859030000000001</v>
      </c>
      <c r="AB8321">
        <v>9</v>
      </c>
      <c r="AC8321">
        <v>3.0630190000000002</v>
      </c>
      <c r="AD8321">
        <v>7.7899099999999999E-2</v>
      </c>
      <c r="AE8321">
        <v>0.18194579999999999</v>
      </c>
      <c r="AF8321">
        <v>0.87310127144774397</v>
      </c>
      <c r="AG8321">
        <v>7.7899099999999999E-2</v>
      </c>
      <c r="AH8321">
        <v>2.9395168007694799</v>
      </c>
      <c r="AI8321">
        <v>88.544785682720899</v>
      </c>
      <c r="AJ8321">
        <v>73.457420151708206</v>
      </c>
      <c r="AK8321">
        <v>3.06743102970393</v>
      </c>
      <c r="AL8321">
        <v>91.159340655701399</v>
      </c>
      <c r="AM8321">
        <v>84.966167699974804</v>
      </c>
      <c r="AN8321">
        <v>0.99999995672059605</v>
      </c>
    </row>
    <row r="8322" spans="1:40" x14ac:dyDescent="0.25">
      <c r="A8322" t="str">
        <f>"20190312160848790"</f>
        <v>20190312160848790</v>
      </c>
      <c r="B8322" t="str">
        <f>"1552378128784107"</f>
        <v>1552378128784107</v>
      </c>
      <c r="C8322" t="s">
        <v>40</v>
      </c>
      <c r="D8322">
        <v>6.444769</v>
      </c>
      <c r="E8322">
        <v>0.57769919999999997</v>
      </c>
      <c r="F8322" t="s">
        <v>41</v>
      </c>
      <c r="G8322">
        <v>0</v>
      </c>
      <c r="H8322">
        <v>0</v>
      </c>
      <c r="I8322">
        <v>0</v>
      </c>
      <c r="J8322">
        <v>-170.9563</v>
      </c>
      <c r="K8322">
        <v>1.1087419999999999</v>
      </c>
      <c r="L8322">
        <v>141.6223</v>
      </c>
      <c r="M8322">
        <v>0.94125230000000004</v>
      </c>
      <c r="N8322">
        <v>0</v>
      </c>
      <c r="O8322">
        <v>0.33742929999999999</v>
      </c>
      <c r="P8322">
        <v>0.96666039999999998</v>
      </c>
      <c r="Q8322">
        <v>-3.3796470000000002E-2</v>
      </c>
      <c r="R8322">
        <v>0.2538223</v>
      </c>
      <c r="S8322">
        <v>3.0632169999999999</v>
      </c>
      <c r="T8322">
        <v>7.9124810000000004E-2</v>
      </c>
      <c r="U8322">
        <v>0.17169189999999901</v>
      </c>
      <c r="V8322">
        <v>8.721516E-2</v>
      </c>
      <c r="W8322">
        <v>-2.0486870000000001E-2</v>
      </c>
      <c r="X8322">
        <v>0.99597880000000005</v>
      </c>
      <c r="Y8322">
        <v>0.28405049999999998</v>
      </c>
      <c r="Z8322">
        <v>1.2221600000000001E-2</v>
      </c>
      <c r="AA8322">
        <v>0.95873140000000001</v>
      </c>
      <c r="AB8322">
        <v>9</v>
      </c>
      <c r="AC8322">
        <v>3.0632169999999999</v>
      </c>
      <c r="AD8322">
        <v>7.9124810000000004E-2</v>
      </c>
      <c r="AE8322">
        <v>0.17169189999999901</v>
      </c>
      <c r="AF8322">
        <v>0.87151502341515796</v>
      </c>
      <c r="AG8322">
        <v>7.9124810000000004E-2</v>
      </c>
      <c r="AH8322">
        <v>2.9395117063947001</v>
      </c>
      <c r="AI8322">
        <v>88.521678754890203</v>
      </c>
      <c r="AJ8322">
        <v>73.485809171312596</v>
      </c>
      <c r="AK8322">
        <v>3.06700639771543</v>
      </c>
      <c r="AL8322">
        <v>91.173893332298405</v>
      </c>
      <c r="AM8322">
        <v>84.995529537639101</v>
      </c>
      <c r="AN8322">
        <v>0.999999983012831</v>
      </c>
    </row>
    <row r="8323" spans="1:40" x14ac:dyDescent="0.25">
      <c r="A8323" t="str">
        <f>"20190312160848803"</f>
        <v>20190312160848803</v>
      </c>
      <c r="B8323" t="str">
        <f>"1552378128793866"</f>
        <v>1552378128793866</v>
      </c>
      <c r="C8323" t="s">
        <v>40</v>
      </c>
      <c r="D8323">
        <v>6.4930339999999998</v>
      </c>
      <c r="E8323">
        <v>0.57747660000000001</v>
      </c>
      <c r="F8323" t="s">
        <v>41</v>
      </c>
      <c r="G8323">
        <v>0</v>
      </c>
      <c r="H8323">
        <v>0</v>
      </c>
      <c r="I8323">
        <v>0</v>
      </c>
      <c r="J8323">
        <v>-170.9092</v>
      </c>
      <c r="K8323">
        <v>1.108743</v>
      </c>
      <c r="L8323">
        <v>141.63560000000001</v>
      </c>
      <c r="M8323">
        <v>0.94219949999999997</v>
      </c>
      <c r="N8323">
        <v>0</v>
      </c>
      <c r="O8323">
        <v>0.33477580000000001</v>
      </c>
      <c r="P8323">
        <v>0.96725209999999995</v>
      </c>
      <c r="Q8323">
        <v>-3.387565E-2</v>
      </c>
      <c r="R8323">
        <v>0.25154720000000003</v>
      </c>
      <c r="S8323">
        <v>3.0633240000000002</v>
      </c>
      <c r="T8323">
        <v>7.7786209999999995E-2</v>
      </c>
      <c r="U8323">
        <v>0.16325379999999901</v>
      </c>
      <c r="V8323">
        <v>8.6751389999999998E-2</v>
      </c>
      <c r="W8323">
        <v>-2.0580879999999999E-2</v>
      </c>
      <c r="X8323">
        <v>0.99601740000000005</v>
      </c>
      <c r="Y8323">
        <v>0.2839914</v>
      </c>
      <c r="Z8323">
        <v>1.1951750000000001E-2</v>
      </c>
      <c r="AA8323">
        <v>0.9587523</v>
      </c>
      <c r="AB8323">
        <v>9</v>
      </c>
      <c r="AC8323">
        <v>3.0633240000000002</v>
      </c>
      <c r="AD8323">
        <v>7.7786209999999995E-2</v>
      </c>
      <c r="AE8323">
        <v>0.16325379999999901</v>
      </c>
      <c r="AF8323">
        <v>0.87122968365123499</v>
      </c>
      <c r="AG8323">
        <v>7.7786209999999995E-2</v>
      </c>
      <c r="AH8323">
        <v>2.9392983589197401</v>
      </c>
      <c r="AI8323">
        <v>88.546542193012101</v>
      </c>
      <c r="AJ8323">
        <v>73.489788584428197</v>
      </c>
      <c r="AK8323">
        <v>3.0666865993918302</v>
      </c>
      <c r="AL8323">
        <v>91.179280802453107</v>
      </c>
      <c r="AM8323">
        <v>85.022198882098806</v>
      </c>
      <c r="AN8323">
        <v>1.0000000186956299</v>
      </c>
    </row>
    <row r="8324" spans="1:40" x14ac:dyDescent="0.25">
      <c r="A8324" t="str">
        <f>"20190312160848818"</f>
        <v>20190312160848818</v>
      </c>
      <c r="B8324" t="str">
        <f>"1552378128814364"</f>
        <v>1552378128814364</v>
      </c>
      <c r="C8324" t="s">
        <v>40</v>
      </c>
      <c r="D8324">
        <v>6.6837030000000004</v>
      </c>
      <c r="E8324">
        <v>0.57688280000000003</v>
      </c>
      <c r="F8324" t="s">
        <v>41</v>
      </c>
      <c r="G8324">
        <v>0</v>
      </c>
      <c r="H8324">
        <v>0</v>
      </c>
      <c r="I8324">
        <v>0</v>
      </c>
      <c r="J8324">
        <v>-170.8518</v>
      </c>
      <c r="K8324">
        <v>1.1087469999999999</v>
      </c>
      <c r="L8324">
        <v>141.65180000000001</v>
      </c>
      <c r="M8324">
        <v>0.94334010000000001</v>
      </c>
      <c r="N8324">
        <v>0</v>
      </c>
      <c r="O8324">
        <v>0.33154909999999999</v>
      </c>
      <c r="P8324">
        <v>0.9680126</v>
      </c>
      <c r="Q8324">
        <v>-3.4311179999999997E-2</v>
      </c>
      <c r="R8324">
        <v>0.2485443</v>
      </c>
      <c r="S8324">
        <v>3.0632169999999999</v>
      </c>
      <c r="T8324">
        <v>7.6653120000000005E-2</v>
      </c>
      <c r="U8324">
        <v>0.15780640000000001</v>
      </c>
      <c r="V8324">
        <v>8.6427669999999998E-2</v>
      </c>
      <c r="W8324">
        <v>-2.1034549999999999E-2</v>
      </c>
      <c r="X8324">
        <v>0.99603609999999998</v>
      </c>
      <c r="Y8324">
        <v>0.28241500000000003</v>
      </c>
      <c r="Z8324">
        <v>1.1682929999999999E-2</v>
      </c>
      <c r="AA8324">
        <v>0.9592212</v>
      </c>
      <c r="AB8324">
        <v>9</v>
      </c>
      <c r="AC8324">
        <v>3.0632169999999999</v>
      </c>
      <c r="AD8324">
        <v>7.6653120000000005E-2</v>
      </c>
      <c r="AE8324">
        <v>0.15780640000000001</v>
      </c>
      <c r="AF8324">
        <v>0.86628074929255405</v>
      </c>
      <c r="AG8324">
        <v>7.6653120000000005E-2</v>
      </c>
      <c r="AH8324">
        <v>2.9404112824998099</v>
      </c>
      <c r="AI8324">
        <v>88.567548863352499</v>
      </c>
      <c r="AJ8324">
        <v>73.584388552805393</v>
      </c>
      <c r="AK8324">
        <v>3.06632296858188</v>
      </c>
      <c r="AL8324">
        <v>91.205279765450797</v>
      </c>
      <c r="AM8324">
        <v>85.040773793704304</v>
      </c>
      <c r="AN8324">
        <v>1.0000000534692599</v>
      </c>
    </row>
    <row r="8325" spans="1:40" x14ac:dyDescent="0.25">
      <c r="A8325" t="str">
        <f>"20190312160848831"</f>
        <v>20190312160848831</v>
      </c>
      <c r="B8325" t="str">
        <f>"1552378128824124"</f>
        <v>1552378128824124</v>
      </c>
      <c r="C8325" t="s">
        <v>40</v>
      </c>
      <c r="D8325">
        <v>6.5584579999999999</v>
      </c>
      <c r="E8325">
        <v>0.57660089999999997</v>
      </c>
      <c r="F8325" t="s">
        <v>41</v>
      </c>
      <c r="G8325">
        <v>0</v>
      </c>
      <c r="H8325">
        <v>0</v>
      </c>
      <c r="I8325">
        <v>0</v>
      </c>
      <c r="J8325">
        <v>-170.7946</v>
      </c>
      <c r="K8325">
        <v>1.108752</v>
      </c>
      <c r="L8325">
        <v>141.66759999999999</v>
      </c>
      <c r="M8325">
        <v>0.94446090000000005</v>
      </c>
      <c r="N8325">
        <v>0</v>
      </c>
      <c r="O8325">
        <v>0.32834370000000002</v>
      </c>
      <c r="P8325">
        <v>0.96866859999999999</v>
      </c>
      <c r="Q8325">
        <v>-3.4856119999999997E-2</v>
      </c>
      <c r="R8325">
        <v>0.24589920000000001</v>
      </c>
      <c r="S8325">
        <v>3.0624690000000001</v>
      </c>
      <c r="T8325">
        <v>7.3118329999999995E-2</v>
      </c>
      <c r="U8325">
        <v>0.15280150000000001</v>
      </c>
      <c r="V8325">
        <v>8.5758409999999993E-2</v>
      </c>
      <c r="W8325">
        <v>-2.1594579999999999E-2</v>
      </c>
      <c r="X8325">
        <v>0.99608189999999996</v>
      </c>
      <c r="Y8325">
        <v>0.28072659999999899</v>
      </c>
      <c r="Z8325">
        <v>1.105517E-2</v>
      </c>
      <c r="AA8325">
        <v>0.95972409999999997</v>
      </c>
      <c r="AB8325">
        <v>9</v>
      </c>
      <c r="AC8325">
        <v>3.0624690000000001</v>
      </c>
      <c r="AD8325">
        <v>7.3118329999999995E-2</v>
      </c>
      <c r="AE8325">
        <v>0.15280150000000001</v>
      </c>
      <c r="AF8325">
        <v>0.86081712825396095</v>
      </c>
      <c r="AG8325">
        <v>7.3118329999999995E-2</v>
      </c>
      <c r="AH8325">
        <v>2.9411519986167098</v>
      </c>
      <c r="AI8325">
        <v>88.633210069656698</v>
      </c>
      <c r="AJ8325">
        <v>73.686288376528296</v>
      </c>
      <c r="AK8325">
        <v>3.0654082105723601</v>
      </c>
      <c r="AL8325">
        <v>91.237374487990905</v>
      </c>
      <c r="AM8325">
        <v>85.079211834171502</v>
      </c>
      <c r="AN8325">
        <v>0.999999991139357</v>
      </c>
    </row>
    <row r="8326" spans="1:40" x14ac:dyDescent="0.25">
      <c r="A8326" t="str">
        <f>"20190312160848865"</f>
        <v>20190312160848865</v>
      </c>
      <c r="B8326" t="str">
        <f>"1552378128853403"</f>
        <v>1552378128853403</v>
      </c>
      <c r="C8326" t="s">
        <v>40</v>
      </c>
      <c r="D8326">
        <v>6.2516910000000001</v>
      </c>
      <c r="E8326">
        <v>0.57609670000000002</v>
      </c>
      <c r="F8326" t="s">
        <v>41</v>
      </c>
      <c r="G8326">
        <v>0</v>
      </c>
      <c r="H8326">
        <v>0</v>
      </c>
      <c r="I8326">
        <v>0</v>
      </c>
      <c r="J8326">
        <v>-170.66540000000001</v>
      </c>
      <c r="K8326">
        <v>1.108765</v>
      </c>
      <c r="L8326">
        <v>141.7028</v>
      </c>
      <c r="M8326">
        <v>0.94693139999999998</v>
      </c>
      <c r="N8326">
        <v>0</v>
      </c>
      <c r="O8326">
        <v>0.32115090000000002</v>
      </c>
      <c r="P8326">
        <v>0.97029730000000003</v>
      </c>
      <c r="Q8326">
        <v>-3.4703909999999998E-2</v>
      </c>
      <c r="R8326">
        <v>0.23941319999999999</v>
      </c>
      <c r="S8326">
        <v>3.0623320000000001</v>
      </c>
      <c r="T8326">
        <v>7.0054770000000002E-2</v>
      </c>
      <c r="U8326">
        <v>0.146698</v>
      </c>
      <c r="V8326">
        <v>8.4850159999999994E-2</v>
      </c>
      <c r="W8326">
        <v>-2.1473019999999999E-2</v>
      </c>
      <c r="X8326">
        <v>0.99616229999999995</v>
      </c>
      <c r="Y8326">
        <v>0.27534560000000002</v>
      </c>
      <c r="Z8326">
        <v>1.0375509999999999E-2</v>
      </c>
      <c r="AA8326">
        <v>0.96128930000000001</v>
      </c>
      <c r="AB8326">
        <v>9</v>
      </c>
      <c r="AC8326">
        <v>3.0623320000000001</v>
      </c>
      <c r="AD8326">
        <v>7.0054770000000002E-2</v>
      </c>
      <c r="AE8326">
        <v>0.146698</v>
      </c>
      <c r="AF8326">
        <v>0.84419425693455497</v>
      </c>
      <c r="AG8326">
        <v>7.0054770000000002E-2</v>
      </c>
      <c r="AH8326">
        <v>2.9456622308588098</v>
      </c>
      <c r="AI8326">
        <v>88.6903314942641</v>
      </c>
      <c r="AJ8326">
        <v>74.008282271067102</v>
      </c>
      <c r="AK8326">
        <v>3.0650444682825002</v>
      </c>
      <c r="AL8326">
        <v>91.230408006257505</v>
      </c>
      <c r="AM8326">
        <v>85.131466124646394</v>
      </c>
      <c r="AN8326">
        <v>0.99999998409061697</v>
      </c>
    </row>
    <row r="8327" spans="1:40" x14ac:dyDescent="0.25">
      <c r="A8327" t="str">
        <f>"20190312160848888"</f>
        <v>20190312160848888</v>
      </c>
      <c r="B8327" t="str">
        <f>"1552378128883885"</f>
        <v>1552378128883885</v>
      </c>
      <c r="C8327" t="s">
        <v>40</v>
      </c>
      <c r="D8327">
        <v>6.2964149999999997</v>
      </c>
      <c r="E8327">
        <v>0.57686219999999999</v>
      </c>
      <c r="F8327" t="s">
        <v>41</v>
      </c>
      <c r="G8327">
        <v>0</v>
      </c>
      <c r="H8327">
        <v>0</v>
      </c>
      <c r="I8327">
        <v>0</v>
      </c>
      <c r="J8327">
        <v>-170.57259999999999</v>
      </c>
      <c r="K8327">
        <v>1.10877</v>
      </c>
      <c r="L8327">
        <v>141.72739999999999</v>
      </c>
      <c r="M8327">
        <v>0.94865489999999997</v>
      </c>
      <c r="N8327">
        <v>0</v>
      </c>
      <c r="O8327">
        <v>0.31602449999999999</v>
      </c>
      <c r="P8327">
        <v>0.97131699999999999</v>
      </c>
      <c r="Q8327">
        <v>-3.5016489999999997E-2</v>
      </c>
      <c r="R8327">
        <v>0.23519590000000001</v>
      </c>
      <c r="S8327">
        <v>3.062195</v>
      </c>
      <c r="T8327">
        <v>6.9440360000000007E-2</v>
      </c>
      <c r="U8327">
        <v>0.130188</v>
      </c>
      <c r="V8327">
        <v>8.3786399999999997E-2</v>
      </c>
      <c r="W8327">
        <v>-2.1802789999999999E-2</v>
      </c>
      <c r="X8327">
        <v>0.99624520000000005</v>
      </c>
      <c r="Y8327">
        <v>0.27532000000000001</v>
      </c>
      <c r="Z8327">
        <v>1.0176549999999999E-2</v>
      </c>
      <c r="AA8327">
        <v>0.96129880000000001</v>
      </c>
      <c r="AB8327">
        <v>9</v>
      </c>
      <c r="AC8327">
        <v>3.062195</v>
      </c>
      <c r="AD8327">
        <v>6.9440360000000007E-2</v>
      </c>
      <c r="AE8327">
        <v>0.130188</v>
      </c>
      <c r="AF8327">
        <v>0.84386900122750697</v>
      </c>
      <c r="AG8327">
        <v>6.9440360000000007E-2</v>
      </c>
      <c r="AH8327">
        <v>2.94486599614509</v>
      </c>
      <c r="AI8327">
        <v>88.701451678671006</v>
      </c>
      <c r="AJ8327">
        <v>74.010027436884002</v>
      </c>
      <c r="AK8327">
        <v>3.0641756787236099</v>
      </c>
      <c r="AL8327">
        <v>91.249306827585201</v>
      </c>
      <c r="AM8327">
        <v>85.1926128446663</v>
      </c>
      <c r="AN8327">
        <v>1.0000000104998901</v>
      </c>
    </row>
    <row r="8328" spans="1:40" x14ac:dyDescent="0.25">
      <c r="A8328" t="str">
        <f>"20190312160848910"</f>
        <v>20190312160848910</v>
      </c>
      <c r="B8328" t="str">
        <f>"1552378128903410"</f>
        <v>1552378128903410</v>
      </c>
      <c r="C8328" t="s">
        <v>40</v>
      </c>
      <c r="D8328">
        <v>6.8335259999999902</v>
      </c>
      <c r="E8328">
        <v>0.57272979999999996</v>
      </c>
      <c r="F8328" t="s">
        <v>41</v>
      </c>
      <c r="G8328">
        <v>0</v>
      </c>
      <c r="H8328">
        <v>0</v>
      </c>
      <c r="I8328">
        <v>0</v>
      </c>
      <c r="J8328">
        <v>-170.4873</v>
      </c>
      <c r="K8328">
        <v>1.108784</v>
      </c>
      <c r="L8328">
        <v>141.74969999999999</v>
      </c>
      <c r="M8328">
        <v>0.95020360000000004</v>
      </c>
      <c r="N8328">
        <v>0</v>
      </c>
      <c r="O8328">
        <v>0.31133820000000001</v>
      </c>
      <c r="P8328">
        <v>0.97243690000000005</v>
      </c>
      <c r="Q8328">
        <v>-3.5323689999999998E-2</v>
      </c>
      <c r="R8328">
        <v>0.2304755</v>
      </c>
      <c r="S8328">
        <v>3.072403</v>
      </c>
      <c r="T8328">
        <v>0.30934919999999999</v>
      </c>
      <c r="U8328">
        <v>0.11282349999999999</v>
      </c>
      <c r="V8328">
        <v>8.3704180000000003E-2</v>
      </c>
      <c r="W8328">
        <v>-2.212735E-2</v>
      </c>
      <c r="X8328">
        <v>0.99624500000000005</v>
      </c>
      <c r="Y8328">
        <v>0.27338020000000002</v>
      </c>
      <c r="Z8328">
        <v>4.4540639999999999E-2</v>
      </c>
      <c r="AA8328">
        <v>0.96087429999999996</v>
      </c>
      <c r="AB8328">
        <v>9</v>
      </c>
      <c r="AC8328">
        <v>3.072403</v>
      </c>
      <c r="AD8328">
        <v>0.30934919999999999</v>
      </c>
      <c r="AE8328">
        <v>0.11282349999999999</v>
      </c>
      <c r="AF8328">
        <v>0.84091476944549703</v>
      </c>
      <c r="AG8328">
        <v>0.30934919999999999</v>
      </c>
      <c r="AH8328">
        <v>2.9251881347012798</v>
      </c>
      <c r="AI8328">
        <v>84.196542962884195</v>
      </c>
      <c r="AJ8328">
        <v>73.961446491396003</v>
      </c>
      <c r="AK8328">
        <v>3.0593398308147002</v>
      </c>
      <c r="AL8328">
        <v>91.267907177181499</v>
      </c>
      <c r="AM8328">
        <v>85.197307319942695</v>
      </c>
      <c r="AN8328">
        <v>1.00000005469624</v>
      </c>
    </row>
    <row r="8329" spans="1:40" x14ac:dyDescent="0.25">
      <c r="A8329" t="str">
        <f>"20190312160848931"</f>
        <v>20190312160848931</v>
      </c>
      <c r="B8329" t="str">
        <f>"1552378128923901"</f>
        <v>1552378128923901</v>
      </c>
      <c r="C8329" t="s">
        <v>40</v>
      </c>
      <c r="D8329">
        <v>6.4003449999999997</v>
      </c>
      <c r="E8329">
        <v>0.57590479999999999</v>
      </c>
      <c r="F8329" t="s">
        <v>41</v>
      </c>
      <c r="G8329">
        <v>0</v>
      </c>
      <c r="H8329">
        <v>0</v>
      </c>
      <c r="I8329">
        <v>0</v>
      </c>
      <c r="J8329">
        <v>-170.39850000000001</v>
      </c>
      <c r="K8329">
        <v>1.1088009999999999</v>
      </c>
      <c r="L8329">
        <v>141.7724</v>
      </c>
      <c r="M8329">
        <v>0.95177489999999998</v>
      </c>
      <c r="N8329">
        <v>0</v>
      </c>
      <c r="O8329">
        <v>0.30650179999999999</v>
      </c>
      <c r="P8329">
        <v>0.97346619999999995</v>
      </c>
      <c r="Q8329">
        <v>-3.6110280000000002E-2</v>
      </c>
      <c r="R8329">
        <v>0.2259639</v>
      </c>
      <c r="S8329">
        <v>3.0629729999999999</v>
      </c>
      <c r="T8329">
        <v>0.23738609999999999</v>
      </c>
      <c r="U8329">
        <v>0.1293945</v>
      </c>
      <c r="V8329">
        <v>8.324753E-2</v>
      </c>
      <c r="W8329">
        <v>-2.2928810000000001E-2</v>
      </c>
      <c r="X8329">
        <v>0.99626510000000001</v>
      </c>
      <c r="Y8329">
        <v>0.26440019999999997</v>
      </c>
      <c r="Z8329">
        <v>3.3605429999999999E-2</v>
      </c>
      <c r="AA8329">
        <v>0.9638274</v>
      </c>
      <c r="AB8329">
        <v>9</v>
      </c>
      <c r="AC8329">
        <v>3.0629729999999999</v>
      </c>
      <c r="AD8329">
        <v>0.23738609999999999</v>
      </c>
      <c r="AE8329">
        <v>0.1293945</v>
      </c>
      <c r="AF8329">
        <v>0.81086439175681901</v>
      </c>
      <c r="AG8329">
        <v>0.23738609999999999</v>
      </c>
      <c r="AH8329">
        <v>2.9375749768604198</v>
      </c>
      <c r="AI8329">
        <v>85.545821382632198</v>
      </c>
      <c r="AJ8329">
        <v>74.568796794697107</v>
      </c>
      <c r="AK8329">
        <v>3.05666484374209</v>
      </c>
      <c r="AL8329">
        <v>91.313839159854894</v>
      </c>
      <c r="AM8329">
        <v>85.223482876660995</v>
      </c>
      <c r="AN8329">
        <v>1.00000001552856</v>
      </c>
    </row>
    <row r="8330" spans="1:40" x14ac:dyDescent="0.25">
      <c r="A8330" t="str">
        <f>"20190312160848954"</f>
        <v>20190312160848954</v>
      </c>
      <c r="B8330" t="str">
        <f>"1552378128943421"</f>
        <v>1552378128943421</v>
      </c>
      <c r="C8330" t="s">
        <v>40</v>
      </c>
      <c r="D8330">
        <v>6.4087350000000001</v>
      </c>
      <c r="E8330">
        <v>0.5767911</v>
      </c>
      <c r="F8330" t="s">
        <v>41</v>
      </c>
      <c r="G8330">
        <v>0</v>
      </c>
      <c r="H8330">
        <v>0</v>
      </c>
      <c r="I8330">
        <v>0</v>
      </c>
      <c r="J8330">
        <v>-170.31299999999999</v>
      </c>
      <c r="K8330">
        <v>1.1088229999999999</v>
      </c>
      <c r="L8330">
        <v>141.79390000000001</v>
      </c>
      <c r="M8330">
        <v>0.95324980000000004</v>
      </c>
      <c r="N8330">
        <v>0</v>
      </c>
      <c r="O8330">
        <v>0.3018845</v>
      </c>
      <c r="P8330">
        <v>0.9744602</v>
      </c>
      <c r="Q8330">
        <v>-3.5486660000000003E-2</v>
      </c>
      <c r="R8330">
        <v>0.2217393</v>
      </c>
      <c r="S8330">
        <v>3.0685579999999999</v>
      </c>
      <c r="T8330">
        <v>0.20997150000000001</v>
      </c>
      <c r="U8330">
        <v>9.0499880000000005E-2</v>
      </c>
      <c r="V8330">
        <v>8.2749580000000003E-2</v>
      </c>
      <c r="W8330">
        <v>-2.231706E-2</v>
      </c>
      <c r="X8330">
        <v>0.99632050000000005</v>
      </c>
      <c r="Y8330">
        <v>0.2723545</v>
      </c>
      <c r="Z8330">
        <v>2.966597E-2</v>
      </c>
      <c r="AA8330">
        <v>0.96173949999999997</v>
      </c>
      <c r="AB8330">
        <v>9</v>
      </c>
      <c r="AC8330">
        <v>3.0685579999999999</v>
      </c>
      <c r="AD8330">
        <v>0.20997150000000001</v>
      </c>
      <c r="AE8330">
        <v>9.0499880000000005E-2</v>
      </c>
      <c r="AF8330">
        <v>0.83624487934189695</v>
      </c>
      <c r="AG8330">
        <v>0.20997150000000001</v>
      </c>
      <c r="AH8330">
        <v>2.9389405884489399</v>
      </c>
      <c r="AI8330">
        <v>86.068985726492102</v>
      </c>
      <c r="AJ8330">
        <v>74.116850140536201</v>
      </c>
      <c r="AK8330">
        <v>3.0628035052008098</v>
      </c>
      <c r="AL8330">
        <v>91.278779460728302</v>
      </c>
      <c r="AM8330">
        <v>85.252185687184195</v>
      </c>
      <c r="AN8330">
        <v>1.00000004143873</v>
      </c>
    </row>
    <row r="8331" spans="1:40" x14ac:dyDescent="0.25">
      <c r="A8331" t="str">
        <f>"20190312160848976"</f>
        <v>20190312160848976</v>
      </c>
      <c r="B8331" t="str">
        <f>"1552378128973677"</f>
        <v>1552378128973677</v>
      </c>
      <c r="C8331" t="s">
        <v>40</v>
      </c>
      <c r="D8331">
        <v>6.4913910000000001</v>
      </c>
      <c r="E8331">
        <v>0.57792980000000005</v>
      </c>
      <c r="F8331" t="s">
        <v>41</v>
      </c>
      <c r="G8331">
        <v>0</v>
      </c>
      <c r="H8331">
        <v>0</v>
      </c>
      <c r="I8331">
        <v>0</v>
      </c>
      <c r="J8331">
        <v>-170.22499999999999</v>
      </c>
      <c r="K8331">
        <v>1.108851</v>
      </c>
      <c r="L8331">
        <v>141.81549999999999</v>
      </c>
      <c r="M8331">
        <v>0.95472279999999998</v>
      </c>
      <c r="N8331">
        <v>0</v>
      </c>
      <c r="O8331">
        <v>0.29719390000000001</v>
      </c>
      <c r="P8331">
        <v>0.97544260000000005</v>
      </c>
      <c r="Q8331">
        <v>-3.4918789999999998E-2</v>
      </c>
      <c r="R8331">
        <v>0.2174681</v>
      </c>
      <c r="S8331">
        <v>3.069855</v>
      </c>
      <c r="T8331">
        <v>0.19729820000000001</v>
      </c>
      <c r="U8331">
        <v>7.0159910000000006E-2</v>
      </c>
      <c r="V8331">
        <v>8.2225010000000001E-2</v>
      </c>
      <c r="W8331">
        <v>-2.176001E-2</v>
      </c>
      <c r="X8331">
        <v>0.99637620000000005</v>
      </c>
      <c r="Y8331">
        <v>0.27416499999999999</v>
      </c>
      <c r="Z8331">
        <v>2.764316E-2</v>
      </c>
      <c r="AA8331">
        <v>0.96128530000000001</v>
      </c>
      <c r="AB8331">
        <v>9</v>
      </c>
      <c r="AC8331">
        <v>3.069855</v>
      </c>
      <c r="AD8331">
        <v>0.19729820000000001</v>
      </c>
      <c r="AE8331">
        <v>7.0159910000000006E-2</v>
      </c>
      <c r="AF8331">
        <v>0.841959115037203</v>
      </c>
      <c r="AG8331">
        <v>0.19729820000000001</v>
      </c>
      <c r="AH8331">
        <v>2.9398406927260701</v>
      </c>
      <c r="AI8331">
        <v>86.308505304921198</v>
      </c>
      <c r="AJ8331">
        <v>74.018490123579994</v>
      </c>
      <c r="AK8331">
        <v>3.0643898299213799</v>
      </c>
      <c r="AL8331">
        <v>91.246855156689307</v>
      </c>
      <c r="AM8331">
        <v>85.282409511809902</v>
      </c>
      <c r="AN8331">
        <v>0.99999999111557003</v>
      </c>
    </row>
    <row r="8332" spans="1:40" x14ac:dyDescent="0.25">
      <c r="A8332" t="str">
        <f>"20190312160848999"</f>
        <v>20190312160848999</v>
      </c>
      <c r="B8332" t="str">
        <f>"1552378128994173"</f>
        <v>1552378128994173</v>
      </c>
      <c r="C8332" t="s">
        <v>40</v>
      </c>
      <c r="D8332">
        <v>6.1166330000000002</v>
      </c>
      <c r="E8332">
        <v>0.57839600000000002</v>
      </c>
      <c r="F8332" t="s">
        <v>41</v>
      </c>
      <c r="G8332">
        <v>0</v>
      </c>
      <c r="H8332">
        <v>0</v>
      </c>
      <c r="I8332">
        <v>0</v>
      </c>
      <c r="J8332">
        <v>-170.13579999999999</v>
      </c>
      <c r="K8332">
        <v>1.108881</v>
      </c>
      <c r="L8332">
        <v>141.83709999999999</v>
      </c>
      <c r="M8332">
        <v>0.95617589999999997</v>
      </c>
      <c r="N8332">
        <v>0</v>
      </c>
      <c r="O8332">
        <v>0.29248590000000002</v>
      </c>
      <c r="P8332">
        <v>0.97652019999999995</v>
      </c>
      <c r="Q8332">
        <v>-3.4314669999999999E-2</v>
      </c>
      <c r="R8332">
        <v>0.21267520000000001</v>
      </c>
      <c r="S8332">
        <v>3.0714419999999998</v>
      </c>
      <c r="T8332">
        <v>0.1820031</v>
      </c>
      <c r="U8332">
        <v>4.7592160000000001E-2</v>
      </c>
      <c r="V8332">
        <v>8.2217750000000006E-2</v>
      </c>
      <c r="W8332">
        <v>-2.1167869999999998E-2</v>
      </c>
      <c r="X8332">
        <v>0.99638959999999999</v>
      </c>
      <c r="Y8332">
        <v>0.27667589999999997</v>
      </c>
      <c r="Z8332">
        <v>2.5303269999999999E-2</v>
      </c>
      <c r="AA8332">
        <v>0.96063010000000004</v>
      </c>
      <c r="AB8332">
        <v>9</v>
      </c>
      <c r="AC8332">
        <v>3.0714419999999998</v>
      </c>
      <c r="AD8332">
        <v>0.1820031</v>
      </c>
      <c r="AE8332">
        <v>4.7592160000000001E-2</v>
      </c>
      <c r="AF8332">
        <v>0.84993990513918505</v>
      </c>
      <c r="AG8332">
        <v>0.1820031</v>
      </c>
      <c r="AH8332">
        <v>2.94070061468154</v>
      </c>
      <c r="AI8332">
        <v>86.597345135972205</v>
      </c>
      <c r="AJ8332">
        <v>73.879313840188502</v>
      </c>
      <c r="AK8332">
        <v>3.0664707851121</v>
      </c>
      <c r="AL8332">
        <v>91.212920160659493</v>
      </c>
      <c r="AM8332">
        <v>85.282887321299697</v>
      </c>
      <c r="AN8332">
        <v>1.00000003606177</v>
      </c>
    </row>
    <row r="8333" spans="1:40" x14ac:dyDescent="0.25">
      <c r="A8333" t="str">
        <f>"20190312160849021"</f>
        <v>20190312160849021</v>
      </c>
      <c r="B8333" t="str">
        <f>"1552378129013693"</f>
        <v>1552378129013693</v>
      </c>
      <c r="C8333" t="s">
        <v>40</v>
      </c>
      <c r="D8333">
        <v>6.1323930000000004</v>
      </c>
      <c r="E8333">
        <v>0.57555310000000004</v>
      </c>
      <c r="F8333" t="s">
        <v>41</v>
      </c>
      <c r="G8333">
        <v>0</v>
      </c>
      <c r="H8333">
        <v>0</v>
      </c>
      <c r="I8333">
        <v>0</v>
      </c>
      <c r="J8333">
        <v>-170.04740000000001</v>
      </c>
      <c r="K8333">
        <v>1.1089119999999999</v>
      </c>
      <c r="L8333">
        <v>141.85810000000001</v>
      </c>
      <c r="M8333">
        <v>0.95757840000000005</v>
      </c>
      <c r="N8333">
        <v>0</v>
      </c>
      <c r="O8333">
        <v>0.28786230000000002</v>
      </c>
      <c r="P8333">
        <v>0.97758100000000003</v>
      </c>
      <c r="Q8333">
        <v>-3.380433E-2</v>
      </c>
      <c r="R8333">
        <v>0.20782870000000001</v>
      </c>
      <c r="S8333">
        <v>3.0719759999999998</v>
      </c>
      <c r="T8333">
        <v>0.17214760000000001</v>
      </c>
      <c r="U8333">
        <v>2.844238E-2</v>
      </c>
      <c r="V8333">
        <v>8.2353430000000005E-2</v>
      </c>
      <c r="W8333">
        <v>-2.0669690000000001E-2</v>
      </c>
      <c r="X8333">
        <v>0.99638879999999996</v>
      </c>
      <c r="Y8333">
        <v>0.27813179999999998</v>
      </c>
      <c r="Z8333">
        <v>2.3726629999999999E-2</v>
      </c>
      <c r="AA8333">
        <v>0.96024980000000004</v>
      </c>
      <c r="AB8333">
        <v>9</v>
      </c>
      <c r="AC8333">
        <v>3.0719759999999998</v>
      </c>
      <c r="AD8333">
        <v>0.17214760000000001</v>
      </c>
      <c r="AE8333">
        <v>2.844238E-2</v>
      </c>
      <c r="AF8333">
        <v>0.85446393190981695</v>
      </c>
      <c r="AG8333">
        <v>0.17214760000000001</v>
      </c>
      <c r="AH8333">
        <v>2.9408749217688901</v>
      </c>
      <c r="AI8333">
        <v>86.782697295220999</v>
      </c>
      <c r="AJ8333">
        <v>73.798907938378605</v>
      </c>
      <c r="AK8333">
        <v>3.06732598733974</v>
      </c>
      <c r="AL8333">
        <v>91.184370366500303</v>
      </c>
      <c r="AM8333">
        <v>85.275134335174002</v>
      </c>
      <c r="AN8333">
        <v>0.99999998214145003</v>
      </c>
    </row>
    <row r="8334" spans="1:40" x14ac:dyDescent="0.25">
      <c r="A8334" t="str">
        <f>"20190312160849043"</f>
        <v>20190312160849043</v>
      </c>
      <c r="B8334" t="str">
        <f>"1552378129034190"</f>
        <v>1552378129034190</v>
      </c>
      <c r="C8334" t="s">
        <v>40</v>
      </c>
      <c r="D8334">
        <v>6.1402409999999996</v>
      </c>
      <c r="E8334">
        <v>0.57508669999999995</v>
      </c>
      <c r="F8334" t="s">
        <v>41</v>
      </c>
      <c r="G8334">
        <v>0</v>
      </c>
      <c r="H8334">
        <v>0</v>
      </c>
      <c r="I8334">
        <v>0</v>
      </c>
      <c r="J8334">
        <v>-169.96190000000001</v>
      </c>
      <c r="K8334">
        <v>1.1089329999999999</v>
      </c>
      <c r="L8334">
        <v>141.87809999999999</v>
      </c>
      <c r="M8334">
        <v>0.95889869999999999</v>
      </c>
      <c r="N8334">
        <v>0</v>
      </c>
      <c r="O8334">
        <v>0.28343370000000001</v>
      </c>
      <c r="P8334">
        <v>0.97863809999999996</v>
      </c>
      <c r="Q8334">
        <v>-3.3823180000000001E-2</v>
      </c>
      <c r="R8334">
        <v>0.2027891</v>
      </c>
      <c r="S8334">
        <v>3.067307</v>
      </c>
      <c r="T8334">
        <v>0.17415259999999999</v>
      </c>
      <c r="U8334">
        <v>3.5446169999999999E-2</v>
      </c>
      <c r="V8334">
        <v>8.2882490000000003E-2</v>
      </c>
      <c r="W8334">
        <v>-2.0701480000000001E-2</v>
      </c>
      <c r="X8334">
        <v>0.99634429999999996</v>
      </c>
      <c r="Y8334">
        <v>0.27147539999999998</v>
      </c>
      <c r="Z8334">
        <v>2.3605770000000002E-2</v>
      </c>
      <c r="AA8334">
        <v>0.96215589999999995</v>
      </c>
      <c r="AB8334">
        <v>9</v>
      </c>
      <c r="AC8334">
        <v>3.067307</v>
      </c>
      <c r="AD8334">
        <v>0.17415259999999999</v>
      </c>
      <c r="AE8334">
        <v>3.5446169999999999E-2</v>
      </c>
      <c r="AF8334">
        <v>0.83277928928882505</v>
      </c>
      <c r="AG8334">
        <v>0.17415259999999999</v>
      </c>
      <c r="AH8334">
        <v>2.9420640845731199</v>
      </c>
      <c r="AI8334">
        <v>86.740169942566197</v>
      </c>
      <c r="AJ8334">
        <v>74.195328856622794</v>
      </c>
      <c r="AK8334">
        <v>3.06261188375057</v>
      </c>
      <c r="AL8334">
        <v>91.186192154606402</v>
      </c>
      <c r="AM8334">
        <v>85.244707901693104</v>
      </c>
      <c r="AN8334">
        <v>1.0000000112826399</v>
      </c>
    </row>
    <row r="8335" spans="1:40" x14ac:dyDescent="0.25">
      <c r="A8335" t="str">
        <f>"20190312160849067"</f>
        <v>20190312160849067</v>
      </c>
      <c r="B8335" t="str">
        <f>"1552378129063471"</f>
        <v>1552378129063471</v>
      </c>
      <c r="C8335" t="s">
        <v>40</v>
      </c>
      <c r="D8335">
        <v>6.4732710000000004</v>
      </c>
      <c r="E8335">
        <v>0.57404709999999903</v>
      </c>
      <c r="F8335" t="s">
        <v>41</v>
      </c>
      <c r="G8335">
        <v>0</v>
      </c>
      <c r="H8335">
        <v>0</v>
      </c>
      <c r="I8335">
        <v>0</v>
      </c>
      <c r="J8335">
        <v>-169.8699</v>
      </c>
      <c r="K8335">
        <v>1.1089469999999999</v>
      </c>
      <c r="L8335">
        <v>141.89920000000001</v>
      </c>
      <c r="M8335">
        <v>0.96028000000000002</v>
      </c>
      <c r="N8335">
        <v>0</v>
      </c>
      <c r="O8335">
        <v>0.27871839999999998</v>
      </c>
      <c r="P8335">
        <v>0.97969580000000001</v>
      </c>
      <c r="Q8335">
        <v>-3.369834E-2</v>
      </c>
      <c r="R8335">
        <v>0.1976376</v>
      </c>
      <c r="S8335">
        <v>3.0668489999999999</v>
      </c>
      <c r="T8335">
        <v>0.17937979999999901</v>
      </c>
      <c r="U8335">
        <v>2.3300169999999999E-2</v>
      </c>
      <c r="V8335">
        <v>8.3230559999999995E-2</v>
      </c>
      <c r="W8335">
        <v>-2.0589159999999999E-2</v>
      </c>
      <c r="X8335">
        <v>0.99631760000000003</v>
      </c>
      <c r="Y8335">
        <v>0.27051059999999999</v>
      </c>
      <c r="Z8335">
        <v>2.402462E-2</v>
      </c>
      <c r="AA8335">
        <v>0.96241719999999997</v>
      </c>
      <c r="AB8335">
        <v>9</v>
      </c>
      <c r="AC8335">
        <v>3.0668489999999999</v>
      </c>
      <c r="AD8335">
        <v>0.17937979999999901</v>
      </c>
      <c r="AE8335">
        <v>2.3300169999999999E-2</v>
      </c>
      <c r="AF8335">
        <v>0.82964868532285496</v>
      </c>
      <c r="AG8335">
        <v>0.17937979999999901</v>
      </c>
      <c r="AH8335">
        <v>2.9417279347752001</v>
      </c>
      <c r="AI8335">
        <v>86.641259130308896</v>
      </c>
      <c r="AJ8335">
        <v>74.250079338965605</v>
      </c>
      <c r="AK8335">
        <v>3.0617408930121299</v>
      </c>
      <c r="AL8335">
        <v>91.179755334282405</v>
      </c>
      <c r="AM8335">
        <v>85.224702544605606</v>
      </c>
      <c r="AN8335">
        <v>0.99999999984858901</v>
      </c>
    </row>
    <row r="8336" spans="1:40" x14ac:dyDescent="0.25">
      <c r="A8336" t="str">
        <f>"20190312160849088"</f>
        <v>20190312160849088</v>
      </c>
      <c r="B8336" t="str">
        <f>"1552378129083968"</f>
        <v>1552378129083968</v>
      </c>
      <c r="C8336" t="s">
        <v>40</v>
      </c>
      <c r="D8336">
        <v>6.5544509999999896</v>
      </c>
      <c r="E8336">
        <v>0.54358949999999995</v>
      </c>
      <c r="F8336" t="s">
        <v>41</v>
      </c>
      <c r="G8336">
        <v>0</v>
      </c>
      <c r="H8336">
        <v>0</v>
      </c>
      <c r="I8336">
        <v>0</v>
      </c>
      <c r="J8336">
        <v>-169.78710000000001</v>
      </c>
      <c r="K8336">
        <v>1.1089560000000001</v>
      </c>
      <c r="L8336">
        <v>141.9178</v>
      </c>
      <c r="M8336">
        <v>0.96148909999999999</v>
      </c>
      <c r="N8336">
        <v>0</v>
      </c>
      <c r="O8336">
        <v>0.27451910000000002</v>
      </c>
      <c r="P8336">
        <v>0.9805644</v>
      </c>
      <c r="Q8336">
        <v>-3.2859489999999998E-2</v>
      </c>
      <c r="R8336">
        <v>0.19342680000000001</v>
      </c>
      <c r="S8336">
        <v>3.0651700000000002</v>
      </c>
      <c r="T8336">
        <v>0.17702590000000001</v>
      </c>
      <c r="U8336">
        <v>1.5335079999999999E-2</v>
      </c>
      <c r="V8336">
        <v>8.3167080000000004E-2</v>
      </c>
      <c r="W8336">
        <v>-1.9759309999999999E-2</v>
      </c>
      <c r="X8336">
        <v>0.99633970000000005</v>
      </c>
      <c r="Y8336">
        <v>0.26883319999999999</v>
      </c>
      <c r="Z8336">
        <v>2.344127E-2</v>
      </c>
      <c r="AA8336">
        <v>0.96290149999999997</v>
      </c>
      <c r="AB8336">
        <v>9</v>
      </c>
      <c r="AC8336">
        <v>3.0651700000000002</v>
      </c>
      <c r="AD8336">
        <v>0.17702590000000001</v>
      </c>
      <c r="AE8336">
        <v>1.5335079999999999E-2</v>
      </c>
      <c r="AF8336">
        <v>0.82402827332620199</v>
      </c>
      <c r="AG8336">
        <v>0.17702590000000001</v>
      </c>
      <c r="AH8336">
        <v>2.9417878154477202</v>
      </c>
      <c r="AI8336">
        <v>86.683651053630498</v>
      </c>
      <c r="AJ8336">
        <v>74.351835536679602</v>
      </c>
      <c r="AK8336">
        <v>3.06014318547816</v>
      </c>
      <c r="AL8336">
        <v>91.132198756277006</v>
      </c>
      <c r="AM8336">
        <v>85.228433195927394</v>
      </c>
      <c r="AN8336">
        <v>0.99999999566174602</v>
      </c>
    </row>
    <row r="8337" spans="1:40" x14ac:dyDescent="0.25">
      <c r="A8337" t="str">
        <f>"20190312160849111"</f>
        <v>20190312160849111</v>
      </c>
      <c r="B8337" t="str">
        <f>"1552378129103489"</f>
        <v>1552378129103489</v>
      </c>
      <c r="C8337" t="s">
        <v>40</v>
      </c>
      <c r="D8337">
        <v>6.2820859999999996</v>
      </c>
      <c r="E8337">
        <v>0.56200709999999998</v>
      </c>
      <c r="F8337" t="s">
        <v>41</v>
      </c>
      <c r="G8337">
        <v>0</v>
      </c>
      <c r="H8337">
        <v>0</v>
      </c>
      <c r="I8337">
        <v>0</v>
      </c>
      <c r="J8337">
        <v>-169.6994</v>
      </c>
      <c r="K8337">
        <v>1.1089739999999999</v>
      </c>
      <c r="L8337">
        <v>141.93719999999999</v>
      </c>
      <c r="M8337">
        <v>0.96273710000000001</v>
      </c>
      <c r="N8337">
        <v>0</v>
      </c>
      <c r="O8337">
        <v>0.27011059999999998</v>
      </c>
      <c r="P8337">
        <v>0.9813617</v>
      </c>
      <c r="Q8337">
        <v>-3.3004430000000001E-2</v>
      </c>
      <c r="R8337">
        <v>0.1893147</v>
      </c>
      <c r="S8337">
        <v>3.0303650000000002</v>
      </c>
      <c r="T8337">
        <v>0.55753949999999997</v>
      </c>
      <c r="U8337">
        <v>0.2421875</v>
      </c>
      <c r="V8337">
        <v>8.2777729999999994E-2</v>
      </c>
      <c r="W8337">
        <v>-1.9912180000000002E-2</v>
      </c>
      <c r="X8337">
        <v>0.99636910000000001</v>
      </c>
      <c r="Y8337">
        <v>0.18510570000000001</v>
      </c>
      <c r="Z8337">
        <v>6.5470200000000006E-2</v>
      </c>
      <c r="AA8337">
        <v>0.9805353</v>
      </c>
      <c r="AB8337">
        <v>9</v>
      </c>
      <c r="AC8337">
        <v>3.0303650000000002</v>
      </c>
      <c r="AD8337">
        <v>0.55753949999999997</v>
      </c>
      <c r="AE8337">
        <v>0.2421875</v>
      </c>
      <c r="AF8337">
        <v>0.56637263133124904</v>
      </c>
      <c r="AG8337">
        <v>0.55753949999999997</v>
      </c>
      <c r="AH8337">
        <v>2.8860535530159499</v>
      </c>
      <c r="AI8337">
        <v>79.265912728857998</v>
      </c>
      <c r="AJ8337">
        <v>78.897105062767693</v>
      </c>
      <c r="AK8337">
        <v>2.9934818126150899</v>
      </c>
      <c r="AL8337">
        <v>91.140959263153803</v>
      </c>
      <c r="AM8337">
        <v>85.250808552092096</v>
      </c>
      <c r="AN8337">
        <v>1.00000001546555</v>
      </c>
    </row>
    <row r="8338" spans="1:40" x14ac:dyDescent="0.25">
      <c r="A8338" t="str">
        <f>"20190312160849132"</f>
        <v>20190312160849132</v>
      </c>
      <c r="B8338" t="str">
        <f>"1552378129123982"</f>
        <v>1552378129123982</v>
      </c>
      <c r="C8338" t="s">
        <v>40</v>
      </c>
      <c r="D8338">
        <v>6.5531069999999998</v>
      </c>
      <c r="E8338">
        <v>0.55991349999999995</v>
      </c>
      <c r="F8338" t="s">
        <v>41</v>
      </c>
      <c r="G8338">
        <v>0</v>
      </c>
      <c r="H8338">
        <v>0</v>
      </c>
      <c r="I8338">
        <v>0</v>
      </c>
      <c r="J8338">
        <v>-169.6147</v>
      </c>
      <c r="K8338">
        <v>1.108986</v>
      </c>
      <c r="L8338">
        <v>141.9555</v>
      </c>
      <c r="M8338">
        <v>0.96391009999999999</v>
      </c>
      <c r="N8338">
        <v>0</v>
      </c>
      <c r="O8338">
        <v>0.26589449999999998</v>
      </c>
      <c r="P8338">
        <v>0.9820837</v>
      </c>
      <c r="Q8338">
        <v>-3.3168980000000001E-2</v>
      </c>
      <c r="R8338">
        <v>0.18550330000000001</v>
      </c>
      <c r="S8338">
        <v>3.0462799999999999</v>
      </c>
      <c r="T8338">
        <v>0.16034309999999999</v>
      </c>
      <c r="U8338">
        <v>8.3374019999999993E-2</v>
      </c>
      <c r="V8338">
        <v>8.2284300000000005E-2</v>
      </c>
      <c r="W8338">
        <v>-2.0083170000000001E-2</v>
      </c>
      <c r="X8338">
        <v>0.99640649999999997</v>
      </c>
      <c r="Y8338">
        <v>0.23875460000000001</v>
      </c>
      <c r="Z8338">
        <v>2.0121529999999999E-2</v>
      </c>
      <c r="AA8338">
        <v>0.97087140000000005</v>
      </c>
      <c r="AB8338">
        <v>9</v>
      </c>
      <c r="AC8338">
        <v>3.0462799999999999</v>
      </c>
      <c r="AD8338">
        <v>0.16034309999999999</v>
      </c>
      <c r="AE8338">
        <v>8.3374019999999993E-2</v>
      </c>
      <c r="AF8338">
        <v>0.727674250871166</v>
      </c>
      <c r="AG8338">
        <v>0.16034309999999999</v>
      </c>
      <c r="AH8338">
        <v>2.9506026799020599</v>
      </c>
      <c r="AI8338">
        <v>86.979779575324699</v>
      </c>
      <c r="AJ8338">
        <v>76.146230881804399</v>
      </c>
      <c r="AK8338">
        <v>3.0432344470552599</v>
      </c>
      <c r="AL8338">
        <v>91.150758272740305</v>
      </c>
      <c r="AM8338">
        <v>85.279166080977902</v>
      </c>
      <c r="AN8338">
        <v>0.99999997649299399</v>
      </c>
    </row>
    <row r="8339" spans="1:40" x14ac:dyDescent="0.25">
      <c r="A8339" t="str">
        <f>"20190312160849155"</f>
        <v>20190312160849155</v>
      </c>
      <c r="B8339" t="str">
        <f>"1552378129143502"</f>
        <v>1552378129143502</v>
      </c>
      <c r="C8339" t="s">
        <v>40</v>
      </c>
      <c r="D8339">
        <v>6.7066679999999996</v>
      </c>
      <c r="E8339">
        <v>0.55919180000000002</v>
      </c>
      <c r="F8339" t="s">
        <v>41</v>
      </c>
      <c r="G8339">
        <v>0</v>
      </c>
      <c r="H8339">
        <v>0</v>
      </c>
      <c r="I8339">
        <v>0</v>
      </c>
      <c r="J8339">
        <v>-169.52930000000001</v>
      </c>
      <c r="K8339">
        <v>1.1089990000000001</v>
      </c>
      <c r="L8339">
        <v>141.97370000000001</v>
      </c>
      <c r="M8339">
        <v>0.96506049999999999</v>
      </c>
      <c r="N8339">
        <v>0</v>
      </c>
      <c r="O8339">
        <v>0.26168910000000001</v>
      </c>
      <c r="P8339">
        <v>0.98278180000000004</v>
      </c>
      <c r="Q8339">
        <v>-3.3121230000000002E-2</v>
      </c>
      <c r="R8339">
        <v>0.18177750000000001</v>
      </c>
      <c r="S8339">
        <v>3.0435490000000001</v>
      </c>
      <c r="T8339">
        <v>0.16063450000000001</v>
      </c>
      <c r="U8339">
        <v>8.7860110000000005E-2</v>
      </c>
      <c r="V8339">
        <v>8.1720050000000002E-2</v>
      </c>
      <c r="W8339">
        <v>-2.004061E-2</v>
      </c>
      <c r="X8339">
        <v>0.99645379999999995</v>
      </c>
      <c r="Y8339">
        <v>0.23307310000000001</v>
      </c>
      <c r="Z8339">
        <v>1.980999E-2</v>
      </c>
      <c r="AA8339">
        <v>0.97225740000000005</v>
      </c>
      <c r="AB8339">
        <v>9</v>
      </c>
      <c r="AC8339">
        <v>3.0435490000000001</v>
      </c>
      <c r="AD8339">
        <v>0.16063450000000001</v>
      </c>
      <c r="AE8339">
        <v>8.7860110000000005E-2</v>
      </c>
      <c r="AF8339">
        <v>0.70976082904462501</v>
      </c>
      <c r="AG8339">
        <v>0.16063450000000001</v>
      </c>
      <c r="AH8339">
        <v>2.9522461367136099</v>
      </c>
      <c r="AI8339">
        <v>86.971673601923001</v>
      </c>
      <c r="AJ8339">
        <v>76.481848950449304</v>
      </c>
      <c r="AK8339">
        <v>3.0406119661635298</v>
      </c>
      <c r="AL8339">
        <v>91.1483192647229</v>
      </c>
      <c r="AM8339">
        <v>85.311615110774895</v>
      </c>
      <c r="AN8339">
        <v>0.99999998407780699</v>
      </c>
    </row>
    <row r="8340" spans="1:40" x14ac:dyDescent="0.25">
      <c r="A8340" t="str">
        <f>"20190312160849177"</f>
        <v>20190312160849177</v>
      </c>
      <c r="B8340" t="str">
        <f>"1552378129173757"</f>
        <v>1552378129173757</v>
      </c>
      <c r="C8340" t="s">
        <v>40</v>
      </c>
      <c r="D8340">
        <v>6.6059409999999996</v>
      </c>
      <c r="E8340">
        <v>0.55785530000000005</v>
      </c>
      <c r="F8340" t="s">
        <v>41</v>
      </c>
      <c r="G8340">
        <v>0</v>
      </c>
      <c r="H8340">
        <v>0</v>
      </c>
      <c r="I8340">
        <v>0</v>
      </c>
      <c r="J8340">
        <v>-169.44319999999999</v>
      </c>
      <c r="K8340">
        <v>1.109013</v>
      </c>
      <c r="L8340">
        <v>141.99170000000001</v>
      </c>
      <c r="M8340">
        <v>0.96618839999999995</v>
      </c>
      <c r="N8340">
        <v>0</v>
      </c>
      <c r="O8340">
        <v>0.25749369999999999</v>
      </c>
      <c r="P8340">
        <v>0.98347989999999996</v>
      </c>
      <c r="Q8340">
        <v>-3.2862059999999998E-2</v>
      </c>
      <c r="R8340">
        <v>0.17801040000000001</v>
      </c>
      <c r="S8340">
        <v>3.0424039999999999</v>
      </c>
      <c r="T8340">
        <v>0.1489682</v>
      </c>
      <c r="U8340">
        <v>8.2061770000000006E-2</v>
      </c>
      <c r="V8340">
        <v>8.1212740000000005E-2</v>
      </c>
      <c r="W8340">
        <v>-1.9786350000000001E-2</v>
      </c>
      <c r="X8340">
        <v>0.99650039999999995</v>
      </c>
      <c r="Y8340">
        <v>0.230791</v>
      </c>
      <c r="Z8340">
        <v>1.8125990000000002E-2</v>
      </c>
      <c r="AA8340">
        <v>0.97283450000000005</v>
      </c>
      <c r="AB8340">
        <v>9</v>
      </c>
      <c r="AC8340">
        <v>3.0424039999999999</v>
      </c>
      <c r="AD8340">
        <v>0.1489682</v>
      </c>
      <c r="AE8340">
        <v>8.2061770000000006E-2</v>
      </c>
      <c r="AF8340">
        <v>0.702492064357219</v>
      </c>
      <c r="AG8340">
        <v>0.1489682</v>
      </c>
      <c r="AH8340">
        <v>2.9538512268272901</v>
      </c>
      <c r="AI8340">
        <v>87.191124527659298</v>
      </c>
      <c r="AJ8340">
        <v>76.622295573213293</v>
      </c>
      <c r="AK8340">
        <v>3.0398887636433698</v>
      </c>
      <c r="AL8340">
        <v>91.133748300447493</v>
      </c>
      <c r="AM8340">
        <v>85.340808525375607</v>
      </c>
      <c r="AN8340">
        <v>1.00000002799239</v>
      </c>
    </row>
    <row r="8341" spans="1:40" x14ac:dyDescent="0.25">
      <c r="A8341" t="str">
        <f>"20190312160849201"</f>
        <v>20190312160849201</v>
      </c>
      <c r="B8341" t="str">
        <f>"1552378129194255"</f>
        <v>1552378129194255</v>
      </c>
      <c r="C8341" t="s">
        <v>40</v>
      </c>
      <c r="D8341">
        <v>6.4355129999999896</v>
      </c>
      <c r="E8341">
        <v>0.55880929999999995</v>
      </c>
      <c r="F8341" t="s">
        <v>41</v>
      </c>
      <c r="G8341">
        <v>0</v>
      </c>
      <c r="H8341">
        <v>0</v>
      </c>
      <c r="I8341">
        <v>0</v>
      </c>
      <c r="J8341">
        <v>-169.352</v>
      </c>
      <c r="K8341">
        <v>1.109027</v>
      </c>
      <c r="L8341">
        <v>142.0104</v>
      </c>
      <c r="M8341">
        <v>0.96735170000000004</v>
      </c>
      <c r="N8341">
        <v>0</v>
      </c>
      <c r="O8341">
        <v>0.25308900000000001</v>
      </c>
      <c r="P8341">
        <v>0.98437269999999999</v>
      </c>
      <c r="Q8341">
        <v>-3.3090040000000001E-2</v>
      </c>
      <c r="R8341">
        <v>0.17296120000000001</v>
      </c>
      <c r="S8341">
        <v>3.0405120000000001</v>
      </c>
      <c r="T8341">
        <v>0.14245429999999901</v>
      </c>
      <c r="U8341">
        <v>8.0825809999999998E-2</v>
      </c>
      <c r="V8341">
        <v>8.1784179999999998E-2</v>
      </c>
      <c r="W8341">
        <v>-2.0023450000000002E-2</v>
      </c>
      <c r="X8341">
        <v>0.99644889999999997</v>
      </c>
      <c r="Y8341">
        <v>0.2267932</v>
      </c>
      <c r="Z8341">
        <v>1.7051159999999999E-2</v>
      </c>
      <c r="AA8341">
        <v>0.97379369999999998</v>
      </c>
      <c r="AB8341">
        <v>9</v>
      </c>
      <c r="AC8341">
        <v>3.0405120000000001</v>
      </c>
      <c r="AD8341">
        <v>0.14245429999999901</v>
      </c>
      <c r="AE8341">
        <v>8.0825809999999998E-2</v>
      </c>
      <c r="AF8341">
        <v>0.68988092577107896</v>
      </c>
      <c r="AG8341">
        <v>0.14245429999999901</v>
      </c>
      <c r="AH8341">
        <v>2.9554791558954099</v>
      </c>
      <c r="AI8341">
        <v>87.312607822493504</v>
      </c>
      <c r="AJ8341">
        <v>76.861029887700795</v>
      </c>
      <c r="AK8341">
        <v>3.0382702250233602</v>
      </c>
      <c r="AL8341">
        <v>91.147335852980902</v>
      </c>
      <c r="AM8341">
        <v>85.307929340572898</v>
      </c>
      <c r="AN8341">
        <v>1.0000000004796901</v>
      </c>
    </row>
    <row r="8342" spans="1:40" x14ac:dyDescent="0.25">
      <c r="A8342" t="str">
        <f>"20190312160849222"</f>
        <v>20190312160849222</v>
      </c>
      <c r="B8342" t="str">
        <f>"1552378129213773"</f>
        <v>1552378129213773</v>
      </c>
      <c r="C8342" t="s">
        <v>40</v>
      </c>
      <c r="D8342">
        <v>6.5697749999999999</v>
      </c>
      <c r="E8342">
        <v>0.55938969999999999</v>
      </c>
      <c r="F8342" t="s">
        <v>41</v>
      </c>
      <c r="G8342">
        <v>0</v>
      </c>
      <c r="H8342">
        <v>0</v>
      </c>
      <c r="I8342">
        <v>0</v>
      </c>
      <c r="J8342">
        <v>-169.27090000000001</v>
      </c>
      <c r="K8342">
        <v>1.1090409999999999</v>
      </c>
      <c r="L8342">
        <v>142.02670000000001</v>
      </c>
      <c r="M8342">
        <v>0.9683602</v>
      </c>
      <c r="N8342">
        <v>0</v>
      </c>
      <c r="O8342">
        <v>0.24920329999999999</v>
      </c>
      <c r="P8342">
        <v>0.98500650000000001</v>
      </c>
      <c r="Q8342">
        <v>-3.3277380000000002E-2</v>
      </c>
      <c r="R8342">
        <v>0.16927819999999999</v>
      </c>
      <c r="S8342">
        <v>3.041534</v>
      </c>
      <c r="T8342">
        <v>0.1206849</v>
      </c>
      <c r="U8342">
        <v>5.7632450000000002E-2</v>
      </c>
      <c r="V8342">
        <v>8.1509429999999994E-2</v>
      </c>
      <c r="W8342">
        <v>-2.021618E-2</v>
      </c>
      <c r="X8342">
        <v>0.99646749999999995</v>
      </c>
      <c r="Y8342">
        <v>0.23045950000000001</v>
      </c>
      <c r="Z8342">
        <v>1.4369130000000001E-2</v>
      </c>
      <c r="AA8342">
        <v>0.9729759</v>
      </c>
      <c r="AB8342">
        <v>9</v>
      </c>
      <c r="AC8342">
        <v>3.041534</v>
      </c>
      <c r="AD8342">
        <v>0.1206849</v>
      </c>
      <c r="AE8342">
        <v>5.7632450000000002E-2</v>
      </c>
      <c r="AF8342">
        <v>0.70110977535680497</v>
      </c>
      <c r="AG8342">
        <v>0.1206849</v>
      </c>
      <c r="AH8342">
        <v>2.9552723377029801</v>
      </c>
      <c r="AI8342">
        <v>87.724590752181996</v>
      </c>
      <c r="AJ8342">
        <v>76.653866139937804</v>
      </c>
      <c r="AK8342">
        <v>3.0396964243459101</v>
      </c>
      <c r="AL8342">
        <v>91.158380728239194</v>
      </c>
      <c r="AM8342">
        <v>85.3237090004191</v>
      </c>
      <c r="AN8342">
        <v>0.99999997983448297</v>
      </c>
    </row>
    <row r="8343" spans="1:40" x14ac:dyDescent="0.25">
      <c r="A8343" t="str">
        <f>"20190312160849267"</f>
        <v>20190312160849267</v>
      </c>
      <c r="B8343" t="str">
        <f>"1552378129263550"</f>
        <v>1552378129263550</v>
      </c>
      <c r="C8343" t="s">
        <v>40</v>
      </c>
      <c r="D8343">
        <v>6.3986960000000002</v>
      </c>
      <c r="E8343">
        <v>0.51465090000000002</v>
      </c>
      <c r="F8343" t="s">
        <v>41</v>
      </c>
      <c r="G8343">
        <v>0</v>
      </c>
      <c r="H8343">
        <v>0</v>
      </c>
      <c r="I8343">
        <v>0</v>
      </c>
      <c r="J8343">
        <v>-169.1002</v>
      </c>
      <c r="K8343">
        <v>1.1090709999999999</v>
      </c>
      <c r="L8343">
        <v>142.06</v>
      </c>
      <c r="M8343">
        <v>0.9703948</v>
      </c>
      <c r="N8343">
        <v>0</v>
      </c>
      <c r="O8343">
        <v>0.24115980000000001</v>
      </c>
      <c r="P8343">
        <v>0.98618110000000003</v>
      </c>
      <c r="Q8343">
        <v>-3.2147250000000002E-2</v>
      </c>
      <c r="R8343">
        <v>0.16252249999999999</v>
      </c>
      <c r="S8343">
        <v>3.0417480000000001</v>
      </c>
      <c r="T8343">
        <v>9.6106529999999996E-2</v>
      </c>
      <c r="U8343">
        <v>4.162598E-2</v>
      </c>
      <c r="V8343">
        <v>8.0084450000000001E-2</v>
      </c>
      <c r="W8343">
        <v>-1.9092540000000002E-2</v>
      </c>
      <c r="X8343">
        <v>0.99660519999999997</v>
      </c>
      <c r="Y8343">
        <v>0.22764690000000001</v>
      </c>
      <c r="Z8343">
        <v>1.1153120000000001E-2</v>
      </c>
      <c r="AA8343">
        <v>0.97367990000000004</v>
      </c>
      <c r="AB8343">
        <v>9</v>
      </c>
      <c r="AC8343">
        <v>3.0417480000000001</v>
      </c>
      <c r="AD8343">
        <v>9.6106529999999996E-2</v>
      </c>
      <c r="AE8343">
        <v>4.162598E-2</v>
      </c>
      <c r="AF8343">
        <v>0.69252345586201303</v>
      </c>
      <c r="AG8343">
        <v>9.6106529999999996E-2</v>
      </c>
      <c r="AH8343">
        <v>2.9590420022056501</v>
      </c>
      <c r="AI8343">
        <v>88.188659174716605</v>
      </c>
      <c r="AJ8343">
        <v>76.827782321870501</v>
      </c>
      <c r="AK8343">
        <v>3.0405188328383899</v>
      </c>
      <c r="AL8343">
        <v>91.093988450444598</v>
      </c>
      <c r="AM8343">
        <v>85.405740752516394</v>
      </c>
      <c r="AN8343">
        <v>0.99999998444124605</v>
      </c>
    </row>
    <row r="8344" spans="1:40" x14ac:dyDescent="0.25">
      <c r="A8344" t="str">
        <f>"20190312160849289"</f>
        <v>20190312160849289</v>
      </c>
      <c r="B8344" t="str">
        <f>"1552378129284046"</f>
        <v>1552378129284046</v>
      </c>
      <c r="C8344" t="s">
        <v>40</v>
      </c>
      <c r="D8344">
        <v>6.2902209999999998</v>
      </c>
      <c r="E8344">
        <v>0.51899989999999996</v>
      </c>
      <c r="F8344" t="s">
        <v>47</v>
      </c>
      <c r="G8344">
        <v>-123.5205</v>
      </c>
      <c r="H8344" s="1">
        <v>-4.5218649999999999E-6</v>
      </c>
      <c r="I8344">
        <v>147.7561</v>
      </c>
      <c r="J8344">
        <v>-169.01419999999999</v>
      </c>
      <c r="K8344">
        <v>1.109097</v>
      </c>
      <c r="L8344">
        <v>142.07640000000001</v>
      </c>
      <c r="M8344">
        <v>0.97137519999999999</v>
      </c>
      <c r="N8344">
        <v>0</v>
      </c>
      <c r="O8344">
        <v>0.23718030000000001</v>
      </c>
      <c r="P8344">
        <v>0.9867821</v>
      </c>
      <c r="Q8344">
        <v>-3.2139069999999999E-2</v>
      </c>
      <c r="R8344">
        <v>0.15883429999999901</v>
      </c>
      <c r="S8344">
        <v>2.978348</v>
      </c>
      <c r="T8344">
        <v>-7.2471019999999997E-2</v>
      </c>
      <c r="U8344">
        <v>0.37220760000000003</v>
      </c>
      <c r="V8344">
        <v>7.9727069999999997E-2</v>
      </c>
      <c r="W8344">
        <v>-1.9087690000000001E-2</v>
      </c>
      <c r="X8344">
        <v>0.99663389999999996</v>
      </c>
      <c r="Y8344">
        <v>0.114802</v>
      </c>
      <c r="Z8344">
        <v>-7.0769589999999999E-3</v>
      </c>
      <c r="AA8344">
        <v>0.9933632</v>
      </c>
      <c r="AB8344">
        <v>9</v>
      </c>
      <c r="AC8344">
        <v>45.493699999999897</v>
      </c>
      <c r="AD8344">
        <v>-1.109101521865</v>
      </c>
      <c r="AE8344">
        <v>5.6796999999999898</v>
      </c>
      <c r="AF8344">
        <v>5.2704686493887198</v>
      </c>
      <c r="AG8344">
        <v>-1.109101521865</v>
      </c>
      <c r="AH8344">
        <v>45.515929492963302</v>
      </c>
      <c r="AI8344">
        <v>91.386607373243393</v>
      </c>
      <c r="AJ8344">
        <v>83.394912185810696</v>
      </c>
      <c r="AK8344">
        <v>45.8334788509273</v>
      </c>
      <c r="AL8344">
        <v>91.0937105659346</v>
      </c>
      <c r="AM8344">
        <v>85.426286784684095</v>
      </c>
      <c r="AN8344">
        <v>0.99999993811476295</v>
      </c>
    </row>
    <row r="8345" spans="1:40" x14ac:dyDescent="0.25">
      <c r="A8345" t="str">
        <f>"20190312160849311"</f>
        <v>20190312160849311</v>
      </c>
      <c r="B8345" t="str">
        <f>"1552378129303569"</f>
        <v>1552378129303569</v>
      </c>
      <c r="C8345" t="s">
        <v>40</v>
      </c>
      <c r="D8345">
        <v>6.2231350000000001</v>
      </c>
      <c r="E8345">
        <v>0.52049199999999995</v>
      </c>
      <c r="F8345" t="s">
        <v>80</v>
      </c>
      <c r="G8345">
        <v>47.161900000000003</v>
      </c>
      <c r="H8345">
        <v>-0.1</v>
      </c>
      <c r="I8345">
        <v>165.74940000000001</v>
      </c>
      <c r="J8345">
        <v>-168.93039999999999</v>
      </c>
      <c r="K8345">
        <v>1.109116</v>
      </c>
      <c r="L8345">
        <v>142.09200000000001</v>
      </c>
      <c r="M8345">
        <v>0.97229989999999999</v>
      </c>
      <c r="N8345">
        <v>0</v>
      </c>
      <c r="O8345">
        <v>0.2333615</v>
      </c>
      <c r="P8345">
        <v>0.9873596</v>
      </c>
      <c r="Q8345">
        <v>-3.2172079999999999E-2</v>
      </c>
      <c r="R8345">
        <v>0.155197</v>
      </c>
      <c r="S8345">
        <v>2.987015</v>
      </c>
      <c r="T8345">
        <v>-1.670671E-2</v>
      </c>
      <c r="U8345">
        <v>0.32710270000000002</v>
      </c>
      <c r="V8345">
        <v>7.9484219999999994E-2</v>
      </c>
      <c r="W8345">
        <v>-1.9123520000000001E-2</v>
      </c>
      <c r="X8345">
        <v>0.99665269999999995</v>
      </c>
      <c r="Y8345">
        <v>0.12613830000000001</v>
      </c>
      <c r="Z8345">
        <v>-1.639901E-3</v>
      </c>
      <c r="AA8345">
        <v>0.99201130000000004</v>
      </c>
      <c r="AB8345">
        <v>9</v>
      </c>
      <c r="AC8345">
        <v>216.09229999999999</v>
      </c>
      <c r="AD8345">
        <v>-1.2091160000000001</v>
      </c>
      <c r="AE8345">
        <v>23.657399999999999</v>
      </c>
      <c r="AF8345">
        <v>27.427091457725101</v>
      </c>
      <c r="AG8345">
        <v>-1.2091160000000001</v>
      </c>
      <c r="AH8345">
        <v>215.639480524552</v>
      </c>
      <c r="AI8345">
        <v>90.318693440512604</v>
      </c>
      <c r="AJ8345">
        <v>82.751494400815005</v>
      </c>
      <c r="AK8345">
        <v>217.38006548032499</v>
      </c>
      <c r="AL8345">
        <v>91.0957637508522</v>
      </c>
      <c r="AM8345">
        <v>85.440245202528104</v>
      </c>
      <c r="AN8345">
        <v>1.00000002733174</v>
      </c>
    </row>
    <row r="8346" spans="1:40" x14ac:dyDescent="0.25">
      <c r="A8346" t="str">
        <f>"20190312160849333"</f>
        <v>20190312160849333</v>
      </c>
      <c r="B8346" t="str">
        <f>"1552378129324062"</f>
        <v>1552378129324062</v>
      </c>
      <c r="C8346" t="s">
        <v>40</v>
      </c>
      <c r="D8346">
        <v>6.294448</v>
      </c>
      <c r="E8346">
        <v>0.52047929999999998</v>
      </c>
      <c r="F8346" t="s">
        <v>41</v>
      </c>
      <c r="G8346">
        <v>0</v>
      </c>
      <c r="H8346">
        <v>0</v>
      </c>
      <c r="I8346">
        <v>0</v>
      </c>
      <c r="J8346">
        <v>-168.84639999999999</v>
      </c>
      <c r="K8346">
        <v>1.109146</v>
      </c>
      <c r="L8346">
        <v>142.10749999999999</v>
      </c>
      <c r="M8346">
        <v>0.97319690000000003</v>
      </c>
      <c r="N8346">
        <v>0</v>
      </c>
      <c r="O8346">
        <v>0.22959289999999999</v>
      </c>
      <c r="P8346">
        <v>0.98783860000000001</v>
      </c>
      <c r="Q8346">
        <v>-3.1846880000000001E-2</v>
      </c>
      <c r="R8346">
        <v>0.1521882</v>
      </c>
      <c r="S8346">
        <v>2.9905550000000001</v>
      </c>
      <c r="T8346">
        <v>-1.1765959999999999E-4</v>
      </c>
      <c r="U8346">
        <v>0.30438229999999999</v>
      </c>
      <c r="V8346">
        <v>7.8663919999999998E-2</v>
      </c>
      <c r="W8346">
        <v>-1.879917E-2</v>
      </c>
      <c r="X8346">
        <v>0.9967239</v>
      </c>
      <c r="Y8346">
        <v>0.1298802</v>
      </c>
      <c r="Z8346" s="1">
        <v>-1.147186E-5</v>
      </c>
      <c r="AA8346">
        <v>0.99152969999999896</v>
      </c>
      <c r="AB8346">
        <v>8</v>
      </c>
      <c r="AC8346">
        <v>2.9905550000000001</v>
      </c>
      <c r="AD8346">
        <v>-1.1765959999999999E-4</v>
      </c>
      <c r="AE8346">
        <v>0.30438229999999999</v>
      </c>
      <c r="AF8346">
        <v>0.390420426293971</v>
      </c>
      <c r="AG8346">
        <v>-1.1765959999999999E-4</v>
      </c>
      <c r="AH8346">
        <v>2.9805435168141998</v>
      </c>
      <c r="AI8346">
        <v>90.002242643594997</v>
      </c>
      <c r="AJ8346">
        <v>82.537333123049095</v>
      </c>
      <c r="AK8346">
        <v>3.00600528587933</v>
      </c>
      <c r="AL8346">
        <v>91.077176577794404</v>
      </c>
      <c r="AM8346">
        <v>85.487428831352901</v>
      </c>
      <c r="AN8346">
        <v>0.99999997696683196</v>
      </c>
    </row>
    <row r="8347" spans="1:40" x14ac:dyDescent="0.25">
      <c r="A8347" t="str">
        <f>"20190312160849357"</f>
        <v>20190312160849357</v>
      </c>
      <c r="B8347" t="str">
        <f>"1552378129354317"</f>
        <v>1552378129354317</v>
      </c>
      <c r="C8347" t="s">
        <v>40</v>
      </c>
      <c r="D8347">
        <v>6.413195</v>
      </c>
      <c r="E8347">
        <v>0.52230500000000002</v>
      </c>
      <c r="F8347" t="s">
        <v>41</v>
      </c>
      <c r="G8347">
        <v>0</v>
      </c>
      <c r="H8347">
        <v>0</v>
      </c>
      <c r="I8347">
        <v>0</v>
      </c>
      <c r="J8347">
        <v>-168.76140000000001</v>
      </c>
      <c r="K8347">
        <v>1.1091869999999999</v>
      </c>
      <c r="L8347">
        <v>142.12280000000001</v>
      </c>
      <c r="M8347">
        <v>0.97407069999999996</v>
      </c>
      <c r="N8347">
        <v>0</v>
      </c>
      <c r="O8347">
        <v>0.22585730000000001</v>
      </c>
      <c r="P8347">
        <v>0.98840329999999998</v>
      </c>
      <c r="Q8347">
        <v>-3.1453210000000002E-2</v>
      </c>
      <c r="R8347">
        <v>0.14855889999999999</v>
      </c>
      <c r="S8347">
        <v>2.9915470000000002</v>
      </c>
      <c r="T8347">
        <v>3.586292E-3</v>
      </c>
      <c r="U8347">
        <v>0.29548649999999999</v>
      </c>
      <c r="V8347">
        <v>7.8506149999999997E-2</v>
      </c>
      <c r="W8347">
        <v>-1.8408339999999999E-2</v>
      </c>
      <c r="X8347">
        <v>0.99674370000000001</v>
      </c>
      <c r="Y8347">
        <v>0.1290279</v>
      </c>
      <c r="Z8347">
        <v>3.4476290000000001E-4</v>
      </c>
      <c r="AA8347">
        <v>0.99164090000000005</v>
      </c>
      <c r="AB8347">
        <v>8</v>
      </c>
      <c r="AC8347">
        <v>2.9915470000000002</v>
      </c>
      <c r="AD8347">
        <v>3.586292E-3</v>
      </c>
      <c r="AE8347">
        <v>0.29548649999999999</v>
      </c>
      <c r="AF8347">
        <v>0.38787132637232402</v>
      </c>
      <c r="AG8347">
        <v>3.586292E-3</v>
      </c>
      <c r="AH8347">
        <v>2.9809722971110801</v>
      </c>
      <c r="AI8347">
        <v>89.931645897849194</v>
      </c>
      <c r="AJ8347">
        <v>82.5865684636439</v>
      </c>
      <c r="AK8347">
        <v>3.0061026036141598</v>
      </c>
      <c r="AL8347">
        <v>91.054779721843303</v>
      </c>
      <c r="AM8347">
        <v>85.496531163308802</v>
      </c>
      <c r="AN8347">
        <v>1.0000000430295299</v>
      </c>
    </row>
    <row r="8348" spans="1:40" x14ac:dyDescent="0.25">
      <c r="A8348" t="str">
        <f>"20190312160849379"</f>
        <v>20190312160849379</v>
      </c>
      <c r="B8348" t="str">
        <f>"1552378129373841"</f>
        <v>1552378129373841</v>
      </c>
      <c r="C8348" t="s">
        <v>40</v>
      </c>
      <c r="D8348">
        <v>6.2844699999999998</v>
      </c>
      <c r="E8348">
        <v>0.53719629999999996</v>
      </c>
      <c r="F8348" t="s">
        <v>41</v>
      </c>
      <c r="G8348">
        <v>0</v>
      </c>
      <c r="H8348">
        <v>0</v>
      </c>
      <c r="I8348">
        <v>0</v>
      </c>
      <c r="J8348">
        <v>-168.67619999999999</v>
      </c>
      <c r="K8348">
        <v>1.1092139999999999</v>
      </c>
      <c r="L8348">
        <v>142.1379</v>
      </c>
      <c r="M8348">
        <v>0.97491530000000004</v>
      </c>
      <c r="N8348">
        <v>0</v>
      </c>
      <c r="O8348">
        <v>0.22218289999999999</v>
      </c>
      <c r="P8348">
        <v>0.98894300000000002</v>
      </c>
      <c r="Q8348">
        <v>-3.1088020000000001E-2</v>
      </c>
      <c r="R8348">
        <v>0.14500060000000001</v>
      </c>
      <c r="S8348">
        <v>2.9945369999999998</v>
      </c>
      <c r="T8348">
        <v>-2.157927E-3</v>
      </c>
      <c r="U8348">
        <v>0.27003480000000002</v>
      </c>
      <c r="V8348">
        <v>7.8339619999999999E-2</v>
      </c>
      <c r="W8348">
        <v>-1.8046340000000001E-2</v>
      </c>
      <c r="X8348">
        <v>0.99676339999999997</v>
      </c>
      <c r="Y8348">
        <v>0.1337381</v>
      </c>
      <c r="Z8348">
        <v>-2.0648039999999999E-4</v>
      </c>
      <c r="AA8348">
        <v>0.99101669999999997</v>
      </c>
      <c r="AB8348">
        <v>8</v>
      </c>
      <c r="AC8348">
        <v>2.9945369999999998</v>
      </c>
      <c r="AD8348">
        <v>-2.157927E-3</v>
      </c>
      <c r="AE8348">
        <v>0.27003480000000002</v>
      </c>
      <c r="AF8348">
        <v>0.40210881898078499</v>
      </c>
      <c r="AG8348">
        <v>-2.157927E-3</v>
      </c>
      <c r="AH8348">
        <v>2.9796761270291099</v>
      </c>
      <c r="AI8348">
        <v>90.041121714777205</v>
      </c>
      <c r="AJ8348">
        <v>82.314336949871205</v>
      </c>
      <c r="AK8348">
        <v>3.0066868777673301</v>
      </c>
      <c r="AL8348">
        <v>91.034035226882594</v>
      </c>
      <c r="AM8348">
        <v>85.506133361534694</v>
      </c>
      <c r="AN8348">
        <v>1.00000002101434</v>
      </c>
    </row>
    <row r="8349" spans="1:40" x14ac:dyDescent="0.25">
      <c r="A8349" t="str">
        <f>"20190312160849401"</f>
        <v>20190312160849401</v>
      </c>
      <c r="B8349" t="str">
        <f>"1552378129394334"</f>
        <v>1552378129394334</v>
      </c>
      <c r="C8349" t="s">
        <v>40</v>
      </c>
      <c r="D8349">
        <v>6.2776209999999999</v>
      </c>
      <c r="E8349">
        <v>0.51831190000000005</v>
      </c>
      <c r="F8349" t="s">
        <v>47</v>
      </c>
      <c r="G8349">
        <v>-144.898</v>
      </c>
      <c r="H8349" s="1">
        <v>-3.1392649999999998E-6</v>
      </c>
      <c r="I8349">
        <v>143.255</v>
      </c>
      <c r="J8349">
        <v>-168.5915</v>
      </c>
      <c r="K8349">
        <v>1.109237</v>
      </c>
      <c r="L8349">
        <v>142.15270000000001</v>
      </c>
      <c r="M8349">
        <v>0.97572680000000001</v>
      </c>
      <c r="N8349">
        <v>0</v>
      </c>
      <c r="O8349">
        <v>0.21859310000000001</v>
      </c>
      <c r="P8349">
        <v>0.9894695</v>
      </c>
      <c r="Q8349">
        <v>-3.1615360000000002E-2</v>
      </c>
      <c r="R8349">
        <v>0.14124629999999999</v>
      </c>
      <c r="S8349">
        <v>3.0084080000000002</v>
      </c>
      <c r="T8349">
        <v>-0.140337299999999</v>
      </c>
      <c r="U8349">
        <v>0.1413422</v>
      </c>
      <c r="V8349">
        <v>7.8450439999999996E-2</v>
      </c>
      <c r="W8349">
        <v>-1.8578999999999998E-2</v>
      </c>
      <c r="X8349">
        <v>0.99674490000000004</v>
      </c>
      <c r="Y8349">
        <v>0.1721558</v>
      </c>
      <c r="Z8349">
        <v>-1.4122340000000001E-2</v>
      </c>
      <c r="AA8349">
        <v>0.98496850000000002</v>
      </c>
      <c r="AB8349">
        <v>8</v>
      </c>
      <c r="AC8349">
        <v>23.6935</v>
      </c>
      <c r="AD8349">
        <v>-1.109240139265</v>
      </c>
      <c r="AE8349">
        <v>1.1022999999999801</v>
      </c>
      <c r="AF8349">
        <v>4.0950935102184296</v>
      </c>
      <c r="AG8349">
        <v>-1.109240139265</v>
      </c>
      <c r="AH8349">
        <v>23.3103933615294</v>
      </c>
      <c r="AI8349">
        <v>92.683370169887596</v>
      </c>
      <c r="AJ8349">
        <v>80.036137616923995</v>
      </c>
      <c r="AK8349">
        <v>23.693345969137098</v>
      </c>
      <c r="AL8349">
        <v>91.064559512810902</v>
      </c>
      <c r="AM8349">
        <v>85.499719205105293</v>
      </c>
      <c r="AN8349">
        <v>1.0000000232266</v>
      </c>
    </row>
    <row r="8350" spans="1:40" x14ac:dyDescent="0.25">
      <c r="A8350" t="str">
        <f>"20190312160849423"</f>
        <v>20190312160849423</v>
      </c>
      <c r="B8350" t="str">
        <f>"1552378129413854"</f>
        <v>1552378129413854</v>
      </c>
      <c r="C8350" t="s">
        <v>40</v>
      </c>
      <c r="D8350">
        <v>6.2818949999999996</v>
      </c>
      <c r="E8350">
        <v>0.51713069999999906</v>
      </c>
      <c r="F8350" t="s">
        <v>41</v>
      </c>
      <c r="G8350">
        <v>0</v>
      </c>
      <c r="H8350">
        <v>0</v>
      </c>
      <c r="I8350">
        <v>0</v>
      </c>
      <c r="J8350">
        <v>-168.51009999999999</v>
      </c>
      <c r="K8350">
        <v>1.109254</v>
      </c>
      <c r="L8350">
        <v>142.16669999999999</v>
      </c>
      <c r="M8350">
        <v>0.9764796</v>
      </c>
      <c r="N8350">
        <v>0</v>
      </c>
      <c r="O8350">
        <v>0.2152058</v>
      </c>
      <c r="P8350">
        <v>0.98992429999999998</v>
      </c>
      <c r="Q8350">
        <v>-3.1353770000000003E-2</v>
      </c>
      <c r="R8350">
        <v>0.13808309999999999</v>
      </c>
      <c r="S8350">
        <v>2.992111</v>
      </c>
      <c r="T8350">
        <v>1.7296080000000001E-3</v>
      </c>
      <c r="U8350">
        <v>0.27931209999999901</v>
      </c>
      <c r="V8350">
        <v>7.8180349999999996E-2</v>
      </c>
      <c r="W8350">
        <v>-1.8321770000000001E-2</v>
      </c>
      <c r="X8350">
        <v>0.99677090000000002</v>
      </c>
      <c r="Y8350">
        <v>0.1235256</v>
      </c>
      <c r="Z8350">
        <v>1.5872139999999999E-4</v>
      </c>
      <c r="AA8350">
        <v>0.99234140000000004</v>
      </c>
      <c r="AB8350">
        <v>8</v>
      </c>
      <c r="AC8350">
        <v>2.992111</v>
      </c>
      <c r="AD8350">
        <v>1.7296080000000001E-3</v>
      </c>
      <c r="AE8350">
        <v>0.27931209999999901</v>
      </c>
      <c r="AF8350">
        <v>0.37120925751749501</v>
      </c>
      <c r="AG8350">
        <v>1.7296080000000001E-3</v>
      </c>
      <c r="AH8350">
        <v>2.9821034840488001</v>
      </c>
      <c r="AI8350">
        <v>89.967023188601402</v>
      </c>
      <c r="AJ8350">
        <v>82.904377425982204</v>
      </c>
      <c r="AK8350">
        <v>3.0051190482219701</v>
      </c>
      <c r="AL8350">
        <v>91.0498187921621</v>
      </c>
      <c r="AM8350">
        <v>85.515266008167998</v>
      </c>
      <c r="AN8350">
        <v>1.0000000407344301</v>
      </c>
    </row>
    <row r="8351" spans="1:40" x14ac:dyDescent="0.25">
      <c r="A8351" t="str">
        <f>"20190312160849446"</f>
        <v>20190312160849446</v>
      </c>
      <c r="B8351" t="str">
        <f>"1552378129434349"</f>
        <v>1552378129434349</v>
      </c>
      <c r="C8351" t="s">
        <v>40</v>
      </c>
      <c r="D8351">
        <v>5.7151779999999999</v>
      </c>
      <c r="E8351">
        <v>0.51756639999999998</v>
      </c>
      <c r="F8351" t="s">
        <v>80</v>
      </c>
      <c r="G8351">
        <v>322.55790000000002</v>
      </c>
      <c r="H8351">
        <v>-0.1</v>
      </c>
      <c r="I8351">
        <v>187.97110000000001</v>
      </c>
      <c r="J8351">
        <v>-168.42590000000001</v>
      </c>
      <c r="K8351">
        <v>1.10927</v>
      </c>
      <c r="L8351">
        <v>142.18100000000001</v>
      </c>
      <c r="M8351">
        <v>0.97723179999999998</v>
      </c>
      <c r="N8351">
        <v>0</v>
      </c>
      <c r="O8351">
        <v>0.21176429999999999</v>
      </c>
      <c r="P8351">
        <v>0.99040589999999995</v>
      </c>
      <c r="Q8351">
        <v>-3.1160050000000002E-2</v>
      </c>
      <c r="R8351">
        <v>0.13463</v>
      </c>
      <c r="S8351">
        <v>2.9913940000000001</v>
      </c>
      <c r="T8351">
        <v>-7.3662999999999897E-3</v>
      </c>
      <c r="U8351">
        <v>0.2790222</v>
      </c>
      <c r="V8351">
        <v>7.8147229999999998E-2</v>
      </c>
      <c r="W8351">
        <v>-1.8133110000000001E-2</v>
      </c>
      <c r="X8351">
        <v>0.99677689999999997</v>
      </c>
      <c r="Y8351">
        <v>0.12010120000000001</v>
      </c>
      <c r="Z8351">
        <v>-6.6367770000000002E-4</v>
      </c>
      <c r="AA8351">
        <v>0.99276140000000002</v>
      </c>
      <c r="AB8351">
        <v>8</v>
      </c>
      <c r="AC8351">
        <v>490.98379999999997</v>
      </c>
      <c r="AD8351">
        <v>-1.2092700000000001</v>
      </c>
      <c r="AE8351">
        <v>45.790100000000002</v>
      </c>
      <c r="AF8351">
        <v>59.230092698019597</v>
      </c>
      <c r="AG8351">
        <v>-1.2092700000000001</v>
      </c>
      <c r="AH8351">
        <v>489.54131245273902</v>
      </c>
      <c r="AI8351">
        <v>90.140507645143899</v>
      </c>
      <c r="AJ8351">
        <v>83.101259103087003</v>
      </c>
      <c r="AK8351">
        <v>493.11293109479402</v>
      </c>
      <c r="AL8351">
        <v>91.0390076234834</v>
      </c>
      <c r="AM8351">
        <v>85.5171850306793</v>
      </c>
      <c r="AN8351">
        <v>0.99999999380427695</v>
      </c>
    </row>
    <row r="8352" spans="1:40" x14ac:dyDescent="0.25">
      <c r="A8352" t="str">
        <f>"20190312160849468"</f>
        <v>20190312160849468</v>
      </c>
      <c r="B8352" t="str">
        <f>"1552378129463630"</f>
        <v>1552378129463630</v>
      </c>
      <c r="C8352" t="s">
        <v>40</v>
      </c>
      <c r="D8352">
        <v>6.2831039999999998</v>
      </c>
      <c r="E8352">
        <v>0.51660720000000004</v>
      </c>
      <c r="F8352" t="s">
        <v>80</v>
      </c>
      <c r="G8352">
        <v>152.84460000000001</v>
      </c>
      <c r="H8352">
        <v>-0.1</v>
      </c>
      <c r="I8352">
        <v>170.63759999999999</v>
      </c>
      <c r="J8352">
        <v>-168.3434</v>
      </c>
      <c r="K8352">
        <v>1.1092919999999999</v>
      </c>
      <c r="L8352">
        <v>142.19479999999999</v>
      </c>
      <c r="M8352">
        <v>0.97794219999999998</v>
      </c>
      <c r="N8352">
        <v>0</v>
      </c>
      <c r="O8352">
        <v>0.2084598</v>
      </c>
      <c r="P8352">
        <v>0.99080559999999995</v>
      </c>
      <c r="Q8352">
        <v>-3.0113150000000002E-2</v>
      </c>
      <c r="R8352">
        <v>0.13190070000000001</v>
      </c>
      <c r="S8352">
        <v>2.992661</v>
      </c>
      <c r="T8352">
        <v>-1.1264440000000001E-2</v>
      </c>
      <c r="U8352">
        <v>0.26507570000000003</v>
      </c>
      <c r="V8352">
        <v>7.7533480000000002E-2</v>
      </c>
      <c r="W8352">
        <v>-1.7088809999999999E-2</v>
      </c>
      <c r="X8352">
        <v>0.99684329999999999</v>
      </c>
      <c r="Y8352">
        <v>0.1213714</v>
      </c>
      <c r="Z8352">
        <v>-1.00501E-3</v>
      </c>
      <c r="AA8352">
        <v>0.99260660000000001</v>
      </c>
      <c r="AB8352">
        <v>8</v>
      </c>
      <c r="AC8352">
        <v>321.18799999999999</v>
      </c>
      <c r="AD8352">
        <v>-1.209292</v>
      </c>
      <c r="AE8352">
        <v>28.442799999999998</v>
      </c>
      <c r="AF8352">
        <v>39.142218345801297</v>
      </c>
      <c r="AG8352">
        <v>-1.209292</v>
      </c>
      <c r="AH8352">
        <v>320.05575490253699</v>
      </c>
      <c r="AI8352">
        <v>90.214883144161405</v>
      </c>
      <c r="AJ8352">
        <v>83.027458463980594</v>
      </c>
      <c r="AK8352">
        <v>322.44264899421199</v>
      </c>
      <c r="AL8352">
        <v>90.979164334973404</v>
      </c>
      <c r="AM8352">
        <v>85.552545258916993</v>
      </c>
      <c r="AN8352">
        <v>1.0000000163514999</v>
      </c>
    </row>
    <row r="8353" spans="1:40" x14ac:dyDescent="0.25">
      <c r="A8353" t="str">
        <f>"20190312160849490"</f>
        <v>20190312160849490</v>
      </c>
      <c r="B8353" t="str">
        <f>"1552378129484126"</f>
        <v>1552378129484126</v>
      </c>
      <c r="C8353" t="s">
        <v>40</v>
      </c>
      <c r="D8353">
        <v>6.3347259999999999</v>
      </c>
      <c r="E8353">
        <v>0.51607590000000003</v>
      </c>
      <c r="F8353" t="s">
        <v>80</v>
      </c>
      <c r="G8353">
        <v>147.88890000000001</v>
      </c>
      <c r="H8353">
        <v>-0.1</v>
      </c>
      <c r="I8353">
        <v>170.1523</v>
      </c>
      <c r="J8353">
        <v>-168.2561</v>
      </c>
      <c r="K8353">
        <v>1.109318</v>
      </c>
      <c r="L8353">
        <v>142.20920000000001</v>
      </c>
      <c r="M8353">
        <v>0.97866430000000004</v>
      </c>
      <c r="N8353">
        <v>0</v>
      </c>
      <c r="O8353">
        <v>0.20504349999999999</v>
      </c>
      <c r="P8353">
        <v>0.99115850000000005</v>
      </c>
      <c r="Q8353">
        <v>-2.9957370000000001E-2</v>
      </c>
      <c r="R8353">
        <v>0.12925699999999901</v>
      </c>
      <c r="S8353">
        <v>2.9922789999999999</v>
      </c>
      <c r="T8353">
        <v>-1.144266E-2</v>
      </c>
      <c r="U8353">
        <v>0.26454159999999999</v>
      </c>
      <c r="V8353">
        <v>7.6714309999999994E-2</v>
      </c>
      <c r="W8353">
        <v>-1.6934830000000001E-2</v>
      </c>
      <c r="X8353">
        <v>0.9969093</v>
      </c>
      <c r="Y8353">
        <v>0.1180691</v>
      </c>
      <c r="Z8353">
        <v>-1.0019849999999999E-3</v>
      </c>
      <c r="AA8353">
        <v>0.99300489999999997</v>
      </c>
      <c r="AB8353">
        <v>8</v>
      </c>
      <c r="AC8353">
        <v>316.14499999999998</v>
      </c>
      <c r="AD8353">
        <v>-1.2093179999999999</v>
      </c>
      <c r="AE8353">
        <v>27.943099999999902</v>
      </c>
      <c r="AF8353">
        <v>37.479267477096499</v>
      </c>
      <c r="AG8353">
        <v>-1.2093179999999999</v>
      </c>
      <c r="AH8353">
        <v>315.152118088451</v>
      </c>
      <c r="AI8353">
        <v>90.218318841166194</v>
      </c>
      <c r="AJ8353">
        <v>83.217988427003306</v>
      </c>
      <c r="AK8353">
        <v>317.37519669356999</v>
      </c>
      <c r="AL8353">
        <v>90.970340657221598</v>
      </c>
      <c r="AM8353">
        <v>85.599638910665306</v>
      </c>
      <c r="AN8353">
        <v>1.0000000131261899</v>
      </c>
    </row>
    <row r="8354" spans="1:40" x14ac:dyDescent="0.25">
      <c r="A8354" t="str">
        <f>"20190312160849513"</f>
        <v>20190312160849513</v>
      </c>
      <c r="B8354" t="str">
        <f>"1552378129503646"</f>
        <v>1552378129503646</v>
      </c>
      <c r="C8354" t="s">
        <v>40</v>
      </c>
      <c r="D8354">
        <v>6.2840930000000004</v>
      </c>
      <c r="E8354">
        <v>0.51553909999999903</v>
      </c>
      <c r="F8354" t="s">
        <v>80</v>
      </c>
      <c r="G8354">
        <v>111.0895</v>
      </c>
      <c r="H8354">
        <v>-0.1</v>
      </c>
      <c r="I8354">
        <v>166.55170000000001</v>
      </c>
      <c r="J8354">
        <v>-168.17609999999999</v>
      </c>
      <c r="K8354">
        <v>1.109348</v>
      </c>
      <c r="L8354">
        <v>142.22210000000001</v>
      </c>
      <c r="M8354">
        <v>0.97930039999999996</v>
      </c>
      <c r="N8354">
        <v>0</v>
      </c>
      <c r="O8354">
        <v>0.20198440000000001</v>
      </c>
      <c r="P8354">
        <v>0.99149679999999996</v>
      </c>
      <c r="Q8354">
        <v>-3.044819E-2</v>
      </c>
      <c r="R8354">
        <v>0.1265201</v>
      </c>
      <c r="S8354">
        <v>2.9923549999999999</v>
      </c>
      <c r="T8354">
        <v>-1.2954240000000001E-2</v>
      </c>
      <c r="U8354">
        <v>0.26075739999999997</v>
      </c>
      <c r="V8354">
        <v>7.6349120000000006E-2</v>
      </c>
      <c r="W8354">
        <v>-1.7427809999999998E-2</v>
      </c>
      <c r="X8354">
        <v>0.99692879999999995</v>
      </c>
      <c r="Y8354">
        <v>0.11621380000000001</v>
      </c>
      <c r="Z8354">
        <v>-1.117451E-3</v>
      </c>
      <c r="AA8354">
        <v>0.99322359999999998</v>
      </c>
      <c r="AB8354">
        <v>8</v>
      </c>
      <c r="AC8354">
        <v>279.26560000000001</v>
      </c>
      <c r="AD8354">
        <v>-1.2093479999999901</v>
      </c>
      <c r="AE8354">
        <v>24.329599999999999</v>
      </c>
      <c r="AF8354">
        <v>32.583520329857897</v>
      </c>
      <c r="AG8354">
        <v>-1.2093479999999901</v>
      </c>
      <c r="AH8354">
        <v>278.41802028410598</v>
      </c>
      <c r="AI8354">
        <v>90.247183780452104</v>
      </c>
      <c r="AJ8354">
        <v>83.324985227063806</v>
      </c>
      <c r="AK8354">
        <v>280.32078470672201</v>
      </c>
      <c r="AL8354">
        <v>90.998590539072197</v>
      </c>
      <c r="AM8354">
        <v>85.620589984186594</v>
      </c>
      <c r="AN8354">
        <v>0.99999997447780398</v>
      </c>
    </row>
    <row r="8355" spans="1:40" x14ac:dyDescent="0.25">
      <c r="A8355" t="str">
        <f>"20190312160849535"</f>
        <v>20190312160849535</v>
      </c>
      <c r="B8355" t="str">
        <f>"1552378129524142"</f>
        <v>1552378129524142</v>
      </c>
      <c r="C8355" t="s">
        <v>40</v>
      </c>
      <c r="D8355">
        <v>6.3598699999999999</v>
      </c>
      <c r="E8355">
        <v>0.51484920000000001</v>
      </c>
      <c r="F8355" t="s">
        <v>80</v>
      </c>
      <c r="G8355">
        <v>60.265050000000002</v>
      </c>
      <c r="H8355">
        <v>-0.1</v>
      </c>
      <c r="I8355">
        <v>161.81440000000001</v>
      </c>
      <c r="J8355">
        <v>-168.09460000000001</v>
      </c>
      <c r="K8355">
        <v>1.109383</v>
      </c>
      <c r="L8355">
        <v>142.23519999999999</v>
      </c>
      <c r="M8355">
        <v>0.97992190000000001</v>
      </c>
      <c r="N8355">
        <v>0</v>
      </c>
      <c r="O8355">
        <v>0.19894800000000001</v>
      </c>
      <c r="P8355">
        <v>0.99186010000000002</v>
      </c>
      <c r="Q8355">
        <v>-3.067684E-2</v>
      </c>
      <c r="R8355">
        <v>0.1235826</v>
      </c>
      <c r="S8355">
        <v>2.9925079999999999</v>
      </c>
      <c r="T8355">
        <v>-1.5842080000000001E-2</v>
      </c>
      <c r="U8355">
        <v>0.25665280000000001</v>
      </c>
      <c r="V8355">
        <v>7.6211790000000001E-2</v>
      </c>
      <c r="W8355">
        <v>-1.7658790000000001E-2</v>
      </c>
      <c r="X8355">
        <v>0.99693520000000002</v>
      </c>
      <c r="Y8355">
        <v>0.1144902</v>
      </c>
      <c r="Z8355">
        <v>-1.3463240000000001E-3</v>
      </c>
      <c r="AA8355">
        <v>0.99342350000000001</v>
      </c>
      <c r="AB8355">
        <v>8</v>
      </c>
      <c r="AC8355">
        <v>228.35964999999999</v>
      </c>
      <c r="AD8355">
        <v>-1.2093830000000001</v>
      </c>
      <c r="AE8355">
        <v>19.5792</v>
      </c>
      <c r="AF8355">
        <v>26.247145429179799</v>
      </c>
      <c r="AG8355">
        <v>-1.2093830000000001</v>
      </c>
      <c r="AH8355">
        <v>227.68319456047601</v>
      </c>
      <c r="AI8355">
        <v>90.302332444770798</v>
      </c>
      <c r="AJ8355">
        <v>83.424013705227495</v>
      </c>
      <c r="AK8355">
        <v>229.194267676321</v>
      </c>
      <c r="AL8355">
        <v>91.011826799178607</v>
      </c>
      <c r="AM8355">
        <v>85.628464669195907</v>
      </c>
      <c r="AN8355">
        <v>0.999999931399151</v>
      </c>
    </row>
    <row r="8356" spans="1:40" x14ac:dyDescent="0.25">
      <c r="A8356" t="str">
        <f>"20190312160849557"</f>
        <v>20190312160849557</v>
      </c>
      <c r="B8356" t="str">
        <f>"1552378129543662"</f>
        <v>1552378129543662</v>
      </c>
      <c r="C8356" t="s">
        <v>40</v>
      </c>
      <c r="D8356">
        <v>6.3977199999999996</v>
      </c>
      <c r="E8356">
        <v>0.51438339999999905</v>
      </c>
      <c r="F8356" t="s">
        <v>80</v>
      </c>
      <c r="G8356">
        <v>35.280790000000003</v>
      </c>
      <c r="H8356">
        <v>-0.1</v>
      </c>
      <c r="I8356">
        <v>159.44630000000001</v>
      </c>
      <c r="J8356">
        <v>-168.01249999999999</v>
      </c>
      <c r="K8356">
        <v>1.109415</v>
      </c>
      <c r="L8356">
        <v>142.24809999999999</v>
      </c>
      <c r="M8356">
        <v>0.98052079999999997</v>
      </c>
      <c r="N8356">
        <v>0</v>
      </c>
      <c r="O8356">
        <v>0.19597510000000001</v>
      </c>
      <c r="P8356">
        <v>0.99222279999999996</v>
      </c>
      <c r="Q8356">
        <v>-3.0309289999999999E-2</v>
      </c>
      <c r="R8356">
        <v>0.1207297</v>
      </c>
      <c r="S8356">
        <v>2.9925229999999998</v>
      </c>
      <c r="T8356">
        <v>-1.7795209999999999E-2</v>
      </c>
      <c r="U8356">
        <v>0.25325009999999998</v>
      </c>
      <c r="V8356">
        <v>7.6059210000000002E-2</v>
      </c>
      <c r="W8356">
        <v>-1.7293320000000001E-2</v>
      </c>
      <c r="X8356">
        <v>0.99695330000000004</v>
      </c>
      <c r="Y8356">
        <v>0.1125978</v>
      </c>
      <c r="Z8356">
        <v>-1.4894779999999901E-3</v>
      </c>
      <c r="AA8356">
        <v>0.99363950000000001</v>
      </c>
      <c r="AB8356">
        <v>8</v>
      </c>
      <c r="AC8356">
        <v>203.29329000000001</v>
      </c>
      <c r="AD8356">
        <v>-1.2094149999999999</v>
      </c>
      <c r="AE8356">
        <v>17.1982</v>
      </c>
      <c r="AF8356">
        <v>22.978407124140599</v>
      </c>
      <c r="AG8356">
        <v>-1.2094149999999999</v>
      </c>
      <c r="AH8356">
        <v>202.714102699363</v>
      </c>
      <c r="AI8356">
        <v>90.339653867573503</v>
      </c>
      <c r="AJ8356">
        <v>83.532911999340797</v>
      </c>
      <c r="AK8356">
        <v>204.01587514655</v>
      </c>
      <c r="AL8356">
        <v>90.990883670108502</v>
      </c>
      <c r="AM8356">
        <v>85.637261789807596</v>
      </c>
      <c r="AN8356">
        <v>0.99999997236166804</v>
      </c>
    </row>
    <row r="8357" spans="1:40" x14ac:dyDescent="0.25">
      <c r="A8357" t="str">
        <f>"20190312160849580"</f>
        <v>20190312160849580</v>
      </c>
      <c r="B8357" t="str">
        <f>"1552378129573918"</f>
        <v>1552378129573918</v>
      </c>
      <c r="C8357" t="s">
        <v>40</v>
      </c>
      <c r="D8357">
        <v>6.1802900000000003</v>
      </c>
      <c r="E8357">
        <v>0.51359690000000002</v>
      </c>
      <c r="F8357" t="s">
        <v>80</v>
      </c>
      <c r="G8357">
        <v>31.80716</v>
      </c>
      <c r="H8357">
        <v>-0.1</v>
      </c>
      <c r="I8357">
        <v>158.82910000000001</v>
      </c>
      <c r="J8357">
        <v>-167.9282</v>
      </c>
      <c r="K8357">
        <v>1.109437</v>
      </c>
      <c r="L8357">
        <v>142.26130000000001</v>
      </c>
      <c r="M8357">
        <v>0.98111130000000002</v>
      </c>
      <c r="N8357">
        <v>0</v>
      </c>
      <c r="O8357">
        <v>0.192997</v>
      </c>
      <c r="P8357">
        <v>0.99257359999999994</v>
      </c>
      <c r="Q8357">
        <v>-3.051893E-2</v>
      </c>
      <c r="R8357">
        <v>0.11775579999999999</v>
      </c>
      <c r="S8357">
        <v>2.9927519999999999</v>
      </c>
      <c r="T8357">
        <v>-1.8113730000000001E-2</v>
      </c>
      <c r="U8357">
        <v>0.2483368</v>
      </c>
      <c r="V8357">
        <v>7.6019299999999998E-2</v>
      </c>
      <c r="W8357">
        <v>-1.75065999999999E-2</v>
      </c>
      <c r="X8357">
        <v>0.99695270000000002</v>
      </c>
      <c r="Y8357">
        <v>0.1112069</v>
      </c>
      <c r="Z8357">
        <v>-1.4943129999999999E-3</v>
      </c>
      <c r="AA8357">
        <v>0.99379620000000002</v>
      </c>
      <c r="AB8357">
        <v>8</v>
      </c>
      <c r="AC8357">
        <v>199.73535999999999</v>
      </c>
      <c r="AD8357">
        <v>-1.2094370000000001</v>
      </c>
      <c r="AE8357">
        <v>16.567799999999998</v>
      </c>
      <c r="AF8357">
        <v>22.294583750330801</v>
      </c>
      <c r="AG8357">
        <v>-1.2094370000000001</v>
      </c>
      <c r="AH8357">
        <v>199.170108828216</v>
      </c>
      <c r="AI8357">
        <v>90.345758212873804</v>
      </c>
      <c r="AJ8357">
        <v>83.613047101991</v>
      </c>
      <c r="AK8357">
        <v>200.417672506945</v>
      </c>
      <c r="AL8357">
        <v>91.003105486190293</v>
      </c>
      <c r="AM8357">
        <v>85.639539572426202</v>
      </c>
      <c r="AN8357">
        <v>1.00000005052666</v>
      </c>
    </row>
    <row r="8358" spans="1:40" x14ac:dyDescent="0.25">
      <c r="A8358" t="str">
        <f>"20190312160849602"</f>
        <v>20190312160849602</v>
      </c>
      <c r="B8358" t="str">
        <f>"1552378129593442"</f>
        <v>1552378129593442</v>
      </c>
      <c r="C8358" t="s">
        <v>40</v>
      </c>
      <c r="D8358">
        <v>6.2468050000000002</v>
      </c>
      <c r="E8358">
        <v>0.51335600000000003</v>
      </c>
      <c r="F8358" t="s">
        <v>80</v>
      </c>
      <c r="G8358">
        <v>13.5842299999999</v>
      </c>
      <c r="H8358">
        <v>-0.1</v>
      </c>
      <c r="I8358">
        <v>157.15770000000001</v>
      </c>
      <c r="J8358">
        <v>-167.8486</v>
      </c>
      <c r="K8358">
        <v>1.109448</v>
      </c>
      <c r="L8358">
        <v>142.27359999999999</v>
      </c>
      <c r="M8358">
        <v>0.98164799999999997</v>
      </c>
      <c r="N8358">
        <v>0</v>
      </c>
      <c r="O8358">
        <v>0.1902489</v>
      </c>
      <c r="P8358">
        <v>0.99288410000000005</v>
      </c>
      <c r="Q8358">
        <v>-3.1083739999999999E-2</v>
      </c>
      <c r="R8358">
        <v>0.11495470000000001</v>
      </c>
      <c r="S8358">
        <v>2.9926910000000002</v>
      </c>
      <c r="T8358">
        <v>-1.9940610000000001E-2</v>
      </c>
      <c r="U8358">
        <v>0.2456055</v>
      </c>
      <c r="V8358">
        <v>7.6037320000000005E-2</v>
      </c>
      <c r="W8358">
        <v>-1.8075919999999999E-2</v>
      </c>
      <c r="X8358">
        <v>0.99694110000000002</v>
      </c>
      <c r="Y8358">
        <v>0.109322</v>
      </c>
      <c r="Z8358">
        <v>-1.6209239999999999E-3</v>
      </c>
      <c r="AA8358">
        <v>0.99400509999999997</v>
      </c>
      <c r="AB8358">
        <v>8</v>
      </c>
      <c r="AC8358">
        <v>181.43283</v>
      </c>
      <c r="AD8358">
        <v>-1.2094479999999901</v>
      </c>
      <c r="AE8358">
        <v>14.8841</v>
      </c>
      <c r="AF8358">
        <v>19.907288384497502</v>
      </c>
      <c r="AG8358">
        <v>-1.2094479999999901</v>
      </c>
      <c r="AH8358">
        <v>180.94248469763099</v>
      </c>
      <c r="AI8358">
        <v>90.380671389625107</v>
      </c>
      <c r="AJ8358">
        <v>83.721570480319102</v>
      </c>
      <c r="AK8358">
        <v>182.03830823164799</v>
      </c>
      <c r="AL8358">
        <v>91.035730349915895</v>
      </c>
      <c r="AM8358">
        <v>85.638459381977498</v>
      </c>
      <c r="AN8358">
        <v>0.99999998489291897</v>
      </c>
    </row>
    <row r="8359" spans="1:40" x14ac:dyDescent="0.25">
      <c r="A8359" t="str">
        <f>"20190312160849624"</f>
        <v>20190312160849624</v>
      </c>
      <c r="B8359" t="str">
        <f>"1552378129613934"</f>
        <v>1552378129613934</v>
      </c>
      <c r="C8359" t="s">
        <v>40</v>
      </c>
      <c r="D8359">
        <v>6.3719070000000002</v>
      </c>
      <c r="E8359">
        <v>0.51193370000000005</v>
      </c>
      <c r="F8359" t="s">
        <v>80</v>
      </c>
      <c r="G8359">
        <v>-6.3766170000000004</v>
      </c>
      <c r="H8359">
        <v>-0.1</v>
      </c>
      <c r="I8359">
        <v>155.17019999999999</v>
      </c>
      <c r="J8359">
        <v>-167.7679</v>
      </c>
      <c r="K8359">
        <v>1.109456</v>
      </c>
      <c r="L8359">
        <v>142.2859</v>
      </c>
      <c r="M8359">
        <v>0.98217140000000003</v>
      </c>
      <c r="N8359">
        <v>0</v>
      </c>
      <c r="O8359">
        <v>0.187529</v>
      </c>
      <c r="P8359">
        <v>0.99315169999999997</v>
      </c>
      <c r="Q8359">
        <v>-3.1971260000000001E-2</v>
      </c>
      <c r="R8359">
        <v>0.1123734</v>
      </c>
      <c r="S8359">
        <v>2.993134</v>
      </c>
      <c r="T8359">
        <v>-2.2418980000000002E-2</v>
      </c>
      <c r="U8359">
        <v>0.23905940000000001</v>
      </c>
      <c r="V8359">
        <v>7.5861419999999999E-2</v>
      </c>
      <c r="W8359">
        <v>-1.8967749999999999E-2</v>
      </c>
      <c r="X8359">
        <v>0.99693790000000004</v>
      </c>
      <c r="Y8359">
        <v>0.1087386</v>
      </c>
      <c r="Z8359">
        <v>-1.800177E-3</v>
      </c>
      <c r="AA8359">
        <v>0.99406870000000003</v>
      </c>
      <c r="AB8359">
        <v>8</v>
      </c>
      <c r="AC8359">
        <v>161.39128299999999</v>
      </c>
      <c r="AD8359">
        <v>-1.2094559999999901</v>
      </c>
      <c r="AE8359">
        <v>12.8842999999999</v>
      </c>
      <c r="AF8359">
        <v>17.611488791957299</v>
      </c>
      <c r="AG8359">
        <v>-1.2094559999999901</v>
      </c>
      <c r="AH8359">
        <v>160.934960635164</v>
      </c>
      <c r="AI8359">
        <v>90.428025105581</v>
      </c>
      <c r="AJ8359">
        <v>83.754839359590903</v>
      </c>
      <c r="AK8359">
        <v>161.90024359440201</v>
      </c>
      <c r="AL8359">
        <v>91.086837248598698</v>
      </c>
      <c r="AM8359">
        <v>85.648496385766293</v>
      </c>
      <c r="AN8359">
        <v>0.99999995352044302</v>
      </c>
    </row>
    <row r="8360" spans="1:40" x14ac:dyDescent="0.25">
      <c r="A8360" t="str">
        <f>"20190312160849648"</f>
        <v>20190312160849648</v>
      </c>
      <c r="B8360" t="str">
        <f>"1552378129644190"</f>
        <v>1552378129644190</v>
      </c>
      <c r="C8360" t="s">
        <v>40</v>
      </c>
      <c r="D8360">
        <v>6.010707</v>
      </c>
      <c r="E8360">
        <v>0.50984640000000003</v>
      </c>
      <c r="F8360" t="s">
        <v>47</v>
      </c>
      <c r="G8360">
        <v>-93.465069999999997</v>
      </c>
      <c r="H8360" s="1">
        <v>-4.6391210000000001E-6</v>
      </c>
      <c r="I8360">
        <v>148.3109</v>
      </c>
      <c r="J8360">
        <v>-167.68510000000001</v>
      </c>
      <c r="K8360">
        <v>1.1094679999999999</v>
      </c>
      <c r="L8360">
        <v>142.29839999999999</v>
      </c>
      <c r="M8360">
        <v>0.98268509999999998</v>
      </c>
      <c r="N8360">
        <v>0</v>
      </c>
      <c r="O8360">
        <v>0.18481819999999999</v>
      </c>
      <c r="P8360">
        <v>0.99342019999999998</v>
      </c>
      <c r="Q8360">
        <v>-3.251544E-2</v>
      </c>
      <c r="R8360">
        <v>0.1098131</v>
      </c>
      <c r="S8360">
        <v>2.991806</v>
      </c>
      <c r="T8360">
        <v>-4.4672490000000002E-2</v>
      </c>
      <c r="U8360">
        <v>0.2425995</v>
      </c>
      <c r="V8360">
        <v>7.5677369999999994E-2</v>
      </c>
      <c r="W8360">
        <v>-1.9515669999999999E-2</v>
      </c>
      <c r="X8360">
        <v>0.99694139999999998</v>
      </c>
      <c r="Y8360">
        <v>0.1047676</v>
      </c>
      <c r="Z8360">
        <v>-3.5189420000000002E-3</v>
      </c>
      <c r="AA8360">
        <v>0.99449050000000006</v>
      </c>
      <c r="AB8360">
        <v>8</v>
      </c>
      <c r="AC8360">
        <v>74.220029999999994</v>
      </c>
      <c r="AD8360">
        <v>-1.1094726391209999</v>
      </c>
      <c r="AE8360">
        <v>6.0125000000000099</v>
      </c>
      <c r="AF8360">
        <v>7.8077574059736996</v>
      </c>
      <c r="AG8360">
        <v>-1.1094726391209999</v>
      </c>
      <c r="AH8360">
        <v>74.036078328188694</v>
      </c>
      <c r="AI8360">
        <v>90.8538114762042</v>
      </c>
      <c r="AJ8360">
        <v>83.979906551446405</v>
      </c>
      <c r="AK8360">
        <v>74.4549051403948</v>
      </c>
      <c r="AL8360">
        <v>91.118236470065497</v>
      </c>
      <c r="AM8360">
        <v>85.659028496505002</v>
      </c>
      <c r="AN8360">
        <v>1.0000000403698099</v>
      </c>
    </row>
    <row r="8361" spans="1:40" x14ac:dyDescent="0.25">
      <c r="A8361" t="str">
        <f>"20190312160849670"</f>
        <v>20190312160849670</v>
      </c>
      <c r="B8361" t="str">
        <f>"1552378129663710"</f>
        <v>1552378129663710</v>
      </c>
      <c r="C8361" t="s">
        <v>40</v>
      </c>
      <c r="D8361">
        <v>6.0886440000000004</v>
      </c>
      <c r="E8361">
        <v>0.49010870000000001</v>
      </c>
      <c r="F8361" t="s">
        <v>47</v>
      </c>
      <c r="G8361">
        <v>-124.1544</v>
      </c>
      <c r="H8361" s="1">
        <v>-3.9872179999999998E-6</v>
      </c>
      <c r="I8361">
        <v>145.95830000000001</v>
      </c>
      <c r="J8361">
        <v>-167.6027</v>
      </c>
      <c r="K8361">
        <v>1.1094839999999999</v>
      </c>
      <c r="L8361">
        <v>142.3107</v>
      </c>
      <c r="M8361">
        <v>0.98317469999999996</v>
      </c>
      <c r="N8361">
        <v>0</v>
      </c>
      <c r="O8361">
        <v>0.18219750000000001</v>
      </c>
      <c r="P8361">
        <v>0.99364629999999998</v>
      </c>
      <c r="Q8361">
        <v>-3.2778599999999998E-2</v>
      </c>
      <c r="R8361">
        <v>0.1076694</v>
      </c>
      <c r="S8361">
        <v>2.9895939999999999</v>
      </c>
      <c r="T8361">
        <v>-7.6196189999999997E-2</v>
      </c>
      <c r="U8361">
        <v>0.25135800000000003</v>
      </c>
      <c r="V8361">
        <v>7.5169620000000006E-2</v>
      </c>
      <c r="W8361">
        <v>-1.9785810000000001E-2</v>
      </c>
      <c r="X8361">
        <v>0.99697449999999999</v>
      </c>
      <c r="Y8361">
        <v>9.91031E-2</v>
      </c>
      <c r="Z8361">
        <v>-5.8672730000000001E-3</v>
      </c>
      <c r="AA8361">
        <v>0.99505980000000005</v>
      </c>
      <c r="AB8361">
        <v>8</v>
      </c>
      <c r="AC8361">
        <v>43.448300000000003</v>
      </c>
      <c r="AD8361">
        <v>-1.1094879872179999</v>
      </c>
      <c r="AE8361">
        <v>3.6476000000000099</v>
      </c>
      <c r="AF8361">
        <v>4.3275129907591303</v>
      </c>
      <c r="AG8361">
        <v>-1.1094879872179999</v>
      </c>
      <c r="AH8361">
        <v>43.357500526604099</v>
      </c>
      <c r="AI8361">
        <v>91.458594732614401</v>
      </c>
      <c r="AJ8361">
        <v>84.300184349664406</v>
      </c>
      <c r="AK8361">
        <v>43.587052942283698</v>
      </c>
      <c r="AL8361">
        <v>91.133717327618896</v>
      </c>
      <c r="AM8361">
        <v>85.688186227773201</v>
      </c>
      <c r="AN8361">
        <v>1.00000005184927</v>
      </c>
    </row>
    <row r="8362" spans="1:40" x14ac:dyDescent="0.25">
      <c r="A8362" t="str">
        <f>"20190312160849692"</f>
        <v>20190312160849692</v>
      </c>
      <c r="B8362" t="str">
        <f>"1552378129684206"</f>
        <v>1552378129684206</v>
      </c>
      <c r="C8362" t="s">
        <v>40</v>
      </c>
      <c r="D8362">
        <v>6.096686</v>
      </c>
      <c r="E8362">
        <v>0.49035119999999999</v>
      </c>
      <c r="F8362" t="s">
        <v>44</v>
      </c>
      <c r="G8362">
        <v>-166.89019999999999</v>
      </c>
      <c r="H8362">
        <v>0.98857209999999995</v>
      </c>
      <c r="I8362">
        <v>142.40719999999999</v>
      </c>
      <c r="J8362">
        <v>-167.52160000000001</v>
      </c>
      <c r="K8362">
        <v>1.1094280000000001</v>
      </c>
      <c r="L8362">
        <v>142.32259999999999</v>
      </c>
      <c r="M8362">
        <v>0.98364339999999995</v>
      </c>
      <c r="N8362">
        <v>0</v>
      </c>
      <c r="O8362">
        <v>0.17966589999999999</v>
      </c>
      <c r="P8362">
        <v>0.99388160000000003</v>
      </c>
      <c r="Q8362">
        <v>-3.2349599999999999E-2</v>
      </c>
      <c r="R8362">
        <v>0.1056073</v>
      </c>
      <c r="S8362">
        <v>2.9591219999999998</v>
      </c>
      <c r="T8362">
        <v>-0.50200579999999995</v>
      </c>
      <c r="U8362">
        <v>0.40112300000000001</v>
      </c>
      <c r="V8362">
        <v>7.467414E-2</v>
      </c>
      <c r="W8362">
        <v>-1.9570110000000002E-2</v>
      </c>
      <c r="X8362">
        <v>0.99701600000000001</v>
      </c>
      <c r="Y8362">
        <v>4.2829739999999998E-2</v>
      </c>
      <c r="Z8362">
        <v>-3.3507710000000003E-2</v>
      </c>
      <c r="AA8362">
        <v>0.99852030000000003</v>
      </c>
      <c r="AB8362">
        <v>8</v>
      </c>
      <c r="AC8362">
        <v>0.63140000000001295</v>
      </c>
      <c r="AD8362">
        <v>-0.1208559</v>
      </c>
      <c r="AE8362">
        <v>8.4599999999994596E-2</v>
      </c>
      <c r="AF8362">
        <v>2.9177195397169401E-2</v>
      </c>
      <c r="AG8362">
        <v>-0.1208559</v>
      </c>
      <c r="AH8362">
        <v>0.61421835174555905</v>
      </c>
      <c r="AI8362">
        <v>101.119304174981</v>
      </c>
      <c r="AJ8362">
        <v>87.280324803553697</v>
      </c>
      <c r="AK8362">
        <v>0.62667506805128803</v>
      </c>
      <c r="AL8362">
        <v>91.121356225615799</v>
      </c>
      <c r="AM8362">
        <v>85.7166790177303</v>
      </c>
      <c r="AN8362">
        <v>1.0000000603230701</v>
      </c>
    </row>
    <row r="8363" spans="1:40" x14ac:dyDescent="0.25">
      <c r="A8363" t="str">
        <f>"20190312160849713"</f>
        <v>20190312160849713</v>
      </c>
      <c r="B8363" t="str">
        <f>"1552378129703727"</f>
        <v>1552378129703727</v>
      </c>
      <c r="C8363" t="s">
        <v>40</v>
      </c>
      <c r="D8363">
        <v>6.0751400000000002</v>
      </c>
      <c r="E8363">
        <v>0.49218650000000003</v>
      </c>
      <c r="F8363" t="s">
        <v>44</v>
      </c>
      <c r="G8363">
        <v>-166.8193</v>
      </c>
      <c r="H8363">
        <v>0.98339180000000004</v>
      </c>
      <c r="I8363">
        <v>142.41569999999999</v>
      </c>
      <c r="J8363">
        <v>-167.44380000000001</v>
      </c>
      <c r="K8363">
        <v>1.109353</v>
      </c>
      <c r="L8363">
        <v>142.334</v>
      </c>
      <c r="M8363">
        <v>0.98407639999999996</v>
      </c>
      <c r="N8363">
        <v>0</v>
      </c>
      <c r="O8363">
        <v>0.17729890000000001</v>
      </c>
      <c r="P8363">
        <v>0.99405529999999998</v>
      </c>
      <c r="Q8363">
        <v>-3.1780839999999998E-2</v>
      </c>
      <c r="R8363">
        <v>0.1041324</v>
      </c>
      <c r="S8363">
        <v>2.959473</v>
      </c>
      <c r="T8363">
        <v>-0.53072819999999898</v>
      </c>
      <c r="U8363">
        <v>0.39283750000000001</v>
      </c>
      <c r="V8363">
        <v>7.3757790000000004E-2</v>
      </c>
      <c r="W8363">
        <v>-1.9301639999999998E-2</v>
      </c>
      <c r="X8363">
        <v>0.99708940000000001</v>
      </c>
      <c r="Y8363">
        <v>4.2861929999999999E-2</v>
      </c>
      <c r="Z8363">
        <v>-3.4991170000000002E-2</v>
      </c>
      <c r="AA8363">
        <v>0.99846800000000002</v>
      </c>
      <c r="AB8363">
        <v>8</v>
      </c>
      <c r="AC8363">
        <v>0.62450000000001105</v>
      </c>
      <c r="AD8363">
        <v>-0.1259612</v>
      </c>
      <c r="AE8363">
        <v>8.1699999999983605E-2</v>
      </c>
      <c r="AF8363">
        <v>2.9160178587299301E-2</v>
      </c>
      <c r="AG8363">
        <v>-0.1259612</v>
      </c>
      <c r="AH8363">
        <v>0.60489630439658004</v>
      </c>
      <c r="AI8363">
        <v>101.749680536471</v>
      </c>
      <c r="AJ8363">
        <v>87.240084413527498</v>
      </c>
      <c r="AK8363">
        <v>0.61855968102788805</v>
      </c>
      <c r="AL8363">
        <v>91.105971168956998</v>
      </c>
      <c r="AM8363">
        <v>85.769359283602597</v>
      </c>
      <c r="AN8363">
        <v>1.0000000182423601</v>
      </c>
    </row>
    <row r="8364" spans="1:40" x14ac:dyDescent="0.25">
      <c r="A8364" t="str">
        <f>"20190312160849736"</f>
        <v>20190312160849736</v>
      </c>
      <c r="B8364" t="str">
        <f>"1552378129724222"</f>
        <v>1552378129724222</v>
      </c>
      <c r="C8364" t="s">
        <v>40</v>
      </c>
      <c r="D8364">
        <v>6.093826</v>
      </c>
      <c r="E8364">
        <v>0.49204930000000002</v>
      </c>
      <c r="F8364" t="s">
        <v>44</v>
      </c>
      <c r="G8364">
        <v>-166.7518</v>
      </c>
      <c r="H8364">
        <v>0.96973739999999997</v>
      </c>
      <c r="I8364">
        <v>142.42140000000001</v>
      </c>
      <c r="J8364">
        <v>-167.3604</v>
      </c>
      <c r="K8364">
        <v>1.1093550000000001</v>
      </c>
      <c r="L8364">
        <v>142.346</v>
      </c>
      <c r="M8364">
        <v>0.98451250000000001</v>
      </c>
      <c r="N8364">
        <v>0</v>
      </c>
      <c r="O8364">
        <v>0.174874</v>
      </c>
      <c r="P8364">
        <v>0.99424020000000002</v>
      </c>
      <c r="Q8364">
        <v>-3.1435119999999997E-2</v>
      </c>
      <c r="R8364">
        <v>0.1024622</v>
      </c>
      <c r="S8364">
        <v>2.959686</v>
      </c>
      <c r="T8364">
        <v>-0.59716340000000001</v>
      </c>
      <c r="U8364">
        <v>0.37364199999999997</v>
      </c>
      <c r="V8364">
        <v>7.2979230000000006E-2</v>
      </c>
      <c r="W8364">
        <v>-1.9115969999999999E-2</v>
      </c>
      <c r="X8364">
        <v>0.99715019999999999</v>
      </c>
      <c r="Y8364">
        <v>4.5862890000000003E-2</v>
      </c>
      <c r="Z8364">
        <v>-3.9132699999999999E-2</v>
      </c>
      <c r="AA8364">
        <v>0.99818099999999998</v>
      </c>
      <c r="AB8364">
        <v>8</v>
      </c>
      <c r="AC8364">
        <v>0.60859999999999503</v>
      </c>
      <c r="AD8364">
        <v>-0.13961759999999901</v>
      </c>
      <c r="AE8364">
        <v>7.5400000000001896E-2</v>
      </c>
      <c r="AF8364">
        <v>3.0611870859696601E-2</v>
      </c>
      <c r="AG8364">
        <v>-0.13961759999999901</v>
      </c>
      <c r="AH8364">
        <v>0.58222873362877103</v>
      </c>
      <c r="AI8364">
        <v>103.46689673961301</v>
      </c>
      <c r="AJ8364">
        <v>86.9903279936659</v>
      </c>
      <c r="AK8364">
        <v>0.59951685475076799</v>
      </c>
      <c r="AL8364">
        <v>91.095331168050294</v>
      </c>
      <c r="AM8364">
        <v>85.814111109066403</v>
      </c>
      <c r="AN8364">
        <v>0.99999995484023496</v>
      </c>
    </row>
    <row r="8365" spans="1:40" x14ac:dyDescent="0.25">
      <c r="A8365" t="str">
        <f>"20190312160849758"</f>
        <v>20190312160849758</v>
      </c>
      <c r="B8365" t="str">
        <f>"1552378129753506"</f>
        <v>1552378129753506</v>
      </c>
      <c r="C8365" t="s">
        <v>40</v>
      </c>
      <c r="D8365">
        <v>6.095275</v>
      </c>
      <c r="E8365">
        <v>0.49112440000000002</v>
      </c>
      <c r="F8365" t="s">
        <v>44</v>
      </c>
      <c r="G8365">
        <v>-166.6105</v>
      </c>
      <c r="H8365">
        <v>0.95910949999999995</v>
      </c>
      <c r="I8365">
        <v>142.43960000000001</v>
      </c>
      <c r="J8365">
        <v>-167.27780000000001</v>
      </c>
      <c r="K8365">
        <v>1.1094040000000001</v>
      </c>
      <c r="L8365">
        <v>142.3578</v>
      </c>
      <c r="M8365">
        <v>0.98491899999999999</v>
      </c>
      <c r="N8365">
        <v>0</v>
      </c>
      <c r="O8365">
        <v>0.17257140000000001</v>
      </c>
      <c r="P8365">
        <v>0.99440150000000005</v>
      </c>
      <c r="Q8365">
        <v>-3.1043339999999999E-2</v>
      </c>
      <c r="R8365">
        <v>0.101004</v>
      </c>
      <c r="S8365">
        <v>2.960556</v>
      </c>
      <c r="T8365">
        <v>-0.59300149999999996</v>
      </c>
      <c r="U8365">
        <v>0.36950680000000002</v>
      </c>
      <c r="V8365">
        <v>7.2114479999999995E-2</v>
      </c>
      <c r="W8365">
        <v>-1.8735979999999999E-2</v>
      </c>
      <c r="X8365">
        <v>0.99722040000000001</v>
      </c>
      <c r="Y8365">
        <v>4.5056659999999998E-2</v>
      </c>
      <c r="Z8365">
        <v>-3.8331539999999997E-2</v>
      </c>
      <c r="AA8365">
        <v>0.99824880000000005</v>
      </c>
      <c r="AB8365">
        <v>8</v>
      </c>
      <c r="AC8365">
        <v>0.667300000000011</v>
      </c>
      <c r="AD8365">
        <v>-0.1502945</v>
      </c>
      <c r="AE8365">
        <v>8.1800000000015402E-2</v>
      </c>
      <c r="AF8365">
        <v>3.2946620105671197E-2</v>
      </c>
      <c r="AG8365">
        <v>-0.1502945</v>
      </c>
      <c r="AH8365">
        <v>0.639447011813845</v>
      </c>
      <c r="AI8365">
        <v>103.209720822178</v>
      </c>
      <c r="AJ8365">
        <v>87.050522584016406</v>
      </c>
      <c r="AK8365">
        <v>0.65769780098788</v>
      </c>
      <c r="AL8365">
        <v>91.073555361956707</v>
      </c>
      <c r="AM8365">
        <v>85.863827788019606</v>
      </c>
      <c r="AN8365">
        <v>1.0000000306741901</v>
      </c>
    </row>
    <row r="8366" spans="1:40" x14ac:dyDescent="0.25">
      <c r="A8366" t="str">
        <f>"20190312160849781"</f>
        <v>20190312160849781</v>
      </c>
      <c r="B8366" t="str">
        <f>"1552378129773998"</f>
        <v>1552378129773998</v>
      </c>
      <c r="C8366" t="s">
        <v>40</v>
      </c>
      <c r="D8366">
        <v>6.0646820000000004</v>
      </c>
      <c r="E8366">
        <v>0.49168070000000003</v>
      </c>
      <c r="F8366" t="s">
        <v>44</v>
      </c>
      <c r="G8366">
        <v>-166.53360000000001</v>
      </c>
      <c r="H8366">
        <v>0.96844260000000004</v>
      </c>
      <c r="I8366">
        <v>142.45140000000001</v>
      </c>
      <c r="J8366">
        <v>-167.1953</v>
      </c>
      <c r="K8366">
        <v>1.1094389999999901</v>
      </c>
      <c r="L8366">
        <v>142.36949999999999</v>
      </c>
      <c r="M8366">
        <v>0.98530949999999995</v>
      </c>
      <c r="N8366">
        <v>0</v>
      </c>
      <c r="O8366">
        <v>0.17033010000000001</v>
      </c>
      <c r="P8366">
        <v>0.99464989999999998</v>
      </c>
      <c r="Q8366">
        <v>-3.0428230000000001E-2</v>
      </c>
      <c r="R8366">
        <v>9.8720269999999999E-2</v>
      </c>
      <c r="S8366">
        <v>2.9615170000000002</v>
      </c>
      <c r="T8366">
        <v>-0.56083640000000001</v>
      </c>
      <c r="U8366">
        <v>0.37274170000000001</v>
      </c>
      <c r="V8366">
        <v>7.2140019999999999E-2</v>
      </c>
      <c r="W8366">
        <v>-1.8150059999999999E-2</v>
      </c>
      <c r="X8366">
        <v>0.99722929999999999</v>
      </c>
      <c r="Y8366">
        <v>4.2279659999999997E-2</v>
      </c>
      <c r="Z8366">
        <v>-3.5602960000000003E-2</v>
      </c>
      <c r="AA8366">
        <v>0.99847129999999995</v>
      </c>
      <c r="AB8366">
        <v>8</v>
      </c>
      <c r="AC8366">
        <v>0.66169999999999596</v>
      </c>
      <c r="AD8366">
        <v>-0.14099639999999899</v>
      </c>
      <c r="AE8366">
        <v>8.1900000000018694E-2</v>
      </c>
      <c r="AF8366">
        <v>3.06427173705567E-2</v>
      </c>
      <c r="AG8366">
        <v>-0.14099639999999899</v>
      </c>
      <c r="AH8366">
        <v>0.63747313700670105</v>
      </c>
      <c r="AI8366">
        <v>102.45796346499699</v>
      </c>
      <c r="AJ8366">
        <v>87.2479656155447</v>
      </c>
      <c r="AK8366">
        <v>0.65359847104011504</v>
      </c>
      <c r="AL8366">
        <v>91.039979000716301</v>
      </c>
      <c r="AM8366">
        <v>85.862404810627297</v>
      </c>
      <c r="AN8366">
        <v>0.99999994197104503</v>
      </c>
    </row>
    <row r="8367" spans="1:40" x14ac:dyDescent="0.25">
      <c r="A8367" t="str">
        <f>"20190312160849802"</f>
        <v>20190312160849802</v>
      </c>
      <c r="B8367" t="str">
        <f>"1552378129793519"</f>
        <v>1552378129793519</v>
      </c>
      <c r="C8367" t="s">
        <v>40</v>
      </c>
      <c r="D8367">
        <v>6.1274480000000002</v>
      </c>
      <c r="E8367">
        <v>0.4910197</v>
      </c>
      <c r="F8367" t="s">
        <v>44</v>
      </c>
      <c r="G8367">
        <v>-166.4615</v>
      </c>
      <c r="H8367">
        <v>0.9662946</v>
      </c>
      <c r="I8367">
        <v>142.45920000000001</v>
      </c>
      <c r="J8367">
        <v>-167.11660000000001</v>
      </c>
      <c r="K8367">
        <v>1.109434</v>
      </c>
      <c r="L8367">
        <v>142.38059999999999</v>
      </c>
      <c r="M8367">
        <v>0.98567119999999997</v>
      </c>
      <c r="N8367">
        <v>0</v>
      </c>
      <c r="O8367">
        <v>0.16823080000000001</v>
      </c>
      <c r="P8367">
        <v>0.99483980000000005</v>
      </c>
      <c r="Q8367">
        <v>-2.9923890000000002E-2</v>
      </c>
      <c r="R8367">
        <v>9.6946560000000001E-2</v>
      </c>
      <c r="S8367">
        <v>2.9625240000000002</v>
      </c>
      <c r="T8367">
        <v>-0.57788399999999995</v>
      </c>
      <c r="U8367">
        <v>0.36187740000000002</v>
      </c>
      <c r="V8367">
        <v>7.1797050000000001E-2</v>
      </c>
      <c r="W8367">
        <v>-1.7729910000000002E-2</v>
      </c>
      <c r="X8367">
        <v>0.99726159999999997</v>
      </c>
      <c r="Y8367">
        <v>4.3588500000000002E-2</v>
      </c>
      <c r="Z8367">
        <v>-3.6392279999999999E-2</v>
      </c>
      <c r="AA8367">
        <v>0.99838649999999995</v>
      </c>
      <c r="AB8367">
        <v>8</v>
      </c>
      <c r="AC8367">
        <v>0.65510000000000401</v>
      </c>
      <c r="AD8367">
        <v>-0.1431394</v>
      </c>
      <c r="AE8367">
        <v>7.8600000000022804E-2</v>
      </c>
      <c r="AF8367">
        <v>3.1265217409491397E-2</v>
      </c>
      <c r="AG8367">
        <v>-0.1431394</v>
      </c>
      <c r="AH8367">
        <v>0.62936488896117904</v>
      </c>
      <c r="AI8367">
        <v>102.797827856355</v>
      </c>
      <c r="AJ8367">
        <v>87.156032042915697</v>
      </c>
      <c r="AK8367">
        <v>0.646193906740957</v>
      </c>
      <c r="AL8367">
        <v>91.015902312265595</v>
      </c>
      <c r="AM8367">
        <v>85.8821409597155</v>
      </c>
      <c r="AN8367">
        <v>0.99999993246593299</v>
      </c>
    </row>
    <row r="8368" spans="1:40" x14ac:dyDescent="0.25">
      <c r="A8368" t="str">
        <f>"20190312160849825"</f>
        <v>20190312160849825</v>
      </c>
      <c r="B8368" t="str">
        <f>"1552378129814014"</f>
        <v>1552378129814014</v>
      </c>
      <c r="C8368" t="s">
        <v>40</v>
      </c>
      <c r="D8368">
        <v>6.1649669999999999</v>
      </c>
      <c r="E8368">
        <v>0.4904887</v>
      </c>
      <c r="F8368" t="s">
        <v>44</v>
      </c>
      <c r="G8368">
        <v>-166.38570000000001</v>
      </c>
      <c r="H8368">
        <v>0.97231579999999995</v>
      </c>
      <c r="I8368">
        <v>142.46969999999999</v>
      </c>
      <c r="J8368">
        <v>-167.03389999999999</v>
      </c>
      <c r="K8368">
        <v>1.109421</v>
      </c>
      <c r="L8368">
        <v>142.3921</v>
      </c>
      <c r="M8368">
        <v>0.98603589999999997</v>
      </c>
      <c r="N8368">
        <v>0</v>
      </c>
      <c r="O8368">
        <v>0.16608580000000001</v>
      </c>
      <c r="P8368">
        <v>0.99504389999999998</v>
      </c>
      <c r="Q8368">
        <v>-3.00624E-2</v>
      </c>
      <c r="R8368">
        <v>9.4783800000000001E-2</v>
      </c>
      <c r="S8368">
        <v>2.9636079999999998</v>
      </c>
      <c r="T8368">
        <v>-0.55578629999999996</v>
      </c>
      <c r="U8368">
        <v>0.36164859999999999</v>
      </c>
      <c r="V8368">
        <v>7.1793800000000005E-2</v>
      </c>
      <c r="W8368">
        <v>-1.7962680000000002E-2</v>
      </c>
      <c r="X8368">
        <v>0.99725770000000002</v>
      </c>
      <c r="Y8368">
        <v>4.1891490000000003E-2</v>
      </c>
      <c r="Z8368">
        <v>-3.44642E-2</v>
      </c>
      <c r="AA8368">
        <v>0.99852759999999996</v>
      </c>
      <c r="AB8368">
        <v>8</v>
      </c>
      <c r="AC8368">
        <v>0.64819999999997402</v>
      </c>
      <c r="AD8368">
        <v>-0.13710519999999901</v>
      </c>
      <c r="AE8368">
        <v>7.7599999999989594E-2</v>
      </c>
      <c r="AF8368">
        <v>2.9827152634703199E-2</v>
      </c>
      <c r="AG8368">
        <v>-0.13710519999999901</v>
      </c>
      <c r="AH8368">
        <v>0.62453855640642197</v>
      </c>
      <c r="AI8368">
        <v>102.368089575784</v>
      </c>
      <c r="AJ8368">
        <v>87.265705388013401</v>
      </c>
      <c r="AK8368">
        <v>0.64010616567843703</v>
      </c>
      <c r="AL8368">
        <v>91.0292411437552</v>
      </c>
      <c r="AM8368">
        <v>85.882310671844493</v>
      </c>
      <c r="AN8368">
        <v>0.99999996390025503</v>
      </c>
    </row>
    <row r="8369" spans="1:40" x14ac:dyDescent="0.25">
      <c r="A8369" t="str">
        <f>"20190312160849848"</f>
        <v>20190312160849848</v>
      </c>
      <c r="B8369" t="str">
        <f>"1552378129844270"</f>
        <v>1552378129844270</v>
      </c>
      <c r="C8369" t="s">
        <v>40</v>
      </c>
      <c r="D8369">
        <v>6.2100660000000003</v>
      </c>
      <c r="E8369">
        <v>0.51681220000000005</v>
      </c>
      <c r="F8369" t="s">
        <v>44</v>
      </c>
      <c r="G8369">
        <v>-166.31020000000001</v>
      </c>
      <c r="H8369">
        <v>0.97777389999999997</v>
      </c>
      <c r="I8369">
        <v>142.47980000000001</v>
      </c>
      <c r="J8369">
        <v>-166.9522</v>
      </c>
      <c r="K8369">
        <v>1.1094139999999999</v>
      </c>
      <c r="L8369">
        <v>142.4034</v>
      </c>
      <c r="M8369">
        <v>0.98638020000000004</v>
      </c>
      <c r="N8369">
        <v>0</v>
      </c>
      <c r="O8369">
        <v>0.16403309999999999</v>
      </c>
      <c r="P8369">
        <v>0.99522960000000005</v>
      </c>
      <c r="Q8369">
        <v>-3.0716670000000001E-2</v>
      </c>
      <c r="R8369">
        <v>9.2601340000000004E-2</v>
      </c>
      <c r="S8369">
        <v>2.964432</v>
      </c>
      <c r="T8369">
        <v>-0.53914079999999998</v>
      </c>
      <c r="U8369">
        <v>0.35948180000000002</v>
      </c>
      <c r="V8369">
        <v>7.1900640000000002E-2</v>
      </c>
      <c r="W8369">
        <v>-1.8669700000000001E-2</v>
      </c>
      <c r="X8369">
        <v>0.99723700000000004</v>
      </c>
      <c r="Y8369">
        <v>4.0822289999999997E-2</v>
      </c>
      <c r="Z8369">
        <v>-3.2982160000000003E-2</v>
      </c>
      <c r="AA8369">
        <v>0.99862189999999995</v>
      </c>
      <c r="AB8369">
        <v>8</v>
      </c>
      <c r="AC8369">
        <v>0.64199999999999502</v>
      </c>
      <c r="AD8369">
        <v>-0.13164009999999901</v>
      </c>
      <c r="AE8369">
        <v>7.6400000000006602E-2</v>
      </c>
      <c r="AF8369">
        <v>2.87597132346059E-2</v>
      </c>
      <c r="AG8369">
        <v>-0.13164009999999901</v>
      </c>
      <c r="AH8369">
        <v>0.620127083564603</v>
      </c>
      <c r="AI8369">
        <v>101.97229967904499</v>
      </c>
      <c r="AJ8369">
        <v>87.344688914082496</v>
      </c>
      <c r="AK8369">
        <v>0.63459738165524004</v>
      </c>
      <c r="AL8369">
        <v>91.069757223020503</v>
      </c>
      <c r="AM8369">
        <v>85.876118750005205</v>
      </c>
      <c r="AN8369">
        <v>0.99999994694974803</v>
      </c>
    </row>
    <row r="8370" spans="1:40" x14ac:dyDescent="0.25">
      <c r="A8370" t="str">
        <f>"20190312160849870"</f>
        <v>20190312160849870</v>
      </c>
      <c r="B8370" t="str">
        <f>"1552378129863791"</f>
        <v>1552378129863791</v>
      </c>
      <c r="C8370" t="s">
        <v>40</v>
      </c>
      <c r="D8370">
        <v>6.080616</v>
      </c>
      <c r="E8370">
        <v>0.51873649999999905</v>
      </c>
      <c r="F8370" t="s">
        <v>44</v>
      </c>
      <c r="G8370">
        <v>-166.2653</v>
      </c>
      <c r="H8370">
        <v>0.90308299999999997</v>
      </c>
      <c r="I8370">
        <v>142.43639999999999</v>
      </c>
      <c r="J8370">
        <v>-166.8707</v>
      </c>
      <c r="K8370">
        <v>1.1094219999999999</v>
      </c>
      <c r="L8370">
        <v>142.4145</v>
      </c>
      <c r="M8370">
        <v>0.98671030000000004</v>
      </c>
      <c r="N8370">
        <v>0</v>
      </c>
      <c r="O8370">
        <v>0.16203670000000001</v>
      </c>
      <c r="P8370">
        <v>0.99540669999999998</v>
      </c>
      <c r="Q8370">
        <v>-3.0761489999999999E-2</v>
      </c>
      <c r="R8370">
        <v>9.0659390000000006E-2</v>
      </c>
      <c r="S8370">
        <v>2.973465</v>
      </c>
      <c r="T8370">
        <v>-0.89294949999999995</v>
      </c>
      <c r="U8370">
        <v>0.14337159999999999</v>
      </c>
      <c r="V8370">
        <v>7.1828349999999999E-2</v>
      </c>
      <c r="W8370">
        <v>-1.873841E-2</v>
      </c>
      <c r="X8370">
        <v>0.99724100000000004</v>
      </c>
      <c r="Y8370">
        <v>0.1027516</v>
      </c>
      <c r="Z8370">
        <v>-6.246819E-2</v>
      </c>
      <c r="AA8370">
        <v>0.99274359999999995</v>
      </c>
      <c r="AB8370">
        <v>8</v>
      </c>
      <c r="AC8370">
        <v>0.60540000000000205</v>
      </c>
      <c r="AD8370">
        <v>-0.206338999999999</v>
      </c>
      <c r="AE8370">
        <v>2.1899999999987999E-2</v>
      </c>
      <c r="AF8370">
        <v>6.8541873773897602E-2</v>
      </c>
      <c r="AG8370">
        <v>-0.206338999999999</v>
      </c>
      <c r="AH8370">
        <v>0.53847643014101298</v>
      </c>
      <c r="AI8370">
        <v>110.81296525801601</v>
      </c>
      <c r="AJ8370">
        <v>82.745914335428296</v>
      </c>
      <c r="AK8370">
        <v>0.58071562506862695</v>
      </c>
      <c r="AL8370">
        <v>91.073694620187396</v>
      </c>
      <c r="AM8370">
        <v>85.880267147619605</v>
      </c>
      <c r="AN8370">
        <v>1.0000000259770201</v>
      </c>
    </row>
    <row r="8371" spans="1:40" x14ac:dyDescent="0.25">
      <c r="A8371" t="str">
        <f>"20190312160849903"</f>
        <v>20190312160849903</v>
      </c>
      <c r="B8371" t="str">
        <f>"1552378129894047"</f>
        <v>1552378129894047</v>
      </c>
      <c r="C8371" t="s">
        <v>40</v>
      </c>
      <c r="D8371">
        <v>6.0465019999999896</v>
      </c>
      <c r="E8371">
        <v>0.51979699999999995</v>
      </c>
      <c r="F8371" t="s">
        <v>44</v>
      </c>
      <c r="G8371">
        <v>-166.18510000000001</v>
      </c>
      <c r="H8371">
        <v>0.91854250000000004</v>
      </c>
      <c r="I8371">
        <v>142.4427</v>
      </c>
      <c r="J8371">
        <v>-166.74979999999999</v>
      </c>
      <c r="K8371">
        <v>1.10944</v>
      </c>
      <c r="L8371">
        <v>142.4307</v>
      </c>
      <c r="M8371">
        <v>0.98717829999999995</v>
      </c>
      <c r="N8371">
        <v>0</v>
      </c>
      <c r="O8371">
        <v>0.1591641</v>
      </c>
      <c r="P8371">
        <v>0.99565230000000005</v>
      </c>
      <c r="Q8371">
        <v>-3.092108E-2</v>
      </c>
      <c r="R8371">
        <v>8.7866130000000001E-2</v>
      </c>
      <c r="S8371">
        <v>2.977112</v>
      </c>
      <c r="T8371">
        <v>-0.82887169999999899</v>
      </c>
      <c r="U8371">
        <v>0.12214659999999999</v>
      </c>
      <c r="V8371">
        <v>7.1723300000000004E-2</v>
      </c>
      <c r="W8371">
        <v>-1.893765E-2</v>
      </c>
      <c r="X8371">
        <v>0.99724480000000004</v>
      </c>
      <c r="Y8371">
        <v>0.1084642</v>
      </c>
      <c r="Z8371">
        <v>-5.8107079999999998E-2</v>
      </c>
      <c r="AA8371">
        <v>0.99240059999999997</v>
      </c>
      <c r="AB8371">
        <v>8</v>
      </c>
      <c r="AC8371">
        <v>0.56469999999998699</v>
      </c>
      <c r="AD8371">
        <v>-0.1908975</v>
      </c>
      <c r="AE8371">
        <v>1.2000000000000399E-2</v>
      </c>
      <c r="AF8371">
        <v>7.0039153159050405E-2</v>
      </c>
      <c r="AG8371">
        <v>-0.1908975</v>
      </c>
      <c r="AH8371">
        <v>0.50206136389392197</v>
      </c>
      <c r="AI8371">
        <v>110.63540743242</v>
      </c>
      <c r="AJ8371">
        <v>82.058310404600206</v>
      </c>
      <c r="AK8371">
        <v>0.54167605780255002</v>
      </c>
      <c r="AL8371">
        <v>91.085112254098703</v>
      </c>
      <c r="AM8371">
        <v>85.886287237904796</v>
      </c>
      <c r="AN8371">
        <v>1.0000000287387201</v>
      </c>
    </row>
    <row r="8372" spans="1:40" x14ac:dyDescent="0.25">
      <c r="A8372" t="str">
        <f>"20190312160849926"</f>
        <v>20190312160849926</v>
      </c>
      <c r="B8372" t="str">
        <f>"1552378129913566"</f>
        <v>1552378129913566</v>
      </c>
      <c r="C8372" t="s">
        <v>40</v>
      </c>
      <c r="D8372">
        <v>6.1095079999999999</v>
      </c>
      <c r="E8372">
        <v>0.51872229999999997</v>
      </c>
      <c r="F8372" t="s">
        <v>44</v>
      </c>
      <c r="G8372">
        <v>-166.04130000000001</v>
      </c>
      <c r="H8372">
        <v>0.91329919999999998</v>
      </c>
      <c r="I8372">
        <v>142.45590000000001</v>
      </c>
      <c r="J8372">
        <v>-166.6696</v>
      </c>
      <c r="K8372">
        <v>1.109448</v>
      </c>
      <c r="L8372">
        <v>142.44139999999999</v>
      </c>
      <c r="M8372">
        <v>0.98747300000000005</v>
      </c>
      <c r="N8372">
        <v>0</v>
      </c>
      <c r="O8372">
        <v>0.15732879999999999</v>
      </c>
      <c r="P8372">
        <v>0.99580009999999997</v>
      </c>
      <c r="Q8372">
        <v>-3.1410149999999998E-2</v>
      </c>
      <c r="R8372">
        <v>8.599801E-2</v>
      </c>
      <c r="S8372">
        <v>2.9781490000000002</v>
      </c>
      <c r="T8372">
        <v>-0.82454819999999995</v>
      </c>
      <c r="U8372">
        <v>0.1059418</v>
      </c>
      <c r="V8372">
        <v>7.1738499999999997E-2</v>
      </c>
      <c r="W8372">
        <v>-1.945552E-2</v>
      </c>
      <c r="X8372">
        <v>0.9972337</v>
      </c>
      <c r="Y8372">
        <v>0.1120628</v>
      </c>
      <c r="Z8372">
        <v>-5.7801640000000001E-2</v>
      </c>
      <c r="AA8372">
        <v>0.99201859999999997</v>
      </c>
      <c r="AB8372">
        <v>8</v>
      </c>
      <c r="AC8372">
        <v>0.62829999999999497</v>
      </c>
      <c r="AD8372">
        <v>-0.19614879999999901</v>
      </c>
      <c r="AE8372">
        <v>1.4500000000026599E-2</v>
      </c>
      <c r="AF8372">
        <v>7.7033563093516305E-2</v>
      </c>
      <c r="AG8372">
        <v>-0.19614879999999901</v>
      </c>
      <c r="AH8372">
        <v>0.56747734450088005</v>
      </c>
      <c r="AI8372">
        <v>108.906798116065</v>
      </c>
      <c r="AJ8372">
        <v>82.269501105474106</v>
      </c>
      <c r="AK8372">
        <v>0.60534210006086098</v>
      </c>
      <c r="AL8372">
        <v>91.114789529624602</v>
      </c>
      <c r="AM8372">
        <v>85.885372789712406</v>
      </c>
      <c r="AN8372">
        <v>0.99999999102820503</v>
      </c>
    </row>
    <row r="8373" spans="1:40" x14ac:dyDescent="0.25">
      <c r="A8373" t="str">
        <f>"20190312160849948"</f>
        <v>20190312160849948</v>
      </c>
      <c r="B8373" t="str">
        <f>"1552378129943839"</f>
        <v>1552378129943839</v>
      </c>
      <c r="C8373" t="s">
        <v>40</v>
      </c>
      <c r="D8373">
        <v>6.0724309999999999</v>
      </c>
      <c r="E8373">
        <v>0.5067372</v>
      </c>
      <c r="F8373" t="s">
        <v>44</v>
      </c>
      <c r="G8373">
        <v>-165.9665</v>
      </c>
      <c r="H8373">
        <v>0.91924810000000001</v>
      </c>
      <c r="I8373">
        <v>142.46719999999999</v>
      </c>
      <c r="J8373">
        <v>-166.58760000000001</v>
      </c>
      <c r="K8373">
        <v>1.1094660000000001</v>
      </c>
      <c r="L8373">
        <v>142.45230000000001</v>
      </c>
      <c r="M8373">
        <v>0.98776140000000001</v>
      </c>
      <c r="N8373">
        <v>0</v>
      </c>
      <c r="O8373">
        <v>0.15550919999999999</v>
      </c>
      <c r="P8373">
        <v>0.99594130000000003</v>
      </c>
      <c r="Q8373">
        <v>-3.1604390000000003E-2</v>
      </c>
      <c r="R8373">
        <v>8.427627E-2</v>
      </c>
      <c r="S8373">
        <v>2.9777830000000001</v>
      </c>
      <c r="T8373">
        <v>-0.8054249</v>
      </c>
      <c r="U8373">
        <v>0.10951230000000001</v>
      </c>
      <c r="V8373">
        <v>7.1624699999999999E-2</v>
      </c>
      <c r="W8373">
        <v>-1.9671259999999999E-2</v>
      </c>
      <c r="X8373">
        <v>0.9972377</v>
      </c>
      <c r="Y8373">
        <v>0.1096438</v>
      </c>
      <c r="Z8373">
        <v>-5.5713329999999998E-2</v>
      </c>
      <c r="AA8373">
        <v>0.99240830000000002</v>
      </c>
      <c r="AB8373">
        <v>8</v>
      </c>
      <c r="AC8373">
        <v>0.62110000000001198</v>
      </c>
      <c r="AD8373">
        <v>-0.1902179</v>
      </c>
      <c r="AE8373">
        <v>1.4899999999983E-2</v>
      </c>
      <c r="AF8373">
        <v>7.4857779683675504E-2</v>
      </c>
      <c r="AG8373">
        <v>-0.1902179</v>
      </c>
      <c r="AH8373">
        <v>0.56307672368488804</v>
      </c>
      <c r="AI8373">
        <v>108.514279138639</v>
      </c>
      <c r="AJ8373">
        <v>82.4272644887685</v>
      </c>
      <c r="AK8373">
        <v>0.599034167151831</v>
      </c>
      <c r="AL8373">
        <v>91.127152828523506</v>
      </c>
      <c r="AM8373">
        <v>85.891893949365297</v>
      </c>
      <c r="AN8373">
        <v>1.0000000432106799</v>
      </c>
    </row>
    <row r="8374" spans="1:40" x14ac:dyDescent="0.25">
      <c r="A8374" t="str">
        <f>"20190312160849971"</f>
        <v>20190312160849971</v>
      </c>
      <c r="B8374" t="str">
        <f>"1552378129964322"</f>
        <v>1552378129964322</v>
      </c>
      <c r="C8374" t="s">
        <v>40</v>
      </c>
      <c r="D8374">
        <v>6.0740129999999999</v>
      </c>
      <c r="E8374">
        <v>0.50637390000000004</v>
      </c>
      <c r="F8374" t="s">
        <v>44</v>
      </c>
      <c r="G8374">
        <v>-165.857</v>
      </c>
      <c r="H8374">
        <v>1.002154</v>
      </c>
      <c r="I8374">
        <v>142.50110000000001</v>
      </c>
      <c r="J8374">
        <v>-166.5067</v>
      </c>
      <c r="K8374">
        <v>1.1094839999999999</v>
      </c>
      <c r="L8374">
        <v>142.46289999999999</v>
      </c>
      <c r="M8374">
        <v>0.98803220000000003</v>
      </c>
      <c r="N8374">
        <v>0</v>
      </c>
      <c r="O8374">
        <v>0.15378069999999999</v>
      </c>
      <c r="P8374">
        <v>0.99604239999999999</v>
      </c>
      <c r="Q8374">
        <v>-3.1353289999999999E-2</v>
      </c>
      <c r="R8374">
        <v>8.3165569999999994E-2</v>
      </c>
      <c r="S8374">
        <v>2.9814449999999999</v>
      </c>
      <c r="T8374">
        <v>-0.43789099999999997</v>
      </c>
      <c r="U8374">
        <v>0.19949339999999999</v>
      </c>
      <c r="V8374">
        <v>7.0994589999999996E-2</v>
      </c>
      <c r="W8374">
        <v>-1.9433410000000002E-2</v>
      </c>
      <c r="X8374">
        <v>0.99728740000000005</v>
      </c>
      <c r="Y8374">
        <v>8.4947060000000005E-2</v>
      </c>
      <c r="Z8374">
        <v>-2.8544460000000001E-2</v>
      </c>
      <c r="AA8374">
        <v>0.99597650000000004</v>
      </c>
      <c r="AB8374">
        <v>8</v>
      </c>
      <c r="AC8374">
        <v>0.64969999999999495</v>
      </c>
      <c r="AD8374">
        <v>-0.107329999999999</v>
      </c>
      <c r="AE8374">
        <v>3.8200000000017498E-2</v>
      </c>
      <c r="AF8374">
        <v>6.0526827449988101E-2</v>
      </c>
      <c r="AG8374">
        <v>-0.107329999999999</v>
      </c>
      <c r="AH8374">
        <v>0.63069272515834796</v>
      </c>
      <c r="AI8374">
        <v>99.614611169903498</v>
      </c>
      <c r="AJ8374">
        <v>84.518180554414499</v>
      </c>
      <c r="AK8374">
        <v>0.64261694601747299</v>
      </c>
      <c r="AL8374">
        <v>91.113522443974603</v>
      </c>
      <c r="AM8374">
        <v>85.928114672633001</v>
      </c>
      <c r="AN8374">
        <v>1.00000002371612</v>
      </c>
    </row>
    <row r="8375" spans="1:40" x14ac:dyDescent="0.25">
      <c r="A8375" t="str">
        <f>"20190312160849993"</f>
        <v>20190312160849993</v>
      </c>
      <c r="B8375" t="str">
        <f>"1552378129983838"</f>
        <v>1552378129983838</v>
      </c>
      <c r="C8375" t="s">
        <v>40</v>
      </c>
      <c r="D8375">
        <v>5.9833400000000001</v>
      </c>
      <c r="E8375">
        <v>0.50599240000000001</v>
      </c>
      <c r="F8375" t="s">
        <v>44</v>
      </c>
      <c r="G8375">
        <v>-165.7841</v>
      </c>
      <c r="H8375">
        <v>1.003193</v>
      </c>
      <c r="I8375">
        <v>142.511</v>
      </c>
      <c r="J8375">
        <v>-166.42420000000001</v>
      </c>
      <c r="K8375">
        <v>1.109499</v>
      </c>
      <c r="L8375">
        <v>142.4736</v>
      </c>
      <c r="M8375">
        <v>0.98829440000000002</v>
      </c>
      <c r="N8375">
        <v>0</v>
      </c>
      <c r="O8375">
        <v>0.15208840000000001</v>
      </c>
      <c r="P8375">
        <v>0.99617279999999997</v>
      </c>
      <c r="Q8375">
        <v>-3.1432889999999998E-2</v>
      </c>
      <c r="R8375">
        <v>8.1559199999999998E-2</v>
      </c>
      <c r="S8375">
        <v>2.9814759999999998</v>
      </c>
      <c r="T8375">
        <v>-0.43850270000000002</v>
      </c>
      <c r="U8375">
        <v>0.1992188</v>
      </c>
      <c r="V8375">
        <v>7.0895399999999997E-2</v>
      </c>
      <c r="W8375">
        <v>-1.9525529999999999E-2</v>
      </c>
      <c r="X8375">
        <v>0.99729259999999997</v>
      </c>
      <c r="Y8375">
        <v>8.3360580000000004E-2</v>
      </c>
      <c r="Z8375">
        <v>-2.8223370000000001E-2</v>
      </c>
      <c r="AA8375">
        <v>0.99611970000000005</v>
      </c>
      <c r="AB8375">
        <v>8</v>
      </c>
      <c r="AC8375">
        <v>0.64010000000001799</v>
      </c>
      <c r="AD8375">
        <v>-0.106306</v>
      </c>
      <c r="AE8375">
        <v>3.7399999999991003E-2</v>
      </c>
      <c r="AF8375">
        <v>5.8778218357614501E-2</v>
      </c>
      <c r="AG8375">
        <v>-0.106306</v>
      </c>
      <c r="AH8375">
        <v>0.62126391848756801</v>
      </c>
      <c r="AI8375">
        <v>99.667631198533002</v>
      </c>
      <c r="AJ8375">
        <v>84.595293674374801</v>
      </c>
      <c r="AK8375">
        <v>0.63302819921692599</v>
      </c>
      <c r="AL8375">
        <v>91.118801596148202</v>
      </c>
      <c r="AM8375">
        <v>85.933805736377096</v>
      </c>
      <c r="AN8375">
        <v>0.99999996703884997</v>
      </c>
    </row>
    <row r="8376" spans="1:40" x14ac:dyDescent="0.25">
      <c r="A8376" t="str">
        <f>"20190312160850016"</f>
        <v>20190312160850016</v>
      </c>
      <c r="B8376" t="str">
        <f>"1552378130004335"</f>
        <v>1552378130004335</v>
      </c>
      <c r="C8376" t="s">
        <v>40</v>
      </c>
      <c r="D8376">
        <v>5.9658419999999897</v>
      </c>
      <c r="E8376">
        <v>0.50548219999999999</v>
      </c>
      <c r="F8376" t="s">
        <v>44</v>
      </c>
      <c r="G8376">
        <v>-165.71090000000001</v>
      </c>
      <c r="H8376">
        <v>1.005225</v>
      </c>
      <c r="I8376">
        <v>142.52090000000001</v>
      </c>
      <c r="J8376">
        <v>-166.3449</v>
      </c>
      <c r="K8376">
        <v>1.1095189999999999</v>
      </c>
      <c r="L8376">
        <v>142.48390000000001</v>
      </c>
      <c r="M8376">
        <v>0.98853239999999998</v>
      </c>
      <c r="N8376">
        <v>0</v>
      </c>
      <c r="O8376">
        <v>0.15053440000000001</v>
      </c>
      <c r="P8376">
        <v>0.99626899999999996</v>
      </c>
      <c r="Q8376">
        <v>-3.135549E-2</v>
      </c>
      <c r="R8376">
        <v>8.0404619999999996E-2</v>
      </c>
      <c r="S8376">
        <v>2.9815830000000001</v>
      </c>
      <c r="T8376">
        <v>-0.43585970000000002</v>
      </c>
      <c r="U8376">
        <v>0.19772339999999999</v>
      </c>
      <c r="V8376">
        <v>7.0484950000000005E-2</v>
      </c>
      <c r="W8376">
        <v>-1.9459290000000001E-2</v>
      </c>
      <c r="X8376">
        <v>0.99732299999999996</v>
      </c>
      <c r="Y8376">
        <v>8.2350629999999994E-2</v>
      </c>
      <c r="Z8376">
        <v>-2.775818E-2</v>
      </c>
      <c r="AA8376">
        <v>0.99621680000000001</v>
      </c>
      <c r="AB8376">
        <v>8</v>
      </c>
      <c r="AC8376">
        <v>0.63399999999998602</v>
      </c>
      <c r="AD8376">
        <v>-0.104294</v>
      </c>
      <c r="AE8376">
        <v>3.7000000000006097E-2</v>
      </c>
      <c r="AF8376">
        <v>5.7321425798249101E-2</v>
      </c>
      <c r="AG8376">
        <v>-0.104294</v>
      </c>
      <c r="AH8376">
        <v>0.61573874944896101</v>
      </c>
      <c r="AI8376">
        <v>99.572910448456597</v>
      </c>
      <c r="AJ8376">
        <v>84.681450302280197</v>
      </c>
      <c r="AK8376">
        <v>0.62713410995138397</v>
      </c>
      <c r="AL8376">
        <v>91.1150055887653</v>
      </c>
      <c r="AM8376">
        <v>85.957391567519807</v>
      </c>
      <c r="AN8376">
        <v>0.99999997923640305</v>
      </c>
    </row>
    <row r="8377" spans="1:40" x14ac:dyDescent="0.25">
      <c r="A8377" t="str">
        <f>"20190312160850038"</f>
        <v>20190312160850038</v>
      </c>
      <c r="B8377" t="str">
        <f>"1552378130033614"</f>
        <v>1552378130033614</v>
      </c>
      <c r="C8377" t="s">
        <v>40</v>
      </c>
      <c r="D8377">
        <v>6.2531819999999998</v>
      </c>
      <c r="E8377">
        <v>0.50533030000000001</v>
      </c>
      <c r="F8377" t="s">
        <v>44</v>
      </c>
      <c r="G8377">
        <v>-165.56979999999999</v>
      </c>
      <c r="H8377">
        <v>0.99708960000000002</v>
      </c>
      <c r="I8377">
        <v>142.53540000000001</v>
      </c>
      <c r="J8377">
        <v>-166.26339999999999</v>
      </c>
      <c r="K8377">
        <v>1.109534</v>
      </c>
      <c r="L8377">
        <v>142.49449999999999</v>
      </c>
      <c r="M8377">
        <v>0.98876379999999997</v>
      </c>
      <c r="N8377">
        <v>0</v>
      </c>
      <c r="O8377">
        <v>0.14900820000000001</v>
      </c>
      <c r="P8377">
        <v>0.99633329999999998</v>
      </c>
      <c r="Q8377">
        <v>-3.1615610000000002E-2</v>
      </c>
      <c r="R8377">
        <v>7.9502829999999997E-2</v>
      </c>
      <c r="S8377">
        <v>2.9816129999999998</v>
      </c>
      <c r="T8377">
        <v>-0.43246040000000002</v>
      </c>
      <c r="U8377">
        <v>0.19847110000000001</v>
      </c>
      <c r="V8377">
        <v>6.9847699999999999E-2</v>
      </c>
      <c r="W8377">
        <v>-1.972867E-2</v>
      </c>
      <c r="X8377">
        <v>0.99736259999999999</v>
      </c>
      <c r="Y8377">
        <v>8.0635559999999995E-2</v>
      </c>
      <c r="Z8377">
        <v>-2.7202190000000001E-2</v>
      </c>
      <c r="AA8377">
        <v>0.99637240000000005</v>
      </c>
      <c r="AB8377">
        <v>8</v>
      </c>
      <c r="AC8377">
        <v>0.69360000000000299</v>
      </c>
      <c r="AD8377">
        <v>-0.1124444</v>
      </c>
      <c r="AE8377">
        <v>4.0900000000021898E-2</v>
      </c>
      <c r="AF8377">
        <v>6.1310365410611099E-2</v>
      </c>
      <c r="AG8377">
        <v>-0.1124444</v>
      </c>
      <c r="AH8377">
        <v>0.67429013309910502</v>
      </c>
      <c r="AI8377">
        <v>99.429311408067306</v>
      </c>
      <c r="AJ8377">
        <v>84.804621949103904</v>
      </c>
      <c r="AK8377">
        <v>0.68634531221022599</v>
      </c>
      <c r="AL8377">
        <v>91.130442822595796</v>
      </c>
      <c r="AM8377">
        <v>85.993979534801397</v>
      </c>
      <c r="AN8377">
        <v>1.0000000387470001</v>
      </c>
    </row>
    <row r="8378" spans="1:40" x14ac:dyDescent="0.25">
      <c r="A8378" t="str">
        <f>"20190312160850060"</f>
        <v>20190312160850060</v>
      </c>
      <c r="B8378" t="str">
        <f>"1552378130054110"</f>
        <v>1552378130054110</v>
      </c>
      <c r="C8378" t="s">
        <v>40</v>
      </c>
      <c r="D8378">
        <v>5.9677350000000002</v>
      </c>
      <c r="E8378">
        <v>0.50569269999999999</v>
      </c>
      <c r="F8378" t="s">
        <v>44</v>
      </c>
      <c r="G8378">
        <v>-165.49700000000001</v>
      </c>
      <c r="H8378">
        <v>0.99856409999999995</v>
      </c>
      <c r="I8378">
        <v>142.54499999999999</v>
      </c>
      <c r="J8378">
        <v>-166.18199999999999</v>
      </c>
      <c r="K8378">
        <v>1.1095440000000001</v>
      </c>
      <c r="L8378">
        <v>142.505</v>
      </c>
      <c r="M8378">
        <v>0.98898390000000003</v>
      </c>
      <c r="N8378">
        <v>0</v>
      </c>
      <c r="O8378">
        <v>0.14754110000000001</v>
      </c>
      <c r="P8378">
        <v>0.99638340000000003</v>
      </c>
      <c r="Q8378">
        <v>-3.2102760000000001E-2</v>
      </c>
      <c r="R8378">
        <v>7.8676220000000005E-2</v>
      </c>
      <c r="S8378">
        <v>2.9816280000000002</v>
      </c>
      <c r="T8378">
        <v>-0.43160890000000002</v>
      </c>
      <c r="U8378">
        <v>0.19688420000000001</v>
      </c>
      <c r="V8378">
        <v>6.9193539999999998E-2</v>
      </c>
      <c r="W8378">
        <v>-2.022268E-2</v>
      </c>
      <c r="X8378">
        <v>0.99739829999999996</v>
      </c>
      <c r="Y8378">
        <v>7.9718849999999994E-2</v>
      </c>
      <c r="Z8378">
        <v>-2.6875019999999999E-2</v>
      </c>
      <c r="AA8378">
        <v>0.99645499999999998</v>
      </c>
      <c r="AB8378">
        <v>8</v>
      </c>
      <c r="AC8378">
        <v>0.68500000000000205</v>
      </c>
      <c r="AD8378">
        <v>-0.11097990000000001</v>
      </c>
      <c r="AE8378">
        <v>3.9999999999992E-2</v>
      </c>
      <c r="AF8378">
        <v>5.9942611666822E-2</v>
      </c>
      <c r="AG8378">
        <v>-0.11097990000000001</v>
      </c>
      <c r="AH8378">
        <v>0.66598254089759201</v>
      </c>
      <c r="AI8378">
        <v>99.423477173496806</v>
      </c>
      <c r="AJ8378">
        <v>84.856878463381605</v>
      </c>
      <c r="AK8378">
        <v>0.677821805254052</v>
      </c>
      <c r="AL8378">
        <v>91.158753162101704</v>
      </c>
      <c r="AM8378">
        <v>86.031519142721606</v>
      </c>
      <c r="AN8378">
        <v>1.0000000358034999</v>
      </c>
    </row>
    <row r="8379" spans="1:40" x14ac:dyDescent="0.25">
      <c r="A8379" t="str">
        <f>"20190312160850083"</f>
        <v>20190312160850083</v>
      </c>
      <c r="B8379" t="str">
        <f>"1552378130073631"</f>
        <v>1552378130073631</v>
      </c>
      <c r="C8379" t="s">
        <v>40</v>
      </c>
      <c r="D8379">
        <v>5.9332010000000004</v>
      </c>
      <c r="E8379">
        <v>0.51012440000000003</v>
      </c>
      <c r="F8379" t="s">
        <v>44</v>
      </c>
      <c r="G8379">
        <v>-165.42449999999999</v>
      </c>
      <c r="H8379">
        <v>0.99911740000000004</v>
      </c>
      <c r="I8379">
        <v>142.55350000000001</v>
      </c>
      <c r="J8379">
        <v>-166.10120000000001</v>
      </c>
      <c r="K8379">
        <v>1.1095459999999999</v>
      </c>
      <c r="L8379">
        <v>142.5153</v>
      </c>
      <c r="M8379">
        <v>0.98919270000000004</v>
      </c>
      <c r="N8379">
        <v>0</v>
      </c>
      <c r="O8379">
        <v>0.14613429999999999</v>
      </c>
      <c r="P8379">
        <v>0.99644520000000003</v>
      </c>
      <c r="Q8379">
        <v>-3.2668280000000001E-2</v>
      </c>
      <c r="R8379">
        <v>7.7653040000000007E-2</v>
      </c>
      <c r="S8379">
        <v>2.9817499999999999</v>
      </c>
      <c r="T8379">
        <v>-0.4346216</v>
      </c>
      <c r="U8379">
        <v>0.19151309999999999</v>
      </c>
      <c r="V8379">
        <v>6.8796629999999998E-2</v>
      </c>
      <c r="W8379">
        <v>-2.0792479999999999E-2</v>
      </c>
      <c r="X8379">
        <v>0.99741400000000002</v>
      </c>
      <c r="Y8379">
        <v>8.0069360000000006E-2</v>
      </c>
      <c r="Z8379">
        <v>-2.6885590000000001E-2</v>
      </c>
      <c r="AA8379">
        <v>0.99642660000000005</v>
      </c>
      <c r="AB8379">
        <v>8</v>
      </c>
      <c r="AC8379">
        <v>0.67670000000001096</v>
      </c>
      <c r="AD8379">
        <v>-0.110428599999999</v>
      </c>
      <c r="AE8379">
        <v>3.8200000000017498E-2</v>
      </c>
      <c r="AF8379">
        <v>5.9526131637130199E-2</v>
      </c>
      <c r="AG8379">
        <v>-0.110428599999999</v>
      </c>
      <c r="AH8379">
        <v>0.65756191570750699</v>
      </c>
      <c r="AI8379">
        <v>99.494978870819494</v>
      </c>
      <c r="AJ8379">
        <v>84.827368934606397</v>
      </c>
      <c r="AK8379">
        <v>0.66942177215457199</v>
      </c>
      <c r="AL8379">
        <v>91.191407211832995</v>
      </c>
      <c r="AM8379">
        <v>86.054273058367997</v>
      </c>
      <c r="AN8379">
        <v>0.99999999545995299</v>
      </c>
    </row>
    <row r="8380" spans="1:40" x14ac:dyDescent="0.25">
      <c r="A8380" t="str">
        <f>"20190312160850105"</f>
        <v>20190312160850105</v>
      </c>
      <c r="B8380" t="str">
        <f>"1552378130094127"</f>
        <v>1552378130094127</v>
      </c>
      <c r="C8380" t="s">
        <v>40</v>
      </c>
      <c r="D8380">
        <v>6.0067459999999997</v>
      </c>
      <c r="E8380">
        <v>0.50727429999999996</v>
      </c>
      <c r="F8380" t="s">
        <v>44</v>
      </c>
      <c r="G8380">
        <v>-165.37530000000001</v>
      </c>
      <c r="H8380">
        <v>0.95009109999999997</v>
      </c>
      <c r="I8380">
        <v>142.55269999999999</v>
      </c>
      <c r="J8380">
        <v>-166.0213</v>
      </c>
      <c r="K8380">
        <v>1.109545</v>
      </c>
      <c r="L8380">
        <v>142.52539999999999</v>
      </c>
      <c r="M8380">
        <v>0.98939080000000001</v>
      </c>
      <c r="N8380">
        <v>0</v>
      </c>
      <c r="O8380">
        <v>0.14478750000000001</v>
      </c>
      <c r="P8380">
        <v>0.99648610000000004</v>
      </c>
      <c r="Q8380">
        <v>-3.27753E-2</v>
      </c>
      <c r="R8380">
        <v>7.7080330000000002E-2</v>
      </c>
      <c r="S8380">
        <v>2.9772799999999999</v>
      </c>
      <c r="T8380">
        <v>-0.65395209999999904</v>
      </c>
      <c r="U8380">
        <v>0.1538696</v>
      </c>
      <c r="V8380">
        <v>6.8011769999999999E-2</v>
      </c>
      <c r="W8380">
        <v>-2.0901610000000001E-2</v>
      </c>
      <c r="X8380">
        <v>0.99746559999999995</v>
      </c>
      <c r="Y8380">
        <v>8.80296E-2</v>
      </c>
      <c r="Z8380">
        <v>-4.0844220000000001E-2</v>
      </c>
      <c r="AA8380">
        <v>0.9952801</v>
      </c>
      <c r="AB8380">
        <v>8</v>
      </c>
      <c r="AC8380">
        <v>0.64599999999998603</v>
      </c>
      <c r="AD8380">
        <v>-0.15945390000000001</v>
      </c>
      <c r="AE8380">
        <v>2.7299999999996698E-2</v>
      </c>
      <c r="AF8380">
        <v>6.2713028698133194E-2</v>
      </c>
      <c r="AG8380">
        <v>-0.15945390000000001</v>
      </c>
      <c r="AH8380">
        <v>0.60627281001212796</v>
      </c>
      <c r="AI8380">
        <v>104.66063929520401</v>
      </c>
      <c r="AJ8380">
        <v>84.094312214146001</v>
      </c>
      <c r="AK8380">
        <v>0.63001999202700198</v>
      </c>
      <c r="AL8380">
        <v>91.1976611932987</v>
      </c>
      <c r="AM8380">
        <v>86.099348920892595</v>
      </c>
      <c r="AN8380">
        <v>1.0000000506712401</v>
      </c>
    </row>
    <row r="8381" spans="1:40" x14ac:dyDescent="0.25">
      <c r="A8381" t="str">
        <f>"20190312160850128"</f>
        <v>20190312160850128</v>
      </c>
      <c r="B8381" t="str">
        <f>"1552378130124382"</f>
        <v>1552378130124382</v>
      </c>
      <c r="C8381" t="s">
        <v>40</v>
      </c>
      <c r="D8381">
        <v>6.2011279999999998</v>
      </c>
      <c r="E8381">
        <v>0.51057419999999998</v>
      </c>
      <c r="F8381" t="s">
        <v>44</v>
      </c>
      <c r="G8381">
        <v>-165.29159999999999</v>
      </c>
      <c r="H8381">
        <v>0.97536469999999997</v>
      </c>
      <c r="I8381">
        <v>142.56819999999999</v>
      </c>
      <c r="J8381">
        <v>-165.9418</v>
      </c>
      <c r="K8381">
        <v>1.10954</v>
      </c>
      <c r="L8381">
        <v>142.53550000000001</v>
      </c>
      <c r="M8381">
        <v>0.98958020000000002</v>
      </c>
      <c r="N8381">
        <v>0</v>
      </c>
      <c r="O8381">
        <v>0.14348710000000001</v>
      </c>
      <c r="P8381">
        <v>0.9965271</v>
      </c>
      <c r="Q8381">
        <v>-3.2868849999999998E-2</v>
      </c>
      <c r="R8381">
        <v>7.6505550000000005E-2</v>
      </c>
      <c r="S8381">
        <v>2.97905</v>
      </c>
      <c r="T8381">
        <v>-0.54782449999999905</v>
      </c>
      <c r="U8381">
        <v>0.1745911</v>
      </c>
      <c r="V8381">
        <v>6.7276119999999995E-2</v>
      </c>
      <c r="W8381">
        <v>-2.099589E-2</v>
      </c>
      <c r="X8381">
        <v>0.99751350000000005</v>
      </c>
      <c r="Y8381">
        <v>8.1609959999999995E-2</v>
      </c>
      <c r="Z8381">
        <v>-3.3486170000000003E-2</v>
      </c>
      <c r="AA8381">
        <v>0.99610160000000003</v>
      </c>
      <c r="AB8381">
        <v>8</v>
      </c>
      <c r="AC8381">
        <v>0.65020000000001199</v>
      </c>
      <c r="AD8381">
        <v>-0.1341753</v>
      </c>
      <c r="AE8381">
        <v>3.2699999999976997E-2</v>
      </c>
      <c r="AF8381">
        <v>5.8457289393996102E-2</v>
      </c>
      <c r="AG8381">
        <v>-0.1341753</v>
      </c>
      <c r="AH8381">
        <v>0.62175302896085305</v>
      </c>
      <c r="AI8381">
        <v>102.12588765236301</v>
      </c>
      <c r="AJ8381">
        <v>84.628833904199496</v>
      </c>
      <c r="AK8381">
        <v>0.63874650279698497</v>
      </c>
      <c r="AL8381">
        <v>91.203064233798898</v>
      </c>
      <c r="AM8381">
        <v>86.141596933659301</v>
      </c>
      <c r="AN8381">
        <v>1.0000000432006899</v>
      </c>
    </row>
    <row r="8382" spans="1:40" x14ac:dyDescent="0.25">
      <c r="A8382" t="str">
        <f>"20190312160850149"</f>
        <v>20190312160850149</v>
      </c>
      <c r="B8382" t="str">
        <f>"1552378130143902"</f>
        <v>1552378130143902</v>
      </c>
      <c r="C8382" t="s">
        <v>40</v>
      </c>
      <c r="D8382">
        <v>6.0713720000000002</v>
      </c>
      <c r="E8382">
        <v>0.51640149999999996</v>
      </c>
      <c r="F8382" t="s">
        <v>44</v>
      </c>
      <c r="G8382">
        <v>-165.2149</v>
      </c>
      <c r="H8382">
        <v>0.9832263</v>
      </c>
      <c r="I8382">
        <v>142.5711</v>
      </c>
      <c r="J8382">
        <v>-165.86009999999999</v>
      </c>
      <c r="K8382">
        <v>1.109542</v>
      </c>
      <c r="L8382">
        <v>142.54570000000001</v>
      </c>
      <c r="M8382">
        <v>0.98976739999999996</v>
      </c>
      <c r="N8382">
        <v>0</v>
      </c>
      <c r="O8382">
        <v>0.14219039999999999</v>
      </c>
      <c r="P8382">
        <v>0.99656239999999996</v>
      </c>
      <c r="Q8382">
        <v>-3.3279250000000003E-2</v>
      </c>
      <c r="R8382">
        <v>7.5868140000000001E-2</v>
      </c>
      <c r="S8382">
        <v>2.982132</v>
      </c>
      <c r="T8382">
        <v>-0.51815889999999998</v>
      </c>
      <c r="U8382">
        <v>0.14627079999999901</v>
      </c>
      <c r="V8382">
        <v>6.6605109999999995E-2</v>
      </c>
      <c r="W8382">
        <v>-2.1405529999999999E-2</v>
      </c>
      <c r="X8382">
        <v>0.99754980000000004</v>
      </c>
      <c r="Y8382">
        <v>9.008244E-2</v>
      </c>
      <c r="Z8382">
        <v>-3.2189009999999997E-2</v>
      </c>
      <c r="AA8382">
        <v>0.99541400000000002</v>
      </c>
      <c r="AB8382">
        <v>8</v>
      </c>
      <c r="AC8382">
        <v>0.64519999999998801</v>
      </c>
      <c r="AD8382">
        <v>-0.126315699999999</v>
      </c>
      <c r="AE8382">
        <v>2.53999999999905E-2</v>
      </c>
      <c r="AF8382">
        <v>6.4150870909250202E-2</v>
      </c>
      <c r="AG8382">
        <v>-0.126315699999999</v>
      </c>
      <c r="AH8382">
        <v>0.61858241488382004</v>
      </c>
      <c r="AI8382">
        <v>101.481307779255</v>
      </c>
      <c r="AJ8382">
        <v>84.079234181465296</v>
      </c>
      <c r="AK8382">
        <v>0.63459845123385195</v>
      </c>
      <c r="AL8382">
        <v>91.226540180449007</v>
      </c>
      <c r="AM8382">
        <v>86.180104612053597</v>
      </c>
      <c r="AN8382">
        <v>1.0000000204363599</v>
      </c>
    </row>
    <row r="8383" spans="1:40" x14ac:dyDescent="0.25">
      <c r="A8383" t="str">
        <f>"20190312160850172"</f>
        <v>20190312160850172</v>
      </c>
      <c r="B8383" t="str">
        <f>"1552378130164402"</f>
        <v>1552378130164402</v>
      </c>
      <c r="C8383" t="s">
        <v>40</v>
      </c>
      <c r="D8383">
        <v>6.1455849999999996</v>
      </c>
      <c r="E8383">
        <v>0.52336779999999905</v>
      </c>
      <c r="F8383" t="s">
        <v>41</v>
      </c>
      <c r="G8383">
        <v>0</v>
      </c>
      <c r="H8383">
        <v>0</v>
      </c>
      <c r="I8383">
        <v>0</v>
      </c>
      <c r="J8383">
        <v>-165.7808</v>
      </c>
      <c r="K8383">
        <v>1.109545</v>
      </c>
      <c r="L8383">
        <v>142.5557</v>
      </c>
      <c r="M8383">
        <v>0.98994269999999995</v>
      </c>
      <c r="N8383">
        <v>0</v>
      </c>
      <c r="O8383">
        <v>0.14096510000000001</v>
      </c>
      <c r="P8383">
        <v>0.99660170000000003</v>
      </c>
      <c r="Q8383">
        <v>-3.340597E-2</v>
      </c>
      <c r="R8383">
        <v>7.5295459999999995E-2</v>
      </c>
      <c r="S8383">
        <v>3.0045169999999999</v>
      </c>
      <c r="T8383">
        <v>4.6039459999999997E-2</v>
      </c>
      <c r="U8383">
        <v>9.6786499999999998E-2</v>
      </c>
      <c r="V8383">
        <v>6.5943379999999996E-2</v>
      </c>
      <c r="W8383">
        <v>-2.153002E-2</v>
      </c>
      <c r="X8383">
        <v>0.99759109999999995</v>
      </c>
      <c r="Y8383">
        <v>0.1089975</v>
      </c>
      <c r="Z8383">
        <v>2.9877329999999998E-3</v>
      </c>
      <c r="AA8383">
        <v>0.99403750000000002</v>
      </c>
      <c r="AB8383">
        <v>8</v>
      </c>
      <c r="AC8383">
        <v>3.0045169999999999</v>
      </c>
      <c r="AD8383">
        <v>4.6039459999999997E-2</v>
      </c>
      <c r="AE8383">
        <v>9.6786499999999998E-2</v>
      </c>
      <c r="AF8383">
        <v>0.32766541010213901</v>
      </c>
      <c r="AG8383">
        <v>4.6039459999999997E-2</v>
      </c>
      <c r="AH8383">
        <v>2.9874550433837301</v>
      </c>
      <c r="AI8383">
        <v>89.122351014107096</v>
      </c>
      <c r="AJ8383">
        <v>83.740792180347498</v>
      </c>
      <c r="AK8383">
        <v>3.0057231890334499</v>
      </c>
      <c r="AL8383">
        <v>91.233674555695004</v>
      </c>
      <c r="AM8383">
        <v>86.218101171289604</v>
      </c>
      <c r="AN8383">
        <v>1.0000000369631099</v>
      </c>
    </row>
    <row r="8384" spans="1:40" x14ac:dyDescent="0.25">
      <c r="A8384" t="str">
        <f>"20190312160850193"</f>
        <v>20190312160850193</v>
      </c>
      <c r="B8384" t="str">
        <f>"1552378130184291"</f>
        <v>1552378130184291</v>
      </c>
      <c r="C8384" t="s">
        <v>40</v>
      </c>
      <c r="D8384">
        <v>5.9833299999999996</v>
      </c>
      <c r="E8384">
        <v>0.51991179999999904</v>
      </c>
      <c r="F8384" t="s">
        <v>80</v>
      </c>
      <c r="G8384">
        <v>174.5737</v>
      </c>
      <c r="H8384">
        <v>-0.1</v>
      </c>
      <c r="I8384">
        <v>147.08090000000001</v>
      </c>
      <c r="J8384">
        <v>-165.70359999999999</v>
      </c>
      <c r="K8384">
        <v>1.109545</v>
      </c>
      <c r="L8384">
        <v>142.56530000000001</v>
      </c>
      <c r="M8384">
        <v>0.99010739999999997</v>
      </c>
      <c r="N8384">
        <v>0</v>
      </c>
      <c r="O8384">
        <v>0.13980409999999999</v>
      </c>
      <c r="P8384">
        <v>0.99662340000000005</v>
      </c>
      <c r="Q8384">
        <v>-3.3813269999999999E-2</v>
      </c>
      <c r="R8384">
        <v>7.4825150000000007E-2</v>
      </c>
      <c r="S8384">
        <v>3.0068510000000002</v>
      </c>
      <c r="T8384">
        <v>-1.0685679999999999E-2</v>
      </c>
      <c r="U8384">
        <v>3.9978029999999998E-2</v>
      </c>
      <c r="V8384">
        <v>6.5242480000000005E-2</v>
      </c>
      <c r="W8384">
        <v>-2.193457E-2</v>
      </c>
      <c r="X8384">
        <v>0.99762830000000002</v>
      </c>
      <c r="Y8384">
        <v>0.1266361</v>
      </c>
      <c r="Z8384">
        <v>-7.2051059999999896E-4</v>
      </c>
      <c r="AA8384">
        <v>0.99194899999999997</v>
      </c>
      <c r="AB8384">
        <v>8</v>
      </c>
      <c r="AC8384">
        <v>340.27730000000003</v>
      </c>
      <c r="AD8384">
        <v>-1.2095450000000001</v>
      </c>
      <c r="AE8384">
        <v>4.5156000000000001</v>
      </c>
      <c r="AF8384">
        <v>43.103751926549499</v>
      </c>
      <c r="AG8384">
        <v>-1.2095450000000001</v>
      </c>
      <c r="AH8384">
        <v>337.56210119877898</v>
      </c>
      <c r="AI8384">
        <v>90.203646572738407</v>
      </c>
      <c r="AJ8384">
        <v>82.723205056910302</v>
      </c>
      <c r="AK8384">
        <v>340.305111032713</v>
      </c>
      <c r="AL8384">
        <v>91.256859127682603</v>
      </c>
      <c r="AM8384">
        <v>86.258322598111803</v>
      </c>
      <c r="AN8384">
        <v>0.99999996575926198</v>
      </c>
    </row>
    <row r="8385" spans="1:40" x14ac:dyDescent="0.25">
      <c r="A8385" t="str">
        <f>"20190312160850216"</f>
        <v>20190312160850216</v>
      </c>
      <c r="B8385" t="str">
        <f>"1552378130203811"</f>
        <v>1552378130203811</v>
      </c>
      <c r="C8385" t="s">
        <v>40</v>
      </c>
      <c r="D8385">
        <v>6.0283410000000002</v>
      </c>
      <c r="E8385">
        <v>0.51782419999999996</v>
      </c>
      <c r="F8385" t="s">
        <v>80</v>
      </c>
      <c r="G8385">
        <v>-38.856929999999998</v>
      </c>
      <c r="H8385">
        <v>-0.1</v>
      </c>
      <c r="I8385">
        <v>145.35040000000001</v>
      </c>
      <c r="J8385">
        <v>-165.62119999999999</v>
      </c>
      <c r="K8385">
        <v>1.10954</v>
      </c>
      <c r="L8385">
        <v>142.5754</v>
      </c>
      <c r="M8385">
        <v>0.9902763</v>
      </c>
      <c r="N8385">
        <v>0</v>
      </c>
      <c r="O8385">
        <v>0.138600799999999</v>
      </c>
      <c r="P8385">
        <v>0.99666330000000003</v>
      </c>
      <c r="Q8385">
        <v>-3.4952940000000002E-2</v>
      </c>
      <c r="R8385">
        <v>7.3758770000000001E-2</v>
      </c>
      <c r="S8385">
        <v>3.004257</v>
      </c>
      <c r="T8385">
        <v>-2.864707E-2</v>
      </c>
      <c r="U8385">
        <v>6.5963750000000002E-2</v>
      </c>
      <c r="V8385">
        <v>6.5092179999999999E-2</v>
      </c>
      <c r="W8385">
        <v>-2.3072280000000001E-2</v>
      </c>
      <c r="X8385">
        <v>0.99761250000000001</v>
      </c>
      <c r="Y8385">
        <v>0.11682620000000001</v>
      </c>
      <c r="Z8385">
        <v>-1.8747429999999999E-3</v>
      </c>
      <c r="AA8385">
        <v>0.99315059999999999</v>
      </c>
      <c r="AB8385">
        <v>8</v>
      </c>
      <c r="AC8385">
        <v>126.764269999999</v>
      </c>
      <c r="AD8385">
        <v>-1.2095400000000001</v>
      </c>
      <c r="AE8385">
        <v>2.7749999999999999</v>
      </c>
      <c r="AF8385">
        <v>14.8213211664065</v>
      </c>
      <c r="AG8385">
        <v>-1.2095400000000001</v>
      </c>
      <c r="AH8385">
        <v>125.91379447001199</v>
      </c>
      <c r="AI8385">
        <v>90.546598348888907</v>
      </c>
      <c r="AJ8385">
        <v>83.286602407950198</v>
      </c>
      <c r="AK8385">
        <v>126.78887248479499</v>
      </c>
      <c r="AL8385">
        <v>91.3220615663205</v>
      </c>
      <c r="AM8385">
        <v>86.266858993330104</v>
      </c>
      <c r="AN8385">
        <v>1.0000000110789</v>
      </c>
    </row>
    <row r="8386" spans="1:40" x14ac:dyDescent="0.25">
      <c r="A8386" t="str">
        <f>"20190312160850239"</f>
        <v>20190312160850239</v>
      </c>
      <c r="B8386" t="str">
        <f>"1552378130234067"</f>
        <v>1552378130234067</v>
      </c>
      <c r="C8386" t="s">
        <v>40</v>
      </c>
      <c r="D8386">
        <v>6.1974150000000003</v>
      </c>
      <c r="E8386">
        <v>0.51598290000000002</v>
      </c>
      <c r="F8386" t="s">
        <v>47</v>
      </c>
      <c r="G8386">
        <v>-83.140590000000003</v>
      </c>
      <c r="H8386" s="1">
        <v>-4.1189009999999999E-6</v>
      </c>
      <c r="I8386">
        <v>144.75569999999999</v>
      </c>
      <c r="J8386">
        <v>-165.53710000000001</v>
      </c>
      <c r="K8386">
        <v>1.1095330000000001</v>
      </c>
      <c r="L8386">
        <v>142.58580000000001</v>
      </c>
      <c r="M8386">
        <v>0.99044370000000004</v>
      </c>
      <c r="N8386">
        <v>0</v>
      </c>
      <c r="O8386">
        <v>0.13740050000000001</v>
      </c>
      <c r="P8386">
        <v>0.99668679999999998</v>
      </c>
      <c r="Q8386">
        <v>-3.5066050000000001E-2</v>
      </c>
      <c r="R8386">
        <v>7.3389029999999994E-2</v>
      </c>
      <c r="S8386">
        <v>3.0027469999999998</v>
      </c>
      <c r="T8386">
        <v>-4.0393470000000001E-2</v>
      </c>
      <c r="U8386">
        <v>7.9376219999999997E-2</v>
      </c>
      <c r="V8386">
        <v>6.4252580000000004E-2</v>
      </c>
      <c r="W8386">
        <v>-2.3182709999999999E-2</v>
      </c>
      <c r="X8386">
        <v>0.99766429999999995</v>
      </c>
      <c r="Y8386">
        <v>0.11116529999999999</v>
      </c>
      <c r="Z8386">
        <v>-2.590363E-3</v>
      </c>
      <c r="AA8386">
        <v>0.99379859999999998</v>
      </c>
      <c r="AB8386">
        <v>8</v>
      </c>
      <c r="AC8386">
        <v>82.396509999999907</v>
      </c>
      <c r="AD8386">
        <v>-1.1095371189009999</v>
      </c>
      <c r="AE8386">
        <v>2.1698999999999802</v>
      </c>
      <c r="AF8386">
        <v>9.1711490839805894</v>
      </c>
      <c r="AG8386">
        <v>-1.1095371189009999</v>
      </c>
      <c r="AH8386">
        <v>81.8982409731301</v>
      </c>
      <c r="AI8386">
        <v>90.771360783953995</v>
      </c>
      <c r="AJ8386">
        <v>83.610509234154193</v>
      </c>
      <c r="AK8386">
        <v>82.417612939417893</v>
      </c>
      <c r="AL8386">
        <v>91.328390521412601</v>
      </c>
      <c r="AM8386">
        <v>86.315068660758499</v>
      </c>
      <c r="AN8386">
        <v>0.99999994378704304</v>
      </c>
    </row>
    <row r="8387" spans="1:40" x14ac:dyDescent="0.25">
      <c r="A8387" t="str">
        <f>"20190312160850262"</f>
        <v>20190312160850262</v>
      </c>
      <c r="B8387" t="str">
        <f>"1552378130253587"</f>
        <v>1552378130253587</v>
      </c>
      <c r="C8387" t="s">
        <v>40</v>
      </c>
      <c r="D8387">
        <v>6.0693229999999998</v>
      </c>
      <c r="E8387">
        <v>0.51557770000000003</v>
      </c>
      <c r="F8387" t="s">
        <v>47</v>
      </c>
      <c r="G8387">
        <v>-91.508330000000001</v>
      </c>
      <c r="H8387" s="1">
        <v>-4.6962570000000001E-6</v>
      </c>
      <c r="I8387">
        <v>144.87909999999999</v>
      </c>
      <c r="J8387">
        <v>-165.4573</v>
      </c>
      <c r="K8387">
        <v>1.1095189999999999</v>
      </c>
      <c r="L8387">
        <v>142.59549999999999</v>
      </c>
      <c r="M8387">
        <v>0.99059960000000002</v>
      </c>
      <c r="N8387">
        <v>0</v>
      </c>
      <c r="O8387">
        <v>0.13627110000000001</v>
      </c>
      <c r="P8387">
        <v>0.99671010000000004</v>
      </c>
      <c r="Q8387">
        <v>-3.533186E-2</v>
      </c>
      <c r="R8387">
        <v>7.2942960000000001E-2</v>
      </c>
      <c r="S8387">
        <v>3.0015559999999999</v>
      </c>
      <c r="T8387">
        <v>-4.4987079999999999E-2</v>
      </c>
      <c r="U8387">
        <v>9.2987059999999996E-2</v>
      </c>
      <c r="V8387">
        <v>6.35598E-2</v>
      </c>
      <c r="W8387">
        <v>-2.3446970000000001E-2</v>
      </c>
      <c r="X8387">
        <v>0.99770250000000005</v>
      </c>
      <c r="Y8387">
        <v>0.1055126</v>
      </c>
      <c r="Z8387">
        <v>-2.8265730000000002E-3</v>
      </c>
      <c r="AA8387">
        <v>0.99441400000000002</v>
      </c>
      <c r="AB8387">
        <v>8</v>
      </c>
      <c r="AC8387">
        <v>73.948969999999903</v>
      </c>
      <c r="AD8387">
        <v>-1.1095236962569901</v>
      </c>
      <c r="AE8387">
        <v>2.2835999999999999</v>
      </c>
      <c r="AF8387">
        <v>7.8137742437334596</v>
      </c>
      <c r="AG8387">
        <v>-1.1095236962569901</v>
      </c>
      <c r="AH8387">
        <v>73.553712821106799</v>
      </c>
      <c r="AI8387">
        <v>90.859379918587294</v>
      </c>
      <c r="AJ8387">
        <v>83.936084871420604</v>
      </c>
      <c r="AK8387">
        <v>73.975906757095203</v>
      </c>
      <c r="AL8387">
        <v>91.343535622191197</v>
      </c>
      <c r="AM8387">
        <v>86.354831571386498</v>
      </c>
      <c r="AN8387">
        <v>0.99999994354223298</v>
      </c>
    </row>
    <row r="8388" spans="1:40" x14ac:dyDescent="0.25">
      <c r="A8388" t="str">
        <f>"20190312160850284"</f>
        <v>20190312160850284</v>
      </c>
      <c r="B8388" t="str">
        <f>"1552378130274085"</f>
        <v>1552378130274085</v>
      </c>
      <c r="C8388" t="s">
        <v>40</v>
      </c>
      <c r="D8388">
        <v>6.1210420000000001</v>
      </c>
      <c r="E8388">
        <v>0.5151173</v>
      </c>
      <c r="F8388" t="s">
        <v>47</v>
      </c>
      <c r="G8388">
        <v>-96.610759999999999</v>
      </c>
      <c r="H8388" s="1">
        <v>-2.8086180000000002E-6</v>
      </c>
      <c r="I8388">
        <v>144.774</v>
      </c>
      <c r="J8388">
        <v>-165.37559999999999</v>
      </c>
      <c r="K8388">
        <v>1.109504</v>
      </c>
      <c r="L8388">
        <v>142.6053</v>
      </c>
      <c r="M8388">
        <v>0.99075630000000003</v>
      </c>
      <c r="N8388">
        <v>0</v>
      </c>
      <c r="O8388">
        <v>0.1351271</v>
      </c>
      <c r="P8388">
        <v>0.99676600000000004</v>
      </c>
      <c r="Q8388">
        <v>-3.6965440000000002E-2</v>
      </c>
      <c r="R8388">
        <v>7.1352040000000005E-2</v>
      </c>
      <c r="S8388">
        <v>3.0012210000000001</v>
      </c>
      <c r="T8388">
        <v>-4.8367260000000002E-2</v>
      </c>
      <c r="U8388">
        <v>9.4970700000000005E-2</v>
      </c>
      <c r="V8388">
        <v>6.3990549999999993E-2</v>
      </c>
      <c r="W8388">
        <v>-2.508084E-2</v>
      </c>
      <c r="X8388">
        <v>0.9976353</v>
      </c>
      <c r="Y8388">
        <v>0.10370020000000001</v>
      </c>
      <c r="Z8388">
        <v>-3.006328E-3</v>
      </c>
      <c r="AA8388">
        <v>0.99460409999999999</v>
      </c>
      <c r="AB8388">
        <v>8</v>
      </c>
      <c r="AC8388">
        <v>68.764839999999893</v>
      </c>
      <c r="AD8388">
        <v>-1.109506808618</v>
      </c>
      <c r="AE8388">
        <v>2.1686999999999999</v>
      </c>
      <c r="AF8388">
        <v>7.1419922329359302</v>
      </c>
      <c r="AG8388">
        <v>-1.109506808618</v>
      </c>
      <c r="AH8388">
        <v>68.409336908527905</v>
      </c>
      <c r="AI8388">
        <v>90.924156579956502</v>
      </c>
      <c r="AJ8388">
        <v>84.039864148903902</v>
      </c>
      <c r="AK8388">
        <v>68.790089654529197</v>
      </c>
      <c r="AL8388">
        <v>91.437176959026601</v>
      </c>
      <c r="AM8388">
        <v>86.329948726342593</v>
      </c>
      <c r="AN8388">
        <v>1.00000001541524</v>
      </c>
    </row>
    <row r="8389" spans="1:40" x14ac:dyDescent="0.25">
      <c r="A8389" t="str">
        <f>"20190312160850306"</f>
        <v>20190312160850306</v>
      </c>
      <c r="B8389" t="str">
        <f>"1552378130293604"</f>
        <v>1552378130293604</v>
      </c>
      <c r="C8389" t="s">
        <v>40</v>
      </c>
      <c r="D8389">
        <v>6.1831589999999998</v>
      </c>
      <c r="E8389">
        <v>0.51482240000000001</v>
      </c>
      <c r="F8389" t="s">
        <v>47</v>
      </c>
      <c r="G8389">
        <v>-106.1497</v>
      </c>
      <c r="H8389" s="1">
        <v>-3.0880540000000001E-6</v>
      </c>
      <c r="I8389">
        <v>144.45529999999999</v>
      </c>
      <c r="J8389">
        <v>-165.29949999999999</v>
      </c>
      <c r="K8389">
        <v>1.109494</v>
      </c>
      <c r="L8389">
        <v>142.61439999999999</v>
      </c>
      <c r="M8389">
        <v>0.99089939999999999</v>
      </c>
      <c r="N8389">
        <v>0</v>
      </c>
      <c r="O8389">
        <v>0.13407379999999999</v>
      </c>
      <c r="P8389">
        <v>0.99690860000000003</v>
      </c>
      <c r="Q8389">
        <v>-3.713209E-2</v>
      </c>
      <c r="R8389">
        <v>6.924392E-2</v>
      </c>
      <c r="S8389">
        <v>3.000931</v>
      </c>
      <c r="T8389">
        <v>-5.6217910000000003E-2</v>
      </c>
      <c r="U8389">
        <v>9.3734739999999997E-2</v>
      </c>
      <c r="V8389">
        <v>6.5037869999999998E-2</v>
      </c>
      <c r="W8389">
        <v>-2.5247729999999999E-2</v>
      </c>
      <c r="X8389">
        <v>0.99756339999999999</v>
      </c>
      <c r="Y8389">
        <v>0.10303850000000001</v>
      </c>
      <c r="Z8389">
        <v>-3.4688240000000001E-3</v>
      </c>
      <c r="AA8389">
        <v>0.99467130000000004</v>
      </c>
      <c r="AB8389">
        <v>8</v>
      </c>
      <c r="AC8389">
        <v>59.149799999999999</v>
      </c>
      <c r="AD8389">
        <v>-1.109497088054</v>
      </c>
      <c r="AE8389">
        <v>1.8409</v>
      </c>
      <c r="AF8389">
        <v>6.1045814001309102</v>
      </c>
      <c r="AG8389">
        <v>-1.109497088054</v>
      </c>
      <c r="AH8389">
        <v>58.841831792242999</v>
      </c>
      <c r="AI8389">
        <v>91.074451958662195</v>
      </c>
      <c r="AJ8389">
        <v>84.077004110024504</v>
      </c>
      <c r="AK8389">
        <v>59.168049372324603</v>
      </c>
      <c r="AL8389">
        <v>91.446742023663205</v>
      </c>
      <c r="AM8389">
        <v>86.269781888430003</v>
      </c>
      <c r="AN8389">
        <v>1.0000000547119201</v>
      </c>
    </row>
    <row r="8390" spans="1:40" x14ac:dyDescent="0.25">
      <c r="A8390" t="str">
        <f>"20190312160850328"</f>
        <v>20190312160850328</v>
      </c>
      <c r="B8390" t="str">
        <f>"1552378130323859"</f>
        <v>1552378130323859</v>
      </c>
      <c r="C8390" t="s">
        <v>40</v>
      </c>
      <c r="D8390">
        <v>6.0659789999999996</v>
      </c>
      <c r="E8390">
        <v>0.51427079999999903</v>
      </c>
      <c r="F8390" t="s">
        <v>47</v>
      </c>
      <c r="G8390">
        <v>-106.5029</v>
      </c>
      <c r="H8390" s="1">
        <v>-2.8989439999999998E-6</v>
      </c>
      <c r="I8390">
        <v>144.37200000000001</v>
      </c>
      <c r="J8390">
        <v>-165.2201</v>
      </c>
      <c r="K8390">
        <v>1.1094850000000001</v>
      </c>
      <c r="L8390">
        <v>142.62389999999999</v>
      </c>
      <c r="M8390">
        <v>0.99104570000000003</v>
      </c>
      <c r="N8390">
        <v>0</v>
      </c>
      <c r="O8390">
        <v>0.132988</v>
      </c>
      <c r="P8390">
        <v>0.99703900000000001</v>
      </c>
      <c r="Q8390">
        <v>-3.6852360000000001E-2</v>
      </c>
      <c r="R8390">
        <v>6.7492189999999994E-2</v>
      </c>
      <c r="S8390">
        <v>3.0009610000000002</v>
      </c>
      <c r="T8390">
        <v>-5.662847E-2</v>
      </c>
      <c r="U8390">
        <v>8.9706419999999995E-2</v>
      </c>
      <c r="V8390">
        <v>6.5698560000000003E-2</v>
      </c>
      <c r="W8390">
        <v>-2.4966970000000002E-2</v>
      </c>
      <c r="X8390">
        <v>0.9975271</v>
      </c>
      <c r="Y8390">
        <v>0.103282399999999</v>
      </c>
      <c r="Z8390">
        <v>-3.4762220000000002E-3</v>
      </c>
      <c r="AA8390">
        <v>0.99464600000000003</v>
      </c>
      <c r="AB8390">
        <v>8</v>
      </c>
      <c r="AC8390">
        <v>58.717199999999998</v>
      </c>
      <c r="AD8390">
        <v>-1.109487898944</v>
      </c>
      <c r="AE8390">
        <v>1.74810000000002</v>
      </c>
      <c r="AF8390">
        <v>6.0745024172919102</v>
      </c>
      <c r="AG8390">
        <v>-1.109487898944</v>
      </c>
      <c r="AH8390">
        <v>58.407236193341802</v>
      </c>
      <c r="AI8390">
        <v>91.082407288607399</v>
      </c>
      <c r="AJ8390">
        <v>84.062438471949704</v>
      </c>
      <c r="AK8390">
        <v>58.732748809845397</v>
      </c>
      <c r="AL8390">
        <v>91.430650691677798</v>
      </c>
      <c r="AM8390">
        <v>86.231860201460293</v>
      </c>
      <c r="AN8390">
        <v>0.99999998280573199</v>
      </c>
    </row>
    <row r="8391" spans="1:40" x14ac:dyDescent="0.25">
      <c r="A8391" t="str">
        <f>"20190312160850351"</f>
        <v>20190312160850351</v>
      </c>
      <c r="B8391" t="str">
        <f>"1552378130344356"</f>
        <v>1552378130344356</v>
      </c>
      <c r="C8391" t="s">
        <v>40</v>
      </c>
      <c r="D8391">
        <v>6.1162269999999896</v>
      </c>
      <c r="E8391">
        <v>0.51342330000000003</v>
      </c>
      <c r="F8391" t="s">
        <v>47</v>
      </c>
      <c r="G8391">
        <v>-107.5509</v>
      </c>
      <c r="H8391" s="1">
        <v>-2.3928289999999999E-6</v>
      </c>
      <c r="I8391">
        <v>144.33170000000001</v>
      </c>
      <c r="J8391">
        <v>-165.13910000000001</v>
      </c>
      <c r="K8391">
        <v>1.109478</v>
      </c>
      <c r="L8391">
        <v>142.63339999999999</v>
      </c>
      <c r="M8391">
        <v>0.99119199999999996</v>
      </c>
      <c r="N8391">
        <v>0</v>
      </c>
      <c r="O8391">
        <v>0.13189279999999901</v>
      </c>
      <c r="P8391">
        <v>0.99714020000000003</v>
      </c>
      <c r="Q8391">
        <v>-3.7109719999999999E-2</v>
      </c>
      <c r="R8391">
        <v>6.583667E-2</v>
      </c>
      <c r="S8391">
        <v>3.0007779999999999</v>
      </c>
      <c r="T8391">
        <v>-5.773139E-2</v>
      </c>
      <c r="U8391">
        <v>8.8867189999999999E-2</v>
      </c>
      <c r="V8391">
        <v>6.6250959999999998E-2</v>
      </c>
      <c r="W8391">
        <v>-2.5222609999999999E-2</v>
      </c>
      <c r="X8391">
        <v>0.99748409999999998</v>
      </c>
      <c r="Y8391">
        <v>0.1024581</v>
      </c>
      <c r="Z8391">
        <v>-3.515326E-3</v>
      </c>
      <c r="AA8391">
        <v>0.99473109999999998</v>
      </c>
      <c r="AB8391">
        <v>8</v>
      </c>
      <c r="AC8391">
        <v>57.588200000000001</v>
      </c>
      <c r="AD8391">
        <v>-1.109480392829</v>
      </c>
      <c r="AE8391">
        <v>1.6983000000000099</v>
      </c>
      <c r="AF8391">
        <v>5.91035763363824</v>
      </c>
      <c r="AG8391">
        <v>-1.109480392829</v>
      </c>
      <c r="AH8391">
        <v>57.287801058253798</v>
      </c>
      <c r="AI8391">
        <v>91.1036396692013</v>
      </c>
      <c r="AJ8391">
        <v>84.109659092180806</v>
      </c>
      <c r="AK8391">
        <v>57.602564389006503</v>
      </c>
      <c r="AL8391">
        <v>91.445302446995598</v>
      </c>
      <c r="AM8391">
        <v>86.200106416666401</v>
      </c>
      <c r="AN8391">
        <v>0.99999994975447004</v>
      </c>
    </row>
    <row r="8392" spans="1:40" x14ac:dyDescent="0.25">
      <c r="A8392" t="str">
        <f>"20190312160850372"</f>
        <v>20190312160850372</v>
      </c>
      <c r="B8392" t="str">
        <f>"1552378130363875"</f>
        <v>1552378130363875</v>
      </c>
      <c r="C8392" t="s">
        <v>40</v>
      </c>
      <c r="D8392">
        <v>6.1678550000000003</v>
      </c>
      <c r="E8392">
        <v>0.51303920000000003</v>
      </c>
      <c r="F8392" t="s">
        <v>47</v>
      </c>
      <c r="G8392">
        <v>-108.8964</v>
      </c>
      <c r="H8392" s="1">
        <v>-1.7568109999999999E-6</v>
      </c>
      <c r="I8392">
        <v>144.33179999999999</v>
      </c>
      <c r="J8392">
        <v>-165.0607</v>
      </c>
      <c r="K8392">
        <v>1.1094820000000001</v>
      </c>
      <c r="L8392">
        <v>142.64259999999999</v>
      </c>
      <c r="M8392">
        <v>0.99132889999999996</v>
      </c>
      <c r="N8392">
        <v>0</v>
      </c>
      <c r="O8392">
        <v>0.13086</v>
      </c>
      <c r="P8392">
        <v>0.99723550000000005</v>
      </c>
      <c r="Q8392">
        <v>-3.756408E-2</v>
      </c>
      <c r="R8392">
        <v>6.4113680000000006E-2</v>
      </c>
      <c r="S8392">
        <v>3.0004119999999999</v>
      </c>
      <c r="T8392">
        <v>-5.9188129999999999E-2</v>
      </c>
      <c r="U8392">
        <v>9.0606690000000004E-2</v>
      </c>
      <c r="V8392">
        <v>6.693288E-2</v>
      </c>
      <c r="W8392">
        <v>-2.5674619999999999E-2</v>
      </c>
      <c r="X8392">
        <v>0.99742710000000001</v>
      </c>
      <c r="Y8392">
        <v>0.1008401</v>
      </c>
      <c r="Z8392">
        <v>-3.5682270000000002E-3</v>
      </c>
      <c r="AA8392">
        <v>0.99489620000000001</v>
      </c>
      <c r="AB8392">
        <v>8</v>
      </c>
      <c r="AC8392">
        <v>56.164299999999997</v>
      </c>
      <c r="AD8392">
        <v>-1.1094837568109901</v>
      </c>
      <c r="AE8392">
        <v>1.68919999999999</v>
      </c>
      <c r="AF8392">
        <v>5.6733005101089002</v>
      </c>
      <c r="AG8392">
        <v>-1.1094837568109901</v>
      </c>
      <c r="AH8392">
        <v>55.880543868647798</v>
      </c>
      <c r="AI8392">
        <v>91.131617638880996</v>
      </c>
      <c r="AJ8392">
        <v>84.202880319877096</v>
      </c>
      <c r="AK8392">
        <v>56.178754667049198</v>
      </c>
      <c r="AL8392">
        <v>91.471209018196404</v>
      </c>
      <c r="AM8392">
        <v>86.160891808103699</v>
      </c>
      <c r="AN8392">
        <v>1.00000000817582</v>
      </c>
    </row>
    <row r="8393" spans="1:40" x14ac:dyDescent="0.25">
      <c r="A8393" t="str">
        <f>"20190312160850395"</f>
        <v>20190312160850395</v>
      </c>
      <c r="B8393" t="str">
        <f>"1552378130384371"</f>
        <v>1552378130384371</v>
      </c>
      <c r="C8393" t="s">
        <v>40</v>
      </c>
      <c r="D8393">
        <v>6.1130370000000003</v>
      </c>
      <c r="E8393">
        <v>0.51284090000000004</v>
      </c>
      <c r="F8393" t="s">
        <v>47</v>
      </c>
      <c r="G8393">
        <v>-111.55719999999999</v>
      </c>
      <c r="H8393" s="1">
        <v>-4.5628270000000003E-6</v>
      </c>
      <c r="I8393">
        <v>144.22049999999999</v>
      </c>
      <c r="J8393">
        <v>-164.98089999999999</v>
      </c>
      <c r="K8393">
        <v>1.109488</v>
      </c>
      <c r="L8393">
        <v>142.65190000000001</v>
      </c>
      <c r="M8393">
        <v>0.99146330000000005</v>
      </c>
      <c r="N8393">
        <v>0</v>
      </c>
      <c r="O8393">
        <v>0.12983710000000001</v>
      </c>
      <c r="P8393">
        <v>0.99728320000000004</v>
      </c>
      <c r="Q8393">
        <v>-3.8476209999999997E-2</v>
      </c>
      <c r="R8393">
        <v>6.2815960000000004E-2</v>
      </c>
      <c r="S8393">
        <v>3.0002900000000001</v>
      </c>
      <c r="T8393">
        <v>-6.221604E-2</v>
      </c>
      <c r="U8393">
        <v>8.8485720000000004E-2</v>
      </c>
      <c r="V8393">
        <v>6.7197389999999996E-2</v>
      </c>
      <c r="W8393">
        <v>-2.658371E-2</v>
      </c>
      <c r="X8393">
        <v>0.99738550000000004</v>
      </c>
      <c r="Y8393">
        <v>0.10051060000000001</v>
      </c>
      <c r="Z8393">
        <v>-3.726488E-3</v>
      </c>
      <c r="AA8393">
        <v>0.99492899999999995</v>
      </c>
      <c r="AB8393">
        <v>8</v>
      </c>
      <c r="AC8393">
        <v>53.423699999999997</v>
      </c>
      <c r="AD8393">
        <v>-1.109492562827</v>
      </c>
      <c r="AE8393">
        <v>1.56859999999997</v>
      </c>
      <c r="AF8393">
        <v>5.3792352707489197</v>
      </c>
      <c r="AG8393">
        <v>-1.109492562827</v>
      </c>
      <c r="AH8393">
        <v>53.152193732096002</v>
      </c>
      <c r="AI8393">
        <v>91.189736068260899</v>
      </c>
      <c r="AJ8393">
        <v>84.221091887605894</v>
      </c>
      <c r="AK8393">
        <v>53.435221009922898</v>
      </c>
      <c r="AL8393">
        <v>91.523313828033096</v>
      </c>
      <c r="AM8393">
        <v>86.145605520202395</v>
      </c>
      <c r="AN8393">
        <v>1.0000000092352099</v>
      </c>
    </row>
    <row r="8394" spans="1:40" x14ac:dyDescent="0.25">
      <c r="A8394" t="str">
        <f>"20190312160850417"</f>
        <v>20190312160850417</v>
      </c>
      <c r="B8394" t="str">
        <f>"1552378130413651"</f>
        <v>1552378130413651</v>
      </c>
      <c r="C8394" t="s">
        <v>40</v>
      </c>
      <c r="D8394">
        <v>5.7062809999999997</v>
      </c>
      <c r="E8394">
        <v>0.512374</v>
      </c>
      <c r="F8394" t="s">
        <v>47</v>
      </c>
      <c r="G8394">
        <v>-114.6354</v>
      </c>
      <c r="H8394" s="1">
        <v>-3.4757169999999999E-6</v>
      </c>
      <c r="I8394">
        <v>144.09630000000001</v>
      </c>
      <c r="J8394">
        <v>-164.8999</v>
      </c>
      <c r="K8394">
        <v>1.109488</v>
      </c>
      <c r="L8394">
        <v>142.66130000000001</v>
      </c>
      <c r="M8394">
        <v>0.99159520000000001</v>
      </c>
      <c r="N8394">
        <v>0</v>
      </c>
      <c r="O8394">
        <v>0.128826</v>
      </c>
      <c r="P8394">
        <v>0.99733470000000002</v>
      </c>
      <c r="Q8394">
        <v>-3.8663099999999999E-2</v>
      </c>
      <c r="R8394">
        <v>6.1878410000000002E-2</v>
      </c>
      <c r="S8394">
        <v>3.0001829999999998</v>
      </c>
      <c r="T8394">
        <v>-6.6116690000000006E-2</v>
      </c>
      <c r="U8394">
        <v>8.6074830000000005E-2</v>
      </c>
      <c r="V8394">
        <v>6.7117560000000007E-2</v>
      </c>
      <c r="W8394">
        <v>-2.6767320000000001E-2</v>
      </c>
      <c r="X8394">
        <v>0.99738599999999999</v>
      </c>
      <c r="Y8394">
        <v>0.1002878</v>
      </c>
      <c r="Z8394">
        <v>-3.9357230000000003E-3</v>
      </c>
      <c r="AA8394">
        <v>0.99495069999999997</v>
      </c>
      <c r="AB8394">
        <v>8</v>
      </c>
      <c r="AC8394">
        <v>50.264499999999998</v>
      </c>
      <c r="AD8394">
        <v>-1.109491475717</v>
      </c>
      <c r="AE8394">
        <v>1.4350000000000001</v>
      </c>
      <c r="AF8394">
        <v>5.0503375785925302</v>
      </c>
      <c r="AG8394">
        <v>-1.109491475717</v>
      </c>
      <c r="AH8394">
        <v>50.006130919651497</v>
      </c>
      <c r="AI8394">
        <v>91.264588323857097</v>
      </c>
      <c r="AJ8394">
        <v>84.233003445155305</v>
      </c>
      <c r="AK8394">
        <v>50.272756146304097</v>
      </c>
      <c r="AL8394">
        <v>91.533837596665293</v>
      </c>
      <c r="AM8394">
        <v>86.150172658520901</v>
      </c>
      <c r="AN8394">
        <v>1.0000000446381601</v>
      </c>
    </row>
    <row r="8395" spans="1:40" x14ac:dyDescent="0.25">
      <c r="A8395" t="str">
        <f>"20190312160850440"</f>
        <v>20190312160850440</v>
      </c>
      <c r="B8395" t="str">
        <f>"1552378130434147"</f>
        <v>1552378130434147</v>
      </c>
      <c r="C8395" t="s">
        <v>40</v>
      </c>
      <c r="D8395">
        <v>6.1817500000000001</v>
      </c>
      <c r="E8395">
        <v>0.51212329999999995</v>
      </c>
      <c r="F8395" t="s">
        <v>47</v>
      </c>
      <c r="G8395">
        <v>-115.8193</v>
      </c>
      <c r="H8395" s="1">
        <v>-2.9645429999999999E-6</v>
      </c>
      <c r="I8395">
        <v>144.0839</v>
      </c>
      <c r="J8395">
        <v>-164.8201</v>
      </c>
      <c r="K8395">
        <v>1.1094900000000001</v>
      </c>
      <c r="L8395">
        <v>142.6704</v>
      </c>
      <c r="M8395">
        <v>0.99172190000000005</v>
      </c>
      <c r="N8395">
        <v>0</v>
      </c>
      <c r="O8395">
        <v>0.12784569999999901</v>
      </c>
      <c r="P8395">
        <v>0.99736219999999998</v>
      </c>
      <c r="Q8395">
        <v>-3.8719999999999997E-2</v>
      </c>
      <c r="R8395">
        <v>6.1395529999999997E-2</v>
      </c>
      <c r="S8395">
        <v>2.9999850000000001</v>
      </c>
      <c r="T8395">
        <v>-6.7816139999999997E-2</v>
      </c>
      <c r="U8395">
        <v>8.6959839999999997E-2</v>
      </c>
      <c r="V8395">
        <v>6.661446E-2</v>
      </c>
      <c r="W8395">
        <v>-2.6821390000000001E-2</v>
      </c>
      <c r="X8395">
        <v>0.99741820000000003</v>
      </c>
      <c r="Y8395">
        <v>9.9006689999999994E-2</v>
      </c>
      <c r="Z8395">
        <v>-4.0006269999999997E-3</v>
      </c>
      <c r="AA8395">
        <v>0.99507869999999998</v>
      </c>
      <c r="AB8395">
        <v>8</v>
      </c>
      <c r="AC8395">
        <v>49.000799999999998</v>
      </c>
      <c r="AD8395">
        <v>-1.1094929645429901</v>
      </c>
      <c r="AE8395">
        <v>1.41349999999999</v>
      </c>
      <c r="AF8395">
        <v>4.8606009188998298</v>
      </c>
      <c r="AG8395">
        <v>-1.1094929645429901</v>
      </c>
      <c r="AH8395">
        <v>48.754393471025899</v>
      </c>
      <c r="AI8395">
        <v>91.297213896322404</v>
      </c>
      <c r="AJ8395">
        <v>84.306672732803605</v>
      </c>
      <c r="AK8395">
        <v>49.008645142044003</v>
      </c>
      <c r="AL8395">
        <v>91.5369368075648</v>
      </c>
      <c r="AM8395">
        <v>86.179067387569305</v>
      </c>
      <c r="AN8395">
        <v>0.99999996946693104</v>
      </c>
    </row>
    <row r="8396" spans="1:40" x14ac:dyDescent="0.25">
      <c r="A8396" t="str">
        <f>"20190312160850463"</f>
        <v>20190312160850463</v>
      </c>
      <c r="B8396" t="str">
        <f>"1552378130453667"</f>
        <v>1552378130453667</v>
      </c>
      <c r="C8396" t="s">
        <v>40</v>
      </c>
      <c r="D8396">
        <v>6.2327389999999996</v>
      </c>
      <c r="E8396">
        <v>0.4994229</v>
      </c>
      <c r="F8396" t="s">
        <v>47</v>
      </c>
      <c r="G8396">
        <v>-116.3369</v>
      </c>
      <c r="H8396" s="1">
        <v>-2.7429180000000001E-6</v>
      </c>
      <c r="I8396">
        <v>144.0855</v>
      </c>
      <c r="J8396">
        <v>-164.73859999999999</v>
      </c>
      <c r="K8396">
        <v>1.1094919999999999</v>
      </c>
      <c r="L8396">
        <v>142.6797</v>
      </c>
      <c r="M8396">
        <v>0.99184850000000002</v>
      </c>
      <c r="N8396">
        <v>0</v>
      </c>
      <c r="O8396">
        <v>0.1268608</v>
      </c>
      <c r="P8396">
        <v>0.99735359999999995</v>
      </c>
      <c r="Q8396">
        <v>-3.9176669999999997E-2</v>
      </c>
      <c r="R8396">
        <v>6.1246040000000002E-2</v>
      </c>
      <c r="S8396">
        <v>2.9998779999999998</v>
      </c>
      <c r="T8396">
        <v>-6.8649290000000002E-2</v>
      </c>
      <c r="U8396">
        <v>8.7554930000000003E-2</v>
      </c>
      <c r="V8396">
        <v>6.5771270000000007E-2</v>
      </c>
      <c r="W8396">
        <v>-2.727545E-2</v>
      </c>
      <c r="X8396">
        <v>0.99746190000000001</v>
      </c>
      <c r="Y8396">
        <v>9.7819249999999996E-2</v>
      </c>
      <c r="Z8396">
        <v>-4.0139299999999998E-3</v>
      </c>
      <c r="AA8396">
        <v>0.99519610000000003</v>
      </c>
      <c r="AB8396">
        <v>8</v>
      </c>
      <c r="AC8396">
        <v>48.401699999999899</v>
      </c>
      <c r="AD8396">
        <v>-1.109494742918</v>
      </c>
      <c r="AE8396">
        <v>1.4057999999999899</v>
      </c>
      <c r="AF8396">
        <v>4.7437863636649498</v>
      </c>
      <c r="AG8396">
        <v>-1.109494742918</v>
      </c>
      <c r="AH8396">
        <v>48.163651312463102</v>
      </c>
      <c r="AI8396">
        <v>91.313276110054204</v>
      </c>
      <c r="AJ8396">
        <v>84.374904856199194</v>
      </c>
      <c r="AK8396">
        <v>48.409418457539701</v>
      </c>
      <c r="AL8396">
        <v>91.562961963782698</v>
      </c>
      <c r="AM8396">
        <v>86.227456087415206</v>
      </c>
      <c r="AN8396">
        <v>1.0000000260408599</v>
      </c>
    </row>
    <row r="8397" spans="1:40" x14ac:dyDescent="0.25">
      <c r="A8397" t="str">
        <f>"20190312160850487"</f>
        <v>20190312160850487</v>
      </c>
      <c r="B8397" t="str">
        <f>"1552378130474164"</f>
        <v>1552378130474164</v>
      </c>
      <c r="C8397" t="s">
        <v>40</v>
      </c>
      <c r="D8397">
        <v>6.2192990000000004</v>
      </c>
      <c r="E8397">
        <v>0.4997952</v>
      </c>
      <c r="F8397" t="s">
        <v>44</v>
      </c>
      <c r="G8397">
        <v>-163.96289999999999</v>
      </c>
      <c r="H8397">
        <v>1.0514709999999901</v>
      </c>
      <c r="I8397">
        <v>142.7286</v>
      </c>
      <c r="J8397">
        <v>-164.65280000000001</v>
      </c>
      <c r="K8397">
        <v>1.109499</v>
      </c>
      <c r="L8397">
        <v>142.68950000000001</v>
      </c>
      <c r="M8397">
        <v>0.99197820000000003</v>
      </c>
      <c r="N8397">
        <v>0</v>
      </c>
      <c r="O8397">
        <v>0.12584239999999999</v>
      </c>
      <c r="P8397">
        <v>0.99742070000000005</v>
      </c>
      <c r="Q8397">
        <v>-3.855596E-2</v>
      </c>
      <c r="R8397">
        <v>6.054665E-2</v>
      </c>
      <c r="S8397">
        <v>2.9876100000000001</v>
      </c>
      <c r="T8397">
        <v>-0.2234439</v>
      </c>
      <c r="U8397">
        <v>0.1885223</v>
      </c>
      <c r="V8397">
        <v>6.5449740000000006E-2</v>
      </c>
      <c r="W8397">
        <v>-2.6652240000000001E-2</v>
      </c>
      <c r="X8397">
        <v>0.99749989999999999</v>
      </c>
      <c r="Y8397">
        <v>6.2604339999999994E-2</v>
      </c>
      <c r="Z8397">
        <v>-1.169749E-2</v>
      </c>
      <c r="AA8397">
        <v>0.99796989999999997</v>
      </c>
      <c r="AB8397">
        <v>8</v>
      </c>
      <c r="AC8397">
        <v>0.68990000000002205</v>
      </c>
      <c r="AD8397">
        <v>-5.80280000000001E-2</v>
      </c>
      <c r="AE8397">
        <v>3.9099999999990503E-2</v>
      </c>
      <c r="AF8397">
        <v>4.7699383001615803E-2</v>
      </c>
      <c r="AG8397">
        <v>-5.80280000000001E-2</v>
      </c>
      <c r="AH8397">
        <v>0.68450833778613496</v>
      </c>
      <c r="AI8397">
        <v>94.8338978856072</v>
      </c>
      <c r="AJ8397">
        <v>86.013835975055699</v>
      </c>
      <c r="AK8397">
        <v>0.68861756034933697</v>
      </c>
      <c r="AL8397">
        <v>91.527241667115604</v>
      </c>
      <c r="AM8397">
        <v>86.245988316462899</v>
      </c>
      <c r="AN8397">
        <v>1.00000003043154</v>
      </c>
    </row>
    <row r="8398" spans="1:40" x14ac:dyDescent="0.25">
      <c r="A8398" t="str">
        <f>"20190312160850506"</f>
        <v>20190312160850506</v>
      </c>
      <c r="B8398" t="str">
        <f>"1552378130494660"</f>
        <v>1552378130494660</v>
      </c>
      <c r="C8398" t="s">
        <v>40</v>
      </c>
      <c r="D8398">
        <v>6.0929849999999997</v>
      </c>
      <c r="E8398">
        <v>0.49967679999999998</v>
      </c>
      <c r="F8398" t="s">
        <v>44</v>
      </c>
      <c r="G8398">
        <v>-163.89420000000001</v>
      </c>
      <c r="H8398">
        <v>1.0485139999999999</v>
      </c>
      <c r="I8398">
        <v>142.73589999999999</v>
      </c>
      <c r="J8398">
        <v>-164.5831</v>
      </c>
      <c r="K8398">
        <v>1.10951</v>
      </c>
      <c r="L8398">
        <v>142.69730000000001</v>
      </c>
      <c r="M8398">
        <v>0.99208019999999997</v>
      </c>
      <c r="N8398">
        <v>0</v>
      </c>
      <c r="O8398">
        <v>0.12503449999999999</v>
      </c>
      <c r="P8398">
        <v>0.99745689999999998</v>
      </c>
      <c r="Q8398">
        <v>-3.7958239999999997E-2</v>
      </c>
      <c r="R8398">
        <v>6.0324309999999999E-2</v>
      </c>
      <c r="S8398">
        <v>2.9873349999999999</v>
      </c>
      <c r="T8398">
        <v>-0.24012230000000001</v>
      </c>
      <c r="U8398">
        <v>0.18338009999999999</v>
      </c>
      <c r="V8398">
        <v>6.4863290000000004E-2</v>
      </c>
      <c r="W8398">
        <v>-2.605151E-2</v>
      </c>
      <c r="X8398">
        <v>0.9975541</v>
      </c>
      <c r="Y8398">
        <v>6.3416040000000007E-2</v>
      </c>
      <c r="Z8398">
        <v>-1.2538280000000001E-2</v>
      </c>
      <c r="AA8398">
        <v>0.99790840000000003</v>
      </c>
      <c r="AB8398">
        <v>8</v>
      </c>
      <c r="AC8398">
        <v>0.68889999999998897</v>
      </c>
      <c r="AD8398">
        <v>-6.0996000000000002E-2</v>
      </c>
      <c r="AE8398">
        <v>3.8599999999973898E-2</v>
      </c>
      <c r="AF8398">
        <v>4.7474386047092101E-2</v>
      </c>
      <c r="AG8398">
        <v>-6.0996000000000002E-2</v>
      </c>
      <c r="AH8398">
        <v>0.68298217834209496</v>
      </c>
      <c r="AI8398">
        <v>95.091230939742005</v>
      </c>
      <c r="AJ8398">
        <v>86.023741431719102</v>
      </c>
      <c r="AK8398">
        <v>0.687341971131883</v>
      </c>
      <c r="AL8398">
        <v>91.492810380368098</v>
      </c>
      <c r="AM8398">
        <v>86.279732104412304</v>
      </c>
      <c r="AN8398">
        <v>1.00000005499485</v>
      </c>
    </row>
    <row r="8399" spans="1:40" x14ac:dyDescent="0.25">
      <c r="A8399" t="str">
        <f>"20190312160850529"</f>
        <v>20190312160850529</v>
      </c>
      <c r="B8399" t="str">
        <f>"1552378130523939"</f>
        <v>1552378130523939</v>
      </c>
      <c r="C8399" t="s">
        <v>40</v>
      </c>
      <c r="D8399">
        <v>6.2163120000000003</v>
      </c>
      <c r="E8399">
        <v>0.49954480000000001</v>
      </c>
      <c r="F8399" t="s">
        <v>44</v>
      </c>
      <c r="G8399">
        <v>-163.8244</v>
      </c>
      <c r="H8399">
        <v>1.046937</v>
      </c>
      <c r="I8399">
        <v>142.744</v>
      </c>
      <c r="J8399">
        <v>-164.50139999999999</v>
      </c>
      <c r="K8399">
        <v>1.1095250000000001</v>
      </c>
      <c r="L8399">
        <v>142.70650000000001</v>
      </c>
      <c r="M8399">
        <v>0.99219639999999998</v>
      </c>
      <c r="N8399">
        <v>0</v>
      </c>
      <c r="O8399">
        <v>0.1241099</v>
      </c>
      <c r="P8399">
        <v>0.99753179999999997</v>
      </c>
      <c r="Q8399">
        <v>-3.709465E-2</v>
      </c>
      <c r="R8399">
        <v>5.961851E-2</v>
      </c>
      <c r="S8399">
        <v>2.9871669999999999</v>
      </c>
      <c r="T8399">
        <v>-0.24639050000000001</v>
      </c>
      <c r="U8399">
        <v>0.1836853</v>
      </c>
      <c r="V8399">
        <v>6.4644690000000005E-2</v>
      </c>
      <c r="W8399">
        <v>-2.518428E-2</v>
      </c>
      <c r="X8399">
        <v>0.99759050000000005</v>
      </c>
      <c r="Y8399">
        <v>6.2355790000000001E-2</v>
      </c>
      <c r="Z8399">
        <v>-1.274607E-2</v>
      </c>
      <c r="AA8399">
        <v>0.99797259999999999</v>
      </c>
      <c r="AB8399">
        <v>8</v>
      </c>
      <c r="AC8399">
        <v>0.67699999999999205</v>
      </c>
      <c r="AD8399">
        <v>-6.2588000000000005E-2</v>
      </c>
      <c r="AE8399">
        <v>3.7499999999994302E-2</v>
      </c>
      <c r="AF8399">
        <v>4.64228316168354E-2</v>
      </c>
      <c r="AG8399">
        <v>-6.2588000000000005E-2</v>
      </c>
      <c r="AH8399">
        <v>0.67070460168886803</v>
      </c>
      <c r="AI8399">
        <v>95.318567734940103</v>
      </c>
      <c r="AJ8399">
        <v>86.040586298940894</v>
      </c>
      <c r="AK8399">
        <v>0.675216261479201</v>
      </c>
      <c r="AL8399">
        <v>91.443105536797106</v>
      </c>
      <c r="AM8399">
        <v>86.292369899702706</v>
      </c>
      <c r="AN8399">
        <v>0.99999999479728197</v>
      </c>
    </row>
    <row r="8400" spans="1:40" x14ac:dyDescent="0.25">
      <c r="A8400" t="str">
        <f>"20190312160850553"</f>
        <v>20190312160850553</v>
      </c>
      <c r="B8400" t="str">
        <f>"1552378130544436"</f>
        <v>1552378130544436</v>
      </c>
      <c r="C8400" t="s">
        <v>40</v>
      </c>
      <c r="D8400">
        <v>6.1385170000000002</v>
      </c>
      <c r="E8400">
        <v>0.4992818</v>
      </c>
      <c r="F8400" t="s">
        <v>44</v>
      </c>
      <c r="G8400">
        <v>-163.7533</v>
      </c>
      <c r="H8400">
        <v>1.046907</v>
      </c>
      <c r="I8400">
        <v>142.75210000000001</v>
      </c>
      <c r="J8400">
        <v>-164.41829999999999</v>
      </c>
      <c r="K8400">
        <v>1.10954</v>
      </c>
      <c r="L8400">
        <v>142.7158</v>
      </c>
      <c r="M8400">
        <v>0.99231060000000004</v>
      </c>
      <c r="N8400">
        <v>0</v>
      </c>
      <c r="O8400">
        <v>0.12319330000000001</v>
      </c>
      <c r="P8400">
        <v>0.99760079999999995</v>
      </c>
      <c r="Q8400">
        <v>-3.6217260000000001E-2</v>
      </c>
      <c r="R8400">
        <v>5.9003130000000001E-2</v>
      </c>
      <c r="S8400">
        <v>2.9872130000000001</v>
      </c>
      <c r="T8400">
        <v>-0.25004520000000002</v>
      </c>
      <c r="U8400">
        <v>0.1826477</v>
      </c>
      <c r="V8400">
        <v>6.4343620000000004E-2</v>
      </c>
      <c r="W8400">
        <v>-2.4302919999999999E-2</v>
      </c>
      <c r="X8400">
        <v>0.99763179999999996</v>
      </c>
      <c r="Y8400">
        <v>6.1766590000000003E-2</v>
      </c>
      <c r="Z8400">
        <v>-1.283394E-2</v>
      </c>
      <c r="AA8400">
        <v>0.99800809999999995</v>
      </c>
      <c r="AB8400">
        <v>8</v>
      </c>
      <c r="AC8400">
        <v>0.66499999999999204</v>
      </c>
      <c r="AD8400">
        <v>-6.2632999999999897E-2</v>
      </c>
      <c r="AE8400">
        <v>3.6300000000011302E-2</v>
      </c>
      <c r="AF8400">
        <v>4.5503500447407599E-2</v>
      </c>
      <c r="AG8400">
        <v>-6.2632999999999897E-2</v>
      </c>
      <c r="AH8400">
        <v>0.65858120954020305</v>
      </c>
      <c r="AI8400">
        <v>95.419812784520303</v>
      </c>
      <c r="AJ8400">
        <v>86.0475312910431</v>
      </c>
      <c r="AK8400">
        <v>0.66311588037190305</v>
      </c>
      <c r="AL8400">
        <v>91.392591894242003</v>
      </c>
      <c r="AM8400">
        <v>86.309741986039199</v>
      </c>
      <c r="AN8400">
        <v>0.999999970863235</v>
      </c>
    </row>
    <row r="8401" spans="1:40" x14ac:dyDescent="0.25">
      <c r="A8401" t="str">
        <f>"20190312160850573"</f>
        <v>20190312160850573</v>
      </c>
      <c r="B8401" t="str">
        <f>"1552378130563956"</f>
        <v>1552378130563956</v>
      </c>
      <c r="C8401" t="s">
        <v>40</v>
      </c>
      <c r="D8401">
        <v>6.1861169999999897</v>
      </c>
      <c r="E8401">
        <v>0.49914199999999997</v>
      </c>
      <c r="F8401" t="s">
        <v>44</v>
      </c>
      <c r="G8401">
        <v>-163.68119999999999</v>
      </c>
      <c r="H8401">
        <v>1.048022</v>
      </c>
      <c r="I8401">
        <v>142.76079999999999</v>
      </c>
      <c r="J8401">
        <v>-164.3441</v>
      </c>
      <c r="K8401">
        <v>1.109553</v>
      </c>
      <c r="L8401">
        <v>142.72399999999999</v>
      </c>
      <c r="M8401">
        <v>0.99240859999999997</v>
      </c>
      <c r="N8401">
        <v>0</v>
      </c>
      <c r="O8401">
        <v>0.12239999999999999</v>
      </c>
      <c r="P8401">
        <v>0.99766549999999998</v>
      </c>
      <c r="Q8401">
        <v>-3.5847440000000001E-2</v>
      </c>
      <c r="R8401">
        <v>5.8126400000000002E-2</v>
      </c>
      <c r="S8401">
        <v>2.9873500000000002</v>
      </c>
      <c r="T8401">
        <v>-0.24931300000000001</v>
      </c>
      <c r="U8401">
        <v>0.1830292</v>
      </c>
      <c r="V8401">
        <v>6.4425259999999998E-2</v>
      </c>
      <c r="W8401">
        <v>-2.393052E-2</v>
      </c>
      <c r="X8401">
        <v>0.99763550000000001</v>
      </c>
      <c r="Y8401">
        <v>6.0854279999999997E-2</v>
      </c>
      <c r="Z8401">
        <v>-1.269235E-2</v>
      </c>
      <c r="AA8401">
        <v>0.99806589999999995</v>
      </c>
      <c r="AB8401">
        <v>8</v>
      </c>
      <c r="AC8401">
        <v>0.66290000000000704</v>
      </c>
      <c r="AD8401">
        <v>-6.1530999999999898E-2</v>
      </c>
      <c r="AE8401">
        <v>3.67999999999995E-2</v>
      </c>
      <c r="AF8401">
        <v>4.4241521459161298E-2</v>
      </c>
      <c r="AG8401">
        <v>-6.1530999999999898E-2</v>
      </c>
      <c r="AH8401">
        <v>0.65677824482957103</v>
      </c>
      <c r="AI8401">
        <v>95.340164631496805</v>
      </c>
      <c r="AJ8401">
        <v>86.146296156391401</v>
      </c>
      <c r="AK8401">
        <v>0.66113617285959603</v>
      </c>
      <c r="AL8401">
        <v>91.371248783453495</v>
      </c>
      <c r="AM8401">
        <v>86.305086368266601</v>
      </c>
      <c r="AN8401">
        <v>0.99999993738689197</v>
      </c>
    </row>
    <row r="8402" spans="1:40" x14ac:dyDescent="0.25">
      <c r="A8402" t="str">
        <f>"20190312160850596"</f>
        <v>20190312160850596</v>
      </c>
      <c r="B8402" t="str">
        <f>"1552378130584205"</f>
        <v>1552378130584205</v>
      </c>
      <c r="C8402" t="s">
        <v>40</v>
      </c>
      <c r="D8402">
        <v>6.2196999999999996</v>
      </c>
      <c r="E8402">
        <v>0.49890679999999998</v>
      </c>
      <c r="F8402" t="s">
        <v>44</v>
      </c>
      <c r="G8402">
        <v>-163.6097</v>
      </c>
      <c r="H8402">
        <v>1.0484610000000001</v>
      </c>
      <c r="I8402">
        <v>142.76849999999999</v>
      </c>
      <c r="J8402">
        <v>-164.2646</v>
      </c>
      <c r="K8402">
        <v>1.109564</v>
      </c>
      <c r="L8402">
        <v>142.7328</v>
      </c>
      <c r="M8402">
        <v>0.9925098</v>
      </c>
      <c r="N8402">
        <v>0</v>
      </c>
      <c r="O8402">
        <v>0.12157759999999999</v>
      </c>
      <c r="P8402">
        <v>0.99767150000000004</v>
      </c>
      <c r="Q8402">
        <v>-3.6164340000000003E-2</v>
      </c>
      <c r="R8402">
        <v>5.7826509999999998E-2</v>
      </c>
      <c r="S8402">
        <v>2.9875180000000001</v>
      </c>
      <c r="T8402">
        <v>-0.248499</v>
      </c>
      <c r="U8402">
        <v>0.18145749999999999</v>
      </c>
      <c r="V8402">
        <v>6.3897609999999994E-2</v>
      </c>
      <c r="W8402">
        <v>-2.4244539999999998E-2</v>
      </c>
      <c r="X8402">
        <v>0.99766189999999999</v>
      </c>
      <c r="Y8402">
        <v>6.0561650000000002E-2</v>
      </c>
      <c r="Z8402">
        <v>-1.257077E-2</v>
      </c>
      <c r="AA8402">
        <v>0.99808529999999995</v>
      </c>
      <c r="AB8402">
        <v>8</v>
      </c>
      <c r="AC8402">
        <v>0.65489999999999704</v>
      </c>
      <c r="AD8402">
        <v>-6.11029999999999E-2</v>
      </c>
      <c r="AE8402">
        <v>3.5699999999991398E-2</v>
      </c>
      <c r="AF8402">
        <v>4.3811479750846302E-2</v>
      </c>
      <c r="AG8402">
        <v>-6.11029999999999E-2</v>
      </c>
      <c r="AH8402">
        <v>0.64875111019427101</v>
      </c>
      <c r="AI8402">
        <v>95.368407628108699</v>
      </c>
      <c r="AJ8402">
        <v>86.136565706406401</v>
      </c>
      <c r="AK8402">
        <v>0.65309342773086998</v>
      </c>
      <c r="AL8402">
        <v>91.389245961716199</v>
      </c>
      <c r="AM8402">
        <v>86.335362023415499</v>
      </c>
      <c r="AN8402">
        <v>0.999999984497566</v>
      </c>
    </row>
    <row r="8403" spans="1:40" x14ac:dyDescent="0.25">
      <c r="A8403" t="str">
        <f>"20190312160850619"</f>
        <v>20190312160850619</v>
      </c>
      <c r="B8403" t="str">
        <f>"1552378130613486"</f>
        <v>1552378130613486</v>
      </c>
      <c r="C8403" t="s">
        <v>40</v>
      </c>
      <c r="D8403">
        <v>6.042789</v>
      </c>
      <c r="E8403">
        <v>0.4988918</v>
      </c>
      <c r="F8403" t="s">
        <v>44</v>
      </c>
      <c r="G8403">
        <v>-163.4716</v>
      </c>
      <c r="H8403">
        <v>1.043088</v>
      </c>
      <c r="I8403">
        <v>142.78120000000001</v>
      </c>
      <c r="J8403">
        <v>-164.1823</v>
      </c>
      <c r="K8403">
        <v>1.109577</v>
      </c>
      <c r="L8403">
        <v>142.74189999999999</v>
      </c>
      <c r="M8403">
        <v>0.99261080000000002</v>
      </c>
      <c r="N8403">
        <v>0</v>
      </c>
      <c r="O8403">
        <v>0.1207515</v>
      </c>
      <c r="P8403">
        <v>0.99773259999999997</v>
      </c>
      <c r="Q8403">
        <v>-3.5090789999999997E-2</v>
      </c>
      <c r="R8403">
        <v>5.7435680000000003E-2</v>
      </c>
      <c r="S8403">
        <v>2.9873660000000002</v>
      </c>
      <c r="T8403">
        <v>-0.25042720000000002</v>
      </c>
      <c r="U8403">
        <v>0.18237300000000001</v>
      </c>
      <c r="V8403">
        <v>6.3463320000000004E-2</v>
      </c>
      <c r="W8403">
        <v>-2.316822E-2</v>
      </c>
      <c r="X8403">
        <v>0.99771520000000002</v>
      </c>
      <c r="Y8403">
        <v>5.9420059999999997E-2</v>
      </c>
      <c r="Z8403">
        <v>-1.255217E-2</v>
      </c>
      <c r="AA8403">
        <v>0.99815419999999999</v>
      </c>
      <c r="AB8403">
        <v>8</v>
      </c>
      <c r="AC8403">
        <v>0.710700000000002</v>
      </c>
      <c r="AD8403">
        <v>-6.6489000000000006E-2</v>
      </c>
      <c r="AE8403">
        <v>3.9300000000025599E-2</v>
      </c>
      <c r="AF8403">
        <v>4.6406897507967497E-2</v>
      </c>
      <c r="AG8403">
        <v>-6.6489000000000006E-2</v>
      </c>
      <c r="AH8403">
        <v>0.70410098520933495</v>
      </c>
      <c r="AI8403">
        <v>95.382893987241999</v>
      </c>
      <c r="AJ8403">
        <v>86.2291215823264</v>
      </c>
      <c r="AK8403">
        <v>0.70875424840354295</v>
      </c>
      <c r="AL8403">
        <v>91.327560021303697</v>
      </c>
      <c r="AM8403">
        <v>86.360396040898394</v>
      </c>
      <c r="AN8403">
        <v>0.99999998985721505</v>
      </c>
    </row>
    <row r="8404" spans="1:40" x14ac:dyDescent="0.25">
      <c r="A8404" t="str">
        <f>"20190312160850641"</f>
        <v>20190312160850641</v>
      </c>
      <c r="B8404" t="str">
        <f>"1552378130633982"</f>
        <v>1552378130633982</v>
      </c>
      <c r="C8404" t="s">
        <v>40</v>
      </c>
      <c r="D8404">
        <v>6.0307279999999999</v>
      </c>
      <c r="E8404">
        <v>0.49310480000000001</v>
      </c>
      <c r="F8404" t="s">
        <v>44</v>
      </c>
      <c r="G8404">
        <v>-163.43340000000001</v>
      </c>
      <c r="H8404">
        <v>0.97651259999999995</v>
      </c>
      <c r="I8404">
        <v>142.7876</v>
      </c>
      <c r="J8404">
        <v>-164.1044</v>
      </c>
      <c r="K8404">
        <v>1.109578</v>
      </c>
      <c r="L8404">
        <v>142.75049999999999</v>
      </c>
      <c r="M8404">
        <v>0.99270400000000003</v>
      </c>
      <c r="N8404">
        <v>0</v>
      </c>
      <c r="O8404">
        <v>0.1199812</v>
      </c>
      <c r="P8404">
        <v>0.99774839999999998</v>
      </c>
      <c r="Q8404">
        <v>-3.4421750000000001E-2</v>
      </c>
      <c r="R8404">
        <v>5.7565640000000001E-2</v>
      </c>
      <c r="S8404">
        <v>2.9777529999999999</v>
      </c>
      <c r="T8404">
        <v>-0.52905429999999998</v>
      </c>
      <c r="U8404">
        <v>0.18173220000000001</v>
      </c>
      <c r="V8404">
        <v>6.2562450000000006E-2</v>
      </c>
      <c r="W8404">
        <v>-2.2496869999999999E-2</v>
      </c>
      <c r="X8404">
        <v>0.99778750000000005</v>
      </c>
      <c r="Y8404">
        <v>5.6547809999999997E-2</v>
      </c>
      <c r="Z8404">
        <v>-2.6055709999999999E-2</v>
      </c>
      <c r="AA8404">
        <v>0.9980599</v>
      </c>
      <c r="AB8404">
        <v>8</v>
      </c>
      <c r="AC8404">
        <v>0.67099999999999205</v>
      </c>
      <c r="AD8404">
        <v>-0.1330654</v>
      </c>
      <c r="AE8404">
        <v>3.7100000000009403E-2</v>
      </c>
      <c r="AF8404">
        <v>4.2033215149007798E-2</v>
      </c>
      <c r="AG8404">
        <v>-0.1330654</v>
      </c>
      <c r="AH8404">
        <v>0.64530354720031302</v>
      </c>
      <c r="AI8404">
        <v>101.627449447326</v>
      </c>
      <c r="AJ8404">
        <v>86.273182703277101</v>
      </c>
      <c r="AK8404">
        <v>0.66021955430161905</v>
      </c>
      <c r="AL8404">
        <v>91.289084413534695</v>
      </c>
      <c r="AM8404">
        <v>86.412184063424107</v>
      </c>
      <c r="AN8404">
        <v>1.00000003223302</v>
      </c>
    </row>
    <row r="8405" spans="1:40" x14ac:dyDescent="0.25">
      <c r="A8405" t="str">
        <f>"20190312160850665"</f>
        <v>20190312160850665</v>
      </c>
      <c r="B8405" t="str">
        <f>"1552378130653501"</f>
        <v>1552378130653501</v>
      </c>
      <c r="C8405" t="s">
        <v>40</v>
      </c>
      <c r="D8405">
        <v>6.1640389999999998</v>
      </c>
      <c r="E8405">
        <v>0.48816290000000001</v>
      </c>
      <c r="F8405" t="s">
        <v>44</v>
      </c>
      <c r="G8405">
        <v>-163.35130000000001</v>
      </c>
      <c r="H8405">
        <v>1.002175</v>
      </c>
      <c r="I8405">
        <v>142.80799999999999</v>
      </c>
      <c r="J8405">
        <v>-164.0232</v>
      </c>
      <c r="K8405">
        <v>1.109575</v>
      </c>
      <c r="L8405">
        <v>142.7593</v>
      </c>
      <c r="M8405">
        <v>0.99279969999999995</v>
      </c>
      <c r="N8405">
        <v>0</v>
      </c>
      <c r="O8405">
        <v>0.1191871</v>
      </c>
      <c r="P8405">
        <v>0.99776969999999998</v>
      </c>
      <c r="Q8405">
        <v>-3.4034389999999998E-2</v>
      </c>
      <c r="R8405">
        <v>5.7424999999999997E-2</v>
      </c>
      <c r="S8405">
        <v>2.9789430000000001</v>
      </c>
      <c r="T8405">
        <v>-0.42480430000000002</v>
      </c>
      <c r="U8405">
        <v>0.2282257</v>
      </c>
      <c r="V8405">
        <v>6.1906639999999999E-2</v>
      </c>
      <c r="W8405">
        <v>-2.210794E-2</v>
      </c>
      <c r="X8405">
        <v>0.99783710000000003</v>
      </c>
      <c r="Y8405">
        <v>4.1395599999999998E-2</v>
      </c>
      <c r="Z8405">
        <v>-1.9770659999999999E-2</v>
      </c>
      <c r="AA8405">
        <v>0.99894720000000004</v>
      </c>
      <c r="AB8405">
        <v>8</v>
      </c>
      <c r="AC8405">
        <v>0.67189999999999295</v>
      </c>
      <c r="AD8405">
        <v>-0.107399999999999</v>
      </c>
      <c r="AE8405">
        <v>4.86999999999966E-2</v>
      </c>
      <c r="AF8405">
        <v>3.0948131671067601E-2</v>
      </c>
      <c r="AG8405">
        <v>-0.107399999999999</v>
      </c>
      <c r="AH8405">
        <v>0.65623520251541101</v>
      </c>
      <c r="AI8405">
        <v>99.284534997534706</v>
      </c>
      <c r="AJ8405">
        <v>87.299924634630102</v>
      </c>
      <c r="AK8405">
        <v>0.66568550222636802</v>
      </c>
      <c r="AL8405">
        <v>91.266794818225307</v>
      </c>
      <c r="AM8405">
        <v>86.4498726157384</v>
      </c>
      <c r="AN8405">
        <v>1.00000003561177</v>
      </c>
    </row>
    <row r="8406" spans="1:40" x14ac:dyDescent="0.25">
      <c r="A8406" t="str">
        <f>"20190312160850688"</f>
        <v>20190312160850688</v>
      </c>
      <c r="B8406" t="str">
        <f>"1552378130684386"</f>
        <v>1552378130684386</v>
      </c>
      <c r="C8406" t="s">
        <v>40</v>
      </c>
      <c r="D8406">
        <v>5.9619720000000003</v>
      </c>
      <c r="E8406">
        <v>0.48705310000000002</v>
      </c>
      <c r="F8406" t="s">
        <v>44</v>
      </c>
      <c r="G8406">
        <v>-163.27080000000001</v>
      </c>
      <c r="H8406">
        <v>1.02424</v>
      </c>
      <c r="I8406">
        <v>142.82679999999999</v>
      </c>
      <c r="J8406">
        <v>-163.9392</v>
      </c>
      <c r="K8406">
        <v>1.109564</v>
      </c>
      <c r="L8406">
        <v>142.76840000000001</v>
      </c>
      <c r="M8406">
        <v>0.99289720000000004</v>
      </c>
      <c r="N8406">
        <v>0</v>
      </c>
      <c r="O8406">
        <v>0.1183728</v>
      </c>
      <c r="P8406">
        <v>0.997726</v>
      </c>
      <c r="Q8406">
        <v>-3.4491220000000003E-2</v>
      </c>
      <c r="R8406">
        <v>5.7909049999999997E-2</v>
      </c>
      <c r="S8406">
        <v>2.979797</v>
      </c>
      <c r="T8406">
        <v>-0.3379549</v>
      </c>
      <c r="U8406">
        <v>0.2670593</v>
      </c>
      <c r="V8406">
        <v>6.0602450000000002E-2</v>
      </c>
      <c r="W8406">
        <v>-2.2562889999999999E-2</v>
      </c>
      <c r="X8406">
        <v>0.99790690000000004</v>
      </c>
      <c r="Y8406">
        <v>2.8342760000000002E-2</v>
      </c>
      <c r="Z8406">
        <v>-1.491457E-2</v>
      </c>
      <c r="AA8406">
        <v>0.99948700000000001</v>
      </c>
      <c r="AB8406">
        <v>8</v>
      </c>
      <c r="AC8406">
        <v>0.668399999999991</v>
      </c>
      <c r="AD8406">
        <v>-8.53239999999999E-2</v>
      </c>
      <c r="AE8406">
        <v>5.8399999999977498E-2</v>
      </c>
      <c r="AF8406">
        <v>2.08003097711883E-2</v>
      </c>
      <c r="AG8406">
        <v>-8.53239999999999E-2</v>
      </c>
      <c r="AH8406">
        <v>0.65994078515655696</v>
      </c>
      <c r="AI8406">
        <v>97.363310079647107</v>
      </c>
      <c r="AJ8406">
        <v>88.194723550144104</v>
      </c>
      <c r="AK8406">
        <v>0.66575872339431696</v>
      </c>
      <c r="AL8406">
        <v>91.292868133273302</v>
      </c>
      <c r="AM8406">
        <v>86.524720521306904</v>
      </c>
      <c r="AN8406">
        <v>0.99999996100938104</v>
      </c>
    </row>
    <row r="8407" spans="1:40" x14ac:dyDescent="0.25">
      <c r="A8407" t="str">
        <f>"20190312160850709"</f>
        <v>20190312160850709</v>
      </c>
      <c r="B8407" t="str">
        <f>"1552378130703906"</f>
        <v>1552378130703906</v>
      </c>
      <c r="C8407" t="s">
        <v>40</v>
      </c>
      <c r="D8407">
        <v>5.6579030000000001</v>
      </c>
      <c r="E8407">
        <v>0.48500369999999998</v>
      </c>
      <c r="F8407" t="s">
        <v>44</v>
      </c>
      <c r="G8407">
        <v>-163.2013</v>
      </c>
      <c r="H8407">
        <v>1.022108</v>
      </c>
      <c r="I8407">
        <v>142.83699999999999</v>
      </c>
      <c r="J8407">
        <v>-163.86279999999999</v>
      </c>
      <c r="K8407">
        <v>1.109561</v>
      </c>
      <c r="L8407">
        <v>142.77670000000001</v>
      </c>
      <c r="M8407">
        <v>0.99298450000000005</v>
      </c>
      <c r="N8407">
        <v>0</v>
      </c>
      <c r="O8407">
        <v>0.1176373</v>
      </c>
      <c r="P8407">
        <v>0.99767240000000001</v>
      </c>
      <c r="Q8407">
        <v>-3.5347740000000002E-2</v>
      </c>
      <c r="R8407">
        <v>5.8312839999999998E-2</v>
      </c>
      <c r="S8407">
        <v>2.9785460000000001</v>
      </c>
      <c r="T8407">
        <v>-0.35296129999999998</v>
      </c>
      <c r="U8407">
        <v>0.27723690000000001</v>
      </c>
      <c r="V8407">
        <v>5.94557E-2</v>
      </c>
      <c r="W8407">
        <v>-2.341789E-2</v>
      </c>
      <c r="X8407">
        <v>0.99795619999999996</v>
      </c>
      <c r="Y8407">
        <v>2.412771E-2</v>
      </c>
      <c r="Z8407">
        <v>-1.524141E-2</v>
      </c>
      <c r="AA8407">
        <v>0.9995927</v>
      </c>
      <c r="AB8407">
        <v>8</v>
      </c>
      <c r="AC8407">
        <v>0.66149999999998899</v>
      </c>
      <c r="AD8407">
        <v>-8.7453000000000003E-2</v>
      </c>
      <c r="AE8407">
        <v>6.0300000000012198E-2</v>
      </c>
      <c r="AF8407">
        <v>1.76356985438373E-2</v>
      </c>
      <c r="AG8407">
        <v>-8.7453000000000003E-2</v>
      </c>
      <c r="AH8407">
        <v>0.65268674035955399</v>
      </c>
      <c r="AI8407">
        <v>97.628812879233294</v>
      </c>
      <c r="AJ8407">
        <v>88.452235606849101</v>
      </c>
      <c r="AK8407">
        <v>0.65875566495728</v>
      </c>
      <c r="AL8407">
        <v>91.341868957669703</v>
      </c>
      <c r="AM8407">
        <v>86.590492909243096</v>
      </c>
      <c r="AN8407">
        <v>0.99999997747649005</v>
      </c>
    </row>
    <row r="8408" spans="1:40" x14ac:dyDescent="0.25">
      <c r="A8408" t="str">
        <f>"20190312160850731"</f>
        <v>20190312160850731</v>
      </c>
      <c r="B8408" t="str">
        <f>"1552378130724404"</f>
        <v>1552378130724404</v>
      </c>
      <c r="C8408" t="s">
        <v>40</v>
      </c>
      <c r="D8408">
        <v>5.9392639999999997</v>
      </c>
      <c r="E8408">
        <v>0.4847766</v>
      </c>
      <c r="F8408" t="s">
        <v>44</v>
      </c>
      <c r="G8408">
        <v>-163.12700000000001</v>
      </c>
      <c r="H8408">
        <v>1.0303260000000001</v>
      </c>
      <c r="I8408">
        <v>142.8494</v>
      </c>
      <c r="J8408">
        <v>-163.78649999999999</v>
      </c>
      <c r="K8408">
        <v>1.1095649999999999</v>
      </c>
      <c r="L8408">
        <v>142.78489999999999</v>
      </c>
      <c r="M8408">
        <v>0.99307100000000004</v>
      </c>
      <c r="N8408">
        <v>0</v>
      </c>
      <c r="O8408">
        <v>0.1169047</v>
      </c>
      <c r="P8408">
        <v>0.99764909999999996</v>
      </c>
      <c r="Q8408">
        <v>-3.596622E-2</v>
      </c>
      <c r="R8408">
        <v>5.8336399999999997E-2</v>
      </c>
      <c r="S8408">
        <v>2.9784090000000001</v>
      </c>
      <c r="T8408">
        <v>-0.320710099999999</v>
      </c>
      <c r="U8408">
        <v>0.29441830000000002</v>
      </c>
      <c r="V8408">
        <v>5.8692969999999997E-2</v>
      </c>
      <c r="W8408">
        <v>-2.403506E-2</v>
      </c>
      <c r="X8408">
        <v>0.9979867</v>
      </c>
      <c r="Y8408">
        <v>1.788207E-2</v>
      </c>
      <c r="Z8408">
        <v>-1.3440590000000001E-2</v>
      </c>
      <c r="AA8408">
        <v>0.99974980000000002</v>
      </c>
      <c r="AB8408">
        <v>8</v>
      </c>
      <c r="AC8408">
        <v>0.65949999999997999</v>
      </c>
      <c r="AD8408">
        <v>-7.9238999999999796E-2</v>
      </c>
      <c r="AE8408">
        <v>6.4500000000009494E-2</v>
      </c>
      <c r="AF8408">
        <v>1.2862579268073901E-2</v>
      </c>
      <c r="AG8408">
        <v>-7.9238999999999796E-2</v>
      </c>
      <c r="AH8408">
        <v>0.65317816746057</v>
      </c>
      <c r="AI8408">
        <v>96.915595256066894</v>
      </c>
      <c r="AJ8408">
        <v>88.871860233515903</v>
      </c>
      <c r="AK8408">
        <v>0.65809268611159599</v>
      </c>
      <c r="AL8408">
        <v>91.377240120151498</v>
      </c>
      <c r="AM8408">
        <v>86.634233335553105</v>
      </c>
      <c r="AN8408">
        <v>1.00000000110675</v>
      </c>
    </row>
    <row r="8409" spans="1:40" x14ac:dyDescent="0.25">
      <c r="A8409" t="str">
        <f>"20190312160850752"</f>
        <v>20190312160850752</v>
      </c>
      <c r="B8409" t="str">
        <f>"1552378130743922"</f>
        <v>1552378130743922</v>
      </c>
      <c r="C8409" t="s">
        <v>40</v>
      </c>
      <c r="D8409">
        <v>6.0086969999999997</v>
      </c>
      <c r="E8409">
        <v>0.48419609999999902</v>
      </c>
      <c r="F8409" t="s">
        <v>44</v>
      </c>
      <c r="G8409">
        <v>-163.05719999999999</v>
      </c>
      <c r="H8409">
        <v>1.028362</v>
      </c>
      <c r="I8409">
        <v>142.85730000000001</v>
      </c>
      <c r="J8409">
        <v>-163.71010000000001</v>
      </c>
      <c r="K8409">
        <v>1.109558</v>
      </c>
      <c r="L8409">
        <v>142.79300000000001</v>
      </c>
      <c r="M8409">
        <v>0.99315699999999996</v>
      </c>
      <c r="N8409">
        <v>0</v>
      </c>
      <c r="O8409">
        <v>0.1161715</v>
      </c>
      <c r="P8409">
        <v>0.99763520000000006</v>
      </c>
      <c r="Q8409">
        <v>-3.6344330000000001E-2</v>
      </c>
      <c r="R8409">
        <v>5.8338729999999998E-2</v>
      </c>
      <c r="S8409">
        <v>2.9777830000000001</v>
      </c>
      <c r="T8409">
        <v>-0.33156259999999999</v>
      </c>
      <c r="U8409">
        <v>0.29626459999999999</v>
      </c>
      <c r="V8409">
        <v>5.7952139999999999E-2</v>
      </c>
      <c r="W8409">
        <v>-2.441192E-2</v>
      </c>
      <c r="X8409">
        <v>0.99802080000000004</v>
      </c>
      <c r="Y8409">
        <v>1.6469580000000001E-2</v>
      </c>
      <c r="Z8409">
        <v>-1.373628E-2</v>
      </c>
      <c r="AA8409">
        <v>0.99977000000000005</v>
      </c>
      <c r="AB8409">
        <v>8</v>
      </c>
      <c r="AC8409">
        <v>0.65290000000001602</v>
      </c>
      <c r="AD8409">
        <v>-8.1196000000000004E-2</v>
      </c>
      <c r="AE8409">
        <v>6.4300000000002897E-2</v>
      </c>
      <c r="AF8409">
        <v>1.18083636581971E-2</v>
      </c>
      <c r="AG8409">
        <v>-8.1196000000000004E-2</v>
      </c>
      <c r="AH8409">
        <v>0.64605322016067901</v>
      </c>
      <c r="AI8409">
        <v>97.162193766757596</v>
      </c>
      <c r="AJ8409">
        <v>88.952881816678598</v>
      </c>
      <c r="AK8409">
        <v>0.65124265151191296</v>
      </c>
      <c r="AL8409">
        <v>91.398839010292605</v>
      </c>
      <c r="AM8409">
        <v>86.676733929666398</v>
      </c>
      <c r="AN8409">
        <v>0.99999995480065196</v>
      </c>
    </row>
    <row r="8410" spans="1:40" x14ac:dyDescent="0.25">
      <c r="A8410" t="str">
        <f>"20190312160850775"</f>
        <v>20190312160850775</v>
      </c>
      <c r="B8410" t="str">
        <f>"1552378130764418"</f>
        <v>1552378130764418</v>
      </c>
      <c r="C8410" t="s">
        <v>40</v>
      </c>
      <c r="D8410">
        <v>5.9837819999999997</v>
      </c>
      <c r="E8410">
        <v>0.48431210000000002</v>
      </c>
      <c r="F8410" t="s">
        <v>44</v>
      </c>
      <c r="G8410">
        <v>-162.98599999999999</v>
      </c>
      <c r="H8410">
        <v>1.029755</v>
      </c>
      <c r="I8410">
        <v>142.86600000000001</v>
      </c>
      <c r="J8410">
        <v>-163.63149999999999</v>
      </c>
      <c r="K8410">
        <v>1.1095549999999901</v>
      </c>
      <c r="L8410">
        <v>142.8013</v>
      </c>
      <c r="M8410">
        <v>0.99324489999999999</v>
      </c>
      <c r="N8410">
        <v>0</v>
      </c>
      <c r="O8410">
        <v>0.11541650000000001</v>
      </c>
      <c r="P8410">
        <v>0.99761880000000003</v>
      </c>
      <c r="Q8410">
        <v>-3.6389570000000003E-2</v>
      </c>
      <c r="R8410">
        <v>5.8591360000000002E-2</v>
      </c>
      <c r="S8410">
        <v>2.9775849999999999</v>
      </c>
      <c r="T8410">
        <v>-0.32814739999999998</v>
      </c>
      <c r="U8410">
        <v>0.30076599999999998</v>
      </c>
      <c r="V8410">
        <v>5.6940490000000003E-2</v>
      </c>
      <c r="W8410">
        <v>-2.445555E-2</v>
      </c>
      <c r="X8410">
        <v>0.99807800000000002</v>
      </c>
      <c r="Y8410">
        <v>1.4240920000000001E-2</v>
      </c>
      <c r="Z8410">
        <v>-1.339103E-2</v>
      </c>
      <c r="AA8410">
        <v>0.9998089</v>
      </c>
      <c r="AB8410">
        <v>8</v>
      </c>
      <c r="AC8410">
        <v>0.64549999999999796</v>
      </c>
      <c r="AD8410">
        <v>-7.9799999999999802E-2</v>
      </c>
      <c r="AE8410">
        <v>6.4700000000016106E-2</v>
      </c>
      <c r="AF8410">
        <v>1.0086520276000901E-2</v>
      </c>
      <c r="AG8410">
        <v>-7.9799999999999802E-2</v>
      </c>
      <c r="AH8410">
        <v>0.63898502786676104</v>
      </c>
      <c r="AI8410">
        <v>97.117682320286704</v>
      </c>
      <c r="AJ8410">
        <v>89.095648530960702</v>
      </c>
      <c r="AK8410">
        <v>0.64402767310820097</v>
      </c>
      <c r="AL8410">
        <v>91.401339517274295</v>
      </c>
      <c r="AM8410">
        <v>86.734807094787001</v>
      </c>
      <c r="AN8410">
        <v>0.99999999370562098</v>
      </c>
    </row>
    <row r="8411" spans="1:40" x14ac:dyDescent="0.25">
      <c r="A8411" t="str">
        <f>"20190312160850797"</f>
        <v>20190312160850797</v>
      </c>
      <c r="B8411" t="str">
        <f>"1552378130783568"</f>
        <v>1552378130783568</v>
      </c>
      <c r="C8411" t="s">
        <v>40</v>
      </c>
      <c r="D8411">
        <v>6.016985</v>
      </c>
      <c r="E8411">
        <v>0.4841664</v>
      </c>
      <c r="F8411" t="s">
        <v>44</v>
      </c>
      <c r="G8411">
        <v>-162.84870000000001</v>
      </c>
      <c r="H8411">
        <v>1.0213239999999999</v>
      </c>
      <c r="I8411">
        <v>142.8802</v>
      </c>
      <c r="J8411">
        <v>-163.553</v>
      </c>
      <c r="K8411">
        <v>1.1095410000000001</v>
      </c>
      <c r="L8411">
        <v>142.80950000000001</v>
      </c>
      <c r="M8411">
        <v>0.9933324</v>
      </c>
      <c r="N8411">
        <v>0</v>
      </c>
      <c r="O8411">
        <v>0.1146616</v>
      </c>
      <c r="P8411">
        <v>0.99766429999999995</v>
      </c>
      <c r="Q8411">
        <v>-3.6573149999999999E-2</v>
      </c>
      <c r="R8411">
        <v>5.7694229999999999E-2</v>
      </c>
      <c r="S8411">
        <v>2.9772639999999999</v>
      </c>
      <c r="T8411">
        <v>-0.33559040000000001</v>
      </c>
      <c r="U8411">
        <v>0.30030820000000003</v>
      </c>
      <c r="V8411">
        <v>5.7078339999999998E-2</v>
      </c>
      <c r="W8411">
        <v>-2.4638859999999999E-2</v>
      </c>
      <c r="X8411">
        <v>0.99806569999999994</v>
      </c>
      <c r="Y8411">
        <v>1.3595579999999999E-2</v>
      </c>
      <c r="Z8411">
        <v>-1.3574370000000001E-2</v>
      </c>
      <c r="AA8411">
        <v>0.99981540000000002</v>
      </c>
      <c r="AB8411">
        <v>8</v>
      </c>
      <c r="AC8411">
        <v>0.70429999999998905</v>
      </c>
      <c r="AD8411">
        <v>-8.8216999999999907E-2</v>
      </c>
      <c r="AE8411">
        <v>7.0699999999987995E-2</v>
      </c>
      <c r="AF8411">
        <v>1.0367291902646E-2</v>
      </c>
      <c r="AG8411">
        <v>-8.8216999999999907E-2</v>
      </c>
      <c r="AH8411">
        <v>0.69693635413537902</v>
      </c>
      <c r="AI8411">
        <v>97.213246526717299</v>
      </c>
      <c r="AJ8411">
        <v>89.147758242953401</v>
      </c>
      <c r="AK8411">
        <v>0.70257384063592199</v>
      </c>
      <c r="AL8411">
        <v>91.411845456372205</v>
      </c>
      <c r="AM8411">
        <v>86.7268791471882</v>
      </c>
      <c r="AN8411">
        <v>1.00000007591786</v>
      </c>
    </row>
    <row r="8412" spans="1:40" x14ac:dyDescent="0.25">
      <c r="A8412" t="str">
        <f>"20190312160850819"</f>
        <v>20190312160850819</v>
      </c>
      <c r="B8412" t="str">
        <f>"1552378130813824"</f>
        <v>1552378130813824</v>
      </c>
      <c r="C8412" t="s">
        <v>40</v>
      </c>
      <c r="D8412">
        <v>6.0129869999999999</v>
      </c>
      <c r="E8412">
        <v>0.48404199999999997</v>
      </c>
      <c r="F8412" t="s">
        <v>44</v>
      </c>
      <c r="G8412">
        <v>-162.77860000000001</v>
      </c>
      <c r="H8412">
        <v>1.02037</v>
      </c>
      <c r="I8412">
        <v>142.887</v>
      </c>
      <c r="J8412">
        <v>-163.47309999999999</v>
      </c>
      <c r="K8412">
        <v>1.1095379999999999</v>
      </c>
      <c r="L8412">
        <v>142.81780000000001</v>
      </c>
      <c r="M8412">
        <v>0.99342090000000005</v>
      </c>
      <c r="N8412">
        <v>0</v>
      </c>
      <c r="O8412">
        <v>0.11389199999999999</v>
      </c>
      <c r="P8412">
        <v>0.99769870000000005</v>
      </c>
      <c r="Q8412">
        <v>-3.7263619999999997E-2</v>
      </c>
      <c r="R8412">
        <v>5.6646309999999998E-2</v>
      </c>
      <c r="S8412">
        <v>2.9771879999999999</v>
      </c>
      <c r="T8412">
        <v>-0.34280460000000001</v>
      </c>
      <c r="U8412">
        <v>0.29856870000000002</v>
      </c>
      <c r="V8412">
        <v>5.7349869999999997E-2</v>
      </c>
      <c r="W8412">
        <v>-2.5329379999999999E-2</v>
      </c>
      <c r="X8412">
        <v>0.99803269999999999</v>
      </c>
      <c r="Y8412">
        <v>1.336845E-2</v>
      </c>
      <c r="Z8412">
        <v>-1.3764729999999999E-2</v>
      </c>
      <c r="AA8412">
        <v>0.99981589999999998</v>
      </c>
      <c r="AB8412">
        <v>8</v>
      </c>
      <c r="AC8412">
        <v>0.69449999999997603</v>
      </c>
      <c r="AD8412">
        <v>-8.91679999999999E-2</v>
      </c>
      <c r="AE8412">
        <v>6.9199999999995002E-2</v>
      </c>
      <c r="AF8412">
        <v>1.01877230585016E-2</v>
      </c>
      <c r="AG8412">
        <v>-8.91679999999999E-2</v>
      </c>
      <c r="AH8412">
        <v>0.68665440093060603</v>
      </c>
      <c r="AI8412">
        <v>97.398141503471606</v>
      </c>
      <c r="AJ8412">
        <v>89.149978929503902</v>
      </c>
      <c r="AK8412">
        <v>0.69249475683393202</v>
      </c>
      <c r="AL8412">
        <v>91.451421904827697</v>
      </c>
      <c r="AM8412">
        <v>86.711234027823494</v>
      </c>
      <c r="AN8412">
        <v>0.99999992767474299</v>
      </c>
    </row>
    <row r="8413" spans="1:40" x14ac:dyDescent="0.25">
      <c r="A8413" t="str">
        <f>"20190312160850842"</f>
        <v>20190312160850842</v>
      </c>
      <c r="B8413" t="str">
        <f>"1552378130834321"</f>
        <v>1552378130834321</v>
      </c>
      <c r="C8413" t="s">
        <v>40</v>
      </c>
      <c r="D8413">
        <v>6.1684140000000003</v>
      </c>
      <c r="E8413">
        <v>0.48398439999999998</v>
      </c>
      <c r="F8413" t="s">
        <v>44</v>
      </c>
      <c r="G8413">
        <v>-162.708</v>
      </c>
      <c r="H8413">
        <v>1.020348</v>
      </c>
      <c r="I8413">
        <v>142.8939</v>
      </c>
      <c r="J8413">
        <v>-163.39500000000001</v>
      </c>
      <c r="K8413">
        <v>1.1095379999999999</v>
      </c>
      <c r="L8413">
        <v>142.82589999999999</v>
      </c>
      <c r="M8413">
        <v>0.99350709999999998</v>
      </c>
      <c r="N8413">
        <v>0</v>
      </c>
      <c r="O8413">
        <v>0.1131375</v>
      </c>
      <c r="P8413">
        <v>0.99770570000000003</v>
      </c>
      <c r="Q8413">
        <v>-3.7760219999999997E-2</v>
      </c>
      <c r="R8413">
        <v>5.6194149999999998E-2</v>
      </c>
      <c r="S8413">
        <v>2.977112</v>
      </c>
      <c r="T8413">
        <v>-0.34705839999999999</v>
      </c>
      <c r="U8413">
        <v>0.29632570000000003</v>
      </c>
      <c r="V8413">
        <v>5.704174E-2</v>
      </c>
      <c r="W8413">
        <v>-2.5825170000000001E-2</v>
      </c>
      <c r="X8413">
        <v>0.99803770000000003</v>
      </c>
      <c r="Y8413">
        <v>1.3336799999999999E-2</v>
      </c>
      <c r="Z8413">
        <v>-1.3846799999999999E-2</v>
      </c>
      <c r="AA8413">
        <v>0.99981520000000002</v>
      </c>
      <c r="AB8413">
        <v>8</v>
      </c>
      <c r="AC8413">
        <v>0.68700000000001105</v>
      </c>
      <c r="AD8413">
        <v>-8.9189999999999797E-2</v>
      </c>
      <c r="AE8413">
        <v>6.8000000000011995E-2</v>
      </c>
      <c r="AF8413">
        <v>1.00007855058346E-2</v>
      </c>
      <c r="AG8413">
        <v>-8.9189999999999797E-2</v>
      </c>
      <c r="AH8413">
        <v>0.67894986146595904</v>
      </c>
      <c r="AI8413">
        <v>97.482984488033495</v>
      </c>
      <c r="AJ8413">
        <v>89.156106513314697</v>
      </c>
      <c r="AK8413">
        <v>0.68485603318900401</v>
      </c>
      <c r="AL8413">
        <v>91.479837807898093</v>
      </c>
      <c r="AM8413">
        <v>86.728881822314406</v>
      </c>
      <c r="AN8413">
        <v>0.99999997506452198</v>
      </c>
    </row>
    <row r="8414" spans="1:40" x14ac:dyDescent="0.25">
      <c r="A8414" t="str">
        <f>"20190312160850865"</f>
        <v>20190312160850865</v>
      </c>
      <c r="B8414" t="str">
        <f>"1552378130853840"</f>
        <v>1552378130853840</v>
      </c>
      <c r="C8414" t="s">
        <v>40</v>
      </c>
      <c r="D8414">
        <v>6.0313860000000004</v>
      </c>
      <c r="E8414">
        <v>0.48346210000000001</v>
      </c>
      <c r="F8414" t="s">
        <v>44</v>
      </c>
      <c r="G8414">
        <v>-162.63659999999999</v>
      </c>
      <c r="H8414">
        <v>1.022038</v>
      </c>
      <c r="I8414">
        <v>142.90100000000001</v>
      </c>
      <c r="J8414">
        <v>-163.31460000000001</v>
      </c>
      <c r="K8414">
        <v>1.109534</v>
      </c>
      <c r="L8414">
        <v>142.83410000000001</v>
      </c>
      <c r="M8414">
        <v>0.99359540000000002</v>
      </c>
      <c r="N8414">
        <v>0</v>
      </c>
      <c r="O8414">
        <v>0.11235920000000001</v>
      </c>
      <c r="P8414">
        <v>0.99772039999999995</v>
      </c>
      <c r="Q8414">
        <v>-3.765193E-2</v>
      </c>
      <c r="R8414">
        <v>5.6002040000000003E-2</v>
      </c>
      <c r="S8414">
        <v>2.9772799999999999</v>
      </c>
      <c r="T8414">
        <v>-0.34345300000000001</v>
      </c>
      <c r="U8414">
        <v>0.2952728</v>
      </c>
      <c r="V8414">
        <v>5.645265E-2</v>
      </c>
      <c r="W8414">
        <v>-2.5715350000000001E-2</v>
      </c>
      <c r="X8414">
        <v>0.99807409999999996</v>
      </c>
      <c r="Y8414">
        <v>1.2934309999999999E-2</v>
      </c>
      <c r="Z8414">
        <v>-1.359176E-2</v>
      </c>
      <c r="AA8414">
        <v>0.99982400000000005</v>
      </c>
      <c r="AB8414">
        <v>8</v>
      </c>
      <c r="AC8414">
        <v>0.67800000000002503</v>
      </c>
      <c r="AD8414">
        <v>-8.7496000000000004E-2</v>
      </c>
      <c r="AE8414">
        <v>6.6900000000003901E-2</v>
      </c>
      <c r="AF8414">
        <v>9.5511715285227904E-3</v>
      </c>
      <c r="AG8414">
        <v>-8.7496000000000004E-2</v>
      </c>
      <c r="AH8414">
        <v>0.67017006831543302</v>
      </c>
      <c r="AI8414">
        <v>97.437597385339203</v>
      </c>
      <c r="AJ8414">
        <v>89.183483719636698</v>
      </c>
      <c r="AK8414">
        <v>0.67592506637901795</v>
      </c>
      <c r="AL8414">
        <v>91.473543391756294</v>
      </c>
      <c r="AM8414">
        <v>86.762709391614607</v>
      </c>
      <c r="AN8414">
        <v>1.0000000450042199</v>
      </c>
    </row>
    <row r="8415" spans="1:40" x14ac:dyDescent="0.25">
      <c r="A8415" t="str">
        <f>"20190312160850887"</f>
        <v>20190312160850887</v>
      </c>
      <c r="B8415" t="str">
        <f>"1552378130873362"</f>
        <v>1552378130873362</v>
      </c>
      <c r="C8415" t="s">
        <v>40</v>
      </c>
      <c r="D8415">
        <v>6.0458080000000001</v>
      </c>
      <c r="E8415">
        <v>0.4829811</v>
      </c>
      <c r="F8415" t="s">
        <v>44</v>
      </c>
      <c r="G8415">
        <v>-162.56450000000001</v>
      </c>
      <c r="H8415">
        <v>1.025658</v>
      </c>
      <c r="I8415">
        <v>142.9093</v>
      </c>
      <c r="J8415">
        <v>-163.23660000000001</v>
      </c>
      <c r="K8415">
        <v>1.10954</v>
      </c>
      <c r="L8415">
        <v>142.84209999999999</v>
      </c>
      <c r="M8415">
        <v>0.99368069999999997</v>
      </c>
      <c r="N8415">
        <v>0</v>
      </c>
      <c r="O8415">
        <v>0.1116027</v>
      </c>
      <c r="P8415">
        <v>0.99777369999999999</v>
      </c>
      <c r="Q8415">
        <v>-3.6857359999999999E-2</v>
      </c>
      <c r="R8415">
        <v>5.5583470000000003E-2</v>
      </c>
      <c r="S8415">
        <v>2.9775390000000002</v>
      </c>
      <c r="T8415">
        <v>-0.33295819999999998</v>
      </c>
      <c r="U8415">
        <v>0.29881289999999999</v>
      </c>
      <c r="V8415">
        <v>5.6114940000000002E-2</v>
      </c>
      <c r="W8415">
        <v>-2.4919150000000001E-2</v>
      </c>
      <c r="X8415">
        <v>0.99811329999999998</v>
      </c>
      <c r="Y8415">
        <v>1.106998E-2</v>
      </c>
      <c r="Z8415">
        <v>-1.2989779999999999E-2</v>
      </c>
      <c r="AA8415">
        <v>0.99985429999999997</v>
      </c>
      <c r="AB8415">
        <v>8</v>
      </c>
      <c r="AC8415">
        <v>0.67210000000000003</v>
      </c>
      <c r="AD8415">
        <v>-8.3881999999999998E-2</v>
      </c>
      <c r="AE8415">
        <v>6.7200000000013901E-2</v>
      </c>
      <c r="AF8415">
        <v>8.1083725113225494E-3</v>
      </c>
      <c r="AG8415">
        <v>-8.3881999999999998E-2</v>
      </c>
      <c r="AH8415">
        <v>0.66514291702239003</v>
      </c>
      <c r="AI8415">
        <v>97.187169325496995</v>
      </c>
      <c r="AJ8415">
        <v>89.301574893425396</v>
      </c>
      <c r="AK8415">
        <v>0.670460316270722</v>
      </c>
      <c r="AL8415">
        <v>91.427909922922396</v>
      </c>
      <c r="AM8415">
        <v>86.782160746818306</v>
      </c>
      <c r="AN8415">
        <v>1.0000000050824001</v>
      </c>
    </row>
    <row r="8416" spans="1:40" x14ac:dyDescent="0.25">
      <c r="A8416" t="str">
        <f>"20190312160850909"</f>
        <v>20190312160850909</v>
      </c>
      <c r="B8416" t="str">
        <f>"1552378130904148"</f>
        <v>1552378130904148</v>
      </c>
      <c r="C8416" t="s">
        <v>40</v>
      </c>
      <c r="D8416">
        <v>6.032451</v>
      </c>
      <c r="E8416">
        <v>0.48290919999999998</v>
      </c>
      <c r="F8416" t="s">
        <v>44</v>
      </c>
      <c r="G8416">
        <v>-162.49250000000001</v>
      </c>
      <c r="H8416">
        <v>1.0289379999999999</v>
      </c>
      <c r="I8416">
        <v>142.91720000000001</v>
      </c>
      <c r="J8416">
        <v>-163.15860000000001</v>
      </c>
      <c r="K8416">
        <v>1.1095440000000001</v>
      </c>
      <c r="L8416">
        <v>142.84989999999999</v>
      </c>
      <c r="M8416">
        <v>0.99376520000000002</v>
      </c>
      <c r="N8416">
        <v>0</v>
      </c>
      <c r="O8416">
        <v>0.11084720000000001</v>
      </c>
      <c r="P8416">
        <v>0.99782059999999995</v>
      </c>
      <c r="Q8416">
        <v>-3.5842110000000003E-2</v>
      </c>
      <c r="R8416">
        <v>5.5402920000000001E-2</v>
      </c>
      <c r="S8416">
        <v>2.9780120000000001</v>
      </c>
      <c r="T8416">
        <v>-0.32259539999999998</v>
      </c>
      <c r="U8416">
        <v>0.30136109999999999</v>
      </c>
      <c r="V8416">
        <v>5.5541599999999997E-2</v>
      </c>
      <c r="W8416">
        <v>-2.39019E-2</v>
      </c>
      <c r="X8416">
        <v>0.99817029999999995</v>
      </c>
      <c r="Y8416">
        <v>9.5379820000000004E-3</v>
      </c>
      <c r="Z8416">
        <v>-1.242189E-2</v>
      </c>
      <c r="AA8416">
        <v>0.99987729999999997</v>
      </c>
      <c r="AB8416">
        <v>8</v>
      </c>
      <c r="AC8416">
        <v>0.66610000000000003</v>
      </c>
      <c r="AD8416">
        <v>-8.0606000000000094E-2</v>
      </c>
      <c r="AE8416">
        <v>6.7300000000017193E-2</v>
      </c>
      <c r="AF8416">
        <v>6.8560370886569296E-3</v>
      </c>
      <c r="AG8416">
        <v>-8.0606000000000094E-2</v>
      </c>
      <c r="AH8416">
        <v>0.65988940744838298</v>
      </c>
      <c r="AI8416">
        <v>96.963850960481494</v>
      </c>
      <c r="AJ8416">
        <v>89.404736837098696</v>
      </c>
      <c r="AK8416">
        <v>0.66482957405874998</v>
      </c>
      <c r="AL8416">
        <v>91.369608342403495</v>
      </c>
      <c r="AM8416">
        <v>86.815151661199394</v>
      </c>
      <c r="AN8416">
        <v>1.0000000589781199</v>
      </c>
    </row>
    <row r="8417" spans="1:40" x14ac:dyDescent="0.25">
      <c r="A8417" t="str">
        <f>"20190312160850932"</f>
        <v>20190312160850932</v>
      </c>
      <c r="B8417" t="str">
        <f>"1552378130923668"</f>
        <v>1552378130923668</v>
      </c>
      <c r="C8417" t="s">
        <v>40</v>
      </c>
      <c r="D8417">
        <v>6.207776</v>
      </c>
      <c r="E8417">
        <v>0.48303459999999998</v>
      </c>
      <c r="F8417" t="s">
        <v>44</v>
      </c>
      <c r="G8417">
        <v>-162.4211</v>
      </c>
      <c r="H8417">
        <v>1.0310090000000001</v>
      </c>
      <c r="I8417">
        <v>142.92439999999999</v>
      </c>
      <c r="J8417">
        <v>-163.07669999999999</v>
      </c>
      <c r="K8417">
        <v>1.1095469999999901</v>
      </c>
      <c r="L8417">
        <v>142.85810000000001</v>
      </c>
      <c r="M8417">
        <v>0.99385349999999995</v>
      </c>
      <c r="N8417">
        <v>0</v>
      </c>
      <c r="O8417">
        <v>0.1100527</v>
      </c>
      <c r="P8417">
        <v>0.99786439999999998</v>
      </c>
      <c r="Q8417">
        <v>-3.5186090000000003E-2</v>
      </c>
      <c r="R8417">
        <v>5.5035960000000002E-2</v>
      </c>
      <c r="S8417">
        <v>2.978424</v>
      </c>
      <c r="T8417">
        <v>-0.31709340000000003</v>
      </c>
      <c r="U8417">
        <v>0.30139159999999998</v>
      </c>
      <c r="V8417">
        <v>5.5113519999999999E-2</v>
      </c>
      <c r="W8417">
        <v>-2.3244049999999999E-2</v>
      </c>
      <c r="X8417">
        <v>0.99820949999999997</v>
      </c>
      <c r="Y8417">
        <v>8.7744669999999993E-3</v>
      </c>
      <c r="Z8417">
        <v>-1.20856E-2</v>
      </c>
      <c r="AA8417">
        <v>0.99988849999999996</v>
      </c>
      <c r="AB8417">
        <v>8</v>
      </c>
      <c r="AC8417">
        <v>0.65559999999999197</v>
      </c>
      <c r="AD8417">
        <v>-7.8537999999999705E-2</v>
      </c>
      <c r="AE8417">
        <v>6.6299999999983997E-2</v>
      </c>
      <c r="AF8417">
        <v>6.1708512269782701E-3</v>
      </c>
      <c r="AG8417">
        <v>-7.8537999999999705E-2</v>
      </c>
      <c r="AH8417">
        <v>0.64968493536618999</v>
      </c>
      <c r="AI8417">
        <v>96.892519925669205</v>
      </c>
      <c r="AJ8417">
        <v>89.455808376882899</v>
      </c>
      <c r="AK8417">
        <v>0.65444389529633196</v>
      </c>
      <c r="AL8417">
        <v>91.331905922581797</v>
      </c>
      <c r="AM8417">
        <v>86.839772390694506</v>
      </c>
      <c r="AN8417">
        <v>0.99999999591872102</v>
      </c>
    </row>
    <row r="8418" spans="1:40" x14ac:dyDescent="0.25">
      <c r="A8418" t="str">
        <f>"20190312160850952"</f>
        <v>20190312160850952</v>
      </c>
      <c r="B8418" t="str">
        <f>"1552378130944164"</f>
        <v>1552378130944164</v>
      </c>
      <c r="C8418" t="s">
        <v>40</v>
      </c>
      <c r="D8418">
        <v>6.0701710000000002</v>
      </c>
      <c r="E8418">
        <v>0.48300979999999999</v>
      </c>
      <c r="F8418" t="s">
        <v>44</v>
      </c>
      <c r="G8418">
        <v>-162.34970000000001</v>
      </c>
      <c r="H8418">
        <v>1.0330999999999999</v>
      </c>
      <c r="I8418">
        <v>142.93100000000001</v>
      </c>
      <c r="J8418">
        <v>-163.00309999999999</v>
      </c>
      <c r="K8418">
        <v>1.1095469999999901</v>
      </c>
      <c r="L8418">
        <v>142.86539999999999</v>
      </c>
      <c r="M8418">
        <v>0.99393209999999999</v>
      </c>
      <c r="N8418">
        <v>0</v>
      </c>
      <c r="O8418">
        <v>0.1093404</v>
      </c>
      <c r="P8418">
        <v>0.99787720000000002</v>
      </c>
      <c r="Q8418">
        <v>-3.548929E-2</v>
      </c>
      <c r="R8418">
        <v>5.4609770000000002E-2</v>
      </c>
      <c r="S8418">
        <v>2.9788670000000002</v>
      </c>
      <c r="T8418">
        <v>-0.3132337</v>
      </c>
      <c r="U8418">
        <v>0.29933169999999998</v>
      </c>
      <c r="V8418">
        <v>5.4823230000000001E-2</v>
      </c>
      <c r="W8418">
        <v>-2.3546049999999999E-2</v>
      </c>
      <c r="X8418">
        <v>0.99821839999999995</v>
      </c>
      <c r="Y8418">
        <v>8.7770690000000002E-3</v>
      </c>
      <c r="Z8418">
        <v>-1.186423E-2</v>
      </c>
      <c r="AA8418">
        <v>0.99989110000000003</v>
      </c>
      <c r="AB8418">
        <v>8</v>
      </c>
      <c r="AC8418">
        <v>0.653399999999976</v>
      </c>
      <c r="AD8418">
        <v>-7.6446999999999904E-2</v>
      </c>
      <c r="AE8418">
        <v>6.5600000000017603E-2</v>
      </c>
      <c r="AF8418">
        <v>6.15806514988438E-3</v>
      </c>
      <c r="AG8418">
        <v>-7.6446999999999904E-2</v>
      </c>
      <c r="AH8418">
        <v>0.64787505764200803</v>
      </c>
      <c r="AI8418">
        <v>96.729283933081902</v>
      </c>
      <c r="AJ8418">
        <v>89.455418889934805</v>
      </c>
      <c r="AK8418">
        <v>0.65239877060738405</v>
      </c>
      <c r="AL8418">
        <v>91.349213995309</v>
      </c>
      <c r="AM8418">
        <v>86.856412214722894</v>
      </c>
      <c r="AN8418">
        <v>0.999999988558397</v>
      </c>
    </row>
    <row r="8419" spans="1:40" x14ac:dyDescent="0.25">
      <c r="A8419" t="str">
        <f>"20190312160850976"</f>
        <v>20190312160850976</v>
      </c>
      <c r="B8419" t="str">
        <f>"1552378130963684"</f>
        <v>1552378130963684</v>
      </c>
      <c r="C8419" t="s">
        <v>40</v>
      </c>
      <c r="D8419">
        <v>6.0573629999999996</v>
      </c>
      <c r="E8419">
        <v>0.48320730000000001</v>
      </c>
      <c r="F8419" t="s">
        <v>44</v>
      </c>
      <c r="G8419">
        <v>-162.27959999999999</v>
      </c>
      <c r="H8419">
        <v>1.032473</v>
      </c>
      <c r="I8419">
        <v>142.93780000000001</v>
      </c>
      <c r="J8419">
        <v>-162.9237</v>
      </c>
      <c r="K8419">
        <v>1.1095429999999999</v>
      </c>
      <c r="L8419">
        <v>142.8732</v>
      </c>
      <c r="M8419">
        <v>0.99401620000000002</v>
      </c>
      <c r="N8419">
        <v>0</v>
      </c>
      <c r="O8419">
        <v>0.1085723</v>
      </c>
      <c r="P8419">
        <v>0.99788909999999997</v>
      </c>
      <c r="Q8419">
        <v>-3.5250570000000002E-2</v>
      </c>
      <c r="R8419">
        <v>5.4542750000000001E-2</v>
      </c>
      <c r="S8419">
        <v>2.97879</v>
      </c>
      <c r="T8419">
        <v>-0.31738620000000001</v>
      </c>
      <c r="U8419">
        <v>0.29808040000000002</v>
      </c>
      <c r="V8419">
        <v>5.4120370000000001E-2</v>
      </c>
      <c r="W8419">
        <v>-2.3305409999999999E-2</v>
      </c>
      <c r="X8419">
        <v>0.99826239999999999</v>
      </c>
      <c r="Y8419">
        <v>8.4068010000000002E-3</v>
      </c>
      <c r="Z8419">
        <v>-1.192081E-2</v>
      </c>
      <c r="AA8419">
        <v>0.99989360000000005</v>
      </c>
      <c r="AB8419">
        <v>8</v>
      </c>
      <c r="AC8419">
        <v>0.644100000000008</v>
      </c>
      <c r="AD8419">
        <v>-7.7069999999999902E-2</v>
      </c>
      <c r="AE8419">
        <v>6.46000000000128E-2</v>
      </c>
      <c r="AF8419">
        <v>5.6384591149131998E-3</v>
      </c>
      <c r="AG8419">
        <v>-7.7069999999999902E-2</v>
      </c>
      <c r="AH8419">
        <v>0.63825896261441895</v>
      </c>
      <c r="AI8419">
        <v>96.884885774405106</v>
      </c>
      <c r="AJ8419">
        <v>89.493855119154603</v>
      </c>
      <c r="AK8419">
        <v>0.64291996428702103</v>
      </c>
      <c r="AL8419">
        <v>91.335422554941601</v>
      </c>
      <c r="AM8419">
        <v>86.896771742561498</v>
      </c>
      <c r="AN8419">
        <v>0.99999998791898204</v>
      </c>
    </row>
    <row r="8420" spans="1:40" x14ac:dyDescent="0.25">
      <c r="A8420" t="str">
        <f>"20190312160850999"</f>
        <v>20190312160850999</v>
      </c>
      <c r="B8420" t="str">
        <f>"1552378130994332"</f>
        <v>1552378130994332</v>
      </c>
      <c r="C8420" t="s">
        <v>40</v>
      </c>
      <c r="D8420">
        <v>6.0016420000000004</v>
      </c>
      <c r="E8420">
        <v>0.48317919999999998</v>
      </c>
      <c r="F8420" t="s">
        <v>44</v>
      </c>
      <c r="G8420">
        <v>-162.14279999999999</v>
      </c>
      <c r="H8420">
        <v>1.024732</v>
      </c>
      <c r="I8420">
        <v>142.95079999999999</v>
      </c>
      <c r="J8420">
        <v>-162.84360000000001</v>
      </c>
      <c r="K8420">
        <v>1.1095489999999999</v>
      </c>
      <c r="L8420">
        <v>142.881</v>
      </c>
      <c r="M8420">
        <v>0.9941006</v>
      </c>
      <c r="N8420">
        <v>0</v>
      </c>
      <c r="O8420">
        <v>0.1077973</v>
      </c>
      <c r="P8420">
        <v>0.99785800000000002</v>
      </c>
      <c r="Q8420">
        <v>-3.6076900000000002E-2</v>
      </c>
      <c r="R8420">
        <v>5.4573339999999998E-2</v>
      </c>
      <c r="S8420">
        <v>2.978745</v>
      </c>
      <c r="T8420">
        <v>-0.32354369999999999</v>
      </c>
      <c r="U8420">
        <v>0.29586790000000002</v>
      </c>
      <c r="V8420">
        <v>5.3308010000000003E-2</v>
      </c>
      <c r="W8420">
        <v>-2.4130100000000002E-2</v>
      </c>
      <c r="X8420">
        <v>0.99828649999999997</v>
      </c>
      <c r="Y8420">
        <v>8.3403969999999994E-3</v>
      </c>
      <c r="Z8420">
        <v>-1.2064770000000001E-2</v>
      </c>
      <c r="AA8420">
        <v>0.99989240000000001</v>
      </c>
      <c r="AB8420">
        <v>8</v>
      </c>
      <c r="AC8420">
        <v>0.70080000000001497</v>
      </c>
      <c r="AD8420">
        <v>-8.4816999999999906E-2</v>
      </c>
      <c r="AE8420">
        <v>6.9799999999986498E-2</v>
      </c>
      <c r="AF8420">
        <v>6.0685496433409E-3</v>
      </c>
      <c r="AG8420">
        <v>-8.4816999999999906E-2</v>
      </c>
      <c r="AH8420">
        <v>0.69417222940722301</v>
      </c>
      <c r="AI8420">
        <v>96.965856600479796</v>
      </c>
      <c r="AJ8420">
        <v>89.499125130202103</v>
      </c>
      <c r="AK8420">
        <v>0.69936101897658498</v>
      </c>
      <c r="AL8420">
        <v>91.382687132620305</v>
      </c>
      <c r="AM8420">
        <v>86.943336605890593</v>
      </c>
      <c r="AN8420">
        <v>0.999999970869209</v>
      </c>
    </row>
    <row r="8421" spans="1:40" x14ac:dyDescent="0.25">
      <c r="A8421" t="str">
        <f>"20190312160851021"</f>
        <v>20190312160851021</v>
      </c>
      <c r="B8421" t="str">
        <f>"1552378131013849"</f>
        <v>1552378131013849</v>
      </c>
      <c r="C8421" t="s">
        <v>40</v>
      </c>
      <c r="D8421">
        <v>6.066732</v>
      </c>
      <c r="E8421">
        <v>0.48316870000000001</v>
      </c>
      <c r="F8421" t="s">
        <v>44</v>
      </c>
      <c r="G8421">
        <v>-162.0728</v>
      </c>
      <c r="H8421">
        <v>1.0243789999999999</v>
      </c>
      <c r="I8421">
        <v>142.95760000000001</v>
      </c>
      <c r="J8421">
        <v>-162.7646</v>
      </c>
      <c r="K8421">
        <v>1.10955</v>
      </c>
      <c r="L8421">
        <v>142.8887</v>
      </c>
      <c r="M8421">
        <v>0.99418309999999999</v>
      </c>
      <c r="N8421">
        <v>0</v>
      </c>
      <c r="O8421">
        <v>0.1070343</v>
      </c>
      <c r="P8421">
        <v>0.99787749999999997</v>
      </c>
      <c r="Q8421">
        <v>-3.6112650000000003E-2</v>
      </c>
      <c r="R8421">
        <v>5.4190559999999999E-2</v>
      </c>
      <c r="S8421">
        <v>2.9783170000000001</v>
      </c>
      <c r="T8421">
        <v>-0.32912419999999998</v>
      </c>
      <c r="U8421">
        <v>0.29612729999999998</v>
      </c>
      <c r="V8421">
        <v>5.2924899999999997E-2</v>
      </c>
      <c r="W8421">
        <v>-2.4164479999999999E-2</v>
      </c>
      <c r="X8421">
        <v>0.99830609999999997</v>
      </c>
      <c r="Y8421">
        <v>7.4588440000000001E-3</v>
      </c>
      <c r="Z8421">
        <v>-1.2141580000000001E-2</v>
      </c>
      <c r="AA8421">
        <v>0.99989850000000002</v>
      </c>
      <c r="AB8421">
        <v>8</v>
      </c>
      <c r="AC8421">
        <v>0.69179999999999997</v>
      </c>
      <c r="AD8421">
        <v>-8.5170999999999802E-2</v>
      </c>
      <c r="AE8421">
        <v>6.8900000000013506E-2</v>
      </c>
      <c r="AF8421">
        <v>5.4654831262968603E-3</v>
      </c>
      <c r="AG8421">
        <v>-8.5170999999999802E-2</v>
      </c>
      <c r="AH8421">
        <v>0.684920858712179</v>
      </c>
      <c r="AI8421">
        <v>97.088210639601598</v>
      </c>
      <c r="AJ8421">
        <v>89.542804886572398</v>
      </c>
      <c r="AK8421">
        <v>0.69021775799078899</v>
      </c>
      <c r="AL8421">
        <v>91.384657470553094</v>
      </c>
      <c r="AM8421">
        <v>86.965322264839799</v>
      </c>
      <c r="AN8421">
        <v>1.00000001821544</v>
      </c>
    </row>
    <row r="8422" spans="1:40" x14ac:dyDescent="0.25">
      <c r="A8422" t="str">
        <f>"20190312160851043"</f>
        <v>20190312160851043</v>
      </c>
      <c r="B8422" t="str">
        <f>"1552378131034345"</f>
        <v>1552378131034345</v>
      </c>
      <c r="C8422" t="s">
        <v>40</v>
      </c>
      <c r="D8422">
        <v>6.126995</v>
      </c>
      <c r="E8422">
        <v>0.48300140000000003</v>
      </c>
      <c r="F8422" t="s">
        <v>44</v>
      </c>
      <c r="G8422">
        <v>-162.0025</v>
      </c>
      <c r="H8422">
        <v>1.0246379999999999</v>
      </c>
      <c r="I8422">
        <v>142.96420000000001</v>
      </c>
      <c r="J8422">
        <v>-162.6883</v>
      </c>
      <c r="K8422">
        <v>1.109558</v>
      </c>
      <c r="L8422">
        <v>142.89599999999999</v>
      </c>
      <c r="M8422">
        <v>0.99426219999999998</v>
      </c>
      <c r="N8422">
        <v>0</v>
      </c>
      <c r="O8422">
        <v>0.10629619999999999</v>
      </c>
      <c r="P8422">
        <v>0.99795370000000005</v>
      </c>
      <c r="Q8422">
        <v>-3.5024760000000002E-2</v>
      </c>
      <c r="R8422">
        <v>5.3497820000000001E-2</v>
      </c>
      <c r="S8422">
        <v>2.9783330000000001</v>
      </c>
      <c r="T8422">
        <v>-0.33180579999999998</v>
      </c>
      <c r="U8422">
        <v>0.29545589999999999</v>
      </c>
      <c r="V8422">
        <v>5.2881490000000003E-2</v>
      </c>
      <c r="W8422">
        <v>-2.3075229999999999E-2</v>
      </c>
      <c r="X8422">
        <v>0.99833419999999895</v>
      </c>
      <c r="Y8422">
        <v>6.9366669999999997E-3</v>
      </c>
      <c r="Z8422">
        <v>-1.2129879999999999E-2</v>
      </c>
      <c r="AA8422">
        <v>0.99990239999999997</v>
      </c>
      <c r="AB8422">
        <v>8</v>
      </c>
      <c r="AC8422">
        <v>0.68579999999999997</v>
      </c>
      <c r="AD8422">
        <v>-8.4920000000000107E-2</v>
      </c>
      <c r="AE8422">
        <v>6.8199999999990199E-2</v>
      </c>
      <c r="AF8422">
        <v>5.0134990371016302E-3</v>
      </c>
      <c r="AG8422">
        <v>-8.4920000000000107E-2</v>
      </c>
      <c r="AH8422">
        <v>0.67885703505984996</v>
      </c>
      <c r="AI8422">
        <v>97.130048519749806</v>
      </c>
      <c r="AJ8422">
        <v>89.576866558957306</v>
      </c>
      <c r="AK8422">
        <v>0.68416621929385402</v>
      </c>
      <c r="AL8422">
        <v>91.322230586961396</v>
      </c>
      <c r="AM8422">
        <v>86.967891905429994</v>
      </c>
      <c r="AN8422">
        <v>1.0000000465568999</v>
      </c>
    </row>
    <row r="8423" spans="1:40" x14ac:dyDescent="0.25">
      <c r="A8423" t="str">
        <f>"20190312160851066"</f>
        <v>20190312160851066</v>
      </c>
      <c r="B8423" t="str">
        <f>"1552378131053864"</f>
        <v>1552378131053864</v>
      </c>
      <c r="C8423" t="s">
        <v>40</v>
      </c>
      <c r="D8423">
        <v>6.2589790000000001</v>
      </c>
      <c r="E8423">
        <v>0.48276669999999999</v>
      </c>
      <c r="F8423" t="s">
        <v>44</v>
      </c>
      <c r="G8423">
        <v>-161.9314</v>
      </c>
      <c r="H8423">
        <v>1.0265070000000001</v>
      </c>
      <c r="I8423">
        <v>142.9708</v>
      </c>
      <c r="J8423">
        <v>-162.60759999999999</v>
      </c>
      <c r="K8423">
        <v>1.1095680000000001</v>
      </c>
      <c r="L8423">
        <v>142.90369999999999</v>
      </c>
      <c r="M8423">
        <v>0.99434529999999999</v>
      </c>
      <c r="N8423">
        <v>0</v>
      </c>
      <c r="O8423">
        <v>0.1055162</v>
      </c>
      <c r="P8423">
        <v>0.99804579999999998</v>
      </c>
      <c r="Q8423">
        <v>-3.3924749999999997E-2</v>
      </c>
      <c r="R8423">
        <v>5.2478660000000003E-2</v>
      </c>
      <c r="S8423">
        <v>2.9788670000000002</v>
      </c>
      <c r="T8423">
        <v>-0.32686399999999999</v>
      </c>
      <c r="U8423">
        <v>0.29483029999999999</v>
      </c>
      <c r="V8423">
        <v>5.3122049999999997E-2</v>
      </c>
      <c r="W8423">
        <v>-2.1974170000000001E-2</v>
      </c>
      <c r="X8423">
        <v>0.99834619999999996</v>
      </c>
      <c r="Y8423">
        <v>6.4059850000000003E-3</v>
      </c>
      <c r="Z8423">
        <v>-1.1834819999999999E-2</v>
      </c>
      <c r="AA8423">
        <v>0.99990950000000001</v>
      </c>
      <c r="AB8423">
        <v>8</v>
      </c>
      <c r="AC8423">
        <v>0.67619999999999403</v>
      </c>
      <c r="AD8423">
        <v>-8.3060999999999996E-2</v>
      </c>
      <c r="AE8423">
        <v>6.7100000000010596E-2</v>
      </c>
      <c r="AF8423">
        <v>4.5616604503850699E-3</v>
      </c>
      <c r="AG8423">
        <v>-8.3060999999999996E-2</v>
      </c>
      <c r="AH8423">
        <v>0.66950203890812598</v>
      </c>
      <c r="AI8423">
        <v>97.072035489254404</v>
      </c>
      <c r="AJ8423">
        <v>89.609620536178099</v>
      </c>
      <c r="AK8423">
        <v>0.67465021942425996</v>
      </c>
      <c r="AL8423">
        <v>91.259128575111305</v>
      </c>
      <c r="AM8423">
        <v>86.954161180746198</v>
      </c>
      <c r="AN8423">
        <v>0.99999997569891497</v>
      </c>
    </row>
    <row r="8424" spans="1:40" x14ac:dyDescent="0.25">
      <c r="A8424" t="str">
        <f>"20190312160851089"</f>
        <v>20190312160851089</v>
      </c>
      <c r="B8424" t="str">
        <f>"1552378131084121"</f>
        <v>1552378131084121</v>
      </c>
      <c r="C8424" t="s">
        <v>40</v>
      </c>
      <c r="D8424">
        <v>6.2019859999999998</v>
      </c>
      <c r="E8424">
        <v>0.46486290000000002</v>
      </c>
      <c r="F8424" t="s">
        <v>44</v>
      </c>
      <c r="G8424">
        <v>-161.86089999999999</v>
      </c>
      <c r="H8424">
        <v>1.0274030000000001</v>
      </c>
      <c r="I8424">
        <v>142.97720000000001</v>
      </c>
      <c r="J8424">
        <v>-162.5282</v>
      </c>
      <c r="K8424">
        <v>1.1095759999999999</v>
      </c>
      <c r="L8424">
        <v>142.91120000000001</v>
      </c>
      <c r="M8424">
        <v>0.99442609999999998</v>
      </c>
      <c r="N8424">
        <v>0</v>
      </c>
      <c r="O8424">
        <v>0.1047498</v>
      </c>
      <c r="P8424">
        <v>0.99811559999999999</v>
      </c>
      <c r="Q8424">
        <v>-3.2991739999999999E-2</v>
      </c>
      <c r="R8424">
        <v>5.1736940000000002E-2</v>
      </c>
      <c r="S8424">
        <v>2.9792939999999999</v>
      </c>
      <c r="T8424">
        <v>-0.32783020000000002</v>
      </c>
      <c r="U8424">
        <v>0.29350279999999901</v>
      </c>
      <c r="V8424">
        <v>5.3098619999999999E-2</v>
      </c>
      <c r="W8424">
        <v>-2.1031959999999999E-2</v>
      </c>
      <c r="X8424">
        <v>0.99836780000000003</v>
      </c>
      <c r="Y8424">
        <v>6.0933000000000003E-3</v>
      </c>
      <c r="Z8424">
        <v>-1.176782E-2</v>
      </c>
      <c r="AA8424">
        <v>0.99991220000000003</v>
      </c>
      <c r="AB8424">
        <v>8</v>
      </c>
      <c r="AC8424">
        <v>0.667300000000011</v>
      </c>
      <c r="AD8424">
        <v>-8.2172999999999996E-2</v>
      </c>
      <c r="AE8424">
        <v>6.6000000000002501E-2</v>
      </c>
      <c r="AF8424">
        <v>4.2045856795279802E-3</v>
      </c>
      <c r="AG8424">
        <v>-8.2172999999999996E-2</v>
      </c>
      <c r="AH8424">
        <v>0.66062170326855796</v>
      </c>
      <c r="AI8424">
        <v>97.090310828289105</v>
      </c>
      <c r="AJ8424">
        <v>89.6353408311207</v>
      </c>
      <c r="AK8424">
        <v>0.665726006176105</v>
      </c>
      <c r="AL8424">
        <v>91.205131358294196</v>
      </c>
      <c r="AM8424">
        <v>86.955567794678501</v>
      </c>
      <c r="AN8424">
        <v>1.0000000354320899</v>
      </c>
    </row>
    <row r="8425" spans="1:40" x14ac:dyDescent="0.25">
      <c r="A8425" t="str">
        <f>"20190312160851112"</f>
        <v>20190312160851112</v>
      </c>
      <c r="B8425" t="str">
        <f>"1552378131103640"</f>
        <v>1552378131103640</v>
      </c>
      <c r="C8425" t="s">
        <v>40</v>
      </c>
      <c r="D8425">
        <v>6.3811169999999997</v>
      </c>
      <c r="E8425">
        <v>0.46297640000000001</v>
      </c>
      <c r="F8425" t="s">
        <v>44</v>
      </c>
      <c r="G8425">
        <v>-161.81280000000001</v>
      </c>
      <c r="H8425">
        <v>0.98738029999999999</v>
      </c>
      <c r="I8425">
        <v>143.0155</v>
      </c>
      <c r="J8425">
        <v>-162.446</v>
      </c>
      <c r="K8425">
        <v>1.1095919999999999</v>
      </c>
      <c r="L8425">
        <v>142.91890000000001</v>
      </c>
      <c r="M8425">
        <v>0.99450839999999996</v>
      </c>
      <c r="N8425">
        <v>0</v>
      </c>
      <c r="O8425">
        <v>0.10396039999999999</v>
      </c>
      <c r="P8425">
        <v>0.99817400000000001</v>
      </c>
      <c r="Q8425">
        <v>-3.297634E-2</v>
      </c>
      <c r="R8425">
        <v>5.0608899999999998E-2</v>
      </c>
      <c r="S8425">
        <v>2.9664920000000001</v>
      </c>
      <c r="T8425">
        <v>-0.50668290000000005</v>
      </c>
      <c r="U8425">
        <v>0.43283080000000002</v>
      </c>
      <c r="V8425">
        <v>5.343473E-2</v>
      </c>
      <c r="W8425">
        <v>-2.0971099999999999E-2</v>
      </c>
      <c r="X8425">
        <v>0.99835110000000005</v>
      </c>
      <c r="Y8425">
        <v>-4.1594039999999999E-2</v>
      </c>
      <c r="Z8425">
        <v>-1.3974210000000001E-2</v>
      </c>
      <c r="AA8425">
        <v>0.99903679999999995</v>
      </c>
      <c r="AB8425">
        <v>8</v>
      </c>
      <c r="AC8425">
        <v>0.633199999999987</v>
      </c>
      <c r="AD8425">
        <v>-0.12221169999999899</v>
      </c>
      <c r="AE8425">
        <v>9.6599999999995106E-2</v>
      </c>
      <c r="AF8425">
        <v>-2.9181647859131001E-2</v>
      </c>
      <c r="AG8425">
        <v>-0.12221169999999899</v>
      </c>
      <c r="AH8425">
        <v>0.61733805699246802</v>
      </c>
      <c r="AI8425">
        <v>101.185634970384</v>
      </c>
      <c r="AJ8425">
        <v>92.706364169217906</v>
      </c>
      <c r="AK8425">
        <v>0.62999487680448596</v>
      </c>
      <c r="AL8425">
        <v>91.201643624860097</v>
      </c>
      <c r="AM8425">
        <v>86.936282229660094</v>
      </c>
      <c r="AN8425">
        <v>0.99999998813829605</v>
      </c>
    </row>
    <row r="8426" spans="1:40" x14ac:dyDescent="0.25">
      <c r="A8426" t="str">
        <f>"20190312160851132"</f>
        <v>20190312160851132</v>
      </c>
      <c r="B8426" t="str">
        <f>"1552378131124137"</f>
        <v>1552378131124137</v>
      </c>
      <c r="C8426" t="s">
        <v>40</v>
      </c>
      <c r="D8426">
        <v>6.247579</v>
      </c>
      <c r="E8426">
        <v>0.46263029999999999</v>
      </c>
      <c r="F8426" t="s">
        <v>44</v>
      </c>
      <c r="G8426">
        <v>-161.74019999999999</v>
      </c>
      <c r="H8426">
        <v>0.99344279999999996</v>
      </c>
      <c r="I8426">
        <v>143.0247</v>
      </c>
      <c r="J8426">
        <v>-162.37479999999999</v>
      </c>
      <c r="K8426">
        <v>1.109629</v>
      </c>
      <c r="L8426">
        <v>142.9256</v>
      </c>
      <c r="M8426">
        <v>0.99457839999999997</v>
      </c>
      <c r="N8426">
        <v>0</v>
      </c>
      <c r="O8426">
        <v>0.1032772</v>
      </c>
      <c r="P8426">
        <v>0.99820010000000003</v>
      </c>
      <c r="Q8426">
        <v>-3.3020180000000003E-2</v>
      </c>
      <c r="R8426">
        <v>5.0064999999999998E-2</v>
      </c>
      <c r="S8426">
        <v>2.966812</v>
      </c>
      <c r="T8426">
        <v>-0.4882029</v>
      </c>
      <c r="U8426">
        <v>0.44462590000000002</v>
      </c>
      <c r="V8426">
        <v>5.3293300000000002E-2</v>
      </c>
      <c r="W8426">
        <v>-2.0902730000000001E-2</v>
      </c>
      <c r="X8426">
        <v>0.99836009999999997</v>
      </c>
      <c r="Y8426">
        <v>-4.6021300000000001E-2</v>
      </c>
      <c r="Z8426">
        <v>-1.299521E-2</v>
      </c>
      <c r="AA8426">
        <v>0.99885590000000002</v>
      </c>
      <c r="AB8426">
        <v>8</v>
      </c>
      <c r="AC8426">
        <v>0.63460000000000505</v>
      </c>
      <c r="AD8426">
        <v>-0.1161862</v>
      </c>
      <c r="AE8426">
        <v>9.9099999999992805E-2</v>
      </c>
      <c r="AF8426">
        <v>-3.1979015923511198E-2</v>
      </c>
      <c r="AG8426">
        <v>-0.1161862</v>
      </c>
      <c r="AH8426">
        <v>0.62111712769864003</v>
      </c>
      <c r="AI8426">
        <v>100.581603439617</v>
      </c>
      <c r="AJ8426">
        <v>92.947344588457298</v>
      </c>
      <c r="AK8426">
        <v>0.63269927837044704</v>
      </c>
      <c r="AL8426">
        <v>91.197725445748105</v>
      </c>
      <c r="AM8426">
        <v>86.944403324511001</v>
      </c>
      <c r="AN8426">
        <v>0.99999999460917599</v>
      </c>
    </row>
    <row r="8427" spans="1:40" x14ac:dyDescent="0.25">
      <c r="A8427" t="str">
        <f>"20190312160851155"</f>
        <v>20190312160851155</v>
      </c>
      <c r="B8427" t="str">
        <f>"1552378131143657"</f>
        <v>1552378131143657</v>
      </c>
      <c r="C8427" t="s">
        <v>40</v>
      </c>
      <c r="D8427">
        <v>5.700094</v>
      </c>
      <c r="E8427">
        <v>0.46206599999999998</v>
      </c>
      <c r="F8427" t="s">
        <v>44</v>
      </c>
      <c r="G8427">
        <v>-161.67160000000001</v>
      </c>
      <c r="H8427">
        <v>0.99166310000000002</v>
      </c>
      <c r="I8427">
        <v>143.03110000000001</v>
      </c>
      <c r="J8427">
        <v>-162.29929999999999</v>
      </c>
      <c r="K8427">
        <v>1.1096820000000001</v>
      </c>
      <c r="L8427">
        <v>142.9325</v>
      </c>
      <c r="M8427">
        <v>0.99465099999999995</v>
      </c>
      <c r="N8427">
        <v>0</v>
      </c>
      <c r="O8427">
        <v>0.1025529</v>
      </c>
      <c r="P8427">
        <v>0.99821519999999997</v>
      </c>
      <c r="Q8427">
        <v>-3.3236090000000003E-2</v>
      </c>
      <c r="R8427">
        <v>4.9620160000000003E-2</v>
      </c>
      <c r="S8427">
        <v>2.966583</v>
      </c>
      <c r="T8427">
        <v>-0.4975598</v>
      </c>
      <c r="U8427">
        <v>0.44572450000000002</v>
      </c>
      <c r="V8427">
        <v>5.3010880000000003E-2</v>
      </c>
      <c r="W8427">
        <v>-2.0925329999999999E-2</v>
      </c>
      <c r="X8427">
        <v>0.9983746</v>
      </c>
      <c r="Y8427">
        <v>-4.7125630000000002E-2</v>
      </c>
      <c r="Z8427">
        <v>-1.3031010000000001E-2</v>
      </c>
      <c r="AA8427">
        <v>0.99880400000000003</v>
      </c>
      <c r="AB8427">
        <v>8</v>
      </c>
      <c r="AC8427">
        <v>0.62769999999997494</v>
      </c>
      <c r="AD8427">
        <v>-0.1180189</v>
      </c>
      <c r="AE8427">
        <v>9.8600000000004601E-2</v>
      </c>
      <c r="AF8427">
        <v>-3.2578748846942999E-2</v>
      </c>
      <c r="AG8427">
        <v>-0.1180189</v>
      </c>
      <c r="AH8427">
        <v>0.61334245172967194</v>
      </c>
      <c r="AI8427">
        <v>100.876724805309</v>
      </c>
      <c r="AJ8427">
        <v>93.040507436855194</v>
      </c>
      <c r="AK8427">
        <v>0.62544288206630605</v>
      </c>
      <c r="AL8427">
        <v>91.199020688279603</v>
      </c>
      <c r="AM8427">
        <v>86.960609628022894</v>
      </c>
      <c r="AN8427">
        <v>0.99999993237956897</v>
      </c>
    </row>
    <row r="8428" spans="1:40" x14ac:dyDescent="0.25">
      <c r="A8428" t="str">
        <f>"20190312160851177"</f>
        <v>20190312160851177</v>
      </c>
      <c r="B8428" t="str">
        <f>"1552378131164154"</f>
        <v>1552378131164154</v>
      </c>
      <c r="C8428" t="s">
        <v>40</v>
      </c>
      <c r="D8428">
        <v>6.2568859999999997</v>
      </c>
      <c r="E8428">
        <v>0.46051550000000002</v>
      </c>
      <c r="F8428" t="s">
        <v>44</v>
      </c>
      <c r="G8428">
        <v>-161.5395</v>
      </c>
      <c r="H8428">
        <v>0.98080270000000003</v>
      </c>
      <c r="I8428">
        <v>143.04730000000001</v>
      </c>
      <c r="J8428">
        <v>-162.22290000000001</v>
      </c>
      <c r="K8428">
        <v>1.1097539999999999</v>
      </c>
      <c r="L8428">
        <v>142.93950000000001</v>
      </c>
      <c r="M8428">
        <v>0.99472249999999995</v>
      </c>
      <c r="N8428">
        <v>0</v>
      </c>
      <c r="O8428">
        <v>0.1018196</v>
      </c>
      <c r="P8428">
        <v>0.99819840000000004</v>
      </c>
      <c r="Q8428">
        <v>-3.4063820000000002E-2</v>
      </c>
      <c r="R8428">
        <v>4.9390200000000002E-2</v>
      </c>
      <c r="S8428">
        <v>2.9663089999999999</v>
      </c>
      <c r="T8428">
        <v>-0.50311700000000004</v>
      </c>
      <c r="U8428">
        <v>0.44873049999999998</v>
      </c>
      <c r="V8428">
        <v>5.250258E-2</v>
      </c>
      <c r="W8428">
        <v>-2.1466099999999998E-2</v>
      </c>
      <c r="X8428">
        <v>0.99839</v>
      </c>
      <c r="Y8428">
        <v>-4.8847509999999997E-2</v>
      </c>
      <c r="Z8428">
        <v>-1.2908569999999999E-2</v>
      </c>
      <c r="AA8428">
        <v>0.99872289999999997</v>
      </c>
      <c r="AB8428">
        <v>8</v>
      </c>
      <c r="AC8428">
        <v>0.683400000000006</v>
      </c>
      <c r="AD8428">
        <v>-0.12895129999999999</v>
      </c>
      <c r="AE8428">
        <v>0.107799999999997</v>
      </c>
      <c r="AF8428">
        <v>-3.6386520256050797E-2</v>
      </c>
      <c r="AG8428">
        <v>-0.12895129999999999</v>
      </c>
      <c r="AH8428">
        <v>0.66763135498936599</v>
      </c>
      <c r="AI8428">
        <v>100.916108710717</v>
      </c>
      <c r="AJ8428">
        <v>93.119586143014104</v>
      </c>
      <c r="AK8428">
        <v>0.68094349456689196</v>
      </c>
      <c r="AL8428">
        <v>91.230011466013906</v>
      </c>
      <c r="AM8428">
        <v>86.989745606218705</v>
      </c>
      <c r="AN8428">
        <v>0.999999953227932</v>
      </c>
    </row>
    <row r="8429" spans="1:40" x14ac:dyDescent="0.25">
      <c r="A8429" t="str">
        <f>"20190312160851199"</f>
        <v>20190312160851199</v>
      </c>
      <c r="B8429" t="str">
        <f>"1552378131194409"</f>
        <v>1552378131194409</v>
      </c>
      <c r="C8429" t="s">
        <v>40</v>
      </c>
      <c r="D8429">
        <v>6.2720029999999998</v>
      </c>
      <c r="E8429">
        <v>0.45901360000000002</v>
      </c>
      <c r="F8429" t="s">
        <v>44</v>
      </c>
      <c r="G8429">
        <v>-161.4676</v>
      </c>
      <c r="H8429">
        <v>0.99030039999999997</v>
      </c>
      <c r="I8429">
        <v>143.05670000000001</v>
      </c>
      <c r="J8429">
        <v>-162.14699999999999</v>
      </c>
      <c r="K8429">
        <v>1.109842</v>
      </c>
      <c r="L8429">
        <v>142.94640000000001</v>
      </c>
      <c r="M8429">
        <v>0.99479229999999996</v>
      </c>
      <c r="N8429">
        <v>0</v>
      </c>
      <c r="O8429">
        <v>0.101088</v>
      </c>
      <c r="P8429">
        <v>0.99818799999999996</v>
      </c>
      <c r="Q8429">
        <v>-3.5041320000000001E-2</v>
      </c>
      <c r="R8429">
        <v>4.8918389999999999E-2</v>
      </c>
      <c r="S8429">
        <v>2.9666290000000002</v>
      </c>
      <c r="T8429">
        <v>-0.46918339999999997</v>
      </c>
      <c r="U8429">
        <v>0.46034239999999998</v>
      </c>
      <c r="V8429">
        <v>5.223713E-2</v>
      </c>
      <c r="W8429">
        <v>-2.2059309999999999E-2</v>
      </c>
      <c r="X8429">
        <v>0.99839100000000003</v>
      </c>
      <c r="Y8429">
        <v>-5.3227469999999999E-2</v>
      </c>
      <c r="Z8429">
        <v>-1.1587709999999999E-2</v>
      </c>
      <c r="AA8429">
        <v>0.99851520000000005</v>
      </c>
      <c r="AB8429">
        <v>8</v>
      </c>
      <c r="AC8429">
        <v>0.67940000000001499</v>
      </c>
      <c r="AD8429">
        <v>-0.119541599999999</v>
      </c>
      <c r="AE8429">
        <v>0.110299999999995</v>
      </c>
      <c r="AF8429">
        <v>-3.98479113520816E-2</v>
      </c>
      <c r="AG8429">
        <v>-0.119541599999999</v>
      </c>
      <c r="AH8429">
        <v>0.66695219953331297</v>
      </c>
      <c r="AI8429">
        <v>100.143835450609</v>
      </c>
      <c r="AJ8429">
        <v>93.4191450745693</v>
      </c>
      <c r="AK8429">
        <v>0.67875127007763802</v>
      </c>
      <c r="AL8429">
        <v>91.264007940621696</v>
      </c>
      <c r="AM8429">
        <v>87.004940491678397</v>
      </c>
      <c r="AN8429">
        <v>0.99999995989465496</v>
      </c>
    </row>
    <row r="8430" spans="1:40" x14ac:dyDescent="0.25">
      <c r="A8430" t="str">
        <f>"20190312160851222"</f>
        <v>20190312160851222</v>
      </c>
      <c r="B8430" t="str">
        <f>"1552378131213929"</f>
        <v>1552378131213929</v>
      </c>
      <c r="C8430" t="s">
        <v>40</v>
      </c>
      <c r="D8430">
        <v>6.2579060000000002</v>
      </c>
      <c r="E8430">
        <v>0.45824809999999999</v>
      </c>
      <c r="F8430" t="s">
        <v>44</v>
      </c>
      <c r="G8430">
        <v>-161.39670000000001</v>
      </c>
      <c r="H8430">
        <v>0.99936559999999997</v>
      </c>
      <c r="I8430">
        <v>143.06549999999999</v>
      </c>
      <c r="J8430">
        <v>-162.071</v>
      </c>
      <c r="K8430">
        <v>1.1099270000000001</v>
      </c>
      <c r="L8430">
        <v>142.95330000000001</v>
      </c>
      <c r="M8430">
        <v>0.99486090000000005</v>
      </c>
      <c r="N8430">
        <v>0</v>
      </c>
      <c r="O8430">
        <v>0.10035139999999999</v>
      </c>
      <c r="P8430">
        <v>0.99820260000000005</v>
      </c>
      <c r="Q8430">
        <v>-3.5382719999999999E-2</v>
      </c>
      <c r="R8430">
        <v>4.8370499999999997E-2</v>
      </c>
      <c r="S8430">
        <v>2.967041</v>
      </c>
      <c r="T8430">
        <v>-0.43687280000000001</v>
      </c>
      <c r="U8430">
        <v>0.4711304</v>
      </c>
      <c r="V8430">
        <v>5.2045269999999998E-2</v>
      </c>
      <c r="W8430">
        <v>-2.1954850000000001E-2</v>
      </c>
      <c r="X8430">
        <v>0.99840340000000005</v>
      </c>
      <c r="Y8430">
        <v>-5.736057E-2</v>
      </c>
      <c r="Z8430">
        <v>-1.038618E-2</v>
      </c>
      <c r="AA8430">
        <v>0.99829950000000001</v>
      </c>
      <c r="AB8430">
        <v>8</v>
      </c>
      <c r="AC8430">
        <v>0.67429999999998802</v>
      </c>
      <c r="AD8430">
        <v>-0.1105614</v>
      </c>
      <c r="AE8430">
        <v>0.112199999999973</v>
      </c>
      <c r="AF8430">
        <v>-4.2839738224522902E-2</v>
      </c>
      <c r="AG8430">
        <v>-0.1105614</v>
      </c>
      <c r="AH8430">
        <v>0.66476565037490798</v>
      </c>
      <c r="AI8430">
        <v>99.423596310254894</v>
      </c>
      <c r="AJ8430">
        <v>93.687234414667003</v>
      </c>
      <c r="AK8430">
        <v>0.67525731114848397</v>
      </c>
      <c r="AL8430">
        <v>91.258021275937594</v>
      </c>
      <c r="AM8430">
        <v>87.015958021408906</v>
      </c>
      <c r="AN8430">
        <v>1.00000003734972</v>
      </c>
    </row>
    <row r="8431" spans="1:40" x14ac:dyDescent="0.25">
      <c r="A8431" t="str">
        <f>"20190312160851244"</f>
        <v>20190312160851244</v>
      </c>
      <c r="B8431" t="str">
        <f>"1552378131234424"</f>
        <v>1552378131234424</v>
      </c>
      <c r="C8431" t="s">
        <v>40</v>
      </c>
      <c r="D8431">
        <v>6.4092269999999996</v>
      </c>
      <c r="E8431">
        <v>0.45786070000000001</v>
      </c>
      <c r="F8431" t="s">
        <v>44</v>
      </c>
      <c r="G8431">
        <v>-161.32849999999999</v>
      </c>
      <c r="H8431">
        <v>1.0042819999999999</v>
      </c>
      <c r="I8431">
        <v>143.07230000000001</v>
      </c>
      <c r="J8431">
        <v>-161.9999</v>
      </c>
      <c r="K8431">
        <v>1.1099969999999999</v>
      </c>
      <c r="L8431">
        <v>142.95959999999999</v>
      </c>
      <c r="M8431">
        <v>0.99492480000000005</v>
      </c>
      <c r="N8431">
        <v>0</v>
      </c>
      <c r="O8431">
        <v>9.9653389999999994E-2</v>
      </c>
      <c r="P8431">
        <v>0.99816300000000002</v>
      </c>
      <c r="Q8431">
        <v>-3.600018E-2</v>
      </c>
      <c r="R8431">
        <v>4.8730389999999998E-2</v>
      </c>
      <c r="S8431">
        <v>2.9673919999999998</v>
      </c>
      <c r="T8431">
        <v>-0.42218939999999999</v>
      </c>
      <c r="U8431">
        <v>0.47572330000000002</v>
      </c>
      <c r="V8431">
        <v>5.0983769999999998E-2</v>
      </c>
      <c r="W8431">
        <v>-2.2112219999999998E-2</v>
      </c>
      <c r="X8431">
        <v>0.99845459999999997</v>
      </c>
      <c r="Y8431">
        <v>-5.9491500000000003E-2</v>
      </c>
      <c r="Z8431">
        <v>-9.7907069999999992E-3</v>
      </c>
      <c r="AA8431">
        <v>0.99818079999999998</v>
      </c>
      <c r="AB8431">
        <v>7</v>
      </c>
      <c r="AC8431">
        <v>0.67140000000000499</v>
      </c>
      <c r="AD8431">
        <v>-0.105715</v>
      </c>
      <c r="AE8431">
        <v>0.11270000000001799</v>
      </c>
      <c r="AF8431">
        <v>-4.4160305380089103E-2</v>
      </c>
      <c r="AG8431">
        <v>-0.105715</v>
      </c>
      <c r="AH8431">
        <v>0.66329554968141802</v>
      </c>
      <c r="AI8431">
        <v>99.035876313148506</v>
      </c>
      <c r="AJ8431">
        <v>93.808966685570695</v>
      </c>
      <c r="AK8431">
        <v>0.67311721120725898</v>
      </c>
      <c r="AL8431">
        <v>91.267040223163704</v>
      </c>
      <c r="AM8431">
        <v>87.076862644974199</v>
      </c>
      <c r="AN8431">
        <v>0.99999994166894901</v>
      </c>
    </row>
    <row r="8432" spans="1:40" x14ac:dyDescent="0.25">
      <c r="A8432" t="str">
        <f>"20190312160851266"</f>
        <v>20190312160851266</v>
      </c>
      <c r="B8432" t="str">
        <f>"1552378131253945"</f>
        <v>1552378131253945</v>
      </c>
      <c r="C8432" t="s">
        <v>40</v>
      </c>
      <c r="D8432">
        <v>6.2527819999999998</v>
      </c>
      <c r="E8432">
        <v>0.4578372</v>
      </c>
      <c r="F8432" t="s">
        <v>44</v>
      </c>
      <c r="G8432">
        <v>-161.2627</v>
      </c>
      <c r="H8432">
        <v>1.0056419999999999</v>
      </c>
      <c r="I8432">
        <v>143.07859999999999</v>
      </c>
      <c r="J8432">
        <v>-161.92859999999999</v>
      </c>
      <c r="K8432">
        <v>1.110074</v>
      </c>
      <c r="L8432">
        <v>142.9659</v>
      </c>
      <c r="M8432">
        <v>0.9949886</v>
      </c>
      <c r="N8432">
        <v>0</v>
      </c>
      <c r="O8432">
        <v>9.8943110000000001E-2</v>
      </c>
      <c r="P8432">
        <v>0.99811519999999998</v>
      </c>
      <c r="Q8432">
        <v>-3.6547250000000003E-2</v>
      </c>
      <c r="R8432">
        <v>4.9300950000000003E-2</v>
      </c>
      <c r="S8432">
        <v>2.9669650000000001</v>
      </c>
      <c r="T8432">
        <v>-0.41986440000000003</v>
      </c>
      <c r="U8432">
        <v>0.47950739999999997</v>
      </c>
      <c r="V8432">
        <v>4.9699309999999997E-2</v>
      </c>
      <c r="W8432">
        <v>-2.2163820000000001E-2</v>
      </c>
      <c r="X8432">
        <v>0.99851829999999997</v>
      </c>
      <c r="Y8432">
        <v>-6.1436869999999998E-2</v>
      </c>
      <c r="Z8432">
        <v>-9.5028769999999999E-3</v>
      </c>
      <c r="AA8432">
        <v>0.99806569999999994</v>
      </c>
      <c r="AB8432">
        <v>7</v>
      </c>
      <c r="AC8432">
        <v>0.66589999999999305</v>
      </c>
      <c r="AD8432">
        <v>-0.104432</v>
      </c>
      <c r="AE8432">
        <v>0.112699999999989</v>
      </c>
      <c r="AF8432">
        <v>-4.5173693253904398E-2</v>
      </c>
      <c r="AG8432">
        <v>-0.104432</v>
      </c>
      <c r="AH8432">
        <v>0.658049721184922</v>
      </c>
      <c r="AI8432">
        <v>98.996768937070698</v>
      </c>
      <c r="AJ8432">
        <v>93.927070541797207</v>
      </c>
      <c r="AK8432">
        <v>0.66781445083028201</v>
      </c>
      <c r="AL8432">
        <v>91.269997303325596</v>
      </c>
      <c r="AM8432">
        <v>87.150565270930798</v>
      </c>
      <c r="AN8432">
        <v>1.0000000258831701</v>
      </c>
    </row>
    <row r="8433" spans="1:40" x14ac:dyDescent="0.25">
      <c r="A8433" t="str">
        <f>"20190312160851289"</f>
        <v>20190312160851289</v>
      </c>
      <c r="B8433" t="str">
        <f>"1552378131284200"</f>
        <v>1552378131284200</v>
      </c>
      <c r="C8433" t="s">
        <v>40</v>
      </c>
      <c r="D8433">
        <v>6.2999619999999998</v>
      </c>
      <c r="E8433">
        <v>0.45757550000000002</v>
      </c>
      <c r="F8433" t="s">
        <v>44</v>
      </c>
      <c r="G8433">
        <v>-161.19839999999999</v>
      </c>
      <c r="H8433">
        <v>1.006032</v>
      </c>
      <c r="I8433">
        <v>143.08430000000001</v>
      </c>
      <c r="J8433">
        <v>-161.85849999999999</v>
      </c>
      <c r="K8433">
        <v>1.110155</v>
      </c>
      <c r="L8433">
        <v>142.97200000000001</v>
      </c>
      <c r="M8433">
        <v>0.99505140000000003</v>
      </c>
      <c r="N8433">
        <v>0</v>
      </c>
      <c r="O8433">
        <v>9.8232299999999995E-2</v>
      </c>
      <c r="P8433">
        <v>0.99805120000000003</v>
      </c>
      <c r="Q8433">
        <v>-3.7784030000000003E-2</v>
      </c>
      <c r="R8433">
        <v>4.9662690000000002E-2</v>
      </c>
      <c r="S8433">
        <v>2.966415</v>
      </c>
      <c r="T8433">
        <v>-0.4226665</v>
      </c>
      <c r="U8433">
        <v>0.48114010000000001</v>
      </c>
      <c r="V8433">
        <v>4.8620599999999903E-2</v>
      </c>
      <c r="W8433">
        <v>-2.28836E-2</v>
      </c>
      <c r="X8433">
        <v>0.99855510000000003</v>
      </c>
      <c r="Y8433">
        <v>-6.2699149999999995E-2</v>
      </c>
      <c r="Z8433">
        <v>-9.3787290000000006E-3</v>
      </c>
      <c r="AA8433">
        <v>0.9979884</v>
      </c>
      <c r="AB8433">
        <v>7</v>
      </c>
      <c r="AC8433">
        <v>0.66009999999999902</v>
      </c>
      <c r="AD8433">
        <v>-0.10412299999999899</v>
      </c>
      <c r="AE8433">
        <v>0.11230000000000399</v>
      </c>
      <c r="AF8433">
        <v>-4.5798880158981703E-2</v>
      </c>
      <c r="AG8433">
        <v>-0.10412299999999899</v>
      </c>
      <c r="AH8433">
        <v>0.65216903354600397</v>
      </c>
      <c r="AI8433">
        <v>99.049167910421701</v>
      </c>
      <c r="AJ8433">
        <v>94.017028510998699</v>
      </c>
      <c r="AK8433">
        <v>0.66201479203197999</v>
      </c>
      <c r="AL8433">
        <v>91.311248217491695</v>
      </c>
      <c r="AM8433">
        <v>87.212415413108502</v>
      </c>
      <c r="AN8433">
        <v>0.99999995481466397</v>
      </c>
    </row>
    <row r="8434" spans="1:40" x14ac:dyDescent="0.25">
      <c r="A8434" t="str">
        <f>"20190312160851312"</f>
        <v>20190312160851312</v>
      </c>
      <c r="B8434" t="str">
        <f>"1552378131303721"</f>
        <v>1552378131303721</v>
      </c>
      <c r="C8434" t="s">
        <v>40</v>
      </c>
      <c r="D8434">
        <v>6.2985689999999996</v>
      </c>
      <c r="E8434">
        <v>0.45740150000000002</v>
      </c>
      <c r="F8434" t="s">
        <v>44</v>
      </c>
      <c r="G8434">
        <v>-161.13499999999999</v>
      </c>
      <c r="H8434">
        <v>1.0069220000000001</v>
      </c>
      <c r="I8434">
        <v>143.09</v>
      </c>
      <c r="J8434">
        <v>-161.7878</v>
      </c>
      <c r="K8434">
        <v>1.110236</v>
      </c>
      <c r="L8434">
        <v>142.97810000000001</v>
      </c>
      <c r="M8434">
        <v>0.99511479999999997</v>
      </c>
      <c r="N8434">
        <v>0</v>
      </c>
      <c r="O8434">
        <v>9.7499020000000006E-2</v>
      </c>
      <c r="P8434">
        <v>0.99803209999999998</v>
      </c>
      <c r="Q8434">
        <v>-3.9643390000000001E-2</v>
      </c>
      <c r="R8434">
        <v>4.858407E-2</v>
      </c>
      <c r="S8434">
        <v>2.9657589999999998</v>
      </c>
      <c r="T8434">
        <v>-0.42310789999999998</v>
      </c>
      <c r="U8434">
        <v>0.48413089999999998</v>
      </c>
      <c r="V8434">
        <v>4.8957319999999999E-2</v>
      </c>
      <c r="W8434">
        <v>-2.4180630000000002E-2</v>
      </c>
      <c r="X8434">
        <v>0.99850819999999996</v>
      </c>
      <c r="Y8434">
        <v>-6.4425720000000006E-2</v>
      </c>
      <c r="Z8434">
        <v>-9.1652699999999997E-3</v>
      </c>
      <c r="AA8434">
        <v>0.9978804</v>
      </c>
      <c r="AB8434">
        <v>7</v>
      </c>
      <c r="AC8434">
        <v>0.65280000000001304</v>
      </c>
      <c r="AD8434">
        <v>-0.103314</v>
      </c>
      <c r="AE8434">
        <v>0.11189999999999101</v>
      </c>
      <c r="AF8434">
        <v>-4.6578369841057399E-2</v>
      </c>
      <c r="AG8434">
        <v>-0.103314</v>
      </c>
      <c r="AH8434">
        <v>0.64490848847743099</v>
      </c>
      <c r="AI8434">
        <v>99.078168584707797</v>
      </c>
      <c r="AJ8434">
        <v>94.1310016815777</v>
      </c>
      <c r="AK8434">
        <v>0.654790260803637</v>
      </c>
      <c r="AL8434">
        <v>91.385582990860001</v>
      </c>
      <c r="AM8434">
        <v>87.193009247887602</v>
      </c>
      <c r="AN8434">
        <v>1.0000000737579999</v>
      </c>
    </row>
    <row r="8435" spans="1:40" x14ac:dyDescent="0.25">
      <c r="A8435" t="str">
        <f>"20190312160851333"</f>
        <v>20190312160851333</v>
      </c>
      <c r="B8435" t="str">
        <f>"1552378131324217"</f>
        <v>1552378131324217</v>
      </c>
      <c r="C8435" t="s">
        <v>40</v>
      </c>
      <c r="D8435">
        <v>6.2723519999999997</v>
      </c>
      <c r="E8435">
        <v>0.45737679999999997</v>
      </c>
      <c r="F8435" t="s">
        <v>44</v>
      </c>
      <c r="G8435">
        <v>-161.07320000000001</v>
      </c>
      <c r="H8435">
        <v>1.0076350000000001</v>
      </c>
      <c r="I8435">
        <v>143.09440000000001</v>
      </c>
      <c r="J8435">
        <v>-161.72210000000001</v>
      </c>
      <c r="K8435">
        <v>1.110312</v>
      </c>
      <c r="L8435">
        <v>142.9837</v>
      </c>
      <c r="M8435">
        <v>0.99517389999999994</v>
      </c>
      <c r="N8435">
        <v>0</v>
      </c>
      <c r="O8435">
        <v>9.680213E-2</v>
      </c>
      <c r="P8435">
        <v>0.99804879999999996</v>
      </c>
      <c r="Q8435">
        <v>-4.1528540000000003E-2</v>
      </c>
      <c r="R8435">
        <v>4.6625260000000002E-2</v>
      </c>
      <c r="S8435">
        <v>2.9655</v>
      </c>
      <c r="T8435">
        <v>-0.4257823</v>
      </c>
      <c r="U8435">
        <v>0.4824677</v>
      </c>
      <c r="V8435">
        <v>5.021018E-2</v>
      </c>
      <c r="W8435">
        <v>-2.5505400000000001E-2</v>
      </c>
      <c r="X8435">
        <v>0.99841299999999999</v>
      </c>
      <c r="Y8435">
        <v>-6.4588060000000003E-2</v>
      </c>
      <c r="Z8435">
        <v>-9.114334E-3</v>
      </c>
      <c r="AA8435">
        <v>0.99787040000000005</v>
      </c>
      <c r="AB8435">
        <v>7</v>
      </c>
      <c r="AC8435">
        <v>0.64889999999999703</v>
      </c>
      <c r="AD8435">
        <v>-0.102677</v>
      </c>
      <c r="AE8435">
        <v>0.110700000000008</v>
      </c>
      <c r="AF8435">
        <v>-4.6232162039038301E-2</v>
      </c>
      <c r="AG8435">
        <v>-0.102677</v>
      </c>
      <c r="AH8435">
        <v>0.64097458175653399</v>
      </c>
      <c r="AI8435">
        <v>99.077640343406401</v>
      </c>
      <c r="AJ8435">
        <v>94.125480997217807</v>
      </c>
      <c r="AK8435">
        <v>0.65079059119947902</v>
      </c>
      <c r="AL8435">
        <v>91.461510184670303</v>
      </c>
      <c r="AM8435">
        <v>87.121021233122505</v>
      </c>
      <c r="AN8435">
        <v>1.00000005308689</v>
      </c>
    </row>
    <row r="8436" spans="1:40" x14ac:dyDescent="0.25">
      <c r="A8436" t="str">
        <f>"20190312160851356"</f>
        <v>20190312160851356</v>
      </c>
      <c r="B8436" t="str">
        <f>"1552378131343737"</f>
        <v>1552378131343737</v>
      </c>
      <c r="C8436" t="s">
        <v>40</v>
      </c>
      <c r="D8436">
        <v>6.2486110000000004</v>
      </c>
      <c r="E8436">
        <v>0.45719189999999998</v>
      </c>
      <c r="F8436" t="s">
        <v>44</v>
      </c>
      <c r="G8436">
        <v>-161.0138</v>
      </c>
      <c r="H8436">
        <v>1.0072749999999999</v>
      </c>
      <c r="I8436">
        <v>143.0975</v>
      </c>
      <c r="J8436">
        <v>-161.65880000000001</v>
      </c>
      <c r="K8436">
        <v>1.110379</v>
      </c>
      <c r="L8436">
        <v>142.98910000000001</v>
      </c>
      <c r="M8436">
        <v>0.99523150000000005</v>
      </c>
      <c r="N8436">
        <v>0</v>
      </c>
      <c r="O8436">
        <v>9.6113000000000004E-2</v>
      </c>
      <c r="P8436">
        <v>0.99805120000000003</v>
      </c>
      <c r="Q8436">
        <v>-4.2800110000000002E-2</v>
      </c>
      <c r="R8436">
        <v>4.5411470000000002E-2</v>
      </c>
      <c r="S8436">
        <v>2.9656370000000001</v>
      </c>
      <c r="T8436">
        <v>-0.4313689</v>
      </c>
      <c r="U8436">
        <v>0.47711179999999997</v>
      </c>
      <c r="V8436">
        <v>5.0728460000000003E-2</v>
      </c>
      <c r="W8436">
        <v>-2.6215470000000001E-2</v>
      </c>
      <c r="X8436">
        <v>0.99836840000000004</v>
      </c>
      <c r="Y8436">
        <v>-6.3526979999999997E-2</v>
      </c>
      <c r="Z8436">
        <v>-9.2119300000000001E-3</v>
      </c>
      <c r="AA8436">
        <v>0.99793759999999998</v>
      </c>
      <c r="AB8436">
        <v>7</v>
      </c>
      <c r="AC8436">
        <v>0.64500000000001001</v>
      </c>
      <c r="AD8436">
        <v>-0.103104</v>
      </c>
      <c r="AE8436">
        <v>0.10839999999998801</v>
      </c>
      <c r="AF8436">
        <v>-4.4783660277915999E-2</v>
      </c>
      <c r="AG8436">
        <v>-0.103104</v>
      </c>
      <c r="AH8436">
        <v>0.63661303925246704</v>
      </c>
      <c r="AI8436">
        <v>99.177285564218195</v>
      </c>
      <c r="AJ8436">
        <v>94.023943074239199</v>
      </c>
      <c r="AK8436">
        <v>0.64646126936588499</v>
      </c>
      <c r="AL8436">
        <v>91.502207820736501</v>
      </c>
      <c r="AM8436">
        <v>87.091224867342305</v>
      </c>
      <c r="AN8436">
        <v>1.00000004481992</v>
      </c>
    </row>
    <row r="8437" spans="1:40" x14ac:dyDescent="0.25">
      <c r="A8437" t="str">
        <f>"20190312160851378"</f>
        <v>20190312160851378</v>
      </c>
      <c r="B8437" t="str">
        <f>"1552378131373993"</f>
        <v>1552378131373993</v>
      </c>
      <c r="C8437" t="s">
        <v>40</v>
      </c>
      <c r="D8437">
        <v>6.4313900000000004</v>
      </c>
      <c r="E8437">
        <v>0.45726640000000002</v>
      </c>
      <c r="F8437" t="s">
        <v>44</v>
      </c>
      <c r="G8437">
        <v>-160.9024</v>
      </c>
      <c r="H8437">
        <v>1.001174</v>
      </c>
      <c r="I8437">
        <v>143.11009999999999</v>
      </c>
      <c r="J8437">
        <v>-161.5941</v>
      </c>
      <c r="K8437">
        <v>1.110436</v>
      </c>
      <c r="L8437">
        <v>142.99440000000001</v>
      </c>
      <c r="M8437">
        <v>0.99529129999999999</v>
      </c>
      <c r="N8437">
        <v>0</v>
      </c>
      <c r="O8437">
        <v>9.5390849999999999E-2</v>
      </c>
      <c r="P8437">
        <v>0.99805770000000005</v>
      </c>
      <c r="Q8437">
        <v>-4.369717E-2</v>
      </c>
      <c r="R8437">
        <v>4.4405119999999999E-2</v>
      </c>
      <c r="S8437">
        <v>2.965881</v>
      </c>
      <c r="T8437">
        <v>-0.42818610000000001</v>
      </c>
      <c r="U8437">
        <v>0.4751129</v>
      </c>
      <c r="V8437">
        <v>5.1007719999999999E-2</v>
      </c>
      <c r="W8437">
        <v>-2.6539179999999999E-2</v>
      </c>
      <c r="X8437">
        <v>0.99834560000000006</v>
      </c>
      <c r="Y8437">
        <v>-6.3569150000000005E-2</v>
      </c>
      <c r="Z8437">
        <v>-9.0392770000000001E-3</v>
      </c>
      <c r="AA8437">
        <v>0.9979365</v>
      </c>
      <c r="AB8437">
        <v>6</v>
      </c>
      <c r="AC8437">
        <v>0.69169999999999698</v>
      </c>
      <c r="AD8437">
        <v>-0.109261999999999</v>
      </c>
      <c r="AE8437">
        <v>0.115699999999975</v>
      </c>
      <c r="AF8437">
        <v>-4.8015168212572699E-2</v>
      </c>
      <c r="AG8437">
        <v>-0.109261999999999</v>
      </c>
      <c r="AH8437">
        <v>0.68300480695406895</v>
      </c>
      <c r="AI8437">
        <v>99.066738118681798</v>
      </c>
      <c r="AJ8437">
        <v>94.021271682917103</v>
      </c>
      <c r="AK8437">
        <v>0.69335359474430203</v>
      </c>
      <c r="AL8437">
        <v>91.520761520537107</v>
      </c>
      <c r="AM8437">
        <v>87.075173117724901</v>
      </c>
      <c r="AN8437">
        <v>1.0000000263070099</v>
      </c>
    </row>
    <row r="8438" spans="1:40" x14ac:dyDescent="0.25">
      <c r="A8438" t="str">
        <f>"20190312160851401"</f>
        <v>20190312160851401</v>
      </c>
      <c r="B8438" t="str">
        <f>"1552378131394491"</f>
        <v>1552378131394491</v>
      </c>
      <c r="C8438" t="s">
        <v>40</v>
      </c>
      <c r="D8438">
        <v>6.4637859999999998</v>
      </c>
      <c r="E8438">
        <v>0.45733509999999999</v>
      </c>
      <c r="F8438" t="s">
        <v>44</v>
      </c>
      <c r="G8438">
        <v>-160.84700000000001</v>
      </c>
      <c r="H8438">
        <v>1.0014270000000001</v>
      </c>
      <c r="I8438">
        <v>143.1131</v>
      </c>
      <c r="J8438">
        <v>-161.53280000000001</v>
      </c>
      <c r="K8438">
        <v>1.1104989999999999</v>
      </c>
      <c r="L8438">
        <v>142.99950000000001</v>
      </c>
      <c r="M8438">
        <v>0.99534800000000001</v>
      </c>
      <c r="N8438">
        <v>0</v>
      </c>
      <c r="O8438">
        <v>9.4695299999999996E-2</v>
      </c>
      <c r="P8438">
        <v>0.99804280000000001</v>
      </c>
      <c r="Q8438">
        <v>-4.4997200000000001E-2</v>
      </c>
      <c r="R8438">
        <v>4.3429080000000002E-2</v>
      </c>
      <c r="S8438">
        <v>2.9659119999999999</v>
      </c>
      <c r="T8438">
        <v>-0.43273400000000001</v>
      </c>
      <c r="U8438">
        <v>0.47122190000000003</v>
      </c>
      <c r="V8438">
        <v>5.128191E-2</v>
      </c>
      <c r="W8438">
        <v>-2.729235E-2</v>
      </c>
      <c r="X8438">
        <v>0.99831119999999995</v>
      </c>
      <c r="Y8438">
        <v>-6.2992980000000004E-2</v>
      </c>
      <c r="Z8438">
        <v>-9.0774080000000004E-3</v>
      </c>
      <c r="AA8438">
        <v>0.99797270000000005</v>
      </c>
      <c r="AB8438">
        <v>6</v>
      </c>
      <c r="AC8438">
        <v>0.68579999999999997</v>
      </c>
      <c r="AD8438">
        <v>-0.109071999999999</v>
      </c>
      <c r="AE8438">
        <v>0.113599999999991</v>
      </c>
      <c r="AF8438">
        <v>-4.6980456080447201E-2</v>
      </c>
      <c r="AG8438">
        <v>-0.109071999999999</v>
      </c>
      <c r="AH8438">
        <v>0.676813651658004</v>
      </c>
      <c r="AI8438">
        <v>99.133192774847402</v>
      </c>
      <c r="AJ8438">
        <v>93.970769513101402</v>
      </c>
      <c r="AK8438">
        <v>0.68715397365377195</v>
      </c>
      <c r="AL8438">
        <v>91.563930696072504</v>
      </c>
      <c r="AM8438">
        <v>87.059377197675502</v>
      </c>
      <c r="AN8438">
        <v>0.99999997935360496</v>
      </c>
    </row>
    <row r="8439" spans="1:40" x14ac:dyDescent="0.25">
      <c r="A8439" t="str">
        <f>"20190312160851422"</f>
        <v>20190312160851422</v>
      </c>
      <c r="B8439" t="str">
        <f>"1552378131414009"</f>
        <v>1552378131414009</v>
      </c>
      <c r="C8439" t="s">
        <v>40</v>
      </c>
      <c r="D8439">
        <v>6.0369289999999998</v>
      </c>
      <c r="E8439">
        <v>0.45727810000000002</v>
      </c>
      <c r="F8439" t="s">
        <v>44</v>
      </c>
      <c r="G8439">
        <v>-160.7938</v>
      </c>
      <c r="H8439">
        <v>1.0004169999999999</v>
      </c>
      <c r="I8439">
        <v>143.11590000000001</v>
      </c>
      <c r="J8439">
        <v>-161.47409999999999</v>
      </c>
      <c r="K8439">
        <v>1.110562</v>
      </c>
      <c r="L8439">
        <v>143.0042</v>
      </c>
      <c r="M8439">
        <v>0.99540260000000003</v>
      </c>
      <c r="N8439">
        <v>0</v>
      </c>
      <c r="O8439">
        <v>9.4017920000000005E-2</v>
      </c>
      <c r="P8439">
        <v>0.99804210000000004</v>
      </c>
      <c r="Q8439">
        <v>-4.6374329999999998E-2</v>
      </c>
      <c r="R8439">
        <v>4.1968869999999998E-2</v>
      </c>
      <c r="S8439">
        <v>2.9656220000000002</v>
      </c>
      <c r="T8439">
        <v>-0.44168439999999998</v>
      </c>
      <c r="U8439">
        <v>0.467804</v>
      </c>
      <c r="V8439">
        <v>5.2057939999999997E-2</v>
      </c>
      <c r="W8439">
        <v>-2.8141610000000001E-2</v>
      </c>
      <c r="X8439">
        <v>0.99824740000000001</v>
      </c>
      <c r="Y8439">
        <v>-6.2575199999999997E-2</v>
      </c>
      <c r="Z8439">
        <v>-9.1968959999999995E-3</v>
      </c>
      <c r="AA8439">
        <v>0.99799789999999999</v>
      </c>
      <c r="AB8439">
        <v>6</v>
      </c>
      <c r="AC8439">
        <v>0.68029999999998803</v>
      </c>
      <c r="AD8439">
        <v>-0.11014499999999899</v>
      </c>
      <c r="AE8439">
        <v>0.111700000000013</v>
      </c>
      <c r="AF8439">
        <v>-4.6058310412867703E-2</v>
      </c>
      <c r="AG8439">
        <v>-0.11014499999999899</v>
      </c>
      <c r="AH8439">
        <v>0.67066992854942997</v>
      </c>
      <c r="AI8439">
        <v>99.304972426192506</v>
      </c>
      <c r="AJ8439">
        <v>93.928623794683304</v>
      </c>
      <c r="AK8439">
        <v>0.68121321335069995</v>
      </c>
      <c r="AL8439">
        <v>91.612608500630202</v>
      </c>
      <c r="AM8439">
        <v>87.014767296391199</v>
      </c>
      <c r="AN8439">
        <v>0.99999992546859495</v>
      </c>
    </row>
    <row r="8440" spans="1:40" x14ac:dyDescent="0.25">
      <c r="A8440" t="str">
        <f>"20190312160851445"</f>
        <v>20190312160851445</v>
      </c>
      <c r="B8440" t="str">
        <f>"1552378131433529"</f>
        <v>1552378131433529</v>
      </c>
      <c r="C8440" t="s">
        <v>40</v>
      </c>
      <c r="D8440">
        <v>6.4924220000000004</v>
      </c>
      <c r="E8440">
        <v>0.45696110000000001</v>
      </c>
      <c r="F8440" t="s">
        <v>44</v>
      </c>
      <c r="G8440">
        <v>-160.74170000000001</v>
      </c>
      <c r="H8440">
        <v>1.0003070000000001</v>
      </c>
      <c r="I8440">
        <v>143.11879999999999</v>
      </c>
      <c r="J8440">
        <v>-161.4186</v>
      </c>
      <c r="K8440">
        <v>1.1106309999999999</v>
      </c>
      <c r="L8440">
        <v>143.0087</v>
      </c>
      <c r="M8440">
        <v>0.99545399999999995</v>
      </c>
      <c r="N8440">
        <v>0</v>
      </c>
      <c r="O8440">
        <v>9.3370649999999999E-2</v>
      </c>
      <c r="P8440">
        <v>0.9980464</v>
      </c>
      <c r="Q8440">
        <v>-4.7489580000000003E-2</v>
      </c>
      <c r="R8440">
        <v>4.060329E-2</v>
      </c>
      <c r="S8440">
        <v>2.9656370000000001</v>
      </c>
      <c r="T8440">
        <v>-0.44643680000000002</v>
      </c>
      <c r="U8440">
        <v>0.46394350000000001</v>
      </c>
      <c r="V8440">
        <v>5.2770610000000003E-2</v>
      </c>
      <c r="W8440">
        <v>-2.8742509999999999E-2</v>
      </c>
      <c r="X8440">
        <v>0.99819290000000005</v>
      </c>
      <c r="Y8440">
        <v>-6.1961599999999999E-2</v>
      </c>
      <c r="Z8440">
        <v>-9.2459789999999997E-3</v>
      </c>
      <c r="AA8440">
        <v>0.99803569999999997</v>
      </c>
      <c r="AB8440">
        <v>6</v>
      </c>
      <c r="AC8440">
        <v>0.67689999999998895</v>
      </c>
      <c r="AD8440">
        <v>-0.11032399999999901</v>
      </c>
      <c r="AE8440">
        <v>0.110099999999988</v>
      </c>
      <c r="AF8440">
        <v>-4.52344586407568E-2</v>
      </c>
      <c r="AG8440">
        <v>-0.11032399999999901</v>
      </c>
      <c r="AH8440">
        <v>0.66696331764368399</v>
      </c>
      <c r="AI8440">
        <v>99.371241038483802</v>
      </c>
      <c r="AJ8440">
        <v>93.879944570367996</v>
      </c>
      <c r="AK8440">
        <v>0.67753790174926198</v>
      </c>
      <c r="AL8440">
        <v>91.647051402721502</v>
      </c>
      <c r="AM8440">
        <v>86.973810176057</v>
      </c>
      <c r="AN8440">
        <v>0.99999996738564001</v>
      </c>
    </row>
    <row r="8441" spans="1:40" x14ac:dyDescent="0.25">
      <c r="A8441" t="str">
        <f>"20190312160851467"</f>
        <v>20190312160851467</v>
      </c>
      <c r="B8441" t="str">
        <f>"1552378131463785"</f>
        <v>1552378131463785</v>
      </c>
      <c r="C8441" t="s">
        <v>40</v>
      </c>
      <c r="D8441">
        <v>6.249574</v>
      </c>
      <c r="E8441">
        <v>0.4566635</v>
      </c>
      <c r="F8441" t="s">
        <v>44</v>
      </c>
      <c r="G8441">
        <v>-160.69069999999999</v>
      </c>
      <c r="H8441">
        <v>1.0016849999999999</v>
      </c>
      <c r="I8441">
        <v>143.12209999999999</v>
      </c>
      <c r="J8441">
        <v>-161.3629</v>
      </c>
      <c r="K8441">
        <v>1.1107020000000001</v>
      </c>
      <c r="L8441">
        <v>143.01310000000001</v>
      </c>
      <c r="M8441">
        <v>0.99550479999999997</v>
      </c>
      <c r="N8441">
        <v>0</v>
      </c>
      <c r="O8441">
        <v>9.2713630000000005E-2</v>
      </c>
      <c r="P8441">
        <v>0.99808189999999997</v>
      </c>
      <c r="Q8441">
        <v>-4.715772E-2</v>
      </c>
      <c r="R8441">
        <v>4.0114120000000003E-2</v>
      </c>
      <c r="S8441">
        <v>2.9659420000000001</v>
      </c>
      <c r="T8441">
        <v>-0.44385599999999997</v>
      </c>
      <c r="U8441">
        <v>0.46235660000000001</v>
      </c>
      <c r="V8441">
        <v>5.2604949999999998E-2</v>
      </c>
      <c r="W8441">
        <v>-2.7857099999999999E-2</v>
      </c>
      <c r="X8441">
        <v>0.99822679999999997</v>
      </c>
      <c r="Y8441">
        <v>-6.2070199999999999E-2</v>
      </c>
      <c r="Z8441">
        <v>-9.0881989999999999E-3</v>
      </c>
      <c r="AA8441">
        <v>0.99803039999999998</v>
      </c>
      <c r="AB8441">
        <v>6</v>
      </c>
      <c r="AC8441">
        <v>0.67220000000000302</v>
      </c>
      <c r="AD8441">
        <v>-0.109017</v>
      </c>
      <c r="AE8441">
        <v>0.10899999999998</v>
      </c>
      <c r="AF8441">
        <v>-4.5042214342518698E-2</v>
      </c>
      <c r="AG8441">
        <v>-0.109017</v>
      </c>
      <c r="AH8441">
        <v>0.66243424351199798</v>
      </c>
      <c r="AI8441">
        <v>99.324265506760199</v>
      </c>
      <c r="AJ8441">
        <v>93.889839067578393</v>
      </c>
      <c r="AK8441">
        <v>0.67285409587754696</v>
      </c>
      <c r="AL8441">
        <v>91.596300730232002</v>
      </c>
      <c r="AM8441">
        <v>86.983394818534506</v>
      </c>
      <c r="AN8441">
        <v>1.0000000215115701</v>
      </c>
    </row>
    <row r="8442" spans="1:40" x14ac:dyDescent="0.25">
      <c r="A8442" t="str">
        <f>"20190312160851490"</f>
        <v>20190312160851490</v>
      </c>
      <c r="B8442" t="str">
        <f>"1552378131484281"</f>
        <v>1552378131484281</v>
      </c>
      <c r="C8442" t="s">
        <v>40</v>
      </c>
      <c r="D8442">
        <v>6.4629599999999998</v>
      </c>
      <c r="E8442">
        <v>0.45657799999999998</v>
      </c>
      <c r="F8442" t="s">
        <v>44</v>
      </c>
      <c r="G8442">
        <v>-160.6403</v>
      </c>
      <c r="H8442">
        <v>1.004286</v>
      </c>
      <c r="I8442">
        <v>143.1259</v>
      </c>
      <c r="J8442">
        <v>-161.30959999999999</v>
      </c>
      <c r="K8442">
        <v>1.110773</v>
      </c>
      <c r="L8442">
        <v>143.01730000000001</v>
      </c>
      <c r="M8442">
        <v>0.9955524</v>
      </c>
      <c r="N8442">
        <v>0</v>
      </c>
      <c r="O8442">
        <v>9.2082129999999998E-2</v>
      </c>
      <c r="P8442">
        <v>0.99809210000000004</v>
      </c>
      <c r="Q8442">
        <v>-4.7081779999999997E-2</v>
      </c>
      <c r="R8442">
        <v>3.9942529999999997E-2</v>
      </c>
      <c r="S8442">
        <v>2.966507</v>
      </c>
      <c r="T8442">
        <v>-0.43686459999999999</v>
      </c>
      <c r="U8442">
        <v>0.46324159999999998</v>
      </c>
      <c r="V8442">
        <v>5.2146480000000002E-2</v>
      </c>
      <c r="W8442">
        <v>-2.7222320000000001E-2</v>
      </c>
      <c r="X8442">
        <v>0.99826839999999994</v>
      </c>
      <c r="Y8442">
        <v>-6.2937999999999994E-2</v>
      </c>
      <c r="Z8442">
        <v>-8.7902729999999995E-3</v>
      </c>
      <c r="AA8442">
        <v>0.9979787</v>
      </c>
      <c r="AB8442">
        <v>6</v>
      </c>
      <c r="AC8442">
        <v>0.66929999999999201</v>
      </c>
      <c r="AD8442">
        <v>-0.106486999999999</v>
      </c>
      <c r="AE8442">
        <v>0.10859999999999501</v>
      </c>
      <c r="AF8442">
        <v>-4.5376465175407603E-2</v>
      </c>
      <c r="AG8442">
        <v>-0.106486999999999</v>
      </c>
      <c r="AH8442">
        <v>0.66017477433490102</v>
      </c>
      <c r="AI8442">
        <v>99.1417523063148</v>
      </c>
      <c r="AJ8442">
        <v>93.931984908346905</v>
      </c>
      <c r="AK8442">
        <v>0.67024565453940299</v>
      </c>
      <c r="AL8442">
        <v>91.559916664301198</v>
      </c>
      <c r="AM8442">
        <v>87.009762018995701</v>
      </c>
      <c r="AN8442">
        <v>1.00000005426056</v>
      </c>
    </row>
    <row r="8443" spans="1:40" x14ac:dyDescent="0.25">
      <c r="A8443" t="str">
        <f>"20190312160851512"</f>
        <v>20190312160851512</v>
      </c>
      <c r="B8443" t="str">
        <f>"1552378131503801"</f>
        <v>1552378131503801</v>
      </c>
      <c r="C8443" t="s">
        <v>40</v>
      </c>
      <c r="D8443">
        <v>6.3987429999999996</v>
      </c>
      <c r="E8443">
        <v>0.45689590000000002</v>
      </c>
      <c r="F8443" t="s">
        <v>44</v>
      </c>
      <c r="G8443">
        <v>-160.59229999999999</v>
      </c>
      <c r="H8443">
        <v>1.0060500000000001</v>
      </c>
      <c r="I8443">
        <v>143.1293</v>
      </c>
      <c r="J8443">
        <v>-161.25909999999999</v>
      </c>
      <c r="K8443">
        <v>1.110852</v>
      </c>
      <c r="L8443">
        <v>143.02119999999999</v>
      </c>
      <c r="M8443">
        <v>0.99559719999999996</v>
      </c>
      <c r="N8443">
        <v>0</v>
      </c>
      <c r="O8443">
        <v>9.1479389999999994E-2</v>
      </c>
      <c r="P8443">
        <v>0.99810589999999999</v>
      </c>
      <c r="Q8443">
        <v>-4.7135549999999998E-2</v>
      </c>
      <c r="R8443">
        <v>3.9534369999999999E-2</v>
      </c>
      <c r="S8443">
        <v>2.9667509999999999</v>
      </c>
      <c r="T8443">
        <v>-0.43309769999999997</v>
      </c>
      <c r="U8443">
        <v>0.46328740000000002</v>
      </c>
      <c r="V8443">
        <v>5.1952030000000003E-2</v>
      </c>
      <c r="W8443">
        <v>-2.6747380000000001E-2</v>
      </c>
      <c r="X8443">
        <v>0.99829129999999999</v>
      </c>
      <c r="Y8443">
        <v>-6.3526280000000004E-2</v>
      </c>
      <c r="Z8443">
        <v>-8.5857910000000006E-3</v>
      </c>
      <c r="AA8443">
        <v>0.99794320000000003</v>
      </c>
      <c r="AB8443">
        <v>5</v>
      </c>
      <c r="AC8443">
        <v>0.66679999999999495</v>
      </c>
      <c r="AD8443">
        <v>-0.10480199999999899</v>
      </c>
      <c r="AE8443">
        <v>0.108100000000007</v>
      </c>
      <c r="AF8443">
        <v>-4.5539200278810699E-2</v>
      </c>
      <c r="AG8443">
        <v>-0.10480199999999899</v>
      </c>
      <c r="AH8443">
        <v>0.65805435017144698</v>
      </c>
      <c r="AI8443">
        <v>99.027719686498799</v>
      </c>
      <c r="AJ8443">
        <v>93.958716666170503</v>
      </c>
      <c r="AK8443">
        <v>0.66790179348883305</v>
      </c>
      <c r="AL8443">
        <v>91.532694812281093</v>
      </c>
      <c r="AM8443">
        <v>87.020960466143407</v>
      </c>
      <c r="AN8443">
        <v>0.99999997770683702</v>
      </c>
    </row>
    <row r="8444" spans="1:40" x14ac:dyDescent="0.25">
      <c r="A8444" t="str">
        <f>"20190312160851535"</f>
        <v>20190312160851535</v>
      </c>
      <c r="B8444" t="str">
        <f>"1552378131524297"</f>
        <v>1552378131524297</v>
      </c>
      <c r="C8444" t="s">
        <v>40</v>
      </c>
      <c r="D8444">
        <v>6.3418939999999999</v>
      </c>
      <c r="E8444">
        <v>0.51345790000000002</v>
      </c>
      <c r="F8444" t="s">
        <v>44</v>
      </c>
      <c r="G8444">
        <v>-160.547</v>
      </c>
      <c r="H8444">
        <v>1.00706299999999</v>
      </c>
      <c r="I8444">
        <v>143.13159999999999</v>
      </c>
      <c r="J8444">
        <v>-161.2124</v>
      </c>
      <c r="K8444">
        <v>1.110908</v>
      </c>
      <c r="L8444">
        <v>143.0248</v>
      </c>
      <c r="M8444">
        <v>0.99563880000000005</v>
      </c>
      <c r="N8444">
        <v>0</v>
      </c>
      <c r="O8444">
        <v>9.0917999999999999E-2</v>
      </c>
      <c r="P8444">
        <v>0.99808609999999998</v>
      </c>
      <c r="Q8444">
        <v>-4.8185869999999999E-2</v>
      </c>
      <c r="R8444">
        <v>3.8763489999999998E-2</v>
      </c>
      <c r="S8444">
        <v>2.9670719999999999</v>
      </c>
      <c r="T8444">
        <v>-0.43243989999999999</v>
      </c>
      <c r="U8444">
        <v>0.45989989999999997</v>
      </c>
      <c r="V8444">
        <v>5.2157139999999998E-2</v>
      </c>
      <c r="W8444">
        <v>-2.7320859999999999E-2</v>
      </c>
      <c r="X8444">
        <v>0.99826510000000002</v>
      </c>
      <c r="Y8444">
        <v>-6.2958509999999995E-2</v>
      </c>
      <c r="Z8444">
        <v>-8.5335359999999996E-3</v>
      </c>
      <c r="AA8444">
        <v>0.99797959999999997</v>
      </c>
      <c r="AB8444">
        <v>5</v>
      </c>
      <c r="AC8444">
        <v>0.66540000000000499</v>
      </c>
      <c r="AD8444">
        <v>-0.10384500000000001</v>
      </c>
      <c r="AE8444">
        <v>0.106799999999992</v>
      </c>
      <c r="AF8444">
        <v>-4.4784047146458998E-2</v>
      </c>
      <c r="AG8444">
        <v>-0.10384500000000001</v>
      </c>
      <c r="AH8444">
        <v>0.65676081133263897</v>
      </c>
      <c r="AI8444">
        <v>98.964568760710193</v>
      </c>
      <c r="AJ8444">
        <v>93.900919319701103</v>
      </c>
      <c r="AK8444">
        <v>0.66642640869500502</v>
      </c>
      <c r="AL8444">
        <v>91.565564770694294</v>
      </c>
      <c r="AM8444">
        <v>87.009141982837704</v>
      </c>
      <c r="AN8444">
        <v>1.0000000032610601</v>
      </c>
    </row>
    <row r="8445" spans="1:40" x14ac:dyDescent="0.25">
      <c r="A8445" t="str">
        <f>"20190312160851556"</f>
        <v>20190312160851556</v>
      </c>
      <c r="B8445" t="str">
        <f>"1552378131554553"</f>
        <v>1552378131554553</v>
      </c>
      <c r="C8445" t="s">
        <v>40</v>
      </c>
      <c r="D8445">
        <v>6.4004070000000004</v>
      </c>
      <c r="E8445">
        <v>0.51883049999999997</v>
      </c>
      <c r="F8445" t="s">
        <v>44</v>
      </c>
      <c r="G8445">
        <v>-160.45740000000001</v>
      </c>
      <c r="H8445">
        <v>1.0063120000000001</v>
      </c>
      <c r="I8445">
        <v>143.0266</v>
      </c>
      <c r="J8445">
        <v>-161.16759999999999</v>
      </c>
      <c r="K8445">
        <v>1.110959</v>
      </c>
      <c r="L8445">
        <v>143.0282</v>
      </c>
      <c r="M8445">
        <v>0.99567850000000002</v>
      </c>
      <c r="N8445">
        <v>0</v>
      </c>
      <c r="O8445">
        <v>9.0375949999999997E-2</v>
      </c>
      <c r="P8445">
        <v>0.99805370000000004</v>
      </c>
      <c r="Q8445">
        <v>-4.9081989999999999E-2</v>
      </c>
      <c r="R8445">
        <v>3.8468139999999998E-2</v>
      </c>
      <c r="S8445">
        <v>2.9854889999999998</v>
      </c>
      <c r="T8445">
        <v>-0.41359479999999998</v>
      </c>
      <c r="U8445">
        <v>7.27844199999999E-3</v>
      </c>
      <c r="V8445">
        <v>5.1906889999999997E-2</v>
      </c>
      <c r="W8445">
        <v>-2.776582E-2</v>
      </c>
      <c r="X8445">
        <v>0.99826590000000004</v>
      </c>
      <c r="Y8445">
        <v>8.6282919999999999E-2</v>
      </c>
      <c r="Z8445">
        <v>-1.839857E-2</v>
      </c>
      <c r="AA8445">
        <v>0.99610080000000001</v>
      </c>
      <c r="AB8445">
        <v>5</v>
      </c>
      <c r="AC8445">
        <v>0.71019999999998595</v>
      </c>
      <c r="AD8445">
        <v>-0.104646999999999</v>
      </c>
      <c r="AE8445">
        <v>-1.59999999999627E-3</v>
      </c>
      <c r="AF8445">
        <v>6.4394992181247501E-2</v>
      </c>
      <c r="AG8445">
        <v>-0.104646999999999</v>
      </c>
      <c r="AH8445">
        <v>0.692120712778169</v>
      </c>
      <c r="AI8445">
        <v>98.561437452402899</v>
      </c>
      <c r="AJ8445">
        <v>84.684496537709606</v>
      </c>
      <c r="AK8445">
        <v>0.70294294980715399</v>
      </c>
      <c r="AL8445">
        <v>91.591068723860204</v>
      </c>
      <c r="AM8445">
        <v>87.023468635903299</v>
      </c>
      <c r="AN8445">
        <v>1.00000003654627</v>
      </c>
    </row>
    <row r="8446" spans="1:40" x14ac:dyDescent="0.25">
      <c r="A8446" t="str">
        <f>"20190312160851579"</f>
        <v>20190312160851579</v>
      </c>
      <c r="B8446" t="str">
        <f>"1552378131574073"</f>
        <v>1552378131574073</v>
      </c>
      <c r="C8446" t="s">
        <v>40</v>
      </c>
      <c r="D8446">
        <v>6.4308949999999996</v>
      </c>
      <c r="E8446">
        <v>0.52007000000000003</v>
      </c>
      <c r="F8446" t="s">
        <v>44</v>
      </c>
      <c r="G8446">
        <v>-160.4222</v>
      </c>
      <c r="H8446">
        <v>0.99786090000000005</v>
      </c>
      <c r="I8446">
        <v>143.0189</v>
      </c>
      <c r="J8446">
        <v>-161.12389999999999</v>
      </c>
      <c r="K8446">
        <v>1.1110120000000001</v>
      </c>
      <c r="L8446">
        <v>143.03149999999999</v>
      </c>
      <c r="M8446">
        <v>0.99571730000000003</v>
      </c>
      <c r="N8446">
        <v>0</v>
      </c>
      <c r="O8446">
        <v>8.9842619999999998E-2</v>
      </c>
      <c r="P8446">
        <v>0.99802409999999997</v>
      </c>
      <c r="Q8446">
        <v>-4.944784E-2</v>
      </c>
      <c r="R8446">
        <v>3.8769739999999997E-2</v>
      </c>
      <c r="S8446">
        <v>2.985001</v>
      </c>
      <c r="T8446">
        <v>-0.45283010000000001</v>
      </c>
      <c r="U8446">
        <v>-3.6926269999999997E-2</v>
      </c>
      <c r="V8446">
        <v>5.1071140000000001E-2</v>
      </c>
      <c r="W8446">
        <v>-2.7692310000000001E-2</v>
      </c>
      <c r="X8446">
        <v>0.99831099999999995</v>
      </c>
      <c r="Y8446">
        <v>0.1000062</v>
      </c>
      <c r="Z8446">
        <v>-2.1084660000000002E-2</v>
      </c>
      <c r="AA8446">
        <v>0.99476339999999996</v>
      </c>
      <c r="AB8446">
        <v>4</v>
      </c>
      <c r="AC8446">
        <v>0.701699999999988</v>
      </c>
      <c r="AD8446">
        <v>-0.1131511</v>
      </c>
      <c r="AE8446">
        <v>-1.2599999999991901E-2</v>
      </c>
      <c r="AF8446">
        <v>7.3691045240870404E-2</v>
      </c>
      <c r="AG8446">
        <v>-0.1131511</v>
      </c>
      <c r="AH8446">
        <v>0.68005135366215896</v>
      </c>
      <c r="AI8446">
        <v>99.392685521009199</v>
      </c>
      <c r="AJ8446">
        <v>83.815503001348503</v>
      </c>
      <c r="AK8446">
        <v>0.69332776173872901</v>
      </c>
      <c r="AL8446">
        <v>91.586855366486304</v>
      </c>
      <c r="AM8446">
        <v>87.071441566680306</v>
      </c>
      <c r="AN8446">
        <v>0.99999998904751697</v>
      </c>
    </row>
    <row r="8447" spans="1:40" x14ac:dyDescent="0.25">
      <c r="A8447" t="str">
        <f>"20190312160851601"</f>
        <v>20190312160851601</v>
      </c>
      <c r="B8447" t="str">
        <f>"1552378131593593"</f>
        <v>1552378131593593</v>
      </c>
      <c r="C8447" t="s">
        <v>40</v>
      </c>
      <c r="D8447">
        <v>6.4662509999999997</v>
      </c>
      <c r="E8447">
        <v>0.52033989999999997</v>
      </c>
      <c r="F8447" t="s">
        <v>44</v>
      </c>
      <c r="G8447">
        <v>-160.38650000000001</v>
      </c>
      <c r="H8447">
        <v>0.99576379999999998</v>
      </c>
      <c r="I8447">
        <v>143.02000000000001</v>
      </c>
      <c r="J8447">
        <v>-161.0849</v>
      </c>
      <c r="K8447">
        <v>1.1110580000000001</v>
      </c>
      <c r="L8447">
        <v>143.03450000000001</v>
      </c>
      <c r="M8447">
        <v>0.99575199999999997</v>
      </c>
      <c r="N8447">
        <v>0</v>
      </c>
      <c r="O8447">
        <v>8.9363620000000005E-2</v>
      </c>
      <c r="P8447">
        <v>0.9980038</v>
      </c>
      <c r="Q8447">
        <v>-4.9416219999999997E-2</v>
      </c>
      <c r="R8447">
        <v>3.9325659999999998E-2</v>
      </c>
      <c r="S8447">
        <v>2.984604</v>
      </c>
      <c r="T8447">
        <v>-0.46643420000000002</v>
      </c>
      <c r="U8447">
        <v>-4.60968E-2</v>
      </c>
      <c r="V8447">
        <v>5.0037470000000001E-2</v>
      </c>
      <c r="W8447">
        <v>-2.727837E-2</v>
      </c>
      <c r="X8447">
        <v>0.99837480000000001</v>
      </c>
      <c r="Y8447">
        <v>0.1024298</v>
      </c>
      <c r="Z8447">
        <v>-2.1827610000000001E-2</v>
      </c>
      <c r="AA8447">
        <v>0.99450070000000002</v>
      </c>
      <c r="AB8447">
        <v>4</v>
      </c>
      <c r="AC8447">
        <v>0.69839999999999203</v>
      </c>
      <c r="AD8447">
        <v>-0.1152942</v>
      </c>
      <c r="AE8447">
        <v>-1.4499999999998099E-2</v>
      </c>
      <c r="AF8447">
        <v>7.4830433793266593E-2</v>
      </c>
      <c r="AG8447">
        <v>-0.1152942</v>
      </c>
      <c r="AH8447">
        <v>0.67589634576593305</v>
      </c>
      <c r="AI8447">
        <v>99.622638836720697</v>
      </c>
      <c r="AJ8447">
        <v>83.682347712261901</v>
      </c>
      <c r="AK8447">
        <v>0.68973053912022098</v>
      </c>
      <c r="AL8447">
        <v>91.563129292933496</v>
      </c>
      <c r="AM8447">
        <v>87.130798004566103</v>
      </c>
      <c r="AN8447">
        <v>1.0000000495744401</v>
      </c>
    </row>
    <row r="8448" spans="1:40" x14ac:dyDescent="0.25">
      <c r="A8448" t="str">
        <f>"20190312160851623"</f>
        <v>20190312160851623</v>
      </c>
      <c r="B8448" t="str">
        <f>"1552378131614089"</f>
        <v>1552378131614089</v>
      </c>
      <c r="C8448" t="s">
        <v>40</v>
      </c>
      <c r="D8448">
        <v>6.3704219999999996</v>
      </c>
      <c r="E8448">
        <v>0.52083219999999997</v>
      </c>
      <c r="F8448" t="s">
        <v>44</v>
      </c>
      <c r="G8448">
        <v>-160.35239999999999</v>
      </c>
      <c r="H8448">
        <v>0.99497800000000003</v>
      </c>
      <c r="I8448">
        <v>143.02269999999999</v>
      </c>
      <c r="J8448">
        <v>-161.048</v>
      </c>
      <c r="K8448">
        <v>1.1110960000000001</v>
      </c>
      <c r="L8448">
        <v>143.03720000000001</v>
      </c>
      <c r="M8448">
        <v>0.99578520000000004</v>
      </c>
      <c r="N8448">
        <v>0</v>
      </c>
      <c r="O8448">
        <v>8.890837E-2</v>
      </c>
      <c r="P8448">
        <v>0.99798640000000005</v>
      </c>
      <c r="Q8448">
        <v>-4.9663350000000002E-2</v>
      </c>
      <c r="R8448">
        <v>3.9462650000000002E-2</v>
      </c>
      <c r="S8448">
        <v>2.9844360000000001</v>
      </c>
      <c r="T8448">
        <v>-0.47283890000000001</v>
      </c>
      <c r="U8448">
        <v>-4.6936039999999998E-2</v>
      </c>
      <c r="V8448">
        <v>4.9444809999999999E-2</v>
      </c>
      <c r="W8448">
        <v>-2.7183180000000001E-2</v>
      </c>
      <c r="X8448">
        <v>0.99840689999999999</v>
      </c>
      <c r="Y8448">
        <v>0.1022006</v>
      </c>
      <c r="Z8448">
        <v>-2.203544E-2</v>
      </c>
      <c r="AA8448">
        <v>0.99451970000000001</v>
      </c>
      <c r="AB8448">
        <v>4</v>
      </c>
      <c r="AC8448">
        <v>0.69560000000001299</v>
      </c>
      <c r="AD8448">
        <v>-0.116117999999999</v>
      </c>
      <c r="AE8448">
        <v>-1.4500000000026599E-2</v>
      </c>
      <c r="AF8448">
        <v>7.4235134958696006E-2</v>
      </c>
      <c r="AG8448">
        <v>-0.116117999999999</v>
      </c>
      <c r="AH8448">
        <v>0.67281368037127698</v>
      </c>
      <c r="AI8448">
        <v>99.7340391538891</v>
      </c>
      <c r="AJ8448">
        <v>83.703717602439397</v>
      </c>
      <c r="AK8448">
        <v>0.68678416819338495</v>
      </c>
      <c r="AL8448">
        <v>91.557673321076393</v>
      </c>
      <c r="AM8448">
        <v>87.1648169881977</v>
      </c>
      <c r="AN8448">
        <v>1.0000000262392199</v>
      </c>
    </row>
    <row r="8449" spans="1:40" x14ac:dyDescent="0.25">
      <c r="A8449" t="str">
        <f>"20190312160851646"</f>
        <v>20190312160851646</v>
      </c>
      <c r="B8449" t="str">
        <f>"1552378131633610"</f>
        <v>1552378131633610</v>
      </c>
      <c r="C8449" t="s">
        <v>40</v>
      </c>
      <c r="D8449">
        <v>6.3506019999999896</v>
      </c>
      <c r="E8449">
        <v>0.52152169999999998</v>
      </c>
      <c r="F8449" t="s">
        <v>44</v>
      </c>
      <c r="G8449">
        <v>-160.32060000000001</v>
      </c>
      <c r="H8449">
        <v>0.99334979999999995</v>
      </c>
      <c r="I8449">
        <v>143.0249</v>
      </c>
      <c r="J8449">
        <v>-161.01230000000001</v>
      </c>
      <c r="K8449">
        <v>1.111129</v>
      </c>
      <c r="L8449">
        <v>143.03989999999999</v>
      </c>
      <c r="M8449">
        <v>0.99581739999999996</v>
      </c>
      <c r="N8449">
        <v>0</v>
      </c>
      <c r="O8449">
        <v>8.8466690000000001E-2</v>
      </c>
      <c r="P8449">
        <v>0.99799009999999999</v>
      </c>
      <c r="Q8449">
        <v>-5.0214540000000002E-2</v>
      </c>
      <c r="R8449">
        <v>3.8656740000000002E-2</v>
      </c>
      <c r="S8449">
        <v>2.9840089999999999</v>
      </c>
      <c r="T8449">
        <v>-0.48304710000000001</v>
      </c>
      <c r="U8449">
        <v>-5.0338750000000002E-2</v>
      </c>
      <c r="V8449">
        <v>4.9806929999999999E-2</v>
      </c>
      <c r="W8449">
        <v>-2.7424480000000001E-2</v>
      </c>
      <c r="X8449">
        <v>0.99838229999999994</v>
      </c>
      <c r="Y8449">
        <v>0.1027901</v>
      </c>
      <c r="Z8449">
        <v>-2.2484919999999999E-2</v>
      </c>
      <c r="AA8449">
        <v>0.99444889999999997</v>
      </c>
      <c r="AB8449">
        <v>4</v>
      </c>
      <c r="AC8449">
        <v>0.69169999999999698</v>
      </c>
      <c r="AD8449">
        <v>-0.1177792</v>
      </c>
      <c r="AE8449">
        <v>-1.49999999999863E-2</v>
      </c>
      <c r="AF8449">
        <v>7.4004866861958798E-2</v>
      </c>
      <c r="AG8449">
        <v>-0.1177792</v>
      </c>
      <c r="AH8449">
        <v>0.66829211003642197</v>
      </c>
      <c r="AI8449">
        <v>99.935604342437799</v>
      </c>
      <c r="AJ8449">
        <v>83.680965474672803</v>
      </c>
      <c r="AK8449">
        <v>0.68261482888143399</v>
      </c>
      <c r="AL8449">
        <v>91.571503951137601</v>
      </c>
      <c r="AM8449">
        <v>87.144016896642995</v>
      </c>
      <c r="AN8449">
        <v>1.0000000246662899</v>
      </c>
    </row>
    <row r="8450" spans="1:40" x14ac:dyDescent="0.25">
      <c r="A8450" t="str">
        <f>"20190312160851668"</f>
        <v>20190312160851668</v>
      </c>
      <c r="B8450" t="str">
        <f>"1552378131663865"</f>
        <v>1552378131663865</v>
      </c>
      <c r="C8450" t="s">
        <v>40</v>
      </c>
      <c r="D8450">
        <v>6.3147039999999999</v>
      </c>
      <c r="E8450">
        <v>0.52179419999999999</v>
      </c>
      <c r="F8450" t="s">
        <v>44</v>
      </c>
      <c r="G8450">
        <v>-160.28970000000001</v>
      </c>
      <c r="H8450">
        <v>0.99368619999999996</v>
      </c>
      <c r="I8450">
        <v>143.0257</v>
      </c>
      <c r="J8450">
        <v>-160.97929999999999</v>
      </c>
      <c r="K8450">
        <v>1.1111549999999999</v>
      </c>
      <c r="L8450">
        <v>143.04230000000001</v>
      </c>
      <c r="M8450">
        <v>0.99584740000000005</v>
      </c>
      <c r="N8450">
        <v>0</v>
      </c>
      <c r="O8450">
        <v>8.8057369999999996E-2</v>
      </c>
      <c r="P8450">
        <v>0.99799910000000003</v>
      </c>
      <c r="Q8450">
        <v>-5.075052E-2</v>
      </c>
      <c r="R8450">
        <v>3.7711960000000003E-2</v>
      </c>
      <c r="S8450">
        <v>2.9839020000000001</v>
      </c>
      <c r="T8450">
        <v>-0.48490329999999898</v>
      </c>
      <c r="U8450">
        <v>-5.8013919999999997E-2</v>
      </c>
      <c r="V8450">
        <v>5.0340160000000002E-2</v>
      </c>
      <c r="W8450">
        <v>-2.768897E-2</v>
      </c>
      <c r="X8450">
        <v>0.99834820000000002</v>
      </c>
      <c r="Y8450">
        <v>0.1048979</v>
      </c>
      <c r="Z8450">
        <v>-2.267518E-2</v>
      </c>
      <c r="AA8450">
        <v>0.99422440000000001</v>
      </c>
      <c r="AB8450">
        <v>4</v>
      </c>
      <c r="AC8450">
        <v>0.689599999999984</v>
      </c>
      <c r="AD8450">
        <v>-0.117468799999999</v>
      </c>
      <c r="AE8450">
        <v>-1.6600000000010998E-2</v>
      </c>
      <c r="AF8450">
        <v>7.5098206183636995E-2</v>
      </c>
      <c r="AG8450">
        <v>-0.117468799999999</v>
      </c>
      <c r="AH8450">
        <v>0.666139517251226</v>
      </c>
      <c r="AI8450">
        <v>99.939175663585999</v>
      </c>
      <c r="AJ8450">
        <v>83.567835199841198</v>
      </c>
      <c r="AK8450">
        <v>0.68057366683492604</v>
      </c>
      <c r="AL8450">
        <v>91.586663956025902</v>
      </c>
      <c r="AM8450">
        <v>87.113393923309005</v>
      </c>
      <c r="AN8450">
        <v>0.99999996960586202</v>
      </c>
    </row>
    <row r="8451" spans="1:40" x14ac:dyDescent="0.25">
      <c r="A8451" t="str">
        <f>"20190312160851692"</f>
        <v>20190312160851692</v>
      </c>
      <c r="B8451" t="str">
        <f>"1552378131684361"</f>
        <v>1552378131684361</v>
      </c>
      <c r="C8451" t="s">
        <v>40</v>
      </c>
      <c r="D8451">
        <v>6.3126220000000002</v>
      </c>
      <c r="E8451">
        <v>0.52173069999999999</v>
      </c>
      <c r="F8451" t="s">
        <v>44</v>
      </c>
      <c r="G8451">
        <v>-160.2603</v>
      </c>
      <c r="H8451">
        <v>0.99518899999999999</v>
      </c>
      <c r="I8451">
        <v>143.02709999999999</v>
      </c>
      <c r="J8451">
        <v>-160.9487</v>
      </c>
      <c r="K8451">
        <v>1.1111789999999999</v>
      </c>
      <c r="L8451">
        <v>143.0446</v>
      </c>
      <c r="M8451">
        <v>0.99587530000000002</v>
      </c>
      <c r="N8451">
        <v>0</v>
      </c>
      <c r="O8451">
        <v>8.7677599999999994E-2</v>
      </c>
      <c r="P8451">
        <v>0.99803399999999998</v>
      </c>
      <c r="Q8451">
        <v>-5.0685729999999998E-2</v>
      </c>
      <c r="R8451">
        <v>3.6865530000000001E-2</v>
      </c>
      <c r="S8451">
        <v>2.9839169999999999</v>
      </c>
      <c r="T8451">
        <v>-0.48126940000000001</v>
      </c>
      <c r="U8451">
        <v>-6.283569E-2</v>
      </c>
      <c r="V8451">
        <v>5.080726E-2</v>
      </c>
      <c r="W8451">
        <v>-2.73832E-2</v>
      </c>
      <c r="X8451">
        <v>0.99833300000000003</v>
      </c>
      <c r="Y8451">
        <v>0.1061513</v>
      </c>
      <c r="Z8451">
        <v>-2.2546980000000001E-2</v>
      </c>
      <c r="AA8451">
        <v>0.99409429999999999</v>
      </c>
      <c r="AB8451">
        <v>3</v>
      </c>
      <c r="AC8451">
        <v>0.68840000000000101</v>
      </c>
      <c r="AD8451">
        <v>-0.11599</v>
      </c>
      <c r="AE8451">
        <v>-1.7500000000012499E-2</v>
      </c>
      <c r="AF8451">
        <v>7.5659721158382306E-2</v>
      </c>
      <c r="AG8451">
        <v>-0.11599</v>
      </c>
      <c r="AH8451">
        <v>0.66533624505500799</v>
      </c>
      <c r="AI8451">
        <v>99.827066797289604</v>
      </c>
      <c r="AJ8451">
        <v>83.512392383076104</v>
      </c>
      <c r="AK8451">
        <v>0.67959575667426197</v>
      </c>
      <c r="AL8451">
        <v>91.569137934527404</v>
      </c>
      <c r="AM8451">
        <v>87.086611120400704</v>
      </c>
      <c r="AN8451">
        <v>0.99999999809997298</v>
      </c>
    </row>
    <row r="8452" spans="1:40" x14ac:dyDescent="0.25">
      <c r="A8452" t="str">
        <f>"20190312160851717"</f>
        <v>20190312160851717</v>
      </c>
      <c r="B8452" t="str">
        <f>"1552378131713642"</f>
        <v>1552378131713642</v>
      </c>
      <c r="C8452" t="s">
        <v>40</v>
      </c>
      <c r="D8452">
        <v>6.2441360000000001</v>
      </c>
      <c r="E8452">
        <v>0.52158549999999904</v>
      </c>
      <c r="F8452" t="s">
        <v>44</v>
      </c>
      <c r="G8452">
        <v>-160.233</v>
      </c>
      <c r="H8452">
        <v>0.99668060000000003</v>
      </c>
      <c r="I8452">
        <v>143.02889999999999</v>
      </c>
      <c r="J8452">
        <v>-160.9177</v>
      </c>
      <c r="K8452">
        <v>1.1111960000000001</v>
      </c>
      <c r="L8452">
        <v>143.04679999999999</v>
      </c>
      <c r="M8452">
        <v>0.9959036</v>
      </c>
      <c r="N8452">
        <v>0</v>
      </c>
      <c r="O8452">
        <v>8.7294479999999994E-2</v>
      </c>
      <c r="P8452">
        <v>0.99807290000000004</v>
      </c>
      <c r="Q8452">
        <v>-5.002243E-2</v>
      </c>
      <c r="R8452">
        <v>3.6720299999999997E-2</v>
      </c>
      <c r="S8452">
        <v>2.98407</v>
      </c>
      <c r="T8452">
        <v>-0.47740510000000003</v>
      </c>
      <c r="U8452">
        <v>-6.4956669999999994E-2</v>
      </c>
      <c r="V8452">
        <v>5.0572529999999997E-2</v>
      </c>
      <c r="W8452">
        <v>-2.6487759999999999E-2</v>
      </c>
      <c r="X8452">
        <v>0.99836910000000001</v>
      </c>
      <c r="Y8452">
        <v>0.10651480000000001</v>
      </c>
      <c r="Z8452">
        <v>-2.2335239999999999E-2</v>
      </c>
      <c r="AA8452">
        <v>0.99406019999999995</v>
      </c>
      <c r="AB8452">
        <v>3</v>
      </c>
      <c r="AC8452">
        <v>0.68469999999999198</v>
      </c>
      <c r="AD8452">
        <v>-0.114515399999999</v>
      </c>
      <c r="AE8452">
        <v>-1.78999999999973E-2</v>
      </c>
      <c r="AF8452">
        <v>7.5508086775689806E-2</v>
      </c>
      <c r="AG8452">
        <v>-0.114515399999999</v>
      </c>
      <c r="AH8452">
        <v>0.66201630403618095</v>
      </c>
      <c r="AI8452">
        <v>99.751892175643704</v>
      </c>
      <c r="AJ8452">
        <v>83.493091857037399</v>
      </c>
      <c r="AK8452">
        <v>0.67607753609731103</v>
      </c>
      <c r="AL8452">
        <v>91.517814343582103</v>
      </c>
      <c r="AM8452">
        <v>87.100152655020196</v>
      </c>
      <c r="AN8452">
        <v>1.0000000210276101</v>
      </c>
    </row>
    <row r="8453" spans="1:40" x14ac:dyDescent="0.25">
      <c r="A8453" t="str">
        <f>"20190312160851738"</f>
        <v>20190312160851738</v>
      </c>
      <c r="B8453" t="str">
        <f>"1552378131734137"</f>
        <v>1552378131734137</v>
      </c>
      <c r="C8453" t="s">
        <v>40</v>
      </c>
      <c r="D8453">
        <v>6.2576679999999998</v>
      </c>
      <c r="E8453">
        <v>0.52087879999999998</v>
      </c>
      <c r="F8453" t="s">
        <v>44</v>
      </c>
      <c r="G8453">
        <v>-160.1865</v>
      </c>
      <c r="H8453">
        <v>0.99507769999999995</v>
      </c>
      <c r="I8453">
        <v>143.0307</v>
      </c>
      <c r="J8453">
        <v>-160.89410000000001</v>
      </c>
      <c r="K8453">
        <v>1.1112120000000001</v>
      </c>
      <c r="L8453">
        <v>143.04849999999999</v>
      </c>
      <c r="M8453">
        <v>0.99592499999999995</v>
      </c>
      <c r="N8453">
        <v>0</v>
      </c>
      <c r="O8453">
        <v>8.7002679999999999E-2</v>
      </c>
      <c r="P8453">
        <v>0.99805940000000004</v>
      </c>
      <c r="Q8453">
        <v>-5.0010239999999997E-2</v>
      </c>
      <c r="R8453">
        <v>3.7100590000000003E-2</v>
      </c>
      <c r="S8453">
        <v>2.9844360000000001</v>
      </c>
      <c r="T8453">
        <v>-0.473798</v>
      </c>
      <c r="U8453">
        <v>-6.4987180000000005E-2</v>
      </c>
      <c r="V8453">
        <v>4.9901069999999999E-2</v>
      </c>
      <c r="W8453">
        <v>-2.6307110000000002E-2</v>
      </c>
      <c r="X8453">
        <v>0.99840770000000001</v>
      </c>
      <c r="Y8453">
        <v>0.10627549999999999</v>
      </c>
      <c r="Z8453">
        <v>-2.2101139999999998E-2</v>
      </c>
      <c r="AA8453">
        <v>0.99409110000000001</v>
      </c>
      <c r="AB8453">
        <v>3</v>
      </c>
      <c r="AC8453">
        <v>0.707600000000013</v>
      </c>
      <c r="AD8453">
        <v>-0.1161343</v>
      </c>
      <c r="AE8453">
        <v>-1.7799999999994001E-2</v>
      </c>
      <c r="AF8453">
        <v>7.7233814799792799E-2</v>
      </c>
      <c r="AG8453">
        <v>-0.1161343</v>
      </c>
      <c r="AH8453">
        <v>0.68492815610628</v>
      </c>
      <c r="AI8453">
        <v>99.563887752967005</v>
      </c>
      <c r="AJ8453">
        <v>83.566394277516395</v>
      </c>
      <c r="AK8453">
        <v>0.69898413201743503</v>
      </c>
      <c r="AL8453">
        <v>91.507460197165301</v>
      </c>
      <c r="AM8453">
        <v>87.138700443722101</v>
      </c>
      <c r="AN8453">
        <v>1.0000000581214901</v>
      </c>
    </row>
    <row r="8454" spans="1:40" x14ac:dyDescent="0.25">
      <c r="A8454" t="str">
        <f>"20190312160851759"</f>
        <v>20190312160851759</v>
      </c>
      <c r="B8454" t="str">
        <f>"1552378131753657"</f>
        <v>1552378131753657</v>
      </c>
      <c r="C8454" t="s">
        <v>40</v>
      </c>
      <c r="D8454">
        <v>6.210801</v>
      </c>
      <c r="E8454">
        <v>0.50746629999999904</v>
      </c>
      <c r="F8454" t="s">
        <v>44</v>
      </c>
      <c r="G8454">
        <v>-160.16560000000001</v>
      </c>
      <c r="H8454">
        <v>0.99605200000000005</v>
      </c>
      <c r="I8454">
        <v>143.0343</v>
      </c>
      <c r="J8454">
        <v>-160.8733</v>
      </c>
      <c r="K8454">
        <v>1.1112329999999999</v>
      </c>
      <c r="L8454">
        <v>143.05000000000001</v>
      </c>
      <c r="M8454">
        <v>0.99594439999999995</v>
      </c>
      <c r="N8454">
        <v>0</v>
      </c>
      <c r="O8454">
        <v>8.6744180000000004E-2</v>
      </c>
      <c r="P8454">
        <v>0.99801110000000004</v>
      </c>
      <c r="Q8454">
        <v>-5.1476170000000002E-2</v>
      </c>
      <c r="R8454">
        <v>3.6390640000000002E-2</v>
      </c>
      <c r="S8454">
        <v>2.9843600000000001</v>
      </c>
      <c r="T8454">
        <v>-0.47169030000000001</v>
      </c>
      <c r="U8454">
        <v>-5.8380130000000002E-2</v>
      </c>
      <c r="V8454">
        <v>5.0346120000000001E-2</v>
      </c>
      <c r="W8454">
        <v>-2.7631949999999999E-2</v>
      </c>
      <c r="X8454">
        <v>0.9983495</v>
      </c>
      <c r="Y8454">
        <v>0.1038723</v>
      </c>
      <c r="Z8454">
        <v>-2.1775550000000001E-2</v>
      </c>
      <c r="AA8454">
        <v>0.99435220000000002</v>
      </c>
      <c r="AB8454">
        <v>3</v>
      </c>
      <c r="AC8454">
        <v>0.70769999999998801</v>
      </c>
      <c r="AD8454">
        <v>-0.11518099999999901</v>
      </c>
      <c r="AE8454">
        <v>-1.5700000000009501E-2</v>
      </c>
      <c r="AF8454">
        <v>7.5059879774406896E-2</v>
      </c>
      <c r="AG8454">
        <v>-0.11518099999999901</v>
      </c>
      <c r="AH8454">
        <v>0.685518928789</v>
      </c>
      <c r="AI8454">
        <v>99.482126793247403</v>
      </c>
      <c r="AJ8454">
        <v>83.751375382012696</v>
      </c>
      <c r="AK8454">
        <v>0.69916868496863205</v>
      </c>
      <c r="AL8454">
        <v>91.583395667282602</v>
      </c>
      <c r="AM8454">
        <v>87.113056495907003</v>
      </c>
      <c r="AN8454">
        <v>0.99999999030505304</v>
      </c>
    </row>
    <row r="8455" spans="1:40" x14ac:dyDescent="0.25">
      <c r="A8455" t="str">
        <f>"20190312160851781"</f>
        <v>20190312160851781</v>
      </c>
      <c r="B8455" t="str">
        <f>"1552378131774153"</f>
        <v>1552378131774153</v>
      </c>
      <c r="C8455" t="s">
        <v>40</v>
      </c>
      <c r="D8455">
        <v>6.2701289999999998</v>
      </c>
      <c r="E8455">
        <v>0.49048779999999997</v>
      </c>
      <c r="F8455" t="s">
        <v>44</v>
      </c>
      <c r="G8455">
        <v>-160.16380000000001</v>
      </c>
      <c r="H8455">
        <v>0.96705200000000002</v>
      </c>
      <c r="I8455">
        <v>143.06110000000001</v>
      </c>
      <c r="J8455">
        <v>-160.85249999999999</v>
      </c>
      <c r="K8455">
        <v>1.111259</v>
      </c>
      <c r="L8455">
        <v>143.0515</v>
      </c>
      <c r="M8455">
        <v>0.9959633</v>
      </c>
      <c r="N8455">
        <v>0</v>
      </c>
      <c r="O8455">
        <v>8.6488049999999997E-2</v>
      </c>
      <c r="P8455">
        <v>0.99802919999999995</v>
      </c>
      <c r="Q8455">
        <v>-5.180717E-2</v>
      </c>
      <c r="R8455">
        <v>3.5411030000000003E-2</v>
      </c>
      <c r="S8455">
        <v>2.9731139999999998</v>
      </c>
      <c r="T8455">
        <v>-0.60417089999999996</v>
      </c>
      <c r="U8455">
        <v>4.6661380000000002E-2</v>
      </c>
      <c r="V8455">
        <v>5.1068000000000002E-2</v>
      </c>
      <c r="W8455">
        <v>-2.7825720000000002E-2</v>
      </c>
      <c r="X8455">
        <v>0.99830750000000001</v>
      </c>
      <c r="Y8455">
        <v>6.7721550000000005E-2</v>
      </c>
      <c r="Z8455">
        <v>-2.4193010000000001E-2</v>
      </c>
      <c r="AA8455">
        <v>0.99741089999999999</v>
      </c>
      <c r="AB8455">
        <v>2</v>
      </c>
      <c r="AC8455">
        <v>0.68869999999998199</v>
      </c>
      <c r="AD8455">
        <v>-0.144206999999999</v>
      </c>
      <c r="AE8455">
        <v>9.6000000000060395E-3</v>
      </c>
      <c r="AF8455">
        <v>4.7917025254113697E-2</v>
      </c>
      <c r="AG8455">
        <v>-0.144206999999999</v>
      </c>
      <c r="AH8455">
        <v>0.65810010476431002</v>
      </c>
      <c r="AI8455">
        <v>102.328024763374</v>
      </c>
      <c r="AJ8455">
        <v>85.835577223380398</v>
      </c>
      <c r="AK8455">
        <v>0.67541649968667405</v>
      </c>
      <c r="AL8455">
        <v>91.594502065275293</v>
      </c>
      <c r="AM8455">
        <v>87.071611060601299</v>
      </c>
      <c r="AN8455">
        <v>1.0000000379368801</v>
      </c>
    </row>
    <row r="8456" spans="1:40" x14ac:dyDescent="0.25">
      <c r="A8456" t="str">
        <f>"20190312160851802"</f>
        <v>20190312160851802</v>
      </c>
      <c r="B8456" t="str">
        <f>"1552378131794002"</f>
        <v>1552378131794002</v>
      </c>
      <c r="C8456" t="s">
        <v>40</v>
      </c>
      <c r="D8456">
        <v>6.2208909999999999</v>
      </c>
      <c r="E8456">
        <v>0.48474080000000003</v>
      </c>
      <c r="F8456" t="s">
        <v>44</v>
      </c>
      <c r="G8456">
        <v>-160.12049999999999</v>
      </c>
      <c r="H8456">
        <v>1.0248699999999999</v>
      </c>
      <c r="I8456">
        <v>143.0959</v>
      </c>
      <c r="J8456">
        <v>-160.83580000000001</v>
      </c>
      <c r="K8456">
        <v>1.1112789999999999</v>
      </c>
      <c r="L8456">
        <v>143.05269999999999</v>
      </c>
      <c r="M8456">
        <v>0.99597849999999999</v>
      </c>
      <c r="N8456">
        <v>0</v>
      </c>
      <c r="O8456">
        <v>8.6280869999999996E-2</v>
      </c>
      <c r="P8456">
        <v>0.998108</v>
      </c>
      <c r="Q8456">
        <v>-5.0958629999999998E-2</v>
      </c>
      <c r="R8456">
        <v>3.4406020000000002E-2</v>
      </c>
      <c r="S8456">
        <v>2.9812319999999999</v>
      </c>
      <c r="T8456">
        <v>-0.3517692</v>
      </c>
      <c r="U8456">
        <v>0.18110660000000001</v>
      </c>
      <c r="V8456">
        <v>5.1868860000000003E-2</v>
      </c>
      <c r="W8456">
        <v>-2.686697E-2</v>
      </c>
      <c r="X8456">
        <v>0.99829239999999997</v>
      </c>
      <c r="Y8456">
        <v>2.4969330000000001E-2</v>
      </c>
      <c r="Z8456">
        <v>-1.1589769999999999E-2</v>
      </c>
      <c r="AA8456">
        <v>0.99962099999999998</v>
      </c>
      <c r="AB8456">
        <v>2</v>
      </c>
      <c r="AC8456">
        <v>0.71530000000001304</v>
      </c>
      <c r="AD8456">
        <v>-8.6408999999999903E-2</v>
      </c>
      <c r="AE8456">
        <v>4.3200000000012999E-2</v>
      </c>
      <c r="AF8456">
        <v>1.8427940773592999E-2</v>
      </c>
      <c r="AG8456">
        <v>-8.6408999999999903E-2</v>
      </c>
      <c r="AH8456">
        <v>0.70609290864506802</v>
      </c>
      <c r="AI8456">
        <v>96.974600148388802</v>
      </c>
      <c r="AJ8456">
        <v>88.505007493595002</v>
      </c>
      <c r="AK8456">
        <v>0.71159911461510905</v>
      </c>
      <c r="AL8456">
        <v>91.539549298682502</v>
      </c>
      <c r="AM8456">
        <v>87.025724311685394</v>
      </c>
      <c r="AN8456">
        <v>0.99999996430621896</v>
      </c>
    </row>
    <row r="8457" spans="1:40" x14ac:dyDescent="0.25">
      <c r="A8457" t="str">
        <f>"20190312160851824"</f>
        <v>20190312160851824</v>
      </c>
      <c r="B8457" t="str">
        <f>"1552378131814498"</f>
        <v>1552378131814498</v>
      </c>
      <c r="C8457" t="s">
        <v>40</v>
      </c>
      <c r="D8457">
        <v>6.1608099999999997</v>
      </c>
      <c r="E8457">
        <v>0.48583100000000001</v>
      </c>
      <c r="F8457" t="s">
        <v>47</v>
      </c>
      <c r="G8457">
        <v>-142.28489999999999</v>
      </c>
      <c r="H8457" s="1">
        <v>-4.3552710000000003E-6</v>
      </c>
      <c r="I8457">
        <v>144.44649999999999</v>
      </c>
      <c r="J8457">
        <v>-160.82069999999999</v>
      </c>
      <c r="K8457">
        <v>1.1112869999999999</v>
      </c>
      <c r="L8457">
        <v>143.0538</v>
      </c>
      <c r="M8457">
        <v>0.9959924</v>
      </c>
      <c r="N8457">
        <v>0</v>
      </c>
      <c r="O8457">
        <v>8.6092989999999994E-2</v>
      </c>
      <c r="P8457">
        <v>0.99813739999999995</v>
      </c>
      <c r="Q8457">
        <v>-5.0895740000000002E-2</v>
      </c>
      <c r="R8457">
        <v>3.364292E-2</v>
      </c>
      <c r="S8457">
        <v>2.988785</v>
      </c>
      <c r="T8457">
        <v>-0.17904139999999999</v>
      </c>
      <c r="U8457">
        <v>0.2245636</v>
      </c>
      <c r="V8457">
        <v>5.2443999999999998E-2</v>
      </c>
      <c r="W8457">
        <v>-2.6704499999999999E-2</v>
      </c>
      <c r="X8457">
        <v>0.99826680000000001</v>
      </c>
      <c r="Y8457">
        <v>1.105767E-2</v>
      </c>
      <c r="Z8457">
        <v>-5.4685100000000002E-3</v>
      </c>
      <c r="AA8457">
        <v>0.99992389999999998</v>
      </c>
      <c r="AB8457">
        <v>2</v>
      </c>
      <c r="AC8457">
        <v>18.535799999999899</v>
      </c>
      <c r="AD8457">
        <v>-1.111291355271</v>
      </c>
      <c r="AE8457">
        <v>1.3926999999999901</v>
      </c>
      <c r="AF8457">
        <v>0.20800166267567799</v>
      </c>
      <c r="AG8457">
        <v>-1.111291355271</v>
      </c>
      <c r="AH8457">
        <v>18.5206768996097</v>
      </c>
      <c r="AI8457">
        <v>93.433570759227607</v>
      </c>
      <c r="AJ8457">
        <v>89.356550711000807</v>
      </c>
      <c r="AK8457">
        <v>18.5551530844591</v>
      </c>
      <c r="AL8457">
        <v>91.530236974953695</v>
      </c>
      <c r="AM8457">
        <v>86.992727732284806</v>
      </c>
      <c r="AN8457">
        <v>1.0000000537192399</v>
      </c>
    </row>
    <row r="8458" spans="1:40" x14ac:dyDescent="0.25">
      <c r="A8458" t="str">
        <f>"20190312160851846"</f>
        <v>20190312160851846</v>
      </c>
      <c r="B8458" t="str">
        <f>"1552378131843778"</f>
        <v>1552378131843778</v>
      </c>
      <c r="C8458" t="s">
        <v>40</v>
      </c>
      <c r="D8458">
        <v>6.2669680000000003</v>
      </c>
      <c r="E8458">
        <v>0.48596070000000002</v>
      </c>
      <c r="F8458" t="s">
        <v>47</v>
      </c>
      <c r="G8458">
        <v>-142.84180000000001</v>
      </c>
      <c r="H8458" s="1">
        <v>-4.1466229999999998E-6</v>
      </c>
      <c r="I8458">
        <v>144.33860000000001</v>
      </c>
      <c r="J8458">
        <v>-160.80779999999999</v>
      </c>
      <c r="K8458">
        <v>1.1113010000000001</v>
      </c>
      <c r="L8458">
        <v>143.0547</v>
      </c>
      <c r="M8458">
        <v>0.99600429999999995</v>
      </c>
      <c r="N8458">
        <v>0</v>
      </c>
      <c r="O8458">
        <v>8.5932809999999998E-2</v>
      </c>
      <c r="P8458">
        <v>0.99816950000000004</v>
      </c>
      <c r="Q8458">
        <v>-5.04422E-2</v>
      </c>
      <c r="R8458">
        <v>3.337006E-2</v>
      </c>
      <c r="S8458">
        <v>2.988998</v>
      </c>
      <c r="T8458">
        <v>-0.18475249999999999</v>
      </c>
      <c r="U8458">
        <v>0.21360779999999999</v>
      </c>
      <c r="V8458">
        <v>5.2558500000000001E-2</v>
      </c>
      <c r="W8458">
        <v>-2.6170059999999998E-2</v>
      </c>
      <c r="X8458">
        <v>0.99827489999999997</v>
      </c>
      <c r="Y8458">
        <v>1.4530299999999999E-2</v>
      </c>
      <c r="Z8458">
        <v>-5.7404359999999998E-3</v>
      </c>
      <c r="AA8458">
        <v>0.99987789999999999</v>
      </c>
      <c r="AB8458">
        <v>2</v>
      </c>
      <c r="AC8458">
        <v>17.965999999999902</v>
      </c>
      <c r="AD8458">
        <v>-1.111305146623</v>
      </c>
      <c r="AE8458">
        <v>1.28390000000001</v>
      </c>
      <c r="AF8458">
        <v>0.264171684218859</v>
      </c>
      <c r="AG8458">
        <v>-1.111305146623</v>
      </c>
      <c r="AH8458">
        <v>17.941566345649701</v>
      </c>
      <c r="AI8458">
        <v>93.5440037130641</v>
      </c>
      <c r="AJ8458">
        <v>89.156437703408997</v>
      </c>
      <c r="AK8458">
        <v>17.977891665682101</v>
      </c>
      <c r="AL8458">
        <v>91.499605160827898</v>
      </c>
      <c r="AM8458">
        <v>86.986198511545496</v>
      </c>
      <c r="AN8458">
        <v>1.0000000219663301</v>
      </c>
    </row>
    <row r="8459" spans="1:40" x14ac:dyDescent="0.25">
      <c r="A8459" t="str">
        <f>"20190312160851870"</f>
        <v>20190312160851870</v>
      </c>
      <c r="B8459" t="str">
        <f>"1552378131864274"</f>
        <v>1552378131864274</v>
      </c>
      <c r="C8459" t="s">
        <v>40</v>
      </c>
      <c r="D8459">
        <v>6.3209109999999997</v>
      </c>
      <c r="E8459">
        <v>0.48761359999999898</v>
      </c>
      <c r="F8459" t="s">
        <v>47</v>
      </c>
      <c r="G8459">
        <v>-143.2628</v>
      </c>
      <c r="H8459" s="1">
        <v>-3.9959189999999996E-6</v>
      </c>
      <c r="I8459">
        <v>144.29679999999999</v>
      </c>
      <c r="J8459">
        <v>-160.79689999999999</v>
      </c>
      <c r="K8459">
        <v>1.1112949999999999</v>
      </c>
      <c r="L8459">
        <v>143.05549999999999</v>
      </c>
      <c r="M8459">
        <v>0.99601530000000005</v>
      </c>
      <c r="N8459">
        <v>0</v>
      </c>
      <c r="O8459">
        <v>8.5797940000000003E-2</v>
      </c>
      <c r="P8459">
        <v>0.99815699999999996</v>
      </c>
      <c r="Q8459">
        <v>-5.0389980000000001E-2</v>
      </c>
      <c r="R8459">
        <v>3.3819809999999999E-2</v>
      </c>
      <c r="S8459">
        <v>2.988861</v>
      </c>
      <c r="T8459">
        <v>-0.1893157</v>
      </c>
      <c r="U8459">
        <v>0.21159359999999999</v>
      </c>
      <c r="V8459">
        <v>5.1974640000000003E-2</v>
      </c>
      <c r="W8459">
        <v>-2.608796E-2</v>
      </c>
      <c r="X8459">
        <v>0.99830759999999996</v>
      </c>
      <c r="Y8459">
        <v>1.5051800000000001E-2</v>
      </c>
      <c r="Z8459">
        <v>-5.8903790000000003E-3</v>
      </c>
      <c r="AA8459">
        <v>0.99986929999999996</v>
      </c>
      <c r="AB8459">
        <v>1</v>
      </c>
      <c r="AC8459">
        <v>17.534099999999899</v>
      </c>
      <c r="AD8459">
        <v>-1.1112989959190001</v>
      </c>
      <c r="AE8459">
        <v>1.2412999999999901</v>
      </c>
      <c r="AF8459">
        <v>0.26704790837521902</v>
      </c>
      <c r="AG8459">
        <v>-1.1112989959190001</v>
      </c>
      <c r="AH8459">
        <v>17.505968491632199</v>
      </c>
      <c r="AI8459">
        <v>93.631906475187805</v>
      </c>
      <c r="AJ8459">
        <v>89.126039133538598</v>
      </c>
      <c r="AK8459">
        <v>17.543238950482301</v>
      </c>
      <c r="AL8459">
        <v>91.494899596903494</v>
      </c>
      <c r="AM8459">
        <v>87.019714871769693</v>
      </c>
      <c r="AN8459">
        <v>1.0000000045389199</v>
      </c>
    </row>
    <row r="8460" spans="1:40" x14ac:dyDescent="0.25">
      <c r="A8460" t="str">
        <f>"20190312160851893"</f>
        <v>20190312160851893</v>
      </c>
      <c r="B8460" t="str">
        <f>"1552378131883794"</f>
        <v>1552378131883794</v>
      </c>
      <c r="C8460" t="s">
        <v>40</v>
      </c>
      <c r="D8460">
        <v>6.1029140000000002</v>
      </c>
      <c r="E8460">
        <v>0.48883739999999998</v>
      </c>
      <c r="F8460" t="s">
        <v>47</v>
      </c>
      <c r="G8460">
        <v>-144.82320000000001</v>
      </c>
      <c r="H8460" s="1">
        <v>-3.4022779999999998E-6</v>
      </c>
      <c r="I8460">
        <v>144.12289999999999</v>
      </c>
      <c r="J8460">
        <v>-160.78809999999999</v>
      </c>
      <c r="K8460">
        <v>1.1112709999999999</v>
      </c>
      <c r="L8460">
        <v>143.05609999999999</v>
      </c>
      <c r="M8460">
        <v>0.99602659999999998</v>
      </c>
      <c r="N8460">
        <v>0</v>
      </c>
      <c r="O8460">
        <v>8.5688329999999993E-2</v>
      </c>
      <c r="P8460">
        <v>0.99812319999999999</v>
      </c>
      <c r="Q8460">
        <v>-5.0694950000000003E-2</v>
      </c>
      <c r="R8460">
        <v>3.4353519999999999E-2</v>
      </c>
      <c r="S8460">
        <v>2.9882810000000002</v>
      </c>
      <c r="T8460">
        <v>-0.207896</v>
      </c>
      <c r="U8460">
        <v>0.1996918</v>
      </c>
      <c r="V8460">
        <v>5.1330059999999997E-2</v>
      </c>
      <c r="W8460">
        <v>-2.6473739999999999E-2</v>
      </c>
      <c r="X8460">
        <v>0.99833079999999996</v>
      </c>
      <c r="Y8460">
        <v>1.8841090000000001E-2</v>
      </c>
      <c r="Z8460">
        <v>-6.5934599999999998E-3</v>
      </c>
      <c r="AA8460">
        <v>0.99980069999999999</v>
      </c>
      <c r="AB8460">
        <v>1</v>
      </c>
      <c r="AC8460">
        <v>15.964899999999901</v>
      </c>
      <c r="AD8460">
        <v>-1.1112744022779999</v>
      </c>
      <c r="AE8460">
        <v>1.0668</v>
      </c>
      <c r="AF8460">
        <v>0.30406764840137901</v>
      </c>
      <c r="AG8460">
        <v>-1.1112744022779999</v>
      </c>
      <c r="AH8460">
        <v>15.9207892982277</v>
      </c>
      <c r="AI8460">
        <v>93.992055696759095</v>
      </c>
      <c r="AJ8460">
        <v>88.905853547858896</v>
      </c>
      <c r="AK8460">
        <v>15.962422116036301</v>
      </c>
      <c r="AL8460">
        <v>91.517010791560395</v>
      </c>
      <c r="AM8460">
        <v>87.056678703706197</v>
      </c>
      <c r="AN8460">
        <v>1.0000000100989099</v>
      </c>
    </row>
    <row r="8461" spans="1:40" x14ac:dyDescent="0.25">
      <c r="A8461" t="str">
        <f>"20190312160851916"</f>
        <v>20190312160851916</v>
      </c>
      <c r="B8461" t="str">
        <f>"1552378131904290"</f>
        <v>1552378131904290</v>
      </c>
      <c r="C8461" t="s">
        <v>40</v>
      </c>
      <c r="D8461">
        <v>6.0398370000000003</v>
      </c>
      <c r="E8461">
        <v>0.48952190000000001</v>
      </c>
      <c r="F8461" t="s">
        <v>47</v>
      </c>
      <c r="G8461">
        <v>-147.9153</v>
      </c>
      <c r="H8461" s="1">
        <v>-2.0112549999999999E-6</v>
      </c>
      <c r="I8461">
        <v>143.88030000000001</v>
      </c>
      <c r="J8461">
        <v>-160.78129999999999</v>
      </c>
      <c r="K8461">
        <v>1.111208</v>
      </c>
      <c r="L8461">
        <v>143.0566</v>
      </c>
      <c r="M8461">
        <v>0.99603969999999997</v>
      </c>
      <c r="N8461">
        <v>0</v>
      </c>
      <c r="O8461">
        <v>8.5602310000000001E-2</v>
      </c>
      <c r="P8461">
        <v>0.99812650000000003</v>
      </c>
      <c r="Q8461">
        <v>-5.0368709999999997E-2</v>
      </c>
      <c r="R8461">
        <v>3.4737610000000002E-2</v>
      </c>
      <c r="S8461">
        <v>2.9859619999999998</v>
      </c>
      <c r="T8461">
        <v>-0.25776909999999997</v>
      </c>
      <c r="U8461">
        <v>0.19119259999999999</v>
      </c>
      <c r="V8461">
        <v>5.0860759999999998E-2</v>
      </c>
      <c r="W8461">
        <v>-2.6381350000000001E-2</v>
      </c>
      <c r="X8461">
        <v>0.99835719999999994</v>
      </c>
      <c r="Y8461">
        <v>2.1391810000000001E-2</v>
      </c>
      <c r="Z8461">
        <v>-8.27957E-3</v>
      </c>
      <c r="AA8461">
        <v>0.99973690000000004</v>
      </c>
      <c r="AB8461">
        <v>1</v>
      </c>
      <c r="AC8461">
        <v>12.8659999999999</v>
      </c>
      <c r="AD8461">
        <v>-1.1112100112549901</v>
      </c>
      <c r="AE8461">
        <v>0.82370000000000199</v>
      </c>
      <c r="AF8461">
        <v>0.27893035700611601</v>
      </c>
      <c r="AG8461">
        <v>-1.1112100112549901</v>
      </c>
      <c r="AH8461">
        <v>12.7942295469258</v>
      </c>
      <c r="AI8461">
        <v>94.962648464059001</v>
      </c>
      <c r="AJ8461">
        <v>88.751077513757295</v>
      </c>
      <c r="AK8461">
        <v>12.845423291297299</v>
      </c>
      <c r="AL8461">
        <v>91.511715482453994</v>
      </c>
      <c r="AM8461">
        <v>87.083619190238295</v>
      </c>
      <c r="AN8461">
        <v>0.99999994566371797</v>
      </c>
    </row>
    <row r="8462" spans="1:40" x14ac:dyDescent="0.25">
      <c r="A8462" t="str">
        <f>"20190312160851936"</f>
        <v>20190312160851936</v>
      </c>
      <c r="B8462" t="str">
        <f>"1552378131934546"</f>
        <v>1552378131934546</v>
      </c>
      <c r="C8462" t="s">
        <v>40</v>
      </c>
      <c r="D8462">
        <v>6.0403529999999996</v>
      </c>
      <c r="E8462">
        <v>0.48984549999999999</v>
      </c>
      <c r="F8462" t="s">
        <v>44</v>
      </c>
      <c r="G8462">
        <v>-160.04399999999899</v>
      </c>
      <c r="H8462">
        <v>1.0405219999999999</v>
      </c>
      <c r="I8462">
        <v>143.1027</v>
      </c>
      <c r="J8462">
        <v>-160.77600000000001</v>
      </c>
      <c r="K8462">
        <v>1.11112099999999</v>
      </c>
      <c r="L8462">
        <v>143.05699999999999</v>
      </c>
      <c r="M8462">
        <v>0.99605509999999997</v>
      </c>
      <c r="N8462">
        <v>0</v>
      </c>
      <c r="O8462">
        <v>8.5530239999999993E-2</v>
      </c>
      <c r="P8462">
        <v>0.998193</v>
      </c>
      <c r="Q8462">
        <v>-4.9114119999999997E-2</v>
      </c>
      <c r="R8462">
        <v>3.4619690000000002E-2</v>
      </c>
      <c r="S8462">
        <v>2.9847109999999999</v>
      </c>
      <c r="T8462">
        <v>-0.28612300000000002</v>
      </c>
      <c r="U8462">
        <v>0.18673709999999999</v>
      </c>
      <c r="V8462">
        <v>5.0910480000000001E-2</v>
      </c>
      <c r="W8462">
        <v>-2.5512460000000001E-2</v>
      </c>
      <c r="X8462">
        <v>0.99837730000000002</v>
      </c>
      <c r="Y8462">
        <v>2.2680820000000001E-2</v>
      </c>
      <c r="Z8462">
        <v>-9.2453959999999995E-3</v>
      </c>
      <c r="AA8462">
        <v>0.99970000000000003</v>
      </c>
      <c r="AB8462">
        <v>1</v>
      </c>
      <c r="AC8462">
        <v>0.73200000000002696</v>
      </c>
      <c r="AD8462">
        <v>-7.0598999999999801E-2</v>
      </c>
      <c r="AE8462">
        <v>4.5699999999982303E-2</v>
      </c>
      <c r="AF8462">
        <v>1.6936265283181699E-2</v>
      </c>
      <c r="AG8462">
        <v>-7.0598999999999801E-2</v>
      </c>
      <c r="AH8462">
        <v>0.72649437187014299</v>
      </c>
      <c r="AI8462">
        <v>95.5489416936514</v>
      </c>
      <c r="AJ8462">
        <v>88.664544657099597</v>
      </c>
      <c r="AK8462">
        <v>0.730113092775179</v>
      </c>
      <c r="AL8462">
        <v>91.461914905260997</v>
      </c>
      <c r="AM8462">
        <v>87.080831820290101</v>
      </c>
      <c r="AN8462">
        <v>0.99999999787218596</v>
      </c>
    </row>
    <row r="8463" spans="1:40" x14ac:dyDescent="0.25">
      <c r="A8463" t="str">
        <f>"20190312160851958"</f>
        <v>20190312160851958</v>
      </c>
      <c r="B8463" t="str">
        <f>"1552378131954066"</f>
        <v>1552378131954066</v>
      </c>
      <c r="C8463" t="s">
        <v>40</v>
      </c>
      <c r="D8463">
        <v>6.2065599999999996</v>
      </c>
      <c r="E8463">
        <v>0.48958390000000002</v>
      </c>
      <c r="F8463" t="s">
        <v>44</v>
      </c>
      <c r="G8463">
        <v>-160.0437</v>
      </c>
      <c r="H8463">
        <v>1.0363910000000001</v>
      </c>
      <c r="I8463">
        <v>143.102</v>
      </c>
      <c r="J8463">
        <v>-160.7714</v>
      </c>
      <c r="K8463">
        <v>1.111005</v>
      </c>
      <c r="L8463">
        <v>143.0573</v>
      </c>
      <c r="M8463">
        <v>0.9960734</v>
      </c>
      <c r="N8463">
        <v>0</v>
      </c>
      <c r="O8463">
        <v>8.5465799999999995E-2</v>
      </c>
      <c r="P8463">
        <v>0.99828649999999997</v>
      </c>
      <c r="Q8463">
        <v>-4.7567989999999997E-2</v>
      </c>
      <c r="R8463">
        <v>3.4081559999999997E-2</v>
      </c>
      <c r="S8463">
        <v>2.98407</v>
      </c>
      <c r="T8463">
        <v>-0.30450310000000003</v>
      </c>
      <c r="U8463">
        <v>0.18360899999999999</v>
      </c>
      <c r="V8463">
        <v>5.1388440000000001E-2</v>
      </c>
      <c r="W8463">
        <v>-2.451161E-2</v>
      </c>
      <c r="X8463">
        <v>0.99837790000000004</v>
      </c>
      <c r="Y8463">
        <v>2.3575800000000001E-2</v>
      </c>
      <c r="Z8463">
        <v>-9.8777110000000008E-3</v>
      </c>
      <c r="AA8463">
        <v>0.99967320000000004</v>
      </c>
      <c r="AB8463">
        <v>1</v>
      </c>
      <c r="AC8463">
        <v>0.72769999999999802</v>
      </c>
      <c r="AD8463">
        <v>-7.4613999999999903E-2</v>
      </c>
      <c r="AE8463">
        <v>4.4700000000005902E-2</v>
      </c>
      <c r="AF8463">
        <v>1.74905053200465E-2</v>
      </c>
      <c r="AG8463">
        <v>-7.4613999999999903E-2</v>
      </c>
      <c r="AH8463">
        <v>0.72130262864972605</v>
      </c>
      <c r="AI8463">
        <v>95.904141726466506</v>
      </c>
      <c r="AJ8463">
        <v>88.610935616458804</v>
      </c>
      <c r="AK8463">
        <v>0.72536242587368405</v>
      </c>
      <c r="AL8463">
        <v>91.404552457542806</v>
      </c>
      <c r="AM8463">
        <v>87.053475795838196</v>
      </c>
      <c r="AN8463">
        <v>1.00000001099941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2020-05-20T14:51:02Z</dcterms:created>
  <dcterms:modified xsi:type="dcterms:W3CDTF">2020-05-20T14:51:03Z</dcterms:modified>
</cp:coreProperties>
</file>